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1. 15 พ.ค. 67\"/>
    </mc:Choice>
  </mc:AlternateContent>
  <xr:revisionPtr revIDLastSave="0" documentId="13_ncr:1_{2A74BACA-5368-4E90-9DBF-0BCF8861FDEC}" xr6:coauthVersionLast="47" xr6:coauthVersionMax="47" xr10:uidLastSave="{00000000-0000-0000-0000-000000000000}"/>
  <bookViews>
    <workbookView xWindow="-120" yWindow="-120" windowWidth="24240" windowHeight="13020" firstSheet="8" activeTab="17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Titles" localSheetId="1">กำแพงเพชร!$1:$6</definedName>
    <definedName name="_xlnm.Print_Titles" localSheetId="2">เชียงราย!$1:$6</definedName>
    <definedName name="_xlnm.Print_Titles" localSheetId="3">เชียงใหม่!$1:$6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8" l="1"/>
  <c r="O22" i="18" s="1"/>
  <c r="M22" i="18"/>
  <c r="N22" i="18"/>
  <c r="N19" i="18" s="1"/>
  <c r="Q22" i="18"/>
  <c r="T22" i="18" s="1"/>
  <c r="R22" i="18"/>
  <c r="S22" i="18"/>
  <c r="L25" i="18"/>
  <c r="M25" i="18"/>
  <c r="N25" i="18"/>
  <c r="O25" i="18"/>
  <c r="Q25" i="18"/>
  <c r="T25" i="18" s="1"/>
  <c r="R25" i="18"/>
  <c r="U25" i="18" s="1"/>
  <c r="S25" i="18"/>
  <c r="L45" i="18"/>
  <c r="O45" i="18" s="1"/>
  <c r="M45" i="18"/>
  <c r="N45" i="18"/>
  <c r="P45" i="18"/>
  <c r="Q45" i="18"/>
  <c r="R45" i="18"/>
  <c r="U45" i="18" s="1"/>
  <c r="S45" i="18"/>
  <c r="T45" i="18"/>
  <c r="Q46" i="18"/>
  <c r="T46" i="18" s="1"/>
  <c r="R46" i="18"/>
  <c r="U46" i="18" s="1"/>
  <c r="S46" i="18"/>
  <c r="Q47" i="18"/>
  <c r="T47" i="18" s="1"/>
  <c r="R47" i="18"/>
  <c r="U47" i="18" s="1"/>
  <c r="S47" i="18"/>
  <c r="O48" i="18"/>
  <c r="P48" i="18"/>
  <c r="T48" i="18"/>
  <c r="U48" i="18"/>
  <c r="L49" i="18"/>
  <c r="M49" i="18"/>
  <c r="M47" i="18" s="1"/>
  <c r="N49" i="18"/>
  <c r="N47" i="18" s="1"/>
  <c r="T49" i="18"/>
  <c r="U49" i="18"/>
  <c r="Q50" i="18"/>
  <c r="T50" i="18" s="1"/>
  <c r="R50" i="18"/>
  <c r="U50" i="18" s="1"/>
  <c r="S50" i="18"/>
  <c r="O51" i="18"/>
  <c r="P51" i="18"/>
  <c r="T51" i="18"/>
  <c r="U51" i="18"/>
  <c r="L52" i="18"/>
  <c r="O52" i="18" s="1"/>
  <c r="M52" i="18"/>
  <c r="N52" i="18"/>
  <c r="T52" i="18"/>
  <c r="U52" i="18"/>
  <c r="L60" i="18"/>
  <c r="O60" i="18" s="1"/>
  <c r="M60" i="18"/>
  <c r="P60" i="18" s="1"/>
  <c r="N60" i="18"/>
  <c r="Q60" i="18"/>
  <c r="R60" i="18"/>
  <c r="U60" i="18" s="1"/>
  <c r="S60" i="18"/>
  <c r="Q61" i="18"/>
  <c r="R61" i="18"/>
  <c r="U61" i="18" s="1"/>
  <c r="S61" i="18"/>
  <c r="S59" i="18" s="1"/>
  <c r="T61" i="18"/>
  <c r="Q62" i="18"/>
  <c r="R62" i="18"/>
  <c r="U62" i="18" s="1"/>
  <c r="S62" i="18"/>
  <c r="T62" i="18"/>
  <c r="O63" i="18"/>
  <c r="P63" i="18"/>
  <c r="T63" i="18"/>
  <c r="U63" i="18"/>
  <c r="L64" i="18"/>
  <c r="L62" i="18" s="1"/>
  <c r="M64" i="18"/>
  <c r="N64" i="18"/>
  <c r="N62" i="18" s="1"/>
  <c r="T64" i="18"/>
  <c r="U64" i="18"/>
  <c r="Q65" i="18"/>
  <c r="T65" i="18" s="1"/>
  <c r="R65" i="18"/>
  <c r="U65" i="18" s="1"/>
  <c r="S65" i="18"/>
  <c r="O66" i="18"/>
  <c r="P66" i="18"/>
  <c r="T66" i="18"/>
  <c r="U66" i="18"/>
  <c r="L67" i="18"/>
  <c r="L65" i="18" s="1"/>
  <c r="M67" i="18"/>
  <c r="N67" i="18"/>
  <c r="N65" i="18" s="1"/>
  <c r="T67" i="18"/>
  <c r="U67" i="18"/>
  <c r="L73" i="18"/>
  <c r="O73" i="18" s="1"/>
  <c r="M73" i="18"/>
  <c r="N73" i="18"/>
  <c r="P73" i="18"/>
  <c r="Q73" i="18"/>
  <c r="T73" i="18" s="1"/>
  <c r="R73" i="18"/>
  <c r="U73" i="18" s="1"/>
  <c r="S73" i="18"/>
  <c r="O76" i="18"/>
  <c r="P76" i="18"/>
  <c r="T76" i="18"/>
  <c r="U76" i="18"/>
  <c r="L77" i="18"/>
  <c r="M77" i="18"/>
  <c r="N77" i="18"/>
  <c r="N75" i="18" s="1"/>
  <c r="Q77" i="18"/>
  <c r="R77" i="18"/>
  <c r="R75" i="18" s="1"/>
  <c r="S77" i="18"/>
  <c r="S75" i="18" s="1"/>
  <c r="O79" i="18"/>
  <c r="P79" i="18"/>
  <c r="T79" i="18"/>
  <c r="U79" i="18"/>
  <c r="L80" i="18"/>
  <c r="O80" i="18" s="1"/>
  <c r="M80" i="18"/>
  <c r="M78" i="18" s="1"/>
  <c r="P78" i="18" s="1"/>
  <c r="N80" i="18"/>
  <c r="N78" i="18" s="1"/>
  <c r="Q80" i="18"/>
  <c r="T80" i="18" s="1"/>
  <c r="R80" i="18"/>
  <c r="R78" i="18" s="1"/>
  <c r="U78" i="18" s="1"/>
  <c r="S80" i="18"/>
  <c r="S78" i="18" s="1"/>
  <c r="J82" i="18"/>
  <c r="J70" i="18" s="1"/>
  <c r="J83" i="18"/>
  <c r="J71" i="18" s="1"/>
  <c r="I84" i="18"/>
  <c r="K84" i="18" s="1"/>
  <c r="I85" i="18"/>
  <c r="I86" i="18"/>
  <c r="K86" i="18" s="1"/>
  <c r="I87" i="18"/>
  <c r="K87" i="18" s="1"/>
  <c r="I88" i="18"/>
  <c r="K88" i="18" s="1"/>
  <c r="I89" i="18"/>
  <c r="K89" i="18" s="1"/>
  <c r="I90" i="18"/>
  <c r="K90" i="18" s="1"/>
  <c r="J92" i="18"/>
  <c r="J93" i="18"/>
  <c r="L95" i="18"/>
  <c r="M95" i="18"/>
  <c r="N95" i="18"/>
  <c r="P95" i="18"/>
  <c r="Q95" i="18"/>
  <c r="T95" i="18" s="1"/>
  <c r="R95" i="18"/>
  <c r="S95" i="18"/>
  <c r="O98" i="18"/>
  <c r="P98" i="18"/>
  <c r="T98" i="18"/>
  <c r="U98" i="18"/>
  <c r="L99" i="18"/>
  <c r="O99" i="18" s="1"/>
  <c r="M99" i="18"/>
  <c r="P99" i="18" s="1"/>
  <c r="N99" i="18"/>
  <c r="N97" i="18" s="1"/>
  <c r="Q99" i="18"/>
  <c r="R99" i="18"/>
  <c r="U99" i="18" s="1"/>
  <c r="S99" i="18"/>
  <c r="S96" i="18" s="1"/>
  <c r="S94" i="18" s="1"/>
  <c r="Q100" i="18"/>
  <c r="T100" i="18" s="1"/>
  <c r="R100" i="18"/>
  <c r="U100" i="18" s="1"/>
  <c r="S100" i="18"/>
  <c r="O101" i="18"/>
  <c r="P101" i="18"/>
  <c r="T101" i="18"/>
  <c r="U101" i="18"/>
  <c r="L102" i="18"/>
  <c r="O102" i="18" s="1"/>
  <c r="M102" i="18"/>
  <c r="M100" i="18" s="1"/>
  <c r="P100" i="18" s="1"/>
  <c r="N102" i="18"/>
  <c r="N100" i="18" s="1"/>
  <c r="T102" i="18"/>
  <c r="U102" i="18"/>
  <c r="I108" i="18"/>
  <c r="K108" i="18" s="1"/>
  <c r="I109" i="18"/>
  <c r="I93" i="18" s="1"/>
  <c r="K93" i="18" s="1"/>
  <c r="I114" i="18"/>
  <c r="K114" i="18" s="1"/>
  <c r="J116" i="18"/>
  <c r="L118" i="18"/>
  <c r="M118" i="18"/>
  <c r="N118" i="18"/>
  <c r="P118" i="18"/>
  <c r="Q118" i="18"/>
  <c r="T118" i="18" s="1"/>
  <c r="R118" i="18"/>
  <c r="S118" i="18"/>
  <c r="O121" i="18"/>
  <c r="P121" i="18"/>
  <c r="T121" i="18"/>
  <c r="U121" i="18"/>
  <c r="L122" i="18"/>
  <c r="M122" i="18"/>
  <c r="N122" i="18"/>
  <c r="Q122" i="18"/>
  <c r="Q120" i="18" s="1"/>
  <c r="R122" i="18"/>
  <c r="S122" i="18"/>
  <c r="O124" i="18"/>
  <c r="P124" i="18"/>
  <c r="T124" i="18"/>
  <c r="U124" i="18"/>
  <c r="L125" i="18"/>
  <c r="M125" i="18"/>
  <c r="M123" i="18" s="1"/>
  <c r="P123" i="18" s="1"/>
  <c r="N125" i="18"/>
  <c r="N123" i="18" s="1"/>
  <c r="Q125" i="18"/>
  <c r="Q123" i="18" s="1"/>
  <c r="T123" i="18" s="1"/>
  <c r="R125" i="18"/>
  <c r="S125" i="18"/>
  <c r="S123" i="18" s="1"/>
  <c r="I127" i="18"/>
  <c r="I128" i="18"/>
  <c r="K128" i="18" s="1"/>
  <c r="I129" i="18"/>
  <c r="K129" i="18" s="1"/>
  <c r="I130" i="18"/>
  <c r="K130" i="18" s="1"/>
  <c r="J136" i="18"/>
  <c r="J137" i="18"/>
  <c r="J138" i="18"/>
  <c r="L140" i="18"/>
  <c r="M140" i="18"/>
  <c r="N140" i="18"/>
  <c r="O140" i="18"/>
  <c r="Q140" i="18"/>
  <c r="T140" i="18" s="1"/>
  <c r="R140" i="18"/>
  <c r="S140" i="18"/>
  <c r="U140" i="18"/>
  <c r="O143" i="18"/>
  <c r="P143" i="18"/>
  <c r="T143" i="18"/>
  <c r="U143" i="18"/>
  <c r="L144" i="18"/>
  <c r="L142" i="18" s="1"/>
  <c r="M144" i="18"/>
  <c r="N144" i="18"/>
  <c r="N142" i="18" s="1"/>
  <c r="Q144" i="18"/>
  <c r="R144" i="18"/>
  <c r="R142" i="18" s="1"/>
  <c r="U142" i="18" s="1"/>
  <c r="S144" i="18"/>
  <c r="S142" i="18" s="1"/>
  <c r="O146" i="18"/>
  <c r="P146" i="18"/>
  <c r="T146" i="18"/>
  <c r="U146" i="18"/>
  <c r="L147" i="18"/>
  <c r="L145" i="18" s="1"/>
  <c r="O145" i="18" s="1"/>
  <c r="M147" i="18"/>
  <c r="N147" i="18"/>
  <c r="N145" i="18" s="1"/>
  <c r="Q147" i="18"/>
  <c r="T147" i="18" s="1"/>
  <c r="R147" i="18"/>
  <c r="R145" i="18" s="1"/>
  <c r="U145" i="18" s="1"/>
  <c r="S147" i="18"/>
  <c r="S145" i="18" s="1"/>
  <c r="I150" i="18"/>
  <c r="K150" i="18" s="1"/>
  <c r="I151" i="18"/>
  <c r="K151" i="18" s="1"/>
  <c r="I152" i="18"/>
  <c r="I137" i="18" s="1"/>
  <c r="I153" i="18"/>
  <c r="I154" i="18"/>
  <c r="K154" i="18" s="1"/>
  <c r="J156" i="18"/>
  <c r="L158" i="18"/>
  <c r="M158" i="18"/>
  <c r="N158" i="18"/>
  <c r="O158" i="18"/>
  <c r="Q158" i="18"/>
  <c r="R158" i="18"/>
  <c r="S158" i="18"/>
  <c r="T158" i="18"/>
  <c r="U158" i="18"/>
  <c r="O161" i="18"/>
  <c r="P161" i="18"/>
  <c r="T161" i="18"/>
  <c r="U161" i="18"/>
  <c r="L162" i="18"/>
  <c r="M162" i="18"/>
  <c r="M160" i="18" s="1"/>
  <c r="N162" i="18"/>
  <c r="Q162" i="18"/>
  <c r="Q160" i="18" s="1"/>
  <c r="T160" i="18" s="1"/>
  <c r="R162" i="18"/>
  <c r="U162" i="18" s="1"/>
  <c r="S162" i="18"/>
  <c r="S159" i="18" s="1"/>
  <c r="Q163" i="18"/>
  <c r="T163" i="18" s="1"/>
  <c r="R163" i="18"/>
  <c r="U163" i="18" s="1"/>
  <c r="S163" i="18"/>
  <c r="O164" i="18"/>
  <c r="P164" i="18"/>
  <c r="T164" i="18"/>
  <c r="U164" i="18"/>
  <c r="L165" i="18"/>
  <c r="O165" i="18" s="1"/>
  <c r="M165" i="18"/>
  <c r="M163" i="18" s="1"/>
  <c r="P163" i="18" s="1"/>
  <c r="N165" i="18"/>
  <c r="N163" i="18" s="1"/>
  <c r="T165" i="18"/>
  <c r="U165" i="18"/>
  <c r="I167" i="18"/>
  <c r="I168" i="18" s="1"/>
  <c r="K168" i="18" s="1"/>
  <c r="J172" i="18"/>
  <c r="L174" i="18"/>
  <c r="O174" i="18" s="1"/>
  <c r="M174" i="18"/>
  <c r="P174" i="18" s="1"/>
  <c r="N174" i="18"/>
  <c r="Q174" i="18"/>
  <c r="R174" i="18"/>
  <c r="U174" i="18" s="1"/>
  <c r="S174" i="18"/>
  <c r="T174" i="18"/>
  <c r="O177" i="18"/>
  <c r="P177" i="18"/>
  <c r="T177" i="18"/>
  <c r="U177" i="18"/>
  <c r="L178" i="18"/>
  <c r="M178" i="18"/>
  <c r="M176" i="18" s="1"/>
  <c r="N178" i="18"/>
  <c r="Q178" i="18"/>
  <c r="Q176" i="18" s="1"/>
  <c r="T176" i="18" s="1"/>
  <c r="R178" i="18"/>
  <c r="U178" i="18" s="1"/>
  <c r="S178" i="18"/>
  <c r="S175" i="18" s="1"/>
  <c r="S173" i="18" s="1"/>
  <c r="Q179" i="18"/>
  <c r="T179" i="18" s="1"/>
  <c r="R179" i="18"/>
  <c r="U179" i="18" s="1"/>
  <c r="S179" i="18"/>
  <c r="O180" i="18"/>
  <c r="P180" i="18"/>
  <c r="T180" i="18"/>
  <c r="U180" i="18"/>
  <c r="L181" i="18"/>
  <c r="O181" i="18" s="1"/>
  <c r="M181" i="18"/>
  <c r="N181" i="18"/>
  <c r="N179" i="18" s="1"/>
  <c r="T181" i="18"/>
  <c r="U181" i="18"/>
  <c r="I183" i="18"/>
  <c r="K184" i="18"/>
  <c r="L187" i="18"/>
  <c r="M187" i="18"/>
  <c r="N187" i="18"/>
  <c r="O187" i="18"/>
  <c r="Q187" i="18"/>
  <c r="R187" i="18"/>
  <c r="S187" i="18"/>
  <c r="T187" i="18"/>
  <c r="U187" i="18"/>
  <c r="O190" i="18"/>
  <c r="P190" i="18"/>
  <c r="T190" i="18"/>
  <c r="U190" i="18"/>
  <c r="L191" i="18"/>
  <c r="L189" i="18" s="1"/>
  <c r="M191" i="18"/>
  <c r="M189" i="18" s="1"/>
  <c r="N191" i="18"/>
  <c r="N189" i="18" s="1"/>
  <c r="Q191" i="18"/>
  <c r="R191" i="18"/>
  <c r="R189" i="18" s="1"/>
  <c r="S191" i="18"/>
  <c r="S189" i="18" s="1"/>
  <c r="O193" i="18"/>
  <c r="P193" i="18"/>
  <c r="T193" i="18"/>
  <c r="U193" i="18"/>
  <c r="L194" i="18"/>
  <c r="M194" i="18"/>
  <c r="M192" i="18" s="1"/>
  <c r="P192" i="18" s="1"/>
  <c r="N194" i="18"/>
  <c r="N192" i="18" s="1"/>
  <c r="Q194" i="18"/>
  <c r="T194" i="18" s="1"/>
  <c r="R194" i="18"/>
  <c r="S194" i="18"/>
  <c r="S192" i="18" s="1"/>
  <c r="J195" i="18"/>
  <c r="L196" i="18"/>
  <c r="O196" i="18" s="1"/>
  <c r="P196" i="18"/>
  <c r="I198" i="18"/>
  <c r="K198" i="18" s="1"/>
  <c r="J199" i="18"/>
  <c r="J202" i="18"/>
  <c r="N203" i="18"/>
  <c r="P203" i="18"/>
  <c r="S203" i="18"/>
  <c r="U203" i="18"/>
  <c r="L204" i="18"/>
  <c r="L205" i="18"/>
  <c r="L206" i="18"/>
  <c r="Q206" i="18"/>
  <c r="Q203" i="18" s="1"/>
  <c r="T203" i="18" s="1"/>
  <c r="L207" i="18"/>
  <c r="I209" i="18"/>
  <c r="K209" i="18" s="1"/>
  <c r="I211" i="18"/>
  <c r="K211" i="18" s="1"/>
  <c r="I212" i="18"/>
  <c r="K212" i="18" s="1"/>
  <c r="J213" i="18"/>
  <c r="N214" i="18"/>
  <c r="P214" i="18"/>
  <c r="S214" i="18"/>
  <c r="U214" i="18"/>
  <c r="L215" i="18"/>
  <c r="L216" i="18"/>
  <c r="L217" i="18"/>
  <c r="Q217" i="18"/>
  <c r="Q214" i="18" s="1"/>
  <c r="T214" i="18" s="1"/>
  <c r="I219" i="18"/>
  <c r="K219" i="18" s="1"/>
  <c r="I220" i="18"/>
  <c r="J221" i="18"/>
  <c r="N222" i="18"/>
  <c r="P222" i="18"/>
  <c r="L223" i="18"/>
  <c r="L224" i="18"/>
  <c r="L225" i="18"/>
  <c r="I228" i="18"/>
  <c r="K228" i="18" s="1"/>
  <c r="I229" i="18"/>
  <c r="I221" i="18" s="1"/>
  <c r="K221" i="18" s="1"/>
  <c r="I230" i="18"/>
  <c r="K230" i="18" s="1"/>
  <c r="N233" i="18"/>
  <c r="N234" i="18"/>
  <c r="N235" i="18"/>
  <c r="N236" i="18"/>
  <c r="J238" i="18"/>
  <c r="I240" i="18"/>
  <c r="K240" i="18" s="1"/>
  <c r="J240" i="18"/>
  <c r="I241" i="18"/>
  <c r="K241" i="18" s="1"/>
  <c r="J241" i="18"/>
  <c r="J242" i="18"/>
  <c r="J231" i="18" s="1"/>
  <c r="J185" i="18" s="1"/>
  <c r="N243" i="18"/>
  <c r="P243" i="18"/>
  <c r="L244" i="18"/>
  <c r="L245" i="18"/>
  <c r="L246" i="18"/>
  <c r="L247" i="18"/>
  <c r="I249" i="18"/>
  <c r="K251" i="18"/>
  <c r="K252" i="18"/>
  <c r="J253" i="18"/>
  <c r="N254" i="18"/>
  <c r="N232" i="18" s="1"/>
  <c r="P254" i="18"/>
  <c r="L255" i="18"/>
  <c r="L256" i="18"/>
  <c r="L257" i="18"/>
  <c r="L258" i="18"/>
  <c r="I260" i="18"/>
  <c r="K262" i="18"/>
  <c r="K263" i="18"/>
  <c r="J265" i="18"/>
  <c r="L267" i="18"/>
  <c r="M267" i="18"/>
  <c r="N267" i="18"/>
  <c r="Q267" i="18"/>
  <c r="T267" i="18" s="1"/>
  <c r="R267" i="18"/>
  <c r="S267" i="18"/>
  <c r="O270" i="18"/>
  <c r="P270" i="18"/>
  <c r="T270" i="18"/>
  <c r="U270" i="18"/>
  <c r="L271" i="18"/>
  <c r="L269" i="18" s="1"/>
  <c r="M271" i="18"/>
  <c r="M269" i="18" s="1"/>
  <c r="N271" i="18"/>
  <c r="N269" i="18" s="1"/>
  <c r="Q271" i="18"/>
  <c r="Q268" i="18" s="1"/>
  <c r="Q266" i="18" s="1"/>
  <c r="R271" i="18"/>
  <c r="R269" i="18" s="1"/>
  <c r="S271" i="18"/>
  <c r="S269" i="18" s="1"/>
  <c r="Q272" i="18"/>
  <c r="T272" i="18" s="1"/>
  <c r="R272" i="18"/>
  <c r="U272" i="18" s="1"/>
  <c r="S272" i="18"/>
  <c r="O273" i="18"/>
  <c r="P273" i="18"/>
  <c r="T273" i="18"/>
  <c r="U273" i="18"/>
  <c r="L274" i="18"/>
  <c r="L272" i="18" s="1"/>
  <c r="O272" i="18" s="1"/>
  <c r="M274" i="18"/>
  <c r="M272" i="18" s="1"/>
  <c r="P272" i="18" s="1"/>
  <c r="N274" i="18"/>
  <c r="N272" i="18" s="1"/>
  <c r="T274" i="18"/>
  <c r="U274" i="18"/>
  <c r="I276" i="18"/>
  <c r="I265" i="18" s="1"/>
  <c r="J281" i="18"/>
  <c r="L283" i="18"/>
  <c r="M283" i="18"/>
  <c r="N283" i="18"/>
  <c r="O283" i="18"/>
  <c r="Q283" i="18"/>
  <c r="Q282" i="18" s="1"/>
  <c r="T282" i="18" s="1"/>
  <c r="R283" i="18"/>
  <c r="R282" i="18" s="1"/>
  <c r="U282" i="18" s="1"/>
  <c r="S283" i="18"/>
  <c r="T283" i="18"/>
  <c r="U283" i="18"/>
  <c r="Q284" i="18"/>
  <c r="T284" i="18" s="1"/>
  <c r="R284" i="18"/>
  <c r="U284" i="18" s="1"/>
  <c r="S284" i="18"/>
  <c r="Q285" i="18"/>
  <c r="T285" i="18" s="1"/>
  <c r="R285" i="18"/>
  <c r="U285" i="18" s="1"/>
  <c r="S285" i="18"/>
  <c r="O286" i="18"/>
  <c r="P286" i="18"/>
  <c r="T286" i="18"/>
  <c r="U286" i="18"/>
  <c r="L287" i="18"/>
  <c r="L285" i="18" s="1"/>
  <c r="M287" i="18"/>
  <c r="N287" i="18"/>
  <c r="N285" i="18" s="1"/>
  <c r="T287" i="18"/>
  <c r="U287" i="18"/>
  <c r="Q288" i="18"/>
  <c r="T288" i="18" s="1"/>
  <c r="R288" i="18"/>
  <c r="U288" i="18" s="1"/>
  <c r="S288" i="18"/>
  <c r="O289" i="18"/>
  <c r="P289" i="18"/>
  <c r="T289" i="18"/>
  <c r="U289" i="18"/>
  <c r="L290" i="18"/>
  <c r="O290" i="18" s="1"/>
  <c r="M290" i="18"/>
  <c r="M288" i="18" s="1"/>
  <c r="P288" i="18" s="1"/>
  <c r="N290" i="18"/>
  <c r="N288" i="18" s="1"/>
  <c r="T290" i="18"/>
  <c r="U290" i="18"/>
  <c r="I292" i="18"/>
  <c r="I293" i="18"/>
  <c r="I280" i="18" s="1"/>
  <c r="J293" i="18"/>
  <c r="I295" i="18"/>
  <c r="K295" i="18" s="1"/>
  <c r="I296" i="18"/>
  <c r="K296" i="18" s="1"/>
  <c r="J302" i="18"/>
  <c r="L304" i="18"/>
  <c r="M304" i="18"/>
  <c r="N304" i="18"/>
  <c r="O304" i="18"/>
  <c r="Q304" i="18"/>
  <c r="T304" i="18" s="1"/>
  <c r="R304" i="18"/>
  <c r="S304" i="18"/>
  <c r="U304" i="18"/>
  <c r="O307" i="18"/>
  <c r="P307" i="18"/>
  <c r="T307" i="18"/>
  <c r="U307" i="18"/>
  <c r="L308" i="18"/>
  <c r="M308" i="18"/>
  <c r="M306" i="18" s="1"/>
  <c r="N308" i="18"/>
  <c r="N306" i="18" s="1"/>
  <c r="Q308" i="18"/>
  <c r="Q305" i="18" s="1"/>
  <c r="R308" i="18"/>
  <c r="R305" i="18" s="1"/>
  <c r="R303" i="18" s="1"/>
  <c r="S308" i="18"/>
  <c r="S306" i="18" s="1"/>
  <c r="Q309" i="18"/>
  <c r="T309" i="18" s="1"/>
  <c r="R309" i="18"/>
  <c r="U309" i="18" s="1"/>
  <c r="S309" i="18"/>
  <c r="O310" i="18"/>
  <c r="P310" i="18"/>
  <c r="T310" i="18"/>
  <c r="U310" i="18"/>
  <c r="L311" i="18"/>
  <c r="M311" i="18"/>
  <c r="M309" i="18" s="1"/>
  <c r="P309" i="18" s="1"/>
  <c r="N311" i="18"/>
  <c r="N309" i="18" s="1"/>
  <c r="T311" i="18"/>
  <c r="U311" i="18"/>
  <c r="I314" i="18"/>
  <c r="K314" i="18" s="1"/>
  <c r="J319" i="18"/>
  <c r="L321" i="18"/>
  <c r="O321" i="18" s="1"/>
  <c r="M321" i="18"/>
  <c r="P321" i="18" s="1"/>
  <c r="N321" i="18"/>
  <c r="Q321" i="18"/>
  <c r="R321" i="18"/>
  <c r="R320" i="18" s="1"/>
  <c r="U320" i="18" s="1"/>
  <c r="S321" i="18"/>
  <c r="S320" i="18" s="1"/>
  <c r="U321" i="18"/>
  <c r="Q322" i="18"/>
  <c r="R322" i="18"/>
  <c r="S322" i="18"/>
  <c r="T322" i="18"/>
  <c r="U322" i="18"/>
  <c r="Q323" i="18"/>
  <c r="T323" i="18" s="1"/>
  <c r="R323" i="18"/>
  <c r="U323" i="18" s="1"/>
  <c r="S323" i="18"/>
  <c r="O324" i="18"/>
  <c r="P324" i="18"/>
  <c r="T324" i="18"/>
  <c r="U324" i="18"/>
  <c r="L325" i="18"/>
  <c r="L323" i="18" s="1"/>
  <c r="M325" i="18"/>
  <c r="N325" i="18"/>
  <c r="T325" i="18"/>
  <c r="U325" i="18"/>
  <c r="Q326" i="18"/>
  <c r="R326" i="18"/>
  <c r="U326" i="18" s="1"/>
  <c r="S326" i="18"/>
  <c r="T326" i="18"/>
  <c r="O327" i="18"/>
  <c r="P327" i="18"/>
  <c r="T327" i="18"/>
  <c r="U327" i="18"/>
  <c r="L328" i="18"/>
  <c r="O328" i="18" s="1"/>
  <c r="M328" i="18"/>
  <c r="N328" i="18"/>
  <c r="N326" i="18" s="1"/>
  <c r="T328" i="18"/>
  <c r="U328" i="18"/>
  <c r="I330" i="18"/>
  <c r="I319" i="18" s="1"/>
  <c r="L334" i="18"/>
  <c r="O334" i="18" s="1"/>
  <c r="M334" i="18"/>
  <c r="P334" i="18" s="1"/>
  <c r="N334" i="18"/>
  <c r="Q334" i="18"/>
  <c r="Q333" i="18" s="1"/>
  <c r="T333" i="18" s="1"/>
  <c r="R334" i="18"/>
  <c r="U334" i="18" s="1"/>
  <c r="S334" i="18"/>
  <c r="T334" i="18"/>
  <c r="Q335" i="18"/>
  <c r="R335" i="18"/>
  <c r="S335" i="18"/>
  <c r="T335" i="18"/>
  <c r="U335" i="18"/>
  <c r="Q336" i="18"/>
  <c r="T336" i="18" s="1"/>
  <c r="R336" i="18"/>
  <c r="U336" i="18" s="1"/>
  <c r="S336" i="18"/>
  <c r="O337" i="18"/>
  <c r="P337" i="18"/>
  <c r="T337" i="18"/>
  <c r="U337" i="18"/>
  <c r="L338" i="18"/>
  <c r="L336" i="18" s="1"/>
  <c r="M338" i="18"/>
  <c r="M336" i="18" s="1"/>
  <c r="N338" i="18"/>
  <c r="N336" i="18" s="1"/>
  <c r="T338" i="18"/>
  <c r="U338" i="18"/>
  <c r="Q339" i="18"/>
  <c r="T339" i="18" s="1"/>
  <c r="R339" i="18"/>
  <c r="U339" i="18" s="1"/>
  <c r="S339" i="18"/>
  <c r="O340" i="18"/>
  <c r="P340" i="18"/>
  <c r="T340" i="18"/>
  <c r="U340" i="18"/>
  <c r="L341" i="18"/>
  <c r="M341" i="18"/>
  <c r="P341" i="18" s="1"/>
  <c r="N341" i="18"/>
  <c r="T341" i="18"/>
  <c r="U341" i="18"/>
  <c r="I344" i="18"/>
  <c r="I332" i="18" s="1"/>
  <c r="J344" i="18"/>
  <c r="I346" i="18"/>
  <c r="J346" i="18"/>
  <c r="J347" i="18"/>
  <c r="J348" i="18"/>
  <c r="J349" i="18"/>
  <c r="D350" i="18"/>
  <c r="J352" i="18"/>
  <c r="J353" i="18"/>
  <c r="D354" i="18"/>
  <c r="L357" i="18"/>
  <c r="O357" i="18" s="1"/>
  <c r="M357" i="18"/>
  <c r="N357" i="18"/>
  <c r="P357" i="18"/>
  <c r="Q357" i="18"/>
  <c r="T357" i="18" s="1"/>
  <c r="R357" i="18"/>
  <c r="R356" i="18" s="1"/>
  <c r="U356" i="18" s="1"/>
  <c r="S357" i="18"/>
  <c r="Q358" i="18"/>
  <c r="T358" i="18" s="1"/>
  <c r="R358" i="18"/>
  <c r="U358" i="18" s="1"/>
  <c r="S358" i="18"/>
  <c r="S356" i="18" s="1"/>
  <c r="Q359" i="18"/>
  <c r="R359" i="18"/>
  <c r="U359" i="18" s="1"/>
  <c r="S359" i="18"/>
  <c r="T359" i="18"/>
  <c r="O360" i="18"/>
  <c r="P360" i="18"/>
  <c r="T360" i="18"/>
  <c r="U360" i="18"/>
  <c r="L361" i="18"/>
  <c r="M361" i="18"/>
  <c r="M359" i="18" s="1"/>
  <c r="N361" i="18"/>
  <c r="T361" i="18"/>
  <c r="U361" i="18"/>
  <c r="Q362" i="18"/>
  <c r="T362" i="18" s="1"/>
  <c r="R362" i="18"/>
  <c r="U362" i="18" s="1"/>
  <c r="S362" i="18"/>
  <c r="O363" i="18"/>
  <c r="P363" i="18"/>
  <c r="T363" i="18"/>
  <c r="U363" i="18"/>
  <c r="L364" i="18"/>
  <c r="L362" i="18" s="1"/>
  <c r="O362" i="18" s="1"/>
  <c r="M364" i="18"/>
  <c r="N364" i="18"/>
  <c r="N362" i="18" s="1"/>
  <c r="T364" i="18"/>
  <c r="U364" i="18"/>
  <c r="J367" i="18"/>
  <c r="K367" i="18"/>
  <c r="I368" i="18"/>
  <c r="J368" i="18"/>
  <c r="I369" i="18"/>
  <c r="J369" i="18"/>
  <c r="J370" i="18"/>
  <c r="K370" i="18"/>
  <c r="I371" i="18"/>
  <c r="J371" i="18"/>
  <c r="J365" i="18" s="1"/>
  <c r="J372" i="18"/>
  <c r="K372" i="18"/>
  <c r="D373" i="18"/>
  <c r="L376" i="18"/>
  <c r="M376" i="18"/>
  <c r="N376" i="18"/>
  <c r="Q376" i="18"/>
  <c r="T376" i="18" s="1"/>
  <c r="R376" i="18"/>
  <c r="S376" i="18"/>
  <c r="O379" i="18"/>
  <c r="P379" i="18"/>
  <c r="T379" i="18"/>
  <c r="U379" i="18"/>
  <c r="L380" i="18"/>
  <c r="M380" i="18"/>
  <c r="N380" i="18"/>
  <c r="Q380" i="18"/>
  <c r="Q377" i="18" s="1"/>
  <c r="R380" i="18"/>
  <c r="R377" i="18" s="1"/>
  <c r="S380" i="18"/>
  <c r="Q381" i="18"/>
  <c r="T381" i="18" s="1"/>
  <c r="R381" i="18"/>
  <c r="S381" i="18"/>
  <c r="U381" i="18"/>
  <c r="O382" i="18"/>
  <c r="P382" i="18"/>
  <c r="T382" i="18"/>
  <c r="U382" i="18"/>
  <c r="L383" i="18"/>
  <c r="L381" i="18" s="1"/>
  <c r="O381" i="18" s="1"/>
  <c r="M383" i="18"/>
  <c r="N383" i="18"/>
  <c r="N381" i="18" s="1"/>
  <c r="T383" i="18"/>
  <c r="U383" i="18"/>
  <c r="J385" i="18"/>
  <c r="K385" i="18"/>
  <c r="I386" i="18"/>
  <c r="J386" i="18"/>
  <c r="J387" i="18"/>
  <c r="K387" i="18"/>
  <c r="I388" i="18"/>
  <c r="J388" i="18"/>
  <c r="I391" i="18"/>
  <c r="J391" i="18"/>
  <c r="K391" i="18"/>
  <c r="L393" i="18"/>
  <c r="M393" i="18"/>
  <c r="P393" i="18" s="1"/>
  <c r="N393" i="18"/>
  <c r="Q393" i="18"/>
  <c r="R393" i="18"/>
  <c r="U393" i="18" s="1"/>
  <c r="S393" i="18"/>
  <c r="T393" i="18"/>
  <c r="L394" i="18"/>
  <c r="O394" i="18" s="1"/>
  <c r="M394" i="18"/>
  <c r="N394" i="18"/>
  <c r="P394" i="18"/>
  <c r="L395" i="18"/>
  <c r="O395" i="18" s="1"/>
  <c r="M395" i="18"/>
  <c r="P395" i="18" s="1"/>
  <c r="N395" i="18"/>
  <c r="O396" i="18"/>
  <c r="P396" i="18"/>
  <c r="T396" i="18"/>
  <c r="U396" i="18"/>
  <c r="O397" i="18"/>
  <c r="P397" i="18"/>
  <c r="Q397" i="18"/>
  <c r="Q394" i="18" s="1"/>
  <c r="T394" i="18" s="1"/>
  <c r="R397" i="18"/>
  <c r="R394" i="18" s="1"/>
  <c r="S397" i="18"/>
  <c r="S394" i="18" s="1"/>
  <c r="S392" i="18" s="1"/>
  <c r="L398" i="18"/>
  <c r="M398" i="18"/>
  <c r="P398" i="18" s="1"/>
  <c r="N398" i="18"/>
  <c r="O398" i="18"/>
  <c r="Q398" i="18"/>
  <c r="T398" i="18" s="1"/>
  <c r="R398" i="18"/>
  <c r="S398" i="18"/>
  <c r="U398" i="18"/>
  <c r="O399" i="18"/>
  <c r="P399" i="18"/>
  <c r="T399" i="18"/>
  <c r="U399" i="18"/>
  <c r="O400" i="18"/>
  <c r="P400" i="18"/>
  <c r="T400" i="18"/>
  <c r="U400" i="18"/>
  <c r="L414" i="18"/>
  <c r="M414" i="18"/>
  <c r="P414" i="18" s="1"/>
  <c r="N414" i="18"/>
  <c r="O414" i="18"/>
  <c r="Q414" i="18"/>
  <c r="R414" i="18"/>
  <c r="U414" i="18" s="1"/>
  <c r="S414" i="18"/>
  <c r="T414" i="18"/>
  <c r="O417" i="18"/>
  <c r="P417" i="18"/>
  <c r="T417" i="18"/>
  <c r="U417" i="18"/>
  <c r="L418" i="18"/>
  <c r="M418" i="18"/>
  <c r="N418" i="18"/>
  <c r="N416" i="18" s="1"/>
  <c r="Q418" i="18"/>
  <c r="Q416" i="18" s="1"/>
  <c r="R418" i="18"/>
  <c r="S418" i="18"/>
  <c r="S415" i="18" s="1"/>
  <c r="Q419" i="18"/>
  <c r="T419" i="18" s="1"/>
  <c r="R419" i="18"/>
  <c r="U419" i="18" s="1"/>
  <c r="S419" i="18"/>
  <c r="O420" i="18"/>
  <c r="P420" i="18"/>
  <c r="T420" i="18"/>
  <c r="U420" i="18"/>
  <c r="L421" i="18"/>
  <c r="M421" i="18"/>
  <c r="P421" i="18" s="1"/>
  <c r="N421" i="18"/>
  <c r="N419" i="18" s="1"/>
  <c r="T421" i="18"/>
  <c r="U421" i="18"/>
  <c r="I424" i="18"/>
  <c r="J424" i="18"/>
  <c r="I425" i="18"/>
  <c r="K425" i="18" s="1"/>
  <c r="J425" i="18"/>
  <c r="I432" i="18"/>
  <c r="J432" i="18"/>
  <c r="I433" i="18"/>
  <c r="K433" i="18" s="1"/>
  <c r="J433" i="18"/>
  <c r="I440" i="18"/>
  <c r="I423" i="18" s="1"/>
  <c r="I412" i="18" s="1"/>
  <c r="I441" i="18"/>
  <c r="J446" i="18"/>
  <c r="J440" i="18" s="1"/>
  <c r="J423" i="18" s="1"/>
  <c r="J412" i="18" s="1"/>
  <c r="J447" i="18"/>
  <c r="J441" i="18" s="1"/>
  <c r="I457" i="18"/>
  <c r="I458" i="18"/>
  <c r="K458" i="18" s="1"/>
  <c r="J459" i="18"/>
  <c r="J460" i="18"/>
  <c r="J467" i="18"/>
  <c r="J468" i="18"/>
  <c r="J475" i="18"/>
  <c r="K475" i="18"/>
  <c r="J476" i="18"/>
  <c r="K476" i="18"/>
  <c r="J477" i="18"/>
  <c r="K477" i="18"/>
  <c r="J482" i="18"/>
  <c r="J483" i="18"/>
  <c r="I484" i="18"/>
  <c r="J484" i="18"/>
  <c r="K484" i="18"/>
  <c r="I485" i="18"/>
  <c r="K485" i="18" s="1"/>
  <c r="J485" i="18"/>
  <c r="L494" i="18"/>
  <c r="O494" i="18" s="1"/>
  <c r="M494" i="18"/>
  <c r="P494" i="18" s="1"/>
  <c r="N494" i="18"/>
  <c r="Q494" i="18"/>
  <c r="R494" i="18"/>
  <c r="S494" i="18"/>
  <c r="U494" i="18"/>
  <c r="O497" i="18"/>
  <c r="P497" i="18"/>
  <c r="T497" i="18"/>
  <c r="U497" i="18"/>
  <c r="L498" i="18"/>
  <c r="M498" i="18"/>
  <c r="M496" i="18" s="1"/>
  <c r="P496" i="18" s="1"/>
  <c r="N498" i="18"/>
  <c r="N496" i="18" s="1"/>
  <c r="Q498" i="18"/>
  <c r="R498" i="18"/>
  <c r="R495" i="18" s="1"/>
  <c r="S498" i="18"/>
  <c r="S496" i="18" s="1"/>
  <c r="Q499" i="18"/>
  <c r="T499" i="18" s="1"/>
  <c r="R499" i="18"/>
  <c r="U499" i="18" s="1"/>
  <c r="S499" i="18"/>
  <c r="O500" i="18"/>
  <c r="P500" i="18"/>
  <c r="T500" i="18"/>
  <c r="U500" i="18"/>
  <c r="L501" i="18"/>
  <c r="O501" i="18" s="1"/>
  <c r="M501" i="18"/>
  <c r="M499" i="18" s="1"/>
  <c r="P499" i="18" s="1"/>
  <c r="N501" i="18"/>
  <c r="N499" i="18" s="1"/>
  <c r="T501" i="18"/>
  <c r="U501" i="18"/>
  <c r="I503" i="18"/>
  <c r="I504" i="18"/>
  <c r="K504" i="18" s="1"/>
  <c r="I505" i="18"/>
  <c r="K505" i="18" s="1"/>
  <c r="I506" i="18"/>
  <c r="K506" i="18" s="1"/>
  <c r="I507" i="18"/>
  <c r="K507" i="18" s="1"/>
  <c r="K508" i="18"/>
  <c r="I509" i="18"/>
  <c r="K509" i="18" s="1"/>
  <c r="I512" i="18"/>
  <c r="K512" i="18" s="1"/>
  <c r="J512" i="18"/>
  <c r="L514" i="18"/>
  <c r="O514" i="18" s="1"/>
  <c r="M514" i="18"/>
  <c r="N514" i="18"/>
  <c r="P514" i="18"/>
  <c r="Q514" i="18"/>
  <c r="R514" i="18"/>
  <c r="R513" i="18" s="1"/>
  <c r="U513" i="18" s="1"/>
  <c r="S514" i="18"/>
  <c r="Q515" i="18"/>
  <c r="T515" i="18" s="1"/>
  <c r="R515" i="18"/>
  <c r="S515" i="18"/>
  <c r="S513" i="18" s="1"/>
  <c r="U515" i="18"/>
  <c r="Q516" i="18"/>
  <c r="T516" i="18" s="1"/>
  <c r="R516" i="18"/>
  <c r="S516" i="18"/>
  <c r="U516" i="18"/>
  <c r="O517" i="18"/>
  <c r="P517" i="18"/>
  <c r="T517" i="18"/>
  <c r="U517" i="18"/>
  <c r="L518" i="18"/>
  <c r="L516" i="18" s="1"/>
  <c r="O516" i="18" s="1"/>
  <c r="M518" i="18"/>
  <c r="P518" i="18" s="1"/>
  <c r="N518" i="18"/>
  <c r="N516" i="18" s="1"/>
  <c r="T518" i="18"/>
  <c r="U518" i="18"/>
  <c r="Q519" i="18"/>
  <c r="T519" i="18" s="1"/>
  <c r="R519" i="18"/>
  <c r="U519" i="18" s="1"/>
  <c r="S519" i="18"/>
  <c r="O520" i="18"/>
  <c r="P520" i="18"/>
  <c r="T520" i="18"/>
  <c r="U520" i="18"/>
  <c r="L521" i="18"/>
  <c r="L519" i="18" s="1"/>
  <c r="O519" i="18" s="1"/>
  <c r="M521" i="18"/>
  <c r="M519" i="18" s="1"/>
  <c r="P519" i="18" s="1"/>
  <c r="N521" i="18"/>
  <c r="N519" i="18" s="1"/>
  <c r="T521" i="18"/>
  <c r="U521" i="18"/>
  <c r="K523" i="18"/>
  <c r="K524" i="18"/>
  <c r="I533" i="18"/>
  <c r="J533" i="18"/>
  <c r="K533" i="18"/>
  <c r="L535" i="18"/>
  <c r="O535" i="18" s="1"/>
  <c r="M535" i="18"/>
  <c r="P535" i="18" s="1"/>
  <c r="N535" i="18"/>
  <c r="Q535" i="18"/>
  <c r="Q534" i="18" s="1"/>
  <c r="T534" i="18" s="1"/>
  <c r="R535" i="18"/>
  <c r="U535" i="18" s="1"/>
  <c r="S535" i="18"/>
  <c r="T535" i="18"/>
  <c r="Q536" i="18"/>
  <c r="T536" i="18" s="1"/>
  <c r="R536" i="18"/>
  <c r="S536" i="18"/>
  <c r="Q537" i="18"/>
  <c r="T537" i="18" s="1"/>
  <c r="R537" i="18"/>
  <c r="S537" i="18"/>
  <c r="U537" i="18"/>
  <c r="O538" i="18"/>
  <c r="P538" i="18"/>
  <c r="T538" i="18"/>
  <c r="U538" i="18"/>
  <c r="L539" i="18"/>
  <c r="O539" i="18" s="1"/>
  <c r="M539" i="18"/>
  <c r="N539" i="18"/>
  <c r="T539" i="18"/>
  <c r="U539" i="18"/>
  <c r="Q540" i="18"/>
  <c r="T540" i="18" s="1"/>
  <c r="R540" i="18"/>
  <c r="U540" i="18" s="1"/>
  <c r="S540" i="18"/>
  <c r="O541" i="18"/>
  <c r="P541" i="18"/>
  <c r="T541" i="18"/>
  <c r="U541" i="18"/>
  <c r="L542" i="18"/>
  <c r="L540" i="18" s="1"/>
  <c r="O540" i="18" s="1"/>
  <c r="M542" i="18"/>
  <c r="M540" i="18" s="1"/>
  <c r="P540" i="18" s="1"/>
  <c r="N542" i="18"/>
  <c r="N540" i="18" s="1"/>
  <c r="T542" i="18"/>
  <c r="U542" i="18"/>
  <c r="I554" i="18"/>
  <c r="K554" i="18" s="1"/>
  <c r="J554" i="18"/>
  <c r="L556" i="18"/>
  <c r="O556" i="18" s="1"/>
  <c r="M556" i="18"/>
  <c r="N556" i="18"/>
  <c r="P556" i="18"/>
  <c r="Q556" i="18"/>
  <c r="R556" i="18"/>
  <c r="R555" i="18" s="1"/>
  <c r="U555" i="18" s="1"/>
  <c r="S556" i="18"/>
  <c r="T556" i="18"/>
  <c r="Q557" i="18"/>
  <c r="T557" i="18" s="1"/>
  <c r="R557" i="18"/>
  <c r="S557" i="18"/>
  <c r="U557" i="18"/>
  <c r="Q558" i="18"/>
  <c r="T558" i="18" s="1"/>
  <c r="R558" i="18"/>
  <c r="U558" i="18" s="1"/>
  <c r="S558" i="18"/>
  <c r="O559" i="18"/>
  <c r="P559" i="18"/>
  <c r="T559" i="18"/>
  <c r="U559" i="18"/>
  <c r="L560" i="18"/>
  <c r="L558" i="18" s="1"/>
  <c r="O558" i="18" s="1"/>
  <c r="M560" i="18"/>
  <c r="N560" i="18"/>
  <c r="N558" i="18" s="1"/>
  <c r="T560" i="18"/>
  <c r="U560" i="18"/>
  <c r="Q561" i="18"/>
  <c r="T561" i="18" s="1"/>
  <c r="R561" i="18"/>
  <c r="U561" i="18" s="1"/>
  <c r="S561" i="18"/>
  <c r="O562" i="18"/>
  <c r="P562" i="18"/>
  <c r="T562" i="18"/>
  <c r="U562" i="18"/>
  <c r="L563" i="18"/>
  <c r="M563" i="18"/>
  <c r="M561" i="18" s="1"/>
  <c r="P561" i="18" s="1"/>
  <c r="N563" i="18"/>
  <c r="N561" i="18" s="1"/>
  <c r="T563" i="18"/>
  <c r="U563" i="18"/>
  <c r="I575" i="18"/>
  <c r="K575" i="18" s="1"/>
  <c r="J575" i="18"/>
  <c r="L577" i="18"/>
  <c r="O577" i="18" s="1"/>
  <c r="M577" i="18"/>
  <c r="N577" i="18"/>
  <c r="P577" i="18"/>
  <c r="Q577" i="18"/>
  <c r="R577" i="18"/>
  <c r="U577" i="18" s="1"/>
  <c r="S577" i="18"/>
  <c r="T577" i="18"/>
  <c r="Q578" i="18"/>
  <c r="T578" i="18" s="1"/>
  <c r="R578" i="18"/>
  <c r="S578" i="18"/>
  <c r="Q579" i="18"/>
  <c r="R579" i="18"/>
  <c r="U579" i="18" s="1"/>
  <c r="S579" i="18"/>
  <c r="T579" i="18"/>
  <c r="O580" i="18"/>
  <c r="P580" i="18"/>
  <c r="T580" i="18"/>
  <c r="U580" i="18"/>
  <c r="L581" i="18"/>
  <c r="M581" i="18"/>
  <c r="N581" i="18"/>
  <c r="N579" i="18" s="1"/>
  <c r="T581" i="18"/>
  <c r="U581" i="18"/>
  <c r="Q582" i="18"/>
  <c r="T582" i="18" s="1"/>
  <c r="R582" i="18"/>
  <c r="S582" i="18"/>
  <c r="U582" i="18"/>
  <c r="O583" i="18"/>
  <c r="P583" i="18"/>
  <c r="T583" i="18"/>
  <c r="U583" i="18"/>
  <c r="L584" i="18"/>
  <c r="O584" i="18" s="1"/>
  <c r="M584" i="18"/>
  <c r="P584" i="18" s="1"/>
  <c r="N584" i="18"/>
  <c r="N582" i="18" s="1"/>
  <c r="T584" i="18"/>
  <c r="U584" i="18"/>
  <c r="L600" i="18"/>
  <c r="M600" i="18"/>
  <c r="N600" i="18"/>
  <c r="O600" i="18"/>
  <c r="Q600" i="18"/>
  <c r="T600" i="18" s="1"/>
  <c r="R600" i="18"/>
  <c r="S600" i="18"/>
  <c r="U600" i="18"/>
  <c r="O603" i="18"/>
  <c r="P603" i="18"/>
  <c r="T603" i="18"/>
  <c r="U603" i="18"/>
  <c r="L604" i="18"/>
  <c r="M604" i="18"/>
  <c r="N604" i="18"/>
  <c r="Q604" i="18"/>
  <c r="T604" i="18" s="1"/>
  <c r="R604" i="18"/>
  <c r="S604" i="18"/>
  <c r="O606" i="18"/>
  <c r="P606" i="18"/>
  <c r="T606" i="18"/>
  <c r="U606" i="18"/>
  <c r="L607" i="18"/>
  <c r="M607" i="18"/>
  <c r="M605" i="18" s="1"/>
  <c r="P605" i="18" s="1"/>
  <c r="N607" i="18"/>
  <c r="N605" i="18" s="1"/>
  <c r="Q607" i="18"/>
  <c r="T607" i="18" s="1"/>
  <c r="R607" i="18"/>
  <c r="S607" i="18"/>
  <c r="S605" i="18" s="1"/>
  <c r="L617" i="18"/>
  <c r="O617" i="18" s="1"/>
  <c r="M617" i="18"/>
  <c r="N617" i="18"/>
  <c r="Q617" i="18"/>
  <c r="T617" i="18" s="1"/>
  <c r="R617" i="18"/>
  <c r="U617" i="18" s="1"/>
  <c r="S617" i="18"/>
  <c r="L618" i="18"/>
  <c r="O618" i="18" s="1"/>
  <c r="M618" i="18"/>
  <c r="P618" i="18" s="1"/>
  <c r="N618" i="18"/>
  <c r="L619" i="18"/>
  <c r="M619" i="18"/>
  <c r="P619" i="18" s="1"/>
  <c r="N619" i="18"/>
  <c r="O619" i="18"/>
  <c r="O620" i="18"/>
  <c r="P620" i="18"/>
  <c r="T620" i="18"/>
  <c r="U620" i="18"/>
  <c r="O621" i="18"/>
  <c r="P621" i="18"/>
  <c r="Q621" i="18"/>
  <c r="Q618" i="18" s="1"/>
  <c r="R621" i="18"/>
  <c r="S621" i="18"/>
  <c r="S619" i="18" s="1"/>
  <c r="L622" i="18"/>
  <c r="O622" i="18" s="1"/>
  <c r="M622" i="18"/>
  <c r="P622" i="18" s="1"/>
  <c r="N622" i="18"/>
  <c r="Q622" i="18"/>
  <c r="R622" i="18"/>
  <c r="U622" i="18" s="1"/>
  <c r="S622" i="18"/>
  <c r="T622" i="18"/>
  <c r="O623" i="18"/>
  <c r="P623" i="18"/>
  <c r="T623" i="18"/>
  <c r="U623" i="18"/>
  <c r="O624" i="18"/>
  <c r="P624" i="18"/>
  <c r="T624" i="18"/>
  <c r="U624" i="18"/>
  <c r="I626" i="18"/>
  <c r="K631" i="18" s="1"/>
  <c r="I627" i="18"/>
  <c r="K627" i="18" s="1"/>
  <c r="I628" i="18"/>
  <c r="K628" i="18" s="1"/>
  <c r="J632" i="18"/>
  <c r="J626" i="18" s="1"/>
  <c r="J615" i="18" s="1"/>
  <c r="I635" i="18"/>
  <c r="K635" i="18" s="1"/>
  <c r="J636" i="18"/>
  <c r="J635" i="18" s="1"/>
  <c r="L643" i="18"/>
  <c r="M643" i="18"/>
  <c r="N643" i="18"/>
  <c r="P643" i="18"/>
  <c r="Q643" i="18"/>
  <c r="T643" i="18" s="1"/>
  <c r="R643" i="18"/>
  <c r="S643" i="18"/>
  <c r="L644" i="18"/>
  <c r="O644" i="18" s="1"/>
  <c r="M644" i="18"/>
  <c r="P644" i="18" s="1"/>
  <c r="N644" i="18"/>
  <c r="N642" i="18" s="1"/>
  <c r="L645" i="18"/>
  <c r="M645" i="18"/>
  <c r="P645" i="18" s="1"/>
  <c r="N645" i="18"/>
  <c r="O645" i="18"/>
  <c r="O646" i="18"/>
  <c r="P646" i="18"/>
  <c r="T646" i="18"/>
  <c r="U646" i="18"/>
  <c r="O647" i="18"/>
  <c r="P647" i="18"/>
  <c r="Q647" i="18"/>
  <c r="R647" i="18"/>
  <c r="R645" i="18" s="1"/>
  <c r="S647" i="18"/>
  <c r="S645" i="18" s="1"/>
  <c r="L648" i="18"/>
  <c r="O648" i="18" s="1"/>
  <c r="M648" i="18"/>
  <c r="P648" i="18" s="1"/>
  <c r="N648" i="18"/>
  <c r="Q648" i="18"/>
  <c r="T648" i="18" s="1"/>
  <c r="R648" i="18"/>
  <c r="U648" i="18" s="1"/>
  <c r="S648" i="18"/>
  <c r="O649" i="18"/>
  <c r="P649" i="18"/>
  <c r="T649" i="18"/>
  <c r="U649" i="18"/>
  <c r="O650" i="18"/>
  <c r="P650" i="18"/>
  <c r="T650" i="18"/>
  <c r="U650" i="18"/>
  <c r="I652" i="18"/>
  <c r="K652" i="18" s="1"/>
  <c r="J652" i="18"/>
  <c r="I653" i="18"/>
  <c r="K653" i="18" s="1"/>
  <c r="J653" i="18"/>
  <c r="I654" i="18"/>
  <c r="J654" i="18"/>
  <c r="I657" i="18"/>
  <c r="I660" i="18"/>
  <c r="I661" i="18"/>
  <c r="J661" i="18"/>
  <c r="J671" i="18"/>
  <c r="J672" i="18"/>
  <c r="I673" i="18"/>
  <c r="J673" i="18"/>
  <c r="I674" i="18"/>
  <c r="I675" i="18"/>
  <c r="I676" i="18"/>
  <c r="J676" i="18"/>
  <c r="J677" i="18"/>
  <c r="I678" i="18"/>
  <c r="J678" i="18"/>
  <c r="I679" i="18"/>
  <c r="J679" i="18"/>
  <c r="J680" i="18"/>
  <c r="I681" i="18"/>
  <c r="J681" i="18"/>
  <c r="I682" i="18"/>
  <c r="J682" i="18"/>
  <c r="L691" i="18"/>
  <c r="M691" i="18"/>
  <c r="N691" i="18"/>
  <c r="P691" i="18"/>
  <c r="Q691" i="18"/>
  <c r="T691" i="18" s="1"/>
  <c r="R691" i="18"/>
  <c r="S691" i="18"/>
  <c r="L692" i="18"/>
  <c r="O692" i="18" s="1"/>
  <c r="M692" i="18"/>
  <c r="P692" i="18" s="1"/>
  <c r="N692" i="18"/>
  <c r="L693" i="18"/>
  <c r="O693" i="18" s="1"/>
  <c r="M693" i="18"/>
  <c r="N693" i="18"/>
  <c r="P693" i="18"/>
  <c r="O694" i="18"/>
  <c r="P694" i="18"/>
  <c r="T694" i="18"/>
  <c r="U694" i="18"/>
  <c r="O695" i="18"/>
  <c r="P695" i="18"/>
  <c r="Q695" i="18"/>
  <c r="R695" i="18"/>
  <c r="R693" i="18" s="1"/>
  <c r="S695" i="18"/>
  <c r="S692" i="18" s="1"/>
  <c r="L696" i="18"/>
  <c r="O696" i="18" s="1"/>
  <c r="M696" i="18"/>
  <c r="P696" i="18" s="1"/>
  <c r="N696" i="18"/>
  <c r="Q696" i="18"/>
  <c r="T696" i="18" s="1"/>
  <c r="R696" i="18"/>
  <c r="U696" i="18" s="1"/>
  <c r="S696" i="18"/>
  <c r="O697" i="18"/>
  <c r="P697" i="18"/>
  <c r="T697" i="18"/>
  <c r="U697" i="18"/>
  <c r="O698" i="18"/>
  <c r="P698" i="18"/>
  <c r="T698" i="18"/>
  <c r="U698" i="18"/>
  <c r="I700" i="18"/>
  <c r="K700" i="18" s="1"/>
  <c r="K702" i="18"/>
  <c r="I703" i="18"/>
  <c r="J703" i="18"/>
  <c r="J704" i="18"/>
  <c r="K704" i="18"/>
  <c r="I705" i="18"/>
  <c r="J705" i="18"/>
  <c r="J706" i="18"/>
  <c r="K706" i="18"/>
  <c r="I707" i="18"/>
  <c r="I689" i="18" s="1"/>
  <c r="J707" i="18"/>
  <c r="J689" i="18" s="1"/>
  <c r="J708" i="18"/>
  <c r="K708" i="18"/>
  <c r="I709" i="18"/>
  <c r="J709" i="18"/>
  <c r="J710" i="18"/>
  <c r="K710" i="18"/>
  <c r="J712" i="18"/>
  <c r="K712" i="18"/>
  <c r="L715" i="18"/>
  <c r="O715" i="18" s="1"/>
  <c r="M715" i="18"/>
  <c r="N715" i="18"/>
  <c r="N714" i="18" s="1"/>
  <c r="P715" i="18"/>
  <c r="Q715" i="18"/>
  <c r="T715" i="18" s="1"/>
  <c r="R715" i="18"/>
  <c r="U715" i="18" s="1"/>
  <c r="S715" i="18"/>
  <c r="L716" i="18"/>
  <c r="M716" i="18"/>
  <c r="N716" i="18"/>
  <c r="P716" i="18"/>
  <c r="Q716" i="18"/>
  <c r="T716" i="18" s="1"/>
  <c r="R716" i="18"/>
  <c r="S716" i="18"/>
  <c r="L717" i="18"/>
  <c r="O717" i="18" s="1"/>
  <c r="M717" i="18"/>
  <c r="P717" i="18" s="1"/>
  <c r="N717" i="18"/>
  <c r="Q717" i="18"/>
  <c r="R717" i="18"/>
  <c r="U717" i="18" s="1"/>
  <c r="S717" i="18"/>
  <c r="T717" i="18"/>
  <c r="O718" i="18"/>
  <c r="P718" i="18"/>
  <c r="T718" i="18"/>
  <c r="U718" i="18"/>
  <c r="O719" i="18"/>
  <c r="P719" i="18"/>
  <c r="T719" i="18"/>
  <c r="U719" i="18"/>
  <c r="L720" i="18"/>
  <c r="O720" i="18" s="1"/>
  <c r="M720" i="18"/>
  <c r="P720" i="18" s="1"/>
  <c r="N720" i="18"/>
  <c r="Q720" i="18"/>
  <c r="R720" i="18"/>
  <c r="U720" i="18" s="1"/>
  <c r="S720" i="18"/>
  <c r="T720" i="18"/>
  <c r="O721" i="18"/>
  <c r="P721" i="18"/>
  <c r="T721" i="18"/>
  <c r="U721" i="18"/>
  <c r="O722" i="18"/>
  <c r="P722" i="18"/>
  <c r="T722" i="18"/>
  <c r="U722" i="18"/>
  <c r="I726" i="18"/>
  <c r="K726" i="18" s="1"/>
  <c r="J726" i="18"/>
  <c r="I727" i="18"/>
  <c r="K727" i="18" s="1"/>
  <c r="J727" i="18"/>
  <c r="N728" i="18"/>
  <c r="L729" i="18"/>
  <c r="M729" i="18"/>
  <c r="P729" i="18" s="1"/>
  <c r="N729" i="18"/>
  <c r="O729" i="18"/>
  <c r="Q729" i="18"/>
  <c r="R729" i="18"/>
  <c r="S729" i="18"/>
  <c r="U729" i="18"/>
  <c r="L730" i="18"/>
  <c r="M730" i="18"/>
  <c r="P730" i="18" s="1"/>
  <c r="N730" i="18"/>
  <c r="L731" i="18"/>
  <c r="O731" i="18" s="1"/>
  <c r="M731" i="18"/>
  <c r="P731" i="18" s="1"/>
  <c r="N731" i="18"/>
  <c r="O732" i="18"/>
  <c r="P732" i="18"/>
  <c r="T732" i="18"/>
  <c r="U732" i="18"/>
  <c r="O733" i="18"/>
  <c r="P733" i="18"/>
  <c r="Q733" i="18"/>
  <c r="Q731" i="18" s="1"/>
  <c r="R733" i="18"/>
  <c r="S733" i="18"/>
  <c r="S730" i="18" s="1"/>
  <c r="L734" i="18"/>
  <c r="M734" i="18"/>
  <c r="N734" i="18"/>
  <c r="O734" i="18"/>
  <c r="P734" i="18"/>
  <c r="Q734" i="18"/>
  <c r="T734" i="18" s="1"/>
  <c r="R734" i="18"/>
  <c r="S734" i="18"/>
  <c r="U734" i="18"/>
  <c r="O735" i="18"/>
  <c r="P735" i="18"/>
  <c r="T735" i="18"/>
  <c r="U735" i="18"/>
  <c r="O736" i="18"/>
  <c r="P736" i="18"/>
  <c r="T736" i="18"/>
  <c r="U736" i="18"/>
  <c r="I740" i="18"/>
  <c r="K740" i="18" s="1"/>
  <c r="I742" i="18"/>
  <c r="K742" i="18" s="1"/>
  <c r="I744" i="18"/>
  <c r="K744" i="18" s="1"/>
  <c r="I746" i="18"/>
  <c r="K746" i="18" s="1"/>
  <c r="I749" i="18"/>
  <c r="K749" i="18" s="1"/>
  <c r="I752" i="18"/>
  <c r="K752" i="18" s="1"/>
  <c r="I755" i="18"/>
  <c r="K755" i="18" s="1"/>
  <c r="J758" i="18"/>
  <c r="J759" i="18"/>
  <c r="L761" i="18"/>
  <c r="M761" i="18"/>
  <c r="P761" i="18" s="1"/>
  <c r="N761" i="18"/>
  <c r="O761" i="18"/>
  <c r="Q761" i="18"/>
  <c r="R761" i="18"/>
  <c r="S761" i="18"/>
  <c r="U761" i="18"/>
  <c r="L762" i="18"/>
  <c r="O762" i="18" s="1"/>
  <c r="M762" i="18"/>
  <c r="P762" i="18" s="1"/>
  <c r="N762" i="18"/>
  <c r="L763" i="18"/>
  <c r="O763" i="18" s="1"/>
  <c r="M763" i="18"/>
  <c r="N763" i="18"/>
  <c r="P763" i="18"/>
  <c r="O764" i="18"/>
  <c r="P764" i="18"/>
  <c r="T764" i="18"/>
  <c r="U764" i="18"/>
  <c r="O765" i="18"/>
  <c r="P765" i="18"/>
  <c r="Q765" i="18"/>
  <c r="Q763" i="18" s="1"/>
  <c r="R765" i="18"/>
  <c r="R762" i="18" s="1"/>
  <c r="S765" i="18"/>
  <c r="S762" i="18" s="1"/>
  <c r="L766" i="18"/>
  <c r="O766" i="18" s="1"/>
  <c r="M766" i="18"/>
  <c r="N766" i="18"/>
  <c r="P766" i="18"/>
  <c r="Q766" i="18"/>
  <c r="T766" i="18" s="1"/>
  <c r="R766" i="18"/>
  <c r="U766" i="18" s="1"/>
  <c r="S766" i="18"/>
  <c r="O767" i="18"/>
  <c r="P767" i="18"/>
  <c r="T767" i="18"/>
  <c r="U767" i="18"/>
  <c r="O768" i="18"/>
  <c r="P768" i="18"/>
  <c r="T768" i="18"/>
  <c r="U768" i="18"/>
  <c r="I770" i="18"/>
  <c r="K770" i="18" s="1"/>
  <c r="I772" i="18"/>
  <c r="I758" i="18" s="1"/>
  <c r="K758" i="18" s="1"/>
  <c r="I774" i="18"/>
  <c r="K774" i="18" s="1"/>
  <c r="I775" i="18"/>
  <c r="I776" i="18"/>
  <c r="H777" i="18"/>
  <c r="I778" i="18"/>
  <c r="J778" i="18"/>
  <c r="I779" i="18"/>
  <c r="J779" i="18"/>
  <c r="I780" i="18"/>
  <c r="J780" i="18"/>
  <c r="I781" i="18"/>
  <c r="J781" i="18"/>
  <c r="I782" i="18"/>
  <c r="J782" i="18"/>
  <c r="I783" i="18"/>
  <c r="J783" i="18"/>
  <c r="I784" i="18"/>
  <c r="J784" i="18"/>
  <c r="I785" i="18"/>
  <c r="J785" i="18"/>
  <c r="A788" i="18"/>
  <c r="A789" i="18"/>
  <c r="L22" i="17"/>
  <c r="M22" i="17"/>
  <c r="M19" i="17" s="1"/>
  <c r="N22" i="17"/>
  <c r="Q22" i="17"/>
  <c r="R22" i="17"/>
  <c r="S22" i="17"/>
  <c r="T22" i="17"/>
  <c r="L25" i="17"/>
  <c r="M25" i="17"/>
  <c r="N25" i="17"/>
  <c r="Q25" i="17"/>
  <c r="T25" i="17" s="1"/>
  <c r="R25" i="17"/>
  <c r="S25" i="17"/>
  <c r="L45" i="17"/>
  <c r="O45" i="17" s="1"/>
  <c r="M45" i="17"/>
  <c r="N45" i="17"/>
  <c r="Q45" i="17"/>
  <c r="Q44" i="17" s="1"/>
  <c r="T44" i="17" s="1"/>
  <c r="R45" i="17"/>
  <c r="R44" i="17" s="1"/>
  <c r="U44" i="17" s="1"/>
  <c r="S45" i="17"/>
  <c r="S44" i="17" s="1"/>
  <c r="T45" i="17"/>
  <c r="U45" i="17"/>
  <c r="Q46" i="17"/>
  <c r="T46" i="17" s="1"/>
  <c r="R46" i="17"/>
  <c r="S46" i="17"/>
  <c r="U46" i="17"/>
  <c r="Q47" i="17"/>
  <c r="T47" i="17" s="1"/>
  <c r="R47" i="17"/>
  <c r="U47" i="17" s="1"/>
  <c r="S47" i="17"/>
  <c r="O48" i="17"/>
  <c r="P48" i="17"/>
  <c r="T48" i="17"/>
  <c r="U48" i="17"/>
  <c r="L49" i="17"/>
  <c r="M49" i="17"/>
  <c r="N49" i="17"/>
  <c r="N47" i="17" s="1"/>
  <c r="T49" i="17"/>
  <c r="U49" i="17"/>
  <c r="Q50" i="17"/>
  <c r="T50" i="17" s="1"/>
  <c r="R50" i="17"/>
  <c r="U50" i="17" s="1"/>
  <c r="S50" i="17"/>
  <c r="O51" i="17"/>
  <c r="P51" i="17"/>
  <c r="T51" i="17"/>
  <c r="U51" i="17"/>
  <c r="L52" i="17"/>
  <c r="M52" i="17"/>
  <c r="P52" i="17" s="1"/>
  <c r="N52" i="17"/>
  <c r="N50" i="17" s="1"/>
  <c r="T52" i="17"/>
  <c r="U52" i="17"/>
  <c r="L60" i="17"/>
  <c r="M60" i="17"/>
  <c r="N60" i="17"/>
  <c r="O60" i="17"/>
  <c r="Q60" i="17"/>
  <c r="Q59" i="17" s="1"/>
  <c r="T59" i="17" s="1"/>
  <c r="R60" i="17"/>
  <c r="R59" i="17" s="1"/>
  <c r="U59" i="17" s="1"/>
  <c r="S60" i="17"/>
  <c r="S59" i="17" s="1"/>
  <c r="T60" i="17"/>
  <c r="U60" i="17"/>
  <c r="Q61" i="17"/>
  <c r="T61" i="17" s="1"/>
  <c r="R61" i="17"/>
  <c r="U61" i="17" s="1"/>
  <c r="S61" i="17"/>
  <c r="Q62" i="17"/>
  <c r="T62" i="17" s="1"/>
  <c r="R62" i="17"/>
  <c r="U62" i="17" s="1"/>
  <c r="S62" i="17"/>
  <c r="O63" i="17"/>
  <c r="P63" i="17"/>
  <c r="T63" i="17"/>
  <c r="U63" i="17"/>
  <c r="L64" i="17"/>
  <c r="L62" i="17" s="1"/>
  <c r="M64" i="17"/>
  <c r="N64" i="17"/>
  <c r="T64" i="17"/>
  <c r="U64" i="17"/>
  <c r="Q65" i="17"/>
  <c r="T65" i="17" s="1"/>
  <c r="R65" i="17"/>
  <c r="S65" i="17"/>
  <c r="U65" i="17"/>
  <c r="O66" i="17"/>
  <c r="P66" i="17"/>
  <c r="T66" i="17"/>
  <c r="U66" i="17"/>
  <c r="L67" i="17"/>
  <c r="M67" i="17"/>
  <c r="N67" i="17"/>
  <c r="N65" i="17" s="1"/>
  <c r="T67" i="17"/>
  <c r="U67" i="17"/>
  <c r="L73" i="17"/>
  <c r="O73" i="17" s="1"/>
  <c r="M73" i="17"/>
  <c r="N73" i="17"/>
  <c r="Q73" i="17"/>
  <c r="T73" i="17" s="1"/>
  <c r="R73" i="17"/>
  <c r="S73" i="17"/>
  <c r="U73" i="17"/>
  <c r="O76" i="17"/>
  <c r="P76" i="17"/>
  <c r="T76" i="17"/>
  <c r="U76" i="17"/>
  <c r="L77" i="17"/>
  <c r="L75" i="17" s="1"/>
  <c r="O75" i="17" s="1"/>
  <c r="M77" i="17"/>
  <c r="P77" i="17" s="1"/>
  <c r="N77" i="17"/>
  <c r="Q77" i="17"/>
  <c r="R77" i="17"/>
  <c r="U77" i="17" s="1"/>
  <c r="S77" i="17"/>
  <c r="O79" i="17"/>
  <c r="P79" i="17"/>
  <c r="T79" i="17"/>
  <c r="U79" i="17"/>
  <c r="L80" i="17"/>
  <c r="L78" i="17" s="1"/>
  <c r="O78" i="17" s="1"/>
  <c r="M80" i="17"/>
  <c r="N80" i="17"/>
  <c r="N78" i="17" s="1"/>
  <c r="Q80" i="17"/>
  <c r="Q78" i="17" s="1"/>
  <c r="T78" i="17" s="1"/>
  <c r="R80" i="17"/>
  <c r="U80" i="17" s="1"/>
  <c r="S80" i="17"/>
  <c r="S78" i="17" s="1"/>
  <c r="J82" i="17"/>
  <c r="J70" i="17" s="1"/>
  <c r="J83" i="17"/>
  <c r="J71" i="17" s="1"/>
  <c r="I84" i="17"/>
  <c r="K84" i="17" s="1"/>
  <c r="I85" i="17"/>
  <c r="I86" i="17"/>
  <c r="K86" i="17" s="1"/>
  <c r="I87" i="17"/>
  <c r="K87" i="17" s="1"/>
  <c r="I88" i="17"/>
  <c r="K88" i="17" s="1"/>
  <c r="I89" i="17"/>
  <c r="K89" i="17" s="1"/>
  <c r="I90" i="17"/>
  <c r="K90" i="17" s="1"/>
  <c r="J92" i="17"/>
  <c r="J93" i="17"/>
  <c r="L95" i="17"/>
  <c r="M95" i="17"/>
  <c r="N95" i="17"/>
  <c r="Q95" i="17"/>
  <c r="R95" i="17"/>
  <c r="S95" i="17"/>
  <c r="O98" i="17"/>
  <c r="P98" i="17"/>
  <c r="T98" i="17"/>
  <c r="U98" i="17"/>
  <c r="L99" i="17"/>
  <c r="L97" i="17" s="1"/>
  <c r="O97" i="17" s="1"/>
  <c r="M99" i="17"/>
  <c r="N99" i="17"/>
  <c r="Q99" i="17"/>
  <c r="Q96" i="17" s="1"/>
  <c r="T96" i="17" s="1"/>
  <c r="R99" i="17"/>
  <c r="R96" i="17" s="1"/>
  <c r="U96" i="17" s="1"/>
  <c r="S99" i="17"/>
  <c r="Q100" i="17"/>
  <c r="T100" i="17" s="1"/>
  <c r="R100" i="17"/>
  <c r="U100" i="17" s="1"/>
  <c r="S100" i="17"/>
  <c r="O101" i="17"/>
  <c r="P101" i="17"/>
  <c r="T101" i="17"/>
  <c r="U101" i="17"/>
  <c r="L102" i="17"/>
  <c r="O102" i="17" s="1"/>
  <c r="M102" i="17"/>
  <c r="N102" i="17"/>
  <c r="N100" i="17" s="1"/>
  <c r="T102" i="17"/>
  <c r="U102" i="17"/>
  <c r="I108" i="17"/>
  <c r="I109" i="17"/>
  <c r="K109" i="17" s="1"/>
  <c r="I114" i="17"/>
  <c r="K114" i="17" s="1"/>
  <c r="J116" i="17"/>
  <c r="L118" i="17"/>
  <c r="M118" i="17"/>
  <c r="N118" i="17"/>
  <c r="Q118" i="17"/>
  <c r="R118" i="17"/>
  <c r="S118" i="17"/>
  <c r="O121" i="17"/>
  <c r="P121" i="17"/>
  <c r="T121" i="17"/>
  <c r="U121" i="17"/>
  <c r="L122" i="17"/>
  <c r="O122" i="17" s="1"/>
  <c r="M122" i="17"/>
  <c r="N122" i="17"/>
  <c r="Q122" i="17"/>
  <c r="R122" i="17"/>
  <c r="R120" i="17" s="1"/>
  <c r="S122" i="17"/>
  <c r="O124" i="17"/>
  <c r="P124" i="17"/>
  <c r="T124" i="17"/>
  <c r="U124" i="17"/>
  <c r="L125" i="17"/>
  <c r="L123" i="17" s="1"/>
  <c r="O123" i="17" s="1"/>
  <c r="M125" i="17"/>
  <c r="N125" i="17"/>
  <c r="N123" i="17" s="1"/>
  <c r="Q125" i="17"/>
  <c r="R125" i="17"/>
  <c r="S125" i="17"/>
  <c r="S123" i="17" s="1"/>
  <c r="I127" i="17"/>
  <c r="I128" i="17"/>
  <c r="K128" i="17" s="1"/>
  <c r="I129" i="17"/>
  <c r="K129" i="17" s="1"/>
  <c r="I130" i="17"/>
  <c r="K130" i="17" s="1"/>
  <c r="J136" i="17"/>
  <c r="J137" i="17"/>
  <c r="J138" i="17"/>
  <c r="L140" i="17"/>
  <c r="M140" i="17"/>
  <c r="N140" i="17"/>
  <c r="Q140" i="17"/>
  <c r="R140" i="17"/>
  <c r="S140" i="17"/>
  <c r="T140" i="17"/>
  <c r="O143" i="17"/>
  <c r="P143" i="17"/>
  <c r="T143" i="17"/>
  <c r="U143" i="17"/>
  <c r="L144" i="17"/>
  <c r="L142" i="17" s="1"/>
  <c r="M144" i="17"/>
  <c r="M142" i="17" s="1"/>
  <c r="N144" i="17"/>
  <c r="Q144" i="17"/>
  <c r="R144" i="17"/>
  <c r="S144" i="17"/>
  <c r="S142" i="17" s="1"/>
  <c r="O146" i="17"/>
  <c r="P146" i="17"/>
  <c r="T146" i="17"/>
  <c r="U146" i="17"/>
  <c r="L147" i="17"/>
  <c r="L145" i="17" s="1"/>
  <c r="O145" i="17" s="1"/>
  <c r="M147" i="17"/>
  <c r="M145" i="17" s="1"/>
  <c r="P145" i="17" s="1"/>
  <c r="N147" i="17"/>
  <c r="N145" i="17" s="1"/>
  <c r="Q147" i="17"/>
  <c r="Q145" i="17" s="1"/>
  <c r="T145" i="17" s="1"/>
  <c r="R147" i="17"/>
  <c r="R145" i="17" s="1"/>
  <c r="U145" i="17" s="1"/>
  <c r="S147" i="17"/>
  <c r="S145" i="17" s="1"/>
  <c r="I150" i="17"/>
  <c r="K150" i="17" s="1"/>
  <c r="I151" i="17"/>
  <c r="K151" i="17" s="1"/>
  <c r="I152" i="17"/>
  <c r="I137" i="17" s="1"/>
  <c r="K137" i="17" s="1"/>
  <c r="I153" i="17"/>
  <c r="I154" i="17"/>
  <c r="I136" i="17" s="1"/>
  <c r="K136" i="17" s="1"/>
  <c r="J156" i="17"/>
  <c r="L158" i="17"/>
  <c r="M158" i="17"/>
  <c r="N158" i="17"/>
  <c r="Q158" i="17"/>
  <c r="T158" i="17" s="1"/>
  <c r="R158" i="17"/>
  <c r="S158" i="17"/>
  <c r="O161" i="17"/>
  <c r="P161" i="17"/>
  <c r="T161" i="17"/>
  <c r="U161" i="17"/>
  <c r="L162" i="17"/>
  <c r="L160" i="17" s="1"/>
  <c r="O160" i="17" s="1"/>
  <c r="M162" i="17"/>
  <c r="N162" i="17"/>
  <c r="N160" i="17" s="1"/>
  <c r="Q162" i="17"/>
  <c r="Q159" i="17" s="1"/>
  <c r="T159" i="17" s="1"/>
  <c r="R162" i="17"/>
  <c r="S162" i="17"/>
  <c r="S160" i="17" s="1"/>
  <c r="Q163" i="17"/>
  <c r="T163" i="17" s="1"/>
  <c r="R163" i="17"/>
  <c r="S163" i="17"/>
  <c r="U163" i="17"/>
  <c r="O164" i="17"/>
  <c r="P164" i="17"/>
  <c r="T164" i="17"/>
  <c r="U164" i="17"/>
  <c r="L165" i="17"/>
  <c r="L163" i="17" s="1"/>
  <c r="O163" i="17" s="1"/>
  <c r="M165" i="17"/>
  <c r="P165" i="17" s="1"/>
  <c r="N165" i="17"/>
  <c r="N163" i="17" s="1"/>
  <c r="T165" i="17"/>
  <c r="U165" i="17"/>
  <c r="I167" i="17"/>
  <c r="K167" i="17" s="1"/>
  <c r="I168" i="17"/>
  <c r="K168" i="17" s="1"/>
  <c r="I169" i="17"/>
  <c r="K169" i="17" s="1"/>
  <c r="J172" i="17"/>
  <c r="L174" i="17"/>
  <c r="M174" i="17"/>
  <c r="P174" i="17" s="1"/>
  <c r="N174" i="17"/>
  <c r="Q174" i="17"/>
  <c r="R174" i="17"/>
  <c r="U174" i="17" s="1"/>
  <c r="S174" i="17"/>
  <c r="T174" i="17"/>
  <c r="O177" i="17"/>
  <c r="P177" i="17"/>
  <c r="T177" i="17"/>
  <c r="U177" i="17"/>
  <c r="L178" i="17"/>
  <c r="M178" i="17"/>
  <c r="M176" i="17" s="1"/>
  <c r="N178" i="17"/>
  <c r="N176" i="17" s="1"/>
  <c r="Q178" i="17"/>
  <c r="R178" i="17"/>
  <c r="R175" i="17" s="1"/>
  <c r="U175" i="17" s="1"/>
  <c r="S178" i="17"/>
  <c r="Q179" i="17"/>
  <c r="T179" i="17" s="1"/>
  <c r="R179" i="17"/>
  <c r="U179" i="17" s="1"/>
  <c r="S179" i="17"/>
  <c r="O180" i="17"/>
  <c r="P180" i="17"/>
  <c r="T180" i="17"/>
  <c r="U180" i="17"/>
  <c r="L181" i="17"/>
  <c r="L179" i="17" s="1"/>
  <c r="O179" i="17" s="1"/>
  <c r="M181" i="17"/>
  <c r="M179" i="17" s="1"/>
  <c r="P179" i="17" s="1"/>
  <c r="N181" i="17"/>
  <c r="N179" i="17" s="1"/>
  <c r="T181" i="17"/>
  <c r="U181" i="17"/>
  <c r="I183" i="17"/>
  <c r="I172" i="17" s="1"/>
  <c r="K172" i="17" s="1"/>
  <c r="K184" i="17"/>
  <c r="L187" i="17"/>
  <c r="M187" i="17"/>
  <c r="N187" i="17"/>
  <c r="Q187" i="17"/>
  <c r="R187" i="17"/>
  <c r="S187" i="17"/>
  <c r="O190" i="17"/>
  <c r="P190" i="17"/>
  <c r="T190" i="17"/>
  <c r="U190" i="17"/>
  <c r="L191" i="17"/>
  <c r="L189" i="17" s="1"/>
  <c r="M191" i="17"/>
  <c r="N191" i="17"/>
  <c r="Q191" i="17"/>
  <c r="Q189" i="17" s="1"/>
  <c r="R191" i="17"/>
  <c r="R189" i="17" s="1"/>
  <c r="S191" i="17"/>
  <c r="O193" i="17"/>
  <c r="P193" i="17"/>
  <c r="T193" i="17"/>
  <c r="U193" i="17"/>
  <c r="L194" i="17"/>
  <c r="L192" i="17" s="1"/>
  <c r="O192" i="17" s="1"/>
  <c r="M194" i="17"/>
  <c r="P194" i="17" s="1"/>
  <c r="N194" i="17"/>
  <c r="N192" i="17" s="1"/>
  <c r="Q194" i="17"/>
  <c r="Q192" i="17" s="1"/>
  <c r="T192" i="17" s="1"/>
  <c r="R194" i="17"/>
  <c r="R192" i="17" s="1"/>
  <c r="U192" i="17" s="1"/>
  <c r="S194" i="17"/>
  <c r="S192" i="17" s="1"/>
  <c r="J195" i="17"/>
  <c r="L196" i="17"/>
  <c r="O196" i="17" s="1"/>
  <c r="P196" i="17"/>
  <c r="I198" i="17"/>
  <c r="J199" i="17"/>
  <c r="J202" i="17"/>
  <c r="N203" i="17"/>
  <c r="P203" i="17"/>
  <c r="S203" i="17"/>
  <c r="U203" i="17"/>
  <c r="L204" i="17"/>
  <c r="L205" i="17"/>
  <c r="L206" i="17"/>
  <c r="Q206" i="17"/>
  <c r="Q203" i="17" s="1"/>
  <c r="T203" i="17" s="1"/>
  <c r="L207" i="17"/>
  <c r="I209" i="17"/>
  <c r="K209" i="17" s="1"/>
  <c r="I211" i="17"/>
  <c r="K211" i="17" s="1"/>
  <c r="I212" i="17"/>
  <c r="K212" i="17" s="1"/>
  <c r="J213" i="17"/>
  <c r="N214" i="17"/>
  <c r="P214" i="17"/>
  <c r="S214" i="17"/>
  <c r="U214" i="17"/>
  <c r="L215" i="17"/>
  <c r="L216" i="17"/>
  <c r="L217" i="17"/>
  <c r="Q217" i="17"/>
  <c r="Q214" i="17" s="1"/>
  <c r="T214" i="17" s="1"/>
  <c r="I219" i="17"/>
  <c r="K219" i="17" s="1"/>
  <c r="I220" i="17"/>
  <c r="I213" i="17" s="1"/>
  <c r="K213" i="17" s="1"/>
  <c r="J221" i="17"/>
  <c r="N222" i="17"/>
  <c r="P222" i="17"/>
  <c r="L223" i="17"/>
  <c r="L224" i="17"/>
  <c r="L225" i="17"/>
  <c r="I228" i="17"/>
  <c r="K228" i="17" s="1"/>
  <c r="I229" i="17"/>
  <c r="I221" i="17" s="1"/>
  <c r="K221" i="17" s="1"/>
  <c r="I230" i="17"/>
  <c r="N233" i="17"/>
  <c r="N234" i="17"/>
  <c r="N235" i="17"/>
  <c r="N236" i="17"/>
  <c r="J238" i="17"/>
  <c r="I240" i="17"/>
  <c r="K240" i="17" s="1"/>
  <c r="J240" i="17"/>
  <c r="I241" i="17"/>
  <c r="J241" i="17"/>
  <c r="K241" i="17"/>
  <c r="J242" i="17"/>
  <c r="J231" i="17" s="1"/>
  <c r="J185" i="17" s="1"/>
  <c r="N243" i="17"/>
  <c r="N232" i="17" s="1"/>
  <c r="P243" i="17"/>
  <c r="L244" i="17"/>
  <c r="L245" i="17"/>
  <c r="L246" i="17"/>
  <c r="L247" i="17"/>
  <c r="I249" i="17"/>
  <c r="K251" i="17"/>
  <c r="K252" i="17"/>
  <c r="J253" i="17"/>
  <c r="N254" i="17"/>
  <c r="P254" i="17"/>
  <c r="L255" i="17"/>
  <c r="L256" i="17"/>
  <c r="L257" i="17"/>
  <c r="L258" i="17"/>
  <c r="I260" i="17"/>
  <c r="I253" i="17" s="1"/>
  <c r="K253" i="17" s="1"/>
  <c r="K262" i="17"/>
  <c r="K263" i="17"/>
  <c r="J265" i="17"/>
  <c r="L267" i="17"/>
  <c r="O267" i="17" s="1"/>
  <c r="M267" i="17"/>
  <c r="P267" i="17" s="1"/>
  <c r="N267" i="17"/>
  <c r="Q267" i="17"/>
  <c r="R267" i="17"/>
  <c r="U267" i="17" s="1"/>
  <c r="S267" i="17"/>
  <c r="O270" i="17"/>
  <c r="P270" i="17"/>
  <c r="T270" i="17"/>
  <c r="U270" i="17"/>
  <c r="L271" i="17"/>
  <c r="M271" i="17"/>
  <c r="N271" i="17"/>
  <c r="Q271" i="17"/>
  <c r="Q269" i="17" s="1"/>
  <c r="R271" i="17"/>
  <c r="R268" i="17" s="1"/>
  <c r="S271" i="17"/>
  <c r="S268" i="17" s="1"/>
  <c r="S266" i="17" s="1"/>
  <c r="Q272" i="17"/>
  <c r="T272" i="17" s="1"/>
  <c r="R272" i="17"/>
  <c r="S272" i="17"/>
  <c r="U272" i="17"/>
  <c r="O273" i="17"/>
  <c r="P273" i="17"/>
  <c r="T273" i="17"/>
  <c r="U273" i="17"/>
  <c r="L274" i="17"/>
  <c r="O274" i="17" s="1"/>
  <c r="M274" i="17"/>
  <c r="M272" i="17" s="1"/>
  <c r="P272" i="17" s="1"/>
  <c r="N274" i="17"/>
  <c r="N272" i="17" s="1"/>
  <c r="T274" i="17"/>
  <c r="U274" i="17"/>
  <c r="I276" i="17"/>
  <c r="J281" i="17"/>
  <c r="L283" i="17"/>
  <c r="O283" i="17" s="1"/>
  <c r="M283" i="17"/>
  <c r="P283" i="17" s="1"/>
  <c r="N283" i="17"/>
  <c r="Q283" i="17"/>
  <c r="R283" i="17"/>
  <c r="S283" i="17"/>
  <c r="S282" i="17" s="1"/>
  <c r="Q284" i="17"/>
  <c r="T284" i="17" s="1"/>
  <c r="R284" i="17"/>
  <c r="U284" i="17" s="1"/>
  <c r="S284" i="17"/>
  <c r="Q285" i="17"/>
  <c r="T285" i="17" s="1"/>
  <c r="R285" i="17"/>
  <c r="U285" i="17" s="1"/>
  <c r="S285" i="17"/>
  <c r="O286" i="17"/>
  <c r="P286" i="17"/>
  <c r="T286" i="17"/>
  <c r="U286" i="17"/>
  <c r="L287" i="17"/>
  <c r="L285" i="17" s="1"/>
  <c r="M287" i="17"/>
  <c r="M285" i="17" s="1"/>
  <c r="N287" i="17"/>
  <c r="T287" i="17"/>
  <c r="U287" i="17"/>
  <c r="Q288" i="17"/>
  <c r="R288" i="17"/>
  <c r="U288" i="17" s="1"/>
  <c r="S288" i="17"/>
  <c r="T288" i="17"/>
  <c r="O289" i="17"/>
  <c r="P289" i="17"/>
  <c r="T289" i="17"/>
  <c r="U289" i="17"/>
  <c r="L290" i="17"/>
  <c r="O290" i="17" s="1"/>
  <c r="M290" i="17"/>
  <c r="P290" i="17" s="1"/>
  <c r="N290" i="17"/>
  <c r="N288" i="17" s="1"/>
  <c r="T290" i="17"/>
  <c r="U290" i="17"/>
  <c r="I292" i="17"/>
  <c r="K292" i="17" s="1"/>
  <c r="I293" i="17"/>
  <c r="I280" i="17" s="1"/>
  <c r="J293" i="17"/>
  <c r="I295" i="17"/>
  <c r="K295" i="17" s="1"/>
  <c r="I296" i="17"/>
  <c r="K296" i="17" s="1"/>
  <c r="J302" i="17"/>
  <c r="L304" i="17"/>
  <c r="M304" i="17"/>
  <c r="P304" i="17" s="1"/>
  <c r="N304" i="17"/>
  <c r="O304" i="17"/>
  <c r="Q304" i="17"/>
  <c r="R304" i="17"/>
  <c r="U304" i="17" s="1"/>
  <c r="S304" i="17"/>
  <c r="O307" i="17"/>
  <c r="P307" i="17"/>
  <c r="T307" i="17"/>
  <c r="U307" i="17"/>
  <c r="L308" i="17"/>
  <c r="L306" i="17" s="1"/>
  <c r="M308" i="17"/>
  <c r="N308" i="17"/>
  <c r="Q308" i="17"/>
  <c r="R308" i="17"/>
  <c r="R306" i="17" s="1"/>
  <c r="S308" i="17"/>
  <c r="Q309" i="17"/>
  <c r="T309" i="17" s="1"/>
  <c r="R309" i="17"/>
  <c r="S309" i="17"/>
  <c r="U309" i="17"/>
  <c r="O310" i="17"/>
  <c r="P310" i="17"/>
  <c r="T310" i="17"/>
  <c r="U310" i="17"/>
  <c r="L311" i="17"/>
  <c r="L309" i="17" s="1"/>
  <c r="O309" i="17" s="1"/>
  <c r="M311" i="17"/>
  <c r="P311" i="17" s="1"/>
  <c r="N311" i="17"/>
  <c r="N309" i="17" s="1"/>
  <c r="T311" i="17"/>
  <c r="U311" i="17"/>
  <c r="I314" i="17"/>
  <c r="I302" i="17" s="1"/>
  <c r="K302" i="17" s="1"/>
  <c r="J319" i="17"/>
  <c r="L321" i="17"/>
  <c r="O321" i="17" s="1"/>
  <c r="M321" i="17"/>
  <c r="N321" i="17"/>
  <c r="Q321" i="17"/>
  <c r="T321" i="17" s="1"/>
  <c r="R321" i="17"/>
  <c r="S321" i="17"/>
  <c r="S320" i="17" s="1"/>
  <c r="U321" i="17"/>
  <c r="Q322" i="17"/>
  <c r="T322" i="17" s="1"/>
  <c r="R322" i="17"/>
  <c r="S322" i="17"/>
  <c r="Q323" i="17"/>
  <c r="R323" i="17"/>
  <c r="U323" i="17" s="1"/>
  <c r="S323" i="17"/>
  <c r="T323" i="17"/>
  <c r="O324" i="17"/>
  <c r="P324" i="17"/>
  <c r="T324" i="17"/>
  <c r="U324" i="17"/>
  <c r="L325" i="17"/>
  <c r="L323" i="17" s="1"/>
  <c r="O323" i="17" s="1"/>
  <c r="M325" i="17"/>
  <c r="N325" i="17"/>
  <c r="N323" i="17" s="1"/>
  <c r="T325" i="17"/>
  <c r="U325" i="17"/>
  <c r="Q326" i="17"/>
  <c r="R326" i="17"/>
  <c r="U326" i="17" s="1"/>
  <c r="S326" i="17"/>
  <c r="T326" i="17"/>
  <c r="O327" i="17"/>
  <c r="P327" i="17"/>
  <c r="T327" i="17"/>
  <c r="U327" i="17"/>
  <c r="L328" i="17"/>
  <c r="M328" i="17"/>
  <c r="N328" i="17"/>
  <c r="N326" i="17" s="1"/>
  <c r="T328" i="17"/>
  <c r="U328" i="17"/>
  <c r="I330" i="17"/>
  <c r="I319" i="17" s="1"/>
  <c r="K319" i="17" s="1"/>
  <c r="L334" i="17"/>
  <c r="M334" i="17"/>
  <c r="N334" i="17"/>
  <c r="P334" i="17"/>
  <c r="Q334" i="17"/>
  <c r="R334" i="17"/>
  <c r="R333" i="17" s="1"/>
  <c r="U333" i="17" s="1"/>
  <c r="S334" i="17"/>
  <c r="Q335" i="17"/>
  <c r="T335" i="17" s="1"/>
  <c r="R335" i="17"/>
  <c r="U335" i="17" s="1"/>
  <c r="S335" i="17"/>
  <c r="Q336" i="17"/>
  <c r="T336" i="17" s="1"/>
  <c r="R336" i="17"/>
  <c r="U336" i="17" s="1"/>
  <c r="S336" i="17"/>
  <c r="O337" i="17"/>
  <c r="P337" i="17"/>
  <c r="T337" i="17"/>
  <c r="U337" i="17"/>
  <c r="L338" i="17"/>
  <c r="M338" i="17"/>
  <c r="N338" i="17"/>
  <c r="T338" i="17"/>
  <c r="U338" i="17"/>
  <c r="Q339" i="17"/>
  <c r="T339" i="17" s="1"/>
  <c r="R339" i="17"/>
  <c r="U339" i="17" s="1"/>
  <c r="S339" i="17"/>
  <c r="O340" i="17"/>
  <c r="P340" i="17"/>
  <c r="T340" i="17"/>
  <c r="U340" i="17"/>
  <c r="L341" i="17"/>
  <c r="L339" i="17" s="1"/>
  <c r="O339" i="17" s="1"/>
  <c r="M341" i="17"/>
  <c r="M339" i="17" s="1"/>
  <c r="P339" i="17" s="1"/>
  <c r="N341" i="17"/>
  <c r="N339" i="17" s="1"/>
  <c r="T341" i="17"/>
  <c r="U341" i="17"/>
  <c r="I344" i="17"/>
  <c r="J344" i="17"/>
  <c r="I346" i="17"/>
  <c r="J346" i="17"/>
  <c r="J347" i="17"/>
  <c r="J348" i="17"/>
  <c r="J349" i="17"/>
  <c r="D350" i="17"/>
  <c r="J352" i="17"/>
  <c r="J353" i="17"/>
  <c r="D354" i="17"/>
  <c r="L357" i="17"/>
  <c r="O357" i="17" s="1"/>
  <c r="M357" i="17"/>
  <c r="P357" i="17" s="1"/>
  <c r="N357" i="17"/>
  <c r="Q357" i="17"/>
  <c r="R357" i="17"/>
  <c r="S357" i="17"/>
  <c r="S356" i="17" s="1"/>
  <c r="T357" i="17"/>
  <c r="Q358" i="17"/>
  <c r="T358" i="17" s="1"/>
  <c r="R358" i="17"/>
  <c r="U358" i="17" s="1"/>
  <c r="S358" i="17"/>
  <c r="Q359" i="17"/>
  <c r="R359" i="17"/>
  <c r="U359" i="17" s="1"/>
  <c r="S359" i="17"/>
  <c r="T359" i="17"/>
  <c r="O360" i="17"/>
  <c r="P360" i="17"/>
  <c r="T360" i="17"/>
  <c r="U360" i="17"/>
  <c r="L361" i="17"/>
  <c r="L359" i="17" s="1"/>
  <c r="M361" i="17"/>
  <c r="N361" i="17"/>
  <c r="T361" i="17"/>
  <c r="U361" i="17"/>
  <c r="Q362" i="17"/>
  <c r="T362" i="17" s="1"/>
  <c r="R362" i="17"/>
  <c r="S362" i="17"/>
  <c r="U362" i="17"/>
  <c r="O363" i="17"/>
  <c r="P363" i="17"/>
  <c r="T363" i="17"/>
  <c r="U363" i="17"/>
  <c r="L364" i="17"/>
  <c r="L362" i="17" s="1"/>
  <c r="O362" i="17" s="1"/>
  <c r="M364" i="17"/>
  <c r="N364" i="17"/>
  <c r="N362" i="17" s="1"/>
  <c r="T364" i="17"/>
  <c r="U364" i="17"/>
  <c r="J367" i="17"/>
  <c r="K367" i="17"/>
  <c r="I368" i="17"/>
  <c r="J368" i="17"/>
  <c r="I369" i="17"/>
  <c r="J369" i="17"/>
  <c r="J370" i="17"/>
  <c r="K370" i="17"/>
  <c r="I371" i="17"/>
  <c r="I365" i="17" s="1"/>
  <c r="J371" i="17"/>
  <c r="J365" i="17" s="1"/>
  <c r="J372" i="17"/>
  <c r="K372" i="17"/>
  <c r="D373" i="17"/>
  <c r="L376" i="17"/>
  <c r="M376" i="17"/>
  <c r="P376" i="17" s="1"/>
  <c r="N376" i="17"/>
  <c r="Q376" i="17"/>
  <c r="R376" i="17"/>
  <c r="S376" i="17"/>
  <c r="O379" i="17"/>
  <c r="P379" i="17"/>
  <c r="T379" i="17"/>
  <c r="U379" i="17"/>
  <c r="L380" i="17"/>
  <c r="M380" i="17"/>
  <c r="N380" i="17"/>
  <c r="N378" i="17" s="1"/>
  <c r="Q380" i="17"/>
  <c r="R380" i="17"/>
  <c r="S380" i="17"/>
  <c r="S377" i="17" s="1"/>
  <c r="Q381" i="17"/>
  <c r="R381" i="17"/>
  <c r="U381" i="17" s="1"/>
  <c r="S381" i="17"/>
  <c r="T381" i="17"/>
  <c r="O382" i="17"/>
  <c r="P382" i="17"/>
  <c r="T382" i="17"/>
  <c r="U382" i="17"/>
  <c r="L383" i="17"/>
  <c r="M383" i="17"/>
  <c r="P383" i="17" s="1"/>
  <c r="N383" i="17"/>
  <c r="N381" i="17" s="1"/>
  <c r="T383" i="17"/>
  <c r="U383" i="17"/>
  <c r="J385" i="17"/>
  <c r="K385" i="17"/>
  <c r="I386" i="17"/>
  <c r="J386" i="17"/>
  <c r="J387" i="17"/>
  <c r="K387" i="17"/>
  <c r="I388" i="17"/>
  <c r="K388" i="17" s="1"/>
  <c r="J388" i="17"/>
  <c r="I391" i="17"/>
  <c r="K391" i="17" s="1"/>
  <c r="J391" i="17"/>
  <c r="L393" i="17"/>
  <c r="M393" i="17"/>
  <c r="N393" i="17"/>
  <c r="Q393" i="17"/>
  <c r="R393" i="17"/>
  <c r="S393" i="17"/>
  <c r="T393" i="17"/>
  <c r="L394" i="17"/>
  <c r="O394" i="17" s="1"/>
  <c r="M394" i="17"/>
  <c r="P394" i="17" s="1"/>
  <c r="N394" i="17"/>
  <c r="L395" i="17"/>
  <c r="O395" i="17" s="1"/>
  <c r="M395" i="17"/>
  <c r="N395" i="17"/>
  <c r="P395" i="17"/>
  <c r="O396" i="17"/>
  <c r="P396" i="17"/>
  <c r="T396" i="17"/>
  <c r="U396" i="17"/>
  <c r="O397" i="17"/>
  <c r="P397" i="17"/>
  <c r="Q397" i="17"/>
  <c r="R397" i="17"/>
  <c r="R395" i="17" s="1"/>
  <c r="U395" i="17" s="1"/>
  <c r="S397" i="17"/>
  <c r="S395" i="17" s="1"/>
  <c r="L398" i="17"/>
  <c r="O398" i="17" s="1"/>
  <c r="M398" i="17"/>
  <c r="P398" i="17" s="1"/>
  <c r="N398" i="17"/>
  <c r="Q398" i="17"/>
  <c r="R398" i="17"/>
  <c r="U398" i="17" s="1"/>
  <c r="S398" i="17"/>
  <c r="T398" i="17"/>
  <c r="O399" i="17"/>
  <c r="P399" i="17"/>
  <c r="T399" i="17"/>
  <c r="U399" i="17"/>
  <c r="O400" i="17"/>
  <c r="P400" i="17"/>
  <c r="T400" i="17"/>
  <c r="U400" i="17"/>
  <c r="J412" i="17"/>
  <c r="L414" i="17"/>
  <c r="M414" i="17"/>
  <c r="N414" i="17"/>
  <c r="Q414" i="17"/>
  <c r="R414" i="17"/>
  <c r="U414" i="17" s="1"/>
  <c r="S414" i="17"/>
  <c r="T414" i="17"/>
  <c r="O417" i="17"/>
  <c r="P417" i="17"/>
  <c r="T417" i="17"/>
  <c r="U417" i="17"/>
  <c r="L418" i="17"/>
  <c r="L416" i="17" s="1"/>
  <c r="M418" i="17"/>
  <c r="M416" i="17" s="1"/>
  <c r="P416" i="17" s="1"/>
  <c r="N418" i="17"/>
  <c r="Q418" i="17"/>
  <c r="Q415" i="17" s="1"/>
  <c r="Q413" i="17" s="1"/>
  <c r="R418" i="17"/>
  <c r="S418" i="17"/>
  <c r="S415" i="17" s="1"/>
  <c r="Q419" i="17"/>
  <c r="T419" i="17" s="1"/>
  <c r="R419" i="17"/>
  <c r="U419" i="17" s="1"/>
  <c r="S419" i="17"/>
  <c r="O420" i="17"/>
  <c r="P420" i="17"/>
  <c r="T420" i="17"/>
  <c r="U420" i="17"/>
  <c r="L421" i="17"/>
  <c r="L419" i="17" s="1"/>
  <c r="O419" i="17" s="1"/>
  <c r="M421" i="17"/>
  <c r="M419" i="17" s="1"/>
  <c r="P419" i="17" s="1"/>
  <c r="N421" i="17"/>
  <c r="N419" i="17" s="1"/>
  <c r="T421" i="17"/>
  <c r="U421" i="17"/>
  <c r="J423" i="17"/>
  <c r="I424" i="17"/>
  <c r="K424" i="17" s="1"/>
  <c r="J424" i="17"/>
  <c r="I425" i="17"/>
  <c r="K425" i="17" s="1"/>
  <c r="J425" i="17"/>
  <c r="I432" i="17"/>
  <c r="K432" i="17" s="1"/>
  <c r="J432" i="17"/>
  <c r="I433" i="17"/>
  <c r="K433" i="17" s="1"/>
  <c r="J433" i="17"/>
  <c r="I440" i="17"/>
  <c r="I441" i="17"/>
  <c r="K441" i="17" s="1"/>
  <c r="J446" i="17"/>
  <c r="J440" i="17" s="1"/>
  <c r="J447" i="17"/>
  <c r="J441" i="17" s="1"/>
  <c r="I457" i="17"/>
  <c r="I456" i="17" s="1"/>
  <c r="I458" i="17"/>
  <c r="K458" i="17" s="1"/>
  <c r="J459" i="17"/>
  <c r="J460" i="17"/>
  <c r="J458" i="17" s="1"/>
  <c r="J467" i="17"/>
  <c r="J457" i="17" s="1"/>
  <c r="J468" i="17"/>
  <c r="J475" i="17"/>
  <c r="K475" i="17"/>
  <c r="J476" i="17"/>
  <c r="K476" i="17"/>
  <c r="J477" i="17"/>
  <c r="K477" i="17"/>
  <c r="J482" i="17"/>
  <c r="J483" i="17"/>
  <c r="I484" i="17"/>
  <c r="J484" i="17"/>
  <c r="K484" i="17"/>
  <c r="I485" i="17"/>
  <c r="J485" i="17"/>
  <c r="K485" i="17"/>
  <c r="L494" i="17"/>
  <c r="M494" i="17"/>
  <c r="N494" i="17"/>
  <c r="P494" i="17"/>
  <c r="Q494" i="17"/>
  <c r="T494" i="17" s="1"/>
  <c r="R494" i="17"/>
  <c r="S494" i="17"/>
  <c r="O497" i="17"/>
  <c r="P497" i="17"/>
  <c r="T497" i="17"/>
  <c r="U497" i="17"/>
  <c r="L498" i="17"/>
  <c r="L496" i="17" s="1"/>
  <c r="O496" i="17" s="1"/>
  <c r="M498" i="17"/>
  <c r="N498" i="17"/>
  <c r="Q498" i="17"/>
  <c r="Q495" i="17" s="1"/>
  <c r="Q493" i="17" s="1"/>
  <c r="T493" i="17" s="1"/>
  <c r="R498" i="17"/>
  <c r="R496" i="17" s="1"/>
  <c r="U496" i="17" s="1"/>
  <c r="S498" i="17"/>
  <c r="S496" i="17" s="1"/>
  <c r="Q499" i="17"/>
  <c r="T499" i="17" s="1"/>
  <c r="R499" i="17"/>
  <c r="U499" i="17" s="1"/>
  <c r="S499" i="17"/>
  <c r="O500" i="17"/>
  <c r="P500" i="17"/>
  <c r="T500" i="17"/>
  <c r="U500" i="17"/>
  <c r="L501" i="17"/>
  <c r="L499" i="17" s="1"/>
  <c r="O499" i="17" s="1"/>
  <c r="M501" i="17"/>
  <c r="N501" i="17"/>
  <c r="N499" i="17" s="1"/>
  <c r="T501" i="17"/>
  <c r="U501" i="17"/>
  <c r="I503" i="17"/>
  <c r="I492" i="17" s="1"/>
  <c r="K492" i="17" s="1"/>
  <c r="I504" i="17"/>
  <c r="K504" i="17" s="1"/>
  <c r="I505" i="17"/>
  <c r="I506" i="17"/>
  <c r="K506" i="17" s="1"/>
  <c r="I507" i="17"/>
  <c r="K507" i="17" s="1"/>
  <c r="K508" i="17"/>
  <c r="I509" i="17"/>
  <c r="K509" i="17" s="1"/>
  <c r="I512" i="17"/>
  <c r="K512" i="17" s="1"/>
  <c r="J512" i="17"/>
  <c r="L514" i="17"/>
  <c r="M514" i="17"/>
  <c r="P514" i="17" s="1"/>
  <c r="N514" i="17"/>
  <c r="O514" i="17"/>
  <c r="Q514" i="17"/>
  <c r="R514" i="17"/>
  <c r="U514" i="17" s="1"/>
  <c r="S514" i="17"/>
  <c r="Q515" i="17"/>
  <c r="T515" i="17" s="1"/>
  <c r="R515" i="17"/>
  <c r="U515" i="17" s="1"/>
  <c r="S515" i="17"/>
  <c r="S513" i="17" s="1"/>
  <c r="Q516" i="17"/>
  <c r="T516" i="17" s="1"/>
  <c r="R516" i="17"/>
  <c r="S516" i="17"/>
  <c r="U516" i="17"/>
  <c r="O517" i="17"/>
  <c r="P517" i="17"/>
  <c r="T517" i="17"/>
  <c r="U517" i="17"/>
  <c r="L518" i="17"/>
  <c r="O518" i="17" s="1"/>
  <c r="M518" i="17"/>
  <c r="N518" i="17"/>
  <c r="N516" i="17" s="1"/>
  <c r="T518" i="17"/>
  <c r="U518" i="17"/>
  <c r="Q519" i="17"/>
  <c r="T519" i="17" s="1"/>
  <c r="R519" i="17"/>
  <c r="U519" i="17" s="1"/>
  <c r="S519" i="17"/>
  <c r="O520" i="17"/>
  <c r="P520" i="17"/>
  <c r="T520" i="17"/>
  <c r="U520" i="17"/>
  <c r="L521" i="17"/>
  <c r="M521" i="17"/>
  <c r="M519" i="17" s="1"/>
  <c r="P519" i="17" s="1"/>
  <c r="N521" i="17"/>
  <c r="N519" i="17" s="1"/>
  <c r="T521" i="17"/>
  <c r="U521" i="17"/>
  <c r="K523" i="17"/>
  <c r="K524" i="17"/>
  <c r="I533" i="17"/>
  <c r="K533" i="17" s="1"/>
  <c r="J533" i="17"/>
  <c r="L535" i="17"/>
  <c r="M535" i="17"/>
  <c r="P535" i="17" s="1"/>
  <c r="N535" i="17"/>
  <c r="Q535" i="17"/>
  <c r="R535" i="17"/>
  <c r="S535" i="17"/>
  <c r="U535" i="17"/>
  <c r="Q536" i="17"/>
  <c r="T536" i="17" s="1"/>
  <c r="R536" i="17"/>
  <c r="U536" i="17" s="1"/>
  <c r="S536" i="17"/>
  <c r="S534" i="17" s="1"/>
  <c r="Q537" i="17"/>
  <c r="T537" i="17" s="1"/>
  <c r="R537" i="17"/>
  <c r="S537" i="17"/>
  <c r="U537" i="17"/>
  <c r="O538" i="17"/>
  <c r="P538" i="17"/>
  <c r="T538" i="17"/>
  <c r="U538" i="17"/>
  <c r="L539" i="17"/>
  <c r="M539" i="17"/>
  <c r="P539" i="17" s="1"/>
  <c r="N539" i="17"/>
  <c r="T539" i="17"/>
  <c r="U539" i="17"/>
  <c r="Q540" i="17"/>
  <c r="T540" i="17" s="1"/>
  <c r="R540" i="17"/>
  <c r="U540" i="17" s="1"/>
  <c r="S540" i="17"/>
  <c r="O541" i="17"/>
  <c r="P541" i="17"/>
  <c r="T541" i="17"/>
  <c r="U541" i="17"/>
  <c r="L542" i="17"/>
  <c r="L540" i="17" s="1"/>
  <c r="O540" i="17" s="1"/>
  <c r="M542" i="17"/>
  <c r="N542" i="17"/>
  <c r="N540" i="17" s="1"/>
  <c r="T542" i="17"/>
  <c r="U542" i="17"/>
  <c r="I554" i="17"/>
  <c r="K554" i="17" s="1"/>
  <c r="J554" i="17"/>
  <c r="L556" i="17"/>
  <c r="O556" i="17" s="1"/>
  <c r="M556" i="17"/>
  <c r="P556" i="17" s="1"/>
  <c r="N556" i="17"/>
  <c r="Q556" i="17"/>
  <c r="R556" i="17"/>
  <c r="R555" i="17" s="1"/>
  <c r="U555" i="17" s="1"/>
  <c r="S556" i="17"/>
  <c r="S555" i="17" s="1"/>
  <c r="T556" i="17"/>
  <c r="U556" i="17"/>
  <c r="Q557" i="17"/>
  <c r="Q555" i="17" s="1"/>
  <c r="T555" i="17" s="1"/>
  <c r="R557" i="17"/>
  <c r="S557" i="17"/>
  <c r="U557" i="17"/>
  <c r="Q558" i="17"/>
  <c r="T558" i="17" s="1"/>
  <c r="R558" i="17"/>
  <c r="U558" i="17" s="1"/>
  <c r="S558" i="17"/>
  <c r="O559" i="17"/>
  <c r="P559" i="17"/>
  <c r="T559" i="17"/>
  <c r="U559" i="17"/>
  <c r="L560" i="17"/>
  <c r="O560" i="17" s="1"/>
  <c r="M560" i="17"/>
  <c r="M558" i="17" s="1"/>
  <c r="P558" i="17" s="1"/>
  <c r="N560" i="17"/>
  <c r="N558" i="17" s="1"/>
  <c r="T560" i="17"/>
  <c r="U560" i="17"/>
  <c r="Q561" i="17"/>
  <c r="T561" i="17" s="1"/>
  <c r="R561" i="17"/>
  <c r="S561" i="17"/>
  <c r="U561" i="17"/>
  <c r="O562" i="17"/>
  <c r="P562" i="17"/>
  <c r="T562" i="17"/>
  <c r="U562" i="17"/>
  <c r="L563" i="17"/>
  <c r="L561" i="17" s="1"/>
  <c r="O561" i="17" s="1"/>
  <c r="M563" i="17"/>
  <c r="P563" i="17" s="1"/>
  <c r="N563" i="17"/>
  <c r="N561" i="17" s="1"/>
  <c r="T563" i="17"/>
  <c r="U563" i="17"/>
  <c r="I575" i="17"/>
  <c r="K575" i="17" s="1"/>
  <c r="J575" i="17"/>
  <c r="L577" i="17"/>
  <c r="M577" i="17"/>
  <c r="N577" i="17"/>
  <c r="O577" i="17"/>
  <c r="P577" i="17"/>
  <c r="Q577" i="17"/>
  <c r="T577" i="17" s="1"/>
  <c r="R577" i="17"/>
  <c r="U577" i="17" s="1"/>
  <c r="S577" i="17"/>
  <c r="Q578" i="17"/>
  <c r="Q576" i="17" s="1"/>
  <c r="T576" i="17" s="1"/>
  <c r="R578" i="17"/>
  <c r="U578" i="17" s="1"/>
  <c r="S578" i="17"/>
  <c r="Q579" i="17"/>
  <c r="T579" i="17" s="1"/>
  <c r="R579" i="17"/>
  <c r="S579" i="17"/>
  <c r="U579" i="17"/>
  <c r="O580" i="17"/>
  <c r="P580" i="17"/>
  <c r="T580" i="17"/>
  <c r="U580" i="17"/>
  <c r="L581" i="17"/>
  <c r="L579" i="17" s="1"/>
  <c r="O579" i="17" s="1"/>
  <c r="M581" i="17"/>
  <c r="P581" i="17" s="1"/>
  <c r="N581" i="17"/>
  <c r="N579" i="17" s="1"/>
  <c r="T581" i="17"/>
  <c r="U581" i="17"/>
  <c r="Q582" i="17"/>
  <c r="R582" i="17"/>
  <c r="U582" i="17" s="1"/>
  <c r="S582" i="17"/>
  <c r="T582" i="17"/>
  <c r="O583" i="17"/>
  <c r="P583" i="17"/>
  <c r="T583" i="17"/>
  <c r="U583" i="17"/>
  <c r="L584" i="17"/>
  <c r="M584" i="17"/>
  <c r="M582" i="17" s="1"/>
  <c r="P582" i="17" s="1"/>
  <c r="N584" i="17"/>
  <c r="N582" i="17" s="1"/>
  <c r="T584" i="17"/>
  <c r="U584" i="17"/>
  <c r="L600" i="17"/>
  <c r="M600" i="17"/>
  <c r="P600" i="17" s="1"/>
  <c r="N600" i="17"/>
  <c r="Q600" i="17"/>
  <c r="T600" i="17" s="1"/>
  <c r="R600" i="17"/>
  <c r="S600" i="17"/>
  <c r="O603" i="17"/>
  <c r="P603" i="17"/>
  <c r="T603" i="17"/>
  <c r="U603" i="17"/>
  <c r="L604" i="17"/>
  <c r="M604" i="17"/>
  <c r="P604" i="17" s="1"/>
  <c r="N604" i="17"/>
  <c r="N602" i="17" s="1"/>
  <c r="Q604" i="17"/>
  <c r="R604" i="17"/>
  <c r="R602" i="17" s="1"/>
  <c r="U602" i="17" s="1"/>
  <c r="S604" i="17"/>
  <c r="O606" i="17"/>
  <c r="P606" i="17"/>
  <c r="T606" i="17"/>
  <c r="U606" i="17"/>
  <c r="L607" i="17"/>
  <c r="L605" i="17" s="1"/>
  <c r="O605" i="17" s="1"/>
  <c r="M607" i="17"/>
  <c r="N607" i="17"/>
  <c r="Q607" i="17"/>
  <c r="Q605" i="17" s="1"/>
  <c r="T605" i="17" s="1"/>
  <c r="R607" i="17"/>
  <c r="R605" i="17" s="1"/>
  <c r="U605" i="17" s="1"/>
  <c r="S607" i="17"/>
  <c r="S605" i="17" s="1"/>
  <c r="L617" i="17"/>
  <c r="O617" i="17" s="1"/>
  <c r="M617" i="17"/>
  <c r="P617" i="17" s="1"/>
  <c r="N617" i="17"/>
  <c r="Q617" i="17"/>
  <c r="T617" i="17" s="1"/>
  <c r="R617" i="17"/>
  <c r="S617" i="17"/>
  <c r="L618" i="17"/>
  <c r="M618" i="17"/>
  <c r="P618" i="17" s="1"/>
  <c r="N618" i="17"/>
  <c r="O618" i="17"/>
  <c r="L619" i="17"/>
  <c r="O619" i="17" s="1"/>
  <c r="M619" i="17"/>
  <c r="P619" i="17" s="1"/>
  <c r="N619" i="17"/>
  <c r="O620" i="17"/>
  <c r="P620" i="17"/>
  <c r="T620" i="17"/>
  <c r="U620" i="17"/>
  <c r="O621" i="17"/>
  <c r="P621" i="17"/>
  <c r="Q621" i="17"/>
  <c r="Q618" i="17" s="1"/>
  <c r="R621" i="17"/>
  <c r="R618" i="17" s="1"/>
  <c r="S621" i="17"/>
  <c r="S618" i="17" s="1"/>
  <c r="L622" i="17"/>
  <c r="M622" i="17"/>
  <c r="P622" i="17" s="1"/>
  <c r="N622" i="17"/>
  <c r="O622" i="17"/>
  <c r="Q622" i="17"/>
  <c r="T622" i="17" s="1"/>
  <c r="R622" i="17"/>
  <c r="S622" i="17"/>
  <c r="U622" i="17"/>
  <c r="O623" i="17"/>
  <c r="P623" i="17"/>
  <c r="T623" i="17"/>
  <c r="U623" i="17"/>
  <c r="O624" i="17"/>
  <c r="P624" i="17"/>
  <c r="T624" i="17"/>
  <c r="U624" i="17"/>
  <c r="I626" i="17"/>
  <c r="I615" i="17" s="1"/>
  <c r="I627" i="17"/>
  <c r="K627" i="17" s="1"/>
  <c r="I628" i="17"/>
  <c r="K628" i="17" s="1"/>
  <c r="J632" i="17"/>
  <c r="J626" i="17" s="1"/>
  <c r="I635" i="17"/>
  <c r="K635" i="17" s="1"/>
  <c r="J635" i="17"/>
  <c r="J636" i="17"/>
  <c r="L642" i="17"/>
  <c r="O642" i="17" s="1"/>
  <c r="L643" i="17"/>
  <c r="O643" i="17" s="1"/>
  <c r="M643" i="17"/>
  <c r="N643" i="17"/>
  <c r="Q643" i="17"/>
  <c r="R643" i="17"/>
  <c r="U643" i="17" s="1"/>
  <c r="S643" i="17"/>
  <c r="T643" i="17"/>
  <c r="L644" i="17"/>
  <c r="O644" i="17" s="1"/>
  <c r="M644" i="17"/>
  <c r="P644" i="17" s="1"/>
  <c r="N644" i="17"/>
  <c r="L645" i="17"/>
  <c r="O645" i="17" s="1"/>
  <c r="M645" i="17"/>
  <c r="P645" i="17" s="1"/>
  <c r="N645" i="17"/>
  <c r="O646" i="17"/>
  <c r="P646" i="17"/>
  <c r="T646" i="17"/>
  <c r="U646" i="17"/>
  <c r="O647" i="17"/>
  <c r="P647" i="17"/>
  <c r="Q647" i="17"/>
  <c r="Q645" i="17" s="1"/>
  <c r="R647" i="17"/>
  <c r="R645" i="17" s="1"/>
  <c r="S647" i="17"/>
  <c r="L648" i="17"/>
  <c r="O648" i="17" s="1"/>
  <c r="M648" i="17"/>
  <c r="N648" i="17"/>
  <c r="P648" i="17"/>
  <c r="Q648" i="17"/>
  <c r="T648" i="17" s="1"/>
  <c r="R648" i="17"/>
  <c r="U648" i="17" s="1"/>
  <c r="S648" i="17"/>
  <c r="O649" i="17"/>
  <c r="P649" i="17"/>
  <c r="T649" i="17"/>
  <c r="U649" i="17"/>
  <c r="O650" i="17"/>
  <c r="P650" i="17"/>
  <c r="T650" i="17"/>
  <c r="U650" i="17"/>
  <c r="I652" i="17"/>
  <c r="K652" i="17" s="1"/>
  <c r="J652" i="17"/>
  <c r="I653" i="17"/>
  <c r="K653" i="17" s="1"/>
  <c r="J653" i="17"/>
  <c r="I654" i="17"/>
  <c r="J654" i="17"/>
  <c r="I657" i="17"/>
  <c r="I660" i="17"/>
  <c r="I661" i="17"/>
  <c r="K661" i="17" s="1"/>
  <c r="J661" i="17"/>
  <c r="J671" i="17"/>
  <c r="J672" i="17"/>
  <c r="I673" i="17"/>
  <c r="J673" i="17"/>
  <c r="I674" i="17"/>
  <c r="I675" i="17"/>
  <c r="I676" i="17"/>
  <c r="J676" i="17"/>
  <c r="J677" i="17"/>
  <c r="I678" i="17"/>
  <c r="J678" i="17"/>
  <c r="I679" i="17"/>
  <c r="K679" i="17" s="1"/>
  <c r="J679" i="17"/>
  <c r="J680" i="17"/>
  <c r="I681" i="17"/>
  <c r="K681" i="17" s="1"/>
  <c r="J681" i="17"/>
  <c r="I682" i="17"/>
  <c r="K682" i="17" s="1"/>
  <c r="J682" i="17"/>
  <c r="L691" i="17"/>
  <c r="M691" i="17"/>
  <c r="N691" i="17"/>
  <c r="O691" i="17"/>
  <c r="Q691" i="17"/>
  <c r="R691" i="17"/>
  <c r="S691" i="17"/>
  <c r="T691" i="17"/>
  <c r="U691" i="17"/>
  <c r="L692" i="17"/>
  <c r="O692" i="17" s="1"/>
  <c r="M692" i="17"/>
  <c r="N692" i="17"/>
  <c r="P692" i="17"/>
  <c r="L693" i="17"/>
  <c r="O693" i="17" s="1"/>
  <c r="M693" i="17"/>
  <c r="P693" i="17" s="1"/>
  <c r="N693" i="17"/>
  <c r="O694" i="17"/>
  <c r="P694" i="17"/>
  <c r="T694" i="17"/>
  <c r="U694" i="17"/>
  <c r="O695" i="17"/>
  <c r="P695" i="17"/>
  <c r="Q695" i="17"/>
  <c r="Q693" i="17" s="1"/>
  <c r="R695" i="17"/>
  <c r="R692" i="17" s="1"/>
  <c r="S695" i="17"/>
  <c r="L696" i="17"/>
  <c r="M696" i="17"/>
  <c r="N696" i="17"/>
  <c r="O696" i="17"/>
  <c r="P696" i="17"/>
  <c r="Q696" i="17"/>
  <c r="R696" i="17"/>
  <c r="S696" i="17"/>
  <c r="T696" i="17"/>
  <c r="U696" i="17"/>
  <c r="O697" i="17"/>
  <c r="P697" i="17"/>
  <c r="T697" i="17"/>
  <c r="U697" i="17"/>
  <c r="O698" i="17"/>
  <c r="P698" i="17"/>
  <c r="T698" i="17"/>
  <c r="U698" i="17"/>
  <c r="I700" i="17"/>
  <c r="K700" i="17" s="1"/>
  <c r="K702" i="17"/>
  <c r="I703" i="17"/>
  <c r="J703" i="17"/>
  <c r="J704" i="17"/>
  <c r="K704" i="17"/>
  <c r="I705" i="17"/>
  <c r="J705" i="17"/>
  <c r="J706" i="17"/>
  <c r="K706" i="17"/>
  <c r="I707" i="17"/>
  <c r="I689" i="17" s="1"/>
  <c r="K689" i="17" s="1"/>
  <c r="J707" i="17"/>
  <c r="J689" i="17" s="1"/>
  <c r="J708" i="17"/>
  <c r="K708" i="17"/>
  <c r="I709" i="17"/>
  <c r="J709" i="17"/>
  <c r="J710" i="17"/>
  <c r="K710" i="17"/>
  <c r="J712" i="17"/>
  <c r="K712" i="17"/>
  <c r="N714" i="17"/>
  <c r="L715" i="17"/>
  <c r="O715" i="17" s="1"/>
  <c r="M715" i="17"/>
  <c r="N715" i="17"/>
  <c r="Q715" i="17"/>
  <c r="T715" i="17" s="1"/>
  <c r="R715" i="17"/>
  <c r="U715" i="17" s="1"/>
  <c r="S715" i="17"/>
  <c r="L716" i="17"/>
  <c r="L714" i="17" s="1"/>
  <c r="O714" i="17" s="1"/>
  <c r="M716" i="17"/>
  <c r="P716" i="17" s="1"/>
  <c r="N716" i="17"/>
  <c r="O716" i="17"/>
  <c r="Q716" i="17"/>
  <c r="T716" i="17" s="1"/>
  <c r="R716" i="17"/>
  <c r="S716" i="17"/>
  <c r="U716" i="17"/>
  <c r="L717" i="17"/>
  <c r="O717" i="17" s="1"/>
  <c r="M717" i="17"/>
  <c r="P717" i="17" s="1"/>
  <c r="N717" i="17"/>
  <c r="Q717" i="17"/>
  <c r="T717" i="17" s="1"/>
  <c r="R717" i="17"/>
  <c r="U717" i="17" s="1"/>
  <c r="S717" i="17"/>
  <c r="O718" i="17"/>
  <c r="P718" i="17"/>
  <c r="T718" i="17"/>
  <c r="U718" i="17"/>
  <c r="O719" i="17"/>
  <c r="P719" i="17"/>
  <c r="T719" i="17"/>
  <c r="U719" i="17"/>
  <c r="L720" i="17"/>
  <c r="M720" i="17"/>
  <c r="P720" i="17" s="1"/>
  <c r="N720" i="17"/>
  <c r="O720" i="17"/>
  <c r="Q720" i="17"/>
  <c r="T720" i="17" s="1"/>
  <c r="R720" i="17"/>
  <c r="S720" i="17"/>
  <c r="U720" i="17"/>
  <c r="O721" i="17"/>
  <c r="P721" i="17"/>
  <c r="T721" i="17"/>
  <c r="U721" i="17"/>
  <c r="O722" i="17"/>
  <c r="P722" i="17"/>
  <c r="T722" i="17"/>
  <c r="U722" i="17"/>
  <c r="I726" i="17"/>
  <c r="K726" i="17" s="1"/>
  <c r="J726" i="17"/>
  <c r="I727" i="17"/>
  <c r="K727" i="17" s="1"/>
  <c r="J727" i="17"/>
  <c r="L729" i="17"/>
  <c r="O729" i="17" s="1"/>
  <c r="M729" i="17"/>
  <c r="N729" i="17"/>
  <c r="Q729" i="17"/>
  <c r="T729" i="17" s="1"/>
  <c r="R729" i="17"/>
  <c r="U729" i="17" s="1"/>
  <c r="S729" i="17"/>
  <c r="L730" i="17"/>
  <c r="L728" i="17" s="1"/>
  <c r="O728" i="17" s="1"/>
  <c r="M730" i="17"/>
  <c r="P730" i="17" s="1"/>
  <c r="N730" i="17"/>
  <c r="L731" i="17"/>
  <c r="M731" i="17"/>
  <c r="N731" i="17"/>
  <c r="O731" i="17"/>
  <c r="P731" i="17"/>
  <c r="O732" i="17"/>
  <c r="P732" i="17"/>
  <c r="T732" i="17"/>
  <c r="U732" i="17"/>
  <c r="O733" i="17"/>
  <c r="P733" i="17"/>
  <c r="Q733" i="17"/>
  <c r="Q730" i="17" s="1"/>
  <c r="R733" i="17"/>
  <c r="S733" i="17"/>
  <c r="S731" i="17" s="1"/>
  <c r="L734" i="17"/>
  <c r="O734" i="17" s="1"/>
  <c r="M734" i="17"/>
  <c r="P734" i="17" s="1"/>
  <c r="N734" i="17"/>
  <c r="Q734" i="17"/>
  <c r="R734" i="17"/>
  <c r="U734" i="17" s="1"/>
  <c r="S734" i="17"/>
  <c r="T734" i="17"/>
  <c r="O735" i="17"/>
  <c r="P735" i="17"/>
  <c r="T735" i="17"/>
  <c r="U735" i="17"/>
  <c r="O736" i="17"/>
  <c r="P736" i="17"/>
  <c r="T736" i="17"/>
  <c r="U736" i="17"/>
  <c r="I740" i="17"/>
  <c r="K740" i="17" s="1"/>
  <c r="I742" i="17"/>
  <c r="K742" i="17" s="1"/>
  <c r="I744" i="17"/>
  <c r="K744" i="17" s="1"/>
  <c r="I746" i="17"/>
  <c r="K746" i="17" s="1"/>
  <c r="I749" i="17"/>
  <c r="K749" i="17" s="1"/>
  <c r="I752" i="17"/>
  <c r="K752" i="17" s="1"/>
  <c r="I755" i="17"/>
  <c r="K755" i="17" s="1"/>
  <c r="J758" i="17"/>
  <c r="J759" i="17"/>
  <c r="L760" i="17"/>
  <c r="O760" i="17" s="1"/>
  <c r="L761" i="17"/>
  <c r="O761" i="17" s="1"/>
  <c r="M761" i="17"/>
  <c r="P761" i="17" s="1"/>
  <c r="N761" i="17"/>
  <c r="N760" i="17" s="1"/>
  <c r="Q761" i="17"/>
  <c r="R761" i="17"/>
  <c r="U761" i="17" s="1"/>
  <c r="S761" i="17"/>
  <c r="L762" i="17"/>
  <c r="M762" i="17"/>
  <c r="M760" i="17" s="1"/>
  <c r="P760" i="17" s="1"/>
  <c r="N762" i="17"/>
  <c r="O762" i="17"/>
  <c r="P762" i="17"/>
  <c r="L763" i="17"/>
  <c r="O763" i="17" s="1"/>
  <c r="M763" i="17"/>
  <c r="N763" i="17"/>
  <c r="P763" i="17"/>
  <c r="O764" i="17"/>
  <c r="P764" i="17"/>
  <c r="T764" i="17"/>
  <c r="U764" i="17"/>
  <c r="O765" i="17"/>
  <c r="P765" i="17"/>
  <c r="Q765" i="17"/>
  <c r="Q762" i="17" s="1"/>
  <c r="R765" i="17"/>
  <c r="R762" i="17" s="1"/>
  <c r="R760" i="17" s="1"/>
  <c r="S765" i="17"/>
  <c r="L766" i="17"/>
  <c r="M766" i="17"/>
  <c r="P766" i="17" s="1"/>
  <c r="N766" i="17"/>
  <c r="O766" i="17"/>
  <c r="Q766" i="17"/>
  <c r="R766" i="17"/>
  <c r="S766" i="17"/>
  <c r="T766" i="17"/>
  <c r="U766" i="17"/>
  <c r="O767" i="17"/>
  <c r="P767" i="17"/>
  <c r="T767" i="17"/>
  <c r="U767" i="17"/>
  <c r="O768" i="17"/>
  <c r="P768" i="17"/>
  <c r="T768" i="17"/>
  <c r="U768" i="17"/>
  <c r="I770" i="17"/>
  <c r="K770" i="17" s="1"/>
  <c r="I772" i="17"/>
  <c r="I758" i="17" s="1"/>
  <c r="K758" i="17" s="1"/>
  <c r="I774" i="17"/>
  <c r="K774" i="17" s="1"/>
  <c r="I775" i="17"/>
  <c r="I776" i="17"/>
  <c r="H777" i="17"/>
  <c r="I778" i="17"/>
  <c r="J778" i="17"/>
  <c r="I779" i="17"/>
  <c r="J779" i="17"/>
  <c r="I780" i="17"/>
  <c r="J780" i="17"/>
  <c r="I781" i="17"/>
  <c r="J781" i="17"/>
  <c r="I782" i="17"/>
  <c r="J782" i="17"/>
  <c r="I783" i="17"/>
  <c r="J783" i="17"/>
  <c r="I784" i="17"/>
  <c r="J784" i="17"/>
  <c r="I785" i="17"/>
  <c r="J785" i="17"/>
  <c r="A788" i="17"/>
  <c r="A789" i="17"/>
  <c r="S19" i="16"/>
  <c r="L22" i="16"/>
  <c r="L19" i="16" s="1"/>
  <c r="M22" i="16"/>
  <c r="M19" i="16" s="1"/>
  <c r="N22" i="16"/>
  <c r="N19" i="16" s="1"/>
  <c r="Q22" i="16"/>
  <c r="Q19" i="16" s="1"/>
  <c r="T19" i="16" s="1"/>
  <c r="R22" i="16"/>
  <c r="S22" i="16"/>
  <c r="T22" i="16"/>
  <c r="L25" i="16"/>
  <c r="M25" i="16"/>
  <c r="N25" i="16"/>
  <c r="Q25" i="16"/>
  <c r="R25" i="16"/>
  <c r="S25" i="16"/>
  <c r="T25" i="16"/>
  <c r="Q44" i="16"/>
  <c r="T44" i="16" s="1"/>
  <c r="R44" i="16"/>
  <c r="U44" i="16" s="1"/>
  <c r="L45" i="16"/>
  <c r="M45" i="16"/>
  <c r="N45" i="16"/>
  <c r="O45" i="16"/>
  <c r="Q45" i="16"/>
  <c r="R45" i="16"/>
  <c r="S45" i="16"/>
  <c r="S44" i="16" s="1"/>
  <c r="T45" i="16"/>
  <c r="U45" i="16"/>
  <c r="Q46" i="16"/>
  <c r="T46" i="16" s="1"/>
  <c r="R46" i="16"/>
  <c r="S46" i="16"/>
  <c r="U46" i="16"/>
  <c r="Q47" i="16"/>
  <c r="T47" i="16" s="1"/>
  <c r="R47" i="16"/>
  <c r="U47" i="16" s="1"/>
  <c r="S47" i="16"/>
  <c r="O48" i="16"/>
  <c r="P48" i="16"/>
  <c r="T48" i="16"/>
  <c r="U48" i="16"/>
  <c r="L49" i="16"/>
  <c r="M49" i="16"/>
  <c r="M47" i="16" s="1"/>
  <c r="N49" i="16"/>
  <c r="T49" i="16"/>
  <c r="U49" i="16"/>
  <c r="Q50" i="16"/>
  <c r="R50" i="16"/>
  <c r="S50" i="16"/>
  <c r="T50" i="16"/>
  <c r="U50" i="16"/>
  <c r="O51" i="16"/>
  <c r="P51" i="16"/>
  <c r="T51" i="16"/>
  <c r="U51" i="16"/>
  <c r="L52" i="16"/>
  <c r="M52" i="16"/>
  <c r="N52" i="16"/>
  <c r="N50" i="16" s="1"/>
  <c r="T52" i="16"/>
  <c r="U52" i="16"/>
  <c r="Q59" i="16"/>
  <c r="T59" i="16" s="1"/>
  <c r="R59" i="16"/>
  <c r="U59" i="16" s="1"/>
  <c r="L60" i="16"/>
  <c r="M60" i="16"/>
  <c r="N60" i="16"/>
  <c r="O60" i="16"/>
  <c r="Q60" i="16"/>
  <c r="R60" i="16"/>
  <c r="S60" i="16"/>
  <c r="S59" i="16" s="1"/>
  <c r="T60" i="16"/>
  <c r="U60" i="16"/>
  <c r="Q61" i="16"/>
  <c r="T61" i="16" s="1"/>
  <c r="R61" i="16"/>
  <c r="S61" i="16"/>
  <c r="U61" i="16"/>
  <c r="Q62" i="16"/>
  <c r="T62" i="16" s="1"/>
  <c r="R62" i="16"/>
  <c r="U62" i="16" s="1"/>
  <c r="S62" i="16"/>
  <c r="O63" i="16"/>
  <c r="P63" i="16"/>
  <c r="T63" i="16"/>
  <c r="U63" i="16"/>
  <c r="L64" i="16"/>
  <c r="L62" i="16" s="1"/>
  <c r="M64" i="16"/>
  <c r="M62" i="16" s="1"/>
  <c r="N64" i="16"/>
  <c r="N62" i="16" s="1"/>
  <c r="T64" i="16"/>
  <c r="U64" i="16"/>
  <c r="Q65" i="16"/>
  <c r="R65" i="16"/>
  <c r="S65" i="16"/>
  <c r="T65" i="16"/>
  <c r="U65" i="16"/>
  <c r="O66" i="16"/>
  <c r="P66" i="16"/>
  <c r="T66" i="16"/>
  <c r="U66" i="16"/>
  <c r="L67" i="16"/>
  <c r="M67" i="16"/>
  <c r="N67" i="16"/>
  <c r="N65" i="16" s="1"/>
  <c r="T67" i="16"/>
  <c r="U67" i="16"/>
  <c r="L73" i="16"/>
  <c r="M73" i="16"/>
  <c r="N73" i="16"/>
  <c r="O73" i="16"/>
  <c r="Q73" i="16"/>
  <c r="R73" i="16"/>
  <c r="S73" i="16"/>
  <c r="T73" i="16"/>
  <c r="U73" i="16"/>
  <c r="O76" i="16"/>
  <c r="P76" i="16"/>
  <c r="T76" i="16"/>
  <c r="U76" i="16"/>
  <c r="L77" i="16"/>
  <c r="L75" i="16" s="1"/>
  <c r="M77" i="16"/>
  <c r="M75" i="16" s="1"/>
  <c r="N77" i="16"/>
  <c r="N75" i="16" s="1"/>
  <c r="Q77" i="16"/>
  <c r="Q75" i="16" s="1"/>
  <c r="R77" i="16"/>
  <c r="R75" i="16" s="1"/>
  <c r="S77" i="16"/>
  <c r="S75" i="16" s="1"/>
  <c r="O79" i="16"/>
  <c r="P79" i="16"/>
  <c r="T79" i="16"/>
  <c r="U79" i="16"/>
  <c r="L80" i="16"/>
  <c r="O80" i="16" s="1"/>
  <c r="M80" i="16"/>
  <c r="M78" i="16" s="1"/>
  <c r="P78" i="16" s="1"/>
  <c r="N80" i="16"/>
  <c r="N78" i="16" s="1"/>
  <c r="Q80" i="16"/>
  <c r="Q78" i="16" s="1"/>
  <c r="R80" i="16"/>
  <c r="R78" i="16" s="1"/>
  <c r="S80" i="16"/>
  <c r="S78" i="16" s="1"/>
  <c r="J82" i="16"/>
  <c r="J70" i="16" s="1"/>
  <c r="J83" i="16"/>
  <c r="J71" i="16" s="1"/>
  <c r="I84" i="16"/>
  <c r="K84" i="16" s="1"/>
  <c r="I85" i="16"/>
  <c r="K85" i="16" s="1"/>
  <c r="I86" i="16"/>
  <c r="K86" i="16" s="1"/>
  <c r="I87" i="16"/>
  <c r="I88" i="16"/>
  <c r="K88" i="16" s="1"/>
  <c r="I89" i="16"/>
  <c r="K89" i="16" s="1"/>
  <c r="I90" i="16"/>
  <c r="K90" i="16" s="1"/>
  <c r="J92" i="16"/>
  <c r="J93" i="16"/>
  <c r="L95" i="16"/>
  <c r="M95" i="16"/>
  <c r="P95" i="16" s="1"/>
  <c r="N95" i="16"/>
  <c r="Q95" i="16"/>
  <c r="R95" i="16"/>
  <c r="S95" i="16"/>
  <c r="O98" i="16"/>
  <c r="P98" i="16"/>
  <c r="T98" i="16"/>
  <c r="U98" i="16"/>
  <c r="L99" i="16"/>
  <c r="M99" i="16"/>
  <c r="N99" i="16"/>
  <c r="N97" i="16" s="1"/>
  <c r="Q99" i="16"/>
  <c r="Q97" i="16" s="1"/>
  <c r="T97" i="16" s="1"/>
  <c r="R99" i="16"/>
  <c r="U99" i="16" s="1"/>
  <c r="S99" i="16"/>
  <c r="Q100" i="16"/>
  <c r="R100" i="16"/>
  <c r="S100" i="16"/>
  <c r="T100" i="16"/>
  <c r="U100" i="16"/>
  <c r="O101" i="16"/>
  <c r="P101" i="16"/>
  <c r="T101" i="16"/>
  <c r="U101" i="16"/>
  <c r="L102" i="16"/>
  <c r="O102" i="16" s="1"/>
  <c r="M102" i="16"/>
  <c r="N102" i="16"/>
  <c r="N100" i="16" s="1"/>
  <c r="T102" i="16"/>
  <c r="U102" i="16"/>
  <c r="I108" i="16"/>
  <c r="I109" i="16"/>
  <c r="K109" i="16" s="1"/>
  <c r="I114" i="16"/>
  <c r="K114" i="16" s="1"/>
  <c r="J116" i="16"/>
  <c r="L118" i="16"/>
  <c r="M118" i="16"/>
  <c r="P118" i="16" s="1"/>
  <c r="N118" i="16"/>
  <c r="Q118" i="16"/>
  <c r="R118" i="16"/>
  <c r="S118" i="16"/>
  <c r="O121" i="16"/>
  <c r="P121" i="16"/>
  <c r="T121" i="16"/>
  <c r="U121" i="16"/>
  <c r="L122" i="16"/>
  <c r="O122" i="16" s="1"/>
  <c r="M122" i="16"/>
  <c r="N122" i="16"/>
  <c r="Q122" i="16"/>
  <c r="Q120" i="16" s="1"/>
  <c r="R122" i="16"/>
  <c r="S122" i="16"/>
  <c r="S120" i="16" s="1"/>
  <c r="O124" i="16"/>
  <c r="P124" i="16"/>
  <c r="T124" i="16"/>
  <c r="U124" i="16"/>
  <c r="L125" i="16"/>
  <c r="O125" i="16" s="1"/>
  <c r="M125" i="16"/>
  <c r="N125" i="16"/>
  <c r="N123" i="16" s="1"/>
  <c r="Q125" i="16"/>
  <c r="Q123" i="16" s="1"/>
  <c r="T123" i="16" s="1"/>
  <c r="R125" i="16"/>
  <c r="U125" i="16" s="1"/>
  <c r="S125" i="16"/>
  <c r="S123" i="16" s="1"/>
  <c r="I127" i="16"/>
  <c r="I116" i="16" s="1"/>
  <c r="K116" i="16" s="1"/>
  <c r="I128" i="16"/>
  <c r="K128" i="16" s="1"/>
  <c r="I129" i="16"/>
  <c r="K129" i="16" s="1"/>
  <c r="I130" i="16"/>
  <c r="K130" i="16" s="1"/>
  <c r="J136" i="16"/>
  <c r="J137" i="16"/>
  <c r="J138" i="16"/>
  <c r="L140" i="16"/>
  <c r="M140" i="16"/>
  <c r="N140" i="16"/>
  <c r="Q140" i="16"/>
  <c r="T140" i="16" s="1"/>
  <c r="R140" i="16"/>
  <c r="S140" i="16"/>
  <c r="O143" i="16"/>
  <c r="P143" i="16"/>
  <c r="T143" i="16"/>
  <c r="U143" i="16"/>
  <c r="L144" i="16"/>
  <c r="L142" i="16" s="1"/>
  <c r="O142" i="16" s="1"/>
  <c r="M144" i="16"/>
  <c r="P144" i="16" s="1"/>
  <c r="N144" i="16"/>
  <c r="N142" i="16" s="1"/>
  <c r="Q144" i="16"/>
  <c r="R144" i="16"/>
  <c r="S144" i="16"/>
  <c r="S142" i="16" s="1"/>
  <c r="O146" i="16"/>
  <c r="P146" i="16"/>
  <c r="T146" i="16"/>
  <c r="U146" i="16"/>
  <c r="L147" i="16"/>
  <c r="L145" i="16" s="1"/>
  <c r="O145" i="16" s="1"/>
  <c r="M147" i="16"/>
  <c r="P147" i="16" s="1"/>
  <c r="N147" i="16"/>
  <c r="N145" i="16" s="1"/>
  <c r="Q147" i="16"/>
  <c r="Q145" i="16" s="1"/>
  <c r="T145" i="16" s="1"/>
  <c r="R147" i="16"/>
  <c r="R145" i="16" s="1"/>
  <c r="U145" i="16" s="1"/>
  <c r="S147" i="16"/>
  <c r="S145" i="16" s="1"/>
  <c r="I150" i="16"/>
  <c r="K150" i="16" s="1"/>
  <c r="I151" i="16"/>
  <c r="K151" i="16" s="1"/>
  <c r="I152" i="16"/>
  <c r="I137" i="16" s="1"/>
  <c r="K137" i="16" s="1"/>
  <c r="I153" i="16"/>
  <c r="K153" i="16" s="1"/>
  <c r="I154" i="16"/>
  <c r="I136" i="16" s="1"/>
  <c r="K136" i="16" s="1"/>
  <c r="J156" i="16"/>
  <c r="L158" i="16"/>
  <c r="M158" i="16"/>
  <c r="N158" i="16"/>
  <c r="P158" i="16"/>
  <c r="Q158" i="16"/>
  <c r="R158" i="16"/>
  <c r="S158" i="16"/>
  <c r="O161" i="16"/>
  <c r="P161" i="16"/>
  <c r="T161" i="16"/>
  <c r="U161" i="16"/>
  <c r="L162" i="16"/>
  <c r="M162" i="16"/>
  <c r="N162" i="16"/>
  <c r="N160" i="16" s="1"/>
  <c r="Q162" i="16"/>
  <c r="Q160" i="16" s="1"/>
  <c r="T160" i="16" s="1"/>
  <c r="R162" i="16"/>
  <c r="U162" i="16" s="1"/>
  <c r="S162" i="16"/>
  <c r="Q163" i="16"/>
  <c r="R163" i="16"/>
  <c r="S163" i="16"/>
  <c r="T163" i="16"/>
  <c r="U163" i="16"/>
  <c r="O164" i="16"/>
  <c r="P164" i="16"/>
  <c r="T164" i="16"/>
  <c r="U164" i="16"/>
  <c r="L165" i="16"/>
  <c r="O165" i="16" s="1"/>
  <c r="M165" i="16"/>
  <c r="N165" i="16"/>
  <c r="N163" i="16" s="1"/>
  <c r="T165" i="16"/>
  <c r="U165" i="16"/>
  <c r="I167" i="16"/>
  <c r="K167" i="16" s="1"/>
  <c r="J172" i="16"/>
  <c r="L174" i="16"/>
  <c r="M174" i="16"/>
  <c r="N174" i="16"/>
  <c r="Q174" i="16"/>
  <c r="R174" i="16"/>
  <c r="S174" i="16"/>
  <c r="O177" i="16"/>
  <c r="P177" i="16"/>
  <c r="T177" i="16"/>
  <c r="U177" i="16"/>
  <c r="L178" i="16"/>
  <c r="L176" i="16" s="1"/>
  <c r="M178" i="16"/>
  <c r="N178" i="16"/>
  <c r="Q178" i="16"/>
  <c r="Q176" i="16" s="1"/>
  <c r="T176" i="16" s="1"/>
  <c r="R178" i="16"/>
  <c r="U178" i="16" s="1"/>
  <c r="S178" i="16"/>
  <c r="S176" i="16" s="1"/>
  <c r="Q179" i="16"/>
  <c r="R179" i="16"/>
  <c r="S179" i="16"/>
  <c r="T179" i="16"/>
  <c r="U179" i="16"/>
  <c r="O180" i="16"/>
  <c r="P180" i="16"/>
  <c r="T180" i="16"/>
  <c r="U180" i="16"/>
  <c r="L181" i="16"/>
  <c r="M181" i="16"/>
  <c r="N181" i="16"/>
  <c r="N179" i="16" s="1"/>
  <c r="T181" i="16"/>
  <c r="U181" i="16"/>
  <c r="I183" i="16"/>
  <c r="I172" i="16" s="1"/>
  <c r="K172" i="16" s="1"/>
  <c r="K184" i="16"/>
  <c r="L187" i="16"/>
  <c r="M187" i="16"/>
  <c r="N187" i="16"/>
  <c r="O187" i="16"/>
  <c r="P187" i="16"/>
  <c r="Q187" i="16"/>
  <c r="R187" i="16"/>
  <c r="S187" i="16"/>
  <c r="U187" i="16"/>
  <c r="O190" i="16"/>
  <c r="P190" i="16"/>
  <c r="T190" i="16"/>
  <c r="U190" i="16"/>
  <c r="L191" i="16"/>
  <c r="M191" i="16"/>
  <c r="N191" i="16"/>
  <c r="Q191" i="16"/>
  <c r="R191" i="16"/>
  <c r="S191" i="16"/>
  <c r="S189" i="16" s="1"/>
  <c r="O193" i="16"/>
  <c r="P193" i="16"/>
  <c r="T193" i="16"/>
  <c r="U193" i="16"/>
  <c r="L194" i="16"/>
  <c r="M194" i="16"/>
  <c r="P194" i="16" s="1"/>
  <c r="N194" i="16"/>
  <c r="N192" i="16" s="1"/>
  <c r="Q194" i="16"/>
  <c r="R194" i="16"/>
  <c r="S194" i="16"/>
  <c r="S192" i="16" s="1"/>
  <c r="J195" i="16"/>
  <c r="L196" i="16"/>
  <c r="O196" i="16" s="1"/>
  <c r="P196" i="16"/>
  <c r="I198" i="16"/>
  <c r="I195" i="16" s="1"/>
  <c r="J199" i="16"/>
  <c r="J202" i="16"/>
  <c r="N203" i="16"/>
  <c r="P203" i="16"/>
  <c r="S203" i="16"/>
  <c r="U203" i="16"/>
  <c r="L204" i="16"/>
  <c r="L205" i="16"/>
  <c r="L206" i="16"/>
  <c r="Q206" i="16"/>
  <c r="Q203" i="16" s="1"/>
  <c r="T203" i="16" s="1"/>
  <c r="L207" i="16"/>
  <c r="I209" i="16"/>
  <c r="I211" i="16"/>
  <c r="K211" i="16" s="1"/>
  <c r="I212" i="16"/>
  <c r="K212" i="16" s="1"/>
  <c r="J213" i="16"/>
  <c r="N214" i="16"/>
  <c r="P214" i="16"/>
  <c r="S214" i="16"/>
  <c r="U214" i="16"/>
  <c r="L215" i="16"/>
  <c r="L216" i="16"/>
  <c r="L217" i="16"/>
  <c r="Q217" i="16"/>
  <c r="Q214" i="16" s="1"/>
  <c r="T214" i="16" s="1"/>
  <c r="I219" i="16"/>
  <c r="K219" i="16" s="1"/>
  <c r="I220" i="16"/>
  <c r="I213" i="16" s="1"/>
  <c r="K213" i="16" s="1"/>
  <c r="J221" i="16"/>
  <c r="N222" i="16"/>
  <c r="P222" i="16"/>
  <c r="L223" i="16"/>
  <c r="L224" i="16"/>
  <c r="L225" i="16"/>
  <c r="I228" i="16"/>
  <c r="K228" i="16" s="1"/>
  <c r="I229" i="16"/>
  <c r="I230" i="16"/>
  <c r="N232" i="16"/>
  <c r="N233" i="16"/>
  <c r="N234" i="16"/>
  <c r="N235" i="16"/>
  <c r="N236" i="16"/>
  <c r="J238" i="16"/>
  <c r="I240" i="16"/>
  <c r="K240" i="16" s="1"/>
  <c r="J240" i="16"/>
  <c r="I241" i="16"/>
  <c r="J241" i="16"/>
  <c r="K241" i="16"/>
  <c r="J242" i="16"/>
  <c r="N243" i="16"/>
  <c r="P243" i="16"/>
  <c r="L244" i="16"/>
  <c r="L245" i="16"/>
  <c r="L246" i="16"/>
  <c r="L247" i="16"/>
  <c r="I249" i="16"/>
  <c r="K249" i="16" s="1"/>
  <c r="K251" i="16"/>
  <c r="K252" i="16"/>
  <c r="J253" i="16"/>
  <c r="J231" i="16" s="1"/>
  <c r="J185" i="16" s="1"/>
  <c r="N254" i="16"/>
  <c r="P254" i="16"/>
  <c r="L255" i="16"/>
  <c r="L256" i="16"/>
  <c r="L257" i="16"/>
  <c r="L258" i="16"/>
  <c r="I260" i="16"/>
  <c r="K260" i="16" s="1"/>
  <c r="K262" i="16"/>
  <c r="K263" i="16"/>
  <c r="J265" i="16"/>
  <c r="L267" i="16"/>
  <c r="M267" i="16"/>
  <c r="N267" i="16"/>
  <c r="O267" i="16"/>
  <c r="P267" i="16"/>
  <c r="Q267" i="16"/>
  <c r="R267" i="16"/>
  <c r="S267" i="16"/>
  <c r="T267" i="16"/>
  <c r="U267" i="16"/>
  <c r="O270" i="16"/>
  <c r="P270" i="16"/>
  <c r="T270" i="16"/>
  <c r="U270" i="16"/>
  <c r="L271" i="16"/>
  <c r="M271" i="16"/>
  <c r="N271" i="16"/>
  <c r="Q271" i="16"/>
  <c r="Q268" i="16" s="1"/>
  <c r="R271" i="16"/>
  <c r="S271" i="16"/>
  <c r="S269" i="16" s="1"/>
  <c r="Q272" i="16"/>
  <c r="R272" i="16"/>
  <c r="U272" i="16" s="1"/>
  <c r="S272" i="16"/>
  <c r="T272" i="16"/>
  <c r="O273" i="16"/>
  <c r="P273" i="16"/>
  <c r="T273" i="16"/>
  <c r="U273" i="16"/>
  <c r="L274" i="16"/>
  <c r="M274" i="16"/>
  <c r="M272" i="16" s="1"/>
  <c r="P272" i="16" s="1"/>
  <c r="N274" i="16"/>
  <c r="N272" i="16" s="1"/>
  <c r="T274" i="16"/>
  <c r="U274" i="16"/>
  <c r="I276" i="16"/>
  <c r="J281" i="16"/>
  <c r="S282" i="16"/>
  <c r="L283" i="16"/>
  <c r="M283" i="16"/>
  <c r="N283" i="16"/>
  <c r="O283" i="16"/>
  <c r="P283" i="16"/>
  <c r="Q283" i="16"/>
  <c r="R283" i="16"/>
  <c r="S283" i="16"/>
  <c r="Q284" i="16"/>
  <c r="R284" i="16"/>
  <c r="U284" i="16" s="1"/>
  <c r="S284" i="16"/>
  <c r="T284" i="16"/>
  <c r="Q285" i="16"/>
  <c r="R285" i="16"/>
  <c r="S285" i="16"/>
  <c r="T285" i="16"/>
  <c r="U285" i="16"/>
  <c r="O286" i="16"/>
  <c r="P286" i="16"/>
  <c r="T286" i="16"/>
  <c r="U286" i="16"/>
  <c r="L287" i="16"/>
  <c r="M287" i="16"/>
  <c r="M285" i="16" s="1"/>
  <c r="N287" i="16"/>
  <c r="T287" i="16"/>
  <c r="U287" i="16"/>
  <c r="Q288" i="16"/>
  <c r="T288" i="16" s="1"/>
  <c r="R288" i="16"/>
  <c r="U288" i="16" s="1"/>
  <c r="S288" i="16"/>
  <c r="O289" i="16"/>
  <c r="P289" i="16"/>
  <c r="T289" i="16"/>
  <c r="U289" i="16"/>
  <c r="L290" i="16"/>
  <c r="M290" i="16"/>
  <c r="M288" i="16" s="1"/>
  <c r="P288" i="16" s="1"/>
  <c r="N290" i="16"/>
  <c r="N288" i="16" s="1"/>
  <c r="T290" i="16"/>
  <c r="U290" i="16"/>
  <c r="I292" i="16"/>
  <c r="K292" i="16" s="1"/>
  <c r="I293" i="16"/>
  <c r="I280" i="16" s="1"/>
  <c r="J293" i="16"/>
  <c r="J280" i="16" s="1"/>
  <c r="I295" i="16"/>
  <c r="K295" i="16" s="1"/>
  <c r="I296" i="16"/>
  <c r="K296" i="16" s="1"/>
  <c r="J302" i="16"/>
  <c r="L304" i="16"/>
  <c r="M304" i="16"/>
  <c r="N304" i="16"/>
  <c r="P304" i="16"/>
  <c r="Q304" i="16"/>
  <c r="R304" i="16"/>
  <c r="S304" i="16"/>
  <c r="O307" i="16"/>
  <c r="P307" i="16"/>
  <c r="T307" i="16"/>
  <c r="U307" i="16"/>
  <c r="L308" i="16"/>
  <c r="M308" i="16"/>
  <c r="P308" i="16" s="1"/>
  <c r="N308" i="16"/>
  <c r="N306" i="16" s="1"/>
  <c r="Q308" i="16"/>
  <c r="Q306" i="16" s="1"/>
  <c r="R308" i="16"/>
  <c r="R305" i="16" s="1"/>
  <c r="S308" i="16"/>
  <c r="S305" i="16" s="1"/>
  <c r="S303" i="16" s="1"/>
  <c r="Q309" i="16"/>
  <c r="R309" i="16"/>
  <c r="S309" i="16"/>
  <c r="T309" i="16"/>
  <c r="U309" i="16"/>
  <c r="O310" i="16"/>
  <c r="P310" i="16"/>
  <c r="T310" i="16"/>
  <c r="U310" i="16"/>
  <c r="L311" i="16"/>
  <c r="M311" i="16"/>
  <c r="P311" i="16" s="1"/>
  <c r="N311" i="16"/>
  <c r="N309" i="16" s="1"/>
  <c r="T311" i="16"/>
  <c r="U311" i="16"/>
  <c r="I314" i="16"/>
  <c r="K314" i="16" s="1"/>
  <c r="J319" i="16"/>
  <c r="Q320" i="16"/>
  <c r="T320" i="16" s="1"/>
  <c r="L321" i="16"/>
  <c r="M321" i="16"/>
  <c r="P321" i="16" s="1"/>
  <c r="N321" i="16"/>
  <c r="O321" i="16"/>
  <c r="Q321" i="16"/>
  <c r="R321" i="16"/>
  <c r="S321" i="16"/>
  <c r="S320" i="16" s="1"/>
  <c r="T321" i="16"/>
  <c r="U321" i="16"/>
  <c r="Q322" i="16"/>
  <c r="T322" i="16" s="1"/>
  <c r="R322" i="16"/>
  <c r="S322" i="16"/>
  <c r="Q323" i="16"/>
  <c r="T323" i="16" s="1"/>
  <c r="R323" i="16"/>
  <c r="U323" i="16" s="1"/>
  <c r="S323" i="16"/>
  <c r="O324" i="16"/>
  <c r="P324" i="16"/>
  <c r="T324" i="16"/>
  <c r="U324" i="16"/>
  <c r="L325" i="16"/>
  <c r="M325" i="16"/>
  <c r="M323" i="16" s="1"/>
  <c r="P323" i="16" s="1"/>
  <c r="N325" i="16"/>
  <c r="N323" i="16" s="1"/>
  <c r="T325" i="16"/>
  <c r="U325" i="16"/>
  <c r="Q326" i="16"/>
  <c r="T326" i="16" s="1"/>
  <c r="R326" i="16"/>
  <c r="S326" i="16"/>
  <c r="U326" i="16"/>
  <c r="O327" i="16"/>
  <c r="P327" i="16"/>
  <c r="T327" i="16"/>
  <c r="U327" i="16"/>
  <c r="L328" i="16"/>
  <c r="M328" i="16"/>
  <c r="N328" i="16"/>
  <c r="N326" i="16" s="1"/>
  <c r="T328" i="16"/>
  <c r="U328" i="16"/>
  <c r="I330" i="16"/>
  <c r="S333" i="16"/>
  <c r="T333" i="16"/>
  <c r="L334" i="16"/>
  <c r="M334" i="16"/>
  <c r="N334" i="16"/>
  <c r="O334" i="16"/>
  <c r="P334" i="16"/>
  <c r="Q334" i="16"/>
  <c r="Q333" i="16" s="1"/>
  <c r="R334" i="16"/>
  <c r="S334" i="16"/>
  <c r="U334" i="16"/>
  <c r="Q335" i="16"/>
  <c r="T335" i="16" s="1"/>
  <c r="R335" i="16"/>
  <c r="U335" i="16" s="1"/>
  <c r="S335" i="16"/>
  <c r="Q336" i="16"/>
  <c r="R336" i="16"/>
  <c r="S336" i="16"/>
  <c r="T336" i="16"/>
  <c r="U336" i="16"/>
  <c r="O337" i="16"/>
  <c r="P337" i="16"/>
  <c r="T337" i="16"/>
  <c r="U337" i="16"/>
  <c r="L338" i="16"/>
  <c r="M338" i="16"/>
  <c r="N338" i="16"/>
  <c r="N336" i="16" s="1"/>
  <c r="T338" i="16"/>
  <c r="U338" i="16"/>
  <c r="Q339" i="16"/>
  <c r="T339" i="16" s="1"/>
  <c r="R339" i="16"/>
  <c r="S339" i="16"/>
  <c r="U339" i="16"/>
  <c r="O340" i="16"/>
  <c r="P340" i="16"/>
  <c r="T340" i="16"/>
  <c r="U340" i="16"/>
  <c r="L341" i="16"/>
  <c r="L339" i="16" s="1"/>
  <c r="O339" i="16" s="1"/>
  <c r="M341" i="16"/>
  <c r="N341" i="16"/>
  <c r="N339" i="16" s="1"/>
  <c r="T341" i="16"/>
  <c r="U341" i="16"/>
  <c r="I344" i="16"/>
  <c r="J344" i="16"/>
  <c r="I346" i="16"/>
  <c r="J346" i="16"/>
  <c r="J347" i="16"/>
  <c r="J348" i="16"/>
  <c r="J349" i="16"/>
  <c r="D350" i="16"/>
  <c r="J352" i="16"/>
  <c r="J353" i="16"/>
  <c r="D354" i="16"/>
  <c r="L357" i="16"/>
  <c r="O357" i="16" s="1"/>
  <c r="M357" i="16"/>
  <c r="N357" i="16"/>
  <c r="Q357" i="16"/>
  <c r="T357" i="16" s="1"/>
  <c r="R357" i="16"/>
  <c r="U357" i="16" s="1"/>
  <c r="S357" i="16"/>
  <c r="S356" i="16" s="1"/>
  <c r="Q358" i="16"/>
  <c r="R358" i="16"/>
  <c r="S358" i="16"/>
  <c r="T358" i="16"/>
  <c r="U358" i="16"/>
  <c r="Q359" i="16"/>
  <c r="T359" i="16" s="1"/>
  <c r="R359" i="16"/>
  <c r="U359" i="16" s="1"/>
  <c r="S359" i="16"/>
  <c r="O360" i="16"/>
  <c r="P360" i="16"/>
  <c r="T360" i="16"/>
  <c r="U360" i="16"/>
  <c r="L361" i="16"/>
  <c r="M361" i="16"/>
  <c r="M359" i="16" s="1"/>
  <c r="N361" i="16"/>
  <c r="N359" i="16" s="1"/>
  <c r="T361" i="16"/>
  <c r="U361" i="16"/>
  <c r="Q362" i="16"/>
  <c r="T362" i="16" s="1"/>
  <c r="R362" i="16"/>
  <c r="U362" i="16" s="1"/>
  <c r="S362" i="16"/>
  <c r="O363" i="16"/>
  <c r="P363" i="16"/>
  <c r="T363" i="16"/>
  <c r="U363" i="16"/>
  <c r="L364" i="16"/>
  <c r="L362" i="16" s="1"/>
  <c r="O362" i="16" s="1"/>
  <c r="M364" i="16"/>
  <c r="M362" i="16" s="1"/>
  <c r="P362" i="16" s="1"/>
  <c r="N364" i="16"/>
  <c r="N362" i="16" s="1"/>
  <c r="T364" i="16"/>
  <c r="U364" i="16"/>
  <c r="J367" i="16"/>
  <c r="K367" i="16"/>
  <c r="I368" i="16"/>
  <c r="J368" i="16"/>
  <c r="I369" i="16"/>
  <c r="J369" i="16"/>
  <c r="J370" i="16"/>
  <c r="K370" i="16"/>
  <c r="I371" i="16"/>
  <c r="I365" i="16" s="1"/>
  <c r="J371" i="16"/>
  <c r="J365" i="16" s="1"/>
  <c r="J372" i="16"/>
  <c r="K372" i="16"/>
  <c r="D373" i="16"/>
  <c r="L376" i="16"/>
  <c r="O376" i="16" s="1"/>
  <c r="M376" i="16"/>
  <c r="N376" i="16"/>
  <c r="P376" i="16"/>
  <c r="Q376" i="16"/>
  <c r="R376" i="16"/>
  <c r="S376" i="16"/>
  <c r="T376" i="16"/>
  <c r="O379" i="16"/>
  <c r="P379" i="16"/>
  <c r="T379" i="16"/>
  <c r="U379" i="16"/>
  <c r="L380" i="16"/>
  <c r="L378" i="16" s="1"/>
  <c r="O378" i="16" s="1"/>
  <c r="M380" i="16"/>
  <c r="P380" i="16" s="1"/>
  <c r="N380" i="16"/>
  <c r="N378" i="16" s="1"/>
  <c r="Q380" i="16"/>
  <c r="R380" i="16"/>
  <c r="R377" i="16" s="1"/>
  <c r="S380" i="16"/>
  <c r="S377" i="16" s="1"/>
  <c r="S375" i="16" s="1"/>
  <c r="Q381" i="16"/>
  <c r="R381" i="16"/>
  <c r="U381" i="16" s="1"/>
  <c r="S381" i="16"/>
  <c r="T381" i="16"/>
  <c r="O382" i="16"/>
  <c r="P382" i="16"/>
  <c r="T382" i="16"/>
  <c r="U382" i="16"/>
  <c r="L383" i="16"/>
  <c r="O383" i="16" s="1"/>
  <c r="M383" i="16"/>
  <c r="M381" i="16" s="1"/>
  <c r="P381" i="16" s="1"/>
  <c r="N383" i="16"/>
  <c r="N381" i="16" s="1"/>
  <c r="T383" i="16"/>
  <c r="U383" i="16"/>
  <c r="J385" i="16"/>
  <c r="K385" i="16"/>
  <c r="I386" i="16"/>
  <c r="J386" i="16"/>
  <c r="J387" i="16"/>
  <c r="K387" i="16"/>
  <c r="I388" i="16"/>
  <c r="K388" i="16" s="1"/>
  <c r="J388" i="16"/>
  <c r="I391" i="16"/>
  <c r="K391" i="16" s="1"/>
  <c r="J391" i="16"/>
  <c r="L392" i="16"/>
  <c r="O392" i="16" s="1"/>
  <c r="L393" i="16"/>
  <c r="M393" i="16"/>
  <c r="N393" i="16"/>
  <c r="N392" i="16" s="1"/>
  <c r="O393" i="16"/>
  <c r="P393" i="16"/>
  <c r="Q393" i="16"/>
  <c r="R393" i="16"/>
  <c r="S393" i="16"/>
  <c r="T393" i="16"/>
  <c r="U393" i="16"/>
  <c r="L394" i="16"/>
  <c r="O394" i="16" s="1"/>
  <c r="M394" i="16"/>
  <c r="M392" i="16" s="1"/>
  <c r="P392" i="16" s="1"/>
  <c r="N394" i="16"/>
  <c r="L395" i="16"/>
  <c r="M395" i="16"/>
  <c r="N395" i="16"/>
  <c r="O395" i="16"/>
  <c r="P395" i="16"/>
  <c r="O396" i="16"/>
  <c r="P396" i="16"/>
  <c r="T396" i="16"/>
  <c r="U396" i="16"/>
  <c r="O397" i="16"/>
  <c r="P397" i="16"/>
  <c r="Q397" i="16"/>
  <c r="Q394" i="16" s="1"/>
  <c r="T394" i="16" s="1"/>
  <c r="R397" i="16"/>
  <c r="R394" i="16" s="1"/>
  <c r="U394" i="16" s="1"/>
  <c r="S397" i="16"/>
  <c r="S394" i="16" s="1"/>
  <c r="S392" i="16" s="1"/>
  <c r="L398" i="16"/>
  <c r="O398" i="16" s="1"/>
  <c r="M398" i="16"/>
  <c r="P398" i="16" s="1"/>
  <c r="N398" i="16"/>
  <c r="Q398" i="16"/>
  <c r="T398" i="16" s="1"/>
  <c r="R398" i="16"/>
  <c r="U398" i="16" s="1"/>
  <c r="S398" i="16"/>
  <c r="O399" i="16"/>
  <c r="P399" i="16"/>
  <c r="T399" i="16"/>
  <c r="U399" i="16"/>
  <c r="O400" i="16"/>
  <c r="P400" i="16"/>
  <c r="T400" i="16"/>
  <c r="U400" i="16"/>
  <c r="J412" i="16"/>
  <c r="L414" i="16"/>
  <c r="M414" i="16"/>
  <c r="N414" i="16"/>
  <c r="O414" i="16"/>
  <c r="P414" i="16"/>
  <c r="Q414" i="16"/>
  <c r="R414" i="16"/>
  <c r="S414" i="16"/>
  <c r="T414" i="16"/>
  <c r="U414" i="16"/>
  <c r="O417" i="16"/>
  <c r="P417" i="16"/>
  <c r="T417" i="16"/>
  <c r="U417" i="16"/>
  <c r="L418" i="16"/>
  <c r="L416" i="16" s="1"/>
  <c r="M418" i="16"/>
  <c r="N418" i="16"/>
  <c r="Q418" i="16"/>
  <c r="R418" i="16"/>
  <c r="S418" i="16"/>
  <c r="S415" i="16" s="1"/>
  <c r="S413" i="16" s="1"/>
  <c r="Q419" i="16"/>
  <c r="R419" i="16"/>
  <c r="U419" i="16" s="1"/>
  <c r="S419" i="16"/>
  <c r="T419" i="16"/>
  <c r="O420" i="16"/>
  <c r="P420" i="16"/>
  <c r="T420" i="16"/>
  <c r="U420" i="16"/>
  <c r="L421" i="16"/>
  <c r="O421" i="16" s="1"/>
  <c r="M421" i="16"/>
  <c r="M419" i="16" s="1"/>
  <c r="P419" i="16" s="1"/>
  <c r="N421" i="16"/>
  <c r="N419" i="16" s="1"/>
  <c r="T421" i="16"/>
  <c r="U421" i="16"/>
  <c r="I424" i="16"/>
  <c r="K424" i="16" s="1"/>
  <c r="J424" i="16"/>
  <c r="I425" i="16"/>
  <c r="J425" i="16"/>
  <c r="I432" i="16"/>
  <c r="K432" i="16" s="1"/>
  <c r="J432" i="16"/>
  <c r="I433" i="16"/>
  <c r="K433" i="16" s="1"/>
  <c r="J433" i="16"/>
  <c r="I440" i="16"/>
  <c r="I423" i="16" s="1"/>
  <c r="I441" i="16"/>
  <c r="J441" i="16"/>
  <c r="J446" i="16"/>
  <c r="J440" i="16" s="1"/>
  <c r="J423" i="16" s="1"/>
  <c r="J447" i="16"/>
  <c r="I457" i="16"/>
  <c r="I456" i="16" s="1"/>
  <c r="I458" i="16"/>
  <c r="K458" i="16" s="1"/>
  <c r="J459" i="16"/>
  <c r="J460" i="16"/>
  <c r="J458" i="16" s="1"/>
  <c r="J467" i="16"/>
  <c r="J457" i="16" s="1"/>
  <c r="J468" i="16"/>
  <c r="J475" i="16"/>
  <c r="K475" i="16"/>
  <c r="J476" i="16"/>
  <c r="K476" i="16"/>
  <c r="J477" i="16"/>
  <c r="K477" i="16"/>
  <c r="J482" i="16"/>
  <c r="J483" i="16"/>
  <c r="I484" i="16"/>
  <c r="J484" i="16"/>
  <c r="K484" i="16"/>
  <c r="I485" i="16"/>
  <c r="J485" i="16"/>
  <c r="K485" i="16"/>
  <c r="L494" i="16"/>
  <c r="M494" i="16"/>
  <c r="N494" i="16"/>
  <c r="O494" i="16"/>
  <c r="Q494" i="16"/>
  <c r="R494" i="16"/>
  <c r="S494" i="16"/>
  <c r="T494" i="16"/>
  <c r="U494" i="16"/>
  <c r="O497" i="16"/>
  <c r="P497" i="16"/>
  <c r="T497" i="16"/>
  <c r="U497" i="16"/>
  <c r="L498" i="16"/>
  <c r="L496" i="16" s="1"/>
  <c r="O496" i="16" s="1"/>
  <c r="M498" i="16"/>
  <c r="M496" i="16" s="1"/>
  <c r="P496" i="16" s="1"/>
  <c r="N498" i="16"/>
  <c r="N496" i="16" s="1"/>
  <c r="Q498" i="16"/>
  <c r="Q496" i="16" s="1"/>
  <c r="T496" i="16" s="1"/>
  <c r="R498" i="16"/>
  <c r="U498" i="16" s="1"/>
  <c r="S498" i="16"/>
  <c r="S495" i="16" s="1"/>
  <c r="Q499" i="16"/>
  <c r="T499" i="16" s="1"/>
  <c r="R499" i="16"/>
  <c r="U499" i="16" s="1"/>
  <c r="S499" i="16"/>
  <c r="O500" i="16"/>
  <c r="P500" i="16"/>
  <c r="T500" i="16"/>
  <c r="U500" i="16"/>
  <c r="L501" i="16"/>
  <c r="L499" i="16" s="1"/>
  <c r="O499" i="16" s="1"/>
  <c r="M501" i="16"/>
  <c r="M499" i="16" s="1"/>
  <c r="P499" i="16" s="1"/>
  <c r="N501" i="16"/>
  <c r="N499" i="16" s="1"/>
  <c r="T501" i="16"/>
  <c r="U501" i="16"/>
  <c r="I503" i="16"/>
  <c r="I492" i="16" s="1"/>
  <c r="K492" i="16" s="1"/>
  <c r="I504" i="16"/>
  <c r="I505" i="16"/>
  <c r="K505" i="16" s="1"/>
  <c r="I506" i="16"/>
  <c r="K506" i="16" s="1"/>
  <c r="I507" i="16"/>
  <c r="K507" i="16" s="1"/>
  <c r="K508" i="16"/>
  <c r="I509" i="16"/>
  <c r="K509" i="16" s="1"/>
  <c r="I512" i="16"/>
  <c r="K512" i="16" s="1"/>
  <c r="J512" i="16"/>
  <c r="L514" i="16"/>
  <c r="M514" i="16"/>
  <c r="N514" i="16"/>
  <c r="P514" i="16"/>
  <c r="Q514" i="16"/>
  <c r="R514" i="16"/>
  <c r="R513" i="16" s="1"/>
  <c r="U513" i="16" s="1"/>
  <c r="S514" i="16"/>
  <c r="S513" i="16" s="1"/>
  <c r="Q515" i="16"/>
  <c r="R515" i="16"/>
  <c r="U515" i="16" s="1"/>
  <c r="S515" i="16"/>
  <c r="T515" i="16"/>
  <c r="Q516" i="16"/>
  <c r="R516" i="16"/>
  <c r="S516" i="16"/>
  <c r="T516" i="16"/>
  <c r="U516" i="16"/>
  <c r="O517" i="16"/>
  <c r="P517" i="16"/>
  <c r="T517" i="16"/>
  <c r="U517" i="16"/>
  <c r="L518" i="16"/>
  <c r="M518" i="16"/>
  <c r="N518" i="16"/>
  <c r="T518" i="16"/>
  <c r="U518" i="16"/>
  <c r="Q519" i="16"/>
  <c r="T519" i="16" s="1"/>
  <c r="R519" i="16"/>
  <c r="U519" i="16" s="1"/>
  <c r="S519" i="16"/>
  <c r="O520" i="16"/>
  <c r="P520" i="16"/>
  <c r="T520" i="16"/>
  <c r="U520" i="16"/>
  <c r="L521" i="16"/>
  <c r="M521" i="16"/>
  <c r="M519" i="16" s="1"/>
  <c r="P519" i="16" s="1"/>
  <c r="N521" i="16"/>
  <c r="N519" i="16" s="1"/>
  <c r="T521" i="16"/>
  <c r="U521" i="16"/>
  <c r="K523" i="16"/>
  <c r="K524" i="16"/>
  <c r="I533" i="16"/>
  <c r="K533" i="16" s="1"/>
  <c r="J533" i="16"/>
  <c r="L535" i="16"/>
  <c r="M535" i="16"/>
  <c r="N535" i="16"/>
  <c r="Q535" i="16"/>
  <c r="R535" i="16"/>
  <c r="S535" i="16"/>
  <c r="Q536" i="16"/>
  <c r="R536" i="16"/>
  <c r="S536" i="16"/>
  <c r="T536" i="16"/>
  <c r="U536" i="16"/>
  <c r="Q537" i="16"/>
  <c r="T537" i="16" s="1"/>
  <c r="R537" i="16"/>
  <c r="S537" i="16"/>
  <c r="U537" i="16"/>
  <c r="O538" i="16"/>
  <c r="P538" i="16"/>
  <c r="T538" i="16"/>
  <c r="U538" i="16"/>
  <c r="L539" i="16"/>
  <c r="M539" i="16"/>
  <c r="N539" i="16"/>
  <c r="N537" i="16" s="1"/>
  <c r="T539" i="16"/>
  <c r="U539" i="16"/>
  <c r="Q540" i="16"/>
  <c r="R540" i="16"/>
  <c r="U540" i="16" s="1"/>
  <c r="S540" i="16"/>
  <c r="T540" i="16"/>
  <c r="O541" i="16"/>
  <c r="P541" i="16"/>
  <c r="T541" i="16"/>
  <c r="U541" i="16"/>
  <c r="L542" i="16"/>
  <c r="O542" i="16" s="1"/>
  <c r="M542" i="16"/>
  <c r="M540" i="16" s="1"/>
  <c r="P540" i="16" s="1"/>
  <c r="N542" i="16"/>
  <c r="N540" i="16" s="1"/>
  <c r="T542" i="16"/>
  <c r="U542" i="16"/>
  <c r="I554" i="16"/>
  <c r="K554" i="16" s="1"/>
  <c r="J554" i="16"/>
  <c r="R555" i="16"/>
  <c r="U555" i="16" s="1"/>
  <c r="S555" i="16"/>
  <c r="L556" i="16"/>
  <c r="M556" i="16"/>
  <c r="N556" i="16"/>
  <c r="O556" i="16"/>
  <c r="P556" i="16"/>
  <c r="Q556" i="16"/>
  <c r="R556" i="16"/>
  <c r="S556" i="16"/>
  <c r="T556" i="16"/>
  <c r="U556" i="16"/>
  <c r="Q557" i="16"/>
  <c r="T557" i="16" s="1"/>
  <c r="R557" i="16"/>
  <c r="U557" i="16" s="1"/>
  <c r="S557" i="16"/>
  <c r="Q558" i="16"/>
  <c r="R558" i="16"/>
  <c r="U558" i="16" s="1"/>
  <c r="S558" i="16"/>
  <c r="T558" i="16"/>
  <c r="O559" i="16"/>
  <c r="P559" i="16"/>
  <c r="T559" i="16"/>
  <c r="U559" i="16"/>
  <c r="L560" i="16"/>
  <c r="M560" i="16"/>
  <c r="N560" i="16"/>
  <c r="N558" i="16" s="1"/>
  <c r="T560" i="16"/>
  <c r="U560" i="16"/>
  <c r="Q561" i="16"/>
  <c r="T561" i="16" s="1"/>
  <c r="R561" i="16"/>
  <c r="S561" i="16"/>
  <c r="U561" i="16"/>
  <c r="O562" i="16"/>
  <c r="P562" i="16"/>
  <c r="T562" i="16"/>
  <c r="U562" i="16"/>
  <c r="L563" i="16"/>
  <c r="O563" i="16" s="1"/>
  <c r="M563" i="16"/>
  <c r="N563" i="16"/>
  <c r="N561" i="16" s="1"/>
  <c r="T563" i="16"/>
  <c r="U563" i="16"/>
  <c r="I575" i="16"/>
  <c r="K575" i="16" s="1"/>
  <c r="J575" i="16"/>
  <c r="L577" i="16"/>
  <c r="M577" i="16"/>
  <c r="N577" i="16"/>
  <c r="Q577" i="16"/>
  <c r="R577" i="16"/>
  <c r="S577" i="16"/>
  <c r="S576" i="16" s="1"/>
  <c r="Q578" i="16"/>
  <c r="R578" i="16"/>
  <c r="S578" i="16"/>
  <c r="T578" i="16"/>
  <c r="U578" i="16"/>
  <c r="Q579" i="16"/>
  <c r="T579" i="16" s="1"/>
  <c r="R579" i="16"/>
  <c r="S579" i="16"/>
  <c r="U579" i="16"/>
  <c r="O580" i="16"/>
  <c r="P580" i="16"/>
  <c r="T580" i="16"/>
  <c r="U580" i="16"/>
  <c r="L581" i="16"/>
  <c r="L579" i="16" s="1"/>
  <c r="M581" i="16"/>
  <c r="N581" i="16"/>
  <c r="T581" i="16"/>
  <c r="U581" i="16"/>
  <c r="Q582" i="16"/>
  <c r="R582" i="16"/>
  <c r="U582" i="16" s="1"/>
  <c r="S582" i="16"/>
  <c r="T582" i="16"/>
  <c r="O583" i="16"/>
  <c r="P583" i="16"/>
  <c r="T583" i="16"/>
  <c r="U583" i="16"/>
  <c r="L584" i="16"/>
  <c r="O584" i="16" s="1"/>
  <c r="M584" i="16"/>
  <c r="N584" i="16"/>
  <c r="N582" i="16" s="1"/>
  <c r="T584" i="16"/>
  <c r="U584" i="16"/>
  <c r="L600" i="16"/>
  <c r="M600" i="16"/>
  <c r="N600" i="16"/>
  <c r="Q600" i="16"/>
  <c r="R600" i="16"/>
  <c r="S600" i="16"/>
  <c r="O603" i="16"/>
  <c r="P603" i="16"/>
  <c r="T603" i="16"/>
  <c r="U603" i="16"/>
  <c r="L604" i="16"/>
  <c r="M604" i="16"/>
  <c r="N604" i="16"/>
  <c r="Q604" i="16"/>
  <c r="Q602" i="16" s="1"/>
  <c r="T602" i="16" s="1"/>
  <c r="R604" i="16"/>
  <c r="U604" i="16" s="1"/>
  <c r="S604" i="16"/>
  <c r="S602" i="16" s="1"/>
  <c r="O606" i="16"/>
  <c r="P606" i="16"/>
  <c r="T606" i="16"/>
  <c r="U606" i="16"/>
  <c r="L607" i="16"/>
  <c r="L605" i="16" s="1"/>
  <c r="O605" i="16" s="1"/>
  <c r="M607" i="16"/>
  <c r="N607" i="16"/>
  <c r="N605" i="16" s="1"/>
  <c r="Q607" i="16"/>
  <c r="Q605" i="16" s="1"/>
  <c r="T605" i="16" s="1"/>
  <c r="R607" i="16"/>
  <c r="U607" i="16" s="1"/>
  <c r="S607" i="16"/>
  <c r="S605" i="16" s="1"/>
  <c r="L616" i="16"/>
  <c r="O616" i="16" s="1"/>
  <c r="M616" i="16"/>
  <c r="P616" i="16" s="1"/>
  <c r="L617" i="16"/>
  <c r="M617" i="16"/>
  <c r="N617" i="16"/>
  <c r="N616" i="16" s="1"/>
  <c r="O617" i="16"/>
  <c r="P617" i="16"/>
  <c r="Q617" i="16"/>
  <c r="R617" i="16"/>
  <c r="S617" i="16"/>
  <c r="T617" i="16"/>
  <c r="U617" i="16"/>
  <c r="L618" i="16"/>
  <c r="O618" i="16" s="1"/>
  <c r="M618" i="16"/>
  <c r="N618" i="16"/>
  <c r="P618" i="16"/>
  <c r="L619" i="16"/>
  <c r="O619" i="16" s="1"/>
  <c r="M619" i="16"/>
  <c r="P619" i="16" s="1"/>
  <c r="N619" i="16"/>
  <c r="O620" i="16"/>
  <c r="P620" i="16"/>
  <c r="T620" i="16"/>
  <c r="U620" i="16"/>
  <c r="O621" i="16"/>
  <c r="P621" i="16"/>
  <c r="Q621" i="16"/>
  <c r="Q619" i="16" s="1"/>
  <c r="R621" i="16"/>
  <c r="R619" i="16" s="1"/>
  <c r="S621" i="16"/>
  <c r="L622" i="16"/>
  <c r="M622" i="16"/>
  <c r="N622" i="16"/>
  <c r="O622" i="16"/>
  <c r="P622" i="16"/>
  <c r="Q622" i="16"/>
  <c r="T622" i="16" s="1"/>
  <c r="R622" i="16"/>
  <c r="S622" i="16"/>
  <c r="U622" i="16"/>
  <c r="O623" i="16"/>
  <c r="P623" i="16"/>
  <c r="T623" i="16"/>
  <c r="U623" i="16"/>
  <c r="O624" i="16"/>
  <c r="P624" i="16"/>
  <c r="T624" i="16"/>
  <c r="U624" i="16"/>
  <c r="I626" i="16"/>
  <c r="K631" i="16" s="1"/>
  <c r="I627" i="16"/>
  <c r="K627" i="16" s="1"/>
  <c r="I628" i="16"/>
  <c r="K628" i="16" s="1"/>
  <c r="J632" i="16"/>
  <c r="J626" i="16" s="1"/>
  <c r="J615" i="16" s="1"/>
  <c r="I635" i="16"/>
  <c r="K635" i="16" s="1"/>
  <c r="J636" i="16"/>
  <c r="J635" i="16" s="1"/>
  <c r="L642" i="16"/>
  <c r="O642" i="16" s="1"/>
  <c r="L643" i="16"/>
  <c r="M643" i="16"/>
  <c r="N643" i="16"/>
  <c r="N642" i="16" s="1"/>
  <c r="O643" i="16"/>
  <c r="Q643" i="16"/>
  <c r="R643" i="16"/>
  <c r="S643" i="16"/>
  <c r="T643" i="16"/>
  <c r="U643" i="16"/>
  <c r="L644" i="16"/>
  <c r="M644" i="16"/>
  <c r="N644" i="16"/>
  <c r="O644" i="16"/>
  <c r="P644" i="16"/>
  <c r="L645" i="16"/>
  <c r="O645" i="16" s="1"/>
  <c r="M645" i="16"/>
  <c r="P645" i="16" s="1"/>
  <c r="N645" i="16"/>
  <c r="O646" i="16"/>
  <c r="P646" i="16"/>
  <c r="T646" i="16"/>
  <c r="U646" i="16"/>
  <c r="O647" i="16"/>
  <c r="P647" i="16"/>
  <c r="Q647" i="16"/>
  <c r="R647" i="16"/>
  <c r="R645" i="16" s="1"/>
  <c r="S647" i="16"/>
  <c r="L648" i="16"/>
  <c r="M648" i="16"/>
  <c r="N648" i="16"/>
  <c r="O648" i="16"/>
  <c r="P648" i="16"/>
  <c r="Q648" i="16"/>
  <c r="R648" i="16"/>
  <c r="S648" i="16"/>
  <c r="T648" i="16"/>
  <c r="U648" i="16"/>
  <c r="O649" i="16"/>
  <c r="P649" i="16"/>
  <c r="T649" i="16"/>
  <c r="U649" i="16"/>
  <c r="O650" i="16"/>
  <c r="P650" i="16"/>
  <c r="T650" i="16"/>
  <c r="U650" i="16"/>
  <c r="I652" i="16"/>
  <c r="K652" i="16" s="1"/>
  <c r="J652" i="16"/>
  <c r="I653" i="16"/>
  <c r="K653" i="16" s="1"/>
  <c r="J653" i="16"/>
  <c r="I654" i="16"/>
  <c r="J654" i="16"/>
  <c r="I657" i="16"/>
  <c r="I660" i="16"/>
  <c r="I661" i="16"/>
  <c r="K661" i="16" s="1"/>
  <c r="J661" i="16"/>
  <c r="J671" i="16"/>
  <c r="J672" i="16"/>
  <c r="I673" i="16"/>
  <c r="K673" i="16" s="1"/>
  <c r="J673" i="16"/>
  <c r="I674" i="16"/>
  <c r="I675" i="16"/>
  <c r="I676" i="16"/>
  <c r="J676" i="16"/>
  <c r="J677" i="16"/>
  <c r="I678" i="16"/>
  <c r="J678" i="16"/>
  <c r="I679" i="16"/>
  <c r="K679" i="16" s="1"/>
  <c r="J679" i="16"/>
  <c r="J680" i="16"/>
  <c r="I681" i="16"/>
  <c r="K681" i="16" s="1"/>
  <c r="J681" i="16"/>
  <c r="I682" i="16"/>
  <c r="K682" i="16" s="1"/>
  <c r="J682" i="16"/>
  <c r="L690" i="16"/>
  <c r="O690" i="16" s="1"/>
  <c r="L691" i="16"/>
  <c r="M691" i="16"/>
  <c r="N691" i="16"/>
  <c r="N690" i="16" s="1"/>
  <c r="O691" i="16"/>
  <c r="Q691" i="16"/>
  <c r="R691" i="16"/>
  <c r="S691" i="16"/>
  <c r="T691" i="16"/>
  <c r="U691" i="16"/>
  <c r="L692" i="16"/>
  <c r="M692" i="16"/>
  <c r="N692" i="16"/>
  <c r="O692" i="16"/>
  <c r="P692" i="16"/>
  <c r="L693" i="16"/>
  <c r="O693" i="16" s="1"/>
  <c r="M693" i="16"/>
  <c r="P693" i="16" s="1"/>
  <c r="N693" i="16"/>
  <c r="O694" i="16"/>
  <c r="P694" i="16"/>
  <c r="T694" i="16"/>
  <c r="U694" i="16"/>
  <c r="O695" i="16"/>
  <c r="P695" i="16"/>
  <c r="Q695" i="16"/>
  <c r="Q693" i="16" s="1"/>
  <c r="R695" i="16"/>
  <c r="R693" i="16" s="1"/>
  <c r="S695" i="16"/>
  <c r="L696" i="16"/>
  <c r="M696" i="16"/>
  <c r="N696" i="16"/>
  <c r="O696" i="16"/>
  <c r="P696" i="16"/>
  <c r="Q696" i="16"/>
  <c r="R696" i="16"/>
  <c r="S696" i="16"/>
  <c r="T696" i="16"/>
  <c r="U696" i="16"/>
  <c r="O697" i="16"/>
  <c r="P697" i="16"/>
  <c r="T697" i="16"/>
  <c r="U697" i="16"/>
  <c r="O698" i="16"/>
  <c r="P698" i="16"/>
  <c r="T698" i="16"/>
  <c r="U698" i="16"/>
  <c r="I700" i="16"/>
  <c r="K700" i="16" s="1"/>
  <c r="K702" i="16"/>
  <c r="I703" i="16"/>
  <c r="J703" i="16"/>
  <c r="J704" i="16"/>
  <c r="K704" i="16"/>
  <c r="I705" i="16"/>
  <c r="J705" i="16"/>
  <c r="J706" i="16"/>
  <c r="K706" i="16"/>
  <c r="I707" i="16"/>
  <c r="I689" i="16" s="1"/>
  <c r="J707" i="16"/>
  <c r="J689" i="16" s="1"/>
  <c r="J708" i="16"/>
  <c r="K708" i="16"/>
  <c r="I709" i="16"/>
  <c r="J709" i="16"/>
  <c r="J710" i="16"/>
  <c r="K710" i="16"/>
  <c r="J712" i="16"/>
  <c r="K712" i="16"/>
  <c r="L715" i="16"/>
  <c r="M715" i="16"/>
  <c r="N715" i="16"/>
  <c r="Q715" i="16"/>
  <c r="R715" i="16"/>
  <c r="S715" i="16"/>
  <c r="S714" i="16" s="1"/>
  <c r="L716" i="16"/>
  <c r="M716" i="16"/>
  <c r="P716" i="16" s="1"/>
  <c r="N716" i="16"/>
  <c r="O716" i="16"/>
  <c r="Q716" i="16"/>
  <c r="R716" i="16"/>
  <c r="S716" i="16"/>
  <c r="T716" i="16"/>
  <c r="U716" i="16"/>
  <c r="L717" i="16"/>
  <c r="M717" i="16"/>
  <c r="N717" i="16"/>
  <c r="O717" i="16"/>
  <c r="P717" i="16"/>
  <c r="Q717" i="16"/>
  <c r="T717" i="16" s="1"/>
  <c r="R717" i="16"/>
  <c r="S717" i="16"/>
  <c r="U717" i="16"/>
  <c r="O718" i="16"/>
  <c r="P718" i="16"/>
  <c r="T718" i="16"/>
  <c r="U718" i="16"/>
  <c r="O719" i="16"/>
  <c r="P719" i="16"/>
  <c r="T719" i="16"/>
  <c r="U719" i="16"/>
  <c r="L720" i="16"/>
  <c r="M720" i="16"/>
  <c r="N720" i="16"/>
  <c r="O720" i="16"/>
  <c r="P720" i="16"/>
  <c r="Q720" i="16"/>
  <c r="T720" i="16" s="1"/>
  <c r="R720" i="16"/>
  <c r="S720" i="16"/>
  <c r="U720" i="16"/>
  <c r="O721" i="16"/>
  <c r="P721" i="16"/>
  <c r="T721" i="16"/>
  <c r="U721" i="16"/>
  <c r="O722" i="16"/>
  <c r="P722" i="16"/>
  <c r="T722" i="16"/>
  <c r="U722" i="16"/>
  <c r="I726" i="16"/>
  <c r="K726" i="16" s="1"/>
  <c r="J726" i="16"/>
  <c r="I727" i="16"/>
  <c r="J727" i="16"/>
  <c r="L729" i="16"/>
  <c r="M729" i="16"/>
  <c r="N729" i="16"/>
  <c r="N728" i="16" s="1"/>
  <c r="Q729" i="16"/>
  <c r="R729" i="16"/>
  <c r="S729" i="16"/>
  <c r="L730" i="16"/>
  <c r="M730" i="16"/>
  <c r="P730" i="16" s="1"/>
  <c r="N730" i="16"/>
  <c r="O730" i="16"/>
  <c r="L731" i="16"/>
  <c r="M731" i="16"/>
  <c r="N731" i="16"/>
  <c r="O731" i="16"/>
  <c r="P731" i="16"/>
  <c r="O732" i="16"/>
  <c r="P732" i="16"/>
  <c r="T732" i="16"/>
  <c r="U732" i="16"/>
  <c r="O733" i="16"/>
  <c r="P733" i="16"/>
  <c r="Q733" i="16"/>
  <c r="R733" i="16"/>
  <c r="S733" i="16"/>
  <c r="S731" i="16" s="1"/>
  <c r="L734" i="16"/>
  <c r="O734" i="16" s="1"/>
  <c r="M734" i="16"/>
  <c r="P734" i="16" s="1"/>
  <c r="N734" i="16"/>
  <c r="Q734" i="16"/>
  <c r="R734" i="16"/>
  <c r="U734" i="16" s="1"/>
  <c r="S734" i="16"/>
  <c r="T734" i="16"/>
  <c r="O735" i="16"/>
  <c r="P735" i="16"/>
  <c r="T735" i="16"/>
  <c r="U735" i="16"/>
  <c r="O736" i="16"/>
  <c r="P736" i="16"/>
  <c r="T736" i="16"/>
  <c r="U736" i="16"/>
  <c r="I740" i="16"/>
  <c r="K740" i="16" s="1"/>
  <c r="I742" i="16"/>
  <c r="K742" i="16" s="1"/>
  <c r="I744" i="16"/>
  <c r="K744" i="16" s="1"/>
  <c r="I746" i="16"/>
  <c r="K746" i="16" s="1"/>
  <c r="I749" i="16"/>
  <c r="K749" i="16" s="1"/>
  <c r="I752" i="16"/>
  <c r="K752" i="16" s="1"/>
  <c r="I755" i="16"/>
  <c r="K755" i="16" s="1"/>
  <c r="J758" i="16"/>
  <c r="J759" i="16"/>
  <c r="L761" i="16"/>
  <c r="M761" i="16"/>
  <c r="N761" i="16"/>
  <c r="Q761" i="16"/>
  <c r="R761" i="16"/>
  <c r="S761" i="16"/>
  <c r="T761" i="16"/>
  <c r="L762" i="16"/>
  <c r="M762" i="16"/>
  <c r="N762" i="16"/>
  <c r="O762" i="16"/>
  <c r="P762" i="16"/>
  <c r="L763" i="16"/>
  <c r="O763" i="16" s="1"/>
  <c r="M763" i="16"/>
  <c r="N763" i="16"/>
  <c r="P763" i="16"/>
  <c r="O764" i="16"/>
  <c r="P764" i="16"/>
  <c r="T764" i="16"/>
  <c r="U764" i="16"/>
  <c r="O765" i="16"/>
  <c r="P765" i="16"/>
  <c r="Q765" i="16"/>
  <c r="Q763" i="16" s="1"/>
  <c r="R765" i="16"/>
  <c r="S765" i="16"/>
  <c r="S763" i="16" s="1"/>
  <c r="L766" i="16"/>
  <c r="M766" i="16"/>
  <c r="P766" i="16" s="1"/>
  <c r="N766" i="16"/>
  <c r="O766" i="16"/>
  <c r="Q766" i="16"/>
  <c r="R766" i="16"/>
  <c r="S766" i="16"/>
  <c r="T766" i="16"/>
  <c r="U766" i="16"/>
  <c r="O767" i="16"/>
  <c r="P767" i="16"/>
  <c r="T767" i="16"/>
  <c r="U767" i="16"/>
  <c r="O768" i="16"/>
  <c r="P768" i="16"/>
  <c r="T768" i="16"/>
  <c r="U768" i="16"/>
  <c r="I770" i="16"/>
  <c r="K770" i="16" s="1"/>
  <c r="I772" i="16"/>
  <c r="I774" i="16"/>
  <c r="K774" i="16" s="1"/>
  <c r="I775" i="16"/>
  <c r="I776" i="16"/>
  <c r="H777" i="16"/>
  <c r="I778" i="16"/>
  <c r="J778" i="16"/>
  <c r="I779" i="16"/>
  <c r="J779" i="16"/>
  <c r="I780" i="16"/>
  <c r="J780" i="16"/>
  <c r="I781" i="16"/>
  <c r="J781" i="16"/>
  <c r="I782" i="16"/>
  <c r="J782" i="16"/>
  <c r="I783" i="16"/>
  <c r="J783" i="16"/>
  <c r="I784" i="16"/>
  <c r="J784" i="16"/>
  <c r="I785" i="16"/>
  <c r="J785" i="16"/>
  <c r="A788" i="16"/>
  <c r="A789" i="16"/>
  <c r="L22" i="15"/>
  <c r="L19" i="15" s="1"/>
  <c r="M22" i="15"/>
  <c r="M19" i="15" s="1"/>
  <c r="N22" i="15"/>
  <c r="Q22" i="15"/>
  <c r="R22" i="15"/>
  <c r="S22" i="15"/>
  <c r="L25" i="15"/>
  <c r="M25" i="15"/>
  <c r="N25" i="15"/>
  <c r="Q25" i="15"/>
  <c r="T25" i="15" s="1"/>
  <c r="R25" i="15"/>
  <c r="S25" i="15"/>
  <c r="Q44" i="15"/>
  <c r="T44" i="15" s="1"/>
  <c r="L45" i="15"/>
  <c r="M45" i="15"/>
  <c r="N45" i="15"/>
  <c r="Q45" i="15"/>
  <c r="T45" i="15" s="1"/>
  <c r="R45" i="15"/>
  <c r="U45" i="15" s="1"/>
  <c r="S45" i="15"/>
  <c r="S44" i="15" s="1"/>
  <c r="Q46" i="15"/>
  <c r="R46" i="15"/>
  <c r="S46" i="15"/>
  <c r="T46" i="15"/>
  <c r="U46" i="15"/>
  <c r="Q47" i="15"/>
  <c r="T47" i="15" s="1"/>
  <c r="R47" i="15"/>
  <c r="U47" i="15" s="1"/>
  <c r="S47" i="15"/>
  <c r="O48" i="15"/>
  <c r="P48" i="15"/>
  <c r="T48" i="15"/>
  <c r="U48" i="15"/>
  <c r="L49" i="15"/>
  <c r="M49" i="15"/>
  <c r="M47" i="15" s="1"/>
  <c r="N49" i="15"/>
  <c r="N47" i="15" s="1"/>
  <c r="T49" i="15"/>
  <c r="U49" i="15"/>
  <c r="Q50" i="15"/>
  <c r="T50" i="15" s="1"/>
  <c r="R50" i="15"/>
  <c r="U50" i="15" s="1"/>
  <c r="S50" i="15"/>
  <c r="O51" i="15"/>
  <c r="P51" i="15"/>
  <c r="T51" i="15"/>
  <c r="U51" i="15"/>
  <c r="L52" i="15"/>
  <c r="M52" i="15"/>
  <c r="P52" i="15" s="1"/>
  <c r="N52" i="15"/>
  <c r="N50" i="15" s="1"/>
  <c r="T52" i="15"/>
  <c r="U52" i="15"/>
  <c r="L60" i="15"/>
  <c r="O60" i="15" s="1"/>
  <c r="M60" i="15"/>
  <c r="N60" i="15"/>
  <c r="Q60" i="15"/>
  <c r="Q59" i="15" s="1"/>
  <c r="T59" i="15" s="1"/>
  <c r="R60" i="15"/>
  <c r="U60" i="15" s="1"/>
  <c r="S60" i="15"/>
  <c r="Q61" i="15"/>
  <c r="T61" i="15" s="1"/>
  <c r="R61" i="15"/>
  <c r="U61" i="15" s="1"/>
  <c r="S61" i="15"/>
  <c r="Q62" i="15"/>
  <c r="T62" i="15" s="1"/>
  <c r="R62" i="15"/>
  <c r="U62" i="15" s="1"/>
  <c r="S62" i="15"/>
  <c r="O63" i="15"/>
  <c r="P63" i="15"/>
  <c r="T63" i="15"/>
  <c r="U63" i="15"/>
  <c r="L64" i="15"/>
  <c r="L62" i="15" s="1"/>
  <c r="M64" i="15"/>
  <c r="M62" i="15" s="1"/>
  <c r="N64" i="15"/>
  <c r="T64" i="15"/>
  <c r="U64" i="15"/>
  <c r="Q65" i="15"/>
  <c r="T65" i="15" s="1"/>
  <c r="R65" i="15"/>
  <c r="U65" i="15" s="1"/>
  <c r="S65" i="15"/>
  <c r="O66" i="15"/>
  <c r="P66" i="15"/>
  <c r="T66" i="15"/>
  <c r="U66" i="15"/>
  <c r="L67" i="15"/>
  <c r="M67" i="15"/>
  <c r="P67" i="15" s="1"/>
  <c r="N67" i="15"/>
  <c r="T67" i="15"/>
  <c r="U67" i="15"/>
  <c r="L73" i="15"/>
  <c r="M73" i="15"/>
  <c r="N73" i="15"/>
  <c r="Q73" i="15"/>
  <c r="T73" i="15" s="1"/>
  <c r="R73" i="15"/>
  <c r="U73" i="15" s="1"/>
  <c r="S73" i="15"/>
  <c r="O76" i="15"/>
  <c r="P76" i="15"/>
  <c r="T76" i="15"/>
  <c r="U76" i="15"/>
  <c r="L77" i="15"/>
  <c r="L75" i="15" s="1"/>
  <c r="M77" i="15"/>
  <c r="M75" i="15" s="1"/>
  <c r="N77" i="15"/>
  <c r="N75" i="15" s="1"/>
  <c r="Q77" i="15"/>
  <c r="Q75" i="15" s="1"/>
  <c r="R77" i="15"/>
  <c r="S77" i="15"/>
  <c r="S75" i="15" s="1"/>
  <c r="O79" i="15"/>
  <c r="P79" i="15"/>
  <c r="T79" i="15"/>
  <c r="U79" i="15"/>
  <c r="L80" i="15"/>
  <c r="O80" i="15" s="1"/>
  <c r="M80" i="15"/>
  <c r="M78" i="15" s="1"/>
  <c r="P78" i="15" s="1"/>
  <c r="N80" i="15"/>
  <c r="N78" i="15" s="1"/>
  <c r="Q80" i="15"/>
  <c r="T80" i="15" s="1"/>
  <c r="R80" i="15"/>
  <c r="R78" i="15" s="1"/>
  <c r="U78" i="15" s="1"/>
  <c r="S80" i="15"/>
  <c r="S78" i="15" s="1"/>
  <c r="J82" i="15"/>
  <c r="J70" i="15" s="1"/>
  <c r="J83" i="15"/>
  <c r="J71" i="15" s="1"/>
  <c r="I84" i="15"/>
  <c r="K84" i="15" s="1"/>
  <c r="I85" i="15"/>
  <c r="K85" i="15" s="1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M95" i="15"/>
  <c r="N95" i="15"/>
  <c r="P95" i="15"/>
  <c r="Q95" i="15"/>
  <c r="R95" i="15"/>
  <c r="S95" i="15"/>
  <c r="O98" i="15"/>
  <c r="P98" i="15"/>
  <c r="T98" i="15"/>
  <c r="U98" i="15"/>
  <c r="L99" i="15"/>
  <c r="M99" i="15"/>
  <c r="N99" i="15"/>
  <c r="Q99" i="15"/>
  <c r="Q96" i="15" s="1"/>
  <c r="R99" i="15"/>
  <c r="R96" i="15" s="1"/>
  <c r="S99" i="15"/>
  <c r="S97" i="15" s="1"/>
  <c r="Q100" i="15"/>
  <c r="R100" i="15"/>
  <c r="U100" i="15" s="1"/>
  <c r="S100" i="15"/>
  <c r="T100" i="15"/>
  <c r="O101" i="15"/>
  <c r="P101" i="15"/>
  <c r="T101" i="15"/>
  <c r="U101" i="15"/>
  <c r="L102" i="15"/>
  <c r="M102" i="15"/>
  <c r="N102" i="15"/>
  <c r="T102" i="15"/>
  <c r="U102" i="15"/>
  <c r="I108" i="15"/>
  <c r="I92" i="15" s="1"/>
  <c r="K92" i="15" s="1"/>
  <c r="I109" i="15"/>
  <c r="K109" i="15" s="1"/>
  <c r="I113" i="15"/>
  <c r="K113" i="15" s="1"/>
  <c r="I114" i="15"/>
  <c r="K114" i="15" s="1"/>
  <c r="J116" i="15"/>
  <c r="L118" i="15"/>
  <c r="M118" i="15"/>
  <c r="N118" i="15"/>
  <c r="O118" i="15"/>
  <c r="P118" i="15"/>
  <c r="Q118" i="15"/>
  <c r="T118" i="15" s="1"/>
  <c r="R118" i="15"/>
  <c r="S118" i="15"/>
  <c r="O121" i="15"/>
  <c r="P121" i="15"/>
  <c r="T121" i="15"/>
  <c r="U121" i="15"/>
  <c r="L122" i="15"/>
  <c r="O122" i="15" s="1"/>
  <c r="M122" i="15"/>
  <c r="N122" i="15"/>
  <c r="N120" i="15" s="1"/>
  <c r="Q122" i="15"/>
  <c r="R122" i="15"/>
  <c r="S122" i="15"/>
  <c r="S120" i="15" s="1"/>
  <c r="O124" i="15"/>
  <c r="P124" i="15"/>
  <c r="T124" i="15"/>
  <c r="U124" i="15"/>
  <c r="L125" i="15"/>
  <c r="O125" i="15" s="1"/>
  <c r="M125" i="15"/>
  <c r="M123" i="15" s="1"/>
  <c r="P123" i="15" s="1"/>
  <c r="N125" i="15"/>
  <c r="N123" i="15" s="1"/>
  <c r="Q125" i="15"/>
  <c r="Q123" i="15" s="1"/>
  <c r="T123" i="15" s="1"/>
  <c r="R125" i="15"/>
  <c r="U125" i="15" s="1"/>
  <c r="S125" i="15"/>
  <c r="S123" i="15" s="1"/>
  <c r="I127" i="15"/>
  <c r="I116" i="15" s="1"/>
  <c r="K116" i="15" s="1"/>
  <c r="I128" i="15"/>
  <c r="K128" i="15" s="1"/>
  <c r="I129" i="15"/>
  <c r="K129" i="15" s="1"/>
  <c r="I130" i="15"/>
  <c r="K130" i="15" s="1"/>
  <c r="J136" i="15"/>
  <c r="J137" i="15"/>
  <c r="J138" i="15"/>
  <c r="L140" i="15"/>
  <c r="O140" i="15" s="1"/>
  <c r="M140" i="15"/>
  <c r="P140" i="15" s="1"/>
  <c r="N140" i="15"/>
  <c r="Q140" i="15"/>
  <c r="T140" i="15" s="1"/>
  <c r="R140" i="15"/>
  <c r="U140" i="15" s="1"/>
  <c r="S140" i="15"/>
  <c r="O143" i="15"/>
  <c r="P143" i="15"/>
  <c r="T143" i="15"/>
  <c r="U143" i="15"/>
  <c r="L144" i="15"/>
  <c r="M144" i="15"/>
  <c r="P144" i="15" s="1"/>
  <c r="N144" i="15"/>
  <c r="Q144" i="15"/>
  <c r="T144" i="15" s="1"/>
  <c r="R144" i="15"/>
  <c r="R142" i="15" s="1"/>
  <c r="U142" i="15" s="1"/>
  <c r="S144" i="15"/>
  <c r="O146" i="15"/>
  <c r="P146" i="15"/>
  <c r="T146" i="15"/>
  <c r="U146" i="15"/>
  <c r="L147" i="15"/>
  <c r="M147" i="15"/>
  <c r="P147" i="15" s="1"/>
  <c r="N147" i="15"/>
  <c r="N145" i="15" s="1"/>
  <c r="Q147" i="15"/>
  <c r="T147" i="15" s="1"/>
  <c r="R147" i="15"/>
  <c r="S147" i="15"/>
  <c r="S145" i="15" s="1"/>
  <c r="I150" i="15"/>
  <c r="K150" i="15" s="1"/>
  <c r="I151" i="15"/>
  <c r="K151" i="15" s="1"/>
  <c r="I152" i="15"/>
  <c r="I137" i="15" s="1"/>
  <c r="K137" i="15" s="1"/>
  <c r="I153" i="15"/>
  <c r="I138" i="15" s="1"/>
  <c r="K138" i="15" s="1"/>
  <c r="I154" i="15"/>
  <c r="K154" i="15" s="1"/>
  <c r="J156" i="15"/>
  <c r="L158" i="15"/>
  <c r="O158" i="15" s="1"/>
  <c r="M158" i="15"/>
  <c r="P158" i="15" s="1"/>
  <c r="N158" i="15"/>
  <c r="Q158" i="15"/>
  <c r="T158" i="15" s="1"/>
  <c r="R158" i="15"/>
  <c r="U158" i="15" s="1"/>
  <c r="S158" i="15"/>
  <c r="O161" i="15"/>
  <c r="P161" i="15"/>
  <c r="T161" i="15"/>
  <c r="U161" i="15"/>
  <c r="L162" i="15"/>
  <c r="M162" i="15"/>
  <c r="M160" i="15" s="1"/>
  <c r="N162" i="15"/>
  <c r="Q162" i="15"/>
  <c r="Q160" i="15" s="1"/>
  <c r="T160" i="15" s="1"/>
  <c r="R162" i="15"/>
  <c r="U162" i="15" s="1"/>
  <c r="S162" i="15"/>
  <c r="S159" i="15" s="1"/>
  <c r="Q163" i="15"/>
  <c r="R163" i="15"/>
  <c r="U163" i="15" s="1"/>
  <c r="S163" i="15"/>
  <c r="T163" i="15"/>
  <c r="O164" i="15"/>
  <c r="P164" i="15"/>
  <c r="T164" i="15"/>
  <c r="U164" i="15"/>
  <c r="L165" i="15"/>
  <c r="O165" i="15" s="1"/>
  <c r="M165" i="15"/>
  <c r="M163" i="15" s="1"/>
  <c r="P163" i="15" s="1"/>
  <c r="N165" i="15"/>
  <c r="N163" i="15" s="1"/>
  <c r="T165" i="15"/>
  <c r="U165" i="15"/>
  <c r="I167" i="15"/>
  <c r="I156" i="15" s="1"/>
  <c r="J172" i="15"/>
  <c r="L174" i="15"/>
  <c r="O174" i="15" s="1"/>
  <c r="M174" i="15"/>
  <c r="N174" i="15"/>
  <c r="P174" i="15"/>
  <c r="Q174" i="15"/>
  <c r="T174" i="15" s="1"/>
  <c r="R174" i="15"/>
  <c r="U174" i="15" s="1"/>
  <c r="S174" i="15"/>
  <c r="O177" i="15"/>
  <c r="P177" i="15"/>
  <c r="T177" i="15"/>
  <c r="U177" i="15"/>
  <c r="L178" i="15"/>
  <c r="M178" i="15"/>
  <c r="N178" i="15"/>
  <c r="N176" i="15" s="1"/>
  <c r="Q178" i="15"/>
  <c r="R178" i="15"/>
  <c r="R176" i="15" s="1"/>
  <c r="U176" i="15" s="1"/>
  <c r="S178" i="15"/>
  <c r="S175" i="15" s="1"/>
  <c r="S173" i="15" s="1"/>
  <c r="Q179" i="15"/>
  <c r="T179" i="15" s="1"/>
  <c r="R179" i="15"/>
  <c r="U179" i="15" s="1"/>
  <c r="S179" i="15"/>
  <c r="O180" i="15"/>
  <c r="P180" i="15"/>
  <c r="T180" i="15"/>
  <c r="U180" i="15"/>
  <c r="L181" i="15"/>
  <c r="O181" i="15" s="1"/>
  <c r="M181" i="15"/>
  <c r="M179" i="15" s="1"/>
  <c r="P179" i="15" s="1"/>
  <c r="N181" i="15"/>
  <c r="N179" i="15" s="1"/>
  <c r="T181" i="15"/>
  <c r="U181" i="15"/>
  <c r="I183" i="15"/>
  <c r="I172" i="15" s="1"/>
  <c r="K184" i="15"/>
  <c r="L187" i="15"/>
  <c r="M187" i="15"/>
  <c r="N187" i="15"/>
  <c r="P187" i="15"/>
  <c r="Q187" i="15"/>
  <c r="R187" i="15"/>
  <c r="S187" i="15"/>
  <c r="O190" i="15"/>
  <c r="P190" i="15"/>
  <c r="T190" i="15"/>
  <c r="U190" i="15"/>
  <c r="L191" i="15"/>
  <c r="M191" i="15"/>
  <c r="N191" i="15"/>
  <c r="N189" i="15" s="1"/>
  <c r="Q191" i="15"/>
  <c r="R191" i="15"/>
  <c r="S191" i="15"/>
  <c r="O193" i="15"/>
  <c r="P193" i="15"/>
  <c r="T193" i="15"/>
  <c r="U193" i="15"/>
  <c r="L194" i="15"/>
  <c r="O194" i="15" s="1"/>
  <c r="M194" i="15"/>
  <c r="N194" i="15"/>
  <c r="Q194" i="15"/>
  <c r="Q192" i="15" s="1"/>
  <c r="T192" i="15" s="1"/>
  <c r="R194" i="15"/>
  <c r="U194" i="15" s="1"/>
  <c r="S194" i="15"/>
  <c r="S192" i="15" s="1"/>
  <c r="J195" i="15"/>
  <c r="L196" i="15"/>
  <c r="O196" i="15" s="1"/>
  <c r="P196" i="15"/>
  <c r="I198" i="15"/>
  <c r="I195" i="15" s="1"/>
  <c r="J199" i="15"/>
  <c r="J202" i="15"/>
  <c r="N203" i="15"/>
  <c r="P203" i="15"/>
  <c r="S203" i="15"/>
  <c r="U203" i="15"/>
  <c r="L204" i="15"/>
  <c r="L205" i="15"/>
  <c r="L206" i="15"/>
  <c r="Q206" i="15"/>
  <c r="Q203" i="15" s="1"/>
  <c r="T203" i="15" s="1"/>
  <c r="L207" i="15"/>
  <c r="I209" i="15"/>
  <c r="I202" i="15" s="1"/>
  <c r="K202" i="15" s="1"/>
  <c r="I211" i="15"/>
  <c r="K211" i="15" s="1"/>
  <c r="I212" i="15"/>
  <c r="K212" i="15" s="1"/>
  <c r="J213" i="15"/>
  <c r="N214" i="15"/>
  <c r="P214" i="15"/>
  <c r="S214" i="15"/>
  <c r="U214" i="15"/>
  <c r="L215" i="15"/>
  <c r="L216" i="15"/>
  <c r="L217" i="15"/>
  <c r="Q217" i="15"/>
  <c r="Q214" i="15" s="1"/>
  <c r="T214" i="15" s="1"/>
  <c r="I219" i="15"/>
  <c r="K219" i="15" s="1"/>
  <c r="I220" i="15"/>
  <c r="I213" i="15" s="1"/>
  <c r="K213" i="15" s="1"/>
  <c r="J221" i="15"/>
  <c r="N222" i="15"/>
  <c r="P222" i="15"/>
  <c r="L223" i="15"/>
  <c r="L224" i="15"/>
  <c r="L225" i="15"/>
  <c r="I228" i="15"/>
  <c r="K228" i="15" s="1"/>
  <c r="I229" i="15"/>
  <c r="I221" i="15" s="1"/>
  <c r="K221" i="15" s="1"/>
  <c r="I230" i="15"/>
  <c r="K230" i="15" s="1"/>
  <c r="N233" i="15"/>
  <c r="N234" i="15"/>
  <c r="N235" i="15"/>
  <c r="N236" i="15"/>
  <c r="J238" i="15"/>
  <c r="J240" i="15"/>
  <c r="J241" i="15"/>
  <c r="J242" i="15"/>
  <c r="N243" i="15"/>
  <c r="P243" i="15"/>
  <c r="L244" i="15"/>
  <c r="L245" i="15"/>
  <c r="L246" i="15"/>
  <c r="L247" i="15"/>
  <c r="I249" i="15"/>
  <c r="K249" i="15" s="1"/>
  <c r="I251" i="15"/>
  <c r="K251" i="15" s="1"/>
  <c r="I252" i="15"/>
  <c r="I241" i="15" s="1"/>
  <c r="K241" i="15" s="1"/>
  <c r="J253" i="15"/>
  <c r="N254" i="15"/>
  <c r="P254" i="15"/>
  <c r="L255" i="15"/>
  <c r="L256" i="15"/>
  <c r="L257" i="15"/>
  <c r="L258" i="15"/>
  <c r="I260" i="15"/>
  <c r="K260" i="15" s="1"/>
  <c r="K262" i="15"/>
  <c r="K263" i="15"/>
  <c r="J265" i="15"/>
  <c r="L267" i="15"/>
  <c r="M267" i="15"/>
  <c r="P267" i="15" s="1"/>
  <c r="N267" i="15"/>
  <c r="Q267" i="15"/>
  <c r="T267" i="15" s="1"/>
  <c r="R267" i="15"/>
  <c r="U267" i="15" s="1"/>
  <c r="S267" i="15"/>
  <c r="O270" i="15"/>
  <c r="P270" i="15"/>
  <c r="T270" i="15"/>
  <c r="U270" i="15"/>
  <c r="L271" i="15"/>
  <c r="M271" i="15"/>
  <c r="M269" i="15" s="1"/>
  <c r="N271" i="15"/>
  <c r="Q271" i="15"/>
  <c r="R271" i="15"/>
  <c r="R268" i="15" s="1"/>
  <c r="S271" i="15"/>
  <c r="S268" i="15" s="1"/>
  <c r="S266" i="15" s="1"/>
  <c r="Q272" i="15"/>
  <c r="T272" i="15" s="1"/>
  <c r="R272" i="15"/>
  <c r="U272" i="15" s="1"/>
  <c r="S272" i="15"/>
  <c r="O273" i="15"/>
  <c r="P273" i="15"/>
  <c r="T273" i="15"/>
  <c r="U273" i="15"/>
  <c r="L274" i="15"/>
  <c r="O274" i="15" s="1"/>
  <c r="M274" i="15"/>
  <c r="M272" i="15" s="1"/>
  <c r="P272" i="15" s="1"/>
  <c r="N274" i="15"/>
  <c r="N272" i="15" s="1"/>
  <c r="T274" i="15"/>
  <c r="U274" i="15"/>
  <c r="I276" i="15"/>
  <c r="I265" i="15" s="1"/>
  <c r="K265" i="15" s="1"/>
  <c r="J281" i="15"/>
  <c r="L283" i="15"/>
  <c r="O283" i="15" s="1"/>
  <c r="M283" i="15"/>
  <c r="P283" i="15" s="1"/>
  <c r="N283" i="15"/>
  <c r="Q283" i="15"/>
  <c r="R283" i="15"/>
  <c r="U283" i="15" s="1"/>
  <c r="S283" i="15"/>
  <c r="S282" i="15" s="1"/>
  <c r="T283" i="15"/>
  <c r="Q284" i="15"/>
  <c r="T284" i="15" s="1"/>
  <c r="R284" i="15"/>
  <c r="U284" i="15" s="1"/>
  <c r="S284" i="15"/>
  <c r="Q285" i="15"/>
  <c r="R285" i="15"/>
  <c r="U285" i="15" s="1"/>
  <c r="S285" i="15"/>
  <c r="T285" i="15"/>
  <c r="O286" i="15"/>
  <c r="P286" i="15"/>
  <c r="T286" i="15"/>
  <c r="U286" i="15"/>
  <c r="L287" i="15"/>
  <c r="M287" i="15"/>
  <c r="N287" i="15"/>
  <c r="N285" i="15" s="1"/>
  <c r="T287" i="15"/>
  <c r="U287" i="15"/>
  <c r="Q288" i="15"/>
  <c r="T288" i="15" s="1"/>
  <c r="R288" i="15"/>
  <c r="S288" i="15"/>
  <c r="U288" i="15"/>
  <c r="O289" i="15"/>
  <c r="P289" i="15"/>
  <c r="T289" i="15"/>
  <c r="U289" i="15"/>
  <c r="L290" i="15"/>
  <c r="L288" i="15" s="1"/>
  <c r="O288" i="15" s="1"/>
  <c r="M290" i="15"/>
  <c r="N290" i="15"/>
  <c r="N288" i="15" s="1"/>
  <c r="T290" i="15"/>
  <c r="U290" i="15"/>
  <c r="I292" i="15"/>
  <c r="I281" i="15" s="1"/>
  <c r="K281" i="15" s="1"/>
  <c r="I293" i="15"/>
  <c r="J293" i="15"/>
  <c r="J280" i="15" s="1"/>
  <c r="I295" i="15"/>
  <c r="K295" i="15" s="1"/>
  <c r="I296" i="15"/>
  <c r="K296" i="15" s="1"/>
  <c r="J302" i="15"/>
  <c r="L304" i="15"/>
  <c r="O304" i="15" s="1"/>
  <c r="M304" i="15"/>
  <c r="P304" i="15" s="1"/>
  <c r="N304" i="15"/>
  <c r="Q304" i="15"/>
  <c r="R304" i="15"/>
  <c r="S304" i="15"/>
  <c r="T304" i="15"/>
  <c r="U304" i="15"/>
  <c r="O307" i="15"/>
  <c r="P307" i="15"/>
  <c r="T307" i="15"/>
  <c r="U307" i="15"/>
  <c r="L308" i="15"/>
  <c r="M308" i="15"/>
  <c r="M306" i="15" s="1"/>
  <c r="P306" i="15" s="1"/>
  <c r="N308" i="15"/>
  <c r="Q308" i="15"/>
  <c r="Q305" i="15" s="1"/>
  <c r="R308" i="15"/>
  <c r="R306" i="15" s="1"/>
  <c r="S308" i="15"/>
  <c r="S305" i="15" s="1"/>
  <c r="Q309" i="15"/>
  <c r="T309" i="15" s="1"/>
  <c r="R309" i="15"/>
  <c r="U309" i="15" s="1"/>
  <c r="S309" i="15"/>
  <c r="O310" i="15"/>
  <c r="P310" i="15"/>
  <c r="T310" i="15"/>
  <c r="U310" i="15"/>
  <c r="L311" i="15"/>
  <c r="M311" i="15"/>
  <c r="M309" i="15" s="1"/>
  <c r="P309" i="15" s="1"/>
  <c r="N311" i="15"/>
  <c r="N309" i="15" s="1"/>
  <c r="T311" i="15"/>
  <c r="U311" i="15"/>
  <c r="I314" i="15"/>
  <c r="J319" i="15"/>
  <c r="L321" i="15"/>
  <c r="O321" i="15" s="1"/>
  <c r="M321" i="15"/>
  <c r="P321" i="15" s="1"/>
  <c r="N321" i="15"/>
  <c r="Q321" i="15"/>
  <c r="R321" i="15"/>
  <c r="R320" i="15" s="1"/>
  <c r="U320" i="15" s="1"/>
  <c r="S321" i="15"/>
  <c r="T321" i="15"/>
  <c r="Q322" i="15"/>
  <c r="Q320" i="15" s="1"/>
  <c r="T320" i="15" s="1"/>
  <c r="R322" i="15"/>
  <c r="U322" i="15" s="1"/>
  <c r="S322" i="15"/>
  <c r="T322" i="15"/>
  <c r="Q323" i="15"/>
  <c r="T323" i="15" s="1"/>
  <c r="R323" i="15"/>
  <c r="U323" i="15" s="1"/>
  <c r="S323" i="15"/>
  <c r="O324" i="15"/>
  <c r="P324" i="15"/>
  <c r="T324" i="15"/>
  <c r="U324" i="15"/>
  <c r="L325" i="15"/>
  <c r="L323" i="15" s="1"/>
  <c r="O323" i="15" s="1"/>
  <c r="M325" i="15"/>
  <c r="M323" i="15" s="1"/>
  <c r="P323" i="15" s="1"/>
  <c r="N325" i="15"/>
  <c r="N323" i="15" s="1"/>
  <c r="T325" i="15"/>
  <c r="U325" i="15"/>
  <c r="Q326" i="15"/>
  <c r="T326" i="15" s="1"/>
  <c r="R326" i="15"/>
  <c r="S326" i="15"/>
  <c r="U326" i="15"/>
  <c r="O327" i="15"/>
  <c r="P327" i="15"/>
  <c r="T327" i="15"/>
  <c r="U327" i="15"/>
  <c r="L328" i="15"/>
  <c r="M328" i="15"/>
  <c r="P328" i="15" s="1"/>
  <c r="N328" i="15"/>
  <c r="N326" i="15" s="1"/>
  <c r="T328" i="15"/>
  <c r="U328" i="15"/>
  <c r="I330" i="15"/>
  <c r="L334" i="15"/>
  <c r="O334" i="15" s="1"/>
  <c r="M334" i="15"/>
  <c r="N334" i="15"/>
  <c r="Q334" i="15"/>
  <c r="T334" i="15" s="1"/>
  <c r="R334" i="15"/>
  <c r="R333" i="15" s="1"/>
  <c r="U333" i="15" s="1"/>
  <c r="S334" i="15"/>
  <c r="S333" i="15" s="1"/>
  <c r="U334" i="15"/>
  <c r="Q335" i="15"/>
  <c r="T335" i="15" s="1"/>
  <c r="R335" i="15"/>
  <c r="S335" i="15"/>
  <c r="U335" i="15"/>
  <c r="Q336" i="15"/>
  <c r="R336" i="15"/>
  <c r="S336" i="15"/>
  <c r="T336" i="15"/>
  <c r="U336" i="15"/>
  <c r="O337" i="15"/>
  <c r="P337" i="15"/>
  <c r="T337" i="15"/>
  <c r="U337" i="15"/>
  <c r="L338" i="15"/>
  <c r="M338" i="15"/>
  <c r="M336" i="15" s="1"/>
  <c r="N338" i="15"/>
  <c r="N336" i="15" s="1"/>
  <c r="T338" i="15"/>
  <c r="U338" i="15"/>
  <c r="Q339" i="15"/>
  <c r="T339" i="15" s="1"/>
  <c r="R339" i="15"/>
  <c r="U339" i="15" s="1"/>
  <c r="S339" i="15"/>
  <c r="O340" i="15"/>
  <c r="P340" i="15"/>
  <c r="T340" i="15"/>
  <c r="U340" i="15"/>
  <c r="L341" i="15"/>
  <c r="O341" i="15" s="1"/>
  <c r="M341" i="15"/>
  <c r="M339" i="15" s="1"/>
  <c r="P339" i="15" s="1"/>
  <c r="N341" i="15"/>
  <c r="N339" i="15" s="1"/>
  <c r="T341" i="15"/>
  <c r="U341" i="15"/>
  <c r="I344" i="15"/>
  <c r="J344" i="15"/>
  <c r="I346" i="15"/>
  <c r="J346" i="15"/>
  <c r="J347" i="15"/>
  <c r="J348" i="15"/>
  <c r="J349" i="15"/>
  <c r="D350" i="15"/>
  <c r="J352" i="15"/>
  <c r="J353" i="15"/>
  <c r="D354" i="15"/>
  <c r="T356" i="15"/>
  <c r="L357" i="15"/>
  <c r="O357" i="15" s="1"/>
  <c r="M357" i="15"/>
  <c r="P357" i="15" s="1"/>
  <c r="N357" i="15"/>
  <c r="Q357" i="15"/>
  <c r="R357" i="15"/>
  <c r="S357" i="15"/>
  <c r="S356" i="15" s="1"/>
  <c r="T357" i="15"/>
  <c r="Q358" i="15"/>
  <c r="Q356" i="15" s="1"/>
  <c r="R358" i="15"/>
  <c r="U358" i="15" s="1"/>
  <c r="S358" i="15"/>
  <c r="T358" i="15"/>
  <c r="Q359" i="15"/>
  <c r="R359" i="15"/>
  <c r="U359" i="15" s="1"/>
  <c r="S359" i="15"/>
  <c r="T359" i="15"/>
  <c r="O360" i="15"/>
  <c r="P360" i="15"/>
  <c r="T360" i="15"/>
  <c r="U360" i="15"/>
  <c r="L361" i="15"/>
  <c r="M361" i="15"/>
  <c r="M359" i="15" s="1"/>
  <c r="N361" i="15"/>
  <c r="N359" i="15" s="1"/>
  <c r="T361" i="15"/>
  <c r="U361" i="15"/>
  <c r="Q362" i="15"/>
  <c r="T362" i="15" s="1"/>
  <c r="R362" i="15"/>
  <c r="U362" i="15" s="1"/>
  <c r="S362" i="15"/>
  <c r="O363" i="15"/>
  <c r="P363" i="15"/>
  <c r="T363" i="15"/>
  <c r="U363" i="15"/>
  <c r="L364" i="15"/>
  <c r="L362" i="15" s="1"/>
  <c r="O362" i="15" s="1"/>
  <c r="M364" i="15"/>
  <c r="P364" i="15" s="1"/>
  <c r="N364" i="15"/>
  <c r="N362" i="15" s="1"/>
  <c r="T364" i="15"/>
  <c r="U364" i="15"/>
  <c r="J367" i="15"/>
  <c r="K367" i="15"/>
  <c r="I368" i="15"/>
  <c r="J368" i="15"/>
  <c r="I369" i="15"/>
  <c r="J369" i="15"/>
  <c r="J370" i="15"/>
  <c r="K370" i="15"/>
  <c r="I371" i="15"/>
  <c r="J371" i="15"/>
  <c r="J365" i="15" s="1"/>
  <c r="J372" i="15"/>
  <c r="K372" i="15"/>
  <c r="D373" i="15"/>
  <c r="L376" i="15"/>
  <c r="O376" i="15" s="1"/>
  <c r="M376" i="15"/>
  <c r="N376" i="15"/>
  <c r="P376" i="15"/>
  <c r="Q376" i="15"/>
  <c r="R376" i="15"/>
  <c r="U376" i="15" s="1"/>
  <c r="S376" i="15"/>
  <c r="O379" i="15"/>
  <c r="P379" i="15"/>
  <c r="T379" i="15"/>
  <c r="U379" i="15"/>
  <c r="L380" i="15"/>
  <c r="O380" i="15" s="1"/>
  <c r="M380" i="15"/>
  <c r="N380" i="15"/>
  <c r="N378" i="15" s="1"/>
  <c r="Q380" i="15"/>
  <c r="Q378" i="15" s="1"/>
  <c r="R380" i="15"/>
  <c r="S380" i="15"/>
  <c r="S378" i="15" s="1"/>
  <c r="Q381" i="15"/>
  <c r="T381" i="15" s="1"/>
  <c r="R381" i="15"/>
  <c r="U381" i="15" s="1"/>
  <c r="S381" i="15"/>
  <c r="O382" i="15"/>
  <c r="P382" i="15"/>
  <c r="T382" i="15"/>
  <c r="U382" i="15"/>
  <c r="L383" i="15"/>
  <c r="O383" i="15" s="1"/>
  <c r="M383" i="15"/>
  <c r="M381" i="15" s="1"/>
  <c r="P381" i="15" s="1"/>
  <c r="N383" i="15"/>
  <c r="N381" i="15" s="1"/>
  <c r="T383" i="15"/>
  <c r="U383" i="15"/>
  <c r="J385" i="15"/>
  <c r="K385" i="15"/>
  <c r="I386" i="15"/>
  <c r="J386" i="15"/>
  <c r="J387" i="15"/>
  <c r="K387" i="15"/>
  <c r="I388" i="15"/>
  <c r="K388" i="15" s="1"/>
  <c r="J388" i="15"/>
  <c r="I391" i="15"/>
  <c r="K391" i="15" s="1"/>
  <c r="J391" i="15"/>
  <c r="L393" i="15"/>
  <c r="O393" i="15" s="1"/>
  <c r="M393" i="15"/>
  <c r="M392" i="15" s="1"/>
  <c r="P392" i="15" s="1"/>
  <c r="N393" i="15"/>
  <c r="Q393" i="15"/>
  <c r="R393" i="15"/>
  <c r="U393" i="15" s="1"/>
  <c r="S393" i="15"/>
  <c r="T393" i="15"/>
  <c r="L394" i="15"/>
  <c r="O394" i="15" s="1"/>
  <c r="M394" i="15"/>
  <c r="N394" i="15"/>
  <c r="P394" i="15"/>
  <c r="L395" i="15"/>
  <c r="O395" i="15" s="1"/>
  <c r="M395" i="15"/>
  <c r="P395" i="15" s="1"/>
  <c r="N395" i="15"/>
  <c r="O396" i="15"/>
  <c r="P396" i="15"/>
  <c r="T396" i="15"/>
  <c r="U396" i="15"/>
  <c r="O397" i="15"/>
  <c r="P397" i="15"/>
  <c r="Q397" i="15"/>
  <c r="R397" i="15"/>
  <c r="R394" i="15" s="1"/>
  <c r="U394" i="15" s="1"/>
  <c r="S397" i="15"/>
  <c r="L398" i="15"/>
  <c r="M398" i="15"/>
  <c r="P398" i="15" s="1"/>
  <c r="N398" i="15"/>
  <c r="O398" i="15"/>
  <c r="Q398" i="15"/>
  <c r="T398" i="15" s="1"/>
  <c r="R398" i="15"/>
  <c r="S398" i="15"/>
  <c r="U398" i="15"/>
  <c r="O399" i="15"/>
  <c r="P399" i="15"/>
  <c r="T399" i="15"/>
  <c r="U399" i="15"/>
  <c r="O400" i="15"/>
  <c r="P400" i="15"/>
  <c r="T400" i="15"/>
  <c r="U400" i="15"/>
  <c r="L414" i="15"/>
  <c r="O414" i="15" s="1"/>
  <c r="M414" i="15"/>
  <c r="N414" i="15"/>
  <c r="Q414" i="15"/>
  <c r="R414" i="15"/>
  <c r="U414" i="15" s="1"/>
  <c r="S414" i="15"/>
  <c r="T414" i="15"/>
  <c r="O417" i="15"/>
  <c r="P417" i="15"/>
  <c r="T417" i="15"/>
  <c r="U417" i="15"/>
  <c r="L418" i="15"/>
  <c r="M418" i="15"/>
  <c r="M416" i="15" s="1"/>
  <c r="N418" i="15"/>
  <c r="N416" i="15" s="1"/>
  <c r="Q418" i="15"/>
  <c r="Q415" i="15" s="1"/>
  <c r="Q413" i="15" s="1"/>
  <c r="R418" i="15"/>
  <c r="S418" i="15"/>
  <c r="S416" i="15" s="1"/>
  <c r="Q419" i="15"/>
  <c r="T419" i="15" s="1"/>
  <c r="R419" i="15"/>
  <c r="U419" i="15" s="1"/>
  <c r="S419" i="15"/>
  <c r="O420" i="15"/>
  <c r="P420" i="15"/>
  <c r="T420" i="15"/>
  <c r="U420" i="15"/>
  <c r="L421" i="15"/>
  <c r="L419" i="15" s="1"/>
  <c r="O419" i="15" s="1"/>
  <c r="M421" i="15"/>
  <c r="M419" i="15" s="1"/>
  <c r="P419" i="15" s="1"/>
  <c r="N421" i="15"/>
  <c r="N419" i="15" s="1"/>
  <c r="T421" i="15"/>
  <c r="U421" i="15"/>
  <c r="I424" i="15"/>
  <c r="J424" i="15"/>
  <c r="I425" i="15"/>
  <c r="K425" i="15" s="1"/>
  <c r="J425" i="15"/>
  <c r="I432" i="15"/>
  <c r="K432" i="15" s="1"/>
  <c r="J432" i="15"/>
  <c r="I433" i="15"/>
  <c r="J433" i="15"/>
  <c r="I440" i="15"/>
  <c r="I441" i="15"/>
  <c r="J446" i="15"/>
  <c r="J440" i="15" s="1"/>
  <c r="J423" i="15" s="1"/>
  <c r="J412" i="15" s="1"/>
  <c r="J447" i="15"/>
  <c r="J441" i="15" s="1"/>
  <c r="I457" i="15"/>
  <c r="I458" i="15"/>
  <c r="K458" i="15" s="1"/>
  <c r="J459" i="15"/>
  <c r="J460" i="15"/>
  <c r="J467" i="15"/>
  <c r="J468" i="15"/>
  <c r="J475" i="15"/>
  <c r="K475" i="15"/>
  <c r="J476" i="15"/>
  <c r="K476" i="15"/>
  <c r="J477" i="15"/>
  <c r="K477" i="15"/>
  <c r="J482" i="15"/>
  <c r="J483" i="15"/>
  <c r="I484" i="15"/>
  <c r="K484" i="15" s="1"/>
  <c r="J484" i="15"/>
  <c r="I485" i="15"/>
  <c r="J485" i="15"/>
  <c r="K485" i="15"/>
  <c r="L494" i="15"/>
  <c r="M494" i="15"/>
  <c r="N494" i="15"/>
  <c r="O494" i="15"/>
  <c r="P494" i="15"/>
  <c r="Q494" i="15"/>
  <c r="R494" i="15"/>
  <c r="S494" i="15"/>
  <c r="T494" i="15"/>
  <c r="U494" i="15"/>
  <c r="O497" i="15"/>
  <c r="P497" i="15"/>
  <c r="T497" i="15"/>
  <c r="U497" i="15"/>
  <c r="L498" i="15"/>
  <c r="M498" i="15"/>
  <c r="P498" i="15" s="1"/>
  <c r="N498" i="15"/>
  <c r="Q498" i="15"/>
  <c r="Q496" i="15" s="1"/>
  <c r="T496" i="15" s="1"/>
  <c r="R498" i="15"/>
  <c r="U498" i="15" s="1"/>
  <c r="S498" i="15"/>
  <c r="Q499" i="15"/>
  <c r="T499" i="15" s="1"/>
  <c r="R499" i="15"/>
  <c r="U499" i="15" s="1"/>
  <c r="S499" i="15"/>
  <c r="O500" i="15"/>
  <c r="P500" i="15"/>
  <c r="T500" i="15"/>
  <c r="U500" i="15"/>
  <c r="L501" i="15"/>
  <c r="M501" i="15"/>
  <c r="M499" i="15" s="1"/>
  <c r="P499" i="15" s="1"/>
  <c r="N501" i="15"/>
  <c r="N499" i="15" s="1"/>
  <c r="T501" i="15"/>
  <c r="U501" i="15"/>
  <c r="I503" i="15"/>
  <c r="K503" i="15" s="1"/>
  <c r="I504" i="15"/>
  <c r="K504" i="15" s="1"/>
  <c r="I505" i="15"/>
  <c r="K505" i="15" s="1"/>
  <c r="I506" i="15"/>
  <c r="K506" i="15" s="1"/>
  <c r="I507" i="15"/>
  <c r="K507" i="15" s="1"/>
  <c r="K508" i="15"/>
  <c r="I509" i="15"/>
  <c r="K509" i="15" s="1"/>
  <c r="I512" i="15"/>
  <c r="K512" i="15" s="1"/>
  <c r="J512" i="15"/>
  <c r="L514" i="15"/>
  <c r="M514" i="15"/>
  <c r="P514" i="15" s="1"/>
  <c r="N514" i="15"/>
  <c r="O514" i="15"/>
  <c r="Q514" i="15"/>
  <c r="R514" i="15"/>
  <c r="U514" i="15" s="1"/>
  <c r="S514" i="15"/>
  <c r="T514" i="15"/>
  <c r="Q515" i="15"/>
  <c r="Q513" i="15" s="1"/>
  <c r="T513" i="15" s="1"/>
  <c r="R515" i="15"/>
  <c r="U515" i="15" s="1"/>
  <c r="S515" i="15"/>
  <c r="S513" i="15" s="1"/>
  <c r="Q516" i="15"/>
  <c r="T516" i="15" s="1"/>
  <c r="R516" i="15"/>
  <c r="U516" i="15" s="1"/>
  <c r="S516" i="15"/>
  <c r="O517" i="15"/>
  <c r="P517" i="15"/>
  <c r="T517" i="15"/>
  <c r="U517" i="15"/>
  <c r="L518" i="15"/>
  <c r="M518" i="15"/>
  <c r="P518" i="15" s="1"/>
  <c r="N518" i="15"/>
  <c r="N516" i="15" s="1"/>
  <c r="T518" i="15"/>
  <c r="U518" i="15"/>
  <c r="Q519" i="15"/>
  <c r="T519" i="15" s="1"/>
  <c r="R519" i="15"/>
  <c r="S519" i="15"/>
  <c r="U519" i="15"/>
  <c r="O520" i="15"/>
  <c r="P520" i="15"/>
  <c r="T520" i="15"/>
  <c r="U520" i="15"/>
  <c r="L521" i="15"/>
  <c r="M521" i="15"/>
  <c r="M519" i="15" s="1"/>
  <c r="P519" i="15" s="1"/>
  <c r="N521" i="15"/>
  <c r="N519" i="15" s="1"/>
  <c r="T521" i="15"/>
  <c r="U521" i="15"/>
  <c r="K523" i="15"/>
  <c r="K524" i="15"/>
  <c r="I533" i="15"/>
  <c r="K533" i="15" s="1"/>
  <c r="J533" i="15"/>
  <c r="L535" i="15"/>
  <c r="O535" i="15" s="1"/>
  <c r="M535" i="15"/>
  <c r="N535" i="15"/>
  <c r="P535" i="15"/>
  <c r="Q535" i="15"/>
  <c r="R535" i="15"/>
  <c r="U535" i="15" s="1"/>
  <c r="S535" i="15"/>
  <c r="S534" i="15" s="1"/>
  <c r="T535" i="15"/>
  <c r="Q536" i="15"/>
  <c r="Q534" i="15" s="1"/>
  <c r="T534" i="15" s="1"/>
  <c r="R536" i="15"/>
  <c r="U536" i="15" s="1"/>
  <c r="S536" i="15"/>
  <c r="Q537" i="15"/>
  <c r="R537" i="15"/>
  <c r="U537" i="15" s="1"/>
  <c r="S537" i="15"/>
  <c r="T537" i="15"/>
  <c r="O538" i="15"/>
  <c r="P538" i="15"/>
  <c r="T538" i="15"/>
  <c r="U538" i="15"/>
  <c r="L539" i="15"/>
  <c r="O539" i="15" s="1"/>
  <c r="M539" i="15"/>
  <c r="M537" i="15" s="1"/>
  <c r="P537" i="15" s="1"/>
  <c r="N539" i="15"/>
  <c r="N537" i="15" s="1"/>
  <c r="T539" i="15"/>
  <c r="U539" i="15"/>
  <c r="Q540" i="15"/>
  <c r="T540" i="15" s="1"/>
  <c r="R540" i="15"/>
  <c r="U540" i="15" s="1"/>
  <c r="S540" i="15"/>
  <c r="O541" i="15"/>
  <c r="P541" i="15"/>
  <c r="T541" i="15"/>
  <c r="U541" i="15"/>
  <c r="L542" i="15"/>
  <c r="L540" i="15" s="1"/>
  <c r="O540" i="15" s="1"/>
  <c r="M542" i="15"/>
  <c r="P542" i="15" s="1"/>
  <c r="N542" i="15"/>
  <c r="N540" i="15" s="1"/>
  <c r="T542" i="15"/>
  <c r="U542" i="15"/>
  <c r="I554" i="15"/>
  <c r="J554" i="15"/>
  <c r="K554" i="15"/>
  <c r="L556" i="15"/>
  <c r="M556" i="15"/>
  <c r="P556" i="15" s="1"/>
  <c r="N556" i="15"/>
  <c r="Q556" i="15"/>
  <c r="T556" i="15" s="1"/>
  <c r="R556" i="15"/>
  <c r="S556" i="15"/>
  <c r="S555" i="15" s="1"/>
  <c r="U556" i="15"/>
  <c r="Q557" i="15"/>
  <c r="T557" i="15" s="1"/>
  <c r="R557" i="15"/>
  <c r="S557" i="15"/>
  <c r="U557" i="15"/>
  <c r="Q558" i="15"/>
  <c r="T558" i="15" s="1"/>
  <c r="R558" i="15"/>
  <c r="U558" i="15" s="1"/>
  <c r="S558" i="15"/>
  <c r="O559" i="15"/>
  <c r="P559" i="15"/>
  <c r="T559" i="15"/>
  <c r="U559" i="15"/>
  <c r="L560" i="15"/>
  <c r="L558" i="15" s="1"/>
  <c r="O558" i="15" s="1"/>
  <c r="M560" i="15"/>
  <c r="P560" i="15" s="1"/>
  <c r="N560" i="15"/>
  <c r="N558" i="15" s="1"/>
  <c r="T560" i="15"/>
  <c r="U560" i="15"/>
  <c r="Q561" i="15"/>
  <c r="T561" i="15" s="1"/>
  <c r="R561" i="15"/>
  <c r="U561" i="15" s="1"/>
  <c r="S561" i="15"/>
  <c r="O562" i="15"/>
  <c r="P562" i="15"/>
  <c r="T562" i="15"/>
  <c r="U562" i="15"/>
  <c r="L563" i="15"/>
  <c r="O563" i="15" s="1"/>
  <c r="M563" i="15"/>
  <c r="M561" i="15" s="1"/>
  <c r="P561" i="15" s="1"/>
  <c r="N563" i="15"/>
  <c r="N561" i="15" s="1"/>
  <c r="T563" i="15"/>
  <c r="U563" i="15"/>
  <c r="I575" i="15"/>
  <c r="J575" i="15"/>
  <c r="K575" i="15"/>
  <c r="L577" i="15"/>
  <c r="M577" i="15"/>
  <c r="N577" i="15"/>
  <c r="P577" i="15"/>
  <c r="Q577" i="15"/>
  <c r="R577" i="15"/>
  <c r="S577" i="15"/>
  <c r="S576" i="15" s="1"/>
  <c r="T577" i="15"/>
  <c r="Q578" i="15"/>
  <c r="Q576" i="15" s="1"/>
  <c r="T576" i="15" s="1"/>
  <c r="R578" i="15"/>
  <c r="U578" i="15" s="1"/>
  <c r="S578" i="15"/>
  <c r="Q579" i="15"/>
  <c r="R579" i="15"/>
  <c r="U579" i="15" s="1"/>
  <c r="S579" i="15"/>
  <c r="T579" i="15"/>
  <c r="O580" i="15"/>
  <c r="P580" i="15"/>
  <c r="T580" i="15"/>
  <c r="U580" i="15"/>
  <c r="L581" i="15"/>
  <c r="O581" i="15" s="1"/>
  <c r="M581" i="15"/>
  <c r="N581" i="15"/>
  <c r="N579" i="15" s="1"/>
  <c r="T581" i="15"/>
  <c r="U581" i="15"/>
  <c r="Q582" i="15"/>
  <c r="T582" i="15" s="1"/>
  <c r="R582" i="15"/>
  <c r="U582" i="15" s="1"/>
  <c r="S582" i="15"/>
  <c r="O583" i="15"/>
  <c r="P583" i="15"/>
  <c r="T583" i="15"/>
  <c r="U583" i="15"/>
  <c r="L584" i="15"/>
  <c r="L582" i="15" s="1"/>
  <c r="O582" i="15" s="1"/>
  <c r="M584" i="15"/>
  <c r="P584" i="15" s="1"/>
  <c r="N584" i="15"/>
  <c r="N582" i="15" s="1"/>
  <c r="T584" i="15"/>
  <c r="U584" i="15"/>
  <c r="L600" i="15"/>
  <c r="O600" i="15" s="1"/>
  <c r="M600" i="15"/>
  <c r="P600" i="15" s="1"/>
  <c r="N600" i="15"/>
  <c r="Q600" i="15"/>
  <c r="T600" i="15" s="1"/>
  <c r="R600" i="15"/>
  <c r="S600" i="15"/>
  <c r="O603" i="15"/>
  <c r="P603" i="15"/>
  <c r="T603" i="15"/>
  <c r="U603" i="15"/>
  <c r="L604" i="15"/>
  <c r="L602" i="15" s="1"/>
  <c r="M604" i="15"/>
  <c r="P604" i="15" s="1"/>
  <c r="N604" i="15"/>
  <c r="Q604" i="15"/>
  <c r="Q602" i="15" s="1"/>
  <c r="T602" i="15" s="1"/>
  <c r="R604" i="15"/>
  <c r="U604" i="15" s="1"/>
  <c r="S604" i="15"/>
  <c r="S602" i="15" s="1"/>
  <c r="O606" i="15"/>
  <c r="P606" i="15"/>
  <c r="T606" i="15"/>
  <c r="U606" i="15"/>
  <c r="L607" i="15"/>
  <c r="O607" i="15" s="1"/>
  <c r="M607" i="15"/>
  <c r="M605" i="15" s="1"/>
  <c r="P605" i="15" s="1"/>
  <c r="N607" i="15"/>
  <c r="N605" i="15" s="1"/>
  <c r="Q607" i="15"/>
  <c r="Q605" i="15" s="1"/>
  <c r="T605" i="15" s="1"/>
  <c r="R607" i="15"/>
  <c r="U607" i="15" s="1"/>
  <c r="S607" i="15"/>
  <c r="S605" i="15" s="1"/>
  <c r="L617" i="15"/>
  <c r="M617" i="15"/>
  <c r="P617" i="15" s="1"/>
  <c r="N617" i="15"/>
  <c r="O617" i="15"/>
  <c r="Q617" i="15"/>
  <c r="T617" i="15" s="1"/>
  <c r="R617" i="15"/>
  <c r="S617" i="15"/>
  <c r="U617" i="15"/>
  <c r="L618" i="15"/>
  <c r="M618" i="15"/>
  <c r="P618" i="15" s="1"/>
  <c r="N618" i="15"/>
  <c r="O618" i="15"/>
  <c r="L619" i="15"/>
  <c r="O619" i="15" s="1"/>
  <c r="M619" i="15"/>
  <c r="P619" i="15" s="1"/>
  <c r="N619" i="15"/>
  <c r="O620" i="15"/>
  <c r="P620" i="15"/>
  <c r="T620" i="15"/>
  <c r="U620" i="15"/>
  <c r="O621" i="15"/>
  <c r="P621" i="15"/>
  <c r="Q621" i="15"/>
  <c r="Q618" i="15" s="1"/>
  <c r="R621" i="15"/>
  <c r="S621" i="15"/>
  <c r="S618" i="15" s="1"/>
  <c r="L622" i="15"/>
  <c r="O622" i="15" s="1"/>
  <c r="M622" i="15"/>
  <c r="N622" i="15"/>
  <c r="P622" i="15"/>
  <c r="Q622" i="15"/>
  <c r="T622" i="15" s="1"/>
  <c r="R622" i="15"/>
  <c r="U622" i="15" s="1"/>
  <c r="S622" i="15"/>
  <c r="O623" i="15"/>
  <c r="P623" i="15"/>
  <c r="T623" i="15"/>
  <c r="U623" i="15"/>
  <c r="O624" i="15"/>
  <c r="P624" i="15"/>
  <c r="T624" i="15"/>
  <c r="U624" i="15"/>
  <c r="I626" i="15"/>
  <c r="I615" i="15" s="1"/>
  <c r="I627" i="15"/>
  <c r="K627" i="15" s="1"/>
  <c r="I628" i="15"/>
  <c r="K628" i="15" s="1"/>
  <c r="J632" i="15"/>
  <c r="J626" i="15" s="1"/>
  <c r="I635" i="15"/>
  <c r="K635" i="15" s="1"/>
  <c r="J636" i="15"/>
  <c r="J635" i="15" s="1"/>
  <c r="L643" i="15"/>
  <c r="O643" i="15" s="1"/>
  <c r="M643" i="15"/>
  <c r="P643" i="15" s="1"/>
  <c r="N643" i="15"/>
  <c r="Q643" i="15"/>
  <c r="R643" i="15"/>
  <c r="U643" i="15" s="1"/>
  <c r="S643" i="15"/>
  <c r="L644" i="15"/>
  <c r="O644" i="15" s="1"/>
  <c r="M644" i="15"/>
  <c r="P644" i="15" s="1"/>
  <c r="N644" i="15"/>
  <c r="L645" i="15"/>
  <c r="M645" i="15"/>
  <c r="N645" i="15"/>
  <c r="O645" i="15"/>
  <c r="P645" i="15"/>
  <c r="O646" i="15"/>
  <c r="P646" i="15"/>
  <c r="T646" i="15"/>
  <c r="U646" i="15"/>
  <c r="O647" i="15"/>
  <c r="P647" i="15"/>
  <c r="Q647" i="15"/>
  <c r="R647" i="15"/>
  <c r="R644" i="15" s="1"/>
  <c r="S647" i="15"/>
  <c r="S645" i="15" s="1"/>
  <c r="L648" i="15"/>
  <c r="O648" i="15" s="1"/>
  <c r="M648" i="15"/>
  <c r="P648" i="15" s="1"/>
  <c r="N648" i="15"/>
  <c r="Q648" i="15"/>
  <c r="R648" i="15"/>
  <c r="U648" i="15" s="1"/>
  <c r="S648" i="15"/>
  <c r="T648" i="15"/>
  <c r="O649" i="15"/>
  <c r="P649" i="15"/>
  <c r="T649" i="15"/>
  <c r="U649" i="15"/>
  <c r="O650" i="15"/>
  <c r="P650" i="15"/>
  <c r="T650" i="15"/>
  <c r="U650" i="15"/>
  <c r="I652" i="15"/>
  <c r="K652" i="15" s="1"/>
  <c r="J652" i="15"/>
  <c r="I653" i="15"/>
  <c r="K653" i="15" s="1"/>
  <c r="J653" i="15"/>
  <c r="I654" i="15"/>
  <c r="J654" i="15"/>
  <c r="I657" i="15"/>
  <c r="I660" i="15"/>
  <c r="I661" i="15"/>
  <c r="K661" i="15" s="1"/>
  <c r="J661" i="15"/>
  <c r="J671" i="15"/>
  <c r="J672" i="15"/>
  <c r="I673" i="15"/>
  <c r="J673" i="15"/>
  <c r="I674" i="15"/>
  <c r="I675" i="15"/>
  <c r="I676" i="15"/>
  <c r="J676" i="15"/>
  <c r="J677" i="15"/>
  <c r="I678" i="15"/>
  <c r="J678" i="15"/>
  <c r="I679" i="15"/>
  <c r="J679" i="15"/>
  <c r="J680" i="15"/>
  <c r="I681" i="15"/>
  <c r="J681" i="15"/>
  <c r="I682" i="15"/>
  <c r="K682" i="15" s="1"/>
  <c r="J682" i="15"/>
  <c r="L691" i="15"/>
  <c r="M691" i="15"/>
  <c r="P691" i="15" s="1"/>
  <c r="N691" i="15"/>
  <c r="Q691" i="15"/>
  <c r="R691" i="15"/>
  <c r="S691" i="15"/>
  <c r="L692" i="15"/>
  <c r="O692" i="15" s="1"/>
  <c r="M692" i="15"/>
  <c r="P692" i="15" s="1"/>
  <c r="N692" i="15"/>
  <c r="N690" i="15" s="1"/>
  <c r="L693" i="15"/>
  <c r="M693" i="15"/>
  <c r="P693" i="15" s="1"/>
  <c r="N693" i="15"/>
  <c r="O693" i="15"/>
  <c r="O694" i="15"/>
  <c r="P694" i="15"/>
  <c r="T694" i="15"/>
  <c r="U694" i="15"/>
  <c r="O695" i="15"/>
  <c r="P695" i="15"/>
  <c r="Q695" i="15"/>
  <c r="Q693" i="15" s="1"/>
  <c r="R695" i="15"/>
  <c r="R693" i="15" s="1"/>
  <c r="S695" i="15"/>
  <c r="S692" i="15" s="1"/>
  <c r="S690" i="15" s="1"/>
  <c r="L696" i="15"/>
  <c r="O696" i="15" s="1"/>
  <c r="M696" i="15"/>
  <c r="P696" i="15" s="1"/>
  <c r="N696" i="15"/>
  <c r="Q696" i="15"/>
  <c r="T696" i="15" s="1"/>
  <c r="R696" i="15"/>
  <c r="U696" i="15" s="1"/>
  <c r="S696" i="15"/>
  <c r="O697" i="15"/>
  <c r="P697" i="15"/>
  <c r="T697" i="15"/>
  <c r="U697" i="15"/>
  <c r="O698" i="15"/>
  <c r="P698" i="15"/>
  <c r="T698" i="15"/>
  <c r="U698" i="15"/>
  <c r="I700" i="15"/>
  <c r="K700" i="15" s="1"/>
  <c r="K702" i="15"/>
  <c r="I703" i="15"/>
  <c r="J703" i="15"/>
  <c r="J704" i="15"/>
  <c r="K704" i="15"/>
  <c r="I705" i="15"/>
  <c r="J705" i="15"/>
  <c r="J706" i="15"/>
  <c r="K706" i="15"/>
  <c r="I707" i="15"/>
  <c r="I689" i="15" s="1"/>
  <c r="K689" i="15" s="1"/>
  <c r="J707" i="15"/>
  <c r="J689" i="15" s="1"/>
  <c r="J708" i="15"/>
  <c r="K708" i="15"/>
  <c r="I709" i="15"/>
  <c r="J709" i="15"/>
  <c r="J710" i="15"/>
  <c r="K710" i="15"/>
  <c r="J712" i="15"/>
  <c r="K712" i="15"/>
  <c r="L715" i="15"/>
  <c r="M715" i="15"/>
  <c r="M714" i="15" s="1"/>
  <c r="P714" i="15" s="1"/>
  <c r="N715" i="15"/>
  <c r="N714" i="15" s="1"/>
  <c r="O715" i="15"/>
  <c r="P715" i="15"/>
  <c r="Q715" i="15"/>
  <c r="T715" i="15" s="1"/>
  <c r="R715" i="15"/>
  <c r="S715" i="15"/>
  <c r="S714" i="15" s="1"/>
  <c r="U715" i="15"/>
  <c r="L716" i="15"/>
  <c r="O716" i="15" s="1"/>
  <c r="M716" i="15"/>
  <c r="P716" i="15" s="1"/>
  <c r="N716" i="15"/>
  <c r="Q716" i="15"/>
  <c r="T716" i="15" s="1"/>
  <c r="R716" i="15"/>
  <c r="U716" i="15" s="1"/>
  <c r="S716" i="15"/>
  <c r="L717" i="15"/>
  <c r="O717" i="15" s="1"/>
  <c r="M717" i="15"/>
  <c r="P717" i="15" s="1"/>
  <c r="N717" i="15"/>
  <c r="Q717" i="15"/>
  <c r="R717" i="15"/>
  <c r="S717" i="15"/>
  <c r="T717" i="15"/>
  <c r="U717" i="15"/>
  <c r="O718" i="15"/>
  <c r="P718" i="15"/>
  <c r="T718" i="15"/>
  <c r="U718" i="15"/>
  <c r="O719" i="15"/>
  <c r="P719" i="15"/>
  <c r="T719" i="15"/>
  <c r="U719" i="15"/>
  <c r="L720" i="15"/>
  <c r="M720" i="15"/>
  <c r="P720" i="15" s="1"/>
  <c r="N720" i="15"/>
  <c r="O720" i="15"/>
  <c r="Q720" i="15"/>
  <c r="R720" i="15"/>
  <c r="S720" i="15"/>
  <c r="T720" i="15"/>
  <c r="U720" i="15"/>
  <c r="O721" i="15"/>
  <c r="P721" i="15"/>
  <c r="T721" i="15"/>
  <c r="U721" i="15"/>
  <c r="O722" i="15"/>
  <c r="P722" i="15"/>
  <c r="T722" i="15"/>
  <c r="U722" i="15"/>
  <c r="I726" i="15"/>
  <c r="K726" i="15" s="1"/>
  <c r="J726" i="15"/>
  <c r="I727" i="15"/>
  <c r="K727" i="15" s="1"/>
  <c r="J727" i="15"/>
  <c r="L729" i="15"/>
  <c r="M729" i="15"/>
  <c r="M728" i="15" s="1"/>
  <c r="P728" i="15" s="1"/>
  <c r="N729" i="15"/>
  <c r="N728" i="15" s="1"/>
  <c r="O729" i="15"/>
  <c r="P729" i="15"/>
  <c r="Q729" i="15"/>
  <c r="T729" i="15" s="1"/>
  <c r="R729" i="15"/>
  <c r="U729" i="15" s="1"/>
  <c r="S729" i="15"/>
  <c r="L730" i="15"/>
  <c r="O730" i="15" s="1"/>
  <c r="M730" i="15"/>
  <c r="P730" i="15" s="1"/>
  <c r="N730" i="15"/>
  <c r="L731" i="15"/>
  <c r="O731" i="15" s="1"/>
  <c r="M731" i="15"/>
  <c r="P731" i="15" s="1"/>
  <c r="N731" i="15"/>
  <c r="O732" i="15"/>
  <c r="P732" i="15"/>
  <c r="T732" i="15"/>
  <c r="U732" i="15"/>
  <c r="O733" i="15"/>
  <c r="P733" i="15"/>
  <c r="Q733" i="15"/>
  <c r="Q730" i="15" s="1"/>
  <c r="R733" i="15"/>
  <c r="R731" i="15" s="1"/>
  <c r="S733" i="15"/>
  <c r="S730" i="15" s="1"/>
  <c r="L734" i="15"/>
  <c r="O734" i="15" s="1"/>
  <c r="M734" i="15"/>
  <c r="N734" i="15"/>
  <c r="P734" i="15"/>
  <c r="Q734" i="15"/>
  <c r="T734" i="15" s="1"/>
  <c r="R734" i="15"/>
  <c r="U734" i="15" s="1"/>
  <c r="S734" i="15"/>
  <c r="O735" i="15"/>
  <c r="P735" i="15"/>
  <c r="T735" i="15"/>
  <c r="U735" i="15"/>
  <c r="O736" i="15"/>
  <c r="P736" i="15"/>
  <c r="T736" i="15"/>
  <c r="U736" i="15"/>
  <c r="I740" i="15"/>
  <c r="K740" i="15" s="1"/>
  <c r="I742" i="15"/>
  <c r="K742" i="15" s="1"/>
  <c r="I744" i="15"/>
  <c r="K744" i="15" s="1"/>
  <c r="I746" i="15"/>
  <c r="K746" i="15" s="1"/>
  <c r="I749" i="15"/>
  <c r="K749" i="15" s="1"/>
  <c r="I752" i="15"/>
  <c r="K752" i="15" s="1"/>
  <c r="I755" i="15"/>
  <c r="K755" i="15" s="1"/>
  <c r="J758" i="15"/>
  <c r="J759" i="15"/>
  <c r="L761" i="15"/>
  <c r="O761" i="15" s="1"/>
  <c r="M761" i="15"/>
  <c r="N761" i="15"/>
  <c r="N760" i="15" s="1"/>
  <c r="P761" i="15"/>
  <c r="Q761" i="15"/>
  <c r="R761" i="15"/>
  <c r="U761" i="15" s="1"/>
  <c r="S761" i="15"/>
  <c r="L762" i="15"/>
  <c r="O762" i="15" s="1"/>
  <c r="M762" i="15"/>
  <c r="P762" i="15" s="1"/>
  <c r="N762" i="15"/>
  <c r="L763" i="15"/>
  <c r="M763" i="15"/>
  <c r="N763" i="15"/>
  <c r="O763" i="15"/>
  <c r="P763" i="15"/>
  <c r="O764" i="15"/>
  <c r="P764" i="15"/>
  <c r="T764" i="15"/>
  <c r="U764" i="15"/>
  <c r="O765" i="15"/>
  <c r="P765" i="15"/>
  <c r="Q765" i="15"/>
  <c r="Q763" i="15" s="1"/>
  <c r="R765" i="15"/>
  <c r="S765" i="15"/>
  <c r="S763" i="15" s="1"/>
  <c r="L766" i="15"/>
  <c r="O766" i="15" s="1"/>
  <c r="M766" i="15"/>
  <c r="P766" i="15" s="1"/>
  <c r="N766" i="15"/>
  <c r="Q766" i="15"/>
  <c r="T766" i="15" s="1"/>
  <c r="R766" i="15"/>
  <c r="U766" i="15" s="1"/>
  <c r="S766" i="15"/>
  <c r="O767" i="15"/>
  <c r="P767" i="15"/>
  <c r="T767" i="15"/>
  <c r="U767" i="15"/>
  <c r="O768" i="15"/>
  <c r="P768" i="15"/>
  <c r="T768" i="15"/>
  <c r="U768" i="15"/>
  <c r="I770" i="15"/>
  <c r="K770" i="15" s="1"/>
  <c r="I772" i="15"/>
  <c r="K772" i="15" s="1"/>
  <c r="I774" i="15"/>
  <c r="I759" i="15" s="1"/>
  <c r="K759" i="15" s="1"/>
  <c r="I775" i="15"/>
  <c r="I776" i="15"/>
  <c r="H777" i="15"/>
  <c r="I778" i="15"/>
  <c r="J778" i="15"/>
  <c r="I779" i="15"/>
  <c r="J779" i="15"/>
  <c r="I780" i="15"/>
  <c r="J780" i="15"/>
  <c r="I781" i="15"/>
  <c r="J781" i="15"/>
  <c r="I782" i="15"/>
  <c r="J782" i="15"/>
  <c r="I783" i="15"/>
  <c r="J783" i="15"/>
  <c r="I784" i="15"/>
  <c r="J784" i="15"/>
  <c r="I785" i="15"/>
  <c r="J785" i="15"/>
  <c r="A788" i="15"/>
  <c r="A789" i="15"/>
  <c r="L22" i="14"/>
  <c r="O22" i="14" s="1"/>
  <c r="M22" i="14"/>
  <c r="N22" i="14"/>
  <c r="Q22" i="14"/>
  <c r="T22" i="14" s="1"/>
  <c r="R22" i="14"/>
  <c r="S22" i="14"/>
  <c r="L25" i="14"/>
  <c r="M25" i="14"/>
  <c r="N25" i="14"/>
  <c r="O25" i="14"/>
  <c r="Q25" i="14"/>
  <c r="T25" i="14" s="1"/>
  <c r="R25" i="14"/>
  <c r="U25" i="14" s="1"/>
  <c r="S25" i="14"/>
  <c r="L45" i="14"/>
  <c r="O45" i="14" s="1"/>
  <c r="M45" i="14"/>
  <c r="P45" i="14" s="1"/>
  <c r="N45" i="14"/>
  <c r="Q45" i="14"/>
  <c r="R45" i="14"/>
  <c r="U45" i="14" s="1"/>
  <c r="S45" i="14"/>
  <c r="T45" i="14"/>
  <c r="Q46" i="14"/>
  <c r="R46" i="14"/>
  <c r="U46" i="14" s="1"/>
  <c r="S46" i="14"/>
  <c r="T46" i="14"/>
  <c r="Q47" i="14"/>
  <c r="T47" i="14" s="1"/>
  <c r="R47" i="14"/>
  <c r="U47" i="14" s="1"/>
  <c r="S47" i="14"/>
  <c r="O48" i="14"/>
  <c r="P48" i="14"/>
  <c r="T48" i="14"/>
  <c r="U48" i="14"/>
  <c r="L49" i="14"/>
  <c r="L47" i="14" s="1"/>
  <c r="M49" i="14"/>
  <c r="M47" i="14" s="1"/>
  <c r="N49" i="14"/>
  <c r="N47" i="14" s="1"/>
  <c r="T49" i="14"/>
  <c r="U49" i="14"/>
  <c r="Q50" i="14"/>
  <c r="T50" i="14" s="1"/>
  <c r="R50" i="14"/>
  <c r="U50" i="14" s="1"/>
  <c r="S50" i="14"/>
  <c r="O51" i="14"/>
  <c r="P51" i="14"/>
  <c r="T51" i="14"/>
  <c r="U51" i="14"/>
  <c r="L52" i="14"/>
  <c r="O52" i="14" s="1"/>
  <c r="M52" i="14"/>
  <c r="N52" i="14"/>
  <c r="T52" i="14"/>
  <c r="U52" i="14"/>
  <c r="L60" i="14"/>
  <c r="O60" i="14" s="1"/>
  <c r="M60" i="14"/>
  <c r="N60" i="14"/>
  <c r="P60" i="14"/>
  <c r="Q60" i="14"/>
  <c r="R60" i="14"/>
  <c r="U60" i="14" s="1"/>
  <c r="S60" i="14"/>
  <c r="Q61" i="14"/>
  <c r="T61" i="14" s="1"/>
  <c r="R61" i="14"/>
  <c r="U61" i="14" s="1"/>
  <c r="S61" i="14"/>
  <c r="S59" i="14" s="1"/>
  <c r="Q62" i="14"/>
  <c r="R62" i="14"/>
  <c r="U62" i="14" s="1"/>
  <c r="S62" i="14"/>
  <c r="T62" i="14"/>
  <c r="O63" i="14"/>
  <c r="P63" i="14"/>
  <c r="T63" i="14"/>
  <c r="U63" i="14"/>
  <c r="L64" i="14"/>
  <c r="M64" i="14"/>
  <c r="N64" i="14"/>
  <c r="N62" i="14" s="1"/>
  <c r="T64" i="14"/>
  <c r="U64" i="14"/>
  <c r="Q65" i="14"/>
  <c r="T65" i="14" s="1"/>
  <c r="R65" i="14"/>
  <c r="U65" i="14" s="1"/>
  <c r="S65" i="14"/>
  <c r="O66" i="14"/>
  <c r="P66" i="14"/>
  <c r="T66" i="14"/>
  <c r="U66" i="14"/>
  <c r="L67" i="14"/>
  <c r="L65" i="14" s="1"/>
  <c r="M67" i="14"/>
  <c r="N67" i="14"/>
  <c r="N65" i="14" s="1"/>
  <c r="T67" i="14"/>
  <c r="U67" i="14"/>
  <c r="L73" i="14"/>
  <c r="O73" i="14" s="1"/>
  <c r="M73" i="14"/>
  <c r="P73" i="14" s="1"/>
  <c r="N73" i="14"/>
  <c r="Q73" i="14"/>
  <c r="R73" i="14"/>
  <c r="U73" i="14" s="1"/>
  <c r="S73" i="14"/>
  <c r="T73" i="14"/>
  <c r="O76" i="14"/>
  <c r="P76" i="14"/>
  <c r="T76" i="14"/>
  <c r="U76" i="14"/>
  <c r="L77" i="14"/>
  <c r="M77" i="14"/>
  <c r="M75" i="14" s="1"/>
  <c r="N77" i="14"/>
  <c r="N75" i="14" s="1"/>
  <c r="Q77" i="14"/>
  <c r="R77" i="14"/>
  <c r="S77" i="14"/>
  <c r="O79" i="14"/>
  <c r="P79" i="14"/>
  <c r="T79" i="14"/>
  <c r="U79" i="14"/>
  <c r="L80" i="14"/>
  <c r="L78" i="14" s="1"/>
  <c r="O78" i="14" s="1"/>
  <c r="M80" i="14"/>
  <c r="M78" i="14" s="1"/>
  <c r="P78" i="14" s="1"/>
  <c r="N80" i="14"/>
  <c r="N78" i="14" s="1"/>
  <c r="Q80" i="14"/>
  <c r="T80" i="14" s="1"/>
  <c r="R80" i="14"/>
  <c r="R78" i="14" s="1"/>
  <c r="U78" i="14" s="1"/>
  <c r="S80" i="14"/>
  <c r="S78" i="14" s="1"/>
  <c r="J82" i="14"/>
  <c r="J70" i="14" s="1"/>
  <c r="J83" i="14"/>
  <c r="J71" i="14" s="1"/>
  <c r="I84" i="14"/>
  <c r="K84" i="14" s="1"/>
  <c r="I85" i="14"/>
  <c r="I86" i="14"/>
  <c r="K86" i="14" s="1"/>
  <c r="I87" i="14"/>
  <c r="K87" i="14" s="1"/>
  <c r="I88" i="14"/>
  <c r="I89" i="14"/>
  <c r="K89" i="14" s="1"/>
  <c r="I90" i="14"/>
  <c r="K90" i="14" s="1"/>
  <c r="J92" i="14"/>
  <c r="J93" i="14"/>
  <c r="L95" i="14"/>
  <c r="M95" i="14"/>
  <c r="P95" i="14" s="1"/>
  <c r="N95" i="14"/>
  <c r="Q95" i="14"/>
  <c r="R95" i="14"/>
  <c r="S95" i="14"/>
  <c r="T95" i="14"/>
  <c r="O98" i="14"/>
  <c r="P98" i="14"/>
  <c r="T98" i="14"/>
  <c r="U98" i="14"/>
  <c r="L99" i="14"/>
  <c r="O99" i="14" s="1"/>
  <c r="M99" i="14"/>
  <c r="N99" i="14"/>
  <c r="Q99" i="14"/>
  <c r="Q97" i="14" s="1"/>
  <c r="R99" i="14"/>
  <c r="S99" i="14"/>
  <c r="S96" i="14" s="1"/>
  <c r="Q100" i="14"/>
  <c r="R100" i="14"/>
  <c r="U100" i="14" s="1"/>
  <c r="S100" i="14"/>
  <c r="T100" i="14"/>
  <c r="O101" i="14"/>
  <c r="P101" i="14"/>
  <c r="T101" i="14"/>
  <c r="U101" i="14"/>
  <c r="L102" i="14"/>
  <c r="O102" i="14" s="1"/>
  <c r="M102" i="14"/>
  <c r="P102" i="14" s="1"/>
  <c r="N102" i="14"/>
  <c r="N100" i="14" s="1"/>
  <c r="T102" i="14"/>
  <c r="U102" i="14"/>
  <c r="I108" i="14"/>
  <c r="I92" i="14" s="1"/>
  <c r="K92" i="14" s="1"/>
  <c r="I109" i="14"/>
  <c r="I113" i="14"/>
  <c r="K113" i="14" s="1"/>
  <c r="I114" i="14"/>
  <c r="K114" i="14" s="1"/>
  <c r="J116" i="14"/>
  <c r="L118" i="14"/>
  <c r="O118" i="14" s="1"/>
  <c r="M118" i="14"/>
  <c r="N118" i="14"/>
  <c r="P118" i="14"/>
  <c r="Q118" i="14"/>
  <c r="T118" i="14" s="1"/>
  <c r="R118" i="14"/>
  <c r="U118" i="14" s="1"/>
  <c r="S118" i="14"/>
  <c r="O121" i="14"/>
  <c r="P121" i="14"/>
  <c r="T121" i="14"/>
  <c r="U121" i="14"/>
  <c r="L122" i="14"/>
  <c r="M122" i="14"/>
  <c r="P122" i="14" s="1"/>
  <c r="N122" i="14"/>
  <c r="Q122" i="14"/>
  <c r="Q120" i="14" s="1"/>
  <c r="R122" i="14"/>
  <c r="S122" i="14"/>
  <c r="O124" i="14"/>
  <c r="P124" i="14"/>
  <c r="T124" i="14"/>
  <c r="U124" i="14"/>
  <c r="L125" i="14"/>
  <c r="M125" i="14"/>
  <c r="M123" i="14" s="1"/>
  <c r="P123" i="14" s="1"/>
  <c r="N125" i="14"/>
  <c r="N123" i="14" s="1"/>
  <c r="Q125" i="14"/>
  <c r="T125" i="14" s="1"/>
  <c r="R125" i="14"/>
  <c r="S125" i="14"/>
  <c r="S123" i="14" s="1"/>
  <c r="I127" i="14"/>
  <c r="I116" i="14" s="1"/>
  <c r="I128" i="14"/>
  <c r="K128" i="14" s="1"/>
  <c r="I129" i="14"/>
  <c r="K129" i="14" s="1"/>
  <c r="I130" i="14"/>
  <c r="K130" i="14" s="1"/>
  <c r="J136" i="14"/>
  <c r="J137" i="14"/>
  <c r="J138" i="14"/>
  <c r="L140" i="14"/>
  <c r="O140" i="14" s="1"/>
  <c r="M140" i="14"/>
  <c r="P140" i="14" s="1"/>
  <c r="N140" i="14"/>
  <c r="Q140" i="14"/>
  <c r="R140" i="14"/>
  <c r="U140" i="14" s="1"/>
  <c r="S140" i="14"/>
  <c r="O143" i="14"/>
  <c r="P143" i="14"/>
  <c r="T143" i="14"/>
  <c r="U143" i="14"/>
  <c r="L144" i="14"/>
  <c r="M144" i="14"/>
  <c r="N144" i="14"/>
  <c r="Q144" i="14"/>
  <c r="R144" i="14"/>
  <c r="R142" i="14" s="1"/>
  <c r="U142" i="14" s="1"/>
  <c r="S144" i="14"/>
  <c r="O146" i="14"/>
  <c r="P146" i="14"/>
  <c r="T146" i="14"/>
  <c r="U146" i="14"/>
  <c r="L147" i="14"/>
  <c r="L145" i="14" s="1"/>
  <c r="O145" i="14" s="1"/>
  <c r="M147" i="14"/>
  <c r="N147" i="14"/>
  <c r="N145" i="14" s="1"/>
  <c r="Q147" i="14"/>
  <c r="T147" i="14" s="1"/>
  <c r="R147" i="14"/>
  <c r="R145" i="14" s="1"/>
  <c r="U145" i="14" s="1"/>
  <c r="S147" i="14"/>
  <c r="S145" i="14" s="1"/>
  <c r="I150" i="14"/>
  <c r="K150" i="14" s="1"/>
  <c r="I151" i="14"/>
  <c r="K151" i="14" s="1"/>
  <c r="I152" i="14"/>
  <c r="I137" i="14" s="1"/>
  <c r="K137" i="14" s="1"/>
  <c r="I153" i="14"/>
  <c r="I138" i="14" s="1"/>
  <c r="K138" i="14" s="1"/>
  <c r="I154" i="14"/>
  <c r="K154" i="14" s="1"/>
  <c r="J156" i="14"/>
  <c r="L158" i="14"/>
  <c r="O158" i="14" s="1"/>
  <c r="M158" i="14"/>
  <c r="N158" i="14"/>
  <c r="Q158" i="14"/>
  <c r="R158" i="14"/>
  <c r="U158" i="14" s="1"/>
  <c r="S158" i="14"/>
  <c r="T158" i="14"/>
  <c r="O161" i="14"/>
  <c r="P161" i="14"/>
  <c r="T161" i="14"/>
  <c r="U161" i="14"/>
  <c r="L162" i="14"/>
  <c r="M162" i="14"/>
  <c r="N162" i="14"/>
  <c r="Q162" i="14"/>
  <c r="R162" i="14"/>
  <c r="S162" i="14"/>
  <c r="S159" i="14" s="1"/>
  <c r="Q163" i="14"/>
  <c r="T163" i="14" s="1"/>
  <c r="R163" i="14"/>
  <c r="U163" i="14" s="1"/>
  <c r="S163" i="14"/>
  <c r="O164" i="14"/>
  <c r="P164" i="14"/>
  <c r="T164" i="14"/>
  <c r="U164" i="14"/>
  <c r="L165" i="14"/>
  <c r="M165" i="14"/>
  <c r="M163" i="14" s="1"/>
  <c r="P163" i="14" s="1"/>
  <c r="N165" i="14"/>
  <c r="N163" i="14" s="1"/>
  <c r="T165" i="14"/>
  <c r="U165" i="14"/>
  <c r="I167" i="14"/>
  <c r="K167" i="14" s="1"/>
  <c r="I168" i="14"/>
  <c r="K168" i="14" s="1"/>
  <c r="I169" i="14"/>
  <c r="I156" i="14" s="1"/>
  <c r="K156" i="14" s="1"/>
  <c r="J172" i="14"/>
  <c r="L174" i="14"/>
  <c r="O174" i="14" s="1"/>
  <c r="M174" i="14"/>
  <c r="N174" i="14"/>
  <c r="Q174" i="14"/>
  <c r="T174" i="14" s="1"/>
  <c r="R174" i="14"/>
  <c r="U174" i="14" s="1"/>
  <c r="S174" i="14"/>
  <c r="O177" i="14"/>
  <c r="P177" i="14"/>
  <c r="T177" i="14"/>
  <c r="U177" i="14"/>
  <c r="L178" i="14"/>
  <c r="M178" i="14"/>
  <c r="N178" i="14"/>
  <c r="N176" i="14" s="1"/>
  <c r="Q178" i="14"/>
  <c r="Q176" i="14" s="1"/>
  <c r="T176" i="14" s="1"/>
  <c r="R178" i="14"/>
  <c r="R176" i="14" s="1"/>
  <c r="U176" i="14" s="1"/>
  <c r="S178" i="14"/>
  <c r="S175" i="14" s="1"/>
  <c r="Q179" i="14"/>
  <c r="T179" i="14" s="1"/>
  <c r="R179" i="14"/>
  <c r="U179" i="14" s="1"/>
  <c r="S179" i="14"/>
  <c r="O180" i="14"/>
  <c r="P180" i="14"/>
  <c r="T180" i="14"/>
  <c r="U180" i="14"/>
  <c r="L181" i="14"/>
  <c r="M181" i="14"/>
  <c r="M179" i="14" s="1"/>
  <c r="P179" i="14" s="1"/>
  <c r="N181" i="14"/>
  <c r="N179" i="14" s="1"/>
  <c r="T181" i="14"/>
  <c r="U181" i="14"/>
  <c r="I183" i="14"/>
  <c r="I172" i="14" s="1"/>
  <c r="K172" i="14" s="1"/>
  <c r="K184" i="14"/>
  <c r="L187" i="14"/>
  <c r="M187" i="14"/>
  <c r="P187" i="14" s="1"/>
  <c r="N187" i="14"/>
  <c r="O187" i="14"/>
  <c r="Q187" i="14"/>
  <c r="R187" i="14"/>
  <c r="S187" i="14"/>
  <c r="T187" i="14"/>
  <c r="U187" i="14"/>
  <c r="O190" i="14"/>
  <c r="P190" i="14"/>
  <c r="T190" i="14"/>
  <c r="U190" i="14"/>
  <c r="L191" i="14"/>
  <c r="M191" i="14"/>
  <c r="N191" i="14"/>
  <c r="N189" i="14" s="1"/>
  <c r="Q191" i="14"/>
  <c r="R191" i="14"/>
  <c r="R189" i="14" s="1"/>
  <c r="S191" i="14"/>
  <c r="S189" i="14" s="1"/>
  <c r="O193" i="14"/>
  <c r="P193" i="14"/>
  <c r="T193" i="14"/>
  <c r="U193" i="14"/>
  <c r="L194" i="14"/>
  <c r="O194" i="14" s="1"/>
  <c r="M194" i="14"/>
  <c r="P194" i="14" s="1"/>
  <c r="N194" i="14"/>
  <c r="N192" i="14" s="1"/>
  <c r="Q194" i="14"/>
  <c r="R194" i="14"/>
  <c r="R192" i="14" s="1"/>
  <c r="U192" i="14" s="1"/>
  <c r="S194" i="14"/>
  <c r="S192" i="14" s="1"/>
  <c r="J195" i="14"/>
  <c r="L196" i="14"/>
  <c r="O196" i="14" s="1"/>
  <c r="P196" i="14"/>
  <c r="I198" i="14"/>
  <c r="I195" i="14" s="1"/>
  <c r="K195" i="14" s="1"/>
  <c r="J199" i="14"/>
  <c r="J202" i="14"/>
  <c r="N203" i="14"/>
  <c r="P203" i="14"/>
  <c r="S203" i="14"/>
  <c r="U203" i="14"/>
  <c r="L204" i="14"/>
  <c r="L205" i="14"/>
  <c r="L206" i="14"/>
  <c r="Q206" i="14"/>
  <c r="Q203" i="14" s="1"/>
  <c r="T203" i="14" s="1"/>
  <c r="L207" i="14"/>
  <c r="I209" i="14"/>
  <c r="I211" i="14"/>
  <c r="K211" i="14" s="1"/>
  <c r="I212" i="14"/>
  <c r="K212" i="14" s="1"/>
  <c r="J213" i="14"/>
  <c r="N214" i="14"/>
  <c r="P214" i="14"/>
  <c r="S214" i="14"/>
  <c r="U214" i="14"/>
  <c r="L215" i="14"/>
  <c r="L216" i="14"/>
  <c r="L217" i="14"/>
  <c r="Q217" i="14"/>
  <c r="Q214" i="14" s="1"/>
  <c r="T214" i="14" s="1"/>
  <c r="I219" i="14"/>
  <c r="K219" i="14" s="1"/>
  <c r="I220" i="14"/>
  <c r="I213" i="14" s="1"/>
  <c r="K213" i="14" s="1"/>
  <c r="J221" i="14"/>
  <c r="N222" i="14"/>
  <c r="P222" i="14"/>
  <c r="L223" i="14"/>
  <c r="L224" i="14"/>
  <c r="L225" i="14"/>
  <c r="I228" i="14"/>
  <c r="K228" i="14" s="1"/>
  <c r="I229" i="14"/>
  <c r="I221" i="14" s="1"/>
  <c r="K221" i="14" s="1"/>
  <c r="I230" i="14"/>
  <c r="K230" i="14" s="1"/>
  <c r="J231" i="14"/>
  <c r="J185" i="14" s="1"/>
  <c r="N232" i="14"/>
  <c r="N233" i="14"/>
  <c r="N234" i="14"/>
  <c r="N235" i="14"/>
  <c r="N236" i="14"/>
  <c r="J238" i="14"/>
  <c r="I240" i="14"/>
  <c r="J240" i="14"/>
  <c r="K240" i="14"/>
  <c r="I241" i="14"/>
  <c r="K241" i="14" s="1"/>
  <c r="J241" i="14"/>
  <c r="J242" i="14"/>
  <c r="N243" i="14"/>
  <c r="P243" i="14"/>
  <c r="L244" i="14"/>
  <c r="L245" i="14"/>
  <c r="L246" i="14"/>
  <c r="L247" i="14"/>
  <c r="I249" i="14"/>
  <c r="I242" i="14" s="1"/>
  <c r="K242" i="14" s="1"/>
  <c r="K251" i="14"/>
  <c r="K252" i="14"/>
  <c r="J253" i="14"/>
  <c r="N254" i="14"/>
  <c r="P254" i="14"/>
  <c r="L255" i="14"/>
  <c r="L256" i="14"/>
  <c r="L257" i="14"/>
  <c r="L258" i="14"/>
  <c r="I260" i="14"/>
  <c r="K262" i="14"/>
  <c r="K263" i="14"/>
  <c r="J265" i="14"/>
  <c r="L267" i="14"/>
  <c r="M267" i="14"/>
  <c r="N267" i="14"/>
  <c r="O267" i="14"/>
  <c r="Q267" i="14"/>
  <c r="T267" i="14" s="1"/>
  <c r="R267" i="14"/>
  <c r="S267" i="14"/>
  <c r="U267" i="14"/>
  <c r="O270" i="14"/>
  <c r="P270" i="14"/>
  <c r="T270" i="14"/>
  <c r="U270" i="14"/>
  <c r="L271" i="14"/>
  <c r="L269" i="14" s="1"/>
  <c r="M271" i="14"/>
  <c r="M269" i="14" s="1"/>
  <c r="N271" i="14"/>
  <c r="Q271" i="14"/>
  <c r="Q268" i="14" s="1"/>
  <c r="R271" i="14"/>
  <c r="R268" i="14" s="1"/>
  <c r="S271" i="14"/>
  <c r="S269" i="14" s="1"/>
  <c r="Q272" i="14"/>
  <c r="T272" i="14" s="1"/>
  <c r="R272" i="14"/>
  <c r="U272" i="14" s="1"/>
  <c r="S272" i="14"/>
  <c r="O273" i="14"/>
  <c r="P273" i="14"/>
  <c r="T273" i="14"/>
  <c r="U273" i="14"/>
  <c r="L274" i="14"/>
  <c r="L272" i="14" s="1"/>
  <c r="O272" i="14" s="1"/>
  <c r="M274" i="14"/>
  <c r="M272" i="14" s="1"/>
  <c r="P272" i="14" s="1"/>
  <c r="N274" i="14"/>
  <c r="N272" i="14" s="1"/>
  <c r="T274" i="14"/>
  <c r="U274" i="14"/>
  <c r="I276" i="14"/>
  <c r="I265" i="14" s="1"/>
  <c r="J280" i="14"/>
  <c r="J281" i="14"/>
  <c r="L283" i="14"/>
  <c r="O283" i="14" s="1"/>
  <c r="M283" i="14"/>
  <c r="N283" i="14"/>
  <c r="Q283" i="14"/>
  <c r="R283" i="14"/>
  <c r="R282" i="14" s="1"/>
  <c r="U282" i="14" s="1"/>
  <c r="S283" i="14"/>
  <c r="T283" i="14"/>
  <c r="U283" i="14"/>
  <c r="Q284" i="14"/>
  <c r="T284" i="14" s="1"/>
  <c r="R284" i="14"/>
  <c r="U284" i="14" s="1"/>
  <c r="S284" i="14"/>
  <c r="S282" i="14" s="1"/>
  <c r="Q285" i="14"/>
  <c r="T285" i="14" s="1"/>
  <c r="R285" i="14"/>
  <c r="U285" i="14" s="1"/>
  <c r="S285" i="14"/>
  <c r="O286" i="14"/>
  <c r="P286" i="14"/>
  <c r="T286" i="14"/>
  <c r="U286" i="14"/>
  <c r="L287" i="14"/>
  <c r="M287" i="14"/>
  <c r="M285" i="14" s="1"/>
  <c r="N287" i="14"/>
  <c r="N285" i="14" s="1"/>
  <c r="T287" i="14"/>
  <c r="U287" i="14"/>
  <c r="Q288" i="14"/>
  <c r="T288" i="14" s="1"/>
  <c r="R288" i="14"/>
  <c r="U288" i="14" s="1"/>
  <c r="S288" i="14"/>
  <c r="O289" i="14"/>
  <c r="P289" i="14"/>
  <c r="T289" i="14"/>
  <c r="U289" i="14"/>
  <c r="L290" i="14"/>
  <c r="O290" i="14" s="1"/>
  <c r="M290" i="14"/>
  <c r="N290" i="14"/>
  <c r="N288" i="14" s="1"/>
  <c r="T290" i="14"/>
  <c r="U290" i="14"/>
  <c r="I292" i="14"/>
  <c r="I281" i="14" s="1"/>
  <c r="I293" i="14"/>
  <c r="I280" i="14" s="1"/>
  <c r="J293" i="14"/>
  <c r="I295" i="14"/>
  <c r="K295" i="14" s="1"/>
  <c r="I296" i="14"/>
  <c r="K296" i="14" s="1"/>
  <c r="J302" i="14"/>
  <c r="L304" i="14"/>
  <c r="O304" i="14" s="1"/>
  <c r="M304" i="14"/>
  <c r="N304" i="14"/>
  <c r="P304" i="14"/>
  <c r="Q304" i="14"/>
  <c r="T304" i="14" s="1"/>
  <c r="R304" i="14"/>
  <c r="U304" i="14" s="1"/>
  <c r="S304" i="14"/>
  <c r="O307" i="14"/>
  <c r="P307" i="14"/>
  <c r="T307" i="14"/>
  <c r="U307" i="14"/>
  <c r="L308" i="14"/>
  <c r="L306" i="14" s="1"/>
  <c r="O306" i="14" s="1"/>
  <c r="M308" i="14"/>
  <c r="P308" i="14" s="1"/>
  <c r="N308" i="14"/>
  <c r="N306" i="14" s="1"/>
  <c r="Q308" i="14"/>
  <c r="R308" i="14"/>
  <c r="S308" i="14"/>
  <c r="S305" i="14" s="1"/>
  <c r="S303" i="14" s="1"/>
  <c r="Q309" i="14"/>
  <c r="R309" i="14"/>
  <c r="U309" i="14" s="1"/>
  <c r="S309" i="14"/>
  <c r="T309" i="14"/>
  <c r="O310" i="14"/>
  <c r="P310" i="14"/>
  <c r="T310" i="14"/>
  <c r="U310" i="14"/>
  <c r="L311" i="14"/>
  <c r="M311" i="14"/>
  <c r="M309" i="14" s="1"/>
  <c r="P309" i="14" s="1"/>
  <c r="N311" i="14"/>
  <c r="N309" i="14" s="1"/>
  <c r="T311" i="14"/>
  <c r="U311" i="14"/>
  <c r="I314" i="14"/>
  <c r="J319" i="14"/>
  <c r="L321" i="14"/>
  <c r="M321" i="14"/>
  <c r="N321" i="14"/>
  <c r="Q321" i="14"/>
  <c r="R321" i="14"/>
  <c r="S321" i="14"/>
  <c r="T321" i="14"/>
  <c r="Q322" i="14"/>
  <c r="T322" i="14" s="1"/>
  <c r="R322" i="14"/>
  <c r="U322" i="14" s="1"/>
  <c r="S322" i="14"/>
  <c r="Q323" i="14"/>
  <c r="T323" i="14" s="1"/>
  <c r="R323" i="14"/>
  <c r="U323" i="14" s="1"/>
  <c r="S323" i="14"/>
  <c r="O324" i="14"/>
  <c r="P324" i="14"/>
  <c r="T324" i="14"/>
  <c r="U324" i="14"/>
  <c r="L325" i="14"/>
  <c r="L323" i="14" s="1"/>
  <c r="O323" i="14" s="1"/>
  <c r="M325" i="14"/>
  <c r="M323" i="14" s="1"/>
  <c r="P323" i="14" s="1"/>
  <c r="N325" i="14"/>
  <c r="N323" i="14" s="1"/>
  <c r="T325" i="14"/>
  <c r="U325" i="14"/>
  <c r="Q326" i="14"/>
  <c r="T326" i="14" s="1"/>
  <c r="R326" i="14"/>
  <c r="U326" i="14" s="1"/>
  <c r="S326" i="14"/>
  <c r="O327" i="14"/>
  <c r="P327" i="14"/>
  <c r="T327" i="14"/>
  <c r="U327" i="14"/>
  <c r="L328" i="14"/>
  <c r="M328" i="14"/>
  <c r="P328" i="14" s="1"/>
  <c r="N328" i="14"/>
  <c r="N326" i="14" s="1"/>
  <c r="T328" i="14"/>
  <c r="U328" i="14"/>
  <c r="I330" i="14"/>
  <c r="I319" i="14" s="1"/>
  <c r="K319" i="14" s="1"/>
  <c r="L334" i="14"/>
  <c r="O334" i="14" s="1"/>
  <c r="M334" i="14"/>
  <c r="N334" i="14"/>
  <c r="Q334" i="14"/>
  <c r="Q333" i="14" s="1"/>
  <c r="T333" i="14" s="1"/>
  <c r="R334" i="14"/>
  <c r="U334" i="14" s="1"/>
  <c r="S334" i="14"/>
  <c r="T334" i="14"/>
  <c r="Q335" i="14"/>
  <c r="T335" i="14" s="1"/>
  <c r="R335" i="14"/>
  <c r="S335" i="14"/>
  <c r="U335" i="14"/>
  <c r="Q336" i="14"/>
  <c r="T336" i="14" s="1"/>
  <c r="R336" i="14"/>
  <c r="U336" i="14" s="1"/>
  <c r="S336" i="14"/>
  <c r="O337" i="14"/>
  <c r="P337" i="14"/>
  <c r="T337" i="14"/>
  <c r="U337" i="14"/>
  <c r="L338" i="14"/>
  <c r="L336" i="14" s="1"/>
  <c r="M338" i="14"/>
  <c r="M336" i="14" s="1"/>
  <c r="N338" i="14"/>
  <c r="T338" i="14"/>
  <c r="U338" i="14"/>
  <c r="Q339" i="14"/>
  <c r="T339" i="14" s="1"/>
  <c r="R339" i="14"/>
  <c r="U339" i="14" s="1"/>
  <c r="S339" i="14"/>
  <c r="O340" i="14"/>
  <c r="P340" i="14"/>
  <c r="T340" i="14"/>
  <c r="U340" i="14"/>
  <c r="L341" i="14"/>
  <c r="M341" i="14"/>
  <c r="N341" i="14"/>
  <c r="N339" i="14" s="1"/>
  <c r="T341" i="14"/>
  <c r="U341" i="14"/>
  <c r="I344" i="14"/>
  <c r="I332" i="14" s="1"/>
  <c r="J344" i="14"/>
  <c r="I346" i="14"/>
  <c r="J346" i="14"/>
  <c r="J347" i="14"/>
  <c r="J348" i="14"/>
  <c r="J349" i="14"/>
  <c r="D350" i="14"/>
  <c r="J352" i="14"/>
  <c r="J353" i="14"/>
  <c r="D354" i="14"/>
  <c r="L357" i="14"/>
  <c r="O357" i="14" s="1"/>
  <c r="M357" i="14"/>
  <c r="P357" i="14" s="1"/>
  <c r="N357" i="14"/>
  <c r="Q357" i="14"/>
  <c r="R357" i="14"/>
  <c r="S357" i="14"/>
  <c r="S356" i="14" s="1"/>
  <c r="U357" i="14"/>
  <c r="Q358" i="14"/>
  <c r="T358" i="14" s="1"/>
  <c r="R358" i="14"/>
  <c r="S358" i="14"/>
  <c r="Q359" i="14"/>
  <c r="T359" i="14" s="1"/>
  <c r="R359" i="14"/>
  <c r="S359" i="14"/>
  <c r="U359" i="14"/>
  <c r="O360" i="14"/>
  <c r="P360" i="14"/>
  <c r="T360" i="14"/>
  <c r="U360" i="14"/>
  <c r="L361" i="14"/>
  <c r="M361" i="14"/>
  <c r="N361" i="14"/>
  <c r="T361" i="14"/>
  <c r="U361" i="14"/>
  <c r="Q362" i="14"/>
  <c r="T362" i="14" s="1"/>
  <c r="R362" i="14"/>
  <c r="U362" i="14" s="1"/>
  <c r="S362" i="14"/>
  <c r="O363" i="14"/>
  <c r="P363" i="14"/>
  <c r="T363" i="14"/>
  <c r="U363" i="14"/>
  <c r="L364" i="14"/>
  <c r="O364" i="14" s="1"/>
  <c r="M364" i="14"/>
  <c r="N364" i="14"/>
  <c r="N362" i="14" s="1"/>
  <c r="T364" i="14"/>
  <c r="U364" i="14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L376" i="14"/>
  <c r="M376" i="14"/>
  <c r="N376" i="14"/>
  <c r="Q376" i="14"/>
  <c r="R376" i="14"/>
  <c r="S376" i="14"/>
  <c r="O379" i="14"/>
  <c r="P379" i="14"/>
  <c r="T379" i="14"/>
  <c r="U379" i="14"/>
  <c r="L380" i="14"/>
  <c r="L378" i="14" s="1"/>
  <c r="M380" i="14"/>
  <c r="N380" i="14"/>
  <c r="Q380" i="14"/>
  <c r="R380" i="14"/>
  <c r="S380" i="14"/>
  <c r="Q381" i="14"/>
  <c r="T381" i="14" s="1"/>
  <c r="R381" i="14"/>
  <c r="U381" i="14" s="1"/>
  <c r="S381" i="14"/>
  <c r="O382" i="14"/>
  <c r="P382" i="14"/>
  <c r="T382" i="14"/>
  <c r="U382" i="14"/>
  <c r="L383" i="14"/>
  <c r="L381" i="14" s="1"/>
  <c r="O381" i="14" s="1"/>
  <c r="M383" i="14"/>
  <c r="N383" i="14"/>
  <c r="N381" i="14" s="1"/>
  <c r="T383" i="14"/>
  <c r="U383" i="14"/>
  <c r="J385" i="14"/>
  <c r="K385" i="14"/>
  <c r="I386" i="14"/>
  <c r="J386" i="14"/>
  <c r="J387" i="14"/>
  <c r="K387" i="14"/>
  <c r="I388" i="14"/>
  <c r="K388" i="14" s="1"/>
  <c r="J388" i="14"/>
  <c r="I391" i="14"/>
  <c r="J391" i="14"/>
  <c r="K391" i="14"/>
  <c r="L393" i="14"/>
  <c r="M393" i="14"/>
  <c r="P393" i="14" s="1"/>
  <c r="N393" i="14"/>
  <c r="N392" i="14" s="1"/>
  <c r="Q393" i="14"/>
  <c r="R393" i="14"/>
  <c r="U393" i="14" s="1"/>
  <c r="S393" i="14"/>
  <c r="T393" i="14"/>
  <c r="L394" i="14"/>
  <c r="O394" i="14" s="1"/>
  <c r="M394" i="14"/>
  <c r="N394" i="14"/>
  <c r="P394" i="14"/>
  <c r="L395" i="14"/>
  <c r="O395" i="14" s="1"/>
  <c r="M395" i="14"/>
  <c r="P395" i="14" s="1"/>
  <c r="N395" i="14"/>
  <c r="O396" i="14"/>
  <c r="P396" i="14"/>
  <c r="T396" i="14"/>
  <c r="U396" i="14"/>
  <c r="O397" i="14"/>
  <c r="P397" i="14"/>
  <c r="Q397" i="14"/>
  <c r="Q394" i="14" s="1"/>
  <c r="T394" i="14" s="1"/>
  <c r="R397" i="14"/>
  <c r="S397" i="14"/>
  <c r="S395" i="14" s="1"/>
  <c r="L398" i="14"/>
  <c r="M398" i="14"/>
  <c r="P398" i="14" s="1"/>
  <c r="N398" i="14"/>
  <c r="O398" i="14"/>
  <c r="Q398" i="14"/>
  <c r="R398" i="14"/>
  <c r="S398" i="14"/>
  <c r="T398" i="14"/>
  <c r="U398" i="14"/>
  <c r="O399" i="14"/>
  <c r="P399" i="14"/>
  <c r="T399" i="14"/>
  <c r="U399" i="14"/>
  <c r="O400" i="14"/>
  <c r="P400" i="14"/>
  <c r="T400" i="14"/>
  <c r="U400" i="14"/>
  <c r="L414" i="14"/>
  <c r="O414" i="14" s="1"/>
  <c r="M414" i="14"/>
  <c r="N414" i="14"/>
  <c r="Q414" i="14"/>
  <c r="R414" i="14"/>
  <c r="U414" i="14" s="1"/>
  <c r="S414" i="14"/>
  <c r="O417" i="14"/>
  <c r="P417" i="14"/>
  <c r="T417" i="14"/>
  <c r="U417" i="14"/>
  <c r="L418" i="14"/>
  <c r="M418" i="14"/>
  <c r="N418" i="14"/>
  <c r="Q418" i="14"/>
  <c r="Q415" i="14" s="1"/>
  <c r="R418" i="14"/>
  <c r="R415" i="14" s="1"/>
  <c r="S418" i="14"/>
  <c r="S415" i="14" s="1"/>
  <c r="Q419" i="14"/>
  <c r="R419" i="14"/>
  <c r="S419" i="14"/>
  <c r="T419" i="14"/>
  <c r="U419" i="14"/>
  <c r="O420" i="14"/>
  <c r="P420" i="14"/>
  <c r="T420" i="14"/>
  <c r="U420" i="14"/>
  <c r="L421" i="14"/>
  <c r="O421" i="14" s="1"/>
  <c r="M421" i="14"/>
  <c r="M419" i="14" s="1"/>
  <c r="P419" i="14" s="1"/>
  <c r="N421" i="14"/>
  <c r="N419" i="14" s="1"/>
  <c r="T421" i="14"/>
  <c r="U421" i="14"/>
  <c r="I424" i="14"/>
  <c r="J424" i="14"/>
  <c r="I425" i="14"/>
  <c r="K425" i="14" s="1"/>
  <c r="J425" i="14"/>
  <c r="I432" i="14"/>
  <c r="J432" i="14"/>
  <c r="I433" i="14"/>
  <c r="J433" i="14"/>
  <c r="I440" i="14"/>
  <c r="I423" i="14" s="1"/>
  <c r="I412" i="14" s="1"/>
  <c r="I441" i="14"/>
  <c r="K441" i="14" s="1"/>
  <c r="J441" i="14"/>
  <c r="J446" i="14"/>
  <c r="J440" i="14" s="1"/>
  <c r="J447" i="14"/>
  <c r="I457" i="14"/>
  <c r="I458" i="14"/>
  <c r="K458" i="14" s="1"/>
  <c r="J459" i="14"/>
  <c r="J457" i="14" s="1"/>
  <c r="J456" i="14" s="1"/>
  <c r="J460" i="14"/>
  <c r="J467" i="14"/>
  <c r="J468" i="14"/>
  <c r="J475" i="14"/>
  <c r="K475" i="14"/>
  <c r="J476" i="14"/>
  <c r="K476" i="14"/>
  <c r="J477" i="14"/>
  <c r="K477" i="14"/>
  <c r="J482" i="14"/>
  <c r="J483" i="14"/>
  <c r="I484" i="14"/>
  <c r="K484" i="14" s="1"/>
  <c r="J484" i="14"/>
  <c r="I485" i="14"/>
  <c r="K485" i="14" s="1"/>
  <c r="J485" i="14"/>
  <c r="L494" i="14"/>
  <c r="O494" i="14" s="1"/>
  <c r="M494" i="14"/>
  <c r="P494" i="14" s="1"/>
  <c r="N494" i="14"/>
  <c r="Q494" i="14"/>
  <c r="R494" i="14"/>
  <c r="U494" i="14" s="1"/>
  <c r="S494" i="14"/>
  <c r="T494" i="14"/>
  <c r="O497" i="14"/>
  <c r="P497" i="14"/>
  <c r="T497" i="14"/>
  <c r="U497" i="14"/>
  <c r="L498" i="14"/>
  <c r="O498" i="14" s="1"/>
  <c r="M498" i="14"/>
  <c r="N498" i="14"/>
  <c r="N496" i="14" s="1"/>
  <c r="Q498" i="14"/>
  <c r="Q496" i="14" s="1"/>
  <c r="T496" i="14" s="1"/>
  <c r="R498" i="14"/>
  <c r="U498" i="14" s="1"/>
  <c r="S498" i="14"/>
  <c r="S495" i="14" s="1"/>
  <c r="Q499" i="14"/>
  <c r="T499" i="14" s="1"/>
  <c r="R499" i="14"/>
  <c r="S499" i="14"/>
  <c r="U499" i="14"/>
  <c r="O500" i="14"/>
  <c r="P500" i="14"/>
  <c r="T500" i="14"/>
  <c r="U500" i="14"/>
  <c r="L501" i="14"/>
  <c r="O501" i="14" s="1"/>
  <c r="M501" i="14"/>
  <c r="M499" i="14" s="1"/>
  <c r="P499" i="14" s="1"/>
  <c r="N501" i="14"/>
  <c r="N499" i="14" s="1"/>
  <c r="T501" i="14"/>
  <c r="U501" i="14"/>
  <c r="I503" i="14"/>
  <c r="K503" i="14" s="1"/>
  <c r="I504" i="14"/>
  <c r="K504" i="14" s="1"/>
  <c r="I505" i="14"/>
  <c r="K505" i="14" s="1"/>
  <c r="I506" i="14"/>
  <c r="K506" i="14" s="1"/>
  <c r="I507" i="14"/>
  <c r="K507" i="14" s="1"/>
  <c r="K508" i="14"/>
  <c r="I509" i="14"/>
  <c r="K509" i="14" s="1"/>
  <c r="I512" i="14"/>
  <c r="J512" i="14"/>
  <c r="K512" i="14"/>
  <c r="L514" i="14"/>
  <c r="M514" i="14"/>
  <c r="N514" i="14"/>
  <c r="P514" i="14"/>
  <c r="Q514" i="14"/>
  <c r="T514" i="14" s="1"/>
  <c r="R514" i="14"/>
  <c r="S514" i="14"/>
  <c r="S513" i="14" s="1"/>
  <c r="Q515" i="14"/>
  <c r="R515" i="14"/>
  <c r="U515" i="14" s="1"/>
  <c r="S515" i="14"/>
  <c r="T515" i="14"/>
  <c r="Q516" i="14"/>
  <c r="R516" i="14"/>
  <c r="U516" i="14" s="1"/>
  <c r="S516" i="14"/>
  <c r="T516" i="14"/>
  <c r="O517" i="14"/>
  <c r="P517" i="14"/>
  <c r="T517" i="14"/>
  <c r="U517" i="14"/>
  <c r="L518" i="14"/>
  <c r="M518" i="14"/>
  <c r="N518" i="14"/>
  <c r="N516" i="14" s="1"/>
  <c r="T518" i="14"/>
  <c r="U518" i="14"/>
  <c r="Q519" i="14"/>
  <c r="T519" i="14" s="1"/>
  <c r="R519" i="14"/>
  <c r="S519" i="14"/>
  <c r="U519" i="14"/>
  <c r="O520" i="14"/>
  <c r="P520" i="14"/>
  <c r="T520" i="14"/>
  <c r="U520" i="14"/>
  <c r="L521" i="14"/>
  <c r="M521" i="14"/>
  <c r="P521" i="14" s="1"/>
  <c r="N521" i="14"/>
  <c r="N519" i="14" s="1"/>
  <c r="T521" i="14"/>
  <c r="U521" i="14"/>
  <c r="K523" i="14"/>
  <c r="K524" i="14"/>
  <c r="I533" i="14"/>
  <c r="J533" i="14"/>
  <c r="K533" i="14"/>
  <c r="L535" i="14"/>
  <c r="M535" i="14"/>
  <c r="P535" i="14" s="1"/>
  <c r="N535" i="14"/>
  <c r="O535" i="14"/>
  <c r="Q535" i="14"/>
  <c r="R535" i="14"/>
  <c r="S535" i="14"/>
  <c r="U535" i="14"/>
  <c r="Q536" i="14"/>
  <c r="T536" i="14" s="1"/>
  <c r="R536" i="14"/>
  <c r="S536" i="14"/>
  <c r="U536" i="14"/>
  <c r="Q537" i="14"/>
  <c r="T537" i="14" s="1"/>
  <c r="R537" i="14"/>
  <c r="U537" i="14" s="1"/>
  <c r="S537" i="14"/>
  <c r="O538" i="14"/>
  <c r="P538" i="14"/>
  <c r="T538" i="14"/>
  <c r="U538" i="14"/>
  <c r="L539" i="14"/>
  <c r="M539" i="14"/>
  <c r="M537" i="14" s="1"/>
  <c r="P537" i="14" s="1"/>
  <c r="N539" i="14"/>
  <c r="N537" i="14" s="1"/>
  <c r="T539" i="14"/>
  <c r="U539" i="14"/>
  <c r="Q540" i="14"/>
  <c r="T540" i="14" s="1"/>
  <c r="R540" i="14"/>
  <c r="U540" i="14" s="1"/>
  <c r="S540" i="14"/>
  <c r="O541" i="14"/>
  <c r="P541" i="14"/>
  <c r="T541" i="14"/>
  <c r="U541" i="14"/>
  <c r="L542" i="14"/>
  <c r="L540" i="14" s="1"/>
  <c r="M542" i="14"/>
  <c r="N542" i="14"/>
  <c r="N540" i="14" s="1"/>
  <c r="T542" i="14"/>
  <c r="U542" i="14"/>
  <c r="K544" i="14"/>
  <c r="I554" i="14"/>
  <c r="K554" i="14" s="1"/>
  <c r="J554" i="14"/>
  <c r="L556" i="14"/>
  <c r="M556" i="14"/>
  <c r="P556" i="14" s="1"/>
  <c r="N556" i="14"/>
  <c r="Q556" i="14"/>
  <c r="T556" i="14" s="1"/>
  <c r="R556" i="14"/>
  <c r="S556" i="14"/>
  <c r="S555" i="14" s="1"/>
  <c r="Q557" i="14"/>
  <c r="R557" i="14"/>
  <c r="U557" i="14" s="1"/>
  <c r="S557" i="14"/>
  <c r="Q558" i="14"/>
  <c r="T558" i="14" s="1"/>
  <c r="R558" i="14"/>
  <c r="U558" i="14" s="1"/>
  <c r="S558" i="14"/>
  <c r="O559" i="14"/>
  <c r="P559" i="14"/>
  <c r="T559" i="14"/>
  <c r="U559" i="14"/>
  <c r="L560" i="14"/>
  <c r="M560" i="14"/>
  <c r="P560" i="14" s="1"/>
  <c r="N560" i="14"/>
  <c r="N558" i="14" s="1"/>
  <c r="T560" i="14"/>
  <c r="U560" i="14"/>
  <c r="Q561" i="14"/>
  <c r="R561" i="14"/>
  <c r="U561" i="14" s="1"/>
  <c r="S561" i="14"/>
  <c r="T561" i="14"/>
  <c r="O562" i="14"/>
  <c r="P562" i="14"/>
  <c r="T562" i="14"/>
  <c r="U562" i="14"/>
  <c r="L563" i="14"/>
  <c r="L561" i="14" s="1"/>
  <c r="O561" i="14" s="1"/>
  <c r="M563" i="14"/>
  <c r="N563" i="14"/>
  <c r="T563" i="14"/>
  <c r="U563" i="14"/>
  <c r="I575" i="14"/>
  <c r="J575" i="14"/>
  <c r="K575" i="14"/>
  <c r="L577" i="14"/>
  <c r="M577" i="14"/>
  <c r="P577" i="14" s="1"/>
  <c r="N577" i="14"/>
  <c r="O577" i="14"/>
  <c r="Q577" i="14"/>
  <c r="Q576" i="14" s="1"/>
  <c r="T576" i="14" s="1"/>
  <c r="R577" i="14"/>
  <c r="S577" i="14"/>
  <c r="S576" i="14" s="1"/>
  <c r="T577" i="14"/>
  <c r="U577" i="14"/>
  <c r="Q578" i="14"/>
  <c r="R578" i="14"/>
  <c r="U578" i="14" s="1"/>
  <c r="S578" i="14"/>
  <c r="T578" i="14"/>
  <c r="Q579" i="14"/>
  <c r="T579" i="14" s="1"/>
  <c r="R579" i="14"/>
  <c r="U579" i="14" s="1"/>
  <c r="S579" i="14"/>
  <c r="O580" i="14"/>
  <c r="P580" i="14"/>
  <c r="T580" i="14"/>
  <c r="U580" i="14"/>
  <c r="L581" i="14"/>
  <c r="L579" i="14" s="1"/>
  <c r="M581" i="14"/>
  <c r="M579" i="14" s="1"/>
  <c r="P579" i="14" s="1"/>
  <c r="N581" i="14"/>
  <c r="N579" i="14" s="1"/>
  <c r="T581" i="14"/>
  <c r="U581" i="14"/>
  <c r="Q582" i="14"/>
  <c r="T582" i="14" s="1"/>
  <c r="R582" i="14"/>
  <c r="S582" i="14"/>
  <c r="U582" i="14"/>
  <c r="O583" i="14"/>
  <c r="P583" i="14"/>
  <c r="T583" i="14"/>
  <c r="U583" i="14"/>
  <c r="L584" i="14"/>
  <c r="L582" i="14" s="1"/>
  <c r="O582" i="14" s="1"/>
  <c r="M584" i="14"/>
  <c r="P584" i="14" s="1"/>
  <c r="N584" i="14"/>
  <c r="T584" i="14"/>
  <c r="U584" i="14"/>
  <c r="L600" i="14"/>
  <c r="M600" i="14"/>
  <c r="N600" i="14"/>
  <c r="O600" i="14"/>
  <c r="P600" i="14"/>
  <c r="Q600" i="14"/>
  <c r="R600" i="14"/>
  <c r="S600" i="14"/>
  <c r="T600" i="14"/>
  <c r="U600" i="14"/>
  <c r="O603" i="14"/>
  <c r="P603" i="14"/>
  <c r="T603" i="14"/>
  <c r="U603" i="14"/>
  <c r="L604" i="14"/>
  <c r="M604" i="14"/>
  <c r="M602" i="14" s="1"/>
  <c r="P602" i="14" s="1"/>
  <c r="N604" i="14"/>
  <c r="Q604" i="14"/>
  <c r="T604" i="14" s="1"/>
  <c r="R604" i="14"/>
  <c r="S604" i="14"/>
  <c r="S602" i="14" s="1"/>
  <c r="O606" i="14"/>
  <c r="P606" i="14"/>
  <c r="T606" i="14"/>
  <c r="U606" i="14"/>
  <c r="L607" i="14"/>
  <c r="L605" i="14" s="1"/>
  <c r="O605" i="14" s="1"/>
  <c r="M607" i="14"/>
  <c r="M605" i="14" s="1"/>
  <c r="P605" i="14" s="1"/>
  <c r="N607" i="14"/>
  <c r="N605" i="14" s="1"/>
  <c r="Q607" i="14"/>
  <c r="Q605" i="14" s="1"/>
  <c r="T605" i="14" s="1"/>
  <c r="R607" i="14"/>
  <c r="R605" i="14" s="1"/>
  <c r="U605" i="14" s="1"/>
  <c r="S607" i="14"/>
  <c r="S605" i="14" s="1"/>
  <c r="N616" i="14"/>
  <c r="L617" i="14"/>
  <c r="M617" i="14"/>
  <c r="N617" i="14"/>
  <c r="O617" i="14"/>
  <c r="P617" i="14"/>
  <c r="Q617" i="14"/>
  <c r="R617" i="14"/>
  <c r="U617" i="14" s="1"/>
  <c r="S617" i="14"/>
  <c r="L618" i="14"/>
  <c r="O618" i="14" s="1"/>
  <c r="M618" i="14"/>
  <c r="N618" i="14"/>
  <c r="L619" i="14"/>
  <c r="O619" i="14" s="1"/>
  <c r="M619" i="14"/>
  <c r="P619" i="14" s="1"/>
  <c r="N619" i="14"/>
  <c r="O620" i="14"/>
  <c r="P620" i="14"/>
  <c r="T620" i="14"/>
  <c r="U620" i="14"/>
  <c r="O621" i="14"/>
  <c r="P621" i="14"/>
  <c r="Q621" i="14"/>
  <c r="Q618" i="14" s="1"/>
  <c r="R621" i="14"/>
  <c r="R619" i="14" s="1"/>
  <c r="S621" i="14"/>
  <c r="S618" i="14" s="1"/>
  <c r="S616" i="14" s="1"/>
  <c r="L622" i="14"/>
  <c r="O622" i="14" s="1"/>
  <c r="M622" i="14"/>
  <c r="N622" i="14"/>
  <c r="P622" i="14"/>
  <c r="Q622" i="14"/>
  <c r="T622" i="14" s="1"/>
  <c r="R622" i="14"/>
  <c r="U622" i="14" s="1"/>
  <c r="S622" i="14"/>
  <c r="O623" i="14"/>
  <c r="P623" i="14"/>
  <c r="T623" i="14"/>
  <c r="U623" i="14"/>
  <c r="O624" i="14"/>
  <c r="P624" i="14"/>
  <c r="T624" i="14"/>
  <c r="U624" i="14"/>
  <c r="I626" i="14"/>
  <c r="K632" i="14" s="1"/>
  <c r="I627" i="14"/>
  <c r="K627" i="14" s="1"/>
  <c r="I628" i="14"/>
  <c r="K628" i="14" s="1"/>
  <c r="J632" i="14"/>
  <c r="J626" i="14" s="1"/>
  <c r="J615" i="14" s="1"/>
  <c r="I635" i="14"/>
  <c r="K635" i="14" s="1"/>
  <c r="J635" i="14"/>
  <c r="J636" i="14"/>
  <c r="L643" i="14"/>
  <c r="O643" i="14" s="1"/>
  <c r="M643" i="14"/>
  <c r="N643" i="14"/>
  <c r="N642" i="14" s="1"/>
  <c r="Q643" i="14"/>
  <c r="R643" i="14"/>
  <c r="U643" i="14" s="1"/>
  <c r="S643" i="14"/>
  <c r="T643" i="14"/>
  <c r="L644" i="14"/>
  <c r="M644" i="14"/>
  <c r="N644" i="14"/>
  <c r="P644" i="14"/>
  <c r="L645" i="14"/>
  <c r="O645" i="14" s="1"/>
  <c r="M645" i="14"/>
  <c r="P645" i="14" s="1"/>
  <c r="N645" i="14"/>
  <c r="O646" i="14"/>
  <c r="P646" i="14"/>
  <c r="T646" i="14"/>
  <c r="U646" i="14"/>
  <c r="O647" i="14"/>
  <c r="P647" i="14"/>
  <c r="Q647" i="14"/>
  <c r="Q645" i="14" s="1"/>
  <c r="T645" i="14" s="1"/>
  <c r="R647" i="14"/>
  <c r="R644" i="14" s="1"/>
  <c r="S647" i="14"/>
  <c r="S644" i="14" s="1"/>
  <c r="L648" i="14"/>
  <c r="M648" i="14"/>
  <c r="N648" i="14"/>
  <c r="O648" i="14"/>
  <c r="P648" i="14"/>
  <c r="Q648" i="14"/>
  <c r="T648" i="14" s="1"/>
  <c r="R648" i="14"/>
  <c r="S648" i="14"/>
  <c r="U648" i="14"/>
  <c r="O649" i="14"/>
  <c r="P649" i="14"/>
  <c r="T649" i="14"/>
  <c r="U649" i="14"/>
  <c r="O650" i="14"/>
  <c r="P650" i="14"/>
  <c r="T650" i="14"/>
  <c r="U650" i="14"/>
  <c r="I652" i="14"/>
  <c r="K652" i="14" s="1"/>
  <c r="J652" i="14"/>
  <c r="I653" i="14"/>
  <c r="K653" i="14" s="1"/>
  <c r="J653" i="14"/>
  <c r="I654" i="14"/>
  <c r="K654" i="14" s="1"/>
  <c r="J654" i="14"/>
  <c r="I657" i="14"/>
  <c r="I660" i="14"/>
  <c r="I661" i="14"/>
  <c r="K661" i="14" s="1"/>
  <c r="J661" i="14"/>
  <c r="J671" i="14"/>
  <c r="J672" i="14"/>
  <c r="I673" i="14"/>
  <c r="K673" i="14" s="1"/>
  <c r="J673" i="14"/>
  <c r="I674" i="14"/>
  <c r="K674" i="14" s="1"/>
  <c r="I675" i="14"/>
  <c r="K675" i="14" s="1"/>
  <c r="I676" i="14"/>
  <c r="K676" i="14" s="1"/>
  <c r="J676" i="14"/>
  <c r="J677" i="14"/>
  <c r="I678" i="14"/>
  <c r="K678" i="14" s="1"/>
  <c r="J678" i="14"/>
  <c r="I679" i="14"/>
  <c r="K679" i="14" s="1"/>
  <c r="J679" i="14"/>
  <c r="J680" i="14"/>
  <c r="I681" i="14"/>
  <c r="K681" i="14" s="1"/>
  <c r="J681" i="14"/>
  <c r="I682" i="14"/>
  <c r="K682" i="14" s="1"/>
  <c r="J682" i="14"/>
  <c r="N690" i="14"/>
  <c r="L691" i="14"/>
  <c r="M691" i="14"/>
  <c r="M690" i="14" s="1"/>
  <c r="P690" i="14" s="1"/>
  <c r="N691" i="14"/>
  <c r="O691" i="14"/>
  <c r="P691" i="14"/>
  <c r="Q691" i="14"/>
  <c r="R691" i="14"/>
  <c r="S691" i="14"/>
  <c r="U691" i="14"/>
  <c r="L692" i="14"/>
  <c r="M692" i="14"/>
  <c r="P692" i="14" s="1"/>
  <c r="N692" i="14"/>
  <c r="L693" i="14"/>
  <c r="O693" i="14" s="1"/>
  <c r="M693" i="14"/>
  <c r="P693" i="14" s="1"/>
  <c r="N693" i="14"/>
  <c r="O694" i="14"/>
  <c r="P694" i="14"/>
  <c r="T694" i="14"/>
  <c r="U694" i="14"/>
  <c r="O695" i="14"/>
  <c r="P695" i="14"/>
  <c r="Q695" i="14"/>
  <c r="Q693" i="14" s="1"/>
  <c r="R695" i="14"/>
  <c r="S695" i="14"/>
  <c r="L696" i="14"/>
  <c r="M696" i="14"/>
  <c r="P696" i="14" s="1"/>
  <c r="N696" i="14"/>
  <c r="O696" i="14"/>
  <c r="Q696" i="14"/>
  <c r="T696" i="14" s="1"/>
  <c r="R696" i="14"/>
  <c r="S696" i="14"/>
  <c r="U696" i="14"/>
  <c r="O697" i="14"/>
  <c r="P697" i="14"/>
  <c r="T697" i="14"/>
  <c r="U697" i="14"/>
  <c r="O698" i="14"/>
  <c r="P698" i="14"/>
  <c r="T698" i="14"/>
  <c r="U698" i="14"/>
  <c r="I700" i="14"/>
  <c r="K700" i="14" s="1"/>
  <c r="K702" i="14"/>
  <c r="I703" i="14"/>
  <c r="J703" i="14"/>
  <c r="J704" i="14"/>
  <c r="K704" i="14"/>
  <c r="I705" i="14"/>
  <c r="J705" i="14"/>
  <c r="J706" i="14"/>
  <c r="K706" i="14"/>
  <c r="I707" i="14"/>
  <c r="J707" i="14"/>
  <c r="J689" i="14" s="1"/>
  <c r="J708" i="14"/>
  <c r="K708" i="14"/>
  <c r="I709" i="14"/>
  <c r="J709" i="14"/>
  <c r="J710" i="14"/>
  <c r="K710" i="14"/>
  <c r="J712" i="14"/>
  <c r="K712" i="14"/>
  <c r="L715" i="14"/>
  <c r="M715" i="14"/>
  <c r="N715" i="14"/>
  <c r="Q715" i="14"/>
  <c r="R715" i="14"/>
  <c r="U715" i="14" s="1"/>
  <c r="S715" i="14"/>
  <c r="S714" i="14" s="1"/>
  <c r="T715" i="14"/>
  <c r="L716" i="14"/>
  <c r="O716" i="14" s="1"/>
  <c r="M716" i="14"/>
  <c r="N716" i="14"/>
  <c r="P716" i="14"/>
  <c r="Q716" i="14"/>
  <c r="T716" i="14" s="1"/>
  <c r="R716" i="14"/>
  <c r="S716" i="14"/>
  <c r="L717" i="14"/>
  <c r="O717" i="14" s="1"/>
  <c r="M717" i="14"/>
  <c r="P717" i="14" s="1"/>
  <c r="N717" i="14"/>
  <c r="Q717" i="14"/>
  <c r="T717" i="14" s="1"/>
  <c r="R717" i="14"/>
  <c r="U717" i="14" s="1"/>
  <c r="S717" i="14"/>
  <c r="O718" i="14"/>
  <c r="P718" i="14"/>
  <c r="T718" i="14"/>
  <c r="U718" i="14"/>
  <c r="O719" i="14"/>
  <c r="P719" i="14"/>
  <c r="T719" i="14"/>
  <c r="U719" i="14"/>
  <c r="L720" i="14"/>
  <c r="O720" i="14" s="1"/>
  <c r="M720" i="14"/>
  <c r="N720" i="14"/>
  <c r="P720" i="14"/>
  <c r="Q720" i="14"/>
  <c r="T720" i="14" s="1"/>
  <c r="R720" i="14"/>
  <c r="U720" i="14" s="1"/>
  <c r="S720" i="14"/>
  <c r="O721" i="14"/>
  <c r="P721" i="14"/>
  <c r="T721" i="14"/>
  <c r="U721" i="14"/>
  <c r="O722" i="14"/>
  <c r="P722" i="14"/>
  <c r="T722" i="14"/>
  <c r="U722" i="14"/>
  <c r="I726" i="14"/>
  <c r="J726" i="14"/>
  <c r="I727" i="14"/>
  <c r="K727" i="14" s="1"/>
  <c r="J727" i="14"/>
  <c r="L729" i="14"/>
  <c r="M729" i="14"/>
  <c r="N729" i="14"/>
  <c r="N728" i="14" s="1"/>
  <c r="Q729" i="14"/>
  <c r="R729" i="14"/>
  <c r="U729" i="14" s="1"/>
  <c r="S729" i="14"/>
  <c r="T729" i="14"/>
  <c r="L730" i="14"/>
  <c r="O730" i="14" s="1"/>
  <c r="M730" i="14"/>
  <c r="N730" i="14"/>
  <c r="P730" i="14"/>
  <c r="L731" i="14"/>
  <c r="O731" i="14" s="1"/>
  <c r="M731" i="14"/>
  <c r="P731" i="14" s="1"/>
  <c r="N731" i="14"/>
  <c r="O732" i="14"/>
  <c r="P732" i="14"/>
  <c r="T732" i="14"/>
  <c r="U732" i="14"/>
  <c r="O733" i="14"/>
  <c r="P733" i="14"/>
  <c r="Q733" i="14"/>
  <c r="Q730" i="14" s="1"/>
  <c r="Q728" i="14" s="1"/>
  <c r="R733" i="14"/>
  <c r="R731" i="14" s="1"/>
  <c r="S733" i="14"/>
  <c r="L734" i="14"/>
  <c r="M734" i="14"/>
  <c r="P734" i="14" s="1"/>
  <c r="N734" i="14"/>
  <c r="O734" i="14"/>
  <c r="Q734" i="14"/>
  <c r="T734" i="14" s="1"/>
  <c r="R734" i="14"/>
  <c r="U734" i="14" s="1"/>
  <c r="S734" i="14"/>
  <c r="O735" i="14"/>
  <c r="P735" i="14"/>
  <c r="T735" i="14"/>
  <c r="U735" i="14"/>
  <c r="O736" i="14"/>
  <c r="P736" i="14"/>
  <c r="T736" i="14"/>
  <c r="U736" i="14"/>
  <c r="I740" i="14"/>
  <c r="K740" i="14" s="1"/>
  <c r="I742" i="14"/>
  <c r="K742" i="14" s="1"/>
  <c r="I744" i="14"/>
  <c r="K744" i="14" s="1"/>
  <c r="I746" i="14"/>
  <c r="K746" i="14" s="1"/>
  <c r="I749" i="14"/>
  <c r="K749" i="14" s="1"/>
  <c r="I752" i="14"/>
  <c r="K752" i="14" s="1"/>
  <c r="I755" i="14"/>
  <c r="K755" i="14" s="1"/>
  <c r="J758" i="14"/>
  <c r="J759" i="14"/>
  <c r="M760" i="14"/>
  <c r="P760" i="14" s="1"/>
  <c r="L761" i="14"/>
  <c r="O761" i="14" s="1"/>
  <c r="M761" i="14"/>
  <c r="P761" i="14" s="1"/>
  <c r="N761" i="14"/>
  <c r="Q761" i="14"/>
  <c r="R761" i="14"/>
  <c r="U761" i="14" s="1"/>
  <c r="S761" i="14"/>
  <c r="T761" i="14"/>
  <c r="L762" i="14"/>
  <c r="M762" i="14"/>
  <c r="N762" i="14"/>
  <c r="O762" i="14"/>
  <c r="P762" i="14"/>
  <c r="L763" i="14"/>
  <c r="O763" i="14" s="1"/>
  <c r="M763" i="14"/>
  <c r="P763" i="14" s="1"/>
  <c r="N763" i="14"/>
  <c r="O764" i="14"/>
  <c r="P764" i="14"/>
  <c r="T764" i="14"/>
  <c r="U764" i="14"/>
  <c r="O765" i="14"/>
  <c r="P765" i="14"/>
  <c r="Q765" i="14"/>
  <c r="Q762" i="14" s="1"/>
  <c r="R765" i="14"/>
  <c r="R762" i="14" s="1"/>
  <c r="S765" i="14"/>
  <c r="S762" i="14" s="1"/>
  <c r="L766" i="14"/>
  <c r="O766" i="14" s="1"/>
  <c r="M766" i="14"/>
  <c r="P766" i="14" s="1"/>
  <c r="N766" i="14"/>
  <c r="Q766" i="14"/>
  <c r="T766" i="14" s="1"/>
  <c r="R766" i="14"/>
  <c r="U766" i="14" s="1"/>
  <c r="S766" i="14"/>
  <c r="O767" i="14"/>
  <c r="P767" i="14"/>
  <c r="T767" i="14"/>
  <c r="U767" i="14"/>
  <c r="O768" i="14"/>
  <c r="P768" i="14"/>
  <c r="T768" i="14"/>
  <c r="U768" i="14"/>
  <c r="I770" i="14"/>
  <c r="K770" i="14" s="1"/>
  <c r="I772" i="14"/>
  <c r="I758" i="14" s="1"/>
  <c r="K758" i="14" s="1"/>
  <c r="I774" i="14"/>
  <c r="I775" i="14"/>
  <c r="I776" i="14"/>
  <c r="H777" i="14"/>
  <c r="I778" i="14"/>
  <c r="J778" i="14"/>
  <c r="I779" i="14"/>
  <c r="J779" i="14"/>
  <c r="I780" i="14"/>
  <c r="J780" i="14"/>
  <c r="I781" i="14"/>
  <c r="J781" i="14"/>
  <c r="I782" i="14"/>
  <c r="K782" i="14" s="1"/>
  <c r="J782" i="14"/>
  <c r="I783" i="14"/>
  <c r="K783" i="14" s="1"/>
  <c r="J783" i="14"/>
  <c r="I784" i="14"/>
  <c r="J784" i="14"/>
  <c r="I785" i="14"/>
  <c r="J785" i="14"/>
  <c r="A788" i="14"/>
  <c r="A789" i="14"/>
  <c r="A789" i="13"/>
  <c r="A788" i="13"/>
  <c r="J785" i="13"/>
  <c r="I785" i="13"/>
  <c r="J784" i="13"/>
  <c r="I784" i="13"/>
  <c r="J783" i="13"/>
  <c r="I783" i="13"/>
  <c r="K783" i="13" s="1"/>
  <c r="J782" i="13"/>
  <c r="I782" i="13"/>
  <c r="K782" i="13" s="1"/>
  <c r="J781" i="13"/>
  <c r="I781" i="13"/>
  <c r="J780" i="13"/>
  <c r="I780" i="13"/>
  <c r="J779" i="13"/>
  <c r="I779" i="13"/>
  <c r="J778" i="13"/>
  <c r="I778" i="13"/>
  <c r="H777" i="13"/>
  <c r="I776" i="13"/>
  <c r="I775" i="13"/>
  <c r="I774" i="13"/>
  <c r="I759" i="13" s="1"/>
  <c r="K759" i="13" s="1"/>
  <c r="I772" i="13"/>
  <c r="I770" i="13"/>
  <c r="K770" i="13" s="1"/>
  <c r="U768" i="13"/>
  <c r="T768" i="13"/>
  <c r="P768" i="13"/>
  <c r="O768" i="13"/>
  <c r="U767" i="13"/>
  <c r="T767" i="13"/>
  <c r="P767" i="13"/>
  <c r="O767" i="13"/>
  <c r="U766" i="13"/>
  <c r="S766" i="13"/>
  <c r="R766" i="13"/>
  <c r="Q766" i="13"/>
  <c r="T766" i="13" s="1"/>
  <c r="P766" i="13"/>
  <c r="O766" i="13"/>
  <c r="N766" i="13"/>
  <c r="M766" i="13"/>
  <c r="L766" i="13"/>
  <c r="S765" i="13"/>
  <c r="S762" i="13" s="1"/>
  <c r="S760" i="13" s="1"/>
  <c r="R765" i="13"/>
  <c r="R762" i="13" s="1"/>
  <c r="Q765" i="13"/>
  <c r="P765" i="13"/>
  <c r="O765" i="13"/>
  <c r="U764" i="13"/>
  <c r="T764" i="13"/>
  <c r="P764" i="13"/>
  <c r="O764" i="13"/>
  <c r="N763" i="13"/>
  <c r="M763" i="13"/>
  <c r="P763" i="13" s="1"/>
  <c r="L763" i="13"/>
  <c r="O763" i="13" s="1"/>
  <c r="P762" i="13"/>
  <c r="N762" i="13"/>
  <c r="M762" i="13"/>
  <c r="L762" i="13"/>
  <c r="O762" i="13" s="1"/>
  <c r="U761" i="13"/>
  <c r="T761" i="13"/>
  <c r="S761" i="13"/>
  <c r="R761" i="13"/>
  <c r="Q761" i="13"/>
  <c r="P761" i="13"/>
  <c r="O761" i="13"/>
  <c r="N761" i="13"/>
  <c r="M761" i="13"/>
  <c r="L761" i="13"/>
  <c r="L760" i="13" s="1"/>
  <c r="O760" i="13" s="1"/>
  <c r="N760" i="13"/>
  <c r="M760" i="13"/>
  <c r="P760" i="13" s="1"/>
  <c r="J759" i="13"/>
  <c r="J758" i="13"/>
  <c r="I755" i="13"/>
  <c r="K755" i="13" s="1"/>
  <c r="I752" i="13"/>
  <c r="K752" i="13" s="1"/>
  <c r="I749" i="13"/>
  <c r="K749" i="13" s="1"/>
  <c r="I746" i="13"/>
  <c r="K746" i="13" s="1"/>
  <c r="I744" i="13"/>
  <c r="K744" i="13" s="1"/>
  <c r="I742" i="13"/>
  <c r="K742" i="13" s="1"/>
  <c r="I740" i="13"/>
  <c r="K740" i="13" s="1"/>
  <c r="U736" i="13"/>
  <c r="T736" i="13"/>
  <c r="P736" i="13"/>
  <c r="O736" i="13"/>
  <c r="U735" i="13"/>
  <c r="T735" i="13"/>
  <c r="P735" i="13"/>
  <c r="O735" i="13"/>
  <c r="U734" i="13"/>
  <c r="T734" i="13"/>
  <c r="S734" i="13"/>
  <c r="R734" i="13"/>
  <c r="Q734" i="13"/>
  <c r="P734" i="13"/>
  <c r="O734" i="13"/>
  <c r="N734" i="13"/>
  <c r="M734" i="13"/>
  <c r="L734" i="13"/>
  <c r="S733" i="13"/>
  <c r="S730" i="13" s="1"/>
  <c r="S728" i="13" s="1"/>
  <c r="R733" i="13"/>
  <c r="Q733" i="13"/>
  <c r="Q730" i="13" s="1"/>
  <c r="P733" i="13"/>
  <c r="O733" i="13"/>
  <c r="U732" i="13"/>
  <c r="T732" i="13"/>
  <c r="P732" i="13"/>
  <c r="O732" i="13"/>
  <c r="N731" i="13"/>
  <c r="M731" i="13"/>
  <c r="P731" i="13" s="1"/>
  <c r="L731" i="13"/>
  <c r="O731" i="13" s="1"/>
  <c r="P730" i="13"/>
  <c r="O730" i="13"/>
  <c r="N730" i="13"/>
  <c r="M730" i="13"/>
  <c r="L730" i="13"/>
  <c r="U729" i="13"/>
  <c r="T729" i="13"/>
  <c r="S729" i="13"/>
  <c r="R729" i="13"/>
  <c r="Q729" i="13"/>
  <c r="O729" i="13"/>
  <c r="N729" i="13"/>
  <c r="N728" i="13" s="1"/>
  <c r="M729" i="13"/>
  <c r="P729" i="13" s="1"/>
  <c r="L729" i="13"/>
  <c r="M728" i="13"/>
  <c r="P728" i="13" s="1"/>
  <c r="L728" i="13"/>
  <c r="O728" i="13" s="1"/>
  <c r="J727" i="13"/>
  <c r="I727" i="13"/>
  <c r="K727" i="13" s="1"/>
  <c r="J726" i="13"/>
  <c r="I726" i="13"/>
  <c r="K726" i="13" s="1"/>
  <c r="U722" i="13"/>
  <c r="T722" i="13"/>
  <c r="P722" i="13"/>
  <c r="O722" i="13"/>
  <c r="U721" i="13"/>
  <c r="T721" i="13"/>
  <c r="P721" i="13"/>
  <c r="O721" i="13"/>
  <c r="S720" i="13"/>
  <c r="R720" i="13"/>
  <c r="U720" i="13" s="1"/>
  <c r="Q720" i="13"/>
  <c r="T720" i="13" s="1"/>
  <c r="N720" i="13"/>
  <c r="M720" i="13"/>
  <c r="P720" i="13" s="1"/>
  <c r="L720" i="13"/>
  <c r="O720" i="13" s="1"/>
  <c r="U719" i="13"/>
  <c r="T719" i="13"/>
  <c r="P719" i="13"/>
  <c r="O719" i="13"/>
  <c r="U718" i="13"/>
  <c r="T718" i="13"/>
  <c r="P718" i="13"/>
  <c r="O718" i="13"/>
  <c r="S717" i="13"/>
  <c r="R717" i="13"/>
  <c r="U717" i="13" s="1"/>
  <c r="Q717" i="13"/>
  <c r="T717" i="13" s="1"/>
  <c r="N717" i="13"/>
  <c r="M717" i="13"/>
  <c r="P717" i="13" s="1"/>
  <c r="L717" i="13"/>
  <c r="O717" i="13" s="1"/>
  <c r="S716" i="13"/>
  <c r="R716" i="13"/>
  <c r="U716" i="13" s="1"/>
  <c r="Q716" i="13"/>
  <c r="T716" i="13" s="1"/>
  <c r="P716" i="13"/>
  <c r="N716" i="13"/>
  <c r="M716" i="13"/>
  <c r="L716" i="13"/>
  <c r="O716" i="13" s="1"/>
  <c r="U715" i="13"/>
  <c r="T715" i="13"/>
  <c r="S715" i="13"/>
  <c r="R715" i="13"/>
  <c r="Q715" i="13"/>
  <c r="O715" i="13"/>
  <c r="N715" i="13"/>
  <c r="N714" i="13" s="1"/>
  <c r="M715" i="13"/>
  <c r="P715" i="13" s="1"/>
  <c r="L715" i="13"/>
  <c r="S714" i="13"/>
  <c r="R714" i="13"/>
  <c r="U714" i="13" s="1"/>
  <c r="M714" i="13"/>
  <c r="P714" i="13" s="1"/>
  <c r="L714" i="13"/>
  <c r="O714" i="13" s="1"/>
  <c r="K712" i="13"/>
  <c r="J712" i="13"/>
  <c r="K710" i="13"/>
  <c r="J710" i="13"/>
  <c r="J709" i="13"/>
  <c r="I709" i="13"/>
  <c r="K708" i="13"/>
  <c r="J708" i="13"/>
  <c r="J707" i="13"/>
  <c r="J689" i="13" s="1"/>
  <c r="I707" i="13"/>
  <c r="K707" i="13" s="1"/>
  <c r="K706" i="13"/>
  <c r="J706" i="13"/>
  <c r="J705" i="13"/>
  <c r="I705" i="13"/>
  <c r="K704" i="13"/>
  <c r="J704" i="13"/>
  <c r="J703" i="13"/>
  <c r="I703" i="13"/>
  <c r="K703" i="13" s="1"/>
  <c r="K702" i="13"/>
  <c r="I700" i="13"/>
  <c r="K700" i="13" s="1"/>
  <c r="U698" i="13"/>
  <c r="T698" i="13"/>
  <c r="P698" i="13"/>
  <c r="O698" i="13"/>
  <c r="U697" i="13"/>
  <c r="T697" i="13"/>
  <c r="P697" i="13"/>
  <c r="O697" i="13"/>
  <c r="S696" i="13"/>
  <c r="R696" i="13"/>
  <c r="U696" i="13" s="1"/>
  <c r="Q696" i="13"/>
  <c r="T696" i="13" s="1"/>
  <c r="N696" i="13"/>
  <c r="M696" i="13"/>
  <c r="P696" i="13" s="1"/>
  <c r="L696" i="13"/>
  <c r="O696" i="13" s="1"/>
  <c r="S695" i="13"/>
  <c r="R695" i="13"/>
  <c r="Q695" i="13"/>
  <c r="Q693" i="13" s="1"/>
  <c r="P695" i="13"/>
  <c r="O695" i="13"/>
  <c r="U694" i="13"/>
  <c r="T694" i="13"/>
  <c r="P694" i="13"/>
  <c r="O694" i="13"/>
  <c r="P693" i="13"/>
  <c r="O693" i="13"/>
  <c r="N693" i="13"/>
  <c r="M693" i="13"/>
  <c r="L693" i="13"/>
  <c r="N692" i="13"/>
  <c r="M692" i="13"/>
  <c r="L692" i="13"/>
  <c r="L690" i="13" s="1"/>
  <c r="S691" i="13"/>
  <c r="R691" i="13"/>
  <c r="U691" i="13" s="1"/>
  <c r="Q691" i="13"/>
  <c r="P691" i="13"/>
  <c r="N691" i="13"/>
  <c r="M691" i="13"/>
  <c r="L691" i="13"/>
  <c r="O691" i="13" s="1"/>
  <c r="O690" i="13"/>
  <c r="N690" i="13"/>
  <c r="J682" i="13"/>
  <c r="I682" i="13"/>
  <c r="K682" i="13" s="1"/>
  <c r="J681" i="13"/>
  <c r="I681" i="13"/>
  <c r="K681" i="13" s="1"/>
  <c r="J680" i="13"/>
  <c r="J679" i="13"/>
  <c r="I679" i="13"/>
  <c r="K679" i="13" s="1"/>
  <c r="J678" i="13"/>
  <c r="I678" i="13"/>
  <c r="K678" i="13" s="1"/>
  <c r="J677" i="13"/>
  <c r="J676" i="13"/>
  <c r="I676" i="13"/>
  <c r="K676" i="13" s="1"/>
  <c r="I675" i="13"/>
  <c r="K675" i="13" s="1"/>
  <c r="I674" i="13"/>
  <c r="K674" i="13" s="1"/>
  <c r="J673" i="13"/>
  <c r="I673" i="13"/>
  <c r="K673" i="13" s="1"/>
  <c r="J672" i="13"/>
  <c r="J671" i="13"/>
  <c r="J661" i="13"/>
  <c r="I661" i="13"/>
  <c r="K661" i="13" s="1"/>
  <c r="I660" i="13"/>
  <c r="I657" i="13"/>
  <c r="J654" i="13"/>
  <c r="I654" i="13"/>
  <c r="K654" i="13" s="1"/>
  <c r="J653" i="13"/>
  <c r="I653" i="13"/>
  <c r="K653" i="13" s="1"/>
  <c r="J652" i="13"/>
  <c r="I652" i="13"/>
  <c r="K652" i="13" s="1"/>
  <c r="U650" i="13"/>
  <c r="T650" i="13"/>
  <c r="P650" i="13"/>
  <c r="O650" i="13"/>
  <c r="U649" i="13"/>
  <c r="T649" i="13"/>
  <c r="P649" i="13"/>
  <c r="O649" i="13"/>
  <c r="S648" i="13"/>
  <c r="R648" i="13"/>
  <c r="U648" i="13" s="1"/>
  <c r="Q648" i="13"/>
  <c r="T648" i="13" s="1"/>
  <c r="P648" i="13"/>
  <c r="N648" i="13"/>
  <c r="M648" i="13"/>
  <c r="L648" i="13"/>
  <c r="O648" i="13" s="1"/>
  <c r="S647" i="13"/>
  <c r="S645" i="13" s="1"/>
  <c r="R647" i="13"/>
  <c r="U647" i="13" s="1"/>
  <c r="Q647" i="13"/>
  <c r="T647" i="13" s="1"/>
  <c r="P647" i="13"/>
  <c r="O647" i="13"/>
  <c r="U646" i="13"/>
  <c r="T646" i="13"/>
  <c r="P646" i="13"/>
  <c r="O646" i="13"/>
  <c r="O645" i="13"/>
  <c r="N645" i="13"/>
  <c r="M645" i="13"/>
  <c r="P645" i="13" s="1"/>
  <c r="L645" i="13"/>
  <c r="N644" i="13"/>
  <c r="M644" i="13"/>
  <c r="L644" i="13"/>
  <c r="O644" i="13" s="1"/>
  <c r="U643" i="13"/>
  <c r="S643" i="13"/>
  <c r="R643" i="13"/>
  <c r="Q643" i="13"/>
  <c r="O643" i="13"/>
  <c r="N643" i="13"/>
  <c r="M643" i="13"/>
  <c r="P643" i="13" s="1"/>
  <c r="L643" i="13"/>
  <c r="O642" i="13"/>
  <c r="N642" i="13"/>
  <c r="L642" i="13"/>
  <c r="J636" i="13"/>
  <c r="J635" i="13"/>
  <c r="I635" i="13"/>
  <c r="K635" i="13" s="1"/>
  <c r="J632" i="13"/>
  <c r="I628" i="13"/>
  <c r="K628" i="13" s="1"/>
  <c r="I627" i="13"/>
  <c r="K627" i="13" s="1"/>
  <c r="J626" i="13"/>
  <c r="J615" i="13" s="1"/>
  <c r="I626" i="13"/>
  <c r="U624" i="13"/>
  <c r="T624" i="13"/>
  <c r="P624" i="13"/>
  <c r="O624" i="13"/>
  <c r="U623" i="13"/>
  <c r="T623" i="13"/>
  <c r="P623" i="13"/>
  <c r="O623" i="13"/>
  <c r="S622" i="13"/>
  <c r="R622" i="13"/>
  <c r="U622" i="13" s="1"/>
  <c r="Q622" i="13"/>
  <c r="T622" i="13" s="1"/>
  <c r="N622" i="13"/>
  <c r="M622" i="13"/>
  <c r="P622" i="13" s="1"/>
  <c r="L622" i="13"/>
  <c r="O622" i="13" s="1"/>
  <c r="S621" i="13"/>
  <c r="R621" i="13"/>
  <c r="R618" i="13" s="1"/>
  <c r="Q621" i="13"/>
  <c r="P621" i="13"/>
  <c r="O621" i="13"/>
  <c r="U620" i="13"/>
  <c r="T620" i="13"/>
  <c r="P620" i="13"/>
  <c r="O620" i="13"/>
  <c r="P619" i="13"/>
  <c r="N619" i="13"/>
  <c r="M619" i="13"/>
  <c r="L619" i="13"/>
  <c r="O619" i="13" s="1"/>
  <c r="P618" i="13"/>
  <c r="N618" i="13"/>
  <c r="M618" i="13"/>
  <c r="M616" i="13" s="1"/>
  <c r="P616" i="13" s="1"/>
  <c r="L618" i="13"/>
  <c r="O618" i="13" s="1"/>
  <c r="T617" i="13"/>
  <c r="S617" i="13"/>
  <c r="R617" i="13"/>
  <c r="Q617" i="13"/>
  <c r="P617" i="13"/>
  <c r="N617" i="13"/>
  <c r="N616" i="13" s="1"/>
  <c r="M617" i="13"/>
  <c r="L617" i="13"/>
  <c r="S607" i="13"/>
  <c r="R607" i="13"/>
  <c r="R605" i="13" s="1"/>
  <c r="U605" i="13" s="1"/>
  <c r="Q607" i="13"/>
  <c r="N607" i="13"/>
  <c r="N605" i="13" s="1"/>
  <c r="M607" i="13"/>
  <c r="L607" i="13"/>
  <c r="O607" i="13" s="1"/>
  <c r="U606" i="13"/>
  <c r="T606" i="13"/>
  <c r="P606" i="13"/>
  <c r="O606" i="13"/>
  <c r="S604" i="13"/>
  <c r="S602" i="13" s="1"/>
  <c r="R604" i="13"/>
  <c r="U604" i="13" s="1"/>
  <c r="Q604" i="13"/>
  <c r="N604" i="13"/>
  <c r="M604" i="13"/>
  <c r="P604" i="13" s="1"/>
  <c r="L604" i="13"/>
  <c r="U603" i="13"/>
  <c r="T603" i="13"/>
  <c r="P603" i="13"/>
  <c r="O603" i="13"/>
  <c r="U600" i="13"/>
  <c r="S600" i="13"/>
  <c r="R600" i="13"/>
  <c r="Q600" i="13"/>
  <c r="T600" i="13" s="1"/>
  <c r="P600" i="13"/>
  <c r="O600" i="13"/>
  <c r="N600" i="13"/>
  <c r="M600" i="13"/>
  <c r="L600" i="13"/>
  <c r="U584" i="13"/>
  <c r="T584" i="13"/>
  <c r="N584" i="13"/>
  <c r="M584" i="13"/>
  <c r="M582" i="13" s="1"/>
  <c r="P582" i="13" s="1"/>
  <c r="L584" i="13"/>
  <c r="O584" i="13" s="1"/>
  <c r="U583" i="13"/>
  <c r="T583" i="13"/>
  <c r="P583" i="13"/>
  <c r="O583" i="13"/>
  <c r="S582" i="13"/>
  <c r="R582" i="13"/>
  <c r="U582" i="13" s="1"/>
  <c r="Q582" i="13"/>
  <c r="T582" i="13" s="1"/>
  <c r="U581" i="13"/>
  <c r="T581" i="13"/>
  <c r="N581" i="13"/>
  <c r="N579" i="13" s="1"/>
  <c r="M581" i="13"/>
  <c r="P581" i="13" s="1"/>
  <c r="L581" i="13"/>
  <c r="U580" i="13"/>
  <c r="T580" i="13"/>
  <c r="P580" i="13"/>
  <c r="O580" i="13"/>
  <c r="U579" i="13"/>
  <c r="T579" i="13"/>
  <c r="S579" i="13"/>
  <c r="R579" i="13"/>
  <c r="Q579" i="13"/>
  <c r="S578" i="13"/>
  <c r="R578" i="13"/>
  <c r="U578" i="13" s="1"/>
  <c r="Q578" i="13"/>
  <c r="T578" i="13" s="1"/>
  <c r="U577" i="13"/>
  <c r="S577" i="13"/>
  <c r="R577" i="13"/>
  <c r="Q577" i="13"/>
  <c r="T577" i="13" s="1"/>
  <c r="P577" i="13"/>
  <c r="O577" i="13"/>
  <c r="N577" i="13"/>
  <c r="M577" i="13"/>
  <c r="L577" i="13"/>
  <c r="U576" i="13"/>
  <c r="S576" i="13"/>
  <c r="R576" i="13"/>
  <c r="J575" i="13"/>
  <c r="I575" i="13"/>
  <c r="K575" i="13" s="1"/>
  <c r="U563" i="13"/>
  <c r="T563" i="13"/>
  <c r="N563" i="13"/>
  <c r="M563" i="13"/>
  <c r="L563" i="13"/>
  <c r="L561" i="13" s="1"/>
  <c r="U562" i="13"/>
  <c r="T562" i="13"/>
  <c r="P562" i="13"/>
  <c r="O562" i="13"/>
  <c r="U561" i="13"/>
  <c r="T561" i="13"/>
  <c r="S561" i="13"/>
  <c r="R561" i="13"/>
  <c r="Q561" i="13"/>
  <c r="N561" i="13"/>
  <c r="M561" i="13"/>
  <c r="U560" i="13"/>
  <c r="T560" i="13"/>
  <c r="N560" i="13"/>
  <c r="N558" i="13" s="1"/>
  <c r="M560" i="13"/>
  <c r="L560" i="13"/>
  <c r="O560" i="13" s="1"/>
  <c r="U559" i="13"/>
  <c r="T559" i="13"/>
  <c r="P559" i="13"/>
  <c r="O559" i="13"/>
  <c r="S558" i="13"/>
  <c r="R558" i="13"/>
  <c r="U558" i="13" s="1"/>
  <c r="Q558" i="13"/>
  <c r="T558" i="13" s="1"/>
  <c r="U557" i="13"/>
  <c r="T557" i="13"/>
  <c r="S557" i="13"/>
  <c r="R557" i="13"/>
  <c r="Q557" i="13"/>
  <c r="T556" i="13"/>
  <c r="S556" i="13"/>
  <c r="S555" i="13" s="1"/>
  <c r="R556" i="13"/>
  <c r="Q556" i="13"/>
  <c r="N556" i="13"/>
  <c r="M556" i="13"/>
  <c r="P556" i="13" s="1"/>
  <c r="L556" i="13"/>
  <c r="Q555" i="13"/>
  <c r="T555" i="13" s="1"/>
  <c r="J554" i="13"/>
  <c r="I554" i="13"/>
  <c r="K554" i="13" s="1"/>
  <c r="U542" i="13"/>
  <c r="T542" i="13"/>
  <c r="N542" i="13"/>
  <c r="M542" i="13"/>
  <c r="M540" i="13" s="1"/>
  <c r="P540" i="13" s="1"/>
  <c r="L542" i="13"/>
  <c r="O542" i="13" s="1"/>
  <c r="U541" i="13"/>
  <c r="T541" i="13"/>
  <c r="P541" i="13"/>
  <c r="O541" i="13"/>
  <c r="S540" i="13"/>
  <c r="R540" i="13"/>
  <c r="U540" i="13" s="1"/>
  <c r="Q540" i="13"/>
  <c r="T540" i="13" s="1"/>
  <c r="U539" i="13"/>
  <c r="T539" i="13"/>
  <c r="N539" i="13"/>
  <c r="N537" i="13" s="1"/>
  <c r="M539" i="13"/>
  <c r="M537" i="13" s="1"/>
  <c r="P537" i="13" s="1"/>
  <c r="L539" i="13"/>
  <c r="L536" i="13" s="1"/>
  <c r="U538" i="13"/>
  <c r="T538" i="13"/>
  <c r="P538" i="13"/>
  <c r="O538" i="13"/>
  <c r="U537" i="13"/>
  <c r="T537" i="13"/>
  <c r="S537" i="13"/>
  <c r="R537" i="13"/>
  <c r="Q537" i="13"/>
  <c r="S536" i="13"/>
  <c r="R536" i="13"/>
  <c r="U536" i="13" s="1"/>
  <c r="Q536" i="13"/>
  <c r="T536" i="13" s="1"/>
  <c r="U535" i="13"/>
  <c r="S535" i="13"/>
  <c r="R535" i="13"/>
  <c r="Q535" i="13"/>
  <c r="T535" i="13" s="1"/>
  <c r="P535" i="13"/>
  <c r="O535" i="13"/>
  <c r="N535" i="13"/>
  <c r="M535" i="13"/>
  <c r="L535" i="13"/>
  <c r="U534" i="13"/>
  <c r="S534" i="13"/>
  <c r="R534" i="13"/>
  <c r="J533" i="13"/>
  <c r="I533" i="13"/>
  <c r="K533" i="13" s="1"/>
  <c r="K524" i="13"/>
  <c r="K523" i="13"/>
  <c r="U521" i="13"/>
  <c r="T521" i="13"/>
  <c r="N521" i="13"/>
  <c r="N519" i="13" s="1"/>
  <c r="M521" i="13"/>
  <c r="L521" i="13"/>
  <c r="O521" i="13" s="1"/>
  <c r="U520" i="13"/>
  <c r="T520" i="13"/>
  <c r="P520" i="13"/>
  <c r="O520" i="13"/>
  <c r="U519" i="13"/>
  <c r="S519" i="13"/>
  <c r="R519" i="13"/>
  <c r="Q519" i="13"/>
  <c r="T519" i="13" s="1"/>
  <c r="U518" i="13"/>
  <c r="T518" i="13"/>
  <c r="N518" i="13"/>
  <c r="N516" i="13" s="1"/>
  <c r="M518" i="13"/>
  <c r="M516" i="13" s="1"/>
  <c r="P516" i="13" s="1"/>
  <c r="L518" i="13"/>
  <c r="L516" i="13" s="1"/>
  <c r="O516" i="13" s="1"/>
  <c r="U517" i="13"/>
  <c r="T517" i="13"/>
  <c r="P517" i="13"/>
  <c r="O517" i="13"/>
  <c r="T516" i="13"/>
  <c r="S516" i="13"/>
  <c r="R516" i="13"/>
  <c r="U516" i="13" s="1"/>
  <c r="Q516" i="13"/>
  <c r="S515" i="13"/>
  <c r="R515" i="13"/>
  <c r="U515" i="13" s="1"/>
  <c r="Q515" i="13"/>
  <c r="T515" i="13" s="1"/>
  <c r="T514" i="13"/>
  <c r="S514" i="13"/>
  <c r="R514" i="13"/>
  <c r="U514" i="13" s="1"/>
  <c r="Q514" i="13"/>
  <c r="P514" i="13"/>
  <c r="N514" i="13"/>
  <c r="M514" i="13"/>
  <c r="L514" i="13"/>
  <c r="O514" i="13" s="1"/>
  <c r="S513" i="13"/>
  <c r="R513" i="13"/>
  <c r="U513" i="13" s="1"/>
  <c r="Q513" i="13"/>
  <c r="T513" i="13" s="1"/>
  <c r="K512" i="13"/>
  <c r="J512" i="13"/>
  <c r="I512" i="13"/>
  <c r="I509" i="13"/>
  <c r="K509" i="13" s="1"/>
  <c r="K508" i="13"/>
  <c r="I507" i="13"/>
  <c r="K507" i="13" s="1"/>
  <c r="I506" i="13"/>
  <c r="K506" i="13" s="1"/>
  <c r="I505" i="13"/>
  <c r="I504" i="13"/>
  <c r="K504" i="13" s="1"/>
  <c r="I503" i="13"/>
  <c r="K503" i="13" s="1"/>
  <c r="U501" i="13"/>
  <c r="T501" i="13"/>
  <c r="N501" i="13"/>
  <c r="N499" i="13" s="1"/>
  <c r="M501" i="13"/>
  <c r="M499" i="13" s="1"/>
  <c r="P499" i="13" s="1"/>
  <c r="L501" i="13"/>
  <c r="U500" i="13"/>
  <c r="T500" i="13"/>
  <c r="P500" i="13"/>
  <c r="O500" i="13"/>
  <c r="U499" i="13"/>
  <c r="T499" i="13"/>
  <c r="S499" i="13"/>
  <c r="R499" i="13"/>
  <c r="Q499" i="13"/>
  <c r="S498" i="13"/>
  <c r="S496" i="13" s="1"/>
  <c r="R498" i="13"/>
  <c r="R495" i="13" s="1"/>
  <c r="U495" i="13" s="1"/>
  <c r="Q498" i="13"/>
  <c r="T498" i="13" s="1"/>
  <c r="N498" i="13"/>
  <c r="N496" i="13" s="1"/>
  <c r="M498" i="13"/>
  <c r="M496" i="13" s="1"/>
  <c r="P496" i="13" s="1"/>
  <c r="L498" i="13"/>
  <c r="U497" i="13"/>
  <c r="T497" i="13"/>
  <c r="P497" i="13"/>
  <c r="O497" i="13"/>
  <c r="S494" i="13"/>
  <c r="R494" i="13"/>
  <c r="U494" i="13" s="1"/>
  <c r="Q494" i="13"/>
  <c r="T494" i="13" s="1"/>
  <c r="P494" i="13"/>
  <c r="N494" i="13"/>
  <c r="M494" i="13"/>
  <c r="L494" i="13"/>
  <c r="O494" i="13" s="1"/>
  <c r="K485" i="13"/>
  <c r="J485" i="13"/>
  <c r="I485" i="13"/>
  <c r="J484" i="13"/>
  <c r="I484" i="13"/>
  <c r="K484" i="13" s="1"/>
  <c r="J483" i="13"/>
  <c r="J482" i="13"/>
  <c r="K477" i="13"/>
  <c r="J477" i="13"/>
  <c r="K476" i="13"/>
  <c r="J476" i="13"/>
  <c r="K475" i="13"/>
  <c r="J475" i="13"/>
  <c r="J468" i="13"/>
  <c r="J467" i="13"/>
  <c r="J460" i="13"/>
  <c r="J458" i="13" s="1"/>
  <c r="J459" i="13"/>
  <c r="I458" i="13"/>
  <c r="K458" i="13" s="1"/>
  <c r="J457" i="13"/>
  <c r="J456" i="13" s="1"/>
  <c r="I457" i="13"/>
  <c r="I456" i="13" s="1"/>
  <c r="K456" i="13" s="1"/>
  <c r="J447" i="13"/>
  <c r="J446" i="13"/>
  <c r="J440" i="13" s="1"/>
  <c r="J423" i="13" s="1"/>
  <c r="J412" i="13" s="1"/>
  <c r="J441" i="13"/>
  <c r="I441" i="13"/>
  <c r="K441" i="13" s="1"/>
  <c r="I440" i="13"/>
  <c r="I423" i="13" s="1"/>
  <c r="J433" i="13"/>
  <c r="I433" i="13"/>
  <c r="K433" i="13" s="1"/>
  <c r="J432" i="13"/>
  <c r="I432" i="13"/>
  <c r="K432" i="13" s="1"/>
  <c r="J425" i="13"/>
  <c r="I425" i="13"/>
  <c r="K425" i="13" s="1"/>
  <c r="J424" i="13"/>
  <c r="I424" i="13"/>
  <c r="K424" i="13" s="1"/>
  <c r="U421" i="13"/>
  <c r="T421" i="13"/>
  <c r="N421" i="13"/>
  <c r="N419" i="13" s="1"/>
  <c r="M421" i="13"/>
  <c r="P421" i="13" s="1"/>
  <c r="L421" i="13"/>
  <c r="O421" i="13" s="1"/>
  <c r="U420" i="13"/>
  <c r="T420" i="13"/>
  <c r="P420" i="13"/>
  <c r="O420" i="13"/>
  <c r="S419" i="13"/>
  <c r="R419" i="13"/>
  <c r="U419" i="13" s="1"/>
  <c r="Q419" i="13"/>
  <c r="T419" i="13" s="1"/>
  <c r="S418" i="13"/>
  <c r="S415" i="13" s="1"/>
  <c r="R418" i="13"/>
  <c r="U418" i="13" s="1"/>
  <c r="Q418" i="13"/>
  <c r="T418" i="13" s="1"/>
  <c r="N418" i="13"/>
  <c r="M418" i="13"/>
  <c r="M416" i="13" s="1"/>
  <c r="P416" i="13" s="1"/>
  <c r="L418" i="13"/>
  <c r="O418" i="13" s="1"/>
  <c r="U417" i="13"/>
  <c r="T417" i="13"/>
  <c r="P417" i="13"/>
  <c r="O417" i="13"/>
  <c r="T414" i="13"/>
  <c r="S414" i="13"/>
  <c r="R414" i="13"/>
  <c r="Q414" i="13"/>
  <c r="N414" i="13"/>
  <c r="M414" i="13"/>
  <c r="P414" i="13" s="1"/>
  <c r="L414" i="13"/>
  <c r="U400" i="13"/>
  <c r="T400" i="13"/>
  <c r="P400" i="13"/>
  <c r="O400" i="13"/>
  <c r="U399" i="13"/>
  <c r="T399" i="13"/>
  <c r="P399" i="13"/>
  <c r="O399" i="13"/>
  <c r="U398" i="13"/>
  <c r="T398" i="13"/>
  <c r="S398" i="13"/>
  <c r="R398" i="13"/>
  <c r="Q398" i="13"/>
  <c r="N398" i="13"/>
  <c r="M398" i="13"/>
  <c r="P398" i="13" s="1"/>
  <c r="L398" i="13"/>
  <c r="O398" i="13" s="1"/>
  <c r="S397" i="13"/>
  <c r="S395" i="13" s="1"/>
  <c r="R397" i="13"/>
  <c r="R395" i="13" s="1"/>
  <c r="U395" i="13" s="1"/>
  <c r="Q397" i="13"/>
  <c r="T397" i="13" s="1"/>
  <c r="P397" i="13"/>
  <c r="O397" i="13"/>
  <c r="U396" i="13"/>
  <c r="T396" i="13"/>
  <c r="P396" i="13"/>
  <c r="O396" i="13"/>
  <c r="P395" i="13"/>
  <c r="O395" i="13"/>
  <c r="N395" i="13"/>
  <c r="M395" i="13"/>
  <c r="L395" i="13"/>
  <c r="N394" i="13"/>
  <c r="M394" i="13"/>
  <c r="P394" i="13" s="1"/>
  <c r="L394" i="13"/>
  <c r="O394" i="13" s="1"/>
  <c r="S393" i="13"/>
  <c r="R393" i="13"/>
  <c r="U393" i="13" s="1"/>
  <c r="Q393" i="13"/>
  <c r="T393" i="13" s="1"/>
  <c r="P393" i="13"/>
  <c r="N393" i="13"/>
  <c r="M393" i="13"/>
  <c r="M392" i="13" s="1"/>
  <c r="P392" i="13" s="1"/>
  <c r="L393" i="13"/>
  <c r="O393" i="13" s="1"/>
  <c r="N392" i="13"/>
  <c r="K391" i="13"/>
  <c r="J391" i="13"/>
  <c r="I391" i="13"/>
  <c r="K388" i="13"/>
  <c r="K387" i="13"/>
  <c r="I386" i="13"/>
  <c r="K386" i="13" s="1"/>
  <c r="I385" i="13"/>
  <c r="K385" i="13" s="1"/>
  <c r="U383" i="13"/>
  <c r="T383" i="13"/>
  <c r="N383" i="13"/>
  <c r="N381" i="13" s="1"/>
  <c r="M383" i="13"/>
  <c r="P383" i="13" s="1"/>
  <c r="L383" i="13"/>
  <c r="U382" i="13"/>
  <c r="T382" i="13"/>
  <c r="P382" i="13"/>
  <c r="O382" i="13"/>
  <c r="U381" i="13"/>
  <c r="T381" i="13"/>
  <c r="S381" i="13"/>
  <c r="R381" i="13"/>
  <c r="Q381" i="13"/>
  <c r="S380" i="13"/>
  <c r="S377" i="13" s="1"/>
  <c r="R380" i="13"/>
  <c r="Q380" i="13"/>
  <c r="Q377" i="13" s="1"/>
  <c r="N380" i="13"/>
  <c r="M380" i="13"/>
  <c r="M378" i="13" s="1"/>
  <c r="P378" i="13" s="1"/>
  <c r="L380" i="13"/>
  <c r="U379" i="13"/>
  <c r="T379" i="13"/>
  <c r="P379" i="13"/>
  <c r="O379" i="13"/>
  <c r="S376" i="13"/>
  <c r="R376" i="13"/>
  <c r="U376" i="13" s="1"/>
  <c r="Q376" i="13"/>
  <c r="T376" i="13" s="1"/>
  <c r="P376" i="13"/>
  <c r="N376" i="13"/>
  <c r="M376" i="13"/>
  <c r="L376" i="13"/>
  <c r="O376" i="13" s="1"/>
  <c r="J374" i="13"/>
  <c r="D373" i="13"/>
  <c r="K372" i="13"/>
  <c r="J372" i="13"/>
  <c r="J371" i="13"/>
  <c r="I371" i="13"/>
  <c r="I365" i="13" s="1"/>
  <c r="K370" i="13"/>
  <c r="J370" i="13"/>
  <c r="J369" i="13"/>
  <c r="I369" i="13"/>
  <c r="J368" i="13"/>
  <c r="I368" i="13"/>
  <c r="K367" i="13"/>
  <c r="J367" i="13"/>
  <c r="U364" i="13"/>
  <c r="T364" i="13"/>
  <c r="N364" i="13"/>
  <c r="M364" i="13"/>
  <c r="L364" i="13"/>
  <c r="O364" i="13" s="1"/>
  <c r="U363" i="13"/>
  <c r="T363" i="13"/>
  <c r="P363" i="13"/>
  <c r="O363" i="13"/>
  <c r="U362" i="13"/>
  <c r="S362" i="13"/>
  <c r="R362" i="13"/>
  <c r="Q362" i="13"/>
  <c r="T362" i="13" s="1"/>
  <c r="U361" i="13"/>
  <c r="T361" i="13"/>
  <c r="N361" i="13"/>
  <c r="N359" i="13" s="1"/>
  <c r="M361" i="13"/>
  <c r="L361" i="13"/>
  <c r="U360" i="13"/>
  <c r="T360" i="13"/>
  <c r="P360" i="13"/>
  <c r="O360" i="13"/>
  <c r="T359" i="13"/>
  <c r="S359" i="13"/>
  <c r="R359" i="13"/>
  <c r="U359" i="13" s="1"/>
  <c r="Q359" i="13"/>
  <c r="S358" i="13"/>
  <c r="R358" i="13"/>
  <c r="U358" i="13" s="1"/>
  <c r="Q358" i="13"/>
  <c r="T358" i="13" s="1"/>
  <c r="U357" i="13"/>
  <c r="T357" i="13"/>
  <c r="S357" i="13"/>
  <c r="S356" i="13" s="1"/>
  <c r="R357" i="13"/>
  <c r="Q357" i="13"/>
  <c r="Q356" i="13" s="1"/>
  <c r="T356" i="13" s="1"/>
  <c r="P357" i="13"/>
  <c r="O357" i="13"/>
  <c r="N357" i="13"/>
  <c r="M357" i="13"/>
  <c r="L357" i="13"/>
  <c r="R356" i="13"/>
  <c r="U356" i="13" s="1"/>
  <c r="D354" i="13"/>
  <c r="J353" i="13"/>
  <c r="J352" i="13"/>
  <c r="D350" i="13"/>
  <c r="J349" i="13"/>
  <c r="J348" i="13"/>
  <c r="J347" i="13"/>
  <c r="J346" i="13"/>
  <c r="I346" i="13"/>
  <c r="J344" i="13"/>
  <c r="I344" i="13"/>
  <c r="I332" i="13" s="1"/>
  <c r="U341" i="13"/>
  <c r="T341" i="13"/>
  <c r="N341" i="13"/>
  <c r="M341" i="13"/>
  <c r="M339" i="13" s="1"/>
  <c r="P339" i="13" s="1"/>
  <c r="L341" i="13"/>
  <c r="O341" i="13" s="1"/>
  <c r="U340" i="13"/>
  <c r="T340" i="13"/>
  <c r="P340" i="13"/>
  <c r="O340" i="13"/>
  <c r="T339" i="13"/>
  <c r="S339" i="13"/>
  <c r="R339" i="13"/>
  <c r="U339" i="13" s="1"/>
  <c r="Q339" i="13"/>
  <c r="U338" i="13"/>
  <c r="T338" i="13"/>
  <c r="N338" i="13"/>
  <c r="N336" i="13" s="1"/>
  <c r="M338" i="13"/>
  <c r="L338" i="13"/>
  <c r="L336" i="13" s="1"/>
  <c r="U337" i="13"/>
  <c r="T337" i="13"/>
  <c r="P337" i="13"/>
  <c r="O337" i="13"/>
  <c r="U336" i="13"/>
  <c r="S336" i="13"/>
  <c r="R336" i="13"/>
  <c r="Q336" i="13"/>
  <c r="T336" i="13" s="1"/>
  <c r="U335" i="13"/>
  <c r="T335" i="13"/>
  <c r="S335" i="13"/>
  <c r="R335" i="13"/>
  <c r="Q335" i="13"/>
  <c r="S334" i="13"/>
  <c r="S333" i="13" s="1"/>
  <c r="R334" i="13"/>
  <c r="U334" i="13" s="1"/>
  <c r="Q334" i="13"/>
  <c r="T334" i="13" s="1"/>
  <c r="N334" i="13"/>
  <c r="M334" i="13"/>
  <c r="L334" i="13"/>
  <c r="O334" i="13" s="1"/>
  <c r="U333" i="13"/>
  <c r="R333" i="13"/>
  <c r="Q333" i="13"/>
  <c r="T333" i="13" s="1"/>
  <c r="I330" i="13"/>
  <c r="I319" i="13" s="1"/>
  <c r="K319" i="13" s="1"/>
  <c r="U328" i="13"/>
  <c r="T328" i="13"/>
  <c r="N328" i="13"/>
  <c r="N326" i="13" s="1"/>
  <c r="M328" i="13"/>
  <c r="M326" i="13" s="1"/>
  <c r="P326" i="13" s="1"/>
  <c r="L328" i="13"/>
  <c r="L326" i="13" s="1"/>
  <c r="O326" i="13" s="1"/>
  <c r="U327" i="13"/>
  <c r="T327" i="13"/>
  <c r="P327" i="13"/>
  <c r="O327" i="13"/>
  <c r="S326" i="13"/>
  <c r="R326" i="13"/>
  <c r="U326" i="13" s="1"/>
  <c r="Q326" i="13"/>
  <c r="T326" i="13" s="1"/>
  <c r="U325" i="13"/>
  <c r="T325" i="13"/>
  <c r="N325" i="13"/>
  <c r="M325" i="13"/>
  <c r="P325" i="13" s="1"/>
  <c r="L325" i="13"/>
  <c r="L322" i="13" s="1"/>
  <c r="O322" i="13" s="1"/>
  <c r="U324" i="13"/>
  <c r="T324" i="13"/>
  <c r="P324" i="13"/>
  <c r="O324" i="13"/>
  <c r="U323" i="13"/>
  <c r="T323" i="13"/>
  <c r="S323" i="13"/>
  <c r="R323" i="13"/>
  <c r="Q323" i="13"/>
  <c r="T322" i="13"/>
  <c r="S322" i="13"/>
  <c r="R322" i="13"/>
  <c r="U322" i="13" s="1"/>
  <c r="Q322" i="13"/>
  <c r="S321" i="13"/>
  <c r="S320" i="13" s="1"/>
  <c r="R321" i="13"/>
  <c r="Q321" i="13"/>
  <c r="T321" i="13" s="1"/>
  <c r="P321" i="13"/>
  <c r="N321" i="13"/>
  <c r="M321" i="13"/>
  <c r="L321" i="13"/>
  <c r="T320" i="13"/>
  <c r="Q320" i="13"/>
  <c r="J319" i="13"/>
  <c r="I314" i="13"/>
  <c r="I302" i="13" s="1"/>
  <c r="K302" i="13" s="1"/>
  <c r="U311" i="13"/>
  <c r="T311" i="13"/>
  <c r="N311" i="13"/>
  <c r="N309" i="13" s="1"/>
  <c r="M311" i="13"/>
  <c r="P311" i="13" s="1"/>
  <c r="L311" i="13"/>
  <c r="U310" i="13"/>
  <c r="T310" i="13"/>
  <c r="P310" i="13"/>
  <c r="O310" i="13"/>
  <c r="S309" i="13"/>
  <c r="R309" i="13"/>
  <c r="U309" i="13" s="1"/>
  <c r="Q309" i="13"/>
  <c r="T309" i="13" s="1"/>
  <c r="S308" i="13"/>
  <c r="S305" i="13" s="1"/>
  <c r="R308" i="13"/>
  <c r="R305" i="13" s="1"/>
  <c r="Q308" i="13"/>
  <c r="Q306" i="13" s="1"/>
  <c r="N308" i="13"/>
  <c r="M308" i="13"/>
  <c r="M306" i="13" s="1"/>
  <c r="P306" i="13" s="1"/>
  <c r="L308" i="13"/>
  <c r="O308" i="13" s="1"/>
  <c r="U307" i="13"/>
  <c r="T307" i="13"/>
  <c r="P307" i="13"/>
  <c r="O307" i="13"/>
  <c r="T304" i="13"/>
  <c r="S304" i="13"/>
  <c r="R304" i="13"/>
  <c r="U304" i="13" s="1"/>
  <c r="Q304" i="13"/>
  <c r="O304" i="13"/>
  <c r="N304" i="13"/>
  <c r="M304" i="13"/>
  <c r="P304" i="13" s="1"/>
  <c r="L304" i="13"/>
  <c r="J302" i="13"/>
  <c r="I296" i="13"/>
  <c r="K296" i="13" s="1"/>
  <c r="I295" i="13"/>
  <c r="K295" i="13" s="1"/>
  <c r="J293" i="13"/>
  <c r="I293" i="13"/>
  <c r="I292" i="13"/>
  <c r="U290" i="13"/>
  <c r="T290" i="13"/>
  <c r="N290" i="13"/>
  <c r="N288" i="13" s="1"/>
  <c r="M290" i="13"/>
  <c r="M288" i="13" s="1"/>
  <c r="P288" i="13" s="1"/>
  <c r="L290" i="13"/>
  <c r="U289" i="13"/>
  <c r="T289" i="13"/>
  <c r="P289" i="13"/>
  <c r="O289" i="13"/>
  <c r="U288" i="13"/>
  <c r="T288" i="13"/>
  <c r="S288" i="13"/>
  <c r="R288" i="13"/>
  <c r="Q288" i="13"/>
  <c r="U287" i="13"/>
  <c r="T287" i="13"/>
  <c r="N287" i="13"/>
  <c r="M287" i="13"/>
  <c r="M285" i="13" s="1"/>
  <c r="L287" i="13"/>
  <c r="L285" i="13" s="1"/>
  <c r="U286" i="13"/>
  <c r="T286" i="13"/>
  <c r="P286" i="13"/>
  <c r="O286" i="13"/>
  <c r="S285" i="13"/>
  <c r="R285" i="13"/>
  <c r="U285" i="13" s="1"/>
  <c r="Q285" i="13"/>
  <c r="T285" i="13" s="1"/>
  <c r="U284" i="13"/>
  <c r="T284" i="13"/>
  <c r="S284" i="13"/>
  <c r="R284" i="13"/>
  <c r="Q284" i="13"/>
  <c r="U283" i="13"/>
  <c r="T283" i="13"/>
  <c r="S283" i="13"/>
  <c r="R283" i="13"/>
  <c r="Q283" i="13"/>
  <c r="Q282" i="13" s="1"/>
  <c r="T282" i="13" s="1"/>
  <c r="N283" i="13"/>
  <c r="M283" i="13"/>
  <c r="P283" i="13" s="1"/>
  <c r="L283" i="13"/>
  <c r="S282" i="13"/>
  <c r="R282" i="13"/>
  <c r="U282" i="13" s="1"/>
  <c r="J281" i="13"/>
  <c r="J280" i="13"/>
  <c r="I276" i="13"/>
  <c r="U274" i="13"/>
  <c r="T274" i="13"/>
  <c r="N274" i="13"/>
  <c r="N272" i="13" s="1"/>
  <c r="M274" i="13"/>
  <c r="L274" i="13"/>
  <c r="U273" i="13"/>
  <c r="T273" i="13"/>
  <c r="P273" i="13"/>
  <c r="O273" i="13"/>
  <c r="S272" i="13"/>
  <c r="R272" i="13"/>
  <c r="U272" i="13" s="1"/>
  <c r="Q272" i="13"/>
  <c r="T272" i="13" s="1"/>
  <c r="S271" i="13"/>
  <c r="R271" i="13"/>
  <c r="R269" i="13" s="1"/>
  <c r="Q271" i="13"/>
  <c r="Q269" i="13" s="1"/>
  <c r="N271" i="13"/>
  <c r="N269" i="13" s="1"/>
  <c r="M271" i="13"/>
  <c r="L271" i="13"/>
  <c r="L269" i="13" s="1"/>
  <c r="U270" i="13"/>
  <c r="T270" i="13"/>
  <c r="P270" i="13"/>
  <c r="O270" i="13"/>
  <c r="T267" i="13"/>
  <c r="S267" i="13"/>
  <c r="R267" i="13"/>
  <c r="U267" i="13" s="1"/>
  <c r="Q267" i="13"/>
  <c r="N267" i="13"/>
  <c r="M267" i="13"/>
  <c r="L267" i="13"/>
  <c r="O267" i="13" s="1"/>
  <c r="J265" i="13"/>
  <c r="K263" i="13"/>
  <c r="K262" i="13"/>
  <c r="I260" i="13"/>
  <c r="L258" i="13"/>
  <c r="L257" i="13"/>
  <c r="L256" i="13"/>
  <c r="L255" i="13"/>
  <c r="P254" i="13"/>
  <c r="N254" i="13"/>
  <c r="J253" i="13"/>
  <c r="K252" i="13"/>
  <c r="K251" i="13"/>
  <c r="I249" i="13"/>
  <c r="I242" i="13" s="1"/>
  <c r="L247" i="13"/>
  <c r="L246" i="13"/>
  <c r="L245" i="13"/>
  <c r="L244" i="13"/>
  <c r="P243" i="13"/>
  <c r="N243" i="13"/>
  <c r="J242" i="13"/>
  <c r="J241" i="13"/>
  <c r="I241" i="13"/>
  <c r="K241" i="13" s="1"/>
  <c r="J240" i="13"/>
  <c r="I240" i="13"/>
  <c r="K240" i="13" s="1"/>
  <c r="J238" i="13"/>
  <c r="N236" i="13"/>
  <c r="N235" i="13"/>
  <c r="N234" i="13"/>
  <c r="N233" i="13"/>
  <c r="N232" i="13"/>
  <c r="J231" i="13"/>
  <c r="J185" i="13" s="1"/>
  <c r="I230" i="13"/>
  <c r="K230" i="13" s="1"/>
  <c r="I229" i="13"/>
  <c r="K229" i="13" s="1"/>
  <c r="I228" i="13"/>
  <c r="K228" i="13" s="1"/>
  <c r="L225" i="13"/>
  <c r="L224" i="13"/>
  <c r="L223" i="13"/>
  <c r="P222" i="13"/>
  <c r="N222" i="13"/>
  <c r="J221" i="13"/>
  <c r="I220" i="13"/>
  <c r="I213" i="13" s="1"/>
  <c r="K213" i="13" s="1"/>
  <c r="I219" i="13"/>
  <c r="K219" i="13" s="1"/>
  <c r="Q217" i="13"/>
  <c r="Q214" i="13" s="1"/>
  <c r="T214" i="13" s="1"/>
  <c r="L217" i="13"/>
  <c r="L216" i="13"/>
  <c r="L215" i="13"/>
  <c r="U214" i="13"/>
  <c r="S214" i="13"/>
  <c r="P214" i="13"/>
  <c r="N214" i="13"/>
  <c r="J213" i="13"/>
  <c r="I212" i="13"/>
  <c r="K212" i="13" s="1"/>
  <c r="I211" i="13"/>
  <c r="K211" i="13" s="1"/>
  <c r="I209" i="13"/>
  <c r="K209" i="13" s="1"/>
  <c r="L207" i="13"/>
  <c r="Q206" i="13"/>
  <c r="Q203" i="13" s="1"/>
  <c r="T203" i="13" s="1"/>
  <c r="L206" i="13"/>
  <c r="L205" i="13"/>
  <c r="L204" i="13"/>
  <c r="U203" i="13"/>
  <c r="S203" i="13"/>
  <c r="P203" i="13"/>
  <c r="N203" i="13"/>
  <c r="J202" i="13"/>
  <c r="J199" i="13"/>
  <c r="I198" i="13"/>
  <c r="K198" i="13" s="1"/>
  <c r="P196" i="13"/>
  <c r="L196" i="13"/>
  <c r="O196" i="13" s="1"/>
  <c r="J195" i="13"/>
  <c r="S194" i="13"/>
  <c r="S192" i="13" s="1"/>
  <c r="R194" i="13"/>
  <c r="U194" i="13" s="1"/>
  <c r="Q194" i="13"/>
  <c r="Q192" i="13" s="1"/>
  <c r="T192" i="13" s="1"/>
  <c r="N194" i="13"/>
  <c r="N192" i="13" s="1"/>
  <c r="M194" i="13"/>
  <c r="L194" i="13"/>
  <c r="O194" i="13" s="1"/>
  <c r="U193" i="13"/>
  <c r="T193" i="13"/>
  <c r="P193" i="13"/>
  <c r="O193" i="13"/>
  <c r="S191" i="13"/>
  <c r="R191" i="13"/>
  <c r="R189" i="13" s="1"/>
  <c r="Q191" i="13"/>
  <c r="N191" i="13"/>
  <c r="N189" i="13" s="1"/>
  <c r="M191" i="13"/>
  <c r="M189" i="13" s="1"/>
  <c r="L191" i="13"/>
  <c r="L189" i="13" s="1"/>
  <c r="U190" i="13"/>
  <c r="T190" i="13"/>
  <c r="P190" i="13"/>
  <c r="O190" i="13"/>
  <c r="U187" i="13"/>
  <c r="S187" i="13"/>
  <c r="R187" i="13"/>
  <c r="Q187" i="13"/>
  <c r="P187" i="13"/>
  <c r="O187" i="13"/>
  <c r="N187" i="13"/>
  <c r="M187" i="13"/>
  <c r="L187" i="13"/>
  <c r="K184" i="13"/>
  <c r="I183" i="13"/>
  <c r="I172" i="13" s="1"/>
  <c r="K172" i="13" s="1"/>
  <c r="U181" i="13"/>
  <c r="T181" i="13"/>
  <c r="N181" i="13"/>
  <c r="N179" i="13" s="1"/>
  <c r="M181" i="13"/>
  <c r="P181" i="13" s="1"/>
  <c r="L181" i="13"/>
  <c r="U180" i="13"/>
  <c r="T180" i="13"/>
  <c r="P180" i="13"/>
  <c r="O180" i="13"/>
  <c r="U179" i="13"/>
  <c r="S179" i="13"/>
  <c r="R179" i="13"/>
  <c r="Q179" i="13"/>
  <c r="T179" i="13" s="1"/>
  <c r="S178" i="13"/>
  <c r="S176" i="13" s="1"/>
  <c r="R178" i="13"/>
  <c r="U178" i="13" s="1"/>
  <c r="Q178" i="13"/>
  <c r="N178" i="13"/>
  <c r="N176" i="13" s="1"/>
  <c r="M178" i="13"/>
  <c r="L178" i="13"/>
  <c r="L176" i="13" s="1"/>
  <c r="U177" i="13"/>
  <c r="T177" i="13"/>
  <c r="P177" i="13"/>
  <c r="O177" i="13"/>
  <c r="T174" i="13"/>
  <c r="S174" i="13"/>
  <c r="R174" i="13"/>
  <c r="Q174" i="13"/>
  <c r="P174" i="13"/>
  <c r="N174" i="13"/>
  <c r="M174" i="13"/>
  <c r="L174" i="13"/>
  <c r="J172" i="13"/>
  <c r="I167" i="13"/>
  <c r="I168" i="13" s="1"/>
  <c r="K168" i="13" s="1"/>
  <c r="U165" i="13"/>
  <c r="T165" i="13"/>
  <c r="N165" i="13"/>
  <c r="M165" i="13"/>
  <c r="P165" i="13" s="1"/>
  <c r="L165" i="13"/>
  <c r="O165" i="13" s="1"/>
  <c r="U164" i="13"/>
  <c r="T164" i="13"/>
  <c r="P164" i="13"/>
  <c r="O164" i="13"/>
  <c r="T163" i="13"/>
  <c r="S163" i="13"/>
  <c r="R163" i="13"/>
  <c r="U163" i="13" s="1"/>
  <c r="Q163" i="13"/>
  <c r="S162" i="13"/>
  <c r="S159" i="13" s="1"/>
  <c r="R162" i="13"/>
  <c r="U162" i="13" s="1"/>
  <c r="Q162" i="13"/>
  <c r="Q159" i="13" s="1"/>
  <c r="Q157" i="13" s="1"/>
  <c r="T157" i="13" s="1"/>
  <c r="N162" i="13"/>
  <c r="N160" i="13" s="1"/>
  <c r="M162" i="13"/>
  <c r="L162" i="13"/>
  <c r="U161" i="13"/>
  <c r="T161" i="13"/>
  <c r="P161" i="13"/>
  <c r="O161" i="13"/>
  <c r="T158" i="13"/>
  <c r="S158" i="13"/>
  <c r="R158" i="13"/>
  <c r="U158" i="13" s="1"/>
  <c r="Q158" i="13"/>
  <c r="P158" i="13"/>
  <c r="N158" i="13"/>
  <c r="M158" i="13"/>
  <c r="L158" i="13"/>
  <c r="O158" i="13" s="1"/>
  <c r="J156" i="13"/>
  <c r="I154" i="13"/>
  <c r="K154" i="13" s="1"/>
  <c r="I153" i="13"/>
  <c r="I138" i="13" s="1"/>
  <c r="K138" i="13" s="1"/>
  <c r="I152" i="13"/>
  <c r="K152" i="13" s="1"/>
  <c r="I151" i="13"/>
  <c r="K151" i="13" s="1"/>
  <c r="I150" i="13"/>
  <c r="K150" i="13" s="1"/>
  <c r="S147" i="13"/>
  <c r="S145" i="13" s="1"/>
  <c r="R147" i="13"/>
  <c r="U147" i="13" s="1"/>
  <c r="Q147" i="13"/>
  <c r="T147" i="13" s="1"/>
  <c r="N147" i="13"/>
  <c r="N145" i="13" s="1"/>
  <c r="M147" i="13"/>
  <c r="P147" i="13" s="1"/>
  <c r="L147" i="13"/>
  <c r="L145" i="13" s="1"/>
  <c r="O145" i="13" s="1"/>
  <c r="U146" i="13"/>
  <c r="T146" i="13"/>
  <c r="P146" i="13"/>
  <c r="O146" i="13"/>
  <c r="S144" i="13"/>
  <c r="S142" i="13" s="1"/>
  <c r="R144" i="13"/>
  <c r="U144" i="13" s="1"/>
  <c r="Q144" i="13"/>
  <c r="T144" i="13" s="1"/>
  <c r="N144" i="13"/>
  <c r="M144" i="13"/>
  <c r="P144" i="13" s="1"/>
  <c r="L144" i="13"/>
  <c r="L142" i="13" s="1"/>
  <c r="O142" i="13" s="1"/>
  <c r="U143" i="13"/>
  <c r="T143" i="13"/>
  <c r="P143" i="13"/>
  <c r="O143" i="13"/>
  <c r="U140" i="13"/>
  <c r="T140" i="13"/>
  <c r="S140" i="13"/>
  <c r="R140" i="13"/>
  <c r="Q140" i="13"/>
  <c r="O140" i="13"/>
  <c r="N140" i="13"/>
  <c r="M140" i="13"/>
  <c r="P140" i="13" s="1"/>
  <c r="L140" i="13"/>
  <c r="J138" i="13"/>
  <c r="J137" i="13"/>
  <c r="J136" i="13"/>
  <c r="I130" i="13"/>
  <c r="K130" i="13" s="1"/>
  <c r="I129" i="13"/>
  <c r="K129" i="13" s="1"/>
  <c r="I128" i="13"/>
  <c r="K128" i="13" s="1"/>
  <c r="I127" i="13"/>
  <c r="I116" i="13" s="1"/>
  <c r="K116" i="13" s="1"/>
  <c r="S125" i="13"/>
  <c r="S123" i="13" s="1"/>
  <c r="R125" i="13"/>
  <c r="U125" i="13" s="1"/>
  <c r="Q125" i="13"/>
  <c r="Q123" i="13" s="1"/>
  <c r="T123" i="13" s="1"/>
  <c r="N125" i="13"/>
  <c r="N123" i="13" s="1"/>
  <c r="M125" i="13"/>
  <c r="P125" i="13" s="1"/>
  <c r="L125" i="13"/>
  <c r="L123" i="13" s="1"/>
  <c r="O123" i="13" s="1"/>
  <c r="U124" i="13"/>
  <c r="T124" i="13"/>
  <c r="P124" i="13"/>
  <c r="O124" i="13"/>
  <c r="S122" i="13"/>
  <c r="R122" i="13"/>
  <c r="R120" i="13" s="1"/>
  <c r="Q122" i="13"/>
  <c r="Q120" i="13" s="1"/>
  <c r="N122" i="13"/>
  <c r="M122" i="13"/>
  <c r="P122" i="13" s="1"/>
  <c r="L122" i="13"/>
  <c r="O122" i="13" s="1"/>
  <c r="U121" i="13"/>
  <c r="T121" i="13"/>
  <c r="P121" i="13"/>
  <c r="O121" i="13"/>
  <c r="U118" i="13"/>
  <c r="T118" i="13"/>
  <c r="S118" i="13"/>
  <c r="R118" i="13"/>
  <c r="Q118" i="13"/>
  <c r="P118" i="13"/>
  <c r="O118" i="13"/>
  <c r="N118" i="13"/>
  <c r="M118" i="13"/>
  <c r="L118" i="13"/>
  <c r="J116" i="13"/>
  <c r="I114" i="13"/>
  <c r="K114" i="13" s="1"/>
  <c r="I113" i="13"/>
  <c r="K113" i="13" s="1"/>
  <c r="I109" i="13"/>
  <c r="I93" i="13" s="1"/>
  <c r="K93" i="13" s="1"/>
  <c r="I108" i="13"/>
  <c r="K108" i="13" s="1"/>
  <c r="U102" i="13"/>
  <c r="T102" i="13"/>
  <c r="N102" i="13"/>
  <c r="N100" i="13" s="1"/>
  <c r="M102" i="13"/>
  <c r="P102" i="13" s="1"/>
  <c r="L102" i="13"/>
  <c r="O102" i="13" s="1"/>
  <c r="U101" i="13"/>
  <c r="T101" i="13"/>
  <c r="P101" i="13"/>
  <c r="O101" i="13"/>
  <c r="T100" i="13"/>
  <c r="S100" i="13"/>
  <c r="R100" i="13"/>
  <c r="U100" i="13" s="1"/>
  <c r="Q100" i="13"/>
  <c r="S99" i="13"/>
  <c r="S97" i="13" s="1"/>
  <c r="R99" i="13"/>
  <c r="R97" i="13" s="1"/>
  <c r="Q99" i="13"/>
  <c r="Q97" i="13" s="1"/>
  <c r="N99" i="13"/>
  <c r="M99" i="13"/>
  <c r="M97" i="13" s="1"/>
  <c r="P97" i="13" s="1"/>
  <c r="L99" i="13"/>
  <c r="O99" i="13" s="1"/>
  <c r="U98" i="13"/>
  <c r="T98" i="13"/>
  <c r="P98" i="13"/>
  <c r="O98" i="13"/>
  <c r="U95" i="13"/>
  <c r="T95" i="13"/>
  <c r="S95" i="13"/>
  <c r="R95" i="13"/>
  <c r="Q95" i="13"/>
  <c r="P95" i="13"/>
  <c r="O95" i="13"/>
  <c r="N95" i="13"/>
  <c r="M95" i="13"/>
  <c r="L95" i="13"/>
  <c r="J93" i="13"/>
  <c r="J92" i="13"/>
  <c r="I90" i="13"/>
  <c r="K90" i="13" s="1"/>
  <c r="I89" i="13"/>
  <c r="K89" i="13" s="1"/>
  <c r="I88" i="13"/>
  <c r="K88" i="13" s="1"/>
  <c r="I87" i="13"/>
  <c r="K87" i="13" s="1"/>
  <c r="I86" i="13"/>
  <c r="I85" i="13"/>
  <c r="K85" i="13" s="1"/>
  <c r="I84" i="13"/>
  <c r="K84" i="13" s="1"/>
  <c r="J83" i="13"/>
  <c r="J71" i="13" s="1"/>
  <c r="J82" i="13"/>
  <c r="S80" i="13"/>
  <c r="S78" i="13" s="1"/>
  <c r="R80" i="13"/>
  <c r="R78" i="13" s="1"/>
  <c r="U78" i="13" s="1"/>
  <c r="Q80" i="13"/>
  <c r="N80" i="13"/>
  <c r="N78" i="13" s="1"/>
  <c r="M80" i="13"/>
  <c r="L80" i="13"/>
  <c r="L78" i="13" s="1"/>
  <c r="O78" i="13" s="1"/>
  <c r="U79" i="13"/>
  <c r="T79" i="13"/>
  <c r="P79" i="13"/>
  <c r="O79" i="13"/>
  <c r="S77" i="13"/>
  <c r="S75" i="13" s="1"/>
  <c r="R77" i="13"/>
  <c r="U77" i="13" s="1"/>
  <c r="Q77" i="13"/>
  <c r="N77" i="13"/>
  <c r="N75" i="13" s="1"/>
  <c r="M77" i="13"/>
  <c r="M75" i="13" s="1"/>
  <c r="P75" i="13" s="1"/>
  <c r="L77" i="13"/>
  <c r="O77" i="13" s="1"/>
  <c r="U76" i="13"/>
  <c r="T76" i="13"/>
  <c r="P76" i="13"/>
  <c r="O76" i="13"/>
  <c r="S73" i="13"/>
  <c r="R73" i="13"/>
  <c r="U73" i="13" s="1"/>
  <c r="Q73" i="13"/>
  <c r="N73" i="13"/>
  <c r="M73" i="13"/>
  <c r="L73" i="13"/>
  <c r="O73" i="13" s="1"/>
  <c r="J70" i="13"/>
  <c r="U67" i="13"/>
  <c r="T67" i="13"/>
  <c r="N67" i="13"/>
  <c r="N65" i="13" s="1"/>
  <c r="M67" i="13"/>
  <c r="M65" i="13" s="1"/>
  <c r="L67" i="13"/>
  <c r="L65" i="13" s="1"/>
  <c r="U66" i="13"/>
  <c r="T66" i="13"/>
  <c r="P66" i="13"/>
  <c r="O66" i="13"/>
  <c r="U65" i="13"/>
  <c r="S65" i="13"/>
  <c r="R65" i="13"/>
  <c r="Q65" i="13"/>
  <c r="T65" i="13" s="1"/>
  <c r="U64" i="13"/>
  <c r="T64" i="13"/>
  <c r="N64" i="13"/>
  <c r="M64" i="13"/>
  <c r="M62" i="13" s="1"/>
  <c r="L64" i="13"/>
  <c r="U63" i="13"/>
  <c r="T63" i="13"/>
  <c r="P63" i="13"/>
  <c r="O63" i="13"/>
  <c r="S62" i="13"/>
  <c r="R62" i="13"/>
  <c r="U62" i="13" s="1"/>
  <c r="Q62" i="13"/>
  <c r="T62" i="13" s="1"/>
  <c r="U61" i="13"/>
  <c r="T61" i="13"/>
  <c r="S61" i="13"/>
  <c r="R61" i="13"/>
  <c r="Q61" i="13"/>
  <c r="S60" i="13"/>
  <c r="S59" i="13" s="1"/>
  <c r="R60" i="13"/>
  <c r="U60" i="13" s="1"/>
  <c r="Q60" i="13"/>
  <c r="Q59" i="13" s="1"/>
  <c r="T59" i="13" s="1"/>
  <c r="N60" i="13"/>
  <c r="M60" i="13"/>
  <c r="L60" i="13"/>
  <c r="O60" i="13" s="1"/>
  <c r="R59" i="13"/>
  <c r="U59" i="13" s="1"/>
  <c r="U52" i="13"/>
  <c r="T52" i="13"/>
  <c r="N52" i="13"/>
  <c r="N50" i="13" s="1"/>
  <c r="M52" i="13"/>
  <c r="M50" i="13" s="1"/>
  <c r="P50" i="13" s="1"/>
  <c r="L52" i="13"/>
  <c r="L50" i="13" s="1"/>
  <c r="O50" i="13" s="1"/>
  <c r="U51" i="13"/>
  <c r="T51" i="13"/>
  <c r="P51" i="13"/>
  <c r="O51" i="13"/>
  <c r="U50" i="13"/>
  <c r="S50" i="13"/>
  <c r="R50" i="13"/>
  <c r="Q50" i="13"/>
  <c r="T50" i="13" s="1"/>
  <c r="U49" i="13"/>
  <c r="T49" i="13"/>
  <c r="N49" i="13"/>
  <c r="N47" i="13" s="1"/>
  <c r="M49" i="13"/>
  <c r="M47" i="13" s="1"/>
  <c r="L49" i="13"/>
  <c r="U48" i="13"/>
  <c r="T48" i="13"/>
  <c r="P48" i="13"/>
  <c r="O48" i="13"/>
  <c r="S47" i="13"/>
  <c r="R47" i="13"/>
  <c r="U47" i="13" s="1"/>
  <c r="Q47" i="13"/>
  <c r="T47" i="13" s="1"/>
  <c r="U46" i="13"/>
  <c r="T46" i="13"/>
  <c r="S46" i="13"/>
  <c r="R46" i="13"/>
  <c r="Q46" i="13"/>
  <c r="S45" i="13"/>
  <c r="S44" i="13" s="1"/>
  <c r="R45" i="13"/>
  <c r="U45" i="13" s="1"/>
  <c r="Q45" i="13"/>
  <c r="Q44" i="13" s="1"/>
  <c r="T44" i="13" s="1"/>
  <c r="N45" i="13"/>
  <c r="M45" i="13"/>
  <c r="L45" i="13"/>
  <c r="O45" i="13" s="1"/>
  <c r="R44" i="13"/>
  <c r="U44" i="13" s="1"/>
  <c r="S25" i="13"/>
  <c r="R25" i="13"/>
  <c r="U25" i="13" s="1"/>
  <c r="Q25" i="13"/>
  <c r="T25" i="13" s="1"/>
  <c r="P25" i="13"/>
  <c r="N25" i="13"/>
  <c r="M25" i="13"/>
  <c r="L25" i="13"/>
  <c r="O25" i="13" s="1"/>
  <c r="S22" i="13"/>
  <c r="R22" i="13"/>
  <c r="U22" i="13" s="1"/>
  <c r="Q22" i="13"/>
  <c r="T22" i="13" s="1"/>
  <c r="P22" i="13"/>
  <c r="N22" i="13"/>
  <c r="M22" i="13"/>
  <c r="L22" i="13"/>
  <c r="O22" i="13" s="1"/>
  <c r="S19" i="13"/>
  <c r="R19" i="13"/>
  <c r="U19" i="13" s="1"/>
  <c r="Q19" i="13"/>
  <c r="T19" i="13" s="1"/>
  <c r="P19" i="13"/>
  <c r="N19" i="13"/>
  <c r="M19" i="13"/>
  <c r="L19" i="13"/>
  <c r="O19" i="13" s="1"/>
  <c r="A789" i="12"/>
  <c r="A788" i="12"/>
  <c r="J785" i="12"/>
  <c r="I785" i="12"/>
  <c r="J784" i="12"/>
  <c r="I784" i="12"/>
  <c r="J783" i="12"/>
  <c r="I783" i="12"/>
  <c r="K783" i="12" s="1"/>
  <c r="J782" i="12"/>
  <c r="I782" i="12"/>
  <c r="K782" i="12" s="1"/>
  <c r="J781" i="12"/>
  <c r="I781" i="12"/>
  <c r="J780" i="12"/>
  <c r="I780" i="12"/>
  <c r="J779" i="12"/>
  <c r="I779" i="12"/>
  <c r="J778" i="12"/>
  <c r="I778" i="12"/>
  <c r="H777" i="12"/>
  <c r="I776" i="12"/>
  <c r="I775" i="12"/>
  <c r="I774" i="12"/>
  <c r="I759" i="12" s="1"/>
  <c r="I772" i="12"/>
  <c r="I770" i="12"/>
  <c r="K770" i="12" s="1"/>
  <c r="U768" i="12"/>
  <c r="T768" i="12"/>
  <c r="P768" i="12"/>
  <c r="O768" i="12"/>
  <c r="U767" i="12"/>
  <c r="T767" i="12"/>
  <c r="P767" i="12"/>
  <c r="O767" i="12"/>
  <c r="S766" i="12"/>
  <c r="R766" i="12"/>
  <c r="U766" i="12" s="1"/>
  <c r="Q766" i="12"/>
  <c r="T766" i="12" s="1"/>
  <c r="N766" i="12"/>
  <c r="M766" i="12"/>
  <c r="P766" i="12" s="1"/>
  <c r="L766" i="12"/>
  <c r="O766" i="12" s="1"/>
  <c r="S765" i="12"/>
  <c r="R765" i="12"/>
  <c r="R763" i="12" s="1"/>
  <c r="Q765" i="12"/>
  <c r="Q763" i="12" s="1"/>
  <c r="P765" i="12"/>
  <c r="O765" i="12"/>
  <c r="U764" i="12"/>
  <c r="T764" i="12"/>
  <c r="P764" i="12"/>
  <c r="O764" i="12"/>
  <c r="N763" i="12"/>
  <c r="M763" i="12"/>
  <c r="P763" i="12" s="1"/>
  <c r="L763" i="12"/>
  <c r="O763" i="12" s="1"/>
  <c r="P762" i="12"/>
  <c r="N762" i="12"/>
  <c r="M762" i="12"/>
  <c r="L762" i="12"/>
  <c r="S761" i="12"/>
  <c r="R761" i="12"/>
  <c r="U761" i="12" s="1"/>
  <c r="Q761" i="12"/>
  <c r="T761" i="12" s="1"/>
  <c r="N761" i="12"/>
  <c r="N760" i="12" s="1"/>
  <c r="M761" i="12"/>
  <c r="L761" i="12"/>
  <c r="O761" i="12" s="1"/>
  <c r="J759" i="12"/>
  <c r="J758" i="12"/>
  <c r="I755" i="12"/>
  <c r="K755" i="12" s="1"/>
  <c r="I752" i="12"/>
  <c r="K752" i="12" s="1"/>
  <c r="I749" i="12"/>
  <c r="K749" i="12" s="1"/>
  <c r="I746" i="12"/>
  <c r="K746" i="12" s="1"/>
  <c r="I744" i="12"/>
  <c r="K744" i="12" s="1"/>
  <c r="I742" i="12"/>
  <c r="K742" i="12" s="1"/>
  <c r="I740" i="12"/>
  <c r="K740" i="12" s="1"/>
  <c r="U736" i="12"/>
  <c r="T736" i="12"/>
  <c r="P736" i="12"/>
  <c r="O736" i="12"/>
  <c r="U735" i="12"/>
  <c r="T735" i="12"/>
  <c r="P735" i="12"/>
  <c r="O735" i="12"/>
  <c r="S734" i="12"/>
  <c r="R734" i="12"/>
  <c r="U734" i="12" s="1"/>
  <c r="Q734" i="12"/>
  <c r="T734" i="12" s="1"/>
  <c r="N734" i="12"/>
  <c r="M734" i="12"/>
  <c r="P734" i="12" s="1"/>
  <c r="L734" i="12"/>
  <c r="O734" i="12" s="1"/>
  <c r="S733" i="12"/>
  <c r="S730" i="12" s="1"/>
  <c r="R733" i="12"/>
  <c r="R731" i="12" s="1"/>
  <c r="Q733" i="12"/>
  <c r="Q731" i="12" s="1"/>
  <c r="P733" i="12"/>
  <c r="O733" i="12"/>
  <c r="U732" i="12"/>
  <c r="T732" i="12"/>
  <c r="P732" i="12"/>
  <c r="O732" i="12"/>
  <c r="N731" i="12"/>
  <c r="M731" i="12"/>
  <c r="P731" i="12" s="1"/>
  <c r="L731" i="12"/>
  <c r="O731" i="12" s="1"/>
  <c r="N730" i="12"/>
  <c r="M730" i="12"/>
  <c r="P730" i="12" s="1"/>
  <c r="L730" i="12"/>
  <c r="O730" i="12" s="1"/>
  <c r="U729" i="12"/>
  <c r="S729" i="12"/>
  <c r="R729" i="12"/>
  <c r="Q729" i="12"/>
  <c r="T729" i="12" s="1"/>
  <c r="O729" i="12"/>
  <c r="N729" i="12"/>
  <c r="N728" i="12" s="1"/>
  <c r="M729" i="12"/>
  <c r="P729" i="12" s="1"/>
  <c r="L729" i="12"/>
  <c r="J727" i="12"/>
  <c r="I727" i="12"/>
  <c r="J726" i="12"/>
  <c r="I726" i="12"/>
  <c r="U722" i="12"/>
  <c r="T722" i="12"/>
  <c r="P722" i="12"/>
  <c r="O722" i="12"/>
  <c r="U721" i="12"/>
  <c r="T721" i="12"/>
  <c r="P721" i="12"/>
  <c r="O721" i="12"/>
  <c r="S720" i="12"/>
  <c r="R720" i="12"/>
  <c r="U720" i="12" s="1"/>
  <c r="Q720" i="12"/>
  <c r="T720" i="12" s="1"/>
  <c r="N720" i="12"/>
  <c r="M720" i="12"/>
  <c r="P720" i="12" s="1"/>
  <c r="L720" i="12"/>
  <c r="O720" i="12" s="1"/>
  <c r="U719" i="12"/>
  <c r="T719" i="12"/>
  <c r="P719" i="12"/>
  <c r="O719" i="12"/>
  <c r="U718" i="12"/>
  <c r="T718" i="12"/>
  <c r="P718" i="12"/>
  <c r="O718" i="12"/>
  <c r="S717" i="12"/>
  <c r="R717" i="12"/>
  <c r="U717" i="12" s="1"/>
  <c r="Q717" i="12"/>
  <c r="T717" i="12" s="1"/>
  <c r="N717" i="12"/>
  <c r="M717" i="12"/>
  <c r="P717" i="12" s="1"/>
  <c r="L717" i="12"/>
  <c r="O717" i="12" s="1"/>
  <c r="S716" i="12"/>
  <c r="R716" i="12"/>
  <c r="U716" i="12" s="1"/>
  <c r="Q716" i="12"/>
  <c r="O716" i="12"/>
  <c r="N716" i="12"/>
  <c r="M716" i="12"/>
  <c r="P716" i="12" s="1"/>
  <c r="L716" i="12"/>
  <c r="S715" i="12"/>
  <c r="S714" i="12" s="1"/>
  <c r="R715" i="12"/>
  <c r="R714" i="12" s="1"/>
  <c r="U714" i="12" s="1"/>
  <c r="Q715" i="12"/>
  <c r="T715" i="12" s="1"/>
  <c r="N715" i="12"/>
  <c r="N714" i="12" s="1"/>
  <c r="M715" i="12"/>
  <c r="P715" i="12" s="1"/>
  <c r="L715" i="12"/>
  <c r="M714" i="12"/>
  <c r="P714" i="12" s="1"/>
  <c r="K712" i="12"/>
  <c r="J712" i="12"/>
  <c r="K710" i="12"/>
  <c r="J710" i="12"/>
  <c r="J709" i="12"/>
  <c r="I709" i="12"/>
  <c r="K708" i="12"/>
  <c r="J708" i="12"/>
  <c r="J707" i="12"/>
  <c r="J689" i="12" s="1"/>
  <c r="I707" i="12"/>
  <c r="I689" i="12" s="1"/>
  <c r="K706" i="12"/>
  <c r="J706" i="12"/>
  <c r="J705" i="12"/>
  <c r="I705" i="12"/>
  <c r="K704" i="12"/>
  <c r="J704" i="12"/>
  <c r="J703" i="12"/>
  <c r="I703" i="12"/>
  <c r="K702" i="12"/>
  <c r="I700" i="12"/>
  <c r="K700" i="12" s="1"/>
  <c r="U698" i="12"/>
  <c r="T698" i="12"/>
  <c r="P698" i="12"/>
  <c r="O698" i="12"/>
  <c r="U697" i="12"/>
  <c r="T697" i="12"/>
  <c r="P697" i="12"/>
  <c r="O697" i="12"/>
  <c r="S696" i="12"/>
  <c r="R696" i="12"/>
  <c r="U696" i="12" s="1"/>
  <c r="Q696" i="12"/>
  <c r="T696" i="12" s="1"/>
  <c r="N696" i="12"/>
  <c r="M696" i="12"/>
  <c r="P696" i="12" s="1"/>
  <c r="L696" i="12"/>
  <c r="O696" i="12" s="1"/>
  <c r="S695" i="12"/>
  <c r="S692" i="12" s="1"/>
  <c r="R695" i="12"/>
  <c r="R693" i="12" s="1"/>
  <c r="Q695" i="12"/>
  <c r="Q692" i="12" s="1"/>
  <c r="P695" i="12"/>
  <c r="O695" i="12"/>
  <c r="U694" i="12"/>
  <c r="T694" i="12"/>
  <c r="P694" i="12"/>
  <c r="O694" i="12"/>
  <c r="N693" i="12"/>
  <c r="M693" i="12"/>
  <c r="P693" i="12" s="1"/>
  <c r="L693" i="12"/>
  <c r="O693" i="12" s="1"/>
  <c r="N692" i="12"/>
  <c r="M692" i="12"/>
  <c r="L692" i="12"/>
  <c r="O692" i="12" s="1"/>
  <c r="U691" i="12"/>
  <c r="S691" i="12"/>
  <c r="R691" i="12"/>
  <c r="Q691" i="12"/>
  <c r="P691" i="12"/>
  <c r="N691" i="12"/>
  <c r="N690" i="12" s="1"/>
  <c r="M691" i="12"/>
  <c r="L691" i="12"/>
  <c r="O691" i="12" s="1"/>
  <c r="L690" i="12"/>
  <c r="O690" i="12" s="1"/>
  <c r="J682" i="12"/>
  <c r="I682" i="12"/>
  <c r="K682" i="12" s="1"/>
  <c r="J681" i="12"/>
  <c r="I681" i="12"/>
  <c r="K681" i="12" s="1"/>
  <c r="J680" i="12"/>
  <c r="J679" i="12"/>
  <c r="I679" i="12"/>
  <c r="K679" i="12" s="1"/>
  <c r="J678" i="12"/>
  <c r="I678" i="12"/>
  <c r="K678" i="12" s="1"/>
  <c r="J677" i="12"/>
  <c r="J676" i="12"/>
  <c r="I676" i="12"/>
  <c r="K676" i="12" s="1"/>
  <c r="I675" i="12"/>
  <c r="K675" i="12" s="1"/>
  <c r="I674" i="12"/>
  <c r="K674" i="12" s="1"/>
  <c r="J673" i="12"/>
  <c r="I673" i="12"/>
  <c r="K673" i="12" s="1"/>
  <c r="J672" i="12"/>
  <c r="J671" i="12"/>
  <c r="J661" i="12"/>
  <c r="I661" i="12"/>
  <c r="K661" i="12" s="1"/>
  <c r="I660" i="12"/>
  <c r="I657" i="12"/>
  <c r="J654" i="12"/>
  <c r="I654" i="12"/>
  <c r="K654" i="12" s="1"/>
  <c r="J653" i="12"/>
  <c r="I653" i="12"/>
  <c r="K653" i="12" s="1"/>
  <c r="J652" i="12"/>
  <c r="I652" i="12"/>
  <c r="K652" i="12" s="1"/>
  <c r="U650" i="12"/>
  <c r="T650" i="12"/>
  <c r="P650" i="12"/>
  <c r="O650" i="12"/>
  <c r="U649" i="12"/>
  <c r="T649" i="12"/>
  <c r="P649" i="12"/>
  <c r="O649" i="12"/>
  <c r="S648" i="12"/>
  <c r="R648" i="12"/>
  <c r="U648" i="12" s="1"/>
  <c r="Q648" i="12"/>
  <c r="T648" i="12" s="1"/>
  <c r="N648" i="12"/>
  <c r="M648" i="12"/>
  <c r="P648" i="12" s="1"/>
  <c r="L648" i="12"/>
  <c r="O648" i="12" s="1"/>
  <c r="S647" i="12"/>
  <c r="S645" i="12" s="1"/>
  <c r="R647" i="12"/>
  <c r="U647" i="12" s="1"/>
  <c r="Q647" i="12"/>
  <c r="T647" i="12" s="1"/>
  <c r="P647" i="12"/>
  <c r="O647" i="12"/>
  <c r="U646" i="12"/>
  <c r="T646" i="12"/>
  <c r="P646" i="12"/>
  <c r="O646" i="12"/>
  <c r="N645" i="12"/>
  <c r="M645" i="12"/>
  <c r="P645" i="12" s="1"/>
  <c r="L645" i="12"/>
  <c r="O645" i="12" s="1"/>
  <c r="N644" i="12"/>
  <c r="M644" i="12"/>
  <c r="L644" i="12"/>
  <c r="O644" i="12" s="1"/>
  <c r="S643" i="12"/>
  <c r="R643" i="12"/>
  <c r="U643" i="12" s="1"/>
  <c r="Q643" i="12"/>
  <c r="P643" i="12"/>
  <c r="N643" i="12"/>
  <c r="N642" i="12" s="1"/>
  <c r="M643" i="12"/>
  <c r="L643" i="12"/>
  <c r="J636" i="12"/>
  <c r="J635" i="12"/>
  <c r="I635" i="12"/>
  <c r="K635" i="12" s="1"/>
  <c r="J632" i="12"/>
  <c r="J626" i="12" s="1"/>
  <c r="J615" i="12" s="1"/>
  <c r="I628" i="12"/>
  <c r="K628" i="12" s="1"/>
  <c r="I627" i="12"/>
  <c r="K627" i="12" s="1"/>
  <c r="I626" i="12"/>
  <c r="K631" i="12" s="1"/>
  <c r="U624" i="12"/>
  <c r="T624" i="12"/>
  <c r="P624" i="12"/>
  <c r="O624" i="12"/>
  <c r="U623" i="12"/>
  <c r="T623" i="12"/>
  <c r="P623" i="12"/>
  <c r="O623" i="12"/>
  <c r="S622" i="12"/>
  <c r="R622" i="12"/>
  <c r="U622" i="12" s="1"/>
  <c r="Q622" i="12"/>
  <c r="T622" i="12" s="1"/>
  <c r="N622" i="12"/>
  <c r="M622" i="12"/>
  <c r="P622" i="12" s="1"/>
  <c r="L622" i="12"/>
  <c r="O622" i="12" s="1"/>
  <c r="S621" i="12"/>
  <c r="S619" i="12" s="1"/>
  <c r="R621" i="12"/>
  <c r="R619" i="12" s="1"/>
  <c r="Q621" i="12"/>
  <c r="P621" i="12"/>
  <c r="O621" i="12"/>
  <c r="U620" i="12"/>
  <c r="T620" i="12"/>
  <c r="P620" i="12"/>
  <c r="O620" i="12"/>
  <c r="N619" i="12"/>
  <c r="M619" i="12"/>
  <c r="P619" i="12" s="1"/>
  <c r="L619" i="12"/>
  <c r="O619" i="12" s="1"/>
  <c r="N618" i="12"/>
  <c r="M618" i="12"/>
  <c r="P618" i="12" s="1"/>
  <c r="L618" i="12"/>
  <c r="O618" i="12" s="1"/>
  <c r="S617" i="12"/>
  <c r="R617" i="12"/>
  <c r="Q617" i="12"/>
  <c r="T617" i="12" s="1"/>
  <c r="N617" i="12"/>
  <c r="M617" i="12"/>
  <c r="P617" i="12" s="1"/>
  <c r="L617" i="12"/>
  <c r="M616" i="12"/>
  <c r="P616" i="12" s="1"/>
  <c r="S607" i="12"/>
  <c r="S605" i="12" s="1"/>
  <c r="R607" i="12"/>
  <c r="R605" i="12" s="1"/>
  <c r="U605" i="12" s="1"/>
  <c r="Q607" i="12"/>
  <c r="N607" i="12"/>
  <c r="N605" i="12" s="1"/>
  <c r="M607" i="12"/>
  <c r="P607" i="12" s="1"/>
  <c r="L607" i="12"/>
  <c r="O607" i="12" s="1"/>
  <c r="U606" i="12"/>
  <c r="T606" i="12"/>
  <c r="P606" i="12"/>
  <c r="O606" i="12"/>
  <c r="S604" i="12"/>
  <c r="S602" i="12" s="1"/>
  <c r="R604" i="12"/>
  <c r="U604" i="12" s="1"/>
  <c r="Q604" i="12"/>
  <c r="N604" i="12"/>
  <c r="N602" i="12" s="1"/>
  <c r="M604" i="12"/>
  <c r="P604" i="12" s="1"/>
  <c r="L604" i="12"/>
  <c r="L602" i="12" s="1"/>
  <c r="U603" i="12"/>
  <c r="T603" i="12"/>
  <c r="P603" i="12"/>
  <c r="O603" i="12"/>
  <c r="T600" i="12"/>
  <c r="S600" i="12"/>
  <c r="R600" i="12"/>
  <c r="U600" i="12" s="1"/>
  <c r="Q600" i="12"/>
  <c r="O600" i="12"/>
  <c r="N600" i="12"/>
  <c r="M600" i="12"/>
  <c r="P600" i="12" s="1"/>
  <c r="L600" i="12"/>
  <c r="U584" i="12"/>
  <c r="T584" i="12"/>
  <c r="N584" i="12"/>
  <c r="M584" i="12"/>
  <c r="P584" i="12" s="1"/>
  <c r="L584" i="12"/>
  <c r="L582" i="12" s="1"/>
  <c r="O582" i="12" s="1"/>
  <c r="U583" i="12"/>
  <c r="T583" i="12"/>
  <c r="P583" i="12"/>
  <c r="O583" i="12"/>
  <c r="T582" i="12"/>
  <c r="S582" i="12"/>
  <c r="R582" i="12"/>
  <c r="U582" i="12" s="1"/>
  <c r="Q582" i="12"/>
  <c r="U581" i="12"/>
  <c r="T581" i="12"/>
  <c r="N581" i="12"/>
  <c r="N579" i="12" s="1"/>
  <c r="M581" i="12"/>
  <c r="P581" i="12" s="1"/>
  <c r="L581" i="12"/>
  <c r="U580" i="12"/>
  <c r="T580" i="12"/>
  <c r="P580" i="12"/>
  <c r="O580" i="12"/>
  <c r="S579" i="12"/>
  <c r="R579" i="12"/>
  <c r="U579" i="12" s="1"/>
  <c r="Q579" i="12"/>
  <c r="T579" i="12" s="1"/>
  <c r="U578" i="12"/>
  <c r="S578" i="12"/>
  <c r="R578" i="12"/>
  <c r="Q578" i="12"/>
  <c r="U577" i="12"/>
  <c r="S577" i="12"/>
  <c r="S576" i="12" s="1"/>
  <c r="R577" i="12"/>
  <c r="Q577" i="12"/>
  <c r="T577" i="12" s="1"/>
  <c r="N577" i="12"/>
  <c r="M577" i="12"/>
  <c r="P577" i="12" s="1"/>
  <c r="L577" i="12"/>
  <c r="O577" i="12" s="1"/>
  <c r="K575" i="12"/>
  <c r="J575" i="12"/>
  <c r="I575" i="12"/>
  <c r="U563" i="12"/>
  <c r="T563" i="12"/>
  <c r="N563" i="12"/>
  <c r="N561" i="12" s="1"/>
  <c r="M563" i="12"/>
  <c r="P563" i="12" s="1"/>
  <c r="L563" i="12"/>
  <c r="L561" i="12" s="1"/>
  <c r="O561" i="12" s="1"/>
  <c r="U562" i="12"/>
  <c r="T562" i="12"/>
  <c r="P562" i="12"/>
  <c r="O562" i="12"/>
  <c r="S561" i="12"/>
  <c r="R561" i="12"/>
  <c r="U561" i="12" s="1"/>
  <c r="Q561" i="12"/>
  <c r="T561" i="12" s="1"/>
  <c r="U560" i="12"/>
  <c r="T560" i="12"/>
  <c r="N560" i="12"/>
  <c r="M560" i="12"/>
  <c r="L560" i="12"/>
  <c r="U559" i="12"/>
  <c r="T559" i="12"/>
  <c r="P559" i="12"/>
  <c r="O559" i="12"/>
  <c r="U558" i="12"/>
  <c r="S558" i="12"/>
  <c r="R558" i="12"/>
  <c r="Q558" i="12"/>
  <c r="T558" i="12" s="1"/>
  <c r="S557" i="12"/>
  <c r="S555" i="12" s="1"/>
  <c r="R557" i="12"/>
  <c r="U557" i="12" s="1"/>
  <c r="Q557" i="12"/>
  <c r="T557" i="12" s="1"/>
  <c r="S556" i="12"/>
  <c r="R556" i="12"/>
  <c r="Q556" i="12"/>
  <c r="N556" i="12"/>
  <c r="M556" i="12"/>
  <c r="P556" i="12" s="1"/>
  <c r="L556" i="12"/>
  <c r="J554" i="12"/>
  <c r="I554" i="12"/>
  <c r="K554" i="12" s="1"/>
  <c r="U542" i="12"/>
  <c r="T542" i="12"/>
  <c r="N542" i="12"/>
  <c r="M542" i="12"/>
  <c r="M540" i="12" s="1"/>
  <c r="P540" i="12" s="1"/>
  <c r="L542" i="12"/>
  <c r="U541" i="12"/>
  <c r="T541" i="12"/>
  <c r="P541" i="12"/>
  <c r="O541" i="12"/>
  <c r="U540" i="12"/>
  <c r="S540" i="12"/>
  <c r="R540" i="12"/>
  <c r="Q540" i="12"/>
  <c r="T540" i="12" s="1"/>
  <c r="U539" i="12"/>
  <c r="T539" i="12"/>
  <c r="N539" i="12"/>
  <c r="N537" i="12" s="1"/>
  <c r="M539" i="12"/>
  <c r="L539" i="12"/>
  <c r="L537" i="12" s="1"/>
  <c r="O537" i="12" s="1"/>
  <c r="U538" i="12"/>
  <c r="T538" i="12"/>
  <c r="P538" i="12"/>
  <c r="O538" i="12"/>
  <c r="S537" i="12"/>
  <c r="R537" i="12"/>
  <c r="U537" i="12" s="1"/>
  <c r="Q537" i="12"/>
  <c r="T537" i="12" s="1"/>
  <c r="S536" i="12"/>
  <c r="R536" i="12"/>
  <c r="U536" i="12" s="1"/>
  <c r="Q536" i="12"/>
  <c r="T536" i="12" s="1"/>
  <c r="U535" i="12"/>
  <c r="S535" i="12"/>
  <c r="S534" i="12" s="1"/>
  <c r="R535" i="12"/>
  <c r="Q535" i="12"/>
  <c r="N535" i="12"/>
  <c r="M535" i="12"/>
  <c r="P535" i="12" s="1"/>
  <c r="L535" i="12"/>
  <c r="O535" i="12" s="1"/>
  <c r="J533" i="12"/>
  <c r="I533" i="12"/>
  <c r="K533" i="12" s="1"/>
  <c r="K524" i="12"/>
  <c r="K523" i="12"/>
  <c r="U521" i="12"/>
  <c r="T521" i="12"/>
  <c r="N521" i="12"/>
  <c r="N519" i="12" s="1"/>
  <c r="M521" i="12"/>
  <c r="M519" i="12" s="1"/>
  <c r="P519" i="12" s="1"/>
  <c r="L521" i="12"/>
  <c r="U520" i="12"/>
  <c r="T520" i="12"/>
  <c r="P520" i="12"/>
  <c r="O520" i="12"/>
  <c r="S519" i="12"/>
  <c r="R519" i="12"/>
  <c r="U519" i="12" s="1"/>
  <c r="Q519" i="12"/>
  <c r="T519" i="12" s="1"/>
  <c r="U518" i="12"/>
  <c r="T518" i="12"/>
  <c r="N518" i="12"/>
  <c r="M518" i="12"/>
  <c r="L518" i="12"/>
  <c r="O518" i="12" s="1"/>
  <c r="U517" i="12"/>
  <c r="T517" i="12"/>
  <c r="P517" i="12"/>
  <c r="O517" i="12"/>
  <c r="S516" i="12"/>
  <c r="R516" i="12"/>
  <c r="U516" i="12" s="1"/>
  <c r="Q516" i="12"/>
  <c r="T516" i="12" s="1"/>
  <c r="T515" i="12"/>
  <c r="S515" i="12"/>
  <c r="R515" i="12"/>
  <c r="U515" i="12" s="1"/>
  <c r="Q515" i="12"/>
  <c r="S514" i="12"/>
  <c r="R514" i="12"/>
  <c r="U514" i="12" s="1"/>
  <c r="Q514" i="12"/>
  <c r="T514" i="12" s="1"/>
  <c r="N514" i="12"/>
  <c r="M514" i="12"/>
  <c r="L514" i="12"/>
  <c r="O514" i="12" s="1"/>
  <c r="Q513" i="12"/>
  <c r="T513" i="12" s="1"/>
  <c r="K512" i="12"/>
  <c r="J512" i="12"/>
  <c r="I512" i="12"/>
  <c r="I509" i="12"/>
  <c r="K509" i="12" s="1"/>
  <c r="K508" i="12"/>
  <c r="I507" i="12"/>
  <c r="K507" i="12" s="1"/>
  <c r="I506" i="12"/>
  <c r="K506" i="12" s="1"/>
  <c r="I505" i="12"/>
  <c r="K505" i="12" s="1"/>
  <c r="I504" i="12"/>
  <c r="I503" i="12"/>
  <c r="K503" i="12" s="1"/>
  <c r="U501" i="12"/>
  <c r="T501" i="12"/>
  <c r="N501" i="12"/>
  <c r="N499" i="12" s="1"/>
  <c r="M501" i="12"/>
  <c r="P501" i="12" s="1"/>
  <c r="L501" i="12"/>
  <c r="L499" i="12" s="1"/>
  <c r="O499" i="12" s="1"/>
  <c r="U500" i="12"/>
  <c r="T500" i="12"/>
  <c r="P500" i="12"/>
  <c r="O500" i="12"/>
  <c r="S499" i="12"/>
  <c r="R499" i="12"/>
  <c r="U499" i="12" s="1"/>
  <c r="Q499" i="12"/>
  <c r="T499" i="12" s="1"/>
  <c r="S498" i="12"/>
  <c r="S495" i="12" s="1"/>
  <c r="S493" i="12" s="1"/>
  <c r="R498" i="12"/>
  <c r="U498" i="12" s="1"/>
  <c r="Q498" i="12"/>
  <c r="Q496" i="12" s="1"/>
  <c r="T496" i="12" s="1"/>
  <c r="N498" i="12"/>
  <c r="N496" i="12" s="1"/>
  <c r="M498" i="12"/>
  <c r="M496" i="12" s="1"/>
  <c r="P496" i="12" s="1"/>
  <c r="L498" i="12"/>
  <c r="O498" i="12" s="1"/>
  <c r="U497" i="12"/>
  <c r="T497" i="12"/>
  <c r="P497" i="12"/>
  <c r="O497" i="12"/>
  <c r="U494" i="12"/>
  <c r="S494" i="12"/>
  <c r="R494" i="12"/>
  <c r="Q494" i="12"/>
  <c r="T494" i="12" s="1"/>
  <c r="O494" i="12"/>
  <c r="N494" i="12"/>
  <c r="M494" i="12"/>
  <c r="P494" i="12" s="1"/>
  <c r="L494" i="12"/>
  <c r="J485" i="12"/>
  <c r="I485" i="12"/>
  <c r="K485" i="12" s="1"/>
  <c r="J484" i="12"/>
  <c r="I484" i="12"/>
  <c r="K484" i="12" s="1"/>
  <c r="J483" i="12"/>
  <c r="J482" i="12"/>
  <c r="K477" i="12"/>
  <c r="J477" i="12"/>
  <c r="K476" i="12"/>
  <c r="J476" i="12"/>
  <c r="K475" i="12"/>
  <c r="J475" i="12"/>
  <c r="J468" i="12"/>
  <c r="J467" i="12"/>
  <c r="J460" i="12"/>
  <c r="J459" i="12"/>
  <c r="I458" i="12"/>
  <c r="K458" i="12" s="1"/>
  <c r="I457" i="12"/>
  <c r="I456" i="12" s="1"/>
  <c r="J447" i="12"/>
  <c r="J446" i="12"/>
  <c r="J440" i="12" s="1"/>
  <c r="J423" i="12" s="1"/>
  <c r="J441" i="12"/>
  <c r="I441" i="12"/>
  <c r="I440" i="12"/>
  <c r="J433" i="12"/>
  <c r="I433" i="12"/>
  <c r="J432" i="12"/>
  <c r="I432" i="12"/>
  <c r="J425" i="12"/>
  <c r="I425" i="12"/>
  <c r="K425" i="12" s="1"/>
  <c r="J424" i="12"/>
  <c r="I424" i="12"/>
  <c r="K424" i="12" s="1"/>
  <c r="U421" i="12"/>
  <c r="T421" i="12"/>
  <c r="N421" i="12"/>
  <c r="N419" i="12" s="1"/>
  <c r="M421" i="12"/>
  <c r="P421" i="12" s="1"/>
  <c r="L421" i="12"/>
  <c r="U420" i="12"/>
  <c r="T420" i="12"/>
  <c r="P420" i="12"/>
  <c r="O420" i="12"/>
  <c r="T419" i="12"/>
  <c r="S419" i="12"/>
  <c r="R419" i="12"/>
  <c r="U419" i="12" s="1"/>
  <c r="Q419" i="12"/>
  <c r="S418" i="12"/>
  <c r="S416" i="12" s="1"/>
  <c r="R418" i="12"/>
  <c r="R415" i="12" s="1"/>
  <c r="Q418" i="12"/>
  <c r="N418" i="12"/>
  <c r="N416" i="12" s="1"/>
  <c r="M418" i="12"/>
  <c r="M416" i="12" s="1"/>
  <c r="L418" i="12"/>
  <c r="U417" i="12"/>
  <c r="T417" i="12"/>
  <c r="P417" i="12"/>
  <c r="O417" i="12"/>
  <c r="S414" i="12"/>
  <c r="R414" i="12"/>
  <c r="U414" i="12" s="1"/>
  <c r="Q414" i="12"/>
  <c r="T414" i="12" s="1"/>
  <c r="O414" i="12"/>
  <c r="N414" i="12"/>
  <c r="M414" i="12"/>
  <c r="P414" i="12" s="1"/>
  <c r="L414" i="12"/>
  <c r="J412" i="12"/>
  <c r="U400" i="12"/>
  <c r="T400" i="12"/>
  <c r="P400" i="12"/>
  <c r="O400" i="12"/>
  <c r="U399" i="12"/>
  <c r="T399" i="12"/>
  <c r="P399" i="12"/>
  <c r="O399" i="12"/>
  <c r="S398" i="12"/>
  <c r="R398" i="12"/>
  <c r="U398" i="12" s="1"/>
  <c r="Q398" i="12"/>
  <c r="T398" i="12" s="1"/>
  <c r="P398" i="12"/>
  <c r="N398" i="12"/>
  <c r="M398" i="12"/>
  <c r="L398" i="12"/>
  <c r="O398" i="12" s="1"/>
  <c r="S397" i="12"/>
  <c r="S395" i="12" s="1"/>
  <c r="R397" i="12"/>
  <c r="R395" i="12" s="1"/>
  <c r="U395" i="12" s="1"/>
  <c r="Q397" i="12"/>
  <c r="P397" i="12"/>
  <c r="O397" i="12"/>
  <c r="U396" i="12"/>
  <c r="T396" i="12"/>
  <c r="P396" i="12"/>
  <c r="O396" i="12"/>
  <c r="N395" i="12"/>
  <c r="M395" i="12"/>
  <c r="P395" i="12" s="1"/>
  <c r="L395" i="12"/>
  <c r="O395" i="12" s="1"/>
  <c r="N394" i="12"/>
  <c r="N392" i="12" s="1"/>
  <c r="M394" i="12"/>
  <c r="P394" i="12" s="1"/>
  <c r="L394" i="12"/>
  <c r="S393" i="12"/>
  <c r="R393" i="12"/>
  <c r="U393" i="12" s="1"/>
  <c r="Q393" i="12"/>
  <c r="T393" i="12" s="1"/>
  <c r="N393" i="12"/>
  <c r="M393" i="12"/>
  <c r="P393" i="12" s="1"/>
  <c r="L393" i="12"/>
  <c r="O393" i="12" s="1"/>
  <c r="J391" i="12"/>
  <c r="I391" i="12"/>
  <c r="K391" i="12" s="1"/>
  <c r="J388" i="12"/>
  <c r="I388" i="12"/>
  <c r="K388" i="12" s="1"/>
  <c r="K387" i="12"/>
  <c r="J387" i="12"/>
  <c r="J386" i="12"/>
  <c r="I386" i="12"/>
  <c r="K385" i="12"/>
  <c r="J385" i="12"/>
  <c r="U383" i="12"/>
  <c r="T383" i="12"/>
  <c r="N383" i="12"/>
  <c r="N381" i="12" s="1"/>
  <c r="M383" i="12"/>
  <c r="L383" i="12"/>
  <c r="L381" i="12" s="1"/>
  <c r="O381" i="12" s="1"/>
  <c r="U382" i="12"/>
  <c r="T382" i="12"/>
  <c r="P382" i="12"/>
  <c r="O382" i="12"/>
  <c r="S381" i="12"/>
  <c r="R381" i="12"/>
  <c r="U381" i="12" s="1"/>
  <c r="Q381" i="12"/>
  <c r="T381" i="12" s="1"/>
  <c r="S380" i="12"/>
  <c r="S377" i="12" s="1"/>
  <c r="R380" i="12"/>
  <c r="R377" i="12" s="1"/>
  <c r="Q380" i="12"/>
  <c r="Q377" i="12" s="1"/>
  <c r="N380" i="12"/>
  <c r="N378" i="12" s="1"/>
  <c r="M380" i="12"/>
  <c r="L380" i="12"/>
  <c r="L378" i="12" s="1"/>
  <c r="O378" i="12" s="1"/>
  <c r="U379" i="12"/>
  <c r="T379" i="12"/>
  <c r="P379" i="12"/>
  <c r="O379" i="12"/>
  <c r="U376" i="12"/>
  <c r="T376" i="12"/>
  <c r="S376" i="12"/>
  <c r="R376" i="12"/>
  <c r="Q376" i="12"/>
  <c r="N376" i="12"/>
  <c r="M376" i="12"/>
  <c r="L376" i="12"/>
  <c r="O376" i="12" s="1"/>
  <c r="D373" i="12"/>
  <c r="K372" i="12"/>
  <c r="J372" i="12"/>
  <c r="J371" i="12"/>
  <c r="J365" i="12" s="1"/>
  <c r="I371" i="12"/>
  <c r="I365" i="12" s="1"/>
  <c r="K370" i="12"/>
  <c r="J370" i="12"/>
  <c r="J369" i="12"/>
  <c r="I369" i="12"/>
  <c r="J368" i="12"/>
  <c r="I368" i="12"/>
  <c r="K367" i="12"/>
  <c r="J367" i="12"/>
  <c r="U364" i="12"/>
  <c r="T364" i="12"/>
  <c r="N364" i="12"/>
  <c r="N362" i="12" s="1"/>
  <c r="M364" i="12"/>
  <c r="P364" i="12" s="1"/>
  <c r="L364" i="12"/>
  <c r="O364" i="12" s="1"/>
  <c r="U363" i="12"/>
  <c r="T363" i="12"/>
  <c r="P363" i="12"/>
  <c r="O363" i="12"/>
  <c r="T362" i="12"/>
  <c r="S362" i="12"/>
  <c r="R362" i="12"/>
  <c r="U362" i="12" s="1"/>
  <c r="Q362" i="12"/>
  <c r="U361" i="12"/>
  <c r="T361" i="12"/>
  <c r="N361" i="12"/>
  <c r="M361" i="12"/>
  <c r="L361" i="12"/>
  <c r="L359" i="12" s="1"/>
  <c r="U360" i="12"/>
  <c r="T360" i="12"/>
  <c r="P360" i="12"/>
  <c r="O360" i="12"/>
  <c r="U359" i="12"/>
  <c r="S359" i="12"/>
  <c r="R359" i="12"/>
  <c r="Q359" i="12"/>
  <c r="T359" i="12" s="1"/>
  <c r="U358" i="12"/>
  <c r="T358" i="12"/>
  <c r="S358" i="12"/>
  <c r="S356" i="12" s="1"/>
  <c r="R358" i="12"/>
  <c r="Q358" i="12"/>
  <c r="S357" i="12"/>
  <c r="R357" i="12"/>
  <c r="Q357" i="12"/>
  <c r="N357" i="12"/>
  <c r="M357" i="12"/>
  <c r="P357" i="12" s="1"/>
  <c r="L357" i="12"/>
  <c r="D354" i="12"/>
  <c r="J353" i="12"/>
  <c r="J352" i="12"/>
  <c r="D350" i="12"/>
  <c r="J349" i="12"/>
  <c r="J348" i="12"/>
  <c r="J347" i="12"/>
  <c r="J346" i="12"/>
  <c r="I346" i="12"/>
  <c r="J344" i="12"/>
  <c r="I344" i="12"/>
  <c r="U341" i="12"/>
  <c r="T341" i="12"/>
  <c r="N341" i="12"/>
  <c r="M341" i="12"/>
  <c r="L341" i="12"/>
  <c r="U340" i="12"/>
  <c r="T340" i="12"/>
  <c r="P340" i="12"/>
  <c r="O340" i="12"/>
  <c r="U339" i="12"/>
  <c r="S339" i="12"/>
  <c r="R339" i="12"/>
  <c r="Q339" i="12"/>
  <c r="T339" i="12" s="1"/>
  <c r="U338" i="12"/>
  <c r="T338" i="12"/>
  <c r="N338" i="12"/>
  <c r="N336" i="12" s="1"/>
  <c r="M338" i="12"/>
  <c r="M336" i="12" s="1"/>
  <c r="L338" i="12"/>
  <c r="L336" i="12" s="1"/>
  <c r="U337" i="12"/>
  <c r="T337" i="12"/>
  <c r="P337" i="12"/>
  <c r="O337" i="12"/>
  <c r="T336" i="12"/>
  <c r="S336" i="12"/>
  <c r="R336" i="12"/>
  <c r="U336" i="12" s="1"/>
  <c r="Q336" i="12"/>
  <c r="S335" i="12"/>
  <c r="R335" i="12"/>
  <c r="U335" i="12" s="1"/>
  <c r="Q335" i="12"/>
  <c r="U334" i="12"/>
  <c r="S334" i="12"/>
  <c r="R334" i="12"/>
  <c r="Q334" i="12"/>
  <c r="T334" i="12" s="1"/>
  <c r="P334" i="12"/>
  <c r="O334" i="12"/>
  <c r="N334" i="12"/>
  <c r="M334" i="12"/>
  <c r="L334" i="12"/>
  <c r="S333" i="12"/>
  <c r="R333" i="12"/>
  <c r="U333" i="12" s="1"/>
  <c r="I330" i="12"/>
  <c r="K330" i="12" s="1"/>
  <c r="U328" i="12"/>
  <c r="T328" i="12"/>
  <c r="N328" i="12"/>
  <c r="M328" i="12"/>
  <c r="L328" i="12"/>
  <c r="U327" i="12"/>
  <c r="T327" i="12"/>
  <c r="P327" i="12"/>
  <c r="O327" i="12"/>
  <c r="U326" i="12"/>
  <c r="T326" i="12"/>
  <c r="S326" i="12"/>
  <c r="R326" i="12"/>
  <c r="Q326" i="12"/>
  <c r="N326" i="12"/>
  <c r="U325" i="12"/>
  <c r="T325" i="12"/>
  <c r="N325" i="12"/>
  <c r="N323" i="12" s="1"/>
  <c r="M325" i="12"/>
  <c r="P325" i="12" s="1"/>
  <c r="L325" i="12"/>
  <c r="L323" i="12" s="1"/>
  <c r="O323" i="12" s="1"/>
  <c r="U324" i="12"/>
  <c r="T324" i="12"/>
  <c r="P324" i="12"/>
  <c r="O324" i="12"/>
  <c r="S323" i="12"/>
  <c r="R323" i="12"/>
  <c r="U323" i="12" s="1"/>
  <c r="Q323" i="12"/>
  <c r="T323" i="12" s="1"/>
  <c r="U322" i="12"/>
  <c r="S322" i="12"/>
  <c r="S320" i="12" s="1"/>
  <c r="R322" i="12"/>
  <c r="Q322" i="12"/>
  <c r="T322" i="12" s="1"/>
  <c r="S321" i="12"/>
  <c r="R321" i="12"/>
  <c r="Q321" i="12"/>
  <c r="T321" i="12" s="1"/>
  <c r="N321" i="12"/>
  <c r="M321" i="12"/>
  <c r="P321" i="12" s="1"/>
  <c r="L321" i="12"/>
  <c r="O321" i="12" s="1"/>
  <c r="Q320" i="12"/>
  <c r="T320" i="12" s="1"/>
  <c r="J319" i="12"/>
  <c r="I314" i="12"/>
  <c r="K314" i="12" s="1"/>
  <c r="U311" i="12"/>
  <c r="T311" i="12"/>
  <c r="N311" i="12"/>
  <c r="N309" i="12" s="1"/>
  <c r="M311" i="12"/>
  <c r="P311" i="12" s="1"/>
  <c r="L311" i="12"/>
  <c r="L309" i="12" s="1"/>
  <c r="O309" i="12" s="1"/>
  <c r="U310" i="12"/>
  <c r="T310" i="12"/>
  <c r="P310" i="12"/>
  <c r="O310" i="12"/>
  <c r="U309" i="12"/>
  <c r="S309" i="12"/>
  <c r="R309" i="12"/>
  <c r="Q309" i="12"/>
  <c r="T309" i="12" s="1"/>
  <c r="S308" i="12"/>
  <c r="S306" i="12" s="1"/>
  <c r="R308" i="12"/>
  <c r="R305" i="12" s="1"/>
  <c r="Q308" i="12"/>
  <c r="N308" i="12"/>
  <c r="N306" i="12" s="1"/>
  <c r="M308" i="12"/>
  <c r="P308" i="12" s="1"/>
  <c r="L308" i="12"/>
  <c r="L306" i="12" s="1"/>
  <c r="O306" i="12" s="1"/>
  <c r="U307" i="12"/>
  <c r="T307" i="12"/>
  <c r="P307" i="12"/>
  <c r="O307" i="12"/>
  <c r="S304" i="12"/>
  <c r="R304" i="12"/>
  <c r="U304" i="12" s="1"/>
  <c r="Q304" i="12"/>
  <c r="T304" i="12" s="1"/>
  <c r="N304" i="12"/>
  <c r="M304" i="12"/>
  <c r="P304" i="12" s="1"/>
  <c r="L304" i="12"/>
  <c r="O304" i="12" s="1"/>
  <c r="J302" i="12"/>
  <c r="I296" i="12"/>
  <c r="K296" i="12" s="1"/>
  <c r="I295" i="12"/>
  <c r="K295" i="12" s="1"/>
  <c r="J293" i="12"/>
  <c r="I293" i="12"/>
  <c r="I292" i="12"/>
  <c r="I281" i="12" s="1"/>
  <c r="U290" i="12"/>
  <c r="T290" i="12"/>
  <c r="N290" i="12"/>
  <c r="N288" i="12" s="1"/>
  <c r="M290" i="12"/>
  <c r="P290" i="12" s="1"/>
  <c r="L290" i="12"/>
  <c r="O290" i="12" s="1"/>
  <c r="U289" i="12"/>
  <c r="T289" i="12"/>
  <c r="P289" i="12"/>
  <c r="O289" i="12"/>
  <c r="S288" i="12"/>
  <c r="R288" i="12"/>
  <c r="U288" i="12" s="1"/>
  <c r="Q288" i="12"/>
  <c r="T288" i="12" s="1"/>
  <c r="U287" i="12"/>
  <c r="T287" i="12"/>
  <c r="N287" i="12"/>
  <c r="M287" i="12"/>
  <c r="L287" i="12"/>
  <c r="L285" i="12" s="1"/>
  <c r="U286" i="12"/>
  <c r="T286" i="12"/>
  <c r="P286" i="12"/>
  <c r="O286" i="12"/>
  <c r="S285" i="12"/>
  <c r="R285" i="12"/>
  <c r="U285" i="12" s="1"/>
  <c r="Q285" i="12"/>
  <c r="T285" i="12" s="1"/>
  <c r="S284" i="12"/>
  <c r="R284" i="12"/>
  <c r="U284" i="12" s="1"/>
  <c r="Q284" i="12"/>
  <c r="T284" i="12" s="1"/>
  <c r="U283" i="12"/>
  <c r="S283" i="12"/>
  <c r="S282" i="12" s="1"/>
  <c r="R283" i="12"/>
  <c r="Q283" i="12"/>
  <c r="T283" i="12" s="1"/>
  <c r="N283" i="12"/>
  <c r="M283" i="12"/>
  <c r="L283" i="12"/>
  <c r="O283" i="12" s="1"/>
  <c r="J281" i="12"/>
  <c r="J280" i="12"/>
  <c r="I276" i="12"/>
  <c r="K276" i="12" s="1"/>
  <c r="U274" i="12"/>
  <c r="T274" i="12"/>
  <c r="N274" i="12"/>
  <c r="N272" i="12" s="1"/>
  <c r="M274" i="12"/>
  <c r="P274" i="12" s="1"/>
  <c r="L274" i="12"/>
  <c r="O274" i="12" s="1"/>
  <c r="U273" i="12"/>
  <c r="T273" i="12"/>
  <c r="P273" i="12"/>
  <c r="O273" i="12"/>
  <c r="T272" i="12"/>
  <c r="S272" i="12"/>
  <c r="R272" i="12"/>
  <c r="U272" i="12" s="1"/>
  <c r="Q272" i="12"/>
  <c r="S271" i="12"/>
  <c r="S269" i="12" s="1"/>
  <c r="R271" i="12"/>
  <c r="R268" i="12" s="1"/>
  <c r="Q271" i="12"/>
  <c r="Q268" i="12" s="1"/>
  <c r="N271" i="12"/>
  <c r="N269" i="12" s="1"/>
  <c r="M271" i="12"/>
  <c r="L271" i="12"/>
  <c r="U270" i="12"/>
  <c r="T270" i="12"/>
  <c r="P270" i="12"/>
  <c r="O270" i="12"/>
  <c r="S267" i="12"/>
  <c r="R267" i="12"/>
  <c r="U267" i="12" s="1"/>
  <c r="Q267" i="12"/>
  <c r="T267" i="12" s="1"/>
  <c r="P267" i="12"/>
  <c r="N267" i="12"/>
  <c r="M267" i="12"/>
  <c r="L267" i="12"/>
  <c r="O267" i="12" s="1"/>
  <c r="J265" i="12"/>
  <c r="K263" i="12"/>
  <c r="K262" i="12"/>
  <c r="I260" i="12"/>
  <c r="K260" i="12" s="1"/>
  <c r="L258" i="12"/>
  <c r="L257" i="12"/>
  <c r="L256" i="12"/>
  <c r="L255" i="12"/>
  <c r="P254" i="12"/>
  <c r="N254" i="12"/>
  <c r="J253" i="12"/>
  <c r="K252" i="12"/>
  <c r="K251" i="12"/>
  <c r="I249" i="12"/>
  <c r="L247" i="12"/>
  <c r="L246" i="12"/>
  <c r="L245" i="12"/>
  <c r="L244" i="12"/>
  <c r="P243" i="12"/>
  <c r="N243" i="12"/>
  <c r="N232" i="12" s="1"/>
  <c r="J242" i="12"/>
  <c r="J231" i="12" s="1"/>
  <c r="J185" i="12" s="1"/>
  <c r="J241" i="12"/>
  <c r="I241" i="12"/>
  <c r="K241" i="12" s="1"/>
  <c r="J240" i="12"/>
  <c r="I240" i="12"/>
  <c r="K240" i="12" s="1"/>
  <c r="J238" i="12"/>
  <c r="N236" i="12"/>
  <c r="N235" i="12"/>
  <c r="N234" i="12"/>
  <c r="N233" i="12"/>
  <c r="I230" i="12"/>
  <c r="K230" i="12" s="1"/>
  <c r="I229" i="12"/>
  <c r="I221" i="12" s="1"/>
  <c r="K221" i="12" s="1"/>
  <c r="I228" i="12"/>
  <c r="K228" i="12" s="1"/>
  <c r="L225" i="12"/>
  <c r="L224" i="12"/>
  <c r="L223" i="12"/>
  <c r="P222" i="12"/>
  <c r="N222" i="12"/>
  <c r="J221" i="12"/>
  <c r="I220" i="12"/>
  <c r="K220" i="12" s="1"/>
  <c r="I219" i="12"/>
  <c r="K219" i="12" s="1"/>
  <c r="Q217" i="12"/>
  <c r="Q214" i="12" s="1"/>
  <c r="T214" i="12" s="1"/>
  <c r="L217" i="12"/>
  <c r="L216" i="12"/>
  <c r="L215" i="12"/>
  <c r="U214" i="12"/>
  <c r="S214" i="12"/>
  <c r="P214" i="12"/>
  <c r="N214" i="12"/>
  <c r="J213" i="12"/>
  <c r="I212" i="12"/>
  <c r="K212" i="12" s="1"/>
  <c r="I211" i="12"/>
  <c r="K211" i="12" s="1"/>
  <c r="I209" i="12"/>
  <c r="K209" i="12" s="1"/>
  <c r="L207" i="12"/>
  <c r="Q206" i="12"/>
  <c r="Q203" i="12" s="1"/>
  <c r="L206" i="12"/>
  <c r="L205" i="12"/>
  <c r="L204" i="12"/>
  <c r="U203" i="12"/>
  <c r="S203" i="12"/>
  <c r="P203" i="12"/>
  <c r="N203" i="12"/>
  <c r="J202" i="12"/>
  <c r="J199" i="12"/>
  <c r="I198" i="12"/>
  <c r="K198" i="12" s="1"/>
  <c r="P196" i="12"/>
  <c r="L196" i="12"/>
  <c r="O196" i="12" s="1"/>
  <c r="J195" i="12"/>
  <c r="S194" i="12"/>
  <c r="S192" i="12" s="1"/>
  <c r="R194" i="12"/>
  <c r="Q194" i="12"/>
  <c r="T194" i="12" s="1"/>
  <c r="N194" i="12"/>
  <c r="N192" i="12" s="1"/>
  <c r="M194" i="12"/>
  <c r="L194" i="12"/>
  <c r="U193" i="12"/>
  <c r="T193" i="12"/>
  <c r="P193" i="12"/>
  <c r="O193" i="12"/>
  <c r="S191" i="12"/>
  <c r="S189" i="12" s="1"/>
  <c r="R191" i="12"/>
  <c r="Q191" i="12"/>
  <c r="Q189" i="12" s="1"/>
  <c r="N191" i="12"/>
  <c r="N189" i="12" s="1"/>
  <c r="M191" i="12"/>
  <c r="L191" i="12"/>
  <c r="U190" i="12"/>
  <c r="T190" i="12"/>
  <c r="P190" i="12"/>
  <c r="O190" i="12"/>
  <c r="S187" i="12"/>
  <c r="R187" i="12"/>
  <c r="U187" i="12" s="1"/>
  <c r="Q187" i="12"/>
  <c r="P187" i="12"/>
  <c r="N187" i="12"/>
  <c r="M187" i="12"/>
  <c r="L187" i="12"/>
  <c r="O187" i="12" s="1"/>
  <c r="K184" i="12"/>
  <c r="I183" i="12"/>
  <c r="I172" i="12" s="1"/>
  <c r="K172" i="12" s="1"/>
  <c r="U181" i="12"/>
  <c r="T181" i="12"/>
  <c r="N181" i="12"/>
  <c r="M181" i="12"/>
  <c r="M179" i="12" s="1"/>
  <c r="P179" i="12" s="1"/>
  <c r="L181" i="12"/>
  <c r="O181" i="12" s="1"/>
  <c r="U180" i="12"/>
  <c r="T180" i="12"/>
  <c r="P180" i="12"/>
  <c r="O180" i="12"/>
  <c r="S179" i="12"/>
  <c r="R179" i="12"/>
  <c r="U179" i="12" s="1"/>
  <c r="Q179" i="12"/>
  <c r="T179" i="12" s="1"/>
  <c r="S178" i="12"/>
  <c r="S175" i="12" s="1"/>
  <c r="R178" i="12"/>
  <c r="U178" i="12" s="1"/>
  <c r="Q178" i="12"/>
  <c r="Q176" i="12" s="1"/>
  <c r="T176" i="12" s="1"/>
  <c r="N178" i="12"/>
  <c r="N176" i="12" s="1"/>
  <c r="M178" i="12"/>
  <c r="L178" i="12"/>
  <c r="U177" i="12"/>
  <c r="T177" i="12"/>
  <c r="P177" i="12"/>
  <c r="O177" i="12"/>
  <c r="S174" i="12"/>
  <c r="R174" i="12"/>
  <c r="U174" i="12" s="1"/>
  <c r="Q174" i="12"/>
  <c r="T174" i="12" s="1"/>
  <c r="N174" i="12"/>
  <c r="M174" i="12"/>
  <c r="L174" i="12"/>
  <c r="O174" i="12" s="1"/>
  <c r="J172" i="12"/>
  <c r="I169" i="12"/>
  <c r="I168" i="12"/>
  <c r="K168" i="12" s="1"/>
  <c r="I167" i="12"/>
  <c r="K167" i="12" s="1"/>
  <c r="U165" i="12"/>
  <c r="T165" i="12"/>
  <c r="N165" i="12"/>
  <c r="N163" i="12" s="1"/>
  <c r="M165" i="12"/>
  <c r="L165" i="12"/>
  <c r="O165" i="12" s="1"/>
  <c r="U164" i="12"/>
  <c r="T164" i="12"/>
  <c r="P164" i="12"/>
  <c r="O164" i="12"/>
  <c r="S163" i="12"/>
  <c r="R163" i="12"/>
  <c r="U163" i="12" s="1"/>
  <c r="Q163" i="12"/>
  <c r="T163" i="12" s="1"/>
  <c r="S162" i="12"/>
  <c r="S159" i="12" s="1"/>
  <c r="R162" i="12"/>
  <c r="U162" i="12" s="1"/>
  <c r="Q162" i="12"/>
  <c r="T162" i="12" s="1"/>
  <c r="N162" i="12"/>
  <c r="N160" i="12" s="1"/>
  <c r="M162" i="12"/>
  <c r="M160" i="12" s="1"/>
  <c r="L162" i="12"/>
  <c r="O162" i="12" s="1"/>
  <c r="U161" i="12"/>
  <c r="T161" i="12"/>
  <c r="P161" i="12"/>
  <c r="O161" i="12"/>
  <c r="T158" i="12"/>
  <c r="S158" i="12"/>
  <c r="R158" i="12"/>
  <c r="U158" i="12" s="1"/>
  <c r="Q158" i="12"/>
  <c r="N158" i="12"/>
  <c r="M158" i="12"/>
  <c r="L158" i="12"/>
  <c r="O158" i="12" s="1"/>
  <c r="J156" i="12"/>
  <c r="I154" i="12"/>
  <c r="K154" i="12" s="1"/>
  <c r="I153" i="12"/>
  <c r="I152" i="12"/>
  <c r="I151" i="12"/>
  <c r="K151" i="12" s="1"/>
  <c r="I150" i="12"/>
  <c r="K150" i="12" s="1"/>
  <c r="S147" i="12"/>
  <c r="R147" i="12"/>
  <c r="U147" i="12" s="1"/>
  <c r="Q147" i="12"/>
  <c r="N147" i="12"/>
  <c r="N145" i="12" s="1"/>
  <c r="M147" i="12"/>
  <c r="L147" i="12"/>
  <c r="O147" i="12" s="1"/>
  <c r="U146" i="12"/>
  <c r="T146" i="12"/>
  <c r="P146" i="12"/>
  <c r="O146" i="12"/>
  <c r="S144" i="12"/>
  <c r="R144" i="12"/>
  <c r="U144" i="12" s="1"/>
  <c r="Q144" i="12"/>
  <c r="N144" i="12"/>
  <c r="M144" i="12"/>
  <c r="L144" i="12"/>
  <c r="U143" i="12"/>
  <c r="T143" i="12"/>
  <c r="P143" i="12"/>
  <c r="O143" i="12"/>
  <c r="U140" i="12"/>
  <c r="S140" i="12"/>
  <c r="R140" i="12"/>
  <c r="Q140" i="12"/>
  <c r="T140" i="12" s="1"/>
  <c r="O140" i="12"/>
  <c r="N140" i="12"/>
  <c r="M140" i="12"/>
  <c r="P140" i="12" s="1"/>
  <c r="L140" i="12"/>
  <c r="J138" i="12"/>
  <c r="J137" i="12"/>
  <c r="J136" i="12"/>
  <c r="I130" i="12"/>
  <c r="K130" i="12" s="1"/>
  <c r="I129" i="12"/>
  <c r="K129" i="12" s="1"/>
  <c r="I128" i="12"/>
  <c r="K128" i="12" s="1"/>
  <c r="I127" i="12"/>
  <c r="S125" i="12"/>
  <c r="S123" i="12" s="1"/>
  <c r="R125" i="12"/>
  <c r="U125" i="12" s="1"/>
  <c r="Q125" i="12"/>
  <c r="T125" i="12" s="1"/>
  <c r="N125" i="12"/>
  <c r="N123" i="12" s="1"/>
  <c r="M125" i="12"/>
  <c r="P125" i="12" s="1"/>
  <c r="L125" i="12"/>
  <c r="O125" i="12" s="1"/>
  <c r="U124" i="12"/>
  <c r="T124" i="12"/>
  <c r="P124" i="12"/>
  <c r="O124" i="12"/>
  <c r="S122" i="12"/>
  <c r="S120" i="12" s="1"/>
  <c r="R122" i="12"/>
  <c r="Q122" i="12"/>
  <c r="N122" i="12"/>
  <c r="N120" i="12" s="1"/>
  <c r="M122" i="12"/>
  <c r="P122" i="12" s="1"/>
  <c r="L122" i="12"/>
  <c r="L120" i="12" s="1"/>
  <c r="O120" i="12" s="1"/>
  <c r="U121" i="12"/>
  <c r="T121" i="12"/>
  <c r="P121" i="12"/>
  <c r="O121" i="12"/>
  <c r="T118" i="12"/>
  <c r="S118" i="12"/>
  <c r="R118" i="12"/>
  <c r="U118" i="12" s="1"/>
  <c r="Q118" i="12"/>
  <c r="N118" i="12"/>
  <c r="M118" i="12"/>
  <c r="L118" i="12"/>
  <c r="O118" i="12" s="1"/>
  <c r="J116" i="12"/>
  <c r="I114" i="12"/>
  <c r="K114" i="12" s="1"/>
  <c r="I109" i="12"/>
  <c r="I93" i="12" s="1"/>
  <c r="K93" i="12" s="1"/>
  <c r="I108" i="12"/>
  <c r="I92" i="12" s="1"/>
  <c r="K92" i="12" s="1"/>
  <c r="U102" i="12"/>
  <c r="T102" i="12"/>
  <c r="N102" i="12"/>
  <c r="M102" i="12"/>
  <c r="P102" i="12" s="1"/>
  <c r="L102" i="12"/>
  <c r="O102" i="12" s="1"/>
  <c r="U101" i="12"/>
  <c r="T101" i="12"/>
  <c r="P101" i="12"/>
  <c r="O101" i="12"/>
  <c r="S100" i="12"/>
  <c r="R100" i="12"/>
  <c r="U100" i="12" s="1"/>
  <c r="Q100" i="12"/>
  <c r="T100" i="12" s="1"/>
  <c r="S99" i="12"/>
  <c r="S97" i="12" s="1"/>
  <c r="R99" i="12"/>
  <c r="U99" i="12" s="1"/>
  <c r="Q99" i="12"/>
  <c r="T99" i="12" s="1"/>
  <c r="N99" i="12"/>
  <c r="N97" i="12" s="1"/>
  <c r="M99" i="12"/>
  <c r="P99" i="12" s="1"/>
  <c r="L99" i="12"/>
  <c r="L97" i="12" s="1"/>
  <c r="O97" i="12" s="1"/>
  <c r="U98" i="12"/>
  <c r="T98" i="12"/>
  <c r="P98" i="12"/>
  <c r="O98" i="12"/>
  <c r="T95" i="12"/>
  <c r="S95" i="12"/>
  <c r="R95" i="12"/>
  <c r="U95" i="12" s="1"/>
  <c r="Q95" i="12"/>
  <c r="N95" i="12"/>
  <c r="M95" i="12"/>
  <c r="P95" i="12" s="1"/>
  <c r="L95" i="12"/>
  <c r="O95" i="12" s="1"/>
  <c r="J93" i="12"/>
  <c r="J92" i="12"/>
  <c r="I90" i="12"/>
  <c r="K90" i="12" s="1"/>
  <c r="I89" i="12"/>
  <c r="K89" i="12" s="1"/>
  <c r="I88" i="12"/>
  <c r="K88" i="12" s="1"/>
  <c r="I87" i="12"/>
  <c r="K87" i="12" s="1"/>
  <c r="I86" i="12"/>
  <c r="I85" i="12"/>
  <c r="K85" i="12" s="1"/>
  <c r="I84" i="12"/>
  <c r="K84" i="12" s="1"/>
  <c r="J83" i="12"/>
  <c r="J71" i="12" s="1"/>
  <c r="J82" i="12"/>
  <c r="S80" i="12"/>
  <c r="S78" i="12" s="1"/>
  <c r="R80" i="12"/>
  <c r="Q80" i="12"/>
  <c r="N80" i="12"/>
  <c r="N78" i="12" s="1"/>
  <c r="M80" i="12"/>
  <c r="L80" i="12"/>
  <c r="U79" i="12"/>
  <c r="T79" i="12"/>
  <c r="P79" i="12"/>
  <c r="O79" i="12"/>
  <c r="S77" i="12"/>
  <c r="S75" i="12" s="1"/>
  <c r="R77" i="12"/>
  <c r="Q77" i="12"/>
  <c r="N77" i="12"/>
  <c r="N75" i="12" s="1"/>
  <c r="M77" i="12"/>
  <c r="M75" i="12" s="1"/>
  <c r="L77" i="12"/>
  <c r="L75" i="12" s="1"/>
  <c r="U76" i="12"/>
  <c r="T76" i="12"/>
  <c r="P76" i="12"/>
  <c r="O76" i="12"/>
  <c r="S73" i="12"/>
  <c r="R73" i="12"/>
  <c r="U73" i="12" s="1"/>
  <c r="Q73" i="12"/>
  <c r="N73" i="12"/>
  <c r="M73" i="12"/>
  <c r="P73" i="12" s="1"/>
  <c r="L73" i="12"/>
  <c r="O73" i="12" s="1"/>
  <c r="J70" i="12"/>
  <c r="U67" i="12"/>
  <c r="T67" i="12"/>
  <c r="N67" i="12"/>
  <c r="M67" i="12"/>
  <c r="M65" i="12" s="1"/>
  <c r="L67" i="12"/>
  <c r="L65" i="12" s="1"/>
  <c r="U66" i="12"/>
  <c r="T66" i="12"/>
  <c r="P66" i="12"/>
  <c r="O66" i="12"/>
  <c r="S65" i="12"/>
  <c r="R65" i="12"/>
  <c r="U65" i="12" s="1"/>
  <c r="Q65" i="12"/>
  <c r="T65" i="12" s="1"/>
  <c r="U64" i="12"/>
  <c r="T64" i="12"/>
  <c r="N64" i="12"/>
  <c r="N62" i="12" s="1"/>
  <c r="M64" i="12"/>
  <c r="M61" i="12" s="1"/>
  <c r="L64" i="12"/>
  <c r="U63" i="12"/>
  <c r="T63" i="12"/>
  <c r="P63" i="12"/>
  <c r="O63" i="12"/>
  <c r="U62" i="12"/>
  <c r="T62" i="12"/>
  <c r="S62" i="12"/>
  <c r="R62" i="12"/>
  <c r="Q62" i="12"/>
  <c r="T61" i="12"/>
  <c r="S61" i="12"/>
  <c r="R61" i="12"/>
  <c r="U61" i="12" s="1"/>
  <c r="Q61" i="12"/>
  <c r="S60" i="12"/>
  <c r="R60" i="12"/>
  <c r="U60" i="12" s="1"/>
  <c r="Q60" i="12"/>
  <c r="P60" i="12"/>
  <c r="N60" i="12"/>
  <c r="M60" i="12"/>
  <c r="L60" i="12"/>
  <c r="O60" i="12" s="1"/>
  <c r="U52" i="12"/>
  <c r="T52" i="12"/>
  <c r="N52" i="12"/>
  <c r="N50" i="12" s="1"/>
  <c r="M52" i="12"/>
  <c r="P52" i="12" s="1"/>
  <c r="L52" i="12"/>
  <c r="U51" i="12"/>
  <c r="T51" i="12"/>
  <c r="P51" i="12"/>
  <c r="O51" i="12"/>
  <c r="S50" i="12"/>
  <c r="R50" i="12"/>
  <c r="U50" i="12" s="1"/>
  <c r="Q50" i="12"/>
  <c r="T50" i="12" s="1"/>
  <c r="U49" i="12"/>
  <c r="T49" i="12"/>
  <c r="N49" i="12"/>
  <c r="N47" i="12" s="1"/>
  <c r="M49" i="12"/>
  <c r="L49" i="12"/>
  <c r="L47" i="12" s="1"/>
  <c r="U48" i="12"/>
  <c r="T48" i="12"/>
  <c r="P48" i="12"/>
  <c r="O48" i="12"/>
  <c r="U47" i="12"/>
  <c r="T47" i="12"/>
  <c r="S47" i="12"/>
  <c r="R47" i="12"/>
  <c r="Q47" i="12"/>
  <c r="T46" i="12"/>
  <c r="S46" i="12"/>
  <c r="R46" i="12"/>
  <c r="U46" i="12" s="1"/>
  <c r="Q46" i="12"/>
  <c r="S45" i="12"/>
  <c r="R45" i="12"/>
  <c r="U45" i="12" s="1"/>
  <c r="Q45" i="12"/>
  <c r="P45" i="12"/>
  <c r="N45" i="12"/>
  <c r="M45" i="12"/>
  <c r="L45" i="12"/>
  <c r="O45" i="12" s="1"/>
  <c r="S25" i="12"/>
  <c r="R25" i="12"/>
  <c r="Q25" i="12"/>
  <c r="T25" i="12" s="1"/>
  <c r="N25" i="12"/>
  <c r="M25" i="12"/>
  <c r="P25" i="12" s="1"/>
  <c r="L25" i="12"/>
  <c r="O25" i="12" s="1"/>
  <c r="U22" i="12"/>
  <c r="S22" i="12"/>
  <c r="R22" i="12"/>
  <c r="Q22" i="12"/>
  <c r="T22" i="12" s="1"/>
  <c r="P22" i="12"/>
  <c r="O22" i="12"/>
  <c r="N22" i="12"/>
  <c r="M22" i="12"/>
  <c r="L22" i="12"/>
  <c r="S19" i="12"/>
  <c r="Q19" i="12"/>
  <c r="T19" i="12" s="1"/>
  <c r="N19" i="12"/>
  <c r="M19" i="12"/>
  <c r="P19" i="12" s="1"/>
  <c r="L19" i="12"/>
  <c r="O19" i="12" s="1"/>
  <c r="A789" i="11"/>
  <c r="A788" i="11"/>
  <c r="J785" i="11"/>
  <c r="I785" i="11"/>
  <c r="J784" i="11"/>
  <c r="I784" i="11"/>
  <c r="J783" i="11"/>
  <c r="I783" i="11"/>
  <c r="J782" i="11"/>
  <c r="I782" i="11"/>
  <c r="J781" i="11"/>
  <c r="I781" i="11"/>
  <c r="J780" i="11"/>
  <c r="I780" i="11"/>
  <c r="J779" i="11"/>
  <c r="I779" i="11"/>
  <c r="J778" i="11"/>
  <c r="I778" i="11"/>
  <c r="H777" i="11"/>
  <c r="I776" i="11"/>
  <c r="I775" i="11"/>
  <c r="I774" i="11"/>
  <c r="K774" i="11" s="1"/>
  <c r="I772" i="11"/>
  <c r="I758" i="11" s="1"/>
  <c r="I770" i="11"/>
  <c r="K770" i="11" s="1"/>
  <c r="U768" i="11"/>
  <c r="T768" i="11"/>
  <c r="P768" i="11"/>
  <c r="O768" i="11"/>
  <c r="U767" i="11"/>
  <c r="T767" i="11"/>
  <c r="P767" i="11"/>
  <c r="O767" i="11"/>
  <c r="S766" i="11"/>
  <c r="R766" i="11"/>
  <c r="U766" i="11" s="1"/>
  <c r="Q766" i="11"/>
  <c r="T766" i="11" s="1"/>
  <c r="P766" i="11"/>
  <c r="N766" i="11"/>
  <c r="M766" i="11"/>
  <c r="L766" i="11"/>
  <c r="O766" i="11" s="1"/>
  <c r="S765" i="11"/>
  <c r="R765" i="11"/>
  <c r="R763" i="11" s="1"/>
  <c r="Q765" i="11"/>
  <c r="Q763" i="11" s="1"/>
  <c r="P765" i="11"/>
  <c r="O765" i="11"/>
  <c r="U764" i="11"/>
  <c r="T764" i="11"/>
  <c r="P764" i="11"/>
  <c r="O764" i="11"/>
  <c r="N763" i="11"/>
  <c r="M763" i="11"/>
  <c r="P763" i="11" s="1"/>
  <c r="L763" i="11"/>
  <c r="O763" i="11" s="1"/>
  <c r="N762" i="11"/>
  <c r="M762" i="11"/>
  <c r="P762" i="11" s="1"/>
  <c r="L762" i="11"/>
  <c r="T761" i="11"/>
  <c r="S761" i="11"/>
  <c r="R761" i="11"/>
  <c r="U761" i="11" s="1"/>
  <c r="Q761" i="11"/>
  <c r="N761" i="11"/>
  <c r="N760" i="11" s="1"/>
  <c r="M761" i="11"/>
  <c r="P761" i="11" s="1"/>
  <c r="L761" i="11"/>
  <c r="O761" i="11" s="1"/>
  <c r="M760" i="11"/>
  <c r="P760" i="11" s="1"/>
  <c r="J759" i="11"/>
  <c r="J758" i="11"/>
  <c r="I755" i="11"/>
  <c r="K755" i="11" s="1"/>
  <c r="I752" i="11"/>
  <c r="K752" i="11" s="1"/>
  <c r="I749" i="11"/>
  <c r="K749" i="11" s="1"/>
  <c r="I746" i="11"/>
  <c r="K746" i="11" s="1"/>
  <c r="I744" i="11"/>
  <c r="K744" i="11" s="1"/>
  <c r="I742" i="11"/>
  <c r="K742" i="11" s="1"/>
  <c r="I740" i="11"/>
  <c r="K740" i="11" s="1"/>
  <c r="U736" i="11"/>
  <c r="T736" i="11"/>
  <c r="P736" i="11"/>
  <c r="O736" i="11"/>
  <c r="U735" i="11"/>
  <c r="T735" i="11"/>
  <c r="P735" i="11"/>
  <c r="O735" i="11"/>
  <c r="S734" i="11"/>
  <c r="R734" i="11"/>
  <c r="U734" i="11" s="1"/>
  <c r="Q734" i="11"/>
  <c r="T734" i="11" s="1"/>
  <c r="N734" i="11"/>
  <c r="M734" i="11"/>
  <c r="P734" i="11" s="1"/>
  <c r="L734" i="11"/>
  <c r="O734" i="11" s="1"/>
  <c r="S733" i="11"/>
  <c r="S730" i="11" s="1"/>
  <c r="R733" i="11"/>
  <c r="R731" i="11" s="1"/>
  <c r="Q733" i="11"/>
  <c r="P733" i="11"/>
  <c r="O733" i="11"/>
  <c r="U732" i="11"/>
  <c r="T732" i="11"/>
  <c r="P732" i="11"/>
  <c r="O732" i="11"/>
  <c r="N731" i="11"/>
  <c r="M731" i="11"/>
  <c r="P731" i="11" s="1"/>
  <c r="L731" i="11"/>
  <c r="O731" i="11" s="1"/>
  <c r="P730" i="11"/>
  <c r="N730" i="11"/>
  <c r="M730" i="11"/>
  <c r="L730" i="11"/>
  <c r="O730" i="11" s="1"/>
  <c r="U729" i="11"/>
  <c r="T729" i="11"/>
  <c r="S729" i="11"/>
  <c r="R729" i="11"/>
  <c r="Q729" i="11"/>
  <c r="O729" i="11"/>
  <c r="N729" i="11"/>
  <c r="N728" i="11" s="1"/>
  <c r="M729" i="11"/>
  <c r="P729" i="11" s="1"/>
  <c r="L729" i="11"/>
  <c r="J727" i="11"/>
  <c r="I727" i="11"/>
  <c r="J726" i="11"/>
  <c r="I726" i="11"/>
  <c r="U722" i="11"/>
  <c r="T722" i="11"/>
  <c r="P722" i="11"/>
  <c r="O722" i="11"/>
  <c r="U721" i="11"/>
  <c r="T721" i="11"/>
  <c r="P721" i="11"/>
  <c r="O721" i="11"/>
  <c r="S720" i="11"/>
  <c r="R720" i="11"/>
  <c r="U720" i="11" s="1"/>
  <c r="Q720" i="11"/>
  <c r="T720" i="11" s="1"/>
  <c r="N720" i="11"/>
  <c r="M720" i="11"/>
  <c r="P720" i="11" s="1"/>
  <c r="L720" i="11"/>
  <c r="O720" i="11" s="1"/>
  <c r="U719" i="11"/>
  <c r="T719" i="11"/>
  <c r="P719" i="11"/>
  <c r="O719" i="11"/>
  <c r="U718" i="11"/>
  <c r="T718" i="11"/>
  <c r="P718" i="11"/>
  <c r="O718" i="11"/>
  <c r="S717" i="11"/>
  <c r="R717" i="11"/>
  <c r="U717" i="11" s="1"/>
  <c r="Q717" i="11"/>
  <c r="T717" i="11" s="1"/>
  <c r="N717" i="11"/>
  <c r="M717" i="11"/>
  <c r="P717" i="11" s="1"/>
  <c r="L717" i="11"/>
  <c r="O717" i="11" s="1"/>
  <c r="U716" i="11"/>
  <c r="S716" i="11"/>
  <c r="R716" i="11"/>
  <c r="Q716" i="11"/>
  <c r="P716" i="11"/>
  <c r="O716" i="11"/>
  <c r="N716" i="11"/>
  <c r="M716" i="11"/>
  <c r="L716" i="11"/>
  <c r="T715" i="11"/>
  <c r="S715" i="11"/>
  <c r="R715" i="11"/>
  <c r="U715" i="11" s="1"/>
  <c r="Q715" i="11"/>
  <c r="N715" i="11"/>
  <c r="M715" i="11"/>
  <c r="L715" i="11"/>
  <c r="O715" i="11" s="1"/>
  <c r="S714" i="11"/>
  <c r="R714" i="11"/>
  <c r="U714" i="11" s="1"/>
  <c r="K712" i="11"/>
  <c r="J712" i="11"/>
  <c r="K710" i="11"/>
  <c r="J710" i="11"/>
  <c r="J709" i="11"/>
  <c r="I709" i="11"/>
  <c r="K708" i="11"/>
  <c r="J708" i="11"/>
  <c r="J707" i="11"/>
  <c r="J689" i="11" s="1"/>
  <c r="I707" i="11"/>
  <c r="I689" i="11" s="1"/>
  <c r="K706" i="11"/>
  <c r="J706" i="11"/>
  <c r="J705" i="11"/>
  <c r="I705" i="11"/>
  <c r="K704" i="11"/>
  <c r="J704" i="11"/>
  <c r="J703" i="11"/>
  <c r="I703" i="11"/>
  <c r="K702" i="11"/>
  <c r="I700" i="11"/>
  <c r="K700" i="11" s="1"/>
  <c r="U698" i="11"/>
  <c r="T698" i="11"/>
  <c r="P698" i="11"/>
  <c r="O698" i="11"/>
  <c r="U697" i="11"/>
  <c r="T697" i="11"/>
  <c r="P697" i="11"/>
  <c r="O697" i="11"/>
  <c r="S696" i="11"/>
  <c r="R696" i="11"/>
  <c r="U696" i="11" s="1"/>
  <c r="Q696" i="11"/>
  <c r="T696" i="11" s="1"/>
  <c r="P696" i="11"/>
  <c r="N696" i="11"/>
  <c r="M696" i="11"/>
  <c r="L696" i="11"/>
  <c r="O696" i="11" s="1"/>
  <c r="S695" i="11"/>
  <c r="R695" i="11"/>
  <c r="Q695" i="11"/>
  <c r="Q693" i="11" s="1"/>
  <c r="P695" i="11"/>
  <c r="O695" i="11"/>
  <c r="U694" i="11"/>
  <c r="T694" i="11"/>
  <c r="P694" i="11"/>
  <c r="O694" i="11"/>
  <c r="O693" i="11"/>
  <c r="N693" i="11"/>
  <c r="M693" i="11"/>
  <c r="P693" i="11" s="1"/>
  <c r="L693" i="11"/>
  <c r="N692" i="11"/>
  <c r="M692" i="11"/>
  <c r="M690" i="11" s="1"/>
  <c r="P690" i="11" s="1"/>
  <c r="L692" i="11"/>
  <c r="O692" i="11" s="1"/>
  <c r="U691" i="11"/>
  <c r="S691" i="11"/>
  <c r="R691" i="11"/>
  <c r="Q691" i="11"/>
  <c r="T691" i="11" s="1"/>
  <c r="P691" i="11"/>
  <c r="O691" i="11"/>
  <c r="N691" i="11"/>
  <c r="M691" i="11"/>
  <c r="L691" i="11"/>
  <c r="O690" i="11"/>
  <c r="L690" i="11"/>
  <c r="J682" i="11"/>
  <c r="I682" i="11"/>
  <c r="K682" i="11" s="1"/>
  <c r="J681" i="11"/>
  <c r="I681" i="11"/>
  <c r="K681" i="11" s="1"/>
  <c r="J680" i="11"/>
  <c r="J679" i="11"/>
  <c r="I679" i="11"/>
  <c r="K679" i="11" s="1"/>
  <c r="J678" i="11"/>
  <c r="I678" i="11"/>
  <c r="J677" i="11"/>
  <c r="J676" i="11"/>
  <c r="I676" i="11"/>
  <c r="I675" i="11"/>
  <c r="I674" i="11"/>
  <c r="J673" i="11"/>
  <c r="I673" i="11"/>
  <c r="K673" i="11" s="1"/>
  <c r="J672" i="11"/>
  <c r="J671" i="11"/>
  <c r="J661" i="11"/>
  <c r="I661" i="11"/>
  <c r="I660" i="11"/>
  <c r="I657" i="11"/>
  <c r="J654" i="11"/>
  <c r="I654" i="11"/>
  <c r="K654" i="11" s="1"/>
  <c r="J653" i="11"/>
  <c r="I653" i="11"/>
  <c r="K653" i="11" s="1"/>
  <c r="J652" i="11"/>
  <c r="I652" i="11"/>
  <c r="K652" i="11" s="1"/>
  <c r="U650" i="11"/>
  <c r="T650" i="11"/>
  <c r="P650" i="11"/>
  <c r="O650" i="11"/>
  <c r="U649" i="11"/>
  <c r="T649" i="11"/>
  <c r="P649" i="11"/>
  <c r="O649" i="11"/>
  <c r="S648" i="11"/>
  <c r="R648" i="11"/>
  <c r="U648" i="11" s="1"/>
  <c r="Q648" i="11"/>
  <c r="T648" i="11" s="1"/>
  <c r="P648" i="11"/>
  <c r="N648" i="11"/>
  <c r="M648" i="11"/>
  <c r="L648" i="11"/>
  <c r="O648" i="11" s="1"/>
  <c r="S647" i="11"/>
  <c r="S645" i="11" s="1"/>
  <c r="R647" i="11"/>
  <c r="Q647" i="11"/>
  <c r="Q645" i="11" s="1"/>
  <c r="P647" i="11"/>
  <c r="O647" i="11"/>
  <c r="U646" i="11"/>
  <c r="T646" i="11"/>
  <c r="P646" i="11"/>
  <c r="O646" i="11"/>
  <c r="N645" i="11"/>
  <c r="M645" i="11"/>
  <c r="P645" i="11" s="1"/>
  <c r="L645" i="11"/>
  <c r="O645" i="11" s="1"/>
  <c r="N644" i="11"/>
  <c r="M644" i="11"/>
  <c r="M642" i="11" s="1"/>
  <c r="P642" i="11" s="1"/>
  <c r="L644" i="11"/>
  <c r="O644" i="11" s="1"/>
  <c r="S643" i="11"/>
  <c r="R643" i="11"/>
  <c r="U643" i="11" s="1"/>
  <c r="Q643" i="11"/>
  <c r="T643" i="11" s="1"/>
  <c r="O643" i="11"/>
  <c r="N643" i="11"/>
  <c r="N642" i="11" s="1"/>
  <c r="M643" i="11"/>
  <c r="P643" i="11" s="1"/>
  <c r="L643" i="11"/>
  <c r="L642" i="11"/>
  <c r="O642" i="11" s="1"/>
  <c r="J636" i="11"/>
  <c r="J635" i="11"/>
  <c r="I635" i="11"/>
  <c r="K635" i="11" s="1"/>
  <c r="J632" i="11"/>
  <c r="J626" i="11" s="1"/>
  <c r="I628" i="11"/>
  <c r="K628" i="11" s="1"/>
  <c r="I627" i="11"/>
  <c r="K627" i="11" s="1"/>
  <c r="I626" i="11"/>
  <c r="K629" i="11" s="1"/>
  <c r="U624" i="11"/>
  <c r="T624" i="11"/>
  <c r="P624" i="11"/>
  <c r="O624" i="11"/>
  <c r="U623" i="11"/>
  <c r="T623" i="11"/>
  <c r="P623" i="11"/>
  <c r="O623" i="11"/>
  <c r="S622" i="11"/>
  <c r="R622" i="11"/>
  <c r="U622" i="11" s="1"/>
  <c r="Q622" i="11"/>
  <c r="T622" i="11" s="1"/>
  <c r="N622" i="11"/>
  <c r="M622" i="11"/>
  <c r="P622" i="11" s="1"/>
  <c r="L622" i="11"/>
  <c r="O622" i="11" s="1"/>
  <c r="S621" i="11"/>
  <c r="S618" i="11" s="1"/>
  <c r="R621" i="11"/>
  <c r="Q621" i="11"/>
  <c r="P621" i="11"/>
  <c r="O621" i="11"/>
  <c r="U620" i="11"/>
  <c r="T620" i="11"/>
  <c r="P620" i="11"/>
  <c r="O620" i="11"/>
  <c r="N619" i="11"/>
  <c r="M619" i="11"/>
  <c r="P619" i="11" s="1"/>
  <c r="L619" i="11"/>
  <c r="O619" i="11" s="1"/>
  <c r="N618" i="11"/>
  <c r="N616" i="11" s="1"/>
  <c r="M618" i="11"/>
  <c r="P618" i="11" s="1"/>
  <c r="L618" i="11"/>
  <c r="O618" i="11" s="1"/>
  <c r="S617" i="11"/>
  <c r="R617" i="11"/>
  <c r="U617" i="11" s="1"/>
  <c r="Q617" i="11"/>
  <c r="T617" i="11" s="1"/>
  <c r="P617" i="11"/>
  <c r="N617" i="11"/>
  <c r="M617" i="11"/>
  <c r="L617" i="11"/>
  <c r="O617" i="11" s="1"/>
  <c r="M616" i="11"/>
  <c r="P616" i="11" s="1"/>
  <c r="J615" i="11"/>
  <c r="S607" i="11"/>
  <c r="S605" i="11" s="1"/>
  <c r="R607" i="11"/>
  <c r="U607" i="11" s="1"/>
  <c r="Q607" i="11"/>
  <c r="Q605" i="11" s="1"/>
  <c r="T605" i="11" s="1"/>
  <c r="N607" i="11"/>
  <c r="N605" i="11" s="1"/>
  <c r="M607" i="11"/>
  <c r="L607" i="11"/>
  <c r="U606" i="11"/>
  <c r="T606" i="11"/>
  <c r="P606" i="11"/>
  <c r="O606" i="11"/>
  <c r="S604" i="11"/>
  <c r="S602" i="11" s="1"/>
  <c r="R604" i="11"/>
  <c r="U604" i="11" s="1"/>
  <c r="Q604" i="11"/>
  <c r="Q602" i="11" s="1"/>
  <c r="T602" i="11" s="1"/>
  <c r="N604" i="11"/>
  <c r="N602" i="11" s="1"/>
  <c r="M604" i="11"/>
  <c r="M602" i="11" s="1"/>
  <c r="P602" i="11" s="1"/>
  <c r="L604" i="11"/>
  <c r="L602" i="11" s="1"/>
  <c r="U603" i="11"/>
  <c r="T603" i="11"/>
  <c r="P603" i="11"/>
  <c r="O603" i="11"/>
  <c r="U600" i="11"/>
  <c r="S600" i="11"/>
  <c r="R600" i="11"/>
  <c r="Q600" i="11"/>
  <c r="T600" i="11" s="1"/>
  <c r="N600" i="11"/>
  <c r="M600" i="11"/>
  <c r="P600" i="11" s="1"/>
  <c r="L600" i="11"/>
  <c r="O600" i="11" s="1"/>
  <c r="U584" i="11"/>
  <c r="T584" i="11"/>
  <c r="N584" i="11"/>
  <c r="N582" i="11" s="1"/>
  <c r="M584" i="11"/>
  <c r="L584" i="11"/>
  <c r="O584" i="11" s="1"/>
  <c r="U583" i="11"/>
  <c r="T583" i="11"/>
  <c r="P583" i="11"/>
  <c r="O583" i="11"/>
  <c r="T582" i="11"/>
  <c r="S582" i="11"/>
  <c r="R582" i="11"/>
  <c r="U582" i="11" s="1"/>
  <c r="Q582" i="11"/>
  <c r="U581" i="11"/>
  <c r="T581" i="11"/>
  <c r="N581" i="11"/>
  <c r="N579" i="11" s="1"/>
  <c r="M581" i="11"/>
  <c r="P581" i="11" s="1"/>
  <c r="L581" i="11"/>
  <c r="O581" i="11" s="1"/>
  <c r="U580" i="11"/>
  <c r="T580" i="11"/>
  <c r="P580" i="11"/>
  <c r="O580" i="11"/>
  <c r="U579" i="11"/>
  <c r="S579" i="11"/>
  <c r="R579" i="11"/>
  <c r="Q579" i="11"/>
  <c r="T579" i="11" s="1"/>
  <c r="S578" i="11"/>
  <c r="R578" i="11"/>
  <c r="U578" i="11" s="1"/>
  <c r="Q578" i="11"/>
  <c r="S577" i="11"/>
  <c r="S576" i="11" s="1"/>
  <c r="R577" i="11"/>
  <c r="U577" i="11" s="1"/>
  <c r="Q577" i="11"/>
  <c r="T577" i="11" s="1"/>
  <c r="N577" i="11"/>
  <c r="M577" i="11"/>
  <c r="P577" i="11" s="1"/>
  <c r="L577" i="11"/>
  <c r="O577" i="11" s="1"/>
  <c r="J575" i="11"/>
  <c r="I575" i="11"/>
  <c r="K575" i="11" s="1"/>
  <c r="U563" i="11"/>
  <c r="T563" i="11"/>
  <c r="N563" i="11"/>
  <c r="N561" i="11" s="1"/>
  <c r="M563" i="11"/>
  <c r="L563" i="11"/>
  <c r="L561" i="11" s="1"/>
  <c r="O561" i="11" s="1"/>
  <c r="U562" i="11"/>
  <c r="T562" i="11"/>
  <c r="P562" i="11"/>
  <c r="O562" i="11"/>
  <c r="S561" i="11"/>
  <c r="R561" i="11"/>
  <c r="U561" i="11" s="1"/>
  <c r="Q561" i="11"/>
  <c r="T561" i="11" s="1"/>
  <c r="U560" i="11"/>
  <c r="T560" i="11"/>
  <c r="N560" i="11"/>
  <c r="N558" i="11" s="1"/>
  <c r="M560" i="11"/>
  <c r="L560" i="11"/>
  <c r="U559" i="11"/>
  <c r="T559" i="11"/>
  <c r="P559" i="11"/>
  <c r="O559" i="11"/>
  <c r="T558" i="11"/>
  <c r="S558" i="11"/>
  <c r="R558" i="11"/>
  <c r="U558" i="11" s="1"/>
  <c r="Q558" i="11"/>
  <c r="T557" i="11"/>
  <c r="S557" i="11"/>
  <c r="S555" i="11" s="1"/>
  <c r="R557" i="11"/>
  <c r="U557" i="11" s="1"/>
  <c r="Q557" i="11"/>
  <c r="S556" i="11"/>
  <c r="R556" i="11"/>
  <c r="U556" i="11" s="1"/>
  <c r="Q556" i="11"/>
  <c r="T556" i="11" s="1"/>
  <c r="N556" i="11"/>
  <c r="M556" i="11"/>
  <c r="P556" i="11" s="1"/>
  <c r="L556" i="11"/>
  <c r="O556" i="11" s="1"/>
  <c r="Q555" i="11"/>
  <c r="T555" i="11" s="1"/>
  <c r="J554" i="11"/>
  <c r="I554" i="11"/>
  <c r="K554" i="11" s="1"/>
  <c r="K544" i="11"/>
  <c r="U542" i="11"/>
  <c r="T542" i="11"/>
  <c r="N542" i="11"/>
  <c r="N540" i="11" s="1"/>
  <c r="M542" i="11"/>
  <c r="M540" i="11" s="1"/>
  <c r="L542" i="11"/>
  <c r="L540" i="11" s="1"/>
  <c r="U541" i="11"/>
  <c r="T541" i="11"/>
  <c r="P541" i="11"/>
  <c r="O541" i="11"/>
  <c r="S540" i="11"/>
  <c r="R540" i="11"/>
  <c r="U540" i="11" s="1"/>
  <c r="Q540" i="11"/>
  <c r="T540" i="11" s="1"/>
  <c r="U539" i="11"/>
  <c r="T539" i="11"/>
  <c r="N539" i="11"/>
  <c r="N537" i="11" s="1"/>
  <c r="M539" i="11"/>
  <c r="M537" i="11" s="1"/>
  <c r="P537" i="11" s="1"/>
  <c r="L539" i="11"/>
  <c r="U538" i="11"/>
  <c r="T538" i="11"/>
  <c r="P538" i="11"/>
  <c r="O538" i="11"/>
  <c r="U537" i="11"/>
  <c r="S537" i="11"/>
  <c r="R537" i="11"/>
  <c r="Q537" i="11"/>
  <c r="T537" i="11" s="1"/>
  <c r="T536" i="11"/>
  <c r="S536" i="11"/>
  <c r="R536" i="11"/>
  <c r="U536" i="11" s="1"/>
  <c r="Q536" i="11"/>
  <c r="S535" i="11"/>
  <c r="S534" i="11" s="1"/>
  <c r="R535" i="11"/>
  <c r="U535" i="11" s="1"/>
  <c r="Q535" i="11"/>
  <c r="T535" i="11" s="1"/>
  <c r="P535" i="11"/>
  <c r="N535" i="11"/>
  <c r="M535" i="11"/>
  <c r="L535" i="11"/>
  <c r="O535" i="11" s="1"/>
  <c r="J533" i="11"/>
  <c r="I533" i="11"/>
  <c r="K533" i="11" s="1"/>
  <c r="K524" i="11"/>
  <c r="K523" i="11"/>
  <c r="U521" i="11"/>
  <c r="T521" i="11"/>
  <c r="N521" i="11"/>
  <c r="N519" i="11" s="1"/>
  <c r="M521" i="11"/>
  <c r="P521" i="11" s="1"/>
  <c r="L521" i="11"/>
  <c r="O521" i="11" s="1"/>
  <c r="U520" i="11"/>
  <c r="T520" i="11"/>
  <c r="P520" i="11"/>
  <c r="O520" i="11"/>
  <c r="S519" i="11"/>
  <c r="R519" i="11"/>
  <c r="U519" i="11" s="1"/>
  <c r="Q519" i="11"/>
  <c r="T519" i="11" s="1"/>
  <c r="U518" i="11"/>
  <c r="T518" i="11"/>
  <c r="N518" i="11"/>
  <c r="N516" i="11" s="1"/>
  <c r="M518" i="11"/>
  <c r="L518" i="11"/>
  <c r="L516" i="11" s="1"/>
  <c r="O516" i="11" s="1"/>
  <c r="U517" i="11"/>
  <c r="T517" i="11"/>
  <c r="P517" i="11"/>
  <c r="O517" i="11"/>
  <c r="U516" i="11"/>
  <c r="S516" i="11"/>
  <c r="R516" i="11"/>
  <c r="Q516" i="11"/>
  <c r="T516" i="11" s="1"/>
  <c r="S515" i="11"/>
  <c r="R515" i="11"/>
  <c r="U515" i="11" s="1"/>
  <c r="Q515" i="11"/>
  <c r="T515" i="11" s="1"/>
  <c r="U514" i="11"/>
  <c r="S514" i="11"/>
  <c r="R514" i="11"/>
  <c r="R513" i="11" s="1"/>
  <c r="U513" i="11" s="1"/>
  <c r="Q514" i="11"/>
  <c r="T514" i="11" s="1"/>
  <c r="N514" i="11"/>
  <c r="M514" i="11"/>
  <c r="P514" i="11" s="1"/>
  <c r="L514" i="11"/>
  <c r="O514" i="11" s="1"/>
  <c r="S513" i="11"/>
  <c r="J512" i="11"/>
  <c r="I512" i="11"/>
  <c r="K512" i="11" s="1"/>
  <c r="I509" i="11"/>
  <c r="K509" i="11" s="1"/>
  <c r="K508" i="11"/>
  <c r="I507" i="11"/>
  <c r="K507" i="11" s="1"/>
  <c r="I506" i="11"/>
  <c r="K506" i="11" s="1"/>
  <c r="I505" i="11"/>
  <c r="K505" i="11" s="1"/>
  <c r="I504" i="11"/>
  <c r="K504" i="11" s="1"/>
  <c r="I503" i="11"/>
  <c r="U501" i="11"/>
  <c r="T501" i="11"/>
  <c r="N501" i="11"/>
  <c r="M501" i="11"/>
  <c r="M499" i="11" s="1"/>
  <c r="P499" i="11" s="1"/>
  <c r="L501" i="11"/>
  <c r="O501" i="11" s="1"/>
  <c r="U500" i="11"/>
  <c r="T500" i="11"/>
  <c r="P500" i="11"/>
  <c r="O500" i="11"/>
  <c r="S499" i="11"/>
  <c r="R499" i="11"/>
  <c r="U499" i="11" s="1"/>
  <c r="Q499" i="11"/>
  <c r="T499" i="11" s="1"/>
  <c r="S498" i="11"/>
  <c r="S496" i="11" s="1"/>
  <c r="R498" i="11"/>
  <c r="U498" i="11" s="1"/>
  <c r="Q498" i="11"/>
  <c r="N498" i="11"/>
  <c r="N496" i="11" s="1"/>
  <c r="M498" i="11"/>
  <c r="M496" i="11" s="1"/>
  <c r="P496" i="11" s="1"/>
  <c r="L498" i="11"/>
  <c r="O498" i="11" s="1"/>
  <c r="U497" i="11"/>
  <c r="T497" i="11"/>
  <c r="P497" i="11"/>
  <c r="O497" i="11"/>
  <c r="S494" i="11"/>
  <c r="R494" i="11"/>
  <c r="U494" i="11" s="1"/>
  <c r="Q494" i="11"/>
  <c r="T494" i="11" s="1"/>
  <c r="N494" i="11"/>
  <c r="M494" i="11"/>
  <c r="P494" i="11" s="1"/>
  <c r="L494" i="11"/>
  <c r="O494" i="11" s="1"/>
  <c r="K485" i="11"/>
  <c r="J485" i="11"/>
  <c r="I485" i="11"/>
  <c r="J484" i="11"/>
  <c r="I484" i="11"/>
  <c r="K484" i="11" s="1"/>
  <c r="J483" i="11"/>
  <c r="J482" i="11"/>
  <c r="K477" i="11"/>
  <c r="J477" i="11"/>
  <c r="K476" i="11"/>
  <c r="J476" i="11"/>
  <c r="K475" i="11"/>
  <c r="J475" i="11"/>
  <c r="J468" i="11"/>
  <c r="J467" i="11"/>
  <c r="J460" i="11"/>
  <c r="J458" i="11" s="1"/>
  <c r="J459" i="11"/>
  <c r="J457" i="11" s="1"/>
  <c r="J456" i="11" s="1"/>
  <c r="I458" i="11"/>
  <c r="K458" i="11" s="1"/>
  <c r="I457" i="11"/>
  <c r="J447" i="11"/>
  <c r="J441" i="11" s="1"/>
  <c r="J446" i="11"/>
  <c r="J440" i="11" s="1"/>
  <c r="J423" i="11" s="1"/>
  <c r="J412" i="11" s="1"/>
  <c r="I441" i="11"/>
  <c r="K441" i="11" s="1"/>
  <c r="I440" i="11"/>
  <c r="I423" i="11" s="1"/>
  <c r="J433" i="11"/>
  <c r="I433" i="11"/>
  <c r="K433" i="11" s="1"/>
  <c r="J432" i="11"/>
  <c r="I432" i="11"/>
  <c r="K432" i="11" s="1"/>
  <c r="J425" i="11"/>
  <c r="I425" i="11"/>
  <c r="K425" i="11" s="1"/>
  <c r="J424" i="11"/>
  <c r="I424" i="11"/>
  <c r="K424" i="11" s="1"/>
  <c r="U421" i="11"/>
  <c r="T421" i="11"/>
  <c r="N421" i="11"/>
  <c r="N419" i="11" s="1"/>
  <c r="M421" i="11"/>
  <c r="L421" i="11"/>
  <c r="O421" i="11" s="1"/>
  <c r="U420" i="11"/>
  <c r="T420" i="11"/>
  <c r="P420" i="11"/>
  <c r="O420" i="11"/>
  <c r="S419" i="11"/>
  <c r="R419" i="11"/>
  <c r="U419" i="11" s="1"/>
  <c r="Q419" i="11"/>
  <c r="T419" i="11" s="1"/>
  <c r="S418" i="11"/>
  <c r="R418" i="11"/>
  <c r="Q418" i="11"/>
  <c r="N418" i="11"/>
  <c r="M418" i="11"/>
  <c r="L418" i="11"/>
  <c r="L416" i="11" s="1"/>
  <c r="U417" i="11"/>
  <c r="T417" i="11"/>
  <c r="P417" i="11"/>
  <c r="O417" i="11"/>
  <c r="T414" i="11"/>
  <c r="S414" i="11"/>
  <c r="R414" i="11"/>
  <c r="U414" i="11" s="1"/>
  <c r="Q414" i="11"/>
  <c r="O414" i="11"/>
  <c r="N414" i="11"/>
  <c r="M414" i="11"/>
  <c r="L414" i="11"/>
  <c r="U400" i="11"/>
  <c r="T400" i="11"/>
  <c r="P400" i="11"/>
  <c r="O400" i="11"/>
  <c r="U399" i="11"/>
  <c r="T399" i="11"/>
  <c r="P399" i="11"/>
  <c r="O399" i="11"/>
  <c r="U398" i="11"/>
  <c r="T398" i="11"/>
  <c r="S398" i="11"/>
  <c r="R398" i="11"/>
  <c r="Q398" i="11"/>
  <c r="O398" i="11"/>
  <c r="N398" i="11"/>
  <c r="M398" i="11"/>
  <c r="P398" i="11" s="1"/>
  <c r="L398" i="11"/>
  <c r="S397" i="11"/>
  <c r="S394" i="11" s="1"/>
  <c r="R397" i="11"/>
  <c r="Q397" i="11"/>
  <c r="P397" i="11"/>
  <c r="O397" i="11"/>
  <c r="U396" i="11"/>
  <c r="T396" i="11"/>
  <c r="P396" i="11"/>
  <c r="O396" i="11"/>
  <c r="N395" i="11"/>
  <c r="M395" i="11"/>
  <c r="P395" i="11" s="1"/>
  <c r="L395" i="11"/>
  <c r="O395" i="11" s="1"/>
  <c r="N394" i="11"/>
  <c r="M394" i="11"/>
  <c r="P394" i="11" s="1"/>
  <c r="L394" i="11"/>
  <c r="S393" i="11"/>
  <c r="R393" i="11"/>
  <c r="U393" i="11" s="1"/>
  <c r="Q393" i="11"/>
  <c r="T393" i="11" s="1"/>
  <c r="O393" i="11"/>
  <c r="N393" i="11"/>
  <c r="M393" i="11"/>
  <c r="L393" i="11"/>
  <c r="K391" i="11"/>
  <c r="J391" i="11"/>
  <c r="I391" i="11"/>
  <c r="K388" i="11"/>
  <c r="K387" i="11"/>
  <c r="I386" i="11"/>
  <c r="K386" i="11" s="1"/>
  <c r="I385" i="11"/>
  <c r="K385" i="11" s="1"/>
  <c r="U383" i="11"/>
  <c r="T383" i="11"/>
  <c r="N383" i="11"/>
  <c r="N381" i="11" s="1"/>
  <c r="M383" i="11"/>
  <c r="L383" i="11"/>
  <c r="L381" i="11" s="1"/>
  <c r="O381" i="11" s="1"/>
  <c r="U382" i="11"/>
  <c r="T382" i="11"/>
  <c r="P382" i="11"/>
  <c r="O382" i="11"/>
  <c r="S381" i="11"/>
  <c r="R381" i="11"/>
  <c r="U381" i="11" s="1"/>
  <c r="Q381" i="11"/>
  <c r="T381" i="11" s="1"/>
  <c r="S380" i="11"/>
  <c r="S378" i="11" s="1"/>
  <c r="R380" i="11"/>
  <c r="R378" i="11" s="1"/>
  <c r="U378" i="11" s="1"/>
  <c r="Q380" i="11"/>
  <c r="N380" i="11"/>
  <c r="M380" i="11"/>
  <c r="L380" i="11"/>
  <c r="O380" i="11" s="1"/>
  <c r="U379" i="11"/>
  <c r="T379" i="11"/>
  <c r="P379" i="11"/>
  <c r="O379" i="11"/>
  <c r="U376" i="11"/>
  <c r="T376" i="11"/>
  <c r="S376" i="11"/>
  <c r="R376" i="11"/>
  <c r="Q376" i="11"/>
  <c r="N376" i="11"/>
  <c r="M376" i="11"/>
  <c r="L376" i="11"/>
  <c r="O376" i="11" s="1"/>
  <c r="J374" i="11"/>
  <c r="D373" i="11"/>
  <c r="K372" i="11"/>
  <c r="J372" i="11"/>
  <c r="J371" i="11"/>
  <c r="J365" i="11" s="1"/>
  <c r="I371" i="11"/>
  <c r="K370" i="11"/>
  <c r="J370" i="11"/>
  <c r="J369" i="11"/>
  <c r="I369" i="11"/>
  <c r="J368" i="11"/>
  <c r="I368" i="11"/>
  <c r="K367" i="11"/>
  <c r="J367" i="11"/>
  <c r="U364" i="11"/>
  <c r="T364" i="11"/>
  <c r="N364" i="11"/>
  <c r="N362" i="11" s="1"/>
  <c r="M364" i="11"/>
  <c r="M362" i="11" s="1"/>
  <c r="P362" i="11" s="1"/>
  <c r="L364" i="11"/>
  <c r="U363" i="11"/>
  <c r="T363" i="11"/>
  <c r="P363" i="11"/>
  <c r="O363" i="11"/>
  <c r="T362" i="11"/>
  <c r="S362" i="11"/>
  <c r="R362" i="11"/>
  <c r="U362" i="11" s="1"/>
  <c r="Q362" i="11"/>
  <c r="U361" i="11"/>
  <c r="T361" i="11"/>
  <c r="N361" i="11"/>
  <c r="N359" i="11" s="1"/>
  <c r="M361" i="11"/>
  <c r="L361" i="11"/>
  <c r="U360" i="11"/>
  <c r="T360" i="11"/>
  <c r="P360" i="11"/>
  <c r="O360" i="11"/>
  <c r="T359" i="11"/>
  <c r="S359" i="11"/>
  <c r="R359" i="11"/>
  <c r="U359" i="11" s="1"/>
  <c r="Q359" i="11"/>
  <c r="S358" i="11"/>
  <c r="S356" i="11" s="1"/>
  <c r="R358" i="11"/>
  <c r="U358" i="11" s="1"/>
  <c r="Q358" i="11"/>
  <c r="T358" i="11" s="1"/>
  <c r="S357" i="11"/>
  <c r="R357" i="11"/>
  <c r="U357" i="11" s="1"/>
  <c r="Q357" i="11"/>
  <c r="P357" i="11"/>
  <c r="N357" i="11"/>
  <c r="M357" i="11"/>
  <c r="L357" i="11"/>
  <c r="O357" i="11" s="1"/>
  <c r="R356" i="11"/>
  <c r="U356" i="11" s="1"/>
  <c r="D354" i="11"/>
  <c r="J353" i="11"/>
  <c r="J352" i="11"/>
  <c r="D350" i="11"/>
  <c r="J349" i="11"/>
  <c r="J348" i="11"/>
  <c r="J347" i="11"/>
  <c r="J346" i="11"/>
  <c r="I346" i="11"/>
  <c r="J344" i="11"/>
  <c r="I344" i="11"/>
  <c r="U341" i="11"/>
  <c r="T341" i="11"/>
  <c r="N341" i="11"/>
  <c r="N339" i="11" s="1"/>
  <c r="M341" i="11"/>
  <c r="P341" i="11" s="1"/>
  <c r="L341" i="11"/>
  <c r="U340" i="11"/>
  <c r="T340" i="11"/>
  <c r="P340" i="11"/>
  <c r="O340" i="11"/>
  <c r="S339" i="11"/>
  <c r="R339" i="11"/>
  <c r="U339" i="11" s="1"/>
  <c r="Q339" i="11"/>
  <c r="T339" i="11" s="1"/>
  <c r="U338" i="11"/>
  <c r="T338" i="11"/>
  <c r="N338" i="11"/>
  <c r="M338" i="11"/>
  <c r="M336" i="11" s="1"/>
  <c r="L338" i="11"/>
  <c r="U337" i="11"/>
  <c r="T337" i="11"/>
  <c r="P337" i="11"/>
  <c r="O337" i="11"/>
  <c r="T336" i="11"/>
  <c r="S336" i="11"/>
  <c r="R336" i="11"/>
  <c r="U336" i="11" s="1"/>
  <c r="Q336" i="11"/>
  <c r="T335" i="11"/>
  <c r="S335" i="11"/>
  <c r="R335" i="11"/>
  <c r="U335" i="11" s="1"/>
  <c r="Q335" i="11"/>
  <c r="T334" i="11"/>
  <c r="S334" i="11"/>
  <c r="R334" i="11"/>
  <c r="Q334" i="11"/>
  <c r="Q333" i="11" s="1"/>
  <c r="T333" i="11" s="1"/>
  <c r="N334" i="11"/>
  <c r="M334" i="11"/>
  <c r="P334" i="11" s="1"/>
  <c r="L334" i="11"/>
  <c r="S333" i="11"/>
  <c r="I330" i="11"/>
  <c r="K330" i="11" s="1"/>
  <c r="U328" i="11"/>
  <c r="T328" i="11"/>
  <c r="N328" i="11"/>
  <c r="N326" i="11" s="1"/>
  <c r="M328" i="11"/>
  <c r="M326" i="11" s="1"/>
  <c r="P326" i="11" s="1"/>
  <c r="L328" i="11"/>
  <c r="O328" i="11" s="1"/>
  <c r="U327" i="11"/>
  <c r="T327" i="11"/>
  <c r="P327" i="11"/>
  <c r="O327" i="11"/>
  <c r="S326" i="11"/>
  <c r="R326" i="11"/>
  <c r="U326" i="11" s="1"/>
  <c r="Q326" i="11"/>
  <c r="T326" i="11" s="1"/>
  <c r="U325" i="11"/>
  <c r="T325" i="11"/>
  <c r="N325" i="11"/>
  <c r="N323" i="11" s="1"/>
  <c r="M325" i="11"/>
  <c r="L325" i="11"/>
  <c r="U324" i="11"/>
  <c r="T324" i="11"/>
  <c r="P324" i="11"/>
  <c r="O324" i="11"/>
  <c r="S323" i="11"/>
  <c r="R323" i="11"/>
  <c r="U323" i="11" s="1"/>
  <c r="Q323" i="11"/>
  <c r="T323" i="11" s="1"/>
  <c r="U322" i="11"/>
  <c r="S322" i="11"/>
  <c r="R322" i="11"/>
  <c r="Q322" i="11"/>
  <c r="T322" i="11" s="1"/>
  <c r="S321" i="11"/>
  <c r="R321" i="11"/>
  <c r="Q321" i="11"/>
  <c r="N321" i="11"/>
  <c r="M321" i="11"/>
  <c r="P321" i="11" s="1"/>
  <c r="L321" i="11"/>
  <c r="O321" i="11" s="1"/>
  <c r="J319" i="11"/>
  <c r="I314" i="11"/>
  <c r="K314" i="11" s="1"/>
  <c r="U311" i="11"/>
  <c r="T311" i="11"/>
  <c r="N311" i="11"/>
  <c r="N309" i="11" s="1"/>
  <c r="M311" i="11"/>
  <c r="L311" i="11"/>
  <c r="L309" i="11" s="1"/>
  <c r="O309" i="11" s="1"/>
  <c r="U310" i="11"/>
  <c r="T310" i="11"/>
  <c r="P310" i="11"/>
  <c r="O310" i="11"/>
  <c r="S309" i="11"/>
  <c r="R309" i="11"/>
  <c r="U309" i="11" s="1"/>
  <c r="Q309" i="11"/>
  <c r="T309" i="11" s="1"/>
  <c r="S308" i="11"/>
  <c r="S305" i="11" s="1"/>
  <c r="R308" i="11"/>
  <c r="R306" i="11" s="1"/>
  <c r="Q308" i="11"/>
  <c r="N308" i="11"/>
  <c r="N306" i="11" s="1"/>
  <c r="M308" i="11"/>
  <c r="L308" i="11"/>
  <c r="U307" i="11"/>
  <c r="T307" i="11"/>
  <c r="P307" i="11"/>
  <c r="O307" i="11"/>
  <c r="U304" i="11"/>
  <c r="S304" i="11"/>
  <c r="R304" i="11"/>
  <c r="Q304" i="11"/>
  <c r="T304" i="11" s="1"/>
  <c r="N304" i="11"/>
  <c r="M304" i="11"/>
  <c r="L304" i="11"/>
  <c r="O304" i="11" s="1"/>
  <c r="J302" i="11"/>
  <c r="I296" i="11"/>
  <c r="K296" i="11" s="1"/>
  <c r="I295" i="11"/>
  <c r="K295" i="11" s="1"/>
  <c r="J293" i="11"/>
  <c r="I293" i="11"/>
  <c r="K293" i="11" s="1"/>
  <c r="I292" i="11"/>
  <c r="K292" i="11" s="1"/>
  <c r="U290" i="11"/>
  <c r="T290" i="11"/>
  <c r="N290" i="11"/>
  <c r="N288" i="11" s="1"/>
  <c r="M290" i="11"/>
  <c r="L290" i="11"/>
  <c r="U289" i="11"/>
  <c r="T289" i="11"/>
  <c r="P289" i="11"/>
  <c r="O289" i="11"/>
  <c r="T288" i="11"/>
  <c r="S288" i="11"/>
  <c r="R288" i="11"/>
  <c r="U288" i="11" s="1"/>
  <c r="Q288" i="11"/>
  <c r="U287" i="11"/>
  <c r="T287" i="11"/>
  <c r="N287" i="11"/>
  <c r="N285" i="11" s="1"/>
  <c r="M287" i="11"/>
  <c r="L287" i="11"/>
  <c r="L285" i="11" s="1"/>
  <c r="U286" i="11"/>
  <c r="T286" i="11"/>
  <c r="P286" i="11"/>
  <c r="O286" i="11"/>
  <c r="U285" i="11"/>
  <c r="S285" i="11"/>
  <c r="R285" i="11"/>
  <c r="Q285" i="11"/>
  <c r="T285" i="11" s="1"/>
  <c r="S284" i="11"/>
  <c r="R284" i="11"/>
  <c r="U284" i="11" s="1"/>
  <c r="Q284" i="11"/>
  <c r="T284" i="11" s="1"/>
  <c r="S283" i="11"/>
  <c r="S282" i="11" s="1"/>
  <c r="R283" i="11"/>
  <c r="U283" i="11" s="1"/>
  <c r="Q283" i="11"/>
  <c r="T283" i="11" s="1"/>
  <c r="N283" i="11"/>
  <c r="M283" i="11"/>
  <c r="L283" i="11"/>
  <c r="O283" i="11" s="1"/>
  <c r="J281" i="11"/>
  <c r="J280" i="11"/>
  <c r="I276" i="11"/>
  <c r="U274" i="11"/>
  <c r="T274" i="11"/>
  <c r="N274" i="11"/>
  <c r="N272" i="11" s="1"/>
  <c r="M274" i="11"/>
  <c r="P274" i="11" s="1"/>
  <c r="L274" i="11"/>
  <c r="O274" i="11" s="1"/>
  <c r="U273" i="11"/>
  <c r="T273" i="11"/>
  <c r="P273" i="11"/>
  <c r="O273" i="11"/>
  <c r="T272" i="11"/>
  <c r="S272" i="11"/>
  <c r="R272" i="11"/>
  <c r="U272" i="11" s="1"/>
  <c r="Q272" i="11"/>
  <c r="S271" i="11"/>
  <c r="S268" i="11" s="1"/>
  <c r="S266" i="11" s="1"/>
  <c r="R271" i="11"/>
  <c r="Q271" i="11"/>
  <c r="Q269" i="11" s="1"/>
  <c r="N271" i="11"/>
  <c r="M271" i="11"/>
  <c r="M269" i="11" s="1"/>
  <c r="L271" i="11"/>
  <c r="L269" i="11" s="1"/>
  <c r="U270" i="11"/>
  <c r="T270" i="11"/>
  <c r="P270" i="11"/>
  <c r="O270" i="11"/>
  <c r="S267" i="11"/>
  <c r="R267" i="11"/>
  <c r="Q267" i="11"/>
  <c r="T267" i="11" s="1"/>
  <c r="P267" i="11"/>
  <c r="N267" i="11"/>
  <c r="M267" i="11"/>
  <c r="L267" i="11"/>
  <c r="J265" i="11"/>
  <c r="K263" i="11"/>
  <c r="K262" i="11"/>
  <c r="I260" i="11"/>
  <c r="K260" i="11" s="1"/>
  <c r="L258" i="11"/>
  <c r="L257" i="11"/>
  <c r="L256" i="11"/>
  <c r="L255" i="11"/>
  <c r="P254" i="11"/>
  <c r="N254" i="11"/>
  <c r="J253" i="11"/>
  <c r="K252" i="11"/>
  <c r="K251" i="11"/>
  <c r="I249" i="11"/>
  <c r="L247" i="11"/>
  <c r="L246" i="11"/>
  <c r="L245" i="11"/>
  <c r="L244" i="11"/>
  <c r="P243" i="11"/>
  <c r="N243" i="11"/>
  <c r="N232" i="11" s="1"/>
  <c r="J242" i="11"/>
  <c r="K241" i="11"/>
  <c r="J241" i="11"/>
  <c r="I241" i="11"/>
  <c r="J240" i="11"/>
  <c r="I240" i="11"/>
  <c r="K240" i="11" s="1"/>
  <c r="J238" i="11"/>
  <c r="N236" i="11"/>
  <c r="N235" i="11"/>
  <c r="N234" i="11"/>
  <c r="N233" i="11"/>
  <c r="J231" i="11"/>
  <c r="J185" i="11" s="1"/>
  <c r="I230" i="11"/>
  <c r="K230" i="11" s="1"/>
  <c r="I229" i="11"/>
  <c r="K229" i="11" s="1"/>
  <c r="I228" i="11"/>
  <c r="K228" i="11" s="1"/>
  <c r="L225" i="11"/>
  <c r="L224" i="11"/>
  <c r="L223" i="11"/>
  <c r="P222" i="11"/>
  <c r="N222" i="11"/>
  <c r="J221" i="11"/>
  <c r="I220" i="11"/>
  <c r="K220" i="11" s="1"/>
  <c r="I219" i="11"/>
  <c r="K219" i="11" s="1"/>
  <c r="Q217" i="11"/>
  <c r="Q214" i="11" s="1"/>
  <c r="L217" i="11"/>
  <c r="L216" i="11"/>
  <c r="L215" i="11"/>
  <c r="U214" i="11"/>
  <c r="S214" i="11"/>
  <c r="P214" i="11"/>
  <c r="N214" i="11"/>
  <c r="J213" i="11"/>
  <c r="I212" i="11"/>
  <c r="K212" i="11" s="1"/>
  <c r="I211" i="11"/>
  <c r="K211" i="11" s="1"/>
  <c r="I209" i="11"/>
  <c r="K209" i="11" s="1"/>
  <c r="L207" i="11"/>
  <c r="Q206" i="11"/>
  <c r="Q203" i="11" s="1"/>
  <c r="T203" i="11" s="1"/>
  <c r="L206" i="11"/>
  <c r="L205" i="11"/>
  <c r="L204" i="11"/>
  <c r="U203" i="11"/>
  <c r="S203" i="11"/>
  <c r="P203" i="11"/>
  <c r="N203" i="11"/>
  <c r="J202" i="11"/>
  <c r="J199" i="11"/>
  <c r="I198" i="11"/>
  <c r="I195" i="11" s="1"/>
  <c r="P196" i="11"/>
  <c r="L196" i="11"/>
  <c r="O196" i="11" s="1"/>
  <c r="J195" i="11"/>
  <c r="S194" i="11"/>
  <c r="S192" i="11" s="1"/>
  <c r="R194" i="11"/>
  <c r="R192" i="11" s="1"/>
  <c r="U192" i="11" s="1"/>
  <c r="Q194" i="11"/>
  <c r="T194" i="11" s="1"/>
  <c r="N194" i="11"/>
  <c r="N192" i="11" s="1"/>
  <c r="M194" i="11"/>
  <c r="P194" i="11" s="1"/>
  <c r="L194" i="11"/>
  <c r="L192" i="11" s="1"/>
  <c r="O192" i="11" s="1"/>
  <c r="U193" i="11"/>
  <c r="T193" i="11"/>
  <c r="P193" i="11"/>
  <c r="O193" i="11"/>
  <c r="S191" i="11"/>
  <c r="R191" i="11"/>
  <c r="R189" i="11" s="1"/>
  <c r="Q191" i="11"/>
  <c r="Q189" i="11" s="1"/>
  <c r="N191" i="11"/>
  <c r="M191" i="11"/>
  <c r="M189" i="11" s="1"/>
  <c r="L191" i="11"/>
  <c r="L189" i="11" s="1"/>
  <c r="U190" i="11"/>
  <c r="T190" i="11"/>
  <c r="P190" i="11"/>
  <c r="O190" i="11"/>
  <c r="S187" i="11"/>
  <c r="R187" i="11"/>
  <c r="U187" i="11" s="1"/>
  <c r="Q187" i="11"/>
  <c r="T187" i="11" s="1"/>
  <c r="O187" i="11"/>
  <c r="N187" i="11"/>
  <c r="M187" i="11"/>
  <c r="P187" i="11" s="1"/>
  <c r="L187" i="11"/>
  <c r="K184" i="11"/>
  <c r="I183" i="11"/>
  <c r="K183" i="11" s="1"/>
  <c r="U181" i="11"/>
  <c r="T181" i="11"/>
  <c r="N181" i="11"/>
  <c r="N179" i="11" s="1"/>
  <c r="M181" i="11"/>
  <c r="M179" i="11" s="1"/>
  <c r="P179" i="11" s="1"/>
  <c r="L181" i="11"/>
  <c r="O181" i="11" s="1"/>
  <c r="U180" i="11"/>
  <c r="T180" i="11"/>
  <c r="P180" i="11"/>
  <c r="O180" i="11"/>
  <c r="S179" i="11"/>
  <c r="R179" i="11"/>
  <c r="U179" i="11" s="1"/>
  <c r="Q179" i="11"/>
  <c r="T179" i="11" s="1"/>
  <c r="S178" i="11"/>
  <c r="S175" i="11" s="1"/>
  <c r="R178" i="11"/>
  <c r="U178" i="11" s="1"/>
  <c r="Q178" i="11"/>
  <c r="Q176" i="11" s="1"/>
  <c r="T176" i="11" s="1"/>
  <c r="N178" i="11"/>
  <c r="N176" i="11" s="1"/>
  <c r="M178" i="11"/>
  <c r="M176" i="11" s="1"/>
  <c r="L178" i="11"/>
  <c r="L176" i="11" s="1"/>
  <c r="U177" i="11"/>
  <c r="T177" i="11"/>
  <c r="P177" i="11"/>
  <c r="O177" i="11"/>
  <c r="U174" i="11"/>
  <c r="T174" i="11"/>
  <c r="S174" i="11"/>
  <c r="R174" i="11"/>
  <c r="Q174" i="11"/>
  <c r="N174" i="11"/>
  <c r="M174" i="11"/>
  <c r="L174" i="11"/>
  <c r="O174" i="11" s="1"/>
  <c r="J172" i="11"/>
  <c r="I167" i="11"/>
  <c r="I168" i="11" s="1"/>
  <c r="K168" i="11" s="1"/>
  <c r="U165" i="11"/>
  <c r="T165" i="11"/>
  <c r="N165" i="11"/>
  <c r="N163" i="11" s="1"/>
  <c r="M165" i="11"/>
  <c r="P165" i="11" s="1"/>
  <c r="L165" i="11"/>
  <c r="L163" i="11" s="1"/>
  <c r="O163" i="11" s="1"/>
  <c r="U164" i="11"/>
  <c r="T164" i="11"/>
  <c r="P164" i="11"/>
  <c r="O164" i="11"/>
  <c r="T163" i="11"/>
  <c r="S163" i="11"/>
  <c r="R163" i="11"/>
  <c r="U163" i="11" s="1"/>
  <c r="Q163" i="11"/>
  <c r="S162" i="11"/>
  <c r="S160" i="11" s="1"/>
  <c r="R162" i="11"/>
  <c r="U162" i="11" s="1"/>
  <c r="Q162" i="11"/>
  <c r="Q160" i="11" s="1"/>
  <c r="T160" i="11" s="1"/>
  <c r="N162" i="11"/>
  <c r="M162" i="11"/>
  <c r="M160" i="11" s="1"/>
  <c r="L162" i="11"/>
  <c r="U161" i="11"/>
  <c r="T161" i="11"/>
  <c r="P161" i="11"/>
  <c r="O161" i="11"/>
  <c r="U158" i="11"/>
  <c r="S158" i="11"/>
  <c r="R158" i="11"/>
  <c r="Q158" i="11"/>
  <c r="T158" i="11" s="1"/>
  <c r="N158" i="11"/>
  <c r="M158" i="11"/>
  <c r="L158" i="11"/>
  <c r="O158" i="11" s="1"/>
  <c r="J156" i="11"/>
  <c r="I154" i="11"/>
  <c r="K154" i="11" s="1"/>
  <c r="I153" i="11"/>
  <c r="I138" i="11" s="1"/>
  <c r="I152" i="11"/>
  <c r="I151" i="11"/>
  <c r="K151" i="11" s="1"/>
  <c r="I150" i="11"/>
  <c r="K150" i="11" s="1"/>
  <c r="S147" i="11"/>
  <c r="S145" i="11" s="1"/>
  <c r="R147" i="11"/>
  <c r="Q147" i="11"/>
  <c r="T147" i="11" s="1"/>
  <c r="N147" i="11"/>
  <c r="M147" i="11"/>
  <c r="M145" i="11" s="1"/>
  <c r="P145" i="11" s="1"/>
  <c r="L147" i="11"/>
  <c r="L145" i="11" s="1"/>
  <c r="O145" i="11" s="1"/>
  <c r="U146" i="11"/>
  <c r="T146" i="11"/>
  <c r="P146" i="11"/>
  <c r="O146" i="11"/>
  <c r="S144" i="11"/>
  <c r="S142" i="11" s="1"/>
  <c r="R144" i="11"/>
  <c r="Q144" i="11"/>
  <c r="N144" i="11"/>
  <c r="N142" i="11" s="1"/>
  <c r="M144" i="11"/>
  <c r="L144" i="11"/>
  <c r="U143" i="11"/>
  <c r="T143" i="11"/>
  <c r="P143" i="11"/>
  <c r="O143" i="11"/>
  <c r="U140" i="11"/>
  <c r="S140" i="11"/>
  <c r="R140" i="11"/>
  <c r="Q140" i="11"/>
  <c r="T140" i="11" s="1"/>
  <c r="N140" i="11"/>
  <c r="M140" i="11"/>
  <c r="P140" i="11" s="1"/>
  <c r="L140" i="11"/>
  <c r="O140" i="11" s="1"/>
  <c r="J138" i="11"/>
  <c r="J137" i="11"/>
  <c r="J136" i="11"/>
  <c r="I130" i="11"/>
  <c r="K130" i="11" s="1"/>
  <c r="I129" i="11"/>
  <c r="K129" i="11" s="1"/>
  <c r="I128" i="11"/>
  <c r="K128" i="11" s="1"/>
  <c r="I127" i="11"/>
  <c r="I116" i="11" s="1"/>
  <c r="S125" i="11"/>
  <c r="S123" i="11" s="1"/>
  <c r="R125" i="11"/>
  <c r="R123" i="11" s="1"/>
  <c r="U123" i="11" s="1"/>
  <c r="Q125" i="11"/>
  <c r="Q123" i="11" s="1"/>
  <c r="T123" i="11" s="1"/>
  <c r="N125" i="11"/>
  <c r="N123" i="11" s="1"/>
  <c r="M125" i="11"/>
  <c r="M123" i="11" s="1"/>
  <c r="P123" i="11" s="1"/>
  <c r="L125" i="11"/>
  <c r="O125" i="11" s="1"/>
  <c r="U124" i="11"/>
  <c r="T124" i="11"/>
  <c r="P124" i="11"/>
  <c r="O124" i="11"/>
  <c r="S122" i="11"/>
  <c r="R122" i="11"/>
  <c r="Q122" i="11"/>
  <c r="Q120" i="11" s="1"/>
  <c r="N122" i="11"/>
  <c r="N120" i="11" s="1"/>
  <c r="M122" i="11"/>
  <c r="P122" i="11" s="1"/>
  <c r="L122" i="11"/>
  <c r="O122" i="11" s="1"/>
  <c r="U121" i="11"/>
  <c r="T121" i="11"/>
  <c r="P121" i="11"/>
  <c r="O121" i="11"/>
  <c r="S118" i="11"/>
  <c r="R118" i="11"/>
  <c r="U118" i="11" s="1"/>
  <c r="Q118" i="11"/>
  <c r="T118" i="11" s="1"/>
  <c r="O118" i="11"/>
  <c r="N118" i="11"/>
  <c r="M118" i="11"/>
  <c r="P118" i="11" s="1"/>
  <c r="L118" i="11"/>
  <c r="J116" i="11"/>
  <c r="I114" i="11"/>
  <c r="K114" i="11" s="1"/>
  <c r="I113" i="11"/>
  <c r="K113" i="11" s="1"/>
  <c r="I109" i="11"/>
  <c r="K109" i="11" s="1"/>
  <c r="I108" i="11"/>
  <c r="I92" i="11" s="1"/>
  <c r="U102" i="11"/>
  <c r="T102" i="11"/>
  <c r="N102" i="11"/>
  <c r="N100" i="11" s="1"/>
  <c r="M102" i="11"/>
  <c r="P102" i="11" s="1"/>
  <c r="L102" i="11"/>
  <c r="O102" i="11" s="1"/>
  <c r="U101" i="11"/>
  <c r="T101" i="11"/>
  <c r="P101" i="11"/>
  <c r="O101" i="11"/>
  <c r="U100" i="11"/>
  <c r="S100" i="11"/>
  <c r="R100" i="11"/>
  <c r="Q100" i="11"/>
  <c r="T100" i="11" s="1"/>
  <c r="S99" i="11"/>
  <c r="R99" i="11"/>
  <c r="Q99" i="11"/>
  <c r="N99" i="11"/>
  <c r="M99" i="11"/>
  <c r="M97" i="11" s="1"/>
  <c r="L99" i="11"/>
  <c r="O99" i="11" s="1"/>
  <c r="U98" i="11"/>
  <c r="T98" i="11"/>
  <c r="P98" i="11"/>
  <c r="O98" i="11"/>
  <c r="U95" i="11"/>
  <c r="S95" i="11"/>
  <c r="R95" i="11"/>
  <c r="Q95" i="11"/>
  <c r="T95" i="11" s="1"/>
  <c r="O95" i="11"/>
  <c r="N95" i="11"/>
  <c r="M95" i="11"/>
  <c r="P95" i="11" s="1"/>
  <c r="L95" i="11"/>
  <c r="J93" i="11"/>
  <c r="J92" i="11"/>
  <c r="I90" i="11"/>
  <c r="K90" i="11" s="1"/>
  <c r="I89" i="11"/>
  <c r="K89" i="11" s="1"/>
  <c r="I88" i="11"/>
  <c r="K88" i="11" s="1"/>
  <c r="I87" i="11"/>
  <c r="K87" i="11" s="1"/>
  <c r="I86" i="11"/>
  <c r="K86" i="11" s="1"/>
  <c r="I85" i="11"/>
  <c r="K85" i="11" s="1"/>
  <c r="I84" i="11"/>
  <c r="K84" i="11" s="1"/>
  <c r="J83" i="11"/>
  <c r="J82" i="11"/>
  <c r="S80" i="11"/>
  <c r="S78" i="11" s="1"/>
  <c r="R80" i="11"/>
  <c r="U80" i="11" s="1"/>
  <c r="Q80" i="11"/>
  <c r="T80" i="11" s="1"/>
  <c r="N80" i="11"/>
  <c r="M80" i="11"/>
  <c r="M78" i="11" s="1"/>
  <c r="P78" i="11" s="1"/>
  <c r="L80" i="11"/>
  <c r="O80" i="11" s="1"/>
  <c r="U79" i="11"/>
  <c r="T79" i="11"/>
  <c r="P79" i="11"/>
  <c r="O79" i="11"/>
  <c r="S77" i="11"/>
  <c r="S75" i="11" s="1"/>
  <c r="R77" i="11"/>
  <c r="R75" i="11" s="1"/>
  <c r="Q77" i="11"/>
  <c r="N77" i="11"/>
  <c r="N75" i="11" s="1"/>
  <c r="M77" i="11"/>
  <c r="M75" i="11" s="1"/>
  <c r="L77" i="11"/>
  <c r="U76" i="11"/>
  <c r="T76" i="11"/>
  <c r="P76" i="11"/>
  <c r="O76" i="11"/>
  <c r="U73" i="11"/>
  <c r="S73" i="11"/>
  <c r="R73" i="11"/>
  <c r="Q73" i="11"/>
  <c r="T73" i="11" s="1"/>
  <c r="N73" i="11"/>
  <c r="M73" i="11"/>
  <c r="P73" i="11" s="1"/>
  <c r="L73" i="11"/>
  <c r="O73" i="11" s="1"/>
  <c r="J71" i="11"/>
  <c r="J70" i="11"/>
  <c r="U67" i="11"/>
  <c r="T67" i="11"/>
  <c r="N67" i="11"/>
  <c r="N65" i="11" s="1"/>
  <c r="M67" i="11"/>
  <c r="M65" i="11" s="1"/>
  <c r="P65" i="11" s="1"/>
  <c r="L67" i="11"/>
  <c r="O67" i="11" s="1"/>
  <c r="U66" i="11"/>
  <c r="T66" i="11"/>
  <c r="P66" i="11"/>
  <c r="O66" i="11"/>
  <c r="T65" i="11"/>
  <c r="S65" i="11"/>
  <c r="R65" i="11"/>
  <c r="U65" i="11" s="1"/>
  <c r="Q65" i="11"/>
  <c r="U64" i="11"/>
  <c r="T64" i="11"/>
  <c r="N64" i="11"/>
  <c r="N62" i="11" s="1"/>
  <c r="M64" i="11"/>
  <c r="M62" i="11" s="1"/>
  <c r="L64" i="11"/>
  <c r="L62" i="11" s="1"/>
  <c r="U63" i="11"/>
  <c r="T63" i="11"/>
  <c r="P63" i="11"/>
  <c r="O63" i="11"/>
  <c r="U62" i="11"/>
  <c r="S62" i="11"/>
  <c r="R62" i="11"/>
  <c r="Q62" i="11"/>
  <c r="T62" i="11" s="1"/>
  <c r="U61" i="11"/>
  <c r="S61" i="11"/>
  <c r="R61" i="11"/>
  <c r="Q61" i="11"/>
  <c r="T61" i="11" s="1"/>
  <c r="S60" i="11"/>
  <c r="R60" i="11"/>
  <c r="Q60" i="11"/>
  <c r="T60" i="11" s="1"/>
  <c r="O60" i="11"/>
  <c r="N60" i="11"/>
  <c r="M60" i="11"/>
  <c r="P60" i="11" s="1"/>
  <c r="L60" i="11"/>
  <c r="U52" i="11"/>
  <c r="T52" i="11"/>
  <c r="N52" i="11"/>
  <c r="N50" i="11" s="1"/>
  <c r="M52" i="11"/>
  <c r="M50" i="11" s="1"/>
  <c r="P50" i="11" s="1"/>
  <c r="L52" i="11"/>
  <c r="O52" i="11" s="1"/>
  <c r="U51" i="11"/>
  <c r="T51" i="11"/>
  <c r="P51" i="11"/>
  <c r="O51" i="11"/>
  <c r="S50" i="11"/>
  <c r="R50" i="11"/>
  <c r="U50" i="11" s="1"/>
  <c r="Q50" i="11"/>
  <c r="T50" i="11" s="1"/>
  <c r="U49" i="11"/>
  <c r="T49" i="11"/>
  <c r="N49" i="11"/>
  <c r="M49" i="11"/>
  <c r="M47" i="11" s="1"/>
  <c r="L49" i="11"/>
  <c r="L47" i="11" s="1"/>
  <c r="U48" i="11"/>
  <c r="T48" i="11"/>
  <c r="P48" i="11"/>
  <c r="O48" i="11"/>
  <c r="U47" i="11"/>
  <c r="S47" i="11"/>
  <c r="R47" i="11"/>
  <c r="Q47" i="11"/>
  <c r="T47" i="11" s="1"/>
  <c r="S46" i="11"/>
  <c r="R46" i="11"/>
  <c r="Q46" i="11"/>
  <c r="T46" i="11" s="1"/>
  <c r="S45" i="11"/>
  <c r="S44" i="11" s="1"/>
  <c r="R45" i="11"/>
  <c r="U45" i="11" s="1"/>
  <c r="Q45" i="11"/>
  <c r="T45" i="11" s="1"/>
  <c r="N45" i="11"/>
  <c r="M45" i="11"/>
  <c r="P45" i="11" s="1"/>
  <c r="L45" i="11"/>
  <c r="O45" i="11" s="1"/>
  <c r="S25" i="11"/>
  <c r="R25" i="11"/>
  <c r="U25" i="11" s="1"/>
  <c r="Q25" i="11"/>
  <c r="T25" i="11" s="1"/>
  <c r="N25" i="11"/>
  <c r="M25" i="11"/>
  <c r="P25" i="11" s="1"/>
  <c r="L25" i="11"/>
  <c r="O25" i="11" s="1"/>
  <c r="S22" i="11"/>
  <c r="R22" i="11"/>
  <c r="Q22" i="11"/>
  <c r="T22" i="11" s="1"/>
  <c r="N22" i="11"/>
  <c r="M22" i="11"/>
  <c r="P22" i="11" s="1"/>
  <c r="L22" i="11"/>
  <c r="O22" i="11" s="1"/>
  <c r="S19" i="11"/>
  <c r="N19" i="11"/>
  <c r="M19" i="11"/>
  <c r="P19" i="11" s="1"/>
  <c r="L19" i="11"/>
  <c r="O19" i="11" s="1"/>
  <c r="A789" i="10"/>
  <c r="A788" i="10"/>
  <c r="J785" i="10"/>
  <c r="I785" i="10"/>
  <c r="J784" i="10"/>
  <c r="I784" i="10"/>
  <c r="J783" i="10"/>
  <c r="I783" i="10"/>
  <c r="K783" i="10" s="1"/>
  <c r="J782" i="10"/>
  <c r="I782" i="10"/>
  <c r="K782" i="10" s="1"/>
  <c r="J781" i="10"/>
  <c r="I781" i="10"/>
  <c r="J780" i="10"/>
  <c r="I780" i="10"/>
  <c r="J779" i="10"/>
  <c r="I779" i="10"/>
  <c r="J778" i="10"/>
  <c r="I778" i="10"/>
  <c r="H777" i="10"/>
  <c r="I776" i="10"/>
  <c r="I775" i="10"/>
  <c r="I774" i="10"/>
  <c r="I759" i="10" s="1"/>
  <c r="K759" i="10" s="1"/>
  <c r="I772" i="10"/>
  <c r="I770" i="10"/>
  <c r="K770" i="10" s="1"/>
  <c r="U768" i="10"/>
  <c r="T768" i="10"/>
  <c r="P768" i="10"/>
  <c r="O768" i="10"/>
  <c r="U767" i="10"/>
  <c r="T767" i="10"/>
  <c r="P767" i="10"/>
  <c r="O767" i="10"/>
  <c r="S766" i="10"/>
  <c r="R766" i="10"/>
  <c r="U766" i="10" s="1"/>
  <c r="Q766" i="10"/>
  <c r="T766" i="10" s="1"/>
  <c r="N766" i="10"/>
  <c r="M766" i="10"/>
  <c r="P766" i="10" s="1"/>
  <c r="L766" i="10"/>
  <c r="O766" i="10" s="1"/>
  <c r="S765" i="10"/>
  <c r="S763" i="10" s="1"/>
  <c r="R765" i="10"/>
  <c r="R762" i="10" s="1"/>
  <c r="Q765" i="10"/>
  <c r="T765" i="10" s="1"/>
  <c r="P765" i="10"/>
  <c r="O765" i="10"/>
  <c r="U764" i="10"/>
  <c r="T764" i="10"/>
  <c r="P764" i="10"/>
  <c r="O764" i="10"/>
  <c r="N763" i="10"/>
  <c r="M763" i="10"/>
  <c r="P763" i="10" s="1"/>
  <c r="L763" i="10"/>
  <c r="O763" i="10" s="1"/>
  <c r="N762" i="10"/>
  <c r="M762" i="10"/>
  <c r="P762" i="10" s="1"/>
  <c r="L762" i="10"/>
  <c r="S761" i="10"/>
  <c r="R761" i="10"/>
  <c r="U761" i="10" s="1"/>
  <c r="Q761" i="10"/>
  <c r="T761" i="10" s="1"/>
  <c r="N761" i="10"/>
  <c r="N760" i="10" s="1"/>
  <c r="M761" i="10"/>
  <c r="M760" i="10" s="1"/>
  <c r="P760" i="10" s="1"/>
  <c r="L761" i="10"/>
  <c r="O761" i="10" s="1"/>
  <c r="J759" i="10"/>
  <c r="J758" i="10"/>
  <c r="I755" i="10"/>
  <c r="K755" i="10" s="1"/>
  <c r="I752" i="10"/>
  <c r="K752" i="10" s="1"/>
  <c r="I749" i="10"/>
  <c r="K749" i="10" s="1"/>
  <c r="I746" i="10"/>
  <c r="K746" i="10" s="1"/>
  <c r="I744" i="10"/>
  <c r="K744" i="10" s="1"/>
  <c r="I742" i="10"/>
  <c r="K742" i="10" s="1"/>
  <c r="I740" i="10"/>
  <c r="K740" i="10" s="1"/>
  <c r="U736" i="10"/>
  <c r="T736" i="10"/>
  <c r="P736" i="10"/>
  <c r="O736" i="10"/>
  <c r="U735" i="10"/>
  <c r="T735" i="10"/>
  <c r="P735" i="10"/>
  <c r="O735" i="10"/>
  <c r="S734" i="10"/>
  <c r="R734" i="10"/>
  <c r="U734" i="10" s="1"/>
  <c r="Q734" i="10"/>
  <c r="T734" i="10" s="1"/>
  <c r="P734" i="10"/>
  <c r="N734" i="10"/>
  <c r="M734" i="10"/>
  <c r="L734" i="10"/>
  <c r="O734" i="10" s="1"/>
  <c r="S733" i="10"/>
  <c r="R733" i="10"/>
  <c r="R731" i="10" s="1"/>
  <c r="Q733" i="10"/>
  <c r="Q731" i="10" s="1"/>
  <c r="P733" i="10"/>
  <c r="O733" i="10"/>
  <c r="U732" i="10"/>
  <c r="T732" i="10"/>
  <c r="P732" i="10"/>
  <c r="O732" i="10"/>
  <c r="N731" i="10"/>
  <c r="M731" i="10"/>
  <c r="P731" i="10" s="1"/>
  <c r="L731" i="10"/>
  <c r="O731" i="10" s="1"/>
  <c r="O730" i="10"/>
  <c r="N730" i="10"/>
  <c r="M730" i="10"/>
  <c r="P730" i="10" s="1"/>
  <c r="L730" i="10"/>
  <c r="S729" i="10"/>
  <c r="R729" i="10"/>
  <c r="U729" i="10" s="1"/>
  <c r="Q729" i="10"/>
  <c r="T729" i="10" s="1"/>
  <c r="N729" i="10"/>
  <c r="M729" i="10"/>
  <c r="P729" i="10" s="1"/>
  <c r="L729" i="10"/>
  <c r="L728" i="10" s="1"/>
  <c r="O728" i="10" s="1"/>
  <c r="M728" i="10"/>
  <c r="P728" i="10" s="1"/>
  <c r="J727" i="10"/>
  <c r="I727" i="10"/>
  <c r="J726" i="10"/>
  <c r="I726" i="10"/>
  <c r="K726" i="10" s="1"/>
  <c r="U722" i="10"/>
  <c r="T722" i="10"/>
  <c r="P722" i="10"/>
  <c r="O722" i="10"/>
  <c r="U721" i="10"/>
  <c r="T721" i="10"/>
  <c r="P721" i="10"/>
  <c r="O721" i="10"/>
  <c r="S720" i="10"/>
  <c r="R720" i="10"/>
  <c r="U720" i="10" s="1"/>
  <c r="Q720" i="10"/>
  <c r="T720" i="10" s="1"/>
  <c r="N720" i="10"/>
  <c r="M720" i="10"/>
  <c r="P720" i="10" s="1"/>
  <c r="L720" i="10"/>
  <c r="O720" i="10" s="1"/>
  <c r="U719" i="10"/>
  <c r="T719" i="10"/>
  <c r="P719" i="10"/>
  <c r="O719" i="10"/>
  <c r="U718" i="10"/>
  <c r="T718" i="10"/>
  <c r="P718" i="10"/>
  <c r="O718" i="10"/>
  <c r="S717" i="10"/>
  <c r="R717" i="10"/>
  <c r="U717" i="10" s="1"/>
  <c r="Q717" i="10"/>
  <c r="T717" i="10" s="1"/>
  <c r="N717" i="10"/>
  <c r="M717" i="10"/>
  <c r="P717" i="10" s="1"/>
  <c r="L717" i="10"/>
  <c r="O717" i="10" s="1"/>
  <c r="S716" i="10"/>
  <c r="R716" i="10"/>
  <c r="U716" i="10" s="1"/>
  <c r="Q716" i="10"/>
  <c r="N716" i="10"/>
  <c r="M716" i="10"/>
  <c r="P716" i="10" s="1"/>
  <c r="L716" i="10"/>
  <c r="O716" i="10" s="1"/>
  <c r="U715" i="10"/>
  <c r="S715" i="10"/>
  <c r="R715" i="10"/>
  <c r="Q715" i="10"/>
  <c r="T715" i="10" s="1"/>
  <c r="N715" i="10"/>
  <c r="M715" i="10"/>
  <c r="P715" i="10" s="1"/>
  <c r="L715" i="10"/>
  <c r="O715" i="10" s="1"/>
  <c r="K712" i="10"/>
  <c r="J712" i="10"/>
  <c r="K710" i="10"/>
  <c r="J710" i="10"/>
  <c r="J709" i="10"/>
  <c r="I709" i="10"/>
  <c r="K708" i="10"/>
  <c r="J708" i="10"/>
  <c r="J707" i="10"/>
  <c r="J689" i="10" s="1"/>
  <c r="I707" i="10"/>
  <c r="I689" i="10" s="1"/>
  <c r="K706" i="10"/>
  <c r="J706" i="10"/>
  <c r="J705" i="10"/>
  <c r="I705" i="10"/>
  <c r="K704" i="10"/>
  <c r="J704" i="10"/>
  <c r="J703" i="10"/>
  <c r="I703" i="10"/>
  <c r="K702" i="10"/>
  <c r="I700" i="10"/>
  <c r="K700" i="10" s="1"/>
  <c r="U698" i="10"/>
  <c r="T698" i="10"/>
  <c r="P698" i="10"/>
  <c r="O698" i="10"/>
  <c r="U697" i="10"/>
  <c r="T697" i="10"/>
  <c r="P697" i="10"/>
  <c r="O697" i="10"/>
  <c r="S696" i="10"/>
  <c r="R696" i="10"/>
  <c r="U696" i="10" s="1"/>
  <c r="Q696" i="10"/>
  <c r="T696" i="10" s="1"/>
  <c r="N696" i="10"/>
  <c r="M696" i="10"/>
  <c r="P696" i="10" s="1"/>
  <c r="L696" i="10"/>
  <c r="O696" i="10" s="1"/>
  <c r="S695" i="10"/>
  <c r="S693" i="10" s="1"/>
  <c r="R695" i="10"/>
  <c r="R693" i="10" s="1"/>
  <c r="Q695" i="10"/>
  <c r="Q692" i="10" s="1"/>
  <c r="P695" i="10"/>
  <c r="O695" i="10"/>
  <c r="U694" i="10"/>
  <c r="T694" i="10"/>
  <c r="P694" i="10"/>
  <c r="O694" i="10"/>
  <c r="N693" i="10"/>
  <c r="M693" i="10"/>
  <c r="P693" i="10" s="1"/>
  <c r="L693" i="10"/>
  <c r="O693" i="10" s="1"/>
  <c r="O692" i="10"/>
  <c r="N692" i="10"/>
  <c r="M692" i="10"/>
  <c r="L692" i="10"/>
  <c r="L690" i="10" s="1"/>
  <c r="O690" i="10" s="1"/>
  <c r="S691" i="10"/>
  <c r="R691" i="10"/>
  <c r="U691" i="10" s="1"/>
  <c r="Q691" i="10"/>
  <c r="N691" i="10"/>
  <c r="N690" i="10" s="1"/>
  <c r="M691" i="10"/>
  <c r="P691" i="10" s="1"/>
  <c r="L691" i="10"/>
  <c r="O691" i="10" s="1"/>
  <c r="J682" i="10"/>
  <c r="I682" i="10"/>
  <c r="K682" i="10" s="1"/>
  <c r="J681" i="10"/>
  <c r="I681" i="10"/>
  <c r="K681" i="10" s="1"/>
  <c r="J680" i="10"/>
  <c r="J679" i="10"/>
  <c r="I679" i="10"/>
  <c r="K679" i="10" s="1"/>
  <c r="J678" i="10"/>
  <c r="I678" i="10"/>
  <c r="K678" i="10" s="1"/>
  <c r="J677" i="10"/>
  <c r="J676" i="10"/>
  <c r="I676" i="10"/>
  <c r="K676" i="10" s="1"/>
  <c r="I675" i="10"/>
  <c r="K675" i="10" s="1"/>
  <c r="I674" i="10"/>
  <c r="K674" i="10" s="1"/>
  <c r="J673" i="10"/>
  <c r="I673" i="10"/>
  <c r="K673" i="10" s="1"/>
  <c r="J672" i="10"/>
  <c r="J671" i="10"/>
  <c r="J661" i="10"/>
  <c r="I661" i="10"/>
  <c r="K661" i="10" s="1"/>
  <c r="I660" i="10"/>
  <c r="I657" i="10"/>
  <c r="J654" i="10"/>
  <c r="I654" i="10"/>
  <c r="K654" i="10" s="1"/>
  <c r="J653" i="10"/>
  <c r="I653" i="10"/>
  <c r="K653" i="10" s="1"/>
  <c r="J652" i="10"/>
  <c r="I652" i="10"/>
  <c r="K652" i="10" s="1"/>
  <c r="U650" i="10"/>
  <c r="T650" i="10"/>
  <c r="P650" i="10"/>
  <c r="O650" i="10"/>
  <c r="U649" i="10"/>
  <c r="T649" i="10"/>
  <c r="P649" i="10"/>
  <c r="O649" i="10"/>
  <c r="S648" i="10"/>
  <c r="R648" i="10"/>
  <c r="U648" i="10" s="1"/>
  <c r="Q648" i="10"/>
  <c r="T648" i="10" s="1"/>
  <c r="N648" i="10"/>
  <c r="M648" i="10"/>
  <c r="P648" i="10" s="1"/>
  <c r="L648" i="10"/>
  <c r="O648" i="10" s="1"/>
  <c r="S647" i="10"/>
  <c r="R647" i="10"/>
  <c r="U647" i="10" s="1"/>
  <c r="Q647" i="10"/>
  <c r="Q645" i="10" s="1"/>
  <c r="T645" i="10" s="1"/>
  <c r="P647" i="10"/>
  <c r="O647" i="10"/>
  <c r="U646" i="10"/>
  <c r="T646" i="10"/>
  <c r="P646" i="10"/>
  <c r="O646" i="10"/>
  <c r="N645" i="10"/>
  <c r="M645" i="10"/>
  <c r="P645" i="10" s="1"/>
  <c r="L645" i="10"/>
  <c r="O645" i="10" s="1"/>
  <c r="N644" i="10"/>
  <c r="M644" i="10"/>
  <c r="P644" i="10" s="1"/>
  <c r="L644" i="10"/>
  <c r="O644" i="10" s="1"/>
  <c r="U643" i="10"/>
  <c r="S643" i="10"/>
  <c r="R643" i="10"/>
  <c r="Q643" i="10"/>
  <c r="N643" i="10"/>
  <c r="M643" i="10"/>
  <c r="P643" i="10" s="1"/>
  <c r="L643" i="10"/>
  <c r="L642" i="10" s="1"/>
  <c r="O642" i="10" s="1"/>
  <c r="J636" i="10"/>
  <c r="J635" i="10" s="1"/>
  <c r="I635" i="10"/>
  <c r="K635" i="10" s="1"/>
  <c r="J632" i="10"/>
  <c r="J626" i="10" s="1"/>
  <c r="J615" i="10" s="1"/>
  <c r="I628" i="10"/>
  <c r="K628" i="10" s="1"/>
  <c r="I627" i="10"/>
  <c r="K627" i="10" s="1"/>
  <c r="I626" i="10"/>
  <c r="K630" i="10" s="1"/>
  <c r="U624" i="10"/>
  <c r="T624" i="10"/>
  <c r="P624" i="10"/>
  <c r="O624" i="10"/>
  <c r="U623" i="10"/>
  <c r="T623" i="10"/>
  <c r="P623" i="10"/>
  <c r="O623" i="10"/>
  <c r="U622" i="10"/>
  <c r="S622" i="10"/>
  <c r="R622" i="10"/>
  <c r="Q622" i="10"/>
  <c r="T622" i="10" s="1"/>
  <c r="N622" i="10"/>
  <c r="M622" i="10"/>
  <c r="P622" i="10" s="1"/>
  <c r="L622" i="10"/>
  <c r="O622" i="10" s="1"/>
  <c r="S621" i="10"/>
  <c r="S618" i="10" s="1"/>
  <c r="R621" i="10"/>
  <c r="Q621" i="10"/>
  <c r="P621" i="10"/>
  <c r="O621" i="10"/>
  <c r="U620" i="10"/>
  <c r="T620" i="10"/>
  <c r="P620" i="10"/>
  <c r="O620" i="10"/>
  <c r="N619" i="10"/>
  <c r="M619" i="10"/>
  <c r="P619" i="10" s="1"/>
  <c r="L619" i="10"/>
  <c r="O619" i="10" s="1"/>
  <c r="N618" i="10"/>
  <c r="M618" i="10"/>
  <c r="P618" i="10" s="1"/>
  <c r="L618" i="10"/>
  <c r="O618" i="10" s="1"/>
  <c r="S617" i="10"/>
  <c r="R617" i="10"/>
  <c r="U617" i="10" s="1"/>
  <c r="Q617" i="10"/>
  <c r="T617" i="10" s="1"/>
  <c r="P617" i="10"/>
  <c r="N617" i="10"/>
  <c r="N616" i="10" s="1"/>
  <c r="M617" i="10"/>
  <c r="L617" i="10"/>
  <c r="O617" i="10" s="1"/>
  <c r="S607" i="10"/>
  <c r="S605" i="10" s="1"/>
  <c r="R607" i="10"/>
  <c r="U607" i="10" s="1"/>
  <c r="Q607" i="10"/>
  <c r="Q605" i="10" s="1"/>
  <c r="T605" i="10" s="1"/>
  <c r="N607" i="10"/>
  <c r="M607" i="10"/>
  <c r="P607" i="10" s="1"/>
  <c r="L607" i="10"/>
  <c r="O607" i="10" s="1"/>
  <c r="U606" i="10"/>
  <c r="T606" i="10"/>
  <c r="P606" i="10"/>
  <c r="O606" i="10"/>
  <c r="S604" i="10"/>
  <c r="S602" i="10" s="1"/>
  <c r="R604" i="10"/>
  <c r="U604" i="10" s="1"/>
  <c r="Q604" i="10"/>
  <c r="T604" i="10" s="1"/>
  <c r="N604" i="10"/>
  <c r="N602" i="10" s="1"/>
  <c r="M604" i="10"/>
  <c r="L604" i="10"/>
  <c r="U603" i="10"/>
  <c r="T603" i="10"/>
  <c r="P603" i="10"/>
  <c r="O603" i="10"/>
  <c r="S600" i="10"/>
  <c r="R600" i="10"/>
  <c r="Q600" i="10"/>
  <c r="T600" i="10" s="1"/>
  <c r="N600" i="10"/>
  <c r="M600" i="10"/>
  <c r="P600" i="10" s="1"/>
  <c r="L600" i="10"/>
  <c r="U584" i="10"/>
  <c r="T584" i="10"/>
  <c r="N584" i="10"/>
  <c r="N582" i="10" s="1"/>
  <c r="M584" i="10"/>
  <c r="P584" i="10" s="1"/>
  <c r="L584" i="10"/>
  <c r="L582" i="10" s="1"/>
  <c r="O582" i="10" s="1"/>
  <c r="U583" i="10"/>
  <c r="T583" i="10"/>
  <c r="P583" i="10"/>
  <c r="O583" i="10"/>
  <c r="T582" i="10"/>
  <c r="S582" i="10"/>
  <c r="R582" i="10"/>
  <c r="U582" i="10" s="1"/>
  <c r="Q582" i="10"/>
  <c r="U581" i="10"/>
  <c r="T581" i="10"/>
  <c r="N581" i="10"/>
  <c r="N579" i="10" s="1"/>
  <c r="M581" i="10"/>
  <c r="P581" i="10" s="1"/>
  <c r="L581" i="10"/>
  <c r="O581" i="10" s="1"/>
  <c r="U580" i="10"/>
  <c r="T580" i="10"/>
  <c r="P580" i="10"/>
  <c r="O580" i="10"/>
  <c r="U579" i="10"/>
  <c r="S579" i="10"/>
  <c r="R579" i="10"/>
  <c r="Q579" i="10"/>
  <c r="T579" i="10" s="1"/>
  <c r="S578" i="10"/>
  <c r="S576" i="10" s="1"/>
  <c r="R578" i="10"/>
  <c r="U578" i="10" s="1"/>
  <c r="Q578" i="10"/>
  <c r="T578" i="10" s="1"/>
  <c r="S577" i="10"/>
  <c r="R577" i="10"/>
  <c r="R576" i="10" s="1"/>
  <c r="U576" i="10" s="1"/>
  <c r="Q577" i="10"/>
  <c r="N577" i="10"/>
  <c r="M577" i="10"/>
  <c r="P577" i="10" s="1"/>
  <c r="L577" i="10"/>
  <c r="J575" i="10"/>
  <c r="I575" i="10"/>
  <c r="K575" i="10" s="1"/>
  <c r="U563" i="10"/>
  <c r="T563" i="10"/>
  <c r="N563" i="10"/>
  <c r="N561" i="10" s="1"/>
  <c r="M563" i="10"/>
  <c r="M561" i="10" s="1"/>
  <c r="P561" i="10" s="1"/>
  <c r="L563" i="10"/>
  <c r="O563" i="10" s="1"/>
  <c r="U562" i="10"/>
  <c r="T562" i="10"/>
  <c r="P562" i="10"/>
  <c r="O562" i="10"/>
  <c r="S561" i="10"/>
  <c r="R561" i="10"/>
  <c r="U561" i="10" s="1"/>
  <c r="Q561" i="10"/>
  <c r="T561" i="10" s="1"/>
  <c r="U560" i="10"/>
  <c r="T560" i="10"/>
  <c r="N560" i="10"/>
  <c r="M560" i="10"/>
  <c r="P560" i="10" s="1"/>
  <c r="L560" i="10"/>
  <c r="O560" i="10" s="1"/>
  <c r="U559" i="10"/>
  <c r="T559" i="10"/>
  <c r="P559" i="10"/>
  <c r="O559" i="10"/>
  <c r="S558" i="10"/>
  <c r="R558" i="10"/>
  <c r="U558" i="10" s="1"/>
  <c r="Q558" i="10"/>
  <c r="T558" i="10" s="1"/>
  <c r="S557" i="10"/>
  <c r="S555" i="10" s="1"/>
  <c r="R557" i="10"/>
  <c r="U557" i="10" s="1"/>
  <c r="Q557" i="10"/>
  <c r="T557" i="10" s="1"/>
  <c r="T556" i="10"/>
  <c r="S556" i="10"/>
  <c r="R556" i="10"/>
  <c r="U556" i="10" s="1"/>
  <c r="Q556" i="10"/>
  <c r="N556" i="10"/>
  <c r="M556" i="10"/>
  <c r="P556" i="10" s="1"/>
  <c r="L556" i="10"/>
  <c r="O556" i="10" s="1"/>
  <c r="J554" i="10"/>
  <c r="I554" i="10"/>
  <c r="K554" i="10" s="1"/>
  <c r="U542" i="10"/>
  <c r="T542" i="10"/>
  <c r="N542" i="10"/>
  <c r="N540" i="10" s="1"/>
  <c r="M542" i="10"/>
  <c r="L542" i="10"/>
  <c r="L540" i="10" s="1"/>
  <c r="O540" i="10" s="1"/>
  <c r="U541" i="10"/>
  <c r="T541" i="10"/>
  <c r="P541" i="10"/>
  <c r="O541" i="10"/>
  <c r="S540" i="10"/>
  <c r="R540" i="10"/>
  <c r="U540" i="10" s="1"/>
  <c r="Q540" i="10"/>
  <c r="T540" i="10" s="1"/>
  <c r="U539" i="10"/>
  <c r="T539" i="10"/>
  <c r="N539" i="10"/>
  <c r="N537" i="10" s="1"/>
  <c r="M539" i="10"/>
  <c r="P539" i="10" s="1"/>
  <c r="L539" i="10"/>
  <c r="O539" i="10" s="1"/>
  <c r="U538" i="10"/>
  <c r="T538" i="10"/>
  <c r="P538" i="10"/>
  <c r="O538" i="10"/>
  <c r="U537" i="10"/>
  <c r="S537" i="10"/>
  <c r="R537" i="10"/>
  <c r="Q537" i="10"/>
  <c r="T537" i="10" s="1"/>
  <c r="T536" i="10"/>
  <c r="S536" i="10"/>
  <c r="S534" i="10" s="1"/>
  <c r="R536" i="10"/>
  <c r="U536" i="10" s="1"/>
  <c r="Q536" i="10"/>
  <c r="S535" i="10"/>
  <c r="R535" i="10"/>
  <c r="U535" i="10" s="1"/>
  <c r="Q535" i="10"/>
  <c r="N535" i="10"/>
  <c r="M535" i="10"/>
  <c r="P535" i="10" s="1"/>
  <c r="L535" i="10"/>
  <c r="O535" i="10" s="1"/>
  <c r="J533" i="10"/>
  <c r="I533" i="10"/>
  <c r="K533" i="10" s="1"/>
  <c r="K524" i="10"/>
  <c r="K523" i="10"/>
  <c r="U521" i="10"/>
  <c r="T521" i="10"/>
  <c r="N521" i="10"/>
  <c r="N519" i="10" s="1"/>
  <c r="M521" i="10"/>
  <c r="L521" i="10"/>
  <c r="U520" i="10"/>
  <c r="T520" i="10"/>
  <c r="P520" i="10"/>
  <c r="O520" i="10"/>
  <c r="T519" i="10"/>
  <c r="S519" i="10"/>
  <c r="R519" i="10"/>
  <c r="U519" i="10" s="1"/>
  <c r="Q519" i="10"/>
  <c r="U518" i="10"/>
  <c r="T518" i="10"/>
  <c r="N518" i="10"/>
  <c r="M518" i="10"/>
  <c r="M516" i="10" s="1"/>
  <c r="P516" i="10" s="1"/>
  <c r="L518" i="10"/>
  <c r="U517" i="10"/>
  <c r="T517" i="10"/>
  <c r="P517" i="10"/>
  <c r="O517" i="10"/>
  <c r="S516" i="10"/>
  <c r="R516" i="10"/>
  <c r="U516" i="10" s="1"/>
  <c r="Q516" i="10"/>
  <c r="T516" i="10" s="1"/>
  <c r="S515" i="10"/>
  <c r="R515" i="10"/>
  <c r="U515" i="10" s="1"/>
  <c r="Q515" i="10"/>
  <c r="Q513" i="10" s="1"/>
  <c r="T513" i="10" s="1"/>
  <c r="T514" i="10"/>
  <c r="S514" i="10"/>
  <c r="R514" i="10"/>
  <c r="U514" i="10" s="1"/>
  <c r="Q514" i="10"/>
  <c r="N514" i="10"/>
  <c r="M514" i="10"/>
  <c r="P514" i="10" s="1"/>
  <c r="L514" i="10"/>
  <c r="O514" i="10" s="1"/>
  <c r="J512" i="10"/>
  <c r="I512" i="10"/>
  <c r="K512" i="10" s="1"/>
  <c r="I509" i="10"/>
  <c r="K509" i="10" s="1"/>
  <c r="K508" i="10"/>
  <c r="I507" i="10"/>
  <c r="K507" i="10" s="1"/>
  <c r="I506" i="10"/>
  <c r="K506" i="10" s="1"/>
  <c r="I505" i="10"/>
  <c r="K505" i="10" s="1"/>
  <c r="I504" i="10"/>
  <c r="I503" i="10"/>
  <c r="K503" i="10" s="1"/>
  <c r="U501" i="10"/>
  <c r="T501" i="10"/>
  <c r="N501" i="10"/>
  <c r="N499" i="10" s="1"/>
  <c r="M501" i="10"/>
  <c r="M499" i="10" s="1"/>
  <c r="P499" i="10" s="1"/>
  <c r="L501" i="10"/>
  <c r="O501" i="10" s="1"/>
  <c r="U500" i="10"/>
  <c r="T500" i="10"/>
  <c r="P500" i="10"/>
  <c r="O500" i="10"/>
  <c r="S499" i="10"/>
  <c r="R499" i="10"/>
  <c r="U499" i="10" s="1"/>
  <c r="Q499" i="10"/>
  <c r="T499" i="10" s="1"/>
  <c r="S498" i="10"/>
  <c r="S495" i="10" s="1"/>
  <c r="R498" i="10"/>
  <c r="R496" i="10" s="1"/>
  <c r="U496" i="10" s="1"/>
  <c r="Q498" i="10"/>
  <c r="Q495" i="10" s="1"/>
  <c r="N498" i="10"/>
  <c r="M498" i="10"/>
  <c r="M496" i="10" s="1"/>
  <c r="P496" i="10" s="1"/>
  <c r="L498" i="10"/>
  <c r="O498" i="10" s="1"/>
  <c r="U497" i="10"/>
  <c r="T497" i="10"/>
  <c r="P497" i="10"/>
  <c r="O497" i="10"/>
  <c r="S494" i="10"/>
  <c r="R494" i="10"/>
  <c r="U494" i="10" s="1"/>
  <c r="Q494" i="10"/>
  <c r="T494" i="10" s="1"/>
  <c r="N494" i="10"/>
  <c r="M494" i="10"/>
  <c r="P494" i="10" s="1"/>
  <c r="L494" i="10"/>
  <c r="O494" i="10" s="1"/>
  <c r="J485" i="10"/>
  <c r="I485" i="10"/>
  <c r="K485" i="10" s="1"/>
  <c r="J484" i="10"/>
  <c r="I484" i="10"/>
  <c r="K484" i="10" s="1"/>
  <c r="J483" i="10"/>
  <c r="J482" i="10"/>
  <c r="K477" i="10"/>
  <c r="J477" i="10"/>
  <c r="K476" i="10"/>
  <c r="J476" i="10"/>
  <c r="K475" i="10"/>
  <c r="J475" i="10"/>
  <c r="J468" i="10"/>
  <c r="J467" i="10"/>
  <c r="J460" i="10"/>
  <c r="J459" i="10"/>
  <c r="I458" i="10"/>
  <c r="K458" i="10" s="1"/>
  <c r="J457" i="10"/>
  <c r="I457" i="10"/>
  <c r="I456" i="10" s="1"/>
  <c r="J447" i="10"/>
  <c r="J446" i="10"/>
  <c r="J441" i="10"/>
  <c r="I441" i="10"/>
  <c r="K441" i="10" s="1"/>
  <c r="J440" i="10"/>
  <c r="J423" i="10" s="1"/>
  <c r="J412" i="10" s="1"/>
  <c r="I440" i="10"/>
  <c r="I423" i="10" s="1"/>
  <c r="I412" i="10" s="1"/>
  <c r="J433" i="10"/>
  <c r="I433" i="10"/>
  <c r="J432" i="10"/>
  <c r="I432" i="10"/>
  <c r="K432" i="10" s="1"/>
  <c r="J425" i="10"/>
  <c r="I425" i="10"/>
  <c r="J424" i="10"/>
  <c r="I424" i="10"/>
  <c r="U421" i="10"/>
  <c r="T421" i="10"/>
  <c r="N421" i="10"/>
  <c r="N419" i="10" s="1"/>
  <c r="M421" i="10"/>
  <c r="P421" i="10" s="1"/>
  <c r="L421" i="10"/>
  <c r="L419" i="10" s="1"/>
  <c r="O419" i="10" s="1"/>
  <c r="U420" i="10"/>
  <c r="T420" i="10"/>
  <c r="P420" i="10"/>
  <c r="O420" i="10"/>
  <c r="S419" i="10"/>
  <c r="R419" i="10"/>
  <c r="U419" i="10" s="1"/>
  <c r="Q419" i="10"/>
  <c r="T419" i="10" s="1"/>
  <c r="S418" i="10"/>
  <c r="S416" i="10" s="1"/>
  <c r="R418" i="10"/>
  <c r="R416" i="10" s="1"/>
  <c r="Q418" i="10"/>
  <c r="N418" i="10"/>
  <c r="M418" i="10"/>
  <c r="M416" i="10" s="1"/>
  <c r="L418" i="10"/>
  <c r="L416" i="10" s="1"/>
  <c r="U417" i="10"/>
  <c r="T417" i="10"/>
  <c r="P417" i="10"/>
  <c r="O417" i="10"/>
  <c r="S414" i="10"/>
  <c r="R414" i="10"/>
  <c r="Q414" i="10"/>
  <c r="T414" i="10" s="1"/>
  <c r="N414" i="10"/>
  <c r="M414" i="10"/>
  <c r="P414" i="10" s="1"/>
  <c r="L414" i="10"/>
  <c r="U400" i="10"/>
  <c r="T400" i="10"/>
  <c r="P400" i="10"/>
  <c r="O400" i="10"/>
  <c r="U399" i="10"/>
  <c r="T399" i="10"/>
  <c r="P399" i="10"/>
  <c r="O399" i="10"/>
  <c r="S398" i="10"/>
  <c r="R398" i="10"/>
  <c r="U398" i="10" s="1"/>
  <c r="Q398" i="10"/>
  <c r="T398" i="10" s="1"/>
  <c r="N398" i="10"/>
  <c r="M398" i="10"/>
  <c r="P398" i="10" s="1"/>
  <c r="L398" i="10"/>
  <c r="O398" i="10" s="1"/>
  <c r="S397" i="10"/>
  <c r="S394" i="10" s="1"/>
  <c r="R397" i="10"/>
  <c r="R394" i="10" s="1"/>
  <c r="U394" i="10" s="1"/>
  <c r="Q397" i="10"/>
  <c r="P397" i="10"/>
  <c r="O397" i="10"/>
  <c r="U396" i="10"/>
  <c r="T396" i="10"/>
  <c r="P396" i="10"/>
  <c r="O396" i="10"/>
  <c r="N395" i="10"/>
  <c r="M395" i="10"/>
  <c r="P395" i="10" s="1"/>
  <c r="L395" i="10"/>
  <c r="O395" i="10" s="1"/>
  <c r="N394" i="10"/>
  <c r="M394" i="10"/>
  <c r="P394" i="10" s="1"/>
  <c r="L394" i="10"/>
  <c r="O394" i="10" s="1"/>
  <c r="S393" i="10"/>
  <c r="R393" i="10"/>
  <c r="Q393" i="10"/>
  <c r="T393" i="10" s="1"/>
  <c r="P393" i="10"/>
  <c r="N393" i="10"/>
  <c r="M393" i="10"/>
  <c r="M392" i="10" s="1"/>
  <c r="P392" i="10" s="1"/>
  <c r="L393" i="10"/>
  <c r="J391" i="10"/>
  <c r="I391" i="10"/>
  <c r="K391" i="10" s="1"/>
  <c r="J388" i="10"/>
  <c r="I388" i="10"/>
  <c r="K388" i="10" s="1"/>
  <c r="K387" i="10"/>
  <c r="J387" i="10"/>
  <c r="J386" i="10"/>
  <c r="I386" i="10"/>
  <c r="K385" i="10"/>
  <c r="J385" i="10"/>
  <c r="U383" i="10"/>
  <c r="T383" i="10"/>
  <c r="N383" i="10"/>
  <c r="N381" i="10" s="1"/>
  <c r="M383" i="10"/>
  <c r="P383" i="10" s="1"/>
  <c r="L383" i="10"/>
  <c r="U382" i="10"/>
  <c r="T382" i="10"/>
  <c r="P382" i="10"/>
  <c r="O382" i="10"/>
  <c r="T381" i="10"/>
  <c r="S381" i="10"/>
  <c r="R381" i="10"/>
  <c r="U381" i="10" s="1"/>
  <c r="Q381" i="10"/>
  <c r="S380" i="10"/>
  <c r="S377" i="10" s="1"/>
  <c r="R380" i="10"/>
  <c r="R377" i="10" s="1"/>
  <c r="Q380" i="10"/>
  <c r="Q378" i="10" s="1"/>
  <c r="N380" i="10"/>
  <c r="N378" i="10" s="1"/>
  <c r="M380" i="10"/>
  <c r="P380" i="10" s="1"/>
  <c r="L380" i="10"/>
  <c r="U379" i="10"/>
  <c r="T379" i="10"/>
  <c r="P379" i="10"/>
  <c r="O379" i="10"/>
  <c r="S376" i="10"/>
  <c r="R376" i="10"/>
  <c r="U376" i="10" s="1"/>
  <c r="Q376" i="10"/>
  <c r="T376" i="10" s="1"/>
  <c r="N376" i="10"/>
  <c r="M376" i="10"/>
  <c r="P376" i="10" s="1"/>
  <c r="L376" i="10"/>
  <c r="O376" i="10" s="1"/>
  <c r="D373" i="10"/>
  <c r="K372" i="10"/>
  <c r="J372" i="10"/>
  <c r="J371" i="10"/>
  <c r="I371" i="10"/>
  <c r="I365" i="10" s="1"/>
  <c r="K370" i="10"/>
  <c r="J370" i="10"/>
  <c r="J369" i="10"/>
  <c r="I369" i="10"/>
  <c r="J368" i="10"/>
  <c r="I368" i="10"/>
  <c r="K367" i="10"/>
  <c r="J367" i="10"/>
  <c r="U364" i="10"/>
  <c r="T364" i="10"/>
  <c r="N364" i="10"/>
  <c r="N362" i="10" s="1"/>
  <c r="M364" i="10"/>
  <c r="L364" i="10"/>
  <c r="L362" i="10" s="1"/>
  <c r="O362" i="10" s="1"/>
  <c r="U363" i="10"/>
  <c r="T363" i="10"/>
  <c r="P363" i="10"/>
  <c r="O363" i="10"/>
  <c r="S362" i="10"/>
  <c r="R362" i="10"/>
  <c r="U362" i="10" s="1"/>
  <c r="Q362" i="10"/>
  <c r="T362" i="10" s="1"/>
  <c r="U361" i="10"/>
  <c r="T361" i="10"/>
  <c r="N361" i="10"/>
  <c r="M361" i="10"/>
  <c r="L361" i="10"/>
  <c r="L359" i="10" s="1"/>
  <c r="U360" i="10"/>
  <c r="T360" i="10"/>
  <c r="P360" i="10"/>
  <c r="O360" i="10"/>
  <c r="S359" i="10"/>
  <c r="R359" i="10"/>
  <c r="U359" i="10" s="1"/>
  <c r="Q359" i="10"/>
  <c r="T359" i="10" s="1"/>
  <c r="S358" i="10"/>
  <c r="R358" i="10"/>
  <c r="U358" i="10" s="1"/>
  <c r="Q358" i="10"/>
  <c r="T358" i="10" s="1"/>
  <c r="S357" i="10"/>
  <c r="R357" i="10"/>
  <c r="U357" i="10" s="1"/>
  <c r="Q357" i="10"/>
  <c r="T357" i="10" s="1"/>
  <c r="N357" i="10"/>
  <c r="M357" i="10"/>
  <c r="P357" i="10" s="1"/>
  <c r="L357" i="10"/>
  <c r="O357" i="10" s="1"/>
  <c r="R356" i="10"/>
  <c r="U356" i="10" s="1"/>
  <c r="D354" i="10"/>
  <c r="J353" i="10"/>
  <c r="J352" i="10"/>
  <c r="D350" i="10"/>
  <c r="J349" i="10"/>
  <c r="J348" i="10"/>
  <c r="J347" i="10"/>
  <c r="J346" i="10"/>
  <c r="I346" i="10"/>
  <c r="J344" i="10"/>
  <c r="I344" i="10"/>
  <c r="I332" i="10" s="1"/>
  <c r="U341" i="10"/>
  <c r="T341" i="10"/>
  <c r="N341" i="10"/>
  <c r="N339" i="10" s="1"/>
  <c r="M341" i="10"/>
  <c r="M339" i="10" s="1"/>
  <c r="P339" i="10" s="1"/>
  <c r="L341" i="10"/>
  <c r="O341" i="10" s="1"/>
  <c r="U340" i="10"/>
  <c r="T340" i="10"/>
  <c r="P340" i="10"/>
  <c r="O340" i="10"/>
  <c r="S339" i="10"/>
  <c r="R339" i="10"/>
  <c r="U339" i="10" s="1"/>
  <c r="Q339" i="10"/>
  <c r="T339" i="10" s="1"/>
  <c r="U338" i="10"/>
  <c r="T338" i="10"/>
  <c r="N338" i="10"/>
  <c r="N336" i="10" s="1"/>
  <c r="M338" i="10"/>
  <c r="L338" i="10"/>
  <c r="U337" i="10"/>
  <c r="T337" i="10"/>
  <c r="P337" i="10"/>
  <c r="O337" i="10"/>
  <c r="U336" i="10"/>
  <c r="T336" i="10"/>
  <c r="S336" i="10"/>
  <c r="R336" i="10"/>
  <c r="Q336" i="10"/>
  <c r="S335" i="10"/>
  <c r="S333" i="10" s="1"/>
  <c r="R335" i="10"/>
  <c r="Q335" i="10"/>
  <c r="T335" i="10" s="1"/>
  <c r="S334" i="10"/>
  <c r="R334" i="10"/>
  <c r="U334" i="10" s="1"/>
  <c r="Q334" i="10"/>
  <c r="P334" i="10"/>
  <c r="O334" i="10"/>
  <c r="N334" i="10"/>
  <c r="M334" i="10"/>
  <c r="L334" i="10"/>
  <c r="I330" i="10"/>
  <c r="U328" i="10"/>
  <c r="T328" i="10"/>
  <c r="N328" i="10"/>
  <c r="M328" i="10"/>
  <c r="M326" i="10" s="1"/>
  <c r="P326" i="10" s="1"/>
  <c r="L328" i="10"/>
  <c r="U327" i="10"/>
  <c r="T327" i="10"/>
  <c r="P327" i="10"/>
  <c r="O327" i="10"/>
  <c r="S326" i="10"/>
  <c r="R326" i="10"/>
  <c r="U326" i="10" s="1"/>
  <c r="Q326" i="10"/>
  <c r="T326" i="10" s="1"/>
  <c r="U325" i="10"/>
  <c r="T325" i="10"/>
  <c r="N325" i="10"/>
  <c r="N323" i="10" s="1"/>
  <c r="M325" i="10"/>
  <c r="P325" i="10" s="1"/>
  <c r="L325" i="10"/>
  <c r="U324" i="10"/>
  <c r="T324" i="10"/>
  <c r="P324" i="10"/>
  <c r="O324" i="10"/>
  <c r="S323" i="10"/>
  <c r="R323" i="10"/>
  <c r="U323" i="10" s="1"/>
  <c r="Q323" i="10"/>
  <c r="T323" i="10" s="1"/>
  <c r="S322" i="10"/>
  <c r="S320" i="10" s="1"/>
  <c r="R322" i="10"/>
  <c r="Q322" i="10"/>
  <c r="S321" i="10"/>
  <c r="R321" i="10"/>
  <c r="U321" i="10" s="1"/>
  <c r="Q321" i="10"/>
  <c r="T321" i="10" s="1"/>
  <c r="P321" i="10"/>
  <c r="N321" i="10"/>
  <c r="M321" i="10"/>
  <c r="L321" i="10"/>
  <c r="O321" i="10" s="1"/>
  <c r="J319" i="10"/>
  <c r="I314" i="10"/>
  <c r="U311" i="10"/>
  <c r="T311" i="10"/>
  <c r="N311" i="10"/>
  <c r="N309" i="10" s="1"/>
  <c r="M311" i="10"/>
  <c r="L311" i="10"/>
  <c r="L309" i="10" s="1"/>
  <c r="O309" i="10" s="1"/>
  <c r="U310" i="10"/>
  <c r="T310" i="10"/>
  <c r="P310" i="10"/>
  <c r="O310" i="10"/>
  <c r="T309" i="10"/>
  <c r="S309" i="10"/>
  <c r="R309" i="10"/>
  <c r="U309" i="10" s="1"/>
  <c r="Q309" i="10"/>
  <c r="S308" i="10"/>
  <c r="R308" i="10"/>
  <c r="Q308" i="10"/>
  <c r="N308" i="10"/>
  <c r="N306" i="10" s="1"/>
  <c r="M308" i="10"/>
  <c r="L308" i="10"/>
  <c r="L306" i="10" s="1"/>
  <c r="O306" i="10" s="1"/>
  <c r="U307" i="10"/>
  <c r="T307" i="10"/>
  <c r="P307" i="10"/>
  <c r="O307" i="10"/>
  <c r="S304" i="10"/>
  <c r="R304" i="10"/>
  <c r="Q304" i="10"/>
  <c r="N304" i="10"/>
  <c r="M304" i="10"/>
  <c r="P304" i="10" s="1"/>
  <c r="L304" i="10"/>
  <c r="J302" i="10"/>
  <c r="I296" i="10"/>
  <c r="K296" i="10" s="1"/>
  <c r="I295" i="10"/>
  <c r="K295" i="10" s="1"/>
  <c r="J293" i="10"/>
  <c r="J280" i="10" s="1"/>
  <c r="I293" i="10"/>
  <c r="I292" i="10"/>
  <c r="K292" i="10" s="1"/>
  <c r="U290" i="10"/>
  <c r="T290" i="10"/>
  <c r="N290" i="10"/>
  <c r="N288" i="10" s="1"/>
  <c r="M290" i="10"/>
  <c r="P290" i="10" s="1"/>
  <c r="L290" i="10"/>
  <c r="U289" i="10"/>
  <c r="T289" i="10"/>
  <c r="P289" i="10"/>
  <c r="O289" i="10"/>
  <c r="S288" i="10"/>
  <c r="R288" i="10"/>
  <c r="U288" i="10" s="1"/>
  <c r="Q288" i="10"/>
  <c r="T288" i="10" s="1"/>
  <c r="U287" i="10"/>
  <c r="T287" i="10"/>
  <c r="N287" i="10"/>
  <c r="M287" i="10"/>
  <c r="L287" i="10"/>
  <c r="U286" i="10"/>
  <c r="T286" i="10"/>
  <c r="P286" i="10"/>
  <c r="O286" i="10"/>
  <c r="U285" i="10"/>
  <c r="T285" i="10"/>
  <c r="S285" i="10"/>
  <c r="R285" i="10"/>
  <c r="Q285" i="10"/>
  <c r="T284" i="10"/>
  <c r="S284" i="10"/>
  <c r="S282" i="10" s="1"/>
  <c r="R284" i="10"/>
  <c r="U284" i="10" s="1"/>
  <c r="Q284" i="10"/>
  <c r="S283" i="10"/>
  <c r="R283" i="10"/>
  <c r="Q283" i="10"/>
  <c r="P283" i="10"/>
  <c r="N283" i="10"/>
  <c r="M283" i="10"/>
  <c r="L283" i="10"/>
  <c r="O283" i="10" s="1"/>
  <c r="J281" i="10"/>
  <c r="I276" i="10"/>
  <c r="U274" i="10"/>
  <c r="T274" i="10"/>
  <c r="N274" i="10"/>
  <c r="N272" i="10" s="1"/>
  <c r="M274" i="10"/>
  <c r="P274" i="10" s="1"/>
  <c r="L274" i="10"/>
  <c r="U273" i="10"/>
  <c r="T273" i="10"/>
  <c r="P273" i="10"/>
  <c r="O273" i="10"/>
  <c r="S272" i="10"/>
  <c r="R272" i="10"/>
  <c r="U272" i="10" s="1"/>
  <c r="Q272" i="10"/>
  <c r="T272" i="10" s="1"/>
  <c r="S271" i="10"/>
  <c r="S269" i="10" s="1"/>
  <c r="R271" i="10"/>
  <c r="Q271" i="10"/>
  <c r="N271" i="10"/>
  <c r="N269" i="10" s="1"/>
  <c r="M271" i="10"/>
  <c r="M269" i="10" s="1"/>
  <c r="L271" i="10"/>
  <c r="U270" i="10"/>
  <c r="T270" i="10"/>
  <c r="P270" i="10"/>
  <c r="O270" i="10"/>
  <c r="S267" i="10"/>
  <c r="R267" i="10"/>
  <c r="U267" i="10" s="1"/>
  <c r="Q267" i="10"/>
  <c r="T267" i="10" s="1"/>
  <c r="O267" i="10"/>
  <c r="N267" i="10"/>
  <c r="M267" i="10"/>
  <c r="L267" i="10"/>
  <c r="J265" i="10"/>
  <c r="K263" i="10"/>
  <c r="K262" i="10"/>
  <c r="I260" i="10"/>
  <c r="I253" i="10" s="1"/>
  <c r="K253" i="10" s="1"/>
  <c r="L258" i="10"/>
  <c r="L257" i="10"/>
  <c r="L256" i="10"/>
  <c r="L255" i="10"/>
  <c r="P254" i="10"/>
  <c r="N254" i="10"/>
  <c r="J253" i="10"/>
  <c r="K252" i="10"/>
  <c r="K251" i="10"/>
  <c r="I249" i="10"/>
  <c r="L247" i="10"/>
  <c r="L246" i="10"/>
  <c r="L245" i="10"/>
  <c r="L244" i="10"/>
  <c r="P243" i="10"/>
  <c r="N243" i="10"/>
  <c r="J242" i="10"/>
  <c r="J241" i="10"/>
  <c r="I241" i="10"/>
  <c r="K241" i="10" s="1"/>
  <c r="J240" i="10"/>
  <c r="I240" i="10"/>
  <c r="K240" i="10" s="1"/>
  <c r="J238" i="10"/>
  <c r="N236" i="10"/>
  <c r="N235" i="10"/>
  <c r="N234" i="10"/>
  <c r="N233" i="10"/>
  <c r="I230" i="10"/>
  <c r="K230" i="10" s="1"/>
  <c r="I229" i="10"/>
  <c r="I221" i="10" s="1"/>
  <c r="K221" i="10" s="1"/>
  <c r="I228" i="10"/>
  <c r="K228" i="10" s="1"/>
  <c r="L225" i="10"/>
  <c r="L224" i="10"/>
  <c r="L223" i="10"/>
  <c r="P222" i="10"/>
  <c r="N222" i="10"/>
  <c r="J221" i="10"/>
  <c r="I220" i="10"/>
  <c r="K220" i="10" s="1"/>
  <c r="I219" i="10"/>
  <c r="K219" i="10" s="1"/>
  <c r="Q217" i="10"/>
  <c r="Q214" i="10" s="1"/>
  <c r="T214" i="10" s="1"/>
  <c r="L217" i="10"/>
  <c r="L216" i="10"/>
  <c r="L215" i="10"/>
  <c r="U214" i="10"/>
  <c r="S214" i="10"/>
  <c r="P214" i="10"/>
  <c r="N214" i="10"/>
  <c r="J213" i="10"/>
  <c r="I212" i="10"/>
  <c r="K212" i="10" s="1"/>
  <c r="I211" i="10"/>
  <c r="K211" i="10" s="1"/>
  <c r="I209" i="10"/>
  <c r="K209" i="10" s="1"/>
  <c r="L207" i="10"/>
  <c r="Q206" i="10"/>
  <c r="Q203" i="10" s="1"/>
  <c r="T203" i="10" s="1"/>
  <c r="L206" i="10"/>
  <c r="L205" i="10"/>
  <c r="L204" i="10"/>
  <c r="U203" i="10"/>
  <c r="S203" i="10"/>
  <c r="P203" i="10"/>
  <c r="N203" i="10"/>
  <c r="J202" i="10"/>
  <c r="J199" i="10"/>
  <c r="I198" i="10"/>
  <c r="K198" i="10" s="1"/>
  <c r="P196" i="10"/>
  <c r="L196" i="10"/>
  <c r="O196" i="10" s="1"/>
  <c r="J195" i="10"/>
  <c r="S194" i="10"/>
  <c r="S192" i="10" s="1"/>
  <c r="R194" i="10"/>
  <c r="U194" i="10" s="1"/>
  <c r="Q194" i="10"/>
  <c r="N194" i="10"/>
  <c r="N192" i="10" s="1"/>
  <c r="M194" i="10"/>
  <c r="M192" i="10" s="1"/>
  <c r="P192" i="10" s="1"/>
  <c r="L194" i="10"/>
  <c r="O194" i="10" s="1"/>
  <c r="U193" i="10"/>
  <c r="T193" i="10"/>
  <c r="P193" i="10"/>
  <c r="O193" i="10"/>
  <c r="S191" i="10"/>
  <c r="R191" i="10"/>
  <c r="Q191" i="10"/>
  <c r="Q189" i="10" s="1"/>
  <c r="N191" i="10"/>
  <c r="N189" i="10" s="1"/>
  <c r="M191" i="10"/>
  <c r="L191" i="10"/>
  <c r="L189" i="10" s="1"/>
  <c r="U190" i="10"/>
  <c r="T190" i="10"/>
  <c r="P190" i="10"/>
  <c r="O190" i="10"/>
  <c r="S187" i="10"/>
  <c r="R187" i="10"/>
  <c r="U187" i="10" s="1"/>
  <c r="Q187" i="10"/>
  <c r="T187" i="10" s="1"/>
  <c r="N187" i="10"/>
  <c r="M187" i="10"/>
  <c r="P187" i="10" s="1"/>
  <c r="L187" i="10"/>
  <c r="O187" i="10" s="1"/>
  <c r="K184" i="10"/>
  <c r="I183" i="10"/>
  <c r="K183" i="10" s="1"/>
  <c r="U181" i="10"/>
  <c r="T181" i="10"/>
  <c r="N181" i="10"/>
  <c r="N179" i="10" s="1"/>
  <c r="M181" i="10"/>
  <c r="M179" i="10" s="1"/>
  <c r="P179" i="10" s="1"/>
  <c r="L181" i="10"/>
  <c r="U180" i="10"/>
  <c r="T180" i="10"/>
  <c r="P180" i="10"/>
  <c r="O180" i="10"/>
  <c r="S179" i="10"/>
  <c r="R179" i="10"/>
  <c r="U179" i="10" s="1"/>
  <c r="Q179" i="10"/>
  <c r="T179" i="10" s="1"/>
  <c r="S178" i="10"/>
  <c r="S175" i="10" s="1"/>
  <c r="R178" i="10"/>
  <c r="U178" i="10" s="1"/>
  <c r="Q178" i="10"/>
  <c r="Q176" i="10" s="1"/>
  <c r="T176" i="10" s="1"/>
  <c r="N178" i="10"/>
  <c r="N176" i="10" s="1"/>
  <c r="M178" i="10"/>
  <c r="M176" i="10" s="1"/>
  <c r="L178" i="10"/>
  <c r="U177" i="10"/>
  <c r="T177" i="10"/>
  <c r="P177" i="10"/>
  <c r="O177" i="10"/>
  <c r="S174" i="10"/>
  <c r="R174" i="10"/>
  <c r="Q174" i="10"/>
  <c r="T174" i="10" s="1"/>
  <c r="O174" i="10"/>
  <c r="N174" i="10"/>
  <c r="M174" i="10"/>
  <c r="P174" i="10" s="1"/>
  <c r="L174" i="10"/>
  <c r="J172" i="10"/>
  <c r="I169" i="10"/>
  <c r="K169" i="10" s="1"/>
  <c r="I168" i="10"/>
  <c r="K168" i="10" s="1"/>
  <c r="I167" i="10"/>
  <c r="K167" i="10" s="1"/>
  <c r="U165" i="10"/>
  <c r="T165" i="10"/>
  <c r="N165" i="10"/>
  <c r="N163" i="10" s="1"/>
  <c r="M165" i="10"/>
  <c r="L165" i="10"/>
  <c r="O165" i="10" s="1"/>
  <c r="U164" i="10"/>
  <c r="T164" i="10"/>
  <c r="P164" i="10"/>
  <c r="O164" i="10"/>
  <c r="S163" i="10"/>
  <c r="R163" i="10"/>
  <c r="U163" i="10" s="1"/>
  <c r="Q163" i="10"/>
  <c r="T163" i="10" s="1"/>
  <c r="S162" i="10"/>
  <c r="S159" i="10" s="1"/>
  <c r="R162" i="10"/>
  <c r="R159" i="10" s="1"/>
  <c r="U159" i="10" s="1"/>
  <c r="Q162" i="10"/>
  <c r="T162" i="10" s="1"/>
  <c r="N162" i="10"/>
  <c r="M162" i="10"/>
  <c r="M160" i="10" s="1"/>
  <c r="L162" i="10"/>
  <c r="L160" i="10" s="1"/>
  <c r="O160" i="10" s="1"/>
  <c r="U161" i="10"/>
  <c r="T161" i="10"/>
  <c r="P161" i="10"/>
  <c r="O161" i="10"/>
  <c r="T158" i="10"/>
  <c r="S158" i="10"/>
  <c r="R158" i="10"/>
  <c r="Q158" i="10"/>
  <c r="N158" i="10"/>
  <c r="M158" i="10"/>
  <c r="P158" i="10" s="1"/>
  <c r="L158" i="10"/>
  <c r="J156" i="10"/>
  <c r="I154" i="10"/>
  <c r="I153" i="10"/>
  <c r="I138" i="10" s="1"/>
  <c r="K138" i="10" s="1"/>
  <c r="I152" i="10"/>
  <c r="K152" i="10" s="1"/>
  <c r="I151" i="10"/>
  <c r="K151" i="10" s="1"/>
  <c r="I150" i="10"/>
  <c r="K150" i="10" s="1"/>
  <c r="S147" i="10"/>
  <c r="S145" i="10" s="1"/>
  <c r="R147" i="10"/>
  <c r="U147" i="10" s="1"/>
  <c r="Q147" i="10"/>
  <c r="T147" i="10" s="1"/>
  <c r="N147" i="10"/>
  <c r="N145" i="10" s="1"/>
  <c r="M147" i="10"/>
  <c r="L147" i="10"/>
  <c r="O147" i="10" s="1"/>
  <c r="U146" i="10"/>
  <c r="T146" i="10"/>
  <c r="P146" i="10"/>
  <c r="O146" i="10"/>
  <c r="S144" i="10"/>
  <c r="S142" i="10" s="1"/>
  <c r="R144" i="10"/>
  <c r="U144" i="10" s="1"/>
  <c r="Q144" i="10"/>
  <c r="Q142" i="10" s="1"/>
  <c r="T142" i="10" s="1"/>
  <c r="N144" i="10"/>
  <c r="N142" i="10" s="1"/>
  <c r="M144" i="10"/>
  <c r="P144" i="10" s="1"/>
  <c r="L144" i="10"/>
  <c r="O144" i="10" s="1"/>
  <c r="U143" i="10"/>
  <c r="T143" i="10"/>
  <c r="P143" i="10"/>
  <c r="O143" i="10"/>
  <c r="S140" i="10"/>
  <c r="R140" i="10"/>
  <c r="Q140" i="10"/>
  <c r="T140" i="10" s="1"/>
  <c r="N140" i="10"/>
  <c r="M140" i="10"/>
  <c r="L140" i="10"/>
  <c r="J138" i="10"/>
  <c r="J137" i="10"/>
  <c r="J136" i="10"/>
  <c r="I130" i="10"/>
  <c r="K130" i="10" s="1"/>
  <c r="I129" i="10"/>
  <c r="K129" i="10" s="1"/>
  <c r="I128" i="10"/>
  <c r="K128" i="10" s="1"/>
  <c r="I127" i="10"/>
  <c r="I116" i="10" s="1"/>
  <c r="S125" i="10"/>
  <c r="R125" i="10"/>
  <c r="R123" i="10" s="1"/>
  <c r="U123" i="10" s="1"/>
  <c r="Q125" i="10"/>
  <c r="Q123" i="10" s="1"/>
  <c r="T123" i="10" s="1"/>
  <c r="N125" i="10"/>
  <c r="N123" i="10" s="1"/>
  <c r="M125" i="10"/>
  <c r="P125" i="10" s="1"/>
  <c r="L125" i="10"/>
  <c r="O125" i="10" s="1"/>
  <c r="U124" i="10"/>
  <c r="T124" i="10"/>
  <c r="P124" i="10"/>
  <c r="O124" i="10"/>
  <c r="S122" i="10"/>
  <c r="S120" i="10" s="1"/>
  <c r="R122" i="10"/>
  <c r="Q122" i="10"/>
  <c r="N122" i="10"/>
  <c r="M122" i="10"/>
  <c r="P122" i="10" s="1"/>
  <c r="L122" i="10"/>
  <c r="O122" i="10" s="1"/>
  <c r="U121" i="10"/>
  <c r="T121" i="10"/>
  <c r="P121" i="10"/>
  <c r="O121" i="10"/>
  <c r="U118" i="10"/>
  <c r="S118" i="10"/>
  <c r="R118" i="10"/>
  <c r="Q118" i="10"/>
  <c r="N118" i="10"/>
  <c r="M118" i="10"/>
  <c r="P118" i="10" s="1"/>
  <c r="L118" i="10"/>
  <c r="O118" i="10" s="1"/>
  <c r="J116" i="10"/>
  <c r="I114" i="10"/>
  <c r="K114" i="10" s="1"/>
  <c r="I113" i="10"/>
  <c r="K113" i="10" s="1"/>
  <c r="I109" i="10"/>
  <c r="I93" i="10" s="1"/>
  <c r="I108" i="10"/>
  <c r="U102" i="10"/>
  <c r="T102" i="10"/>
  <c r="N102" i="10"/>
  <c r="N100" i="10" s="1"/>
  <c r="M102" i="10"/>
  <c r="L102" i="10"/>
  <c r="U101" i="10"/>
  <c r="T101" i="10"/>
  <c r="P101" i="10"/>
  <c r="O101" i="10"/>
  <c r="S100" i="10"/>
  <c r="R100" i="10"/>
  <c r="U100" i="10" s="1"/>
  <c r="Q100" i="10"/>
  <c r="T100" i="10" s="1"/>
  <c r="S99" i="10"/>
  <c r="R99" i="10"/>
  <c r="R97" i="10" s="1"/>
  <c r="Q99" i="10"/>
  <c r="Q97" i="10" s="1"/>
  <c r="N99" i="10"/>
  <c r="N97" i="10" s="1"/>
  <c r="M99" i="10"/>
  <c r="L99" i="10"/>
  <c r="L97" i="10" s="1"/>
  <c r="O97" i="10" s="1"/>
  <c r="U98" i="10"/>
  <c r="T98" i="10"/>
  <c r="P98" i="10"/>
  <c r="O98" i="10"/>
  <c r="U95" i="10"/>
  <c r="T95" i="10"/>
  <c r="S95" i="10"/>
  <c r="R95" i="10"/>
  <c r="Q95" i="10"/>
  <c r="O95" i="10"/>
  <c r="N95" i="10"/>
  <c r="M95" i="10"/>
  <c r="P95" i="10" s="1"/>
  <c r="L95" i="10"/>
  <c r="J93" i="10"/>
  <c r="J92" i="10"/>
  <c r="I90" i="10"/>
  <c r="K90" i="10" s="1"/>
  <c r="I89" i="10"/>
  <c r="K89" i="10" s="1"/>
  <c r="I88" i="10"/>
  <c r="K88" i="10" s="1"/>
  <c r="I87" i="10"/>
  <c r="K87" i="10" s="1"/>
  <c r="I86" i="10"/>
  <c r="I85" i="10"/>
  <c r="I84" i="10"/>
  <c r="K84" i="10" s="1"/>
  <c r="J83" i="10"/>
  <c r="J71" i="10" s="1"/>
  <c r="J82" i="10"/>
  <c r="J70" i="10" s="1"/>
  <c r="S80" i="10"/>
  <c r="R80" i="10"/>
  <c r="Q80" i="10"/>
  <c r="T80" i="10" s="1"/>
  <c r="N80" i="10"/>
  <c r="N78" i="10" s="1"/>
  <c r="M80" i="10"/>
  <c r="L80" i="10"/>
  <c r="U79" i="10"/>
  <c r="T79" i="10"/>
  <c r="P79" i="10"/>
  <c r="O79" i="10"/>
  <c r="S77" i="10"/>
  <c r="S75" i="10" s="1"/>
  <c r="R77" i="10"/>
  <c r="Q77" i="10"/>
  <c r="Q75" i="10" s="1"/>
  <c r="N77" i="10"/>
  <c r="M77" i="10"/>
  <c r="L77" i="10"/>
  <c r="L75" i="10" s="1"/>
  <c r="U76" i="10"/>
  <c r="T76" i="10"/>
  <c r="P76" i="10"/>
  <c r="O76" i="10"/>
  <c r="S73" i="10"/>
  <c r="R73" i="10"/>
  <c r="U73" i="10" s="1"/>
  <c r="Q73" i="10"/>
  <c r="T73" i="10" s="1"/>
  <c r="N73" i="10"/>
  <c r="M73" i="10"/>
  <c r="L73" i="10"/>
  <c r="O73" i="10" s="1"/>
  <c r="U67" i="10"/>
  <c r="T67" i="10"/>
  <c r="N67" i="10"/>
  <c r="M67" i="10"/>
  <c r="M65" i="10" s="1"/>
  <c r="L67" i="10"/>
  <c r="L65" i="10" s="1"/>
  <c r="U66" i="10"/>
  <c r="T66" i="10"/>
  <c r="P66" i="10"/>
  <c r="O66" i="10"/>
  <c r="S65" i="10"/>
  <c r="R65" i="10"/>
  <c r="U65" i="10" s="1"/>
  <c r="Q65" i="10"/>
  <c r="T65" i="10" s="1"/>
  <c r="U64" i="10"/>
  <c r="T64" i="10"/>
  <c r="N64" i="10"/>
  <c r="N62" i="10" s="1"/>
  <c r="M64" i="10"/>
  <c r="M62" i="10" s="1"/>
  <c r="L64" i="10"/>
  <c r="L62" i="10" s="1"/>
  <c r="U63" i="10"/>
  <c r="T63" i="10"/>
  <c r="P63" i="10"/>
  <c r="O63" i="10"/>
  <c r="U62" i="10"/>
  <c r="S62" i="10"/>
  <c r="R62" i="10"/>
  <c r="Q62" i="10"/>
  <c r="T62" i="10" s="1"/>
  <c r="S61" i="10"/>
  <c r="R61" i="10"/>
  <c r="U61" i="10" s="1"/>
  <c r="Q61" i="10"/>
  <c r="T61" i="10" s="1"/>
  <c r="U60" i="10"/>
  <c r="S60" i="10"/>
  <c r="R60" i="10"/>
  <c r="Q60" i="10"/>
  <c r="P60" i="10"/>
  <c r="N60" i="10"/>
  <c r="M60" i="10"/>
  <c r="L60" i="10"/>
  <c r="O60" i="10" s="1"/>
  <c r="S59" i="10"/>
  <c r="R59" i="10"/>
  <c r="U59" i="10" s="1"/>
  <c r="U52" i="10"/>
  <c r="T52" i="10"/>
  <c r="N52" i="10"/>
  <c r="N50" i="10" s="1"/>
  <c r="M52" i="10"/>
  <c r="M50" i="10" s="1"/>
  <c r="P50" i="10" s="1"/>
  <c r="L52" i="10"/>
  <c r="L50" i="10" s="1"/>
  <c r="O50" i="10" s="1"/>
  <c r="U51" i="10"/>
  <c r="T51" i="10"/>
  <c r="P51" i="10"/>
  <c r="O51" i="10"/>
  <c r="S50" i="10"/>
  <c r="R50" i="10"/>
  <c r="U50" i="10" s="1"/>
  <c r="Q50" i="10"/>
  <c r="T50" i="10" s="1"/>
  <c r="U49" i="10"/>
  <c r="T49" i="10"/>
  <c r="N49" i="10"/>
  <c r="N47" i="10" s="1"/>
  <c r="M49" i="10"/>
  <c r="L49" i="10"/>
  <c r="U48" i="10"/>
  <c r="T48" i="10"/>
  <c r="P48" i="10"/>
  <c r="O48" i="10"/>
  <c r="T47" i="10"/>
  <c r="S47" i="10"/>
  <c r="R47" i="10"/>
  <c r="U47" i="10" s="1"/>
  <c r="Q47" i="10"/>
  <c r="S46" i="10"/>
  <c r="S44" i="10" s="1"/>
  <c r="R46" i="10"/>
  <c r="Q46" i="10"/>
  <c r="T46" i="10" s="1"/>
  <c r="U45" i="10"/>
  <c r="S45" i="10"/>
  <c r="R45" i="10"/>
  <c r="Q45" i="10"/>
  <c r="P45" i="10"/>
  <c r="N45" i="10"/>
  <c r="M45" i="10"/>
  <c r="L45" i="10"/>
  <c r="O45" i="10" s="1"/>
  <c r="S25" i="10"/>
  <c r="R25" i="10"/>
  <c r="U25" i="10" s="1"/>
  <c r="Q25" i="10"/>
  <c r="T25" i="10" s="1"/>
  <c r="N25" i="10"/>
  <c r="M25" i="10"/>
  <c r="L25" i="10"/>
  <c r="O25" i="10" s="1"/>
  <c r="S22" i="10"/>
  <c r="S19" i="10" s="1"/>
  <c r="R22" i="10"/>
  <c r="U22" i="10" s="1"/>
  <c r="Q22" i="10"/>
  <c r="T22" i="10" s="1"/>
  <c r="N22" i="10"/>
  <c r="M22" i="10"/>
  <c r="P22" i="10" s="1"/>
  <c r="L22" i="10"/>
  <c r="O22" i="10" s="1"/>
  <c r="A789" i="9"/>
  <c r="A788" i="9"/>
  <c r="J785" i="9"/>
  <c r="I785" i="9"/>
  <c r="J784" i="9"/>
  <c r="I784" i="9"/>
  <c r="J783" i="9"/>
  <c r="I783" i="9"/>
  <c r="J782" i="9"/>
  <c r="I782" i="9"/>
  <c r="J781" i="9"/>
  <c r="I781" i="9"/>
  <c r="J780" i="9"/>
  <c r="I780" i="9"/>
  <c r="J779" i="9"/>
  <c r="I779" i="9"/>
  <c r="J778" i="9"/>
  <c r="I778" i="9"/>
  <c r="H777" i="9"/>
  <c r="I776" i="9"/>
  <c r="I775" i="9"/>
  <c r="I774" i="9"/>
  <c r="I772" i="9"/>
  <c r="I770" i="9"/>
  <c r="K770" i="9" s="1"/>
  <c r="U768" i="9"/>
  <c r="T768" i="9"/>
  <c r="P768" i="9"/>
  <c r="O768" i="9"/>
  <c r="U767" i="9"/>
  <c r="T767" i="9"/>
  <c r="P767" i="9"/>
  <c r="O767" i="9"/>
  <c r="S766" i="9"/>
  <c r="R766" i="9"/>
  <c r="U766" i="9" s="1"/>
  <c r="Q766" i="9"/>
  <c r="T766" i="9" s="1"/>
  <c r="N766" i="9"/>
  <c r="M766" i="9"/>
  <c r="P766" i="9" s="1"/>
  <c r="L766" i="9"/>
  <c r="O766" i="9" s="1"/>
  <c r="S765" i="9"/>
  <c r="S762" i="9" s="1"/>
  <c r="S760" i="9" s="1"/>
  <c r="R765" i="9"/>
  <c r="Q765" i="9"/>
  <c r="Q763" i="9" s="1"/>
  <c r="P765" i="9"/>
  <c r="O765" i="9"/>
  <c r="U764" i="9"/>
  <c r="T764" i="9"/>
  <c r="P764" i="9"/>
  <c r="O764" i="9"/>
  <c r="N763" i="9"/>
  <c r="M763" i="9"/>
  <c r="P763" i="9" s="1"/>
  <c r="L763" i="9"/>
  <c r="O763" i="9" s="1"/>
  <c r="N762" i="9"/>
  <c r="M762" i="9"/>
  <c r="L762" i="9"/>
  <c r="S761" i="9"/>
  <c r="R761" i="9"/>
  <c r="U761" i="9" s="1"/>
  <c r="Q761" i="9"/>
  <c r="P761" i="9"/>
  <c r="N761" i="9"/>
  <c r="M761" i="9"/>
  <c r="L761" i="9"/>
  <c r="O761" i="9" s="1"/>
  <c r="N760" i="9"/>
  <c r="J759" i="9"/>
  <c r="J758" i="9"/>
  <c r="I755" i="9"/>
  <c r="K755" i="9" s="1"/>
  <c r="I752" i="9"/>
  <c r="K752" i="9" s="1"/>
  <c r="I749" i="9"/>
  <c r="K749" i="9" s="1"/>
  <c r="I746" i="9"/>
  <c r="K746" i="9" s="1"/>
  <c r="I744" i="9"/>
  <c r="K744" i="9" s="1"/>
  <c r="I742" i="9"/>
  <c r="K742" i="9" s="1"/>
  <c r="I740" i="9"/>
  <c r="K740" i="9" s="1"/>
  <c r="U736" i="9"/>
  <c r="T736" i="9"/>
  <c r="P736" i="9"/>
  <c r="O736" i="9"/>
  <c r="U735" i="9"/>
  <c r="T735" i="9"/>
  <c r="P735" i="9"/>
  <c r="O735" i="9"/>
  <c r="U734" i="9"/>
  <c r="S734" i="9"/>
  <c r="R734" i="9"/>
  <c r="Q734" i="9"/>
  <c r="T734" i="9" s="1"/>
  <c r="O734" i="9"/>
  <c r="N734" i="9"/>
  <c r="M734" i="9"/>
  <c r="P734" i="9" s="1"/>
  <c r="L734" i="9"/>
  <c r="S733" i="9"/>
  <c r="S730" i="9" s="1"/>
  <c r="R733" i="9"/>
  <c r="R730" i="9" s="1"/>
  <c r="Q733" i="9"/>
  <c r="P733" i="9"/>
  <c r="O733" i="9"/>
  <c r="U732" i="9"/>
  <c r="T732" i="9"/>
  <c r="P732" i="9"/>
  <c r="O732" i="9"/>
  <c r="N731" i="9"/>
  <c r="M731" i="9"/>
  <c r="P731" i="9" s="1"/>
  <c r="L731" i="9"/>
  <c r="O731" i="9" s="1"/>
  <c r="N730" i="9"/>
  <c r="M730" i="9"/>
  <c r="L730" i="9"/>
  <c r="S729" i="9"/>
  <c r="R729" i="9"/>
  <c r="U729" i="9" s="1"/>
  <c r="Q729" i="9"/>
  <c r="T729" i="9" s="1"/>
  <c r="P729" i="9"/>
  <c r="N729" i="9"/>
  <c r="M729" i="9"/>
  <c r="L729" i="9"/>
  <c r="O729" i="9" s="1"/>
  <c r="N728" i="9"/>
  <c r="J727" i="9"/>
  <c r="I727" i="9"/>
  <c r="K727" i="9" s="1"/>
  <c r="J726" i="9"/>
  <c r="I726" i="9"/>
  <c r="U722" i="9"/>
  <c r="T722" i="9"/>
  <c r="P722" i="9"/>
  <c r="O722" i="9"/>
  <c r="U721" i="9"/>
  <c r="T721" i="9"/>
  <c r="P721" i="9"/>
  <c r="O721" i="9"/>
  <c r="T720" i="9"/>
  <c r="S720" i="9"/>
  <c r="R720" i="9"/>
  <c r="U720" i="9" s="1"/>
  <c r="Q720" i="9"/>
  <c r="N720" i="9"/>
  <c r="M720" i="9"/>
  <c r="P720" i="9" s="1"/>
  <c r="L720" i="9"/>
  <c r="O720" i="9" s="1"/>
  <c r="U719" i="9"/>
  <c r="T719" i="9"/>
  <c r="P719" i="9"/>
  <c r="O719" i="9"/>
  <c r="U718" i="9"/>
  <c r="T718" i="9"/>
  <c r="P718" i="9"/>
  <c r="O718" i="9"/>
  <c r="S717" i="9"/>
  <c r="R717" i="9"/>
  <c r="U717" i="9" s="1"/>
  <c r="Q717" i="9"/>
  <c r="T717" i="9" s="1"/>
  <c r="N717" i="9"/>
  <c r="M717" i="9"/>
  <c r="P717" i="9" s="1"/>
  <c r="L717" i="9"/>
  <c r="O717" i="9" s="1"/>
  <c r="S716" i="9"/>
  <c r="R716" i="9"/>
  <c r="Q716" i="9"/>
  <c r="P716" i="9"/>
  <c r="N716" i="9"/>
  <c r="M716" i="9"/>
  <c r="L716" i="9"/>
  <c r="U715" i="9"/>
  <c r="T715" i="9"/>
  <c r="S715" i="9"/>
  <c r="R715" i="9"/>
  <c r="Q715" i="9"/>
  <c r="P715" i="9"/>
  <c r="O715" i="9"/>
  <c r="N715" i="9"/>
  <c r="M715" i="9"/>
  <c r="L715" i="9"/>
  <c r="N714" i="9"/>
  <c r="M714" i="9"/>
  <c r="P714" i="9" s="1"/>
  <c r="K712" i="9"/>
  <c r="J712" i="9"/>
  <c r="K710" i="9"/>
  <c r="J710" i="9"/>
  <c r="J709" i="9"/>
  <c r="I709" i="9"/>
  <c r="K708" i="9"/>
  <c r="J708" i="9"/>
  <c r="J707" i="9"/>
  <c r="I707" i="9"/>
  <c r="I689" i="9" s="1"/>
  <c r="K706" i="9"/>
  <c r="J706" i="9"/>
  <c r="J705" i="9"/>
  <c r="I705" i="9"/>
  <c r="K704" i="9"/>
  <c r="J704" i="9"/>
  <c r="J703" i="9"/>
  <c r="I703" i="9"/>
  <c r="K702" i="9"/>
  <c r="I700" i="9"/>
  <c r="K700" i="9" s="1"/>
  <c r="U698" i="9"/>
  <c r="T698" i="9"/>
  <c r="P698" i="9"/>
  <c r="O698" i="9"/>
  <c r="U697" i="9"/>
  <c r="T697" i="9"/>
  <c r="P697" i="9"/>
  <c r="O697" i="9"/>
  <c r="S696" i="9"/>
  <c r="R696" i="9"/>
  <c r="U696" i="9" s="1"/>
  <c r="Q696" i="9"/>
  <c r="T696" i="9" s="1"/>
  <c r="N696" i="9"/>
  <c r="M696" i="9"/>
  <c r="P696" i="9" s="1"/>
  <c r="L696" i="9"/>
  <c r="O696" i="9" s="1"/>
  <c r="S695" i="9"/>
  <c r="S693" i="9" s="1"/>
  <c r="R695" i="9"/>
  <c r="Q695" i="9"/>
  <c r="P695" i="9"/>
  <c r="O695" i="9"/>
  <c r="U694" i="9"/>
  <c r="T694" i="9"/>
  <c r="P694" i="9"/>
  <c r="O694" i="9"/>
  <c r="O693" i="9"/>
  <c r="N693" i="9"/>
  <c r="M693" i="9"/>
  <c r="P693" i="9" s="1"/>
  <c r="L693" i="9"/>
  <c r="N692" i="9"/>
  <c r="M692" i="9"/>
  <c r="L692" i="9"/>
  <c r="O692" i="9" s="1"/>
  <c r="S691" i="9"/>
  <c r="R691" i="9"/>
  <c r="Q691" i="9"/>
  <c r="N691" i="9"/>
  <c r="M691" i="9"/>
  <c r="P691" i="9" s="1"/>
  <c r="L691" i="9"/>
  <c r="J682" i="9"/>
  <c r="I682" i="9"/>
  <c r="K682" i="9" s="1"/>
  <c r="J681" i="9"/>
  <c r="I681" i="9"/>
  <c r="J680" i="9"/>
  <c r="J679" i="9"/>
  <c r="I679" i="9"/>
  <c r="J678" i="9"/>
  <c r="I678" i="9"/>
  <c r="J677" i="9"/>
  <c r="J676" i="9"/>
  <c r="I676" i="9"/>
  <c r="I675" i="9"/>
  <c r="I674" i="9"/>
  <c r="J673" i="9"/>
  <c r="I673" i="9"/>
  <c r="J672" i="9"/>
  <c r="J671" i="9"/>
  <c r="J661" i="9"/>
  <c r="I661" i="9"/>
  <c r="I660" i="9"/>
  <c r="I657" i="9"/>
  <c r="J654" i="9"/>
  <c r="I654" i="9"/>
  <c r="J653" i="9"/>
  <c r="I653" i="9"/>
  <c r="K653" i="9" s="1"/>
  <c r="J652" i="9"/>
  <c r="I652" i="9"/>
  <c r="K652" i="9" s="1"/>
  <c r="U650" i="9"/>
  <c r="T650" i="9"/>
  <c r="P650" i="9"/>
  <c r="O650" i="9"/>
  <c r="U649" i="9"/>
  <c r="T649" i="9"/>
  <c r="P649" i="9"/>
  <c r="O649" i="9"/>
  <c r="S648" i="9"/>
  <c r="R648" i="9"/>
  <c r="U648" i="9" s="1"/>
  <c r="Q648" i="9"/>
  <c r="T648" i="9" s="1"/>
  <c r="N648" i="9"/>
  <c r="M648" i="9"/>
  <c r="P648" i="9" s="1"/>
  <c r="L648" i="9"/>
  <c r="O648" i="9" s="1"/>
  <c r="S647" i="9"/>
  <c r="R647" i="9"/>
  <c r="Q647" i="9"/>
  <c r="P647" i="9"/>
  <c r="O647" i="9"/>
  <c r="U646" i="9"/>
  <c r="T646" i="9"/>
  <c r="P646" i="9"/>
  <c r="O646" i="9"/>
  <c r="O645" i="9"/>
  <c r="N645" i="9"/>
  <c r="M645" i="9"/>
  <c r="P645" i="9" s="1"/>
  <c r="L645" i="9"/>
  <c r="N644" i="9"/>
  <c r="N642" i="9" s="1"/>
  <c r="M644" i="9"/>
  <c r="L644" i="9"/>
  <c r="O644" i="9" s="1"/>
  <c r="S643" i="9"/>
  <c r="R643" i="9"/>
  <c r="Q643" i="9"/>
  <c r="N643" i="9"/>
  <c r="M643" i="9"/>
  <c r="P643" i="9" s="1"/>
  <c r="L643" i="9"/>
  <c r="J636" i="9"/>
  <c r="J635" i="9" s="1"/>
  <c r="I635" i="9"/>
  <c r="K635" i="9" s="1"/>
  <c r="J632" i="9"/>
  <c r="I628" i="9"/>
  <c r="K628" i="9" s="1"/>
  <c r="I627" i="9"/>
  <c r="K627" i="9" s="1"/>
  <c r="J626" i="9"/>
  <c r="J615" i="9" s="1"/>
  <c r="I626" i="9"/>
  <c r="K632" i="9" s="1"/>
  <c r="U624" i="9"/>
  <c r="T624" i="9"/>
  <c r="P624" i="9"/>
  <c r="O624" i="9"/>
  <c r="U623" i="9"/>
  <c r="T623" i="9"/>
  <c r="P623" i="9"/>
  <c r="O623" i="9"/>
  <c r="T622" i="9"/>
  <c r="S622" i="9"/>
  <c r="R622" i="9"/>
  <c r="U622" i="9" s="1"/>
  <c r="Q622" i="9"/>
  <c r="N622" i="9"/>
  <c r="M622" i="9"/>
  <c r="P622" i="9" s="1"/>
  <c r="L622" i="9"/>
  <c r="O622" i="9" s="1"/>
  <c r="S621" i="9"/>
  <c r="S619" i="9" s="1"/>
  <c r="R621" i="9"/>
  <c r="Q621" i="9"/>
  <c r="Q619" i="9" s="1"/>
  <c r="P621" i="9"/>
  <c r="O621" i="9"/>
  <c r="U620" i="9"/>
  <c r="T620" i="9"/>
  <c r="P620" i="9"/>
  <c r="O620" i="9"/>
  <c r="N619" i="9"/>
  <c r="M619" i="9"/>
  <c r="P619" i="9" s="1"/>
  <c r="L619" i="9"/>
  <c r="O619" i="9" s="1"/>
  <c r="N618" i="9"/>
  <c r="M618" i="9"/>
  <c r="P618" i="9" s="1"/>
  <c r="L618" i="9"/>
  <c r="O618" i="9" s="1"/>
  <c r="S617" i="9"/>
  <c r="R617" i="9"/>
  <c r="Q617" i="9"/>
  <c r="T617" i="9" s="1"/>
  <c r="N617" i="9"/>
  <c r="M617" i="9"/>
  <c r="L617" i="9"/>
  <c r="S607" i="9"/>
  <c r="S605" i="9" s="1"/>
  <c r="R607" i="9"/>
  <c r="Q607" i="9"/>
  <c r="N607" i="9"/>
  <c r="N605" i="9" s="1"/>
  <c r="M607" i="9"/>
  <c r="L607" i="9"/>
  <c r="U606" i="9"/>
  <c r="T606" i="9"/>
  <c r="P606" i="9"/>
  <c r="O606" i="9"/>
  <c r="S604" i="9"/>
  <c r="R604" i="9"/>
  <c r="Q604" i="9"/>
  <c r="N604" i="9"/>
  <c r="N602" i="9" s="1"/>
  <c r="M604" i="9"/>
  <c r="P604" i="9" s="1"/>
  <c r="L604" i="9"/>
  <c r="U603" i="9"/>
  <c r="T603" i="9"/>
  <c r="P603" i="9"/>
  <c r="O603" i="9"/>
  <c r="U600" i="9"/>
  <c r="S600" i="9"/>
  <c r="R600" i="9"/>
  <c r="Q600" i="9"/>
  <c r="T600" i="9" s="1"/>
  <c r="N600" i="9"/>
  <c r="M600" i="9"/>
  <c r="P600" i="9" s="1"/>
  <c r="L600" i="9"/>
  <c r="O600" i="9" s="1"/>
  <c r="U584" i="9"/>
  <c r="T584" i="9"/>
  <c r="N584" i="9"/>
  <c r="M584" i="9"/>
  <c r="M582" i="9" s="1"/>
  <c r="P582" i="9" s="1"/>
  <c r="L584" i="9"/>
  <c r="L582" i="9" s="1"/>
  <c r="O582" i="9" s="1"/>
  <c r="U583" i="9"/>
  <c r="T583" i="9"/>
  <c r="P583" i="9"/>
  <c r="O583" i="9"/>
  <c r="U582" i="9"/>
  <c r="S582" i="9"/>
  <c r="R582" i="9"/>
  <c r="Q582" i="9"/>
  <c r="T582" i="9" s="1"/>
  <c r="U581" i="9"/>
  <c r="T581" i="9"/>
  <c r="N581" i="9"/>
  <c r="N579" i="9" s="1"/>
  <c r="M581" i="9"/>
  <c r="P581" i="9" s="1"/>
  <c r="L581" i="9"/>
  <c r="U580" i="9"/>
  <c r="T580" i="9"/>
  <c r="P580" i="9"/>
  <c r="O580" i="9"/>
  <c r="T579" i="9"/>
  <c r="S579" i="9"/>
  <c r="R579" i="9"/>
  <c r="U579" i="9" s="1"/>
  <c r="Q579" i="9"/>
  <c r="S578" i="9"/>
  <c r="R578" i="9"/>
  <c r="Q578" i="9"/>
  <c r="T577" i="9"/>
  <c r="S577" i="9"/>
  <c r="R577" i="9"/>
  <c r="U577" i="9" s="1"/>
  <c r="Q577" i="9"/>
  <c r="P577" i="9"/>
  <c r="N577" i="9"/>
  <c r="M577" i="9"/>
  <c r="L577" i="9"/>
  <c r="O577" i="9" s="1"/>
  <c r="S576" i="9"/>
  <c r="J575" i="9"/>
  <c r="I575" i="9"/>
  <c r="K575" i="9" s="1"/>
  <c r="U563" i="9"/>
  <c r="T563" i="9"/>
  <c r="N563" i="9"/>
  <c r="N561" i="9" s="1"/>
  <c r="M563" i="9"/>
  <c r="L563" i="9"/>
  <c r="U562" i="9"/>
  <c r="T562" i="9"/>
  <c r="P562" i="9"/>
  <c r="O562" i="9"/>
  <c r="T561" i="9"/>
  <c r="S561" i="9"/>
  <c r="R561" i="9"/>
  <c r="U561" i="9" s="1"/>
  <c r="Q561" i="9"/>
  <c r="U560" i="9"/>
  <c r="T560" i="9"/>
  <c r="N560" i="9"/>
  <c r="N558" i="9" s="1"/>
  <c r="M560" i="9"/>
  <c r="M558" i="9" s="1"/>
  <c r="P558" i="9" s="1"/>
  <c r="L560" i="9"/>
  <c r="L558" i="9" s="1"/>
  <c r="O558" i="9" s="1"/>
  <c r="U559" i="9"/>
  <c r="T559" i="9"/>
  <c r="P559" i="9"/>
  <c r="O559" i="9"/>
  <c r="U558" i="9"/>
  <c r="S558" i="9"/>
  <c r="R558" i="9"/>
  <c r="Q558" i="9"/>
  <c r="T558" i="9" s="1"/>
  <c r="T557" i="9"/>
  <c r="S557" i="9"/>
  <c r="R557" i="9"/>
  <c r="U557" i="9" s="1"/>
  <c r="Q557" i="9"/>
  <c r="S556" i="9"/>
  <c r="R556" i="9"/>
  <c r="Q556" i="9"/>
  <c r="T556" i="9" s="1"/>
  <c r="N556" i="9"/>
  <c r="M556" i="9"/>
  <c r="L556" i="9"/>
  <c r="J554" i="9"/>
  <c r="I554" i="9"/>
  <c r="K554" i="9" s="1"/>
  <c r="U542" i="9"/>
  <c r="T542" i="9"/>
  <c r="N542" i="9"/>
  <c r="M542" i="9"/>
  <c r="M540" i="9" s="1"/>
  <c r="P540" i="9" s="1"/>
  <c r="L542" i="9"/>
  <c r="L540" i="9" s="1"/>
  <c r="O540" i="9" s="1"/>
  <c r="U541" i="9"/>
  <c r="T541" i="9"/>
  <c r="P541" i="9"/>
  <c r="O541" i="9"/>
  <c r="U540" i="9"/>
  <c r="S540" i="9"/>
  <c r="R540" i="9"/>
  <c r="Q540" i="9"/>
  <c r="T540" i="9" s="1"/>
  <c r="U539" i="9"/>
  <c r="T539" i="9"/>
  <c r="N539" i="9"/>
  <c r="N537" i="9" s="1"/>
  <c r="M539" i="9"/>
  <c r="L539" i="9"/>
  <c r="U538" i="9"/>
  <c r="T538" i="9"/>
  <c r="P538" i="9"/>
  <c r="O538" i="9"/>
  <c r="T537" i="9"/>
  <c r="S537" i="9"/>
  <c r="R537" i="9"/>
  <c r="U537" i="9" s="1"/>
  <c r="Q537" i="9"/>
  <c r="S536" i="9"/>
  <c r="R536" i="9"/>
  <c r="U536" i="9" s="1"/>
  <c r="Q536" i="9"/>
  <c r="T535" i="9"/>
  <c r="S535" i="9"/>
  <c r="R535" i="9"/>
  <c r="U535" i="9" s="1"/>
  <c r="Q535" i="9"/>
  <c r="P535" i="9"/>
  <c r="O535" i="9"/>
  <c r="N535" i="9"/>
  <c r="M535" i="9"/>
  <c r="L535" i="9"/>
  <c r="S534" i="9"/>
  <c r="R534" i="9"/>
  <c r="U534" i="9" s="1"/>
  <c r="K533" i="9"/>
  <c r="J533" i="9"/>
  <c r="I533" i="9"/>
  <c r="K524" i="9"/>
  <c r="K523" i="9"/>
  <c r="U521" i="9"/>
  <c r="T521" i="9"/>
  <c r="N521" i="9"/>
  <c r="M521" i="9"/>
  <c r="L521" i="9"/>
  <c r="U520" i="9"/>
  <c r="T520" i="9"/>
  <c r="P520" i="9"/>
  <c r="O520" i="9"/>
  <c r="T519" i="9"/>
  <c r="S519" i="9"/>
  <c r="R519" i="9"/>
  <c r="U519" i="9" s="1"/>
  <c r="Q519" i="9"/>
  <c r="U518" i="9"/>
  <c r="T518" i="9"/>
  <c r="N518" i="9"/>
  <c r="N516" i="9" s="1"/>
  <c r="M518" i="9"/>
  <c r="L518" i="9"/>
  <c r="O518" i="9" s="1"/>
  <c r="U517" i="9"/>
  <c r="T517" i="9"/>
  <c r="P517" i="9"/>
  <c r="O517" i="9"/>
  <c r="S516" i="9"/>
  <c r="R516" i="9"/>
  <c r="U516" i="9" s="1"/>
  <c r="Q516" i="9"/>
  <c r="T516" i="9" s="1"/>
  <c r="U515" i="9"/>
  <c r="S515" i="9"/>
  <c r="R515" i="9"/>
  <c r="R513" i="9" s="1"/>
  <c r="U513" i="9" s="1"/>
  <c r="Q515" i="9"/>
  <c r="T515" i="9" s="1"/>
  <c r="U514" i="9"/>
  <c r="S514" i="9"/>
  <c r="S513" i="9" s="1"/>
  <c r="R514" i="9"/>
  <c r="Q514" i="9"/>
  <c r="T514" i="9" s="1"/>
  <c r="N514" i="9"/>
  <c r="M514" i="9"/>
  <c r="P514" i="9" s="1"/>
  <c r="L514" i="9"/>
  <c r="O514" i="9" s="1"/>
  <c r="Q513" i="9"/>
  <c r="T513" i="9" s="1"/>
  <c r="K512" i="9"/>
  <c r="J512" i="9"/>
  <c r="I512" i="9"/>
  <c r="I509" i="9"/>
  <c r="K509" i="9" s="1"/>
  <c r="K508" i="9"/>
  <c r="I507" i="9"/>
  <c r="K507" i="9" s="1"/>
  <c r="I506" i="9"/>
  <c r="K506" i="9" s="1"/>
  <c r="I505" i="9"/>
  <c r="K505" i="9" s="1"/>
  <c r="I504" i="9"/>
  <c r="K504" i="9" s="1"/>
  <c r="I503" i="9"/>
  <c r="K503" i="9" s="1"/>
  <c r="U501" i="9"/>
  <c r="T501" i="9"/>
  <c r="N501" i="9"/>
  <c r="N499" i="9" s="1"/>
  <c r="M501" i="9"/>
  <c r="L501" i="9"/>
  <c r="U500" i="9"/>
  <c r="T500" i="9"/>
  <c r="P500" i="9"/>
  <c r="O500" i="9"/>
  <c r="U499" i="9"/>
  <c r="S499" i="9"/>
  <c r="R499" i="9"/>
  <c r="Q499" i="9"/>
  <c r="T499" i="9" s="1"/>
  <c r="S498" i="9"/>
  <c r="S496" i="9" s="1"/>
  <c r="R498" i="9"/>
  <c r="Q498" i="9"/>
  <c r="N498" i="9"/>
  <c r="M498" i="9"/>
  <c r="L498" i="9"/>
  <c r="L496" i="9" s="1"/>
  <c r="O496" i="9" s="1"/>
  <c r="U497" i="9"/>
  <c r="T497" i="9"/>
  <c r="P497" i="9"/>
  <c r="O497" i="9"/>
  <c r="S494" i="9"/>
  <c r="R494" i="9"/>
  <c r="U494" i="9" s="1"/>
  <c r="Q494" i="9"/>
  <c r="O494" i="9"/>
  <c r="N494" i="9"/>
  <c r="M494" i="9"/>
  <c r="L494" i="9"/>
  <c r="J485" i="9"/>
  <c r="I485" i="9"/>
  <c r="K485" i="9" s="1"/>
  <c r="J484" i="9"/>
  <c r="I484" i="9"/>
  <c r="K484" i="9" s="1"/>
  <c r="J483" i="9"/>
  <c r="J482" i="9"/>
  <c r="K477" i="9"/>
  <c r="J477" i="9"/>
  <c r="K476" i="9"/>
  <c r="J476" i="9"/>
  <c r="K475" i="9"/>
  <c r="J475" i="9"/>
  <c r="J468" i="9"/>
  <c r="J467" i="9"/>
  <c r="J460" i="9"/>
  <c r="J459" i="9"/>
  <c r="J458" i="9"/>
  <c r="I458" i="9"/>
  <c r="K458" i="9" s="1"/>
  <c r="I457" i="9"/>
  <c r="I456" i="9" s="1"/>
  <c r="J447" i="9"/>
  <c r="J441" i="9" s="1"/>
  <c r="J446" i="9"/>
  <c r="I441" i="9"/>
  <c r="K441" i="9" s="1"/>
  <c r="J440" i="9"/>
  <c r="I440" i="9"/>
  <c r="J433" i="9"/>
  <c r="I433" i="9"/>
  <c r="K433" i="9" s="1"/>
  <c r="J432" i="9"/>
  <c r="I432" i="9"/>
  <c r="K432" i="9" s="1"/>
  <c r="J425" i="9"/>
  <c r="I425" i="9"/>
  <c r="K425" i="9" s="1"/>
  <c r="J424" i="9"/>
  <c r="I424" i="9"/>
  <c r="K424" i="9" s="1"/>
  <c r="J423" i="9"/>
  <c r="J412" i="9" s="1"/>
  <c r="U421" i="9"/>
  <c r="T421" i="9"/>
  <c r="N421" i="9"/>
  <c r="N419" i="9" s="1"/>
  <c r="M421" i="9"/>
  <c r="L421" i="9"/>
  <c r="L419" i="9" s="1"/>
  <c r="O419" i="9" s="1"/>
  <c r="U420" i="9"/>
  <c r="T420" i="9"/>
  <c r="P420" i="9"/>
  <c r="O420" i="9"/>
  <c r="U419" i="9"/>
  <c r="S419" i="9"/>
  <c r="R419" i="9"/>
  <c r="Q419" i="9"/>
  <c r="T419" i="9" s="1"/>
  <c r="S418" i="9"/>
  <c r="R418" i="9"/>
  <c r="Q418" i="9"/>
  <c r="N418" i="9"/>
  <c r="N416" i="9" s="1"/>
  <c r="M418" i="9"/>
  <c r="P418" i="9" s="1"/>
  <c r="L418" i="9"/>
  <c r="L416" i="9" s="1"/>
  <c r="U417" i="9"/>
  <c r="T417" i="9"/>
  <c r="P417" i="9"/>
  <c r="O417" i="9"/>
  <c r="U414" i="9"/>
  <c r="S414" i="9"/>
  <c r="R414" i="9"/>
  <c r="Q414" i="9"/>
  <c r="N414" i="9"/>
  <c r="M414" i="9"/>
  <c r="P414" i="9" s="1"/>
  <c r="L414" i="9"/>
  <c r="U400" i="9"/>
  <c r="T400" i="9"/>
  <c r="P400" i="9"/>
  <c r="O400" i="9"/>
  <c r="U399" i="9"/>
  <c r="T399" i="9"/>
  <c r="P399" i="9"/>
  <c r="O399" i="9"/>
  <c r="S398" i="9"/>
  <c r="R398" i="9"/>
  <c r="U398" i="9" s="1"/>
  <c r="Q398" i="9"/>
  <c r="T398" i="9" s="1"/>
  <c r="P398" i="9"/>
  <c r="N398" i="9"/>
  <c r="M398" i="9"/>
  <c r="L398" i="9"/>
  <c r="O398" i="9" s="1"/>
  <c r="S397" i="9"/>
  <c r="S395" i="9" s="1"/>
  <c r="R397" i="9"/>
  <c r="U397" i="9" s="1"/>
  <c r="Q397" i="9"/>
  <c r="T397" i="9" s="1"/>
  <c r="P397" i="9"/>
  <c r="O397" i="9"/>
  <c r="U396" i="9"/>
  <c r="T396" i="9"/>
  <c r="P396" i="9"/>
  <c r="O396" i="9"/>
  <c r="N395" i="9"/>
  <c r="M395" i="9"/>
  <c r="P395" i="9" s="1"/>
  <c r="L395" i="9"/>
  <c r="O395" i="9" s="1"/>
  <c r="O394" i="9"/>
  <c r="N394" i="9"/>
  <c r="M394" i="9"/>
  <c r="P394" i="9" s="1"/>
  <c r="L394" i="9"/>
  <c r="U393" i="9"/>
  <c r="S393" i="9"/>
  <c r="R393" i="9"/>
  <c r="Q393" i="9"/>
  <c r="T393" i="9" s="1"/>
  <c r="N393" i="9"/>
  <c r="M393" i="9"/>
  <c r="L393" i="9"/>
  <c r="L392" i="9" s="1"/>
  <c r="O392" i="9" s="1"/>
  <c r="N392" i="9"/>
  <c r="J391" i="9"/>
  <c r="I391" i="9"/>
  <c r="K391" i="9" s="1"/>
  <c r="J388" i="9"/>
  <c r="I388" i="9"/>
  <c r="K388" i="9" s="1"/>
  <c r="K387" i="9"/>
  <c r="J387" i="9"/>
  <c r="J386" i="9"/>
  <c r="I386" i="9"/>
  <c r="K385" i="9"/>
  <c r="J385" i="9"/>
  <c r="U383" i="9"/>
  <c r="T383" i="9"/>
  <c r="N383" i="9"/>
  <c r="N381" i="9" s="1"/>
  <c r="M383" i="9"/>
  <c r="M381" i="9" s="1"/>
  <c r="P381" i="9" s="1"/>
  <c r="L383" i="9"/>
  <c r="O383" i="9" s="1"/>
  <c r="U382" i="9"/>
  <c r="T382" i="9"/>
  <c r="P382" i="9"/>
  <c r="O382" i="9"/>
  <c r="S381" i="9"/>
  <c r="R381" i="9"/>
  <c r="U381" i="9" s="1"/>
  <c r="Q381" i="9"/>
  <c r="T381" i="9" s="1"/>
  <c r="S380" i="9"/>
  <c r="S378" i="9" s="1"/>
  <c r="R380" i="9"/>
  <c r="Q380" i="9"/>
  <c r="Q378" i="9" s="1"/>
  <c r="N380" i="9"/>
  <c r="M380" i="9"/>
  <c r="L380" i="9"/>
  <c r="U379" i="9"/>
  <c r="T379" i="9"/>
  <c r="P379" i="9"/>
  <c r="O379" i="9"/>
  <c r="U376" i="9"/>
  <c r="S376" i="9"/>
  <c r="R376" i="9"/>
  <c r="Q376" i="9"/>
  <c r="O376" i="9"/>
  <c r="N376" i="9"/>
  <c r="M376" i="9"/>
  <c r="P376" i="9" s="1"/>
  <c r="L376" i="9"/>
  <c r="D373" i="9"/>
  <c r="K372" i="9"/>
  <c r="J372" i="9"/>
  <c r="J371" i="9"/>
  <c r="J365" i="9" s="1"/>
  <c r="I371" i="9"/>
  <c r="I365" i="9" s="1"/>
  <c r="K370" i="9"/>
  <c r="J370" i="9"/>
  <c r="J369" i="9"/>
  <c r="I369" i="9"/>
  <c r="J368" i="9"/>
  <c r="I368" i="9"/>
  <c r="K367" i="9"/>
  <c r="J367" i="9"/>
  <c r="U364" i="9"/>
  <c r="T364" i="9"/>
  <c r="N364" i="9"/>
  <c r="N362" i="9" s="1"/>
  <c r="M364" i="9"/>
  <c r="L364" i="9"/>
  <c r="L362" i="9" s="1"/>
  <c r="O362" i="9" s="1"/>
  <c r="U363" i="9"/>
  <c r="T363" i="9"/>
  <c r="P363" i="9"/>
  <c r="O363" i="9"/>
  <c r="U362" i="9"/>
  <c r="S362" i="9"/>
  <c r="R362" i="9"/>
  <c r="Q362" i="9"/>
  <c r="T362" i="9" s="1"/>
  <c r="U361" i="9"/>
  <c r="T361" i="9"/>
  <c r="N361" i="9"/>
  <c r="N359" i="9" s="1"/>
  <c r="M361" i="9"/>
  <c r="L361" i="9"/>
  <c r="L359" i="9" s="1"/>
  <c r="U360" i="9"/>
  <c r="T360" i="9"/>
  <c r="P360" i="9"/>
  <c r="O360" i="9"/>
  <c r="S359" i="9"/>
  <c r="R359" i="9"/>
  <c r="U359" i="9" s="1"/>
  <c r="Q359" i="9"/>
  <c r="T359" i="9" s="1"/>
  <c r="S358" i="9"/>
  <c r="R358" i="9"/>
  <c r="U358" i="9" s="1"/>
  <c r="Q358" i="9"/>
  <c r="T358" i="9" s="1"/>
  <c r="T357" i="9"/>
  <c r="S357" i="9"/>
  <c r="R357" i="9"/>
  <c r="R356" i="9" s="1"/>
  <c r="U356" i="9" s="1"/>
  <c r="Q357" i="9"/>
  <c r="N357" i="9"/>
  <c r="M357" i="9"/>
  <c r="L357" i="9"/>
  <c r="O357" i="9" s="1"/>
  <c r="S356" i="9"/>
  <c r="D354" i="9"/>
  <c r="J353" i="9"/>
  <c r="J352" i="9"/>
  <c r="D350" i="9"/>
  <c r="J349" i="9"/>
  <c r="J348" i="9"/>
  <c r="J347" i="9"/>
  <c r="J346" i="9"/>
  <c r="I346" i="9"/>
  <c r="J344" i="9"/>
  <c r="I344" i="9"/>
  <c r="I332" i="9" s="1"/>
  <c r="U341" i="9"/>
  <c r="T341" i="9"/>
  <c r="N341" i="9"/>
  <c r="N339" i="9" s="1"/>
  <c r="M341" i="9"/>
  <c r="L341" i="9"/>
  <c r="U340" i="9"/>
  <c r="T340" i="9"/>
  <c r="P340" i="9"/>
  <c r="O340" i="9"/>
  <c r="S339" i="9"/>
  <c r="R339" i="9"/>
  <c r="U339" i="9" s="1"/>
  <c r="Q339" i="9"/>
  <c r="T339" i="9" s="1"/>
  <c r="U338" i="9"/>
  <c r="T338" i="9"/>
  <c r="N338" i="9"/>
  <c r="M338" i="9"/>
  <c r="M336" i="9" s="1"/>
  <c r="L338" i="9"/>
  <c r="L336" i="9" s="1"/>
  <c r="U337" i="9"/>
  <c r="T337" i="9"/>
  <c r="P337" i="9"/>
  <c r="O337" i="9"/>
  <c r="T336" i="9"/>
  <c r="S336" i="9"/>
  <c r="R336" i="9"/>
  <c r="U336" i="9" s="1"/>
  <c r="Q336" i="9"/>
  <c r="S335" i="9"/>
  <c r="R335" i="9"/>
  <c r="U335" i="9" s="1"/>
  <c r="Q335" i="9"/>
  <c r="T335" i="9" s="1"/>
  <c r="S334" i="9"/>
  <c r="S333" i="9" s="1"/>
  <c r="R334" i="9"/>
  <c r="Q334" i="9"/>
  <c r="N334" i="9"/>
  <c r="M334" i="9"/>
  <c r="P334" i="9" s="1"/>
  <c r="L334" i="9"/>
  <c r="I330" i="9"/>
  <c r="I319" i="9" s="1"/>
  <c r="K319" i="9" s="1"/>
  <c r="U328" i="9"/>
  <c r="T328" i="9"/>
  <c r="N328" i="9"/>
  <c r="M328" i="9"/>
  <c r="M326" i="9" s="1"/>
  <c r="P326" i="9" s="1"/>
  <c r="L328" i="9"/>
  <c r="O328" i="9" s="1"/>
  <c r="U327" i="9"/>
  <c r="T327" i="9"/>
  <c r="P327" i="9"/>
  <c r="O327" i="9"/>
  <c r="U326" i="9"/>
  <c r="S326" i="9"/>
  <c r="R326" i="9"/>
  <c r="Q326" i="9"/>
  <c r="T326" i="9" s="1"/>
  <c r="U325" i="9"/>
  <c r="T325" i="9"/>
  <c r="N325" i="9"/>
  <c r="N323" i="9" s="1"/>
  <c r="M325" i="9"/>
  <c r="M323" i="9" s="1"/>
  <c r="P323" i="9" s="1"/>
  <c r="L325" i="9"/>
  <c r="L323" i="9" s="1"/>
  <c r="O323" i="9" s="1"/>
  <c r="U324" i="9"/>
  <c r="T324" i="9"/>
  <c r="P324" i="9"/>
  <c r="O324" i="9"/>
  <c r="T323" i="9"/>
  <c r="S323" i="9"/>
  <c r="R323" i="9"/>
  <c r="U323" i="9" s="1"/>
  <c r="Q323" i="9"/>
  <c r="U322" i="9"/>
  <c r="S322" i="9"/>
  <c r="R322" i="9"/>
  <c r="Q322" i="9"/>
  <c r="T322" i="9" s="1"/>
  <c r="S321" i="9"/>
  <c r="R321" i="9"/>
  <c r="R320" i="9" s="1"/>
  <c r="Q321" i="9"/>
  <c r="P321" i="9"/>
  <c r="O321" i="9"/>
  <c r="N321" i="9"/>
  <c r="M321" i="9"/>
  <c r="L321" i="9"/>
  <c r="U320" i="9"/>
  <c r="J319" i="9"/>
  <c r="I314" i="9"/>
  <c r="I302" i="9" s="1"/>
  <c r="U311" i="9"/>
  <c r="T311" i="9"/>
  <c r="N311" i="9"/>
  <c r="N309" i="9" s="1"/>
  <c r="M311" i="9"/>
  <c r="L311" i="9"/>
  <c r="L309" i="9" s="1"/>
  <c r="O309" i="9" s="1"/>
  <c r="U310" i="9"/>
  <c r="T310" i="9"/>
  <c r="P310" i="9"/>
  <c r="O310" i="9"/>
  <c r="U309" i="9"/>
  <c r="T309" i="9"/>
  <c r="S309" i="9"/>
  <c r="R309" i="9"/>
  <c r="Q309" i="9"/>
  <c r="S308" i="9"/>
  <c r="R308" i="9"/>
  <c r="Q308" i="9"/>
  <c r="N308" i="9"/>
  <c r="N306" i="9" s="1"/>
  <c r="M308" i="9"/>
  <c r="L308" i="9"/>
  <c r="L306" i="9" s="1"/>
  <c r="O306" i="9" s="1"/>
  <c r="U307" i="9"/>
  <c r="T307" i="9"/>
  <c r="P307" i="9"/>
  <c r="O307" i="9"/>
  <c r="S304" i="9"/>
  <c r="R304" i="9"/>
  <c r="U304" i="9" s="1"/>
  <c r="Q304" i="9"/>
  <c r="N304" i="9"/>
  <c r="M304" i="9"/>
  <c r="P304" i="9" s="1"/>
  <c r="L304" i="9"/>
  <c r="J302" i="9"/>
  <c r="I296" i="9"/>
  <c r="K296" i="9" s="1"/>
  <c r="I295" i="9"/>
  <c r="K295" i="9" s="1"/>
  <c r="J293" i="9"/>
  <c r="J280" i="9" s="1"/>
  <c r="I293" i="9"/>
  <c r="I292" i="9"/>
  <c r="I281" i="9" s="1"/>
  <c r="U290" i="9"/>
  <c r="T290" i="9"/>
  <c r="N290" i="9"/>
  <c r="N288" i="9" s="1"/>
  <c r="M290" i="9"/>
  <c r="L290" i="9"/>
  <c r="O290" i="9" s="1"/>
  <c r="U289" i="9"/>
  <c r="T289" i="9"/>
  <c r="P289" i="9"/>
  <c r="O289" i="9"/>
  <c r="T288" i="9"/>
  <c r="S288" i="9"/>
  <c r="R288" i="9"/>
  <c r="U288" i="9" s="1"/>
  <c r="Q288" i="9"/>
  <c r="U287" i="9"/>
  <c r="T287" i="9"/>
  <c r="N287" i="9"/>
  <c r="N285" i="9" s="1"/>
  <c r="M287" i="9"/>
  <c r="L287" i="9"/>
  <c r="U286" i="9"/>
  <c r="T286" i="9"/>
  <c r="P286" i="9"/>
  <c r="O286" i="9"/>
  <c r="S285" i="9"/>
  <c r="R285" i="9"/>
  <c r="U285" i="9" s="1"/>
  <c r="Q285" i="9"/>
  <c r="T285" i="9" s="1"/>
  <c r="T284" i="9"/>
  <c r="S284" i="9"/>
  <c r="R284" i="9"/>
  <c r="U284" i="9" s="1"/>
  <c r="Q284" i="9"/>
  <c r="U283" i="9"/>
  <c r="S283" i="9"/>
  <c r="S282" i="9" s="1"/>
  <c r="R283" i="9"/>
  <c r="Q283" i="9"/>
  <c r="T283" i="9" s="1"/>
  <c r="N283" i="9"/>
  <c r="M283" i="9"/>
  <c r="P283" i="9" s="1"/>
  <c r="L283" i="9"/>
  <c r="O283" i="9" s="1"/>
  <c r="Q282" i="9"/>
  <c r="T282" i="9" s="1"/>
  <c r="J281" i="9"/>
  <c r="I276" i="9"/>
  <c r="I265" i="9" s="1"/>
  <c r="U274" i="9"/>
  <c r="T274" i="9"/>
  <c r="N274" i="9"/>
  <c r="N272" i="9" s="1"/>
  <c r="M274" i="9"/>
  <c r="L274" i="9"/>
  <c r="O274" i="9" s="1"/>
  <c r="U273" i="9"/>
  <c r="T273" i="9"/>
  <c r="P273" i="9"/>
  <c r="O273" i="9"/>
  <c r="S272" i="9"/>
  <c r="R272" i="9"/>
  <c r="U272" i="9" s="1"/>
  <c r="Q272" i="9"/>
  <c r="T272" i="9" s="1"/>
  <c r="S271" i="9"/>
  <c r="R271" i="9"/>
  <c r="Q271" i="9"/>
  <c r="Q269" i="9" s="1"/>
  <c r="N271" i="9"/>
  <c r="M271" i="9"/>
  <c r="L271" i="9"/>
  <c r="L269" i="9" s="1"/>
  <c r="U270" i="9"/>
  <c r="T270" i="9"/>
  <c r="P270" i="9"/>
  <c r="O270" i="9"/>
  <c r="M269" i="9"/>
  <c r="T267" i="9"/>
  <c r="S267" i="9"/>
  <c r="R267" i="9"/>
  <c r="U267" i="9" s="1"/>
  <c r="Q267" i="9"/>
  <c r="N267" i="9"/>
  <c r="M267" i="9"/>
  <c r="P267" i="9" s="1"/>
  <c r="L267" i="9"/>
  <c r="O267" i="9" s="1"/>
  <c r="J265" i="9"/>
  <c r="K263" i="9"/>
  <c r="K262" i="9"/>
  <c r="I260" i="9"/>
  <c r="I253" i="9" s="1"/>
  <c r="K253" i="9" s="1"/>
  <c r="L258" i="9"/>
  <c r="L257" i="9"/>
  <c r="L256" i="9"/>
  <c r="L255" i="9"/>
  <c r="P254" i="9"/>
  <c r="N254" i="9"/>
  <c r="N232" i="9" s="1"/>
  <c r="J253" i="9"/>
  <c r="J231" i="9" s="1"/>
  <c r="J185" i="9" s="1"/>
  <c r="K252" i="9"/>
  <c r="K251" i="9"/>
  <c r="I249" i="9"/>
  <c r="I242" i="9" s="1"/>
  <c r="L247" i="9"/>
  <c r="L246" i="9"/>
  <c r="L245" i="9"/>
  <c r="L244" i="9"/>
  <c r="P243" i="9"/>
  <c r="N243" i="9"/>
  <c r="J242" i="9"/>
  <c r="J241" i="9"/>
  <c r="I241" i="9"/>
  <c r="K241" i="9" s="1"/>
  <c r="J240" i="9"/>
  <c r="I240" i="9"/>
  <c r="K240" i="9" s="1"/>
  <c r="J238" i="9"/>
  <c r="N236" i="9"/>
  <c r="N235" i="9"/>
  <c r="N234" i="9"/>
  <c r="N233" i="9"/>
  <c r="I230" i="9"/>
  <c r="K230" i="9" s="1"/>
  <c r="I229" i="9"/>
  <c r="K229" i="9" s="1"/>
  <c r="I228" i="9"/>
  <c r="K228" i="9" s="1"/>
  <c r="L225" i="9"/>
  <c r="L224" i="9"/>
  <c r="L223" i="9"/>
  <c r="P222" i="9"/>
  <c r="N222" i="9"/>
  <c r="J221" i="9"/>
  <c r="I220" i="9"/>
  <c r="I219" i="9"/>
  <c r="K219" i="9" s="1"/>
  <c r="Q217" i="9"/>
  <c r="Q214" i="9" s="1"/>
  <c r="T214" i="9" s="1"/>
  <c r="L217" i="9"/>
  <c r="L216" i="9"/>
  <c r="L215" i="9"/>
  <c r="U214" i="9"/>
  <c r="S214" i="9"/>
  <c r="P214" i="9"/>
  <c r="N214" i="9"/>
  <c r="J213" i="9"/>
  <c r="I212" i="9"/>
  <c r="K212" i="9" s="1"/>
  <c r="I211" i="9"/>
  <c r="K211" i="9" s="1"/>
  <c r="I209" i="9"/>
  <c r="L207" i="9"/>
  <c r="Q206" i="9"/>
  <c r="Q203" i="9" s="1"/>
  <c r="L206" i="9"/>
  <c r="L205" i="9"/>
  <c r="L204" i="9"/>
  <c r="U203" i="9"/>
  <c r="S203" i="9"/>
  <c r="P203" i="9"/>
  <c r="N203" i="9"/>
  <c r="J202" i="9"/>
  <c r="J199" i="9"/>
  <c r="I198" i="9"/>
  <c r="I195" i="9" s="1"/>
  <c r="P196" i="9"/>
  <c r="L196" i="9"/>
  <c r="O196" i="9" s="1"/>
  <c r="J195" i="9"/>
  <c r="S194" i="9"/>
  <c r="S192" i="9" s="1"/>
  <c r="R194" i="9"/>
  <c r="Q194" i="9"/>
  <c r="T194" i="9" s="1"/>
  <c r="N194" i="9"/>
  <c r="N192" i="9" s="1"/>
  <c r="M194" i="9"/>
  <c r="P194" i="9" s="1"/>
  <c r="L194" i="9"/>
  <c r="U193" i="9"/>
  <c r="T193" i="9"/>
  <c r="P193" i="9"/>
  <c r="O193" i="9"/>
  <c r="S191" i="9"/>
  <c r="R191" i="9"/>
  <c r="Q191" i="9"/>
  <c r="N191" i="9"/>
  <c r="N189" i="9" s="1"/>
  <c r="M191" i="9"/>
  <c r="L191" i="9"/>
  <c r="U190" i="9"/>
  <c r="T190" i="9"/>
  <c r="P190" i="9"/>
  <c r="O190" i="9"/>
  <c r="S187" i="9"/>
  <c r="R187" i="9"/>
  <c r="Q187" i="9"/>
  <c r="T187" i="9" s="1"/>
  <c r="N187" i="9"/>
  <c r="M187" i="9"/>
  <c r="L187" i="9"/>
  <c r="K184" i="9"/>
  <c r="I183" i="9"/>
  <c r="K183" i="9" s="1"/>
  <c r="U181" i="9"/>
  <c r="T181" i="9"/>
  <c r="N181" i="9"/>
  <c r="N179" i="9" s="1"/>
  <c r="M181" i="9"/>
  <c r="M179" i="9" s="1"/>
  <c r="P179" i="9" s="1"/>
  <c r="L181" i="9"/>
  <c r="L179" i="9" s="1"/>
  <c r="O179" i="9" s="1"/>
  <c r="U180" i="9"/>
  <c r="T180" i="9"/>
  <c r="P180" i="9"/>
  <c r="O180" i="9"/>
  <c r="U179" i="9"/>
  <c r="S179" i="9"/>
  <c r="R179" i="9"/>
  <c r="Q179" i="9"/>
  <c r="T179" i="9" s="1"/>
  <c r="S178" i="9"/>
  <c r="S175" i="9" s="1"/>
  <c r="R178" i="9"/>
  <c r="U178" i="9" s="1"/>
  <c r="Q178" i="9"/>
  <c r="T178" i="9" s="1"/>
  <c r="N178" i="9"/>
  <c r="M178" i="9"/>
  <c r="M176" i="9" s="1"/>
  <c r="L178" i="9"/>
  <c r="L176" i="9" s="1"/>
  <c r="U177" i="9"/>
  <c r="T177" i="9"/>
  <c r="P177" i="9"/>
  <c r="O177" i="9"/>
  <c r="S174" i="9"/>
  <c r="R174" i="9"/>
  <c r="U174" i="9" s="1"/>
  <c r="Q174" i="9"/>
  <c r="T174" i="9" s="1"/>
  <c r="N174" i="9"/>
  <c r="M174" i="9"/>
  <c r="P174" i="9" s="1"/>
  <c r="L174" i="9"/>
  <c r="O174" i="9" s="1"/>
  <c r="J172" i="9"/>
  <c r="I169" i="9"/>
  <c r="I156" i="9" s="1"/>
  <c r="K156" i="9" s="1"/>
  <c r="I168" i="9"/>
  <c r="K168" i="9" s="1"/>
  <c r="I167" i="9"/>
  <c r="K167" i="9" s="1"/>
  <c r="U165" i="9"/>
  <c r="T165" i="9"/>
  <c r="N165" i="9"/>
  <c r="N163" i="9" s="1"/>
  <c r="M165" i="9"/>
  <c r="M163" i="9" s="1"/>
  <c r="P163" i="9" s="1"/>
  <c r="L165" i="9"/>
  <c r="L163" i="9" s="1"/>
  <c r="O163" i="9" s="1"/>
  <c r="U164" i="9"/>
  <c r="T164" i="9"/>
  <c r="P164" i="9"/>
  <c r="O164" i="9"/>
  <c r="U163" i="9"/>
  <c r="S163" i="9"/>
  <c r="R163" i="9"/>
  <c r="Q163" i="9"/>
  <c r="T163" i="9" s="1"/>
  <c r="S162" i="9"/>
  <c r="S159" i="9" s="1"/>
  <c r="R162" i="9"/>
  <c r="R160" i="9" s="1"/>
  <c r="U160" i="9" s="1"/>
  <c r="Q162" i="9"/>
  <c r="T162" i="9" s="1"/>
  <c r="N162" i="9"/>
  <c r="M162" i="9"/>
  <c r="M160" i="9" s="1"/>
  <c r="L162" i="9"/>
  <c r="U161" i="9"/>
  <c r="T161" i="9"/>
  <c r="P161" i="9"/>
  <c r="O161" i="9"/>
  <c r="U158" i="9"/>
  <c r="S158" i="9"/>
  <c r="R158" i="9"/>
  <c r="Q158" i="9"/>
  <c r="T158" i="9" s="1"/>
  <c r="N158" i="9"/>
  <c r="M158" i="9"/>
  <c r="P158" i="9" s="1"/>
  <c r="L158" i="9"/>
  <c r="O158" i="9" s="1"/>
  <c r="J156" i="9"/>
  <c r="I154" i="9"/>
  <c r="K154" i="9" s="1"/>
  <c r="I153" i="9"/>
  <c r="I138" i="9" s="1"/>
  <c r="K138" i="9" s="1"/>
  <c r="I152" i="9"/>
  <c r="K152" i="9" s="1"/>
  <c r="I151" i="9"/>
  <c r="K151" i="9" s="1"/>
  <c r="I150" i="9"/>
  <c r="K150" i="9" s="1"/>
  <c r="S147" i="9"/>
  <c r="S145" i="9" s="1"/>
  <c r="R147" i="9"/>
  <c r="U147" i="9" s="1"/>
  <c r="Q147" i="9"/>
  <c r="Q145" i="9" s="1"/>
  <c r="T145" i="9" s="1"/>
  <c r="N147" i="9"/>
  <c r="N145" i="9" s="1"/>
  <c r="M147" i="9"/>
  <c r="P147" i="9" s="1"/>
  <c r="L147" i="9"/>
  <c r="O147" i="9" s="1"/>
  <c r="U146" i="9"/>
  <c r="T146" i="9"/>
  <c r="P146" i="9"/>
  <c r="O146" i="9"/>
  <c r="S144" i="9"/>
  <c r="S142" i="9" s="1"/>
  <c r="R144" i="9"/>
  <c r="U144" i="9" s="1"/>
  <c r="Q144" i="9"/>
  <c r="N144" i="9"/>
  <c r="M144" i="9"/>
  <c r="M142" i="9" s="1"/>
  <c r="P142" i="9" s="1"/>
  <c r="L144" i="9"/>
  <c r="O144" i="9" s="1"/>
  <c r="U143" i="9"/>
  <c r="T143" i="9"/>
  <c r="P143" i="9"/>
  <c r="O143" i="9"/>
  <c r="S140" i="9"/>
  <c r="R140" i="9"/>
  <c r="U140" i="9" s="1"/>
  <c r="Q140" i="9"/>
  <c r="T140" i="9" s="1"/>
  <c r="N140" i="9"/>
  <c r="M140" i="9"/>
  <c r="P140" i="9" s="1"/>
  <c r="L140" i="9"/>
  <c r="O140" i="9" s="1"/>
  <c r="J138" i="9"/>
  <c r="J137" i="9"/>
  <c r="J136" i="9"/>
  <c r="I130" i="9"/>
  <c r="K130" i="9" s="1"/>
  <c r="I129" i="9"/>
  <c r="K129" i="9" s="1"/>
  <c r="I128" i="9"/>
  <c r="K128" i="9" s="1"/>
  <c r="I127" i="9"/>
  <c r="K127" i="9" s="1"/>
  <c r="S125" i="9"/>
  <c r="S123" i="9" s="1"/>
  <c r="R125" i="9"/>
  <c r="R123" i="9" s="1"/>
  <c r="U123" i="9" s="1"/>
  <c r="Q125" i="9"/>
  <c r="T125" i="9" s="1"/>
  <c r="N125" i="9"/>
  <c r="N123" i="9" s="1"/>
  <c r="M125" i="9"/>
  <c r="M123" i="9" s="1"/>
  <c r="P123" i="9" s="1"/>
  <c r="L125" i="9"/>
  <c r="L123" i="9" s="1"/>
  <c r="O123" i="9" s="1"/>
  <c r="U124" i="9"/>
  <c r="T124" i="9"/>
  <c r="P124" i="9"/>
  <c r="O124" i="9"/>
  <c r="S122" i="9"/>
  <c r="S120" i="9" s="1"/>
  <c r="R122" i="9"/>
  <c r="R120" i="9" s="1"/>
  <c r="Q122" i="9"/>
  <c r="N122" i="9"/>
  <c r="N120" i="9" s="1"/>
  <c r="M122" i="9"/>
  <c r="M120" i="9" s="1"/>
  <c r="P120" i="9" s="1"/>
  <c r="L122" i="9"/>
  <c r="L120" i="9" s="1"/>
  <c r="O120" i="9" s="1"/>
  <c r="U121" i="9"/>
  <c r="T121" i="9"/>
  <c r="P121" i="9"/>
  <c r="O121" i="9"/>
  <c r="S118" i="9"/>
  <c r="R118" i="9"/>
  <c r="U118" i="9" s="1"/>
  <c r="Q118" i="9"/>
  <c r="T118" i="9" s="1"/>
  <c r="N118" i="9"/>
  <c r="M118" i="9"/>
  <c r="P118" i="9" s="1"/>
  <c r="L118" i="9"/>
  <c r="O118" i="9" s="1"/>
  <c r="J116" i="9"/>
  <c r="I114" i="9"/>
  <c r="K114" i="9" s="1"/>
  <c r="I113" i="9"/>
  <c r="K113" i="9" s="1"/>
  <c r="I109" i="9"/>
  <c r="K109" i="9" s="1"/>
  <c r="I108" i="9"/>
  <c r="I92" i="9" s="1"/>
  <c r="U102" i="9"/>
  <c r="T102" i="9"/>
  <c r="N102" i="9"/>
  <c r="M102" i="9"/>
  <c r="P102" i="9" s="1"/>
  <c r="L102" i="9"/>
  <c r="L100" i="9" s="1"/>
  <c r="O100" i="9" s="1"/>
  <c r="U101" i="9"/>
  <c r="T101" i="9"/>
  <c r="P101" i="9"/>
  <c r="O101" i="9"/>
  <c r="S100" i="9"/>
  <c r="R100" i="9"/>
  <c r="U100" i="9" s="1"/>
  <c r="Q100" i="9"/>
  <c r="T100" i="9" s="1"/>
  <c r="S99" i="9"/>
  <c r="S97" i="9" s="1"/>
  <c r="R99" i="9"/>
  <c r="R97" i="9" s="1"/>
  <c r="Q99" i="9"/>
  <c r="Q97" i="9" s="1"/>
  <c r="N99" i="9"/>
  <c r="N97" i="9" s="1"/>
  <c r="M99" i="9"/>
  <c r="P99" i="9" s="1"/>
  <c r="L99" i="9"/>
  <c r="L97" i="9" s="1"/>
  <c r="O97" i="9" s="1"/>
  <c r="U98" i="9"/>
  <c r="T98" i="9"/>
  <c r="P98" i="9"/>
  <c r="O98" i="9"/>
  <c r="S95" i="9"/>
  <c r="R95" i="9"/>
  <c r="U95" i="9" s="1"/>
  <c r="Q95" i="9"/>
  <c r="T95" i="9" s="1"/>
  <c r="N95" i="9"/>
  <c r="M95" i="9"/>
  <c r="P95" i="9" s="1"/>
  <c r="L95" i="9"/>
  <c r="O95" i="9" s="1"/>
  <c r="J93" i="9"/>
  <c r="J92" i="9"/>
  <c r="I90" i="9"/>
  <c r="K90" i="9" s="1"/>
  <c r="I89" i="9"/>
  <c r="K89" i="9" s="1"/>
  <c r="I88" i="9"/>
  <c r="K88" i="9" s="1"/>
  <c r="I87" i="9"/>
  <c r="K87" i="9" s="1"/>
  <c r="I86" i="9"/>
  <c r="K86" i="9" s="1"/>
  <c r="I85" i="9"/>
  <c r="I84" i="9"/>
  <c r="J83" i="9"/>
  <c r="J82" i="9"/>
  <c r="J70" i="9" s="1"/>
  <c r="S80" i="9"/>
  <c r="R80" i="9"/>
  <c r="U80" i="9" s="1"/>
  <c r="Q80" i="9"/>
  <c r="Q78" i="9" s="1"/>
  <c r="T78" i="9" s="1"/>
  <c r="N80" i="9"/>
  <c r="N78" i="9" s="1"/>
  <c r="M80" i="9"/>
  <c r="P80" i="9" s="1"/>
  <c r="L80" i="9"/>
  <c r="O80" i="9" s="1"/>
  <c r="U79" i="9"/>
  <c r="T79" i="9"/>
  <c r="P79" i="9"/>
  <c r="O79" i="9"/>
  <c r="S77" i="9"/>
  <c r="R77" i="9"/>
  <c r="R75" i="9" s="1"/>
  <c r="U75" i="9" s="1"/>
  <c r="Q77" i="9"/>
  <c r="T77" i="9" s="1"/>
  <c r="N77" i="9"/>
  <c r="N75" i="9" s="1"/>
  <c r="M77" i="9"/>
  <c r="M75" i="9" s="1"/>
  <c r="P75" i="9" s="1"/>
  <c r="L77" i="9"/>
  <c r="U76" i="9"/>
  <c r="T76" i="9"/>
  <c r="P76" i="9"/>
  <c r="O76" i="9"/>
  <c r="S73" i="9"/>
  <c r="R73" i="9"/>
  <c r="Q73" i="9"/>
  <c r="O73" i="9"/>
  <c r="N73" i="9"/>
  <c r="M73" i="9"/>
  <c r="P73" i="9" s="1"/>
  <c r="L73" i="9"/>
  <c r="J71" i="9"/>
  <c r="U67" i="9"/>
  <c r="T67" i="9"/>
  <c r="N67" i="9"/>
  <c r="N65" i="9" s="1"/>
  <c r="M67" i="9"/>
  <c r="P67" i="9" s="1"/>
  <c r="L67" i="9"/>
  <c r="L65" i="9" s="1"/>
  <c r="O65" i="9" s="1"/>
  <c r="U66" i="9"/>
  <c r="T66" i="9"/>
  <c r="P66" i="9"/>
  <c r="O66" i="9"/>
  <c r="T65" i="9"/>
  <c r="S65" i="9"/>
  <c r="R65" i="9"/>
  <c r="U65" i="9" s="1"/>
  <c r="Q65" i="9"/>
  <c r="U64" i="9"/>
  <c r="T64" i="9"/>
  <c r="N64" i="9"/>
  <c r="N62" i="9" s="1"/>
  <c r="M64" i="9"/>
  <c r="M62" i="9" s="1"/>
  <c r="L64" i="9"/>
  <c r="L62" i="9" s="1"/>
  <c r="U63" i="9"/>
  <c r="T63" i="9"/>
  <c r="P63" i="9"/>
  <c r="O63" i="9"/>
  <c r="U62" i="9"/>
  <c r="S62" i="9"/>
  <c r="R62" i="9"/>
  <c r="Q62" i="9"/>
  <c r="T62" i="9" s="1"/>
  <c r="U61" i="9"/>
  <c r="S61" i="9"/>
  <c r="R61" i="9"/>
  <c r="Q61" i="9"/>
  <c r="S60" i="9"/>
  <c r="R60" i="9"/>
  <c r="U60" i="9" s="1"/>
  <c r="Q60" i="9"/>
  <c r="T60" i="9" s="1"/>
  <c r="N60" i="9"/>
  <c r="M60" i="9"/>
  <c r="P60" i="9" s="1"/>
  <c r="L60" i="9"/>
  <c r="O60" i="9" s="1"/>
  <c r="U52" i="9"/>
  <c r="T52" i="9"/>
  <c r="N52" i="9"/>
  <c r="N50" i="9" s="1"/>
  <c r="M52" i="9"/>
  <c r="P52" i="9" s="1"/>
  <c r="L52" i="9"/>
  <c r="L50" i="9" s="1"/>
  <c r="O50" i="9" s="1"/>
  <c r="U51" i="9"/>
  <c r="T51" i="9"/>
  <c r="P51" i="9"/>
  <c r="O51" i="9"/>
  <c r="T50" i="9"/>
  <c r="S50" i="9"/>
  <c r="R50" i="9"/>
  <c r="U50" i="9" s="1"/>
  <c r="Q50" i="9"/>
  <c r="U49" i="9"/>
  <c r="T49" i="9"/>
  <c r="N49" i="9"/>
  <c r="N47" i="9" s="1"/>
  <c r="M49" i="9"/>
  <c r="L49" i="9"/>
  <c r="L47" i="9" s="1"/>
  <c r="U48" i="9"/>
  <c r="T48" i="9"/>
  <c r="P48" i="9"/>
  <c r="O48" i="9"/>
  <c r="U47" i="9"/>
  <c r="S47" i="9"/>
  <c r="R47" i="9"/>
  <c r="Q47" i="9"/>
  <c r="T47" i="9" s="1"/>
  <c r="T46" i="9"/>
  <c r="S46" i="9"/>
  <c r="R46" i="9"/>
  <c r="U46" i="9" s="1"/>
  <c r="Q46" i="9"/>
  <c r="S45" i="9"/>
  <c r="R45" i="9"/>
  <c r="Q45" i="9"/>
  <c r="T45" i="9" s="1"/>
  <c r="O45" i="9"/>
  <c r="N45" i="9"/>
  <c r="M45" i="9"/>
  <c r="P45" i="9" s="1"/>
  <c r="L45" i="9"/>
  <c r="S44" i="9"/>
  <c r="S25" i="9"/>
  <c r="R25" i="9"/>
  <c r="U25" i="9" s="1"/>
  <c r="Q25" i="9"/>
  <c r="P25" i="9"/>
  <c r="N25" i="9"/>
  <c r="M25" i="9"/>
  <c r="L25" i="9"/>
  <c r="S22" i="9"/>
  <c r="S19" i="9" s="1"/>
  <c r="R22" i="9"/>
  <c r="R19" i="9" s="1"/>
  <c r="Q22" i="9"/>
  <c r="T22" i="9" s="1"/>
  <c r="N22" i="9"/>
  <c r="M22" i="9"/>
  <c r="P22" i="9" s="1"/>
  <c r="L22" i="9"/>
  <c r="L19" i="9" s="1"/>
  <c r="N19" i="9"/>
  <c r="M19" i="9"/>
  <c r="P19" i="9" s="1"/>
  <c r="A789" i="8"/>
  <c r="A788" i="8"/>
  <c r="J785" i="8"/>
  <c r="I785" i="8"/>
  <c r="J784" i="8"/>
  <c r="I784" i="8"/>
  <c r="J783" i="8"/>
  <c r="I783" i="8"/>
  <c r="J782" i="8"/>
  <c r="I782" i="8"/>
  <c r="J781" i="8"/>
  <c r="I781" i="8"/>
  <c r="J780" i="8"/>
  <c r="I780" i="8"/>
  <c r="J779" i="8"/>
  <c r="I779" i="8"/>
  <c r="J778" i="8"/>
  <c r="I778" i="8"/>
  <c r="H777" i="8"/>
  <c r="I776" i="8"/>
  <c r="I775" i="8"/>
  <c r="I774" i="8"/>
  <c r="I759" i="8" s="1"/>
  <c r="K759" i="8" s="1"/>
  <c r="I772" i="8"/>
  <c r="K772" i="8" s="1"/>
  <c r="I770" i="8"/>
  <c r="K770" i="8" s="1"/>
  <c r="U768" i="8"/>
  <c r="T768" i="8"/>
  <c r="P768" i="8"/>
  <c r="O768" i="8"/>
  <c r="U767" i="8"/>
  <c r="T767" i="8"/>
  <c r="P767" i="8"/>
  <c r="O767" i="8"/>
  <c r="S766" i="8"/>
  <c r="R766" i="8"/>
  <c r="U766" i="8" s="1"/>
  <c r="Q766" i="8"/>
  <c r="T766" i="8" s="1"/>
  <c r="N766" i="8"/>
  <c r="M766" i="8"/>
  <c r="P766" i="8" s="1"/>
  <c r="L766" i="8"/>
  <c r="O766" i="8" s="1"/>
  <c r="S765" i="8"/>
  <c r="S763" i="8" s="1"/>
  <c r="R765" i="8"/>
  <c r="R763" i="8" s="1"/>
  <c r="Q765" i="8"/>
  <c r="Q763" i="8" s="1"/>
  <c r="P765" i="8"/>
  <c r="O765" i="8"/>
  <c r="U764" i="8"/>
  <c r="T764" i="8"/>
  <c r="P764" i="8"/>
  <c r="O764" i="8"/>
  <c r="N763" i="8"/>
  <c r="M763" i="8"/>
  <c r="P763" i="8" s="1"/>
  <c r="L763" i="8"/>
  <c r="O763" i="8" s="1"/>
  <c r="N762" i="8"/>
  <c r="N760" i="8" s="1"/>
  <c r="M762" i="8"/>
  <c r="P762" i="8" s="1"/>
  <c r="L762" i="8"/>
  <c r="T761" i="8"/>
  <c r="S761" i="8"/>
  <c r="R761" i="8"/>
  <c r="U761" i="8" s="1"/>
  <c r="Q761" i="8"/>
  <c r="N761" i="8"/>
  <c r="M761" i="8"/>
  <c r="L761" i="8"/>
  <c r="O761" i="8" s="1"/>
  <c r="J759" i="8"/>
  <c r="J758" i="8"/>
  <c r="I755" i="8"/>
  <c r="K755" i="8" s="1"/>
  <c r="I752" i="8"/>
  <c r="K752" i="8" s="1"/>
  <c r="I749" i="8"/>
  <c r="K749" i="8" s="1"/>
  <c r="I746" i="8"/>
  <c r="K746" i="8" s="1"/>
  <c r="I744" i="8"/>
  <c r="K744" i="8" s="1"/>
  <c r="I742" i="8"/>
  <c r="K742" i="8" s="1"/>
  <c r="I740" i="8"/>
  <c r="K740" i="8" s="1"/>
  <c r="U736" i="8"/>
  <c r="T736" i="8"/>
  <c r="P736" i="8"/>
  <c r="O736" i="8"/>
  <c r="U735" i="8"/>
  <c r="T735" i="8"/>
  <c r="P735" i="8"/>
  <c r="O735" i="8"/>
  <c r="T734" i="8"/>
  <c r="S734" i="8"/>
  <c r="R734" i="8"/>
  <c r="U734" i="8" s="1"/>
  <c r="Q734" i="8"/>
  <c r="P734" i="8"/>
  <c r="N734" i="8"/>
  <c r="M734" i="8"/>
  <c r="L734" i="8"/>
  <c r="O734" i="8" s="1"/>
  <c r="S733" i="8"/>
  <c r="S730" i="8" s="1"/>
  <c r="R733" i="8"/>
  <c r="R731" i="8" s="1"/>
  <c r="Q733" i="8"/>
  <c r="Q731" i="8" s="1"/>
  <c r="P733" i="8"/>
  <c r="O733" i="8"/>
  <c r="U732" i="8"/>
  <c r="T732" i="8"/>
  <c r="P732" i="8"/>
  <c r="O732" i="8"/>
  <c r="O731" i="8"/>
  <c r="N731" i="8"/>
  <c r="M731" i="8"/>
  <c r="P731" i="8" s="1"/>
  <c r="L731" i="8"/>
  <c r="N730" i="8"/>
  <c r="M730" i="8"/>
  <c r="P730" i="8" s="1"/>
  <c r="L730" i="8"/>
  <c r="O730" i="8" s="1"/>
  <c r="U729" i="8"/>
  <c r="S729" i="8"/>
  <c r="R729" i="8"/>
  <c r="Q729" i="8"/>
  <c r="T729" i="8" s="1"/>
  <c r="O729" i="8"/>
  <c r="N729" i="8"/>
  <c r="M729" i="8"/>
  <c r="P729" i="8" s="1"/>
  <c r="L729" i="8"/>
  <c r="L728" i="8" s="1"/>
  <c r="O728" i="8" s="1"/>
  <c r="J727" i="8"/>
  <c r="I727" i="8"/>
  <c r="J726" i="8"/>
  <c r="I726" i="8"/>
  <c r="K726" i="8" s="1"/>
  <c r="U722" i="8"/>
  <c r="T722" i="8"/>
  <c r="P722" i="8"/>
  <c r="O722" i="8"/>
  <c r="U721" i="8"/>
  <c r="T721" i="8"/>
  <c r="P721" i="8"/>
  <c r="O721" i="8"/>
  <c r="S720" i="8"/>
  <c r="R720" i="8"/>
  <c r="U720" i="8" s="1"/>
  <c r="Q720" i="8"/>
  <c r="T720" i="8" s="1"/>
  <c r="N720" i="8"/>
  <c r="M720" i="8"/>
  <c r="P720" i="8" s="1"/>
  <c r="L720" i="8"/>
  <c r="O720" i="8" s="1"/>
  <c r="U719" i="8"/>
  <c r="T719" i="8"/>
  <c r="P719" i="8"/>
  <c r="O719" i="8"/>
  <c r="U718" i="8"/>
  <c r="T718" i="8"/>
  <c r="P718" i="8"/>
  <c r="O718" i="8"/>
  <c r="U717" i="8"/>
  <c r="S717" i="8"/>
  <c r="R717" i="8"/>
  <c r="Q717" i="8"/>
  <c r="T717" i="8" s="1"/>
  <c r="O717" i="8"/>
  <c r="N717" i="8"/>
  <c r="M717" i="8"/>
  <c r="P717" i="8" s="1"/>
  <c r="L717" i="8"/>
  <c r="S716" i="8"/>
  <c r="R716" i="8"/>
  <c r="U716" i="8" s="1"/>
  <c r="Q716" i="8"/>
  <c r="N716" i="8"/>
  <c r="M716" i="8"/>
  <c r="P716" i="8" s="1"/>
  <c r="L716" i="8"/>
  <c r="O716" i="8" s="1"/>
  <c r="U715" i="8"/>
  <c r="S715" i="8"/>
  <c r="S714" i="8" s="1"/>
  <c r="R715" i="8"/>
  <c r="Q715" i="8"/>
  <c r="T715" i="8" s="1"/>
  <c r="N715" i="8"/>
  <c r="M715" i="8"/>
  <c r="P715" i="8" s="1"/>
  <c r="L715" i="8"/>
  <c r="L714" i="8" s="1"/>
  <c r="O714" i="8" s="1"/>
  <c r="K712" i="8"/>
  <c r="J712" i="8"/>
  <c r="K710" i="8"/>
  <c r="J710" i="8"/>
  <c r="J709" i="8"/>
  <c r="I709" i="8"/>
  <c r="K708" i="8"/>
  <c r="J708" i="8"/>
  <c r="J707" i="8"/>
  <c r="J689" i="8" s="1"/>
  <c r="I707" i="8"/>
  <c r="I689" i="8" s="1"/>
  <c r="K706" i="8"/>
  <c r="J706" i="8"/>
  <c r="J705" i="8"/>
  <c r="I705" i="8"/>
  <c r="K704" i="8"/>
  <c r="J704" i="8"/>
  <c r="J703" i="8"/>
  <c r="I703" i="8"/>
  <c r="K702" i="8"/>
  <c r="I700" i="8"/>
  <c r="K700" i="8" s="1"/>
  <c r="U698" i="8"/>
  <c r="T698" i="8"/>
  <c r="P698" i="8"/>
  <c r="O698" i="8"/>
  <c r="U697" i="8"/>
  <c r="T697" i="8"/>
  <c r="P697" i="8"/>
  <c r="O697" i="8"/>
  <c r="S696" i="8"/>
  <c r="R696" i="8"/>
  <c r="U696" i="8" s="1"/>
  <c r="Q696" i="8"/>
  <c r="T696" i="8" s="1"/>
  <c r="P696" i="8"/>
  <c r="N696" i="8"/>
  <c r="M696" i="8"/>
  <c r="L696" i="8"/>
  <c r="O696" i="8" s="1"/>
  <c r="S695" i="8"/>
  <c r="S692" i="8" s="1"/>
  <c r="S690" i="8" s="1"/>
  <c r="R695" i="8"/>
  <c r="Q695" i="8"/>
  <c r="Q693" i="8" s="1"/>
  <c r="P695" i="8"/>
  <c r="O695" i="8"/>
  <c r="U694" i="8"/>
  <c r="T694" i="8"/>
  <c r="P694" i="8"/>
  <c r="O694" i="8"/>
  <c r="N693" i="8"/>
  <c r="M693" i="8"/>
  <c r="P693" i="8" s="1"/>
  <c r="L693" i="8"/>
  <c r="O693" i="8" s="1"/>
  <c r="O692" i="8"/>
  <c r="N692" i="8"/>
  <c r="M692" i="8"/>
  <c r="L692" i="8"/>
  <c r="U691" i="8"/>
  <c r="S691" i="8"/>
  <c r="R691" i="8"/>
  <c r="Q691" i="8"/>
  <c r="N691" i="8"/>
  <c r="M691" i="8"/>
  <c r="P691" i="8" s="1"/>
  <c r="L691" i="8"/>
  <c r="J682" i="8"/>
  <c r="I682" i="8"/>
  <c r="K682" i="8" s="1"/>
  <c r="J681" i="8"/>
  <c r="I681" i="8"/>
  <c r="K681" i="8" s="1"/>
  <c r="J680" i="8"/>
  <c r="J679" i="8"/>
  <c r="I679" i="8"/>
  <c r="K679" i="8" s="1"/>
  <c r="J678" i="8"/>
  <c r="I678" i="8"/>
  <c r="K678" i="8" s="1"/>
  <c r="J677" i="8"/>
  <c r="J676" i="8"/>
  <c r="I676" i="8"/>
  <c r="K676" i="8" s="1"/>
  <c r="I675" i="8"/>
  <c r="K675" i="8" s="1"/>
  <c r="I674" i="8"/>
  <c r="K674" i="8" s="1"/>
  <c r="J673" i="8"/>
  <c r="I673" i="8"/>
  <c r="K673" i="8" s="1"/>
  <c r="J672" i="8"/>
  <c r="J671" i="8"/>
  <c r="J661" i="8"/>
  <c r="I661" i="8"/>
  <c r="K661" i="8" s="1"/>
  <c r="I660" i="8"/>
  <c r="I657" i="8"/>
  <c r="J654" i="8"/>
  <c r="I654" i="8"/>
  <c r="J653" i="8"/>
  <c r="I653" i="8"/>
  <c r="J652" i="8"/>
  <c r="I652" i="8"/>
  <c r="K652" i="8" s="1"/>
  <c r="U650" i="8"/>
  <c r="T650" i="8"/>
  <c r="P650" i="8"/>
  <c r="O650" i="8"/>
  <c r="U649" i="8"/>
  <c r="T649" i="8"/>
  <c r="P649" i="8"/>
  <c r="O649" i="8"/>
  <c r="S648" i="8"/>
  <c r="R648" i="8"/>
  <c r="U648" i="8" s="1"/>
  <c r="Q648" i="8"/>
  <c r="T648" i="8" s="1"/>
  <c r="N648" i="8"/>
  <c r="M648" i="8"/>
  <c r="P648" i="8" s="1"/>
  <c r="L648" i="8"/>
  <c r="O648" i="8" s="1"/>
  <c r="S647" i="8"/>
  <c r="S644" i="8" s="1"/>
  <c r="S642" i="8" s="1"/>
  <c r="R647" i="8"/>
  <c r="Q647" i="8"/>
  <c r="Q644" i="8" s="1"/>
  <c r="P647" i="8"/>
  <c r="O647" i="8"/>
  <c r="U646" i="8"/>
  <c r="T646" i="8"/>
  <c r="P646" i="8"/>
  <c r="O646" i="8"/>
  <c r="N645" i="8"/>
  <c r="M645" i="8"/>
  <c r="P645" i="8" s="1"/>
  <c r="L645" i="8"/>
  <c r="O645" i="8" s="1"/>
  <c r="O644" i="8"/>
  <c r="N644" i="8"/>
  <c r="M644" i="8"/>
  <c r="P644" i="8" s="1"/>
  <c r="L644" i="8"/>
  <c r="S643" i="8"/>
  <c r="R643" i="8"/>
  <c r="U643" i="8" s="1"/>
  <c r="Q643" i="8"/>
  <c r="T643" i="8" s="1"/>
  <c r="N643" i="8"/>
  <c r="M643" i="8"/>
  <c r="P643" i="8" s="1"/>
  <c r="L643" i="8"/>
  <c r="O643" i="8" s="1"/>
  <c r="L642" i="8"/>
  <c r="O642" i="8" s="1"/>
  <c r="J636" i="8"/>
  <c r="J635" i="8" s="1"/>
  <c r="I635" i="8"/>
  <c r="K635" i="8" s="1"/>
  <c r="J632" i="8"/>
  <c r="I628" i="8"/>
  <c r="K628" i="8" s="1"/>
  <c r="I627" i="8"/>
  <c r="K627" i="8" s="1"/>
  <c r="J626" i="8"/>
  <c r="I626" i="8"/>
  <c r="K630" i="8" s="1"/>
  <c r="U624" i="8"/>
  <c r="T624" i="8"/>
  <c r="P624" i="8"/>
  <c r="O624" i="8"/>
  <c r="U623" i="8"/>
  <c r="T623" i="8"/>
  <c r="P623" i="8"/>
  <c r="O623" i="8"/>
  <c r="U622" i="8"/>
  <c r="S622" i="8"/>
  <c r="R622" i="8"/>
  <c r="Q622" i="8"/>
  <c r="T622" i="8" s="1"/>
  <c r="N622" i="8"/>
  <c r="M622" i="8"/>
  <c r="P622" i="8" s="1"/>
  <c r="L622" i="8"/>
  <c r="O622" i="8" s="1"/>
  <c r="S621" i="8"/>
  <c r="S618" i="8" s="1"/>
  <c r="R621" i="8"/>
  <c r="R619" i="8" s="1"/>
  <c r="Q621" i="8"/>
  <c r="Q619" i="8" s="1"/>
  <c r="P621" i="8"/>
  <c r="O621" i="8"/>
  <c r="U620" i="8"/>
  <c r="T620" i="8"/>
  <c r="P620" i="8"/>
  <c r="O620" i="8"/>
  <c r="N619" i="8"/>
  <c r="M619" i="8"/>
  <c r="P619" i="8" s="1"/>
  <c r="L619" i="8"/>
  <c r="O619" i="8" s="1"/>
  <c r="P618" i="8"/>
  <c r="N618" i="8"/>
  <c r="M618" i="8"/>
  <c r="L618" i="8"/>
  <c r="O618" i="8" s="1"/>
  <c r="T617" i="8"/>
  <c r="S617" i="8"/>
  <c r="R617" i="8"/>
  <c r="U617" i="8" s="1"/>
  <c r="Q617" i="8"/>
  <c r="N617" i="8"/>
  <c r="M617" i="8"/>
  <c r="L617" i="8"/>
  <c r="O617" i="8" s="1"/>
  <c r="J615" i="8"/>
  <c r="S607" i="8"/>
  <c r="S605" i="8" s="1"/>
  <c r="R607" i="8"/>
  <c r="U607" i="8" s="1"/>
  <c r="Q607" i="8"/>
  <c r="T607" i="8" s="1"/>
  <c r="N607" i="8"/>
  <c r="N605" i="8" s="1"/>
  <c r="M607" i="8"/>
  <c r="P607" i="8" s="1"/>
  <c r="L607" i="8"/>
  <c r="O607" i="8" s="1"/>
  <c r="U606" i="8"/>
  <c r="T606" i="8"/>
  <c r="P606" i="8"/>
  <c r="O606" i="8"/>
  <c r="S604" i="8"/>
  <c r="S602" i="8" s="1"/>
  <c r="R604" i="8"/>
  <c r="Q604" i="8"/>
  <c r="T604" i="8" s="1"/>
  <c r="N604" i="8"/>
  <c r="N602" i="8" s="1"/>
  <c r="M604" i="8"/>
  <c r="L604" i="8"/>
  <c r="U603" i="8"/>
  <c r="T603" i="8"/>
  <c r="P603" i="8"/>
  <c r="O603" i="8"/>
  <c r="S600" i="8"/>
  <c r="R600" i="8"/>
  <c r="Q600" i="8"/>
  <c r="T600" i="8" s="1"/>
  <c r="N600" i="8"/>
  <c r="M600" i="8"/>
  <c r="P600" i="8" s="1"/>
  <c r="L600" i="8"/>
  <c r="U584" i="8"/>
  <c r="T584" i="8"/>
  <c r="N584" i="8"/>
  <c r="N582" i="8" s="1"/>
  <c r="M584" i="8"/>
  <c r="P584" i="8" s="1"/>
  <c r="L584" i="8"/>
  <c r="L582" i="8" s="1"/>
  <c r="O582" i="8" s="1"/>
  <c r="U583" i="8"/>
  <c r="T583" i="8"/>
  <c r="P583" i="8"/>
  <c r="O583" i="8"/>
  <c r="S582" i="8"/>
  <c r="R582" i="8"/>
  <c r="U582" i="8" s="1"/>
  <c r="Q582" i="8"/>
  <c r="T582" i="8" s="1"/>
  <c r="U581" i="8"/>
  <c r="T581" i="8"/>
  <c r="N581" i="8"/>
  <c r="N579" i="8" s="1"/>
  <c r="M581" i="8"/>
  <c r="P581" i="8" s="1"/>
  <c r="L581" i="8"/>
  <c r="L579" i="8" s="1"/>
  <c r="U580" i="8"/>
  <c r="T580" i="8"/>
  <c r="P580" i="8"/>
  <c r="O580" i="8"/>
  <c r="S579" i="8"/>
  <c r="R579" i="8"/>
  <c r="U579" i="8" s="1"/>
  <c r="Q579" i="8"/>
  <c r="T579" i="8" s="1"/>
  <c r="S578" i="8"/>
  <c r="R578" i="8"/>
  <c r="U578" i="8" s="1"/>
  <c r="Q578" i="8"/>
  <c r="T578" i="8" s="1"/>
  <c r="U577" i="8"/>
  <c r="S577" i="8"/>
  <c r="R577" i="8"/>
  <c r="R576" i="8" s="1"/>
  <c r="Q577" i="8"/>
  <c r="N577" i="8"/>
  <c r="M577" i="8"/>
  <c r="P577" i="8" s="1"/>
  <c r="L577" i="8"/>
  <c r="U576" i="8"/>
  <c r="S576" i="8"/>
  <c r="J575" i="8"/>
  <c r="I575" i="8"/>
  <c r="K575" i="8" s="1"/>
  <c r="U563" i="8"/>
  <c r="T563" i="8"/>
  <c r="N563" i="8"/>
  <c r="N561" i="8" s="1"/>
  <c r="M563" i="8"/>
  <c r="L563" i="8"/>
  <c r="U562" i="8"/>
  <c r="T562" i="8"/>
  <c r="P562" i="8"/>
  <c r="O562" i="8"/>
  <c r="S561" i="8"/>
  <c r="R561" i="8"/>
  <c r="U561" i="8" s="1"/>
  <c r="Q561" i="8"/>
  <c r="T561" i="8" s="1"/>
  <c r="U560" i="8"/>
  <c r="T560" i="8"/>
  <c r="N560" i="8"/>
  <c r="N558" i="8" s="1"/>
  <c r="M560" i="8"/>
  <c r="P560" i="8" s="1"/>
  <c r="L560" i="8"/>
  <c r="O560" i="8" s="1"/>
  <c r="U559" i="8"/>
  <c r="T559" i="8"/>
  <c r="P559" i="8"/>
  <c r="O559" i="8"/>
  <c r="S558" i="8"/>
  <c r="R558" i="8"/>
  <c r="U558" i="8" s="1"/>
  <c r="Q558" i="8"/>
  <c r="T558" i="8" s="1"/>
  <c r="S557" i="8"/>
  <c r="R557" i="8"/>
  <c r="U557" i="8" s="1"/>
  <c r="Q557" i="8"/>
  <c r="T557" i="8" s="1"/>
  <c r="S556" i="8"/>
  <c r="R556" i="8"/>
  <c r="U556" i="8" s="1"/>
  <c r="Q556" i="8"/>
  <c r="T556" i="8" s="1"/>
  <c r="P556" i="8"/>
  <c r="N556" i="8"/>
  <c r="M556" i="8"/>
  <c r="L556" i="8"/>
  <c r="O556" i="8" s="1"/>
  <c r="R555" i="8"/>
  <c r="U555" i="8" s="1"/>
  <c r="J554" i="8"/>
  <c r="I554" i="8"/>
  <c r="K554" i="8" s="1"/>
  <c r="U542" i="8"/>
  <c r="T542" i="8"/>
  <c r="N542" i="8"/>
  <c r="N540" i="8" s="1"/>
  <c r="M542" i="8"/>
  <c r="L542" i="8"/>
  <c r="L540" i="8" s="1"/>
  <c r="O540" i="8" s="1"/>
  <c r="U541" i="8"/>
  <c r="T541" i="8"/>
  <c r="P541" i="8"/>
  <c r="O541" i="8"/>
  <c r="S540" i="8"/>
  <c r="R540" i="8"/>
  <c r="U540" i="8" s="1"/>
  <c r="Q540" i="8"/>
  <c r="T540" i="8" s="1"/>
  <c r="U539" i="8"/>
  <c r="T539" i="8"/>
  <c r="N539" i="8"/>
  <c r="N537" i="8" s="1"/>
  <c r="M539" i="8"/>
  <c r="P539" i="8" s="1"/>
  <c r="L539" i="8"/>
  <c r="L537" i="8" s="1"/>
  <c r="O537" i="8" s="1"/>
  <c r="U538" i="8"/>
  <c r="T538" i="8"/>
  <c r="P538" i="8"/>
  <c r="O538" i="8"/>
  <c r="U537" i="8"/>
  <c r="S537" i="8"/>
  <c r="R537" i="8"/>
  <c r="Q537" i="8"/>
  <c r="T537" i="8" s="1"/>
  <c r="S536" i="8"/>
  <c r="R536" i="8"/>
  <c r="U536" i="8" s="1"/>
  <c r="Q536" i="8"/>
  <c r="T536" i="8" s="1"/>
  <c r="S535" i="8"/>
  <c r="R535" i="8"/>
  <c r="U535" i="8" s="1"/>
  <c r="Q535" i="8"/>
  <c r="N535" i="8"/>
  <c r="M535" i="8"/>
  <c r="P535" i="8" s="1"/>
  <c r="L535" i="8"/>
  <c r="O535" i="8" s="1"/>
  <c r="J533" i="8"/>
  <c r="I533" i="8"/>
  <c r="K533" i="8" s="1"/>
  <c r="K524" i="8"/>
  <c r="K523" i="8"/>
  <c r="U521" i="8"/>
  <c r="T521" i="8"/>
  <c r="N521" i="8"/>
  <c r="N519" i="8" s="1"/>
  <c r="M521" i="8"/>
  <c r="P521" i="8" s="1"/>
  <c r="L521" i="8"/>
  <c r="U520" i="8"/>
  <c r="T520" i="8"/>
  <c r="P520" i="8"/>
  <c r="O520" i="8"/>
  <c r="S519" i="8"/>
  <c r="R519" i="8"/>
  <c r="U519" i="8" s="1"/>
  <c r="Q519" i="8"/>
  <c r="T519" i="8" s="1"/>
  <c r="U518" i="8"/>
  <c r="T518" i="8"/>
  <c r="N518" i="8"/>
  <c r="M518" i="8"/>
  <c r="M516" i="8" s="1"/>
  <c r="P516" i="8" s="1"/>
  <c r="L518" i="8"/>
  <c r="L516" i="8" s="1"/>
  <c r="O516" i="8" s="1"/>
  <c r="U517" i="8"/>
  <c r="T517" i="8"/>
  <c r="P517" i="8"/>
  <c r="O517" i="8"/>
  <c r="T516" i="8"/>
  <c r="S516" i="8"/>
  <c r="R516" i="8"/>
  <c r="U516" i="8" s="1"/>
  <c r="Q516" i="8"/>
  <c r="S515" i="8"/>
  <c r="R515" i="8"/>
  <c r="U515" i="8" s="1"/>
  <c r="Q515" i="8"/>
  <c r="S514" i="8"/>
  <c r="R514" i="8"/>
  <c r="U514" i="8" s="1"/>
  <c r="Q514" i="8"/>
  <c r="T514" i="8" s="1"/>
  <c r="N514" i="8"/>
  <c r="M514" i="8"/>
  <c r="P514" i="8" s="1"/>
  <c r="L514" i="8"/>
  <c r="O514" i="8" s="1"/>
  <c r="R513" i="8"/>
  <c r="U513" i="8" s="1"/>
  <c r="J512" i="8"/>
  <c r="I512" i="8"/>
  <c r="K512" i="8" s="1"/>
  <c r="I509" i="8"/>
  <c r="K509" i="8" s="1"/>
  <c r="K508" i="8"/>
  <c r="I507" i="8"/>
  <c r="K507" i="8" s="1"/>
  <c r="I506" i="8"/>
  <c r="K506" i="8" s="1"/>
  <c r="I505" i="8"/>
  <c r="K505" i="8" s="1"/>
  <c r="I504" i="8"/>
  <c r="I503" i="8"/>
  <c r="K503" i="8" s="1"/>
  <c r="U501" i="8"/>
  <c r="T501" i="8"/>
  <c r="N501" i="8"/>
  <c r="N499" i="8" s="1"/>
  <c r="M501" i="8"/>
  <c r="M499" i="8" s="1"/>
  <c r="P499" i="8" s="1"/>
  <c r="L501" i="8"/>
  <c r="U500" i="8"/>
  <c r="T500" i="8"/>
  <c r="P500" i="8"/>
  <c r="O500" i="8"/>
  <c r="S499" i="8"/>
  <c r="R499" i="8"/>
  <c r="U499" i="8" s="1"/>
  <c r="Q499" i="8"/>
  <c r="T499" i="8" s="1"/>
  <c r="S498" i="8"/>
  <c r="S496" i="8" s="1"/>
  <c r="R498" i="8"/>
  <c r="R496" i="8" s="1"/>
  <c r="U496" i="8" s="1"/>
  <c r="Q498" i="8"/>
  <c r="T498" i="8" s="1"/>
  <c r="N498" i="8"/>
  <c r="M498" i="8"/>
  <c r="P498" i="8" s="1"/>
  <c r="L498" i="8"/>
  <c r="O498" i="8" s="1"/>
  <c r="U497" i="8"/>
  <c r="T497" i="8"/>
  <c r="P497" i="8"/>
  <c r="O497" i="8"/>
  <c r="S494" i="8"/>
  <c r="R494" i="8"/>
  <c r="U494" i="8" s="1"/>
  <c r="Q494" i="8"/>
  <c r="T494" i="8" s="1"/>
  <c r="N494" i="8"/>
  <c r="M494" i="8"/>
  <c r="P494" i="8" s="1"/>
  <c r="L494" i="8"/>
  <c r="O494" i="8" s="1"/>
  <c r="J485" i="8"/>
  <c r="I485" i="8"/>
  <c r="K485" i="8" s="1"/>
  <c r="J484" i="8"/>
  <c r="I484" i="8"/>
  <c r="K484" i="8" s="1"/>
  <c r="J483" i="8"/>
  <c r="J482" i="8"/>
  <c r="K477" i="8"/>
  <c r="J477" i="8"/>
  <c r="K476" i="8"/>
  <c r="J476" i="8"/>
  <c r="K475" i="8"/>
  <c r="J475" i="8"/>
  <c r="J468" i="8"/>
  <c r="J467" i="8"/>
  <c r="J460" i="8"/>
  <c r="J458" i="8" s="1"/>
  <c r="J459" i="8"/>
  <c r="I458" i="8"/>
  <c r="K458" i="8" s="1"/>
  <c r="J457" i="8"/>
  <c r="I457" i="8"/>
  <c r="I456" i="8" s="1"/>
  <c r="J447" i="8"/>
  <c r="J441" i="8" s="1"/>
  <c r="J446" i="8"/>
  <c r="I441" i="8"/>
  <c r="J440" i="8"/>
  <c r="J423" i="8" s="1"/>
  <c r="J412" i="8" s="1"/>
  <c r="I440" i="8"/>
  <c r="I423" i="8" s="1"/>
  <c r="I412" i="8" s="1"/>
  <c r="J433" i="8"/>
  <c r="I433" i="8"/>
  <c r="J432" i="8"/>
  <c r="I432" i="8"/>
  <c r="J425" i="8"/>
  <c r="I425" i="8"/>
  <c r="J424" i="8"/>
  <c r="I424" i="8"/>
  <c r="U421" i="8"/>
  <c r="T421" i="8"/>
  <c r="N421" i="8"/>
  <c r="M421" i="8"/>
  <c r="M419" i="8" s="1"/>
  <c r="P419" i="8" s="1"/>
  <c r="L421" i="8"/>
  <c r="L419" i="8" s="1"/>
  <c r="O419" i="8" s="1"/>
  <c r="U420" i="8"/>
  <c r="T420" i="8"/>
  <c r="P420" i="8"/>
  <c r="O420" i="8"/>
  <c r="U419" i="8"/>
  <c r="T419" i="8"/>
  <c r="S419" i="8"/>
  <c r="R419" i="8"/>
  <c r="Q419" i="8"/>
  <c r="S418" i="8"/>
  <c r="S416" i="8" s="1"/>
  <c r="R418" i="8"/>
  <c r="R416" i="8" s="1"/>
  <c r="Q418" i="8"/>
  <c r="Q416" i="8" s="1"/>
  <c r="N418" i="8"/>
  <c r="N416" i="8" s="1"/>
  <c r="M418" i="8"/>
  <c r="M416" i="8" s="1"/>
  <c r="L418" i="8"/>
  <c r="L416" i="8" s="1"/>
  <c r="U417" i="8"/>
  <c r="T417" i="8"/>
  <c r="P417" i="8"/>
  <c r="O417" i="8"/>
  <c r="S414" i="8"/>
  <c r="R414" i="8"/>
  <c r="Q414" i="8"/>
  <c r="T414" i="8" s="1"/>
  <c r="P414" i="8"/>
  <c r="N414" i="8"/>
  <c r="M414" i="8"/>
  <c r="L414" i="8"/>
  <c r="U400" i="8"/>
  <c r="T400" i="8"/>
  <c r="P400" i="8"/>
  <c r="O400" i="8"/>
  <c r="U399" i="8"/>
  <c r="T399" i="8"/>
  <c r="P399" i="8"/>
  <c r="O399" i="8"/>
  <c r="S398" i="8"/>
  <c r="R398" i="8"/>
  <c r="U398" i="8" s="1"/>
  <c r="Q398" i="8"/>
  <c r="T398" i="8" s="1"/>
  <c r="N398" i="8"/>
  <c r="M398" i="8"/>
  <c r="P398" i="8" s="1"/>
  <c r="L398" i="8"/>
  <c r="O398" i="8" s="1"/>
  <c r="S397" i="8"/>
  <c r="S395" i="8" s="1"/>
  <c r="R397" i="8"/>
  <c r="U397" i="8" s="1"/>
  <c r="Q397" i="8"/>
  <c r="P397" i="8"/>
  <c r="O397" i="8"/>
  <c r="U396" i="8"/>
  <c r="T396" i="8"/>
  <c r="P396" i="8"/>
  <c r="O396" i="8"/>
  <c r="N395" i="8"/>
  <c r="M395" i="8"/>
  <c r="P395" i="8" s="1"/>
  <c r="L395" i="8"/>
  <c r="O395" i="8" s="1"/>
  <c r="N394" i="8"/>
  <c r="M394" i="8"/>
  <c r="L394" i="8"/>
  <c r="O394" i="8" s="1"/>
  <c r="S393" i="8"/>
  <c r="R393" i="8"/>
  <c r="Q393" i="8"/>
  <c r="T393" i="8" s="1"/>
  <c r="P393" i="8"/>
  <c r="N393" i="8"/>
  <c r="M393" i="8"/>
  <c r="L393" i="8"/>
  <c r="J391" i="8"/>
  <c r="I391" i="8"/>
  <c r="K391" i="8" s="1"/>
  <c r="J388" i="8"/>
  <c r="I388" i="8"/>
  <c r="K387" i="8"/>
  <c r="J387" i="8"/>
  <c r="J386" i="8"/>
  <c r="I386" i="8"/>
  <c r="K385" i="8"/>
  <c r="J385" i="8"/>
  <c r="U383" i="8"/>
  <c r="T383" i="8"/>
  <c r="N383" i="8"/>
  <c r="N381" i="8" s="1"/>
  <c r="M383" i="8"/>
  <c r="P383" i="8" s="1"/>
  <c r="L383" i="8"/>
  <c r="U382" i="8"/>
  <c r="T382" i="8"/>
  <c r="P382" i="8"/>
  <c r="O382" i="8"/>
  <c r="T381" i="8"/>
  <c r="S381" i="8"/>
  <c r="R381" i="8"/>
  <c r="U381" i="8" s="1"/>
  <c r="Q381" i="8"/>
  <c r="S380" i="8"/>
  <c r="S377" i="8" s="1"/>
  <c r="R380" i="8"/>
  <c r="R377" i="8" s="1"/>
  <c r="Q380" i="8"/>
  <c r="Q378" i="8" s="1"/>
  <c r="N380" i="8"/>
  <c r="N378" i="8" s="1"/>
  <c r="M380" i="8"/>
  <c r="P380" i="8" s="1"/>
  <c r="L380" i="8"/>
  <c r="U379" i="8"/>
  <c r="T379" i="8"/>
  <c r="P379" i="8"/>
  <c r="O379" i="8"/>
  <c r="S376" i="8"/>
  <c r="R376" i="8"/>
  <c r="U376" i="8" s="1"/>
  <c r="Q376" i="8"/>
  <c r="T376" i="8" s="1"/>
  <c r="N376" i="8"/>
  <c r="M376" i="8"/>
  <c r="P376" i="8" s="1"/>
  <c r="L376" i="8"/>
  <c r="O376" i="8" s="1"/>
  <c r="D373" i="8"/>
  <c r="K372" i="8"/>
  <c r="J372" i="8"/>
  <c r="J371" i="8"/>
  <c r="I371" i="8"/>
  <c r="I365" i="8" s="1"/>
  <c r="K370" i="8"/>
  <c r="J370" i="8"/>
  <c r="J369" i="8"/>
  <c r="I369" i="8"/>
  <c r="J368" i="8"/>
  <c r="I368" i="8"/>
  <c r="K367" i="8"/>
  <c r="J367" i="8"/>
  <c r="U364" i="8"/>
  <c r="T364" i="8"/>
  <c r="N364" i="8"/>
  <c r="N362" i="8" s="1"/>
  <c r="M364" i="8"/>
  <c r="L364" i="8"/>
  <c r="L362" i="8" s="1"/>
  <c r="O362" i="8" s="1"/>
  <c r="U363" i="8"/>
  <c r="T363" i="8"/>
  <c r="P363" i="8"/>
  <c r="O363" i="8"/>
  <c r="U362" i="8"/>
  <c r="T362" i="8"/>
  <c r="S362" i="8"/>
  <c r="R362" i="8"/>
  <c r="Q362" i="8"/>
  <c r="U361" i="8"/>
  <c r="T361" i="8"/>
  <c r="N361" i="8"/>
  <c r="M361" i="8"/>
  <c r="M359" i="8" s="1"/>
  <c r="L361" i="8"/>
  <c r="L359" i="8" s="1"/>
  <c r="U360" i="8"/>
  <c r="T360" i="8"/>
  <c r="P360" i="8"/>
  <c r="O360" i="8"/>
  <c r="S359" i="8"/>
  <c r="R359" i="8"/>
  <c r="U359" i="8" s="1"/>
  <c r="Q359" i="8"/>
  <c r="T359" i="8" s="1"/>
  <c r="S358" i="8"/>
  <c r="R358" i="8"/>
  <c r="Q358" i="8"/>
  <c r="T358" i="8" s="1"/>
  <c r="S357" i="8"/>
  <c r="R357" i="8"/>
  <c r="U357" i="8" s="1"/>
  <c r="Q357" i="8"/>
  <c r="N357" i="8"/>
  <c r="M357" i="8"/>
  <c r="P357" i="8" s="1"/>
  <c r="L357" i="8"/>
  <c r="O357" i="8" s="1"/>
  <c r="D354" i="8"/>
  <c r="J353" i="8"/>
  <c r="J352" i="8"/>
  <c r="D350" i="8"/>
  <c r="J349" i="8"/>
  <c r="J348" i="8"/>
  <c r="J347" i="8"/>
  <c r="J346" i="8"/>
  <c r="I346" i="8"/>
  <c r="J344" i="8"/>
  <c r="I344" i="8"/>
  <c r="I332" i="8" s="1"/>
  <c r="U341" i="8"/>
  <c r="T341" i="8"/>
  <c r="N341" i="8"/>
  <c r="N339" i="8" s="1"/>
  <c r="M341" i="8"/>
  <c r="M339" i="8" s="1"/>
  <c r="P339" i="8" s="1"/>
  <c r="L341" i="8"/>
  <c r="L339" i="8" s="1"/>
  <c r="O339" i="8" s="1"/>
  <c r="U340" i="8"/>
  <c r="T340" i="8"/>
  <c r="P340" i="8"/>
  <c r="O340" i="8"/>
  <c r="S339" i="8"/>
  <c r="R339" i="8"/>
  <c r="U339" i="8" s="1"/>
  <c r="Q339" i="8"/>
  <c r="T339" i="8" s="1"/>
  <c r="U338" i="8"/>
  <c r="T338" i="8"/>
  <c r="N338" i="8"/>
  <c r="N336" i="8" s="1"/>
  <c r="M338" i="8"/>
  <c r="L338" i="8"/>
  <c r="U337" i="8"/>
  <c r="T337" i="8"/>
  <c r="P337" i="8"/>
  <c r="O337" i="8"/>
  <c r="U336" i="8"/>
  <c r="S336" i="8"/>
  <c r="R336" i="8"/>
  <c r="Q336" i="8"/>
  <c r="T336" i="8" s="1"/>
  <c r="S335" i="8"/>
  <c r="S333" i="8" s="1"/>
  <c r="R335" i="8"/>
  <c r="Q335" i="8"/>
  <c r="T335" i="8" s="1"/>
  <c r="S334" i="8"/>
  <c r="R334" i="8"/>
  <c r="U334" i="8" s="1"/>
  <c r="Q334" i="8"/>
  <c r="P334" i="8"/>
  <c r="N334" i="8"/>
  <c r="M334" i="8"/>
  <c r="L334" i="8"/>
  <c r="O334" i="8" s="1"/>
  <c r="I330" i="8"/>
  <c r="I319" i="8" s="1"/>
  <c r="K319" i="8" s="1"/>
  <c r="U328" i="8"/>
  <c r="T328" i="8"/>
  <c r="N328" i="8"/>
  <c r="M328" i="8"/>
  <c r="L328" i="8"/>
  <c r="L326" i="8" s="1"/>
  <c r="O326" i="8" s="1"/>
  <c r="U327" i="8"/>
  <c r="T327" i="8"/>
  <c r="P327" i="8"/>
  <c r="O327" i="8"/>
  <c r="S326" i="8"/>
  <c r="R326" i="8"/>
  <c r="U326" i="8" s="1"/>
  <c r="Q326" i="8"/>
  <c r="T326" i="8" s="1"/>
  <c r="U325" i="8"/>
  <c r="T325" i="8"/>
  <c r="N325" i="8"/>
  <c r="N323" i="8" s="1"/>
  <c r="M325" i="8"/>
  <c r="P325" i="8" s="1"/>
  <c r="L325" i="8"/>
  <c r="U324" i="8"/>
  <c r="T324" i="8"/>
  <c r="P324" i="8"/>
  <c r="O324" i="8"/>
  <c r="T323" i="8"/>
  <c r="S323" i="8"/>
  <c r="R323" i="8"/>
  <c r="U323" i="8" s="1"/>
  <c r="Q323" i="8"/>
  <c r="S322" i="8"/>
  <c r="R322" i="8"/>
  <c r="U322" i="8" s="1"/>
  <c r="Q322" i="8"/>
  <c r="S321" i="8"/>
  <c r="R321" i="8"/>
  <c r="U321" i="8" s="1"/>
  <c r="Q321" i="8"/>
  <c r="T321" i="8" s="1"/>
  <c r="N321" i="8"/>
  <c r="M321" i="8"/>
  <c r="P321" i="8" s="1"/>
  <c r="L321" i="8"/>
  <c r="O321" i="8" s="1"/>
  <c r="J319" i="8"/>
  <c r="I314" i="8"/>
  <c r="K314" i="8" s="1"/>
  <c r="U311" i="8"/>
  <c r="T311" i="8"/>
  <c r="N311" i="8"/>
  <c r="N309" i="8" s="1"/>
  <c r="M311" i="8"/>
  <c r="L311" i="8"/>
  <c r="U310" i="8"/>
  <c r="T310" i="8"/>
  <c r="P310" i="8"/>
  <c r="O310" i="8"/>
  <c r="U309" i="8"/>
  <c r="T309" i="8"/>
  <c r="S309" i="8"/>
  <c r="R309" i="8"/>
  <c r="Q309" i="8"/>
  <c r="S308" i="8"/>
  <c r="R308" i="8"/>
  <c r="R306" i="8" s="1"/>
  <c r="Q308" i="8"/>
  <c r="Q306" i="8" s="1"/>
  <c r="N308" i="8"/>
  <c r="M308" i="8"/>
  <c r="M306" i="8" s="1"/>
  <c r="L308" i="8"/>
  <c r="U307" i="8"/>
  <c r="T307" i="8"/>
  <c r="P307" i="8"/>
  <c r="O307" i="8"/>
  <c r="S304" i="8"/>
  <c r="R304" i="8"/>
  <c r="U304" i="8" s="1"/>
  <c r="Q304" i="8"/>
  <c r="P304" i="8"/>
  <c r="N304" i="8"/>
  <c r="M304" i="8"/>
  <c r="L304" i="8"/>
  <c r="O304" i="8" s="1"/>
  <c r="J302" i="8"/>
  <c r="I296" i="8"/>
  <c r="K296" i="8" s="1"/>
  <c r="I295" i="8"/>
  <c r="K295" i="8" s="1"/>
  <c r="J293" i="8"/>
  <c r="I293" i="8"/>
  <c r="I280" i="8" s="1"/>
  <c r="I292" i="8"/>
  <c r="I281" i="8" s="1"/>
  <c r="U290" i="8"/>
  <c r="T290" i="8"/>
  <c r="N290" i="8"/>
  <c r="N288" i="8" s="1"/>
  <c r="M290" i="8"/>
  <c r="P290" i="8" s="1"/>
  <c r="L290" i="8"/>
  <c r="O290" i="8" s="1"/>
  <c r="U289" i="8"/>
  <c r="T289" i="8"/>
  <c r="P289" i="8"/>
  <c r="O289" i="8"/>
  <c r="S288" i="8"/>
  <c r="R288" i="8"/>
  <c r="U288" i="8" s="1"/>
  <c r="Q288" i="8"/>
  <c r="T288" i="8" s="1"/>
  <c r="U287" i="8"/>
  <c r="T287" i="8"/>
  <c r="N287" i="8"/>
  <c r="M287" i="8"/>
  <c r="M285" i="8" s="1"/>
  <c r="L287" i="8"/>
  <c r="L285" i="8" s="1"/>
  <c r="U286" i="8"/>
  <c r="T286" i="8"/>
  <c r="P286" i="8"/>
  <c r="O286" i="8"/>
  <c r="S285" i="8"/>
  <c r="R285" i="8"/>
  <c r="U285" i="8" s="1"/>
  <c r="Q285" i="8"/>
  <c r="T285" i="8" s="1"/>
  <c r="S284" i="8"/>
  <c r="R284" i="8"/>
  <c r="U284" i="8" s="1"/>
  <c r="Q284" i="8"/>
  <c r="T284" i="8" s="1"/>
  <c r="T283" i="8"/>
  <c r="S283" i="8"/>
  <c r="R283" i="8"/>
  <c r="U283" i="8" s="1"/>
  <c r="Q283" i="8"/>
  <c r="N283" i="8"/>
  <c r="M283" i="8"/>
  <c r="P283" i="8" s="1"/>
  <c r="L283" i="8"/>
  <c r="O283" i="8" s="1"/>
  <c r="J281" i="8"/>
  <c r="I276" i="8"/>
  <c r="K276" i="8" s="1"/>
  <c r="U274" i="8"/>
  <c r="T274" i="8"/>
  <c r="N274" i="8"/>
  <c r="N272" i="8" s="1"/>
  <c r="M274" i="8"/>
  <c r="P274" i="8" s="1"/>
  <c r="L274" i="8"/>
  <c r="O274" i="8" s="1"/>
  <c r="U273" i="8"/>
  <c r="T273" i="8"/>
  <c r="P273" i="8"/>
  <c r="O273" i="8"/>
  <c r="T272" i="8"/>
  <c r="S272" i="8"/>
  <c r="R272" i="8"/>
  <c r="U272" i="8" s="1"/>
  <c r="Q272" i="8"/>
  <c r="S271" i="8"/>
  <c r="S268" i="8" s="1"/>
  <c r="R271" i="8"/>
  <c r="Q271" i="8"/>
  <c r="N271" i="8"/>
  <c r="M271" i="8"/>
  <c r="L271" i="8"/>
  <c r="U270" i="8"/>
  <c r="T270" i="8"/>
  <c r="P270" i="8"/>
  <c r="O270" i="8"/>
  <c r="S267" i="8"/>
  <c r="R267" i="8"/>
  <c r="U267" i="8" s="1"/>
  <c r="Q267" i="8"/>
  <c r="T267" i="8" s="1"/>
  <c r="P267" i="8"/>
  <c r="N267" i="8"/>
  <c r="M267" i="8"/>
  <c r="L267" i="8"/>
  <c r="O267" i="8" s="1"/>
  <c r="J265" i="8"/>
  <c r="K263" i="8"/>
  <c r="K262" i="8"/>
  <c r="I260" i="8"/>
  <c r="L258" i="8"/>
  <c r="L257" i="8"/>
  <c r="L256" i="8"/>
  <c r="L255" i="8"/>
  <c r="P254" i="8"/>
  <c r="N254" i="8"/>
  <c r="J253" i="8"/>
  <c r="I252" i="8"/>
  <c r="I241" i="8" s="1"/>
  <c r="K241" i="8" s="1"/>
  <c r="I251" i="8"/>
  <c r="K251" i="8" s="1"/>
  <c r="I249" i="8"/>
  <c r="K249" i="8" s="1"/>
  <c r="L247" i="8"/>
  <c r="L246" i="8"/>
  <c r="L245" i="8"/>
  <c r="L244" i="8"/>
  <c r="P243" i="8"/>
  <c r="N243" i="8"/>
  <c r="N232" i="8" s="1"/>
  <c r="J242" i="8"/>
  <c r="J241" i="8"/>
  <c r="J240" i="8"/>
  <c r="J238" i="8"/>
  <c r="N236" i="8"/>
  <c r="N235" i="8"/>
  <c r="N234" i="8"/>
  <c r="N233" i="8"/>
  <c r="I230" i="8"/>
  <c r="K230" i="8" s="1"/>
  <c r="I229" i="8"/>
  <c r="K229" i="8" s="1"/>
  <c r="I228" i="8"/>
  <c r="K228" i="8" s="1"/>
  <c r="L225" i="8"/>
  <c r="L224" i="8"/>
  <c r="L223" i="8"/>
  <c r="P222" i="8"/>
  <c r="N222" i="8"/>
  <c r="J221" i="8"/>
  <c r="I220" i="8"/>
  <c r="I219" i="8"/>
  <c r="K219" i="8" s="1"/>
  <c r="Q217" i="8"/>
  <c r="Q214" i="8" s="1"/>
  <c r="T214" i="8" s="1"/>
  <c r="L217" i="8"/>
  <c r="L216" i="8"/>
  <c r="L215" i="8"/>
  <c r="U214" i="8"/>
  <c r="S214" i="8"/>
  <c r="P214" i="8"/>
  <c r="N214" i="8"/>
  <c r="J213" i="8"/>
  <c r="I212" i="8"/>
  <c r="K212" i="8" s="1"/>
  <c r="I211" i="8"/>
  <c r="K211" i="8" s="1"/>
  <c r="I209" i="8"/>
  <c r="I202" i="8" s="1"/>
  <c r="L207" i="8"/>
  <c r="Q206" i="8"/>
  <c r="Q203" i="8" s="1"/>
  <c r="L206" i="8"/>
  <c r="L205" i="8"/>
  <c r="L204" i="8"/>
  <c r="U203" i="8"/>
  <c r="S203" i="8"/>
  <c r="P203" i="8"/>
  <c r="N203" i="8"/>
  <c r="J202" i="8"/>
  <c r="J199" i="8"/>
  <c r="I198" i="8"/>
  <c r="K198" i="8" s="1"/>
  <c r="P196" i="8"/>
  <c r="L196" i="8"/>
  <c r="O196" i="8" s="1"/>
  <c r="J195" i="8"/>
  <c r="S194" i="8"/>
  <c r="S192" i="8" s="1"/>
  <c r="R194" i="8"/>
  <c r="R192" i="8" s="1"/>
  <c r="U192" i="8" s="1"/>
  <c r="Q194" i="8"/>
  <c r="Q192" i="8" s="1"/>
  <c r="T192" i="8" s="1"/>
  <c r="N194" i="8"/>
  <c r="N192" i="8" s="1"/>
  <c r="M194" i="8"/>
  <c r="M192" i="8" s="1"/>
  <c r="P192" i="8" s="1"/>
  <c r="L194" i="8"/>
  <c r="O194" i="8" s="1"/>
  <c r="U193" i="8"/>
  <c r="T193" i="8"/>
  <c r="P193" i="8"/>
  <c r="O193" i="8"/>
  <c r="S191" i="8"/>
  <c r="R191" i="8"/>
  <c r="Q191" i="8"/>
  <c r="Q189" i="8" s="1"/>
  <c r="N191" i="8"/>
  <c r="N189" i="8" s="1"/>
  <c r="M191" i="8"/>
  <c r="L191" i="8"/>
  <c r="U190" i="8"/>
  <c r="T190" i="8"/>
  <c r="P190" i="8"/>
  <c r="O190" i="8"/>
  <c r="T187" i="8"/>
  <c r="S187" i="8"/>
  <c r="R187" i="8"/>
  <c r="U187" i="8" s="1"/>
  <c r="Q187" i="8"/>
  <c r="N187" i="8"/>
  <c r="M187" i="8"/>
  <c r="L187" i="8"/>
  <c r="O187" i="8" s="1"/>
  <c r="K184" i="8"/>
  <c r="I183" i="8"/>
  <c r="K183" i="8" s="1"/>
  <c r="U181" i="8"/>
  <c r="T181" i="8"/>
  <c r="N181" i="8"/>
  <c r="N179" i="8" s="1"/>
  <c r="M181" i="8"/>
  <c r="M179" i="8" s="1"/>
  <c r="P179" i="8" s="1"/>
  <c r="L181" i="8"/>
  <c r="O181" i="8" s="1"/>
  <c r="U180" i="8"/>
  <c r="T180" i="8"/>
  <c r="P180" i="8"/>
  <c r="O180" i="8"/>
  <c r="U179" i="8"/>
  <c r="S179" i="8"/>
  <c r="R179" i="8"/>
  <c r="Q179" i="8"/>
  <c r="T179" i="8" s="1"/>
  <c r="S178" i="8"/>
  <c r="R178" i="8"/>
  <c r="U178" i="8" s="1"/>
  <c r="Q178" i="8"/>
  <c r="T178" i="8" s="1"/>
  <c r="N178" i="8"/>
  <c r="N176" i="8" s="1"/>
  <c r="M178" i="8"/>
  <c r="L178" i="8"/>
  <c r="U177" i="8"/>
  <c r="T177" i="8"/>
  <c r="P177" i="8"/>
  <c r="O177" i="8"/>
  <c r="S174" i="8"/>
  <c r="R174" i="8"/>
  <c r="U174" i="8" s="1"/>
  <c r="Q174" i="8"/>
  <c r="T174" i="8" s="1"/>
  <c r="O174" i="8"/>
  <c r="N174" i="8"/>
  <c r="M174" i="8"/>
  <c r="P174" i="8" s="1"/>
  <c r="L174" i="8"/>
  <c r="J172" i="8"/>
  <c r="I167" i="8"/>
  <c r="K167" i="8" s="1"/>
  <c r="U165" i="8"/>
  <c r="T165" i="8"/>
  <c r="N165" i="8"/>
  <c r="N163" i="8" s="1"/>
  <c r="M165" i="8"/>
  <c r="M163" i="8" s="1"/>
  <c r="P163" i="8" s="1"/>
  <c r="L165" i="8"/>
  <c r="O165" i="8" s="1"/>
  <c r="U164" i="8"/>
  <c r="T164" i="8"/>
  <c r="P164" i="8"/>
  <c r="O164" i="8"/>
  <c r="S163" i="8"/>
  <c r="R163" i="8"/>
  <c r="U163" i="8" s="1"/>
  <c r="Q163" i="8"/>
  <c r="T163" i="8" s="1"/>
  <c r="S162" i="8"/>
  <c r="S159" i="8" s="1"/>
  <c r="R162" i="8"/>
  <c r="U162" i="8" s="1"/>
  <c r="Q162" i="8"/>
  <c r="T162" i="8" s="1"/>
  <c r="N162" i="8"/>
  <c r="M162" i="8"/>
  <c r="L162" i="8"/>
  <c r="U161" i="8"/>
  <c r="T161" i="8"/>
  <c r="P161" i="8"/>
  <c r="O161" i="8"/>
  <c r="U158" i="8"/>
  <c r="S158" i="8"/>
  <c r="R158" i="8"/>
  <c r="Q158" i="8"/>
  <c r="T158" i="8" s="1"/>
  <c r="O158" i="8"/>
  <c r="N158" i="8"/>
  <c r="M158" i="8"/>
  <c r="L158" i="8"/>
  <c r="J156" i="8"/>
  <c r="I154" i="8"/>
  <c r="K154" i="8" s="1"/>
  <c r="I153" i="8"/>
  <c r="I138" i="8" s="1"/>
  <c r="I152" i="8"/>
  <c r="K152" i="8" s="1"/>
  <c r="I151" i="8"/>
  <c r="K151" i="8" s="1"/>
  <c r="I150" i="8"/>
  <c r="K150" i="8" s="1"/>
  <c r="S147" i="8"/>
  <c r="S145" i="8" s="1"/>
  <c r="R147" i="8"/>
  <c r="U147" i="8" s="1"/>
  <c r="Q147" i="8"/>
  <c r="N147" i="8"/>
  <c r="N145" i="8" s="1"/>
  <c r="M147" i="8"/>
  <c r="P147" i="8" s="1"/>
  <c r="L147" i="8"/>
  <c r="U146" i="8"/>
  <c r="T146" i="8"/>
  <c r="P146" i="8"/>
  <c r="O146" i="8"/>
  <c r="S144" i="8"/>
  <c r="S142" i="8" s="1"/>
  <c r="R144" i="8"/>
  <c r="Q144" i="8"/>
  <c r="Q142" i="8" s="1"/>
  <c r="N144" i="8"/>
  <c r="N142" i="8" s="1"/>
  <c r="M144" i="8"/>
  <c r="L144" i="8"/>
  <c r="L142" i="8" s="1"/>
  <c r="U143" i="8"/>
  <c r="T143" i="8"/>
  <c r="P143" i="8"/>
  <c r="O143" i="8"/>
  <c r="U140" i="8"/>
  <c r="T140" i="8"/>
  <c r="S140" i="8"/>
  <c r="R140" i="8"/>
  <c r="Q140" i="8"/>
  <c r="O140" i="8"/>
  <c r="N140" i="8"/>
  <c r="M140" i="8"/>
  <c r="P140" i="8" s="1"/>
  <c r="L140" i="8"/>
  <c r="J138" i="8"/>
  <c r="J137" i="8"/>
  <c r="J136" i="8"/>
  <c r="I130" i="8"/>
  <c r="K130" i="8" s="1"/>
  <c r="I129" i="8"/>
  <c r="K129" i="8" s="1"/>
  <c r="I128" i="8"/>
  <c r="K128" i="8" s="1"/>
  <c r="I127" i="8"/>
  <c r="K127" i="8" s="1"/>
  <c r="S125" i="8"/>
  <c r="S123" i="8" s="1"/>
  <c r="R125" i="8"/>
  <c r="Q125" i="8"/>
  <c r="T125" i="8" s="1"/>
  <c r="N125" i="8"/>
  <c r="N123" i="8" s="1"/>
  <c r="M125" i="8"/>
  <c r="P125" i="8" s="1"/>
  <c r="L125" i="8"/>
  <c r="L123" i="8" s="1"/>
  <c r="O123" i="8" s="1"/>
  <c r="U124" i="8"/>
  <c r="T124" i="8"/>
  <c r="P124" i="8"/>
  <c r="O124" i="8"/>
  <c r="S122" i="8"/>
  <c r="R122" i="8"/>
  <c r="R120" i="8" s="1"/>
  <c r="Q122" i="8"/>
  <c r="Q120" i="8" s="1"/>
  <c r="N122" i="8"/>
  <c r="M122" i="8"/>
  <c r="P122" i="8" s="1"/>
  <c r="L122" i="8"/>
  <c r="L120" i="8" s="1"/>
  <c r="O120" i="8" s="1"/>
  <c r="U121" i="8"/>
  <c r="T121" i="8"/>
  <c r="P121" i="8"/>
  <c r="O121" i="8"/>
  <c r="U118" i="8"/>
  <c r="S118" i="8"/>
  <c r="R118" i="8"/>
  <c r="Q118" i="8"/>
  <c r="T118" i="8" s="1"/>
  <c r="N118" i="8"/>
  <c r="M118" i="8"/>
  <c r="P118" i="8" s="1"/>
  <c r="L118" i="8"/>
  <c r="O118" i="8" s="1"/>
  <c r="J116" i="8"/>
  <c r="I114" i="8"/>
  <c r="K114" i="8" s="1"/>
  <c r="I109" i="8"/>
  <c r="K109" i="8" s="1"/>
  <c r="I108" i="8"/>
  <c r="U102" i="8"/>
  <c r="T102" i="8"/>
  <c r="N102" i="8"/>
  <c r="N100" i="8" s="1"/>
  <c r="M102" i="8"/>
  <c r="P102" i="8" s="1"/>
  <c r="L102" i="8"/>
  <c r="L100" i="8" s="1"/>
  <c r="O100" i="8" s="1"/>
  <c r="U101" i="8"/>
  <c r="T101" i="8"/>
  <c r="P101" i="8"/>
  <c r="O101" i="8"/>
  <c r="U100" i="8"/>
  <c r="S100" i="8"/>
  <c r="R100" i="8"/>
  <c r="Q100" i="8"/>
  <c r="T100" i="8" s="1"/>
  <c r="S99" i="8"/>
  <c r="S96" i="8" s="1"/>
  <c r="R99" i="8"/>
  <c r="R97" i="8" s="1"/>
  <c r="U97" i="8" s="1"/>
  <c r="Q99" i="8"/>
  <c r="T99" i="8" s="1"/>
  <c r="N99" i="8"/>
  <c r="M99" i="8"/>
  <c r="P99" i="8" s="1"/>
  <c r="L99" i="8"/>
  <c r="L97" i="8" s="1"/>
  <c r="O97" i="8" s="1"/>
  <c r="U98" i="8"/>
  <c r="T98" i="8"/>
  <c r="P98" i="8"/>
  <c r="O98" i="8"/>
  <c r="S95" i="8"/>
  <c r="R95" i="8"/>
  <c r="U95" i="8" s="1"/>
  <c r="Q95" i="8"/>
  <c r="T95" i="8" s="1"/>
  <c r="N95" i="8"/>
  <c r="M95" i="8"/>
  <c r="P95" i="8" s="1"/>
  <c r="L95" i="8"/>
  <c r="O95" i="8" s="1"/>
  <c r="J93" i="8"/>
  <c r="J92" i="8"/>
  <c r="I90" i="8"/>
  <c r="K90" i="8" s="1"/>
  <c r="I89" i="8"/>
  <c r="K89" i="8" s="1"/>
  <c r="I88" i="8"/>
  <c r="K88" i="8" s="1"/>
  <c r="I87" i="8"/>
  <c r="K87" i="8" s="1"/>
  <c r="I86" i="8"/>
  <c r="I85" i="8"/>
  <c r="K85" i="8" s="1"/>
  <c r="I84" i="8"/>
  <c r="K84" i="8" s="1"/>
  <c r="J83" i="8"/>
  <c r="J82" i="8"/>
  <c r="J70" i="8" s="1"/>
  <c r="S80" i="8"/>
  <c r="S78" i="8" s="1"/>
  <c r="R80" i="8"/>
  <c r="U80" i="8" s="1"/>
  <c r="Q80" i="8"/>
  <c r="N80" i="8"/>
  <c r="N78" i="8" s="1"/>
  <c r="M80" i="8"/>
  <c r="P80" i="8" s="1"/>
  <c r="L80" i="8"/>
  <c r="O80" i="8" s="1"/>
  <c r="U79" i="8"/>
  <c r="T79" i="8"/>
  <c r="P79" i="8"/>
  <c r="O79" i="8"/>
  <c r="S77" i="8"/>
  <c r="S75" i="8" s="1"/>
  <c r="R77" i="8"/>
  <c r="Q77" i="8"/>
  <c r="N77" i="8"/>
  <c r="N75" i="8" s="1"/>
  <c r="M77" i="8"/>
  <c r="M75" i="8" s="1"/>
  <c r="L77" i="8"/>
  <c r="L75" i="8" s="1"/>
  <c r="U76" i="8"/>
  <c r="T76" i="8"/>
  <c r="P76" i="8"/>
  <c r="O76" i="8"/>
  <c r="U73" i="8"/>
  <c r="S73" i="8"/>
  <c r="R73" i="8"/>
  <c r="Q73" i="8"/>
  <c r="T73" i="8" s="1"/>
  <c r="N73" i="8"/>
  <c r="M73" i="8"/>
  <c r="P73" i="8" s="1"/>
  <c r="L73" i="8"/>
  <c r="J71" i="8"/>
  <c r="U67" i="8"/>
  <c r="T67" i="8"/>
  <c r="N67" i="8"/>
  <c r="M67" i="8"/>
  <c r="M65" i="8" s="1"/>
  <c r="L67" i="8"/>
  <c r="U66" i="8"/>
  <c r="T66" i="8"/>
  <c r="P66" i="8"/>
  <c r="O66" i="8"/>
  <c r="T65" i="8"/>
  <c r="S65" i="8"/>
  <c r="R65" i="8"/>
  <c r="U65" i="8" s="1"/>
  <c r="Q65" i="8"/>
  <c r="U64" i="8"/>
  <c r="T64" i="8"/>
  <c r="N64" i="8"/>
  <c r="N62" i="8" s="1"/>
  <c r="M64" i="8"/>
  <c r="M62" i="8" s="1"/>
  <c r="L64" i="8"/>
  <c r="U63" i="8"/>
  <c r="T63" i="8"/>
  <c r="P63" i="8"/>
  <c r="O63" i="8"/>
  <c r="S62" i="8"/>
  <c r="R62" i="8"/>
  <c r="U62" i="8" s="1"/>
  <c r="Q62" i="8"/>
  <c r="T62" i="8" s="1"/>
  <c r="S61" i="8"/>
  <c r="R61" i="8"/>
  <c r="Q61" i="8"/>
  <c r="Q59" i="8" s="1"/>
  <c r="T59" i="8" s="1"/>
  <c r="T60" i="8"/>
  <c r="S60" i="8"/>
  <c r="S59" i="8" s="1"/>
  <c r="R60" i="8"/>
  <c r="U60" i="8" s="1"/>
  <c r="Q60" i="8"/>
  <c r="O60" i="8"/>
  <c r="N60" i="8"/>
  <c r="M60" i="8"/>
  <c r="P60" i="8" s="1"/>
  <c r="L60" i="8"/>
  <c r="U52" i="8"/>
  <c r="T52" i="8"/>
  <c r="N52" i="8"/>
  <c r="N50" i="8" s="1"/>
  <c r="M52" i="8"/>
  <c r="P52" i="8" s="1"/>
  <c r="L52" i="8"/>
  <c r="L50" i="8" s="1"/>
  <c r="O50" i="8" s="1"/>
  <c r="U51" i="8"/>
  <c r="T51" i="8"/>
  <c r="P51" i="8"/>
  <c r="O51" i="8"/>
  <c r="U50" i="8"/>
  <c r="S50" i="8"/>
  <c r="R50" i="8"/>
  <c r="Q50" i="8"/>
  <c r="T50" i="8" s="1"/>
  <c r="U49" i="8"/>
  <c r="T49" i="8"/>
  <c r="N49" i="8"/>
  <c r="N47" i="8" s="1"/>
  <c r="M49" i="8"/>
  <c r="L49" i="8"/>
  <c r="L47" i="8" s="1"/>
  <c r="U48" i="8"/>
  <c r="T48" i="8"/>
  <c r="P48" i="8"/>
  <c r="O48" i="8"/>
  <c r="S47" i="8"/>
  <c r="R47" i="8"/>
  <c r="U47" i="8" s="1"/>
  <c r="Q47" i="8"/>
  <c r="T47" i="8" s="1"/>
  <c r="U46" i="8"/>
  <c r="S46" i="8"/>
  <c r="R46" i="8"/>
  <c r="Q46" i="8"/>
  <c r="T46" i="8" s="1"/>
  <c r="U45" i="8"/>
  <c r="S45" i="8"/>
  <c r="R45" i="8"/>
  <c r="R44" i="8" s="1"/>
  <c r="U44" i="8" s="1"/>
  <c r="Q45" i="8"/>
  <c r="T45" i="8" s="1"/>
  <c r="N45" i="8"/>
  <c r="M45" i="8"/>
  <c r="P45" i="8" s="1"/>
  <c r="L45" i="8"/>
  <c r="O45" i="8" s="1"/>
  <c r="S44" i="8"/>
  <c r="S25" i="8"/>
  <c r="R25" i="8"/>
  <c r="U25" i="8" s="1"/>
  <c r="Q25" i="8"/>
  <c r="T25" i="8" s="1"/>
  <c r="N25" i="8"/>
  <c r="M25" i="8"/>
  <c r="L25" i="8"/>
  <c r="O25" i="8" s="1"/>
  <c r="S22" i="8"/>
  <c r="R22" i="8"/>
  <c r="U22" i="8" s="1"/>
  <c r="Q22" i="8"/>
  <c r="T22" i="8" s="1"/>
  <c r="N22" i="8"/>
  <c r="N19" i="8" s="1"/>
  <c r="M22" i="8"/>
  <c r="P22" i="8" s="1"/>
  <c r="L22" i="8"/>
  <c r="O22" i="8" s="1"/>
  <c r="S19" i="8"/>
  <c r="A789" i="7"/>
  <c r="A788" i="7"/>
  <c r="J785" i="7"/>
  <c r="I785" i="7"/>
  <c r="J784" i="7"/>
  <c r="I784" i="7"/>
  <c r="J783" i="7"/>
  <c r="I783" i="7"/>
  <c r="K783" i="7" s="1"/>
  <c r="J782" i="7"/>
  <c r="I782" i="7"/>
  <c r="K782" i="7" s="1"/>
  <c r="J781" i="7"/>
  <c r="I781" i="7"/>
  <c r="J780" i="7"/>
  <c r="I780" i="7"/>
  <c r="J779" i="7"/>
  <c r="I779" i="7"/>
  <c r="J778" i="7"/>
  <c r="I778" i="7"/>
  <c r="H777" i="7"/>
  <c r="I776" i="7"/>
  <c r="I775" i="7"/>
  <c r="I774" i="7"/>
  <c r="I772" i="7"/>
  <c r="K772" i="7" s="1"/>
  <c r="I770" i="7"/>
  <c r="K770" i="7" s="1"/>
  <c r="U768" i="7"/>
  <c r="T768" i="7"/>
  <c r="P768" i="7"/>
  <c r="O768" i="7"/>
  <c r="U767" i="7"/>
  <c r="T767" i="7"/>
  <c r="P767" i="7"/>
  <c r="O767" i="7"/>
  <c r="U766" i="7"/>
  <c r="S766" i="7"/>
  <c r="R766" i="7"/>
  <c r="Q766" i="7"/>
  <c r="T766" i="7" s="1"/>
  <c r="N766" i="7"/>
  <c r="M766" i="7"/>
  <c r="P766" i="7" s="1"/>
  <c r="L766" i="7"/>
  <c r="O766" i="7" s="1"/>
  <c r="S765" i="7"/>
  <c r="S763" i="7" s="1"/>
  <c r="R765" i="7"/>
  <c r="R763" i="7" s="1"/>
  <c r="Q765" i="7"/>
  <c r="Q763" i="7" s="1"/>
  <c r="P765" i="7"/>
  <c r="O765" i="7"/>
  <c r="U764" i="7"/>
  <c r="T764" i="7"/>
  <c r="P764" i="7"/>
  <c r="O764" i="7"/>
  <c r="N763" i="7"/>
  <c r="M763" i="7"/>
  <c r="P763" i="7" s="1"/>
  <c r="L763" i="7"/>
  <c r="O763" i="7" s="1"/>
  <c r="P762" i="7"/>
  <c r="N762" i="7"/>
  <c r="M762" i="7"/>
  <c r="L762" i="7"/>
  <c r="T761" i="7"/>
  <c r="S761" i="7"/>
  <c r="R761" i="7"/>
  <c r="U761" i="7" s="1"/>
  <c r="Q761" i="7"/>
  <c r="N761" i="7"/>
  <c r="N760" i="7" s="1"/>
  <c r="M761" i="7"/>
  <c r="L761" i="7"/>
  <c r="O761" i="7" s="1"/>
  <c r="J759" i="7"/>
  <c r="J758" i="7"/>
  <c r="I755" i="7"/>
  <c r="K755" i="7" s="1"/>
  <c r="I752" i="7"/>
  <c r="K752" i="7" s="1"/>
  <c r="I749" i="7"/>
  <c r="K749" i="7" s="1"/>
  <c r="I746" i="7"/>
  <c r="K746" i="7" s="1"/>
  <c r="I744" i="7"/>
  <c r="K744" i="7" s="1"/>
  <c r="I742" i="7"/>
  <c r="K742" i="7" s="1"/>
  <c r="I740" i="7"/>
  <c r="K740" i="7" s="1"/>
  <c r="U736" i="7"/>
  <c r="T736" i="7"/>
  <c r="P736" i="7"/>
  <c r="O736" i="7"/>
  <c r="U735" i="7"/>
  <c r="T735" i="7"/>
  <c r="P735" i="7"/>
  <c r="O735" i="7"/>
  <c r="S734" i="7"/>
  <c r="R734" i="7"/>
  <c r="U734" i="7" s="1"/>
  <c r="Q734" i="7"/>
  <c r="T734" i="7" s="1"/>
  <c r="P734" i="7"/>
  <c r="N734" i="7"/>
  <c r="M734" i="7"/>
  <c r="L734" i="7"/>
  <c r="O734" i="7" s="1"/>
  <c r="S733" i="7"/>
  <c r="R733" i="7"/>
  <c r="R731" i="7" s="1"/>
  <c r="Q733" i="7"/>
  <c r="Q731" i="7" s="1"/>
  <c r="P733" i="7"/>
  <c r="O733" i="7"/>
  <c r="U732" i="7"/>
  <c r="T732" i="7"/>
  <c r="P732" i="7"/>
  <c r="O732" i="7"/>
  <c r="N731" i="7"/>
  <c r="M731" i="7"/>
  <c r="P731" i="7" s="1"/>
  <c r="L731" i="7"/>
  <c r="O731" i="7" s="1"/>
  <c r="O730" i="7"/>
  <c r="N730" i="7"/>
  <c r="M730" i="7"/>
  <c r="P730" i="7" s="1"/>
  <c r="L730" i="7"/>
  <c r="S729" i="7"/>
  <c r="R729" i="7"/>
  <c r="U729" i="7" s="1"/>
  <c r="Q729" i="7"/>
  <c r="T729" i="7" s="1"/>
  <c r="N729" i="7"/>
  <c r="M729" i="7"/>
  <c r="P729" i="7" s="1"/>
  <c r="L729" i="7"/>
  <c r="M728" i="7"/>
  <c r="P728" i="7" s="1"/>
  <c r="J727" i="7"/>
  <c r="I727" i="7"/>
  <c r="J726" i="7"/>
  <c r="I726" i="7"/>
  <c r="U722" i="7"/>
  <c r="T722" i="7"/>
  <c r="P722" i="7"/>
  <c r="O722" i="7"/>
  <c r="U721" i="7"/>
  <c r="T721" i="7"/>
  <c r="P721" i="7"/>
  <c r="O721" i="7"/>
  <c r="S720" i="7"/>
  <c r="R720" i="7"/>
  <c r="U720" i="7" s="1"/>
  <c r="Q720" i="7"/>
  <c r="T720" i="7" s="1"/>
  <c r="N720" i="7"/>
  <c r="M720" i="7"/>
  <c r="P720" i="7" s="1"/>
  <c r="L720" i="7"/>
  <c r="O720" i="7" s="1"/>
  <c r="U719" i="7"/>
  <c r="T719" i="7"/>
  <c r="P719" i="7"/>
  <c r="O719" i="7"/>
  <c r="U718" i="7"/>
  <c r="T718" i="7"/>
  <c r="P718" i="7"/>
  <c r="O718" i="7"/>
  <c r="S717" i="7"/>
  <c r="R717" i="7"/>
  <c r="U717" i="7" s="1"/>
  <c r="Q717" i="7"/>
  <c r="T717" i="7" s="1"/>
  <c r="O717" i="7"/>
  <c r="N717" i="7"/>
  <c r="M717" i="7"/>
  <c r="P717" i="7" s="1"/>
  <c r="L717" i="7"/>
  <c r="S716" i="7"/>
  <c r="R716" i="7"/>
  <c r="U716" i="7" s="1"/>
  <c r="Q716" i="7"/>
  <c r="O716" i="7"/>
  <c r="N716" i="7"/>
  <c r="M716" i="7"/>
  <c r="P716" i="7" s="1"/>
  <c r="L716" i="7"/>
  <c r="S715" i="7"/>
  <c r="S714" i="7" s="1"/>
  <c r="R715" i="7"/>
  <c r="U715" i="7" s="1"/>
  <c r="Q715" i="7"/>
  <c r="T715" i="7" s="1"/>
  <c r="N715" i="7"/>
  <c r="M715" i="7"/>
  <c r="P715" i="7" s="1"/>
  <c r="L715" i="7"/>
  <c r="L714" i="7" s="1"/>
  <c r="O714" i="7" s="1"/>
  <c r="K712" i="7"/>
  <c r="J712" i="7"/>
  <c r="K710" i="7"/>
  <c r="J710" i="7"/>
  <c r="J709" i="7"/>
  <c r="I709" i="7"/>
  <c r="K708" i="7"/>
  <c r="J708" i="7"/>
  <c r="J707" i="7"/>
  <c r="J689" i="7" s="1"/>
  <c r="I707" i="7"/>
  <c r="K706" i="7"/>
  <c r="J706" i="7"/>
  <c r="J705" i="7"/>
  <c r="I705" i="7"/>
  <c r="K704" i="7"/>
  <c r="J704" i="7"/>
  <c r="J703" i="7"/>
  <c r="I703" i="7"/>
  <c r="K702" i="7"/>
  <c r="I700" i="7"/>
  <c r="K700" i="7" s="1"/>
  <c r="U698" i="7"/>
  <c r="T698" i="7"/>
  <c r="P698" i="7"/>
  <c r="O698" i="7"/>
  <c r="U697" i="7"/>
  <c r="T697" i="7"/>
  <c r="P697" i="7"/>
  <c r="O697" i="7"/>
  <c r="S696" i="7"/>
  <c r="R696" i="7"/>
  <c r="U696" i="7" s="1"/>
  <c r="Q696" i="7"/>
  <c r="T696" i="7" s="1"/>
  <c r="P696" i="7"/>
  <c r="N696" i="7"/>
  <c r="M696" i="7"/>
  <c r="L696" i="7"/>
  <c r="O696" i="7" s="1"/>
  <c r="S695" i="7"/>
  <c r="S693" i="7" s="1"/>
  <c r="R695" i="7"/>
  <c r="R693" i="7" s="1"/>
  <c r="Q695" i="7"/>
  <c r="Q693" i="7" s="1"/>
  <c r="P695" i="7"/>
  <c r="O695" i="7"/>
  <c r="U694" i="7"/>
  <c r="T694" i="7"/>
  <c r="P694" i="7"/>
  <c r="O694" i="7"/>
  <c r="N693" i="7"/>
  <c r="M693" i="7"/>
  <c r="P693" i="7" s="1"/>
  <c r="L693" i="7"/>
  <c r="O693" i="7" s="1"/>
  <c r="O692" i="7"/>
  <c r="N692" i="7"/>
  <c r="M692" i="7"/>
  <c r="L692" i="7"/>
  <c r="S691" i="7"/>
  <c r="R691" i="7"/>
  <c r="U691" i="7" s="1"/>
  <c r="Q691" i="7"/>
  <c r="N691" i="7"/>
  <c r="M691" i="7"/>
  <c r="P691" i="7" s="1"/>
  <c r="L691" i="7"/>
  <c r="I689" i="7"/>
  <c r="J682" i="7"/>
  <c r="I682" i="7"/>
  <c r="K682" i="7" s="1"/>
  <c r="J681" i="7"/>
  <c r="I681" i="7"/>
  <c r="K681" i="7" s="1"/>
  <c r="J680" i="7"/>
  <c r="J679" i="7"/>
  <c r="I679" i="7"/>
  <c r="K679" i="7" s="1"/>
  <c r="J678" i="7"/>
  <c r="I678" i="7"/>
  <c r="K678" i="7" s="1"/>
  <c r="J677" i="7"/>
  <c r="J676" i="7"/>
  <c r="I676" i="7"/>
  <c r="K676" i="7" s="1"/>
  <c r="I675" i="7"/>
  <c r="K675" i="7" s="1"/>
  <c r="I674" i="7"/>
  <c r="K674" i="7" s="1"/>
  <c r="J673" i="7"/>
  <c r="I673" i="7"/>
  <c r="K673" i="7" s="1"/>
  <c r="J672" i="7"/>
  <c r="J671" i="7"/>
  <c r="J661" i="7"/>
  <c r="I661" i="7"/>
  <c r="K661" i="7" s="1"/>
  <c r="I660" i="7"/>
  <c r="I657" i="7"/>
  <c r="J654" i="7"/>
  <c r="I654" i="7"/>
  <c r="K654" i="7" s="1"/>
  <c r="J653" i="7"/>
  <c r="I653" i="7"/>
  <c r="K653" i="7" s="1"/>
  <c r="J652" i="7"/>
  <c r="I652" i="7"/>
  <c r="K652" i="7" s="1"/>
  <c r="U650" i="7"/>
  <c r="T650" i="7"/>
  <c r="P650" i="7"/>
  <c r="O650" i="7"/>
  <c r="U649" i="7"/>
  <c r="T649" i="7"/>
  <c r="P649" i="7"/>
  <c r="O649" i="7"/>
  <c r="S648" i="7"/>
  <c r="R648" i="7"/>
  <c r="U648" i="7" s="1"/>
  <c r="Q648" i="7"/>
  <c r="T648" i="7" s="1"/>
  <c r="P648" i="7"/>
  <c r="N648" i="7"/>
  <c r="M648" i="7"/>
  <c r="L648" i="7"/>
  <c r="O648" i="7" s="1"/>
  <c r="S647" i="7"/>
  <c r="S645" i="7" s="1"/>
  <c r="R647" i="7"/>
  <c r="U647" i="7" s="1"/>
  <c r="Q647" i="7"/>
  <c r="Q645" i="7" s="1"/>
  <c r="T645" i="7" s="1"/>
  <c r="P647" i="7"/>
  <c r="O647" i="7"/>
  <c r="U646" i="7"/>
  <c r="T646" i="7"/>
  <c r="P646" i="7"/>
  <c r="O646" i="7"/>
  <c r="N645" i="7"/>
  <c r="M645" i="7"/>
  <c r="P645" i="7" s="1"/>
  <c r="L645" i="7"/>
  <c r="O645" i="7" s="1"/>
  <c r="O644" i="7"/>
  <c r="N644" i="7"/>
  <c r="M644" i="7"/>
  <c r="L644" i="7"/>
  <c r="S643" i="7"/>
  <c r="R643" i="7"/>
  <c r="U643" i="7" s="1"/>
  <c r="Q643" i="7"/>
  <c r="O643" i="7"/>
  <c r="N643" i="7"/>
  <c r="M643" i="7"/>
  <c r="P643" i="7" s="1"/>
  <c r="L643" i="7"/>
  <c r="L642" i="7" s="1"/>
  <c r="O642" i="7" s="1"/>
  <c r="J636" i="7"/>
  <c r="J635" i="7"/>
  <c r="I635" i="7"/>
  <c r="K635" i="7" s="1"/>
  <c r="J632" i="7"/>
  <c r="I628" i="7"/>
  <c r="K628" i="7" s="1"/>
  <c r="I627" i="7"/>
  <c r="K627" i="7" s="1"/>
  <c r="J626" i="7"/>
  <c r="I626" i="7"/>
  <c r="K630" i="7" s="1"/>
  <c r="U624" i="7"/>
  <c r="T624" i="7"/>
  <c r="P624" i="7"/>
  <c r="O624" i="7"/>
  <c r="U623" i="7"/>
  <c r="T623" i="7"/>
  <c r="P623" i="7"/>
  <c r="O623" i="7"/>
  <c r="U622" i="7"/>
  <c r="S622" i="7"/>
  <c r="R622" i="7"/>
  <c r="Q622" i="7"/>
  <c r="T622" i="7" s="1"/>
  <c r="O622" i="7"/>
  <c r="N622" i="7"/>
  <c r="M622" i="7"/>
  <c r="P622" i="7" s="1"/>
  <c r="L622" i="7"/>
  <c r="S621" i="7"/>
  <c r="S618" i="7" s="1"/>
  <c r="R621" i="7"/>
  <c r="R619" i="7" s="1"/>
  <c r="Q621" i="7"/>
  <c r="P621" i="7"/>
  <c r="O621" i="7"/>
  <c r="U620" i="7"/>
  <c r="T620" i="7"/>
  <c r="P620" i="7"/>
  <c r="O620" i="7"/>
  <c r="N619" i="7"/>
  <c r="M619" i="7"/>
  <c r="P619" i="7" s="1"/>
  <c r="L619" i="7"/>
  <c r="O619" i="7" s="1"/>
  <c r="P618" i="7"/>
  <c r="N618" i="7"/>
  <c r="N616" i="7" s="1"/>
  <c r="M618" i="7"/>
  <c r="L618" i="7"/>
  <c r="O618" i="7" s="1"/>
  <c r="S617" i="7"/>
  <c r="R617" i="7"/>
  <c r="Q617" i="7"/>
  <c r="T617" i="7" s="1"/>
  <c r="N617" i="7"/>
  <c r="M617" i="7"/>
  <c r="P617" i="7" s="1"/>
  <c r="L617" i="7"/>
  <c r="M616" i="7"/>
  <c r="P616" i="7" s="1"/>
  <c r="J615" i="7"/>
  <c r="S607" i="7"/>
  <c r="R607" i="7"/>
  <c r="Q607" i="7"/>
  <c r="Q605" i="7" s="1"/>
  <c r="T605" i="7" s="1"/>
  <c r="N607" i="7"/>
  <c r="N605" i="7" s="1"/>
  <c r="M607" i="7"/>
  <c r="P607" i="7" s="1"/>
  <c r="L607" i="7"/>
  <c r="U606" i="7"/>
  <c r="T606" i="7"/>
  <c r="P606" i="7"/>
  <c r="O606" i="7"/>
  <c r="S604" i="7"/>
  <c r="S602" i="7" s="1"/>
  <c r="R604" i="7"/>
  <c r="U604" i="7" s="1"/>
  <c r="Q604" i="7"/>
  <c r="T604" i="7" s="1"/>
  <c r="N604" i="7"/>
  <c r="N602" i="7" s="1"/>
  <c r="M604" i="7"/>
  <c r="L604" i="7"/>
  <c r="L602" i="7" s="1"/>
  <c r="U603" i="7"/>
  <c r="T603" i="7"/>
  <c r="P603" i="7"/>
  <c r="O603" i="7"/>
  <c r="S600" i="7"/>
  <c r="R600" i="7"/>
  <c r="U600" i="7" s="1"/>
  <c r="Q600" i="7"/>
  <c r="T600" i="7" s="1"/>
  <c r="N600" i="7"/>
  <c r="M600" i="7"/>
  <c r="P600" i="7" s="1"/>
  <c r="L600" i="7"/>
  <c r="O600" i="7" s="1"/>
  <c r="U584" i="7"/>
  <c r="T584" i="7"/>
  <c r="N584" i="7"/>
  <c r="N582" i="7" s="1"/>
  <c r="M584" i="7"/>
  <c r="P584" i="7" s="1"/>
  <c r="L584" i="7"/>
  <c r="U583" i="7"/>
  <c r="T583" i="7"/>
  <c r="P583" i="7"/>
  <c r="O583" i="7"/>
  <c r="S582" i="7"/>
  <c r="R582" i="7"/>
  <c r="U582" i="7" s="1"/>
  <c r="Q582" i="7"/>
  <c r="T582" i="7" s="1"/>
  <c r="U581" i="7"/>
  <c r="T581" i="7"/>
  <c r="N581" i="7"/>
  <c r="N579" i="7" s="1"/>
  <c r="M581" i="7"/>
  <c r="P581" i="7" s="1"/>
  <c r="L581" i="7"/>
  <c r="U580" i="7"/>
  <c r="T580" i="7"/>
  <c r="P580" i="7"/>
  <c r="O580" i="7"/>
  <c r="S579" i="7"/>
  <c r="R579" i="7"/>
  <c r="U579" i="7" s="1"/>
  <c r="Q579" i="7"/>
  <c r="T579" i="7" s="1"/>
  <c r="S578" i="7"/>
  <c r="R578" i="7"/>
  <c r="U578" i="7" s="1"/>
  <c r="Q578" i="7"/>
  <c r="T578" i="7" s="1"/>
  <c r="S577" i="7"/>
  <c r="S576" i="7" s="1"/>
  <c r="R577" i="7"/>
  <c r="Q577" i="7"/>
  <c r="N577" i="7"/>
  <c r="M577" i="7"/>
  <c r="P577" i="7" s="1"/>
  <c r="L577" i="7"/>
  <c r="J575" i="7"/>
  <c r="I575" i="7"/>
  <c r="K575" i="7" s="1"/>
  <c r="U563" i="7"/>
  <c r="T563" i="7"/>
  <c r="N563" i="7"/>
  <c r="N561" i="7" s="1"/>
  <c r="M563" i="7"/>
  <c r="M561" i="7" s="1"/>
  <c r="L563" i="7"/>
  <c r="L561" i="7" s="1"/>
  <c r="U562" i="7"/>
  <c r="T562" i="7"/>
  <c r="P562" i="7"/>
  <c r="O562" i="7"/>
  <c r="S561" i="7"/>
  <c r="R561" i="7"/>
  <c r="U561" i="7" s="1"/>
  <c r="Q561" i="7"/>
  <c r="T561" i="7" s="1"/>
  <c r="U560" i="7"/>
  <c r="T560" i="7"/>
  <c r="N560" i="7"/>
  <c r="N558" i="7" s="1"/>
  <c r="M560" i="7"/>
  <c r="P560" i="7" s="1"/>
  <c r="L560" i="7"/>
  <c r="O560" i="7" s="1"/>
  <c r="U559" i="7"/>
  <c r="T559" i="7"/>
  <c r="P559" i="7"/>
  <c r="O559" i="7"/>
  <c r="T558" i="7"/>
  <c r="S558" i="7"/>
  <c r="R558" i="7"/>
  <c r="U558" i="7" s="1"/>
  <c r="Q558" i="7"/>
  <c r="S557" i="7"/>
  <c r="R557" i="7"/>
  <c r="U557" i="7" s="1"/>
  <c r="Q557" i="7"/>
  <c r="T557" i="7" s="1"/>
  <c r="T556" i="7"/>
  <c r="S556" i="7"/>
  <c r="R556" i="7"/>
  <c r="U556" i="7" s="1"/>
  <c r="Q556" i="7"/>
  <c r="N556" i="7"/>
  <c r="M556" i="7"/>
  <c r="P556" i="7" s="1"/>
  <c r="L556" i="7"/>
  <c r="O556" i="7" s="1"/>
  <c r="J554" i="7"/>
  <c r="I554" i="7"/>
  <c r="K554" i="7" s="1"/>
  <c r="K544" i="7"/>
  <c r="U542" i="7"/>
  <c r="T542" i="7"/>
  <c r="N542" i="7"/>
  <c r="N540" i="7" s="1"/>
  <c r="M542" i="7"/>
  <c r="M540" i="7" s="1"/>
  <c r="L542" i="7"/>
  <c r="L540" i="7" s="1"/>
  <c r="U541" i="7"/>
  <c r="T541" i="7"/>
  <c r="P541" i="7"/>
  <c r="O541" i="7"/>
  <c r="S540" i="7"/>
  <c r="R540" i="7"/>
  <c r="U540" i="7" s="1"/>
  <c r="Q540" i="7"/>
  <c r="T540" i="7" s="1"/>
  <c r="U539" i="7"/>
  <c r="T539" i="7"/>
  <c r="N539" i="7"/>
  <c r="N537" i="7" s="1"/>
  <c r="M539" i="7"/>
  <c r="L539" i="7"/>
  <c r="O539" i="7" s="1"/>
  <c r="U538" i="7"/>
  <c r="T538" i="7"/>
  <c r="P538" i="7"/>
  <c r="O538" i="7"/>
  <c r="S537" i="7"/>
  <c r="R537" i="7"/>
  <c r="U537" i="7" s="1"/>
  <c r="Q537" i="7"/>
  <c r="T537" i="7" s="1"/>
  <c r="T536" i="7"/>
  <c r="S536" i="7"/>
  <c r="R536" i="7"/>
  <c r="U536" i="7" s="1"/>
  <c r="Q536" i="7"/>
  <c r="U535" i="7"/>
  <c r="T535" i="7"/>
  <c r="S535" i="7"/>
  <c r="R535" i="7"/>
  <c r="R534" i="7" s="1"/>
  <c r="U534" i="7" s="1"/>
  <c r="Q535" i="7"/>
  <c r="Q534" i="7" s="1"/>
  <c r="T534" i="7" s="1"/>
  <c r="N535" i="7"/>
  <c r="M535" i="7"/>
  <c r="P535" i="7" s="1"/>
  <c r="L535" i="7"/>
  <c r="O535" i="7" s="1"/>
  <c r="J533" i="7"/>
  <c r="K533" i="7" s="1"/>
  <c r="I533" i="7"/>
  <c r="K524" i="7"/>
  <c r="K523" i="7"/>
  <c r="U521" i="7"/>
  <c r="T521" i="7"/>
  <c r="N521" i="7"/>
  <c r="N519" i="7" s="1"/>
  <c r="M521" i="7"/>
  <c r="P521" i="7" s="1"/>
  <c r="L521" i="7"/>
  <c r="U520" i="7"/>
  <c r="T520" i="7"/>
  <c r="P520" i="7"/>
  <c r="O520" i="7"/>
  <c r="S519" i="7"/>
  <c r="R519" i="7"/>
  <c r="U519" i="7" s="1"/>
  <c r="Q519" i="7"/>
  <c r="T519" i="7" s="1"/>
  <c r="U518" i="7"/>
  <c r="T518" i="7"/>
  <c r="N518" i="7"/>
  <c r="N516" i="7" s="1"/>
  <c r="M518" i="7"/>
  <c r="L518" i="7"/>
  <c r="O518" i="7" s="1"/>
  <c r="U517" i="7"/>
  <c r="T517" i="7"/>
  <c r="P517" i="7"/>
  <c r="O517" i="7"/>
  <c r="S516" i="7"/>
  <c r="R516" i="7"/>
  <c r="U516" i="7" s="1"/>
  <c r="Q516" i="7"/>
  <c r="T516" i="7" s="1"/>
  <c r="S515" i="7"/>
  <c r="R515" i="7"/>
  <c r="U515" i="7" s="1"/>
  <c r="Q515" i="7"/>
  <c r="S514" i="7"/>
  <c r="S513" i="7" s="1"/>
  <c r="R514" i="7"/>
  <c r="U514" i="7" s="1"/>
  <c r="Q514" i="7"/>
  <c r="T514" i="7" s="1"/>
  <c r="N514" i="7"/>
  <c r="M514" i="7"/>
  <c r="P514" i="7" s="1"/>
  <c r="L514" i="7"/>
  <c r="O514" i="7" s="1"/>
  <c r="J512" i="7"/>
  <c r="I512" i="7"/>
  <c r="K512" i="7" s="1"/>
  <c r="I509" i="7"/>
  <c r="K509" i="7" s="1"/>
  <c r="K508" i="7"/>
  <c r="I507" i="7"/>
  <c r="K507" i="7" s="1"/>
  <c r="I506" i="7"/>
  <c r="K506" i="7" s="1"/>
  <c r="I505" i="7"/>
  <c r="K505" i="7" s="1"/>
  <c r="I504" i="7"/>
  <c r="I503" i="7"/>
  <c r="K503" i="7" s="1"/>
  <c r="U501" i="7"/>
  <c r="T501" i="7"/>
  <c r="N501" i="7"/>
  <c r="M501" i="7"/>
  <c r="M499" i="7" s="1"/>
  <c r="P499" i="7" s="1"/>
  <c r="L501" i="7"/>
  <c r="L499" i="7" s="1"/>
  <c r="O499" i="7" s="1"/>
  <c r="U500" i="7"/>
  <c r="T500" i="7"/>
  <c r="P500" i="7"/>
  <c r="O500" i="7"/>
  <c r="U499" i="7"/>
  <c r="S499" i="7"/>
  <c r="R499" i="7"/>
  <c r="Q499" i="7"/>
  <c r="T499" i="7" s="1"/>
  <c r="S498" i="7"/>
  <c r="R498" i="7"/>
  <c r="U498" i="7" s="1"/>
  <c r="Q498" i="7"/>
  <c r="T498" i="7" s="1"/>
  <c r="N498" i="7"/>
  <c r="N496" i="7" s="1"/>
  <c r="M498" i="7"/>
  <c r="L498" i="7"/>
  <c r="U497" i="7"/>
  <c r="T497" i="7"/>
  <c r="P497" i="7"/>
  <c r="O497" i="7"/>
  <c r="S494" i="7"/>
  <c r="R494" i="7"/>
  <c r="U494" i="7" s="1"/>
  <c r="Q494" i="7"/>
  <c r="T494" i="7" s="1"/>
  <c r="N494" i="7"/>
  <c r="M494" i="7"/>
  <c r="P494" i="7" s="1"/>
  <c r="L494" i="7"/>
  <c r="O494" i="7" s="1"/>
  <c r="J485" i="7"/>
  <c r="I485" i="7"/>
  <c r="K485" i="7" s="1"/>
  <c r="K484" i="7"/>
  <c r="J484" i="7"/>
  <c r="I484" i="7"/>
  <c r="J483" i="7"/>
  <c r="J482" i="7"/>
  <c r="K477" i="7"/>
  <c r="J477" i="7"/>
  <c r="K476" i="7"/>
  <c r="J476" i="7"/>
  <c r="K475" i="7"/>
  <c r="J475" i="7"/>
  <c r="J468" i="7"/>
  <c r="J467" i="7"/>
  <c r="J460" i="7"/>
  <c r="J458" i="7" s="1"/>
  <c r="J459" i="7"/>
  <c r="I458" i="7"/>
  <c r="K458" i="7" s="1"/>
  <c r="I457" i="7"/>
  <c r="I456" i="7" s="1"/>
  <c r="J447" i="7"/>
  <c r="J441" i="7" s="1"/>
  <c r="J446" i="7"/>
  <c r="J440" i="7" s="1"/>
  <c r="J423" i="7" s="1"/>
  <c r="J412" i="7" s="1"/>
  <c r="I441" i="7"/>
  <c r="K441" i="7" s="1"/>
  <c r="I440" i="7"/>
  <c r="K440" i="7" s="1"/>
  <c r="J433" i="7"/>
  <c r="I433" i="7"/>
  <c r="K433" i="7" s="1"/>
  <c r="J432" i="7"/>
  <c r="I432" i="7"/>
  <c r="K432" i="7" s="1"/>
  <c r="J425" i="7"/>
  <c r="I425" i="7"/>
  <c r="K425" i="7" s="1"/>
  <c r="J424" i="7"/>
  <c r="I424" i="7"/>
  <c r="K424" i="7" s="1"/>
  <c r="U421" i="7"/>
  <c r="T421" i="7"/>
  <c r="N421" i="7"/>
  <c r="M421" i="7"/>
  <c r="P421" i="7" s="1"/>
  <c r="L421" i="7"/>
  <c r="L419" i="7" s="1"/>
  <c r="O419" i="7" s="1"/>
  <c r="U420" i="7"/>
  <c r="T420" i="7"/>
  <c r="P420" i="7"/>
  <c r="O420" i="7"/>
  <c r="U419" i="7"/>
  <c r="S419" i="7"/>
  <c r="R419" i="7"/>
  <c r="Q419" i="7"/>
  <c r="T419" i="7" s="1"/>
  <c r="S418" i="7"/>
  <c r="S416" i="7" s="1"/>
  <c r="R418" i="7"/>
  <c r="R416" i="7" s="1"/>
  <c r="Q418" i="7"/>
  <c r="N418" i="7"/>
  <c r="N416" i="7" s="1"/>
  <c r="M418" i="7"/>
  <c r="L418" i="7"/>
  <c r="L416" i="7" s="1"/>
  <c r="U417" i="7"/>
  <c r="T417" i="7"/>
  <c r="P417" i="7"/>
  <c r="O417" i="7"/>
  <c r="U414" i="7"/>
  <c r="S414" i="7"/>
  <c r="R414" i="7"/>
  <c r="Q414" i="7"/>
  <c r="T414" i="7" s="1"/>
  <c r="O414" i="7"/>
  <c r="N414" i="7"/>
  <c r="M414" i="7"/>
  <c r="L414" i="7"/>
  <c r="U400" i="7"/>
  <c r="T400" i="7"/>
  <c r="P400" i="7"/>
  <c r="O400" i="7"/>
  <c r="U399" i="7"/>
  <c r="T399" i="7"/>
  <c r="P399" i="7"/>
  <c r="O399" i="7"/>
  <c r="S398" i="7"/>
  <c r="R398" i="7"/>
  <c r="U398" i="7" s="1"/>
  <c r="Q398" i="7"/>
  <c r="T398" i="7" s="1"/>
  <c r="N398" i="7"/>
  <c r="M398" i="7"/>
  <c r="P398" i="7" s="1"/>
  <c r="L398" i="7"/>
  <c r="O398" i="7" s="1"/>
  <c r="S397" i="7"/>
  <c r="S394" i="7" s="1"/>
  <c r="R397" i="7"/>
  <c r="Q397" i="7"/>
  <c r="Q395" i="7" s="1"/>
  <c r="T395" i="7" s="1"/>
  <c r="P397" i="7"/>
  <c r="O397" i="7"/>
  <c r="U396" i="7"/>
  <c r="T396" i="7"/>
  <c r="P396" i="7"/>
  <c r="O396" i="7"/>
  <c r="N395" i="7"/>
  <c r="M395" i="7"/>
  <c r="P395" i="7" s="1"/>
  <c r="L395" i="7"/>
  <c r="O395" i="7" s="1"/>
  <c r="N394" i="7"/>
  <c r="M394" i="7"/>
  <c r="P394" i="7" s="1"/>
  <c r="L394" i="7"/>
  <c r="O394" i="7" s="1"/>
  <c r="S393" i="7"/>
  <c r="R393" i="7"/>
  <c r="U393" i="7" s="1"/>
  <c r="Q393" i="7"/>
  <c r="T393" i="7" s="1"/>
  <c r="N393" i="7"/>
  <c r="M393" i="7"/>
  <c r="L393" i="7"/>
  <c r="O393" i="7" s="1"/>
  <c r="K391" i="7"/>
  <c r="J391" i="7"/>
  <c r="I391" i="7"/>
  <c r="J388" i="7"/>
  <c r="I388" i="7"/>
  <c r="K388" i="7" s="1"/>
  <c r="K387" i="7"/>
  <c r="J387" i="7"/>
  <c r="J386" i="7"/>
  <c r="I386" i="7"/>
  <c r="K385" i="7"/>
  <c r="J385" i="7"/>
  <c r="U383" i="7"/>
  <c r="T383" i="7"/>
  <c r="N383" i="7"/>
  <c r="N381" i="7" s="1"/>
  <c r="M383" i="7"/>
  <c r="L383" i="7"/>
  <c r="O383" i="7" s="1"/>
  <c r="U382" i="7"/>
  <c r="T382" i="7"/>
  <c r="P382" i="7"/>
  <c r="O382" i="7"/>
  <c r="U381" i="7"/>
  <c r="S381" i="7"/>
  <c r="R381" i="7"/>
  <c r="Q381" i="7"/>
  <c r="T381" i="7" s="1"/>
  <c r="S380" i="7"/>
  <c r="S377" i="7" s="1"/>
  <c r="R380" i="7"/>
  <c r="R378" i="7" s="1"/>
  <c r="Q380" i="7"/>
  <c r="N380" i="7"/>
  <c r="N378" i="7" s="1"/>
  <c r="M380" i="7"/>
  <c r="L380" i="7"/>
  <c r="O380" i="7" s="1"/>
  <c r="U379" i="7"/>
  <c r="T379" i="7"/>
  <c r="P379" i="7"/>
  <c r="O379" i="7"/>
  <c r="S376" i="7"/>
  <c r="R376" i="7"/>
  <c r="U376" i="7" s="1"/>
  <c r="Q376" i="7"/>
  <c r="N376" i="7"/>
  <c r="M376" i="7"/>
  <c r="P376" i="7" s="1"/>
  <c r="L376" i="7"/>
  <c r="O376" i="7" s="1"/>
  <c r="D373" i="7"/>
  <c r="K372" i="7"/>
  <c r="J372" i="7"/>
  <c r="J371" i="7"/>
  <c r="J365" i="7" s="1"/>
  <c r="I371" i="7"/>
  <c r="K370" i="7"/>
  <c r="J370" i="7"/>
  <c r="J369" i="7"/>
  <c r="I369" i="7"/>
  <c r="J368" i="7"/>
  <c r="I368" i="7"/>
  <c r="K367" i="7"/>
  <c r="J367" i="7"/>
  <c r="U364" i="7"/>
  <c r="T364" i="7"/>
  <c r="N364" i="7"/>
  <c r="M364" i="7"/>
  <c r="P364" i="7" s="1"/>
  <c r="L364" i="7"/>
  <c r="L362" i="7" s="1"/>
  <c r="O362" i="7" s="1"/>
  <c r="U363" i="7"/>
  <c r="T363" i="7"/>
  <c r="P363" i="7"/>
  <c r="O363" i="7"/>
  <c r="S362" i="7"/>
  <c r="R362" i="7"/>
  <c r="U362" i="7" s="1"/>
  <c r="Q362" i="7"/>
  <c r="T362" i="7" s="1"/>
  <c r="U361" i="7"/>
  <c r="T361" i="7"/>
  <c r="N361" i="7"/>
  <c r="N359" i="7" s="1"/>
  <c r="M361" i="7"/>
  <c r="M359" i="7" s="1"/>
  <c r="L361" i="7"/>
  <c r="L359" i="7" s="1"/>
  <c r="U360" i="7"/>
  <c r="T360" i="7"/>
  <c r="P360" i="7"/>
  <c r="O360" i="7"/>
  <c r="U359" i="7"/>
  <c r="S359" i="7"/>
  <c r="R359" i="7"/>
  <c r="Q359" i="7"/>
  <c r="T359" i="7" s="1"/>
  <c r="S358" i="7"/>
  <c r="R358" i="7"/>
  <c r="U358" i="7" s="1"/>
  <c r="Q358" i="7"/>
  <c r="S357" i="7"/>
  <c r="R357" i="7"/>
  <c r="Q357" i="7"/>
  <c r="T357" i="7" s="1"/>
  <c r="O357" i="7"/>
  <c r="N357" i="7"/>
  <c r="M357" i="7"/>
  <c r="P357" i="7" s="1"/>
  <c r="L357" i="7"/>
  <c r="S356" i="7"/>
  <c r="D354" i="7"/>
  <c r="J353" i="7"/>
  <c r="J352" i="7"/>
  <c r="D350" i="7"/>
  <c r="J349" i="7"/>
  <c r="J348" i="7"/>
  <c r="J347" i="7"/>
  <c r="J346" i="7"/>
  <c r="I346" i="7"/>
  <c r="J344" i="7"/>
  <c r="I344" i="7"/>
  <c r="U341" i="7"/>
  <c r="T341" i="7"/>
  <c r="N341" i="7"/>
  <c r="N339" i="7" s="1"/>
  <c r="M341" i="7"/>
  <c r="P341" i="7" s="1"/>
  <c r="L341" i="7"/>
  <c r="O341" i="7" s="1"/>
  <c r="U340" i="7"/>
  <c r="T340" i="7"/>
  <c r="P340" i="7"/>
  <c r="O340" i="7"/>
  <c r="U339" i="7"/>
  <c r="S339" i="7"/>
  <c r="R339" i="7"/>
  <c r="Q339" i="7"/>
  <c r="T339" i="7" s="1"/>
  <c r="U338" i="7"/>
  <c r="T338" i="7"/>
  <c r="N338" i="7"/>
  <c r="M338" i="7"/>
  <c r="M336" i="7" s="1"/>
  <c r="L338" i="7"/>
  <c r="U337" i="7"/>
  <c r="T337" i="7"/>
  <c r="P337" i="7"/>
  <c r="O337" i="7"/>
  <c r="T336" i="7"/>
  <c r="S336" i="7"/>
  <c r="R336" i="7"/>
  <c r="U336" i="7" s="1"/>
  <c r="Q336" i="7"/>
  <c r="T335" i="7"/>
  <c r="S335" i="7"/>
  <c r="R335" i="7"/>
  <c r="U335" i="7" s="1"/>
  <c r="Q335" i="7"/>
  <c r="S334" i="7"/>
  <c r="R334" i="7"/>
  <c r="Q334" i="7"/>
  <c r="P334" i="7"/>
  <c r="N334" i="7"/>
  <c r="M334" i="7"/>
  <c r="L334" i="7"/>
  <c r="S333" i="7"/>
  <c r="I330" i="7"/>
  <c r="I319" i="7" s="1"/>
  <c r="K319" i="7" s="1"/>
  <c r="U328" i="7"/>
  <c r="T328" i="7"/>
  <c r="N328" i="7"/>
  <c r="M328" i="7"/>
  <c r="L328" i="7"/>
  <c r="O328" i="7" s="1"/>
  <c r="U327" i="7"/>
  <c r="T327" i="7"/>
  <c r="P327" i="7"/>
  <c r="O327" i="7"/>
  <c r="S326" i="7"/>
  <c r="R326" i="7"/>
  <c r="U326" i="7" s="1"/>
  <c r="Q326" i="7"/>
  <c r="T326" i="7" s="1"/>
  <c r="U325" i="7"/>
  <c r="T325" i="7"/>
  <c r="N325" i="7"/>
  <c r="N323" i="7" s="1"/>
  <c r="M325" i="7"/>
  <c r="M323" i="7" s="1"/>
  <c r="P323" i="7" s="1"/>
  <c r="L325" i="7"/>
  <c r="O325" i="7" s="1"/>
  <c r="U324" i="7"/>
  <c r="T324" i="7"/>
  <c r="P324" i="7"/>
  <c r="O324" i="7"/>
  <c r="U323" i="7"/>
  <c r="S323" i="7"/>
  <c r="R323" i="7"/>
  <c r="Q323" i="7"/>
  <c r="T323" i="7" s="1"/>
  <c r="S322" i="7"/>
  <c r="S320" i="7" s="1"/>
  <c r="R322" i="7"/>
  <c r="U322" i="7" s="1"/>
  <c r="Q322" i="7"/>
  <c r="T322" i="7" s="1"/>
  <c r="U321" i="7"/>
  <c r="S321" i="7"/>
  <c r="R321" i="7"/>
  <c r="Q321" i="7"/>
  <c r="T321" i="7" s="1"/>
  <c r="O321" i="7"/>
  <c r="N321" i="7"/>
  <c r="M321" i="7"/>
  <c r="L321" i="7"/>
  <c r="Q320" i="7"/>
  <c r="T320" i="7" s="1"/>
  <c r="J319" i="7"/>
  <c r="I314" i="7"/>
  <c r="U311" i="7"/>
  <c r="T311" i="7"/>
  <c r="N311" i="7"/>
  <c r="N309" i="7" s="1"/>
  <c r="M311" i="7"/>
  <c r="P311" i="7" s="1"/>
  <c r="L311" i="7"/>
  <c r="U310" i="7"/>
  <c r="T310" i="7"/>
  <c r="P310" i="7"/>
  <c r="O310" i="7"/>
  <c r="U309" i="7"/>
  <c r="T309" i="7"/>
  <c r="S309" i="7"/>
  <c r="R309" i="7"/>
  <c r="Q309" i="7"/>
  <c r="S308" i="7"/>
  <c r="R308" i="7"/>
  <c r="R306" i="7" s="1"/>
  <c r="Q308" i="7"/>
  <c r="Q306" i="7" s="1"/>
  <c r="N308" i="7"/>
  <c r="N306" i="7" s="1"/>
  <c r="M308" i="7"/>
  <c r="P308" i="7" s="1"/>
  <c r="L308" i="7"/>
  <c r="O308" i="7" s="1"/>
  <c r="U307" i="7"/>
  <c r="T307" i="7"/>
  <c r="P307" i="7"/>
  <c r="O307" i="7"/>
  <c r="S304" i="7"/>
  <c r="R304" i="7"/>
  <c r="U304" i="7" s="1"/>
  <c r="Q304" i="7"/>
  <c r="T304" i="7" s="1"/>
  <c r="O304" i="7"/>
  <c r="N304" i="7"/>
  <c r="M304" i="7"/>
  <c r="L304" i="7"/>
  <c r="J302" i="7"/>
  <c r="I296" i="7"/>
  <c r="K296" i="7" s="1"/>
  <c r="I295" i="7"/>
  <c r="K295" i="7" s="1"/>
  <c r="J293" i="7"/>
  <c r="J280" i="7" s="1"/>
  <c r="I293" i="7"/>
  <c r="I292" i="7"/>
  <c r="U290" i="7"/>
  <c r="T290" i="7"/>
  <c r="N290" i="7"/>
  <c r="N288" i="7" s="1"/>
  <c r="M290" i="7"/>
  <c r="P290" i="7" s="1"/>
  <c r="L290" i="7"/>
  <c r="O290" i="7" s="1"/>
  <c r="U289" i="7"/>
  <c r="T289" i="7"/>
  <c r="P289" i="7"/>
  <c r="O289" i="7"/>
  <c r="S288" i="7"/>
  <c r="R288" i="7"/>
  <c r="U288" i="7" s="1"/>
  <c r="Q288" i="7"/>
  <c r="T288" i="7" s="1"/>
  <c r="U287" i="7"/>
  <c r="T287" i="7"/>
  <c r="N287" i="7"/>
  <c r="N285" i="7" s="1"/>
  <c r="M287" i="7"/>
  <c r="M285" i="7" s="1"/>
  <c r="L287" i="7"/>
  <c r="U286" i="7"/>
  <c r="T286" i="7"/>
  <c r="P286" i="7"/>
  <c r="O286" i="7"/>
  <c r="S285" i="7"/>
  <c r="R285" i="7"/>
  <c r="U285" i="7" s="1"/>
  <c r="Q285" i="7"/>
  <c r="T285" i="7" s="1"/>
  <c r="S284" i="7"/>
  <c r="R284" i="7"/>
  <c r="U284" i="7" s="1"/>
  <c r="Q284" i="7"/>
  <c r="T284" i="7" s="1"/>
  <c r="U283" i="7"/>
  <c r="S283" i="7"/>
  <c r="R283" i="7"/>
  <c r="Q283" i="7"/>
  <c r="T283" i="7" s="1"/>
  <c r="N283" i="7"/>
  <c r="M283" i="7"/>
  <c r="P283" i="7" s="1"/>
  <c r="L283" i="7"/>
  <c r="O283" i="7" s="1"/>
  <c r="J281" i="7"/>
  <c r="I276" i="7"/>
  <c r="U274" i="7"/>
  <c r="T274" i="7"/>
  <c r="N274" i="7"/>
  <c r="N272" i="7" s="1"/>
  <c r="M274" i="7"/>
  <c r="L274" i="7"/>
  <c r="U273" i="7"/>
  <c r="T273" i="7"/>
  <c r="P273" i="7"/>
  <c r="O273" i="7"/>
  <c r="T272" i="7"/>
  <c r="S272" i="7"/>
  <c r="R272" i="7"/>
  <c r="U272" i="7" s="1"/>
  <c r="Q272" i="7"/>
  <c r="S271" i="7"/>
  <c r="S269" i="7" s="1"/>
  <c r="R271" i="7"/>
  <c r="R269" i="7" s="1"/>
  <c r="Q271" i="7"/>
  <c r="Q269" i="7" s="1"/>
  <c r="N271" i="7"/>
  <c r="M271" i="7"/>
  <c r="M269" i="7" s="1"/>
  <c r="L271" i="7"/>
  <c r="U270" i="7"/>
  <c r="T270" i="7"/>
  <c r="P270" i="7"/>
  <c r="O270" i="7"/>
  <c r="S267" i="7"/>
  <c r="R267" i="7"/>
  <c r="U267" i="7" s="1"/>
  <c r="Q267" i="7"/>
  <c r="T267" i="7" s="1"/>
  <c r="N267" i="7"/>
  <c r="M267" i="7"/>
  <c r="P267" i="7" s="1"/>
  <c r="L267" i="7"/>
  <c r="O267" i="7" s="1"/>
  <c r="J265" i="7"/>
  <c r="I263" i="7"/>
  <c r="K263" i="7" s="1"/>
  <c r="I262" i="7"/>
  <c r="K262" i="7" s="1"/>
  <c r="I260" i="7"/>
  <c r="I253" i="7" s="1"/>
  <c r="K253" i="7" s="1"/>
  <c r="L258" i="7"/>
  <c r="L257" i="7"/>
  <c r="L256" i="7"/>
  <c r="L255" i="7"/>
  <c r="P254" i="7"/>
  <c r="N254" i="7"/>
  <c r="J253" i="7"/>
  <c r="I252" i="7"/>
  <c r="K252" i="7" s="1"/>
  <c r="I251" i="7"/>
  <c r="I249" i="7"/>
  <c r="L247" i="7"/>
  <c r="L246" i="7"/>
  <c r="L245" i="7"/>
  <c r="L244" i="7"/>
  <c r="P243" i="7"/>
  <c r="N243" i="7"/>
  <c r="N232" i="7" s="1"/>
  <c r="J242" i="7"/>
  <c r="J231" i="7" s="1"/>
  <c r="J185" i="7" s="1"/>
  <c r="J241" i="7"/>
  <c r="J240" i="7"/>
  <c r="J238" i="7"/>
  <c r="N236" i="7"/>
  <c r="N235" i="7"/>
  <c r="N234" i="7"/>
  <c r="N233" i="7"/>
  <c r="I230" i="7"/>
  <c r="K230" i="7" s="1"/>
  <c r="I229" i="7"/>
  <c r="I221" i="7" s="1"/>
  <c r="I228" i="7"/>
  <c r="K228" i="7" s="1"/>
  <c r="L225" i="7"/>
  <c r="L224" i="7"/>
  <c r="L223" i="7"/>
  <c r="P222" i="7"/>
  <c r="N222" i="7"/>
  <c r="J221" i="7"/>
  <c r="I220" i="7"/>
  <c r="I213" i="7" s="1"/>
  <c r="K213" i="7" s="1"/>
  <c r="I219" i="7"/>
  <c r="K219" i="7" s="1"/>
  <c r="Q217" i="7"/>
  <c r="Q214" i="7" s="1"/>
  <c r="T214" i="7" s="1"/>
  <c r="L217" i="7"/>
  <c r="L216" i="7"/>
  <c r="L215" i="7"/>
  <c r="U214" i="7"/>
  <c r="S214" i="7"/>
  <c r="P214" i="7"/>
  <c r="N214" i="7"/>
  <c r="J213" i="7"/>
  <c r="I212" i="7"/>
  <c r="K212" i="7" s="1"/>
  <c r="I211" i="7"/>
  <c r="K211" i="7" s="1"/>
  <c r="I209" i="7"/>
  <c r="K209" i="7" s="1"/>
  <c r="L207" i="7"/>
  <c r="Q206" i="7"/>
  <c r="Q203" i="7" s="1"/>
  <c r="L206" i="7"/>
  <c r="L205" i="7"/>
  <c r="L204" i="7"/>
  <c r="U203" i="7"/>
  <c r="S203" i="7"/>
  <c r="P203" i="7"/>
  <c r="N203" i="7"/>
  <c r="J202" i="7"/>
  <c r="J199" i="7"/>
  <c r="I198" i="7"/>
  <c r="I195" i="7" s="1"/>
  <c r="K195" i="7" s="1"/>
  <c r="P196" i="7"/>
  <c r="L196" i="7"/>
  <c r="O196" i="7" s="1"/>
  <c r="J195" i="7"/>
  <c r="S194" i="7"/>
  <c r="R194" i="7"/>
  <c r="Q194" i="7"/>
  <c r="T194" i="7" s="1"/>
  <c r="N194" i="7"/>
  <c r="N192" i="7" s="1"/>
  <c r="M194" i="7"/>
  <c r="M192" i="7" s="1"/>
  <c r="P192" i="7" s="1"/>
  <c r="L194" i="7"/>
  <c r="U193" i="7"/>
  <c r="T193" i="7"/>
  <c r="P193" i="7"/>
  <c r="O193" i="7"/>
  <c r="S191" i="7"/>
  <c r="S189" i="7" s="1"/>
  <c r="R191" i="7"/>
  <c r="R189" i="7" s="1"/>
  <c r="Q191" i="7"/>
  <c r="Q189" i="7" s="1"/>
  <c r="N191" i="7"/>
  <c r="N189" i="7" s="1"/>
  <c r="M191" i="7"/>
  <c r="L191" i="7"/>
  <c r="U190" i="7"/>
  <c r="T190" i="7"/>
  <c r="P190" i="7"/>
  <c r="O190" i="7"/>
  <c r="U187" i="7"/>
  <c r="S187" i="7"/>
  <c r="R187" i="7"/>
  <c r="Q187" i="7"/>
  <c r="T187" i="7" s="1"/>
  <c r="P187" i="7"/>
  <c r="O187" i="7"/>
  <c r="N187" i="7"/>
  <c r="M187" i="7"/>
  <c r="L187" i="7"/>
  <c r="K184" i="7"/>
  <c r="I183" i="7"/>
  <c r="I172" i="7" s="1"/>
  <c r="U181" i="7"/>
  <c r="T181" i="7"/>
  <c r="N181" i="7"/>
  <c r="N179" i="7" s="1"/>
  <c r="M181" i="7"/>
  <c r="M179" i="7" s="1"/>
  <c r="P179" i="7" s="1"/>
  <c r="L181" i="7"/>
  <c r="O181" i="7" s="1"/>
  <c r="U180" i="7"/>
  <c r="T180" i="7"/>
  <c r="P180" i="7"/>
  <c r="O180" i="7"/>
  <c r="U179" i="7"/>
  <c r="T179" i="7"/>
  <c r="S179" i="7"/>
  <c r="R179" i="7"/>
  <c r="Q179" i="7"/>
  <c r="S178" i="7"/>
  <c r="R178" i="7"/>
  <c r="U178" i="7" s="1"/>
  <c r="Q178" i="7"/>
  <c r="N178" i="7"/>
  <c r="M178" i="7"/>
  <c r="L178" i="7"/>
  <c r="U177" i="7"/>
  <c r="T177" i="7"/>
  <c r="P177" i="7"/>
  <c r="O177" i="7"/>
  <c r="S174" i="7"/>
  <c r="R174" i="7"/>
  <c r="Q174" i="7"/>
  <c r="T174" i="7" s="1"/>
  <c r="N174" i="7"/>
  <c r="M174" i="7"/>
  <c r="L174" i="7"/>
  <c r="O174" i="7" s="1"/>
  <c r="J172" i="7"/>
  <c r="I169" i="7"/>
  <c r="K169" i="7" s="1"/>
  <c r="I168" i="7"/>
  <c r="K168" i="7" s="1"/>
  <c r="I167" i="7"/>
  <c r="K167" i="7" s="1"/>
  <c r="U165" i="7"/>
  <c r="T165" i="7"/>
  <c r="N165" i="7"/>
  <c r="M165" i="7"/>
  <c r="M163" i="7" s="1"/>
  <c r="P163" i="7" s="1"/>
  <c r="L165" i="7"/>
  <c r="U164" i="7"/>
  <c r="T164" i="7"/>
  <c r="P164" i="7"/>
  <c r="O164" i="7"/>
  <c r="S163" i="7"/>
  <c r="R163" i="7"/>
  <c r="U163" i="7" s="1"/>
  <c r="Q163" i="7"/>
  <c r="T163" i="7" s="1"/>
  <c r="S162" i="7"/>
  <c r="S160" i="7" s="1"/>
  <c r="R162" i="7"/>
  <c r="Q162" i="7"/>
  <c r="Q160" i="7" s="1"/>
  <c r="T160" i="7" s="1"/>
  <c r="N162" i="7"/>
  <c r="N160" i="7" s="1"/>
  <c r="M162" i="7"/>
  <c r="L162" i="7"/>
  <c r="U161" i="7"/>
  <c r="T161" i="7"/>
  <c r="P161" i="7"/>
  <c r="O161" i="7"/>
  <c r="S158" i="7"/>
  <c r="R158" i="7"/>
  <c r="U158" i="7" s="1"/>
  <c r="Q158" i="7"/>
  <c r="N158" i="7"/>
  <c r="M158" i="7"/>
  <c r="P158" i="7" s="1"/>
  <c r="L158" i="7"/>
  <c r="J156" i="7"/>
  <c r="I154" i="7"/>
  <c r="K154" i="7" s="1"/>
  <c r="I153" i="7"/>
  <c r="I152" i="7"/>
  <c r="I151" i="7"/>
  <c r="K151" i="7" s="1"/>
  <c r="I150" i="7"/>
  <c r="K150" i="7" s="1"/>
  <c r="S147" i="7"/>
  <c r="S145" i="7" s="1"/>
  <c r="R147" i="7"/>
  <c r="R145" i="7" s="1"/>
  <c r="U145" i="7" s="1"/>
  <c r="Q147" i="7"/>
  <c r="N147" i="7"/>
  <c r="N145" i="7" s="1"/>
  <c r="M147" i="7"/>
  <c r="P147" i="7" s="1"/>
  <c r="L147" i="7"/>
  <c r="O147" i="7" s="1"/>
  <c r="U146" i="7"/>
  <c r="T146" i="7"/>
  <c r="P146" i="7"/>
  <c r="O146" i="7"/>
  <c r="S144" i="7"/>
  <c r="R144" i="7"/>
  <c r="R142" i="7" s="1"/>
  <c r="U142" i="7" s="1"/>
  <c r="Q144" i="7"/>
  <c r="N144" i="7"/>
  <c r="M144" i="7"/>
  <c r="M142" i="7" s="1"/>
  <c r="L144" i="7"/>
  <c r="L142" i="7" s="1"/>
  <c r="U143" i="7"/>
  <c r="T143" i="7"/>
  <c r="P143" i="7"/>
  <c r="O143" i="7"/>
  <c r="S140" i="7"/>
  <c r="R140" i="7"/>
  <c r="U140" i="7" s="1"/>
  <c r="Q140" i="7"/>
  <c r="T140" i="7" s="1"/>
  <c r="O140" i="7"/>
  <c r="N140" i="7"/>
  <c r="M140" i="7"/>
  <c r="L140" i="7"/>
  <c r="J138" i="7"/>
  <c r="J137" i="7"/>
  <c r="J136" i="7"/>
  <c r="I130" i="7"/>
  <c r="K130" i="7" s="1"/>
  <c r="I129" i="7"/>
  <c r="K129" i="7" s="1"/>
  <c r="I128" i="7"/>
  <c r="K128" i="7" s="1"/>
  <c r="I127" i="7"/>
  <c r="K127" i="7" s="1"/>
  <c r="S125" i="7"/>
  <c r="S123" i="7" s="1"/>
  <c r="R125" i="7"/>
  <c r="R123" i="7" s="1"/>
  <c r="Q125" i="7"/>
  <c r="N125" i="7"/>
  <c r="M125" i="7"/>
  <c r="L125" i="7"/>
  <c r="O125" i="7" s="1"/>
  <c r="U124" i="7"/>
  <c r="T124" i="7"/>
  <c r="P124" i="7"/>
  <c r="O124" i="7"/>
  <c r="S122" i="7"/>
  <c r="R122" i="7"/>
  <c r="R120" i="7" s="1"/>
  <c r="Q122" i="7"/>
  <c r="Q120" i="7" s="1"/>
  <c r="N122" i="7"/>
  <c r="N120" i="7" s="1"/>
  <c r="M122" i="7"/>
  <c r="M120" i="7" s="1"/>
  <c r="P120" i="7" s="1"/>
  <c r="L122" i="7"/>
  <c r="O122" i="7" s="1"/>
  <c r="U121" i="7"/>
  <c r="T121" i="7"/>
  <c r="P121" i="7"/>
  <c r="O121" i="7"/>
  <c r="S118" i="7"/>
  <c r="R118" i="7"/>
  <c r="U118" i="7" s="1"/>
  <c r="Q118" i="7"/>
  <c r="N118" i="7"/>
  <c r="M118" i="7"/>
  <c r="P118" i="7" s="1"/>
  <c r="L118" i="7"/>
  <c r="O118" i="7" s="1"/>
  <c r="J116" i="7"/>
  <c r="I114" i="7"/>
  <c r="K114" i="7" s="1"/>
  <c r="I113" i="7"/>
  <c r="K113" i="7" s="1"/>
  <c r="I109" i="7"/>
  <c r="I108" i="7"/>
  <c r="U102" i="7"/>
  <c r="T102" i="7"/>
  <c r="N102" i="7"/>
  <c r="M102" i="7"/>
  <c r="P102" i="7" s="1"/>
  <c r="L102" i="7"/>
  <c r="L100" i="7" s="1"/>
  <c r="O100" i="7" s="1"/>
  <c r="U101" i="7"/>
  <c r="T101" i="7"/>
  <c r="P101" i="7"/>
  <c r="O101" i="7"/>
  <c r="S100" i="7"/>
  <c r="R100" i="7"/>
  <c r="U100" i="7" s="1"/>
  <c r="Q100" i="7"/>
  <c r="T100" i="7" s="1"/>
  <c r="S99" i="7"/>
  <c r="S96" i="7" s="1"/>
  <c r="R99" i="7"/>
  <c r="R97" i="7" s="1"/>
  <c r="Q99" i="7"/>
  <c r="N99" i="7"/>
  <c r="N97" i="7" s="1"/>
  <c r="M99" i="7"/>
  <c r="L99" i="7"/>
  <c r="O99" i="7" s="1"/>
  <c r="U98" i="7"/>
  <c r="T98" i="7"/>
  <c r="P98" i="7"/>
  <c r="O98" i="7"/>
  <c r="U95" i="7"/>
  <c r="T95" i="7"/>
  <c r="S95" i="7"/>
  <c r="R95" i="7"/>
  <c r="Q95" i="7"/>
  <c r="O95" i="7"/>
  <c r="N95" i="7"/>
  <c r="M95" i="7"/>
  <c r="L95" i="7"/>
  <c r="J93" i="7"/>
  <c r="J92" i="7"/>
  <c r="I90" i="7"/>
  <c r="K90" i="7" s="1"/>
  <c r="I89" i="7"/>
  <c r="K89" i="7" s="1"/>
  <c r="I88" i="7"/>
  <c r="K88" i="7" s="1"/>
  <c r="I87" i="7"/>
  <c r="K87" i="7" s="1"/>
  <c r="I86" i="7"/>
  <c r="K86" i="7" s="1"/>
  <c r="I85" i="7"/>
  <c r="I84" i="7"/>
  <c r="K84" i="7" s="1"/>
  <c r="J83" i="7"/>
  <c r="J82" i="7"/>
  <c r="J70" i="7" s="1"/>
  <c r="S80" i="7"/>
  <c r="S78" i="7" s="1"/>
  <c r="R80" i="7"/>
  <c r="U80" i="7" s="1"/>
  <c r="Q80" i="7"/>
  <c r="Q78" i="7" s="1"/>
  <c r="T78" i="7" s="1"/>
  <c r="N80" i="7"/>
  <c r="N78" i="7" s="1"/>
  <c r="M80" i="7"/>
  <c r="M78" i="7" s="1"/>
  <c r="P78" i="7" s="1"/>
  <c r="L80" i="7"/>
  <c r="U79" i="7"/>
  <c r="T79" i="7"/>
  <c r="P79" i="7"/>
  <c r="O79" i="7"/>
  <c r="S77" i="7"/>
  <c r="R77" i="7"/>
  <c r="R75" i="7" s="1"/>
  <c r="Q77" i="7"/>
  <c r="Q75" i="7" s="1"/>
  <c r="N77" i="7"/>
  <c r="N75" i="7" s="1"/>
  <c r="M77" i="7"/>
  <c r="M75" i="7" s="1"/>
  <c r="L77" i="7"/>
  <c r="U76" i="7"/>
  <c r="T76" i="7"/>
  <c r="P76" i="7"/>
  <c r="O76" i="7"/>
  <c r="S73" i="7"/>
  <c r="R73" i="7"/>
  <c r="U73" i="7" s="1"/>
  <c r="Q73" i="7"/>
  <c r="T73" i="7" s="1"/>
  <c r="N73" i="7"/>
  <c r="M73" i="7"/>
  <c r="P73" i="7" s="1"/>
  <c r="L73" i="7"/>
  <c r="O73" i="7" s="1"/>
  <c r="J71" i="7"/>
  <c r="U67" i="7"/>
  <c r="T67" i="7"/>
  <c r="N67" i="7"/>
  <c r="N65" i="7" s="1"/>
  <c r="M67" i="7"/>
  <c r="L67" i="7"/>
  <c r="L65" i="7" s="1"/>
  <c r="U66" i="7"/>
  <c r="T66" i="7"/>
  <c r="P66" i="7"/>
  <c r="O66" i="7"/>
  <c r="S65" i="7"/>
  <c r="R65" i="7"/>
  <c r="U65" i="7" s="1"/>
  <c r="Q65" i="7"/>
  <c r="T65" i="7" s="1"/>
  <c r="U64" i="7"/>
  <c r="T64" i="7"/>
  <c r="N64" i="7"/>
  <c r="M64" i="7"/>
  <c r="M62" i="7" s="1"/>
  <c r="L64" i="7"/>
  <c r="U63" i="7"/>
  <c r="T63" i="7"/>
  <c r="P63" i="7"/>
  <c r="O63" i="7"/>
  <c r="T62" i="7"/>
  <c r="S62" i="7"/>
  <c r="R62" i="7"/>
  <c r="U62" i="7" s="1"/>
  <c r="Q62" i="7"/>
  <c r="S61" i="7"/>
  <c r="R61" i="7"/>
  <c r="U61" i="7" s="1"/>
  <c r="Q61" i="7"/>
  <c r="T60" i="7"/>
  <c r="S60" i="7"/>
  <c r="R60" i="7"/>
  <c r="U60" i="7" s="1"/>
  <c r="Q60" i="7"/>
  <c r="N60" i="7"/>
  <c r="M60" i="7"/>
  <c r="P60" i="7" s="1"/>
  <c r="L60" i="7"/>
  <c r="O60" i="7" s="1"/>
  <c r="S59" i="7"/>
  <c r="U52" i="7"/>
  <c r="T52" i="7"/>
  <c r="N52" i="7"/>
  <c r="N50" i="7" s="1"/>
  <c r="M52" i="7"/>
  <c r="L52" i="7"/>
  <c r="L50" i="7" s="1"/>
  <c r="O50" i="7" s="1"/>
  <c r="U51" i="7"/>
  <c r="T51" i="7"/>
  <c r="P51" i="7"/>
  <c r="O51" i="7"/>
  <c r="U50" i="7"/>
  <c r="S50" i="7"/>
  <c r="R50" i="7"/>
  <c r="Q50" i="7"/>
  <c r="T50" i="7" s="1"/>
  <c r="U49" i="7"/>
  <c r="T49" i="7"/>
  <c r="N49" i="7"/>
  <c r="M49" i="7"/>
  <c r="M47" i="7" s="1"/>
  <c r="L49" i="7"/>
  <c r="U48" i="7"/>
  <c r="T48" i="7"/>
  <c r="P48" i="7"/>
  <c r="O48" i="7"/>
  <c r="T47" i="7"/>
  <c r="S47" i="7"/>
  <c r="R47" i="7"/>
  <c r="U47" i="7" s="1"/>
  <c r="Q47" i="7"/>
  <c r="T46" i="7"/>
  <c r="S46" i="7"/>
  <c r="R46" i="7"/>
  <c r="U46" i="7" s="1"/>
  <c r="Q46" i="7"/>
  <c r="S45" i="7"/>
  <c r="R45" i="7"/>
  <c r="U45" i="7" s="1"/>
  <c r="Q45" i="7"/>
  <c r="T45" i="7" s="1"/>
  <c r="P45" i="7"/>
  <c r="N45" i="7"/>
  <c r="M45" i="7"/>
  <c r="L45" i="7"/>
  <c r="O45" i="7" s="1"/>
  <c r="S44" i="7"/>
  <c r="S25" i="7"/>
  <c r="R25" i="7"/>
  <c r="U25" i="7" s="1"/>
  <c r="Q25" i="7"/>
  <c r="T25" i="7" s="1"/>
  <c r="N25" i="7"/>
  <c r="M25" i="7"/>
  <c r="P25" i="7" s="1"/>
  <c r="L25" i="7"/>
  <c r="O25" i="7" s="1"/>
  <c r="S22" i="7"/>
  <c r="S19" i="7" s="1"/>
  <c r="R22" i="7"/>
  <c r="R19" i="7" s="1"/>
  <c r="U19" i="7" s="1"/>
  <c r="Q22" i="7"/>
  <c r="T22" i="7" s="1"/>
  <c r="N22" i="7"/>
  <c r="M22" i="7"/>
  <c r="P22" i="7" s="1"/>
  <c r="L22" i="7"/>
  <c r="O22" i="7" s="1"/>
  <c r="A789" i="6"/>
  <c r="A788" i="6"/>
  <c r="J785" i="6"/>
  <c r="I785" i="6"/>
  <c r="J784" i="6"/>
  <c r="I784" i="6"/>
  <c r="J783" i="6"/>
  <c r="I783" i="6"/>
  <c r="J782" i="6"/>
  <c r="I782" i="6"/>
  <c r="J781" i="6"/>
  <c r="I781" i="6"/>
  <c r="J780" i="6"/>
  <c r="I780" i="6"/>
  <c r="J779" i="6"/>
  <c r="I779" i="6"/>
  <c r="J778" i="6"/>
  <c r="I778" i="6"/>
  <c r="H777" i="6"/>
  <c r="I776" i="6"/>
  <c r="I775" i="6"/>
  <c r="I774" i="6"/>
  <c r="I759" i="6" s="1"/>
  <c r="I772" i="6"/>
  <c r="K772" i="6" s="1"/>
  <c r="I770" i="6"/>
  <c r="K770" i="6" s="1"/>
  <c r="U768" i="6"/>
  <c r="T768" i="6"/>
  <c r="P768" i="6"/>
  <c r="O768" i="6"/>
  <c r="U767" i="6"/>
  <c r="T767" i="6"/>
  <c r="P767" i="6"/>
  <c r="O767" i="6"/>
  <c r="S766" i="6"/>
  <c r="R766" i="6"/>
  <c r="U766" i="6" s="1"/>
  <c r="Q766" i="6"/>
  <c r="T766" i="6" s="1"/>
  <c r="O766" i="6"/>
  <c r="N766" i="6"/>
  <c r="M766" i="6"/>
  <c r="P766" i="6" s="1"/>
  <c r="L766" i="6"/>
  <c r="S765" i="6"/>
  <c r="S763" i="6" s="1"/>
  <c r="R765" i="6"/>
  <c r="R763" i="6" s="1"/>
  <c r="Q765" i="6"/>
  <c r="P765" i="6"/>
  <c r="O765" i="6"/>
  <c r="U764" i="6"/>
  <c r="T764" i="6"/>
  <c r="P764" i="6"/>
  <c r="O764" i="6"/>
  <c r="N763" i="6"/>
  <c r="M763" i="6"/>
  <c r="P763" i="6" s="1"/>
  <c r="L763" i="6"/>
  <c r="O763" i="6" s="1"/>
  <c r="P762" i="6"/>
  <c r="N762" i="6"/>
  <c r="M762" i="6"/>
  <c r="L762" i="6"/>
  <c r="S761" i="6"/>
  <c r="R761" i="6"/>
  <c r="U761" i="6" s="1"/>
  <c r="Q761" i="6"/>
  <c r="T761" i="6" s="1"/>
  <c r="N761" i="6"/>
  <c r="M761" i="6"/>
  <c r="P761" i="6" s="1"/>
  <c r="L761" i="6"/>
  <c r="O761" i="6" s="1"/>
  <c r="P760" i="6"/>
  <c r="N760" i="6"/>
  <c r="M760" i="6"/>
  <c r="J759" i="6"/>
  <c r="J758" i="6"/>
  <c r="I755" i="6"/>
  <c r="K755" i="6" s="1"/>
  <c r="I752" i="6"/>
  <c r="K752" i="6" s="1"/>
  <c r="I749" i="6"/>
  <c r="K749" i="6" s="1"/>
  <c r="I746" i="6"/>
  <c r="K746" i="6" s="1"/>
  <c r="I744" i="6"/>
  <c r="K744" i="6" s="1"/>
  <c r="I742" i="6"/>
  <c r="K742" i="6" s="1"/>
  <c r="I740" i="6"/>
  <c r="K740" i="6" s="1"/>
  <c r="U736" i="6"/>
  <c r="T736" i="6"/>
  <c r="P736" i="6"/>
  <c r="O736" i="6"/>
  <c r="U735" i="6"/>
  <c r="T735" i="6"/>
  <c r="P735" i="6"/>
  <c r="O735" i="6"/>
  <c r="S734" i="6"/>
  <c r="R734" i="6"/>
  <c r="U734" i="6" s="1"/>
  <c r="Q734" i="6"/>
  <c r="T734" i="6" s="1"/>
  <c r="P734" i="6"/>
  <c r="N734" i="6"/>
  <c r="M734" i="6"/>
  <c r="L734" i="6"/>
  <c r="O734" i="6" s="1"/>
  <c r="S733" i="6"/>
  <c r="S731" i="6" s="1"/>
  <c r="R733" i="6"/>
  <c r="R731" i="6" s="1"/>
  <c r="Q733" i="6"/>
  <c r="P733" i="6"/>
  <c r="O733" i="6"/>
  <c r="U732" i="6"/>
  <c r="T732" i="6"/>
  <c r="P732" i="6"/>
  <c r="O732" i="6"/>
  <c r="O731" i="6"/>
  <c r="N731" i="6"/>
  <c r="M731" i="6"/>
  <c r="P731" i="6" s="1"/>
  <c r="L731" i="6"/>
  <c r="O730" i="6"/>
  <c r="N730" i="6"/>
  <c r="M730" i="6"/>
  <c r="P730" i="6" s="1"/>
  <c r="L730" i="6"/>
  <c r="S729" i="6"/>
  <c r="R729" i="6"/>
  <c r="U729" i="6" s="1"/>
  <c r="Q729" i="6"/>
  <c r="T729" i="6" s="1"/>
  <c r="O729" i="6"/>
  <c r="N729" i="6"/>
  <c r="M729" i="6"/>
  <c r="P729" i="6" s="1"/>
  <c r="L729" i="6"/>
  <c r="L728" i="6"/>
  <c r="O728" i="6" s="1"/>
  <c r="J727" i="6"/>
  <c r="I727" i="6"/>
  <c r="K727" i="6" s="1"/>
  <c r="J726" i="6"/>
  <c r="I726" i="6"/>
  <c r="U722" i="6"/>
  <c r="T722" i="6"/>
  <c r="P722" i="6"/>
  <c r="O722" i="6"/>
  <c r="U721" i="6"/>
  <c r="T721" i="6"/>
  <c r="P721" i="6"/>
  <c r="O721" i="6"/>
  <c r="S720" i="6"/>
  <c r="R720" i="6"/>
  <c r="U720" i="6" s="1"/>
  <c r="Q720" i="6"/>
  <c r="T720" i="6" s="1"/>
  <c r="O720" i="6"/>
  <c r="N720" i="6"/>
  <c r="M720" i="6"/>
  <c r="P720" i="6" s="1"/>
  <c r="L720" i="6"/>
  <c r="U719" i="6"/>
  <c r="T719" i="6"/>
  <c r="P719" i="6"/>
  <c r="O719" i="6"/>
  <c r="U718" i="6"/>
  <c r="T718" i="6"/>
  <c r="P718" i="6"/>
  <c r="O718" i="6"/>
  <c r="S717" i="6"/>
  <c r="R717" i="6"/>
  <c r="U717" i="6" s="1"/>
  <c r="Q717" i="6"/>
  <c r="T717" i="6" s="1"/>
  <c r="N717" i="6"/>
  <c r="M717" i="6"/>
  <c r="P717" i="6" s="1"/>
  <c r="L717" i="6"/>
  <c r="O717" i="6" s="1"/>
  <c r="U716" i="6"/>
  <c r="S716" i="6"/>
  <c r="R716" i="6"/>
  <c r="Q716" i="6"/>
  <c r="N716" i="6"/>
  <c r="M716" i="6"/>
  <c r="P716" i="6" s="1"/>
  <c r="L716" i="6"/>
  <c r="O716" i="6" s="1"/>
  <c r="S715" i="6"/>
  <c r="R715" i="6"/>
  <c r="Q715" i="6"/>
  <c r="T715" i="6" s="1"/>
  <c r="N715" i="6"/>
  <c r="M715" i="6"/>
  <c r="L715" i="6"/>
  <c r="K712" i="6"/>
  <c r="J712" i="6"/>
  <c r="K710" i="6"/>
  <c r="J710" i="6"/>
  <c r="J709" i="6"/>
  <c r="I709" i="6"/>
  <c r="K708" i="6"/>
  <c r="J708" i="6"/>
  <c r="J707" i="6"/>
  <c r="J689" i="6" s="1"/>
  <c r="I707" i="6"/>
  <c r="I689" i="6" s="1"/>
  <c r="K706" i="6"/>
  <c r="J706" i="6"/>
  <c r="J705" i="6"/>
  <c r="I705" i="6"/>
  <c r="K704" i="6"/>
  <c r="J704" i="6"/>
  <c r="J703" i="6"/>
  <c r="I703" i="6"/>
  <c r="K702" i="6"/>
  <c r="I700" i="6"/>
  <c r="K700" i="6" s="1"/>
  <c r="U698" i="6"/>
  <c r="T698" i="6"/>
  <c r="P698" i="6"/>
  <c r="O698" i="6"/>
  <c r="U697" i="6"/>
  <c r="T697" i="6"/>
  <c r="P697" i="6"/>
  <c r="O697" i="6"/>
  <c r="T696" i="6"/>
  <c r="S696" i="6"/>
  <c r="R696" i="6"/>
  <c r="U696" i="6" s="1"/>
  <c r="Q696" i="6"/>
  <c r="P696" i="6"/>
  <c r="N696" i="6"/>
  <c r="M696" i="6"/>
  <c r="L696" i="6"/>
  <c r="O696" i="6" s="1"/>
  <c r="S695" i="6"/>
  <c r="S693" i="6" s="1"/>
  <c r="R695" i="6"/>
  <c r="Q695" i="6"/>
  <c r="Q693" i="6" s="1"/>
  <c r="P695" i="6"/>
  <c r="O695" i="6"/>
  <c r="U694" i="6"/>
  <c r="T694" i="6"/>
  <c r="P694" i="6"/>
  <c r="O694" i="6"/>
  <c r="O693" i="6"/>
  <c r="N693" i="6"/>
  <c r="M693" i="6"/>
  <c r="P693" i="6" s="1"/>
  <c r="L693" i="6"/>
  <c r="N692" i="6"/>
  <c r="N690" i="6" s="1"/>
  <c r="M692" i="6"/>
  <c r="L692" i="6"/>
  <c r="O692" i="6" s="1"/>
  <c r="U691" i="6"/>
  <c r="S691" i="6"/>
  <c r="R691" i="6"/>
  <c r="Q691" i="6"/>
  <c r="O691" i="6"/>
  <c r="N691" i="6"/>
  <c r="M691" i="6"/>
  <c r="P691" i="6" s="1"/>
  <c r="L691" i="6"/>
  <c r="L690" i="6"/>
  <c r="O690" i="6" s="1"/>
  <c r="J682" i="6"/>
  <c r="I682" i="6"/>
  <c r="J681" i="6"/>
  <c r="I681" i="6"/>
  <c r="K681" i="6" s="1"/>
  <c r="J680" i="6"/>
  <c r="J679" i="6"/>
  <c r="I679" i="6"/>
  <c r="K679" i="6" s="1"/>
  <c r="J678" i="6"/>
  <c r="I678" i="6"/>
  <c r="J677" i="6"/>
  <c r="J676" i="6"/>
  <c r="I676" i="6"/>
  <c r="I675" i="6"/>
  <c r="I674" i="6"/>
  <c r="J673" i="6"/>
  <c r="I673" i="6"/>
  <c r="J672" i="6"/>
  <c r="J671" i="6"/>
  <c r="J661" i="6"/>
  <c r="I661" i="6"/>
  <c r="I660" i="6"/>
  <c r="I657" i="6"/>
  <c r="J654" i="6"/>
  <c r="I654" i="6"/>
  <c r="J653" i="6"/>
  <c r="I653" i="6"/>
  <c r="J652" i="6"/>
  <c r="I652" i="6"/>
  <c r="K652" i="6" s="1"/>
  <c r="U650" i="6"/>
  <c r="T650" i="6"/>
  <c r="P650" i="6"/>
  <c r="O650" i="6"/>
  <c r="U649" i="6"/>
  <c r="T649" i="6"/>
  <c r="P649" i="6"/>
  <c r="O649" i="6"/>
  <c r="T648" i="6"/>
  <c r="S648" i="6"/>
  <c r="R648" i="6"/>
  <c r="U648" i="6" s="1"/>
  <c r="Q648" i="6"/>
  <c r="P648" i="6"/>
  <c r="N648" i="6"/>
  <c r="M648" i="6"/>
  <c r="L648" i="6"/>
  <c r="O648" i="6" s="1"/>
  <c r="S647" i="6"/>
  <c r="S645" i="6" s="1"/>
  <c r="R647" i="6"/>
  <c r="Q647" i="6"/>
  <c r="Q645" i="6" s="1"/>
  <c r="P647" i="6"/>
  <c r="O647" i="6"/>
  <c r="U646" i="6"/>
  <c r="T646" i="6"/>
  <c r="P646" i="6"/>
  <c r="O646" i="6"/>
  <c r="O645" i="6"/>
  <c r="N645" i="6"/>
  <c r="M645" i="6"/>
  <c r="P645" i="6" s="1"/>
  <c r="L645" i="6"/>
  <c r="N644" i="6"/>
  <c r="M644" i="6"/>
  <c r="P644" i="6" s="1"/>
  <c r="L644" i="6"/>
  <c r="O644" i="6" s="1"/>
  <c r="S643" i="6"/>
  <c r="R643" i="6"/>
  <c r="U643" i="6" s="1"/>
  <c r="Q643" i="6"/>
  <c r="O643" i="6"/>
  <c r="N643" i="6"/>
  <c r="M643" i="6"/>
  <c r="P643" i="6" s="1"/>
  <c r="L643" i="6"/>
  <c r="L642" i="6"/>
  <c r="O642" i="6" s="1"/>
  <c r="J636" i="6"/>
  <c r="J635" i="6" s="1"/>
  <c r="I635" i="6"/>
  <c r="K635" i="6" s="1"/>
  <c r="J632" i="6"/>
  <c r="I628" i="6"/>
  <c r="K628" i="6" s="1"/>
  <c r="I627" i="6"/>
  <c r="K627" i="6" s="1"/>
  <c r="J626" i="6"/>
  <c r="J615" i="6" s="1"/>
  <c r="I626" i="6"/>
  <c r="K630" i="6" s="1"/>
  <c r="U624" i="6"/>
  <c r="T624" i="6"/>
  <c r="P624" i="6"/>
  <c r="O624" i="6"/>
  <c r="U623" i="6"/>
  <c r="T623" i="6"/>
  <c r="P623" i="6"/>
  <c r="O623" i="6"/>
  <c r="S622" i="6"/>
  <c r="R622" i="6"/>
  <c r="U622" i="6" s="1"/>
  <c r="Q622" i="6"/>
  <c r="T622" i="6" s="1"/>
  <c r="N622" i="6"/>
  <c r="M622" i="6"/>
  <c r="P622" i="6" s="1"/>
  <c r="L622" i="6"/>
  <c r="O622" i="6" s="1"/>
  <c r="S621" i="6"/>
  <c r="R621" i="6"/>
  <c r="R618" i="6" s="1"/>
  <c r="Q621" i="6"/>
  <c r="P621" i="6"/>
  <c r="O621" i="6"/>
  <c r="U620" i="6"/>
  <c r="T620" i="6"/>
  <c r="P620" i="6"/>
  <c r="O620" i="6"/>
  <c r="N619" i="6"/>
  <c r="M619" i="6"/>
  <c r="P619" i="6" s="1"/>
  <c r="L619" i="6"/>
  <c r="O619" i="6" s="1"/>
  <c r="P618" i="6"/>
  <c r="N618" i="6"/>
  <c r="M618" i="6"/>
  <c r="L618" i="6"/>
  <c r="O618" i="6" s="1"/>
  <c r="T617" i="6"/>
  <c r="S617" i="6"/>
  <c r="R617" i="6"/>
  <c r="U617" i="6" s="1"/>
  <c r="Q617" i="6"/>
  <c r="N617" i="6"/>
  <c r="N616" i="6" s="1"/>
  <c r="M617" i="6"/>
  <c r="L617" i="6"/>
  <c r="S607" i="6"/>
  <c r="R607" i="6"/>
  <c r="U607" i="6" s="1"/>
  <c r="Q607" i="6"/>
  <c r="Q605" i="6" s="1"/>
  <c r="T605" i="6" s="1"/>
  <c r="N607" i="6"/>
  <c r="N605" i="6" s="1"/>
  <c r="M607" i="6"/>
  <c r="L607" i="6"/>
  <c r="L605" i="6" s="1"/>
  <c r="O605" i="6" s="1"/>
  <c r="U606" i="6"/>
  <c r="T606" i="6"/>
  <c r="P606" i="6"/>
  <c r="O606" i="6"/>
  <c r="S604" i="6"/>
  <c r="S602" i="6" s="1"/>
  <c r="R604" i="6"/>
  <c r="U604" i="6" s="1"/>
  <c r="Q604" i="6"/>
  <c r="T604" i="6" s="1"/>
  <c r="N604" i="6"/>
  <c r="N602" i="6" s="1"/>
  <c r="M604" i="6"/>
  <c r="P604" i="6" s="1"/>
  <c r="L604" i="6"/>
  <c r="O604" i="6" s="1"/>
  <c r="U603" i="6"/>
  <c r="T603" i="6"/>
  <c r="P603" i="6"/>
  <c r="O603" i="6"/>
  <c r="S600" i="6"/>
  <c r="R600" i="6"/>
  <c r="U600" i="6" s="1"/>
  <c r="Q600" i="6"/>
  <c r="T600" i="6" s="1"/>
  <c r="N600" i="6"/>
  <c r="M600" i="6"/>
  <c r="L600" i="6"/>
  <c r="O600" i="6" s="1"/>
  <c r="U584" i="6"/>
  <c r="T584" i="6"/>
  <c r="N584" i="6"/>
  <c r="N582" i="6" s="1"/>
  <c r="M584" i="6"/>
  <c r="P584" i="6" s="1"/>
  <c r="L584" i="6"/>
  <c r="L582" i="6" s="1"/>
  <c r="O582" i="6" s="1"/>
  <c r="U583" i="6"/>
  <c r="T583" i="6"/>
  <c r="P583" i="6"/>
  <c r="O583" i="6"/>
  <c r="T582" i="6"/>
  <c r="S582" i="6"/>
  <c r="R582" i="6"/>
  <c r="U582" i="6" s="1"/>
  <c r="Q582" i="6"/>
  <c r="U581" i="6"/>
  <c r="T581" i="6"/>
  <c r="N581" i="6"/>
  <c r="N579" i="6" s="1"/>
  <c r="M581" i="6"/>
  <c r="L581" i="6"/>
  <c r="L579" i="6" s="1"/>
  <c r="U580" i="6"/>
  <c r="T580" i="6"/>
  <c r="P580" i="6"/>
  <c r="O580" i="6"/>
  <c r="U579" i="6"/>
  <c r="S579" i="6"/>
  <c r="R579" i="6"/>
  <c r="Q579" i="6"/>
  <c r="T579" i="6" s="1"/>
  <c r="U578" i="6"/>
  <c r="S578" i="6"/>
  <c r="R578" i="6"/>
  <c r="Q578" i="6"/>
  <c r="S577" i="6"/>
  <c r="R577" i="6"/>
  <c r="Q577" i="6"/>
  <c r="T577" i="6" s="1"/>
  <c r="N577" i="6"/>
  <c r="M577" i="6"/>
  <c r="L577" i="6"/>
  <c r="O577" i="6" s="1"/>
  <c r="J575" i="6"/>
  <c r="I575" i="6"/>
  <c r="K575" i="6" s="1"/>
  <c r="U563" i="6"/>
  <c r="T563" i="6"/>
  <c r="N563" i="6"/>
  <c r="N561" i="6" s="1"/>
  <c r="M563" i="6"/>
  <c r="P563" i="6" s="1"/>
  <c r="L563" i="6"/>
  <c r="O563" i="6" s="1"/>
  <c r="U562" i="6"/>
  <c r="T562" i="6"/>
  <c r="P562" i="6"/>
  <c r="O562" i="6"/>
  <c r="S561" i="6"/>
  <c r="R561" i="6"/>
  <c r="U561" i="6" s="1"/>
  <c r="Q561" i="6"/>
  <c r="T561" i="6" s="1"/>
  <c r="U560" i="6"/>
  <c r="T560" i="6"/>
  <c r="N560" i="6"/>
  <c r="N558" i="6" s="1"/>
  <c r="M560" i="6"/>
  <c r="L560" i="6"/>
  <c r="U559" i="6"/>
  <c r="T559" i="6"/>
  <c r="P559" i="6"/>
  <c r="O559" i="6"/>
  <c r="U558" i="6"/>
  <c r="T558" i="6"/>
  <c r="S558" i="6"/>
  <c r="R558" i="6"/>
  <c r="Q558" i="6"/>
  <c r="S557" i="6"/>
  <c r="R557" i="6"/>
  <c r="U557" i="6" s="1"/>
  <c r="Q557" i="6"/>
  <c r="T557" i="6" s="1"/>
  <c r="S556" i="6"/>
  <c r="S555" i="6" s="1"/>
  <c r="R556" i="6"/>
  <c r="Q556" i="6"/>
  <c r="Q555" i="6" s="1"/>
  <c r="T555" i="6" s="1"/>
  <c r="P556" i="6"/>
  <c r="N556" i="6"/>
  <c r="M556" i="6"/>
  <c r="L556" i="6"/>
  <c r="O556" i="6" s="1"/>
  <c r="J554" i="6"/>
  <c r="I554" i="6"/>
  <c r="K554" i="6" s="1"/>
  <c r="U542" i="6"/>
  <c r="T542" i="6"/>
  <c r="N542" i="6"/>
  <c r="N540" i="6" s="1"/>
  <c r="M542" i="6"/>
  <c r="L542" i="6"/>
  <c r="L540" i="6" s="1"/>
  <c r="O540" i="6" s="1"/>
  <c r="U541" i="6"/>
  <c r="T541" i="6"/>
  <c r="P541" i="6"/>
  <c r="O541" i="6"/>
  <c r="S540" i="6"/>
  <c r="R540" i="6"/>
  <c r="U540" i="6" s="1"/>
  <c r="Q540" i="6"/>
  <c r="T540" i="6" s="1"/>
  <c r="U539" i="6"/>
  <c r="T539" i="6"/>
  <c r="N539" i="6"/>
  <c r="N537" i="6" s="1"/>
  <c r="M539" i="6"/>
  <c r="M537" i="6" s="1"/>
  <c r="P537" i="6" s="1"/>
  <c r="L539" i="6"/>
  <c r="O539" i="6" s="1"/>
  <c r="U538" i="6"/>
  <c r="T538" i="6"/>
  <c r="P538" i="6"/>
  <c r="O538" i="6"/>
  <c r="S537" i="6"/>
  <c r="R537" i="6"/>
  <c r="U537" i="6" s="1"/>
  <c r="Q537" i="6"/>
  <c r="T537" i="6" s="1"/>
  <c r="S536" i="6"/>
  <c r="R536" i="6"/>
  <c r="U536" i="6" s="1"/>
  <c r="Q536" i="6"/>
  <c r="T536" i="6" s="1"/>
  <c r="T535" i="6"/>
  <c r="S535" i="6"/>
  <c r="R535" i="6"/>
  <c r="Q535" i="6"/>
  <c r="N535" i="6"/>
  <c r="M535" i="6"/>
  <c r="P535" i="6" s="1"/>
  <c r="L535" i="6"/>
  <c r="O535" i="6" s="1"/>
  <c r="S534" i="6"/>
  <c r="J533" i="6"/>
  <c r="I533" i="6"/>
  <c r="K533" i="6" s="1"/>
  <c r="K524" i="6"/>
  <c r="K523" i="6"/>
  <c r="U521" i="6"/>
  <c r="T521" i="6"/>
  <c r="N521" i="6"/>
  <c r="N519" i="6" s="1"/>
  <c r="M521" i="6"/>
  <c r="P521" i="6" s="1"/>
  <c r="L521" i="6"/>
  <c r="O521" i="6" s="1"/>
  <c r="U520" i="6"/>
  <c r="T520" i="6"/>
  <c r="P520" i="6"/>
  <c r="O520" i="6"/>
  <c r="S519" i="6"/>
  <c r="R519" i="6"/>
  <c r="U519" i="6" s="1"/>
  <c r="Q519" i="6"/>
  <c r="T519" i="6" s="1"/>
  <c r="U518" i="6"/>
  <c r="T518" i="6"/>
  <c r="N518" i="6"/>
  <c r="N516" i="6" s="1"/>
  <c r="M518" i="6"/>
  <c r="M516" i="6" s="1"/>
  <c r="P516" i="6" s="1"/>
  <c r="L518" i="6"/>
  <c r="O518" i="6" s="1"/>
  <c r="U517" i="6"/>
  <c r="T517" i="6"/>
  <c r="P517" i="6"/>
  <c r="O517" i="6"/>
  <c r="S516" i="6"/>
  <c r="R516" i="6"/>
  <c r="U516" i="6" s="1"/>
  <c r="Q516" i="6"/>
  <c r="T516" i="6" s="1"/>
  <c r="S515" i="6"/>
  <c r="R515" i="6"/>
  <c r="U515" i="6" s="1"/>
  <c r="Q515" i="6"/>
  <c r="T515" i="6" s="1"/>
  <c r="S514" i="6"/>
  <c r="S513" i="6" s="1"/>
  <c r="R514" i="6"/>
  <c r="U514" i="6" s="1"/>
  <c r="Q514" i="6"/>
  <c r="N514" i="6"/>
  <c r="M514" i="6"/>
  <c r="P514" i="6" s="1"/>
  <c r="L514" i="6"/>
  <c r="O514" i="6" s="1"/>
  <c r="R513" i="6"/>
  <c r="U513" i="6" s="1"/>
  <c r="K512" i="6"/>
  <c r="J512" i="6"/>
  <c r="I512" i="6"/>
  <c r="I509" i="6"/>
  <c r="K509" i="6" s="1"/>
  <c r="K508" i="6"/>
  <c r="I507" i="6"/>
  <c r="K507" i="6" s="1"/>
  <c r="I506" i="6"/>
  <c r="K506" i="6" s="1"/>
  <c r="I505" i="6"/>
  <c r="K505" i="6" s="1"/>
  <c r="I504" i="6"/>
  <c r="K504" i="6" s="1"/>
  <c r="I503" i="6"/>
  <c r="K503" i="6" s="1"/>
  <c r="U501" i="6"/>
  <c r="T501" i="6"/>
  <c r="N501" i="6"/>
  <c r="N499" i="6" s="1"/>
  <c r="M501" i="6"/>
  <c r="M499" i="6" s="1"/>
  <c r="P499" i="6" s="1"/>
  <c r="L501" i="6"/>
  <c r="L499" i="6" s="1"/>
  <c r="O499" i="6" s="1"/>
  <c r="U500" i="6"/>
  <c r="T500" i="6"/>
  <c r="P500" i="6"/>
  <c r="O500" i="6"/>
  <c r="T499" i="6"/>
  <c r="S499" i="6"/>
  <c r="R499" i="6"/>
  <c r="U499" i="6" s="1"/>
  <c r="Q499" i="6"/>
  <c r="S498" i="6"/>
  <c r="S495" i="6" s="1"/>
  <c r="R498" i="6"/>
  <c r="U498" i="6" s="1"/>
  <c r="Q498" i="6"/>
  <c r="N498" i="6"/>
  <c r="M498" i="6"/>
  <c r="L498" i="6"/>
  <c r="L496" i="6" s="1"/>
  <c r="O496" i="6" s="1"/>
  <c r="U497" i="6"/>
  <c r="T497" i="6"/>
  <c r="P497" i="6"/>
  <c r="O497" i="6"/>
  <c r="S494" i="6"/>
  <c r="R494" i="6"/>
  <c r="U494" i="6" s="1"/>
  <c r="Q494" i="6"/>
  <c r="T494" i="6" s="1"/>
  <c r="N494" i="6"/>
  <c r="M494" i="6"/>
  <c r="L494" i="6"/>
  <c r="O494" i="6" s="1"/>
  <c r="J485" i="6"/>
  <c r="I485" i="6"/>
  <c r="K485" i="6" s="1"/>
  <c r="K484" i="6"/>
  <c r="J484" i="6"/>
  <c r="I484" i="6"/>
  <c r="J483" i="6"/>
  <c r="J482" i="6"/>
  <c r="K477" i="6"/>
  <c r="J477" i="6"/>
  <c r="K476" i="6"/>
  <c r="J476" i="6"/>
  <c r="K475" i="6"/>
  <c r="J475" i="6"/>
  <c r="J468" i="6"/>
  <c r="J458" i="6" s="1"/>
  <c r="J467" i="6"/>
  <c r="J457" i="6" s="1"/>
  <c r="J456" i="6" s="1"/>
  <c r="J460" i="6"/>
  <c r="J459" i="6"/>
  <c r="I458" i="6"/>
  <c r="K458" i="6" s="1"/>
  <c r="I457" i="6"/>
  <c r="I456" i="6" s="1"/>
  <c r="J447" i="6"/>
  <c r="J446" i="6"/>
  <c r="J441" i="6"/>
  <c r="I441" i="6"/>
  <c r="J440" i="6"/>
  <c r="I440" i="6"/>
  <c r="I423" i="6" s="1"/>
  <c r="I412" i="6" s="1"/>
  <c r="J433" i="6"/>
  <c r="I433" i="6"/>
  <c r="J432" i="6"/>
  <c r="I432" i="6"/>
  <c r="K432" i="6" s="1"/>
  <c r="J425" i="6"/>
  <c r="I425" i="6"/>
  <c r="J424" i="6"/>
  <c r="I424" i="6"/>
  <c r="K424" i="6" s="1"/>
  <c r="U421" i="6"/>
  <c r="T421" i="6"/>
  <c r="N421" i="6"/>
  <c r="N419" i="6" s="1"/>
  <c r="M421" i="6"/>
  <c r="P421" i="6" s="1"/>
  <c r="L421" i="6"/>
  <c r="O421" i="6" s="1"/>
  <c r="U420" i="6"/>
  <c r="T420" i="6"/>
  <c r="P420" i="6"/>
  <c r="O420" i="6"/>
  <c r="U419" i="6"/>
  <c r="S419" i="6"/>
  <c r="R419" i="6"/>
  <c r="Q419" i="6"/>
  <c r="T419" i="6" s="1"/>
  <c r="S418" i="6"/>
  <c r="S415" i="6" s="1"/>
  <c r="R418" i="6"/>
  <c r="Q418" i="6"/>
  <c r="N418" i="6"/>
  <c r="N416" i="6" s="1"/>
  <c r="M418" i="6"/>
  <c r="M416" i="6" s="1"/>
  <c r="L418" i="6"/>
  <c r="L416" i="6" s="1"/>
  <c r="U417" i="6"/>
  <c r="T417" i="6"/>
  <c r="P417" i="6"/>
  <c r="O417" i="6"/>
  <c r="S414" i="6"/>
  <c r="R414" i="6"/>
  <c r="U414" i="6" s="1"/>
  <c r="Q414" i="6"/>
  <c r="T414" i="6" s="1"/>
  <c r="N414" i="6"/>
  <c r="M414" i="6"/>
  <c r="L414" i="6"/>
  <c r="U400" i="6"/>
  <c r="T400" i="6"/>
  <c r="P400" i="6"/>
  <c r="O400" i="6"/>
  <c r="U399" i="6"/>
  <c r="T399" i="6"/>
  <c r="P399" i="6"/>
  <c r="O399" i="6"/>
  <c r="T398" i="6"/>
  <c r="S398" i="6"/>
  <c r="R398" i="6"/>
  <c r="U398" i="6" s="1"/>
  <c r="Q398" i="6"/>
  <c r="N398" i="6"/>
  <c r="M398" i="6"/>
  <c r="P398" i="6" s="1"/>
  <c r="L398" i="6"/>
  <c r="O398" i="6" s="1"/>
  <c r="S397" i="6"/>
  <c r="S395" i="6" s="1"/>
  <c r="R397" i="6"/>
  <c r="Q397" i="6"/>
  <c r="Q394" i="6" s="1"/>
  <c r="P397" i="6"/>
  <c r="O397" i="6"/>
  <c r="U396" i="6"/>
  <c r="T396" i="6"/>
  <c r="P396" i="6"/>
  <c r="O396" i="6"/>
  <c r="N395" i="6"/>
  <c r="M395" i="6"/>
  <c r="P395" i="6" s="1"/>
  <c r="L395" i="6"/>
  <c r="O395" i="6" s="1"/>
  <c r="N394" i="6"/>
  <c r="M394" i="6"/>
  <c r="P394" i="6" s="1"/>
  <c r="L394" i="6"/>
  <c r="O394" i="6" s="1"/>
  <c r="S393" i="6"/>
  <c r="R393" i="6"/>
  <c r="Q393" i="6"/>
  <c r="T393" i="6" s="1"/>
  <c r="N393" i="6"/>
  <c r="M393" i="6"/>
  <c r="P393" i="6" s="1"/>
  <c r="L393" i="6"/>
  <c r="O393" i="6" s="1"/>
  <c r="K391" i="6"/>
  <c r="J391" i="6"/>
  <c r="I391" i="6"/>
  <c r="J388" i="6"/>
  <c r="I388" i="6"/>
  <c r="K388" i="6" s="1"/>
  <c r="K387" i="6"/>
  <c r="J387" i="6"/>
  <c r="J386" i="6"/>
  <c r="I386" i="6"/>
  <c r="K385" i="6"/>
  <c r="J385" i="6"/>
  <c r="U383" i="6"/>
  <c r="T383" i="6"/>
  <c r="N383" i="6"/>
  <c r="N381" i="6" s="1"/>
  <c r="M383" i="6"/>
  <c r="L383" i="6"/>
  <c r="U382" i="6"/>
  <c r="T382" i="6"/>
  <c r="P382" i="6"/>
  <c r="O382" i="6"/>
  <c r="S381" i="6"/>
  <c r="R381" i="6"/>
  <c r="U381" i="6" s="1"/>
  <c r="Q381" i="6"/>
  <c r="T381" i="6" s="1"/>
  <c r="S380" i="6"/>
  <c r="S377" i="6" s="1"/>
  <c r="R380" i="6"/>
  <c r="R378" i="6" s="1"/>
  <c r="Q380" i="6"/>
  <c r="Q378" i="6" s="1"/>
  <c r="N380" i="6"/>
  <c r="M380" i="6"/>
  <c r="L380" i="6"/>
  <c r="U379" i="6"/>
  <c r="T379" i="6"/>
  <c r="P379" i="6"/>
  <c r="O379" i="6"/>
  <c r="U376" i="6"/>
  <c r="S376" i="6"/>
  <c r="R376" i="6"/>
  <c r="Q376" i="6"/>
  <c r="T376" i="6" s="1"/>
  <c r="N376" i="6"/>
  <c r="M376" i="6"/>
  <c r="P376" i="6" s="1"/>
  <c r="L376" i="6"/>
  <c r="O376" i="6" s="1"/>
  <c r="D373" i="6"/>
  <c r="K372" i="6"/>
  <c r="J372" i="6"/>
  <c r="J371" i="6"/>
  <c r="J365" i="6" s="1"/>
  <c r="I371" i="6"/>
  <c r="K370" i="6"/>
  <c r="J370" i="6"/>
  <c r="J369" i="6"/>
  <c r="I369" i="6"/>
  <c r="J368" i="6"/>
  <c r="I368" i="6"/>
  <c r="K367" i="6"/>
  <c r="J367" i="6"/>
  <c r="U364" i="6"/>
  <c r="T364" i="6"/>
  <c r="N364" i="6"/>
  <c r="M364" i="6"/>
  <c r="M362" i="6" s="1"/>
  <c r="P362" i="6" s="1"/>
  <c r="L364" i="6"/>
  <c r="L362" i="6" s="1"/>
  <c r="O362" i="6" s="1"/>
  <c r="U363" i="6"/>
  <c r="T363" i="6"/>
  <c r="P363" i="6"/>
  <c r="O363" i="6"/>
  <c r="U362" i="6"/>
  <c r="T362" i="6"/>
  <c r="S362" i="6"/>
  <c r="R362" i="6"/>
  <c r="Q362" i="6"/>
  <c r="U361" i="6"/>
  <c r="T361" i="6"/>
  <c r="N361" i="6"/>
  <c r="N359" i="6" s="1"/>
  <c r="M361" i="6"/>
  <c r="M359" i="6" s="1"/>
  <c r="L361" i="6"/>
  <c r="L359" i="6" s="1"/>
  <c r="U360" i="6"/>
  <c r="T360" i="6"/>
  <c r="P360" i="6"/>
  <c r="O360" i="6"/>
  <c r="S359" i="6"/>
  <c r="R359" i="6"/>
  <c r="U359" i="6" s="1"/>
  <c r="Q359" i="6"/>
  <c r="T359" i="6" s="1"/>
  <c r="S358" i="6"/>
  <c r="R358" i="6"/>
  <c r="U358" i="6" s="1"/>
  <c r="Q358" i="6"/>
  <c r="T358" i="6" s="1"/>
  <c r="S357" i="6"/>
  <c r="R357" i="6"/>
  <c r="U357" i="6" s="1"/>
  <c r="Q357" i="6"/>
  <c r="T357" i="6" s="1"/>
  <c r="O357" i="6"/>
  <c r="N357" i="6"/>
  <c r="M357" i="6"/>
  <c r="P357" i="6" s="1"/>
  <c r="L357" i="6"/>
  <c r="Q356" i="6"/>
  <c r="T356" i="6" s="1"/>
  <c r="D354" i="6"/>
  <c r="J353" i="6"/>
  <c r="J352" i="6"/>
  <c r="D350" i="6"/>
  <c r="J349" i="6"/>
  <c r="J348" i="6"/>
  <c r="J347" i="6"/>
  <c r="J346" i="6"/>
  <c r="I346" i="6"/>
  <c r="J344" i="6"/>
  <c r="I344" i="6"/>
  <c r="I332" i="6" s="1"/>
  <c r="U341" i="6"/>
  <c r="T341" i="6"/>
  <c r="N341" i="6"/>
  <c r="N339" i="6" s="1"/>
  <c r="M341" i="6"/>
  <c r="P341" i="6" s="1"/>
  <c r="L341" i="6"/>
  <c r="O341" i="6" s="1"/>
  <c r="U340" i="6"/>
  <c r="T340" i="6"/>
  <c r="P340" i="6"/>
  <c r="O340" i="6"/>
  <c r="S339" i="6"/>
  <c r="R339" i="6"/>
  <c r="U339" i="6" s="1"/>
  <c r="Q339" i="6"/>
  <c r="T339" i="6" s="1"/>
  <c r="U338" i="6"/>
  <c r="T338" i="6"/>
  <c r="N338" i="6"/>
  <c r="N336" i="6" s="1"/>
  <c r="M338" i="6"/>
  <c r="L338" i="6"/>
  <c r="U337" i="6"/>
  <c r="T337" i="6"/>
  <c r="P337" i="6"/>
  <c r="O337" i="6"/>
  <c r="T336" i="6"/>
  <c r="S336" i="6"/>
  <c r="R336" i="6"/>
  <c r="U336" i="6" s="1"/>
  <c r="Q336" i="6"/>
  <c r="S335" i="6"/>
  <c r="S333" i="6" s="1"/>
  <c r="R335" i="6"/>
  <c r="U335" i="6" s="1"/>
  <c r="Q335" i="6"/>
  <c r="T335" i="6" s="1"/>
  <c r="S334" i="6"/>
  <c r="R334" i="6"/>
  <c r="Q334" i="6"/>
  <c r="N334" i="6"/>
  <c r="M334" i="6"/>
  <c r="P334" i="6" s="1"/>
  <c r="L334" i="6"/>
  <c r="O334" i="6" s="1"/>
  <c r="I330" i="6"/>
  <c r="K330" i="6" s="1"/>
  <c r="U328" i="6"/>
  <c r="T328" i="6"/>
  <c r="N328" i="6"/>
  <c r="M328" i="6"/>
  <c r="P328" i="6" s="1"/>
  <c r="L328" i="6"/>
  <c r="O328" i="6" s="1"/>
  <c r="U327" i="6"/>
  <c r="T327" i="6"/>
  <c r="P327" i="6"/>
  <c r="O327" i="6"/>
  <c r="S326" i="6"/>
  <c r="R326" i="6"/>
  <c r="U326" i="6" s="1"/>
  <c r="Q326" i="6"/>
  <c r="T326" i="6" s="1"/>
  <c r="U325" i="6"/>
  <c r="T325" i="6"/>
  <c r="N325" i="6"/>
  <c r="N323" i="6" s="1"/>
  <c r="M325" i="6"/>
  <c r="P325" i="6" s="1"/>
  <c r="L325" i="6"/>
  <c r="L322" i="6" s="1"/>
  <c r="U324" i="6"/>
  <c r="T324" i="6"/>
  <c r="P324" i="6"/>
  <c r="O324" i="6"/>
  <c r="S323" i="6"/>
  <c r="R323" i="6"/>
  <c r="U323" i="6" s="1"/>
  <c r="Q323" i="6"/>
  <c r="T323" i="6" s="1"/>
  <c r="S322" i="6"/>
  <c r="R322" i="6"/>
  <c r="R320" i="6" s="1"/>
  <c r="U320" i="6" s="1"/>
  <c r="Q322" i="6"/>
  <c r="T322" i="6" s="1"/>
  <c r="S321" i="6"/>
  <c r="S320" i="6" s="1"/>
  <c r="R321" i="6"/>
  <c r="U321" i="6" s="1"/>
  <c r="Q321" i="6"/>
  <c r="T321" i="6" s="1"/>
  <c r="O321" i="6"/>
  <c r="N321" i="6"/>
  <c r="M321" i="6"/>
  <c r="P321" i="6" s="1"/>
  <c r="L321" i="6"/>
  <c r="J319" i="6"/>
  <c r="I314" i="6"/>
  <c r="K314" i="6" s="1"/>
  <c r="U311" i="6"/>
  <c r="T311" i="6"/>
  <c r="N311" i="6"/>
  <c r="M311" i="6"/>
  <c r="P311" i="6" s="1"/>
  <c r="L311" i="6"/>
  <c r="U310" i="6"/>
  <c r="T310" i="6"/>
  <c r="P310" i="6"/>
  <c r="O310" i="6"/>
  <c r="S309" i="6"/>
  <c r="R309" i="6"/>
  <c r="U309" i="6" s="1"/>
  <c r="Q309" i="6"/>
  <c r="T309" i="6" s="1"/>
  <c r="S308" i="6"/>
  <c r="S306" i="6" s="1"/>
  <c r="R308" i="6"/>
  <c r="R306" i="6" s="1"/>
  <c r="Q308" i="6"/>
  <c r="N308" i="6"/>
  <c r="N306" i="6" s="1"/>
  <c r="M308" i="6"/>
  <c r="M306" i="6" s="1"/>
  <c r="L308" i="6"/>
  <c r="U307" i="6"/>
  <c r="T307" i="6"/>
  <c r="P307" i="6"/>
  <c r="O307" i="6"/>
  <c r="S304" i="6"/>
  <c r="R304" i="6"/>
  <c r="U304" i="6" s="1"/>
  <c r="Q304" i="6"/>
  <c r="T304" i="6" s="1"/>
  <c r="N304" i="6"/>
  <c r="M304" i="6"/>
  <c r="L304" i="6"/>
  <c r="O304" i="6" s="1"/>
  <c r="J302" i="6"/>
  <c r="I296" i="6"/>
  <c r="K296" i="6" s="1"/>
  <c r="I295" i="6"/>
  <c r="K295" i="6" s="1"/>
  <c r="J293" i="6"/>
  <c r="J280" i="6" s="1"/>
  <c r="I293" i="6"/>
  <c r="K293" i="6" s="1"/>
  <c r="I292" i="6"/>
  <c r="U290" i="6"/>
  <c r="T290" i="6"/>
  <c r="N290" i="6"/>
  <c r="N288" i="6" s="1"/>
  <c r="M290" i="6"/>
  <c r="L290" i="6"/>
  <c r="U289" i="6"/>
  <c r="T289" i="6"/>
  <c r="P289" i="6"/>
  <c r="O289" i="6"/>
  <c r="U288" i="6"/>
  <c r="S288" i="6"/>
  <c r="R288" i="6"/>
  <c r="Q288" i="6"/>
  <c r="T288" i="6" s="1"/>
  <c r="U287" i="6"/>
  <c r="T287" i="6"/>
  <c r="N287" i="6"/>
  <c r="N285" i="6" s="1"/>
  <c r="M287" i="6"/>
  <c r="M285" i="6" s="1"/>
  <c r="L287" i="6"/>
  <c r="U286" i="6"/>
  <c r="T286" i="6"/>
  <c r="P286" i="6"/>
  <c r="O286" i="6"/>
  <c r="S285" i="6"/>
  <c r="R285" i="6"/>
  <c r="U285" i="6" s="1"/>
  <c r="Q285" i="6"/>
  <c r="T285" i="6" s="1"/>
  <c r="U284" i="6"/>
  <c r="S284" i="6"/>
  <c r="R284" i="6"/>
  <c r="Q284" i="6"/>
  <c r="T284" i="6" s="1"/>
  <c r="T283" i="6"/>
  <c r="S283" i="6"/>
  <c r="S282" i="6" s="1"/>
  <c r="R283" i="6"/>
  <c r="U283" i="6" s="1"/>
  <c r="Q283" i="6"/>
  <c r="Q282" i="6" s="1"/>
  <c r="T282" i="6" s="1"/>
  <c r="N283" i="6"/>
  <c r="M283" i="6"/>
  <c r="L283" i="6"/>
  <c r="O283" i="6" s="1"/>
  <c r="R282" i="6"/>
  <c r="U282" i="6" s="1"/>
  <c r="J281" i="6"/>
  <c r="I276" i="6"/>
  <c r="K276" i="6" s="1"/>
  <c r="U274" i="6"/>
  <c r="T274" i="6"/>
  <c r="N274" i="6"/>
  <c r="N272" i="6" s="1"/>
  <c r="M274" i="6"/>
  <c r="P274" i="6" s="1"/>
  <c r="L274" i="6"/>
  <c r="L272" i="6" s="1"/>
  <c r="O272" i="6" s="1"/>
  <c r="U273" i="6"/>
  <c r="T273" i="6"/>
  <c r="P273" i="6"/>
  <c r="O273" i="6"/>
  <c r="S272" i="6"/>
  <c r="R272" i="6"/>
  <c r="U272" i="6" s="1"/>
  <c r="Q272" i="6"/>
  <c r="T272" i="6" s="1"/>
  <c r="S271" i="6"/>
  <c r="R271" i="6"/>
  <c r="R269" i="6" s="1"/>
  <c r="Q271" i="6"/>
  <c r="Q269" i="6" s="1"/>
  <c r="N271" i="6"/>
  <c r="N269" i="6" s="1"/>
  <c r="M271" i="6"/>
  <c r="L271" i="6"/>
  <c r="L269" i="6" s="1"/>
  <c r="U270" i="6"/>
  <c r="T270" i="6"/>
  <c r="P270" i="6"/>
  <c r="O270" i="6"/>
  <c r="S267" i="6"/>
  <c r="R267" i="6"/>
  <c r="Q267" i="6"/>
  <c r="T267" i="6" s="1"/>
  <c r="N267" i="6"/>
  <c r="M267" i="6"/>
  <c r="L267" i="6"/>
  <c r="J265" i="6"/>
  <c r="K263" i="6"/>
  <c r="K262" i="6"/>
  <c r="I260" i="6"/>
  <c r="L258" i="6"/>
  <c r="L257" i="6"/>
  <c r="L256" i="6"/>
  <c r="L255" i="6"/>
  <c r="P254" i="6"/>
  <c r="N254" i="6"/>
  <c r="J253" i="6"/>
  <c r="K252" i="6"/>
  <c r="K251" i="6"/>
  <c r="I249" i="6"/>
  <c r="L247" i="6"/>
  <c r="L246" i="6"/>
  <c r="L245" i="6"/>
  <c r="L244" i="6"/>
  <c r="P243" i="6"/>
  <c r="N243" i="6"/>
  <c r="J242" i="6"/>
  <c r="J231" i="6" s="1"/>
  <c r="J185" i="6" s="1"/>
  <c r="K241" i="6"/>
  <c r="J241" i="6"/>
  <c r="I241" i="6"/>
  <c r="J240" i="6"/>
  <c r="I240" i="6"/>
  <c r="K240" i="6" s="1"/>
  <c r="J238" i="6"/>
  <c r="N236" i="6"/>
  <c r="N235" i="6"/>
  <c r="N234" i="6"/>
  <c r="N233" i="6"/>
  <c r="I230" i="6"/>
  <c r="K230" i="6" s="1"/>
  <c r="I229" i="6"/>
  <c r="I228" i="6"/>
  <c r="K228" i="6" s="1"/>
  <c r="L225" i="6"/>
  <c r="L224" i="6"/>
  <c r="L223" i="6"/>
  <c r="P222" i="6"/>
  <c r="N222" i="6"/>
  <c r="J221" i="6"/>
  <c r="I220" i="6"/>
  <c r="I219" i="6"/>
  <c r="K219" i="6" s="1"/>
  <c r="Q217" i="6"/>
  <c r="Q214" i="6" s="1"/>
  <c r="T214" i="6" s="1"/>
  <c r="L217" i="6"/>
  <c r="L216" i="6"/>
  <c r="L215" i="6"/>
  <c r="U214" i="6"/>
  <c r="S214" i="6"/>
  <c r="P214" i="6"/>
  <c r="N214" i="6"/>
  <c r="J213" i="6"/>
  <c r="I212" i="6"/>
  <c r="K212" i="6" s="1"/>
  <c r="I211" i="6"/>
  <c r="K211" i="6" s="1"/>
  <c r="I209" i="6"/>
  <c r="K209" i="6" s="1"/>
  <c r="L207" i="6"/>
  <c r="Q206" i="6"/>
  <c r="Q203" i="6" s="1"/>
  <c r="T203" i="6" s="1"/>
  <c r="L206" i="6"/>
  <c r="L205" i="6"/>
  <c r="L204" i="6"/>
  <c r="U203" i="6"/>
  <c r="S203" i="6"/>
  <c r="P203" i="6"/>
  <c r="N203" i="6"/>
  <c r="J202" i="6"/>
  <c r="J199" i="6"/>
  <c r="I198" i="6"/>
  <c r="K198" i="6" s="1"/>
  <c r="P196" i="6"/>
  <c r="L196" i="6"/>
  <c r="O196" i="6" s="1"/>
  <c r="J195" i="6"/>
  <c r="S194" i="6"/>
  <c r="S192" i="6" s="1"/>
  <c r="R194" i="6"/>
  <c r="U194" i="6" s="1"/>
  <c r="Q194" i="6"/>
  <c r="T194" i="6" s="1"/>
  <c r="N194" i="6"/>
  <c r="N192" i="6" s="1"/>
  <c r="M194" i="6"/>
  <c r="M192" i="6" s="1"/>
  <c r="P192" i="6" s="1"/>
  <c r="L194" i="6"/>
  <c r="O194" i="6" s="1"/>
  <c r="U193" i="6"/>
  <c r="T193" i="6"/>
  <c r="P193" i="6"/>
  <c r="O193" i="6"/>
  <c r="S191" i="6"/>
  <c r="S189" i="6" s="1"/>
  <c r="R191" i="6"/>
  <c r="Q191" i="6"/>
  <c r="N191" i="6"/>
  <c r="M191" i="6"/>
  <c r="M189" i="6" s="1"/>
  <c r="L191" i="6"/>
  <c r="L189" i="6" s="1"/>
  <c r="U190" i="6"/>
  <c r="T190" i="6"/>
  <c r="P190" i="6"/>
  <c r="O190" i="6"/>
  <c r="S187" i="6"/>
  <c r="R187" i="6"/>
  <c r="Q187" i="6"/>
  <c r="T187" i="6" s="1"/>
  <c r="P187" i="6"/>
  <c r="N187" i="6"/>
  <c r="M187" i="6"/>
  <c r="L187" i="6"/>
  <c r="O187" i="6" s="1"/>
  <c r="K184" i="6"/>
  <c r="I183" i="6"/>
  <c r="U181" i="6"/>
  <c r="T181" i="6"/>
  <c r="N181" i="6"/>
  <c r="N179" i="6" s="1"/>
  <c r="M181" i="6"/>
  <c r="P181" i="6" s="1"/>
  <c r="L181" i="6"/>
  <c r="L179" i="6" s="1"/>
  <c r="O179" i="6" s="1"/>
  <c r="U180" i="6"/>
  <c r="T180" i="6"/>
  <c r="P180" i="6"/>
  <c r="O180" i="6"/>
  <c r="S179" i="6"/>
  <c r="R179" i="6"/>
  <c r="U179" i="6" s="1"/>
  <c r="Q179" i="6"/>
  <c r="T179" i="6" s="1"/>
  <c r="S178" i="6"/>
  <c r="S176" i="6" s="1"/>
  <c r="R178" i="6"/>
  <c r="Q178" i="6"/>
  <c r="T178" i="6" s="1"/>
  <c r="N178" i="6"/>
  <c r="M178" i="6"/>
  <c r="M176" i="6" s="1"/>
  <c r="L178" i="6"/>
  <c r="L176" i="6" s="1"/>
  <c r="U177" i="6"/>
  <c r="T177" i="6"/>
  <c r="P177" i="6"/>
  <c r="O177" i="6"/>
  <c r="U174" i="6"/>
  <c r="S174" i="6"/>
  <c r="R174" i="6"/>
  <c r="Q174" i="6"/>
  <c r="N174" i="6"/>
  <c r="M174" i="6"/>
  <c r="P174" i="6" s="1"/>
  <c r="L174" i="6"/>
  <c r="O174" i="6" s="1"/>
  <c r="J172" i="6"/>
  <c r="I167" i="6"/>
  <c r="K167" i="6" s="1"/>
  <c r="U165" i="6"/>
  <c r="T165" i="6"/>
  <c r="N165" i="6"/>
  <c r="N163" i="6" s="1"/>
  <c r="M165" i="6"/>
  <c r="P165" i="6" s="1"/>
  <c r="L165" i="6"/>
  <c r="L163" i="6" s="1"/>
  <c r="O163" i="6" s="1"/>
  <c r="U164" i="6"/>
  <c r="T164" i="6"/>
  <c r="P164" i="6"/>
  <c r="O164" i="6"/>
  <c r="U163" i="6"/>
  <c r="S163" i="6"/>
  <c r="R163" i="6"/>
  <c r="Q163" i="6"/>
  <c r="T163" i="6" s="1"/>
  <c r="S162" i="6"/>
  <c r="S160" i="6" s="1"/>
  <c r="R162" i="6"/>
  <c r="R159" i="6" s="1"/>
  <c r="Q162" i="6"/>
  <c r="Q160" i="6" s="1"/>
  <c r="T160" i="6" s="1"/>
  <c r="N162" i="6"/>
  <c r="N160" i="6" s="1"/>
  <c r="M162" i="6"/>
  <c r="M160" i="6" s="1"/>
  <c r="L162" i="6"/>
  <c r="U161" i="6"/>
  <c r="T161" i="6"/>
  <c r="P161" i="6"/>
  <c r="O161" i="6"/>
  <c r="S158" i="6"/>
  <c r="R158" i="6"/>
  <c r="U158" i="6" s="1"/>
  <c r="Q158" i="6"/>
  <c r="T158" i="6" s="1"/>
  <c r="P158" i="6"/>
  <c r="N158" i="6"/>
  <c r="M158" i="6"/>
  <c r="L158" i="6"/>
  <c r="O158" i="6" s="1"/>
  <c r="J156" i="6"/>
  <c r="I154" i="6"/>
  <c r="K154" i="6" s="1"/>
  <c r="I153" i="6"/>
  <c r="K153" i="6" s="1"/>
  <c r="I152" i="6"/>
  <c r="K152" i="6" s="1"/>
  <c r="I151" i="6"/>
  <c r="K151" i="6" s="1"/>
  <c r="I150" i="6"/>
  <c r="K150" i="6" s="1"/>
  <c r="S147" i="6"/>
  <c r="S145" i="6" s="1"/>
  <c r="R147" i="6"/>
  <c r="U147" i="6" s="1"/>
  <c r="Q147" i="6"/>
  <c r="Q145" i="6" s="1"/>
  <c r="T145" i="6" s="1"/>
  <c r="N147" i="6"/>
  <c r="N145" i="6" s="1"/>
  <c r="M147" i="6"/>
  <c r="P147" i="6" s="1"/>
  <c r="L147" i="6"/>
  <c r="O147" i="6" s="1"/>
  <c r="U146" i="6"/>
  <c r="T146" i="6"/>
  <c r="P146" i="6"/>
  <c r="O146" i="6"/>
  <c r="S144" i="6"/>
  <c r="S142" i="6" s="1"/>
  <c r="R144" i="6"/>
  <c r="U144" i="6" s="1"/>
  <c r="Q144" i="6"/>
  <c r="Q142" i="6" s="1"/>
  <c r="N144" i="6"/>
  <c r="M144" i="6"/>
  <c r="M142" i="6" s="1"/>
  <c r="L144" i="6"/>
  <c r="U143" i="6"/>
  <c r="T143" i="6"/>
  <c r="P143" i="6"/>
  <c r="O143" i="6"/>
  <c r="S140" i="6"/>
  <c r="R140" i="6"/>
  <c r="U140" i="6" s="1"/>
  <c r="Q140" i="6"/>
  <c r="T140" i="6" s="1"/>
  <c r="N140" i="6"/>
  <c r="M140" i="6"/>
  <c r="P140" i="6" s="1"/>
  <c r="L140" i="6"/>
  <c r="O140" i="6" s="1"/>
  <c r="J138" i="6"/>
  <c r="J137" i="6"/>
  <c r="J136" i="6"/>
  <c r="I130" i="6"/>
  <c r="K130" i="6" s="1"/>
  <c r="I129" i="6"/>
  <c r="K129" i="6" s="1"/>
  <c r="I128" i="6"/>
  <c r="K128" i="6" s="1"/>
  <c r="I127" i="6"/>
  <c r="K127" i="6" s="1"/>
  <c r="S125" i="6"/>
  <c r="S123" i="6" s="1"/>
  <c r="R125" i="6"/>
  <c r="U125" i="6" s="1"/>
  <c r="Q125" i="6"/>
  <c r="N125" i="6"/>
  <c r="N123" i="6" s="1"/>
  <c r="M125" i="6"/>
  <c r="P125" i="6" s="1"/>
  <c r="L125" i="6"/>
  <c r="O125" i="6" s="1"/>
  <c r="U124" i="6"/>
  <c r="T124" i="6"/>
  <c r="P124" i="6"/>
  <c r="O124" i="6"/>
  <c r="S122" i="6"/>
  <c r="S120" i="6" s="1"/>
  <c r="R122" i="6"/>
  <c r="Q122" i="6"/>
  <c r="Q120" i="6" s="1"/>
  <c r="N122" i="6"/>
  <c r="M122" i="6"/>
  <c r="M120" i="6" s="1"/>
  <c r="P120" i="6" s="1"/>
  <c r="L122" i="6"/>
  <c r="O122" i="6" s="1"/>
  <c r="U121" i="6"/>
  <c r="T121" i="6"/>
  <c r="P121" i="6"/>
  <c r="O121" i="6"/>
  <c r="S118" i="6"/>
  <c r="R118" i="6"/>
  <c r="U118" i="6" s="1"/>
  <c r="Q118" i="6"/>
  <c r="T118" i="6" s="1"/>
  <c r="N118" i="6"/>
  <c r="M118" i="6"/>
  <c r="L118" i="6"/>
  <c r="O118" i="6" s="1"/>
  <c r="J116" i="6"/>
  <c r="I114" i="6"/>
  <c r="K114" i="6" s="1"/>
  <c r="I113" i="6"/>
  <c r="K113" i="6" s="1"/>
  <c r="I109" i="6"/>
  <c r="K109" i="6" s="1"/>
  <c r="I108" i="6"/>
  <c r="I92" i="6" s="1"/>
  <c r="U102" i="6"/>
  <c r="T102" i="6"/>
  <c r="N102" i="6"/>
  <c r="M102" i="6"/>
  <c r="P102" i="6" s="1"/>
  <c r="L102" i="6"/>
  <c r="L100" i="6" s="1"/>
  <c r="O100" i="6" s="1"/>
  <c r="U101" i="6"/>
  <c r="T101" i="6"/>
  <c r="P101" i="6"/>
  <c r="O101" i="6"/>
  <c r="S100" i="6"/>
  <c r="R100" i="6"/>
  <c r="U100" i="6" s="1"/>
  <c r="Q100" i="6"/>
  <c r="T100" i="6" s="1"/>
  <c r="S99" i="6"/>
  <c r="S96" i="6" s="1"/>
  <c r="S94" i="6" s="1"/>
  <c r="R99" i="6"/>
  <c r="Q99" i="6"/>
  <c r="Q97" i="6" s="1"/>
  <c r="N99" i="6"/>
  <c r="N97" i="6" s="1"/>
  <c r="M99" i="6"/>
  <c r="M97" i="6" s="1"/>
  <c r="L99" i="6"/>
  <c r="L97" i="6" s="1"/>
  <c r="O97" i="6" s="1"/>
  <c r="U98" i="6"/>
  <c r="T98" i="6"/>
  <c r="P98" i="6"/>
  <c r="O98" i="6"/>
  <c r="S95" i="6"/>
  <c r="R95" i="6"/>
  <c r="Q95" i="6"/>
  <c r="O95" i="6"/>
  <c r="N95" i="6"/>
  <c r="M95" i="6"/>
  <c r="P95" i="6" s="1"/>
  <c r="L95" i="6"/>
  <c r="J93" i="6"/>
  <c r="J92" i="6"/>
  <c r="I90" i="6"/>
  <c r="K90" i="6" s="1"/>
  <c r="I89" i="6"/>
  <c r="K89" i="6" s="1"/>
  <c r="I88" i="6"/>
  <c r="K88" i="6" s="1"/>
  <c r="I87" i="6"/>
  <c r="I86" i="6"/>
  <c r="K86" i="6" s="1"/>
  <c r="I85" i="6"/>
  <c r="K85" i="6" s="1"/>
  <c r="I84" i="6"/>
  <c r="J83" i="6"/>
  <c r="J71" i="6" s="1"/>
  <c r="J82" i="6"/>
  <c r="J70" i="6" s="1"/>
  <c r="S80" i="6"/>
  <c r="S78" i="6" s="1"/>
  <c r="R80" i="6"/>
  <c r="R78" i="6" s="1"/>
  <c r="U78" i="6" s="1"/>
  <c r="Q80" i="6"/>
  <c r="Q78" i="6" s="1"/>
  <c r="T78" i="6" s="1"/>
  <c r="N80" i="6"/>
  <c r="N78" i="6" s="1"/>
  <c r="M80" i="6"/>
  <c r="P80" i="6" s="1"/>
  <c r="L80" i="6"/>
  <c r="O80" i="6" s="1"/>
  <c r="U79" i="6"/>
  <c r="T79" i="6"/>
  <c r="P79" i="6"/>
  <c r="O79" i="6"/>
  <c r="S77" i="6"/>
  <c r="S75" i="6" s="1"/>
  <c r="R77" i="6"/>
  <c r="R75" i="6" s="1"/>
  <c r="Q77" i="6"/>
  <c r="Q75" i="6" s="1"/>
  <c r="N77" i="6"/>
  <c r="N75" i="6" s="1"/>
  <c r="M77" i="6"/>
  <c r="M75" i="6" s="1"/>
  <c r="L77" i="6"/>
  <c r="L75" i="6" s="1"/>
  <c r="U76" i="6"/>
  <c r="T76" i="6"/>
  <c r="P76" i="6"/>
  <c r="O76" i="6"/>
  <c r="U73" i="6"/>
  <c r="S73" i="6"/>
  <c r="R73" i="6"/>
  <c r="Q73" i="6"/>
  <c r="T73" i="6" s="1"/>
  <c r="N73" i="6"/>
  <c r="M73" i="6"/>
  <c r="P73" i="6" s="1"/>
  <c r="L73" i="6"/>
  <c r="O73" i="6" s="1"/>
  <c r="U67" i="6"/>
  <c r="T67" i="6"/>
  <c r="N67" i="6"/>
  <c r="N65" i="6" s="1"/>
  <c r="M67" i="6"/>
  <c r="P67" i="6" s="1"/>
  <c r="L67" i="6"/>
  <c r="U66" i="6"/>
  <c r="T66" i="6"/>
  <c r="P66" i="6"/>
  <c r="O66" i="6"/>
  <c r="T65" i="6"/>
  <c r="S65" i="6"/>
  <c r="R65" i="6"/>
  <c r="U65" i="6" s="1"/>
  <c r="Q65" i="6"/>
  <c r="U64" i="6"/>
  <c r="T64" i="6"/>
  <c r="N64" i="6"/>
  <c r="N62" i="6" s="1"/>
  <c r="M64" i="6"/>
  <c r="M62" i="6" s="1"/>
  <c r="L64" i="6"/>
  <c r="L62" i="6" s="1"/>
  <c r="U63" i="6"/>
  <c r="T63" i="6"/>
  <c r="P63" i="6"/>
  <c r="O63" i="6"/>
  <c r="U62" i="6"/>
  <c r="S62" i="6"/>
  <c r="R62" i="6"/>
  <c r="Q62" i="6"/>
  <c r="T62" i="6" s="1"/>
  <c r="T61" i="6"/>
  <c r="S61" i="6"/>
  <c r="R61" i="6"/>
  <c r="U61" i="6" s="1"/>
  <c r="Q61" i="6"/>
  <c r="S60" i="6"/>
  <c r="R60" i="6"/>
  <c r="U60" i="6" s="1"/>
  <c r="Q60" i="6"/>
  <c r="N60" i="6"/>
  <c r="M60" i="6"/>
  <c r="L60" i="6"/>
  <c r="O60" i="6" s="1"/>
  <c r="S59" i="6"/>
  <c r="R59" i="6"/>
  <c r="U59" i="6" s="1"/>
  <c r="U52" i="6"/>
  <c r="T52" i="6"/>
  <c r="N52" i="6"/>
  <c r="N50" i="6" s="1"/>
  <c r="M52" i="6"/>
  <c r="M50" i="6" s="1"/>
  <c r="P50" i="6" s="1"/>
  <c r="L52" i="6"/>
  <c r="L50" i="6" s="1"/>
  <c r="O50" i="6" s="1"/>
  <c r="U51" i="6"/>
  <c r="T51" i="6"/>
  <c r="P51" i="6"/>
  <c r="O51" i="6"/>
  <c r="T50" i="6"/>
  <c r="S50" i="6"/>
  <c r="R50" i="6"/>
  <c r="U50" i="6" s="1"/>
  <c r="Q50" i="6"/>
  <c r="U49" i="6"/>
  <c r="T49" i="6"/>
  <c r="N49" i="6"/>
  <c r="M49" i="6"/>
  <c r="L49" i="6"/>
  <c r="U48" i="6"/>
  <c r="T48" i="6"/>
  <c r="P48" i="6"/>
  <c r="O48" i="6"/>
  <c r="U47" i="6"/>
  <c r="S47" i="6"/>
  <c r="R47" i="6"/>
  <c r="Q47" i="6"/>
  <c r="T47" i="6" s="1"/>
  <c r="S46" i="6"/>
  <c r="R46" i="6"/>
  <c r="U46" i="6" s="1"/>
  <c r="Q46" i="6"/>
  <c r="T46" i="6" s="1"/>
  <c r="S45" i="6"/>
  <c r="R45" i="6"/>
  <c r="R44" i="6" s="1"/>
  <c r="U44" i="6" s="1"/>
  <c r="Q45" i="6"/>
  <c r="T45" i="6" s="1"/>
  <c r="N45" i="6"/>
  <c r="M45" i="6"/>
  <c r="P45" i="6" s="1"/>
  <c r="L45" i="6"/>
  <c r="O45" i="6" s="1"/>
  <c r="Q44" i="6"/>
  <c r="T44" i="6" s="1"/>
  <c r="S25" i="6"/>
  <c r="R25" i="6"/>
  <c r="Q25" i="6"/>
  <c r="T25" i="6" s="1"/>
  <c r="N25" i="6"/>
  <c r="M25" i="6"/>
  <c r="L25" i="6"/>
  <c r="O25" i="6" s="1"/>
  <c r="S22" i="6"/>
  <c r="R22" i="6"/>
  <c r="Q22" i="6"/>
  <c r="T22" i="6" s="1"/>
  <c r="N22" i="6"/>
  <c r="M22" i="6"/>
  <c r="L22" i="6"/>
  <c r="A789" i="5"/>
  <c r="A788" i="5"/>
  <c r="J785" i="5"/>
  <c r="I785" i="5"/>
  <c r="J784" i="5"/>
  <c r="I784" i="5"/>
  <c r="J783" i="5"/>
  <c r="I783" i="5"/>
  <c r="K783" i="5" s="1"/>
  <c r="J782" i="5"/>
  <c r="I782" i="5"/>
  <c r="K782" i="5" s="1"/>
  <c r="J781" i="5"/>
  <c r="I781" i="5"/>
  <c r="J780" i="5"/>
  <c r="I780" i="5"/>
  <c r="J779" i="5"/>
  <c r="I779" i="5"/>
  <c r="J778" i="5"/>
  <c r="I778" i="5"/>
  <c r="H777" i="5"/>
  <c r="I776" i="5"/>
  <c r="I775" i="5"/>
  <c r="I774" i="5"/>
  <c r="I759" i="5" s="1"/>
  <c r="K759" i="5" s="1"/>
  <c r="I772" i="5"/>
  <c r="I758" i="5" s="1"/>
  <c r="K758" i="5" s="1"/>
  <c r="I770" i="5"/>
  <c r="K770" i="5" s="1"/>
  <c r="U768" i="5"/>
  <c r="T768" i="5"/>
  <c r="P768" i="5"/>
  <c r="O768" i="5"/>
  <c r="U767" i="5"/>
  <c r="T767" i="5"/>
  <c r="P767" i="5"/>
  <c r="O767" i="5"/>
  <c r="S766" i="5"/>
  <c r="R766" i="5"/>
  <c r="U766" i="5" s="1"/>
  <c r="Q766" i="5"/>
  <c r="T766" i="5" s="1"/>
  <c r="N766" i="5"/>
  <c r="M766" i="5"/>
  <c r="P766" i="5" s="1"/>
  <c r="L766" i="5"/>
  <c r="O766" i="5" s="1"/>
  <c r="S765" i="5"/>
  <c r="S763" i="5" s="1"/>
  <c r="R765" i="5"/>
  <c r="R763" i="5" s="1"/>
  <c r="U763" i="5" s="1"/>
  <c r="Q765" i="5"/>
  <c r="T765" i="5" s="1"/>
  <c r="P765" i="5"/>
  <c r="O765" i="5"/>
  <c r="U764" i="5"/>
  <c r="T764" i="5"/>
  <c r="P764" i="5"/>
  <c r="O764" i="5"/>
  <c r="N763" i="5"/>
  <c r="M763" i="5"/>
  <c r="P763" i="5" s="1"/>
  <c r="L763" i="5"/>
  <c r="O763" i="5" s="1"/>
  <c r="N762" i="5"/>
  <c r="M762" i="5"/>
  <c r="L762" i="5"/>
  <c r="S761" i="5"/>
  <c r="R761" i="5"/>
  <c r="U761" i="5" s="1"/>
  <c r="Q761" i="5"/>
  <c r="P761" i="5"/>
  <c r="N761" i="5"/>
  <c r="M761" i="5"/>
  <c r="L761" i="5"/>
  <c r="O761" i="5" s="1"/>
  <c r="J759" i="5"/>
  <c r="J758" i="5"/>
  <c r="I755" i="5"/>
  <c r="K755" i="5" s="1"/>
  <c r="I752" i="5"/>
  <c r="K752" i="5" s="1"/>
  <c r="I749" i="5"/>
  <c r="K749" i="5" s="1"/>
  <c r="I746" i="5"/>
  <c r="K746" i="5" s="1"/>
  <c r="I744" i="5"/>
  <c r="K744" i="5" s="1"/>
  <c r="I742" i="5"/>
  <c r="K742" i="5" s="1"/>
  <c r="I740" i="5"/>
  <c r="K740" i="5" s="1"/>
  <c r="U736" i="5"/>
  <c r="T736" i="5"/>
  <c r="P736" i="5"/>
  <c r="O736" i="5"/>
  <c r="U735" i="5"/>
  <c r="T735" i="5"/>
  <c r="P735" i="5"/>
  <c r="O735" i="5"/>
  <c r="S734" i="5"/>
  <c r="R734" i="5"/>
  <c r="U734" i="5" s="1"/>
  <c r="Q734" i="5"/>
  <c r="T734" i="5" s="1"/>
  <c r="P734" i="5"/>
  <c r="N734" i="5"/>
  <c r="M734" i="5"/>
  <c r="L734" i="5"/>
  <c r="O734" i="5" s="1"/>
  <c r="S733" i="5"/>
  <c r="S730" i="5" s="1"/>
  <c r="R733" i="5"/>
  <c r="Q733" i="5"/>
  <c r="Q731" i="5" s="1"/>
  <c r="P733" i="5"/>
  <c r="O733" i="5"/>
  <c r="U732" i="5"/>
  <c r="T732" i="5"/>
  <c r="P732" i="5"/>
  <c r="O732" i="5"/>
  <c r="N731" i="5"/>
  <c r="M731" i="5"/>
  <c r="P731" i="5" s="1"/>
  <c r="L731" i="5"/>
  <c r="O731" i="5" s="1"/>
  <c r="N730" i="5"/>
  <c r="M730" i="5"/>
  <c r="P730" i="5" s="1"/>
  <c r="L730" i="5"/>
  <c r="S729" i="5"/>
  <c r="R729" i="5"/>
  <c r="U729" i="5" s="1"/>
  <c r="Q729" i="5"/>
  <c r="T729" i="5" s="1"/>
  <c r="P729" i="5"/>
  <c r="N729" i="5"/>
  <c r="M729" i="5"/>
  <c r="L729" i="5"/>
  <c r="O729" i="5" s="1"/>
  <c r="N728" i="5"/>
  <c r="J727" i="5"/>
  <c r="I727" i="5"/>
  <c r="K727" i="5" s="1"/>
  <c r="J726" i="5"/>
  <c r="I726" i="5"/>
  <c r="U722" i="5"/>
  <c r="T722" i="5"/>
  <c r="P722" i="5"/>
  <c r="O722" i="5"/>
  <c r="U721" i="5"/>
  <c r="T721" i="5"/>
  <c r="P721" i="5"/>
  <c r="O721" i="5"/>
  <c r="S720" i="5"/>
  <c r="R720" i="5"/>
  <c r="U720" i="5" s="1"/>
  <c r="Q720" i="5"/>
  <c r="T720" i="5" s="1"/>
  <c r="N720" i="5"/>
  <c r="M720" i="5"/>
  <c r="P720" i="5" s="1"/>
  <c r="L720" i="5"/>
  <c r="O720" i="5" s="1"/>
  <c r="U719" i="5"/>
  <c r="T719" i="5"/>
  <c r="P719" i="5"/>
  <c r="O719" i="5"/>
  <c r="U718" i="5"/>
  <c r="T718" i="5"/>
  <c r="P718" i="5"/>
  <c r="O718" i="5"/>
  <c r="S717" i="5"/>
  <c r="R717" i="5"/>
  <c r="U717" i="5" s="1"/>
  <c r="Q717" i="5"/>
  <c r="T717" i="5" s="1"/>
  <c r="N717" i="5"/>
  <c r="M717" i="5"/>
  <c r="P717" i="5" s="1"/>
  <c r="L717" i="5"/>
  <c r="O717" i="5" s="1"/>
  <c r="S716" i="5"/>
  <c r="R716" i="5"/>
  <c r="Q716" i="5"/>
  <c r="N716" i="5"/>
  <c r="M716" i="5"/>
  <c r="L716" i="5"/>
  <c r="S715" i="5"/>
  <c r="R715" i="5"/>
  <c r="U715" i="5" s="1"/>
  <c r="Q715" i="5"/>
  <c r="T715" i="5" s="1"/>
  <c r="N715" i="5"/>
  <c r="M715" i="5"/>
  <c r="P715" i="5" s="1"/>
  <c r="L715" i="5"/>
  <c r="O715" i="5" s="1"/>
  <c r="N714" i="5"/>
  <c r="K712" i="5"/>
  <c r="J712" i="5"/>
  <c r="K710" i="5"/>
  <c r="J710" i="5"/>
  <c r="J709" i="5"/>
  <c r="I709" i="5"/>
  <c r="K708" i="5"/>
  <c r="J708" i="5"/>
  <c r="J707" i="5"/>
  <c r="I707" i="5"/>
  <c r="I689" i="5" s="1"/>
  <c r="K706" i="5"/>
  <c r="J706" i="5"/>
  <c r="J705" i="5"/>
  <c r="I705" i="5"/>
  <c r="K704" i="5"/>
  <c r="J704" i="5"/>
  <c r="J703" i="5"/>
  <c r="I703" i="5"/>
  <c r="K702" i="5"/>
  <c r="I700" i="5"/>
  <c r="K700" i="5" s="1"/>
  <c r="U698" i="5"/>
  <c r="T698" i="5"/>
  <c r="P698" i="5"/>
  <c r="O698" i="5"/>
  <c r="U697" i="5"/>
  <c r="T697" i="5"/>
  <c r="P697" i="5"/>
  <c r="O697" i="5"/>
  <c r="S696" i="5"/>
  <c r="R696" i="5"/>
  <c r="U696" i="5" s="1"/>
  <c r="Q696" i="5"/>
  <c r="T696" i="5" s="1"/>
  <c r="N696" i="5"/>
  <c r="M696" i="5"/>
  <c r="P696" i="5" s="1"/>
  <c r="L696" i="5"/>
  <c r="O696" i="5" s="1"/>
  <c r="S695" i="5"/>
  <c r="S693" i="5" s="1"/>
  <c r="R695" i="5"/>
  <c r="Q695" i="5"/>
  <c r="P695" i="5"/>
  <c r="O695" i="5"/>
  <c r="U694" i="5"/>
  <c r="T694" i="5"/>
  <c r="P694" i="5"/>
  <c r="O694" i="5"/>
  <c r="N693" i="5"/>
  <c r="M693" i="5"/>
  <c r="P693" i="5" s="1"/>
  <c r="L693" i="5"/>
  <c r="O693" i="5" s="1"/>
  <c r="N692" i="5"/>
  <c r="N690" i="5" s="1"/>
  <c r="M692" i="5"/>
  <c r="L692" i="5"/>
  <c r="O692" i="5" s="1"/>
  <c r="S691" i="5"/>
  <c r="R691" i="5"/>
  <c r="Q691" i="5"/>
  <c r="P691" i="5"/>
  <c r="N691" i="5"/>
  <c r="M691" i="5"/>
  <c r="L691" i="5"/>
  <c r="J682" i="5"/>
  <c r="I682" i="5"/>
  <c r="K682" i="5" s="1"/>
  <c r="J681" i="5"/>
  <c r="I681" i="5"/>
  <c r="K681" i="5" s="1"/>
  <c r="J680" i="5"/>
  <c r="J679" i="5"/>
  <c r="I679" i="5"/>
  <c r="K679" i="5" s="1"/>
  <c r="J678" i="5"/>
  <c r="I678" i="5"/>
  <c r="K678" i="5" s="1"/>
  <c r="J677" i="5"/>
  <c r="J676" i="5"/>
  <c r="I676" i="5"/>
  <c r="K676" i="5" s="1"/>
  <c r="I675" i="5"/>
  <c r="K675" i="5" s="1"/>
  <c r="I674" i="5"/>
  <c r="K674" i="5" s="1"/>
  <c r="J673" i="5"/>
  <c r="I673" i="5"/>
  <c r="K673" i="5" s="1"/>
  <c r="J672" i="5"/>
  <c r="J671" i="5"/>
  <c r="J661" i="5"/>
  <c r="I661" i="5"/>
  <c r="K661" i="5" s="1"/>
  <c r="I660" i="5"/>
  <c r="I657" i="5"/>
  <c r="J654" i="5"/>
  <c r="I654" i="5"/>
  <c r="K654" i="5" s="1"/>
  <c r="J653" i="5"/>
  <c r="I653" i="5"/>
  <c r="K653" i="5" s="1"/>
  <c r="J652" i="5"/>
  <c r="I652" i="5"/>
  <c r="K652" i="5" s="1"/>
  <c r="U650" i="5"/>
  <c r="T650" i="5"/>
  <c r="P650" i="5"/>
  <c r="O650" i="5"/>
  <c r="U649" i="5"/>
  <c r="T649" i="5"/>
  <c r="P649" i="5"/>
  <c r="O649" i="5"/>
  <c r="S648" i="5"/>
  <c r="R648" i="5"/>
  <c r="U648" i="5" s="1"/>
  <c r="Q648" i="5"/>
  <c r="T648" i="5" s="1"/>
  <c r="N648" i="5"/>
  <c r="M648" i="5"/>
  <c r="P648" i="5" s="1"/>
  <c r="L648" i="5"/>
  <c r="O648" i="5" s="1"/>
  <c r="S647" i="5"/>
  <c r="S645" i="5" s="1"/>
  <c r="R647" i="5"/>
  <c r="U647" i="5" s="1"/>
  <c r="Q647" i="5"/>
  <c r="P647" i="5"/>
  <c r="O647" i="5"/>
  <c r="U646" i="5"/>
  <c r="T646" i="5"/>
  <c r="P646" i="5"/>
  <c r="O646" i="5"/>
  <c r="N645" i="5"/>
  <c r="M645" i="5"/>
  <c r="P645" i="5" s="1"/>
  <c r="L645" i="5"/>
  <c r="O645" i="5" s="1"/>
  <c r="N644" i="5"/>
  <c r="M644" i="5"/>
  <c r="L644" i="5"/>
  <c r="O644" i="5" s="1"/>
  <c r="S643" i="5"/>
  <c r="R643" i="5"/>
  <c r="Q643" i="5"/>
  <c r="N643" i="5"/>
  <c r="M643" i="5"/>
  <c r="P643" i="5" s="1"/>
  <c r="L643" i="5"/>
  <c r="J636" i="5"/>
  <c r="J635" i="5"/>
  <c r="I635" i="5"/>
  <c r="K635" i="5" s="1"/>
  <c r="J632" i="5"/>
  <c r="J626" i="5" s="1"/>
  <c r="J615" i="5" s="1"/>
  <c r="I628" i="5"/>
  <c r="K628" i="5" s="1"/>
  <c r="I627" i="5"/>
  <c r="K627" i="5" s="1"/>
  <c r="I626" i="5"/>
  <c r="K632" i="5" s="1"/>
  <c r="U624" i="5"/>
  <c r="T624" i="5"/>
  <c r="P624" i="5"/>
  <c r="O624" i="5"/>
  <c r="U623" i="5"/>
  <c r="T623" i="5"/>
  <c r="P623" i="5"/>
  <c r="O623" i="5"/>
  <c r="T622" i="5"/>
  <c r="S622" i="5"/>
  <c r="R622" i="5"/>
  <c r="U622" i="5" s="1"/>
  <c r="Q622" i="5"/>
  <c r="N622" i="5"/>
  <c r="M622" i="5"/>
  <c r="P622" i="5" s="1"/>
  <c r="L622" i="5"/>
  <c r="O622" i="5" s="1"/>
  <c r="S621" i="5"/>
  <c r="S618" i="5" s="1"/>
  <c r="R621" i="5"/>
  <c r="Q621" i="5"/>
  <c r="Q619" i="5" s="1"/>
  <c r="P621" i="5"/>
  <c r="O621" i="5"/>
  <c r="U620" i="5"/>
  <c r="T620" i="5"/>
  <c r="P620" i="5"/>
  <c r="O620" i="5"/>
  <c r="P619" i="5"/>
  <c r="O619" i="5"/>
  <c r="N619" i="5"/>
  <c r="M619" i="5"/>
  <c r="L619" i="5"/>
  <c r="N618" i="5"/>
  <c r="M618" i="5"/>
  <c r="P618" i="5" s="1"/>
  <c r="L618" i="5"/>
  <c r="O618" i="5" s="1"/>
  <c r="S617" i="5"/>
  <c r="R617" i="5"/>
  <c r="Q617" i="5"/>
  <c r="T617" i="5" s="1"/>
  <c r="N617" i="5"/>
  <c r="M617" i="5"/>
  <c r="L617" i="5"/>
  <c r="S607" i="5"/>
  <c r="S605" i="5" s="1"/>
  <c r="R607" i="5"/>
  <c r="Q607" i="5"/>
  <c r="N607" i="5"/>
  <c r="N605" i="5" s="1"/>
  <c r="M607" i="5"/>
  <c r="P607" i="5" s="1"/>
  <c r="L607" i="5"/>
  <c r="U606" i="5"/>
  <c r="T606" i="5"/>
  <c r="P606" i="5"/>
  <c r="O606" i="5"/>
  <c r="S604" i="5"/>
  <c r="S602" i="5" s="1"/>
  <c r="R604" i="5"/>
  <c r="Q604" i="5"/>
  <c r="N604" i="5"/>
  <c r="N602" i="5" s="1"/>
  <c r="M604" i="5"/>
  <c r="P604" i="5" s="1"/>
  <c r="L604" i="5"/>
  <c r="U603" i="5"/>
  <c r="T603" i="5"/>
  <c r="P603" i="5"/>
  <c r="O603" i="5"/>
  <c r="S600" i="5"/>
  <c r="R600" i="5"/>
  <c r="U600" i="5" s="1"/>
  <c r="Q600" i="5"/>
  <c r="T600" i="5" s="1"/>
  <c r="N600" i="5"/>
  <c r="M600" i="5"/>
  <c r="P600" i="5" s="1"/>
  <c r="L600" i="5"/>
  <c r="O600" i="5" s="1"/>
  <c r="U584" i="5"/>
  <c r="T584" i="5"/>
  <c r="N584" i="5"/>
  <c r="M584" i="5"/>
  <c r="P584" i="5" s="1"/>
  <c r="L584" i="5"/>
  <c r="O584" i="5" s="1"/>
  <c r="U583" i="5"/>
  <c r="T583" i="5"/>
  <c r="P583" i="5"/>
  <c r="O583" i="5"/>
  <c r="S582" i="5"/>
  <c r="R582" i="5"/>
  <c r="U582" i="5" s="1"/>
  <c r="Q582" i="5"/>
  <c r="T582" i="5" s="1"/>
  <c r="U581" i="5"/>
  <c r="T581" i="5"/>
  <c r="N581" i="5"/>
  <c r="N579" i="5" s="1"/>
  <c r="M581" i="5"/>
  <c r="P581" i="5" s="1"/>
  <c r="L581" i="5"/>
  <c r="U580" i="5"/>
  <c r="T580" i="5"/>
  <c r="P580" i="5"/>
  <c r="O580" i="5"/>
  <c r="U579" i="5"/>
  <c r="T579" i="5"/>
  <c r="S579" i="5"/>
  <c r="R579" i="5"/>
  <c r="Q579" i="5"/>
  <c r="S578" i="5"/>
  <c r="R578" i="5"/>
  <c r="U578" i="5" s="1"/>
  <c r="Q578" i="5"/>
  <c r="U577" i="5"/>
  <c r="S577" i="5"/>
  <c r="R577" i="5"/>
  <c r="R576" i="5" s="1"/>
  <c r="U576" i="5" s="1"/>
  <c r="Q577" i="5"/>
  <c r="T577" i="5" s="1"/>
  <c r="P577" i="5"/>
  <c r="O577" i="5"/>
  <c r="N577" i="5"/>
  <c r="M577" i="5"/>
  <c r="L577" i="5"/>
  <c r="S576" i="5"/>
  <c r="J575" i="5"/>
  <c r="I575" i="5"/>
  <c r="K575" i="5" s="1"/>
  <c r="U563" i="5"/>
  <c r="T563" i="5"/>
  <c r="N563" i="5"/>
  <c r="N561" i="5" s="1"/>
  <c r="M563" i="5"/>
  <c r="P563" i="5" s="1"/>
  <c r="L563" i="5"/>
  <c r="U562" i="5"/>
  <c r="T562" i="5"/>
  <c r="P562" i="5"/>
  <c r="O562" i="5"/>
  <c r="S561" i="5"/>
  <c r="R561" i="5"/>
  <c r="U561" i="5" s="1"/>
  <c r="Q561" i="5"/>
  <c r="T561" i="5" s="1"/>
  <c r="U560" i="5"/>
  <c r="T560" i="5"/>
  <c r="N560" i="5"/>
  <c r="M560" i="5"/>
  <c r="M558" i="5" s="1"/>
  <c r="P558" i="5" s="1"/>
  <c r="L560" i="5"/>
  <c r="O560" i="5" s="1"/>
  <c r="U559" i="5"/>
  <c r="T559" i="5"/>
  <c r="P559" i="5"/>
  <c r="O559" i="5"/>
  <c r="S558" i="5"/>
  <c r="R558" i="5"/>
  <c r="U558" i="5" s="1"/>
  <c r="Q558" i="5"/>
  <c r="T558" i="5" s="1"/>
  <c r="S557" i="5"/>
  <c r="R557" i="5"/>
  <c r="U557" i="5" s="1"/>
  <c r="Q557" i="5"/>
  <c r="T557" i="5" s="1"/>
  <c r="S556" i="5"/>
  <c r="R556" i="5"/>
  <c r="Q556" i="5"/>
  <c r="T556" i="5" s="1"/>
  <c r="N556" i="5"/>
  <c r="M556" i="5"/>
  <c r="L556" i="5"/>
  <c r="Q555" i="5"/>
  <c r="T555" i="5" s="1"/>
  <c r="J554" i="5"/>
  <c r="I554" i="5"/>
  <c r="K554" i="5" s="1"/>
  <c r="U542" i="5"/>
  <c r="T542" i="5"/>
  <c r="N542" i="5"/>
  <c r="M542" i="5"/>
  <c r="P542" i="5" s="1"/>
  <c r="L542" i="5"/>
  <c r="O542" i="5" s="1"/>
  <c r="U541" i="5"/>
  <c r="T541" i="5"/>
  <c r="P541" i="5"/>
  <c r="O541" i="5"/>
  <c r="S540" i="5"/>
  <c r="R540" i="5"/>
  <c r="U540" i="5" s="1"/>
  <c r="Q540" i="5"/>
  <c r="T540" i="5" s="1"/>
  <c r="U539" i="5"/>
  <c r="T539" i="5"/>
  <c r="N539" i="5"/>
  <c r="N537" i="5" s="1"/>
  <c r="M539" i="5"/>
  <c r="P539" i="5" s="1"/>
  <c r="L539" i="5"/>
  <c r="U538" i="5"/>
  <c r="T538" i="5"/>
  <c r="P538" i="5"/>
  <c r="O538" i="5"/>
  <c r="T537" i="5"/>
  <c r="S537" i="5"/>
  <c r="R537" i="5"/>
  <c r="U537" i="5" s="1"/>
  <c r="Q537" i="5"/>
  <c r="S536" i="5"/>
  <c r="R536" i="5"/>
  <c r="Q536" i="5"/>
  <c r="S535" i="5"/>
  <c r="S534" i="5" s="1"/>
  <c r="R535" i="5"/>
  <c r="U535" i="5" s="1"/>
  <c r="Q535" i="5"/>
  <c r="T535" i="5" s="1"/>
  <c r="N535" i="5"/>
  <c r="M535" i="5"/>
  <c r="P535" i="5" s="1"/>
  <c r="L535" i="5"/>
  <c r="O535" i="5" s="1"/>
  <c r="J533" i="5"/>
  <c r="I533" i="5"/>
  <c r="K533" i="5" s="1"/>
  <c r="K524" i="5"/>
  <c r="K523" i="5"/>
  <c r="U521" i="5"/>
  <c r="T521" i="5"/>
  <c r="N521" i="5"/>
  <c r="M521" i="5"/>
  <c r="L521" i="5"/>
  <c r="O521" i="5" s="1"/>
  <c r="U520" i="5"/>
  <c r="T520" i="5"/>
  <c r="P520" i="5"/>
  <c r="O520" i="5"/>
  <c r="S519" i="5"/>
  <c r="R519" i="5"/>
  <c r="U519" i="5" s="1"/>
  <c r="Q519" i="5"/>
  <c r="T519" i="5" s="1"/>
  <c r="U518" i="5"/>
  <c r="T518" i="5"/>
  <c r="N518" i="5"/>
  <c r="N516" i="5" s="1"/>
  <c r="M518" i="5"/>
  <c r="P518" i="5" s="1"/>
  <c r="L518" i="5"/>
  <c r="O518" i="5" s="1"/>
  <c r="U517" i="5"/>
  <c r="T517" i="5"/>
  <c r="P517" i="5"/>
  <c r="O517" i="5"/>
  <c r="S516" i="5"/>
  <c r="R516" i="5"/>
  <c r="U516" i="5" s="1"/>
  <c r="Q516" i="5"/>
  <c r="T516" i="5" s="1"/>
  <c r="S515" i="5"/>
  <c r="R515" i="5"/>
  <c r="U515" i="5" s="1"/>
  <c r="Q515" i="5"/>
  <c r="S514" i="5"/>
  <c r="S513" i="5" s="1"/>
  <c r="R514" i="5"/>
  <c r="U514" i="5" s="1"/>
  <c r="Q514" i="5"/>
  <c r="T514" i="5" s="1"/>
  <c r="P514" i="5"/>
  <c r="N514" i="5"/>
  <c r="M514" i="5"/>
  <c r="L514" i="5"/>
  <c r="O514" i="5" s="1"/>
  <c r="R513" i="5"/>
  <c r="U513" i="5" s="1"/>
  <c r="J512" i="5"/>
  <c r="I512" i="5"/>
  <c r="K512" i="5" s="1"/>
  <c r="I509" i="5"/>
  <c r="K509" i="5" s="1"/>
  <c r="K508" i="5"/>
  <c r="I507" i="5"/>
  <c r="K507" i="5" s="1"/>
  <c r="I506" i="5"/>
  <c r="K506" i="5" s="1"/>
  <c r="I505" i="5"/>
  <c r="K505" i="5" s="1"/>
  <c r="I504" i="5"/>
  <c r="K504" i="5" s="1"/>
  <c r="I503" i="5"/>
  <c r="U501" i="5"/>
  <c r="T501" i="5"/>
  <c r="N501" i="5"/>
  <c r="N499" i="5" s="1"/>
  <c r="M501" i="5"/>
  <c r="L501" i="5"/>
  <c r="U500" i="5"/>
  <c r="T500" i="5"/>
  <c r="P500" i="5"/>
  <c r="O500" i="5"/>
  <c r="U499" i="5"/>
  <c r="S499" i="5"/>
  <c r="R499" i="5"/>
  <c r="Q499" i="5"/>
  <c r="T499" i="5" s="1"/>
  <c r="S498" i="5"/>
  <c r="R498" i="5"/>
  <c r="R495" i="5" s="1"/>
  <c r="U495" i="5" s="1"/>
  <c r="Q498" i="5"/>
  <c r="Q495" i="5" s="1"/>
  <c r="T495" i="5" s="1"/>
  <c r="N498" i="5"/>
  <c r="N496" i="5" s="1"/>
  <c r="M498" i="5"/>
  <c r="L498" i="5"/>
  <c r="U497" i="5"/>
  <c r="T497" i="5"/>
  <c r="P497" i="5"/>
  <c r="O497" i="5"/>
  <c r="S494" i="5"/>
  <c r="R494" i="5"/>
  <c r="U494" i="5" s="1"/>
  <c r="Q494" i="5"/>
  <c r="P494" i="5"/>
  <c r="N494" i="5"/>
  <c r="M494" i="5"/>
  <c r="L494" i="5"/>
  <c r="O494" i="5" s="1"/>
  <c r="J485" i="5"/>
  <c r="I485" i="5"/>
  <c r="K485" i="5" s="1"/>
  <c r="J484" i="5"/>
  <c r="I484" i="5"/>
  <c r="K484" i="5" s="1"/>
  <c r="J483" i="5"/>
  <c r="J482" i="5"/>
  <c r="K477" i="5"/>
  <c r="J477" i="5"/>
  <c r="K476" i="5"/>
  <c r="J476" i="5"/>
  <c r="K475" i="5"/>
  <c r="J475" i="5"/>
  <c r="J468" i="5"/>
  <c r="J467" i="5"/>
  <c r="J460" i="5"/>
  <c r="J458" i="5" s="1"/>
  <c r="J459" i="5"/>
  <c r="I458" i="5"/>
  <c r="K458" i="5" s="1"/>
  <c r="I457" i="5"/>
  <c r="J447" i="5"/>
  <c r="J446" i="5"/>
  <c r="J440" i="5" s="1"/>
  <c r="J423" i="5" s="1"/>
  <c r="J412" i="5" s="1"/>
  <c r="J441" i="5"/>
  <c r="I441" i="5"/>
  <c r="I440" i="5"/>
  <c r="J433" i="5"/>
  <c r="I433" i="5"/>
  <c r="K433" i="5" s="1"/>
  <c r="J432" i="5"/>
  <c r="I432" i="5"/>
  <c r="J425" i="5"/>
  <c r="I425" i="5"/>
  <c r="K425" i="5" s="1"/>
  <c r="J424" i="5"/>
  <c r="I424" i="5"/>
  <c r="K424" i="5" s="1"/>
  <c r="U421" i="5"/>
  <c r="T421" i="5"/>
  <c r="N421" i="5"/>
  <c r="M421" i="5"/>
  <c r="P421" i="5" s="1"/>
  <c r="L421" i="5"/>
  <c r="O421" i="5" s="1"/>
  <c r="U420" i="5"/>
  <c r="T420" i="5"/>
  <c r="P420" i="5"/>
  <c r="O420" i="5"/>
  <c r="S419" i="5"/>
  <c r="R419" i="5"/>
  <c r="U419" i="5" s="1"/>
  <c r="Q419" i="5"/>
  <c r="T419" i="5" s="1"/>
  <c r="S418" i="5"/>
  <c r="R418" i="5"/>
  <c r="Q418" i="5"/>
  <c r="Q416" i="5" s="1"/>
  <c r="N418" i="5"/>
  <c r="N416" i="5" s="1"/>
  <c r="M418" i="5"/>
  <c r="L418" i="5"/>
  <c r="U417" i="5"/>
  <c r="T417" i="5"/>
  <c r="P417" i="5"/>
  <c r="O417" i="5"/>
  <c r="S414" i="5"/>
  <c r="R414" i="5"/>
  <c r="U414" i="5" s="1"/>
  <c r="Q414" i="5"/>
  <c r="P414" i="5"/>
  <c r="N414" i="5"/>
  <c r="M414" i="5"/>
  <c r="L414" i="5"/>
  <c r="O414" i="5" s="1"/>
  <c r="U400" i="5"/>
  <c r="T400" i="5"/>
  <c r="P400" i="5"/>
  <c r="O400" i="5"/>
  <c r="U399" i="5"/>
  <c r="T399" i="5"/>
  <c r="P399" i="5"/>
  <c r="O399" i="5"/>
  <c r="S398" i="5"/>
  <c r="R398" i="5"/>
  <c r="U398" i="5" s="1"/>
  <c r="Q398" i="5"/>
  <c r="T398" i="5" s="1"/>
  <c r="N398" i="5"/>
  <c r="M398" i="5"/>
  <c r="P398" i="5" s="1"/>
  <c r="L398" i="5"/>
  <c r="O398" i="5" s="1"/>
  <c r="S397" i="5"/>
  <c r="S395" i="5" s="1"/>
  <c r="R397" i="5"/>
  <c r="U397" i="5" s="1"/>
  <c r="Q397" i="5"/>
  <c r="T397" i="5" s="1"/>
  <c r="P397" i="5"/>
  <c r="O397" i="5"/>
  <c r="U396" i="5"/>
  <c r="T396" i="5"/>
  <c r="P396" i="5"/>
  <c r="O396" i="5"/>
  <c r="O395" i="5"/>
  <c r="N395" i="5"/>
  <c r="M395" i="5"/>
  <c r="P395" i="5" s="1"/>
  <c r="L395" i="5"/>
  <c r="N394" i="5"/>
  <c r="M394" i="5"/>
  <c r="L394" i="5"/>
  <c r="O394" i="5" s="1"/>
  <c r="S393" i="5"/>
  <c r="R393" i="5"/>
  <c r="U393" i="5" s="1"/>
  <c r="Q393" i="5"/>
  <c r="N393" i="5"/>
  <c r="M393" i="5"/>
  <c r="P393" i="5" s="1"/>
  <c r="L393" i="5"/>
  <c r="O393" i="5" s="1"/>
  <c r="J391" i="5"/>
  <c r="I391" i="5"/>
  <c r="K391" i="5" s="1"/>
  <c r="J388" i="5"/>
  <c r="I388" i="5"/>
  <c r="K388" i="5" s="1"/>
  <c r="K387" i="5"/>
  <c r="J387" i="5"/>
  <c r="J386" i="5"/>
  <c r="I386" i="5"/>
  <c r="K385" i="5"/>
  <c r="J385" i="5"/>
  <c r="U383" i="5"/>
  <c r="T383" i="5"/>
  <c r="N383" i="5"/>
  <c r="N381" i="5" s="1"/>
  <c r="M383" i="5"/>
  <c r="P383" i="5" s="1"/>
  <c r="L383" i="5"/>
  <c r="O383" i="5" s="1"/>
  <c r="U382" i="5"/>
  <c r="T382" i="5"/>
  <c r="P382" i="5"/>
  <c r="O382" i="5"/>
  <c r="S381" i="5"/>
  <c r="R381" i="5"/>
  <c r="U381" i="5" s="1"/>
  <c r="Q381" i="5"/>
  <c r="T381" i="5" s="1"/>
  <c r="S380" i="5"/>
  <c r="S377" i="5" s="1"/>
  <c r="R380" i="5"/>
  <c r="R377" i="5" s="1"/>
  <c r="Q380" i="5"/>
  <c r="Q377" i="5" s="1"/>
  <c r="N380" i="5"/>
  <c r="N378" i="5" s="1"/>
  <c r="M380" i="5"/>
  <c r="L380" i="5"/>
  <c r="O380" i="5" s="1"/>
  <c r="U379" i="5"/>
  <c r="T379" i="5"/>
  <c r="P379" i="5"/>
  <c r="O379" i="5"/>
  <c r="U376" i="5"/>
  <c r="T376" i="5"/>
  <c r="S376" i="5"/>
  <c r="R376" i="5"/>
  <c r="Q376" i="5"/>
  <c r="P376" i="5"/>
  <c r="O376" i="5"/>
  <c r="N376" i="5"/>
  <c r="M376" i="5"/>
  <c r="L376" i="5"/>
  <c r="D373" i="5"/>
  <c r="K372" i="5"/>
  <c r="J372" i="5"/>
  <c r="J371" i="5"/>
  <c r="J365" i="5" s="1"/>
  <c r="I371" i="5"/>
  <c r="I365" i="5" s="1"/>
  <c r="K370" i="5"/>
  <c r="J370" i="5"/>
  <c r="J369" i="5"/>
  <c r="I369" i="5"/>
  <c r="J368" i="5"/>
  <c r="I368" i="5"/>
  <c r="K367" i="5"/>
  <c r="J367" i="5"/>
  <c r="U364" i="5"/>
  <c r="T364" i="5"/>
  <c r="N364" i="5"/>
  <c r="N362" i="5" s="1"/>
  <c r="M364" i="5"/>
  <c r="P364" i="5" s="1"/>
  <c r="L364" i="5"/>
  <c r="U363" i="5"/>
  <c r="T363" i="5"/>
  <c r="P363" i="5"/>
  <c r="O363" i="5"/>
  <c r="U362" i="5"/>
  <c r="S362" i="5"/>
  <c r="R362" i="5"/>
  <c r="Q362" i="5"/>
  <c r="T362" i="5" s="1"/>
  <c r="U361" i="5"/>
  <c r="T361" i="5"/>
  <c r="N361" i="5"/>
  <c r="M361" i="5"/>
  <c r="M359" i="5" s="1"/>
  <c r="L361" i="5"/>
  <c r="L359" i="5" s="1"/>
  <c r="U360" i="5"/>
  <c r="T360" i="5"/>
  <c r="P360" i="5"/>
  <c r="O360" i="5"/>
  <c r="S359" i="5"/>
  <c r="R359" i="5"/>
  <c r="U359" i="5" s="1"/>
  <c r="Q359" i="5"/>
  <c r="T359" i="5" s="1"/>
  <c r="U358" i="5"/>
  <c r="S358" i="5"/>
  <c r="R358" i="5"/>
  <c r="Q358" i="5"/>
  <c r="T358" i="5" s="1"/>
  <c r="T357" i="5"/>
  <c r="S357" i="5"/>
  <c r="S356" i="5" s="1"/>
  <c r="R357" i="5"/>
  <c r="Q357" i="5"/>
  <c r="N357" i="5"/>
  <c r="M357" i="5"/>
  <c r="L357" i="5"/>
  <c r="Q356" i="5"/>
  <c r="T356" i="5" s="1"/>
  <c r="D354" i="5"/>
  <c r="J353" i="5"/>
  <c r="J352" i="5"/>
  <c r="D350" i="5"/>
  <c r="J349" i="5"/>
  <c r="J348" i="5"/>
  <c r="J347" i="5"/>
  <c r="J346" i="5"/>
  <c r="I346" i="5"/>
  <c r="J344" i="5"/>
  <c r="I344" i="5"/>
  <c r="I332" i="5" s="1"/>
  <c r="U341" i="5"/>
  <c r="T341" i="5"/>
  <c r="N341" i="5"/>
  <c r="M341" i="5"/>
  <c r="M339" i="5" s="1"/>
  <c r="P339" i="5" s="1"/>
  <c r="L341" i="5"/>
  <c r="L339" i="5" s="1"/>
  <c r="O339" i="5" s="1"/>
  <c r="U340" i="5"/>
  <c r="T340" i="5"/>
  <c r="P340" i="5"/>
  <c r="O340" i="5"/>
  <c r="S339" i="5"/>
  <c r="R339" i="5"/>
  <c r="U339" i="5" s="1"/>
  <c r="Q339" i="5"/>
  <c r="T339" i="5" s="1"/>
  <c r="U338" i="5"/>
  <c r="T338" i="5"/>
  <c r="N338" i="5"/>
  <c r="N336" i="5" s="1"/>
  <c r="M338" i="5"/>
  <c r="M336" i="5" s="1"/>
  <c r="L338" i="5"/>
  <c r="U337" i="5"/>
  <c r="T337" i="5"/>
  <c r="P337" i="5"/>
  <c r="O337" i="5"/>
  <c r="T336" i="5"/>
  <c r="S336" i="5"/>
  <c r="R336" i="5"/>
  <c r="U336" i="5" s="1"/>
  <c r="Q336" i="5"/>
  <c r="S335" i="5"/>
  <c r="R335" i="5"/>
  <c r="Q335" i="5"/>
  <c r="T335" i="5" s="1"/>
  <c r="U334" i="5"/>
  <c r="S334" i="5"/>
  <c r="S333" i="5" s="1"/>
  <c r="R334" i="5"/>
  <c r="Q334" i="5"/>
  <c r="O334" i="5"/>
  <c r="N334" i="5"/>
  <c r="M334" i="5"/>
  <c r="P334" i="5" s="1"/>
  <c r="L334" i="5"/>
  <c r="I330" i="5"/>
  <c r="I319" i="5" s="1"/>
  <c r="K319" i="5" s="1"/>
  <c r="U328" i="5"/>
  <c r="T328" i="5"/>
  <c r="N328" i="5"/>
  <c r="M328" i="5"/>
  <c r="L328" i="5"/>
  <c r="L326" i="5" s="1"/>
  <c r="O326" i="5" s="1"/>
  <c r="U327" i="5"/>
  <c r="T327" i="5"/>
  <c r="P327" i="5"/>
  <c r="O327" i="5"/>
  <c r="S326" i="5"/>
  <c r="R326" i="5"/>
  <c r="U326" i="5" s="1"/>
  <c r="Q326" i="5"/>
  <c r="T326" i="5" s="1"/>
  <c r="U325" i="5"/>
  <c r="T325" i="5"/>
  <c r="N325" i="5"/>
  <c r="N323" i="5" s="1"/>
  <c r="M325" i="5"/>
  <c r="P325" i="5" s="1"/>
  <c r="L325" i="5"/>
  <c r="U324" i="5"/>
  <c r="T324" i="5"/>
  <c r="P324" i="5"/>
  <c r="O324" i="5"/>
  <c r="S323" i="5"/>
  <c r="R323" i="5"/>
  <c r="U323" i="5" s="1"/>
  <c r="Q323" i="5"/>
  <c r="T323" i="5" s="1"/>
  <c r="S322" i="5"/>
  <c r="R322" i="5"/>
  <c r="Q322" i="5"/>
  <c r="S321" i="5"/>
  <c r="S320" i="5" s="1"/>
  <c r="R321" i="5"/>
  <c r="U321" i="5" s="1"/>
  <c r="Q321" i="5"/>
  <c r="T321" i="5" s="1"/>
  <c r="O321" i="5"/>
  <c r="N321" i="5"/>
  <c r="M321" i="5"/>
  <c r="P321" i="5" s="1"/>
  <c r="L321" i="5"/>
  <c r="J319" i="5"/>
  <c r="I314" i="5"/>
  <c r="I302" i="5" s="1"/>
  <c r="U311" i="5"/>
  <c r="T311" i="5"/>
  <c r="N311" i="5"/>
  <c r="N309" i="5" s="1"/>
  <c r="M311" i="5"/>
  <c r="L311" i="5"/>
  <c r="U310" i="5"/>
  <c r="T310" i="5"/>
  <c r="P310" i="5"/>
  <c r="O310" i="5"/>
  <c r="T309" i="5"/>
  <c r="S309" i="5"/>
  <c r="R309" i="5"/>
  <c r="U309" i="5" s="1"/>
  <c r="Q309" i="5"/>
  <c r="S308" i="5"/>
  <c r="R308" i="5"/>
  <c r="Q308" i="5"/>
  <c r="Q306" i="5" s="1"/>
  <c r="N308" i="5"/>
  <c r="N306" i="5" s="1"/>
  <c r="M308" i="5"/>
  <c r="L308" i="5"/>
  <c r="U307" i="5"/>
  <c r="T307" i="5"/>
  <c r="P307" i="5"/>
  <c r="O307" i="5"/>
  <c r="S304" i="5"/>
  <c r="R304" i="5"/>
  <c r="Q304" i="5"/>
  <c r="N304" i="5"/>
  <c r="M304" i="5"/>
  <c r="P304" i="5" s="1"/>
  <c r="L304" i="5"/>
  <c r="J302" i="5"/>
  <c r="I296" i="5"/>
  <c r="K296" i="5" s="1"/>
  <c r="I295" i="5"/>
  <c r="K295" i="5" s="1"/>
  <c r="J293" i="5"/>
  <c r="J280" i="5" s="1"/>
  <c r="I293" i="5"/>
  <c r="I292" i="5"/>
  <c r="I281" i="5" s="1"/>
  <c r="U290" i="5"/>
  <c r="T290" i="5"/>
  <c r="N290" i="5"/>
  <c r="N288" i="5" s="1"/>
  <c r="M290" i="5"/>
  <c r="M288" i="5" s="1"/>
  <c r="P288" i="5" s="1"/>
  <c r="L290" i="5"/>
  <c r="O290" i="5" s="1"/>
  <c r="U289" i="5"/>
  <c r="T289" i="5"/>
  <c r="P289" i="5"/>
  <c r="O289" i="5"/>
  <c r="S288" i="5"/>
  <c r="R288" i="5"/>
  <c r="U288" i="5" s="1"/>
  <c r="Q288" i="5"/>
  <c r="T288" i="5" s="1"/>
  <c r="U287" i="5"/>
  <c r="T287" i="5"/>
  <c r="N287" i="5"/>
  <c r="N285" i="5" s="1"/>
  <c r="M287" i="5"/>
  <c r="L287" i="5"/>
  <c r="U286" i="5"/>
  <c r="T286" i="5"/>
  <c r="P286" i="5"/>
  <c r="O286" i="5"/>
  <c r="U285" i="5"/>
  <c r="T285" i="5"/>
  <c r="S285" i="5"/>
  <c r="R285" i="5"/>
  <c r="Q285" i="5"/>
  <c r="S284" i="5"/>
  <c r="S282" i="5" s="1"/>
  <c r="R284" i="5"/>
  <c r="U284" i="5" s="1"/>
  <c r="Q284" i="5"/>
  <c r="T284" i="5" s="1"/>
  <c r="S283" i="5"/>
  <c r="R283" i="5"/>
  <c r="Q283" i="5"/>
  <c r="N283" i="5"/>
  <c r="M283" i="5"/>
  <c r="P283" i="5" s="1"/>
  <c r="L283" i="5"/>
  <c r="J281" i="5"/>
  <c r="I276" i="5"/>
  <c r="K276" i="5" s="1"/>
  <c r="U274" i="5"/>
  <c r="T274" i="5"/>
  <c r="N274" i="5"/>
  <c r="N272" i="5" s="1"/>
  <c r="M274" i="5"/>
  <c r="P274" i="5" s="1"/>
  <c r="L274" i="5"/>
  <c r="U273" i="5"/>
  <c r="T273" i="5"/>
  <c r="P273" i="5"/>
  <c r="O273" i="5"/>
  <c r="S272" i="5"/>
  <c r="R272" i="5"/>
  <c r="U272" i="5" s="1"/>
  <c r="Q272" i="5"/>
  <c r="T272" i="5" s="1"/>
  <c r="S271" i="5"/>
  <c r="R271" i="5"/>
  <c r="R269" i="5" s="1"/>
  <c r="Q271" i="5"/>
  <c r="Q268" i="5" s="1"/>
  <c r="N271" i="5"/>
  <c r="N269" i="5" s="1"/>
  <c r="M271" i="5"/>
  <c r="L271" i="5"/>
  <c r="U270" i="5"/>
  <c r="T270" i="5"/>
  <c r="P270" i="5"/>
  <c r="O270" i="5"/>
  <c r="U267" i="5"/>
  <c r="T267" i="5"/>
  <c r="S267" i="5"/>
  <c r="R267" i="5"/>
  <c r="Q267" i="5"/>
  <c r="N267" i="5"/>
  <c r="M267" i="5"/>
  <c r="L267" i="5"/>
  <c r="O267" i="5" s="1"/>
  <c r="J265" i="5"/>
  <c r="K263" i="5"/>
  <c r="K262" i="5"/>
  <c r="I260" i="5"/>
  <c r="L258" i="5"/>
  <c r="L257" i="5"/>
  <c r="L256" i="5"/>
  <c r="L255" i="5"/>
  <c r="P254" i="5"/>
  <c r="N254" i="5"/>
  <c r="J253" i="5"/>
  <c r="J231" i="5" s="1"/>
  <c r="J185" i="5" s="1"/>
  <c r="K252" i="5"/>
  <c r="K251" i="5"/>
  <c r="I249" i="5"/>
  <c r="L247" i="5"/>
  <c r="L246" i="5"/>
  <c r="L245" i="5"/>
  <c r="L244" i="5"/>
  <c r="P243" i="5"/>
  <c r="N243" i="5"/>
  <c r="N232" i="5" s="1"/>
  <c r="J242" i="5"/>
  <c r="J241" i="5"/>
  <c r="I241" i="5"/>
  <c r="K241" i="5" s="1"/>
  <c r="J240" i="5"/>
  <c r="I240" i="5"/>
  <c r="K240" i="5" s="1"/>
  <c r="J238" i="5"/>
  <c r="N236" i="5"/>
  <c r="N235" i="5"/>
  <c r="N234" i="5"/>
  <c r="N233" i="5"/>
  <c r="I230" i="5"/>
  <c r="K230" i="5" s="1"/>
  <c r="I229" i="5"/>
  <c r="I221" i="5" s="1"/>
  <c r="I228" i="5"/>
  <c r="K228" i="5" s="1"/>
  <c r="L225" i="5"/>
  <c r="L224" i="5"/>
  <c r="L223" i="5"/>
  <c r="P222" i="5"/>
  <c r="N222" i="5"/>
  <c r="J221" i="5"/>
  <c r="I220" i="5"/>
  <c r="K220" i="5" s="1"/>
  <c r="I219" i="5"/>
  <c r="K219" i="5" s="1"/>
  <c r="Q217" i="5"/>
  <c r="Q214" i="5" s="1"/>
  <c r="T214" i="5" s="1"/>
  <c r="L217" i="5"/>
  <c r="L216" i="5"/>
  <c r="L215" i="5"/>
  <c r="U214" i="5"/>
  <c r="S214" i="5"/>
  <c r="P214" i="5"/>
  <c r="N214" i="5"/>
  <c r="J213" i="5"/>
  <c r="I212" i="5"/>
  <c r="K212" i="5" s="1"/>
  <c r="I211" i="5"/>
  <c r="K211" i="5" s="1"/>
  <c r="I209" i="5"/>
  <c r="L207" i="5"/>
  <c r="Q206" i="5"/>
  <c r="Q203" i="5" s="1"/>
  <c r="L206" i="5"/>
  <c r="L205" i="5"/>
  <c r="L204" i="5"/>
  <c r="U203" i="5"/>
  <c r="S203" i="5"/>
  <c r="P203" i="5"/>
  <c r="N203" i="5"/>
  <c r="J202" i="5"/>
  <c r="J199" i="5"/>
  <c r="I198" i="5"/>
  <c r="K198" i="5" s="1"/>
  <c r="P196" i="5"/>
  <c r="L196" i="5"/>
  <c r="O196" i="5" s="1"/>
  <c r="J195" i="5"/>
  <c r="S194" i="5"/>
  <c r="S192" i="5" s="1"/>
  <c r="R194" i="5"/>
  <c r="U194" i="5" s="1"/>
  <c r="Q194" i="5"/>
  <c r="N194" i="5"/>
  <c r="N192" i="5" s="1"/>
  <c r="M194" i="5"/>
  <c r="M192" i="5" s="1"/>
  <c r="P192" i="5" s="1"/>
  <c r="L194" i="5"/>
  <c r="L192" i="5" s="1"/>
  <c r="O192" i="5" s="1"/>
  <c r="U193" i="5"/>
  <c r="T193" i="5"/>
  <c r="P193" i="5"/>
  <c r="O193" i="5"/>
  <c r="S191" i="5"/>
  <c r="S189" i="5" s="1"/>
  <c r="R191" i="5"/>
  <c r="R189" i="5" s="1"/>
  <c r="Q191" i="5"/>
  <c r="N191" i="5"/>
  <c r="N189" i="5" s="1"/>
  <c r="M191" i="5"/>
  <c r="M189" i="5" s="1"/>
  <c r="L191" i="5"/>
  <c r="L189" i="5" s="1"/>
  <c r="U190" i="5"/>
  <c r="T190" i="5"/>
  <c r="P190" i="5"/>
  <c r="O190" i="5"/>
  <c r="S187" i="5"/>
  <c r="R187" i="5"/>
  <c r="Q187" i="5"/>
  <c r="T187" i="5" s="1"/>
  <c r="N187" i="5"/>
  <c r="M187" i="5"/>
  <c r="L187" i="5"/>
  <c r="K184" i="5"/>
  <c r="I183" i="5"/>
  <c r="I172" i="5" s="1"/>
  <c r="K172" i="5" s="1"/>
  <c r="U181" i="5"/>
  <c r="T181" i="5"/>
  <c r="N181" i="5"/>
  <c r="N179" i="5" s="1"/>
  <c r="M181" i="5"/>
  <c r="P181" i="5" s="1"/>
  <c r="L181" i="5"/>
  <c r="U180" i="5"/>
  <c r="T180" i="5"/>
  <c r="P180" i="5"/>
  <c r="O180" i="5"/>
  <c r="S179" i="5"/>
  <c r="R179" i="5"/>
  <c r="U179" i="5" s="1"/>
  <c r="Q179" i="5"/>
  <c r="T179" i="5" s="1"/>
  <c r="S178" i="5"/>
  <c r="S176" i="5" s="1"/>
  <c r="R178" i="5"/>
  <c r="R175" i="5" s="1"/>
  <c r="Q178" i="5"/>
  <c r="Q175" i="5" s="1"/>
  <c r="N178" i="5"/>
  <c r="N176" i="5" s="1"/>
  <c r="M178" i="5"/>
  <c r="L178" i="5"/>
  <c r="U177" i="5"/>
  <c r="T177" i="5"/>
  <c r="P177" i="5"/>
  <c r="O177" i="5"/>
  <c r="U174" i="5"/>
  <c r="S174" i="5"/>
  <c r="R174" i="5"/>
  <c r="Q174" i="5"/>
  <c r="T174" i="5" s="1"/>
  <c r="P174" i="5"/>
  <c r="O174" i="5"/>
  <c r="N174" i="5"/>
  <c r="M174" i="5"/>
  <c r="L174" i="5"/>
  <c r="J172" i="5"/>
  <c r="I167" i="5"/>
  <c r="K167" i="5" s="1"/>
  <c r="U165" i="5"/>
  <c r="T165" i="5"/>
  <c r="N165" i="5"/>
  <c r="N163" i="5" s="1"/>
  <c r="M165" i="5"/>
  <c r="P165" i="5" s="1"/>
  <c r="L165" i="5"/>
  <c r="U164" i="5"/>
  <c r="T164" i="5"/>
  <c r="P164" i="5"/>
  <c r="O164" i="5"/>
  <c r="S163" i="5"/>
  <c r="R163" i="5"/>
  <c r="U163" i="5" s="1"/>
  <c r="Q163" i="5"/>
  <c r="T163" i="5" s="1"/>
  <c r="S162" i="5"/>
  <c r="S159" i="5" s="1"/>
  <c r="R162" i="5"/>
  <c r="R159" i="5" s="1"/>
  <c r="Q162" i="5"/>
  <c r="Q159" i="5" s="1"/>
  <c r="N162" i="5"/>
  <c r="N160" i="5" s="1"/>
  <c r="M162" i="5"/>
  <c r="M160" i="5" s="1"/>
  <c r="L162" i="5"/>
  <c r="U161" i="5"/>
  <c r="T161" i="5"/>
  <c r="P161" i="5"/>
  <c r="O161" i="5"/>
  <c r="U158" i="5"/>
  <c r="T158" i="5"/>
  <c r="S158" i="5"/>
  <c r="R158" i="5"/>
  <c r="Q158" i="5"/>
  <c r="O158" i="5"/>
  <c r="N158" i="5"/>
  <c r="M158" i="5"/>
  <c r="P158" i="5" s="1"/>
  <c r="L158" i="5"/>
  <c r="J156" i="5"/>
  <c r="I154" i="5"/>
  <c r="I136" i="5" s="1"/>
  <c r="K136" i="5" s="1"/>
  <c r="I153" i="5"/>
  <c r="K153" i="5" s="1"/>
  <c r="I152" i="5"/>
  <c r="I137" i="5" s="1"/>
  <c r="K137" i="5" s="1"/>
  <c r="I151" i="5"/>
  <c r="K151" i="5" s="1"/>
  <c r="I150" i="5"/>
  <c r="K150" i="5" s="1"/>
  <c r="S147" i="5"/>
  <c r="S145" i="5" s="1"/>
  <c r="R147" i="5"/>
  <c r="Q147" i="5"/>
  <c r="Q145" i="5" s="1"/>
  <c r="T145" i="5" s="1"/>
  <c r="N147" i="5"/>
  <c r="N145" i="5" s="1"/>
  <c r="M147" i="5"/>
  <c r="L147" i="5"/>
  <c r="U146" i="5"/>
  <c r="T146" i="5"/>
  <c r="P146" i="5"/>
  <c r="O146" i="5"/>
  <c r="S144" i="5"/>
  <c r="S142" i="5" s="1"/>
  <c r="R144" i="5"/>
  <c r="Q144" i="5"/>
  <c r="Q142" i="5" s="1"/>
  <c r="N144" i="5"/>
  <c r="N142" i="5" s="1"/>
  <c r="M144" i="5"/>
  <c r="L144" i="5"/>
  <c r="U143" i="5"/>
  <c r="T143" i="5"/>
  <c r="P143" i="5"/>
  <c r="O143" i="5"/>
  <c r="U140" i="5"/>
  <c r="S140" i="5"/>
  <c r="R140" i="5"/>
  <c r="Q140" i="5"/>
  <c r="N140" i="5"/>
  <c r="M140" i="5"/>
  <c r="P140" i="5" s="1"/>
  <c r="L140" i="5"/>
  <c r="O140" i="5" s="1"/>
  <c r="J138" i="5"/>
  <c r="J137" i="5"/>
  <c r="J136" i="5"/>
  <c r="I130" i="5"/>
  <c r="K130" i="5" s="1"/>
  <c r="I129" i="5"/>
  <c r="K129" i="5" s="1"/>
  <c r="I128" i="5"/>
  <c r="K128" i="5" s="1"/>
  <c r="I127" i="5"/>
  <c r="I116" i="5" s="1"/>
  <c r="S125" i="5"/>
  <c r="S123" i="5" s="1"/>
  <c r="R125" i="5"/>
  <c r="Q125" i="5"/>
  <c r="N125" i="5"/>
  <c r="N123" i="5" s="1"/>
  <c r="M125" i="5"/>
  <c r="M123" i="5" s="1"/>
  <c r="P123" i="5" s="1"/>
  <c r="L125" i="5"/>
  <c r="U124" i="5"/>
  <c r="T124" i="5"/>
  <c r="P124" i="5"/>
  <c r="O124" i="5"/>
  <c r="S122" i="5"/>
  <c r="S120" i="5" s="1"/>
  <c r="R122" i="5"/>
  <c r="Q122" i="5"/>
  <c r="N122" i="5"/>
  <c r="N120" i="5" s="1"/>
  <c r="M122" i="5"/>
  <c r="P122" i="5" s="1"/>
  <c r="L122" i="5"/>
  <c r="U121" i="5"/>
  <c r="T121" i="5"/>
  <c r="P121" i="5"/>
  <c r="O121" i="5"/>
  <c r="U118" i="5"/>
  <c r="T118" i="5"/>
  <c r="S118" i="5"/>
  <c r="R118" i="5"/>
  <c r="Q118" i="5"/>
  <c r="O118" i="5"/>
  <c r="N118" i="5"/>
  <c r="M118" i="5"/>
  <c r="P118" i="5" s="1"/>
  <c r="L118" i="5"/>
  <c r="J116" i="5"/>
  <c r="I114" i="5"/>
  <c r="K114" i="5" s="1"/>
  <c r="I109" i="5"/>
  <c r="K109" i="5" s="1"/>
  <c r="I108" i="5"/>
  <c r="K108" i="5" s="1"/>
  <c r="U102" i="5"/>
  <c r="T102" i="5"/>
  <c r="N102" i="5"/>
  <c r="N100" i="5" s="1"/>
  <c r="M102" i="5"/>
  <c r="P102" i="5" s="1"/>
  <c r="L102" i="5"/>
  <c r="U101" i="5"/>
  <c r="T101" i="5"/>
  <c r="P101" i="5"/>
  <c r="O101" i="5"/>
  <c r="T100" i="5"/>
  <c r="S100" i="5"/>
  <c r="R100" i="5"/>
  <c r="U100" i="5" s="1"/>
  <c r="Q100" i="5"/>
  <c r="S99" i="5"/>
  <c r="S97" i="5" s="1"/>
  <c r="R99" i="5"/>
  <c r="R96" i="5" s="1"/>
  <c r="Q99" i="5"/>
  <c r="N99" i="5"/>
  <c r="N97" i="5" s="1"/>
  <c r="M99" i="5"/>
  <c r="L99" i="5"/>
  <c r="U98" i="5"/>
  <c r="T98" i="5"/>
  <c r="P98" i="5"/>
  <c r="O98" i="5"/>
  <c r="S95" i="5"/>
  <c r="R95" i="5"/>
  <c r="U95" i="5" s="1"/>
  <c r="Q95" i="5"/>
  <c r="T95" i="5" s="1"/>
  <c r="N95" i="5"/>
  <c r="M95" i="5"/>
  <c r="P95" i="5" s="1"/>
  <c r="L95" i="5"/>
  <c r="O95" i="5" s="1"/>
  <c r="J93" i="5"/>
  <c r="J92" i="5"/>
  <c r="I90" i="5"/>
  <c r="K90" i="5" s="1"/>
  <c r="I89" i="5"/>
  <c r="K89" i="5" s="1"/>
  <c r="I88" i="5"/>
  <c r="K88" i="5" s="1"/>
  <c r="I87" i="5"/>
  <c r="K87" i="5" s="1"/>
  <c r="I86" i="5"/>
  <c r="I85" i="5"/>
  <c r="I84" i="5"/>
  <c r="K84" i="5" s="1"/>
  <c r="J83" i="5"/>
  <c r="J71" i="5" s="1"/>
  <c r="J82" i="5"/>
  <c r="S80" i="5"/>
  <c r="S78" i="5" s="1"/>
  <c r="R80" i="5"/>
  <c r="Q80" i="5"/>
  <c r="Q78" i="5" s="1"/>
  <c r="T78" i="5" s="1"/>
  <c r="N80" i="5"/>
  <c r="N78" i="5" s="1"/>
  <c r="M80" i="5"/>
  <c r="P80" i="5" s="1"/>
  <c r="L80" i="5"/>
  <c r="U79" i="5"/>
  <c r="T79" i="5"/>
  <c r="P79" i="5"/>
  <c r="O79" i="5"/>
  <c r="S77" i="5"/>
  <c r="S75" i="5" s="1"/>
  <c r="R77" i="5"/>
  <c r="Q77" i="5"/>
  <c r="Q75" i="5" s="1"/>
  <c r="T75" i="5" s="1"/>
  <c r="N77" i="5"/>
  <c r="N75" i="5" s="1"/>
  <c r="M77" i="5"/>
  <c r="P77" i="5" s="1"/>
  <c r="L77" i="5"/>
  <c r="U76" i="5"/>
  <c r="T76" i="5"/>
  <c r="P76" i="5"/>
  <c r="O76" i="5"/>
  <c r="S73" i="5"/>
  <c r="R73" i="5"/>
  <c r="U73" i="5" s="1"/>
  <c r="Q73" i="5"/>
  <c r="N73" i="5"/>
  <c r="M73" i="5"/>
  <c r="P73" i="5" s="1"/>
  <c r="L73" i="5"/>
  <c r="J70" i="5"/>
  <c r="U67" i="5"/>
  <c r="T67" i="5"/>
  <c r="N67" i="5"/>
  <c r="N65" i="5" s="1"/>
  <c r="M67" i="5"/>
  <c r="M65" i="5" s="1"/>
  <c r="L67" i="5"/>
  <c r="L65" i="5" s="1"/>
  <c r="U66" i="5"/>
  <c r="T66" i="5"/>
  <c r="P66" i="5"/>
  <c r="O66" i="5"/>
  <c r="S65" i="5"/>
  <c r="R65" i="5"/>
  <c r="U65" i="5" s="1"/>
  <c r="Q65" i="5"/>
  <c r="T65" i="5" s="1"/>
  <c r="U64" i="5"/>
  <c r="T64" i="5"/>
  <c r="N64" i="5"/>
  <c r="N62" i="5" s="1"/>
  <c r="M64" i="5"/>
  <c r="M62" i="5" s="1"/>
  <c r="L64" i="5"/>
  <c r="U63" i="5"/>
  <c r="T63" i="5"/>
  <c r="P63" i="5"/>
  <c r="O63" i="5"/>
  <c r="U62" i="5"/>
  <c r="T62" i="5"/>
  <c r="S62" i="5"/>
  <c r="R62" i="5"/>
  <c r="Q62" i="5"/>
  <c r="T61" i="5"/>
  <c r="S61" i="5"/>
  <c r="R61" i="5"/>
  <c r="U61" i="5" s="1"/>
  <c r="Q61" i="5"/>
  <c r="S60" i="5"/>
  <c r="R60" i="5"/>
  <c r="U60" i="5" s="1"/>
  <c r="Q60" i="5"/>
  <c r="P60" i="5"/>
  <c r="N60" i="5"/>
  <c r="M60" i="5"/>
  <c r="L60" i="5"/>
  <c r="O60" i="5" s="1"/>
  <c r="S59" i="5"/>
  <c r="U52" i="5"/>
  <c r="T52" i="5"/>
  <c r="N52" i="5"/>
  <c r="M52" i="5"/>
  <c r="P52" i="5" s="1"/>
  <c r="L52" i="5"/>
  <c r="O52" i="5" s="1"/>
  <c r="U51" i="5"/>
  <c r="T51" i="5"/>
  <c r="P51" i="5"/>
  <c r="O51" i="5"/>
  <c r="S50" i="5"/>
  <c r="R50" i="5"/>
  <c r="U50" i="5" s="1"/>
  <c r="Q50" i="5"/>
  <c r="T50" i="5" s="1"/>
  <c r="U49" i="5"/>
  <c r="T49" i="5"/>
  <c r="N49" i="5"/>
  <c r="N46" i="5" s="1"/>
  <c r="N44" i="5" s="1"/>
  <c r="M49" i="5"/>
  <c r="M47" i="5" s="1"/>
  <c r="L49" i="5"/>
  <c r="L47" i="5" s="1"/>
  <c r="U48" i="5"/>
  <c r="T48" i="5"/>
  <c r="P48" i="5"/>
  <c r="O48" i="5"/>
  <c r="T47" i="5"/>
  <c r="S47" i="5"/>
  <c r="R47" i="5"/>
  <c r="U47" i="5" s="1"/>
  <c r="Q47" i="5"/>
  <c r="S46" i="5"/>
  <c r="R46" i="5"/>
  <c r="U46" i="5" s="1"/>
  <c r="Q46" i="5"/>
  <c r="T46" i="5" s="1"/>
  <c r="S45" i="5"/>
  <c r="R45" i="5"/>
  <c r="U45" i="5" s="1"/>
  <c r="Q45" i="5"/>
  <c r="N45" i="5"/>
  <c r="M45" i="5"/>
  <c r="P45" i="5" s="1"/>
  <c r="L45" i="5"/>
  <c r="O45" i="5" s="1"/>
  <c r="S25" i="5"/>
  <c r="R25" i="5"/>
  <c r="U25" i="5" s="1"/>
  <c r="Q25" i="5"/>
  <c r="T25" i="5" s="1"/>
  <c r="N25" i="5"/>
  <c r="M25" i="5"/>
  <c r="P25" i="5" s="1"/>
  <c r="L25" i="5"/>
  <c r="O25" i="5" s="1"/>
  <c r="S22" i="5"/>
  <c r="S19" i="5" s="1"/>
  <c r="R22" i="5"/>
  <c r="U22" i="5" s="1"/>
  <c r="Q22" i="5"/>
  <c r="T22" i="5" s="1"/>
  <c r="N22" i="5"/>
  <c r="M22" i="5"/>
  <c r="L22" i="5"/>
  <c r="L19" i="5" s="1"/>
  <c r="O19" i="5" s="1"/>
  <c r="A789" i="4"/>
  <c r="A788" i="4"/>
  <c r="J785" i="4"/>
  <c r="I785" i="4"/>
  <c r="J784" i="4"/>
  <c r="I784" i="4"/>
  <c r="J783" i="4"/>
  <c r="I783" i="4"/>
  <c r="J782" i="4"/>
  <c r="I782" i="4"/>
  <c r="J781" i="4"/>
  <c r="I781" i="4"/>
  <c r="J780" i="4"/>
  <c r="I780" i="4"/>
  <c r="J779" i="4"/>
  <c r="I779" i="4"/>
  <c r="J778" i="4"/>
  <c r="I778" i="4"/>
  <c r="H777" i="4"/>
  <c r="I776" i="4"/>
  <c r="I775" i="4"/>
  <c r="I774" i="4"/>
  <c r="I759" i="4" s="1"/>
  <c r="I772" i="4"/>
  <c r="K772" i="4" s="1"/>
  <c r="I770" i="4"/>
  <c r="K770" i="4" s="1"/>
  <c r="U768" i="4"/>
  <c r="T768" i="4"/>
  <c r="P768" i="4"/>
  <c r="O768" i="4"/>
  <c r="U767" i="4"/>
  <c r="T767" i="4"/>
  <c r="P767" i="4"/>
  <c r="O767" i="4"/>
  <c r="S766" i="4"/>
  <c r="R766" i="4"/>
  <c r="U766" i="4" s="1"/>
  <c r="Q766" i="4"/>
  <c r="T766" i="4" s="1"/>
  <c r="N766" i="4"/>
  <c r="M766" i="4"/>
  <c r="P766" i="4" s="1"/>
  <c r="L766" i="4"/>
  <c r="O766" i="4" s="1"/>
  <c r="S765" i="4"/>
  <c r="S763" i="4" s="1"/>
  <c r="R765" i="4"/>
  <c r="R763" i="4" s="1"/>
  <c r="Q765" i="4"/>
  <c r="P765" i="4"/>
  <c r="O765" i="4"/>
  <c r="U764" i="4"/>
  <c r="T764" i="4"/>
  <c r="P764" i="4"/>
  <c r="O764" i="4"/>
  <c r="N763" i="4"/>
  <c r="M763" i="4"/>
  <c r="P763" i="4" s="1"/>
  <c r="L763" i="4"/>
  <c r="O763" i="4" s="1"/>
  <c r="N762" i="4"/>
  <c r="M762" i="4"/>
  <c r="P762" i="4" s="1"/>
  <c r="L762" i="4"/>
  <c r="S761" i="4"/>
  <c r="R761" i="4"/>
  <c r="U761" i="4" s="1"/>
  <c r="Q761" i="4"/>
  <c r="T761" i="4" s="1"/>
  <c r="P761" i="4"/>
  <c r="N761" i="4"/>
  <c r="M761" i="4"/>
  <c r="L761" i="4"/>
  <c r="O761" i="4" s="1"/>
  <c r="N760" i="4"/>
  <c r="J759" i="4"/>
  <c r="J758" i="4"/>
  <c r="I755" i="4"/>
  <c r="K755" i="4" s="1"/>
  <c r="I752" i="4"/>
  <c r="K752" i="4" s="1"/>
  <c r="I749" i="4"/>
  <c r="K749" i="4" s="1"/>
  <c r="I746" i="4"/>
  <c r="K746" i="4" s="1"/>
  <c r="I744" i="4"/>
  <c r="K744" i="4" s="1"/>
  <c r="I742" i="4"/>
  <c r="K742" i="4" s="1"/>
  <c r="I740" i="4"/>
  <c r="K740" i="4" s="1"/>
  <c r="U736" i="4"/>
  <c r="T736" i="4"/>
  <c r="P736" i="4"/>
  <c r="O736" i="4"/>
  <c r="U735" i="4"/>
  <c r="T735" i="4"/>
  <c r="P735" i="4"/>
  <c r="O735" i="4"/>
  <c r="T734" i="4"/>
  <c r="S734" i="4"/>
  <c r="R734" i="4"/>
  <c r="U734" i="4" s="1"/>
  <c r="Q734" i="4"/>
  <c r="N734" i="4"/>
  <c r="M734" i="4"/>
  <c r="P734" i="4" s="1"/>
  <c r="L734" i="4"/>
  <c r="O734" i="4" s="1"/>
  <c r="S733" i="4"/>
  <c r="S730" i="4" s="1"/>
  <c r="R733" i="4"/>
  <c r="R731" i="4" s="1"/>
  <c r="Q733" i="4"/>
  <c r="Q731" i="4" s="1"/>
  <c r="P733" i="4"/>
  <c r="O733" i="4"/>
  <c r="U732" i="4"/>
  <c r="T732" i="4"/>
  <c r="P732" i="4"/>
  <c r="O732" i="4"/>
  <c r="N731" i="4"/>
  <c r="M731" i="4"/>
  <c r="P731" i="4" s="1"/>
  <c r="L731" i="4"/>
  <c r="O731" i="4" s="1"/>
  <c r="N730" i="4"/>
  <c r="M730" i="4"/>
  <c r="P730" i="4" s="1"/>
  <c r="L730" i="4"/>
  <c r="O730" i="4" s="1"/>
  <c r="U729" i="4"/>
  <c r="S729" i="4"/>
  <c r="R729" i="4"/>
  <c r="Q729" i="4"/>
  <c r="T729" i="4" s="1"/>
  <c r="N729" i="4"/>
  <c r="M729" i="4"/>
  <c r="P729" i="4" s="1"/>
  <c r="L729" i="4"/>
  <c r="O729" i="4" s="1"/>
  <c r="J727" i="4"/>
  <c r="I727" i="4"/>
  <c r="J726" i="4"/>
  <c r="I726" i="4"/>
  <c r="U722" i="4"/>
  <c r="T722" i="4"/>
  <c r="P722" i="4"/>
  <c r="O722" i="4"/>
  <c r="U721" i="4"/>
  <c r="T721" i="4"/>
  <c r="P721" i="4"/>
  <c r="O721" i="4"/>
  <c r="S720" i="4"/>
  <c r="R720" i="4"/>
  <c r="U720" i="4" s="1"/>
  <c r="Q720" i="4"/>
  <c r="T720" i="4" s="1"/>
  <c r="N720" i="4"/>
  <c r="M720" i="4"/>
  <c r="P720" i="4" s="1"/>
  <c r="L720" i="4"/>
  <c r="O720" i="4" s="1"/>
  <c r="U719" i="4"/>
  <c r="T719" i="4"/>
  <c r="P719" i="4"/>
  <c r="O719" i="4"/>
  <c r="U718" i="4"/>
  <c r="T718" i="4"/>
  <c r="P718" i="4"/>
  <c r="O718" i="4"/>
  <c r="S717" i="4"/>
  <c r="R717" i="4"/>
  <c r="U717" i="4" s="1"/>
  <c r="Q717" i="4"/>
  <c r="T717" i="4" s="1"/>
  <c r="N717" i="4"/>
  <c r="M717" i="4"/>
  <c r="P717" i="4" s="1"/>
  <c r="L717" i="4"/>
  <c r="O717" i="4" s="1"/>
  <c r="S716" i="4"/>
  <c r="R716" i="4"/>
  <c r="U716" i="4" s="1"/>
  <c r="Q716" i="4"/>
  <c r="N716" i="4"/>
  <c r="M716" i="4"/>
  <c r="P716" i="4" s="1"/>
  <c r="L716" i="4"/>
  <c r="O716" i="4" s="1"/>
  <c r="S715" i="4"/>
  <c r="S714" i="4" s="1"/>
  <c r="R715" i="4"/>
  <c r="U715" i="4" s="1"/>
  <c r="Q715" i="4"/>
  <c r="T715" i="4" s="1"/>
  <c r="N715" i="4"/>
  <c r="N714" i="4" s="1"/>
  <c r="M715" i="4"/>
  <c r="P715" i="4" s="1"/>
  <c r="L715" i="4"/>
  <c r="O715" i="4" s="1"/>
  <c r="K712" i="4"/>
  <c r="J712" i="4"/>
  <c r="K710" i="4"/>
  <c r="J710" i="4"/>
  <c r="J709" i="4"/>
  <c r="I709" i="4"/>
  <c r="K708" i="4"/>
  <c r="J708" i="4"/>
  <c r="J707" i="4"/>
  <c r="J689" i="4" s="1"/>
  <c r="I707" i="4"/>
  <c r="I689" i="4" s="1"/>
  <c r="K706" i="4"/>
  <c r="J706" i="4"/>
  <c r="J705" i="4"/>
  <c r="I705" i="4"/>
  <c r="K704" i="4"/>
  <c r="J704" i="4"/>
  <c r="J703" i="4"/>
  <c r="I703" i="4"/>
  <c r="K702" i="4"/>
  <c r="I700" i="4"/>
  <c r="K700" i="4" s="1"/>
  <c r="U698" i="4"/>
  <c r="T698" i="4"/>
  <c r="P698" i="4"/>
  <c r="O698" i="4"/>
  <c r="U697" i="4"/>
  <c r="T697" i="4"/>
  <c r="P697" i="4"/>
  <c r="O697" i="4"/>
  <c r="S696" i="4"/>
  <c r="R696" i="4"/>
  <c r="U696" i="4" s="1"/>
  <c r="Q696" i="4"/>
  <c r="T696" i="4" s="1"/>
  <c r="P696" i="4"/>
  <c r="N696" i="4"/>
  <c r="M696" i="4"/>
  <c r="L696" i="4"/>
  <c r="O696" i="4" s="1"/>
  <c r="S695" i="4"/>
  <c r="S693" i="4" s="1"/>
  <c r="R695" i="4"/>
  <c r="R693" i="4" s="1"/>
  <c r="Q695" i="4"/>
  <c r="Q693" i="4" s="1"/>
  <c r="P695" i="4"/>
  <c r="O695" i="4"/>
  <c r="U694" i="4"/>
  <c r="T694" i="4"/>
  <c r="P694" i="4"/>
  <c r="O694" i="4"/>
  <c r="O693" i="4"/>
  <c r="N693" i="4"/>
  <c r="M693" i="4"/>
  <c r="P693" i="4" s="1"/>
  <c r="L693" i="4"/>
  <c r="N692" i="4"/>
  <c r="M692" i="4"/>
  <c r="L692" i="4"/>
  <c r="O692" i="4" s="1"/>
  <c r="S691" i="4"/>
  <c r="R691" i="4"/>
  <c r="U691" i="4" s="1"/>
  <c r="Q691" i="4"/>
  <c r="O691" i="4"/>
  <c r="N691" i="4"/>
  <c r="M691" i="4"/>
  <c r="P691" i="4" s="1"/>
  <c r="L691" i="4"/>
  <c r="L690" i="4"/>
  <c r="O690" i="4" s="1"/>
  <c r="J682" i="4"/>
  <c r="I682" i="4"/>
  <c r="K682" i="4" s="1"/>
  <c r="J681" i="4"/>
  <c r="I681" i="4"/>
  <c r="K681" i="4" s="1"/>
  <c r="J680" i="4"/>
  <c r="J679" i="4"/>
  <c r="I679" i="4"/>
  <c r="K679" i="4" s="1"/>
  <c r="J678" i="4"/>
  <c r="I678" i="4"/>
  <c r="K678" i="4" s="1"/>
  <c r="J677" i="4"/>
  <c r="J676" i="4"/>
  <c r="I676" i="4"/>
  <c r="K676" i="4" s="1"/>
  <c r="I675" i="4"/>
  <c r="K675" i="4" s="1"/>
  <c r="I674" i="4"/>
  <c r="K674" i="4" s="1"/>
  <c r="J673" i="4"/>
  <c r="I673" i="4"/>
  <c r="J672" i="4"/>
  <c r="J671" i="4"/>
  <c r="J661" i="4"/>
  <c r="I661" i="4"/>
  <c r="K661" i="4" s="1"/>
  <c r="I660" i="4"/>
  <c r="I657" i="4"/>
  <c r="J654" i="4"/>
  <c r="I654" i="4"/>
  <c r="K654" i="4" s="1"/>
  <c r="J653" i="4"/>
  <c r="I653" i="4"/>
  <c r="J652" i="4"/>
  <c r="I652" i="4"/>
  <c r="K652" i="4" s="1"/>
  <c r="U650" i="4"/>
  <c r="T650" i="4"/>
  <c r="P650" i="4"/>
  <c r="O650" i="4"/>
  <c r="U649" i="4"/>
  <c r="T649" i="4"/>
  <c r="P649" i="4"/>
  <c r="O649" i="4"/>
  <c r="T648" i="4"/>
  <c r="S648" i="4"/>
  <c r="R648" i="4"/>
  <c r="U648" i="4" s="1"/>
  <c r="Q648" i="4"/>
  <c r="N648" i="4"/>
  <c r="M648" i="4"/>
  <c r="P648" i="4" s="1"/>
  <c r="L648" i="4"/>
  <c r="O648" i="4" s="1"/>
  <c r="S647" i="4"/>
  <c r="S645" i="4" s="1"/>
  <c r="R647" i="4"/>
  <c r="R645" i="4" s="1"/>
  <c r="Q647" i="4"/>
  <c r="Q645" i="4" s="1"/>
  <c r="P647" i="4"/>
  <c r="O647" i="4"/>
  <c r="U646" i="4"/>
  <c r="T646" i="4"/>
  <c r="P646" i="4"/>
  <c r="O646" i="4"/>
  <c r="N645" i="4"/>
  <c r="M645" i="4"/>
  <c r="P645" i="4" s="1"/>
  <c r="L645" i="4"/>
  <c r="O645" i="4" s="1"/>
  <c r="N644" i="4"/>
  <c r="M644" i="4"/>
  <c r="P644" i="4" s="1"/>
  <c r="L644" i="4"/>
  <c r="O644" i="4" s="1"/>
  <c r="U643" i="4"/>
  <c r="S643" i="4"/>
  <c r="R643" i="4"/>
  <c r="Q643" i="4"/>
  <c r="N643" i="4"/>
  <c r="M643" i="4"/>
  <c r="P643" i="4" s="1"/>
  <c r="L643" i="4"/>
  <c r="L642" i="4" s="1"/>
  <c r="O642" i="4" s="1"/>
  <c r="J636" i="4"/>
  <c r="J635" i="4" s="1"/>
  <c r="I635" i="4"/>
  <c r="K635" i="4" s="1"/>
  <c r="J632" i="4"/>
  <c r="I628" i="4"/>
  <c r="K628" i="4" s="1"/>
  <c r="I627" i="4"/>
  <c r="K627" i="4" s="1"/>
  <c r="J626" i="4"/>
  <c r="J615" i="4" s="1"/>
  <c r="I626" i="4"/>
  <c r="K630" i="4" s="1"/>
  <c r="U624" i="4"/>
  <c r="T624" i="4"/>
  <c r="P624" i="4"/>
  <c r="O624" i="4"/>
  <c r="U623" i="4"/>
  <c r="T623" i="4"/>
  <c r="P623" i="4"/>
  <c r="O623" i="4"/>
  <c r="S622" i="4"/>
  <c r="R622" i="4"/>
  <c r="U622" i="4" s="1"/>
  <c r="Q622" i="4"/>
  <c r="T622" i="4" s="1"/>
  <c r="N622" i="4"/>
  <c r="M622" i="4"/>
  <c r="P622" i="4" s="1"/>
  <c r="L622" i="4"/>
  <c r="O622" i="4" s="1"/>
  <c r="S621" i="4"/>
  <c r="R621" i="4"/>
  <c r="R619" i="4" s="1"/>
  <c r="Q621" i="4"/>
  <c r="Q619" i="4" s="1"/>
  <c r="P621" i="4"/>
  <c r="O621" i="4"/>
  <c r="U620" i="4"/>
  <c r="T620" i="4"/>
  <c r="P620" i="4"/>
  <c r="O620" i="4"/>
  <c r="N619" i="4"/>
  <c r="M619" i="4"/>
  <c r="P619" i="4" s="1"/>
  <c r="L619" i="4"/>
  <c r="O619" i="4" s="1"/>
  <c r="P618" i="4"/>
  <c r="N618" i="4"/>
  <c r="M618" i="4"/>
  <c r="L618" i="4"/>
  <c r="O618" i="4" s="1"/>
  <c r="S617" i="4"/>
  <c r="R617" i="4"/>
  <c r="U617" i="4" s="1"/>
  <c r="Q617" i="4"/>
  <c r="T617" i="4" s="1"/>
  <c r="N617" i="4"/>
  <c r="M617" i="4"/>
  <c r="M616" i="4" s="1"/>
  <c r="P616" i="4" s="1"/>
  <c r="L617" i="4"/>
  <c r="O617" i="4" s="1"/>
  <c r="S607" i="4"/>
  <c r="S605" i="4" s="1"/>
  <c r="R607" i="4"/>
  <c r="U607" i="4" s="1"/>
  <c r="Q607" i="4"/>
  <c r="T607" i="4" s="1"/>
  <c r="N607" i="4"/>
  <c r="N605" i="4" s="1"/>
  <c r="M607" i="4"/>
  <c r="P607" i="4" s="1"/>
  <c r="L607" i="4"/>
  <c r="O607" i="4" s="1"/>
  <c r="U606" i="4"/>
  <c r="T606" i="4"/>
  <c r="P606" i="4"/>
  <c r="O606" i="4"/>
  <c r="S604" i="4"/>
  <c r="R604" i="4"/>
  <c r="U604" i="4" s="1"/>
  <c r="Q604" i="4"/>
  <c r="T604" i="4" s="1"/>
  <c r="N604" i="4"/>
  <c r="M604" i="4"/>
  <c r="P604" i="4" s="1"/>
  <c r="L604" i="4"/>
  <c r="U603" i="4"/>
  <c r="T603" i="4"/>
  <c r="P603" i="4"/>
  <c r="O603" i="4"/>
  <c r="U600" i="4"/>
  <c r="S600" i="4"/>
  <c r="R600" i="4"/>
  <c r="Q600" i="4"/>
  <c r="T600" i="4" s="1"/>
  <c r="O600" i="4"/>
  <c r="N600" i="4"/>
  <c r="M600" i="4"/>
  <c r="L600" i="4"/>
  <c r="U584" i="4"/>
  <c r="T584" i="4"/>
  <c r="N584" i="4"/>
  <c r="N582" i="4" s="1"/>
  <c r="M584" i="4"/>
  <c r="P584" i="4" s="1"/>
  <c r="L584" i="4"/>
  <c r="L582" i="4" s="1"/>
  <c r="O582" i="4" s="1"/>
  <c r="U583" i="4"/>
  <c r="T583" i="4"/>
  <c r="P583" i="4"/>
  <c r="O583" i="4"/>
  <c r="S582" i="4"/>
  <c r="R582" i="4"/>
  <c r="U582" i="4" s="1"/>
  <c r="Q582" i="4"/>
  <c r="T582" i="4" s="1"/>
  <c r="U581" i="4"/>
  <c r="T581" i="4"/>
  <c r="N581" i="4"/>
  <c r="N579" i="4" s="1"/>
  <c r="M581" i="4"/>
  <c r="L581" i="4"/>
  <c r="O581" i="4" s="1"/>
  <c r="U580" i="4"/>
  <c r="T580" i="4"/>
  <c r="P580" i="4"/>
  <c r="O580" i="4"/>
  <c r="S579" i="4"/>
  <c r="R579" i="4"/>
  <c r="U579" i="4" s="1"/>
  <c r="Q579" i="4"/>
  <c r="T579" i="4" s="1"/>
  <c r="S578" i="4"/>
  <c r="R578" i="4"/>
  <c r="U578" i="4" s="1"/>
  <c r="Q578" i="4"/>
  <c r="T578" i="4" s="1"/>
  <c r="S577" i="4"/>
  <c r="R577" i="4"/>
  <c r="Q577" i="4"/>
  <c r="T577" i="4" s="1"/>
  <c r="N577" i="4"/>
  <c r="M577" i="4"/>
  <c r="P577" i="4" s="1"/>
  <c r="L577" i="4"/>
  <c r="J575" i="4"/>
  <c r="I575" i="4"/>
  <c r="K575" i="4" s="1"/>
  <c r="U563" i="4"/>
  <c r="T563" i="4"/>
  <c r="N563" i="4"/>
  <c r="N561" i="4" s="1"/>
  <c r="M563" i="4"/>
  <c r="P563" i="4" s="1"/>
  <c r="L563" i="4"/>
  <c r="O563" i="4" s="1"/>
  <c r="U562" i="4"/>
  <c r="T562" i="4"/>
  <c r="P562" i="4"/>
  <c r="O562" i="4"/>
  <c r="S561" i="4"/>
  <c r="R561" i="4"/>
  <c r="U561" i="4" s="1"/>
  <c r="Q561" i="4"/>
  <c r="T561" i="4" s="1"/>
  <c r="U560" i="4"/>
  <c r="T560" i="4"/>
  <c r="N560" i="4"/>
  <c r="N558" i="4" s="1"/>
  <c r="M560" i="4"/>
  <c r="P560" i="4" s="1"/>
  <c r="L560" i="4"/>
  <c r="O560" i="4" s="1"/>
  <c r="U559" i="4"/>
  <c r="T559" i="4"/>
  <c r="P559" i="4"/>
  <c r="O559" i="4"/>
  <c r="S558" i="4"/>
  <c r="R558" i="4"/>
  <c r="U558" i="4" s="1"/>
  <c r="Q558" i="4"/>
  <c r="T558" i="4" s="1"/>
  <c r="S557" i="4"/>
  <c r="R557" i="4"/>
  <c r="U557" i="4" s="1"/>
  <c r="Q557" i="4"/>
  <c r="T557" i="4" s="1"/>
  <c r="S556" i="4"/>
  <c r="R556" i="4"/>
  <c r="Q556" i="4"/>
  <c r="T556" i="4" s="1"/>
  <c r="N556" i="4"/>
  <c r="M556" i="4"/>
  <c r="P556" i="4" s="1"/>
  <c r="L556" i="4"/>
  <c r="O556" i="4" s="1"/>
  <c r="J554" i="4"/>
  <c r="I554" i="4"/>
  <c r="K554" i="4" s="1"/>
  <c r="U542" i="4"/>
  <c r="T542" i="4"/>
  <c r="N542" i="4"/>
  <c r="M542" i="4"/>
  <c r="L542" i="4"/>
  <c r="L540" i="4" s="1"/>
  <c r="O540" i="4" s="1"/>
  <c r="U541" i="4"/>
  <c r="T541" i="4"/>
  <c r="P541" i="4"/>
  <c r="O541" i="4"/>
  <c r="S540" i="4"/>
  <c r="R540" i="4"/>
  <c r="U540" i="4" s="1"/>
  <c r="Q540" i="4"/>
  <c r="T540" i="4" s="1"/>
  <c r="U539" i="4"/>
  <c r="T539" i="4"/>
  <c r="N539" i="4"/>
  <c r="N537" i="4" s="1"/>
  <c r="M539" i="4"/>
  <c r="L539" i="4"/>
  <c r="O539" i="4" s="1"/>
  <c r="U538" i="4"/>
  <c r="T538" i="4"/>
  <c r="P538" i="4"/>
  <c r="O538" i="4"/>
  <c r="S537" i="4"/>
  <c r="R537" i="4"/>
  <c r="U537" i="4" s="1"/>
  <c r="Q537" i="4"/>
  <c r="T537" i="4" s="1"/>
  <c r="S536" i="4"/>
  <c r="R536" i="4"/>
  <c r="Q536" i="4"/>
  <c r="T536" i="4" s="1"/>
  <c r="S535" i="4"/>
  <c r="R535" i="4"/>
  <c r="U535" i="4" s="1"/>
  <c r="Q535" i="4"/>
  <c r="N535" i="4"/>
  <c r="M535" i="4"/>
  <c r="P535" i="4" s="1"/>
  <c r="L535" i="4"/>
  <c r="O535" i="4" s="1"/>
  <c r="J533" i="4"/>
  <c r="I533" i="4"/>
  <c r="K533" i="4" s="1"/>
  <c r="K524" i="4"/>
  <c r="K523" i="4"/>
  <c r="U521" i="4"/>
  <c r="T521" i="4"/>
  <c r="N521" i="4"/>
  <c r="N519" i="4" s="1"/>
  <c r="M521" i="4"/>
  <c r="P521" i="4" s="1"/>
  <c r="L521" i="4"/>
  <c r="U520" i="4"/>
  <c r="T520" i="4"/>
  <c r="P520" i="4"/>
  <c r="O520" i="4"/>
  <c r="S519" i="4"/>
  <c r="R519" i="4"/>
  <c r="U519" i="4" s="1"/>
  <c r="Q519" i="4"/>
  <c r="T519" i="4" s="1"/>
  <c r="U518" i="4"/>
  <c r="T518" i="4"/>
  <c r="N518" i="4"/>
  <c r="M518" i="4"/>
  <c r="M516" i="4" s="1"/>
  <c r="P516" i="4" s="1"/>
  <c r="L518" i="4"/>
  <c r="U517" i="4"/>
  <c r="T517" i="4"/>
  <c r="P517" i="4"/>
  <c r="O517" i="4"/>
  <c r="S516" i="4"/>
  <c r="R516" i="4"/>
  <c r="U516" i="4" s="1"/>
  <c r="Q516" i="4"/>
  <c r="T516" i="4" s="1"/>
  <c r="S515" i="4"/>
  <c r="R515" i="4"/>
  <c r="U515" i="4" s="1"/>
  <c r="Q515" i="4"/>
  <c r="T515" i="4" s="1"/>
  <c r="S514" i="4"/>
  <c r="R514" i="4"/>
  <c r="U514" i="4" s="1"/>
  <c r="Q514" i="4"/>
  <c r="T514" i="4" s="1"/>
  <c r="N514" i="4"/>
  <c r="M514" i="4"/>
  <c r="P514" i="4" s="1"/>
  <c r="L514" i="4"/>
  <c r="O514" i="4" s="1"/>
  <c r="J512" i="4"/>
  <c r="I512" i="4"/>
  <c r="K512" i="4" s="1"/>
  <c r="I509" i="4"/>
  <c r="K509" i="4" s="1"/>
  <c r="K508" i="4"/>
  <c r="I507" i="4"/>
  <c r="K507" i="4" s="1"/>
  <c r="I506" i="4"/>
  <c r="K506" i="4" s="1"/>
  <c r="I505" i="4"/>
  <c r="K505" i="4" s="1"/>
  <c r="I504" i="4"/>
  <c r="I503" i="4"/>
  <c r="K503" i="4" s="1"/>
  <c r="U501" i="4"/>
  <c r="T501" i="4"/>
  <c r="N501" i="4"/>
  <c r="N499" i="4" s="1"/>
  <c r="M501" i="4"/>
  <c r="L501" i="4"/>
  <c r="O501" i="4" s="1"/>
  <c r="U500" i="4"/>
  <c r="T500" i="4"/>
  <c r="P500" i="4"/>
  <c r="O500" i="4"/>
  <c r="S499" i="4"/>
  <c r="R499" i="4"/>
  <c r="U499" i="4" s="1"/>
  <c r="Q499" i="4"/>
  <c r="T499" i="4" s="1"/>
  <c r="S498" i="4"/>
  <c r="S495" i="4" s="1"/>
  <c r="R498" i="4"/>
  <c r="R495" i="4" s="1"/>
  <c r="U495" i="4" s="1"/>
  <c r="Q498" i="4"/>
  <c r="Q495" i="4" s="1"/>
  <c r="N498" i="4"/>
  <c r="N496" i="4" s="1"/>
  <c r="M498" i="4"/>
  <c r="L498" i="4"/>
  <c r="O498" i="4" s="1"/>
  <c r="U497" i="4"/>
  <c r="T497" i="4"/>
  <c r="P497" i="4"/>
  <c r="O497" i="4"/>
  <c r="S494" i="4"/>
  <c r="R494" i="4"/>
  <c r="Q494" i="4"/>
  <c r="T494" i="4" s="1"/>
  <c r="N494" i="4"/>
  <c r="M494" i="4"/>
  <c r="P494" i="4" s="1"/>
  <c r="L494" i="4"/>
  <c r="O494" i="4" s="1"/>
  <c r="J485" i="4"/>
  <c r="I485" i="4"/>
  <c r="K485" i="4" s="1"/>
  <c r="J484" i="4"/>
  <c r="I484" i="4"/>
  <c r="K484" i="4" s="1"/>
  <c r="J483" i="4"/>
  <c r="J482" i="4"/>
  <c r="K477" i="4"/>
  <c r="J477" i="4"/>
  <c r="K476" i="4"/>
  <c r="J476" i="4"/>
  <c r="K475" i="4"/>
  <c r="J475" i="4"/>
  <c r="J468" i="4"/>
  <c r="J467" i="4"/>
  <c r="J460" i="4"/>
  <c r="J459" i="4"/>
  <c r="I458" i="4"/>
  <c r="K458" i="4" s="1"/>
  <c r="I457" i="4"/>
  <c r="I456" i="4" s="1"/>
  <c r="J447" i="4"/>
  <c r="J441" i="4" s="1"/>
  <c r="J446" i="4"/>
  <c r="I441" i="4"/>
  <c r="K441" i="4" s="1"/>
  <c r="J440" i="4"/>
  <c r="J423" i="4" s="1"/>
  <c r="J412" i="4" s="1"/>
  <c r="I440" i="4"/>
  <c r="K440" i="4" s="1"/>
  <c r="J433" i="4"/>
  <c r="I433" i="4"/>
  <c r="K433" i="4" s="1"/>
  <c r="J432" i="4"/>
  <c r="I432" i="4"/>
  <c r="K432" i="4" s="1"/>
  <c r="J425" i="4"/>
  <c r="I425" i="4"/>
  <c r="K425" i="4" s="1"/>
  <c r="J424" i="4"/>
  <c r="I424" i="4"/>
  <c r="K424" i="4" s="1"/>
  <c r="U421" i="4"/>
  <c r="T421" i="4"/>
  <c r="N421" i="4"/>
  <c r="N419" i="4" s="1"/>
  <c r="M421" i="4"/>
  <c r="P421" i="4" s="1"/>
  <c r="L421" i="4"/>
  <c r="O421" i="4" s="1"/>
  <c r="U420" i="4"/>
  <c r="T420" i="4"/>
  <c r="P420" i="4"/>
  <c r="O420" i="4"/>
  <c r="S419" i="4"/>
  <c r="R419" i="4"/>
  <c r="U419" i="4" s="1"/>
  <c r="Q419" i="4"/>
  <c r="T419" i="4" s="1"/>
  <c r="S418" i="4"/>
  <c r="R418" i="4"/>
  <c r="R416" i="4" s="1"/>
  <c r="Q418" i="4"/>
  <c r="Q416" i="4" s="1"/>
  <c r="N418" i="4"/>
  <c r="M418" i="4"/>
  <c r="L418" i="4"/>
  <c r="L416" i="4" s="1"/>
  <c r="U417" i="4"/>
  <c r="T417" i="4"/>
  <c r="P417" i="4"/>
  <c r="O417" i="4"/>
  <c r="S414" i="4"/>
  <c r="R414" i="4"/>
  <c r="Q414" i="4"/>
  <c r="T414" i="4" s="1"/>
  <c r="O414" i="4"/>
  <c r="N414" i="4"/>
  <c r="M414" i="4"/>
  <c r="P414" i="4" s="1"/>
  <c r="L414" i="4"/>
  <c r="U400" i="4"/>
  <c r="T400" i="4"/>
  <c r="P400" i="4"/>
  <c r="O400" i="4"/>
  <c r="U399" i="4"/>
  <c r="T399" i="4"/>
  <c r="P399" i="4"/>
  <c r="O399" i="4"/>
  <c r="S398" i="4"/>
  <c r="R398" i="4"/>
  <c r="U398" i="4" s="1"/>
  <c r="Q398" i="4"/>
  <c r="T398" i="4" s="1"/>
  <c r="N398" i="4"/>
  <c r="M398" i="4"/>
  <c r="P398" i="4" s="1"/>
  <c r="L398" i="4"/>
  <c r="O398" i="4" s="1"/>
  <c r="S397" i="4"/>
  <c r="S395" i="4" s="1"/>
  <c r="R397" i="4"/>
  <c r="U397" i="4" s="1"/>
  <c r="Q397" i="4"/>
  <c r="P397" i="4"/>
  <c r="O397" i="4"/>
  <c r="U396" i="4"/>
  <c r="T396" i="4"/>
  <c r="P396" i="4"/>
  <c r="O396" i="4"/>
  <c r="N395" i="4"/>
  <c r="M395" i="4"/>
  <c r="P395" i="4" s="1"/>
  <c r="L395" i="4"/>
  <c r="O395" i="4" s="1"/>
  <c r="P394" i="4"/>
  <c r="N394" i="4"/>
  <c r="M394" i="4"/>
  <c r="L394" i="4"/>
  <c r="O394" i="4" s="1"/>
  <c r="S393" i="4"/>
  <c r="R393" i="4"/>
  <c r="U393" i="4" s="1"/>
  <c r="Q393" i="4"/>
  <c r="T393" i="4" s="1"/>
  <c r="N393" i="4"/>
  <c r="M393" i="4"/>
  <c r="P393" i="4" s="1"/>
  <c r="L393" i="4"/>
  <c r="O393" i="4" s="1"/>
  <c r="J391" i="4"/>
  <c r="I391" i="4"/>
  <c r="K391" i="4" s="1"/>
  <c r="J388" i="4"/>
  <c r="I388" i="4"/>
  <c r="K388" i="4" s="1"/>
  <c r="K387" i="4"/>
  <c r="J387" i="4"/>
  <c r="J386" i="4"/>
  <c r="I386" i="4"/>
  <c r="K385" i="4"/>
  <c r="J385" i="4"/>
  <c r="U383" i="4"/>
  <c r="T383" i="4"/>
  <c r="N383" i="4"/>
  <c r="N381" i="4" s="1"/>
  <c r="M383" i="4"/>
  <c r="P383" i="4" s="1"/>
  <c r="L383" i="4"/>
  <c r="L381" i="4" s="1"/>
  <c r="O381" i="4" s="1"/>
  <c r="U382" i="4"/>
  <c r="T382" i="4"/>
  <c r="P382" i="4"/>
  <c r="O382" i="4"/>
  <c r="U381" i="4"/>
  <c r="S381" i="4"/>
  <c r="R381" i="4"/>
  <c r="Q381" i="4"/>
  <c r="T381" i="4" s="1"/>
  <c r="S380" i="4"/>
  <c r="S378" i="4" s="1"/>
  <c r="R380" i="4"/>
  <c r="R378" i="4" s="1"/>
  <c r="Q380" i="4"/>
  <c r="N380" i="4"/>
  <c r="M380" i="4"/>
  <c r="M378" i="4" s="1"/>
  <c r="L380" i="4"/>
  <c r="L378" i="4" s="1"/>
  <c r="U379" i="4"/>
  <c r="T379" i="4"/>
  <c r="P379" i="4"/>
  <c r="O379" i="4"/>
  <c r="S376" i="4"/>
  <c r="R376" i="4"/>
  <c r="U376" i="4" s="1"/>
  <c r="Q376" i="4"/>
  <c r="T376" i="4" s="1"/>
  <c r="N376" i="4"/>
  <c r="M376" i="4"/>
  <c r="P376" i="4" s="1"/>
  <c r="L376" i="4"/>
  <c r="O376" i="4" s="1"/>
  <c r="D373" i="4"/>
  <c r="K372" i="4"/>
  <c r="J372" i="4"/>
  <c r="J371" i="4"/>
  <c r="J365" i="4" s="1"/>
  <c r="I371" i="4"/>
  <c r="K370" i="4"/>
  <c r="J370" i="4"/>
  <c r="J369" i="4"/>
  <c r="I369" i="4"/>
  <c r="J368" i="4"/>
  <c r="I368" i="4"/>
  <c r="K367" i="4"/>
  <c r="J367" i="4"/>
  <c r="U364" i="4"/>
  <c r="T364" i="4"/>
  <c r="N364" i="4"/>
  <c r="N362" i="4" s="1"/>
  <c r="M364" i="4"/>
  <c r="M362" i="4" s="1"/>
  <c r="P362" i="4" s="1"/>
  <c r="L364" i="4"/>
  <c r="O364" i="4" s="1"/>
  <c r="U363" i="4"/>
  <c r="T363" i="4"/>
  <c r="P363" i="4"/>
  <c r="O363" i="4"/>
  <c r="S362" i="4"/>
  <c r="R362" i="4"/>
  <c r="U362" i="4" s="1"/>
  <c r="Q362" i="4"/>
  <c r="T362" i="4" s="1"/>
  <c r="U361" i="4"/>
  <c r="T361" i="4"/>
  <c r="N361" i="4"/>
  <c r="N359" i="4" s="1"/>
  <c r="M361" i="4"/>
  <c r="M359" i="4" s="1"/>
  <c r="L361" i="4"/>
  <c r="L359" i="4" s="1"/>
  <c r="U360" i="4"/>
  <c r="T360" i="4"/>
  <c r="P360" i="4"/>
  <c r="O360" i="4"/>
  <c r="S359" i="4"/>
  <c r="R359" i="4"/>
  <c r="U359" i="4" s="1"/>
  <c r="Q359" i="4"/>
  <c r="T359" i="4" s="1"/>
  <c r="S358" i="4"/>
  <c r="R358" i="4"/>
  <c r="U358" i="4" s="1"/>
  <c r="Q358" i="4"/>
  <c r="T358" i="4" s="1"/>
  <c r="U357" i="4"/>
  <c r="T357" i="4"/>
  <c r="S357" i="4"/>
  <c r="R357" i="4"/>
  <c r="Q357" i="4"/>
  <c r="O357" i="4"/>
  <c r="N357" i="4"/>
  <c r="M357" i="4"/>
  <c r="P357" i="4" s="1"/>
  <c r="L357" i="4"/>
  <c r="R356" i="4"/>
  <c r="U356" i="4" s="1"/>
  <c r="D354" i="4"/>
  <c r="J353" i="4"/>
  <c r="J352" i="4"/>
  <c r="D350" i="4"/>
  <c r="J349" i="4"/>
  <c r="J348" i="4"/>
  <c r="J347" i="4"/>
  <c r="J346" i="4"/>
  <c r="I346" i="4"/>
  <c r="J344" i="4"/>
  <c r="I344" i="4"/>
  <c r="I332" i="4" s="1"/>
  <c r="U341" i="4"/>
  <c r="T341" i="4"/>
  <c r="N341" i="4"/>
  <c r="M341" i="4"/>
  <c r="L341" i="4"/>
  <c r="O341" i="4" s="1"/>
  <c r="U340" i="4"/>
  <c r="T340" i="4"/>
  <c r="P340" i="4"/>
  <c r="O340" i="4"/>
  <c r="S339" i="4"/>
  <c r="R339" i="4"/>
  <c r="U339" i="4" s="1"/>
  <c r="Q339" i="4"/>
  <c r="T339" i="4" s="1"/>
  <c r="U338" i="4"/>
  <c r="T338" i="4"/>
  <c r="N338" i="4"/>
  <c r="N336" i="4" s="1"/>
  <c r="M338" i="4"/>
  <c r="M336" i="4" s="1"/>
  <c r="L338" i="4"/>
  <c r="U337" i="4"/>
  <c r="T337" i="4"/>
  <c r="P337" i="4"/>
  <c r="O337" i="4"/>
  <c r="S336" i="4"/>
  <c r="R336" i="4"/>
  <c r="U336" i="4" s="1"/>
  <c r="Q336" i="4"/>
  <c r="T336" i="4" s="1"/>
  <c r="S335" i="4"/>
  <c r="R335" i="4"/>
  <c r="U335" i="4" s="1"/>
  <c r="Q335" i="4"/>
  <c r="T335" i="4" s="1"/>
  <c r="S334" i="4"/>
  <c r="R334" i="4"/>
  <c r="U334" i="4" s="1"/>
  <c r="Q334" i="4"/>
  <c r="N334" i="4"/>
  <c r="M334" i="4"/>
  <c r="P334" i="4" s="1"/>
  <c r="L334" i="4"/>
  <c r="O334" i="4" s="1"/>
  <c r="I330" i="4"/>
  <c r="I319" i="4" s="1"/>
  <c r="K319" i="4" s="1"/>
  <c r="U328" i="4"/>
  <c r="T328" i="4"/>
  <c r="N328" i="4"/>
  <c r="M328" i="4"/>
  <c r="P328" i="4" s="1"/>
  <c r="L328" i="4"/>
  <c r="L326" i="4" s="1"/>
  <c r="O326" i="4" s="1"/>
  <c r="U327" i="4"/>
  <c r="T327" i="4"/>
  <c r="P327" i="4"/>
  <c r="O327" i="4"/>
  <c r="S326" i="4"/>
  <c r="R326" i="4"/>
  <c r="U326" i="4" s="1"/>
  <c r="Q326" i="4"/>
  <c r="T326" i="4" s="1"/>
  <c r="U325" i="4"/>
  <c r="T325" i="4"/>
  <c r="N325" i="4"/>
  <c r="N323" i="4" s="1"/>
  <c r="M325" i="4"/>
  <c r="P325" i="4" s="1"/>
  <c r="L325" i="4"/>
  <c r="L323" i="4" s="1"/>
  <c r="O323" i="4" s="1"/>
  <c r="U324" i="4"/>
  <c r="T324" i="4"/>
  <c r="P324" i="4"/>
  <c r="O324" i="4"/>
  <c r="S323" i="4"/>
  <c r="R323" i="4"/>
  <c r="U323" i="4" s="1"/>
  <c r="Q323" i="4"/>
  <c r="T323" i="4" s="1"/>
  <c r="S322" i="4"/>
  <c r="R322" i="4"/>
  <c r="U322" i="4" s="1"/>
  <c r="Q322" i="4"/>
  <c r="T322" i="4" s="1"/>
  <c r="U321" i="4"/>
  <c r="S321" i="4"/>
  <c r="R321" i="4"/>
  <c r="Q321" i="4"/>
  <c r="T321" i="4" s="1"/>
  <c r="N321" i="4"/>
  <c r="M321" i="4"/>
  <c r="L321" i="4"/>
  <c r="O321" i="4" s="1"/>
  <c r="J319" i="4"/>
  <c r="I314" i="4"/>
  <c r="K314" i="4" s="1"/>
  <c r="U311" i="4"/>
  <c r="T311" i="4"/>
  <c r="N311" i="4"/>
  <c r="N309" i="4" s="1"/>
  <c r="M311" i="4"/>
  <c r="P311" i="4" s="1"/>
  <c r="L311" i="4"/>
  <c r="O311" i="4" s="1"/>
  <c r="U310" i="4"/>
  <c r="T310" i="4"/>
  <c r="P310" i="4"/>
  <c r="O310" i="4"/>
  <c r="S309" i="4"/>
  <c r="R309" i="4"/>
  <c r="U309" i="4" s="1"/>
  <c r="Q309" i="4"/>
  <c r="T309" i="4" s="1"/>
  <c r="S308" i="4"/>
  <c r="S305" i="4" s="1"/>
  <c r="R308" i="4"/>
  <c r="Q308" i="4"/>
  <c r="Q306" i="4" s="1"/>
  <c r="N308" i="4"/>
  <c r="M308" i="4"/>
  <c r="L308" i="4"/>
  <c r="U307" i="4"/>
  <c r="T307" i="4"/>
  <c r="P307" i="4"/>
  <c r="O307" i="4"/>
  <c r="S304" i="4"/>
  <c r="R304" i="4"/>
  <c r="U304" i="4" s="1"/>
  <c r="Q304" i="4"/>
  <c r="T304" i="4" s="1"/>
  <c r="O304" i="4"/>
  <c r="N304" i="4"/>
  <c r="M304" i="4"/>
  <c r="P304" i="4" s="1"/>
  <c r="L304" i="4"/>
  <c r="J302" i="4"/>
  <c r="I296" i="4"/>
  <c r="K296" i="4" s="1"/>
  <c r="I295" i="4"/>
  <c r="K295" i="4" s="1"/>
  <c r="J293" i="4"/>
  <c r="J280" i="4" s="1"/>
  <c r="I293" i="4"/>
  <c r="I292" i="4"/>
  <c r="K292" i="4" s="1"/>
  <c r="U290" i="4"/>
  <c r="T290" i="4"/>
  <c r="N290" i="4"/>
  <c r="N288" i="4" s="1"/>
  <c r="M290" i="4"/>
  <c r="P290" i="4" s="1"/>
  <c r="L290" i="4"/>
  <c r="O290" i="4" s="1"/>
  <c r="U289" i="4"/>
  <c r="T289" i="4"/>
  <c r="P289" i="4"/>
  <c r="O289" i="4"/>
  <c r="U288" i="4"/>
  <c r="S288" i="4"/>
  <c r="R288" i="4"/>
  <c r="Q288" i="4"/>
  <c r="T288" i="4" s="1"/>
  <c r="U287" i="4"/>
  <c r="T287" i="4"/>
  <c r="N287" i="4"/>
  <c r="M287" i="4"/>
  <c r="M285" i="4" s="1"/>
  <c r="L287" i="4"/>
  <c r="L285" i="4" s="1"/>
  <c r="U286" i="4"/>
  <c r="T286" i="4"/>
  <c r="P286" i="4"/>
  <c r="O286" i="4"/>
  <c r="S285" i="4"/>
  <c r="R285" i="4"/>
  <c r="U285" i="4" s="1"/>
  <c r="Q285" i="4"/>
  <c r="T285" i="4" s="1"/>
  <c r="S284" i="4"/>
  <c r="R284" i="4"/>
  <c r="U284" i="4" s="1"/>
  <c r="Q284" i="4"/>
  <c r="T284" i="4" s="1"/>
  <c r="S283" i="4"/>
  <c r="R283" i="4"/>
  <c r="U283" i="4" s="1"/>
  <c r="Q283" i="4"/>
  <c r="N283" i="4"/>
  <c r="M283" i="4"/>
  <c r="P283" i="4" s="1"/>
  <c r="L283" i="4"/>
  <c r="O283" i="4" s="1"/>
  <c r="J281" i="4"/>
  <c r="I276" i="4"/>
  <c r="U274" i="4"/>
  <c r="T274" i="4"/>
  <c r="N274" i="4"/>
  <c r="N272" i="4" s="1"/>
  <c r="M274" i="4"/>
  <c r="P274" i="4" s="1"/>
  <c r="L274" i="4"/>
  <c r="U273" i="4"/>
  <c r="T273" i="4"/>
  <c r="P273" i="4"/>
  <c r="O273" i="4"/>
  <c r="S272" i="4"/>
  <c r="R272" i="4"/>
  <c r="U272" i="4" s="1"/>
  <c r="Q272" i="4"/>
  <c r="T272" i="4" s="1"/>
  <c r="S271" i="4"/>
  <c r="R271" i="4"/>
  <c r="R269" i="4" s="1"/>
  <c r="Q271" i="4"/>
  <c r="N271" i="4"/>
  <c r="N269" i="4" s="1"/>
  <c r="M271" i="4"/>
  <c r="L271" i="4"/>
  <c r="U270" i="4"/>
  <c r="T270" i="4"/>
  <c r="P270" i="4"/>
  <c r="O270" i="4"/>
  <c r="S267" i="4"/>
  <c r="R267" i="4"/>
  <c r="U267" i="4" s="1"/>
  <c r="Q267" i="4"/>
  <c r="T267" i="4" s="1"/>
  <c r="N267" i="4"/>
  <c r="M267" i="4"/>
  <c r="P267" i="4" s="1"/>
  <c r="L267" i="4"/>
  <c r="O267" i="4" s="1"/>
  <c r="J265" i="4"/>
  <c r="K263" i="4"/>
  <c r="K262" i="4"/>
  <c r="I260" i="4"/>
  <c r="K260" i="4" s="1"/>
  <c r="L258" i="4"/>
  <c r="L257" i="4"/>
  <c r="L256" i="4"/>
  <c r="L255" i="4"/>
  <c r="P254" i="4"/>
  <c r="N254" i="4"/>
  <c r="J253" i="4"/>
  <c r="I252" i="4"/>
  <c r="I251" i="4"/>
  <c r="K251" i="4" s="1"/>
  <c r="I249" i="4"/>
  <c r="I242" i="4" s="1"/>
  <c r="L247" i="4"/>
  <c r="L246" i="4"/>
  <c r="L245" i="4"/>
  <c r="L244" i="4"/>
  <c r="P243" i="4"/>
  <c r="N243" i="4"/>
  <c r="J242" i="4"/>
  <c r="J241" i="4"/>
  <c r="J240" i="4"/>
  <c r="J238" i="4"/>
  <c r="N236" i="4"/>
  <c r="N235" i="4"/>
  <c r="N234" i="4"/>
  <c r="N233" i="4"/>
  <c r="I230" i="4"/>
  <c r="I229" i="4"/>
  <c r="K229" i="4" s="1"/>
  <c r="I228" i="4"/>
  <c r="K228" i="4" s="1"/>
  <c r="L225" i="4"/>
  <c r="L224" i="4"/>
  <c r="L223" i="4"/>
  <c r="P222" i="4"/>
  <c r="N222" i="4"/>
  <c r="J221" i="4"/>
  <c r="I220" i="4"/>
  <c r="K220" i="4" s="1"/>
  <c r="I219" i="4"/>
  <c r="K219" i="4" s="1"/>
  <c r="Q217" i="4"/>
  <c r="Q214" i="4" s="1"/>
  <c r="L217" i="4"/>
  <c r="L216" i="4"/>
  <c r="L215" i="4"/>
  <c r="U214" i="4"/>
  <c r="S214" i="4"/>
  <c r="P214" i="4"/>
  <c r="N214" i="4"/>
  <c r="J213" i="4"/>
  <c r="I212" i="4"/>
  <c r="K212" i="4" s="1"/>
  <c r="I211" i="4"/>
  <c r="K211" i="4" s="1"/>
  <c r="I209" i="4"/>
  <c r="K209" i="4" s="1"/>
  <c r="L207" i="4"/>
  <c r="Q206" i="4"/>
  <c r="Q203" i="4" s="1"/>
  <c r="L206" i="4"/>
  <c r="L205" i="4"/>
  <c r="L204" i="4"/>
  <c r="U203" i="4"/>
  <c r="S203" i="4"/>
  <c r="P203" i="4"/>
  <c r="N203" i="4"/>
  <c r="J202" i="4"/>
  <c r="J199" i="4"/>
  <c r="I198" i="4"/>
  <c r="K198" i="4" s="1"/>
  <c r="P196" i="4"/>
  <c r="L196" i="4"/>
  <c r="O196" i="4" s="1"/>
  <c r="J195" i="4"/>
  <c r="S194" i="4"/>
  <c r="S192" i="4" s="1"/>
  <c r="R194" i="4"/>
  <c r="U194" i="4" s="1"/>
  <c r="Q194" i="4"/>
  <c r="Q192" i="4" s="1"/>
  <c r="T192" i="4" s="1"/>
  <c r="N194" i="4"/>
  <c r="N192" i="4" s="1"/>
  <c r="M194" i="4"/>
  <c r="M192" i="4" s="1"/>
  <c r="P192" i="4" s="1"/>
  <c r="L194" i="4"/>
  <c r="O194" i="4" s="1"/>
  <c r="U193" i="4"/>
  <c r="T193" i="4"/>
  <c r="P193" i="4"/>
  <c r="O193" i="4"/>
  <c r="S191" i="4"/>
  <c r="S189" i="4" s="1"/>
  <c r="R191" i="4"/>
  <c r="Q191" i="4"/>
  <c r="Q189" i="4" s="1"/>
  <c r="N191" i="4"/>
  <c r="M191" i="4"/>
  <c r="M189" i="4" s="1"/>
  <c r="L191" i="4"/>
  <c r="U190" i="4"/>
  <c r="T190" i="4"/>
  <c r="P190" i="4"/>
  <c r="O190" i="4"/>
  <c r="T187" i="4"/>
  <c r="S187" i="4"/>
  <c r="R187" i="4"/>
  <c r="Q187" i="4"/>
  <c r="N187" i="4"/>
  <c r="M187" i="4"/>
  <c r="P187" i="4" s="1"/>
  <c r="L187" i="4"/>
  <c r="K184" i="4"/>
  <c r="I183" i="4"/>
  <c r="K183" i="4" s="1"/>
  <c r="U181" i="4"/>
  <c r="T181" i="4"/>
  <c r="N181" i="4"/>
  <c r="N179" i="4" s="1"/>
  <c r="M181" i="4"/>
  <c r="P181" i="4" s="1"/>
  <c r="L181" i="4"/>
  <c r="L179" i="4" s="1"/>
  <c r="O179" i="4" s="1"/>
  <c r="U180" i="4"/>
  <c r="T180" i="4"/>
  <c r="P180" i="4"/>
  <c r="O180" i="4"/>
  <c r="U179" i="4"/>
  <c r="S179" i="4"/>
  <c r="R179" i="4"/>
  <c r="Q179" i="4"/>
  <c r="T179" i="4" s="1"/>
  <c r="S178" i="4"/>
  <c r="S175" i="4" s="1"/>
  <c r="R178" i="4"/>
  <c r="U178" i="4" s="1"/>
  <c r="Q178" i="4"/>
  <c r="Q176" i="4" s="1"/>
  <c r="T176" i="4" s="1"/>
  <c r="N178" i="4"/>
  <c r="N176" i="4" s="1"/>
  <c r="M178" i="4"/>
  <c r="L178" i="4"/>
  <c r="U177" i="4"/>
  <c r="T177" i="4"/>
  <c r="P177" i="4"/>
  <c r="O177" i="4"/>
  <c r="S174" i="4"/>
  <c r="R174" i="4"/>
  <c r="U174" i="4" s="1"/>
  <c r="Q174" i="4"/>
  <c r="T174" i="4" s="1"/>
  <c r="O174" i="4"/>
  <c r="N174" i="4"/>
  <c r="M174" i="4"/>
  <c r="P174" i="4" s="1"/>
  <c r="L174" i="4"/>
  <c r="J172" i="4"/>
  <c r="I169" i="4"/>
  <c r="K169" i="4" s="1"/>
  <c r="I168" i="4"/>
  <c r="K168" i="4" s="1"/>
  <c r="I167" i="4"/>
  <c r="K167" i="4" s="1"/>
  <c r="U165" i="4"/>
  <c r="T165" i="4"/>
  <c r="N165" i="4"/>
  <c r="N163" i="4" s="1"/>
  <c r="M165" i="4"/>
  <c r="P165" i="4" s="1"/>
  <c r="L165" i="4"/>
  <c r="U164" i="4"/>
  <c r="T164" i="4"/>
  <c r="P164" i="4"/>
  <c r="O164" i="4"/>
  <c r="S163" i="4"/>
  <c r="R163" i="4"/>
  <c r="U163" i="4" s="1"/>
  <c r="Q163" i="4"/>
  <c r="T163" i="4" s="1"/>
  <c r="S162" i="4"/>
  <c r="R162" i="4"/>
  <c r="R160" i="4" s="1"/>
  <c r="U160" i="4" s="1"/>
  <c r="Q162" i="4"/>
  <c r="T162" i="4" s="1"/>
  <c r="N162" i="4"/>
  <c r="N160" i="4" s="1"/>
  <c r="M162" i="4"/>
  <c r="L162" i="4"/>
  <c r="L160" i="4" s="1"/>
  <c r="O160" i="4" s="1"/>
  <c r="U161" i="4"/>
  <c r="T161" i="4"/>
  <c r="P161" i="4"/>
  <c r="O161" i="4"/>
  <c r="U158" i="4"/>
  <c r="S158" i="4"/>
  <c r="R158" i="4"/>
  <c r="Q158" i="4"/>
  <c r="N158" i="4"/>
  <c r="M158" i="4"/>
  <c r="P158" i="4" s="1"/>
  <c r="L158" i="4"/>
  <c r="O158" i="4" s="1"/>
  <c r="J156" i="4"/>
  <c r="I154" i="4"/>
  <c r="I153" i="4"/>
  <c r="I138" i="4" s="1"/>
  <c r="I152" i="4"/>
  <c r="K152" i="4" s="1"/>
  <c r="I151" i="4"/>
  <c r="K151" i="4" s="1"/>
  <c r="I150" i="4"/>
  <c r="K150" i="4" s="1"/>
  <c r="S147" i="4"/>
  <c r="R147" i="4"/>
  <c r="U147" i="4" s="1"/>
  <c r="Q147" i="4"/>
  <c r="Q145" i="4" s="1"/>
  <c r="T145" i="4" s="1"/>
  <c r="N147" i="4"/>
  <c r="N145" i="4" s="1"/>
  <c r="M147" i="4"/>
  <c r="P147" i="4" s="1"/>
  <c r="L147" i="4"/>
  <c r="U146" i="4"/>
  <c r="T146" i="4"/>
  <c r="P146" i="4"/>
  <c r="O146" i="4"/>
  <c r="S144" i="4"/>
  <c r="S142" i="4" s="1"/>
  <c r="R144" i="4"/>
  <c r="U144" i="4" s="1"/>
  <c r="Q144" i="4"/>
  <c r="Q142" i="4" s="1"/>
  <c r="N144" i="4"/>
  <c r="N142" i="4" s="1"/>
  <c r="M144" i="4"/>
  <c r="L144" i="4"/>
  <c r="U143" i="4"/>
  <c r="T143" i="4"/>
  <c r="P143" i="4"/>
  <c r="O143" i="4"/>
  <c r="S140" i="4"/>
  <c r="R140" i="4"/>
  <c r="U140" i="4" s="1"/>
  <c r="Q140" i="4"/>
  <c r="T140" i="4" s="1"/>
  <c r="N140" i="4"/>
  <c r="M140" i="4"/>
  <c r="P140" i="4" s="1"/>
  <c r="L140" i="4"/>
  <c r="O140" i="4" s="1"/>
  <c r="J138" i="4"/>
  <c r="J137" i="4"/>
  <c r="J136" i="4"/>
  <c r="I130" i="4"/>
  <c r="K130" i="4" s="1"/>
  <c r="I129" i="4"/>
  <c r="K129" i="4" s="1"/>
  <c r="I128" i="4"/>
  <c r="K128" i="4" s="1"/>
  <c r="I127" i="4"/>
  <c r="S125" i="4"/>
  <c r="S123" i="4" s="1"/>
  <c r="R125" i="4"/>
  <c r="U125" i="4" s="1"/>
  <c r="Q125" i="4"/>
  <c r="Q123" i="4" s="1"/>
  <c r="T123" i="4" s="1"/>
  <c r="N125" i="4"/>
  <c r="N123" i="4" s="1"/>
  <c r="M125" i="4"/>
  <c r="P125" i="4" s="1"/>
  <c r="L125" i="4"/>
  <c r="O125" i="4" s="1"/>
  <c r="U124" i="4"/>
  <c r="T124" i="4"/>
  <c r="P124" i="4"/>
  <c r="O124" i="4"/>
  <c r="S122" i="4"/>
  <c r="S120" i="4" s="1"/>
  <c r="R122" i="4"/>
  <c r="Q122" i="4"/>
  <c r="Q120" i="4" s="1"/>
  <c r="N122" i="4"/>
  <c r="N120" i="4" s="1"/>
  <c r="M122" i="4"/>
  <c r="P122" i="4" s="1"/>
  <c r="L122" i="4"/>
  <c r="O122" i="4" s="1"/>
  <c r="U121" i="4"/>
  <c r="T121" i="4"/>
  <c r="P121" i="4"/>
  <c r="O121" i="4"/>
  <c r="S118" i="4"/>
  <c r="R118" i="4"/>
  <c r="Q118" i="4"/>
  <c r="T118" i="4" s="1"/>
  <c r="N118" i="4"/>
  <c r="M118" i="4"/>
  <c r="P118" i="4" s="1"/>
  <c r="L118" i="4"/>
  <c r="O118" i="4" s="1"/>
  <c r="J116" i="4"/>
  <c r="I114" i="4"/>
  <c r="K114" i="4" s="1"/>
  <c r="I113" i="4"/>
  <c r="K113" i="4" s="1"/>
  <c r="I109" i="4"/>
  <c r="K109" i="4" s="1"/>
  <c r="I108" i="4"/>
  <c r="K108" i="4" s="1"/>
  <c r="U102" i="4"/>
  <c r="T102" i="4"/>
  <c r="N102" i="4"/>
  <c r="N100" i="4" s="1"/>
  <c r="M102" i="4"/>
  <c r="P102" i="4" s="1"/>
  <c r="L102" i="4"/>
  <c r="O102" i="4" s="1"/>
  <c r="U101" i="4"/>
  <c r="T101" i="4"/>
  <c r="P101" i="4"/>
  <c r="O101" i="4"/>
  <c r="S100" i="4"/>
  <c r="R100" i="4"/>
  <c r="U100" i="4" s="1"/>
  <c r="Q100" i="4"/>
  <c r="T100" i="4" s="1"/>
  <c r="S99" i="4"/>
  <c r="S96" i="4" s="1"/>
  <c r="R99" i="4"/>
  <c r="R97" i="4" s="1"/>
  <c r="Q99" i="4"/>
  <c r="N99" i="4"/>
  <c r="N97" i="4" s="1"/>
  <c r="M99" i="4"/>
  <c r="L99" i="4"/>
  <c r="O99" i="4" s="1"/>
  <c r="U98" i="4"/>
  <c r="T98" i="4"/>
  <c r="P98" i="4"/>
  <c r="O98" i="4"/>
  <c r="U95" i="4"/>
  <c r="S95" i="4"/>
  <c r="R95" i="4"/>
  <c r="Q95" i="4"/>
  <c r="T95" i="4" s="1"/>
  <c r="N95" i="4"/>
  <c r="M95" i="4"/>
  <c r="P95" i="4" s="1"/>
  <c r="L95" i="4"/>
  <c r="O95" i="4" s="1"/>
  <c r="J93" i="4"/>
  <c r="J92" i="4"/>
  <c r="I90" i="4"/>
  <c r="K90" i="4" s="1"/>
  <c r="I89" i="4"/>
  <c r="I88" i="4"/>
  <c r="K88" i="4" s="1"/>
  <c r="I87" i="4"/>
  <c r="K87" i="4" s="1"/>
  <c r="I86" i="4"/>
  <c r="I85" i="4"/>
  <c r="K85" i="4" s="1"/>
  <c r="I84" i="4"/>
  <c r="K84" i="4" s="1"/>
  <c r="J83" i="4"/>
  <c r="J71" i="4" s="1"/>
  <c r="J82" i="4"/>
  <c r="J70" i="4" s="1"/>
  <c r="S80" i="4"/>
  <c r="S78" i="4" s="1"/>
  <c r="R80" i="4"/>
  <c r="R78" i="4" s="1"/>
  <c r="U78" i="4" s="1"/>
  <c r="Q80" i="4"/>
  <c r="T80" i="4" s="1"/>
  <c r="N80" i="4"/>
  <c r="M80" i="4"/>
  <c r="P80" i="4" s="1"/>
  <c r="L80" i="4"/>
  <c r="L78" i="4" s="1"/>
  <c r="O78" i="4" s="1"/>
  <c r="U79" i="4"/>
  <c r="T79" i="4"/>
  <c r="P79" i="4"/>
  <c r="O79" i="4"/>
  <c r="S77" i="4"/>
  <c r="S75" i="4" s="1"/>
  <c r="R77" i="4"/>
  <c r="R75" i="4" s="1"/>
  <c r="U75" i="4" s="1"/>
  <c r="Q77" i="4"/>
  <c r="T77" i="4" s="1"/>
  <c r="N77" i="4"/>
  <c r="N75" i="4" s="1"/>
  <c r="M77" i="4"/>
  <c r="L77" i="4"/>
  <c r="L75" i="4" s="1"/>
  <c r="O75" i="4" s="1"/>
  <c r="U76" i="4"/>
  <c r="T76" i="4"/>
  <c r="P76" i="4"/>
  <c r="O76" i="4"/>
  <c r="S73" i="4"/>
  <c r="R73" i="4"/>
  <c r="U73" i="4" s="1"/>
  <c r="Q73" i="4"/>
  <c r="T73" i="4" s="1"/>
  <c r="N73" i="4"/>
  <c r="M73" i="4"/>
  <c r="P73" i="4" s="1"/>
  <c r="L73" i="4"/>
  <c r="O73" i="4" s="1"/>
  <c r="U67" i="4"/>
  <c r="T67" i="4"/>
  <c r="N67" i="4"/>
  <c r="N65" i="4" s="1"/>
  <c r="M67" i="4"/>
  <c r="L67" i="4"/>
  <c r="U66" i="4"/>
  <c r="T66" i="4"/>
  <c r="P66" i="4"/>
  <c r="O66" i="4"/>
  <c r="S65" i="4"/>
  <c r="R65" i="4"/>
  <c r="U65" i="4" s="1"/>
  <c r="Q65" i="4"/>
  <c r="T65" i="4" s="1"/>
  <c r="U64" i="4"/>
  <c r="T64" i="4"/>
  <c r="N64" i="4"/>
  <c r="M64" i="4"/>
  <c r="M62" i="4" s="1"/>
  <c r="L64" i="4"/>
  <c r="L62" i="4" s="1"/>
  <c r="U63" i="4"/>
  <c r="T63" i="4"/>
  <c r="P63" i="4"/>
  <c r="O63" i="4"/>
  <c r="S62" i="4"/>
  <c r="R62" i="4"/>
  <c r="U62" i="4" s="1"/>
  <c r="Q62" i="4"/>
  <c r="T62" i="4" s="1"/>
  <c r="S61" i="4"/>
  <c r="R61" i="4"/>
  <c r="U61" i="4" s="1"/>
  <c r="Q61" i="4"/>
  <c r="T61" i="4" s="1"/>
  <c r="S60" i="4"/>
  <c r="S59" i="4" s="1"/>
  <c r="R60" i="4"/>
  <c r="R59" i="4" s="1"/>
  <c r="U59" i="4" s="1"/>
  <c r="Q60" i="4"/>
  <c r="T60" i="4" s="1"/>
  <c r="N60" i="4"/>
  <c r="M60" i="4"/>
  <c r="P60" i="4" s="1"/>
  <c r="L60" i="4"/>
  <c r="Q59" i="4"/>
  <c r="T59" i="4" s="1"/>
  <c r="U52" i="4"/>
  <c r="T52" i="4"/>
  <c r="N52" i="4"/>
  <c r="N50" i="4" s="1"/>
  <c r="M52" i="4"/>
  <c r="M50" i="4" s="1"/>
  <c r="P50" i="4" s="1"/>
  <c r="L52" i="4"/>
  <c r="O52" i="4" s="1"/>
  <c r="U51" i="4"/>
  <c r="T51" i="4"/>
  <c r="P51" i="4"/>
  <c r="O51" i="4"/>
  <c r="T50" i="4"/>
  <c r="S50" i="4"/>
  <c r="R50" i="4"/>
  <c r="U50" i="4" s="1"/>
  <c r="Q50" i="4"/>
  <c r="U49" i="4"/>
  <c r="T49" i="4"/>
  <c r="N49" i="4"/>
  <c r="M49" i="4"/>
  <c r="L49" i="4"/>
  <c r="L47" i="4" s="1"/>
  <c r="U48" i="4"/>
  <c r="T48" i="4"/>
  <c r="P48" i="4"/>
  <c r="O48" i="4"/>
  <c r="S47" i="4"/>
  <c r="R47" i="4"/>
  <c r="U47" i="4" s="1"/>
  <c r="Q47" i="4"/>
  <c r="T47" i="4" s="1"/>
  <c r="S46" i="4"/>
  <c r="R46" i="4"/>
  <c r="U46" i="4" s="1"/>
  <c r="Q46" i="4"/>
  <c r="Q44" i="4" s="1"/>
  <c r="T44" i="4" s="1"/>
  <c r="S45" i="4"/>
  <c r="R45" i="4"/>
  <c r="R44" i="4" s="1"/>
  <c r="U44" i="4" s="1"/>
  <c r="Q45" i="4"/>
  <c r="T45" i="4" s="1"/>
  <c r="N45" i="4"/>
  <c r="M45" i="4"/>
  <c r="P45" i="4" s="1"/>
  <c r="L45" i="4"/>
  <c r="S25" i="4"/>
  <c r="R25" i="4"/>
  <c r="U25" i="4" s="1"/>
  <c r="Q25" i="4"/>
  <c r="N25" i="4"/>
  <c r="M25" i="4"/>
  <c r="P25" i="4" s="1"/>
  <c r="L25" i="4"/>
  <c r="O25" i="4" s="1"/>
  <c r="S22" i="4"/>
  <c r="R22" i="4"/>
  <c r="U22" i="4" s="1"/>
  <c r="Q22" i="4"/>
  <c r="T22" i="4" s="1"/>
  <c r="N22" i="4"/>
  <c r="M22" i="4"/>
  <c r="P22" i="4" s="1"/>
  <c r="L22" i="4"/>
  <c r="O22" i="4" s="1"/>
  <c r="A789" i="3"/>
  <c r="A788" i="3"/>
  <c r="J785" i="3"/>
  <c r="I785" i="3"/>
  <c r="J784" i="3"/>
  <c r="I784" i="3"/>
  <c r="J783" i="3"/>
  <c r="I783" i="3"/>
  <c r="J782" i="3"/>
  <c r="I782" i="3"/>
  <c r="J781" i="3"/>
  <c r="I781" i="3"/>
  <c r="J780" i="3"/>
  <c r="I780" i="3"/>
  <c r="J779" i="3"/>
  <c r="I779" i="3"/>
  <c r="J778" i="3"/>
  <c r="I778" i="3"/>
  <c r="H777" i="3"/>
  <c r="I776" i="3"/>
  <c r="I775" i="3"/>
  <c r="I774" i="3"/>
  <c r="I759" i="3" s="1"/>
  <c r="I772" i="3"/>
  <c r="K772" i="3" s="1"/>
  <c r="I770" i="3"/>
  <c r="K770" i="3" s="1"/>
  <c r="U768" i="3"/>
  <c r="T768" i="3"/>
  <c r="P768" i="3"/>
  <c r="O768" i="3"/>
  <c r="U767" i="3"/>
  <c r="T767" i="3"/>
  <c r="P767" i="3"/>
  <c r="O767" i="3"/>
  <c r="S766" i="3"/>
  <c r="R766" i="3"/>
  <c r="U766" i="3" s="1"/>
  <c r="Q766" i="3"/>
  <c r="T766" i="3" s="1"/>
  <c r="N766" i="3"/>
  <c r="M766" i="3"/>
  <c r="P766" i="3" s="1"/>
  <c r="L766" i="3"/>
  <c r="O766" i="3" s="1"/>
  <c r="S765" i="3"/>
  <c r="S763" i="3" s="1"/>
  <c r="R765" i="3"/>
  <c r="R763" i="3" s="1"/>
  <c r="Q765" i="3"/>
  <c r="Q763" i="3" s="1"/>
  <c r="P765" i="3"/>
  <c r="O765" i="3"/>
  <c r="U764" i="3"/>
  <c r="T764" i="3"/>
  <c r="P764" i="3"/>
  <c r="O764" i="3"/>
  <c r="N763" i="3"/>
  <c r="M763" i="3"/>
  <c r="P763" i="3" s="1"/>
  <c r="L763" i="3"/>
  <c r="O763" i="3" s="1"/>
  <c r="N762" i="3"/>
  <c r="M762" i="3"/>
  <c r="P762" i="3" s="1"/>
  <c r="L762" i="3"/>
  <c r="S761" i="3"/>
  <c r="R761" i="3"/>
  <c r="U761" i="3" s="1"/>
  <c r="Q761" i="3"/>
  <c r="T761" i="3" s="1"/>
  <c r="N761" i="3"/>
  <c r="M761" i="3"/>
  <c r="P761" i="3" s="1"/>
  <c r="L761" i="3"/>
  <c r="O761" i="3" s="1"/>
  <c r="J759" i="3"/>
  <c r="J758" i="3"/>
  <c r="I755" i="3"/>
  <c r="K755" i="3" s="1"/>
  <c r="I752" i="3"/>
  <c r="K752" i="3" s="1"/>
  <c r="I749" i="3"/>
  <c r="K749" i="3" s="1"/>
  <c r="I746" i="3"/>
  <c r="K746" i="3" s="1"/>
  <c r="I744" i="3"/>
  <c r="K744" i="3" s="1"/>
  <c r="I742" i="3"/>
  <c r="K742" i="3" s="1"/>
  <c r="I740" i="3"/>
  <c r="K740" i="3" s="1"/>
  <c r="U736" i="3"/>
  <c r="T736" i="3"/>
  <c r="P736" i="3"/>
  <c r="O736" i="3"/>
  <c r="U735" i="3"/>
  <c r="T735" i="3"/>
  <c r="P735" i="3"/>
  <c r="O735" i="3"/>
  <c r="S734" i="3"/>
  <c r="R734" i="3"/>
  <c r="U734" i="3" s="1"/>
  <c r="Q734" i="3"/>
  <c r="T734" i="3" s="1"/>
  <c r="N734" i="3"/>
  <c r="M734" i="3"/>
  <c r="P734" i="3" s="1"/>
  <c r="L734" i="3"/>
  <c r="O734" i="3" s="1"/>
  <c r="S733" i="3"/>
  <c r="R733" i="3"/>
  <c r="R731" i="3" s="1"/>
  <c r="Q733" i="3"/>
  <c r="Q731" i="3" s="1"/>
  <c r="P733" i="3"/>
  <c r="O733" i="3"/>
  <c r="U732" i="3"/>
  <c r="T732" i="3"/>
  <c r="P732" i="3"/>
  <c r="O732" i="3"/>
  <c r="N731" i="3"/>
  <c r="M731" i="3"/>
  <c r="P731" i="3" s="1"/>
  <c r="L731" i="3"/>
  <c r="O731" i="3" s="1"/>
  <c r="N730" i="3"/>
  <c r="M730" i="3"/>
  <c r="P730" i="3" s="1"/>
  <c r="L730" i="3"/>
  <c r="O730" i="3" s="1"/>
  <c r="S729" i="3"/>
  <c r="R729" i="3"/>
  <c r="U729" i="3" s="1"/>
  <c r="Q729" i="3"/>
  <c r="T729" i="3" s="1"/>
  <c r="O729" i="3"/>
  <c r="N729" i="3"/>
  <c r="M729" i="3"/>
  <c r="P729" i="3" s="1"/>
  <c r="L729" i="3"/>
  <c r="J727" i="3"/>
  <c r="I727" i="3"/>
  <c r="J726" i="3"/>
  <c r="I726" i="3"/>
  <c r="U722" i="3"/>
  <c r="T722" i="3"/>
  <c r="P722" i="3"/>
  <c r="O722" i="3"/>
  <c r="U721" i="3"/>
  <c r="T721" i="3"/>
  <c r="P721" i="3"/>
  <c r="O721" i="3"/>
  <c r="S720" i="3"/>
  <c r="R720" i="3"/>
  <c r="U720" i="3" s="1"/>
  <c r="Q720" i="3"/>
  <c r="T720" i="3" s="1"/>
  <c r="N720" i="3"/>
  <c r="M720" i="3"/>
  <c r="P720" i="3" s="1"/>
  <c r="L720" i="3"/>
  <c r="O720" i="3" s="1"/>
  <c r="U719" i="3"/>
  <c r="T719" i="3"/>
  <c r="P719" i="3"/>
  <c r="O719" i="3"/>
  <c r="U718" i="3"/>
  <c r="T718" i="3"/>
  <c r="P718" i="3"/>
  <c r="O718" i="3"/>
  <c r="S717" i="3"/>
  <c r="R717" i="3"/>
  <c r="U717" i="3" s="1"/>
  <c r="Q717" i="3"/>
  <c r="T717" i="3" s="1"/>
  <c r="N717" i="3"/>
  <c r="M717" i="3"/>
  <c r="P717" i="3" s="1"/>
  <c r="L717" i="3"/>
  <c r="O717" i="3" s="1"/>
  <c r="S716" i="3"/>
  <c r="R716" i="3"/>
  <c r="U716" i="3" s="1"/>
  <c r="Q716" i="3"/>
  <c r="N716" i="3"/>
  <c r="M716" i="3"/>
  <c r="P716" i="3" s="1"/>
  <c r="L716" i="3"/>
  <c r="O716" i="3" s="1"/>
  <c r="S715" i="3"/>
  <c r="R715" i="3"/>
  <c r="U715" i="3" s="1"/>
  <c r="Q715" i="3"/>
  <c r="T715" i="3" s="1"/>
  <c r="N715" i="3"/>
  <c r="M715" i="3"/>
  <c r="P715" i="3" s="1"/>
  <c r="L715" i="3"/>
  <c r="O715" i="3" s="1"/>
  <c r="K712" i="3"/>
  <c r="J712" i="3"/>
  <c r="K710" i="3"/>
  <c r="J710" i="3"/>
  <c r="J709" i="3"/>
  <c r="I709" i="3"/>
  <c r="K709" i="3" s="1"/>
  <c r="K708" i="3"/>
  <c r="J708" i="3"/>
  <c r="J707" i="3"/>
  <c r="J689" i="3" s="1"/>
  <c r="I707" i="3"/>
  <c r="I689" i="3" s="1"/>
  <c r="K706" i="3"/>
  <c r="J706" i="3"/>
  <c r="J705" i="3"/>
  <c r="I705" i="3"/>
  <c r="K704" i="3"/>
  <c r="J704" i="3"/>
  <c r="J703" i="3"/>
  <c r="I703" i="3"/>
  <c r="K702" i="3"/>
  <c r="I700" i="3"/>
  <c r="K700" i="3" s="1"/>
  <c r="U698" i="3"/>
  <c r="T698" i="3"/>
  <c r="P698" i="3"/>
  <c r="O698" i="3"/>
  <c r="U697" i="3"/>
  <c r="T697" i="3"/>
  <c r="P697" i="3"/>
  <c r="O697" i="3"/>
  <c r="S696" i="3"/>
  <c r="R696" i="3"/>
  <c r="U696" i="3" s="1"/>
  <c r="Q696" i="3"/>
  <c r="T696" i="3" s="1"/>
  <c r="N696" i="3"/>
  <c r="M696" i="3"/>
  <c r="P696" i="3" s="1"/>
  <c r="L696" i="3"/>
  <c r="O696" i="3" s="1"/>
  <c r="S695" i="3"/>
  <c r="S692" i="3" s="1"/>
  <c r="R695" i="3"/>
  <c r="R693" i="3" s="1"/>
  <c r="Q695" i="3"/>
  <c r="P695" i="3"/>
  <c r="O695" i="3"/>
  <c r="U694" i="3"/>
  <c r="T694" i="3"/>
  <c r="P694" i="3"/>
  <c r="O694" i="3"/>
  <c r="N693" i="3"/>
  <c r="M693" i="3"/>
  <c r="P693" i="3" s="1"/>
  <c r="L693" i="3"/>
  <c r="O693" i="3" s="1"/>
  <c r="N692" i="3"/>
  <c r="M692" i="3"/>
  <c r="L692" i="3"/>
  <c r="O692" i="3" s="1"/>
  <c r="S691" i="3"/>
  <c r="R691" i="3"/>
  <c r="U691" i="3" s="1"/>
  <c r="Q691" i="3"/>
  <c r="N691" i="3"/>
  <c r="M691" i="3"/>
  <c r="P691" i="3" s="1"/>
  <c r="L691" i="3"/>
  <c r="J682" i="3"/>
  <c r="I682" i="3"/>
  <c r="K682" i="3" s="1"/>
  <c r="J681" i="3"/>
  <c r="I681" i="3"/>
  <c r="K681" i="3" s="1"/>
  <c r="J680" i="3"/>
  <c r="J679" i="3"/>
  <c r="I679" i="3"/>
  <c r="K679" i="3" s="1"/>
  <c r="J678" i="3"/>
  <c r="I678" i="3"/>
  <c r="K678" i="3" s="1"/>
  <c r="J677" i="3"/>
  <c r="J676" i="3"/>
  <c r="I676" i="3"/>
  <c r="K676" i="3" s="1"/>
  <c r="I675" i="3"/>
  <c r="K675" i="3" s="1"/>
  <c r="I674" i="3"/>
  <c r="K674" i="3" s="1"/>
  <c r="J673" i="3"/>
  <c r="I673" i="3"/>
  <c r="K673" i="3" s="1"/>
  <c r="J672" i="3"/>
  <c r="J671" i="3"/>
  <c r="J661" i="3"/>
  <c r="I661" i="3"/>
  <c r="K661" i="3" s="1"/>
  <c r="I660" i="3"/>
  <c r="I657" i="3"/>
  <c r="J654" i="3"/>
  <c r="I654" i="3"/>
  <c r="K654" i="3" s="1"/>
  <c r="J653" i="3"/>
  <c r="I653" i="3"/>
  <c r="K653" i="3" s="1"/>
  <c r="J652" i="3"/>
  <c r="I652" i="3"/>
  <c r="K652" i="3" s="1"/>
  <c r="U650" i="3"/>
  <c r="T650" i="3"/>
  <c r="P650" i="3"/>
  <c r="O650" i="3"/>
  <c r="U649" i="3"/>
  <c r="T649" i="3"/>
  <c r="P649" i="3"/>
  <c r="O649" i="3"/>
  <c r="S648" i="3"/>
  <c r="R648" i="3"/>
  <c r="U648" i="3" s="1"/>
  <c r="Q648" i="3"/>
  <c r="T648" i="3" s="1"/>
  <c r="N648" i="3"/>
  <c r="M648" i="3"/>
  <c r="P648" i="3" s="1"/>
  <c r="L648" i="3"/>
  <c r="O648" i="3" s="1"/>
  <c r="S647" i="3"/>
  <c r="S644" i="3" s="1"/>
  <c r="R647" i="3"/>
  <c r="U647" i="3" s="1"/>
  <c r="Q647" i="3"/>
  <c r="P647" i="3"/>
  <c r="O647" i="3"/>
  <c r="U646" i="3"/>
  <c r="T646" i="3"/>
  <c r="P646" i="3"/>
  <c r="O646" i="3"/>
  <c r="N645" i="3"/>
  <c r="M645" i="3"/>
  <c r="P645" i="3" s="1"/>
  <c r="L645" i="3"/>
  <c r="O645" i="3" s="1"/>
  <c r="N644" i="3"/>
  <c r="M644" i="3"/>
  <c r="L644" i="3"/>
  <c r="O644" i="3" s="1"/>
  <c r="S643" i="3"/>
  <c r="R643" i="3"/>
  <c r="U643" i="3" s="1"/>
  <c r="Q643" i="3"/>
  <c r="N643" i="3"/>
  <c r="M643" i="3"/>
  <c r="P643" i="3" s="1"/>
  <c r="L643" i="3"/>
  <c r="O643" i="3" s="1"/>
  <c r="J636" i="3"/>
  <c r="J635" i="3" s="1"/>
  <c r="I635" i="3"/>
  <c r="K635" i="3" s="1"/>
  <c r="J632" i="3"/>
  <c r="J626" i="3" s="1"/>
  <c r="J615" i="3" s="1"/>
  <c r="I628" i="3"/>
  <c r="K628" i="3" s="1"/>
  <c r="I627" i="3"/>
  <c r="K627" i="3" s="1"/>
  <c r="I626" i="3"/>
  <c r="K629" i="3" s="1"/>
  <c r="U624" i="3"/>
  <c r="T624" i="3"/>
  <c r="P624" i="3"/>
  <c r="O624" i="3"/>
  <c r="U623" i="3"/>
  <c r="T623" i="3"/>
  <c r="P623" i="3"/>
  <c r="O623" i="3"/>
  <c r="S622" i="3"/>
  <c r="R622" i="3"/>
  <c r="U622" i="3" s="1"/>
  <c r="Q622" i="3"/>
  <c r="T622" i="3" s="1"/>
  <c r="N622" i="3"/>
  <c r="M622" i="3"/>
  <c r="P622" i="3" s="1"/>
  <c r="L622" i="3"/>
  <c r="O622" i="3" s="1"/>
  <c r="S621" i="3"/>
  <c r="R621" i="3"/>
  <c r="Q621" i="3"/>
  <c r="P621" i="3"/>
  <c r="O621" i="3"/>
  <c r="U620" i="3"/>
  <c r="T620" i="3"/>
  <c r="P620" i="3"/>
  <c r="O620" i="3"/>
  <c r="N619" i="3"/>
  <c r="M619" i="3"/>
  <c r="P619" i="3" s="1"/>
  <c r="L619" i="3"/>
  <c r="O619" i="3" s="1"/>
  <c r="N618" i="3"/>
  <c r="M618" i="3"/>
  <c r="P618" i="3" s="1"/>
  <c r="L618" i="3"/>
  <c r="O618" i="3" s="1"/>
  <c r="S617" i="3"/>
  <c r="R617" i="3"/>
  <c r="Q617" i="3"/>
  <c r="T617" i="3" s="1"/>
  <c r="N617" i="3"/>
  <c r="M617" i="3"/>
  <c r="M616" i="3" s="1"/>
  <c r="P616" i="3" s="1"/>
  <c r="L617" i="3"/>
  <c r="S607" i="3"/>
  <c r="S605" i="3" s="1"/>
  <c r="R607" i="3"/>
  <c r="U607" i="3" s="1"/>
  <c r="Q607" i="3"/>
  <c r="T607" i="3" s="1"/>
  <c r="N607" i="3"/>
  <c r="M607" i="3"/>
  <c r="P607" i="3" s="1"/>
  <c r="L607" i="3"/>
  <c r="U606" i="3"/>
  <c r="T606" i="3"/>
  <c r="P606" i="3"/>
  <c r="O606" i="3"/>
  <c r="S604" i="3"/>
  <c r="S602" i="3" s="1"/>
  <c r="R604" i="3"/>
  <c r="U604" i="3" s="1"/>
  <c r="Q604" i="3"/>
  <c r="Q602" i="3" s="1"/>
  <c r="T602" i="3" s="1"/>
  <c r="N604" i="3"/>
  <c r="N602" i="3" s="1"/>
  <c r="M604" i="3"/>
  <c r="P604" i="3" s="1"/>
  <c r="L604" i="3"/>
  <c r="O604" i="3" s="1"/>
  <c r="U603" i="3"/>
  <c r="T603" i="3"/>
  <c r="P603" i="3"/>
  <c r="O603" i="3"/>
  <c r="S600" i="3"/>
  <c r="R600" i="3"/>
  <c r="Q600" i="3"/>
  <c r="T600" i="3" s="1"/>
  <c r="N600" i="3"/>
  <c r="M600" i="3"/>
  <c r="L600" i="3"/>
  <c r="U584" i="3"/>
  <c r="T584" i="3"/>
  <c r="N584" i="3"/>
  <c r="N582" i="3" s="1"/>
  <c r="M584" i="3"/>
  <c r="L584" i="3"/>
  <c r="L582" i="3" s="1"/>
  <c r="O582" i="3" s="1"/>
  <c r="U583" i="3"/>
  <c r="T583" i="3"/>
  <c r="P583" i="3"/>
  <c r="O583" i="3"/>
  <c r="S582" i="3"/>
  <c r="R582" i="3"/>
  <c r="U582" i="3" s="1"/>
  <c r="Q582" i="3"/>
  <c r="T582" i="3" s="1"/>
  <c r="U581" i="3"/>
  <c r="T581" i="3"/>
  <c r="N581" i="3"/>
  <c r="N579" i="3" s="1"/>
  <c r="M581" i="3"/>
  <c r="L581" i="3"/>
  <c r="O581" i="3" s="1"/>
  <c r="U580" i="3"/>
  <c r="T580" i="3"/>
  <c r="P580" i="3"/>
  <c r="O580" i="3"/>
  <c r="S579" i="3"/>
  <c r="R579" i="3"/>
  <c r="U579" i="3" s="1"/>
  <c r="Q579" i="3"/>
  <c r="T579" i="3" s="1"/>
  <c r="S578" i="3"/>
  <c r="R578" i="3"/>
  <c r="U578" i="3" s="1"/>
  <c r="Q578" i="3"/>
  <c r="S577" i="3"/>
  <c r="R577" i="3"/>
  <c r="Q577" i="3"/>
  <c r="T577" i="3" s="1"/>
  <c r="N577" i="3"/>
  <c r="M577" i="3"/>
  <c r="P577" i="3" s="1"/>
  <c r="L577" i="3"/>
  <c r="O577" i="3" s="1"/>
  <c r="J575" i="3"/>
  <c r="I575" i="3"/>
  <c r="K575" i="3" s="1"/>
  <c r="U563" i="3"/>
  <c r="T563" i="3"/>
  <c r="N563" i="3"/>
  <c r="N561" i="3" s="1"/>
  <c r="M563" i="3"/>
  <c r="M561" i="3" s="1"/>
  <c r="P561" i="3" s="1"/>
  <c r="L563" i="3"/>
  <c r="O563" i="3" s="1"/>
  <c r="U562" i="3"/>
  <c r="T562" i="3"/>
  <c r="P562" i="3"/>
  <c r="O562" i="3"/>
  <c r="S561" i="3"/>
  <c r="R561" i="3"/>
  <c r="U561" i="3" s="1"/>
  <c r="Q561" i="3"/>
  <c r="T561" i="3" s="1"/>
  <c r="U560" i="3"/>
  <c r="T560" i="3"/>
  <c r="N560" i="3"/>
  <c r="M560" i="3"/>
  <c r="M558" i="3" s="1"/>
  <c r="P558" i="3" s="1"/>
  <c r="L560" i="3"/>
  <c r="L558" i="3" s="1"/>
  <c r="O558" i="3" s="1"/>
  <c r="U559" i="3"/>
  <c r="T559" i="3"/>
  <c r="P559" i="3"/>
  <c r="O559" i="3"/>
  <c r="S558" i="3"/>
  <c r="R558" i="3"/>
  <c r="U558" i="3" s="1"/>
  <c r="Q558" i="3"/>
  <c r="T558" i="3" s="1"/>
  <c r="S557" i="3"/>
  <c r="R557" i="3"/>
  <c r="U557" i="3" s="1"/>
  <c r="Q557" i="3"/>
  <c r="T557" i="3" s="1"/>
  <c r="S556" i="3"/>
  <c r="R556" i="3"/>
  <c r="U556" i="3" s="1"/>
  <c r="Q556" i="3"/>
  <c r="N556" i="3"/>
  <c r="M556" i="3"/>
  <c r="P556" i="3" s="1"/>
  <c r="L556" i="3"/>
  <c r="O556" i="3" s="1"/>
  <c r="J554" i="3"/>
  <c r="I554" i="3"/>
  <c r="K554" i="3" s="1"/>
  <c r="U542" i="3"/>
  <c r="T542" i="3"/>
  <c r="N542" i="3"/>
  <c r="N540" i="3" s="1"/>
  <c r="M542" i="3"/>
  <c r="P542" i="3" s="1"/>
  <c r="L542" i="3"/>
  <c r="L540" i="3" s="1"/>
  <c r="O540" i="3" s="1"/>
  <c r="U541" i="3"/>
  <c r="T541" i="3"/>
  <c r="P541" i="3"/>
  <c r="O541" i="3"/>
  <c r="S540" i="3"/>
  <c r="R540" i="3"/>
  <c r="U540" i="3" s="1"/>
  <c r="Q540" i="3"/>
  <c r="T540" i="3" s="1"/>
  <c r="U539" i="3"/>
  <c r="T539" i="3"/>
  <c r="N539" i="3"/>
  <c r="M539" i="3"/>
  <c r="L539" i="3"/>
  <c r="O539" i="3" s="1"/>
  <c r="U538" i="3"/>
  <c r="T538" i="3"/>
  <c r="P538" i="3"/>
  <c r="O538" i="3"/>
  <c r="S537" i="3"/>
  <c r="R537" i="3"/>
  <c r="U537" i="3" s="1"/>
  <c r="Q537" i="3"/>
  <c r="T537" i="3" s="1"/>
  <c r="S536" i="3"/>
  <c r="R536" i="3"/>
  <c r="U536" i="3" s="1"/>
  <c r="Q536" i="3"/>
  <c r="T536" i="3" s="1"/>
  <c r="S535" i="3"/>
  <c r="R535" i="3"/>
  <c r="Q535" i="3"/>
  <c r="T535" i="3" s="1"/>
  <c r="N535" i="3"/>
  <c r="M535" i="3"/>
  <c r="P535" i="3" s="1"/>
  <c r="L535" i="3"/>
  <c r="J533" i="3"/>
  <c r="I533" i="3"/>
  <c r="K533" i="3" s="1"/>
  <c r="K524" i="3"/>
  <c r="K523" i="3"/>
  <c r="U521" i="3"/>
  <c r="T521" i="3"/>
  <c r="N521" i="3"/>
  <c r="N519" i="3" s="1"/>
  <c r="M521" i="3"/>
  <c r="P521" i="3" s="1"/>
  <c r="L521" i="3"/>
  <c r="U520" i="3"/>
  <c r="T520" i="3"/>
  <c r="P520" i="3"/>
  <c r="O520" i="3"/>
  <c r="S519" i="3"/>
  <c r="R519" i="3"/>
  <c r="U519" i="3" s="1"/>
  <c r="Q519" i="3"/>
  <c r="T519" i="3" s="1"/>
  <c r="U518" i="3"/>
  <c r="T518" i="3"/>
  <c r="N518" i="3"/>
  <c r="M518" i="3"/>
  <c r="M516" i="3" s="1"/>
  <c r="P516" i="3" s="1"/>
  <c r="L518" i="3"/>
  <c r="U517" i="3"/>
  <c r="T517" i="3"/>
  <c r="P517" i="3"/>
  <c r="O517" i="3"/>
  <c r="S516" i="3"/>
  <c r="R516" i="3"/>
  <c r="U516" i="3" s="1"/>
  <c r="Q516" i="3"/>
  <c r="T516" i="3" s="1"/>
  <c r="S515" i="3"/>
  <c r="R515" i="3"/>
  <c r="U515" i="3" s="1"/>
  <c r="Q515" i="3"/>
  <c r="T515" i="3" s="1"/>
  <c r="S514" i="3"/>
  <c r="R514" i="3"/>
  <c r="Q514" i="3"/>
  <c r="N514" i="3"/>
  <c r="M514" i="3"/>
  <c r="P514" i="3" s="1"/>
  <c r="L514" i="3"/>
  <c r="O514" i="3" s="1"/>
  <c r="J512" i="3"/>
  <c r="I512" i="3"/>
  <c r="K512" i="3" s="1"/>
  <c r="I509" i="3"/>
  <c r="K509" i="3" s="1"/>
  <c r="K508" i="3"/>
  <c r="I507" i="3"/>
  <c r="K507" i="3" s="1"/>
  <c r="I506" i="3"/>
  <c r="K506" i="3" s="1"/>
  <c r="I505" i="3"/>
  <c r="I504" i="3"/>
  <c r="K504" i="3" s="1"/>
  <c r="I503" i="3"/>
  <c r="U501" i="3"/>
  <c r="T501" i="3"/>
  <c r="N501" i="3"/>
  <c r="N499" i="3" s="1"/>
  <c r="M501" i="3"/>
  <c r="M499" i="3" s="1"/>
  <c r="P499" i="3" s="1"/>
  <c r="L501" i="3"/>
  <c r="L499" i="3" s="1"/>
  <c r="O499" i="3" s="1"/>
  <c r="U500" i="3"/>
  <c r="T500" i="3"/>
  <c r="P500" i="3"/>
  <c r="O500" i="3"/>
  <c r="S499" i="3"/>
  <c r="R499" i="3"/>
  <c r="U499" i="3" s="1"/>
  <c r="Q499" i="3"/>
  <c r="T499" i="3" s="1"/>
  <c r="S498" i="3"/>
  <c r="S495" i="3" s="1"/>
  <c r="R498" i="3"/>
  <c r="R496" i="3" s="1"/>
  <c r="U496" i="3" s="1"/>
  <c r="Q498" i="3"/>
  <c r="Q496" i="3" s="1"/>
  <c r="T496" i="3" s="1"/>
  <c r="N498" i="3"/>
  <c r="M498" i="3"/>
  <c r="L498" i="3"/>
  <c r="O498" i="3" s="1"/>
  <c r="U497" i="3"/>
  <c r="T497" i="3"/>
  <c r="P497" i="3"/>
  <c r="O497" i="3"/>
  <c r="S494" i="3"/>
  <c r="R494" i="3"/>
  <c r="U494" i="3" s="1"/>
  <c r="Q494" i="3"/>
  <c r="T494" i="3" s="1"/>
  <c r="N494" i="3"/>
  <c r="M494" i="3"/>
  <c r="P494" i="3" s="1"/>
  <c r="L494" i="3"/>
  <c r="O494" i="3" s="1"/>
  <c r="J485" i="3"/>
  <c r="I485" i="3"/>
  <c r="K485" i="3" s="1"/>
  <c r="J484" i="3"/>
  <c r="I484" i="3"/>
  <c r="K484" i="3" s="1"/>
  <c r="J483" i="3"/>
  <c r="J482" i="3"/>
  <c r="K477" i="3"/>
  <c r="J477" i="3"/>
  <c r="K476" i="3"/>
  <c r="J476" i="3"/>
  <c r="K475" i="3"/>
  <c r="J475" i="3"/>
  <c r="J468" i="3"/>
  <c r="J467" i="3"/>
  <c r="J460" i="3"/>
  <c r="J459" i="3"/>
  <c r="I458" i="3"/>
  <c r="K458" i="3" s="1"/>
  <c r="I457" i="3"/>
  <c r="I456" i="3" s="1"/>
  <c r="J447" i="3"/>
  <c r="J441" i="3" s="1"/>
  <c r="J446" i="3"/>
  <c r="J440" i="3" s="1"/>
  <c r="J423" i="3" s="1"/>
  <c r="J412" i="3" s="1"/>
  <c r="I441" i="3"/>
  <c r="I440" i="3"/>
  <c r="I423" i="3" s="1"/>
  <c r="J433" i="3"/>
  <c r="I433" i="3"/>
  <c r="J432" i="3"/>
  <c r="I432" i="3"/>
  <c r="J425" i="3"/>
  <c r="I425" i="3"/>
  <c r="J424" i="3"/>
  <c r="I424" i="3"/>
  <c r="U421" i="3"/>
  <c r="T421" i="3"/>
  <c r="N421" i="3"/>
  <c r="N419" i="3" s="1"/>
  <c r="M421" i="3"/>
  <c r="M419" i="3" s="1"/>
  <c r="P419" i="3" s="1"/>
  <c r="L421" i="3"/>
  <c r="O421" i="3" s="1"/>
  <c r="U420" i="3"/>
  <c r="T420" i="3"/>
  <c r="P420" i="3"/>
  <c r="O420" i="3"/>
  <c r="S419" i="3"/>
  <c r="R419" i="3"/>
  <c r="U419" i="3" s="1"/>
  <c r="Q419" i="3"/>
  <c r="T419" i="3" s="1"/>
  <c r="S418" i="3"/>
  <c r="R418" i="3"/>
  <c r="R415" i="3" s="1"/>
  <c r="Q418" i="3"/>
  <c r="Q415" i="3" s="1"/>
  <c r="Q413" i="3" s="1"/>
  <c r="N418" i="3"/>
  <c r="N416" i="3" s="1"/>
  <c r="M418" i="3"/>
  <c r="L418" i="3"/>
  <c r="L416" i="3" s="1"/>
  <c r="U417" i="3"/>
  <c r="T417" i="3"/>
  <c r="P417" i="3"/>
  <c r="O417" i="3"/>
  <c r="S414" i="3"/>
  <c r="R414" i="3"/>
  <c r="U414" i="3" s="1"/>
  <c r="Q414" i="3"/>
  <c r="T414" i="3" s="1"/>
  <c r="N414" i="3"/>
  <c r="M414" i="3"/>
  <c r="L414" i="3"/>
  <c r="U400" i="3"/>
  <c r="T400" i="3"/>
  <c r="P400" i="3"/>
  <c r="O400" i="3"/>
  <c r="U399" i="3"/>
  <c r="T399" i="3"/>
  <c r="P399" i="3"/>
  <c r="O399" i="3"/>
  <c r="S398" i="3"/>
  <c r="R398" i="3"/>
  <c r="U398" i="3" s="1"/>
  <c r="Q398" i="3"/>
  <c r="T398" i="3" s="1"/>
  <c r="N398" i="3"/>
  <c r="M398" i="3"/>
  <c r="P398" i="3" s="1"/>
  <c r="L398" i="3"/>
  <c r="O398" i="3" s="1"/>
  <c r="S397" i="3"/>
  <c r="R397" i="3"/>
  <c r="Q397" i="3"/>
  <c r="T397" i="3" s="1"/>
  <c r="P397" i="3"/>
  <c r="O397" i="3"/>
  <c r="U396" i="3"/>
  <c r="T396" i="3"/>
  <c r="P396" i="3"/>
  <c r="O396" i="3"/>
  <c r="N395" i="3"/>
  <c r="M395" i="3"/>
  <c r="P395" i="3" s="1"/>
  <c r="L395" i="3"/>
  <c r="O395" i="3" s="1"/>
  <c r="N394" i="3"/>
  <c r="M394" i="3"/>
  <c r="P394" i="3" s="1"/>
  <c r="L394" i="3"/>
  <c r="S393" i="3"/>
  <c r="R393" i="3"/>
  <c r="U393" i="3" s="1"/>
  <c r="Q393" i="3"/>
  <c r="T393" i="3" s="1"/>
  <c r="N393" i="3"/>
  <c r="M393" i="3"/>
  <c r="P393" i="3" s="1"/>
  <c r="L393" i="3"/>
  <c r="O393" i="3" s="1"/>
  <c r="J391" i="3"/>
  <c r="I391" i="3"/>
  <c r="K391" i="3" s="1"/>
  <c r="J388" i="3"/>
  <c r="I388" i="3"/>
  <c r="K388" i="3" s="1"/>
  <c r="K387" i="3"/>
  <c r="J387" i="3"/>
  <c r="J386" i="3"/>
  <c r="I386" i="3"/>
  <c r="K385" i="3"/>
  <c r="J385" i="3"/>
  <c r="U383" i="3"/>
  <c r="T383" i="3"/>
  <c r="N383" i="3"/>
  <c r="N381" i="3" s="1"/>
  <c r="M383" i="3"/>
  <c r="P383" i="3" s="1"/>
  <c r="L383" i="3"/>
  <c r="U382" i="3"/>
  <c r="T382" i="3"/>
  <c r="P382" i="3"/>
  <c r="O382" i="3"/>
  <c r="S381" i="3"/>
  <c r="R381" i="3"/>
  <c r="U381" i="3" s="1"/>
  <c r="Q381" i="3"/>
  <c r="T381" i="3" s="1"/>
  <c r="S380" i="3"/>
  <c r="R380" i="3"/>
  <c r="R377" i="3" s="1"/>
  <c r="Q380" i="3"/>
  <c r="Q378" i="3" s="1"/>
  <c r="N380" i="3"/>
  <c r="N378" i="3" s="1"/>
  <c r="M380" i="3"/>
  <c r="L380" i="3"/>
  <c r="L378" i="3" s="1"/>
  <c r="O378" i="3" s="1"/>
  <c r="U379" i="3"/>
  <c r="T379" i="3"/>
  <c r="P379" i="3"/>
  <c r="O379" i="3"/>
  <c r="S376" i="3"/>
  <c r="R376" i="3"/>
  <c r="Q376" i="3"/>
  <c r="T376" i="3" s="1"/>
  <c r="N376" i="3"/>
  <c r="M376" i="3"/>
  <c r="P376" i="3" s="1"/>
  <c r="L376" i="3"/>
  <c r="D373" i="3"/>
  <c r="K372" i="3"/>
  <c r="J372" i="3"/>
  <c r="J371" i="3"/>
  <c r="J365" i="3" s="1"/>
  <c r="I371" i="3"/>
  <c r="K370" i="3"/>
  <c r="J370" i="3"/>
  <c r="J369" i="3"/>
  <c r="I369" i="3"/>
  <c r="J368" i="3"/>
  <c r="I368" i="3"/>
  <c r="K367" i="3"/>
  <c r="J367" i="3"/>
  <c r="U364" i="3"/>
  <c r="T364" i="3"/>
  <c r="N364" i="3"/>
  <c r="M364" i="3"/>
  <c r="L364" i="3"/>
  <c r="L362" i="3" s="1"/>
  <c r="O362" i="3" s="1"/>
  <c r="U363" i="3"/>
  <c r="T363" i="3"/>
  <c r="P363" i="3"/>
  <c r="O363" i="3"/>
  <c r="S362" i="3"/>
  <c r="R362" i="3"/>
  <c r="U362" i="3" s="1"/>
  <c r="Q362" i="3"/>
  <c r="T362" i="3" s="1"/>
  <c r="U361" i="3"/>
  <c r="T361" i="3"/>
  <c r="N361" i="3"/>
  <c r="M361" i="3"/>
  <c r="M359" i="3" s="1"/>
  <c r="L361" i="3"/>
  <c r="U360" i="3"/>
  <c r="T360" i="3"/>
  <c r="P360" i="3"/>
  <c r="O360" i="3"/>
  <c r="S359" i="3"/>
  <c r="R359" i="3"/>
  <c r="U359" i="3" s="1"/>
  <c r="Q359" i="3"/>
  <c r="T359" i="3" s="1"/>
  <c r="U358" i="3"/>
  <c r="S358" i="3"/>
  <c r="R358" i="3"/>
  <c r="Q358" i="3"/>
  <c r="S357" i="3"/>
  <c r="R357" i="3"/>
  <c r="U357" i="3" s="1"/>
  <c r="Q357" i="3"/>
  <c r="T357" i="3" s="1"/>
  <c r="N357" i="3"/>
  <c r="M357" i="3"/>
  <c r="L357" i="3"/>
  <c r="O357" i="3" s="1"/>
  <c r="D354" i="3"/>
  <c r="J353" i="3"/>
  <c r="J352" i="3"/>
  <c r="D350" i="3"/>
  <c r="J349" i="3"/>
  <c r="J348" i="3"/>
  <c r="J347" i="3"/>
  <c r="J346" i="3"/>
  <c r="I346" i="3"/>
  <c r="J344" i="3"/>
  <c r="I344" i="3"/>
  <c r="U341" i="3"/>
  <c r="T341" i="3"/>
  <c r="N341" i="3"/>
  <c r="N339" i="3" s="1"/>
  <c r="M341" i="3"/>
  <c r="P341" i="3" s="1"/>
  <c r="L341" i="3"/>
  <c r="U340" i="3"/>
  <c r="T340" i="3"/>
  <c r="P340" i="3"/>
  <c r="O340" i="3"/>
  <c r="S339" i="3"/>
  <c r="R339" i="3"/>
  <c r="U339" i="3" s="1"/>
  <c r="Q339" i="3"/>
  <c r="T339" i="3" s="1"/>
  <c r="U338" i="3"/>
  <c r="T338" i="3"/>
  <c r="N338" i="3"/>
  <c r="M338" i="3"/>
  <c r="M336" i="3" s="1"/>
  <c r="L338" i="3"/>
  <c r="L336" i="3" s="1"/>
  <c r="U337" i="3"/>
  <c r="T337" i="3"/>
  <c r="P337" i="3"/>
  <c r="O337" i="3"/>
  <c r="S336" i="3"/>
  <c r="R336" i="3"/>
  <c r="U336" i="3" s="1"/>
  <c r="Q336" i="3"/>
  <c r="T336" i="3" s="1"/>
  <c r="S335" i="3"/>
  <c r="R335" i="3"/>
  <c r="U335" i="3" s="1"/>
  <c r="Q335" i="3"/>
  <c r="U334" i="3"/>
  <c r="S334" i="3"/>
  <c r="S333" i="3" s="1"/>
  <c r="R334" i="3"/>
  <c r="Q334" i="3"/>
  <c r="T334" i="3" s="1"/>
  <c r="N334" i="3"/>
  <c r="M334" i="3"/>
  <c r="L334" i="3"/>
  <c r="O334" i="3" s="1"/>
  <c r="I330" i="3"/>
  <c r="U328" i="3"/>
  <c r="T328" i="3"/>
  <c r="N328" i="3"/>
  <c r="N326" i="3" s="1"/>
  <c r="M328" i="3"/>
  <c r="P328" i="3" s="1"/>
  <c r="L328" i="3"/>
  <c r="O328" i="3" s="1"/>
  <c r="U327" i="3"/>
  <c r="T327" i="3"/>
  <c r="P327" i="3"/>
  <c r="O327" i="3"/>
  <c r="S326" i="3"/>
  <c r="R326" i="3"/>
  <c r="U326" i="3" s="1"/>
  <c r="Q326" i="3"/>
  <c r="T326" i="3" s="1"/>
  <c r="U325" i="3"/>
  <c r="T325" i="3"/>
  <c r="N325" i="3"/>
  <c r="N323" i="3" s="1"/>
  <c r="M325" i="3"/>
  <c r="L325" i="3"/>
  <c r="U324" i="3"/>
  <c r="T324" i="3"/>
  <c r="P324" i="3"/>
  <c r="O324" i="3"/>
  <c r="S323" i="3"/>
  <c r="R323" i="3"/>
  <c r="U323" i="3" s="1"/>
  <c r="Q323" i="3"/>
  <c r="T323" i="3" s="1"/>
  <c r="S322" i="3"/>
  <c r="R322" i="3"/>
  <c r="U322" i="3" s="1"/>
  <c r="Q322" i="3"/>
  <c r="T322" i="3" s="1"/>
  <c r="S321" i="3"/>
  <c r="R321" i="3"/>
  <c r="Q321" i="3"/>
  <c r="T321" i="3" s="1"/>
  <c r="N321" i="3"/>
  <c r="M321" i="3"/>
  <c r="P321" i="3" s="1"/>
  <c r="L321" i="3"/>
  <c r="O321" i="3" s="1"/>
  <c r="J319" i="3"/>
  <c r="I314" i="3"/>
  <c r="I302" i="3" s="1"/>
  <c r="U311" i="3"/>
  <c r="T311" i="3"/>
  <c r="N311" i="3"/>
  <c r="N309" i="3" s="1"/>
  <c r="M311" i="3"/>
  <c r="L311" i="3"/>
  <c r="U310" i="3"/>
  <c r="T310" i="3"/>
  <c r="P310" i="3"/>
  <c r="O310" i="3"/>
  <c r="S309" i="3"/>
  <c r="R309" i="3"/>
  <c r="U309" i="3" s="1"/>
  <c r="Q309" i="3"/>
  <c r="T309" i="3" s="1"/>
  <c r="S308" i="3"/>
  <c r="S305" i="3" s="1"/>
  <c r="R308" i="3"/>
  <c r="R306" i="3" s="1"/>
  <c r="Q308" i="3"/>
  <c r="Q305" i="3" s="1"/>
  <c r="N308" i="3"/>
  <c r="N306" i="3" s="1"/>
  <c r="M308" i="3"/>
  <c r="L308" i="3"/>
  <c r="L306" i="3" s="1"/>
  <c r="U307" i="3"/>
  <c r="T307" i="3"/>
  <c r="P307" i="3"/>
  <c r="O307" i="3"/>
  <c r="S304" i="3"/>
  <c r="R304" i="3"/>
  <c r="U304" i="3" s="1"/>
  <c r="Q304" i="3"/>
  <c r="N304" i="3"/>
  <c r="M304" i="3"/>
  <c r="P304" i="3" s="1"/>
  <c r="L304" i="3"/>
  <c r="O304" i="3" s="1"/>
  <c r="J302" i="3"/>
  <c r="I296" i="3"/>
  <c r="K296" i="3" s="1"/>
  <c r="I295" i="3"/>
  <c r="K295" i="3" s="1"/>
  <c r="J293" i="3"/>
  <c r="I293" i="3"/>
  <c r="I280" i="3" s="1"/>
  <c r="I292" i="3"/>
  <c r="U290" i="3"/>
  <c r="T290" i="3"/>
  <c r="N290" i="3"/>
  <c r="N288" i="3" s="1"/>
  <c r="M290" i="3"/>
  <c r="P290" i="3" s="1"/>
  <c r="L290" i="3"/>
  <c r="L288" i="3" s="1"/>
  <c r="O288" i="3" s="1"/>
  <c r="U289" i="3"/>
  <c r="T289" i="3"/>
  <c r="P289" i="3"/>
  <c r="O289" i="3"/>
  <c r="S288" i="3"/>
  <c r="R288" i="3"/>
  <c r="U288" i="3" s="1"/>
  <c r="Q288" i="3"/>
  <c r="T288" i="3" s="1"/>
  <c r="U287" i="3"/>
  <c r="T287" i="3"/>
  <c r="N287" i="3"/>
  <c r="M287" i="3"/>
  <c r="L287" i="3"/>
  <c r="L285" i="3" s="1"/>
  <c r="U286" i="3"/>
  <c r="T286" i="3"/>
  <c r="P286" i="3"/>
  <c r="O286" i="3"/>
  <c r="S285" i="3"/>
  <c r="R285" i="3"/>
  <c r="U285" i="3" s="1"/>
  <c r="Q285" i="3"/>
  <c r="T285" i="3" s="1"/>
  <c r="S284" i="3"/>
  <c r="R284" i="3"/>
  <c r="U284" i="3" s="1"/>
  <c r="Q284" i="3"/>
  <c r="S283" i="3"/>
  <c r="R283" i="3"/>
  <c r="U283" i="3" s="1"/>
  <c r="Q283" i="3"/>
  <c r="T283" i="3" s="1"/>
  <c r="N283" i="3"/>
  <c r="M283" i="3"/>
  <c r="P283" i="3" s="1"/>
  <c r="L283" i="3"/>
  <c r="J281" i="3"/>
  <c r="I276" i="3"/>
  <c r="I265" i="3" s="1"/>
  <c r="U274" i="3"/>
  <c r="T274" i="3"/>
  <c r="N274" i="3"/>
  <c r="N272" i="3" s="1"/>
  <c r="M274" i="3"/>
  <c r="L274" i="3"/>
  <c r="L272" i="3" s="1"/>
  <c r="O272" i="3" s="1"/>
  <c r="U273" i="3"/>
  <c r="T273" i="3"/>
  <c r="P273" i="3"/>
  <c r="O273" i="3"/>
  <c r="S272" i="3"/>
  <c r="R272" i="3"/>
  <c r="U272" i="3" s="1"/>
  <c r="Q272" i="3"/>
  <c r="T272" i="3" s="1"/>
  <c r="S271" i="3"/>
  <c r="R271" i="3"/>
  <c r="Q271" i="3"/>
  <c r="Q268" i="3" s="1"/>
  <c r="N271" i="3"/>
  <c r="M271" i="3"/>
  <c r="M269" i="3" s="1"/>
  <c r="L271" i="3"/>
  <c r="U270" i="3"/>
  <c r="T270" i="3"/>
  <c r="P270" i="3"/>
  <c r="O270" i="3"/>
  <c r="S267" i="3"/>
  <c r="R267" i="3"/>
  <c r="Q267" i="3"/>
  <c r="T267" i="3" s="1"/>
  <c r="N267" i="3"/>
  <c r="M267" i="3"/>
  <c r="L267" i="3"/>
  <c r="J265" i="3"/>
  <c r="K263" i="3"/>
  <c r="K262" i="3"/>
  <c r="I260" i="3"/>
  <c r="L258" i="3"/>
  <c r="L257" i="3"/>
  <c r="L256" i="3"/>
  <c r="L255" i="3"/>
  <c r="P254" i="3"/>
  <c r="N254" i="3"/>
  <c r="J253" i="3"/>
  <c r="K252" i="3"/>
  <c r="K251" i="3"/>
  <c r="I249" i="3"/>
  <c r="L247" i="3"/>
  <c r="L246" i="3"/>
  <c r="L245" i="3"/>
  <c r="L244" i="3"/>
  <c r="P243" i="3"/>
  <c r="N243" i="3"/>
  <c r="J242" i="3"/>
  <c r="J241" i="3"/>
  <c r="I241" i="3"/>
  <c r="K241" i="3" s="1"/>
  <c r="J240" i="3"/>
  <c r="I240" i="3"/>
  <c r="K240" i="3" s="1"/>
  <c r="J238" i="3"/>
  <c r="N236" i="3"/>
  <c r="N235" i="3"/>
  <c r="N234" i="3"/>
  <c r="N233" i="3"/>
  <c r="I230" i="3"/>
  <c r="K230" i="3" s="1"/>
  <c r="I229" i="3"/>
  <c r="I221" i="3" s="1"/>
  <c r="I228" i="3"/>
  <c r="K228" i="3" s="1"/>
  <c r="L225" i="3"/>
  <c r="L224" i="3"/>
  <c r="L223" i="3"/>
  <c r="P222" i="3"/>
  <c r="N222" i="3"/>
  <c r="J221" i="3"/>
  <c r="I220" i="3"/>
  <c r="I219" i="3"/>
  <c r="K219" i="3" s="1"/>
  <c r="Q217" i="3"/>
  <c r="Q214" i="3" s="1"/>
  <c r="T214" i="3" s="1"/>
  <c r="L217" i="3"/>
  <c r="L216" i="3"/>
  <c r="L215" i="3"/>
  <c r="U214" i="3"/>
  <c r="S214" i="3"/>
  <c r="P214" i="3"/>
  <c r="N214" i="3"/>
  <c r="J213" i="3"/>
  <c r="I212" i="3"/>
  <c r="K212" i="3" s="1"/>
  <c r="I211" i="3"/>
  <c r="K211" i="3" s="1"/>
  <c r="I209" i="3"/>
  <c r="K209" i="3" s="1"/>
  <c r="L207" i="3"/>
  <c r="Q206" i="3"/>
  <c r="Q203" i="3" s="1"/>
  <c r="L206" i="3"/>
  <c r="L205" i="3"/>
  <c r="L204" i="3"/>
  <c r="U203" i="3"/>
  <c r="S203" i="3"/>
  <c r="P203" i="3"/>
  <c r="N203" i="3"/>
  <c r="J202" i="3"/>
  <c r="J199" i="3"/>
  <c r="I198" i="3"/>
  <c r="K198" i="3" s="1"/>
  <c r="P196" i="3"/>
  <c r="L196" i="3"/>
  <c r="O196" i="3" s="1"/>
  <c r="J195" i="3"/>
  <c r="S194" i="3"/>
  <c r="S192" i="3" s="1"/>
  <c r="R194" i="3"/>
  <c r="U194" i="3" s="1"/>
  <c r="Q194" i="3"/>
  <c r="N194" i="3"/>
  <c r="N192" i="3" s="1"/>
  <c r="M194" i="3"/>
  <c r="M192" i="3" s="1"/>
  <c r="P192" i="3" s="1"/>
  <c r="L194" i="3"/>
  <c r="O194" i="3" s="1"/>
  <c r="U193" i="3"/>
  <c r="T193" i="3"/>
  <c r="P193" i="3"/>
  <c r="O193" i="3"/>
  <c r="S191" i="3"/>
  <c r="S189" i="3" s="1"/>
  <c r="R191" i="3"/>
  <c r="Q191" i="3"/>
  <c r="Q189" i="3" s="1"/>
  <c r="N191" i="3"/>
  <c r="M191" i="3"/>
  <c r="M189" i="3" s="1"/>
  <c r="L191" i="3"/>
  <c r="U190" i="3"/>
  <c r="T190" i="3"/>
  <c r="P190" i="3"/>
  <c r="O190" i="3"/>
  <c r="S187" i="3"/>
  <c r="R187" i="3"/>
  <c r="U187" i="3" s="1"/>
  <c r="Q187" i="3"/>
  <c r="N187" i="3"/>
  <c r="M187" i="3"/>
  <c r="P187" i="3" s="1"/>
  <c r="L187" i="3"/>
  <c r="K184" i="3"/>
  <c r="I183" i="3"/>
  <c r="K183" i="3" s="1"/>
  <c r="U181" i="3"/>
  <c r="T181" i="3"/>
  <c r="N181" i="3"/>
  <c r="N179" i="3" s="1"/>
  <c r="M181" i="3"/>
  <c r="M179" i="3" s="1"/>
  <c r="P179" i="3" s="1"/>
  <c r="L181" i="3"/>
  <c r="O181" i="3" s="1"/>
  <c r="U180" i="3"/>
  <c r="T180" i="3"/>
  <c r="P180" i="3"/>
  <c r="O180" i="3"/>
  <c r="S179" i="3"/>
  <c r="R179" i="3"/>
  <c r="U179" i="3" s="1"/>
  <c r="Q179" i="3"/>
  <c r="T179" i="3" s="1"/>
  <c r="S178" i="3"/>
  <c r="R178" i="3"/>
  <c r="U178" i="3" s="1"/>
  <c r="Q178" i="3"/>
  <c r="N178" i="3"/>
  <c r="M178" i="3"/>
  <c r="L178" i="3"/>
  <c r="L176" i="3" s="1"/>
  <c r="U177" i="3"/>
  <c r="T177" i="3"/>
  <c r="P177" i="3"/>
  <c r="O177" i="3"/>
  <c r="S174" i="3"/>
  <c r="R174" i="3"/>
  <c r="Q174" i="3"/>
  <c r="N174" i="3"/>
  <c r="M174" i="3"/>
  <c r="P174" i="3" s="1"/>
  <c r="L174" i="3"/>
  <c r="O174" i="3" s="1"/>
  <c r="J172" i="3"/>
  <c r="I167" i="3"/>
  <c r="U165" i="3"/>
  <c r="T165" i="3"/>
  <c r="N165" i="3"/>
  <c r="N163" i="3" s="1"/>
  <c r="M165" i="3"/>
  <c r="M163" i="3" s="1"/>
  <c r="P163" i="3" s="1"/>
  <c r="L165" i="3"/>
  <c r="O165" i="3" s="1"/>
  <c r="U164" i="3"/>
  <c r="T164" i="3"/>
  <c r="P164" i="3"/>
  <c r="O164" i="3"/>
  <c r="S163" i="3"/>
  <c r="R163" i="3"/>
  <c r="U163" i="3" s="1"/>
  <c r="Q163" i="3"/>
  <c r="T163" i="3" s="1"/>
  <c r="S162" i="3"/>
  <c r="S160" i="3" s="1"/>
  <c r="R162" i="3"/>
  <c r="U162" i="3" s="1"/>
  <c r="Q162" i="3"/>
  <c r="T162" i="3" s="1"/>
  <c r="N162" i="3"/>
  <c r="M162" i="3"/>
  <c r="M160" i="3" s="1"/>
  <c r="L162" i="3"/>
  <c r="L160" i="3" s="1"/>
  <c r="U161" i="3"/>
  <c r="T161" i="3"/>
  <c r="P161" i="3"/>
  <c r="O161" i="3"/>
  <c r="S158" i="3"/>
  <c r="R158" i="3"/>
  <c r="U158" i="3" s="1"/>
  <c r="Q158" i="3"/>
  <c r="T158" i="3" s="1"/>
  <c r="N158" i="3"/>
  <c r="M158" i="3"/>
  <c r="P158" i="3" s="1"/>
  <c r="L158" i="3"/>
  <c r="O158" i="3" s="1"/>
  <c r="J156" i="3"/>
  <c r="I154" i="3"/>
  <c r="K154" i="3" s="1"/>
  <c r="I153" i="3"/>
  <c r="I152" i="3"/>
  <c r="K152" i="3" s="1"/>
  <c r="I151" i="3"/>
  <c r="K151" i="3" s="1"/>
  <c r="I150" i="3"/>
  <c r="K150" i="3" s="1"/>
  <c r="S147" i="3"/>
  <c r="S145" i="3" s="1"/>
  <c r="R147" i="3"/>
  <c r="U147" i="3" s="1"/>
  <c r="Q147" i="3"/>
  <c r="T147" i="3" s="1"/>
  <c r="N147" i="3"/>
  <c r="N145" i="3" s="1"/>
  <c r="M147" i="3"/>
  <c r="P147" i="3" s="1"/>
  <c r="L147" i="3"/>
  <c r="U146" i="3"/>
  <c r="T146" i="3"/>
  <c r="P146" i="3"/>
  <c r="O146" i="3"/>
  <c r="S144" i="3"/>
  <c r="R144" i="3"/>
  <c r="U144" i="3" s="1"/>
  <c r="Q144" i="3"/>
  <c r="Q142" i="3" s="1"/>
  <c r="N144" i="3"/>
  <c r="M144" i="3"/>
  <c r="M142" i="3" s="1"/>
  <c r="L144" i="3"/>
  <c r="L142" i="3" s="1"/>
  <c r="U143" i="3"/>
  <c r="T143" i="3"/>
  <c r="P143" i="3"/>
  <c r="O143" i="3"/>
  <c r="S140" i="3"/>
  <c r="R140" i="3"/>
  <c r="U140" i="3" s="1"/>
  <c r="Q140" i="3"/>
  <c r="T140" i="3" s="1"/>
  <c r="N140" i="3"/>
  <c r="M140" i="3"/>
  <c r="P140" i="3" s="1"/>
  <c r="L140" i="3"/>
  <c r="O140" i="3" s="1"/>
  <c r="J138" i="3"/>
  <c r="J137" i="3"/>
  <c r="J136" i="3"/>
  <c r="I130" i="3"/>
  <c r="K130" i="3" s="1"/>
  <c r="I129" i="3"/>
  <c r="K129" i="3" s="1"/>
  <c r="I128" i="3"/>
  <c r="K128" i="3" s="1"/>
  <c r="I127" i="3"/>
  <c r="S125" i="3"/>
  <c r="S123" i="3" s="1"/>
  <c r="R125" i="3"/>
  <c r="U125" i="3" s="1"/>
  <c r="Q125" i="3"/>
  <c r="T125" i="3" s="1"/>
  <c r="N125" i="3"/>
  <c r="N123" i="3" s="1"/>
  <c r="M125" i="3"/>
  <c r="L125" i="3"/>
  <c r="L123" i="3" s="1"/>
  <c r="O123" i="3" s="1"/>
  <c r="U124" i="3"/>
  <c r="T124" i="3"/>
  <c r="P124" i="3"/>
  <c r="O124" i="3"/>
  <c r="S122" i="3"/>
  <c r="S120" i="3" s="1"/>
  <c r="R122" i="3"/>
  <c r="R120" i="3" s="1"/>
  <c r="Q122" i="3"/>
  <c r="N122" i="3"/>
  <c r="M122" i="3"/>
  <c r="L122" i="3"/>
  <c r="U121" i="3"/>
  <c r="T121" i="3"/>
  <c r="P121" i="3"/>
  <c r="O121" i="3"/>
  <c r="S118" i="3"/>
  <c r="R118" i="3"/>
  <c r="U118" i="3" s="1"/>
  <c r="Q118" i="3"/>
  <c r="T118" i="3" s="1"/>
  <c r="N118" i="3"/>
  <c r="M118" i="3"/>
  <c r="P118" i="3" s="1"/>
  <c r="L118" i="3"/>
  <c r="O118" i="3" s="1"/>
  <c r="J116" i="3"/>
  <c r="I114" i="3"/>
  <c r="K114" i="3" s="1"/>
  <c r="I109" i="3"/>
  <c r="K109" i="3" s="1"/>
  <c r="I108" i="3"/>
  <c r="I92" i="3" s="1"/>
  <c r="K92" i="3" s="1"/>
  <c r="U102" i="3"/>
  <c r="T102" i="3"/>
  <c r="N102" i="3"/>
  <c r="N100" i="3" s="1"/>
  <c r="M102" i="3"/>
  <c r="M100" i="3" s="1"/>
  <c r="P100" i="3" s="1"/>
  <c r="L102" i="3"/>
  <c r="O102" i="3" s="1"/>
  <c r="U101" i="3"/>
  <c r="T101" i="3"/>
  <c r="P101" i="3"/>
  <c r="O101" i="3"/>
  <c r="S100" i="3"/>
  <c r="R100" i="3"/>
  <c r="U100" i="3" s="1"/>
  <c r="Q100" i="3"/>
  <c r="T100" i="3" s="1"/>
  <c r="S99" i="3"/>
  <c r="R99" i="3"/>
  <c r="R97" i="3" s="1"/>
  <c r="U97" i="3" s="1"/>
  <c r="Q99" i="3"/>
  <c r="T99" i="3" s="1"/>
  <c r="N99" i="3"/>
  <c r="N97" i="3" s="1"/>
  <c r="M99" i="3"/>
  <c r="L99" i="3"/>
  <c r="U98" i="3"/>
  <c r="T98" i="3"/>
  <c r="P98" i="3"/>
  <c r="O98" i="3"/>
  <c r="S95" i="3"/>
  <c r="R95" i="3"/>
  <c r="U95" i="3" s="1"/>
  <c r="Q95" i="3"/>
  <c r="N95" i="3"/>
  <c r="M95" i="3"/>
  <c r="L95" i="3"/>
  <c r="O95" i="3" s="1"/>
  <c r="J93" i="3"/>
  <c r="J92" i="3"/>
  <c r="I90" i="3"/>
  <c r="K90" i="3" s="1"/>
  <c r="I89" i="3"/>
  <c r="K89" i="3" s="1"/>
  <c r="I88" i="3"/>
  <c r="K88" i="3" s="1"/>
  <c r="I87" i="3"/>
  <c r="K87" i="3" s="1"/>
  <c r="I86" i="3"/>
  <c r="K86" i="3" s="1"/>
  <c r="I85" i="3"/>
  <c r="I84" i="3"/>
  <c r="K84" i="3" s="1"/>
  <c r="J83" i="3"/>
  <c r="J71" i="3" s="1"/>
  <c r="J82" i="3"/>
  <c r="J70" i="3" s="1"/>
  <c r="S80" i="3"/>
  <c r="S78" i="3" s="1"/>
  <c r="R80" i="3"/>
  <c r="Q80" i="3"/>
  <c r="Q78" i="3" s="1"/>
  <c r="N80" i="3"/>
  <c r="N78" i="3" s="1"/>
  <c r="M80" i="3"/>
  <c r="M78" i="3" s="1"/>
  <c r="P78" i="3" s="1"/>
  <c r="L80" i="3"/>
  <c r="O80" i="3" s="1"/>
  <c r="U79" i="3"/>
  <c r="T79" i="3"/>
  <c r="P79" i="3"/>
  <c r="O79" i="3"/>
  <c r="S77" i="3"/>
  <c r="R77" i="3"/>
  <c r="Q77" i="3"/>
  <c r="Q75" i="3" s="1"/>
  <c r="N77" i="3"/>
  <c r="M77" i="3"/>
  <c r="M75" i="3" s="1"/>
  <c r="L77" i="3"/>
  <c r="L75" i="3" s="1"/>
  <c r="U76" i="3"/>
  <c r="T76" i="3"/>
  <c r="P76" i="3"/>
  <c r="O76" i="3"/>
  <c r="S73" i="3"/>
  <c r="R73" i="3"/>
  <c r="Q73" i="3"/>
  <c r="T73" i="3" s="1"/>
  <c r="N73" i="3"/>
  <c r="M73" i="3"/>
  <c r="L73" i="3"/>
  <c r="U67" i="3"/>
  <c r="T67" i="3"/>
  <c r="N67" i="3"/>
  <c r="N65" i="3" s="1"/>
  <c r="M67" i="3"/>
  <c r="L67" i="3"/>
  <c r="L65" i="3" s="1"/>
  <c r="U66" i="3"/>
  <c r="T66" i="3"/>
  <c r="P66" i="3"/>
  <c r="O66" i="3"/>
  <c r="S65" i="3"/>
  <c r="R65" i="3"/>
  <c r="U65" i="3" s="1"/>
  <c r="Q65" i="3"/>
  <c r="T65" i="3" s="1"/>
  <c r="U64" i="3"/>
  <c r="T64" i="3"/>
  <c r="N64" i="3"/>
  <c r="N62" i="3" s="1"/>
  <c r="M64" i="3"/>
  <c r="M62" i="3" s="1"/>
  <c r="L64" i="3"/>
  <c r="L62" i="3" s="1"/>
  <c r="U63" i="3"/>
  <c r="T63" i="3"/>
  <c r="P63" i="3"/>
  <c r="O63" i="3"/>
  <c r="S62" i="3"/>
  <c r="R62" i="3"/>
  <c r="U62" i="3" s="1"/>
  <c r="Q62" i="3"/>
  <c r="T62" i="3" s="1"/>
  <c r="S61" i="3"/>
  <c r="R61" i="3"/>
  <c r="U61" i="3" s="1"/>
  <c r="Q61" i="3"/>
  <c r="T61" i="3" s="1"/>
  <c r="S60" i="3"/>
  <c r="R60" i="3"/>
  <c r="Q60" i="3"/>
  <c r="T60" i="3" s="1"/>
  <c r="N60" i="3"/>
  <c r="M60" i="3"/>
  <c r="P60" i="3" s="1"/>
  <c r="L60" i="3"/>
  <c r="O60" i="3" s="1"/>
  <c r="U52" i="3"/>
  <c r="T52" i="3"/>
  <c r="N52" i="3"/>
  <c r="N50" i="3" s="1"/>
  <c r="M52" i="3"/>
  <c r="P52" i="3" s="1"/>
  <c r="L52" i="3"/>
  <c r="L50" i="3" s="1"/>
  <c r="O50" i="3" s="1"/>
  <c r="U51" i="3"/>
  <c r="T51" i="3"/>
  <c r="P51" i="3"/>
  <c r="O51" i="3"/>
  <c r="S50" i="3"/>
  <c r="R50" i="3"/>
  <c r="U50" i="3" s="1"/>
  <c r="Q50" i="3"/>
  <c r="T50" i="3" s="1"/>
  <c r="U49" i="3"/>
  <c r="T49" i="3"/>
  <c r="N49" i="3"/>
  <c r="N47" i="3" s="1"/>
  <c r="M49" i="3"/>
  <c r="M47" i="3" s="1"/>
  <c r="L49" i="3"/>
  <c r="U48" i="3"/>
  <c r="T48" i="3"/>
  <c r="P48" i="3"/>
  <c r="O48" i="3"/>
  <c r="U47" i="3"/>
  <c r="S47" i="3"/>
  <c r="R47" i="3"/>
  <c r="Q47" i="3"/>
  <c r="T47" i="3" s="1"/>
  <c r="S46" i="3"/>
  <c r="R46" i="3"/>
  <c r="U46" i="3" s="1"/>
  <c r="Q46" i="3"/>
  <c r="T46" i="3" s="1"/>
  <c r="S45" i="3"/>
  <c r="R45" i="3"/>
  <c r="Q45" i="3"/>
  <c r="T45" i="3" s="1"/>
  <c r="N45" i="3"/>
  <c r="M45" i="3"/>
  <c r="P45" i="3" s="1"/>
  <c r="L45" i="3"/>
  <c r="O45" i="3" s="1"/>
  <c r="S25" i="3"/>
  <c r="R25" i="3"/>
  <c r="U25" i="3" s="1"/>
  <c r="Q25" i="3"/>
  <c r="N25" i="3"/>
  <c r="M25" i="3"/>
  <c r="P25" i="3" s="1"/>
  <c r="L25" i="3"/>
  <c r="O25" i="3" s="1"/>
  <c r="S22" i="3"/>
  <c r="R22" i="3"/>
  <c r="U22" i="3" s="1"/>
  <c r="Q22" i="3"/>
  <c r="N22" i="3"/>
  <c r="M22" i="3"/>
  <c r="L22" i="3"/>
  <c r="O22" i="3" s="1"/>
  <c r="A789" i="2"/>
  <c r="A788" i="2"/>
  <c r="J785" i="2"/>
  <c r="I785" i="2"/>
  <c r="J784" i="2"/>
  <c r="I784" i="2"/>
  <c r="J783" i="2"/>
  <c r="I783" i="2"/>
  <c r="J782" i="2"/>
  <c r="I782" i="2"/>
  <c r="J781" i="2"/>
  <c r="I781" i="2"/>
  <c r="J780" i="2"/>
  <c r="I780" i="2"/>
  <c r="J779" i="2"/>
  <c r="I779" i="2"/>
  <c r="J778" i="2"/>
  <c r="I778" i="2"/>
  <c r="H777" i="2"/>
  <c r="I776" i="2"/>
  <c r="I775" i="2"/>
  <c r="I774" i="2"/>
  <c r="I759" i="2" s="1"/>
  <c r="I772" i="2"/>
  <c r="K772" i="2" s="1"/>
  <c r="I770" i="2"/>
  <c r="K770" i="2" s="1"/>
  <c r="U768" i="2"/>
  <c r="T768" i="2"/>
  <c r="P768" i="2"/>
  <c r="O768" i="2"/>
  <c r="U767" i="2"/>
  <c r="T767" i="2"/>
  <c r="P767" i="2"/>
  <c r="O767" i="2"/>
  <c r="S766" i="2"/>
  <c r="R766" i="2"/>
  <c r="U766" i="2" s="1"/>
  <c r="Q766" i="2"/>
  <c r="T766" i="2" s="1"/>
  <c r="N766" i="2"/>
  <c r="M766" i="2"/>
  <c r="P766" i="2" s="1"/>
  <c r="L766" i="2"/>
  <c r="O766" i="2" s="1"/>
  <c r="S765" i="2"/>
  <c r="S763" i="2" s="1"/>
  <c r="R765" i="2"/>
  <c r="R763" i="2" s="1"/>
  <c r="Q765" i="2"/>
  <c r="Q763" i="2" s="1"/>
  <c r="P765" i="2"/>
  <c r="O765" i="2"/>
  <c r="U764" i="2"/>
  <c r="T764" i="2"/>
  <c r="P764" i="2"/>
  <c r="O764" i="2"/>
  <c r="N763" i="2"/>
  <c r="M763" i="2"/>
  <c r="P763" i="2" s="1"/>
  <c r="L763" i="2"/>
  <c r="O763" i="2" s="1"/>
  <c r="N762" i="2"/>
  <c r="M762" i="2"/>
  <c r="P762" i="2" s="1"/>
  <c r="L762" i="2"/>
  <c r="U761" i="2"/>
  <c r="T761" i="2"/>
  <c r="S761" i="2"/>
  <c r="R761" i="2"/>
  <c r="Q761" i="2"/>
  <c r="P761" i="2"/>
  <c r="O761" i="2"/>
  <c r="N761" i="2"/>
  <c r="N760" i="2" s="1"/>
  <c r="M761" i="2"/>
  <c r="L761" i="2"/>
  <c r="M760" i="2"/>
  <c r="P760" i="2" s="1"/>
  <c r="J759" i="2"/>
  <c r="J758" i="2"/>
  <c r="I755" i="2"/>
  <c r="K755" i="2" s="1"/>
  <c r="I752" i="2"/>
  <c r="K752" i="2" s="1"/>
  <c r="I749" i="2"/>
  <c r="K749" i="2" s="1"/>
  <c r="I746" i="2"/>
  <c r="K746" i="2" s="1"/>
  <c r="I744" i="2"/>
  <c r="K744" i="2" s="1"/>
  <c r="I742" i="2"/>
  <c r="K742" i="2" s="1"/>
  <c r="I740" i="2"/>
  <c r="K740" i="2" s="1"/>
  <c r="U736" i="2"/>
  <c r="T736" i="2"/>
  <c r="P736" i="2"/>
  <c r="O736" i="2"/>
  <c r="U735" i="2"/>
  <c r="T735" i="2"/>
  <c r="P735" i="2"/>
  <c r="O735" i="2"/>
  <c r="T734" i="2"/>
  <c r="S734" i="2"/>
  <c r="R734" i="2"/>
  <c r="U734" i="2" s="1"/>
  <c r="Q734" i="2"/>
  <c r="N734" i="2"/>
  <c r="M734" i="2"/>
  <c r="P734" i="2" s="1"/>
  <c r="L734" i="2"/>
  <c r="O734" i="2" s="1"/>
  <c r="S733" i="2"/>
  <c r="S730" i="2" s="1"/>
  <c r="R733" i="2"/>
  <c r="Q733" i="2"/>
  <c r="Q730" i="2" s="1"/>
  <c r="P733" i="2"/>
  <c r="O733" i="2"/>
  <c r="U732" i="2"/>
  <c r="T732" i="2"/>
  <c r="P732" i="2"/>
  <c r="O732" i="2"/>
  <c r="N731" i="2"/>
  <c r="M731" i="2"/>
  <c r="P731" i="2" s="1"/>
  <c r="L731" i="2"/>
  <c r="O731" i="2" s="1"/>
  <c r="N730" i="2"/>
  <c r="M730" i="2"/>
  <c r="P730" i="2" s="1"/>
  <c r="L730" i="2"/>
  <c r="O730" i="2" s="1"/>
  <c r="S729" i="2"/>
  <c r="R729" i="2"/>
  <c r="U729" i="2" s="1"/>
  <c r="Q729" i="2"/>
  <c r="T729" i="2" s="1"/>
  <c r="O729" i="2"/>
  <c r="N729" i="2"/>
  <c r="M729" i="2"/>
  <c r="P729" i="2" s="1"/>
  <c r="L729" i="2"/>
  <c r="L728" i="2"/>
  <c r="O728" i="2" s="1"/>
  <c r="J727" i="2"/>
  <c r="I727" i="2"/>
  <c r="J726" i="2"/>
  <c r="I726" i="2"/>
  <c r="U722" i="2"/>
  <c r="T722" i="2"/>
  <c r="P722" i="2"/>
  <c r="O722" i="2"/>
  <c r="U721" i="2"/>
  <c r="T721" i="2"/>
  <c r="P721" i="2"/>
  <c r="O721" i="2"/>
  <c r="S720" i="2"/>
  <c r="R720" i="2"/>
  <c r="U720" i="2" s="1"/>
  <c r="Q720" i="2"/>
  <c r="T720" i="2" s="1"/>
  <c r="N720" i="2"/>
  <c r="M720" i="2"/>
  <c r="P720" i="2" s="1"/>
  <c r="L720" i="2"/>
  <c r="O720" i="2" s="1"/>
  <c r="U719" i="2"/>
  <c r="T719" i="2"/>
  <c r="P719" i="2"/>
  <c r="O719" i="2"/>
  <c r="U718" i="2"/>
  <c r="T718" i="2"/>
  <c r="P718" i="2"/>
  <c r="O718" i="2"/>
  <c r="S717" i="2"/>
  <c r="R717" i="2"/>
  <c r="U717" i="2" s="1"/>
  <c r="Q717" i="2"/>
  <c r="T717" i="2" s="1"/>
  <c r="N717" i="2"/>
  <c r="M717" i="2"/>
  <c r="P717" i="2" s="1"/>
  <c r="L717" i="2"/>
  <c r="O717" i="2" s="1"/>
  <c r="S716" i="2"/>
  <c r="R716" i="2"/>
  <c r="U716" i="2" s="1"/>
  <c r="Q716" i="2"/>
  <c r="O716" i="2"/>
  <c r="N716" i="2"/>
  <c r="M716" i="2"/>
  <c r="L716" i="2"/>
  <c r="S715" i="2"/>
  <c r="S714" i="2" s="1"/>
  <c r="R715" i="2"/>
  <c r="R714" i="2" s="1"/>
  <c r="U714" i="2" s="1"/>
  <c r="Q715" i="2"/>
  <c r="T715" i="2" s="1"/>
  <c r="N715" i="2"/>
  <c r="M715" i="2"/>
  <c r="P715" i="2" s="1"/>
  <c r="L715" i="2"/>
  <c r="O715" i="2" s="1"/>
  <c r="K712" i="2"/>
  <c r="J712" i="2"/>
  <c r="K710" i="2"/>
  <c r="J710" i="2"/>
  <c r="J709" i="2"/>
  <c r="I709" i="2"/>
  <c r="K708" i="2"/>
  <c r="J708" i="2"/>
  <c r="J707" i="2"/>
  <c r="J689" i="2" s="1"/>
  <c r="I707" i="2"/>
  <c r="I689" i="2" s="1"/>
  <c r="K706" i="2"/>
  <c r="J706" i="2"/>
  <c r="J705" i="2"/>
  <c r="I705" i="2"/>
  <c r="K704" i="2"/>
  <c r="J704" i="2"/>
  <c r="J703" i="2"/>
  <c r="I703" i="2"/>
  <c r="K702" i="2"/>
  <c r="I700" i="2"/>
  <c r="K700" i="2" s="1"/>
  <c r="U698" i="2"/>
  <c r="T698" i="2"/>
  <c r="P698" i="2"/>
  <c r="O698" i="2"/>
  <c r="U697" i="2"/>
  <c r="T697" i="2"/>
  <c r="P697" i="2"/>
  <c r="O697" i="2"/>
  <c r="S696" i="2"/>
  <c r="R696" i="2"/>
  <c r="U696" i="2" s="1"/>
  <c r="Q696" i="2"/>
  <c r="T696" i="2" s="1"/>
  <c r="N696" i="2"/>
  <c r="M696" i="2"/>
  <c r="P696" i="2" s="1"/>
  <c r="L696" i="2"/>
  <c r="O696" i="2" s="1"/>
  <c r="S695" i="2"/>
  <c r="R695" i="2"/>
  <c r="R692" i="2" s="1"/>
  <c r="Q695" i="2"/>
  <c r="Q693" i="2" s="1"/>
  <c r="P695" i="2"/>
  <c r="O695" i="2"/>
  <c r="U694" i="2"/>
  <c r="T694" i="2"/>
  <c r="P694" i="2"/>
  <c r="O694" i="2"/>
  <c r="N693" i="2"/>
  <c r="M693" i="2"/>
  <c r="P693" i="2" s="1"/>
  <c r="L693" i="2"/>
  <c r="O693" i="2" s="1"/>
  <c r="N692" i="2"/>
  <c r="M692" i="2"/>
  <c r="L692" i="2"/>
  <c r="S691" i="2"/>
  <c r="R691" i="2"/>
  <c r="U691" i="2" s="1"/>
  <c r="Q691" i="2"/>
  <c r="N691" i="2"/>
  <c r="N690" i="2" s="1"/>
  <c r="M691" i="2"/>
  <c r="P691" i="2" s="1"/>
  <c r="L691" i="2"/>
  <c r="O691" i="2" s="1"/>
  <c r="J682" i="2"/>
  <c r="I682" i="2"/>
  <c r="K682" i="2" s="1"/>
  <c r="J681" i="2"/>
  <c r="I681" i="2"/>
  <c r="K681" i="2" s="1"/>
  <c r="J680" i="2"/>
  <c r="J679" i="2"/>
  <c r="I679" i="2"/>
  <c r="K679" i="2" s="1"/>
  <c r="J678" i="2"/>
  <c r="I678" i="2"/>
  <c r="J677" i="2"/>
  <c r="J676" i="2"/>
  <c r="I676" i="2"/>
  <c r="I675" i="2"/>
  <c r="I674" i="2"/>
  <c r="J673" i="2"/>
  <c r="I673" i="2"/>
  <c r="K673" i="2" s="1"/>
  <c r="J672" i="2"/>
  <c r="J671" i="2"/>
  <c r="J661" i="2"/>
  <c r="I661" i="2"/>
  <c r="K661" i="2" s="1"/>
  <c r="I660" i="2"/>
  <c r="I657" i="2"/>
  <c r="J654" i="2"/>
  <c r="I654" i="2"/>
  <c r="J653" i="2"/>
  <c r="I653" i="2"/>
  <c r="K653" i="2" s="1"/>
  <c r="J652" i="2"/>
  <c r="I652" i="2"/>
  <c r="K652" i="2" s="1"/>
  <c r="U650" i="2"/>
  <c r="T650" i="2"/>
  <c r="P650" i="2"/>
  <c r="O650" i="2"/>
  <c r="U649" i="2"/>
  <c r="T649" i="2"/>
  <c r="P649" i="2"/>
  <c r="O649" i="2"/>
  <c r="S648" i="2"/>
  <c r="R648" i="2"/>
  <c r="U648" i="2" s="1"/>
  <c r="Q648" i="2"/>
  <c r="T648" i="2" s="1"/>
  <c r="P648" i="2"/>
  <c r="N648" i="2"/>
  <c r="M648" i="2"/>
  <c r="L648" i="2"/>
  <c r="O648" i="2" s="1"/>
  <c r="S647" i="2"/>
  <c r="R647" i="2"/>
  <c r="R645" i="2" s="1"/>
  <c r="Q647" i="2"/>
  <c r="Q645" i="2" s="1"/>
  <c r="P647" i="2"/>
  <c r="O647" i="2"/>
  <c r="U646" i="2"/>
  <c r="T646" i="2"/>
  <c r="P646" i="2"/>
  <c r="O646" i="2"/>
  <c r="N645" i="2"/>
  <c r="M645" i="2"/>
  <c r="P645" i="2" s="1"/>
  <c r="L645" i="2"/>
  <c r="O645" i="2" s="1"/>
  <c r="N644" i="2"/>
  <c r="M644" i="2"/>
  <c r="L644" i="2"/>
  <c r="U643" i="2"/>
  <c r="S643" i="2"/>
  <c r="R643" i="2"/>
  <c r="Q643" i="2"/>
  <c r="N643" i="2"/>
  <c r="N642" i="2" s="1"/>
  <c r="M643" i="2"/>
  <c r="P643" i="2" s="1"/>
  <c r="L643" i="2"/>
  <c r="O643" i="2" s="1"/>
  <c r="J636" i="2"/>
  <c r="J635" i="2"/>
  <c r="I635" i="2"/>
  <c r="K635" i="2" s="1"/>
  <c r="J632" i="2"/>
  <c r="J626" i="2" s="1"/>
  <c r="J615" i="2" s="1"/>
  <c r="I628" i="2"/>
  <c r="K628" i="2" s="1"/>
  <c r="I627" i="2"/>
  <c r="K627" i="2" s="1"/>
  <c r="I626" i="2"/>
  <c r="K631" i="2" s="1"/>
  <c r="U624" i="2"/>
  <c r="T624" i="2"/>
  <c r="P624" i="2"/>
  <c r="O624" i="2"/>
  <c r="U623" i="2"/>
  <c r="T623" i="2"/>
  <c r="P623" i="2"/>
  <c r="O623" i="2"/>
  <c r="S622" i="2"/>
  <c r="R622" i="2"/>
  <c r="U622" i="2" s="1"/>
  <c r="Q622" i="2"/>
  <c r="T622" i="2" s="1"/>
  <c r="N622" i="2"/>
  <c r="M622" i="2"/>
  <c r="P622" i="2" s="1"/>
  <c r="L622" i="2"/>
  <c r="O622" i="2" s="1"/>
  <c r="S621" i="2"/>
  <c r="S619" i="2" s="1"/>
  <c r="R621" i="2"/>
  <c r="R619" i="2" s="1"/>
  <c r="Q621" i="2"/>
  <c r="P621" i="2"/>
  <c r="O621" i="2"/>
  <c r="U620" i="2"/>
  <c r="T620" i="2"/>
  <c r="P620" i="2"/>
  <c r="O620" i="2"/>
  <c r="N619" i="2"/>
  <c r="M619" i="2"/>
  <c r="P619" i="2" s="1"/>
  <c r="L619" i="2"/>
  <c r="O619" i="2" s="1"/>
  <c r="N618" i="2"/>
  <c r="M618" i="2"/>
  <c r="L618" i="2"/>
  <c r="O618" i="2" s="1"/>
  <c r="S617" i="2"/>
  <c r="R617" i="2"/>
  <c r="Q617" i="2"/>
  <c r="T617" i="2" s="1"/>
  <c r="N617" i="2"/>
  <c r="M617" i="2"/>
  <c r="P617" i="2" s="1"/>
  <c r="L617" i="2"/>
  <c r="S607" i="2"/>
  <c r="S605" i="2" s="1"/>
  <c r="R607" i="2"/>
  <c r="U607" i="2" s="1"/>
  <c r="Q607" i="2"/>
  <c r="N607" i="2"/>
  <c r="N605" i="2" s="1"/>
  <c r="M607" i="2"/>
  <c r="P607" i="2" s="1"/>
  <c r="L607" i="2"/>
  <c r="L605" i="2" s="1"/>
  <c r="O605" i="2" s="1"/>
  <c r="U606" i="2"/>
  <c r="T606" i="2"/>
  <c r="P606" i="2"/>
  <c r="O606" i="2"/>
  <c r="S604" i="2"/>
  <c r="R604" i="2"/>
  <c r="U604" i="2" s="1"/>
  <c r="Q604" i="2"/>
  <c r="N604" i="2"/>
  <c r="N602" i="2" s="1"/>
  <c r="M604" i="2"/>
  <c r="P604" i="2" s="1"/>
  <c r="L604" i="2"/>
  <c r="O604" i="2" s="1"/>
  <c r="U603" i="2"/>
  <c r="T603" i="2"/>
  <c r="P603" i="2"/>
  <c r="O603" i="2"/>
  <c r="S600" i="2"/>
  <c r="R600" i="2"/>
  <c r="U600" i="2" s="1"/>
  <c r="Q600" i="2"/>
  <c r="T600" i="2" s="1"/>
  <c r="N600" i="2"/>
  <c r="M600" i="2"/>
  <c r="L600" i="2"/>
  <c r="O600" i="2" s="1"/>
  <c r="U584" i="2"/>
  <c r="T584" i="2"/>
  <c r="N584" i="2"/>
  <c r="M584" i="2"/>
  <c r="M582" i="2" s="1"/>
  <c r="P582" i="2" s="1"/>
  <c r="L584" i="2"/>
  <c r="U583" i="2"/>
  <c r="T583" i="2"/>
  <c r="P583" i="2"/>
  <c r="O583" i="2"/>
  <c r="S582" i="2"/>
  <c r="R582" i="2"/>
  <c r="U582" i="2" s="1"/>
  <c r="Q582" i="2"/>
  <c r="T582" i="2" s="1"/>
  <c r="U581" i="2"/>
  <c r="T581" i="2"/>
  <c r="N581" i="2"/>
  <c r="N579" i="2" s="1"/>
  <c r="M581" i="2"/>
  <c r="P581" i="2" s="1"/>
  <c r="L581" i="2"/>
  <c r="O581" i="2" s="1"/>
  <c r="U580" i="2"/>
  <c r="T580" i="2"/>
  <c r="P580" i="2"/>
  <c r="O580" i="2"/>
  <c r="S579" i="2"/>
  <c r="R579" i="2"/>
  <c r="U579" i="2" s="1"/>
  <c r="Q579" i="2"/>
  <c r="T579" i="2" s="1"/>
  <c r="S578" i="2"/>
  <c r="R578" i="2"/>
  <c r="U578" i="2" s="1"/>
  <c r="Q578" i="2"/>
  <c r="T578" i="2" s="1"/>
  <c r="S577" i="2"/>
  <c r="R577" i="2"/>
  <c r="U577" i="2" s="1"/>
  <c r="Q577" i="2"/>
  <c r="T577" i="2" s="1"/>
  <c r="N577" i="2"/>
  <c r="M577" i="2"/>
  <c r="P577" i="2" s="1"/>
  <c r="L577" i="2"/>
  <c r="O577" i="2" s="1"/>
  <c r="J575" i="2"/>
  <c r="I575" i="2"/>
  <c r="K575" i="2" s="1"/>
  <c r="U563" i="2"/>
  <c r="T563" i="2"/>
  <c r="N563" i="2"/>
  <c r="N561" i="2" s="1"/>
  <c r="M563" i="2"/>
  <c r="P563" i="2" s="1"/>
  <c r="L563" i="2"/>
  <c r="O563" i="2" s="1"/>
  <c r="U562" i="2"/>
  <c r="T562" i="2"/>
  <c r="P562" i="2"/>
  <c r="O562" i="2"/>
  <c r="S561" i="2"/>
  <c r="R561" i="2"/>
  <c r="U561" i="2" s="1"/>
  <c r="Q561" i="2"/>
  <c r="T561" i="2" s="1"/>
  <c r="U560" i="2"/>
  <c r="T560" i="2"/>
  <c r="N560" i="2"/>
  <c r="N558" i="2" s="1"/>
  <c r="M560" i="2"/>
  <c r="L560" i="2"/>
  <c r="U559" i="2"/>
  <c r="T559" i="2"/>
  <c r="P559" i="2"/>
  <c r="O559" i="2"/>
  <c r="S558" i="2"/>
  <c r="R558" i="2"/>
  <c r="U558" i="2" s="1"/>
  <c r="Q558" i="2"/>
  <c r="T558" i="2" s="1"/>
  <c r="S557" i="2"/>
  <c r="R557" i="2"/>
  <c r="U557" i="2" s="1"/>
  <c r="Q557" i="2"/>
  <c r="T557" i="2" s="1"/>
  <c r="S556" i="2"/>
  <c r="R556" i="2"/>
  <c r="Q556" i="2"/>
  <c r="N556" i="2"/>
  <c r="M556" i="2"/>
  <c r="P556" i="2" s="1"/>
  <c r="L556" i="2"/>
  <c r="J554" i="2"/>
  <c r="I554" i="2"/>
  <c r="K554" i="2" s="1"/>
  <c r="U542" i="2"/>
  <c r="T542" i="2"/>
  <c r="N542" i="2"/>
  <c r="M542" i="2"/>
  <c r="L542" i="2"/>
  <c r="U541" i="2"/>
  <c r="T541" i="2"/>
  <c r="P541" i="2"/>
  <c r="O541" i="2"/>
  <c r="S540" i="2"/>
  <c r="R540" i="2"/>
  <c r="U540" i="2" s="1"/>
  <c r="Q540" i="2"/>
  <c r="T540" i="2" s="1"/>
  <c r="U539" i="2"/>
  <c r="T539" i="2"/>
  <c r="N539" i="2"/>
  <c r="N537" i="2" s="1"/>
  <c r="M539" i="2"/>
  <c r="P539" i="2" s="1"/>
  <c r="L539" i="2"/>
  <c r="O539" i="2" s="1"/>
  <c r="U538" i="2"/>
  <c r="T538" i="2"/>
  <c r="P538" i="2"/>
  <c r="O538" i="2"/>
  <c r="S537" i="2"/>
  <c r="R537" i="2"/>
  <c r="U537" i="2" s="1"/>
  <c r="Q537" i="2"/>
  <c r="T537" i="2" s="1"/>
  <c r="S536" i="2"/>
  <c r="R536" i="2"/>
  <c r="U536" i="2" s="1"/>
  <c r="Q536" i="2"/>
  <c r="T536" i="2" s="1"/>
  <c r="S535" i="2"/>
  <c r="R535" i="2"/>
  <c r="U535" i="2" s="1"/>
  <c r="Q535" i="2"/>
  <c r="T535" i="2" s="1"/>
  <c r="N535" i="2"/>
  <c r="M535" i="2"/>
  <c r="P535" i="2" s="1"/>
  <c r="L535" i="2"/>
  <c r="O535" i="2" s="1"/>
  <c r="R534" i="2"/>
  <c r="U534" i="2" s="1"/>
  <c r="J533" i="2"/>
  <c r="I533" i="2"/>
  <c r="K533" i="2" s="1"/>
  <c r="K524" i="2"/>
  <c r="K523" i="2"/>
  <c r="U521" i="2"/>
  <c r="T521" i="2"/>
  <c r="N521" i="2"/>
  <c r="N519" i="2" s="1"/>
  <c r="M521" i="2"/>
  <c r="M519" i="2" s="1"/>
  <c r="P519" i="2" s="1"/>
  <c r="L521" i="2"/>
  <c r="U520" i="2"/>
  <c r="T520" i="2"/>
  <c r="P520" i="2"/>
  <c r="O520" i="2"/>
  <c r="U519" i="2"/>
  <c r="S519" i="2"/>
  <c r="R519" i="2"/>
  <c r="Q519" i="2"/>
  <c r="T519" i="2" s="1"/>
  <c r="U518" i="2"/>
  <c r="T518" i="2"/>
  <c r="N518" i="2"/>
  <c r="N516" i="2" s="1"/>
  <c r="M518" i="2"/>
  <c r="M516" i="2" s="1"/>
  <c r="P516" i="2" s="1"/>
  <c r="L518" i="2"/>
  <c r="L516" i="2" s="1"/>
  <c r="O516" i="2" s="1"/>
  <c r="U517" i="2"/>
  <c r="T517" i="2"/>
  <c r="P517" i="2"/>
  <c r="O517" i="2"/>
  <c r="S516" i="2"/>
  <c r="R516" i="2"/>
  <c r="U516" i="2" s="1"/>
  <c r="Q516" i="2"/>
  <c r="T516" i="2" s="1"/>
  <c r="S515" i="2"/>
  <c r="R515" i="2"/>
  <c r="Q515" i="2"/>
  <c r="T515" i="2" s="1"/>
  <c r="S514" i="2"/>
  <c r="R514" i="2"/>
  <c r="U514" i="2" s="1"/>
  <c r="Q514" i="2"/>
  <c r="T514" i="2" s="1"/>
  <c r="N514" i="2"/>
  <c r="M514" i="2"/>
  <c r="L514" i="2"/>
  <c r="J512" i="2"/>
  <c r="I512" i="2"/>
  <c r="K512" i="2" s="1"/>
  <c r="I509" i="2"/>
  <c r="K509" i="2" s="1"/>
  <c r="K508" i="2"/>
  <c r="I507" i="2"/>
  <c r="K507" i="2" s="1"/>
  <c r="I506" i="2"/>
  <c r="K506" i="2" s="1"/>
  <c r="I505" i="2"/>
  <c r="K505" i="2" s="1"/>
  <c r="I504" i="2"/>
  <c r="I503" i="2"/>
  <c r="K503" i="2" s="1"/>
  <c r="U501" i="2"/>
  <c r="T501" i="2"/>
  <c r="N501" i="2"/>
  <c r="N499" i="2" s="1"/>
  <c r="M501" i="2"/>
  <c r="P501" i="2" s="1"/>
  <c r="L501" i="2"/>
  <c r="U500" i="2"/>
  <c r="T500" i="2"/>
  <c r="P500" i="2"/>
  <c r="O500" i="2"/>
  <c r="S499" i="2"/>
  <c r="R499" i="2"/>
  <c r="U499" i="2" s="1"/>
  <c r="Q499" i="2"/>
  <c r="T499" i="2" s="1"/>
  <c r="S498" i="2"/>
  <c r="S495" i="2" s="1"/>
  <c r="R498" i="2"/>
  <c r="U498" i="2" s="1"/>
  <c r="Q498" i="2"/>
  <c r="T498" i="2" s="1"/>
  <c r="N498" i="2"/>
  <c r="N496" i="2" s="1"/>
  <c r="M498" i="2"/>
  <c r="P498" i="2" s="1"/>
  <c r="L498" i="2"/>
  <c r="U497" i="2"/>
  <c r="T497" i="2"/>
  <c r="P497" i="2"/>
  <c r="O497" i="2"/>
  <c r="U494" i="2"/>
  <c r="S494" i="2"/>
  <c r="R494" i="2"/>
  <c r="Q494" i="2"/>
  <c r="T494" i="2" s="1"/>
  <c r="N494" i="2"/>
  <c r="M494" i="2"/>
  <c r="P494" i="2" s="1"/>
  <c r="L494" i="2"/>
  <c r="O494" i="2" s="1"/>
  <c r="K485" i="2"/>
  <c r="J485" i="2"/>
  <c r="I485" i="2"/>
  <c r="J484" i="2"/>
  <c r="I484" i="2"/>
  <c r="K484" i="2" s="1"/>
  <c r="J483" i="2"/>
  <c r="J482" i="2"/>
  <c r="K477" i="2"/>
  <c r="J477" i="2"/>
  <c r="K476" i="2"/>
  <c r="J476" i="2"/>
  <c r="K475" i="2"/>
  <c r="J475" i="2"/>
  <c r="J468" i="2"/>
  <c r="J467" i="2"/>
  <c r="J460" i="2"/>
  <c r="J459" i="2"/>
  <c r="J458" i="2"/>
  <c r="I458" i="2"/>
  <c r="K458" i="2" s="1"/>
  <c r="I457" i="2"/>
  <c r="I456" i="2" s="1"/>
  <c r="J447" i="2"/>
  <c r="J446" i="2"/>
  <c r="J441" i="2"/>
  <c r="I441" i="2"/>
  <c r="J440" i="2"/>
  <c r="J423" i="2" s="1"/>
  <c r="J412" i="2" s="1"/>
  <c r="I440" i="2"/>
  <c r="J433" i="2"/>
  <c r="I433" i="2"/>
  <c r="K433" i="2" s="1"/>
  <c r="J432" i="2"/>
  <c r="I432" i="2"/>
  <c r="J425" i="2"/>
  <c r="I425" i="2"/>
  <c r="J424" i="2"/>
  <c r="I424" i="2"/>
  <c r="K424" i="2" s="1"/>
  <c r="U421" i="2"/>
  <c r="T421" i="2"/>
  <c r="N421" i="2"/>
  <c r="N419" i="2" s="1"/>
  <c r="M421" i="2"/>
  <c r="P421" i="2" s="1"/>
  <c r="L421" i="2"/>
  <c r="U420" i="2"/>
  <c r="T420" i="2"/>
  <c r="P420" i="2"/>
  <c r="O420" i="2"/>
  <c r="S419" i="2"/>
  <c r="R419" i="2"/>
  <c r="U419" i="2" s="1"/>
  <c r="Q419" i="2"/>
  <c r="T419" i="2" s="1"/>
  <c r="S418" i="2"/>
  <c r="S416" i="2" s="1"/>
  <c r="R418" i="2"/>
  <c r="Q418" i="2"/>
  <c r="Q416" i="2" s="1"/>
  <c r="N418" i="2"/>
  <c r="N416" i="2" s="1"/>
  <c r="M418" i="2"/>
  <c r="M416" i="2" s="1"/>
  <c r="L418" i="2"/>
  <c r="U417" i="2"/>
  <c r="T417" i="2"/>
  <c r="P417" i="2"/>
  <c r="O417" i="2"/>
  <c r="S414" i="2"/>
  <c r="R414" i="2"/>
  <c r="Q414" i="2"/>
  <c r="T414" i="2" s="1"/>
  <c r="N414" i="2"/>
  <c r="M414" i="2"/>
  <c r="P414" i="2" s="1"/>
  <c r="L414" i="2"/>
  <c r="U400" i="2"/>
  <c r="T400" i="2"/>
  <c r="P400" i="2"/>
  <c r="O400" i="2"/>
  <c r="U399" i="2"/>
  <c r="T399" i="2"/>
  <c r="P399" i="2"/>
  <c r="O399" i="2"/>
  <c r="S398" i="2"/>
  <c r="R398" i="2"/>
  <c r="U398" i="2" s="1"/>
  <c r="Q398" i="2"/>
  <c r="T398" i="2" s="1"/>
  <c r="N398" i="2"/>
  <c r="M398" i="2"/>
  <c r="P398" i="2" s="1"/>
  <c r="L398" i="2"/>
  <c r="O398" i="2" s="1"/>
  <c r="S397" i="2"/>
  <c r="S395" i="2" s="1"/>
  <c r="R397" i="2"/>
  <c r="R395" i="2" s="1"/>
  <c r="U395" i="2" s="1"/>
  <c r="Q397" i="2"/>
  <c r="P397" i="2"/>
  <c r="O397" i="2"/>
  <c r="U396" i="2"/>
  <c r="T396" i="2"/>
  <c r="P396" i="2"/>
  <c r="O396" i="2"/>
  <c r="N395" i="2"/>
  <c r="M395" i="2"/>
  <c r="P395" i="2" s="1"/>
  <c r="L395" i="2"/>
  <c r="O395" i="2" s="1"/>
  <c r="N394" i="2"/>
  <c r="M394" i="2"/>
  <c r="P394" i="2" s="1"/>
  <c r="L394" i="2"/>
  <c r="O394" i="2" s="1"/>
  <c r="S393" i="2"/>
  <c r="R393" i="2"/>
  <c r="Q393" i="2"/>
  <c r="T393" i="2" s="1"/>
  <c r="N393" i="2"/>
  <c r="N392" i="2" s="1"/>
  <c r="M393" i="2"/>
  <c r="M392" i="2" s="1"/>
  <c r="P392" i="2" s="1"/>
  <c r="L393" i="2"/>
  <c r="J391" i="2"/>
  <c r="I391" i="2"/>
  <c r="K391" i="2" s="1"/>
  <c r="J388" i="2"/>
  <c r="I388" i="2"/>
  <c r="K388" i="2" s="1"/>
  <c r="K387" i="2"/>
  <c r="J387" i="2"/>
  <c r="J386" i="2"/>
  <c r="I386" i="2"/>
  <c r="K385" i="2"/>
  <c r="J385" i="2"/>
  <c r="U383" i="2"/>
  <c r="T383" i="2"/>
  <c r="N383" i="2"/>
  <c r="N381" i="2" s="1"/>
  <c r="M383" i="2"/>
  <c r="M381" i="2" s="1"/>
  <c r="P381" i="2" s="1"/>
  <c r="L383" i="2"/>
  <c r="O383" i="2" s="1"/>
  <c r="U382" i="2"/>
  <c r="T382" i="2"/>
  <c r="P382" i="2"/>
  <c r="O382" i="2"/>
  <c r="S381" i="2"/>
  <c r="R381" i="2"/>
  <c r="U381" i="2" s="1"/>
  <c r="Q381" i="2"/>
  <c r="T381" i="2" s="1"/>
  <c r="S380" i="2"/>
  <c r="S378" i="2" s="1"/>
  <c r="R380" i="2"/>
  <c r="R378" i="2" s="1"/>
  <c r="Q380" i="2"/>
  <c r="Q378" i="2" s="1"/>
  <c r="N380" i="2"/>
  <c r="N378" i="2" s="1"/>
  <c r="M380" i="2"/>
  <c r="M378" i="2" s="1"/>
  <c r="P378" i="2" s="1"/>
  <c r="L380" i="2"/>
  <c r="O380" i="2" s="1"/>
  <c r="U379" i="2"/>
  <c r="T379" i="2"/>
  <c r="P379" i="2"/>
  <c r="O379" i="2"/>
  <c r="T376" i="2"/>
  <c r="S376" i="2"/>
  <c r="R376" i="2"/>
  <c r="U376" i="2" s="1"/>
  <c r="Q376" i="2"/>
  <c r="N376" i="2"/>
  <c r="M376" i="2"/>
  <c r="P376" i="2" s="1"/>
  <c r="L376" i="2"/>
  <c r="O376" i="2" s="1"/>
  <c r="D373" i="2"/>
  <c r="K372" i="2"/>
  <c r="J372" i="2"/>
  <c r="J371" i="2"/>
  <c r="J365" i="2" s="1"/>
  <c r="I371" i="2"/>
  <c r="I365" i="2" s="1"/>
  <c r="K370" i="2"/>
  <c r="J370" i="2"/>
  <c r="J369" i="2"/>
  <c r="I369" i="2"/>
  <c r="J368" i="2"/>
  <c r="I368" i="2"/>
  <c r="K367" i="2"/>
  <c r="J367" i="2"/>
  <c r="U364" i="2"/>
  <c r="T364" i="2"/>
  <c r="N364" i="2"/>
  <c r="N362" i="2" s="1"/>
  <c r="M364" i="2"/>
  <c r="L364" i="2"/>
  <c r="L362" i="2" s="1"/>
  <c r="O362" i="2" s="1"/>
  <c r="U363" i="2"/>
  <c r="T363" i="2"/>
  <c r="P363" i="2"/>
  <c r="O363" i="2"/>
  <c r="T362" i="2"/>
  <c r="S362" i="2"/>
  <c r="R362" i="2"/>
  <c r="U362" i="2" s="1"/>
  <c r="Q362" i="2"/>
  <c r="U361" i="2"/>
  <c r="T361" i="2"/>
  <c r="N361" i="2"/>
  <c r="M361" i="2"/>
  <c r="M359" i="2" s="1"/>
  <c r="L361" i="2"/>
  <c r="L359" i="2" s="1"/>
  <c r="U360" i="2"/>
  <c r="T360" i="2"/>
  <c r="P360" i="2"/>
  <c r="O360" i="2"/>
  <c r="S359" i="2"/>
  <c r="R359" i="2"/>
  <c r="U359" i="2" s="1"/>
  <c r="Q359" i="2"/>
  <c r="T359" i="2" s="1"/>
  <c r="S358" i="2"/>
  <c r="R358" i="2"/>
  <c r="R356" i="2" s="1"/>
  <c r="U356" i="2" s="1"/>
  <c r="Q358" i="2"/>
  <c r="Q356" i="2" s="1"/>
  <c r="T356" i="2" s="1"/>
  <c r="S357" i="2"/>
  <c r="R357" i="2"/>
  <c r="U357" i="2" s="1"/>
  <c r="Q357" i="2"/>
  <c r="T357" i="2" s="1"/>
  <c r="N357" i="2"/>
  <c r="M357" i="2"/>
  <c r="P357" i="2" s="1"/>
  <c r="L357" i="2"/>
  <c r="D354" i="2"/>
  <c r="J353" i="2"/>
  <c r="J352" i="2"/>
  <c r="D350" i="2"/>
  <c r="J349" i="2"/>
  <c r="J348" i="2"/>
  <c r="J347" i="2"/>
  <c r="J346" i="2"/>
  <c r="I346" i="2"/>
  <c r="J344" i="2"/>
  <c r="I344" i="2"/>
  <c r="U341" i="2"/>
  <c r="T341" i="2"/>
  <c r="N341" i="2"/>
  <c r="M341" i="2"/>
  <c r="M339" i="2" s="1"/>
  <c r="P339" i="2" s="1"/>
  <c r="L341" i="2"/>
  <c r="L339" i="2" s="1"/>
  <c r="O339" i="2" s="1"/>
  <c r="U340" i="2"/>
  <c r="T340" i="2"/>
  <c r="P340" i="2"/>
  <c r="O340" i="2"/>
  <c r="S339" i="2"/>
  <c r="R339" i="2"/>
  <c r="U339" i="2" s="1"/>
  <c r="Q339" i="2"/>
  <c r="T339" i="2" s="1"/>
  <c r="U338" i="2"/>
  <c r="T338" i="2"/>
  <c r="N338" i="2"/>
  <c r="N336" i="2" s="1"/>
  <c r="M338" i="2"/>
  <c r="M336" i="2" s="1"/>
  <c r="L338" i="2"/>
  <c r="L336" i="2" s="1"/>
  <c r="U337" i="2"/>
  <c r="T337" i="2"/>
  <c r="P337" i="2"/>
  <c r="O337" i="2"/>
  <c r="T336" i="2"/>
  <c r="S336" i="2"/>
  <c r="R336" i="2"/>
  <c r="U336" i="2" s="1"/>
  <c r="Q336" i="2"/>
  <c r="S335" i="2"/>
  <c r="R335" i="2"/>
  <c r="U335" i="2" s="1"/>
  <c r="Q335" i="2"/>
  <c r="T335" i="2" s="1"/>
  <c r="U334" i="2"/>
  <c r="S334" i="2"/>
  <c r="R334" i="2"/>
  <c r="Q334" i="2"/>
  <c r="N334" i="2"/>
  <c r="M334" i="2"/>
  <c r="P334" i="2" s="1"/>
  <c r="L334" i="2"/>
  <c r="O334" i="2" s="1"/>
  <c r="I330" i="2"/>
  <c r="U328" i="2"/>
  <c r="T328" i="2"/>
  <c r="N328" i="2"/>
  <c r="N326" i="2" s="1"/>
  <c r="M328" i="2"/>
  <c r="L328" i="2"/>
  <c r="O328" i="2" s="1"/>
  <c r="U327" i="2"/>
  <c r="T327" i="2"/>
  <c r="P327" i="2"/>
  <c r="O327" i="2"/>
  <c r="S326" i="2"/>
  <c r="R326" i="2"/>
  <c r="U326" i="2" s="1"/>
  <c r="Q326" i="2"/>
  <c r="T326" i="2" s="1"/>
  <c r="U325" i="2"/>
  <c r="T325" i="2"/>
  <c r="N325" i="2"/>
  <c r="N323" i="2" s="1"/>
  <c r="M325" i="2"/>
  <c r="M323" i="2" s="1"/>
  <c r="P323" i="2" s="1"/>
  <c r="L325" i="2"/>
  <c r="U324" i="2"/>
  <c r="T324" i="2"/>
  <c r="P324" i="2"/>
  <c r="O324" i="2"/>
  <c r="S323" i="2"/>
  <c r="R323" i="2"/>
  <c r="U323" i="2" s="1"/>
  <c r="Q323" i="2"/>
  <c r="T323" i="2" s="1"/>
  <c r="S322" i="2"/>
  <c r="R322" i="2"/>
  <c r="Q322" i="2"/>
  <c r="T322" i="2" s="1"/>
  <c r="S321" i="2"/>
  <c r="R321" i="2"/>
  <c r="U321" i="2" s="1"/>
  <c r="Q321" i="2"/>
  <c r="T321" i="2" s="1"/>
  <c r="N321" i="2"/>
  <c r="M321" i="2"/>
  <c r="P321" i="2" s="1"/>
  <c r="L321" i="2"/>
  <c r="O321" i="2" s="1"/>
  <c r="J319" i="2"/>
  <c r="I314" i="2"/>
  <c r="K314" i="2" s="1"/>
  <c r="U311" i="2"/>
  <c r="T311" i="2"/>
  <c r="N311" i="2"/>
  <c r="N309" i="2" s="1"/>
  <c r="M311" i="2"/>
  <c r="M309" i="2" s="1"/>
  <c r="P309" i="2" s="1"/>
  <c r="L311" i="2"/>
  <c r="U310" i="2"/>
  <c r="T310" i="2"/>
  <c r="P310" i="2"/>
  <c r="O310" i="2"/>
  <c r="U309" i="2"/>
  <c r="T309" i="2"/>
  <c r="S309" i="2"/>
  <c r="R309" i="2"/>
  <c r="Q309" i="2"/>
  <c r="S308" i="2"/>
  <c r="S306" i="2" s="1"/>
  <c r="R308" i="2"/>
  <c r="Q308" i="2"/>
  <c r="Q306" i="2" s="1"/>
  <c r="N308" i="2"/>
  <c r="M308" i="2"/>
  <c r="M306" i="2" s="1"/>
  <c r="L308" i="2"/>
  <c r="U307" i="2"/>
  <c r="T307" i="2"/>
  <c r="P307" i="2"/>
  <c r="O307" i="2"/>
  <c r="S304" i="2"/>
  <c r="R304" i="2"/>
  <c r="Q304" i="2"/>
  <c r="T304" i="2" s="1"/>
  <c r="N304" i="2"/>
  <c r="M304" i="2"/>
  <c r="L304" i="2"/>
  <c r="J302" i="2"/>
  <c r="I296" i="2"/>
  <c r="K296" i="2" s="1"/>
  <c r="I295" i="2"/>
  <c r="K295" i="2" s="1"/>
  <c r="J293" i="2"/>
  <c r="J280" i="2" s="1"/>
  <c r="I293" i="2"/>
  <c r="I280" i="2" s="1"/>
  <c r="I292" i="2"/>
  <c r="K292" i="2" s="1"/>
  <c r="U290" i="2"/>
  <c r="T290" i="2"/>
  <c r="N290" i="2"/>
  <c r="N288" i="2" s="1"/>
  <c r="M290" i="2"/>
  <c r="P290" i="2" s="1"/>
  <c r="L290" i="2"/>
  <c r="U289" i="2"/>
  <c r="T289" i="2"/>
  <c r="P289" i="2"/>
  <c r="O289" i="2"/>
  <c r="S288" i="2"/>
  <c r="R288" i="2"/>
  <c r="U288" i="2" s="1"/>
  <c r="Q288" i="2"/>
  <c r="T288" i="2" s="1"/>
  <c r="U287" i="2"/>
  <c r="T287" i="2"/>
  <c r="N287" i="2"/>
  <c r="M287" i="2"/>
  <c r="M285" i="2" s="1"/>
  <c r="L287" i="2"/>
  <c r="L285" i="2" s="1"/>
  <c r="U286" i="2"/>
  <c r="T286" i="2"/>
  <c r="P286" i="2"/>
  <c r="O286" i="2"/>
  <c r="S285" i="2"/>
  <c r="R285" i="2"/>
  <c r="U285" i="2" s="1"/>
  <c r="Q285" i="2"/>
  <c r="T285" i="2" s="1"/>
  <c r="S284" i="2"/>
  <c r="R284" i="2"/>
  <c r="U284" i="2" s="1"/>
  <c r="Q284" i="2"/>
  <c r="Q282" i="2" s="1"/>
  <c r="T282" i="2" s="1"/>
  <c r="S283" i="2"/>
  <c r="S282" i="2" s="1"/>
  <c r="R283" i="2"/>
  <c r="Q283" i="2"/>
  <c r="T283" i="2" s="1"/>
  <c r="N283" i="2"/>
  <c r="M283" i="2"/>
  <c r="L283" i="2"/>
  <c r="J281" i="2"/>
  <c r="I276" i="2"/>
  <c r="K276" i="2" s="1"/>
  <c r="U274" i="2"/>
  <c r="T274" i="2"/>
  <c r="N274" i="2"/>
  <c r="N272" i="2" s="1"/>
  <c r="M274" i="2"/>
  <c r="P274" i="2" s="1"/>
  <c r="L274" i="2"/>
  <c r="L272" i="2" s="1"/>
  <c r="O272" i="2" s="1"/>
  <c r="U273" i="2"/>
  <c r="T273" i="2"/>
  <c r="P273" i="2"/>
  <c r="O273" i="2"/>
  <c r="U272" i="2"/>
  <c r="T272" i="2"/>
  <c r="S272" i="2"/>
  <c r="R272" i="2"/>
  <c r="Q272" i="2"/>
  <c r="S271" i="2"/>
  <c r="S268" i="2" s="1"/>
  <c r="S266" i="2" s="1"/>
  <c r="R271" i="2"/>
  <c r="R268" i="2" s="1"/>
  <c r="Q271" i="2"/>
  <c r="Q269" i="2" s="1"/>
  <c r="N271" i="2"/>
  <c r="N269" i="2" s="1"/>
  <c r="M271" i="2"/>
  <c r="M269" i="2" s="1"/>
  <c r="L271" i="2"/>
  <c r="U270" i="2"/>
  <c r="T270" i="2"/>
  <c r="P270" i="2"/>
  <c r="O270" i="2"/>
  <c r="S267" i="2"/>
  <c r="R267" i="2"/>
  <c r="U267" i="2" s="1"/>
  <c r="Q267" i="2"/>
  <c r="N267" i="2"/>
  <c r="M267" i="2"/>
  <c r="P267" i="2" s="1"/>
  <c r="L267" i="2"/>
  <c r="J265" i="2"/>
  <c r="K263" i="2"/>
  <c r="K262" i="2"/>
  <c r="I260" i="2"/>
  <c r="K260" i="2" s="1"/>
  <c r="L258" i="2"/>
  <c r="L257" i="2"/>
  <c r="L256" i="2"/>
  <c r="L255" i="2"/>
  <c r="P254" i="2"/>
  <c r="N254" i="2"/>
  <c r="J253" i="2"/>
  <c r="K252" i="2"/>
  <c r="K251" i="2"/>
  <c r="I249" i="2"/>
  <c r="L247" i="2"/>
  <c r="L246" i="2"/>
  <c r="L245" i="2"/>
  <c r="L244" i="2"/>
  <c r="P243" i="2"/>
  <c r="N243" i="2"/>
  <c r="J242" i="2"/>
  <c r="J241" i="2"/>
  <c r="I241" i="2"/>
  <c r="K241" i="2" s="1"/>
  <c r="J240" i="2"/>
  <c r="I240" i="2"/>
  <c r="K240" i="2" s="1"/>
  <c r="J238" i="2"/>
  <c r="N236" i="2"/>
  <c r="N235" i="2"/>
  <c r="N234" i="2"/>
  <c r="N233" i="2"/>
  <c r="I230" i="2"/>
  <c r="K230" i="2" s="1"/>
  <c r="I229" i="2"/>
  <c r="K229" i="2" s="1"/>
  <c r="I228" i="2"/>
  <c r="K228" i="2" s="1"/>
  <c r="L225" i="2"/>
  <c r="L224" i="2"/>
  <c r="L223" i="2"/>
  <c r="P222" i="2"/>
  <c r="N222" i="2"/>
  <c r="J221" i="2"/>
  <c r="I220" i="2"/>
  <c r="I219" i="2"/>
  <c r="K219" i="2" s="1"/>
  <c r="Q217" i="2"/>
  <c r="Q214" i="2" s="1"/>
  <c r="T214" i="2" s="1"/>
  <c r="L217" i="2"/>
  <c r="L216" i="2"/>
  <c r="L215" i="2"/>
  <c r="U214" i="2"/>
  <c r="S214" i="2"/>
  <c r="P214" i="2"/>
  <c r="N214" i="2"/>
  <c r="J213" i="2"/>
  <c r="I212" i="2"/>
  <c r="K212" i="2" s="1"/>
  <c r="I211" i="2"/>
  <c r="K211" i="2" s="1"/>
  <c r="I209" i="2"/>
  <c r="K209" i="2" s="1"/>
  <c r="L207" i="2"/>
  <c r="Q206" i="2"/>
  <c r="Q203" i="2" s="1"/>
  <c r="T203" i="2" s="1"/>
  <c r="L206" i="2"/>
  <c r="L205" i="2"/>
  <c r="L204" i="2"/>
  <c r="U203" i="2"/>
  <c r="S203" i="2"/>
  <c r="P203" i="2"/>
  <c r="N203" i="2"/>
  <c r="J202" i="2"/>
  <c r="J199" i="2"/>
  <c r="I198" i="2"/>
  <c r="K198" i="2" s="1"/>
  <c r="P196" i="2"/>
  <c r="L196" i="2"/>
  <c r="O196" i="2" s="1"/>
  <c r="J195" i="2"/>
  <c r="S194" i="2"/>
  <c r="S192" i="2" s="1"/>
  <c r="R194" i="2"/>
  <c r="U194" i="2" s="1"/>
  <c r="Q194" i="2"/>
  <c r="Q192" i="2" s="1"/>
  <c r="T192" i="2" s="1"/>
  <c r="N194" i="2"/>
  <c r="M194" i="2"/>
  <c r="L194" i="2"/>
  <c r="O194" i="2" s="1"/>
  <c r="U193" i="2"/>
  <c r="T193" i="2"/>
  <c r="P193" i="2"/>
  <c r="O193" i="2"/>
  <c r="S191" i="2"/>
  <c r="S189" i="2" s="1"/>
  <c r="R191" i="2"/>
  <c r="U191" i="2" s="1"/>
  <c r="Q191" i="2"/>
  <c r="T191" i="2" s="1"/>
  <c r="N191" i="2"/>
  <c r="N189" i="2" s="1"/>
  <c r="M191" i="2"/>
  <c r="M189" i="2" s="1"/>
  <c r="L191" i="2"/>
  <c r="U190" i="2"/>
  <c r="T190" i="2"/>
  <c r="P190" i="2"/>
  <c r="O190" i="2"/>
  <c r="S187" i="2"/>
  <c r="R187" i="2"/>
  <c r="U187" i="2" s="1"/>
  <c r="Q187" i="2"/>
  <c r="N187" i="2"/>
  <c r="M187" i="2"/>
  <c r="P187" i="2" s="1"/>
  <c r="L187" i="2"/>
  <c r="O187" i="2" s="1"/>
  <c r="K184" i="2"/>
  <c r="I183" i="2"/>
  <c r="K183" i="2" s="1"/>
  <c r="U181" i="2"/>
  <c r="T181" i="2"/>
  <c r="N181" i="2"/>
  <c r="N179" i="2" s="1"/>
  <c r="M181" i="2"/>
  <c r="P181" i="2" s="1"/>
  <c r="L181" i="2"/>
  <c r="O181" i="2" s="1"/>
  <c r="U180" i="2"/>
  <c r="T180" i="2"/>
  <c r="P180" i="2"/>
  <c r="O180" i="2"/>
  <c r="U179" i="2"/>
  <c r="T179" i="2"/>
  <c r="S179" i="2"/>
  <c r="R179" i="2"/>
  <c r="Q179" i="2"/>
  <c r="S178" i="2"/>
  <c r="S176" i="2" s="1"/>
  <c r="R178" i="2"/>
  <c r="R176" i="2" s="1"/>
  <c r="U176" i="2" s="1"/>
  <c r="Q178" i="2"/>
  <c r="Q176" i="2" s="1"/>
  <c r="T176" i="2" s="1"/>
  <c r="N178" i="2"/>
  <c r="M178" i="2"/>
  <c r="L178" i="2"/>
  <c r="L176" i="2" s="1"/>
  <c r="U177" i="2"/>
  <c r="T177" i="2"/>
  <c r="P177" i="2"/>
  <c r="O177" i="2"/>
  <c r="S174" i="2"/>
  <c r="R174" i="2"/>
  <c r="U174" i="2" s="1"/>
  <c r="Q174" i="2"/>
  <c r="T174" i="2" s="1"/>
  <c r="O174" i="2"/>
  <c r="N174" i="2"/>
  <c r="M174" i="2"/>
  <c r="L174" i="2"/>
  <c r="J172" i="2"/>
  <c r="I169" i="2"/>
  <c r="I156" i="2" s="1"/>
  <c r="K156" i="2" s="1"/>
  <c r="I168" i="2"/>
  <c r="K168" i="2" s="1"/>
  <c r="I167" i="2"/>
  <c r="K167" i="2" s="1"/>
  <c r="U165" i="2"/>
  <c r="T165" i="2"/>
  <c r="N165" i="2"/>
  <c r="N163" i="2" s="1"/>
  <c r="M165" i="2"/>
  <c r="P165" i="2" s="1"/>
  <c r="L165" i="2"/>
  <c r="O165" i="2" s="1"/>
  <c r="U164" i="2"/>
  <c r="T164" i="2"/>
  <c r="P164" i="2"/>
  <c r="O164" i="2"/>
  <c r="U163" i="2"/>
  <c r="T163" i="2"/>
  <c r="S163" i="2"/>
  <c r="R163" i="2"/>
  <c r="Q163" i="2"/>
  <c r="S162" i="2"/>
  <c r="S160" i="2" s="1"/>
  <c r="R162" i="2"/>
  <c r="R160" i="2" s="1"/>
  <c r="U160" i="2" s="1"/>
  <c r="Q162" i="2"/>
  <c r="N162" i="2"/>
  <c r="N160" i="2" s="1"/>
  <c r="M162" i="2"/>
  <c r="L162" i="2"/>
  <c r="L160" i="2" s="1"/>
  <c r="O160" i="2" s="1"/>
  <c r="U161" i="2"/>
  <c r="T161" i="2"/>
  <c r="P161" i="2"/>
  <c r="O161" i="2"/>
  <c r="S158" i="2"/>
  <c r="R158" i="2"/>
  <c r="U158" i="2" s="1"/>
  <c r="Q158" i="2"/>
  <c r="T158" i="2" s="1"/>
  <c r="O158" i="2"/>
  <c r="N158" i="2"/>
  <c r="M158" i="2"/>
  <c r="L158" i="2"/>
  <c r="J156" i="2"/>
  <c r="I154" i="2"/>
  <c r="K154" i="2" s="1"/>
  <c r="I153" i="2"/>
  <c r="I152" i="2"/>
  <c r="K152" i="2" s="1"/>
  <c r="I151" i="2"/>
  <c r="K151" i="2" s="1"/>
  <c r="I150" i="2"/>
  <c r="K150" i="2" s="1"/>
  <c r="S147" i="2"/>
  <c r="R147" i="2"/>
  <c r="U147" i="2" s="1"/>
  <c r="Q147" i="2"/>
  <c r="Q145" i="2" s="1"/>
  <c r="T145" i="2" s="1"/>
  <c r="N147" i="2"/>
  <c r="N145" i="2" s="1"/>
  <c r="M147" i="2"/>
  <c r="P147" i="2" s="1"/>
  <c r="L147" i="2"/>
  <c r="O147" i="2" s="1"/>
  <c r="U146" i="2"/>
  <c r="T146" i="2"/>
  <c r="P146" i="2"/>
  <c r="O146" i="2"/>
  <c r="S144" i="2"/>
  <c r="S142" i="2" s="1"/>
  <c r="R144" i="2"/>
  <c r="U144" i="2" s="1"/>
  <c r="Q144" i="2"/>
  <c r="Q142" i="2" s="1"/>
  <c r="T142" i="2" s="1"/>
  <c r="N144" i="2"/>
  <c r="M144" i="2"/>
  <c r="M142" i="2" s="1"/>
  <c r="P142" i="2" s="1"/>
  <c r="L144" i="2"/>
  <c r="O144" i="2" s="1"/>
  <c r="U143" i="2"/>
  <c r="T143" i="2"/>
  <c r="P143" i="2"/>
  <c r="O143" i="2"/>
  <c r="S140" i="2"/>
  <c r="R140" i="2"/>
  <c r="U140" i="2" s="1"/>
  <c r="Q140" i="2"/>
  <c r="N140" i="2"/>
  <c r="M140" i="2"/>
  <c r="P140" i="2" s="1"/>
  <c r="L140" i="2"/>
  <c r="O140" i="2" s="1"/>
  <c r="J138" i="2"/>
  <c r="J137" i="2"/>
  <c r="J136" i="2"/>
  <c r="I130" i="2"/>
  <c r="K130" i="2" s="1"/>
  <c r="I129" i="2"/>
  <c r="K129" i="2" s="1"/>
  <c r="I128" i="2"/>
  <c r="K128" i="2" s="1"/>
  <c r="I127" i="2"/>
  <c r="K127" i="2" s="1"/>
  <c r="S125" i="2"/>
  <c r="R125" i="2"/>
  <c r="U125" i="2" s="1"/>
  <c r="Q125" i="2"/>
  <c r="N125" i="2"/>
  <c r="N123" i="2" s="1"/>
  <c r="M125" i="2"/>
  <c r="P125" i="2" s="1"/>
  <c r="L125" i="2"/>
  <c r="O125" i="2" s="1"/>
  <c r="U124" i="2"/>
  <c r="T124" i="2"/>
  <c r="P124" i="2"/>
  <c r="O124" i="2"/>
  <c r="S122" i="2"/>
  <c r="S120" i="2" s="1"/>
  <c r="R122" i="2"/>
  <c r="R120" i="2" s="1"/>
  <c r="Q122" i="2"/>
  <c r="N122" i="2"/>
  <c r="M122" i="2"/>
  <c r="P122" i="2" s="1"/>
  <c r="L122" i="2"/>
  <c r="L120" i="2" s="1"/>
  <c r="O120" i="2" s="1"/>
  <c r="U121" i="2"/>
  <c r="T121" i="2"/>
  <c r="P121" i="2"/>
  <c r="O121" i="2"/>
  <c r="S118" i="2"/>
  <c r="R118" i="2"/>
  <c r="U118" i="2" s="1"/>
  <c r="Q118" i="2"/>
  <c r="T118" i="2" s="1"/>
  <c r="N118" i="2"/>
  <c r="M118" i="2"/>
  <c r="L118" i="2"/>
  <c r="O118" i="2" s="1"/>
  <c r="J116" i="2"/>
  <c r="I114" i="2"/>
  <c r="K114" i="2" s="1"/>
  <c r="I109" i="2"/>
  <c r="K109" i="2" s="1"/>
  <c r="I108" i="2"/>
  <c r="K108" i="2" s="1"/>
  <c r="U102" i="2"/>
  <c r="T102" i="2"/>
  <c r="N102" i="2"/>
  <c r="N100" i="2" s="1"/>
  <c r="M102" i="2"/>
  <c r="P102" i="2" s="1"/>
  <c r="L102" i="2"/>
  <c r="O102" i="2" s="1"/>
  <c r="U101" i="2"/>
  <c r="T101" i="2"/>
  <c r="P101" i="2"/>
  <c r="O101" i="2"/>
  <c r="S100" i="2"/>
  <c r="R100" i="2"/>
  <c r="U100" i="2" s="1"/>
  <c r="Q100" i="2"/>
  <c r="T100" i="2" s="1"/>
  <c r="S99" i="2"/>
  <c r="S96" i="2" s="1"/>
  <c r="R99" i="2"/>
  <c r="R97" i="2" s="1"/>
  <c r="U97" i="2" s="1"/>
  <c r="Q99" i="2"/>
  <c r="Q97" i="2" s="1"/>
  <c r="T97" i="2" s="1"/>
  <c r="N99" i="2"/>
  <c r="N97" i="2" s="1"/>
  <c r="M99" i="2"/>
  <c r="P99" i="2" s="1"/>
  <c r="L99" i="2"/>
  <c r="O99" i="2" s="1"/>
  <c r="U98" i="2"/>
  <c r="T98" i="2"/>
  <c r="P98" i="2"/>
  <c r="O98" i="2"/>
  <c r="U95" i="2"/>
  <c r="S95" i="2"/>
  <c r="R95" i="2"/>
  <c r="Q95" i="2"/>
  <c r="T95" i="2" s="1"/>
  <c r="N95" i="2"/>
  <c r="M95" i="2"/>
  <c r="L95" i="2"/>
  <c r="O95" i="2" s="1"/>
  <c r="J93" i="2"/>
  <c r="J92" i="2"/>
  <c r="I90" i="2"/>
  <c r="K90" i="2" s="1"/>
  <c r="I89" i="2"/>
  <c r="K89" i="2" s="1"/>
  <c r="I88" i="2"/>
  <c r="K88" i="2" s="1"/>
  <c r="I87" i="2"/>
  <c r="K87" i="2" s="1"/>
  <c r="I86" i="2"/>
  <c r="I85" i="2"/>
  <c r="I84" i="2"/>
  <c r="K84" i="2" s="1"/>
  <c r="J83" i="2"/>
  <c r="J71" i="2" s="1"/>
  <c r="J82" i="2"/>
  <c r="J70" i="2" s="1"/>
  <c r="S80" i="2"/>
  <c r="S78" i="2" s="1"/>
  <c r="R80" i="2"/>
  <c r="R78" i="2" s="1"/>
  <c r="U78" i="2" s="1"/>
  <c r="Q80" i="2"/>
  <c r="Q78" i="2" s="1"/>
  <c r="T78" i="2" s="1"/>
  <c r="N80" i="2"/>
  <c r="N78" i="2" s="1"/>
  <c r="M80" i="2"/>
  <c r="P80" i="2" s="1"/>
  <c r="L80" i="2"/>
  <c r="L78" i="2" s="1"/>
  <c r="O78" i="2" s="1"/>
  <c r="U79" i="2"/>
  <c r="T79" i="2"/>
  <c r="P79" i="2"/>
  <c r="O79" i="2"/>
  <c r="S77" i="2"/>
  <c r="S75" i="2" s="1"/>
  <c r="R77" i="2"/>
  <c r="Q77" i="2"/>
  <c r="T77" i="2" s="1"/>
  <c r="N77" i="2"/>
  <c r="N75" i="2" s="1"/>
  <c r="M77" i="2"/>
  <c r="P77" i="2" s="1"/>
  <c r="L77" i="2"/>
  <c r="L75" i="2" s="1"/>
  <c r="O75" i="2" s="1"/>
  <c r="U76" i="2"/>
  <c r="T76" i="2"/>
  <c r="P76" i="2"/>
  <c r="O76" i="2"/>
  <c r="S73" i="2"/>
  <c r="R73" i="2"/>
  <c r="Q73" i="2"/>
  <c r="N73" i="2"/>
  <c r="M73" i="2"/>
  <c r="P73" i="2" s="1"/>
  <c r="L73" i="2"/>
  <c r="U67" i="2"/>
  <c r="T67" i="2"/>
  <c r="N67" i="2"/>
  <c r="N65" i="2" s="1"/>
  <c r="M67" i="2"/>
  <c r="M65" i="2" s="1"/>
  <c r="P65" i="2" s="1"/>
  <c r="L67" i="2"/>
  <c r="L65" i="2" s="1"/>
  <c r="O65" i="2" s="1"/>
  <c r="U66" i="2"/>
  <c r="T66" i="2"/>
  <c r="P66" i="2"/>
  <c r="O66" i="2"/>
  <c r="S65" i="2"/>
  <c r="R65" i="2"/>
  <c r="U65" i="2" s="1"/>
  <c r="Q65" i="2"/>
  <c r="T65" i="2" s="1"/>
  <c r="U64" i="2"/>
  <c r="T64" i="2"/>
  <c r="N64" i="2"/>
  <c r="M64" i="2"/>
  <c r="M62" i="2" s="1"/>
  <c r="L64" i="2"/>
  <c r="L62" i="2" s="1"/>
  <c r="U63" i="2"/>
  <c r="T63" i="2"/>
  <c r="P63" i="2"/>
  <c r="O63" i="2"/>
  <c r="S62" i="2"/>
  <c r="R62" i="2"/>
  <c r="U62" i="2" s="1"/>
  <c r="Q62" i="2"/>
  <c r="T62" i="2" s="1"/>
  <c r="S61" i="2"/>
  <c r="R61" i="2"/>
  <c r="U61" i="2" s="1"/>
  <c r="Q61" i="2"/>
  <c r="T61" i="2" s="1"/>
  <c r="S60" i="2"/>
  <c r="S59" i="2" s="1"/>
  <c r="R60" i="2"/>
  <c r="U60" i="2" s="1"/>
  <c r="Q60" i="2"/>
  <c r="T60" i="2" s="1"/>
  <c r="N60" i="2"/>
  <c r="M60" i="2"/>
  <c r="L60" i="2"/>
  <c r="O60" i="2" s="1"/>
  <c r="R59" i="2"/>
  <c r="U59" i="2" s="1"/>
  <c r="Q59" i="2"/>
  <c r="T59" i="2" s="1"/>
  <c r="U52" i="2"/>
  <c r="T52" i="2"/>
  <c r="N52" i="2"/>
  <c r="N50" i="2" s="1"/>
  <c r="M52" i="2"/>
  <c r="M50" i="2" s="1"/>
  <c r="P50" i="2" s="1"/>
  <c r="L52" i="2"/>
  <c r="O52" i="2" s="1"/>
  <c r="U51" i="2"/>
  <c r="T51" i="2"/>
  <c r="P51" i="2"/>
  <c r="O51" i="2"/>
  <c r="S50" i="2"/>
  <c r="R50" i="2"/>
  <c r="U50" i="2" s="1"/>
  <c r="Q50" i="2"/>
  <c r="T50" i="2" s="1"/>
  <c r="U49" i="2"/>
  <c r="T49" i="2"/>
  <c r="N49" i="2"/>
  <c r="M49" i="2"/>
  <c r="M47" i="2" s="1"/>
  <c r="L49" i="2"/>
  <c r="U48" i="2"/>
  <c r="T48" i="2"/>
  <c r="P48" i="2"/>
  <c r="O48" i="2"/>
  <c r="T47" i="2"/>
  <c r="S47" i="2"/>
  <c r="R47" i="2"/>
  <c r="U47" i="2" s="1"/>
  <c r="Q47" i="2"/>
  <c r="S46" i="2"/>
  <c r="R46" i="2"/>
  <c r="U46" i="2" s="1"/>
  <c r="Q46" i="2"/>
  <c r="T46" i="2" s="1"/>
  <c r="S45" i="2"/>
  <c r="R45" i="2"/>
  <c r="U45" i="2" s="1"/>
  <c r="Q45" i="2"/>
  <c r="T45" i="2" s="1"/>
  <c r="N45" i="2"/>
  <c r="M45" i="2"/>
  <c r="L45" i="2"/>
  <c r="S25" i="2"/>
  <c r="R25" i="2"/>
  <c r="Q25" i="2"/>
  <c r="T25" i="2" s="1"/>
  <c r="N25" i="2"/>
  <c r="M25" i="2"/>
  <c r="P25" i="2" s="1"/>
  <c r="L25" i="2"/>
  <c r="S22" i="2"/>
  <c r="R22" i="2"/>
  <c r="U22" i="2" s="1"/>
  <c r="Q22" i="2"/>
  <c r="T22" i="2" s="1"/>
  <c r="N22" i="2"/>
  <c r="M22" i="2"/>
  <c r="P22" i="2" s="1"/>
  <c r="L22" i="2"/>
  <c r="O22" i="2" s="1"/>
  <c r="A789" i="1"/>
  <c r="A788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H777" i="1"/>
  <c r="J776" i="1"/>
  <c r="I776" i="1"/>
  <c r="J775" i="1"/>
  <c r="I775" i="1"/>
  <c r="J774" i="1"/>
  <c r="J759" i="1" s="1"/>
  <c r="I774" i="1"/>
  <c r="J772" i="1"/>
  <c r="J758" i="1" s="1"/>
  <c r="I772" i="1"/>
  <c r="I758" i="1" s="1"/>
  <c r="J770" i="1"/>
  <c r="I770" i="1"/>
  <c r="K770" i="1" s="1"/>
  <c r="S768" i="1"/>
  <c r="R768" i="1"/>
  <c r="U768" i="1" s="1"/>
  <c r="Q768" i="1"/>
  <c r="T768" i="1" s="1"/>
  <c r="N768" i="1"/>
  <c r="M768" i="1"/>
  <c r="L768" i="1"/>
  <c r="S767" i="1"/>
  <c r="R767" i="1"/>
  <c r="U767" i="1" s="1"/>
  <c r="Q767" i="1"/>
  <c r="N767" i="1"/>
  <c r="M767" i="1"/>
  <c r="P767" i="1" s="1"/>
  <c r="L767" i="1"/>
  <c r="O767" i="1" s="1"/>
  <c r="S765" i="1"/>
  <c r="R765" i="1"/>
  <c r="Q765" i="1"/>
  <c r="N765" i="1"/>
  <c r="M765" i="1"/>
  <c r="P765" i="1" s="1"/>
  <c r="L765" i="1"/>
  <c r="O765" i="1" s="1"/>
  <c r="S764" i="1"/>
  <c r="R764" i="1"/>
  <c r="Q764" i="1"/>
  <c r="N764" i="1"/>
  <c r="M764" i="1"/>
  <c r="L764" i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R736" i="1"/>
  <c r="U736" i="1" s="1"/>
  <c r="Q736" i="1"/>
  <c r="T736" i="1" s="1"/>
  <c r="N736" i="1"/>
  <c r="M736" i="1"/>
  <c r="P736" i="1" s="1"/>
  <c r="L736" i="1"/>
  <c r="O736" i="1" s="1"/>
  <c r="S735" i="1"/>
  <c r="R735" i="1"/>
  <c r="Q735" i="1"/>
  <c r="N735" i="1"/>
  <c r="M735" i="1"/>
  <c r="P735" i="1" s="1"/>
  <c r="L735" i="1"/>
  <c r="S733" i="1"/>
  <c r="R733" i="1"/>
  <c r="R730" i="1" s="1"/>
  <c r="Q733" i="1"/>
  <c r="N733" i="1"/>
  <c r="M733" i="1"/>
  <c r="L733" i="1"/>
  <c r="S732" i="1"/>
  <c r="S729" i="1" s="1"/>
  <c r="R732" i="1"/>
  <c r="Q732" i="1"/>
  <c r="N732" i="1"/>
  <c r="M732" i="1"/>
  <c r="P732" i="1" s="1"/>
  <c r="L732" i="1"/>
  <c r="I727" i="1"/>
  <c r="I726" i="1"/>
  <c r="S722" i="1"/>
  <c r="R722" i="1"/>
  <c r="U722" i="1" s="1"/>
  <c r="Q722" i="1"/>
  <c r="T722" i="1" s="1"/>
  <c r="N722" i="1"/>
  <c r="M722" i="1"/>
  <c r="P722" i="1" s="1"/>
  <c r="L722" i="1"/>
  <c r="O722" i="1" s="1"/>
  <c r="S721" i="1"/>
  <c r="R721" i="1"/>
  <c r="Q721" i="1"/>
  <c r="N721" i="1"/>
  <c r="M721" i="1"/>
  <c r="P721" i="1" s="1"/>
  <c r="L721" i="1"/>
  <c r="S719" i="1"/>
  <c r="R719" i="1"/>
  <c r="U719" i="1" s="1"/>
  <c r="Q719" i="1"/>
  <c r="T719" i="1" s="1"/>
  <c r="N719" i="1"/>
  <c r="M719" i="1"/>
  <c r="P719" i="1" s="1"/>
  <c r="L719" i="1"/>
  <c r="S718" i="1"/>
  <c r="R718" i="1"/>
  <c r="Q718" i="1"/>
  <c r="N718" i="1"/>
  <c r="M718" i="1"/>
  <c r="P718" i="1" s="1"/>
  <c r="L718" i="1"/>
  <c r="K712" i="1"/>
  <c r="J712" i="1"/>
  <c r="K710" i="1"/>
  <c r="J710" i="1"/>
  <c r="J709" i="1"/>
  <c r="I709" i="1"/>
  <c r="K708" i="1"/>
  <c r="J708" i="1"/>
  <c r="J707" i="1"/>
  <c r="J689" i="1" s="1"/>
  <c r="I707" i="1"/>
  <c r="I689" i="1" s="1"/>
  <c r="K706" i="1"/>
  <c r="J706" i="1"/>
  <c r="J705" i="1"/>
  <c r="I705" i="1"/>
  <c r="K704" i="1"/>
  <c r="J704" i="1"/>
  <c r="J703" i="1"/>
  <c r="I703" i="1"/>
  <c r="K702" i="1"/>
  <c r="J700" i="1"/>
  <c r="I700" i="1"/>
  <c r="S698" i="1"/>
  <c r="R698" i="1"/>
  <c r="U698" i="1" s="1"/>
  <c r="Q698" i="1"/>
  <c r="T698" i="1" s="1"/>
  <c r="N698" i="1"/>
  <c r="M698" i="1"/>
  <c r="P698" i="1" s="1"/>
  <c r="L698" i="1"/>
  <c r="O698" i="1" s="1"/>
  <c r="S697" i="1"/>
  <c r="R697" i="1"/>
  <c r="Q697" i="1"/>
  <c r="N697" i="1"/>
  <c r="M697" i="1"/>
  <c r="P697" i="1" s="1"/>
  <c r="L697" i="1"/>
  <c r="S695" i="1"/>
  <c r="R695" i="1"/>
  <c r="Q695" i="1"/>
  <c r="N695" i="1"/>
  <c r="N692" i="1" s="1"/>
  <c r="M695" i="1"/>
  <c r="P695" i="1" s="1"/>
  <c r="L695" i="1"/>
  <c r="S694" i="1"/>
  <c r="R694" i="1"/>
  <c r="Q694" i="1"/>
  <c r="N694" i="1"/>
  <c r="N691" i="1" s="1"/>
  <c r="M694" i="1"/>
  <c r="P694" i="1" s="1"/>
  <c r="L694" i="1"/>
  <c r="J688" i="1"/>
  <c r="J687" i="1"/>
  <c r="J686" i="1"/>
  <c r="J685" i="1"/>
  <c r="J684" i="1"/>
  <c r="J683" i="1"/>
  <c r="I682" i="1"/>
  <c r="J681" i="1"/>
  <c r="I681" i="1"/>
  <c r="J680" i="1"/>
  <c r="J679" i="1"/>
  <c r="I679" i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K652" i="1" s="1"/>
  <c r="S650" i="1"/>
  <c r="R650" i="1"/>
  <c r="U650" i="1" s="1"/>
  <c r="Q650" i="1"/>
  <c r="T650" i="1" s="1"/>
  <c r="N650" i="1"/>
  <c r="M650" i="1"/>
  <c r="L650" i="1"/>
  <c r="O650" i="1" s="1"/>
  <c r="S649" i="1"/>
  <c r="R649" i="1"/>
  <c r="Q649" i="1"/>
  <c r="N649" i="1"/>
  <c r="M649" i="1"/>
  <c r="P649" i="1" s="1"/>
  <c r="L649" i="1"/>
  <c r="S647" i="1"/>
  <c r="R647" i="1"/>
  <c r="Q647" i="1"/>
  <c r="N647" i="1"/>
  <c r="M647" i="1"/>
  <c r="L647" i="1"/>
  <c r="S646" i="1"/>
  <c r="R646" i="1"/>
  <c r="Q646" i="1"/>
  <c r="N646" i="1"/>
  <c r="M646" i="1"/>
  <c r="L646" i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S624" i="1"/>
  <c r="R624" i="1"/>
  <c r="U624" i="1" s="1"/>
  <c r="Q624" i="1"/>
  <c r="T624" i="1" s="1"/>
  <c r="N624" i="1"/>
  <c r="M624" i="1"/>
  <c r="P624" i="1" s="1"/>
  <c r="L624" i="1"/>
  <c r="O624" i="1" s="1"/>
  <c r="S623" i="1"/>
  <c r="R623" i="1"/>
  <c r="Q623" i="1"/>
  <c r="T623" i="1" s="1"/>
  <c r="N623" i="1"/>
  <c r="M623" i="1"/>
  <c r="P623" i="1" s="1"/>
  <c r="L623" i="1"/>
  <c r="O623" i="1" s="1"/>
  <c r="S621" i="1"/>
  <c r="R621" i="1"/>
  <c r="Q621" i="1"/>
  <c r="N621" i="1"/>
  <c r="M621" i="1"/>
  <c r="L621" i="1"/>
  <c r="O621" i="1" s="1"/>
  <c r="S620" i="1"/>
  <c r="R620" i="1"/>
  <c r="U620" i="1" s="1"/>
  <c r="Q620" i="1"/>
  <c r="N620" i="1"/>
  <c r="M620" i="1"/>
  <c r="P620" i="1" s="1"/>
  <c r="L620" i="1"/>
  <c r="O620" i="1" s="1"/>
  <c r="S607" i="1"/>
  <c r="R607" i="1"/>
  <c r="Q607" i="1"/>
  <c r="N607" i="1"/>
  <c r="M607" i="1"/>
  <c r="L607" i="1"/>
  <c r="O607" i="1" s="1"/>
  <c r="S606" i="1"/>
  <c r="R606" i="1"/>
  <c r="Q606" i="1"/>
  <c r="N606" i="1"/>
  <c r="M606" i="1"/>
  <c r="P606" i="1" s="1"/>
  <c r="L606" i="1"/>
  <c r="S604" i="1"/>
  <c r="R604" i="1"/>
  <c r="U604" i="1" s="1"/>
  <c r="Q604" i="1"/>
  <c r="T604" i="1" s="1"/>
  <c r="N604" i="1"/>
  <c r="N601" i="1" s="1"/>
  <c r="M604" i="1"/>
  <c r="P604" i="1" s="1"/>
  <c r="L604" i="1"/>
  <c r="S603" i="1"/>
  <c r="R603" i="1"/>
  <c r="Q603" i="1"/>
  <c r="T603" i="1" s="1"/>
  <c r="N603" i="1"/>
  <c r="M603" i="1"/>
  <c r="L603" i="1"/>
  <c r="O603" i="1" s="1"/>
  <c r="S584" i="1"/>
  <c r="R584" i="1"/>
  <c r="Q584" i="1"/>
  <c r="N584" i="1"/>
  <c r="M584" i="1"/>
  <c r="P584" i="1" s="1"/>
  <c r="L584" i="1"/>
  <c r="O584" i="1" s="1"/>
  <c r="S583" i="1"/>
  <c r="R583" i="1"/>
  <c r="U583" i="1" s="1"/>
  <c r="Q583" i="1"/>
  <c r="T583" i="1" s="1"/>
  <c r="N583" i="1"/>
  <c r="M583" i="1"/>
  <c r="P583" i="1" s="1"/>
  <c r="L583" i="1"/>
  <c r="O583" i="1" s="1"/>
  <c r="S581" i="1"/>
  <c r="R581" i="1"/>
  <c r="U581" i="1" s="1"/>
  <c r="Q581" i="1"/>
  <c r="N581" i="1"/>
  <c r="M581" i="1"/>
  <c r="L581" i="1"/>
  <c r="S580" i="1"/>
  <c r="R580" i="1"/>
  <c r="Q580" i="1"/>
  <c r="N580" i="1"/>
  <c r="M580" i="1"/>
  <c r="P580" i="1" s="1"/>
  <c r="L580" i="1"/>
  <c r="J575" i="1"/>
  <c r="I575" i="1"/>
  <c r="K575" i="1" s="1"/>
  <c r="S563" i="1"/>
  <c r="R563" i="1"/>
  <c r="U563" i="1" s="1"/>
  <c r="Q563" i="1"/>
  <c r="T563" i="1" s="1"/>
  <c r="N563" i="1"/>
  <c r="M563" i="1"/>
  <c r="L563" i="1"/>
  <c r="S562" i="1"/>
  <c r="S561" i="1" s="1"/>
  <c r="R562" i="1"/>
  <c r="Q562" i="1"/>
  <c r="T562" i="1" s="1"/>
  <c r="N562" i="1"/>
  <c r="M562" i="1"/>
  <c r="P562" i="1" s="1"/>
  <c r="L562" i="1"/>
  <c r="S560" i="1"/>
  <c r="R560" i="1"/>
  <c r="U560" i="1" s="1"/>
  <c r="Q560" i="1"/>
  <c r="T560" i="1" s="1"/>
  <c r="N560" i="1"/>
  <c r="M560" i="1"/>
  <c r="L560" i="1"/>
  <c r="S559" i="1"/>
  <c r="R559" i="1"/>
  <c r="Q559" i="1"/>
  <c r="T559" i="1" s="1"/>
  <c r="N559" i="1"/>
  <c r="M559" i="1"/>
  <c r="L559" i="1"/>
  <c r="O559" i="1" s="1"/>
  <c r="J554" i="1"/>
  <c r="I554" i="1"/>
  <c r="K554" i="1" s="1"/>
  <c r="J544" i="1"/>
  <c r="J533" i="1" s="1"/>
  <c r="I544" i="1"/>
  <c r="I533" i="1" s="1"/>
  <c r="S542" i="1"/>
  <c r="R542" i="1"/>
  <c r="U542" i="1" s="1"/>
  <c r="Q542" i="1"/>
  <c r="T542" i="1" s="1"/>
  <c r="N542" i="1"/>
  <c r="M542" i="1"/>
  <c r="L542" i="1"/>
  <c r="S541" i="1"/>
  <c r="R541" i="1"/>
  <c r="U541" i="1" s="1"/>
  <c r="Q541" i="1"/>
  <c r="T541" i="1" s="1"/>
  <c r="N541" i="1"/>
  <c r="M541" i="1"/>
  <c r="P541" i="1" s="1"/>
  <c r="L541" i="1"/>
  <c r="S539" i="1"/>
  <c r="R539" i="1"/>
  <c r="U539" i="1" s="1"/>
  <c r="Q539" i="1"/>
  <c r="T539" i="1" s="1"/>
  <c r="N539" i="1"/>
  <c r="M539" i="1"/>
  <c r="P539" i="1" s="1"/>
  <c r="L539" i="1"/>
  <c r="O539" i="1" s="1"/>
  <c r="S538" i="1"/>
  <c r="R538" i="1"/>
  <c r="U538" i="1" s="1"/>
  <c r="Q538" i="1"/>
  <c r="T538" i="1" s="1"/>
  <c r="N538" i="1"/>
  <c r="M538" i="1"/>
  <c r="L538" i="1"/>
  <c r="O538" i="1" s="1"/>
  <c r="K524" i="1"/>
  <c r="K523" i="1"/>
  <c r="S521" i="1"/>
  <c r="R521" i="1"/>
  <c r="Q521" i="1"/>
  <c r="T521" i="1" s="1"/>
  <c r="N521" i="1"/>
  <c r="M521" i="1"/>
  <c r="P521" i="1" s="1"/>
  <c r="L521" i="1"/>
  <c r="O521" i="1" s="1"/>
  <c r="S520" i="1"/>
  <c r="R520" i="1"/>
  <c r="U520" i="1" s="1"/>
  <c r="Q520" i="1"/>
  <c r="T520" i="1" s="1"/>
  <c r="N520" i="1"/>
  <c r="M520" i="1"/>
  <c r="L520" i="1"/>
  <c r="O520" i="1" s="1"/>
  <c r="S518" i="1"/>
  <c r="R518" i="1"/>
  <c r="U518" i="1" s="1"/>
  <c r="Q518" i="1"/>
  <c r="T518" i="1" s="1"/>
  <c r="N518" i="1"/>
  <c r="M518" i="1"/>
  <c r="L518" i="1"/>
  <c r="O518" i="1" s="1"/>
  <c r="S517" i="1"/>
  <c r="R517" i="1"/>
  <c r="Q517" i="1"/>
  <c r="N517" i="1"/>
  <c r="M517" i="1"/>
  <c r="P517" i="1" s="1"/>
  <c r="L517" i="1"/>
  <c r="J512" i="1"/>
  <c r="I512" i="1"/>
  <c r="K512" i="1" s="1"/>
  <c r="J509" i="1"/>
  <c r="I509" i="1"/>
  <c r="K509" i="1" s="1"/>
  <c r="K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J492" i="1" s="1"/>
  <c r="I503" i="1"/>
  <c r="I492" i="1" s="1"/>
  <c r="S501" i="1"/>
  <c r="R501" i="1"/>
  <c r="U501" i="1" s="1"/>
  <c r="Q501" i="1"/>
  <c r="N501" i="1"/>
  <c r="M501" i="1"/>
  <c r="P501" i="1" s="1"/>
  <c r="L501" i="1"/>
  <c r="O501" i="1" s="1"/>
  <c r="S500" i="1"/>
  <c r="R500" i="1"/>
  <c r="Q500" i="1"/>
  <c r="T500" i="1" s="1"/>
  <c r="N500" i="1"/>
  <c r="M500" i="1"/>
  <c r="L500" i="1"/>
  <c r="S498" i="1"/>
  <c r="R498" i="1"/>
  <c r="Q498" i="1"/>
  <c r="N498" i="1"/>
  <c r="M498" i="1"/>
  <c r="P498" i="1" s="1"/>
  <c r="L498" i="1"/>
  <c r="S497" i="1"/>
  <c r="R497" i="1"/>
  <c r="Q497" i="1"/>
  <c r="N497" i="1"/>
  <c r="M497" i="1"/>
  <c r="L497" i="1"/>
  <c r="J491" i="1"/>
  <c r="J490" i="1"/>
  <c r="J489" i="1"/>
  <c r="J488" i="1"/>
  <c r="J487" i="1"/>
  <c r="J486" i="1"/>
  <c r="J483" i="1"/>
  <c r="J482" i="1"/>
  <c r="J481" i="1"/>
  <c r="I485" i="1" s="1"/>
  <c r="K485" i="1" s="1"/>
  <c r="J480" i="1"/>
  <c r="J479" i="1"/>
  <c r="J478" i="1"/>
  <c r="K477" i="1"/>
  <c r="K476" i="1"/>
  <c r="K475" i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I456" i="1" s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I412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R421" i="1"/>
  <c r="U421" i="1" s="1"/>
  <c r="Q421" i="1"/>
  <c r="T421" i="1" s="1"/>
  <c r="N421" i="1"/>
  <c r="M421" i="1"/>
  <c r="P421" i="1" s="1"/>
  <c r="L421" i="1"/>
  <c r="O421" i="1" s="1"/>
  <c r="S420" i="1"/>
  <c r="R420" i="1"/>
  <c r="U420" i="1" s="1"/>
  <c r="Q420" i="1"/>
  <c r="N420" i="1"/>
  <c r="M420" i="1"/>
  <c r="L420" i="1"/>
  <c r="S418" i="1"/>
  <c r="R418" i="1"/>
  <c r="Q418" i="1"/>
  <c r="N418" i="1"/>
  <c r="M418" i="1"/>
  <c r="L418" i="1"/>
  <c r="S417" i="1"/>
  <c r="R417" i="1"/>
  <c r="Q417" i="1"/>
  <c r="N417" i="1"/>
  <c r="M417" i="1"/>
  <c r="P417" i="1" s="1"/>
  <c r="L417" i="1"/>
  <c r="S400" i="1"/>
  <c r="R400" i="1"/>
  <c r="U400" i="1" s="1"/>
  <c r="Q400" i="1"/>
  <c r="T400" i="1" s="1"/>
  <c r="N400" i="1"/>
  <c r="M400" i="1"/>
  <c r="P400" i="1" s="1"/>
  <c r="L400" i="1"/>
  <c r="O400" i="1" s="1"/>
  <c r="S399" i="1"/>
  <c r="R399" i="1"/>
  <c r="Q399" i="1"/>
  <c r="N399" i="1"/>
  <c r="M399" i="1"/>
  <c r="P399" i="1" s="1"/>
  <c r="L399" i="1"/>
  <c r="O399" i="1" s="1"/>
  <c r="S397" i="1"/>
  <c r="R397" i="1"/>
  <c r="Q397" i="1"/>
  <c r="T397" i="1" s="1"/>
  <c r="N397" i="1"/>
  <c r="M397" i="1"/>
  <c r="L397" i="1"/>
  <c r="S396" i="1"/>
  <c r="R396" i="1"/>
  <c r="U396" i="1" s="1"/>
  <c r="Q396" i="1"/>
  <c r="N396" i="1"/>
  <c r="M396" i="1"/>
  <c r="P396" i="1" s="1"/>
  <c r="L396" i="1"/>
  <c r="J391" i="1"/>
  <c r="I391" i="1"/>
  <c r="K391" i="1" s="1"/>
  <c r="J388" i="1"/>
  <c r="I388" i="1"/>
  <c r="J387" i="1"/>
  <c r="I387" i="1"/>
  <c r="K387" i="1" s="1"/>
  <c r="J386" i="1"/>
  <c r="I386" i="1"/>
  <c r="J385" i="1"/>
  <c r="I385" i="1"/>
  <c r="K385" i="1" s="1"/>
  <c r="S383" i="1"/>
  <c r="R383" i="1"/>
  <c r="U383" i="1" s="1"/>
  <c r="Q383" i="1"/>
  <c r="T383" i="1" s="1"/>
  <c r="N383" i="1"/>
  <c r="M383" i="1"/>
  <c r="P383" i="1" s="1"/>
  <c r="L383" i="1"/>
  <c r="O383" i="1" s="1"/>
  <c r="S382" i="1"/>
  <c r="R382" i="1"/>
  <c r="U382" i="1" s="1"/>
  <c r="Q382" i="1"/>
  <c r="N382" i="1"/>
  <c r="M382" i="1"/>
  <c r="P382" i="1" s="1"/>
  <c r="L382" i="1"/>
  <c r="O382" i="1" s="1"/>
  <c r="S380" i="1"/>
  <c r="R380" i="1"/>
  <c r="Q380" i="1"/>
  <c r="Q377" i="1" s="1"/>
  <c r="N380" i="1"/>
  <c r="M380" i="1"/>
  <c r="L380" i="1"/>
  <c r="S379" i="1"/>
  <c r="R379" i="1"/>
  <c r="U379" i="1" s="1"/>
  <c r="Q379" i="1"/>
  <c r="N379" i="1"/>
  <c r="M379" i="1"/>
  <c r="L379" i="1"/>
  <c r="O379" i="1" s="1"/>
  <c r="D373" i="1"/>
  <c r="K372" i="1"/>
  <c r="J372" i="1"/>
  <c r="J371" i="1"/>
  <c r="J365" i="1" s="1"/>
  <c r="I371" i="1"/>
  <c r="K370" i="1"/>
  <c r="J370" i="1"/>
  <c r="J369" i="1"/>
  <c r="I369" i="1"/>
  <c r="J368" i="1"/>
  <c r="I368" i="1"/>
  <c r="K367" i="1"/>
  <c r="J367" i="1"/>
  <c r="S364" i="1"/>
  <c r="R364" i="1"/>
  <c r="U364" i="1" s="1"/>
  <c r="Q364" i="1"/>
  <c r="N364" i="1"/>
  <c r="M364" i="1"/>
  <c r="L364" i="1"/>
  <c r="O364" i="1" s="1"/>
  <c r="S363" i="1"/>
  <c r="R363" i="1"/>
  <c r="Q363" i="1"/>
  <c r="T363" i="1" s="1"/>
  <c r="N363" i="1"/>
  <c r="M363" i="1"/>
  <c r="P363" i="1" s="1"/>
  <c r="L363" i="1"/>
  <c r="O363" i="1" s="1"/>
  <c r="S361" i="1"/>
  <c r="R361" i="1"/>
  <c r="U361" i="1" s="1"/>
  <c r="Q361" i="1"/>
  <c r="N361" i="1"/>
  <c r="M361" i="1"/>
  <c r="L361" i="1"/>
  <c r="L358" i="1" s="1"/>
  <c r="S360" i="1"/>
  <c r="R360" i="1"/>
  <c r="Q360" i="1"/>
  <c r="N360" i="1"/>
  <c r="M360" i="1"/>
  <c r="P360" i="1" s="1"/>
  <c r="L360" i="1"/>
  <c r="D354" i="1"/>
  <c r="J353" i="1"/>
  <c r="J352" i="1"/>
  <c r="D350" i="1"/>
  <c r="J349" i="1"/>
  <c r="J348" i="1"/>
  <c r="J347" i="1"/>
  <c r="J346" i="1"/>
  <c r="I346" i="1"/>
  <c r="J344" i="1"/>
  <c r="I344" i="1"/>
  <c r="S341" i="1"/>
  <c r="R341" i="1"/>
  <c r="U341" i="1" s="1"/>
  <c r="Q341" i="1"/>
  <c r="N341" i="1"/>
  <c r="M341" i="1"/>
  <c r="L341" i="1"/>
  <c r="O341" i="1" s="1"/>
  <c r="S340" i="1"/>
  <c r="R340" i="1"/>
  <c r="Q340" i="1"/>
  <c r="T340" i="1" s="1"/>
  <c r="N340" i="1"/>
  <c r="M340" i="1"/>
  <c r="L340" i="1"/>
  <c r="S338" i="1"/>
  <c r="R338" i="1"/>
  <c r="Q338" i="1"/>
  <c r="T338" i="1" s="1"/>
  <c r="N338" i="1"/>
  <c r="M338" i="1"/>
  <c r="L338" i="1"/>
  <c r="S337" i="1"/>
  <c r="R337" i="1"/>
  <c r="Q337" i="1"/>
  <c r="T337" i="1" s="1"/>
  <c r="N337" i="1"/>
  <c r="M337" i="1"/>
  <c r="L337" i="1"/>
  <c r="J330" i="1"/>
  <c r="J319" i="1" s="1"/>
  <c r="I330" i="1"/>
  <c r="S328" i="1"/>
  <c r="R328" i="1"/>
  <c r="U328" i="1" s="1"/>
  <c r="Q328" i="1"/>
  <c r="T328" i="1" s="1"/>
  <c r="N328" i="1"/>
  <c r="M328" i="1"/>
  <c r="P328" i="1" s="1"/>
  <c r="L328" i="1"/>
  <c r="O328" i="1" s="1"/>
  <c r="S327" i="1"/>
  <c r="R327" i="1"/>
  <c r="U327" i="1" s="1"/>
  <c r="Q327" i="1"/>
  <c r="N327" i="1"/>
  <c r="N326" i="1" s="1"/>
  <c r="M327" i="1"/>
  <c r="L327" i="1"/>
  <c r="O327" i="1" s="1"/>
  <c r="S325" i="1"/>
  <c r="R325" i="1"/>
  <c r="U325" i="1" s="1"/>
  <c r="Q325" i="1"/>
  <c r="N325" i="1"/>
  <c r="M325" i="1"/>
  <c r="L325" i="1"/>
  <c r="S324" i="1"/>
  <c r="R324" i="1"/>
  <c r="U324" i="1" s="1"/>
  <c r="Q324" i="1"/>
  <c r="N324" i="1"/>
  <c r="M324" i="1"/>
  <c r="P324" i="1" s="1"/>
  <c r="L324" i="1"/>
  <c r="O324" i="1" s="1"/>
  <c r="J317" i="1"/>
  <c r="I317" i="1"/>
  <c r="K317" i="1" s="1"/>
  <c r="J316" i="1"/>
  <c r="I316" i="1"/>
  <c r="K316" i="1" s="1"/>
  <c r="J315" i="1"/>
  <c r="I315" i="1"/>
  <c r="K315" i="1" s="1"/>
  <c r="J314" i="1"/>
  <c r="J302" i="1" s="1"/>
  <c r="I314" i="1"/>
  <c r="J313" i="1"/>
  <c r="S311" i="1"/>
  <c r="R311" i="1"/>
  <c r="U311" i="1" s="1"/>
  <c r="Q311" i="1"/>
  <c r="T311" i="1" s="1"/>
  <c r="N311" i="1"/>
  <c r="M311" i="1"/>
  <c r="P311" i="1" s="1"/>
  <c r="L311" i="1"/>
  <c r="O311" i="1" s="1"/>
  <c r="S310" i="1"/>
  <c r="R310" i="1"/>
  <c r="U310" i="1" s="1"/>
  <c r="Q310" i="1"/>
  <c r="T310" i="1" s="1"/>
  <c r="N310" i="1"/>
  <c r="M310" i="1"/>
  <c r="L310" i="1"/>
  <c r="O310" i="1" s="1"/>
  <c r="S308" i="1"/>
  <c r="R308" i="1"/>
  <c r="Q308" i="1"/>
  <c r="N308" i="1"/>
  <c r="M308" i="1"/>
  <c r="L308" i="1"/>
  <c r="S307" i="1"/>
  <c r="R307" i="1"/>
  <c r="U307" i="1" s="1"/>
  <c r="Q307" i="1"/>
  <c r="N307" i="1"/>
  <c r="M307" i="1"/>
  <c r="P307" i="1" s="1"/>
  <c r="L307" i="1"/>
  <c r="O307" i="1" s="1"/>
  <c r="J296" i="1"/>
  <c r="I296" i="1"/>
  <c r="J295" i="1"/>
  <c r="I295" i="1"/>
  <c r="J293" i="1"/>
  <c r="J280" i="1" s="1"/>
  <c r="I293" i="1"/>
  <c r="J292" i="1"/>
  <c r="J281" i="1" s="1"/>
  <c r="I292" i="1"/>
  <c r="I281" i="1" s="1"/>
  <c r="S290" i="1"/>
  <c r="R290" i="1"/>
  <c r="Q290" i="1"/>
  <c r="T290" i="1" s="1"/>
  <c r="N290" i="1"/>
  <c r="M290" i="1"/>
  <c r="P290" i="1" s="1"/>
  <c r="L290" i="1"/>
  <c r="S289" i="1"/>
  <c r="R289" i="1"/>
  <c r="Q289" i="1"/>
  <c r="N289" i="1"/>
  <c r="M289" i="1"/>
  <c r="P289" i="1" s="1"/>
  <c r="L289" i="1"/>
  <c r="S287" i="1"/>
  <c r="R287" i="1"/>
  <c r="U287" i="1" s="1"/>
  <c r="Q287" i="1"/>
  <c r="T287" i="1" s="1"/>
  <c r="N287" i="1"/>
  <c r="M287" i="1"/>
  <c r="L287" i="1"/>
  <c r="S286" i="1"/>
  <c r="R286" i="1"/>
  <c r="Q286" i="1"/>
  <c r="N286" i="1"/>
  <c r="M286" i="1"/>
  <c r="P286" i="1" s="1"/>
  <c r="L286" i="1"/>
  <c r="J276" i="1"/>
  <c r="I276" i="1"/>
  <c r="S274" i="1"/>
  <c r="R274" i="1"/>
  <c r="Q274" i="1"/>
  <c r="T274" i="1" s="1"/>
  <c r="N274" i="1"/>
  <c r="M274" i="1"/>
  <c r="P274" i="1" s="1"/>
  <c r="L274" i="1"/>
  <c r="O274" i="1" s="1"/>
  <c r="S273" i="1"/>
  <c r="R273" i="1"/>
  <c r="U273" i="1" s="1"/>
  <c r="Q273" i="1"/>
  <c r="T273" i="1" s="1"/>
  <c r="N273" i="1"/>
  <c r="M273" i="1"/>
  <c r="L273" i="1"/>
  <c r="O273" i="1" s="1"/>
  <c r="S271" i="1"/>
  <c r="R271" i="1"/>
  <c r="Q271" i="1"/>
  <c r="N271" i="1"/>
  <c r="M271" i="1"/>
  <c r="L271" i="1"/>
  <c r="S270" i="1"/>
  <c r="R270" i="1"/>
  <c r="Q270" i="1"/>
  <c r="N270" i="1"/>
  <c r="M270" i="1"/>
  <c r="P270" i="1" s="1"/>
  <c r="L270" i="1"/>
  <c r="J265" i="1"/>
  <c r="I265" i="1"/>
  <c r="K241" i="1"/>
  <c r="J241" i="1"/>
  <c r="K240" i="1"/>
  <c r="J240" i="1"/>
  <c r="J238" i="1"/>
  <c r="I238" i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R233" i="1"/>
  <c r="Q233" i="1"/>
  <c r="N233" i="1"/>
  <c r="M233" i="1"/>
  <c r="L233" i="1"/>
  <c r="K231" i="1"/>
  <c r="J231" i="1"/>
  <c r="I231" i="1"/>
  <c r="J230" i="1"/>
  <c r="J185" i="1" s="1"/>
  <c r="I230" i="1"/>
  <c r="J229" i="1"/>
  <c r="J221" i="1" s="1"/>
  <c r="I229" i="1"/>
  <c r="I221" i="1" s="1"/>
  <c r="J228" i="1"/>
  <c r="I228" i="1"/>
  <c r="S224" i="1"/>
  <c r="R224" i="1"/>
  <c r="Q224" i="1"/>
  <c r="N224" i="1"/>
  <c r="M224" i="1"/>
  <c r="L224" i="1"/>
  <c r="S223" i="1"/>
  <c r="R223" i="1"/>
  <c r="Q223" i="1"/>
  <c r="N223" i="1"/>
  <c r="M223" i="1"/>
  <c r="L223" i="1"/>
  <c r="J220" i="1"/>
  <c r="J213" i="1" s="1"/>
  <c r="I220" i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R215" i="1"/>
  <c r="Q215" i="1"/>
  <c r="N215" i="1"/>
  <c r="M215" i="1"/>
  <c r="L215" i="1"/>
  <c r="K212" i="1"/>
  <c r="J212" i="1"/>
  <c r="K211" i="1"/>
  <c r="J211" i="1"/>
  <c r="J209" i="1"/>
  <c r="J202" i="1" s="1"/>
  <c r="I209" i="1"/>
  <c r="I202" i="1" s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R204" i="1"/>
  <c r="Q204" i="1"/>
  <c r="N204" i="1"/>
  <c r="M204" i="1"/>
  <c r="L204" i="1"/>
  <c r="J201" i="1"/>
  <c r="J200" i="1"/>
  <c r="J198" i="1"/>
  <c r="J195" i="1" s="1"/>
  <c r="I198" i="1"/>
  <c r="S196" i="1"/>
  <c r="R196" i="1"/>
  <c r="Q196" i="1"/>
  <c r="N196" i="1"/>
  <c r="M196" i="1"/>
  <c r="L196" i="1"/>
  <c r="S194" i="1"/>
  <c r="R194" i="1"/>
  <c r="U194" i="1" s="1"/>
  <c r="Q194" i="1"/>
  <c r="T194" i="1" s="1"/>
  <c r="N194" i="1"/>
  <c r="M194" i="1"/>
  <c r="L194" i="1"/>
  <c r="O194" i="1" s="1"/>
  <c r="S193" i="1"/>
  <c r="R193" i="1"/>
  <c r="Q193" i="1"/>
  <c r="T193" i="1" s="1"/>
  <c r="N193" i="1"/>
  <c r="M193" i="1"/>
  <c r="L193" i="1"/>
  <c r="S191" i="1"/>
  <c r="R191" i="1"/>
  <c r="Q191" i="1"/>
  <c r="N191" i="1"/>
  <c r="M191" i="1"/>
  <c r="L191" i="1"/>
  <c r="S190" i="1"/>
  <c r="R190" i="1"/>
  <c r="Q190" i="1"/>
  <c r="N190" i="1"/>
  <c r="M190" i="1"/>
  <c r="L190" i="1"/>
  <c r="K184" i="1"/>
  <c r="J183" i="1"/>
  <c r="J172" i="1" s="1"/>
  <c r="I183" i="1"/>
  <c r="S181" i="1"/>
  <c r="R181" i="1"/>
  <c r="U181" i="1" s="1"/>
  <c r="Q181" i="1"/>
  <c r="T181" i="1" s="1"/>
  <c r="N181" i="1"/>
  <c r="M181" i="1"/>
  <c r="P181" i="1" s="1"/>
  <c r="L181" i="1"/>
  <c r="O181" i="1" s="1"/>
  <c r="S180" i="1"/>
  <c r="R180" i="1"/>
  <c r="Q180" i="1"/>
  <c r="T180" i="1" s="1"/>
  <c r="N180" i="1"/>
  <c r="M180" i="1"/>
  <c r="L180" i="1"/>
  <c r="S178" i="1"/>
  <c r="R178" i="1"/>
  <c r="Q178" i="1"/>
  <c r="T178" i="1" s="1"/>
  <c r="N178" i="1"/>
  <c r="M178" i="1"/>
  <c r="L178" i="1"/>
  <c r="S177" i="1"/>
  <c r="R177" i="1"/>
  <c r="U177" i="1" s="1"/>
  <c r="Q177" i="1"/>
  <c r="N177" i="1"/>
  <c r="M177" i="1"/>
  <c r="L177" i="1"/>
  <c r="O177" i="1" s="1"/>
  <c r="J167" i="1"/>
  <c r="I167" i="1"/>
  <c r="I168" i="1" s="1"/>
  <c r="S165" i="1"/>
  <c r="R165" i="1"/>
  <c r="U165" i="1" s="1"/>
  <c r="Q165" i="1"/>
  <c r="N165" i="1"/>
  <c r="M165" i="1"/>
  <c r="P165" i="1" s="1"/>
  <c r="L165" i="1"/>
  <c r="O165" i="1" s="1"/>
  <c r="S164" i="1"/>
  <c r="R164" i="1"/>
  <c r="Q164" i="1"/>
  <c r="N164" i="1"/>
  <c r="M164" i="1"/>
  <c r="P164" i="1" s="1"/>
  <c r="L164" i="1"/>
  <c r="S162" i="1"/>
  <c r="R162" i="1"/>
  <c r="U162" i="1" s="1"/>
  <c r="Q162" i="1"/>
  <c r="T162" i="1" s="1"/>
  <c r="N162" i="1"/>
  <c r="M162" i="1"/>
  <c r="L162" i="1"/>
  <c r="S161" i="1"/>
  <c r="R161" i="1"/>
  <c r="Q161" i="1"/>
  <c r="N161" i="1"/>
  <c r="M161" i="1"/>
  <c r="P161" i="1" s="1"/>
  <c r="L161" i="1"/>
  <c r="J156" i="1"/>
  <c r="J154" i="1"/>
  <c r="J136" i="1" s="1"/>
  <c r="I154" i="1"/>
  <c r="I136" i="1" s="1"/>
  <c r="J153" i="1"/>
  <c r="J138" i="1" s="1"/>
  <c r="I153" i="1"/>
  <c r="J152" i="1"/>
  <c r="J137" i="1" s="1"/>
  <c r="I152" i="1"/>
  <c r="I137" i="1" s="1"/>
  <c r="J151" i="1"/>
  <c r="I151" i="1"/>
  <c r="J150" i="1"/>
  <c r="I150" i="1"/>
  <c r="J149" i="1"/>
  <c r="S147" i="1"/>
  <c r="R147" i="1"/>
  <c r="U147" i="1" s="1"/>
  <c r="Q147" i="1"/>
  <c r="N147" i="1"/>
  <c r="M147" i="1"/>
  <c r="P147" i="1" s="1"/>
  <c r="L147" i="1"/>
  <c r="O147" i="1" s="1"/>
  <c r="S146" i="1"/>
  <c r="R146" i="1"/>
  <c r="Q146" i="1"/>
  <c r="T146" i="1" s="1"/>
  <c r="N146" i="1"/>
  <c r="M146" i="1"/>
  <c r="L146" i="1"/>
  <c r="S144" i="1"/>
  <c r="R144" i="1"/>
  <c r="U144" i="1" s="1"/>
  <c r="Q144" i="1"/>
  <c r="N144" i="1"/>
  <c r="M144" i="1"/>
  <c r="L144" i="1"/>
  <c r="S143" i="1"/>
  <c r="R143" i="1"/>
  <c r="Q143" i="1"/>
  <c r="T143" i="1" s="1"/>
  <c r="N143" i="1"/>
  <c r="M143" i="1"/>
  <c r="P143" i="1" s="1"/>
  <c r="L143" i="1"/>
  <c r="J130" i="1"/>
  <c r="I130" i="1"/>
  <c r="K130" i="1" s="1"/>
  <c r="J129" i="1"/>
  <c r="I129" i="1"/>
  <c r="J128" i="1"/>
  <c r="I128" i="1"/>
  <c r="K128" i="1" s="1"/>
  <c r="J127" i="1"/>
  <c r="J116" i="1" s="1"/>
  <c r="I127" i="1"/>
  <c r="I116" i="1" s="1"/>
  <c r="S125" i="1"/>
  <c r="R125" i="1"/>
  <c r="Q125" i="1"/>
  <c r="N125" i="1"/>
  <c r="M125" i="1"/>
  <c r="L125" i="1"/>
  <c r="S124" i="1"/>
  <c r="R124" i="1"/>
  <c r="U124" i="1" s="1"/>
  <c r="Q124" i="1"/>
  <c r="T124" i="1" s="1"/>
  <c r="N124" i="1"/>
  <c r="M124" i="1"/>
  <c r="P124" i="1" s="1"/>
  <c r="L124" i="1"/>
  <c r="O124" i="1" s="1"/>
  <c r="S122" i="1"/>
  <c r="R122" i="1"/>
  <c r="Q122" i="1"/>
  <c r="N122" i="1"/>
  <c r="M122" i="1"/>
  <c r="P122" i="1" s="1"/>
  <c r="L122" i="1"/>
  <c r="O122" i="1" s="1"/>
  <c r="S121" i="1"/>
  <c r="R121" i="1"/>
  <c r="Q121" i="1"/>
  <c r="T121" i="1" s="1"/>
  <c r="N121" i="1"/>
  <c r="M121" i="1"/>
  <c r="L121" i="1"/>
  <c r="J114" i="1"/>
  <c r="I114" i="1"/>
  <c r="J113" i="1"/>
  <c r="I113" i="1"/>
  <c r="J109" i="1"/>
  <c r="I109" i="1"/>
  <c r="I93" i="1" s="1"/>
  <c r="J108" i="1"/>
  <c r="J92" i="1" s="1"/>
  <c r="I108" i="1"/>
  <c r="S102" i="1"/>
  <c r="R102" i="1"/>
  <c r="U102" i="1" s="1"/>
  <c r="Q102" i="1"/>
  <c r="T102" i="1" s="1"/>
  <c r="N102" i="1"/>
  <c r="M102" i="1"/>
  <c r="P102" i="1" s="1"/>
  <c r="L102" i="1"/>
  <c r="O102" i="1" s="1"/>
  <c r="S101" i="1"/>
  <c r="R101" i="1"/>
  <c r="U101" i="1" s="1"/>
  <c r="Q101" i="1"/>
  <c r="N101" i="1"/>
  <c r="M101" i="1"/>
  <c r="L101" i="1"/>
  <c r="O101" i="1" s="1"/>
  <c r="S99" i="1"/>
  <c r="R99" i="1"/>
  <c r="Q99" i="1"/>
  <c r="N99" i="1"/>
  <c r="M99" i="1"/>
  <c r="L99" i="1"/>
  <c r="S98" i="1"/>
  <c r="R98" i="1"/>
  <c r="U98" i="1" s="1"/>
  <c r="Q98" i="1"/>
  <c r="T98" i="1" s="1"/>
  <c r="N98" i="1"/>
  <c r="M98" i="1"/>
  <c r="L98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P80" i="1" s="1"/>
  <c r="L80" i="1"/>
  <c r="S79" i="1"/>
  <c r="R79" i="1"/>
  <c r="U79" i="1" s="1"/>
  <c r="Q79" i="1"/>
  <c r="N79" i="1"/>
  <c r="M79" i="1"/>
  <c r="P79" i="1" s="1"/>
  <c r="L79" i="1"/>
  <c r="S77" i="1"/>
  <c r="R77" i="1"/>
  <c r="Q77" i="1"/>
  <c r="N77" i="1"/>
  <c r="M77" i="1"/>
  <c r="L77" i="1"/>
  <c r="S76" i="1"/>
  <c r="R76" i="1"/>
  <c r="U76" i="1" s="1"/>
  <c r="Q76" i="1"/>
  <c r="T76" i="1" s="1"/>
  <c r="N76" i="1"/>
  <c r="M76" i="1"/>
  <c r="L76" i="1"/>
  <c r="O76" i="1" s="1"/>
  <c r="S67" i="1"/>
  <c r="R67" i="1"/>
  <c r="Q67" i="1"/>
  <c r="T67" i="1" s="1"/>
  <c r="N67" i="1"/>
  <c r="M67" i="1"/>
  <c r="L67" i="1"/>
  <c r="S66" i="1"/>
  <c r="R66" i="1"/>
  <c r="U66" i="1" s="1"/>
  <c r="Q66" i="1"/>
  <c r="T66" i="1" s="1"/>
  <c r="N66" i="1"/>
  <c r="M66" i="1"/>
  <c r="P66" i="1" s="1"/>
  <c r="L66" i="1"/>
  <c r="O66" i="1" s="1"/>
  <c r="S64" i="1"/>
  <c r="R64" i="1"/>
  <c r="U64" i="1" s="1"/>
  <c r="Q64" i="1"/>
  <c r="T64" i="1" s="1"/>
  <c r="N64" i="1"/>
  <c r="M64" i="1"/>
  <c r="L64" i="1"/>
  <c r="S63" i="1"/>
  <c r="R63" i="1"/>
  <c r="Q63" i="1"/>
  <c r="T63" i="1" s="1"/>
  <c r="N63" i="1"/>
  <c r="M63" i="1"/>
  <c r="P63" i="1" s="1"/>
  <c r="L63" i="1"/>
  <c r="O63" i="1" s="1"/>
  <c r="S52" i="1"/>
  <c r="S50" i="1" s="1"/>
  <c r="R52" i="1"/>
  <c r="R50" i="1" s="1"/>
  <c r="U50" i="1" s="1"/>
  <c r="Q52" i="1"/>
  <c r="Q50" i="1" s="1"/>
  <c r="T50" i="1" s="1"/>
  <c r="N52" i="1"/>
  <c r="N50" i="1" s="1"/>
  <c r="M52" i="1"/>
  <c r="L52" i="1"/>
  <c r="L50" i="1" s="1"/>
  <c r="O50" i="1" s="1"/>
  <c r="U51" i="1"/>
  <c r="T51" i="1"/>
  <c r="P51" i="1"/>
  <c r="O51" i="1"/>
  <c r="S49" i="1"/>
  <c r="R49" i="1"/>
  <c r="R47" i="1" s="1"/>
  <c r="U47" i="1" s="1"/>
  <c r="Q49" i="1"/>
  <c r="Q47" i="1" s="1"/>
  <c r="T47" i="1" s="1"/>
  <c r="N49" i="1"/>
  <c r="M49" i="1"/>
  <c r="M47" i="1" s="1"/>
  <c r="L49" i="1"/>
  <c r="U48" i="1"/>
  <c r="T48" i="1"/>
  <c r="P48" i="1"/>
  <c r="O48" i="1"/>
  <c r="S45" i="1"/>
  <c r="R45" i="1"/>
  <c r="Q45" i="1"/>
  <c r="T45" i="1" s="1"/>
  <c r="N45" i="1"/>
  <c r="M45" i="1"/>
  <c r="P45" i="1" s="1"/>
  <c r="L45" i="1"/>
  <c r="N61" i="15" l="1"/>
  <c r="S499" i="1"/>
  <c r="K330" i="18"/>
  <c r="M123" i="13"/>
  <c r="P123" i="13" s="1"/>
  <c r="O308" i="18"/>
  <c r="O65" i="18"/>
  <c r="O62" i="18"/>
  <c r="S558" i="1"/>
  <c r="Q306" i="18"/>
  <c r="T306" i="18" s="1"/>
  <c r="J351" i="18"/>
  <c r="T194" i="17"/>
  <c r="K772" i="18"/>
  <c r="T77" i="18"/>
  <c r="K152" i="17"/>
  <c r="P563" i="18"/>
  <c r="K654" i="18"/>
  <c r="P521" i="18"/>
  <c r="L235" i="18"/>
  <c r="I374" i="17"/>
  <c r="K679" i="18"/>
  <c r="K368" i="18"/>
  <c r="U397" i="18"/>
  <c r="S398" i="1"/>
  <c r="J701" i="17"/>
  <c r="K784" i="17"/>
  <c r="K781" i="17"/>
  <c r="R763" i="18"/>
  <c r="K673" i="18"/>
  <c r="Q378" i="18"/>
  <c r="J701" i="18"/>
  <c r="K678" i="18"/>
  <c r="N335" i="18"/>
  <c r="N333" i="18" s="1"/>
  <c r="K778" i="17"/>
  <c r="K432" i="18"/>
  <c r="U733" i="18"/>
  <c r="O285" i="18"/>
  <c r="L537" i="18"/>
  <c r="O537" i="18" s="1"/>
  <c r="M339" i="18"/>
  <c r="P339" i="18" s="1"/>
  <c r="M322" i="18"/>
  <c r="M320" i="18" s="1"/>
  <c r="K682" i="18"/>
  <c r="K661" i="18"/>
  <c r="Q269" i="18"/>
  <c r="T269" i="18" s="1"/>
  <c r="O191" i="18"/>
  <c r="R119" i="18"/>
  <c r="R117" i="18" s="1"/>
  <c r="N96" i="18"/>
  <c r="N94" i="18" s="1"/>
  <c r="K783" i="18"/>
  <c r="K780" i="18"/>
  <c r="O560" i="18"/>
  <c r="O364" i="18"/>
  <c r="P274" i="18"/>
  <c r="T271" i="18"/>
  <c r="S644" i="18"/>
  <c r="S642" i="18" s="1"/>
  <c r="L495" i="18"/>
  <c r="L493" i="18" s="1"/>
  <c r="S416" i="18"/>
  <c r="T416" i="18" s="1"/>
  <c r="O274" i="18"/>
  <c r="P49" i="18"/>
  <c r="Q619" i="17"/>
  <c r="K369" i="17"/>
  <c r="L288" i="17"/>
  <c r="O288" i="17" s="1"/>
  <c r="I281" i="17"/>
  <c r="K281" i="17" s="1"/>
  <c r="L557" i="18"/>
  <c r="O557" i="18" s="1"/>
  <c r="M557" i="18"/>
  <c r="Q415" i="18"/>
  <c r="Q413" i="18" s="1"/>
  <c r="P290" i="18"/>
  <c r="N159" i="18"/>
  <c r="N157" i="18" s="1"/>
  <c r="P125" i="18"/>
  <c r="Q74" i="18"/>
  <c r="Q72" i="18" s="1"/>
  <c r="K778" i="16"/>
  <c r="K368" i="17"/>
  <c r="P498" i="18"/>
  <c r="P189" i="18"/>
  <c r="P269" i="18"/>
  <c r="L214" i="18"/>
  <c r="O214" i="18" s="1"/>
  <c r="J674" i="13"/>
  <c r="P361" i="17"/>
  <c r="N188" i="17"/>
  <c r="N186" i="17" s="1"/>
  <c r="K785" i="18"/>
  <c r="K782" i="18"/>
  <c r="K779" i="18"/>
  <c r="K676" i="18"/>
  <c r="K626" i="18"/>
  <c r="R601" i="18"/>
  <c r="U601" i="18" s="1"/>
  <c r="K424" i="18"/>
  <c r="K346" i="18"/>
  <c r="P338" i="18"/>
  <c r="O287" i="18"/>
  <c r="L254" i="18"/>
  <c r="O254" i="18" s="1"/>
  <c r="L203" i="18"/>
  <c r="O203" i="18" s="1"/>
  <c r="Q188" i="18"/>
  <c r="Q186" i="18" s="1"/>
  <c r="O147" i="18"/>
  <c r="J702" i="13"/>
  <c r="U397" i="16"/>
  <c r="I374" i="16"/>
  <c r="R763" i="17"/>
  <c r="T765" i="18"/>
  <c r="R692" i="18"/>
  <c r="U692" i="18" s="1"/>
  <c r="S618" i="18"/>
  <c r="S616" i="18" s="1"/>
  <c r="M415" i="18"/>
  <c r="M413" i="18" s="1"/>
  <c r="O383" i="18"/>
  <c r="O361" i="18"/>
  <c r="L358" i="18"/>
  <c r="L356" i="18" s="1"/>
  <c r="K276" i="18"/>
  <c r="P191" i="18"/>
  <c r="M119" i="18"/>
  <c r="P119" i="18" s="1"/>
  <c r="L50" i="18"/>
  <c r="O50" i="18" s="1"/>
  <c r="L46" i="18"/>
  <c r="P364" i="16"/>
  <c r="K631" i="17"/>
  <c r="O581" i="17"/>
  <c r="T162" i="17"/>
  <c r="T99" i="17"/>
  <c r="U647" i="18"/>
  <c r="K630" i="18"/>
  <c r="Q619" i="18"/>
  <c r="T619" i="18" s="1"/>
  <c r="M419" i="18"/>
  <c r="P419" i="18" s="1"/>
  <c r="K369" i="18"/>
  <c r="L326" i="18"/>
  <c r="O326" i="18" s="1"/>
  <c r="P311" i="18"/>
  <c r="U147" i="18"/>
  <c r="T122" i="18"/>
  <c r="I92" i="18"/>
  <c r="K92" i="18" s="1"/>
  <c r="O67" i="18"/>
  <c r="P341" i="17"/>
  <c r="M305" i="17"/>
  <c r="U178" i="17"/>
  <c r="O125" i="17"/>
  <c r="Q605" i="18"/>
  <c r="T605" i="18" s="1"/>
  <c r="P542" i="18"/>
  <c r="Q395" i="18"/>
  <c r="T395" i="18" s="1"/>
  <c r="O336" i="18"/>
  <c r="O271" i="18"/>
  <c r="K229" i="18"/>
  <c r="Q192" i="18"/>
  <c r="T192" i="18" s="1"/>
  <c r="U144" i="18"/>
  <c r="O142" i="18"/>
  <c r="I136" i="18"/>
  <c r="K136" i="18" s="1"/>
  <c r="S119" i="18"/>
  <c r="S117" i="18" s="1"/>
  <c r="L47" i="18"/>
  <c r="O47" i="18" s="1"/>
  <c r="L339" i="18"/>
  <c r="O339" i="18" s="1"/>
  <c r="O341" i="18"/>
  <c r="R605" i="16"/>
  <c r="U605" i="16" s="1"/>
  <c r="K293" i="16"/>
  <c r="L234" i="16"/>
  <c r="K709" i="17"/>
  <c r="U618" i="17"/>
  <c r="M268" i="17"/>
  <c r="M266" i="17" s="1"/>
  <c r="L235" i="17"/>
  <c r="K220" i="17"/>
  <c r="L214" i="17"/>
  <c r="O214" i="17" s="1"/>
  <c r="O49" i="17"/>
  <c r="J702" i="18"/>
  <c r="I116" i="18"/>
  <c r="K116" i="18" s="1"/>
  <c r="K127" i="18"/>
  <c r="R19" i="18"/>
  <c r="U22" i="18"/>
  <c r="R192" i="18"/>
  <c r="U192" i="18" s="1"/>
  <c r="U194" i="18"/>
  <c r="M62" i="18"/>
  <c r="P62" i="18" s="1"/>
  <c r="P64" i="18"/>
  <c r="Q74" i="13"/>
  <c r="T74" i="13" s="1"/>
  <c r="N268" i="16"/>
  <c r="N266" i="16" s="1"/>
  <c r="O607" i="17"/>
  <c r="L558" i="17"/>
  <c r="O558" i="17" s="1"/>
  <c r="I83" i="17"/>
  <c r="I71" i="17" s="1"/>
  <c r="K71" i="17" s="1"/>
  <c r="N305" i="17"/>
  <c r="N303" i="17" s="1"/>
  <c r="O80" i="17"/>
  <c r="N601" i="18"/>
  <c r="N599" i="18" s="1"/>
  <c r="N602" i="18"/>
  <c r="K153" i="18"/>
  <c r="I138" i="18"/>
  <c r="K138" i="18" s="1"/>
  <c r="Q97" i="18"/>
  <c r="T97" i="18" s="1"/>
  <c r="T99" i="18"/>
  <c r="Q141" i="18"/>
  <c r="Q139" i="18" s="1"/>
  <c r="Q142" i="18"/>
  <c r="T142" i="18" s="1"/>
  <c r="N358" i="15"/>
  <c r="N356" i="15" s="1"/>
  <c r="J374" i="16"/>
  <c r="P383" i="16"/>
  <c r="N358" i="17"/>
  <c r="N356" i="17" s="1"/>
  <c r="K229" i="17"/>
  <c r="P147" i="17"/>
  <c r="U765" i="18"/>
  <c r="S763" i="18"/>
  <c r="T729" i="18"/>
  <c r="N616" i="18"/>
  <c r="P600" i="18"/>
  <c r="L419" i="18"/>
  <c r="O419" i="18" s="1"/>
  <c r="O421" i="18"/>
  <c r="O393" i="18"/>
  <c r="L392" i="18"/>
  <c r="O392" i="18" s="1"/>
  <c r="O311" i="18"/>
  <c r="L309" i="18"/>
  <c r="O309" i="18" s="1"/>
  <c r="O194" i="18"/>
  <c r="L192" i="18"/>
  <c r="O192" i="18" s="1"/>
  <c r="Q160" i="17"/>
  <c r="T160" i="17" s="1"/>
  <c r="L100" i="17"/>
  <c r="O100" i="17" s="1"/>
  <c r="U762" i="18"/>
  <c r="S760" i="18"/>
  <c r="M578" i="18"/>
  <c r="P578" i="18" s="1"/>
  <c r="P581" i="18"/>
  <c r="L377" i="18"/>
  <c r="O377" i="18" s="1"/>
  <c r="O380" i="18"/>
  <c r="L378" i="18"/>
  <c r="O378" i="18" s="1"/>
  <c r="M362" i="18"/>
  <c r="P362" i="18" s="1"/>
  <c r="P364" i="18"/>
  <c r="P158" i="18"/>
  <c r="M75" i="18"/>
  <c r="P75" i="18" s="1"/>
  <c r="P77" i="18"/>
  <c r="Q59" i="18"/>
  <c r="T59" i="18" s="1"/>
  <c r="T60" i="18"/>
  <c r="R760" i="18"/>
  <c r="L760" i="18"/>
  <c r="O760" i="18" s="1"/>
  <c r="K705" i="18"/>
  <c r="U695" i="18"/>
  <c r="N690" i="18"/>
  <c r="J674" i="18"/>
  <c r="K674" i="18" s="1"/>
  <c r="M601" i="18"/>
  <c r="P601" i="18" s="1"/>
  <c r="L582" i="18"/>
  <c r="O582" i="18" s="1"/>
  <c r="Q576" i="18"/>
  <c r="T576" i="18" s="1"/>
  <c r="U556" i="18"/>
  <c r="O542" i="18"/>
  <c r="S534" i="18"/>
  <c r="O518" i="18"/>
  <c r="L499" i="18"/>
  <c r="O499" i="18" s="1"/>
  <c r="O498" i="18"/>
  <c r="S495" i="18"/>
  <c r="U495" i="18" s="1"/>
  <c r="T418" i="18"/>
  <c r="M416" i="18"/>
  <c r="P416" i="18" s="1"/>
  <c r="T397" i="18"/>
  <c r="M392" i="18"/>
  <c r="P392" i="18" s="1"/>
  <c r="U357" i="18"/>
  <c r="S333" i="18"/>
  <c r="P325" i="18"/>
  <c r="K265" i="18"/>
  <c r="O269" i="18"/>
  <c r="L236" i="18"/>
  <c r="N175" i="18"/>
  <c r="N173" i="18" s="1"/>
  <c r="P165" i="18"/>
  <c r="M159" i="18"/>
  <c r="S160" i="18"/>
  <c r="K152" i="18"/>
  <c r="Q145" i="18"/>
  <c r="T145" i="18" s="1"/>
  <c r="O144" i="18"/>
  <c r="T125" i="18"/>
  <c r="M120" i="18"/>
  <c r="P120" i="18" s="1"/>
  <c r="K109" i="18"/>
  <c r="P102" i="18"/>
  <c r="L74" i="18"/>
  <c r="L72" i="18" s="1"/>
  <c r="L75" i="18"/>
  <c r="O75" i="18" s="1"/>
  <c r="L61" i="18"/>
  <c r="L59" i="18" s="1"/>
  <c r="R44" i="18"/>
  <c r="U44" i="18" s="1"/>
  <c r="R730" i="18"/>
  <c r="U730" i="18" s="1"/>
  <c r="K707" i="18"/>
  <c r="U645" i="18"/>
  <c r="M642" i="18"/>
  <c r="P642" i="18" s="1"/>
  <c r="S601" i="18"/>
  <c r="S599" i="18" s="1"/>
  <c r="Q602" i="18"/>
  <c r="T602" i="18" s="1"/>
  <c r="L578" i="18"/>
  <c r="O578" i="18" s="1"/>
  <c r="U498" i="18"/>
  <c r="N495" i="18"/>
  <c r="K441" i="18"/>
  <c r="P418" i="18"/>
  <c r="N339" i="18"/>
  <c r="R333" i="18"/>
  <c r="U333" i="18" s="1"/>
  <c r="P328" i="18"/>
  <c r="M326" i="18"/>
  <c r="P326" i="18" s="1"/>
  <c r="P306" i="18"/>
  <c r="R306" i="18"/>
  <c r="U306" i="18" s="1"/>
  <c r="L288" i="18"/>
  <c r="O288" i="18" s="1"/>
  <c r="L234" i="18"/>
  <c r="L222" i="18"/>
  <c r="O222" i="18" s="1"/>
  <c r="P194" i="18"/>
  <c r="I169" i="18"/>
  <c r="K169" i="18" s="1"/>
  <c r="L159" i="18"/>
  <c r="L157" i="18" s="1"/>
  <c r="R160" i="18"/>
  <c r="U160" i="18" s="1"/>
  <c r="K137" i="18"/>
  <c r="N141" i="18"/>
  <c r="N139" i="18" s="1"/>
  <c r="P122" i="18"/>
  <c r="P80" i="18"/>
  <c r="R74" i="18"/>
  <c r="R72" i="18" s="1"/>
  <c r="S44" i="18"/>
  <c r="Q44" i="18"/>
  <c r="T44" i="18" s="1"/>
  <c r="R731" i="18"/>
  <c r="Q730" i="18"/>
  <c r="Q728" i="18" s="1"/>
  <c r="S714" i="18"/>
  <c r="M714" i="18"/>
  <c r="P714" i="18" s="1"/>
  <c r="M690" i="18"/>
  <c r="P690" i="18" s="1"/>
  <c r="Q616" i="18"/>
  <c r="P607" i="18"/>
  <c r="N557" i="18"/>
  <c r="N555" i="18" s="1"/>
  <c r="M516" i="18"/>
  <c r="P516" i="18" s="1"/>
  <c r="N515" i="18"/>
  <c r="N513" i="18" s="1"/>
  <c r="N415" i="18"/>
  <c r="N413" i="18" s="1"/>
  <c r="R392" i="18"/>
  <c r="U392" i="18" s="1"/>
  <c r="M358" i="18"/>
  <c r="M356" i="18" s="1"/>
  <c r="L305" i="18"/>
  <c r="L303" i="18" s="1"/>
  <c r="L284" i="18"/>
  <c r="L282" i="18" s="1"/>
  <c r="L243" i="18"/>
  <c r="O243" i="18" s="1"/>
  <c r="R188" i="18"/>
  <c r="R186" i="18" s="1"/>
  <c r="L188" i="18"/>
  <c r="L186" i="18" s="1"/>
  <c r="Q189" i="18"/>
  <c r="T189" i="18" s="1"/>
  <c r="L179" i="18"/>
  <c r="O179" i="18" s="1"/>
  <c r="L175" i="18"/>
  <c r="L173" i="18" s="1"/>
  <c r="K167" i="18"/>
  <c r="S157" i="18"/>
  <c r="M96" i="18"/>
  <c r="M94" i="18" s="1"/>
  <c r="P94" i="18" s="1"/>
  <c r="S97" i="18"/>
  <c r="M728" i="18"/>
  <c r="P728" i="18" s="1"/>
  <c r="K689" i="18"/>
  <c r="S690" i="18"/>
  <c r="L515" i="18"/>
  <c r="O515" i="18" s="1"/>
  <c r="R496" i="18"/>
  <c r="U496" i="18" s="1"/>
  <c r="N392" i="18"/>
  <c r="K319" i="18"/>
  <c r="L306" i="18"/>
  <c r="O306" i="18" s="1"/>
  <c r="I202" i="18"/>
  <c r="K202" i="18" s="1"/>
  <c r="N760" i="18"/>
  <c r="Q714" i="18"/>
  <c r="T714" i="18" s="1"/>
  <c r="K709" i="18"/>
  <c r="S693" i="18"/>
  <c r="U693" i="18" s="1"/>
  <c r="R644" i="18"/>
  <c r="L616" i="18"/>
  <c r="O616" i="18" s="1"/>
  <c r="P604" i="18"/>
  <c r="N578" i="18"/>
  <c r="N576" i="18" s="1"/>
  <c r="S576" i="18"/>
  <c r="Q555" i="18"/>
  <c r="T555" i="18" s="1"/>
  <c r="N536" i="18"/>
  <c r="N534" i="18" s="1"/>
  <c r="L536" i="18"/>
  <c r="O536" i="18" s="1"/>
  <c r="O521" i="18"/>
  <c r="L496" i="18"/>
  <c r="O496" i="18" s="1"/>
  <c r="R493" i="18"/>
  <c r="K412" i="18"/>
  <c r="S413" i="18"/>
  <c r="S395" i="18"/>
  <c r="K386" i="18"/>
  <c r="M377" i="18"/>
  <c r="P377" i="18" s="1"/>
  <c r="R378" i="18"/>
  <c r="R375" i="18"/>
  <c r="L335" i="18"/>
  <c r="M305" i="18"/>
  <c r="M303" i="18" s="1"/>
  <c r="P287" i="18"/>
  <c r="U271" i="18"/>
  <c r="P271" i="18"/>
  <c r="S120" i="18"/>
  <c r="T120" i="18" s="1"/>
  <c r="M97" i="18"/>
  <c r="P97" i="18" s="1"/>
  <c r="L78" i="18"/>
  <c r="O78" i="18" s="1"/>
  <c r="R59" i="18"/>
  <c r="U59" i="18" s="1"/>
  <c r="L19" i="18"/>
  <c r="I701" i="18"/>
  <c r="K703" i="18"/>
  <c r="O604" i="18"/>
  <c r="L602" i="18"/>
  <c r="T514" i="18"/>
  <c r="Q513" i="18"/>
  <c r="T513" i="18" s="1"/>
  <c r="S119" i="13"/>
  <c r="S117" i="13" s="1"/>
  <c r="P501" i="16"/>
  <c r="K369" i="16"/>
  <c r="I253" i="16"/>
  <c r="K253" i="16" s="1"/>
  <c r="I242" i="16"/>
  <c r="U607" i="17"/>
  <c r="N601" i="17"/>
  <c r="N599" i="17" s="1"/>
  <c r="U498" i="17"/>
  <c r="M495" i="17"/>
  <c r="P495" i="17" s="1"/>
  <c r="J332" i="17"/>
  <c r="M335" i="17"/>
  <c r="M333" i="17" s="1"/>
  <c r="L236" i="17"/>
  <c r="O194" i="17"/>
  <c r="Q762" i="18"/>
  <c r="T762" i="18" s="1"/>
  <c r="I759" i="18"/>
  <c r="K759" i="18" s="1"/>
  <c r="U604" i="18"/>
  <c r="R602" i="18"/>
  <c r="U602" i="18" s="1"/>
  <c r="U578" i="18"/>
  <c r="R576" i="18"/>
  <c r="U576" i="18" s="1"/>
  <c r="S555" i="18"/>
  <c r="P501" i="18"/>
  <c r="M495" i="18"/>
  <c r="I456" i="18"/>
  <c r="U418" i="18"/>
  <c r="R415" i="18"/>
  <c r="R416" i="18"/>
  <c r="U394" i="18"/>
  <c r="P376" i="18"/>
  <c r="U643" i="18"/>
  <c r="U271" i="15"/>
  <c r="O271" i="15"/>
  <c r="O77" i="16"/>
  <c r="K707" i="17"/>
  <c r="J675" i="17"/>
  <c r="K675" i="17" s="1"/>
  <c r="T607" i="17"/>
  <c r="N578" i="17"/>
  <c r="N576" i="17" s="1"/>
  <c r="T498" i="17"/>
  <c r="S495" i="17"/>
  <c r="S493" i="17" s="1"/>
  <c r="Q416" i="17"/>
  <c r="J374" i="17"/>
  <c r="L335" i="17"/>
  <c r="L333" i="17" s="1"/>
  <c r="K330" i="17"/>
  <c r="N284" i="17"/>
  <c r="N282" i="17" s="1"/>
  <c r="R176" i="17"/>
  <c r="U176" i="17" s="1"/>
  <c r="R97" i="17"/>
  <c r="U97" i="17" s="1"/>
  <c r="L47" i="17"/>
  <c r="O47" i="17" s="1"/>
  <c r="T761" i="18"/>
  <c r="S728" i="18"/>
  <c r="O581" i="18"/>
  <c r="L579" i="18"/>
  <c r="O579" i="18" s="1"/>
  <c r="R534" i="18"/>
  <c r="U534" i="18" s="1"/>
  <c r="U536" i="18"/>
  <c r="J503" i="18"/>
  <c r="J492" i="18" s="1"/>
  <c r="I492" i="18"/>
  <c r="U691" i="18"/>
  <c r="O52" i="13"/>
  <c r="J675" i="16"/>
  <c r="K675" i="16" s="1"/>
  <c r="U147" i="16"/>
  <c r="O563" i="17"/>
  <c r="N536" i="17"/>
  <c r="N534" i="17" s="1"/>
  <c r="O364" i="17"/>
  <c r="U191" i="17"/>
  <c r="T191" i="17"/>
  <c r="O162" i="17"/>
  <c r="L120" i="17"/>
  <c r="O120" i="17" s="1"/>
  <c r="L601" i="18"/>
  <c r="K344" i="18"/>
  <c r="J332" i="18"/>
  <c r="K332" i="18" s="1"/>
  <c r="J343" i="18"/>
  <c r="Q123" i="17"/>
  <c r="T123" i="17" s="1"/>
  <c r="T125" i="17"/>
  <c r="U716" i="18"/>
  <c r="R714" i="18"/>
  <c r="U714" i="18" s="1"/>
  <c r="T494" i="18"/>
  <c r="I374" i="18"/>
  <c r="K388" i="18"/>
  <c r="K679" i="15"/>
  <c r="S416" i="16"/>
  <c r="Q692" i="17"/>
  <c r="K673" i="17"/>
  <c r="P421" i="17"/>
  <c r="K365" i="17"/>
  <c r="M359" i="17"/>
  <c r="M288" i="17"/>
  <c r="P288" i="17" s="1"/>
  <c r="K784" i="18"/>
  <c r="K781" i="18"/>
  <c r="K778" i="18"/>
  <c r="Q693" i="18"/>
  <c r="Q692" i="18"/>
  <c r="T695" i="18"/>
  <c r="Q645" i="18"/>
  <c r="T645" i="18" s="1"/>
  <c r="Q644" i="18"/>
  <c r="T647" i="18"/>
  <c r="R619" i="18"/>
  <c r="U619" i="18" s="1"/>
  <c r="R618" i="18"/>
  <c r="U621" i="18"/>
  <c r="M616" i="18"/>
  <c r="P616" i="18" s="1"/>
  <c r="P617" i="18"/>
  <c r="O607" i="18"/>
  <c r="L605" i="18"/>
  <c r="O605" i="18" s="1"/>
  <c r="I759" i="17"/>
  <c r="K759" i="17" s="1"/>
  <c r="Q119" i="17"/>
  <c r="Q117" i="17" s="1"/>
  <c r="L415" i="18"/>
  <c r="L416" i="18"/>
  <c r="O416" i="18" s="1"/>
  <c r="O418" i="18"/>
  <c r="L46" i="13"/>
  <c r="L44" i="13" s="1"/>
  <c r="L557" i="16"/>
  <c r="O557" i="16" s="1"/>
  <c r="O75" i="16"/>
  <c r="K626" i="17"/>
  <c r="Q601" i="17"/>
  <c r="T601" i="17" s="1"/>
  <c r="K260" i="17"/>
  <c r="U125" i="17"/>
  <c r="R123" i="17"/>
  <c r="U123" i="17" s="1"/>
  <c r="M760" i="18"/>
  <c r="P760" i="18" s="1"/>
  <c r="O730" i="18"/>
  <c r="L728" i="18"/>
  <c r="O728" i="18" s="1"/>
  <c r="O716" i="18"/>
  <c r="L714" i="18"/>
  <c r="O714" i="18" s="1"/>
  <c r="L690" i="18"/>
  <c r="O690" i="18" s="1"/>
  <c r="O691" i="18"/>
  <c r="K681" i="18"/>
  <c r="J675" i="18"/>
  <c r="K675" i="18" s="1"/>
  <c r="L642" i="18"/>
  <c r="O642" i="18" s="1"/>
  <c r="O643" i="18"/>
  <c r="U607" i="18"/>
  <c r="R605" i="18"/>
  <c r="U605" i="18" s="1"/>
  <c r="O563" i="18"/>
  <c r="L561" i="18"/>
  <c r="O561" i="18" s="1"/>
  <c r="M537" i="18"/>
  <c r="P537" i="18" s="1"/>
  <c r="M536" i="18"/>
  <c r="P536" i="18" s="1"/>
  <c r="P539" i="18"/>
  <c r="Q495" i="18"/>
  <c r="T498" i="18"/>
  <c r="Q496" i="18"/>
  <c r="T496" i="18" s="1"/>
  <c r="J457" i="18"/>
  <c r="J456" i="18" s="1"/>
  <c r="K440" i="18"/>
  <c r="T380" i="18"/>
  <c r="S378" i="18"/>
  <c r="S377" i="18"/>
  <c r="U377" i="18" s="1"/>
  <c r="U380" i="18"/>
  <c r="Q141" i="17"/>
  <c r="Q139" i="17" s="1"/>
  <c r="L96" i="17"/>
  <c r="O96" i="17" s="1"/>
  <c r="Q97" i="17"/>
  <c r="T97" i="17" s="1"/>
  <c r="Q74" i="17"/>
  <c r="T74" i="17" s="1"/>
  <c r="T733" i="18"/>
  <c r="S731" i="18"/>
  <c r="T731" i="18" s="1"/>
  <c r="K629" i="18"/>
  <c r="S602" i="18"/>
  <c r="M602" i="18"/>
  <c r="P602" i="18" s="1"/>
  <c r="Q601" i="18"/>
  <c r="T601" i="18" s="1"/>
  <c r="M579" i="18"/>
  <c r="P579" i="18" s="1"/>
  <c r="N537" i="18"/>
  <c r="M515" i="18"/>
  <c r="J458" i="18"/>
  <c r="R395" i="18"/>
  <c r="U395" i="18" s="1"/>
  <c r="Q356" i="18"/>
  <c r="T356" i="18" s="1"/>
  <c r="U189" i="18"/>
  <c r="I615" i="18"/>
  <c r="K615" i="18" s="1"/>
  <c r="P67" i="17"/>
  <c r="K632" i="18"/>
  <c r="M558" i="18"/>
  <c r="P558" i="18" s="1"/>
  <c r="U514" i="18"/>
  <c r="K423" i="18"/>
  <c r="Q392" i="18"/>
  <c r="T392" i="18" s="1"/>
  <c r="J374" i="18"/>
  <c r="Q375" i="18"/>
  <c r="O181" i="17"/>
  <c r="T147" i="17"/>
  <c r="T144" i="17"/>
  <c r="O99" i="17"/>
  <c r="T621" i="18"/>
  <c r="M582" i="18"/>
  <c r="P582" i="18" s="1"/>
  <c r="N377" i="18"/>
  <c r="N375" i="18" s="1"/>
  <c r="K371" i="18"/>
  <c r="I365" i="18"/>
  <c r="K365" i="18" s="1"/>
  <c r="P336" i="18"/>
  <c r="J280" i="18"/>
  <c r="K280" i="18" s="1"/>
  <c r="K293" i="18"/>
  <c r="I253" i="18"/>
  <c r="K253" i="18" s="1"/>
  <c r="K260" i="18"/>
  <c r="P560" i="18"/>
  <c r="P383" i="18"/>
  <c r="M381" i="18"/>
  <c r="P381" i="18" s="1"/>
  <c r="P380" i="18"/>
  <c r="M378" i="18"/>
  <c r="P378" i="18" s="1"/>
  <c r="N378" i="18"/>
  <c r="P361" i="18"/>
  <c r="L359" i="18"/>
  <c r="O338" i="18"/>
  <c r="P308" i="18"/>
  <c r="I195" i="18"/>
  <c r="K195" i="18" s="1"/>
  <c r="R159" i="18"/>
  <c r="L26" i="18"/>
  <c r="U376" i="18"/>
  <c r="O376" i="18"/>
  <c r="I302" i="18"/>
  <c r="K302" i="18" s="1"/>
  <c r="K292" i="18"/>
  <c r="I281" i="18"/>
  <c r="K281" i="18" s="1"/>
  <c r="M285" i="18"/>
  <c r="P285" i="18" s="1"/>
  <c r="M284" i="18"/>
  <c r="I213" i="18"/>
  <c r="K213" i="18" s="1"/>
  <c r="K220" i="18"/>
  <c r="O189" i="18"/>
  <c r="P181" i="18"/>
  <c r="M179" i="18"/>
  <c r="P179" i="18" s="1"/>
  <c r="R176" i="18"/>
  <c r="U176" i="18" s="1"/>
  <c r="P144" i="18"/>
  <c r="M142" i="18"/>
  <c r="P142" i="18" s="1"/>
  <c r="M141" i="18"/>
  <c r="S19" i="18"/>
  <c r="N358" i="18"/>
  <c r="N356" i="18" s="1"/>
  <c r="O325" i="18"/>
  <c r="N323" i="18"/>
  <c r="O323" i="18" s="1"/>
  <c r="Q320" i="18"/>
  <c r="T320" i="18" s="1"/>
  <c r="T321" i="18"/>
  <c r="U308" i="18"/>
  <c r="S305" i="18"/>
  <c r="T305" i="18" s="1"/>
  <c r="S282" i="18"/>
  <c r="M323" i="18"/>
  <c r="N322" i="18"/>
  <c r="N320" i="18" s="1"/>
  <c r="Q303" i="18"/>
  <c r="U269" i="18"/>
  <c r="I172" i="18"/>
  <c r="K172" i="18" s="1"/>
  <c r="K183" i="18"/>
  <c r="R175" i="18"/>
  <c r="N120" i="18"/>
  <c r="N119" i="18"/>
  <c r="N117" i="18" s="1"/>
  <c r="Q26" i="18"/>
  <c r="N359" i="18"/>
  <c r="P359" i="18" s="1"/>
  <c r="P267" i="18"/>
  <c r="I238" i="18"/>
  <c r="K238" i="18" s="1"/>
  <c r="U95" i="18"/>
  <c r="U19" i="18"/>
  <c r="N268" i="18"/>
  <c r="N266" i="18" s="1"/>
  <c r="L233" i="18"/>
  <c r="U191" i="18"/>
  <c r="Q175" i="18"/>
  <c r="T175" i="18" s="1"/>
  <c r="Q159" i="18"/>
  <c r="T159" i="18" s="1"/>
  <c r="P47" i="18"/>
  <c r="M335" i="18"/>
  <c r="L322" i="18"/>
  <c r="T308" i="18"/>
  <c r="N305" i="18"/>
  <c r="N284" i="18"/>
  <c r="N282" i="18" s="1"/>
  <c r="S268" i="18"/>
  <c r="T268" i="18" s="1"/>
  <c r="M268" i="18"/>
  <c r="K249" i="18"/>
  <c r="I242" i="18"/>
  <c r="T191" i="18"/>
  <c r="N188" i="18"/>
  <c r="N186" i="18" s="1"/>
  <c r="P178" i="18"/>
  <c r="N176" i="18"/>
  <c r="P176" i="18" s="1"/>
  <c r="P162" i="18"/>
  <c r="N160" i="18"/>
  <c r="P160" i="18" s="1"/>
  <c r="P147" i="18"/>
  <c r="M145" i="18"/>
  <c r="P145" i="18" s="1"/>
  <c r="P140" i="18"/>
  <c r="O122" i="18"/>
  <c r="L120" i="18"/>
  <c r="O120" i="18" s="1"/>
  <c r="L119" i="18"/>
  <c r="O119" i="18" s="1"/>
  <c r="I82" i="18"/>
  <c r="N26" i="18"/>
  <c r="N24" i="18" s="1"/>
  <c r="R268" i="18"/>
  <c r="R266" i="18" s="1"/>
  <c r="L268" i="18"/>
  <c r="S188" i="18"/>
  <c r="S186" i="18" s="1"/>
  <c r="M188" i="18"/>
  <c r="L163" i="18"/>
  <c r="O163" i="18" s="1"/>
  <c r="O125" i="18"/>
  <c r="L123" i="18"/>
  <c r="O123" i="18" s="1"/>
  <c r="U122" i="18"/>
  <c r="R120" i="18"/>
  <c r="P52" i="18"/>
  <c r="M26" i="18"/>
  <c r="M24" i="18" s="1"/>
  <c r="M50" i="18"/>
  <c r="P50" i="18" s="1"/>
  <c r="P304" i="18"/>
  <c r="P283" i="18"/>
  <c r="U267" i="18"/>
  <c r="O267" i="18"/>
  <c r="P187" i="18"/>
  <c r="T178" i="18"/>
  <c r="M175" i="18"/>
  <c r="L176" i="18"/>
  <c r="T162" i="18"/>
  <c r="L160" i="18"/>
  <c r="U125" i="18"/>
  <c r="R123" i="18"/>
  <c r="U123" i="18" s="1"/>
  <c r="O118" i="18"/>
  <c r="I83" i="18"/>
  <c r="P22" i="18"/>
  <c r="M19" i="18"/>
  <c r="O178" i="18"/>
  <c r="S176" i="18"/>
  <c r="O162" i="18"/>
  <c r="S141" i="18"/>
  <c r="S139" i="18" s="1"/>
  <c r="U118" i="18"/>
  <c r="O95" i="18"/>
  <c r="R26" i="18"/>
  <c r="U75" i="18"/>
  <c r="P67" i="18"/>
  <c r="M65" i="18"/>
  <c r="P65" i="18" s="1"/>
  <c r="P25" i="18"/>
  <c r="O19" i="18"/>
  <c r="I156" i="18"/>
  <c r="K156" i="18" s="1"/>
  <c r="T144" i="18"/>
  <c r="U80" i="18"/>
  <c r="Q78" i="18"/>
  <c r="T78" i="18" s="1"/>
  <c r="U77" i="18"/>
  <c r="O77" i="18"/>
  <c r="Q75" i="18"/>
  <c r="T75" i="18" s="1"/>
  <c r="O64" i="18"/>
  <c r="N50" i="18"/>
  <c r="O49" i="18"/>
  <c r="N23" i="18"/>
  <c r="R96" i="18"/>
  <c r="U96" i="18" s="1"/>
  <c r="L96" i="18"/>
  <c r="O96" i="18" s="1"/>
  <c r="N74" i="18"/>
  <c r="N61" i="18"/>
  <c r="N59" i="18" s="1"/>
  <c r="N46" i="18"/>
  <c r="N44" i="18" s="1"/>
  <c r="S26" i="18"/>
  <c r="S24" i="18" s="1"/>
  <c r="S23" i="18"/>
  <c r="S21" i="18" s="1"/>
  <c r="M23" i="18"/>
  <c r="Q19" i="18"/>
  <c r="R141" i="18"/>
  <c r="U141" i="18" s="1"/>
  <c r="L141" i="18"/>
  <c r="L139" i="18" s="1"/>
  <c r="Q119" i="18"/>
  <c r="Q96" i="18"/>
  <c r="K85" i="18"/>
  <c r="S74" i="18"/>
  <c r="S72" i="18" s="1"/>
  <c r="M74" i="18"/>
  <c r="M61" i="18"/>
  <c r="M46" i="18"/>
  <c r="R23" i="18"/>
  <c r="L23" i="18"/>
  <c r="L100" i="18"/>
  <c r="O100" i="18" s="1"/>
  <c r="R97" i="18"/>
  <c r="U97" i="18" s="1"/>
  <c r="L97" i="18"/>
  <c r="O97" i="18" s="1"/>
  <c r="Q23" i="18"/>
  <c r="I213" i="12"/>
  <c r="K213" i="12" s="1"/>
  <c r="M515" i="16"/>
  <c r="P515" i="16" s="1"/>
  <c r="S692" i="17"/>
  <c r="S690" i="17" s="1"/>
  <c r="S693" i="17"/>
  <c r="T693" i="17" s="1"/>
  <c r="Q377" i="17"/>
  <c r="Q375" i="17" s="1"/>
  <c r="T380" i="17"/>
  <c r="Q378" i="17"/>
  <c r="K705" i="16"/>
  <c r="O607" i="16"/>
  <c r="N601" i="16"/>
  <c r="N599" i="16" s="1"/>
  <c r="L561" i="16"/>
  <c r="O561" i="16" s="1"/>
  <c r="P498" i="16"/>
  <c r="L690" i="17"/>
  <c r="O690" i="17" s="1"/>
  <c r="N74" i="17"/>
  <c r="N72" i="17" s="1"/>
  <c r="N75" i="17"/>
  <c r="N61" i="17"/>
  <c r="N59" i="17" s="1"/>
  <c r="N62" i="17"/>
  <c r="O62" i="17" s="1"/>
  <c r="P64" i="17"/>
  <c r="I137" i="13"/>
  <c r="K137" i="13" s="1"/>
  <c r="Q395" i="14"/>
  <c r="T395" i="14" s="1"/>
  <c r="K785" i="16"/>
  <c r="R602" i="16"/>
  <c r="U602" i="16" s="1"/>
  <c r="P421" i="16"/>
  <c r="L582" i="17"/>
  <c r="O582" i="17" s="1"/>
  <c r="O584" i="17"/>
  <c r="R415" i="17"/>
  <c r="U415" i="17" s="1"/>
  <c r="R416" i="17"/>
  <c r="U418" i="17"/>
  <c r="U357" i="17"/>
  <c r="R356" i="17"/>
  <c r="U356" i="17" s="1"/>
  <c r="N268" i="17"/>
  <c r="N266" i="17" s="1"/>
  <c r="N269" i="17"/>
  <c r="Q176" i="17"/>
  <c r="T176" i="17" s="1"/>
  <c r="T178" i="17"/>
  <c r="Q175" i="17"/>
  <c r="T175" i="17" s="1"/>
  <c r="I116" i="17"/>
  <c r="K116" i="17" s="1"/>
  <c r="K127" i="17"/>
  <c r="M78" i="17"/>
  <c r="P78" i="17" s="1"/>
  <c r="P80" i="17"/>
  <c r="R175" i="13"/>
  <c r="U175" i="13" s="1"/>
  <c r="L519" i="13"/>
  <c r="O519" i="13" s="1"/>
  <c r="T498" i="16"/>
  <c r="I238" i="17"/>
  <c r="K238" i="17" s="1"/>
  <c r="K249" i="17"/>
  <c r="I242" i="17"/>
  <c r="K242" i="17" s="1"/>
  <c r="J674" i="16"/>
  <c r="K674" i="16" s="1"/>
  <c r="K676" i="16"/>
  <c r="K654" i="16"/>
  <c r="P542" i="16"/>
  <c r="Q495" i="16"/>
  <c r="T495" i="16" s="1"/>
  <c r="N728" i="17"/>
  <c r="P607" i="17"/>
  <c r="M605" i="17"/>
  <c r="P605" i="17" s="1"/>
  <c r="L519" i="17"/>
  <c r="O519" i="17" s="1"/>
  <c r="O521" i="17"/>
  <c r="L515" i="17"/>
  <c r="O515" i="17" s="1"/>
  <c r="M326" i="17"/>
  <c r="P326" i="17" s="1"/>
  <c r="P328" i="17"/>
  <c r="I195" i="17"/>
  <c r="K195" i="17" s="1"/>
  <c r="K198" i="17"/>
  <c r="R159" i="17"/>
  <c r="U159" i="17" s="1"/>
  <c r="R160" i="17"/>
  <c r="U160" i="17" s="1"/>
  <c r="U162" i="17"/>
  <c r="R141" i="17"/>
  <c r="U141" i="17" s="1"/>
  <c r="R142" i="17"/>
  <c r="U142" i="17" s="1"/>
  <c r="U144" i="17"/>
  <c r="M540" i="17"/>
  <c r="P540" i="17" s="1"/>
  <c r="P542" i="17"/>
  <c r="P162" i="13"/>
  <c r="K433" i="15"/>
  <c r="K709" i="16"/>
  <c r="J702" i="16"/>
  <c r="N515" i="16"/>
  <c r="N513" i="16" s="1"/>
  <c r="S644" i="17"/>
  <c r="S642" i="17" s="1"/>
  <c r="S645" i="17"/>
  <c r="U645" i="17" s="1"/>
  <c r="M47" i="17"/>
  <c r="P47" i="17" s="1"/>
  <c r="P49" i="17"/>
  <c r="K365" i="16"/>
  <c r="M175" i="16"/>
  <c r="M173" i="16" s="1"/>
  <c r="P80" i="16"/>
  <c r="K785" i="17"/>
  <c r="K782" i="17"/>
  <c r="K779" i="17"/>
  <c r="I701" i="17"/>
  <c r="N616" i="17"/>
  <c r="M578" i="17"/>
  <c r="P578" i="17" s="1"/>
  <c r="P560" i="17"/>
  <c r="N537" i="17"/>
  <c r="K503" i="17"/>
  <c r="Q496" i="17"/>
  <c r="T496" i="17" s="1"/>
  <c r="O421" i="17"/>
  <c r="N377" i="17"/>
  <c r="N375" i="17" s="1"/>
  <c r="Q356" i="17"/>
  <c r="T356" i="17" s="1"/>
  <c r="M336" i="17"/>
  <c r="M322" i="17"/>
  <c r="P322" i="17" s="1"/>
  <c r="M323" i="17"/>
  <c r="P323" i="17" s="1"/>
  <c r="Q320" i="17"/>
  <c r="T320" i="17" s="1"/>
  <c r="O311" i="17"/>
  <c r="U308" i="17"/>
  <c r="R282" i="17"/>
  <c r="U282" i="17" s="1"/>
  <c r="K183" i="17"/>
  <c r="O165" i="17"/>
  <c r="U147" i="17"/>
  <c r="O147" i="17"/>
  <c r="L119" i="17"/>
  <c r="O119" i="17" s="1"/>
  <c r="Q120" i="17"/>
  <c r="U99" i="17"/>
  <c r="N96" i="17"/>
  <c r="N94" i="17" s="1"/>
  <c r="R78" i="17"/>
  <c r="U78" i="17" s="1"/>
  <c r="S74" i="17"/>
  <c r="S72" i="17" s="1"/>
  <c r="M74" i="17"/>
  <c r="P74" i="17" s="1"/>
  <c r="S75" i="17"/>
  <c r="M61" i="17"/>
  <c r="M59" i="17" s="1"/>
  <c r="L46" i="17"/>
  <c r="Q19" i="17"/>
  <c r="T19" i="17" s="1"/>
  <c r="O62" i="16"/>
  <c r="K772" i="17"/>
  <c r="Q760" i="17"/>
  <c r="K705" i="17"/>
  <c r="M690" i="17"/>
  <c r="P690" i="17" s="1"/>
  <c r="K654" i="17"/>
  <c r="Q644" i="17"/>
  <c r="Q642" i="17" s="1"/>
  <c r="N605" i="17"/>
  <c r="P584" i="17"/>
  <c r="T578" i="17"/>
  <c r="R534" i="17"/>
  <c r="U534" i="17" s="1"/>
  <c r="L516" i="17"/>
  <c r="O516" i="17" s="1"/>
  <c r="P418" i="17"/>
  <c r="M377" i="17"/>
  <c r="M375" i="17" s="1"/>
  <c r="N359" i="17"/>
  <c r="L336" i="17"/>
  <c r="L272" i="17"/>
  <c r="O272" i="17" s="1"/>
  <c r="L234" i="17"/>
  <c r="L243" i="17"/>
  <c r="O243" i="17" s="1"/>
  <c r="L203" i="17"/>
  <c r="O203" i="17" s="1"/>
  <c r="P176" i="17"/>
  <c r="R119" i="17"/>
  <c r="R117" i="17" s="1"/>
  <c r="I93" i="17"/>
  <c r="K93" i="17" s="1"/>
  <c r="I82" i="17"/>
  <c r="I70" i="17" s="1"/>
  <c r="K70" i="17" s="1"/>
  <c r="R74" i="17"/>
  <c r="L74" i="17"/>
  <c r="L72" i="17" s="1"/>
  <c r="O72" i="17" s="1"/>
  <c r="R75" i="17"/>
  <c r="U75" i="17" s="1"/>
  <c r="L61" i="17"/>
  <c r="L59" i="17" s="1"/>
  <c r="N19" i="17"/>
  <c r="U418" i="16"/>
  <c r="O338" i="16"/>
  <c r="S576" i="17"/>
  <c r="I202" i="17"/>
  <c r="K202" i="17" s="1"/>
  <c r="L175" i="17"/>
  <c r="L173" i="17" s="1"/>
  <c r="M141" i="17"/>
  <c r="M139" i="17" s="1"/>
  <c r="Q75" i="17"/>
  <c r="T75" i="17" s="1"/>
  <c r="O361" i="16"/>
  <c r="K630" i="17"/>
  <c r="T618" i="17"/>
  <c r="S616" i="17"/>
  <c r="M616" i="17"/>
  <c r="P616" i="17" s="1"/>
  <c r="M602" i="17"/>
  <c r="P602" i="17" s="1"/>
  <c r="O542" i="17"/>
  <c r="R495" i="17"/>
  <c r="U495" i="17" s="1"/>
  <c r="T418" i="17"/>
  <c r="M415" i="17"/>
  <c r="P415" i="17" s="1"/>
  <c r="S416" i="17"/>
  <c r="N392" i="17"/>
  <c r="K371" i="17"/>
  <c r="M358" i="17"/>
  <c r="S333" i="17"/>
  <c r="L233" i="17"/>
  <c r="L222" i="17"/>
  <c r="O222" i="17" s="1"/>
  <c r="L141" i="17"/>
  <c r="L139" i="17" s="1"/>
  <c r="T120" i="16"/>
  <c r="M96" i="16"/>
  <c r="P96" i="16" s="1"/>
  <c r="P64" i="16"/>
  <c r="K783" i="17"/>
  <c r="K780" i="17"/>
  <c r="T761" i="17"/>
  <c r="Q731" i="17"/>
  <c r="T731" i="17" s="1"/>
  <c r="O730" i="17"/>
  <c r="R714" i="17"/>
  <c r="U714" i="17" s="1"/>
  <c r="S714" i="17"/>
  <c r="Q714" i="17"/>
  <c r="T714" i="17" s="1"/>
  <c r="J702" i="17"/>
  <c r="T695" i="17"/>
  <c r="K629" i="17"/>
  <c r="R619" i="17"/>
  <c r="R616" i="17"/>
  <c r="O501" i="17"/>
  <c r="N495" i="17"/>
  <c r="N493" i="17" s="1"/>
  <c r="L415" i="17"/>
  <c r="M392" i="17"/>
  <c r="P392" i="17" s="1"/>
  <c r="L358" i="17"/>
  <c r="L356" i="17" s="1"/>
  <c r="J351" i="17"/>
  <c r="K346" i="17"/>
  <c r="O341" i="17"/>
  <c r="Q333" i="17"/>
  <c r="T333" i="17" s="1"/>
  <c r="P308" i="17"/>
  <c r="M306" i="17"/>
  <c r="U194" i="17"/>
  <c r="P191" i="17"/>
  <c r="P181" i="17"/>
  <c r="L176" i="17"/>
  <c r="O176" i="17" s="1"/>
  <c r="L159" i="17"/>
  <c r="O159" i="17" s="1"/>
  <c r="Q157" i="17"/>
  <c r="T157" i="17" s="1"/>
  <c r="S141" i="17"/>
  <c r="S139" i="17" s="1"/>
  <c r="Q142" i="17"/>
  <c r="T142" i="17" s="1"/>
  <c r="N119" i="17"/>
  <c r="N117" i="17" s="1"/>
  <c r="O77" i="17"/>
  <c r="M75" i="17"/>
  <c r="P75" i="17" s="1"/>
  <c r="O64" i="17"/>
  <c r="M62" i="17"/>
  <c r="N46" i="17"/>
  <c r="N44" i="17" s="1"/>
  <c r="S19" i="17"/>
  <c r="O521" i="16"/>
  <c r="L519" i="16"/>
  <c r="O519" i="16" s="1"/>
  <c r="L236" i="13"/>
  <c r="R416" i="13"/>
  <c r="U416" i="13" s="1"/>
  <c r="K779" i="14"/>
  <c r="U144" i="15"/>
  <c r="R392" i="16"/>
  <c r="U392" i="16" s="1"/>
  <c r="M714" i="17"/>
  <c r="P714" i="17" s="1"/>
  <c r="P715" i="17"/>
  <c r="J615" i="17"/>
  <c r="S601" i="17"/>
  <c r="S599" i="17" s="1"/>
  <c r="S602" i="17"/>
  <c r="M145" i="13"/>
  <c r="P145" i="13" s="1"/>
  <c r="S763" i="17"/>
  <c r="S762" i="17"/>
  <c r="S760" i="17" s="1"/>
  <c r="U760" i="17" s="1"/>
  <c r="J674" i="17"/>
  <c r="K674" i="17" s="1"/>
  <c r="K676" i="17"/>
  <c r="U607" i="13"/>
  <c r="Q645" i="13"/>
  <c r="T645" i="13" s="1"/>
  <c r="P80" i="14"/>
  <c r="K386" i="15"/>
  <c r="L272" i="15"/>
  <c r="O272" i="15" s="1"/>
  <c r="R75" i="15"/>
  <c r="U75" i="15" s="1"/>
  <c r="U77" i="15"/>
  <c r="Q644" i="16"/>
  <c r="Q642" i="16" s="1"/>
  <c r="Q645" i="16"/>
  <c r="L536" i="16"/>
  <c r="O536" i="16" s="1"/>
  <c r="L537" i="16"/>
  <c r="O537" i="16" s="1"/>
  <c r="R142" i="16"/>
  <c r="U142" i="16" s="1"/>
  <c r="U144" i="16"/>
  <c r="K615" i="17"/>
  <c r="P643" i="17"/>
  <c r="M642" i="17"/>
  <c r="P642" i="17" s="1"/>
  <c r="T162" i="15"/>
  <c r="M120" i="15"/>
  <c r="P120" i="15" s="1"/>
  <c r="P122" i="15"/>
  <c r="I701" i="16"/>
  <c r="L326" i="16"/>
  <c r="O326" i="16" s="1"/>
  <c r="O328" i="16"/>
  <c r="R690" i="17"/>
  <c r="N416" i="17"/>
  <c r="O416" i="17" s="1"/>
  <c r="N415" i="17"/>
  <c r="N413" i="17" s="1"/>
  <c r="O418" i="17"/>
  <c r="Q306" i="17"/>
  <c r="Q305" i="17"/>
  <c r="Q303" i="17" s="1"/>
  <c r="T308" i="17"/>
  <c r="R730" i="16"/>
  <c r="R728" i="16" s="1"/>
  <c r="R731" i="16"/>
  <c r="U731" i="16" s="1"/>
  <c r="K678" i="16"/>
  <c r="M582" i="16"/>
  <c r="P582" i="16" s="1"/>
  <c r="M578" i="16"/>
  <c r="P578" i="16" s="1"/>
  <c r="P584" i="16"/>
  <c r="M557" i="16"/>
  <c r="M555" i="16" s="1"/>
  <c r="P555" i="16" s="1"/>
  <c r="M558" i="16"/>
  <c r="P558" i="16" s="1"/>
  <c r="P560" i="16"/>
  <c r="Q416" i="16"/>
  <c r="Q415" i="16"/>
  <c r="T415" i="16" s="1"/>
  <c r="T418" i="16"/>
  <c r="I319" i="16"/>
  <c r="K319" i="16" s="1"/>
  <c r="K330" i="16"/>
  <c r="O290" i="16"/>
  <c r="L288" i="16"/>
  <c r="O288" i="16" s="1"/>
  <c r="M728" i="17"/>
  <c r="P728" i="17" s="1"/>
  <c r="P729" i="17"/>
  <c r="O600" i="17"/>
  <c r="K505" i="17"/>
  <c r="J503" i="17"/>
  <c r="J492" i="17" s="1"/>
  <c r="O383" i="17"/>
  <c r="L381" i="17"/>
  <c r="O381" i="17" s="1"/>
  <c r="L377" i="17"/>
  <c r="Q728" i="17"/>
  <c r="L602" i="17"/>
  <c r="O602" i="17" s="1"/>
  <c r="L601" i="17"/>
  <c r="O604" i="17"/>
  <c r="J456" i="17"/>
  <c r="K456" i="17" s="1"/>
  <c r="K457" i="17"/>
  <c r="L120" i="13"/>
  <c r="O120" i="13" s="1"/>
  <c r="K782" i="15"/>
  <c r="J351" i="15"/>
  <c r="P178" i="15"/>
  <c r="P75" i="15"/>
  <c r="K782" i="16"/>
  <c r="K779" i="16"/>
  <c r="R731" i="17"/>
  <c r="U731" i="17" s="1"/>
  <c r="R730" i="17"/>
  <c r="U733" i="17"/>
  <c r="Q616" i="17"/>
  <c r="U600" i="17"/>
  <c r="P518" i="17"/>
  <c r="M515" i="17"/>
  <c r="M516" i="17"/>
  <c r="P516" i="17" s="1"/>
  <c r="P498" i="17"/>
  <c r="M496" i="17"/>
  <c r="P496" i="17" s="1"/>
  <c r="O414" i="17"/>
  <c r="K781" i="16"/>
  <c r="K689" i="16"/>
  <c r="L540" i="16"/>
  <c r="O540" i="16" s="1"/>
  <c r="J503" i="16"/>
  <c r="J492" i="16" s="1"/>
  <c r="S496" i="16"/>
  <c r="U377" i="16"/>
  <c r="L336" i="16"/>
  <c r="O336" i="16" s="1"/>
  <c r="L284" i="16"/>
  <c r="L282" i="16" s="1"/>
  <c r="N46" i="16"/>
  <c r="N44" i="16" s="1"/>
  <c r="Q763" i="17"/>
  <c r="T763" i="17" s="1"/>
  <c r="K703" i="17"/>
  <c r="R693" i="17"/>
  <c r="N690" i="17"/>
  <c r="K678" i="17"/>
  <c r="T647" i="17"/>
  <c r="U621" i="17"/>
  <c r="S619" i="17"/>
  <c r="L578" i="17"/>
  <c r="O578" i="17" s="1"/>
  <c r="Q513" i="17"/>
  <c r="T513" i="17" s="1"/>
  <c r="T495" i="17"/>
  <c r="L495" i="17"/>
  <c r="O495" i="17" s="1"/>
  <c r="S413" i="17"/>
  <c r="T413" i="17" s="1"/>
  <c r="L392" i="17"/>
  <c r="O392" i="17" s="1"/>
  <c r="O393" i="17"/>
  <c r="U380" i="17"/>
  <c r="R378" i="17"/>
  <c r="R377" i="17"/>
  <c r="U377" i="17" s="1"/>
  <c r="P364" i="17"/>
  <c r="M362" i="17"/>
  <c r="P362" i="17" s="1"/>
  <c r="K703" i="16"/>
  <c r="T607" i="16"/>
  <c r="K503" i="16"/>
  <c r="L377" i="16"/>
  <c r="O377" i="16" s="1"/>
  <c r="N358" i="16"/>
  <c r="N356" i="16" s="1"/>
  <c r="P271" i="16"/>
  <c r="R188" i="16"/>
  <c r="R186" i="16" s="1"/>
  <c r="L96" i="16"/>
  <c r="O96" i="16" s="1"/>
  <c r="I93" i="16"/>
  <c r="K93" i="16" s="1"/>
  <c r="U80" i="16"/>
  <c r="L78" i="16"/>
  <c r="O78" i="16" s="1"/>
  <c r="P75" i="16"/>
  <c r="S730" i="17"/>
  <c r="T730" i="17" s="1"/>
  <c r="K632" i="17"/>
  <c r="T621" i="17"/>
  <c r="Q602" i="17"/>
  <c r="T602" i="17" s="1"/>
  <c r="M601" i="17"/>
  <c r="O494" i="17"/>
  <c r="T415" i="17"/>
  <c r="Q395" i="17"/>
  <c r="T395" i="17" s="1"/>
  <c r="Q394" i="17"/>
  <c r="T397" i="17"/>
  <c r="K344" i="17"/>
  <c r="I332" i="17"/>
  <c r="K276" i="17"/>
  <c r="I265" i="17"/>
  <c r="K265" i="17" s="1"/>
  <c r="O174" i="17"/>
  <c r="R644" i="17"/>
  <c r="U647" i="17"/>
  <c r="O539" i="17"/>
  <c r="L537" i="17"/>
  <c r="O537" i="17" s="1"/>
  <c r="Q534" i="17"/>
  <c r="T534" i="17" s="1"/>
  <c r="T535" i="17"/>
  <c r="P501" i="17"/>
  <c r="M499" i="17"/>
  <c r="P499" i="17" s="1"/>
  <c r="U494" i="17"/>
  <c r="U393" i="17"/>
  <c r="S375" i="17"/>
  <c r="P338" i="17"/>
  <c r="N335" i="17"/>
  <c r="N333" i="17" s="1"/>
  <c r="N336" i="17"/>
  <c r="L326" i="17"/>
  <c r="O326" i="17" s="1"/>
  <c r="O328" i="17"/>
  <c r="K783" i="16"/>
  <c r="K780" i="16"/>
  <c r="T604" i="16"/>
  <c r="R395" i="16"/>
  <c r="U395" i="16" s="1"/>
  <c r="K346" i="16"/>
  <c r="O341" i="16"/>
  <c r="N269" i="16"/>
  <c r="N188" i="16"/>
  <c r="N186" i="16" s="1"/>
  <c r="T162" i="16"/>
  <c r="O162" i="16"/>
  <c r="K127" i="16"/>
  <c r="U765" i="17"/>
  <c r="T733" i="17"/>
  <c r="L616" i="17"/>
  <c r="O616" i="17" s="1"/>
  <c r="U604" i="17"/>
  <c r="R601" i="17"/>
  <c r="U601" i="17" s="1"/>
  <c r="M579" i="17"/>
  <c r="P579" i="17" s="1"/>
  <c r="R576" i="17"/>
  <c r="U576" i="17" s="1"/>
  <c r="M561" i="17"/>
  <c r="P561" i="17" s="1"/>
  <c r="M557" i="17"/>
  <c r="P557" i="17" s="1"/>
  <c r="M537" i="17"/>
  <c r="P537" i="17" s="1"/>
  <c r="M536" i="17"/>
  <c r="P521" i="17"/>
  <c r="T514" i="17"/>
  <c r="R513" i="17"/>
  <c r="U513" i="17" s="1"/>
  <c r="O498" i="17"/>
  <c r="S175" i="17"/>
  <c r="S173" i="17" s="1"/>
  <c r="S176" i="17"/>
  <c r="L335" i="16"/>
  <c r="L333" i="16" s="1"/>
  <c r="T78" i="16"/>
  <c r="T765" i="17"/>
  <c r="U695" i="17"/>
  <c r="P691" i="17"/>
  <c r="N642" i="17"/>
  <c r="U617" i="17"/>
  <c r="T604" i="17"/>
  <c r="L557" i="17"/>
  <c r="O557" i="17" s="1"/>
  <c r="T557" i="17"/>
  <c r="N557" i="17"/>
  <c r="N555" i="17" s="1"/>
  <c r="L536" i="17"/>
  <c r="O536" i="17" s="1"/>
  <c r="O535" i="17"/>
  <c r="N515" i="17"/>
  <c r="N513" i="17" s="1"/>
  <c r="N496" i="17"/>
  <c r="K440" i="17"/>
  <c r="I423" i="17"/>
  <c r="P414" i="17"/>
  <c r="O380" i="17"/>
  <c r="L378" i="17"/>
  <c r="O378" i="17" s="1"/>
  <c r="R320" i="17"/>
  <c r="U320" i="17" s="1"/>
  <c r="U322" i="17"/>
  <c r="J280" i="17"/>
  <c r="K280" i="17" s="1"/>
  <c r="K293" i="17"/>
  <c r="P287" i="17"/>
  <c r="M284" i="17"/>
  <c r="M269" i="17"/>
  <c r="P271" i="17"/>
  <c r="S394" i="17"/>
  <c r="S392" i="17" s="1"/>
  <c r="K386" i="17"/>
  <c r="M381" i="17"/>
  <c r="P381" i="17" s="1"/>
  <c r="S378" i="17"/>
  <c r="M378" i="17"/>
  <c r="P378" i="17" s="1"/>
  <c r="U376" i="17"/>
  <c r="O376" i="17"/>
  <c r="O361" i="17"/>
  <c r="J343" i="17"/>
  <c r="U334" i="17"/>
  <c r="O334" i="17"/>
  <c r="O325" i="17"/>
  <c r="O308" i="17"/>
  <c r="N306" i="17"/>
  <c r="O306" i="17" s="1"/>
  <c r="T271" i="17"/>
  <c r="S269" i="17"/>
  <c r="T269" i="17" s="1"/>
  <c r="O271" i="17"/>
  <c r="L269" i="17"/>
  <c r="L268" i="17"/>
  <c r="L254" i="17"/>
  <c r="O254" i="17" s="1"/>
  <c r="U187" i="17"/>
  <c r="I156" i="17"/>
  <c r="K156" i="17" s="1"/>
  <c r="S97" i="17"/>
  <c r="S96" i="17"/>
  <c r="S94" i="17" s="1"/>
  <c r="U397" i="17"/>
  <c r="R394" i="17"/>
  <c r="U394" i="17" s="1"/>
  <c r="P393" i="17"/>
  <c r="P380" i="17"/>
  <c r="T376" i="17"/>
  <c r="O338" i="17"/>
  <c r="T334" i="17"/>
  <c r="N322" i="17"/>
  <c r="N320" i="17" s="1"/>
  <c r="P321" i="17"/>
  <c r="K314" i="17"/>
  <c r="M309" i="17"/>
  <c r="P309" i="17" s="1"/>
  <c r="S305" i="17"/>
  <c r="S303" i="17" s="1"/>
  <c r="U283" i="17"/>
  <c r="U271" i="17"/>
  <c r="R269" i="17"/>
  <c r="O191" i="17"/>
  <c r="N189" i="17"/>
  <c r="O189" i="17" s="1"/>
  <c r="P73" i="17"/>
  <c r="O25" i="17"/>
  <c r="L19" i="17"/>
  <c r="L322" i="17"/>
  <c r="S306" i="17"/>
  <c r="U306" i="17" s="1"/>
  <c r="T304" i="17"/>
  <c r="P274" i="17"/>
  <c r="P162" i="17"/>
  <c r="M160" i="17"/>
  <c r="P160" i="17" s="1"/>
  <c r="M159" i="17"/>
  <c r="M157" i="17" s="1"/>
  <c r="T267" i="17"/>
  <c r="M175" i="17"/>
  <c r="P178" i="17"/>
  <c r="O287" i="17"/>
  <c r="N285" i="17"/>
  <c r="O285" i="17" s="1"/>
  <c r="Q282" i="17"/>
  <c r="T282" i="17" s="1"/>
  <c r="T283" i="17"/>
  <c r="U268" i="17"/>
  <c r="R266" i="17"/>
  <c r="U266" i="17" s="1"/>
  <c r="K230" i="17"/>
  <c r="O187" i="17"/>
  <c r="P125" i="17"/>
  <c r="M123" i="17"/>
  <c r="P123" i="17" s="1"/>
  <c r="P60" i="17"/>
  <c r="U22" i="17"/>
  <c r="R19" i="17"/>
  <c r="S188" i="17"/>
  <c r="S186" i="17" s="1"/>
  <c r="M188" i="17"/>
  <c r="U158" i="17"/>
  <c r="U140" i="17"/>
  <c r="T118" i="17"/>
  <c r="R94" i="17"/>
  <c r="U94" i="17" s="1"/>
  <c r="P325" i="17"/>
  <c r="R305" i="17"/>
  <c r="L305" i="17"/>
  <c r="L284" i="17"/>
  <c r="Q268" i="17"/>
  <c r="T268" i="17" s="1"/>
  <c r="R188" i="17"/>
  <c r="L188" i="17"/>
  <c r="P187" i="17"/>
  <c r="N175" i="17"/>
  <c r="S159" i="17"/>
  <c r="S157" i="17" s="1"/>
  <c r="K153" i="17"/>
  <c r="I138" i="17"/>
  <c r="K138" i="17" s="1"/>
  <c r="O144" i="17"/>
  <c r="P144" i="17"/>
  <c r="N142" i="17"/>
  <c r="P142" i="17" s="1"/>
  <c r="Q94" i="17"/>
  <c r="T94" i="17" s="1"/>
  <c r="T95" i="17"/>
  <c r="S26" i="17"/>
  <c r="S24" i="17" s="1"/>
  <c r="O67" i="17"/>
  <c r="L65" i="17"/>
  <c r="O65" i="17" s="1"/>
  <c r="O52" i="17"/>
  <c r="L26" i="17"/>
  <c r="L24" i="17" s="1"/>
  <c r="L50" i="17"/>
  <c r="O50" i="17" s="1"/>
  <c r="U25" i="17"/>
  <c r="M192" i="17"/>
  <c r="P192" i="17" s="1"/>
  <c r="S189" i="17"/>
  <c r="U189" i="17" s="1"/>
  <c r="M189" i="17"/>
  <c r="Q188" i="17"/>
  <c r="R173" i="17"/>
  <c r="U173" i="17" s="1"/>
  <c r="M163" i="17"/>
  <c r="P163" i="17" s="1"/>
  <c r="S119" i="17"/>
  <c r="S117" i="17" s="1"/>
  <c r="R26" i="17"/>
  <c r="U26" i="17" s="1"/>
  <c r="N23" i="17"/>
  <c r="P19" i="17"/>
  <c r="T187" i="17"/>
  <c r="O178" i="17"/>
  <c r="N159" i="17"/>
  <c r="N157" i="17" s="1"/>
  <c r="P158" i="17"/>
  <c r="N141" i="17"/>
  <c r="P122" i="17"/>
  <c r="M120" i="17"/>
  <c r="P120" i="17" s="1"/>
  <c r="M119" i="17"/>
  <c r="P119" i="17" s="1"/>
  <c r="P102" i="17"/>
  <c r="M100" i="17"/>
  <c r="P100" i="17" s="1"/>
  <c r="Q26" i="17"/>
  <c r="O22" i="17"/>
  <c r="O158" i="17"/>
  <c r="O140" i="17"/>
  <c r="T122" i="17"/>
  <c r="U122" i="17"/>
  <c r="S120" i="17"/>
  <c r="U120" i="17" s="1"/>
  <c r="K108" i="17"/>
  <c r="I92" i="17"/>
  <c r="K92" i="17" s="1"/>
  <c r="P99" i="17"/>
  <c r="M97" i="17"/>
  <c r="P97" i="17" s="1"/>
  <c r="M96" i="17"/>
  <c r="P96" i="17" s="1"/>
  <c r="P45" i="17"/>
  <c r="N26" i="17"/>
  <c r="N24" i="17" s="1"/>
  <c r="K154" i="17"/>
  <c r="N120" i="17"/>
  <c r="P118" i="17"/>
  <c r="N97" i="17"/>
  <c r="P95" i="17"/>
  <c r="T80" i="17"/>
  <c r="T77" i="17"/>
  <c r="M65" i="17"/>
  <c r="P65" i="17" s="1"/>
  <c r="M50" i="17"/>
  <c r="P50" i="17" s="1"/>
  <c r="M26" i="17"/>
  <c r="S23" i="17"/>
  <c r="S21" i="17" s="1"/>
  <c r="M23" i="17"/>
  <c r="M21" i="17" s="1"/>
  <c r="P140" i="17"/>
  <c r="U118" i="17"/>
  <c r="O118" i="17"/>
  <c r="U95" i="17"/>
  <c r="O95" i="17"/>
  <c r="K85" i="17"/>
  <c r="M46" i="17"/>
  <c r="P25" i="17"/>
  <c r="R23" i="17"/>
  <c r="R21" i="17" s="1"/>
  <c r="L23" i="17"/>
  <c r="P22" i="17"/>
  <c r="Q23" i="17"/>
  <c r="Q692" i="16"/>
  <c r="Q690" i="16" s="1"/>
  <c r="R618" i="16"/>
  <c r="R616" i="16" s="1"/>
  <c r="N415" i="16"/>
  <c r="N413" i="16" s="1"/>
  <c r="I281" i="16"/>
  <c r="K281" i="16" s="1"/>
  <c r="L235" i="16"/>
  <c r="L97" i="16"/>
  <c r="O97" i="16" s="1"/>
  <c r="L159" i="14"/>
  <c r="O159" i="14" s="1"/>
  <c r="K784" i="15"/>
  <c r="K778" i="15"/>
  <c r="T730" i="15"/>
  <c r="K709" i="15"/>
  <c r="M578" i="15"/>
  <c r="M576" i="15" s="1"/>
  <c r="P576" i="15" s="1"/>
  <c r="M284" i="15"/>
  <c r="M282" i="15" s="1"/>
  <c r="O75" i="15"/>
  <c r="K784" i="16"/>
  <c r="S730" i="16"/>
  <c r="S728" i="16" s="1"/>
  <c r="J701" i="16"/>
  <c r="Q618" i="16"/>
  <c r="Q616" i="16" s="1"/>
  <c r="M601" i="16"/>
  <c r="P601" i="16" s="1"/>
  <c r="N578" i="16"/>
  <c r="N576" i="16" s="1"/>
  <c r="O539" i="16"/>
  <c r="K504" i="16"/>
  <c r="M495" i="16"/>
  <c r="P495" i="16" s="1"/>
  <c r="R495" i="16"/>
  <c r="R493" i="16" s="1"/>
  <c r="U493" i="16" s="1"/>
  <c r="L419" i="16"/>
  <c r="O419" i="16" s="1"/>
  <c r="R415" i="16"/>
  <c r="U415" i="16" s="1"/>
  <c r="N377" i="16"/>
  <c r="N375" i="16" s="1"/>
  <c r="P361" i="16"/>
  <c r="M358" i="16"/>
  <c r="K344" i="16"/>
  <c r="P325" i="16"/>
  <c r="Q305" i="16"/>
  <c r="T305" i="16" s="1"/>
  <c r="K183" i="16"/>
  <c r="O147" i="16"/>
  <c r="R74" i="16"/>
  <c r="R72" i="16" s="1"/>
  <c r="L74" i="16"/>
  <c r="L72" i="16" s="1"/>
  <c r="O64" i="16"/>
  <c r="R192" i="13"/>
  <c r="U192" i="13" s="1"/>
  <c r="S394" i="13"/>
  <c r="S392" i="13" s="1"/>
  <c r="L284" i="14"/>
  <c r="L282" i="14" s="1"/>
  <c r="P383" i="15"/>
  <c r="L235" i="15"/>
  <c r="L222" i="15"/>
  <c r="O222" i="15" s="1"/>
  <c r="L601" i="16"/>
  <c r="N536" i="16"/>
  <c r="N534" i="16" s="1"/>
  <c r="N516" i="16"/>
  <c r="J343" i="16"/>
  <c r="L254" i="16"/>
  <c r="O254" i="16" s="1"/>
  <c r="L233" i="16"/>
  <c r="L203" i="16"/>
  <c r="O203" i="16" s="1"/>
  <c r="Q141" i="16"/>
  <c r="S119" i="16"/>
  <c r="S117" i="16" s="1"/>
  <c r="Q74" i="16"/>
  <c r="Q72" i="16" s="1"/>
  <c r="N61" i="16"/>
  <c r="N59" i="16" s="1"/>
  <c r="L46" i="16"/>
  <c r="R188" i="13"/>
  <c r="R186" i="13" s="1"/>
  <c r="J351" i="13"/>
  <c r="P501" i="14"/>
  <c r="K705" i="15"/>
  <c r="I374" i="15"/>
  <c r="N175" i="15"/>
  <c r="N173" i="15" s="1"/>
  <c r="K153" i="15"/>
  <c r="T125" i="15"/>
  <c r="L578" i="16"/>
  <c r="L576" i="16" s="1"/>
  <c r="M536" i="16"/>
  <c r="P536" i="16" s="1"/>
  <c r="P521" i="16"/>
  <c r="O501" i="16"/>
  <c r="R496" i="16"/>
  <c r="U496" i="16" s="1"/>
  <c r="L495" i="16"/>
  <c r="L493" i="16" s="1"/>
  <c r="O493" i="16" s="1"/>
  <c r="R416" i="16"/>
  <c r="L381" i="16"/>
  <c r="O381" i="16" s="1"/>
  <c r="M377" i="16"/>
  <c r="S378" i="16"/>
  <c r="O364" i="16"/>
  <c r="P359" i="16"/>
  <c r="K280" i="16"/>
  <c r="P290" i="16"/>
  <c r="K195" i="16"/>
  <c r="M188" i="16"/>
  <c r="M186" i="16" s="1"/>
  <c r="K152" i="16"/>
  <c r="T147" i="16"/>
  <c r="O144" i="16"/>
  <c r="O99" i="16"/>
  <c r="P77" i="16"/>
  <c r="P62" i="16"/>
  <c r="L254" i="13"/>
  <c r="O254" i="13" s="1"/>
  <c r="P311" i="15"/>
  <c r="L175" i="15"/>
  <c r="L173" i="15" s="1"/>
  <c r="O77" i="15"/>
  <c r="R601" i="16"/>
  <c r="U601" i="16" s="1"/>
  <c r="L602" i="16"/>
  <c r="L582" i="16"/>
  <c r="O582" i="16" s="1"/>
  <c r="N416" i="16"/>
  <c r="O416" i="16" s="1"/>
  <c r="R378" i="16"/>
  <c r="K371" i="16"/>
  <c r="M309" i="16"/>
  <c r="P309" i="16" s="1"/>
  <c r="I302" i="16"/>
  <c r="K302" i="16" s="1"/>
  <c r="P274" i="16"/>
  <c r="I238" i="16"/>
  <c r="K238" i="16" s="1"/>
  <c r="M192" i="16"/>
  <c r="P192" i="16" s="1"/>
  <c r="N189" i="16"/>
  <c r="S175" i="16"/>
  <c r="S173" i="16" s="1"/>
  <c r="P49" i="16"/>
  <c r="N47" i="16"/>
  <c r="P47" i="16" s="1"/>
  <c r="P162" i="14"/>
  <c r="K774" i="15"/>
  <c r="K678" i="15"/>
  <c r="P421" i="15"/>
  <c r="K371" i="15"/>
  <c r="Q188" i="15"/>
  <c r="Q186" i="15" s="1"/>
  <c r="Q601" i="16"/>
  <c r="T601" i="16" s="1"/>
  <c r="L558" i="16"/>
  <c r="O558" i="16" s="1"/>
  <c r="O498" i="16"/>
  <c r="M378" i="16"/>
  <c r="P378" i="16" s="1"/>
  <c r="R375" i="16"/>
  <c r="U375" i="16" s="1"/>
  <c r="L358" i="16"/>
  <c r="T308" i="16"/>
  <c r="M306" i="16"/>
  <c r="P306" i="16" s="1"/>
  <c r="O271" i="16"/>
  <c r="L269" i="16"/>
  <c r="L236" i="16"/>
  <c r="K220" i="16"/>
  <c r="K198" i="16"/>
  <c r="S188" i="16"/>
  <c r="S186" i="16" s="1"/>
  <c r="M189" i="16"/>
  <c r="T178" i="16"/>
  <c r="T144" i="16"/>
  <c r="Q142" i="16"/>
  <c r="T142" i="16" s="1"/>
  <c r="T125" i="16"/>
  <c r="T99" i="16"/>
  <c r="U77" i="16"/>
  <c r="N74" i="16"/>
  <c r="N72" i="16" s="1"/>
  <c r="O49" i="16"/>
  <c r="L47" i="16"/>
  <c r="L46" i="15"/>
  <c r="L44" i="15" s="1"/>
  <c r="T729" i="16"/>
  <c r="S416" i="13"/>
  <c r="K365" i="14"/>
  <c r="K369" i="15"/>
  <c r="N141" i="15"/>
  <c r="N139" i="15" s="1"/>
  <c r="R763" i="16"/>
  <c r="U763" i="16" s="1"/>
  <c r="R762" i="16"/>
  <c r="R760" i="16" s="1"/>
  <c r="U765" i="16"/>
  <c r="N760" i="16"/>
  <c r="I332" i="16"/>
  <c r="O304" i="16"/>
  <c r="S120" i="13"/>
  <c r="T120" i="13" s="1"/>
  <c r="S157" i="13"/>
  <c r="I374" i="13"/>
  <c r="K374" i="13" s="1"/>
  <c r="M579" i="13"/>
  <c r="P579" i="13" s="1"/>
  <c r="P539" i="14"/>
  <c r="P285" i="14"/>
  <c r="U144" i="14"/>
  <c r="K783" i="15"/>
  <c r="K780" i="15"/>
  <c r="K681" i="15"/>
  <c r="K673" i="15"/>
  <c r="O421" i="15"/>
  <c r="T378" i="15"/>
  <c r="K368" i="15"/>
  <c r="O364" i="15"/>
  <c r="T305" i="15"/>
  <c r="O287" i="15"/>
  <c r="U268" i="15"/>
  <c r="L214" i="15"/>
  <c r="O214" i="15" s="1"/>
  <c r="P181" i="15"/>
  <c r="P80" i="15"/>
  <c r="Q762" i="16"/>
  <c r="T765" i="16"/>
  <c r="M760" i="16"/>
  <c r="P760" i="16" s="1"/>
  <c r="P761" i="16"/>
  <c r="Q731" i="16"/>
  <c r="T731" i="16" s="1"/>
  <c r="Q730" i="16"/>
  <c r="T733" i="16"/>
  <c r="M728" i="16"/>
  <c r="P728" i="16" s="1"/>
  <c r="K727" i="16"/>
  <c r="Q714" i="16"/>
  <c r="T714" i="16" s="1"/>
  <c r="T715" i="16"/>
  <c r="O600" i="16"/>
  <c r="P581" i="16"/>
  <c r="M579" i="16"/>
  <c r="P579" i="16" s="1"/>
  <c r="S534" i="16"/>
  <c r="Q513" i="16"/>
  <c r="T513" i="16" s="1"/>
  <c r="T514" i="16"/>
  <c r="N495" i="16"/>
  <c r="N493" i="16" s="1"/>
  <c r="P494" i="16"/>
  <c r="P418" i="16"/>
  <c r="M415" i="16"/>
  <c r="M416" i="16"/>
  <c r="P328" i="16"/>
  <c r="M326" i="16"/>
  <c r="P326" i="16" s="1"/>
  <c r="R303" i="16"/>
  <c r="U303" i="16" s="1"/>
  <c r="U304" i="16"/>
  <c r="P52" i="16"/>
  <c r="M26" i="16"/>
  <c r="P26" i="16" s="1"/>
  <c r="M50" i="16"/>
  <c r="P50" i="16" s="1"/>
  <c r="L78" i="15"/>
  <c r="O78" i="15" s="1"/>
  <c r="U621" i="16"/>
  <c r="S618" i="16"/>
  <c r="S616" i="16" s="1"/>
  <c r="S601" i="16"/>
  <c r="S599" i="16" s="1"/>
  <c r="Q377" i="16"/>
  <c r="T380" i="16"/>
  <c r="M690" i="16"/>
  <c r="P690" i="16" s="1"/>
  <c r="P691" i="16"/>
  <c r="P563" i="16"/>
  <c r="M561" i="16"/>
  <c r="P561" i="16" s="1"/>
  <c r="T380" i="13"/>
  <c r="P418" i="13"/>
  <c r="Q601" i="13"/>
  <c r="T601" i="13" s="1"/>
  <c r="S645" i="14"/>
  <c r="K785" i="15"/>
  <c r="K630" i="15"/>
  <c r="P607" i="15"/>
  <c r="M516" i="15"/>
  <c r="P516" i="15" s="1"/>
  <c r="P336" i="15"/>
  <c r="N305" i="15"/>
  <c r="N303" i="15" s="1"/>
  <c r="O290" i="15"/>
  <c r="K152" i="15"/>
  <c r="L96" i="15"/>
  <c r="L94" i="15" s="1"/>
  <c r="T763" i="16"/>
  <c r="L760" i="16"/>
  <c r="O760" i="16" s="1"/>
  <c r="O761" i="16"/>
  <c r="L728" i="16"/>
  <c r="O728" i="16" s="1"/>
  <c r="O729" i="16"/>
  <c r="N714" i="16"/>
  <c r="S693" i="16"/>
  <c r="T693" i="16" s="1"/>
  <c r="T695" i="16"/>
  <c r="S692" i="16"/>
  <c r="S690" i="16" s="1"/>
  <c r="S619" i="16"/>
  <c r="T619" i="16" s="1"/>
  <c r="O577" i="16"/>
  <c r="Q555" i="16"/>
  <c r="T555" i="16" s="1"/>
  <c r="R534" i="16"/>
  <c r="U534" i="16" s="1"/>
  <c r="U535" i="16"/>
  <c r="S493" i="16"/>
  <c r="M335" i="16"/>
  <c r="O308" i="16"/>
  <c r="L306" i="16"/>
  <c r="O306" i="16" s="1"/>
  <c r="L305" i="16"/>
  <c r="O305" i="16" s="1"/>
  <c r="T304" i="16"/>
  <c r="P125" i="16"/>
  <c r="M123" i="16"/>
  <c r="P123" i="16" s="1"/>
  <c r="Q576" i="16"/>
  <c r="T576" i="16" s="1"/>
  <c r="T577" i="16"/>
  <c r="P539" i="16"/>
  <c r="M537" i="16"/>
  <c r="P537" i="16" s="1"/>
  <c r="L269" i="15"/>
  <c r="U122" i="15"/>
  <c r="R644" i="16"/>
  <c r="U647" i="16"/>
  <c r="O581" i="16"/>
  <c r="N579" i="16"/>
  <c r="O579" i="16" s="1"/>
  <c r="K346" i="14"/>
  <c r="L288" i="14"/>
  <c r="O288" i="14" s="1"/>
  <c r="P271" i="14"/>
  <c r="K707" i="15"/>
  <c r="K676" i="15"/>
  <c r="K629" i="15"/>
  <c r="P539" i="15"/>
  <c r="K441" i="15"/>
  <c r="U418" i="15"/>
  <c r="S306" i="15"/>
  <c r="U306" i="15" s="1"/>
  <c r="T194" i="15"/>
  <c r="I93" i="15"/>
  <c r="K93" i="15" s="1"/>
  <c r="U80" i="15"/>
  <c r="N74" i="15"/>
  <c r="N72" i="15" s="1"/>
  <c r="I758" i="16"/>
  <c r="K758" i="16" s="1"/>
  <c r="K772" i="16"/>
  <c r="M714" i="16"/>
  <c r="P714" i="16" s="1"/>
  <c r="R692" i="16"/>
  <c r="U695" i="16"/>
  <c r="M642" i="16"/>
  <c r="P642" i="16" s="1"/>
  <c r="P643" i="16"/>
  <c r="O604" i="16"/>
  <c r="N602" i="16"/>
  <c r="U600" i="16"/>
  <c r="P557" i="16"/>
  <c r="Q534" i="16"/>
  <c r="T534" i="16" s="1"/>
  <c r="T535" i="16"/>
  <c r="K441" i="16"/>
  <c r="I136" i="15"/>
  <c r="K136" i="15" s="1"/>
  <c r="S645" i="16"/>
  <c r="U645" i="16" s="1"/>
  <c r="T647" i="16"/>
  <c r="S644" i="16"/>
  <c r="O518" i="16"/>
  <c r="L516" i="16"/>
  <c r="O516" i="16" s="1"/>
  <c r="Q395" i="16"/>
  <c r="T395" i="16" s="1"/>
  <c r="T397" i="16"/>
  <c r="L323" i="16"/>
  <c r="O323" i="16" s="1"/>
  <c r="L322" i="16"/>
  <c r="O325" i="16"/>
  <c r="O194" i="16"/>
  <c r="L192" i="16"/>
  <c r="O192" i="16" s="1"/>
  <c r="R714" i="16"/>
  <c r="U714" i="16" s="1"/>
  <c r="U715" i="16"/>
  <c r="O535" i="16"/>
  <c r="M339" i="16"/>
  <c r="P339" i="16" s="1"/>
  <c r="P341" i="16"/>
  <c r="L416" i="13"/>
  <c r="O416" i="13" s="1"/>
  <c r="K774" i="13"/>
  <c r="U621" i="14"/>
  <c r="K293" i="14"/>
  <c r="O65" i="14"/>
  <c r="U765" i="15"/>
  <c r="O361" i="15"/>
  <c r="P341" i="15"/>
  <c r="L339" i="15"/>
  <c r="O339" i="15" s="1"/>
  <c r="P271" i="15"/>
  <c r="K209" i="15"/>
  <c r="O162" i="15"/>
  <c r="S157" i="15"/>
  <c r="P77" i="15"/>
  <c r="P47" i="15"/>
  <c r="U761" i="16"/>
  <c r="U729" i="16"/>
  <c r="L714" i="16"/>
  <c r="O714" i="16" s="1"/>
  <c r="O715" i="16"/>
  <c r="K632" i="16"/>
  <c r="T621" i="16"/>
  <c r="P607" i="16"/>
  <c r="M605" i="16"/>
  <c r="P605" i="16" s="1"/>
  <c r="P604" i="16"/>
  <c r="M602" i="16"/>
  <c r="P602" i="16" s="1"/>
  <c r="T600" i="16"/>
  <c r="R576" i="16"/>
  <c r="U576" i="16" s="1"/>
  <c r="U577" i="16"/>
  <c r="N557" i="16"/>
  <c r="N555" i="16" s="1"/>
  <c r="P518" i="16"/>
  <c r="M516" i="16"/>
  <c r="P516" i="16" s="1"/>
  <c r="L515" i="16"/>
  <c r="O515" i="16" s="1"/>
  <c r="K457" i="16"/>
  <c r="J456" i="16"/>
  <c r="K456" i="16" s="1"/>
  <c r="K423" i="16"/>
  <c r="I412" i="16"/>
  <c r="K412" i="16" s="1"/>
  <c r="Q378" i="16"/>
  <c r="U322" i="16"/>
  <c r="R320" i="16"/>
  <c r="U320" i="16" s="1"/>
  <c r="U305" i="16"/>
  <c r="S762" i="16"/>
  <c r="S760" i="16" s="1"/>
  <c r="I759" i="16"/>
  <c r="K759" i="16" s="1"/>
  <c r="U733" i="16"/>
  <c r="P729" i="16"/>
  <c r="P715" i="16"/>
  <c r="K707" i="16"/>
  <c r="K630" i="16"/>
  <c r="K626" i="16"/>
  <c r="P600" i="16"/>
  <c r="P577" i="16"/>
  <c r="O560" i="16"/>
  <c r="P535" i="16"/>
  <c r="U514" i="16"/>
  <c r="O514" i="16"/>
  <c r="K440" i="16"/>
  <c r="O418" i="16"/>
  <c r="P394" i="16"/>
  <c r="K386" i="16"/>
  <c r="U380" i="16"/>
  <c r="O380" i="16"/>
  <c r="U376" i="16"/>
  <c r="R356" i="16"/>
  <c r="U356" i="16" s="1"/>
  <c r="J351" i="16"/>
  <c r="T334" i="16"/>
  <c r="R333" i="16"/>
  <c r="U333" i="16" s="1"/>
  <c r="U308" i="16"/>
  <c r="R306" i="16"/>
  <c r="N305" i="16"/>
  <c r="N303" i="16" s="1"/>
  <c r="R282" i="16"/>
  <c r="U282" i="16" s="1"/>
  <c r="U283" i="16"/>
  <c r="S268" i="16"/>
  <c r="S266" i="16" s="1"/>
  <c r="K230" i="16"/>
  <c r="L188" i="16"/>
  <c r="K87" i="16"/>
  <c r="I83" i="16"/>
  <c r="Q26" i="16"/>
  <c r="K629" i="16"/>
  <c r="S395" i="16"/>
  <c r="L359" i="16"/>
  <c r="O359" i="16" s="1"/>
  <c r="Q356" i="16"/>
  <c r="T356" i="16" s="1"/>
  <c r="P338" i="16"/>
  <c r="M305" i="16"/>
  <c r="M268" i="16"/>
  <c r="L243" i="16"/>
  <c r="I221" i="16"/>
  <c r="K221" i="16" s="1"/>
  <c r="K229" i="16"/>
  <c r="P19" i="16"/>
  <c r="I615" i="16"/>
  <c r="K615" i="16" s="1"/>
  <c r="Q392" i="16"/>
  <c r="T392" i="16" s="1"/>
  <c r="O311" i="16"/>
  <c r="L309" i="16"/>
  <c r="O309" i="16" s="1"/>
  <c r="N284" i="16"/>
  <c r="N282" i="16" s="1"/>
  <c r="N285" i="16"/>
  <c r="P285" i="16" s="1"/>
  <c r="K276" i="16"/>
  <c r="I265" i="16"/>
  <c r="K265" i="16" s="1"/>
  <c r="O274" i="16"/>
  <c r="L272" i="16"/>
  <c r="O272" i="16" s="1"/>
  <c r="S97" i="16"/>
  <c r="S96" i="16"/>
  <c r="S94" i="16" s="1"/>
  <c r="U25" i="16"/>
  <c r="O19" i="16"/>
  <c r="K425" i="16"/>
  <c r="L415" i="16"/>
  <c r="P357" i="16"/>
  <c r="M336" i="16"/>
  <c r="P336" i="16" s="1"/>
  <c r="N322" i="16"/>
  <c r="N320" i="16" s="1"/>
  <c r="P287" i="16"/>
  <c r="M284" i="16"/>
  <c r="U271" i="16"/>
  <c r="R268" i="16"/>
  <c r="R269" i="16"/>
  <c r="U269" i="16" s="1"/>
  <c r="L268" i="16"/>
  <c r="K242" i="16"/>
  <c r="I202" i="16"/>
  <c r="K202" i="16" s="1"/>
  <c r="K209" i="16"/>
  <c r="T191" i="16"/>
  <c r="Q189" i="16"/>
  <c r="T189" i="16" s="1"/>
  <c r="Q188" i="16"/>
  <c r="O174" i="16"/>
  <c r="N120" i="16"/>
  <c r="N119" i="16"/>
  <c r="N117" i="16" s="1"/>
  <c r="K368" i="16"/>
  <c r="J332" i="16"/>
  <c r="N335" i="16"/>
  <c r="N333" i="16" s="1"/>
  <c r="M322" i="16"/>
  <c r="S306" i="16"/>
  <c r="T306" i="16" s="1"/>
  <c r="O287" i="16"/>
  <c r="L285" i="16"/>
  <c r="Q282" i="16"/>
  <c r="T282" i="16" s="1"/>
  <c r="T283" i="16"/>
  <c r="M269" i="16"/>
  <c r="Q266" i="16"/>
  <c r="U140" i="16"/>
  <c r="I92" i="16"/>
  <c r="K92" i="16" s="1"/>
  <c r="K108" i="16"/>
  <c r="O95" i="16"/>
  <c r="P73" i="16"/>
  <c r="O52" i="16"/>
  <c r="L26" i="16"/>
  <c r="O26" i="16" s="1"/>
  <c r="L50" i="16"/>
  <c r="O50" i="16" s="1"/>
  <c r="U194" i="16"/>
  <c r="R192" i="16"/>
  <c r="U192" i="16" s="1"/>
  <c r="O191" i="16"/>
  <c r="L189" i="16"/>
  <c r="P178" i="16"/>
  <c r="M176" i="16"/>
  <c r="S160" i="16"/>
  <c r="S159" i="16"/>
  <c r="S157" i="16" s="1"/>
  <c r="O158" i="16"/>
  <c r="U22" i="16"/>
  <c r="T194" i="16"/>
  <c r="Q192" i="16"/>
  <c r="T192" i="16" s="1"/>
  <c r="P181" i="16"/>
  <c r="M179" i="16"/>
  <c r="P179" i="16" s="1"/>
  <c r="U158" i="16"/>
  <c r="P45" i="16"/>
  <c r="T271" i="16"/>
  <c r="Q269" i="16"/>
  <c r="T269" i="16" s="1"/>
  <c r="L222" i="16"/>
  <c r="O222" i="16" s="1"/>
  <c r="L214" i="16"/>
  <c r="O214" i="16" s="1"/>
  <c r="U191" i="16"/>
  <c r="R189" i="16"/>
  <c r="U189" i="16" s="1"/>
  <c r="O181" i="16"/>
  <c r="L179" i="16"/>
  <c r="O179" i="16" s="1"/>
  <c r="I168" i="16"/>
  <c r="K168" i="16" s="1"/>
  <c r="I169" i="16"/>
  <c r="K169" i="16" s="1"/>
  <c r="I156" i="16"/>
  <c r="K156" i="16" s="1"/>
  <c r="R26" i="16"/>
  <c r="R24" i="16" s="1"/>
  <c r="R19" i="16"/>
  <c r="P191" i="16"/>
  <c r="T187" i="16"/>
  <c r="U174" i="16"/>
  <c r="T158" i="16"/>
  <c r="P122" i="16"/>
  <c r="M120" i="16"/>
  <c r="P120" i="16" s="1"/>
  <c r="M119" i="16"/>
  <c r="O118" i="16"/>
  <c r="U95" i="16"/>
  <c r="T174" i="16"/>
  <c r="P140" i="16"/>
  <c r="T122" i="16"/>
  <c r="T95" i="16"/>
  <c r="I82" i="16"/>
  <c r="N26" i="16"/>
  <c r="N24" i="16" s="1"/>
  <c r="P25" i="16"/>
  <c r="N159" i="16"/>
  <c r="N157" i="16" s="1"/>
  <c r="N141" i="16"/>
  <c r="N139" i="16" s="1"/>
  <c r="O140" i="16"/>
  <c r="U118" i="16"/>
  <c r="P102" i="16"/>
  <c r="M100" i="16"/>
  <c r="P100" i="16" s="1"/>
  <c r="U75" i="16"/>
  <c r="P67" i="16"/>
  <c r="M65" i="16"/>
  <c r="P65" i="16" s="1"/>
  <c r="P60" i="16"/>
  <c r="O25" i="16"/>
  <c r="N23" i="16"/>
  <c r="P22" i="16"/>
  <c r="O178" i="16"/>
  <c r="N176" i="16"/>
  <c r="O176" i="16" s="1"/>
  <c r="N175" i="16"/>
  <c r="N173" i="16" s="1"/>
  <c r="P165" i="16"/>
  <c r="M163" i="16"/>
  <c r="P163" i="16" s="1"/>
  <c r="P162" i="16"/>
  <c r="M160" i="16"/>
  <c r="P160" i="16" s="1"/>
  <c r="M159" i="16"/>
  <c r="U122" i="16"/>
  <c r="T118" i="16"/>
  <c r="P99" i="16"/>
  <c r="M97" i="16"/>
  <c r="P97" i="16" s="1"/>
  <c r="N96" i="16"/>
  <c r="N94" i="16" s="1"/>
  <c r="U78" i="16"/>
  <c r="T75" i="16"/>
  <c r="O67" i="16"/>
  <c r="L65" i="16"/>
  <c r="O65" i="16" s="1"/>
  <c r="L61" i="16"/>
  <c r="O22" i="16"/>
  <c r="R175" i="16"/>
  <c r="U175" i="16" s="1"/>
  <c r="L175" i="16"/>
  <c r="P174" i="16"/>
  <c r="R159" i="16"/>
  <c r="U159" i="16" s="1"/>
  <c r="L159" i="16"/>
  <c r="L157" i="16" s="1"/>
  <c r="K154" i="16"/>
  <c r="S141" i="16"/>
  <c r="S139" i="16" s="1"/>
  <c r="M141" i="16"/>
  <c r="P141" i="16" s="1"/>
  <c r="I138" i="16"/>
  <c r="K138" i="16" s="1"/>
  <c r="R119" i="16"/>
  <c r="L119" i="16"/>
  <c r="O119" i="16" s="1"/>
  <c r="R96" i="16"/>
  <c r="U96" i="16" s="1"/>
  <c r="T80" i="16"/>
  <c r="T77" i="16"/>
  <c r="S26" i="16"/>
  <c r="S24" i="16" s="1"/>
  <c r="S23" i="16"/>
  <c r="M23" i="16"/>
  <c r="M21" i="16" s="1"/>
  <c r="Q175" i="16"/>
  <c r="T175" i="16" s="1"/>
  <c r="Q159" i="16"/>
  <c r="T159" i="16" s="1"/>
  <c r="R141" i="16"/>
  <c r="U141" i="16" s="1"/>
  <c r="L141" i="16"/>
  <c r="O141" i="16" s="1"/>
  <c r="Q119" i="16"/>
  <c r="Q96" i="16"/>
  <c r="T96" i="16" s="1"/>
  <c r="S74" i="16"/>
  <c r="S72" i="16" s="1"/>
  <c r="M74" i="16"/>
  <c r="M61" i="16"/>
  <c r="M46" i="16"/>
  <c r="R23" i="16"/>
  <c r="R21" i="16" s="1"/>
  <c r="L23" i="16"/>
  <c r="R176" i="16"/>
  <c r="U176" i="16" s="1"/>
  <c r="L163" i="16"/>
  <c r="O163" i="16" s="1"/>
  <c r="R160" i="16"/>
  <c r="U160" i="16" s="1"/>
  <c r="L160" i="16"/>
  <c r="O160" i="16" s="1"/>
  <c r="M145" i="16"/>
  <c r="P145" i="16" s="1"/>
  <c r="M142" i="16"/>
  <c r="P142" i="16" s="1"/>
  <c r="R123" i="16"/>
  <c r="U123" i="16" s="1"/>
  <c r="L123" i="16"/>
  <c r="O123" i="16" s="1"/>
  <c r="R120" i="16"/>
  <c r="U120" i="16" s="1"/>
  <c r="L120" i="16"/>
  <c r="O120" i="16" s="1"/>
  <c r="L100" i="16"/>
  <c r="O100" i="16" s="1"/>
  <c r="R97" i="16"/>
  <c r="U97" i="16" s="1"/>
  <c r="Q23" i="16"/>
  <c r="S160" i="13"/>
  <c r="L362" i="13"/>
  <c r="O362" i="13" s="1"/>
  <c r="Q378" i="13"/>
  <c r="T378" i="13" s="1"/>
  <c r="L415" i="13"/>
  <c r="O415" i="13" s="1"/>
  <c r="M557" i="13"/>
  <c r="M555" i="13" s="1"/>
  <c r="R644" i="13"/>
  <c r="U644" i="13" s="1"/>
  <c r="R645" i="13"/>
  <c r="U645" i="13" s="1"/>
  <c r="K778" i="13"/>
  <c r="K781" i="13"/>
  <c r="K784" i="13"/>
  <c r="R763" i="14"/>
  <c r="R416" i="14"/>
  <c r="O325" i="14"/>
  <c r="K292" i="14"/>
  <c r="P287" i="14"/>
  <c r="L234" i="14"/>
  <c r="K626" i="15"/>
  <c r="J615" i="15"/>
  <c r="K615" i="15"/>
  <c r="I221" i="13"/>
  <c r="K221" i="13" s="1"/>
  <c r="M415" i="13"/>
  <c r="P415" i="13" s="1"/>
  <c r="L419" i="13"/>
  <c r="O419" i="13" s="1"/>
  <c r="I492" i="13"/>
  <c r="K492" i="13" s="1"/>
  <c r="N495" i="13"/>
  <c r="N493" i="13" s="1"/>
  <c r="K709" i="13"/>
  <c r="T618" i="14"/>
  <c r="P604" i="14"/>
  <c r="L233" i="14"/>
  <c r="U147" i="14"/>
  <c r="R415" i="13"/>
  <c r="U415" i="13" s="1"/>
  <c r="M419" i="13"/>
  <c r="P419" i="13" s="1"/>
  <c r="K703" i="14"/>
  <c r="P607" i="14"/>
  <c r="M519" i="14"/>
  <c r="P519" i="14" s="1"/>
  <c r="L75" i="13"/>
  <c r="O75" i="13" s="1"/>
  <c r="I92" i="13"/>
  <c r="K92" i="13" s="1"/>
  <c r="O176" i="13"/>
  <c r="P189" i="13"/>
  <c r="S601" i="13"/>
  <c r="S599" i="13" s="1"/>
  <c r="S616" i="15"/>
  <c r="Q413" i="14"/>
  <c r="L306" i="13"/>
  <c r="O306" i="13" s="1"/>
  <c r="L305" i="13"/>
  <c r="L303" i="13" s="1"/>
  <c r="O303" i="13" s="1"/>
  <c r="K781" i="14"/>
  <c r="K705" i="14"/>
  <c r="S642" i="14"/>
  <c r="P325" i="14"/>
  <c r="I238" i="14"/>
  <c r="K238" i="14" s="1"/>
  <c r="Q188" i="14"/>
  <c r="Q186" i="14" s="1"/>
  <c r="S728" i="15"/>
  <c r="L50" i="14"/>
  <c r="O50" i="14" s="1"/>
  <c r="J701" i="15"/>
  <c r="M602" i="15"/>
  <c r="P602" i="15" s="1"/>
  <c r="P581" i="15"/>
  <c r="M579" i="15"/>
  <c r="P579" i="15" s="1"/>
  <c r="R576" i="15"/>
  <c r="U576" i="15" s="1"/>
  <c r="M496" i="15"/>
  <c r="P496" i="15" s="1"/>
  <c r="T418" i="15"/>
  <c r="Q416" i="15"/>
  <c r="T416" i="15" s="1"/>
  <c r="S377" i="15"/>
  <c r="S375" i="15" s="1"/>
  <c r="P361" i="15"/>
  <c r="P338" i="15"/>
  <c r="P325" i="15"/>
  <c r="N322" i="15"/>
  <c r="N320" i="15" s="1"/>
  <c r="P287" i="15"/>
  <c r="L284" i="15"/>
  <c r="L282" i="15" s="1"/>
  <c r="R282" i="15"/>
  <c r="U282" i="15" s="1"/>
  <c r="P274" i="15"/>
  <c r="N269" i="15"/>
  <c r="P269" i="15" s="1"/>
  <c r="L254" i="15"/>
  <c r="O254" i="15" s="1"/>
  <c r="K195" i="15"/>
  <c r="L179" i="15"/>
  <c r="O179" i="15" s="1"/>
  <c r="O178" i="15"/>
  <c r="M176" i="15"/>
  <c r="P176" i="15" s="1"/>
  <c r="P165" i="15"/>
  <c r="N159" i="15"/>
  <c r="N157" i="15" s="1"/>
  <c r="M141" i="15"/>
  <c r="P141" i="15" s="1"/>
  <c r="L123" i="15"/>
  <c r="O123" i="15" s="1"/>
  <c r="M119" i="15"/>
  <c r="T60" i="15"/>
  <c r="Q123" i="14"/>
  <c r="T123" i="14" s="1"/>
  <c r="T763" i="15"/>
  <c r="I758" i="15"/>
  <c r="K758" i="15" s="1"/>
  <c r="I701" i="15"/>
  <c r="J674" i="15"/>
  <c r="K674" i="15" s="1"/>
  <c r="N642" i="15"/>
  <c r="P563" i="15"/>
  <c r="R555" i="15"/>
  <c r="U555" i="15" s="1"/>
  <c r="T515" i="15"/>
  <c r="R495" i="15"/>
  <c r="U495" i="15" s="1"/>
  <c r="K424" i="15"/>
  <c r="P393" i="15"/>
  <c r="U380" i="15"/>
  <c r="N377" i="15"/>
  <c r="N375" i="15" s="1"/>
  <c r="P359" i="15"/>
  <c r="L359" i="15"/>
  <c r="O359" i="15" s="1"/>
  <c r="L358" i="15"/>
  <c r="M335" i="15"/>
  <c r="M333" i="15" s="1"/>
  <c r="U321" i="15"/>
  <c r="P308" i="15"/>
  <c r="M285" i="15"/>
  <c r="P285" i="15" s="1"/>
  <c r="I240" i="15"/>
  <c r="K240" i="15" s="1"/>
  <c r="U178" i="15"/>
  <c r="L176" i="15"/>
  <c r="O176" i="15" s="1"/>
  <c r="I169" i="15"/>
  <c r="K169" i="15" s="1"/>
  <c r="M159" i="15"/>
  <c r="M157" i="15" s="1"/>
  <c r="P125" i="15"/>
  <c r="S119" i="15"/>
  <c r="S117" i="15" s="1"/>
  <c r="Q78" i="15"/>
  <c r="T78" i="15" s="1"/>
  <c r="R74" i="15"/>
  <c r="R72" i="15" s="1"/>
  <c r="L74" i="15"/>
  <c r="L72" i="15" s="1"/>
  <c r="S59" i="15"/>
  <c r="P49" i="15"/>
  <c r="L47" i="15"/>
  <c r="O47" i="15" s="1"/>
  <c r="N19" i="15"/>
  <c r="K779" i="15"/>
  <c r="R763" i="15"/>
  <c r="U763" i="15" s="1"/>
  <c r="S762" i="15"/>
  <c r="S760" i="15" s="1"/>
  <c r="U733" i="15"/>
  <c r="S731" i="15"/>
  <c r="U731" i="15" s="1"/>
  <c r="T618" i="15"/>
  <c r="N601" i="15"/>
  <c r="N599" i="15" s="1"/>
  <c r="L515" i="15"/>
  <c r="L513" i="15" s="1"/>
  <c r="O513" i="15" s="1"/>
  <c r="N495" i="15"/>
  <c r="N493" i="15" s="1"/>
  <c r="M495" i="15"/>
  <c r="M493" i="15" s="1"/>
  <c r="P493" i="15" s="1"/>
  <c r="J457" i="15"/>
  <c r="J456" i="15" s="1"/>
  <c r="U397" i="15"/>
  <c r="K346" i="15"/>
  <c r="L285" i="15"/>
  <c r="O285" i="15" s="1"/>
  <c r="N232" i="15"/>
  <c r="S176" i="15"/>
  <c r="R175" i="15"/>
  <c r="U175" i="15" s="1"/>
  <c r="K167" i="15"/>
  <c r="S160" i="15"/>
  <c r="K108" i="15"/>
  <c r="Q74" i="15"/>
  <c r="Q72" i="15" s="1"/>
  <c r="R44" i="15"/>
  <c r="U44" i="15" s="1"/>
  <c r="K781" i="15"/>
  <c r="R762" i="15"/>
  <c r="T733" i="15"/>
  <c r="Q731" i="15"/>
  <c r="R730" i="15"/>
  <c r="U730" i="15" s="1"/>
  <c r="L690" i="15"/>
  <c r="O690" i="15" s="1"/>
  <c r="S619" i="15"/>
  <c r="L616" i="15"/>
  <c r="O616" i="15" s="1"/>
  <c r="M601" i="15"/>
  <c r="O584" i="15"/>
  <c r="I492" i="15"/>
  <c r="K492" i="15" s="1"/>
  <c r="J374" i="15"/>
  <c r="S320" i="15"/>
  <c r="N268" i="15"/>
  <c r="N266" i="15" s="1"/>
  <c r="R266" i="15"/>
  <c r="U266" i="15" s="1"/>
  <c r="L236" i="15"/>
  <c r="J231" i="15"/>
  <c r="J185" i="15" s="1"/>
  <c r="J675" i="15"/>
  <c r="K675" i="15" s="1"/>
  <c r="K654" i="15"/>
  <c r="L642" i="15"/>
  <c r="O642" i="15" s="1"/>
  <c r="Q619" i="15"/>
  <c r="S601" i="15"/>
  <c r="S599" i="15" s="1"/>
  <c r="P501" i="15"/>
  <c r="R496" i="15"/>
  <c r="U496" i="15" s="1"/>
  <c r="L381" i="15"/>
  <c r="O381" i="15" s="1"/>
  <c r="M377" i="15"/>
  <c r="P377" i="15" s="1"/>
  <c r="R356" i="15"/>
  <c r="U356" i="15" s="1"/>
  <c r="S303" i="15"/>
  <c r="N306" i="15"/>
  <c r="M268" i="15"/>
  <c r="S269" i="15"/>
  <c r="O267" i="15"/>
  <c r="I253" i="15"/>
  <c r="K253" i="15" s="1"/>
  <c r="Q189" i="15"/>
  <c r="L160" i="15"/>
  <c r="L141" i="15"/>
  <c r="O141" i="15" s="1"/>
  <c r="N142" i="15"/>
  <c r="Q97" i="15"/>
  <c r="T97" i="15" s="1"/>
  <c r="N65" i="15"/>
  <c r="S19" i="15"/>
  <c r="L74" i="14"/>
  <c r="L72" i="14" s="1"/>
  <c r="L46" i="14"/>
  <c r="L44" i="14" s="1"/>
  <c r="J702" i="15"/>
  <c r="S693" i="15"/>
  <c r="T693" i="15" s="1"/>
  <c r="R645" i="15"/>
  <c r="U645" i="15" s="1"/>
  <c r="T621" i="15"/>
  <c r="N602" i="15"/>
  <c r="O602" i="15" s="1"/>
  <c r="O560" i="15"/>
  <c r="O542" i="15"/>
  <c r="O518" i="15"/>
  <c r="N496" i="15"/>
  <c r="P416" i="15"/>
  <c r="R416" i="15"/>
  <c r="U416" i="15" s="1"/>
  <c r="R392" i="15"/>
  <c r="U392" i="15" s="1"/>
  <c r="T380" i="15"/>
  <c r="L378" i="15"/>
  <c r="O378" i="15" s="1"/>
  <c r="Q333" i="15"/>
  <c r="T333" i="15" s="1"/>
  <c r="Q282" i="15"/>
  <c r="T282" i="15" s="1"/>
  <c r="L268" i="15"/>
  <c r="R269" i="15"/>
  <c r="K252" i="15"/>
  <c r="L234" i="15"/>
  <c r="T191" i="15"/>
  <c r="O191" i="15"/>
  <c r="L159" i="15"/>
  <c r="L157" i="15" s="1"/>
  <c r="M142" i="15"/>
  <c r="P142" i="15" s="1"/>
  <c r="T77" i="15"/>
  <c r="O536" i="13"/>
  <c r="L534" i="13"/>
  <c r="O534" i="13" s="1"/>
  <c r="M381" i="13"/>
  <c r="P381" i="13" s="1"/>
  <c r="M192" i="14"/>
  <c r="P192" i="14" s="1"/>
  <c r="Q645" i="15"/>
  <c r="T645" i="15" s="1"/>
  <c r="Q644" i="15"/>
  <c r="Q642" i="15" s="1"/>
  <c r="L141" i="13"/>
  <c r="O141" i="13" s="1"/>
  <c r="K220" i="13"/>
  <c r="M582" i="15"/>
  <c r="P582" i="15" s="1"/>
  <c r="N578" i="15"/>
  <c r="N576" i="15" s="1"/>
  <c r="L415" i="15"/>
  <c r="L416" i="15"/>
  <c r="O416" i="15" s="1"/>
  <c r="O418" i="15"/>
  <c r="M96" i="13"/>
  <c r="M94" i="13" s="1"/>
  <c r="P94" i="13" s="1"/>
  <c r="L100" i="13"/>
  <c r="O100" i="13" s="1"/>
  <c r="K109" i="13"/>
  <c r="Q141" i="13"/>
  <c r="T141" i="13" s="1"/>
  <c r="K167" i="13"/>
  <c r="L175" i="13"/>
  <c r="L173" i="13" s="1"/>
  <c r="K330" i="13"/>
  <c r="M578" i="13"/>
  <c r="P578" i="13" s="1"/>
  <c r="Q763" i="14"/>
  <c r="J701" i="14"/>
  <c r="U607" i="14"/>
  <c r="O607" i="14"/>
  <c r="Q416" i="14"/>
  <c r="J374" i="14"/>
  <c r="K330" i="14"/>
  <c r="P274" i="14"/>
  <c r="O271" i="14"/>
  <c r="K249" i="14"/>
  <c r="K229" i="14"/>
  <c r="K198" i="14"/>
  <c r="T122" i="14"/>
  <c r="K108" i="14"/>
  <c r="T765" i="15"/>
  <c r="Q762" i="15"/>
  <c r="M760" i="15"/>
  <c r="P760" i="15" s="1"/>
  <c r="L728" i="15"/>
  <c r="O728" i="15" s="1"/>
  <c r="R714" i="15"/>
  <c r="U714" i="15" s="1"/>
  <c r="L714" i="15"/>
  <c r="O714" i="15" s="1"/>
  <c r="U695" i="15"/>
  <c r="R692" i="15"/>
  <c r="U692" i="15" s="1"/>
  <c r="U647" i="15"/>
  <c r="R642" i="15"/>
  <c r="K631" i="15"/>
  <c r="K632" i="15"/>
  <c r="N616" i="15"/>
  <c r="T607" i="15"/>
  <c r="L605" i="15"/>
  <c r="O605" i="15" s="1"/>
  <c r="T578" i="15"/>
  <c r="L578" i="15"/>
  <c r="O578" i="15" s="1"/>
  <c r="M536" i="15"/>
  <c r="L519" i="15"/>
  <c r="O519" i="15" s="1"/>
  <c r="O521" i="15"/>
  <c r="L516" i="15"/>
  <c r="O516" i="15" s="1"/>
  <c r="R513" i="15"/>
  <c r="U513" i="15" s="1"/>
  <c r="N392" i="15"/>
  <c r="I365" i="15"/>
  <c r="K365" i="15" s="1"/>
  <c r="I332" i="15"/>
  <c r="K344" i="15"/>
  <c r="L326" i="15"/>
  <c r="O326" i="15" s="1"/>
  <c r="O328" i="15"/>
  <c r="M306" i="14"/>
  <c r="P306" i="14" s="1"/>
  <c r="Q644" i="14"/>
  <c r="T644" i="14" s="1"/>
  <c r="N377" i="14"/>
  <c r="N375" i="14" s="1"/>
  <c r="L579" i="15"/>
  <c r="O579" i="15" s="1"/>
  <c r="T376" i="15"/>
  <c r="M419" i="12"/>
  <c r="P419" i="12" s="1"/>
  <c r="R23" i="13"/>
  <c r="R21" i="13" s="1"/>
  <c r="N96" i="13"/>
  <c r="N94" i="13" s="1"/>
  <c r="M100" i="13"/>
  <c r="P100" i="13" s="1"/>
  <c r="R141" i="13"/>
  <c r="R139" i="13" s="1"/>
  <c r="U139" i="13" s="1"/>
  <c r="O147" i="13"/>
  <c r="T159" i="13"/>
  <c r="I169" i="13"/>
  <c r="K169" i="13" s="1"/>
  <c r="Q268" i="13"/>
  <c r="Q266" i="13" s="1"/>
  <c r="N284" i="13"/>
  <c r="N282" i="13" s="1"/>
  <c r="M323" i="13"/>
  <c r="P323" i="13" s="1"/>
  <c r="U397" i="13"/>
  <c r="L582" i="13"/>
  <c r="O582" i="13" s="1"/>
  <c r="P584" i="13"/>
  <c r="S644" i="13"/>
  <c r="S642" i="13" s="1"/>
  <c r="U647" i="14"/>
  <c r="R645" i="14"/>
  <c r="U645" i="14" s="1"/>
  <c r="T607" i="14"/>
  <c r="R496" i="14"/>
  <c r="U496" i="14" s="1"/>
  <c r="L285" i="14"/>
  <c r="O285" i="14" s="1"/>
  <c r="O274" i="14"/>
  <c r="U189" i="14"/>
  <c r="I136" i="14"/>
  <c r="K136" i="14" s="1"/>
  <c r="T761" i="15"/>
  <c r="L760" i="15"/>
  <c r="O760" i="15" s="1"/>
  <c r="Q728" i="15"/>
  <c r="Q714" i="15"/>
  <c r="T714" i="15" s="1"/>
  <c r="T695" i="15"/>
  <c r="Q692" i="15"/>
  <c r="T692" i="15" s="1"/>
  <c r="U691" i="15"/>
  <c r="O691" i="15"/>
  <c r="M690" i="15"/>
  <c r="P690" i="15" s="1"/>
  <c r="T647" i="15"/>
  <c r="R619" i="15"/>
  <c r="R618" i="15"/>
  <c r="U618" i="15" s="1"/>
  <c r="U621" i="15"/>
  <c r="T604" i="15"/>
  <c r="L601" i="15"/>
  <c r="U577" i="15"/>
  <c r="O577" i="15"/>
  <c r="M558" i="15"/>
  <c r="P558" i="15" s="1"/>
  <c r="M540" i="15"/>
  <c r="P540" i="15" s="1"/>
  <c r="L537" i="15"/>
  <c r="O537" i="15" s="1"/>
  <c r="N536" i="15"/>
  <c r="N534" i="15" s="1"/>
  <c r="J503" i="15"/>
  <c r="J492" i="15" s="1"/>
  <c r="T498" i="15"/>
  <c r="O498" i="15"/>
  <c r="L495" i="15"/>
  <c r="O495" i="15" s="1"/>
  <c r="L496" i="15"/>
  <c r="O496" i="15" s="1"/>
  <c r="Q495" i="15"/>
  <c r="T495" i="15" s="1"/>
  <c r="I423" i="15"/>
  <c r="K440" i="15"/>
  <c r="I319" i="15"/>
  <c r="K319" i="15" s="1"/>
  <c r="K330" i="15"/>
  <c r="P60" i="15"/>
  <c r="M120" i="12"/>
  <c r="P120" i="12" s="1"/>
  <c r="R96" i="13"/>
  <c r="R94" i="13" s="1"/>
  <c r="R123" i="13"/>
  <c r="U123" i="13" s="1"/>
  <c r="Q616" i="15"/>
  <c r="P99" i="13"/>
  <c r="R142" i="13"/>
  <c r="U142" i="13" s="1"/>
  <c r="Q160" i="13"/>
  <c r="T160" i="13" s="1"/>
  <c r="N159" i="13"/>
  <c r="N157" i="13" s="1"/>
  <c r="R268" i="13"/>
  <c r="R266" i="13" s="1"/>
  <c r="O269" i="13"/>
  <c r="O328" i="13"/>
  <c r="R394" i="13"/>
  <c r="U394" i="13" s="1"/>
  <c r="O581" i="13"/>
  <c r="R601" i="13"/>
  <c r="R599" i="13" s="1"/>
  <c r="U599" i="13" s="1"/>
  <c r="S605" i="13"/>
  <c r="R619" i="13"/>
  <c r="K785" i="14"/>
  <c r="T647" i="14"/>
  <c r="O584" i="14"/>
  <c r="L499" i="14"/>
  <c r="O499" i="14" s="1"/>
  <c r="S394" i="14"/>
  <c r="S392" i="14" s="1"/>
  <c r="Q392" i="14"/>
  <c r="T392" i="14" s="1"/>
  <c r="O338" i="14"/>
  <c r="L214" i="14"/>
  <c r="O214" i="14" s="1"/>
  <c r="P178" i="14"/>
  <c r="O147" i="14"/>
  <c r="S97" i="14"/>
  <c r="T97" i="14" s="1"/>
  <c r="K703" i="15"/>
  <c r="T691" i="15"/>
  <c r="S644" i="15"/>
  <c r="U644" i="15" s="1"/>
  <c r="T643" i="15"/>
  <c r="M642" i="15"/>
  <c r="P642" i="15" s="1"/>
  <c r="M616" i="15"/>
  <c r="P616" i="15" s="1"/>
  <c r="R605" i="15"/>
  <c r="U605" i="15" s="1"/>
  <c r="O604" i="15"/>
  <c r="U600" i="15"/>
  <c r="L561" i="15"/>
  <c r="O561" i="15" s="1"/>
  <c r="N557" i="15"/>
  <c r="N555" i="15" s="1"/>
  <c r="O556" i="15"/>
  <c r="Q555" i="15"/>
  <c r="T555" i="15" s="1"/>
  <c r="T536" i="15"/>
  <c r="L536" i="15"/>
  <c r="O501" i="15"/>
  <c r="L499" i="15"/>
  <c r="O499" i="15" s="1"/>
  <c r="S495" i="15"/>
  <c r="S493" i="15" s="1"/>
  <c r="S496" i="15"/>
  <c r="K457" i="15"/>
  <c r="I456" i="15"/>
  <c r="K456" i="15" s="1"/>
  <c r="R415" i="15"/>
  <c r="P414" i="15"/>
  <c r="Q394" i="15"/>
  <c r="T397" i="15"/>
  <c r="Q395" i="15"/>
  <c r="T395" i="15" s="1"/>
  <c r="P194" i="15"/>
  <c r="M192" i="15"/>
  <c r="P192" i="15" s="1"/>
  <c r="M188" i="15"/>
  <c r="M186" i="15" s="1"/>
  <c r="J675" i="14"/>
  <c r="Q601" i="15"/>
  <c r="L335" i="15"/>
  <c r="O338" i="15"/>
  <c r="L336" i="15"/>
  <c r="O336" i="15" s="1"/>
  <c r="N335" i="13"/>
  <c r="N333" i="13" s="1"/>
  <c r="L192" i="14"/>
  <c r="O192" i="14" s="1"/>
  <c r="N515" i="15"/>
  <c r="N513" i="15" s="1"/>
  <c r="Q26" i="13"/>
  <c r="Q24" i="13" s="1"/>
  <c r="T24" i="13" s="1"/>
  <c r="L163" i="13"/>
  <c r="O163" i="13" s="1"/>
  <c r="O189" i="13"/>
  <c r="T194" i="13"/>
  <c r="J332" i="13"/>
  <c r="K332" i="13" s="1"/>
  <c r="I689" i="13"/>
  <c r="K689" i="13" s="1"/>
  <c r="J702" i="14"/>
  <c r="N557" i="14"/>
  <c r="N555" i="14" s="1"/>
  <c r="J351" i="14"/>
  <c r="M141" i="14"/>
  <c r="T99" i="14"/>
  <c r="O67" i="14"/>
  <c r="R602" i="15"/>
  <c r="U602" i="15" s="1"/>
  <c r="R601" i="15"/>
  <c r="U601" i="15" s="1"/>
  <c r="M557" i="15"/>
  <c r="P557" i="15" s="1"/>
  <c r="R534" i="15"/>
  <c r="U534" i="15" s="1"/>
  <c r="P521" i="15"/>
  <c r="N415" i="15"/>
  <c r="N413" i="15" s="1"/>
  <c r="M378" i="15"/>
  <c r="P378" i="15" s="1"/>
  <c r="P380" i="15"/>
  <c r="M362" i="15"/>
  <c r="P362" i="15" s="1"/>
  <c r="K293" i="15"/>
  <c r="I280" i="15"/>
  <c r="K280" i="15" s="1"/>
  <c r="L557" i="15"/>
  <c r="O557" i="15" s="1"/>
  <c r="M515" i="15"/>
  <c r="P515" i="15" s="1"/>
  <c r="P418" i="15"/>
  <c r="R395" i="15"/>
  <c r="U395" i="15" s="1"/>
  <c r="L377" i="15"/>
  <c r="U357" i="15"/>
  <c r="P334" i="15"/>
  <c r="O308" i="15"/>
  <c r="L306" i="15"/>
  <c r="O306" i="15" s="1"/>
  <c r="L305" i="15"/>
  <c r="K127" i="15"/>
  <c r="M26" i="15"/>
  <c r="P26" i="15" s="1"/>
  <c r="R378" i="15"/>
  <c r="U378" i="15" s="1"/>
  <c r="U308" i="15"/>
  <c r="R305" i="15"/>
  <c r="N62" i="15"/>
  <c r="O62" i="15" s="1"/>
  <c r="O64" i="15"/>
  <c r="P64" i="15"/>
  <c r="U22" i="15"/>
  <c r="R19" i="15"/>
  <c r="J458" i="15"/>
  <c r="S395" i="15"/>
  <c r="S394" i="15"/>
  <c r="S392" i="15" s="1"/>
  <c r="R377" i="15"/>
  <c r="N335" i="15"/>
  <c r="I302" i="15"/>
  <c r="K302" i="15" s="1"/>
  <c r="K314" i="15"/>
  <c r="O311" i="15"/>
  <c r="L309" i="15"/>
  <c r="O309" i="15" s="1"/>
  <c r="N284" i="15"/>
  <c r="T271" i="15"/>
  <c r="Q268" i="15"/>
  <c r="Q269" i="15"/>
  <c r="K229" i="15"/>
  <c r="S189" i="15"/>
  <c r="S23" i="15"/>
  <c r="S188" i="15"/>
  <c r="S186" i="15" s="1"/>
  <c r="N96" i="15"/>
  <c r="N94" i="15" s="1"/>
  <c r="N97" i="15"/>
  <c r="Q26" i="15"/>
  <c r="L392" i="15"/>
  <c r="O392" i="15" s="1"/>
  <c r="M358" i="15"/>
  <c r="L322" i="15"/>
  <c r="O322" i="15" s="1"/>
  <c r="O325" i="15"/>
  <c r="Q303" i="15"/>
  <c r="N192" i="15"/>
  <c r="N188" i="15"/>
  <c r="N186" i="15" s="1"/>
  <c r="O187" i="15"/>
  <c r="L145" i="15"/>
  <c r="O145" i="15" s="1"/>
  <c r="O147" i="15"/>
  <c r="I82" i="15"/>
  <c r="S415" i="15"/>
  <c r="T415" i="15" s="1"/>
  <c r="M415" i="15"/>
  <c r="Q377" i="15"/>
  <c r="J332" i="15"/>
  <c r="T308" i="15"/>
  <c r="Q306" i="15"/>
  <c r="K292" i="15"/>
  <c r="P290" i="15"/>
  <c r="M288" i="15"/>
  <c r="P288" i="15" s="1"/>
  <c r="I242" i="15"/>
  <c r="U191" i="15"/>
  <c r="U187" i="15"/>
  <c r="S26" i="15"/>
  <c r="S24" i="15" s="1"/>
  <c r="U118" i="15"/>
  <c r="N26" i="15"/>
  <c r="N24" i="15" s="1"/>
  <c r="N100" i="15"/>
  <c r="P73" i="15"/>
  <c r="O25" i="15"/>
  <c r="T22" i="15"/>
  <c r="Q19" i="15"/>
  <c r="L233" i="15"/>
  <c r="T187" i="15"/>
  <c r="R145" i="15"/>
  <c r="U145" i="15" s="1"/>
  <c r="U147" i="15"/>
  <c r="L142" i="15"/>
  <c r="O142" i="15" s="1"/>
  <c r="O144" i="15"/>
  <c r="Q120" i="15"/>
  <c r="T120" i="15" s="1"/>
  <c r="T122" i="15"/>
  <c r="P102" i="15"/>
  <c r="M100" i="15"/>
  <c r="P100" i="15" s="1"/>
  <c r="O73" i="15"/>
  <c r="O45" i="15"/>
  <c r="J343" i="15"/>
  <c r="M326" i="15"/>
  <c r="P326" i="15" s="1"/>
  <c r="M322" i="15"/>
  <c r="S141" i="15"/>
  <c r="S139" i="15" s="1"/>
  <c r="S142" i="15"/>
  <c r="Q119" i="15"/>
  <c r="M65" i="15"/>
  <c r="P65" i="15" s="1"/>
  <c r="P19" i="15"/>
  <c r="M305" i="15"/>
  <c r="I238" i="15"/>
  <c r="K238" i="15" s="1"/>
  <c r="L203" i="15"/>
  <c r="O203" i="15" s="1"/>
  <c r="P191" i="15"/>
  <c r="M189" i="15"/>
  <c r="P189" i="15" s="1"/>
  <c r="Q176" i="15"/>
  <c r="T176" i="15" s="1"/>
  <c r="Q175" i="15"/>
  <c r="T175" i="15" s="1"/>
  <c r="T178" i="15"/>
  <c r="N119" i="15"/>
  <c r="N117" i="15" s="1"/>
  <c r="M96" i="15"/>
  <c r="M94" i="15" s="1"/>
  <c r="O67" i="15"/>
  <c r="L65" i="15"/>
  <c r="O65" i="15" s="1"/>
  <c r="N59" i="15"/>
  <c r="O19" i="15"/>
  <c r="R188" i="15"/>
  <c r="R186" i="15" s="1"/>
  <c r="L188" i="15"/>
  <c r="R160" i="15"/>
  <c r="U160" i="15" s="1"/>
  <c r="R159" i="15"/>
  <c r="Q145" i="15"/>
  <c r="T145" i="15" s="1"/>
  <c r="O102" i="15"/>
  <c r="L100" i="15"/>
  <c r="O100" i="15" s="1"/>
  <c r="P99" i="15"/>
  <c r="M97" i="15"/>
  <c r="O95" i="15"/>
  <c r="I83" i="15"/>
  <c r="L61" i="15"/>
  <c r="U25" i="15"/>
  <c r="K276" i="15"/>
  <c r="L243" i="15"/>
  <c r="K220" i="15"/>
  <c r="K198" i="15"/>
  <c r="K183" i="15"/>
  <c r="Q159" i="15"/>
  <c r="T159" i="15" s="1"/>
  <c r="Q142" i="15"/>
  <c r="T142" i="15" s="1"/>
  <c r="R141" i="15"/>
  <c r="U141" i="15" s="1"/>
  <c r="L120" i="15"/>
  <c r="O120" i="15" s="1"/>
  <c r="L119" i="15"/>
  <c r="T99" i="15"/>
  <c r="O99" i="15"/>
  <c r="L97" i="15"/>
  <c r="S96" i="15"/>
  <c r="T96" i="15" s="1"/>
  <c r="R94" i="15"/>
  <c r="U95" i="15"/>
  <c r="R59" i="15"/>
  <c r="U59" i="15" s="1"/>
  <c r="O49" i="15"/>
  <c r="N23" i="15"/>
  <c r="P22" i="15"/>
  <c r="R192" i="15"/>
  <c r="U192" i="15" s="1"/>
  <c r="L192" i="15"/>
  <c r="O192" i="15" s="1"/>
  <c r="R189" i="15"/>
  <c r="L189" i="15"/>
  <c r="O189" i="15" s="1"/>
  <c r="K172" i="15"/>
  <c r="M175" i="15"/>
  <c r="P162" i="15"/>
  <c r="N160" i="15"/>
  <c r="P160" i="15" s="1"/>
  <c r="Q141" i="15"/>
  <c r="R123" i="15"/>
  <c r="U123" i="15" s="1"/>
  <c r="Q94" i="15"/>
  <c r="T95" i="15"/>
  <c r="M23" i="15"/>
  <c r="M21" i="15" s="1"/>
  <c r="O22" i="15"/>
  <c r="K156" i="15"/>
  <c r="L163" i="15"/>
  <c r="O163" i="15" s="1"/>
  <c r="M145" i="15"/>
  <c r="P145" i="15" s="1"/>
  <c r="R120" i="15"/>
  <c r="U120" i="15" s="1"/>
  <c r="R119" i="15"/>
  <c r="U99" i="15"/>
  <c r="R97" i="15"/>
  <c r="U97" i="15" s="1"/>
  <c r="R26" i="15"/>
  <c r="U26" i="15" s="1"/>
  <c r="T75" i="15"/>
  <c r="O52" i="15"/>
  <c r="L26" i="15"/>
  <c r="O26" i="15" s="1"/>
  <c r="L50" i="15"/>
  <c r="O50" i="15" s="1"/>
  <c r="M50" i="15"/>
  <c r="P50" i="15" s="1"/>
  <c r="N46" i="15"/>
  <c r="P45" i="15"/>
  <c r="P25" i="15"/>
  <c r="I168" i="15"/>
  <c r="K168" i="15" s="1"/>
  <c r="S74" i="15"/>
  <c r="M74" i="15"/>
  <c r="M61" i="15"/>
  <c r="P61" i="15" s="1"/>
  <c r="M46" i="15"/>
  <c r="M44" i="15" s="1"/>
  <c r="R23" i="15"/>
  <c r="R21" i="15" s="1"/>
  <c r="L23" i="15"/>
  <c r="Q23" i="15"/>
  <c r="Q375" i="13"/>
  <c r="T375" i="13" s="1"/>
  <c r="T377" i="13"/>
  <c r="M163" i="13"/>
  <c r="P163" i="13" s="1"/>
  <c r="S175" i="13"/>
  <c r="S173" i="13" s="1"/>
  <c r="L179" i="13"/>
  <c r="O179" i="13" s="1"/>
  <c r="K183" i="13"/>
  <c r="K249" i="13"/>
  <c r="K314" i="13"/>
  <c r="S378" i="13"/>
  <c r="U716" i="14"/>
  <c r="R714" i="14"/>
  <c r="U714" i="14" s="1"/>
  <c r="O715" i="14"/>
  <c r="L714" i="14"/>
  <c r="O714" i="14" s="1"/>
  <c r="M561" i="14"/>
  <c r="P561" i="14" s="1"/>
  <c r="P563" i="14"/>
  <c r="N358" i="14"/>
  <c r="N356" i="14" s="1"/>
  <c r="P283" i="14"/>
  <c r="L179" i="14"/>
  <c r="O179" i="14" s="1"/>
  <c r="O181" i="14"/>
  <c r="S142" i="14"/>
  <c r="S141" i="14"/>
  <c r="S139" i="14" s="1"/>
  <c r="R74" i="14"/>
  <c r="R72" i="14" s="1"/>
  <c r="R75" i="14"/>
  <c r="L61" i="14"/>
  <c r="L59" i="14" s="1"/>
  <c r="L62" i="14"/>
  <c r="O62" i="14" s="1"/>
  <c r="Q78" i="13"/>
  <c r="T78" i="13" s="1"/>
  <c r="T80" i="13"/>
  <c r="I82" i="13"/>
  <c r="I70" i="13" s="1"/>
  <c r="K70" i="13" s="1"/>
  <c r="O144" i="13"/>
  <c r="N163" i="13"/>
  <c r="M179" i="13"/>
  <c r="P179" i="13" s="1"/>
  <c r="R306" i="13"/>
  <c r="U308" i="13"/>
  <c r="L339" i="13"/>
  <c r="O339" i="13" s="1"/>
  <c r="K346" i="13"/>
  <c r="P518" i="13"/>
  <c r="L557" i="13"/>
  <c r="L555" i="13" s="1"/>
  <c r="S760" i="14"/>
  <c r="O729" i="14"/>
  <c r="L728" i="14"/>
  <c r="O728" i="14" s="1"/>
  <c r="M642" i="14"/>
  <c r="P642" i="14" s="1"/>
  <c r="P643" i="14"/>
  <c r="M540" i="14"/>
  <c r="P540" i="14" s="1"/>
  <c r="P542" i="14"/>
  <c r="U415" i="14"/>
  <c r="M362" i="14"/>
  <c r="P362" i="14" s="1"/>
  <c r="P364" i="14"/>
  <c r="M358" i="14"/>
  <c r="N336" i="14"/>
  <c r="O336" i="14" s="1"/>
  <c r="P338" i="14"/>
  <c r="R305" i="14"/>
  <c r="U305" i="14" s="1"/>
  <c r="R306" i="14"/>
  <c r="P158" i="14"/>
  <c r="N119" i="14"/>
  <c r="N117" i="14" s="1"/>
  <c r="N120" i="14"/>
  <c r="I93" i="14"/>
  <c r="K93" i="14" s="1"/>
  <c r="K109" i="14"/>
  <c r="R19" i="14"/>
  <c r="U22" i="14"/>
  <c r="O67" i="13"/>
  <c r="K86" i="13"/>
  <c r="T125" i="13"/>
  <c r="R145" i="13"/>
  <c r="U145" i="13" s="1"/>
  <c r="O181" i="13"/>
  <c r="M305" i="13"/>
  <c r="M303" i="13" s="1"/>
  <c r="P303" i="13" s="1"/>
  <c r="S306" i="13"/>
  <c r="T306" i="13" s="1"/>
  <c r="T308" i="13"/>
  <c r="O311" i="13"/>
  <c r="N339" i="13"/>
  <c r="L358" i="13"/>
  <c r="L356" i="13" s="1"/>
  <c r="Q415" i="13"/>
  <c r="T415" i="13" s="1"/>
  <c r="L495" i="13"/>
  <c r="O495" i="13" s="1"/>
  <c r="J675" i="13"/>
  <c r="S763" i="13"/>
  <c r="K784" i="14"/>
  <c r="U762" i="14"/>
  <c r="L760" i="14"/>
  <c r="O760" i="14" s="1"/>
  <c r="S692" i="14"/>
  <c r="S690" i="14" s="1"/>
  <c r="S693" i="14"/>
  <c r="T693" i="14" s="1"/>
  <c r="T691" i="14"/>
  <c r="K433" i="14"/>
  <c r="L203" i="14"/>
  <c r="O203" i="14" s="1"/>
  <c r="M188" i="14"/>
  <c r="M186" i="14" s="1"/>
  <c r="P191" i="14"/>
  <c r="M189" i="14"/>
  <c r="P189" i="14" s="1"/>
  <c r="Q59" i="14"/>
  <c r="T59" i="14" s="1"/>
  <c r="T60" i="14"/>
  <c r="S26" i="13"/>
  <c r="S24" i="13" s="1"/>
  <c r="L61" i="13"/>
  <c r="L59" i="13" s="1"/>
  <c r="P77" i="13"/>
  <c r="M119" i="13"/>
  <c r="P119" i="13" s="1"/>
  <c r="T122" i="13"/>
  <c r="O125" i="13"/>
  <c r="Q305" i="13"/>
  <c r="Q303" i="13" s="1"/>
  <c r="L309" i="13"/>
  <c r="O309" i="13" s="1"/>
  <c r="N557" i="13"/>
  <c r="L558" i="13"/>
  <c r="O558" i="13" s="1"/>
  <c r="M602" i="13"/>
  <c r="P602" i="13" s="1"/>
  <c r="S731" i="13"/>
  <c r="Q714" i="14"/>
  <c r="T714" i="14" s="1"/>
  <c r="R693" i="14"/>
  <c r="U695" i="14"/>
  <c r="R692" i="14"/>
  <c r="R690" i="14" s="1"/>
  <c r="N415" i="14"/>
  <c r="N413" i="14" s="1"/>
  <c r="O418" i="14"/>
  <c r="N416" i="14"/>
  <c r="O311" i="14"/>
  <c r="L309" i="14"/>
  <c r="O309" i="14" s="1"/>
  <c r="K169" i="14"/>
  <c r="L75" i="14"/>
  <c r="O75" i="14" s="1"/>
  <c r="L214" i="13"/>
  <c r="O214" i="13" s="1"/>
  <c r="J343" i="13"/>
  <c r="N515" i="13"/>
  <c r="N513" i="13" s="1"/>
  <c r="R602" i="13"/>
  <c r="U602" i="13" s="1"/>
  <c r="Q644" i="13"/>
  <c r="T644" i="13" s="1"/>
  <c r="U762" i="13"/>
  <c r="U765" i="13"/>
  <c r="K785" i="13"/>
  <c r="K772" i="14"/>
  <c r="S763" i="14"/>
  <c r="N760" i="14"/>
  <c r="M536" i="14"/>
  <c r="M416" i="14"/>
  <c r="P418" i="14"/>
  <c r="R378" i="14"/>
  <c r="R377" i="14"/>
  <c r="R375" i="14" s="1"/>
  <c r="S333" i="14"/>
  <c r="R333" i="14"/>
  <c r="U333" i="14" s="1"/>
  <c r="I302" i="14"/>
  <c r="K302" i="14" s="1"/>
  <c r="K314" i="14"/>
  <c r="Q175" i="14"/>
  <c r="T178" i="14"/>
  <c r="Q159" i="14"/>
  <c r="T159" i="14" s="1"/>
  <c r="Q160" i="14"/>
  <c r="T160" i="14" s="1"/>
  <c r="T162" i="14"/>
  <c r="N97" i="14"/>
  <c r="N96" i="14"/>
  <c r="N94" i="14" s="1"/>
  <c r="R44" i="14"/>
  <c r="U44" i="14" s="1"/>
  <c r="Q692" i="13"/>
  <c r="Q690" i="13" s="1"/>
  <c r="T730" i="13"/>
  <c r="K780" i="13"/>
  <c r="O581" i="14"/>
  <c r="M515" i="14"/>
  <c r="P515" i="14" s="1"/>
  <c r="M516" i="14"/>
  <c r="P516" i="14" s="1"/>
  <c r="P518" i="14"/>
  <c r="M495" i="14"/>
  <c r="M493" i="14" s="1"/>
  <c r="P493" i="14" s="1"/>
  <c r="M496" i="14"/>
  <c r="P496" i="14" s="1"/>
  <c r="Q377" i="14"/>
  <c r="Q375" i="14" s="1"/>
  <c r="T380" i="14"/>
  <c r="Q378" i="14"/>
  <c r="N359" i="14"/>
  <c r="Q320" i="14"/>
  <c r="T320" i="14" s="1"/>
  <c r="K220" i="14"/>
  <c r="K153" i="14"/>
  <c r="L141" i="14"/>
  <c r="O144" i="14"/>
  <c r="L142" i="14"/>
  <c r="M100" i="14"/>
  <c r="P100" i="14" s="1"/>
  <c r="M96" i="14"/>
  <c r="P96" i="14" s="1"/>
  <c r="P99" i="14"/>
  <c r="M97" i="14"/>
  <c r="P97" i="14" s="1"/>
  <c r="K88" i="14"/>
  <c r="I82" i="14"/>
  <c r="S75" i="14"/>
  <c r="T77" i="14"/>
  <c r="M62" i="14"/>
  <c r="P62" i="14" s="1"/>
  <c r="P64" i="14"/>
  <c r="P49" i="14"/>
  <c r="K726" i="14"/>
  <c r="T621" i="14"/>
  <c r="S619" i="14"/>
  <c r="U619" i="14" s="1"/>
  <c r="N578" i="14"/>
  <c r="N576" i="14" s="1"/>
  <c r="M582" i="14"/>
  <c r="P582" i="14" s="1"/>
  <c r="M578" i="14"/>
  <c r="P578" i="14" s="1"/>
  <c r="O540" i="14"/>
  <c r="N536" i="14"/>
  <c r="N534" i="14" s="1"/>
  <c r="J503" i="14"/>
  <c r="J492" i="14" s="1"/>
  <c r="K424" i="14"/>
  <c r="U418" i="14"/>
  <c r="L415" i="14"/>
  <c r="L413" i="14" s="1"/>
  <c r="T414" i="14"/>
  <c r="K344" i="14"/>
  <c r="S320" i="14"/>
  <c r="M284" i="14"/>
  <c r="M282" i="14" s="1"/>
  <c r="U271" i="14"/>
  <c r="N268" i="14"/>
  <c r="N266" i="14" s="1"/>
  <c r="L222" i="14"/>
  <c r="O222" i="14" s="1"/>
  <c r="S188" i="14"/>
  <c r="S186" i="14" s="1"/>
  <c r="L188" i="14"/>
  <c r="L186" i="14" s="1"/>
  <c r="P181" i="14"/>
  <c r="P165" i="14"/>
  <c r="N159" i="14"/>
  <c r="N157" i="14" s="1"/>
  <c r="K152" i="14"/>
  <c r="R141" i="14"/>
  <c r="R139" i="14" s="1"/>
  <c r="U139" i="14" s="1"/>
  <c r="M119" i="14"/>
  <c r="P119" i="14" s="1"/>
  <c r="S94" i="14"/>
  <c r="Q74" i="14"/>
  <c r="Q72" i="14" s="1"/>
  <c r="S44" i="14"/>
  <c r="Q44" i="14"/>
  <c r="T44" i="14" s="1"/>
  <c r="Q731" i="14"/>
  <c r="Q692" i="14"/>
  <c r="Q690" i="14" s="1"/>
  <c r="Q619" i="14"/>
  <c r="R618" i="14"/>
  <c r="U618" i="14" s="1"/>
  <c r="N601" i="14"/>
  <c r="N599" i="14" s="1"/>
  <c r="M558" i="14"/>
  <c r="P558" i="14" s="1"/>
  <c r="Q513" i="14"/>
  <c r="T513" i="14" s="1"/>
  <c r="S493" i="14"/>
  <c r="I492" i="14"/>
  <c r="K492" i="14" s="1"/>
  <c r="K432" i="14"/>
  <c r="T415" i="14"/>
  <c r="K368" i="14"/>
  <c r="J332" i="14"/>
  <c r="K332" i="14" s="1"/>
  <c r="M326" i="14"/>
  <c r="P326" i="14" s="1"/>
  <c r="M322" i="14"/>
  <c r="P322" i="14" s="1"/>
  <c r="P311" i="14"/>
  <c r="K265" i="14"/>
  <c r="R269" i="14"/>
  <c r="U269" i="14" s="1"/>
  <c r="U194" i="14"/>
  <c r="R188" i="14"/>
  <c r="R186" i="14" s="1"/>
  <c r="N175" i="14"/>
  <c r="N173" i="14" s="1"/>
  <c r="M159" i="14"/>
  <c r="M157" i="14" s="1"/>
  <c r="P125" i="14"/>
  <c r="S119" i="14"/>
  <c r="U99" i="14"/>
  <c r="P77" i="14"/>
  <c r="N19" i="14"/>
  <c r="J674" i="14"/>
  <c r="L616" i="14"/>
  <c r="O616" i="14" s="1"/>
  <c r="M601" i="14"/>
  <c r="P601" i="14" s="1"/>
  <c r="R534" i="14"/>
  <c r="U534" i="14" s="1"/>
  <c r="N515" i="14"/>
  <c r="N513" i="14" s="1"/>
  <c r="L496" i="14"/>
  <c r="O496" i="14" s="1"/>
  <c r="J458" i="14"/>
  <c r="L362" i="14"/>
  <c r="O362" i="14" s="1"/>
  <c r="M305" i="14"/>
  <c r="P305" i="14" s="1"/>
  <c r="S306" i="14"/>
  <c r="L268" i="14"/>
  <c r="Q269" i="14"/>
  <c r="T269" i="14" s="1"/>
  <c r="L236" i="14"/>
  <c r="L189" i="14"/>
  <c r="O189" i="14" s="1"/>
  <c r="K183" i="14"/>
  <c r="M175" i="14"/>
  <c r="M173" i="14" s="1"/>
  <c r="K116" i="14"/>
  <c r="I83" i="14"/>
  <c r="I71" i="14" s="1"/>
  <c r="K71" i="14" s="1"/>
  <c r="N714" i="14"/>
  <c r="I701" i="14"/>
  <c r="T695" i="14"/>
  <c r="S601" i="14"/>
  <c r="S599" i="14" s="1"/>
  <c r="L601" i="14"/>
  <c r="N602" i="14"/>
  <c r="P581" i="14"/>
  <c r="L578" i="14"/>
  <c r="L576" i="14" s="1"/>
  <c r="O542" i="14"/>
  <c r="L416" i="14"/>
  <c r="J343" i="14"/>
  <c r="L305" i="14"/>
  <c r="O305" i="14" s="1"/>
  <c r="K281" i="14"/>
  <c r="N269" i="14"/>
  <c r="O269" i="14" s="1"/>
  <c r="L254" i="14"/>
  <c r="O254" i="14" s="1"/>
  <c r="L235" i="14"/>
  <c r="N160" i="14"/>
  <c r="N141" i="14"/>
  <c r="N139" i="14" s="1"/>
  <c r="Q119" i="14"/>
  <c r="Q117" i="14" s="1"/>
  <c r="R59" i="14"/>
  <c r="U59" i="14" s="1"/>
  <c r="L19" i="14"/>
  <c r="O19" i="14" s="1"/>
  <c r="N142" i="13"/>
  <c r="N141" i="13"/>
  <c r="N139" i="13" s="1"/>
  <c r="M192" i="13"/>
  <c r="P192" i="13" s="1"/>
  <c r="M188" i="13"/>
  <c r="P194" i="13"/>
  <c r="N358" i="13"/>
  <c r="N356" i="13" s="1"/>
  <c r="N362" i="13"/>
  <c r="K632" i="13"/>
  <c r="K629" i="13"/>
  <c r="I615" i="13"/>
  <c r="K615" i="13" s="1"/>
  <c r="S731" i="14"/>
  <c r="U731" i="14" s="1"/>
  <c r="S730" i="14"/>
  <c r="T730" i="14" s="1"/>
  <c r="P518" i="11"/>
  <c r="M516" i="11"/>
  <c r="P516" i="11" s="1"/>
  <c r="L233" i="13"/>
  <c r="M269" i="13"/>
  <c r="P269" i="13" s="1"/>
  <c r="P271" i="13"/>
  <c r="M268" i="13"/>
  <c r="M266" i="13" s="1"/>
  <c r="K276" i="13"/>
  <c r="I265" i="13"/>
  <c r="K265" i="13" s="1"/>
  <c r="P607" i="13"/>
  <c r="M605" i="13"/>
  <c r="P605" i="13" s="1"/>
  <c r="M601" i="13"/>
  <c r="P47" i="13"/>
  <c r="M78" i="13"/>
  <c r="P78" i="13" s="1"/>
  <c r="M26" i="13"/>
  <c r="M24" i="13" s="1"/>
  <c r="O274" i="13"/>
  <c r="L272" i="13"/>
  <c r="O272" i="13" s="1"/>
  <c r="N377" i="13"/>
  <c r="N375" i="13" s="1"/>
  <c r="N378" i="13"/>
  <c r="K772" i="12"/>
  <c r="I758" i="12"/>
  <c r="K758" i="12" s="1"/>
  <c r="Q176" i="13"/>
  <c r="T176" i="13" s="1"/>
  <c r="Q175" i="13"/>
  <c r="T175" i="13" s="1"/>
  <c r="T178" i="13"/>
  <c r="N306" i="13"/>
  <c r="N305" i="13"/>
  <c r="N303" i="13" s="1"/>
  <c r="K169" i="12"/>
  <c r="I156" i="12"/>
  <c r="K156" i="12" s="1"/>
  <c r="N119" i="13"/>
  <c r="N117" i="13" s="1"/>
  <c r="N120" i="13"/>
  <c r="O162" i="13"/>
  <c r="L160" i="13"/>
  <c r="O160" i="13" s="1"/>
  <c r="L159" i="13"/>
  <c r="U271" i="13"/>
  <c r="S268" i="13"/>
  <c r="S266" i="13" s="1"/>
  <c r="O290" i="13"/>
  <c r="L288" i="13"/>
  <c r="O288" i="13" s="1"/>
  <c r="K293" i="13"/>
  <c r="I280" i="13"/>
  <c r="K280" i="13" s="1"/>
  <c r="U305" i="13"/>
  <c r="S303" i="13"/>
  <c r="P539" i="13"/>
  <c r="M536" i="13"/>
  <c r="O692" i="14"/>
  <c r="L690" i="14"/>
  <c r="O690" i="14" s="1"/>
  <c r="P64" i="13"/>
  <c r="L243" i="13"/>
  <c r="O243" i="13" s="1"/>
  <c r="K709" i="14"/>
  <c r="P618" i="14"/>
  <c r="M616" i="14"/>
  <c r="P616" i="14" s="1"/>
  <c r="O539" i="14"/>
  <c r="L536" i="14"/>
  <c r="R395" i="14"/>
  <c r="U395" i="14" s="1"/>
  <c r="U397" i="14"/>
  <c r="R394" i="14"/>
  <c r="O49" i="13"/>
  <c r="O64" i="13"/>
  <c r="O65" i="13"/>
  <c r="Q75" i="13"/>
  <c r="T75" i="13" s="1"/>
  <c r="T77" i="13"/>
  <c r="Q96" i="13"/>
  <c r="Q94" i="13" s="1"/>
  <c r="U97" i="13"/>
  <c r="M120" i="13"/>
  <c r="P120" i="13" s="1"/>
  <c r="K127" i="13"/>
  <c r="I136" i="13"/>
  <c r="K136" i="13" s="1"/>
  <c r="M142" i="13"/>
  <c r="P142" i="13" s="1"/>
  <c r="M160" i="13"/>
  <c r="P160" i="13" s="1"/>
  <c r="T162" i="13"/>
  <c r="S188" i="13"/>
  <c r="S186" i="13" s="1"/>
  <c r="L268" i="13"/>
  <c r="O271" i="13"/>
  <c r="P308" i="13"/>
  <c r="M309" i="13"/>
  <c r="P309" i="13" s="1"/>
  <c r="K344" i="13"/>
  <c r="M359" i="13"/>
  <c r="P359" i="13" s="1"/>
  <c r="P361" i="13"/>
  <c r="K369" i="13"/>
  <c r="S413" i="13"/>
  <c r="L578" i="13"/>
  <c r="L576" i="13" s="1"/>
  <c r="O604" i="13"/>
  <c r="L602" i="13"/>
  <c r="L601" i="13"/>
  <c r="L605" i="13"/>
  <c r="O605" i="13" s="1"/>
  <c r="R693" i="13"/>
  <c r="U695" i="13"/>
  <c r="R692" i="13"/>
  <c r="R690" i="13" s="1"/>
  <c r="K780" i="14"/>
  <c r="M728" i="14"/>
  <c r="P728" i="14" s="1"/>
  <c r="P729" i="14"/>
  <c r="R513" i="14"/>
  <c r="U513" i="14" s="1"/>
  <c r="U514" i="14"/>
  <c r="O361" i="14"/>
  <c r="L359" i="14"/>
  <c r="L358" i="14"/>
  <c r="Q356" i="14"/>
  <c r="T356" i="14" s="1"/>
  <c r="T357" i="14"/>
  <c r="Q616" i="14"/>
  <c r="T616" i="14" s="1"/>
  <c r="T617" i="14"/>
  <c r="M272" i="13"/>
  <c r="P272" i="13" s="1"/>
  <c r="P274" i="13"/>
  <c r="Q555" i="14"/>
  <c r="T555" i="14" s="1"/>
  <c r="T557" i="14"/>
  <c r="O514" i="14"/>
  <c r="J701" i="12"/>
  <c r="L23" i="13"/>
  <c r="L21" i="13" s="1"/>
  <c r="N46" i="13"/>
  <c r="N44" i="13" s="1"/>
  <c r="N61" i="13"/>
  <c r="N59" i="13" s="1"/>
  <c r="N62" i="13"/>
  <c r="P62" i="13" s="1"/>
  <c r="P65" i="13"/>
  <c r="N74" i="13"/>
  <c r="N72" i="13" s="1"/>
  <c r="I83" i="13"/>
  <c r="I71" i="13" s="1"/>
  <c r="K71" i="13" s="1"/>
  <c r="T97" i="13"/>
  <c r="M159" i="13"/>
  <c r="R176" i="13"/>
  <c r="U176" i="13" s="1"/>
  <c r="O178" i="13"/>
  <c r="L188" i="13"/>
  <c r="L186" i="13" s="1"/>
  <c r="O191" i="13"/>
  <c r="L192" i="13"/>
  <c r="O192" i="13" s="1"/>
  <c r="O338" i="13"/>
  <c r="P341" i="13"/>
  <c r="P560" i="13"/>
  <c r="M558" i="13"/>
  <c r="P558" i="13" s="1"/>
  <c r="U621" i="13"/>
  <c r="S618" i="13"/>
  <c r="S616" i="13" s="1"/>
  <c r="S693" i="13"/>
  <c r="T693" i="13" s="1"/>
  <c r="S692" i="13"/>
  <c r="S690" i="13" s="1"/>
  <c r="K772" i="13"/>
  <c r="I758" i="13"/>
  <c r="K758" i="13" s="1"/>
  <c r="T765" i="14"/>
  <c r="M714" i="14"/>
  <c r="P714" i="14" s="1"/>
  <c r="P715" i="14"/>
  <c r="O556" i="14"/>
  <c r="Q534" i="14"/>
  <c r="T534" i="14" s="1"/>
  <c r="T535" i="14"/>
  <c r="L519" i="14"/>
  <c r="O519" i="14" s="1"/>
  <c r="O521" i="14"/>
  <c r="P414" i="14"/>
  <c r="J423" i="14"/>
  <c r="K440" i="14"/>
  <c r="P380" i="14"/>
  <c r="M378" i="14"/>
  <c r="M377" i="14"/>
  <c r="P49" i="13"/>
  <c r="O361" i="13"/>
  <c r="L359" i="13"/>
  <c r="O359" i="13" s="1"/>
  <c r="Q416" i="13"/>
  <c r="T416" i="13" s="1"/>
  <c r="L579" i="13"/>
  <c r="O579" i="13" s="1"/>
  <c r="L516" i="14"/>
  <c r="O516" i="14" s="1"/>
  <c r="O518" i="14"/>
  <c r="L515" i="14"/>
  <c r="O515" i="14" s="1"/>
  <c r="N23" i="13"/>
  <c r="N21" i="13" s="1"/>
  <c r="S141" i="13"/>
  <c r="S139" i="13" s="1"/>
  <c r="N175" i="13"/>
  <c r="N173" i="13" s="1"/>
  <c r="P191" i="13"/>
  <c r="L234" i="13"/>
  <c r="N268" i="13"/>
  <c r="N266" i="13" s="1"/>
  <c r="M335" i="13"/>
  <c r="S375" i="13"/>
  <c r="N416" i="13"/>
  <c r="N415" i="13"/>
  <c r="N413" i="13" s="1"/>
  <c r="M495" i="13"/>
  <c r="M493" i="13" s="1"/>
  <c r="P493" i="13" s="1"/>
  <c r="Q496" i="13"/>
  <c r="T496" i="13" s="1"/>
  <c r="Q495" i="13"/>
  <c r="T495" i="13" s="1"/>
  <c r="O518" i="13"/>
  <c r="L515" i="13"/>
  <c r="N602" i="13"/>
  <c r="N601" i="13"/>
  <c r="N599" i="13" s="1"/>
  <c r="O644" i="14"/>
  <c r="L642" i="14"/>
  <c r="O642" i="14" s="1"/>
  <c r="K629" i="14"/>
  <c r="K626" i="14"/>
  <c r="K630" i="14"/>
  <c r="K631" i="14"/>
  <c r="I615" i="14"/>
  <c r="K615" i="14" s="1"/>
  <c r="L602" i="14"/>
  <c r="O604" i="14"/>
  <c r="N561" i="14"/>
  <c r="L558" i="14"/>
  <c r="O558" i="14" s="1"/>
  <c r="O560" i="14"/>
  <c r="L557" i="14"/>
  <c r="O557" i="14" s="1"/>
  <c r="R555" i="14"/>
  <c r="U555" i="14" s="1"/>
  <c r="U556" i="14"/>
  <c r="S496" i="14"/>
  <c r="K778" i="14"/>
  <c r="T762" i="14"/>
  <c r="Q760" i="14"/>
  <c r="R730" i="14"/>
  <c r="U733" i="14"/>
  <c r="Q23" i="13"/>
  <c r="Q21" i="13" s="1"/>
  <c r="L26" i="13"/>
  <c r="L24" i="13" s="1"/>
  <c r="N188" i="13"/>
  <c r="N323" i="13"/>
  <c r="N322" i="13"/>
  <c r="N320" i="13" s="1"/>
  <c r="P328" i="13"/>
  <c r="M322" i="13"/>
  <c r="P322" i="13" s="1"/>
  <c r="O336" i="13"/>
  <c r="P380" i="13"/>
  <c r="M377" i="13"/>
  <c r="P377" i="13" s="1"/>
  <c r="O539" i="13"/>
  <c r="L537" i="13"/>
  <c r="O537" i="13" s="1"/>
  <c r="T733" i="13"/>
  <c r="Q731" i="13"/>
  <c r="Q763" i="13"/>
  <c r="Q762" i="13"/>
  <c r="Q760" i="13" s="1"/>
  <c r="T760" i="13" s="1"/>
  <c r="T765" i="13"/>
  <c r="K774" i="14"/>
  <c r="I759" i="14"/>
  <c r="K759" i="14" s="1"/>
  <c r="R760" i="14"/>
  <c r="I689" i="14"/>
  <c r="K689" i="14" s="1"/>
  <c r="K707" i="14"/>
  <c r="U644" i="14"/>
  <c r="R642" i="14"/>
  <c r="U642" i="14" s="1"/>
  <c r="R602" i="14"/>
  <c r="U602" i="14" s="1"/>
  <c r="U604" i="14"/>
  <c r="R601" i="14"/>
  <c r="U601" i="14" s="1"/>
  <c r="L537" i="14"/>
  <c r="O537" i="14" s="1"/>
  <c r="T376" i="14"/>
  <c r="S413" i="14"/>
  <c r="S378" i="14"/>
  <c r="S377" i="14"/>
  <c r="L176" i="14"/>
  <c r="O176" i="14" s="1"/>
  <c r="O178" i="14"/>
  <c r="U733" i="13"/>
  <c r="Q602" i="14"/>
  <c r="T602" i="14" s="1"/>
  <c r="Q495" i="14"/>
  <c r="T495" i="14" s="1"/>
  <c r="K457" i="14"/>
  <c r="L419" i="14"/>
  <c r="O419" i="14" s="1"/>
  <c r="L392" i="14"/>
  <c r="O392" i="14" s="1"/>
  <c r="M392" i="14"/>
  <c r="P392" i="14" s="1"/>
  <c r="P376" i="14"/>
  <c r="S19" i="14"/>
  <c r="J701" i="13"/>
  <c r="Q601" i="14"/>
  <c r="N582" i="14"/>
  <c r="P498" i="14"/>
  <c r="L377" i="14"/>
  <c r="P341" i="14"/>
  <c r="M339" i="14"/>
  <c r="P339" i="14" s="1"/>
  <c r="Q282" i="14"/>
  <c r="T282" i="14" s="1"/>
  <c r="R266" i="14"/>
  <c r="K260" i="14"/>
  <c r="I253" i="14"/>
  <c r="S495" i="13"/>
  <c r="S493" i="13" s="1"/>
  <c r="O561" i="13"/>
  <c r="R763" i="13"/>
  <c r="R576" i="14"/>
  <c r="U576" i="14" s="1"/>
  <c r="N495" i="14"/>
  <c r="N493" i="14" s="1"/>
  <c r="I456" i="14"/>
  <c r="K456" i="14" s="1"/>
  <c r="P421" i="14"/>
  <c r="S416" i="14"/>
  <c r="T418" i="14"/>
  <c r="M415" i="14"/>
  <c r="R413" i="14"/>
  <c r="O383" i="14"/>
  <c r="O380" i="14"/>
  <c r="U125" i="14"/>
  <c r="R123" i="14"/>
  <c r="U123" i="14" s="1"/>
  <c r="K371" i="13"/>
  <c r="L540" i="13"/>
  <c r="O540" i="13" s="1"/>
  <c r="P561" i="13"/>
  <c r="P563" i="13"/>
  <c r="T695" i="13"/>
  <c r="R731" i="13"/>
  <c r="K779" i="13"/>
  <c r="U765" i="14"/>
  <c r="T733" i="14"/>
  <c r="O579" i="14"/>
  <c r="O563" i="14"/>
  <c r="S534" i="14"/>
  <c r="T498" i="14"/>
  <c r="L175" i="14"/>
  <c r="P174" i="14"/>
  <c r="U95" i="14"/>
  <c r="Q26" i="14"/>
  <c r="M557" i="14"/>
  <c r="R495" i="14"/>
  <c r="L495" i="14"/>
  <c r="K386" i="14"/>
  <c r="I374" i="14"/>
  <c r="O376" i="14"/>
  <c r="K371" i="14"/>
  <c r="K369" i="14"/>
  <c r="N322" i="14"/>
  <c r="N320" i="14" s="1"/>
  <c r="P321" i="14"/>
  <c r="P267" i="14"/>
  <c r="L243" i="14"/>
  <c r="T191" i="14"/>
  <c r="Q189" i="14"/>
  <c r="T189" i="14" s="1"/>
  <c r="U178" i="14"/>
  <c r="R175" i="14"/>
  <c r="U175" i="14" s="1"/>
  <c r="P383" i="14"/>
  <c r="M381" i="14"/>
  <c r="P381" i="14" s="1"/>
  <c r="U376" i="14"/>
  <c r="P361" i="14"/>
  <c r="M359" i="14"/>
  <c r="P334" i="14"/>
  <c r="O321" i="14"/>
  <c r="K209" i="14"/>
  <c r="I202" i="14"/>
  <c r="K202" i="14" s="1"/>
  <c r="O328" i="14"/>
  <c r="L326" i="14"/>
  <c r="O326" i="14" s="1"/>
  <c r="T308" i="14"/>
  <c r="Q306" i="14"/>
  <c r="P290" i="14"/>
  <c r="M288" i="14"/>
  <c r="P288" i="14" s="1"/>
  <c r="T194" i="14"/>
  <c r="Q192" i="14"/>
  <c r="T192" i="14" s="1"/>
  <c r="U19" i="14"/>
  <c r="T397" i="14"/>
  <c r="O393" i="14"/>
  <c r="U380" i="14"/>
  <c r="N378" i="14"/>
  <c r="O378" i="14" s="1"/>
  <c r="U358" i="14"/>
  <c r="R356" i="14"/>
  <c r="U356" i="14" s="1"/>
  <c r="O341" i="14"/>
  <c r="L339" i="14"/>
  <c r="O339" i="14" s="1"/>
  <c r="L335" i="14"/>
  <c r="R320" i="14"/>
  <c r="U320" i="14" s="1"/>
  <c r="U321" i="14"/>
  <c r="Q305" i="14"/>
  <c r="T305" i="14" s="1"/>
  <c r="K280" i="14"/>
  <c r="Q266" i="14"/>
  <c r="P47" i="14"/>
  <c r="N335" i="14"/>
  <c r="N333" i="14" s="1"/>
  <c r="U308" i="14"/>
  <c r="O308" i="14"/>
  <c r="O287" i="14"/>
  <c r="K276" i="14"/>
  <c r="T271" i="14"/>
  <c r="U191" i="14"/>
  <c r="O191" i="14"/>
  <c r="S173" i="14"/>
  <c r="S157" i="14"/>
  <c r="P144" i="14"/>
  <c r="M142" i="14"/>
  <c r="O122" i="14"/>
  <c r="L120" i="14"/>
  <c r="O120" i="14" s="1"/>
  <c r="N26" i="14"/>
  <c r="N24" i="14" s="1"/>
  <c r="M335" i="14"/>
  <c r="M333" i="14" s="1"/>
  <c r="L322" i="14"/>
  <c r="O322" i="14" s="1"/>
  <c r="N305" i="14"/>
  <c r="N303" i="14" s="1"/>
  <c r="N284" i="14"/>
  <c r="S268" i="14"/>
  <c r="S266" i="14" s="1"/>
  <c r="M268" i="14"/>
  <c r="N188" i="14"/>
  <c r="O162" i="14"/>
  <c r="L160" i="14"/>
  <c r="O160" i="14" s="1"/>
  <c r="U122" i="14"/>
  <c r="R120" i="14"/>
  <c r="P52" i="14"/>
  <c r="M26" i="14"/>
  <c r="M50" i="14"/>
  <c r="P50" i="14" s="1"/>
  <c r="O165" i="14"/>
  <c r="L163" i="14"/>
  <c r="O163" i="14" s="1"/>
  <c r="U162" i="14"/>
  <c r="R160" i="14"/>
  <c r="U160" i="14" s="1"/>
  <c r="P147" i="14"/>
  <c r="M145" i="14"/>
  <c r="P145" i="14" s="1"/>
  <c r="R119" i="14"/>
  <c r="L26" i="14"/>
  <c r="P22" i="14"/>
  <c r="M19" i="14"/>
  <c r="R159" i="14"/>
  <c r="T144" i="14"/>
  <c r="T140" i="14"/>
  <c r="O125" i="14"/>
  <c r="L123" i="14"/>
  <c r="O123" i="14" s="1"/>
  <c r="L119" i="14"/>
  <c r="O95" i="14"/>
  <c r="R26" i="14"/>
  <c r="P75" i="14"/>
  <c r="P67" i="14"/>
  <c r="M65" i="14"/>
  <c r="P65" i="14" s="1"/>
  <c r="O47" i="14"/>
  <c r="P25" i="14"/>
  <c r="S176" i="14"/>
  <c r="M176" i="14"/>
  <c r="P176" i="14" s="1"/>
  <c r="S160" i="14"/>
  <c r="M160" i="14"/>
  <c r="N142" i="14"/>
  <c r="K127" i="14"/>
  <c r="S120" i="14"/>
  <c r="T120" i="14" s="1"/>
  <c r="M120" i="14"/>
  <c r="P120" i="14" s="1"/>
  <c r="U80" i="14"/>
  <c r="O80" i="14"/>
  <c r="Q78" i="14"/>
  <c r="T78" i="14" s="1"/>
  <c r="U77" i="14"/>
  <c r="O77" i="14"/>
  <c r="Q75" i="14"/>
  <c r="O64" i="14"/>
  <c r="N50" i="14"/>
  <c r="O49" i="14"/>
  <c r="N23" i="14"/>
  <c r="Q141" i="14"/>
  <c r="R96" i="14"/>
  <c r="U96" i="14" s="1"/>
  <c r="L96" i="14"/>
  <c r="O96" i="14" s="1"/>
  <c r="N74" i="14"/>
  <c r="N61" i="14"/>
  <c r="N46" i="14"/>
  <c r="S26" i="14"/>
  <c r="S24" i="14" s="1"/>
  <c r="S23" i="14"/>
  <c r="S21" i="14" s="1"/>
  <c r="M23" i="14"/>
  <c r="Q19" i="14"/>
  <c r="Q96" i="14"/>
  <c r="T96" i="14" s="1"/>
  <c r="K85" i="14"/>
  <c r="S74" i="14"/>
  <c r="S72" i="14" s="1"/>
  <c r="M74" i="14"/>
  <c r="M61" i="14"/>
  <c r="M46" i="14"/>
  <c r="R23" i="14"/>
  <c r="L23" i="14"/>
  <c r="Q145" i="14"/>
  <c r="T145" i="14" s="1"/>
  <c r="Q142" i="14"/>
  <c r="L100" i="14"/>
  <c r="O100" i="14" s="1"/>
  <c r="R97" i="14"/>
  <c r="L97" i="14"/>
  <c r="O97" i="14" s="1"/>
  <c r="Q23" i="14"/>
  <c r="T187" i="13"/>
  <c r="M519" i="13"/>
  <c r="P519" i="13" s="1"/>
  <c r="P521" i="13"/>
  <c r="M515" i="13"/>
  <c r="K705" i="13"/>
  <c r="I701" i="13"/>
  <c r="R394" i="12"/>
  <c r="R392" i="12" s="1"/>
  <c r="U392" i="12" s="1"/>
  <c r="I615" i="12"/>
  <c r="K615" i="12" s="1"/>
  <c r="M23" i="13"/>
  <c r="S23" i="13"/>
  <c r="S21" i="13" s="1"/>
  <c r="N26" i="13"/>
  <c r="R75" i="13"/>
  <c r="U75" i="13" s="1"/>
  <c r="N97" i="13"/>
  <c r="T99" i="13"/>
  <c r="Q119" i="13"/>
  <c r="Q145" i="13"/>
  <c r="T145" i="13" s="1"/>
  <c r="K153" i="13"/>
  <c r="R159" i="13"/>
  <c r="U159" i="13" s="1"/>
  <c r="S189" i="13"/>
  <c r="U189" i="13" s="1"/>
  <c r="L203" i="13"/>
  <c r="O203" i="13" s="1"/>
  <c r="Q730" i="12"/>
  <c r="Q728" i="12" s="1"/>
  <c r="L47" i="13"/>
  <c r="O47" i="13" s="1"/>
  <c r="L62" i="13"/>
  <c r="L119" i="13"/>
  <c r="R119" i="13"/>
  <c r="M175" i="13"/>
  <c r="M176" i="13"/>
  <c r="P176" i="13" s="1"/>
  <c r="I253" i="13"/>
  <c r="K253" i="13" s="1"/>
  <c r="K260" i="13"/>
  <c r="I238" i="13"/>
  <c r="K238" i="13" s="1"/>
  <c r="I281" i="13"/>
  <c r="K281" i="13" s="1"/>
  <c r="K292" i="13"/>
  <c r="R74" i="11"/>
  <c r="R72" i="11" s="1"/>
  <c r="T45" i="13"/>
  <c r="P52" i="13"/>
  <c r="T60" i="13"/>
  <c r="P67" i="13"/>
  <c r="T73" i="13"/>
  <c r="O80" i="13"/>
  <c r="U80" i="13"/>
  <c r="L96" i="13"/>
  <c r="S96" i="13"/>
  <c r="S94" i="13" s="1"/>
  <c r="U122" i="13"/>
  <c r="O174" i="13"/>
  <c r="U174" i="13"/>
  <c r="Q189" i="13"/>
  <c r="Q188" i="13"/>
  <c r="T191" i="13"/>
  <c r="L731" i="1"/>
  <c r="O731" i="1" s="1"/>
  <c r="R26" i="13"/>
  <c r="R24" i="13" s="1"/>
  <c r="U24" i="13" s="1"/>
  <c r="L74" i="13"/>
  <c r="R74" i="13"/>
  <c r="P80" i="13"/>
  <c r="M141" i="13"/>
  <c r="Q142" i="13"/>
  <c r="T142" i="13" s="1"/>
  <c r="R160" i="13"/>
  <c r="U160" i="13" s="1"/>
  <c r="P178" i="13"/>
  <c r="P45" i="13"/>
  <c r="M46" i="13"/>
  <c r="P60" i="13"/>
  <c r="M61" i="13"/>
  <c r="P73" i="13"/>
  <c r="M74" i="13"/>
  <c r="P74" i="13" s="1"/>
  <c r="S74" i="13"/>
  <c r="S72" i="13" s="1"/>
  <c r="L97" i="13"/>
  <c r="O97" i="13" s="1"/>
  <c r="U99" i="13"/>
  <c r="K242" i="13"/>
  <c r="I156" i="13"/>
  <c r="K156" i="13" s="1"/>
  <c r="U191" i="13"/>
  <c r="I202" i="13"/>
  <c r="K202" i="13" s="1"/>
  <c r="L222" i="13"/>
  <c r="O222" i="13" s="1"/>
  <c r="O283" i="13"/>
  <c r="R303" i="13"/>
  <c r="L323" i="13"/>
  <c r="O323" i="13" s="1"/>
  <c r="O325" i="13"/>
  <c r="P334" i="13"/>
  <c r="T691" i="13"/>
  <c r="N285" i="13"/>
  <c r="O285" i="13" s="1"/>
  <c r="O287" i="13"/>
  <c r="P290" i="13"/>
  <c r="M284" i="13"/>
  <c r="M336" i="13"/>
  <c r="P336" i="13" s="1"/>
  <c r="P338" i="13"/>
  <c r="R378" i="13"/>
  <c r="U378" i="13" s="1"/>
  <c r="U380" i="13"/>
  <c r="P267" i="13"/>
  <c r="P287" i="13"/>
  <c r="M362" i="13"/>
  <c r="P362" i="13" s="1"/>
  <c r="P364" i="13"/>
  <c r="M358" i="13"/>
  <c r="M356" i="13" s="1"/>
  <c r="R377" i="13"/>
  <c r="U377" i="13" s="1"/>
  <c r="O617" i="13"/>
  <c r="L616" i="13"/>
  <c r="O616" i="13" s="1"/>
  <c r="L235" i="13"/>
  <c r="U321" i="13"/>
  <c r="R320" i="13"/>
  <c r="U320" i="13" s="1"/>
  <c r="L378" i="13"/>
  <c r="O378" i="13" s="1"/>
  <c r="O380" i="13"/>
  <c r="I195" i="13"/>
  <c r="K195" i="13" s="1"/>
  <c r="S269" i="13"/>
  <c r="U269" i="13" s="1"/>
  <c r="T271" i="13"/>
  <c r="O321" i="13"/>
  <c r="L320" i="13"/>
  <c r="O320" i="13" s="1"/>
  <c r="K368" i="13"/>
  <c r="L377" i="13"/>
  <c r="O377" i="13" s="1"/>
  <c r="L381" i="13"/>
  <c r="O381" i="13" s="1"/>
  <c r="O383" i="13"/>
  <c r="J365" i="13"/>
  <c r="K365" i="13" s="1"/>
  <c r="U414" i="13"/>
  <c r="N582" i="13"/>
  <c r="N578" i="13"/>
  <c r="N576" i="13" s="1"/>
  <c r="M642" i="13"/>
  <c r="P642" i="13" s="1"/>
  <c r="P644" i="13"/>
  <c r="I412" i="13"/>
  <c r="K412" i="13" s="1"/>
  <c r="K423" i="13"/>
  <c r="T621" i="13"/>
  <c r="Q618" i="13"/>
  <c r="Q619" i="13"/>
  <c r="T643" i="13"/>
  <c r="Q728" i="13"/>
  <c r="T728" i="13" s="1"/>
  <c r="Q395" i="13"/>
  <c r="T395" i="13" s="1"/>
  <c r="O414" i="13"/>
  <c r="R496" i="13"/>
  <c r="U496" i="13" s="1"/>
  <c r="U498" i="13"/>
  <c r="U556" i="13"/>
  <c r="R555" i="13"/>
  <c r="U555" i="13" s="1"/>
  <c r="R760" i="13"/>
  <c r="U760" i="13" s="1"/>
  <c r="L284" i="13"/>
  <c r="L392" i="13"/>
  <c r="O392" i="13" s="1"/>
  <c r="L499" i="13"/>
  <c r="O499" i="13" s="1"/>
  <c r="O501" i="13"/>
  <c r="N540" i="13"/>
  <c r="N536" i="13"/>
  <c r="N534" i="13" s="1"/>
  <c r="M690" i="13"/>
  <c r="P690" i="13" s="1"/>
  <c r="P692" i="13"/>
  <c r="L335" i="13"/>
  <c r="Q394" i="13"/>
  <c r="L496" i="13"/>
  <c r="O496" i="13" s="1"/>
  <c r="O498" i="13"/>
  <c r="J503" i="13"/>
  <c r="J492" i="13" s="1"/>
  <c r="K505" i="13"/>
  <c r="O556" i="13"/>
  <c r="Q602" i="13"/>
  <c r="T602" i="13" s="1"/>
  <c r="T604" i="13"/>
  <c r="Q605" i="13"/>
  <c r="T605" i="13" s="1"/>
  <c r="T607" i="13"/>
  <c r="U617" i="13"/>
  <c r="R616" i="13"/>
  <c r="Q714" i="13"/>
  <c r="T714" i="13" s="1"/>
  <c r="K626" i="13"/>
  <c r="K630" i="13"/>
  <c r="R730" i="13"/>
  <c r="P542" i="13"/>
  <c r="K631" i="13"/>
  <c r="O692" i="13"/>
  <c r="K457" i="13"/>
  <c r="S619" i="13"/>
  <c r="K440" i="13"/>
  <c r="R493" i="13"/>
  <c r="U493" i="13" s="1"/>
  <c r="P498" i="13"/>
  <c r="P501" i="13"/>
  <c r="Q534" i="13"/>
  <c r="T534" i="13" s="1"/>
  <c r="O563" i="13"/>
  <c r="Q576" i="13"/>
  <c r="T576" i="13" s="1"/>
  <c r="K280" i="2"/>
  <c r="M728" i="5"/>
  <c r="P728" i="5" s="1"/>
  <c r="N760" i="5"/>
  <c r="M19" i="6"/>
  <c r="Q59" i="6"/>
  <c r="T59" i="6" s="1"/>
  <c r="T60" i="6"/>
  <c r="O617" i="6"/>
  <c r="L616" i="6"/>
  <c r="O616" i="6" s="1"/>
  <c r="O715" i="6"/>
  <c r="L714" i="6"/>
  <c r="O714" i="6" s="1"/>
  <c r="U358" i="8"/>
  <c r="R356" i="8"/>
  <c r="U356" i="8" s="1"/>
  <c r="U22" i="11"/>
  <c r="R19" i="11"/>
  <c r="U19" i="11" s="1"/>
  <c r="R59" i="11"/>
  <c r="U59" i="11" s="1"/>
  <c r="U60" i="11"/>
  <c r="O394" i="11"/>
  <c r="L392" i="11"/>
  <c r="O392" i="11" s="1"/>
  <c r="L642" i="12"/>
  <c r="O642" i="12" s="1"/>
  <c r="O643" i="12"/>
  <c r="N616" i="2"/>
  <c r="U577" i="6"/>
  <c r="R576" i="6"/>
  <c r="U576" i="6" s="1"/>
  <c r="P617" i="6"/>
  <c r="M616" i="6"/>
  <c r="P616" i="6" s="1"/>
  <c r="P715" i="6"/>
  <c r="M714" i="6"/>
  <c r="P714" i="6" s="1"/>
  <c r="T515" i="8"/>
  <c r="Q513" i="8"/>
  <c r="T513" i="8" s="1"/>
  <c r="R44" i="9"/>
  <c r="U44" i="9" s="1"/>
  <c r="U45" i="9"/>
  <c r="T535" i="12"/>
  <c r="Q534" i="12"/>
  <c r="T534" i="12" s="1"/>
  <c r="M760" i="12"/>
  <c r="P760" i="12" s="1"/>
  <c r="P761" i="12"/>
  <c r="J231" i="2"/>
  <c r="J185" i="2" s="1"/>
  <c r="S513" i="2"/>
  <c r="S555" i="2"/>
  <c r="L690" i="2"/>
  <c r="O690" i="2" s="1"/>
  <c r="K221" i="3"/>
  <c r="K138" i="4"/>
  <c r="Q282" i="4"/>
  <c r="T282" i="4" s="1"/>
  <c r="Q356" i="4"/>
  <c r="T356" i="4" s="1"/>
  <c r="J457" i="4"/>
  <c r="J456" i="4" s="1"/>
  <c r="R534" i="4"/>
  <c r="U534" i="4" s="1"/>
  <c r="N728" i="4"/>
  <c r="N392" i="5"/>
  <c r="N616" i="5"/>
  <c r="N642" i="5"/>
  <c r="S714" i="5"/>
  <c r="K726" i="5"/>
  <c r="Q59" i="7"/>
  <c r="T59" i="7" s="1"/>
  <c r="T61" i="7"/>
  <c r="R320" i="7"/>
  <c r="U320" i="7" s="1"/>
  <c r="T357" i="8"/>
  <c r="Q356" i="8"/>
  <c r="T356" i="8" s="1"/>
  <c r="M616" i="8"/>
  <c r="P616" i="8" s="1"/>
  <c r="P617" i="8"/>
  <c r="T358" i="2"/>
  <c r="K759" i="2"/>
  <c r="S356" i="3"/>
  <c r="J231" i="4"/>
  <c r="J185" i="4" s="1"/>
  <c r="J458" i="4"/>
  <c r="O643" i="4"/>
  <c r="S44" i="5"/>
  <c r="K440" i="5"/>
  <c r="S728" i="5"/>
  <c r="R356" i="6"/>
  <c r="U356" i="6" s="1"/>
  <c r="Q333" i="7"/>
  <c r="T333" i="7" s="1"/>
  <c r="T334" i="7"/>
  <c r="L690" i="7"/>
  <c r="O690" i="7" s="1"/>
  <c r="O691" i="7"/>
  <c r="M760" i="8"/>
  <c r="P760" i="8" s="1"/>
  <c r="P761" i="8"/>
  <c r="T25" i="9"/>
  <c r="Q19" i="9"/>
  <c r="T19" i="9" s="1"/>
  <c r="R59" i="9"/>
  <c r="U59" i="9" s="1"/>
  <c r="S59" i="9"/>
  <c r="R187" i="1"/>
  <c r="U187" i="1" s="1"/>
  <c r="U358" i="2"/>
  <c r="S59" i="3"/>
  <c r="S44" i="4"/>
  <c r="R282" i="4"/>
  <c r="U282" i="4" s="1"/>
  <c r="S282" i="4"/>
  <c r="R333" i="4"/>
  <c r="U333" i="4" s="1"/>
  <c r="S333" i="4"/>
  <c r="K456" i="4"/>
  <c r="R555" i="4"/>
  <c r="U555" i="4" s="1"/>
  <c r="Q44" i="5"/>
  <c r="T44" i="5" s="1"/>
  <c r="K116" i="5"/>
  <c r="K221" i="5"/>
  <c r="R375" i="5"/>
  <c r="M714" i="5"/>
  <c r="P714" i="5" s="1"/>
  <c r="M760" i="7"/>
  <c r="P760" i="7" s="1"/>
  <c r="P761" i="7"/>
  <c r="U61" i="8"/>
  <c r="R59" i="8"/>
  <c r="U59" i="8" s="1"/>
  <c r="L690" i="8"/>
  <c r="O690" i="8" s="1"/>
  <c r="O691" i="8"/>
  <c r="S356" i="2"/>
  <c r="K425" i="2"/>
  <c r="K440" i="2"/>
  <c r="R513" i="2"/>
  <c r="U513" i="2" s="1"/>
  <c r="K293" i="4"/>
  <c r="Q19" i="5"/>
  <c r="T19" i="5" s="1"/>
  <c r="S157" i="5"/>
  <c r="T203" i="5"/>
  <c r="S375" i="5"/>
  <c r="K432" i="5"/>
  <c r="J457" i="5"/>
  <c r="J456" i="5" s="1"/>
  <c r="K456" i="6"/>
  <c r="M728" i="6"/>
  <c r="P728" i="6" s="1"/>
  <c r="K425" i="8"/>
  <c r="U25" i="12"/>
  <c r="R19" i="12"/>
  <c r="U19" i="12" s="1"/>
  <c r="S356" i="6"/>
  <c r="S576" i="6"/>
  <c r="K221" i="7"/>
  <c r="S616" i="7"/>
  <c r="L728" i="7"/>
  <c r="O728" i="7" s="1"/>
  <c r="S375" i="8"/>
  <c r="K432" i="8"/>
  <c r="S534" i="8"/>
  <c r="N616" i="8"/>
  <c r="N690" i="8"/>
  <c r="M728" i="8"/>
  <c r="P728" i="8" s="1"/>
  <c r="K92" i="9"/>
  <c r="P393" i="9"/>
  <c r="M392" i="9"/>
  <c r="P392" i="9" s="1"/>
  <c r="M728" i="9"/>
  <c r="P728" i="9" s="1"/>
  <c r="P730" i="9"/>
  <c r="L728" i="11"/>
  <c r="O728" i="11" s="1"/>
  <c r="K92" i="6"/>
  <c r="Q333" i="6"/>
  <c r="T333" i="6" s="1"/>
  <c r="R555" i="6"/>
  <c r="U555" i="6" s="1"/>
  <c r="K759" i="6"/>
  <c r="T203" i="7"/>
  <c r="R356" i="7"/>
  <c r="U356" i="7" s="1"/>
  <c r="N392" i="7"/>
  <c r="R576" i="7"/>
  <c r="U576" i="7" s="1"/>
  <c r="N690" i="7"/>
  <c r="T203" i="8"/>
  <c r="S320" i="8"/>
  <c r="S356" i="8"/>
  <c r="N642" i="8"/>
  <c r="S728" i="8"/>
  <c r="K281" i="9"/>
  <c r="R44" i="11"/>
  <c r="U44" i="11" s="1"/>
  <c r="U46" i="11"/>
  <c r="P715" i="11"/>
  <c r="M714" i="11"/>
  <c r="P714" i="11" s="1"/>
  <c r="R320" i="12"/>
  <c r="U320" i="12" s="1"/>
  <c r="U321" i="12"/>
  <c r="L714" i="12"/>
  <c r="O714" i="12" s="1"/>
  <c r="O715" i="12"/>
  <c r="K433" i="6"/>
  <c r="R714" i="6"/>
  <c r="U714" i="6" s="1"/>
  <c r="Q44" i="7"/>
  <c r="T44" i="7" s="1"/>
  <c r="S555" i="7"/>
  <c r="N728" i="7"/>
  <c r="Q59" i="9"/>
  <c r="T59" i="9" s="1"/>
  <c r="K195" i="9"/>
  <c r="S714" i="9"/>
  <c r="R513" i="12"/>
  <c r="U513" i="12" s="1"/>
  <c r="N642" i="6"/>
  <c r="S714" i="6"/>
  <c r="N728" i="6"/>
  <c r="U357" i="7"/>
  <c r="S534" i="7"/>
  <c r="R555" i="7"/>
  <c r="U555" i="7" s="1"/>
  <c r="U577" i="7"/>
  <c r="O729" i="7"/>
  <c r="Q44" i="8"/>
  <c r="T44" i="8" s="1"/>
  <c r="K202" i="8"/>
  <c r="S282" i="8"/>
  <c r="M392" i="8"/>
  <c r="P392" i="8" s="1"/>
  <c r="S555" i="8"/>
  <c r="S616" i="8"/>
  <c r="N728" i="8"/>
  <c r="R320" i="11"/>
  <c r="U320" i="11" s="1"/>
  <c r="U321" i="11"/>
  <c r="K758" i="11"/>
  <c r="K153" i="12"/>
  <c r="I138" i="12"/>
  <c r="K138" i="12" s="1"/>
  <c r="K93" i="10"/>
  <c r="S59" i="11"/>
  <c r="K116" i="11"/>
  <c r="S320" i="11"/>
  <c r="S616" i="11"/>
  <c r="L714" i="11"/>
  <c r="O714" i="11" s="1"/>
  <c r="N714" i="11"/>
  <c r="Q714" i="11"/>
  <c r="T714" i="11" s="1"/>
  <c r="K281" i="12"/>
  <c r="S513" i="12"/>
  <c r="R534" i="12"/>
  <c r="U534" i="12" s="1"/>
  <c r="S320" i="9"/>
  <c r="S728" i="9"/>
  <c r="T515" i="10"/>
  <c r="R534" i="10"/>
  <c r="U534" i="10" s="1"/>
  <c r="N642" i="10"/>
  <c r="Q576" i="11"/>
  <c r="T576" i="11" s="1"/>
  <c r="K661" i="11"/>
  <c r="M728" i="11"/>
  <c r="P728" i="11" s="1"/>
  <c r="L760" i="11"/>
  <c r="O760" i="11" s="1"/>
  <c r="T203" i="12"/>
  <c r="J457" i="12"/>
  <c r="J456" i="12" s="1"/>
  <c r="U715" i="12"/>
  <c r="M728" i="12"/>
  <c r="P728" i="12" s="1"/>
  <c r="K759" i="12"/>
  <c r="K302" i="9"/>
  <c r="U321" i="9"/>
  <c r="K116" i="10"/>
  <c r="S173" i="10"/>
  <c r="Q356" i="10"/>
  <c r="T356" i="10" s="1"/>
  <c r="S714" i="10"/>
  <c r="K138" i="11"/>
  <c r="N690" i="11"/>
  <c r="K726" i="11"/>
  <c r="J458" i="12"/>
  <c r="N616" i="12"/>
  <c r="L728" i="12"/>
  <c r="O728" i="12" s="1"/>
  <c r="Q333" i="9"/>
  <c r="T333" i="9" s="1"/>
  <c r="J457" i="9"/>
  <c r="J456" i="9" s="1"/>
  <c r="K456" i="9" s="1"/>
  <c r="Q555" i="9"/>
  <c r="T555" i="9" s="1"/>
  <c r="S555" i="9"/>
  <c r="N616" i="9"/>
  <c r="N690" i="9"/>
  <c r="J231" i="10"/>
  <c r="J185" i="10" s="1"/>
  <c r="S356" i="10"/>
  <c r="N714" i="10"/>
  <c r="N728" i="10"/>
  <c r="Q19" i="11"/>
  <c r="T19" i="11" s="1"/>
  <c r="K92" i="11"/>
  <c r="S728" i="11"/>
  <c r="Q375" i="12"/>
  <c r="S690" i="12"/>
  <c r="K726" i="12"/>
  <c r="N232" i="10"/>
  <c r="K425" i="10"/>
  <c r="M616" i="10"/>
  <c r="P616" i="10" s="1"/>
  <c r="S616" i="10"/>
  <c r="O729" i="10"/>
  <c r="U271" i="11"/>
  <c r="Q282" i="11"/>
  <c r="T282" i="11" s="1"/>
  <c r="R282" i="11"/>
  <c r="U282" i="11" s="1"/>
  <c r="N392" i="11"/>
  <c r="R576" i="11"/>
  <c r="U576" i="11" s="1"/>
  <c r="K727" i="11"/>
  <c r="M392" i="12"/>
  <c r="P392" i="12" s="1"/>
  <c r="R576" i="12"/>
  <c r="U576" i="12" s="1"/>
  <c r="S728" i="12"/>
  <c r="R176" i="12"/>
  <c r="U176" i="12" s="1"/>
  <c r="N358" i="11"/>
  <c r="N356" i="11" s="1"/>
  <c r="K780" i="11"/>
  <c r="Q762" i="11"/>
  <c r="Q760" i="11" s="1"/>
  <c r="M120" i="11"/>
  <c r="P120" i="11" s="1"/>
  <c r="P75" i="12"/>
  <c r="I136" i="12"/>
  <c r="K136" i="12" s="1"/>
  <c r="L236" i="12"/>
  <c r="N335" i="11"/>
  <c r="N333" i="11" s="1"/>
  <c r="J675" i="12"/>
  <c r="K778" i="12"/>
  <c r="M268" i="12"/>
  <c r="M266" i="12" s="1"/>
  <c r="L236" i="11"/>
  <c r="S377" i="11"/>
  <c r="S375" i="11" s="1"/>
  <c r="R378" i="12"/>
  <c r="R160" i="11"/>
  <c r="U160" i="11" s="1"/>
  <c r="I202" i="11"/>
  <c r="K202" i="11" s="1"/>
  <c r="M272" i="12"/>
  <c r="P272" i="12" s="1"/>
  <c r="I156" i="11"/>
  <c r="K156" i="11" s="1"/>
  <c r="S188" i="11"/>
  <c r="S186" i="11" s="1"/>
  <c r="I374" i="11"/>
  <c r="K374" i="11" s="1"/>
  <c r="S119" i="11"/>
  <c r="S117" i="11" s="1"/>
  <c r="Q159" i="12"/>
  <c r="U397" i="12"/>
  <c r="L235" i="11"/>
  <c r="S269" i="11"/>
  <c r="T269" i="11" s="1"/>
  <c r="O383" i="11"/>
  <c r="I302" i="12"/>
  <c r="K302" i="12" s="1"/>
  <c r="R496" i="12"/>
  <c r="U496" i="12" s="1"/>
  <c r="L516" i="12"/>
  <c r="O516" i="12" s="1"/>
  <c r="O602" i="12"/>
  <c r="Q160" i="12"/>
  <c r="T160" i="12" s="1"/>
  <c r="M582" i="12"/>
  <c r="P582" i="12" s="1"/>
  <c r="K629" i="12"/>
  <c r="S119" i="12"/>
  <c r="S117" i="12" s="1"/>
  <c r="S160" i="12"/>
  <c r="O287" i="12"/>
  <c r="L234" i="11"/>
  <c r="S96" i="12"/>
  <c r="S94" i="12" s="1"/>
  <c r="S141" i="12"/>
  <c r="S139" i="12" s="1"/>
  <c r="P181" i="12"/>
  <c r="R762" i="11"/>
  <c r="R760" i="11" s="1"/>
  <c r="O47" i="12"/>
  <c r="Q192" i="12"/>
  <c r="T192" i="12" s="1"/>
  <c r="J701" i="11"/>
  <c r="I83" i="12"/>
  <c r="K83" i="12" s="1"/>
  <c r="T122" i="12"/>
  <c r="K368" i="11"/>
  <c r="I238" i="11"/>
  <c r="K238" i="11" s="1"/>
  <c r="Q97" i="12"/>
  <c r="T97" i="12" s="1"/>
  <c r="M100" i="12"/>
  <c r="P100" i="12" s="1"/>
  <c r="N141" i="12"/>
  <c r="N139" i="12" s="1"/>
  <c r="N159" i="12"/>
  <c r="N157" i="12" s="1"/>
  <c r="K183" i="12"/>
  <c r="L272" i="12"/>
  <c r="O272" i="12" s="1"/>
  <c r="J343" i="12"/>
  <c r="U607" i="12"/>
  <c r="S644" i="12"/>
  <c r="S642" i="12" s="1"/>
  <c r="L203" i="12"/>
  <c r="O203" i="12" s="1"/>
  <c r="R601" i="12"/>
  <c r="U601" i="12" s="1"/>
  <c r="S731" i="12"/>
  <c r="T731" i="12" s="1"/>
  <c r="M579" i="11"/>
  <c r="P579" i="11" s="1"/>
  <c r="L235" i="12"/>
  <c r="R602" i="12"/>
  <c r="U602" i="12" s="1"/>
  <c r="M358" i="11"/>
  <c r="M356" i="11" s="1"/>
  <c r="L163" i="12"/>
  <c r="O163" i="12" s="1"/>
  <c r="O178" i="12"/>
  <c r="L179" i="12"/>
  <c r="O179" i="12" s="1"/>
  <c r="J332" i="12"/>
  <c r="K369" i="12"/>
  <c r="M377" i="12"/>
  <c r="P377" i="12" s="1"/>
  <c r="K784" i="11"/>
  <c r="R26" i="12"/>
  <c r="U26" i="12" s="1"/>
  <c r="N188" i="12"/>
  <c r="N186" i="12" s="1"/>
  <c r="M269" i="12"/>
  <c r="P269" i="12" s="1"/>
  <c r="M358" i="12"/>
  <c r="M356" i="12" s="1"/>
  <c r="I492" i="12"/>
  <c r="K492" i="12" s="1"/>
  <c r="N495" i="12"/>
  <c r="N493" i="12" s="1"/>
  <c r="O581" i="12"/>
  <c r="K774" i="12"/>
  <c r="K784" i="12"/>
  <c r="R377" i="11"/>
  <c r="U377" i="11" s="1"/>
  <c r="P67" i="12"/>
  <c r="R142" i="12"/>
  <c r="U142" i="12" s="1"/>
  <c r="P271" i="12"/>
  <c r="M288" i="12"/>
  <c r="P288" i="12" s="1"/>
  <c r="N305" i="12"/>
  <c r="N303" i="12" s="1"/>
  <c r="K432" i="12"/>
  <c r="K779" i="12"/>
  <c r="M159" i="11"/>
  <c r="M157" i="11" s="1"/>
  <c r="O194" i="11"/>
  <c r="U380" i="11"/>
  <c r="M123" i="12"/>
  <c r="P123" i="12" s="1"/>
  <c r="S176" i="12"/>
  <c r="P178" i="12"/>
  <c r="I195" i="12"/>
  <c r="K195" i="12" s="1"/>
  <c r="O308" i="12"/>
  <c r="O325" i="12"/>
  <c r="O383" i="12"/>
  <c r="P498" i="12"/>
  <c r="Q762" i="12"/>
  <c r="Q760" i="12" s="1"/>
  <c r="K785" i="12"/>
  <c r="R159" i="11"/>
  <c r="U159" i="11" s="1"/>
  <c r="K371" i="11"/>
  <c r="Q188" i="12"/>
  <c r="Q186" i="12" s="1"/>
  <c r="L305" i="12"/>
  <c r="L303" i="12" s="1"/>
  <c r="O303" i="12" s="1"/>
  <c r="I319" i="12"/>
  <c r="K319" i="12" s="1"/>
  <c r="N377" i="12"/>
  <c r="N375" i="12" s="1"/>
  <c r="O539" i="12"/>
  <c r="K780" i="12"/>
  <c r="I253" i="12"/>
  <c r="K253" i="12" s="1"/>
  <c r="S305" i="12"/>
  <c r="S303" i="12" s="1"/>
  <c r="Q378" i="12"/>
  <c r="L495" i="12"/>
  <c r="L493" i="12" s="1"/>
  <c r="O493" i="12" s="1"/>
  <c r="N601" i="12"/>
  <c r="N599" i="12" s="1"/>
  <c r="Q644" i="11"/>
  <c r="Q642" i="11" s="1"/>
  <c r="O67" i="12"/>
  <c r="N74" i="12"/>
  <c r="N72" i="12" s="1"/>
  <c r="R97" i="12"/>
  <c r="U97" i="12" s="1"/>
  <c r="M96" i="12"/>
  <c r="P96" i="12" s="1"/>
  <c r="K108" i="12"/>
  <c r="M119" i="12"/>
  <c r="P119" i="12" s="1"/>
  <c r="L145" i="12"/>
  <c r="O145" i="12" s="1"/>
  <c r="L175" i="12"/>
  <c r="L173" i="12" s="1"/>
  <c r="I202" i="12"/>
  <c r="K202" i="12" s="1"/>
  <c r="L284" i="12"/>
  <c r="L282" i="12" s="1"/>
  <c r="L288" i="12"/>
  <c r="O288" i="12" s="1"/>
  <c r="K292" i="12"/>
  <c r="L362" i="12"/>
  <c r="O362" i="12" s="1"/>
  <c r="S378" i="12"/>
  <c r="O563" i="12"/>
  <c r="K632" i="12"/>
  <c r="Q644" i="12"/>
  <c r="T644" i="12" s="1"/>
  <c r="L26" i="12"/>
  <c r="L24" i="12" s="1"/>
  <c r="I169" i="11"/>
  <c r="K169" i="11" s="1"/>
  <c r="L415" i="11"/>
  <c r="L413" i="11" s="1"/>
  <c r="L419" i="11"/>
  <c r="O419" i="11" s="1"/>
  <c r="L100" i="12"/>
  <c r="O100" i="12" s="1"/>
  <c r="Q119" i="12"/>
  <c r="Q117" i="12" s="1"/>
  <c r="Q123" i="12"/>
  <c r="T123" i="12" s="1"/>
  <c r="S26" i="12"/>
  <c r="S24" i="12" s="1"/>
  <c r="M175" i="12"/>
  <c r="M173" i="12" s="1"/>
  <c r="M188" i="12"/>
  <c r="N415" i="12"/>
  <c r="N413" i="12" s="1"/>
  <c r="M561" i="12"/>
  <c r="P561" i="12" s="1"/>
  <c r="O604" i="12"/>
  <c r="S601" i="12"/>
  <c r="S599" i="12" s="1"/>
  <c r="R644" i="12"/>
  <c r="U644" i="12" s="1"/>
  <c r="Q645" i="12"/>
  <c r="T645" i="12" s="1"/>
  <c r="R692" i="12"/>
  <c r="U692" i="12" s="1"/>
  <c r="Q693" i="12"/>
  <c r="J675" i="11"/>
  <c r="K675" i="11" s="1"/>
  <c r="L96" i="12"/>
  <c r="L94" i="12" s="1"/>
  <c r="O94" i="12" s="1"/>
  <c r="R145" i="12"/>
  <c r="U145" i="12" s="1"/>
  <c r="R175" i="12"/>
  <c r="U175" i="12" s="1"/>
  <c r="L377" i="12"/>
  <c r="O380" i="12"/>
  <c r="K456" i="12"/>
  <c r="L557" i="12"/>
  <c r="O557" i="12" s="1"/>
  <c r="M601" i="12"/>
  <c r="M599" i="12" s="1"/>
  <c r="P599" i="12" s="1"/>
  <c r="L605" i="12"/>
  <c r="O605" i="12" s="1"/>
  <c r="U621" i="12"/>
  <c r="R645" i="12"/>
  <c r="U645" i="12" s="1"/>
  <c r="T692" i="12"/>
  <c r="I213" i="11"/>
  <c r="K213" i="11" s="1"/>
  <c r="N268" i="11"/>
  <c r="N266" i="11" s="1"/>
  <c r="N415" i="11"/>
  <c r="N413" i="11" s="1"/>
  <c r="M495" i="11"/>
  <c r="M493" i="11" s="1"/>
  <c r="P493" i="11" s="1"/>
  <c r="R23" i="12"/>
  <c r="R21" i="12" s="1"/>
  <c r="M46" i="12"/>
  <c r="M44" i="12" s="1"/>
  <c r="O99" i="12"/>
  <c r="Q141" i="12"/>
  <c r="Q139" i="12" s="1"/>
  <c r="R159" i="12"/>
  <c r="U159" i="12" s="1"/>
  <c r="P162" i="12"/>
  <c r="L176" i="12"/>
  <c r="O176" i="12" s="1"/>
  <c r="L188" i="12"/>
  <c r="L186" i="12" s="1"/>
  <c r="T191" i="12"/>
  <c r="K346" i="12"/>
  <c r="M605" i="12"/>
  <c r="P605" i="12" s="1"/>
  <c r="U619" i="12"/>
  <c r="L233" i="11"/>
  <c r="U621" i="11"/>
  <c r="K676" i="11"/>
  <c r="M50" i="12"/>
  <c r="P50" i="12" s="1"/>
  <c r="M97" i="12"/>
  <c r="P97" i="12" s="1"/>
  <c r="Q120" i="12"/>
  <c r="T120" i="12" s="1"/>
  <c r="L123" i="12"/>
  <c r="O123" i="12" s="1"/>
  <c r="L234" i="12"/>
  <c r="N285" i="12"/>
  <c r="O285" i="12" s="1"/>
  <c r="U380" i="12"/>
  <c r="K703" i="12"/>
  <c r="K709" i="12"/>
  <c r="K781" i="12"/>
  <c r="N97" i="11"/>
  <c r="P97" i="11" s="1"/>
  <c r="N96" i="11"/>
  <c r="N94" i="11" s="1"/>
  <c r="N175" i="12"/>
  <c r="N173" i="12" s="1"/>
  <c r="N179" i="12"/>
  <c r="P336" i="12"/>
  <c r="P383" i="12"/>
  <c r="M381" i="12"/>
  <c r="P381" i="12" s="1"/>
  <c r="M516" i="12"/>
  <c r="P516" i="12" s="1"/>
  <c r="P518" i="12"/>
  <c r="L323" i="11"/>
  <c r="O323" i="11" s="1"/>
  <c r="O325" i="11"/>
  <c r="L141" i="12"/>
  <c r="O144" i="12"/>
  <c r="L142" i="12"/>
  <c r="K152" i="12"/>
  <c r="I137" i="12"/>
  <c r="K137" i="12" s="1"/>
  <c r="P165" i="12"/>
  <c r="M159" i="12"/>
  <c r="M163" i="12"/>
  <c r="P163" i="12" s="1"/>
  <c r="Q306" i="11"/>
  <c r="Q305" i="11"/>
  <c r="Q303" i="11" s="1"/>
  <c r="P311" i="11"/>
  <c r="M305" i="11"/>
  <c r="M303" i="11" s="1"/>
  <c r="O52" i="12"/>
  <c r="L50" i="12"/>
  <c r="O50" i="12" s="1"/>
  <c r="O75" i="12"/>
  <c r="S142" i="12"/>
  <c r="R266" i="12"/>
  <c r="K440" i="12"/>
  <c r="I423" i="12"/>
  <c r="P539" i="12"/>
  <c r="M537" i="12"/>
  <c r="P537" i="12" s="1"/>
  <c r="N189" i="11"/>
  <c r="O189" i="11" s="1"/>
  <c r="N188" i="11"/>
  <c r="N186" i="11" s="1"/>
  <c r="P80" i="12"/>
  <c r="M78" i="12"/>
  <c r="P78" i="12" s="1"/>
  <c r="M74" i="12"/>
  <c r="M26" i="12"/>
  <c r="M24" i="12" s="1"/>
  <c r="P380" i="12"/>
  <c r="M378" i="12"/>
  <c r="P378" i="12" s="1"/>
  <c r="U147" i="11"/>
  <c r="R145" i="11"/>
  <c r="U145" i="11" s="1"/>
  <c r="L62" i="12"/>
  <c r="O62" i="12" s="1"/>
  <c r="L61" i="12"/>
  <c r="L59" i="12" s="1"/>
  <c r="N96" i="12"/>
  <c r="N94" i="12" s="1"/>
  <c r="N100" i="12"/>
  <c r="S145" i="12"/>
  <c r="M145" i="12"/>
  <c r="P145" i="12" s="1"/>
  <c r="P147" i="12"/>
  <c r="Q175" i="12"/>
  <c r="T178" i="12"/>
  <c r="P338" i="12"/>
  <c r="L339" i="12"/>
  <c r="O339" i="12" s="1"/>
  <c r="O341" i="12"/>
  <c r="L335" i="12"/>
  <c r="L333" i="12" s="1"/>
  <c r="U377" i="12"/>
  <c r="T397" i="12"/>
  <c r="Q395" i="12"/>
  <c r="T395" i="12" s="1"/>
  <c r="Q394" i="12"/>
  <c r="T394" i="12" s="1"/>
  <c r="R141" i="11"/>
  <c r="U141" i="11" s="1"/>
  <c r="K346" i="11"/>
  <c r="J351" i="11"/>
  <c r="N416" i="11"/>
  <c r="O416" i="11" s="1"/>
  <c r="S619" i="11"/>
  <c r="S23" i="12"/>
  <c r="N46" i="12"/>
  <c r="N44" i="12" s="1"/>
  <c r="N65" i="12"/>
  <c r="P65" i="12" s="1"/>
  <c r="L74" i="12"/>
  <c r="N26" i="12"/>
  <c r="N24" i="12" s="1"/>
  <c r="R123" i="12"/>
  <c r="U123" i="12" s="1"/>
  <c r="R141" i="12"/>
  <c r="M141" i="12"/>
  <c r="L159" i="12"/>
  <c r="R160" i="12"/>
  <c r="U160" i="12" s="1"/>
  <c r="L222" i="12"/>
  <c r="O222" i="12" s="1"/>
  <c r="I265" i="12"/>
  <c r="K265" i="12" s="1"/>
  <c r="S268" i="12"/>
  <c r="S266" i="12" s="1"/>
  <c r="M306" i="12"/>
  <c r="P306" i="12" s="1"/>
  <c r="K371" i="12"/>
  <c r="R375" i="12"/>
  <c r="S415" i="12"/>
  <c r="S413" i="12" s="1"/>
  <c r="M495" i="12"/>
  <c r="M602" i="12"/>
  <c r="P602" i="12" s="1"/>
  <c r="R618" i="12"/>
  <c r="R616" i="12" s="1"/>
  <c r="T765" i="12"/>
  <c r="L50" i="11"/>
  <c r="O50" i="11" s="1"/>
  <c r="P287" i="12"/>
  <c r="N322" i="12"/>
  <c r="N320" i="12" s="1"/>
  <c r="S375" i="12"/>
  <c r="L415" i="12"/>
  <c r="L413" i="12" s="1"/>
  <c r="S618" i="12"/>
  <c r="S616" i="12" s="1"/>
  <c r="J702" i="12"/>
  <c r="U765" i="12"/>
  <c r="R762" i="12"/>
  <c r="R760" i="12" s="1"/>
  <c r="O144" i="11"/>
  <c r="K369" i="11"/>
  <c r="R495" i="11"/>
  <c r="U495" i="11" s="1"/>
  <c r="N119" i="12"/>
  <c r="N117" i="12" s="1"/>
  <c r="L160" i="12"/>
  <c r="O160" i="12" s="1"/>
  <c r="L214" i="12"/>
  <c r="O214" i="12" s="1"/>
  <c r="N284" i="12"/>
  <c r="N282" i="12" s="1"/>
  <c r="M362" i="12"/>
  <c r="P362" i="12" s="1"/>
  <c r="L579" i="12"/>
  <c r="O579" i="12" s="1"/>
  <c r="P144" i="11"/>
  <c r="L159" i="11"/>
  <c r="L157" i="11" s="1"/>
  <c r="S495" i="11"/>
  <c r="S493" i="11" s="1"/>
  <c r="N61" i="12"/>
  <c r="N59" i="12" s="1"/>
  <c r="S74" i="12"/>
  <c r="S72" i="12" s="1"/>
  <c r="R96" i="12"/>
  <c r="R94" i="12" s="1"/>
  <c r="U94" i="12" s="1"/>
  <c r="N142" i="12"/>
  <c r="M176" i="12"/>
  <c r="P176" i="12" s="1"/>
  <c r="S188" i="12"/>
  <c r="S186" i="12" s="1"/>
  <c r="T189" i="12"/>
  <c r="O338" i="12"/>
  <c r="K368" i="12"/>
  <c r="T377" i="12"/>
  <c r="T380" i="12"/>
  <c r="S394" i="12"/>
  <c r="S392" i="12" s="1"/>
  <c r="M415" i="12"/>
  <c r="P418" i="12"/>
  <c r="R495" i="12"/>
  <c r="U495" i="12" s="1"/>
  <c r="S496" i="12"/>
  <c r="M499" i="12"/>
  <c r="P499" i="12" s="1"/>
  <c r="O501" i="12"/>
  <c r="M579" i="12"/>
  <c r="P579" i="12" s="1"/>
  <c r="L601" i="12"/>
  <c r="U695" i="12"/>
  <c r="K727" i="12"/>
  <c r="T733" i="12"/>
  <c r="L496" i="11"/>
  <c r="O496" i="11" s="1"/>
  <c r="K779" i="11"/>
  <c r="K782" i="11"/>
  <c r="L23" i="12"/>
  <c r="L46" i="12"/>
  <c r="L44" i="12" s="1"/>
  <c r="S157" i="12"/>
  <c r="P160" i="12"/>
  <c r="S173" i="12"/>
  <c r="L243" i="12"/>
  <c r="O243" i="12" s="1"/>
  <c r="Q266" i="12"/>
  <c r="N268" i="12"/>
  <c r="O311" i="12"/>
  <c r="M323" i="12"/>
  <c r="P323" i="12" s="1"/>
  <c r="O336" i="12"/>
  <c r="K365" i="12"/>
  <c r="J674" i="12"/>
  <c r="O341" i="11"/>
  <c r="L339" i="11"/>
  <c r="O339" i="11" s="1"/>
  <c r="S59" i="12"/>
  <c r="O49" i="11"/>
  <c r="P290" i="11"/>
  <c r="M288" i="11"/>
  <c r="P288" i="11" s="1"/>
  <c r="M378" i="11"/>
  <c r="P378" i="11" s="1"/>
  <c r="P380" i="11"/>
  <c r="M47" i="12"/>
  <c r="P47" i="12" s="1"/>
  <c r="P49" i="12"/>
  <c r="M23" i="12"/>
  <c r="M59" i="12"/>
  <c r="M62" i="12"/>
  <c r="P62" i="12" s="1"/>
  <c r="P64" i="12"/>
  <c r="T73" i="12"/>
  <c r="P158" i="12"/>
  <c r="P174" i="12"/>
  <c r="L192" i="12"/>
  <c r="O192" i="12" s="1"/>
  <c r="O194" i="12"/>
  <c r="S44" i="12"/>
  <c r="Q78" i="12"/>
  <c r="T78" i="12" s="1"/>
  <c r="Q26" i="12"/>
  <c r="T26" i="12" s="1"/>
  <c r="T80" i="12"/>
  <c r="R97" i="11"/>
  <c r="R96" i="11"/>
  <c r="R94" i="11" s="1"/>
  <c r="I82" i="11"/>
  <c r="K82" i="11" s="1"/>
  <c r="L359" i="11"/>
  <c r="O359" i="11" s="1"/>
  <c r="L358" i="11"/>
  <c r="L356" i="11" s="1"/>
  <c r="Q415" i="11"/>
  <c r="Q416" i="11"/>
  <c r="Q75" i="12"/>
  <c r="T75" i="12" s="1"/>
  <c r="Q23" i="12"/>
  <c r="Q21" i="12" s="1"/>
  <c r="Q74" i="12"/>
  <c r="T77" i="12"/>
  <c r="N359" i="12"/>
  <c r="O359" i="12" s="1"/>
  <c r="O361" i="12"/>
  <c r="J503" i="12"/>
  <c r="J492" i="12" s="1"/>
  <c r="K504" i="12"/>
  <c r="O77" i="11"/>
  <c r="L78" i="11"/>
  <c r="O78" i="11" s="1"/>
  <c r="N145" i="11"/>
  <c r="N141" i="11"/>
  <c r="N139" i="11" s="1"/>
  <c r="I137" i="11"/>
  <c r="K137" i="11" s="1"/>
  <c r="K152" i="11"/>
  <c r="I265" i="11"/>
  <c r="K265" i="11" s="1"/>
  <c r="K276" i="11"/>
  <c r="Q395" i="11"/>
  <c r="T395" i="11" s="1"/>
  <c r="Q394" i="11"/>
  <c r="T394" i="11" s="1"/>
  <c r="T45" i="12"/>
  <c r="Q44" i="12"/>
  <c r="T44" i="12" s="1"/>
  <c r="T60" i="12"/>
  <c r="Q59" i="12"/>
  <c r="T59" i="12" s="1"/>
  <c r="I82" i="12"/>
  <c r="K86" i="12"/>
  <c r="Q333" i="12"/>
  <c r="T333" i="12" s="1"/>
  <c r="T335" i="12"/>
  <c r="N358" i="12"/>
  <c r="N356" i="12" s="1"/>
  <c r="O122" i="12"/>
  <c r="L119" i="12"/>
  <c r="S601" i="11"/>
  <c r="S599" i="11" s="1"/>
  <c r="R120" i="12"/>
  <c r="U120" i="12" s="1"/>
  <c r="U122" i="12"/>
  <c r="R119" i="12"/>
  <c r="L269" i="12"/>
  <c r="O269" i="12" s="1"/>
  <c r="O271" i="12"/>
  <c r="L268" i="12"/>
  <c r="U99" i="11"/>
  <c r="J343" i="11"/>
  <c r="N377" i="11"/>
  <c r="N375" i="11" s="1"/>
  <c r="R75" i="12"/>
  <c r="U75" i="12" s="1"/>
  <c r="U77" i="12"/>
  <c r="R78" i="12"/>
  <c r="U78" i="12" s="1"/>
  <c r="U80" i="12"/>
  <c r="Q145" i="12"/>
  <c r="T145" i="12" s="1"/>
  <c r="T147" i="12"/>
  <c r="R189" i="12"/>
  <c r="U189" i="12" s="1"/>
  <c r="U191" i="12"/>
  <c r="M192" i="12"/>
  <c r="P192" i="12" s="1"/>
  <c r="P194" i="12"/>
  <c r="R282" i="12"/>
  <c r="U282" i="12" s="1"/>
  <c r="L760" i="12"/>
  <c r="O760" i="12" s="1"/>
  <c r="O762" i="12"/>
  <c r="T144" i="11"/>
  <c r="Q692" i="11"/>
  <c r="Q690" i="11" s="1"/>
  <c r="K772" i="11"/>
  <c r="N23" i="12"/>
  <c r="O49" i="12"/>
  <c r="O64" i="12"/>
  <c r="K109" i="12"/>
  <c r="I116" i="12"/>
  <c r="K116" i="12" s="1"/>
  <c r="K127" i="12"/>
  <c r="M142" i="12"/>
  <c r="T187" i="12"/>
  <c r="K229" i="12"/>
  <c r="T308" i="12"/>
  <c r="Q305" i="12"/>
  <c r="R413" i="12"/>
  <c r="Q416" i="12"/>
  <c r="T416" i="12" s="1"/>
  <c r="T418" i="12"/>
  <c r="Q415" i="12"/>
  <c r="Q413" i="12" s="1"/>
  <c r="N558" i="12"/>
  <c r="N557" i="12"/>
  <c r="N555" i="12" s="1"/>
  <c r="P162" i="11"/>
  <c r="M192" i="11"/>
  <c r="P192" i="11" s="1"/>
  <c r="P308" i="11"/>
  <c r="L378" i="11"/>
  <c r="O378" i="11" s="1"/>
  <c r="N601" i="11"/>
  <c r="N599" i="11" s="1"/>
  <c r="R44" i="12"/>
  <c r="U44" i="12" s="1"/>
  <c r="R59" i="12"/>
  <c r="U59" i="12" s="1"/>
  <c r="O77" i="12"/>
  <c r="L78" i="12"/>
  <c r="O78" i="12" s="1"/>
  <c r="O80" i="12"/>
  <c r="P118" i="12"/>
  <c r="L189" i="12"/>
  <c r="O189" i="12" s="1"/>
  <c r="O191" i="12"/>
  <c r="I238" i="12"/>
  <c r="K238" i="12" s="1"/>
  <c r="K249" i="12"/>
  <c r="I242" i="12"/>
  <c r="Q269" i="12"/>
  <c r="T269" i="12" s="1"/>
  <c r="T271" i="12"/>
  <c r="P283" i="12"/>
  <c r="I280" i="12"/>
  <c r="K280" i="12" s="1"/>
  <c r="K293" i="12"/>
  <c r="R306" i="12"/>
  <c r="U306" i="12" s="1"/>
  <c r="U308" i="12"/>
  <c r="R555" i="12"/>
  <c r="U555" i="12" s="1"/>
  <c r="U556" i="12"/>
  <c r="K167" i="11"/>
  <c r="U194" i="11"/>
  <c r="O338" i="11"/>
  <c r="O604" i="11"/>
  <c r="P77" i="12"/>
  <c r="P144" i="12"/>
  <c r="R188" i="12"/>
  <c r="M189" i="12"/>
  <c r="P189" i="12" s="1"/>
  <c r="P191" i="12"/>
  <c r="R192" i="12"/>
  <c r="U192" i="12" s="1"/>
  <c r="U194" i="12"/>
  <c r="U271" i="12"/>
  <c r="R269" i="12"/>
  <c r="U269" i="12" s="1"/>
  <c r="Q306" i="12"/>
  <c r="T306" i="12" s="1"/>
  <c r="N540" i="12"/>
  <c r="N536" i="12"/>
  <c r="N534" i="12" s="1"/>
  <c r="O556" i="12"/>
  <c r="T125" i="11"/>
  <c r="L179" i="11"/>
  <c r="O179" i="11" s="1"/>
  <c r="P181" i="11"/>
  <c r="K783" i="11"/>
  <c r="R74" i="12"/>
  <c r="Q96" i="12"/>
  <c r="Q142" i="12"/>
  <c r="T144" i="12"/>
  <c r="L233" i="12"/>
  <c r="L254" i="12"/>
  <c r="R303" i="12"/>
  <c r="Q282" i="12"/>
  <c r="T282" i="12" s="1"/>
  <c r="M305" i="12"/>
  <c r="M339" i="12"/>
  <c r="P339" i="12" s="1"/>
  <c r="P341" i="12"/>
  <c r="M335" i="12"/>
  <c r="K344" i="12"/>
  <c r="I332" i="12"/>
  <c r="T357" i="12"/>
  <c r="Q356" i="12"/>
  <c r="T356" i="12" s="1"/>
  <c r="L392" i="12"/>
  <c r="O392" i="12" s="1"/>
  <c r="O394" i="12"/>
  <c r="P416" i="12"/>
  <c r="R416" i="12"/>
  <c r="U416" i="12" s="1"/>
  <c r="U418" i="12"/>
  <c r="L326" i="12"/>
  <c r="O326" i="12" s="1"/>
  <c r="O328" i="12"/>
  <c r="L322" i="12"/>
  <c r="N339" i="12"/>
  <c r="N335" i="12"/>
  <c r="U357" i="12"/>
  <c r="R356" i="12"/>
  <c r="U356" i="12" s="1"/>
  <c r="L419" i="12"/>
  <c r="O419" i="12" s="1"/>
  <c r="O421" i="12"/>
  <c r="O521" i="12"/>
  <c r="L515" i="12"/>
  <c r="L519" i="12"/>
  <c r="O519" i="12" s="1"/>
  <c r="T621" i="12"/>
  <c r="Q618" i="12"/>
  <c r="Q616" i="12" s="1"/>
  <c r="Q619" i="12"/>
  <c r="T619" i="12" s="1"/>
  <c r="T691" i="12"/>
  <c r="Q690" i="12"/>
  <c r="K705" i="12"/>
  <c r="I701" i="12"/>
  <c r="M284" i="12"/>
  <c r="M285" i="12"/>
  <c r="M309" i="12"/>
  <c r="P309" i="12" s="1"/>
  <c r="M326" i="12"/>
  <c r="P326" i="12" s="1"/>
  <c r="P328" i="12"/>
  <c r="M322" i="12"/>
  <c r="I374" i="12"/>
  <c r="K386" i="12"/>
  <c r="L416" i="12"/>
  <c r="O416" i="12" s="1"/>
  <c r="O418" i="12"/>
  <c r="K457" i="12"/>
  <c r="T498" i="12"/>
  <c r="Q495" i="12"/>
  <c r="P521" i="12"/>
  <c r="M515" i="12"/>
  <c r="P515" i="12" s="1"/>
  <c r="M642" i="12"/>
  <c r="P642" i="12" s="1"/>
  <c r="P644" i="12"/>
  <c r="J351" i="12"/>
  <c r="O357" i="12"/>
  <c r="M359" i="12"/>
  <c r="P361" i="12"/>
  <c r="P376" i="12"/>
  <c r="J374" i="12"/>
  <c r="K433" i="12"/>
  <c r="N516" i="12"/>
  <c r="N515" i="12"/>
  <c r="N513" i="12" s="1"/>
  <c r="P560" i="12"/>
  <c r="M558" i="12"/>
  <c r="P558" i="12" s="1"/>
  <c r="M557" i="12"/>
  <c r="Q605" i="12"/>
  <c r="T605" i="12" s="1"/>
  <c r="T607" i="12"/>
  <c r="P514" i="12"/>
  <c r="N582" i="12"/>
  <c r="N578" i="12"/>
  <c r="N576" i="12" s="1"/>
  <c r="Q602" i="12"/>
  <c r="T602" i="12" s="1"/>
  <c r="T604" i="12"/>
  <c r="T643" i="12"/>
  <c r="K689" i="12"/>
  <c r="Q714" i="12"/>
  <c r="T714" i="12" s="1"/>
  <c r="T716" i="12"/>
  <c r="L496" i="12"/>
  <c r="O496" i="12" s="1"/>
  <c r="Q601" i="12"/>
  <c r="U617" i="12"/>
  <c r="L540" i="12"/>
  <c r="O540" i="12" s="1"/>
  <c r="O542" i="12"/>
  <c r="L536" i="12"/>
  <c r="O617" i="12"/>
  <c r="L616" i="12"/>
  <c r="O616" i="12" s="1"/>
  <c r="L358" i="12"/>
  <c r="L356" i="12" s="1"/>
  <c r="K441" i="12"/>
  <c r="P542" i="12"/>
  <c r="M536" i="12"/>
  <c r="T556" i="12"/>
  <c r="Q555" i="12"/>
  <c r="T555" i="12" s="1"/>
  <c r="L558" i="12"/>
  <c r="O558" i="12" s="1"/>
  <c r="O560" i="12"/>
  <c r="Q576" i="12"/>
  <c r="T576" i="12" s="1"/>
  <c r="T578" i="12"/>
  <c r="M690" i="12"/>
  <c r="P690" i="12" s="1"/>
  <c r="P692" i="12"/>
  <c r="K707" i="12"/>
  <c r="L578" i="12"/>
  <c r="O584" i="12"/>
  <c r="K626" i="12"/>
  <c r="K630" i="12"/>
  <c r="R730" i="12"/>
  <c r="U730" i="12" s="1"/>
  <c r="U733" i="12"/>
  <c r="S762" i="12"/>
  <c r="S760" i="12" s="1"/>
  <c r="M578" i="12"/>
  <c r="S693" i="12"/>
  <c r="T695" i="12"/>
  <c r="S763" i="12"/>
  <c r="T763" i="12" s="1"/>
  <c r="O560" i="11"/>
  <c r="L558" i="11"/>
  <c r="O558" i="11" s="1"/>
  <c r="L557" i="11"/>
  <c r="O557" i="11" s="1"/>
  <c r="N46" i="11"/>
  <c r="N44" i="11" s="1"/>
  <c r="N47" i="11"/>
  <c r="O47" i="11" s="1"/>
  <c r="P75" i="11"/>
  <c r="Q78" i="11"/>
  <c r="T78" i="11" s="1"/>
  <c r="S96" i="11"/>
  <c r="S94" i="11" s="1"/>
  <c r="Q119" i="11"/>
  <c r="K127" i="11"/>
  <c r="R142" i="11"/>
  <c r="U142" i="11" s="1"/>
  <c r="O147" i="11"/>
  <c r="S173" i="11"/>
  <c r="S176" i="11"/>
  <c r="M175" i="11"/>
  <c r="M173" i="11" s="1"/>
  <c r="S189" i="11"/>
  <c r="U189" i="11" s="1"/>
  <c r="P191" i="11"/>
  <c r="L268" i="11"/>
  <c r="P287" i="11"/>
  <c r="N284" i="11"/>
  <c r="N282" i="11" s="1"/>
  <c r="N305" i="11"/>
  <c r="N303" i="11" s="1"/>
  <c r="I319" i="11"/>
  <c r="K319" i="11" s="1"/>
  <c r="S692" i="11"/>
  <c r="S690" i="11" s="1"/>
  <c r="S693" i="11"/>
  <c r="T693" i="11" s="1"/>
  <c r="K709" i="11"/>
  <c r="L306" i="11"/>
  <c r="O306" i="11" s="1"/>
  <c r="O308" i="11"/>
  <c r="L23" i="11"/>
  <c r="L21" i="11" s="1"/>
  <c r="O64" i="11"/>
  <c r="N74" i="11"/>
  <c r="N72" i="11" s="1"/>
  <c r="U144" i="11"/>
  <c r="Q192" i="11"/>
  <c r="T192" i="11" s="1"/>
  <c r="I221" i="11"/>
  <c r="K221" i="11" s="1"/>
  <c r="I253" i="11"/>
  <c r="K253" i="11" s="1"/>
  <c r="Q268" i="11"/>
  <c r="T268" i="11" s="1"/>
  <c r="L272" i="11"/>
  <c r="O272" i="11" s="1"/>
  <c r="O364" i="11"/>
  <c r="L362" i="11"/>
  <c r="O362" i="11" s="1"/>
  <c r="M419" i="11"/>
  <c r="P419" i="11" s="1"/>
  <c r="P421" i="11"/>
  <c r="P607" i="11"/>
  <c r="M605" i="11"/>
  <c r="P605" i="11" s="1"/>
  <c r="O62" i="11"/>
  <c r="T77" i="11"/>
  <c r="L100" i="11"/>
  <c r="O100" i="11" s="1"/>
  <c r="T191" i="11"/>
  <c r="O287" i="11"/>
  <c r="L326" i="11"/>
  <c r="O326" i="11" s="1"/>
  <c r="R415" i="11"/>
  <c r="U418" i="11"/>
  <c r="R416" i="11"/>
  <c r="Q496" i="11"/>
  <c r="T496" i="11" s="1"/>
  <c r="T498" i="11"/>
  <c r="Q495" i="11"/>
  <c r="T495" i="11" s="1"/>
  <c r="M582" i="11"/>
  <c r="P582" i="11" s="1"/>
  <c r="P584" i="11"/>
  <c r="K631" i="11"/>
  <c r="I615" i="11"/>
  <c r="K615" i="11" s="1"/>
  <c r="K632" i="11"/>
  <c r="R645" i="11"/>
  <c r="U645" i="11" s="1"/>
  <c r="R644" i="11"/>
  <c r="R642" i="11" s="1"/>
  <c r="Q23" i="11"/>
  <c r="Q26" i="11"/>
  <c r="T26" i="11" s="1"/>
  <c r="R23" i="11"/>
  <c r="R21" i="11" s="1"/>
  <c r="L96" i="11"/>
  <c r="O96" i="11" s="1"/>
  <c r="S97" i="11"/>
  <c r="P99" i="11"/>
  <c r="L123" i="11"/>
  <c r="O123" i="11" s="1"/>
  <c r="Q145" i="11"/>
  <c r="T145" i="11" s="1"/>
  <c r="M163" i="11"/>
  <c r="P163" i="11" s="1"/>
  <c r="L175" i="11"/>
  <c r="L173" i="11" s="1"/>
  <c r="R305" i="11"/>
  <c r="U305" i="11" s="1"/>
  <c r="M339" i="11"/>
  <c r="P339" i="11" s="1"/>
  <c r="T380" i="11"/>
  <c r="Q378" i="11"/>
  <c r="T378" i="11" s="1"/>
  <c r="S415" i="11"/>
  <c r="S413" i="11" s="1"/>
  <c r="S416" i="11"/>
  <c r="O311" i="11"/>
  <c r="L377" i="11"/>
  <c r="J702" i="11"/>
  <c r="K707" i="11"/>
  <c r="M377" i="11"/>
  <c r="P377" i="11" s="1"/>
  <c r="R496" i="11"/>
  <c r="U496" i="11" s="1"/>
  <c r="M515" i="11"/>
  <c r="M536" i="11"/>
  <c r="M534" i="11" s="1"/>
  <c r="N557" i="11"/>
  <c r="N555" i="11" s="1"/>
  <c r="K778" i="11"/>
  <c r="P176" i="11"/>
  <c r="K195" i="11"/>
  <c r="O607" i="11"/>
  <c r="L605" i="11"/>
  <c r="O605" i="11" s="1"/>
  <c r="Q731" i="11"/>
  <c r="T733" i="11"/>
  <c r="N23" i="11"/>
  <c r="L26" i="11"/>
  <c r="O26" i="11" s="1"/>
  <c r="L65" i="11"/>
  <c r="O65" i="11" s="1"/>
  <c r="N61" i="11"/>
  <c r="N59" i="11" s="1"/>
  <c r="L74" i="11"/>
  <c r="S74" i="11"/>
  <c r="N78" i="11"/>
  <c r="M119" i="11"/>
  <c r="P119" i="11" s="1"/>
  <c r="S120" i="11"/>
  <c r="T120" i="11" s="1"/>
  <c r="T122" i="11"/>
  <c r="N119" i="11"/>
  <c r="N117" i="11" s="1"/>
  <c r="I136" i="11"/>
  <c r="K136" i="11" s="1"/>
  <c r="L160" i="11"/>
  <c r="O165" i="11"/>
  <c r="L243" i="11"/>
  <c r="R268" i="11"/>
  <c r="U268" i="11" s="1"/>
  <c r="M272" i="11"/>
  <c r="P272" i="11" s="1"/>
  <c r="M285" i="11"/>
  <c r="P285" i="11" s="1"/>
  <c r="M306" i="11"/>
  <c r="P306" i="11" s="1"/>
  <c r="T308" i="11"/>
  <c r="N322" i="11"/>
  <c r="N320" i="11" s="1"/>
  <c r="J332" i="11"/>
  <c r="K503" i="11"/>
  <c r="I492" i="11"/>
  <c r="K492" i="11" s="1"/>
  <c r="L519" i="11"/>
  <c r="O519" i="11" s="1"/>
  <c r="N536" i="11"/>
  <c r="N534" i="11" s="1"/>
  <c r="M557" i="11"/>
  <c r="P560" i="11"/>
  <c r="M558" i="11"/>
  <c r="P558" i="11" s="1"/>
  <c r="L578" i="11"/>
  <c r="O578" i="11" s="1"/>
  <c r="L579" i="11"/>
  <c r="O579" i="11" s="1"/>
  <c r="R605" i="11"/>
  <c r="U605" i="11" s="1"/>
  <c r="T645" i="11"/>
  <c r="T647" i="11"/>
  <c r="R693" i="11"/>
  <c r="R692" i="11"/>
  <c r="Q730" i="11"/>
  <c r="Q728" i="11" s="1"/>
  <c r="I759" i="11"/>
  <c r="K759" i="11" s="1"/>
  <c r="N26" i="11"/>
  <c r="N24" i="11" s="1"/>
  <c r="M46" i="11"/>
  <c r="M44" i="11" s="1"/>
  <c r="P52" i="11"/>
  <c r="P62" i="11"/>
  <c r="P67" i="11"/>
  <c r="M74" i="11"/>
  <c r="M72" i="11" s="1"/>
  <c r="L75" i="11"/>
  <c r="O75" i="11" s="1"/>
  <c r="I83" i="11"/>
  <c r="Q96" i="11"/>
  <c r="P125" i="11"/>
  <c r="L142" i="11"/>
  <c r="O142" i="11" s="1"/>
  <c r="R175" i="11"/>
  <c r="R176" i="11"/>
  <c r="U176" i="11" s="1"/>
  <c r="R188" i="11"/>
  <c r="I281" i="11"/>
  <c r="K281" i="11" s="1"/>
  <c r="M284" i="11"/>
  <c r="P328" i="11"/>
  <c r="K344" i="11"/>
  <c r="I365" i="11"/>
  <c r="K365" i="11" s="1"/>
  <c r="Q377" i="11"/>
  <c r="N378" i="11"/>
  <c r="M381" i="11"/>
  <c r="P381" i="11" s="1"/>
  <c r="O418" i="11"/>
  <c r="M578" i="11"/>
  <c r="R602" i="11"/>
  <c r="U602" i="11" s="1"/>
  <c r="R601" i="11"/>
  <c r="S644" i="11"/>
  <c r="S642" i="11" s="1"/>
  <c r="I701" i="11"/>
  <c r="K703" i="11"/>
  <c r="K785" i="11"/>
  <c r="M61" i="11"/>
  <c r="N160" i="11"/>
  <c r="P160" i="11" s="1"/>
  <c r="S303" i="11"/>
  <c r="P383" i="11"/>
  <c r="M416" i="11"/>
  <c r="M415" i="11"/>
  <c r="P563" i="11"/>
  <c r="M561" i="11"/>
  <c r="P561" i="11" s="1"/>
  <c r="L601" i="11"/>
  <c r="R618" i="11"/>
  <c r="U618" i="11" s="1"/>
  <c r="R619" i="11"/>
  <c r="T765" i="11"/>
  <c r="U765" i="11"/>
  <c r="R26" i="11"/>
  <c r="U26" i="11" s="1"/>
  <c r="R78" i="11"/>
  <c r="U78" i="11" s="1"/>
  <c r="I93" i="11"/>
  <c r="K93" i="11" s="1"/>
  <c r="M100" i="11"/>
  <c r="P100" i="11" s="1"/>
  <c r="L141" i="11"/>
  <c r="I172" i="11"/>
  <c r="K172" i="11" s="1"/>
  <c r="P178" i="11"/>
  <c r="K198" i="11"/>
  <c r="L222" i="11"/>
  <c r="O222" i="11" s="1"/>
  <c r="M268" i="11"/>
  <c r="M266" i="11" s="1"/>
  <c r="I302" i="11"/>
  <c r="K302" i="11" s="1"/>
  <c r="S306" i="11"/>
  <c r="U306" i="11" s="1"/>
  <c r="U308" i="11"/>
  <c r="N499" i="11"/>
  <c r="N495" i="11"/>
  <c r="N493" i="11" s="1"/>
  <c r="L515" i="11"/>
  <c r="O515" i="11" s="1"/>
  <c r="O540" i="11"/>
  <c r="O542" i="11"/>
  <c r="P604" i="11"/>
  <c r="M601" i="11"/>
  <c r="Q74" i="11"/>
  <c r="Q75" i="11"/>
  <c r="T75" i="11" s="1"/>
  <c r="U75" i="11"/>
  <c r="M96" i="11"/>
  <c r="L97" i="11"/>
  <c r="O97" i="11" s="1"/>
  <c r="U122" i="11"/>
  <c r="S141" i="11"/>
  <c r="S139" i="11" s="1"/>
  <c r="S159" i="11"/>
  <c r="S157" i="11" s="1"/>
  <c r="L188" i="11"/>
  <c r="R269" i="11"/>
  <c r="T271" i="11"/>
  <c r="O285" i="11"/>
  <c r="L305" i="11"/>
  <c r="M309" i="11"/>
  <c r="P309" i="11" s="1"/>
  <c r="L335" i="11"/>
  <c r="L333" i="11" s="1"/>
  <c r="L336" i="11"/>
  <c r="O361" i="11"/>
  <c r="P364" i="11"/>
  <c r="T397" i="11"/>
  <c r="P418" i="11"/>
  <c r="L495" i="11"/>
  <c r="O495" i="11" s="1"/>
  <c r="L499" i="11"/>
  <c r="O499" i="11" s="1"/>
  <c r="L537" i="11"/>
  <c r="O537" i="11" s="1"/>
  <c r="L536" i="11"/>
  <c r="P540" i="11"/>
  <c r="O563" i="11"/>
  <c r="L582" i="11"/>
  <c r="O582" i="11" s="1"/>
  <c r="Q601" i="11"/>
  <c r="Q599" i="11" s="1"/>
  <c r="T599" i="11" s="1"/>
  <c r="S731" i="11"/>
  <c r="U731" i="11" s="1"/>
  <c r="T418" i="11"/>
  <c r="M519" i="11"/>
  <c r="P519" i="11" s="1"/>
  <c r="U695" i="11"/>
  <c r="P542" i="11"/>
  <c r="O602" i="11"/>
  <c r="U647" i="11"/>
  <c r="J674" i="11"/>
  <c r="K674" i="11" s="1"/>
  <c r="T695" i="11"/>
  <c r="K705" i="11"/>
  <c r="T621" i="11"/>
  <c r="K678" i="11"/>
  <c r="K781" i="11"/>
  <c r="T321" i="11"/>
  <c r="Q320" i="11"/>
  <c r="T320" i="11" s="1"/>
  <c r="M23" i="11"/>
  <c r="M21" i="11" s="1"/>
  <c r="S23" i="11"/>
  <c r="S21" i="11" s="1"/>
  <c r="M26" i="11"/>
  <c r="P26" i="11" s="1"/>
  <c r="S26" i="11"/>
  <c r="S24" i="11" s="1"/>
  <c r="L120" i="11"/>
  <c r="O120" i="11" s="1"/>
  <c r="R120" i="11"/>
  <c r="M142" i="11"/>
  <c r="P142" i="11" s="1"/>
  <c r="O176" i="11"/>
  <c r="Q188" i="11"/>
  <c r="O191" i="11"/>
  <c r="T214" i="11"/>
  <c r="K249" i="11"/>
  <c r="I242" i="11"/>
  <c r="I412" i="11"/>
  <c r="K412" i="11" s="1"/>
  <c r="K423" i="11"/>
  <c r="Q44" i="11"/>
  <c r="T44" i="11" s="1"/>
  <c r="Q59" i="11"/>
  <c r="T59" i="11" s="1"/>
  <c r="U77" i="11"/>
  <c r="Q141" i="11"/>
  <c r="Q159" i="11"/>
  <c r="Q175" i="11"/>
  <c r="N336" i="11"/>
  <c r="P336" i="11" s="1"/>
  <c r="P338" i="11"/>
  <c r="P49" i="11"/>
  <c r="P64" i="11"/>
  <c r="P77" i="11"/>
  <c r="P80" i="11"/>
  <c r="T99" i="11"/>
  <c r="K108" i="11"/>
  <c r="L119" i="11"/>
  <c r="O119" i="11" s="1"/>
  <c r="R119" i="11"/>
  <c r="U125" i="11"/>
  <c r="P147" i="11"/>
  <c r="K153" i="11"/>
  <c r="P158" i="11"/>
  <c r="T162" i="11"/>
  <c r="P174" i="11"/>
  <c r="T178" i="11"/>
  <c r="L254" i="11"/>
  <c r="O254" i="11" s="1"/>
  <c r="U267" i="11"/>
  <c r="L288" i="11"/>
  <c r="O288" i="11" s="1"/>
  <c r="O290" i="11"/>
  <c r="L284" i="11"/>
  <c r="P304" i="11"/>
  <c r="M323" i="11"/>
  <c r="P323" i="11" s="1"/>
  <c r="P325" i="11"/>
  <c r="Q97" i="11"/>
  <c r="M141" i="11"/>
  <c r="Q142" i="11"/>
  <c r="T142" i="11" s="1"/>
  <c r="O162" i="11"/>
  <c r="O178" i="11"/>
  <c r="M188" i="11"/>
  <c r="O267" i="11"/>
  <c r="M322" i="11"/>
  <c r="P322" i="11" s="1"/>
  <c r="U334" i="11"/>
  <c r="R333" i="11"/>
  <c r="U333" i="11" s="1"/>
  <c r="L46" i="11"/>
  <c r="L61" i="11"/>
  <c r="N159" i="11"/>
  <c r="N175" i="11"/>
  <c r="U191" i="11"/>
  <c r="L203" i="11"/>
  <c r="O203" i="11" s="1"/>
  <c r="L214" i="11"/>
  <c r="O214" i="11" s="1"/>
  <c r="N269" i="11"/>
  <c r="P269" i="11" s="1"/>
  <c r="P271" i="11"/>
  <c r="P283" i="11"/>
  <c r="O334" i="11"/>
  <c r="O271" i="11"/>
  <c r="I280" i="11"/>
  <c r="K280" i="11" s="1"/>
  <c r="M359" i="11"/>
  <c r="P359" i="11" s="1"/>
  <c r="P361" i="11"/>
  <c r="U397" i="11"/>
  <c r="R394" i="11"/>
  <c r="R395" i="11"/>
  <c r="U395" i="11" s="1"/>
  <c r="T357" i="11"/>
  <c r="Q356" i="11"/>
  <c r="T356" i="11" s="1"/>
  <c r="P376" i="11"/>
  <c r="K689" i="11"/>
  <c r="P414" i="11"/>
  <c r="S392" i="11"/>
  <c r="L322" i="11"/>
  <c r="I332" i="11"/>
  <c r="M335" i="11"/>
  <c r="P393" i="11"/>
  <c r="M392" i="11"/>
  <c r="P392" i="11" s="1"/>
  <c r="I456" i="11"/>
  <c r="K456" i="11" s="1"/>
  <c r="K457" i="11"/>
  <c r="J503" i="11"/>
  <c r="J492" i="11" s="1"/>
  <c r="Q619" i="11"/>
  <c r="K626" i="11"/>
  <c r="K630" i="11"/>
  <c r="R730" i="11"/>
  <c r="U733" i="11"/>
  <c r="S762" i="11"/>
  <c r="S760" i="11" s="1"/>
  <c r="S395" i="11"/>
  <c r="R555" i="11"/>
  <c r="U555" i="11" s="1"/>
  <c r="L616" i="11"/>
  <c r="O616" i="11" s="1"/>
  <c r="K440" i="11"/>
  <c r="P498" i="11"/>
  <c r="P501" i="11"/>
  <c r="N515" i="11"/>
  <c r="N513" i="11" s="1"/>
  <c r="Q534" i="11"/>
  <c r="T534" i="11" s="1"/>
  <c r="O539" i="11"/>
  <c r="N578" i="11"/>
  <c r="N576" i="11" s="1"/>
  <c r="T578" i="11"/>
  <c r="T604" i="11"/>
  <c r="T607" i="11"/>
  <c r="Q618" i="11"/>
  <c r="P644" i="11"/>
  <c r="P692" i="11"/>
  <c r="T716" i="11"/>
  <c r="O762" i="11"/>
  <c r="Q513" i="11"/>
  <c r="T513" i="11" s="1"/>
  <c r="O518" i="11"/>
  <c r="R534" i="11"/>
  <c r="U534" i="11" s="1"/>
  <c r="P539" i="11"/>
  <c r="S763" i="11"/>
  <c r="T763" i="11" s="1"/>
  <c r="M123" i="8"/>
  <c r="P123" i="8" s="1"/>
  <c r="M602" i="9"/>
  <c r="P602" i="9" s="1"/>
  <c r="L578" i="5"/>
  <c r="L576" i="5" s="1"/>
  <c r="R762" i="6"/>
  <c r="R760" i="6" s="1"/>
  <c r="S214" i="1"/>
  <c r="S715" i="1"/>
  <c r="P761" i="10"/>
  <c r="M309" i="7"/>
  <c r="P309" i="7" s="1"/>
  <c r="R268" i="1"/>
  <c r="M714" i="10"/>
  <c r="P714" i="10" s="1"/>
  <c r="R714" i="10"/>
  <c r="U714" i="10" s="1"/>
  <c r="L714" i="10"/>
  <c r="O714" i="10" s="1"/>
  <c r="N175" i="9"/>
  <c r="N173" i="9" s="1"/>
  <c r="S188" i="9"/>
  <c r="S186" i="9" s="1"/>
  <c r="O643" i="10"/>
  <c r="L267" i="1"/>
  <c r="O267" i="1" s="1"/>
  <c r="M19" i="10"/>
  <c r="P19" i="10" s="1"/>
  <c r="R555" i="10"/>
  <c r="U555" i="10" s="1"/>
  <c r="U577" i="10"/>
  <c r="S493" i="10"/>
  <c r="R513" i="10"/>
  <c r="U513" i="10" s="1"/>
  <c r="S392" i="10"/>
  <c r="N392" i="10"/>
  <c r="U122" i="10"/>
  <c r="N19" i="10"/>
  <c r="N731" i="1"/>
  <c r="M145" i="8"/>
  <c r="P145" i="8" s="1"/>
  <c r="M272" i="10"/>
  <c r="P272" i="10" s="1"/>
  <c r="L120" i="10"/>
  <c r="O120" i="10" s="1"/>
  <c r="Q19" i="10"/>
  <c r="T19" i="10" s="1"/>
  <c r="P25" i="10"/>
  <c r="L235" i="10"/>
  <c r="I136" i="9"/>
  <c r="K136" i="9" s="1"/>
  <c r="R19" i="10"/>
  <c r="U19" i="10" s="1"/>
  <c r="O560" i="9"/>
  <c r="T178" i="10"/>
  <c r="L19" i="10"/>
  <c r="O19" i="10" s="1"/>
  <c r="N74" i="10"/>
  <c r="N72" i="10" s="1"/>
  <c r="I202" i="10"/>
  <c r="K202" i="10" s="1"/>
  <c r="M582" i="10"/>
  <c r="P582" i="10" s="1"/>
  <c r="L234" i="9"/>
  <c r="M145" i="9"/>
  <c r="P145" i="9" s="1"/>
  <c r="M495" i="10"/>
  <c r="P495" i="10" s="1"/>
  <c r="N557" i="10"/>
  <c r="N555" i="10" s="1"/>
  <c r="K784" i="9"/>
  <c r="R145" i="10"/>
  <c r="U145" i="10" s="1"/>
  <c r="L222" i="10"/>
  <c r="O222" i="10" s="1"/>
  <c r="N305" i="10"/>
  <c r="N303" i="10" s="1"/>
  <c r="P501" i="10"/>
  <c r="L558" i="10"/>
  <c r="O558" i="10" s="1"/>
  <c r="Q644" i="10"/>
  <c r="T644" i="10" s="1"/>
  <c r="U765" i="10"/>
  <c r="R415" i="10"/>
  <c r="R413" i="10" s="1"/>
  <c r="N536" i="10"/>
  <c r="N534" i="10" s="1"/>
  <c r="S619" i="10"/>
  <c r="T647" i="10"/>
  <c r="K703" i="10"/>
  <c r="K709" i="10"/>
  <c r="R96" i="10"/>
  <c r="R94" i="10" s="1"/>
  <c r="I172" i="10"/>
  <c r="K172" i="10" s="1"/>
  <c r="Q75" i="9"/>
  <c r="T75" i="9" s="1"/>
  <c r="N415" i="10"/>
  <c r="N413" i="10" s="1"/>
  <c r="N335" i="9"/>
  <c r="N333" i="9" s="1"/>
  <c r="K782" i="9"/>
  <c r="O67" i="10"/>
  <c r="R119" i="10"/>
  <c r="R117" i="10" s="1"/>
  <c r="L159" i="10"/>
  <c r="O159" i="10" s="1"/>
  <c r="N558" i="10"/>
  <c r="L601" i="10"/>
  <c r="O601" i="10" s="1"/>
  <c r="U125" i="10"/>
  <c r="Q175" i="10"/>
  <c r="T175" i="10" s="1"/>
  <c r="O189" i="10"/>
  <c r="I213" i="10"/>
  <c r="K213" i="10" s="1"/>
  <c r="M323" i="10"/>
  <c r="P323" i="10" s="1"/>
  <c r="L496" i="10"/>
  <c r="O496" i="10" s="1"/>
  <c r="J701" i="10"/>
  <c r="T733" i="10"/>
  <c r="K774" i="10"/>
  <c r="L233" i="9"/>
  <c r="K780" i="9"/>
  <c r="R120" i="10"/>
  <c r="U120" i="10" s="1"/>
  <c r="K153" i="10"/>
  <c r="I281" i="10"/>
  <c r="K281" i="10" s="1"/>
  <c r="M578" i="10"/>
  <c r="P578" i="10" s="1"/>
  <c r="L579" i="10"/>
  <c r="O579" i="10" s="1"/>
  <c r="S618" i="9"/>
  <c r="S616" i="9" s="1"/>
  <c r="O271" i="10"/>
  <c r="L339" i="10"/>
  <c r="O339" i="10" s="1"/>
  <c r="K780" i="10"/>
  <c r="O62" i="9"/>
  <c r="K709" i="9"/>
  <c r="U765" i="9"/>
  <c r="Q74" i="10"/>
  <c r="Q72" i="10" s="1"/>
  <c r="Q96" i="10"/>
  <c r="Q94" i="10" s="1"/>
  <c r="Q145" i="10"/>
  <c r="T145" i="10" s="1"/>
  <c r="N268" i="10"/>
  <c r="N266" i="10" s="1"/>
  <c r="M50" i="9"/>
  <c r="P50" i="9" s="1"/>
  <c r="S26" i="10"/>
  <c r="S24" i="10" s="1"/>
  <c r="M141" i="10"/>
  <c r="P141" i="10" s="1"/>
  <c r="R160" i="10"/>
  <c r="U160" i="10" s="1"/>
  <c r="U162" i="10"/>
  <c r="L192" i="10"/>
  <c r="O192" i="10" s="1"/>
  <c r="K344" i="10"/>
  <c r="K371" i="10"/>
  <c r="Q377" i="10"/>
  <c r="Q375" i="10" s="1"/>
  <c r="T380" i="10"/>
  <c r="S415" i="10"/>
  <c r="S413" i="10" s="1"/>
  <c r="L499" i="10"/>
  <c r="O499" i="10" s="1"/>
  <c r="O604" i="10"/>
  <c r="S141" i="9"/>
  <c r="S139" i="9" s="1"/>
  <c r="R74" i="10"/>
  <c r="R72" i="10" s="1"/>
  <c r="L142" i="10"/>
  <c r="O142" i="10" s="1"/>
  <c r="I156" i="10"/>
  <c r="K156" i="10" s="1"/>
  <c r="L214" i="10"/>
  <c r="O214" i="10" s="1"/>
  <c r="S378" i="10"/>
  <c r="T378" i="10" s="1"/>
  <c r="S496" i="10"/>
  <c r="L537" i="10"/>
  <c r="O537" i="10" s="1"/>
  <c r="L561" i="10"/>
  <c r="O561" i="10" s="1"/>
  <c r="R763" i="10"/>
  <c r="U763" i="10" s="1"/>
  <c r="S74" i="9"/>
  <c r="S72" i="9" s="1"/>
  <c r="I137" i="10"/>
  <c r="K137" i="10" s="1"/>
  <c r="M142" i="10"/>
  <c r="P142" i="10" s="1"/>
  <c r="Q693" i="10"/>
  <c r="T693" i="10" s="1"/>
  <c r="P67" i="10"/>
  <c r="R175" i="10"/>
  <c r="U175" i="10" s="1"/>
  <c r="P194" i="10"/>
  <c r="M415" i="10"/>
  <c r="M413" i="10" s="1"/>
  <c r="M558" i="10"/>
  <c r="P558" i="10" s="1"/>
  <c r="L602" i="10"/>
  <c r="O602" i="10" s="1"/>
  <c r="R605" i="10"/>
  <c r="U605" i="10" s="1"/>
  <c r="Q730" i="10"/>
  <c r="Q728" i="10" s="1"/>
  <c r="S375" i="10"/>
  <c r="N141" i="9"/>
  <c r="N139" i="9" s="1"/>
  <c r="S160" i="9"/>
  <c r="N336" i="9"/>
  <c r="O336" i="9" s="1"/>
  <c r="N495" i="9"/>
  <c r="N493" i="9" s="1"/>
  <c r="L61" i="10"/>
  <c r="L59" i="10" s="1"/>
  <c r="O62" i="10"/>
  <c r="N65" i="10"/>
  <c r="P65" i="10" s="1"/>
  <c r="K109" i="10"/>
  <c r="M120" i="10"/>
  <c r="P120" i="10" s="1"/>
  <c r="R141" i="10"/>
  <c r="U141" i="10" s="1"/>
  <c r="R142" i="10"/>
  <c r="U142" i="10" s="1"/>
  <c r="S141" i="10"/>
  <c r="S139" i="10" s="1"/>
  <c r="R176" i="10"/>
  <c r="U176" i="10" s="1"/>
  <c r="P176" i="10"/>
  <c r="P181" i="10"/>
  <c r="N188" i="10"/>
  <c r="N186" i="10" s="1"/>
  <c r="L234" i="10"/>
  <c r="P271" i="10"/>
  <c r="O364" i="10"/>
  <c r="K368" i="10"/>
  <c r="M381" i="10"/>
  <c r="P381" i="10" s="1"/>
  <c r="U397" i="10"/>
  <c r="I492" i="10"/>
  <c r="K492" i="10" s="1"/>
  <c r="R495" i="10"/>
  <c r="U495" i="10" s="1"/>
  <c r="P498" i="10"/>
  <c r="P518" i="10"/>
  <c r="M537" i="10"/>
  <c r="P537" i="10" s="1"/>
  <c r="M579" i="10"/>
  <c r="P579" i="10" s="1"/>
  <c r="R601" i="10"/>
  <c r="U601" i="10" s="1"/>
  <c r="K632" i="10"/>
  <c r="K784" i="10"/>
  <c r="T75" i="10"/>
  <c r="P383" i="9"/>
  <c r="M61" i="10"/>
  <c r="O64" i="10"/>
  <c r="N96" i="10"/>
  <c r="N94" i="10" s="1"/>
  <c r="O162" i="10"/>
  <c r="P341" i="10"/>
  <c r="S601" i="10"/>
  <c r="S599" i="10" s="1"/>
  <c r="N61" i="10"/>
  <c r="N59" i="10" s="1"/>
  <c r="L119" i="10"/>
  <c r="O119" i="10" s="1"/>
  <c r="L145" i="10"/>
  <c r="O145" i="10" s="1"/>
  <c r="R157" i="10"/>
  <c r="U157" i="10" s="1"/>
  <c r="N175" i="10"/>
  <c r="N173" i="10" s="1"/>
  <c r="U191" i="10"/>
  <c r="K369" i="10"/>
  <c r="R395" i="10"/>
  <c r="U395" i="10" s="1"/>
  <c r="I615" i="10"/>
  <c r="K615" i="10" s="1"/>
  <c r="S692" i="10"/>
  <c r="S690" i="10" s="1"/>
  <c r="U693" i="10"/>
  <c r="S731" i="10"/>
  <c r="U731" i="10" s="1"/>
  <c r="K785" i="10"/>
  <c r="R176" i="9"/>
  <c r="U176" i="9" s="1"/>
  <c r="Q377" i="9"/>
  <c r="Q375" i="9" s="1"/>
  <c r="K629" i="9"/>
  <c r="O52" i="10"/>
  <c r="M119" i="10"/>
  <c r="P119" i="10" s="1"/>
  <c r="L123" i="10"/>
  <c r="O123" i="10" s="1"/>
  <c r="S119" i="10"/>
  <c r="S117" i="10" s="1"/>
  <c r="S157" i="10"/>
  <c r="L305" i="10"/>
  <c r="O305" i="10" s="1"/>
  <c r="U416" i="10"/>
  <c r="Q496" i="10"/>
  <c r="T496" i="10" s="1"/>
  <c r="L515" i="10"/>
  <c r="O515" i="10" s="1"/>
  <c r="L605" i="10"/>
  <c r="O605" i="10" s="1"/>
  <c r="J702" i="10"/>
  <c r="Q763" i="10"/>
  <c r="T763" i="10" s="1"/>
  <c r="K778" i="10"/>
  <c r="S176" i="9"/>
  <c r="U191" i="9"/>
  <c r="N284" i="9"/>
  <c r="N282" i="9" s="1"/>
  <c r="L578" i="9"/>
  <c r="L576" i="9" s="1"/>
  <c r="O576" i="9" s="1"/>
  <c r="K681" i="9"/>
  <c r="Q26" i="10"/>
  <c r="T26" i="10" s="1"/>
  <c r="T498" i="10"/>
  <c r="M605" i="10"/>
  <c r="P605" i="10" s="1"/>
  <c r="K629" i="10"/>
  <c r="L78" i="10"/>
  <c r="O78" i="10" s="1"/>
  <c r="O80" i="10"/>
  <c r="O181" i="10"/>
  <c r="L179" i="10"/>
  <c r="O179" i="10" s="1"/>
  <c r="M515" i="10"/>
  <c r="P515" i="10" s="1"/>
  <c r="P521" i="10"/>
  <c r="J675" i="10"/>
  <c r="Q142" i="9"/>
  <c r="T142" i="9" s="1"/>
  <c r="Q141" i="9"/>
  <c r="T141" i="9" s="1"/>
  <c r="I137" i="9"/>
  <c r="K137" i="9" s="1"/>
  <c r="K368" i="9"/>
  <c r="K440" i="9"/>
  <c r="I423" i="9"/>
  <c r="K423" i="9" s="1"/>
  <c r="K772" i="9"/>
  <c r="I758" i="9"/>
  <c r="K758" i="9" s="1"/>
  <c r="L26" i="10"/>
  <c r="L24" i="10" s="1"/>
  <c r="S78" i="10"/>
  <c r="P80" i="10"/>
  <c r="M78" i="10"/>
  <c r="P78" i="10" s="1"/>
  <c r="K108" i="10"/>
  <c r="I92" i="10"/>
  <c r="K92" i="10" s="1"/>
  <c r="M123" i="10"/>
  <c r="P123" i="10" s="1"/>
  <c r="P147" i="10"/>
  <c r="M145" i="10"/>
  <c r="P145" i="10" s="1"/>
  <c r="L163" i="10"/>
  <c r="O163" i="10" s="1"/>
  <c r="T271" i="10"/>
  <c r="Q269" i="10"/>
  <c r="T269" i="10" s="1"/>
  <c r="Q268" i="10"/>
  <c r="Q266" i="10" s="1"/>
  <c r="Q306" i="10"/>
  <c r="T308" i="10"/>
  <c r="Q305" i="10"/>
  <c r="Q303" i="10" s="1"/>
  <c r="I302" i="10"/>
  <c r="K302" i="10" s="1"/>
  <c r="K314" i="10"/>
  <c r="Q416" i="10"/>
  <c r="T416" i="10" s="1"/>
  <c r="Q415" i="10"/>
  <c r="T418" i="10"/>
  <c r="Q619" i="10"/>
  <c r="Q618" i="10"/>
  <c r="T618" i="10" s="1"/>
  <c r="N605" i="10"/>
  <c r="N601" i="10"/>
  <c r="N599" i="10" s="1"/>
  <c r="L96" i="10"/>
  <c r="O102" i="10"/>
  <c r="L100" i="10"/>
  <c r="O100" i="10" s="1"/>
  <c r="Q23" i="10"/>
  <c r="Q21" i="10" s="1"/>
  <c r="T122" i="10"/>
  <c r="Q120" i="10"/>
  <c r="T120" i="10" s="1"/>
  <c r="L175" i="10"/>
  <c r="L173" i="10" s="1"/>
  <c r="L176" i="10"/>
  <c r="O176" i="10" s="1"/>
  <c r="M189" i="10"/>
  <c r="P189" i="10" s="1"/>
  <c r="M188" i="10"/>
  <c r="M186" i="10" s="1"/>
  <c r="R269" i="10"/>
  <c r="U269" i="10" s="1"/>
  <c r="R268" i="10"/>
  <c r="R266" i="10" s="1"/>
  <c r="U271" i="10"/>
  <c r="O290" i="10"/>
  <c r="L288" i="10"/>
  <c r="O288" i="10" s="1"/>
  <c r="L284" i="10"/>
  <c r="L282" i="10" s="1"/>
  <c r="R306" i="10"/>
  <c r="R305" i="10"/>
  <c r="R303" i="10" s="1"/>
  <c r="I319" i="10"/>
  <c r="K319" i="10" s="1"/>
  <c r="K330" i="10"/>
  <c r="M359" i="10"/>
  <c r="P361" i="10"/>
  <c r="M519" i="10"/>
  <c r="P519" i="10" s="1"/>
  <c r="R618" i="10"/>
  <c r="R616" i="10" s="1"/>
  <c r="R619" i="10"/>
  <c r="U621" i="10"/>
  <c r="K772" i="10"/>
  <c r="I758" i="10"/>
  <c r="K758" i="10" s="1"/>
  <c r="P165" i="10"/>
  <c r="M163" i="10"/>
  <c r="P163" i="10" s="1"/>
  <c r="P77" i="9"/>
  <c r="M74" i="9"/>
  <c r="P74" i="9" s="1"/>
  <c r="T77" i="10"/>
  <c r="M100" i="10"/>
  <c r="P100" i="10" s="1"/>
  <c r="P102" i="10"/>
  <c r="L326" i="10"/>
  <c r="O326" i="10" s="1"/>
  <c r="O328" i="10"/>
  <c r="L322" i="10"/>
  <c r="O322" i="10" s="1"/>
  <c r="N359" i="10"/>
  <c r="O359" i="10" s="1"/>
  <c r="N358" i="10"/>
  <c r="N356" i="10" s="1"/>
  <c r="M377" i="10"/>
  <c r="P377" i="10" s="1"/>
  <c r="M378" i="10"/>
  <c r="P378" i="10" s="1"/>
  <c r="Q602" i="10"/>
  <c r="T602" i="10" s="1"/>
  <c r="S644" i="10"/>
  <c r="S642" i="10" s="1"/>
  <c r="S645" i="10"/>
  <c r="T695" i="10"/>
  <c r="L160" i="9"/>
  <c r="O160" i="9" s="1"/>
  <c r="O162" i="9"/>
  <c r="R75" i="10"/>
  <c r="U75" i="10" s="1"/>
  <c r="U77" i="10"/>
  <c r="S123" i="10"/>
  <c r="I238" i="10"/>
  <c r="K238" i="10" s="1"/>
  <c r="N285" i="10"/>
  <c r="N284" i="10"/>
  <c r="N282" i="10" s="1"/>
  <c r="N377" i="10"/>
  <c r="N375" i="10" s="1"/>
  <c r="N495" i="10"/>
  <c r="N493" i="10" s="1"/>
  <c r="N496" i="10"/>
  <c r="R602" i="10"/>
  <c r="U602" i="10" s="1"/>
  <c r="N159" i="9"/>
  <c r="N157" i="9" s="1"/>
  <c r="M26" i="10"/>
  <c r="M24" i="10" s="1"/>
  <c r="P52" i="10"/>
  <c r="L203" i="10"/>
  <c r="O203" i="10" s="1"/>
  <c r="K346" i="10"/>
  <c r="J351" i="10"/>
  <c r="L358" i="10"/>
  <c r="K386" i="10"/>
  <c r="L415" i="10"/>
  <c r="K457" i="10"/>
  <c r="L495" i="10"/>
  <c r="O495" i="10" s="1"/>
  <c r="K631" i="10"/>
  <c r="R645" i="10"/>
  <c r="U645" i="10" s="1"/>
  <c r="J674" i="10"/>
  <c r="S730" i="10"/>
  <c r="S728" i="10" s="1"/>
  <c r="M188" i="9"/>
  <c r="M186" i="9" s="1"/>
  <c r="M335" i="9"/>
  <c r="M333" i="9" s="1"/>
  <c r="K127" i="10"/>
  <c r="Q159" i="10"/>
  <c r="T159" i="10" s="1"/>
  <c r="Q160" i="10"/>
  <c r="T160" i="10" s="1"/>
  <c r="J374" i="10"/>
  <c r="T378" i="9"/>
  <c r="O416" i="9"/>
  <c r="J702" i="9"/>
  <c r="I195" i="10"/>
  <c r="K195" i="10" s="1"/>
  <c r="M419" i="10"/>
  <c r="P419" i="10" s="1"/>
  <c r="L557" i="10"/>
  <c r="O557" i="10" s="1"/>
  <c r="K727" i="10"/>
  <c r="K781" i="10"/>
  <c r="M23" i="9"/>
  <c r="M21" i="9" s="1"/>
  <c r="S26" i="9"/>
  <c r="S24" i="9" s="1"/>
  <c r="T191" i="9"/>
  <c r="N23" i="10"/>
  <c r="N21" i="10" s="1"/>
  <c r="I83" i="10"/>
  <c r="I71" i="10" s="1"/>
  <c r="K71" i="10" s="1"/>
  <c r="M159" i="10"/>
  <c r="M157" i="10" s="1"/>
  <c r="S188" i="10"/>
  <c r="S186" i="10" s="1"/>
  <c r="L269" i="10"/>
  <c r="O269" i="10" s="1"/>
  <c r="M288" i="10"/>
  <c r="P288" i="10" s="1"/>
  <c r="O361" i="10"/>
  <c r="K424" i="10"/>
  <c r="U695" i="10"/>
  <c r="K779" i="10"/>
  <c r="S78" i="9"/>
  <c r="T144" i="9"/>
  <c r="U162" i="9"/>
  <c r="N176" i="9"/>
  <c r="O176" i="9" s="1"/>
  <c r="S189" i="9"/>
  <c r="L214" i="9"/>
  <c r="O214" i="9" s="1"/>
  <c r="K249" i="9"/>
  <c r="L288" i="9"/>
  <c r="O288" i="9" s="1"/>
  <c r="K371" i="9"/>
  <c r="S495" i="9"/>
  <c r="S493" i="9" s="1"/>
  <c r="J675" i="9"/>
  <c r="K675" i="9" s="1"/>
  <c r="K726" i="9"/>
  <c r="T45" i="10"/>
  <c r="Q44" i="10"/>
  <c r="T44" i="10" s="1"/>
  <c r="P62" i="10"/>
  <c r="N75" i="10"/>
  <c r="O75" i="10" s="1"/>
  <c r="R78" i="10"/>
  <c r="U78" i="10" s="1"/>
  <c r="U80" i="10"/>
  <c r="T118" i="10"/>
  <c r="P140" i="10"/>
  <c r="T144" i="10"/>
  <c r="Q141" i="10"/>
  <c r="S189" i="10"/>
  <c r="T189" i="10" s="1"/>
  <c r="K229" i="10"/>
  <c r="L381" i="10"/>
  <c r="O381" i="10" s="1"/>
  <c r="O383" i="10"/>
  <c r="L377" i="10"/>
  <c r="U393" i="10"/>
  <c r="R392" i="10"/>
  <c r="U392" i="10" s="1"/>
  <c r="L23" i="9"/>
  <c r="L21" i="9" s="1"/>
  <c r="I82" i="9"/>
  <c r="I70" i="9" s="1"/>
  <c r="K70" i="9" s="1"/>
  <c r="L381" i="9"/>
  <c r="O381" i="9" s="1"/>
  <c r="K386" i="9"/>
  <c r="S394" i="9"/>
  <c r="S392" i="9" s="1"/>
  <c r="K679" i="9"/>
  <c r="R763" i="9"/>
  <c r="R44" i="10"/>
  <c r="U44" i="10" s="1"/>
  <c r="U46" i="10"/>
  <c r="Q78" i="10"/>
  <c r="T78" i="10" s="1"/>
  <c r="N141" i="10"/>
  <c r="N139" i="10" s="1"/>
  <c r="Q192" i="10"/>
  <c r="T192" i="10" s="1"/>
  <c r="Q188" i="10"/>
  <c r="T194" i="10"/>
  <c r="T304" i="10"/>
  <c r="M540" i="10"/>
  <c r="P540" i="10" s="1"/>
  <c r="P542" i="10"/>
  <c r="P62" i="9"/>
  <c r="O359" i="9"/>
  <c r="K654" i="9"/>
  <c r="J701" i="9"/>
  <c r="R762" i="9"/>
  <c r="R760" i="9" s="1"/>
  <c r="U760" i="9" s="1"/>
  <c r="L47" i="10"/>
  <c r="O47" i="10" s="1"/>
  <c r="O49" i="10"/>
  <c r="Q119" i="10"/>
  <c r="T125" i="10"/>
  <c r="K276" i="10"/>
  <c r="I265" i="10"/>
  <c r="K265" i="10" s="1"/>
  <c r="T283" i="10"/>
  <c r="Q282" i="10"/>
  <c r="T282" i="10" s="1"/>
  <c r="L336" i="10"/>
  <c r="O336" i="10" s="1"/>
  <c r="O338" i="10"/>
  <c r="L335" i="10"/>
  <c r="Q493" i="10"/>
  <c r="T493" i="10" s="1"/>
  <c r="T495" i="10"/>
  <c r="R159" i="9"/>
  <c r="R157" i="9" s="1"/>
  <c r="U157" i="9" s="1"/>
  <c r="K198" i="9"/>
  <c r="P338" i="9"/>
  <c r="K346" i="9"/>
  <c r="L23" i="10"/>
  <c r="M47" i="10"/>
  <c r="P47" i="10" s="1"/>
  <c r="P49" i="10"/>
  <c r="M23" i="10"/>
  <c r="T60" i="10"/>
  <c r="Q59" i="10"/>
  <c r="T59" i="10" s="1"/>
  <c r="P77" i="10"/>
  <c r="M75" i="10"/>
  <c r="M74" i="10"/>
  <c r="K85" i="10"/>
  <c r="S97" i="10"/>
  <c r="U97" i="10" s="1"/>
  <c r="S96" i="10"/>
  <c r="S94" i="10" s="1"/>
  <c r="S23" i="10"/>
  <c r="N120" i="10"/>
  <c r="N119" i="10"/>
  <c r="N117" i="10" s="1"/>
  <c r="U140" i="10"/>
  <c r="R192" i="10"/>
  <c r="U192" i="10" s="1"/>
  <c r="L236" i="10"/>
  <c r="L243" i="10"/>
  <c r="L272" i="10"/>
  <c r="O272" i="10" s="1"/>
  <c r="O274" i="10"/>
  <c r="L268" i="10"/>
  <c r="M306" i="10"/>
  <c r="P306" i="10" s="1"/>
  <c r="P308" i="10"/>
  <c r="M305" i="10"/>
  <c r="P271" i="9"/>
  <c r="P325" i="9"/>
  <c r="N557" i="9"/>
  <c r="N555" i="9" s="1"/>
  <c r="L46" i="10"/>
  <c r="P73" i="10"/>
  <c r="U99" i="10"/>
  <c r="O158" i="10"/>
  <c r="S176" i="10"/>
  <c r="K249" i="10"/>
  <c r="I242" i="10"/>
  <c r="I302" i="8"/>
  <c r="K302" i="8" s="1"/>
  <c r="R26" i="9"/>
  <c r="U26" i="9" s="1"/>
  <c r="R78" i="9"/>
  <c r="U78" i="9" s="1"/>
  <c r="S601" i="9"/>
  <c r="S599" i="9" s="1"/>
  <c r="K673" i="9"/>
  <c r="K778" i="9"/>
  <c r="R23" i="10"/>
  <c r="R26" i="10"/>
  <c r="M46" i="10"/>
  <c r="M97" i="10"/>
  <c r="P97" i="10" s="1"/>
  <c r="P99" i="10"/>
  <c r="M96" i="10"/>
  <c r="O140" i="10"/>
  <c r="N160" i="10"/>
  <c r="P160" i="10" s="1"/>
  <c r="N159" i="10"/>
  <c r="P178" i="10"/>
  <c r="M175" i="10"/>
  <c r="R188" i="10"/>
  <c r="R189" i="10"/>
  <c r="K293" i="10"/>
  <c r="I280" i="10"/>
  <c r="K280" i="10" s="1"/>
  <c r="U304" i="10"/>
  <c r="M336" i="10"/>
  <c r="P336" i="10" s="1"/>
  <c r="P338" i="10"/>
  <c r="M335" i="10"/>
  <c r="O393" i="10"/>
  <c r="L392" i="10"/>
  <c r="O392" i="10" s="1"/>
  <c r="N516" i="10"/>
  <c r="N515" i="10"/>
  <c r="N513" i="10" s="1"/>
  <c r="Q534" i="10"/>
  <c r="T534" i="10" s="1"/>
  <c r="T535" i="10"/>
  <c r="Q714" i="10"/>
  <c r="T714" i="10" s="1"/>
  <c r="T716" i="10"/>
  <c r="N46" i="10"/>
  <c r="N44" i="10" s="1"/>
  <c r="L74" i="10"/>
  <c r="S74" i="10"/>
  <c r="O77" i="10"/>
  <c r="I82" i="10"/>
  <c r="O99" i="10"/>
  <c r="K154" i="10"/>
  <c r="I136" i="10"/>
  <c r="K136" i="10" s="1"/>
  <c r="U158" i="10"/>
  <c r="P162" i="10"/>
  <c r="U174" i="10"/>
  <c r="O191" i="10"/>
  <c r="L188" i="10"/>
  <c r="T191" i="10"/>
  <c r="P267" i="10"/>
  <c r="U283" i="10"/>
  <c r="R282" i="10"/>
  <c r="U282" i="10" s="1"/>
  <c r="Q320" i="10"/>
  <c r="T320" i="10" s="1"/>
  <c r="T322" i="10"/>
  <c r="N326" i="10"/>
  <c r="N322" i="10"/>
  <c r="N320" i="10" s="1"/>
  <c r="T397" i="10"/>
  <c r="Q394" i="10"/>
  <c r="T394" i="10" s="1"/>
  <c r="Q395" i="10"/>
  <c r="T395" i="10" s="1"/>
  <c r="U414" i="10"/>
  <c r="T607" i="10"/>
  <c r="Q601" i="10"/>
  <c r="T601" i="10" s="1"/>
  <c r="N26" i="10"/>
  <c r="K86" i="10"/>
  <c r="O178" i="10"/>
  <c r="P191" i="10"/>
  <c r="K260" i="10"/>
  <c r="M268" i="10"/>
  <c r="S268" i="10"/>
  <c r="S266" i="10" s="1"/>
  <c r="R320" i="10"/>
  <c r="U320" i="10" s="1"/>
  <c r="U322" i="10"/>
  <c r="L323" i="10"/>
  <c r="O323" i="10" s="1"/>
  <c r="O325" i="10"/>
  <c r="O600" i="10"/>
  <c r="P604" i="10"/>
  <c r="M601" i="10"/>
  <c r="P64" i="10"/>
  <c r="T99" i="10"/>
  <c r="L141" i="10"/>
  <c r="O141" i="10" s="1"/>
  <c r="S160" i="10"/>
  <c r="L233" i="10"/>
  <c r="L254" i="10"/>
  <c r="O254" i="10" s="1"/>
  <c r="M285" i="10"/>
  <c r="P287" i="10"/>
  <c r="M284" i="10"/>
  <c r="S306" i="10"/>
  <c r="S305" i="10"/>
  <c r="M362" i="10"/>
  <c r="P362" i="10" s="1"/>
  <c r="P364" i="10"/>
  <c r="M358" i="10"/>
  <c r="R375" i="10"/>
  <c r="U377" i="10"/>
  <c r="R378" i="10"/>
  <c r="U380" i="10"/>
  <c r="J503" i="10"/>
  <c r="J492" i="10" s="1"/>
  <c r="K504" i="10"/>
  <c r="T577" i="10"/>
  <c r="Q576" i="10"/>
  <c r="T576" i="10" s="1"/>
  <c r="M602" i="10"/>
  <c r="P602" i="10" s="1"/>
  <c r="P269" i="10"/>
  <c r="M309" i="10"/>
  <c r="P309" i="10" s="1"/>
  <c r="P311" i="10"/>
  <c r="T334" i="10"/>
  <c r="Q333" i="10"/>
  <c r="T333" i="10" s="1"/>
  <c r="R333" i="10"/>
  <c r="U333" i="10" s="1"/>
  <c r="U335" i="10"/>
  <c r="L378" i="10"/>
  <c r="O378" i="10" s="1"/>
  <c r="O380" i="10"/>
  <c r="M536" i="10"/>
  <c r="P536" i="10" s="1"/>
  <c r="L285" i="10"/>
  <c r="O287" i="10"/>
  <c r="O304" i="10"/>
  <c r="J343" i="10"/>
  <c r="J332" i="10"/>
  <c r="K332" i="10" s="1"/>
  <c r="O414" i="10"/>
  <c r="N416" i="10"/>
  <c r="P416" i="10" s="1"/>
  <c r="P418" i="10"/>
  <c r="J458" i="10"/>
  <c r="P563" i="10"/>
  <c r="M557" i="10"/>
  <c r="K412" i="10"/>
  <c r="K440" i="10"/>
  <c r="L519" i="10"/>
  <c r="O519" i="10" s="1"/>
  <c r="O521" i="10"/>
  <c r="O584" i="10"/>
  <c r="L578" i="10"/>
  <c r="O578" i="10" s="1"/>
  <c r="O308" i="10"/>
  <c r="U308" i="10"/>
  <c r="O311" i="10"/>
  <c r="M322" i="10"/>
  <c r="P328" i="10"/>
  <c r="N335" i="10"/>
  <c r="N333" i="10" s="1"/>
  <c r="J365" i="10"/>
  <c r="K365" i="10" s="1"/>
  <c r="I374" i="10"/>
  <c r="O418" i="10"/>
  <c r="U418" i="10"/>
  <c r="O421" i="10"/>
  <c r="J456" i="10"/>
  <c r="K456" i="10" s="1"/>
  <c r="U498" i="10"/>
  <c r="O518" i="10"/>
  <c r="U600" i="10"/>
  <c r="L616" i="10"/>
  <c r="O616" i="10" s="1"/>
  <c r="M642" i="10"/>
  <c r="P642" i="10" s="1"/>
  <c r="T643" i="10"/>
  <c r="K689" i="10"/>
  <c r="K705" i="10"/>
  <c r="I701" i="10"/>
  <c r="R760" i="10"/>
  <c r="U760" i="10" s="1"/>
  <c r="U762" i="10"/>
  <c r="M690" i="10"/>
  <c r="P690" i="10" s="1"/>
  <c r="P692" i="10"/>
  <c r="S395" i="10"/>
  <c r="K433" i="10"/>
  <c r="S513" i="10"/>
  <c r="L516" i="10"/>
  <c r="O516" i="10" s="1"/>
  <c r="Q555" i="10"/>
  <c r="T555" i="10" s="1"/>
  <c r="T691" i="10"/>
  <c r="Q690" i="10"/>
  <c r="L760" i="10"/>
  <c r="O760" i="10" s="1"/>
  <c r="O762" i="10"/>
  <c r="K423" i="10"/>
  <c r="O542" i="10"/>
  <c r="L536" i="10"/>
  <c r="O577" i="10"/>
  <c r="N578" i="10"/>
  <c r="N576" i="10" s="1"/>
  <c r="T621" i="10"/>
  <c r="K707" i="10"/>
  <c r="K626" i="10"/>
  <c r="R730" i="10"/>
  <c r="U733" i="10"/>
  <c r="S762" i="10"/>
  <c r="S760" i="10" s="1"/>
  <c r="R644" i="10"/>
  <c r="R692" i="10"/>
  <c r="Q762" i="10"/>
  <c r="O47" i="9"/>
  <c r="O64" i="9"/>
  <c r="L74" i="9"/>
  <c r="O74" i="9" s="1"/>
  <c r="K84" i="9"/>
  <c r="P162" i="9"/>
  <c r="K169" i="9"/>
  <c r="M189" i="9"/>
  <c r="P189" i="9" s="1"/>
  <c r="Q306" i="9"/>
  <c r="T308" i="9"/>
  <c r="P380" i="9"/>
  <c r="M377" i="9"/>
  <c r="Q394" i="9"/>
  <c r="T394" i="9" s="1"/>
  <c r="S415" i="9"/>
  <c r="S413" i="9" s="1"/>
  <c r="S416" i="9"/>
  <c r="R693" i="9"/>
  <c r="U693" i="9" s="1"/>
  <c r="R692" i="9"/>
  <c r="R690" i="9" s="1"/>
  <c r="S75" i="9"/>
  <c r="L78" i="9"/>
  <c r="O78" i="9" s="1"/>
  <c r="I83" i="9"/>
  <c r="K83" i="9" s="1"/>
  <c r="N96" i="9"/>
  <c r="N94" i="9" s="1"/>
  <c r="N119" i="9"/>
  <c r="N117" i="9" s="1"/>
  <c r="Q189" i="9"/>
  <c r="N377" i="9"/>
  <c r="N375" i="9" s="1"/>
  <c r="L536" i="9"/>
  <c r="O536" i="9" s="1"/>
  <c r="M78" i="9"/>
  <c r="P78" i="9" s="1"/>
  <c r="K85" i="9"/>
  <c r="U122" i="9"/>
  <c r="S157" i="9"/>
  <c r="S305" i="9"/>
  <c r="S303" i="9" s="1"/>
  <c r="S306" i="9"/>
  <c r="P539" i="9"/>
  <c r="M537" i="9"/>
  <c r="P537" i="9" s="1"/>
  <c r="M605" i="9"/>
  <c r="P605" i="9" s="1"/>
  <c r="P607" i="9"/>
  <c r="R644" i="9"/>
  <c r="R645" i="9"/>
  <c r="Q730" i="9"/>
  <c r="Q728" i="9" s="1"/>
  <c r="Q731" i="9"/>
  <c r="T733" i="9"/>
  <c r="L75" i="9"/>
  <c r="O75" i="9" s="1"/>
  <c r="L119" i="9"/>
  <c r="O119" i="9" s="1"/>
  <c r="P178" i="9"/>
  <c r="L203" i="9"/>
  <c r="O203" i="9" s="1"/>
  <c r="I213" i="9"/>
  <c r="K213" i="9" s="1"/>
  <c r="K220" i="9"/>
  <c r="K292" i="9"/>
  <c r="M516" i="9"/>
  <c r="P516" i="9" s="1"/>
  <c r="P518" i="9"/>
  <c r="S645" i="9"/>
  <c r="S644" i="9"/>
  <c r="S642" i="9" s="1"/>
  <c r="L254" i="9"/>
  <c r="O254" i="9" s="1"/>
  <c r="K276" i="9"/>
  <c r="O341" i="9"/>
  <c r="L339" i="9"/>
  <c r="O339" i="9" s="1"/>
  <c r="Q416" i="9"/>
  <c r="Q415" i="9"/>
  <c r="Q413" i="9" s="1"/>
  <c r="U647" i="9"/>
  <c r="K774" i="9"/>
  <c r="I759" i="9"/>
  <c r="K759" i="9" s="1"/>
  <c r="K779" i="9"/>
  <c r="O122" i="9"/>
  <c r="K153" i="9"/>
  <c r="P274" i="9"/>
  <c r="M268" i="9"/>
  <c r="M266" i="9" s="1"/>
  <c r="M561" i="9"/>
  <c r="P561" i="9" s="1"/>
  <c r="M557" i="9"/>
  <c r="P557" i="9" s="1"/>
  <c r="P563" i="9"/>
  <c r="L236" i="9"/>
  <c r="S23" i="9"/>
  <c r="M284" i="9"/>
  <c r="K369" i="9"/>
  <c r="U695" i="9"/>
  <c r="J332" i="9"/>
  <c r="K332" i="9" s="1"/>
  <c r="N515" i="9"/>
  <c r="N513" i="9" s="1"/>
  <c r="M579" i="9"/>
  <c r="P579" i="9" s="1"/>
  <c r="K783" i="9"/>
  <c r="M47" i="9"/>
  <c r="P47" i="9" s="1"/>
  <c r="M65" i="9"/>
  <c r="P65" i="9" s="1"/>
  <c r="N74" i="9"/>
  <c r="N72" i="9" s="1"/>
  <c r="Q74" i="9"/>
  <c r="T74" i="9" s="1"/>
  <c r="I116" i="9"/>
  <c r="K116" i="9" s="1"/>
  <c r="P122" i="9"/>
  <c r="L142" i="9"/>
  <c r="O142" i="9" s="1"/>
  <c r="P144" i="9"/>
  <c r="R145" i="9"/>
  <c r="U145" i="9" s="1"/>
  <c r="N160" i="9"/>
  <c r="P160" i="9" s="1"/>
  <c r="I172" i="9"/>
  <c r="K172" i="9" s="1"/>
  <c r="R175" i="9"/>
  <c r="I221" i="9"/>
  <c r="K221" i="9" s="1"/>
  <c r="L222" i="9"/>
  <c r="O222" i="9" s="1"/>
  <c r="K260" i="9"/>
  <c r="S269" i="9"/>
  <c r="T269" i="9" s="1"/>
  <c r="L272" i="9"/>
  <c r="O272" i="9" s="1"/>
  <c r="O287" i="9"/>
  <c r="M288" i="9"/>
  <c r="P288" i="9" s="1"/>
  <c r="L326" i="9"/>
  <c r="O326" i="9" s="1"/>
  <c r="M339" i="9"/>
  <c r="P339" i="9" s="1"/>
  <c r="J343" i="9"/>
  <c r="M358" i="9"/>
  <c r="M356" i="9" s="1"/>
  <c r="M416" i="9"/>
  <c r="P416" i="9" s="1"/>
  <c r="I492" i="9"/>
  <c r="K492" i="9" s="1"/>
  <c r="M601" i="9"/>
  <c r="S602" i="9"/>
  <c r="K626" i="9"/>
  <c r="K630" i="9"/>
  <c r="K661" i="9"/>
  <c r="R731" i="9"/>
  <c r="U733" i="9"/>
  <c r="M61" i="9"/>
  <c r="M59" i="9" s="1"/>
  <c r="P64" i="9"/>
  <c r="T99" i="9"/>
  <c r="T122" i="9"/>
  <c r="N142" i="9"/>
  <c r="M192" i="9"/>
  <c r="P192" i="9" s="1"/>
  <c r="Q268" i="9"/>
  <c r="Q266" i="9" s="1"/>
  <c r="M272" i="9"/>
  <c r="P272" i="9" s="1"/>
  <c r="P290" i="9"/>
  <c r="N305" i="9"/>
  <c r="N303" i="9" s="1"/>
  <c r="N358" i="9"/>
  <c r="M359" i="9"/>
  <c r="P359" i="9" s="1"/>
  <c r="S377" i="9"/>
  <c r="S375" i="9" s="1"/>
  <c r="Q395" i="9"/>
  <c r="T395" i="9" s="1"/>
  <c r="O421" i="9"/>
  <c r="N496" i="9"/>
  <c r="N601" i="9"/>
  <c r="N599" i="9" s="1"/>
  <c r="S731" i="9"/>
  <c r="T765" i="9"/>
  <c r="N23" i="9"/>
  <c r="R74" i="9"/>
  <c r="U74" i="9" s="1"/>
  <c r="O77" i="9"/>
  <c r="U77" i="9"/>
  <c r="U97" i="9"/>
  <c r="U120" i="9"/>
  <c r="L141" i="9"/>
  <c r="O141" i="9" s="1"/>
  <c r="O178" i="9"/>
  <c r="I238" i="9"/>
  <c r="K238" i="9" s="1"/>
  <c r="L235" i="9"/>
  <c r="S268" i="9"/>
  <c r="S266" i="9" s="1"/>
  <c r="L322" i="9"/>
  <c r="L320" i="9" s="1"/>
  <c r="O320" i="9" s="1"/>
  <c r="O325" i="9"/>
  <c r="P341" i="9"/>
  <c r="J351" i="9"/>
  <c r="M378" i="9"/>
  <c r="P378" i="9" s="1"/>
  <c r="L516" i="9"/>
  <c r="O516" i="9" s="1"/>
  <c r="O542" i="9"/>
  <c r="O584" i="9"/>
  <c r="I615" i="9"/>
  <c r="K615" i="9" s="1"/>
  <c r="K676" i="9"/>
  <c r="J674" i="9"/>
  <c r="K674" i="9" s="1"/>
  <c r="Q762" i="9"/>
  <c r="T762" i="9" s="1"/>
  <c r="K785" i="9"/>
  <c r="R23" i="9"/>
  <c r="L26" i="9"/>
  <c r="O26" i="9" s="1"/>
  <c r="M96" i="9"/>
  <c r="T97" i="9"/>
  <c r="S173" i="9"/>
  <c r="N378" i="9"/>
  <c r="N26" i="9"/>
  <c r="N24" i="9" s="1"/>
  <c r="M26" i="9"/>
  <c r="P26" i="9" s="1"/>
  <c r="M97" i="9"/>
  <c r="P97" i="9" s="1"/>
  <c r="R141" i="9"/>
  <c r="I374" i="9"/>
  <c r="N415" i="9"/>
  <c r="N413" i="9" s="1"/>
  <c r="T619" i="9"/>
  <c r="S692" i="9"/>
  <c r="S690" i="9" s="1"/>
  <c r="K781" i="9"/>
  <c r="O19" i="9"/>
  <c r="U19" i="9"/>
  <c r="O22" i="9"/>
  <c r="U22" i="9"/>
  <c r="Q23" i="9"/>
  <c r="O25" i="9"/>
  <c r="Q26" i="9"/>
  <c r="M46" i="9"/>
  <c r="O49" i="9"/>
  <c r="O52" i="9"/>
  <c r="L46" i="9"/>
  <c r="N61" i="9"/>
  <c r="N59" i="9" s="1"/>
  <c r="T61" i="9"/>
  <c r="I93" i="9"/>
  <c r="K93" i="9" s="1"/>
  <c r="Q96" i="9"/>
  <c r="Q94" i="9" s="1"/>
  <c r="O102" i="9"/>
  <c r="U125" i="9"/>
  <c r="M141" i="9"/>
  <c r="R142" i="9"/>
  <c r="U142" i="9" s="1"/>
  <c r="T147" i="9"/>
  <c r="N188" i="9"/>
  <c r="N186" i="9" s="1"/>
  <c r="R192" i="9"/>
  <c r="U192" i="9" s="1"/>
  <c r="U194" i="9"/>
  <c r="I202" i="9"/>
  <c r="K202" i="9" s="1"/>
  <c r="K209" i="9"/>
  <c r="N269" i="9"/>
  <c r="P269" i="9" s="1"/>
  <c r="N268" i="9"/>
  <c r="I280" i="9"/>
  <c r="K280" i="9" s="1"/>
  <c r="K293" i="9"/>
  <c r="Q305" i="9"/>
  <c r="P308" i="9"/>
  <c r="M306" i="9"/>
  <c r="P306" i="9" s="1"/>
  <c r="M305" i="9"/>
  <c r="P305" i="9" s="1"/>
  <c r="P311" i="9"/>
  <c r="M309" i="9"/>
  <c r="P309" i="9" s="1"/>
  <c r="K314" i="9"/>
  <c r="P328" i="9"/>
  <c r="K661" i="6"/>
  <c r="K682" i="6"/>
  <c r="N46" i="9"/>
  <c r="N44" i="9" s="1"/>
  <c r="P49" i="9"/>
  <c r="T73" i="9"/>
  <c r="T80" i="9"/>
  <c r="R96" i="9"/>
  <c r="R94" i="9" s="1"/>
  <c r="U99" i="9"/>
  <c r="Q119" i="9"/>
  <c r="Q123" i="9"/>
  <c r="T123" i="9" s="1"/>
  <c r="O125" i="9"/>
  <c r="Q159" i="9"/>
  <c r="O165" i="9"/>
  <c r="Q175" i="9"/>
  <c r="O181" i="9"/>
  <c r="P187" i="9"/>
  <c r="R189" i="9"/>
  <c r="R188" i="9"/>
  <c r="Q192" i="9"/>
  <c r="T192" i="9" s="1"/>
  <c r="T304" i="9"/>
  <c r="U334" i="9"/>
  <c r="R333" i="9"/>
  <c r="U333" i="9" s="1"/>
  <c r="K654" i="8"/>
  <c r="U73" i="9"/>
  <c r="L96" i="9"/>
  <c r="O96" i="9" s="1"/>
  <c r="S96" i="9"/>
  <c r="S94" i="9" s="1"/>
  <c r="O99" i="9"/>
  <c r="M100" i="9"/>
  <c r="P100" i="9" s="1"/>
  <c r="R119" i="9"/>
  <c r="P125" i="9"/>
  <c r="L159" i="9"/>
  <c r="P165" i="9"/>
  <c r="L175" i="9"/>
  <c r="P181" i="9"/>
  <c r="Q188" i="9"/>
  <c r="L192" i="9"/>
  <c r="O192" i="9" s="1"/>
  <c r="O194" i="9"/>
  <c r="O311" i="9"/>
  <c r="K654" i="6"/>
  <c r="Q44" i="9"/>
  <c r="T44" i="9" s="1"/>
  <c r="N100" i="9"/>
  <c r="M119" i="9"/>
  <c r="P119" i="9" s="1"/>
  <c r="S119" i="9"/>
  <c r="S117" i="9" s="1"/>
  <c r="Q120" i="9"/>
  <c r="T120" i="9" s="1"/>
  <c r="M159" i="9"/>
  <c r="Q160" i="9"/>
  <c r="T160" i="9" s="1"/>
  <c r="M175" i="9"/>
  <c r="Q176" i="9"/>
  <c r="T176" i="9" s="1"/>
  <c r="U187" i="9"/>
  <c r="L189" i="9"/>
  <c r="O189" i="9" s="1"/>
  <c r="O191" i="9"/>
  <c r="L188" i="9"/>
  <c r="L186" i="9" s="1"/>
  <c r="L285" i="9"/>
  <c r="O285" i="9" s="1"/>
  <c r="L284" i="9"/>
  <c r="K108" i="9"/>
  <c r="L145" i="9"/>
  <c r="O145" i="9" s="1"/>
  <c r="O187" i="9"/>
  <c r="P191" i="9"/>
  <c r="T203" i="9"/>
  <c r="L243" i="9"/>
  <c r="K265" i="9"/>
  <c r="P287" i="9"/>
  <c r="M285" i="9"/>
  <c r="P285" i="9" s="1"/>
  <c r="M322" i="9"/>
  <c r="O67" i="9"/>
  <c r="L61" i="9"/>
  <c r="T321" i="9"/>
  <c r="Q320" i="9"/>
  <c r="T320" i="9" s="1"/>
  <c r="K242" i="9"/>
  <c r="I231" i="9"/>
  <c r="K231" i="9" s="1"/>
  <c r="U271" i="9"/>
  <c r="R268" i="9"/>
  <c r="R269" i="9"/>
  <c r="K344" i="9"/>
  <c r="R378" i="9"/>
  <c r="U378" i="9" s="1"/>
  <c r="U380" i="9"/>
  <c r="R377" i="9"/>
  <c r="L378" i="9"/>
  <c r="O378" i="9" s="1"/>
  <c r="L377" i="9"/>
  <c r="R395" i="9"/>
  <c r="U395" i="9" s="1"/>
  <c r="R394" i="9"/>
  <c r="U394" i="9" s="1"/>
  <c r="N322" i="9"/>
  <c r="N320" i="9" s="1"/>
  <c r="N326" i="9"/>
  <c r="K330" i="9"/>
  <c r="M362" i="9"/>
  <c r="P362" i="9" s="1"/>
  <c r="P364" i="9"/>
  <c r="P501" i="9"/>
  <c r="M499" i="9"/>
  <c r="P499" i="9" s="1"/>
  <c r="M519" i="9"/>
  <c r="P519" i="9" s="1"/>
  <c r="P521" i="9"/>
  <c r="M515" i="9"/>
  <c r="U617" i="9"/>
  <c r="P357" i="9"/>
  <c r="T414" i="9"/>
  <c r="R416" i="9"/>
  <c r="U418" i="9"/>
  <c r="R415" i="9"/>
  <c r="P421" i="9"/>
  <c r="M419" i="9"/>
  <c r="P419" i="9" s="1"/>
  <c r="L602" i="9"/>
  <c r="O602" i="9" s="1"/>
  <c r="O604" i="9"/>
  <c r="L601" i="9"/>
  <c r="Q605" i="9"/>
  <c r="T605" i="9" s="1"/>
  <c r="T607" i="9"/>
  <c r="Q601" i="9"/>
  <c r="T691" i="9"/>
  <c r="O334" i="9"/>
  <c r="O338" i="9"/>
  <c r="L335" i="9"/>
  <c r="T376" i="9"/>
  <c r="O380" i="9"/>
  <c r="M495" i="9"/>
  <c r="P495" i="9" s="1"/>
  <c r="P498" i="9"/>
  <c r="M496" i="9"/>
  <c r="P496" i="9" s="1"/>
  <c r="R306" i="9"/>
  <c r="U308" i="9"/>
  <c r="R305" i="9"/>
  <c r="T334" i="9"/>
  <c r="Q356" i="9"/>
  <c r="T356" i="9" s="1"/>
  <c r="P361" i="9"/>
  <c r="N540" i="9"/>
  <c r="N536" i="9"/>
  <c r="N534" i="9" s="1"/>
  <c r="U643" i="9"/>
  <c r="Q534" i="9"/>
  <c r="T534" i="9" s="1"/>
  <c r="T536" i="9"/>
  <c r="R605" i="9"/>
  <c r="U605" i="9" s="1"/>
  <c r="U607" i="9"/>
  <c r="J374" i="9"/>
  <c r="T418" i="9"/>
  <c r="K457" i="9"/>
  <c r="Q496" i="9"/>
  <c r="T496" i="9" s="1"/>
  <c r="T498" i="9"/>
  <c r="O556" i="9"/>
  <c r="R601" i="9"/>
  <c r="L605" i="9"/>
  <c r="O605" i="9" s="1"/>
  <c r="O607" i="9"/>
  <c r="O617" i="9"/>
  <c r="L616" i="9"/>
  <c r="O616" i="9" s="1"/>
  <c r="O691" i="9"/>
  <c r="L690" i="9"/>
  <c r="O690" i="9" s="1"/>
  <c r="R496" i="9"/>
  <c r="U496" i="9" s="1"/>
  <c r="U498" i="9"/>
  <c r="R495" i="9"/>
  <c r="P556" i="9"/>
  <c r="T621" i="9"/>
  <c r="Q618" i="9"/>
  <c r="M642" i="9"/>
  <c r="P642" i="9" s="1"/>
  <c r="P644" i="9"/>
  <c r="T647" i="9"/>
  <c r="Q644" i="9"/>
  <c r="Q645" i="9"/>
  <c r="K703" i="9"/>
  <c r="I701" i="9"/>
  <c r="O271" i="9"/>
  <c r="U357" i="9"/>
  <c r="O414" i="9"/>
  <c r="L415" i="9"/>
  <c r="O418" i="9"/>
  <c r="P494" i="9"/>
  <c r="T494" i="9"/>
  <c r="Q495" i="9"/>
  <c r="T495" i="9" s="1"/>
  <c r="N582" i="9"/>
  <c r="N578" i="9"/>
  <c r="N576" i="9" s="1"/>
  <c r="U621" i="9"/>
  <c r="R618" i="9"/>
  <c r="R619" i="9"/>
  <c r="U619" i="9" s="1"/>
  <c r="L268" i="9"/>
  <c r="T271" i="9"/>
  <c r="R282" i="9"/>
  <c r="U282" i="9" s="1"/>
  <c r="O304" i="9"/>
  <c r="L305" i="9"/>
  <c r="O305" i="9" s="1"/>
  <c r="O308" i="9"/>
  <c r="O361" i="9"/>
  <c r="O364" i="9"/>
  <c r="L358" i="9"/>
  <c r="K365" i="9"/>
  <c r="T380" i="9"/>
  <c r="O393" i="9"/>
  <c r="M415" i="9"/>
  <c r="P415" i="9" s="1"/>
  <c r="O498" i="9"/>
  <c r="L495" i="9"/>
  <c r="L499" i="9"/>
  <c r="O499" i="9" s="1"/>
  <c r="O501" i="9"/>
  <c r="J503" i="9"/>
  <c r="J492" i="9" s="1"/>
  <c r="N519" i="9"/>
  <c r="L519" i="9"/>
  <c r="O519" i="9" s="1"/>
  <c r="O521" i="9"/>
  <c r="L515" i="9"/>
  <c r="L561" i="9"/>
  <c r="O561" i="9" s="1"/>
  <c r="O563" i="9"/>
  <c r="L557" i="9"/>
  <c r="O557" i="9" s="1"/>
  <c r="Q576" i="9"/>
  <c r="T576" i="9" s="1"/>
  <c r="T578" i="9"/>
  <c r="R602" i="9"/>
  <c r="U602" i="9" s="1"/>
  <c r="U604" i="9"/>
  <c r="R714" i="9"/>
  <c r="U714" i="9" s="1"/>
  <c r="U716" i="9"/>
  <c r="K707" i="9"/>
  <c r="J689" i="9"/>
  <c r="K689" i="9" s="1"/>
  <c r="R728" i="9"/>
  <c r="U730" i="9"/>
  <c r="M760" i="9"/>
  <c r="P760" i="9" s="1"/>
  <c r="P762" i="9"/>
  <c r="M690" i="9"/>
  <c r="P690" i="9" s="1"/>
  <c r="P692" i="9"/>
  <c r="L728" i="9"/>
  <c r="O728" i="9" s="1"/>
  <c r="O730" i="9"/>
  <c r="T643" i="9"/>
  <c r="K678" i="9"/>
  <c r="T695" i="9"/>
  <c r="Q692" i="9"/>
  <c r="Q693" i="9"/>
  <c r="T693" i="9" s="1"/>
  <c r="Q714" i="9"/>
  <c r="T714" i="9" s="1"/>
  <c r="T716" i="9"/>
  <c r="L760" i="9"/>
  <c r="O760" i="9" s="1"/>
  <c r="O762" i="9"/>
  <c r="L537" i="9"/>
  <c r="O537" i="9" s="1"/>
  <c r="O539" i="9"/>
  <c r="U556" i="9"/>
  <c r="R555" i="9"/>
  <c r="U555" i="9" s="1"/>
  <c r="R576" i="9"/>
  <c r="U576" i="9" s="1"/>
  <c r="U578" i="9"/>
  <c r="L579" i="9"/>
  <c r="O579" i="9" s="1"/>
  <c r="O581" i="9"/>
  <c r="Q602" i="9"/>
  <c r="T602" i="9" s="1"/>
  <c r="T604" i="9"/>
  <c r="P617" i="9"/>
  <c r="M616" i="9"/>
  <c r="P616" i="9" s="1"/>
  <c r="O643" i="9"/>
  <c r="L642" i="9"/>
  <c r="O642" i="9" s="1"/>
  <c r="U691" i="9"/>
  <c r="K705" i="9"/>
  <c r="L714" i="9"/>
  <c r="O714" i="9" s="1"/>
  <c r="O716" i="9"/>
  <c r="T761" i="9"/>
  <c r="M536" i="9"/>
  <c r="P542" i="9"/>
  <c r="P560" i="9"/>
  <c r="M578" i="9"/>
  <c r="P584" i="9"/>
  <c r="K631" i="9"/>
  <c r="S763" i="9"/>
  <c r="M123" i="6"/>
  <c r="P123" i="6" s="1"/>
  <c r="S601" i="1"/>
  <c r="M605" i="7"/>
  <c r="P605" i="7" s="1"/>
  <c r="S716" i="1"/>
  <c r="S335" i="1"/>
  <c r="L730" i="1"/>
  <c r="O730" i="1" s="1"/>
  <c r="M519" i="6"/>
  <c r="P519" i="6" s="1"/>
  <c r="R601" i="8"/>
  <c r="U601" i="8" s="1"/>
  <c r="N714" i="8"/>
  <c r="O715" i="8"/>
  <c r="M714" i="8"/>
  <c r="P714" i="8" s="1"/>
  <c r="R714" i="8"/>
  <c r="U714" i="8" s="1"/>
  <c r="R534" i="8"/>
  <c r="U534" i="8" s="1"/>
  <c r="R74" i="1"/>
  <c r="N392" i="8"/>
  <c r="S119" i="1"/>
  <c r="L496" i="8"/>
  <c r="O496" i="8" s="1"/>
  <c r="R74" i="8"/>
  <c r="R72" i="8" s="1"/>
  <c r="M582" i="8"/>
  <c r="P582" i="8" s="1"/>
  <c r="L601" i="8"/>
  <c r="O601" i="8" s="1"/>
  <c r="N119" i="8"/>
  <c r="N117" i="8" s="1"/>
  <c r="S74" i="8"/>
  <c r="S72" i="8" s="1"/>
  <c r="L78" i="8"/>
  <c r="O78" i="8" s="1"/>
  <c r="S495" i="8"/>
  <c r="S493" i="8" s="1"/>
  <c r="I758" i="8"/>
  <c r="K758" i="8" s="1"/>
  <c r="L235" i="8"/>
  <c r="P62" i="8"/>
  <c r="L188" i="8"/>
  <c r="L186" i="8" s="1"/>
  <c r="L192" i="8"/>
  <c r="O192" i="8" s="1"/>
  <c r="L214" i="8"/>
  <c r="O214" i="8" s="1"/>
  <c r="I136" i="8"/>
  <c r="K136" i="8" s="1"/>
  <c r="M323" i="8"/>
  <c r="P323" i="8" s="1"/>
  <c r="N358" i="8"/>
  <c r="N356" i="8" s="1"/>
  <c r="R394" i="8"/>
  <c r="U394" i="8" s="1"/>
  <c r="R395" i="8"/>
  <c r="U395" i="8" s="1"/>
  <c r="Q96" i="8"/>
  <c r="T96" i="8" s="1"/>
  <c r="S269" i="8"/>
  <c r="K368" i="8"/>
  <c r="K344" i="8"/>
  <c r="U416" i="8"/>
  <c r="R78" i="8"/>
  <c r="U78" i="8" s="1"/>
  <c r="N159" i="8"/>
  <c r="N157" i="8" s="1"/>
  <c r="I172" i="8"/>
  <c r="K172" i="8" s="1"/>
  <c r="L234" i="8"/>
  <c r="P416" i="8"/>
  <c r="O64" i="8"/>
  <c r="I242" i="8"/>
  <c r="K242" i="8" s="1"/>
  <c r="O563" i="8"/>
  <c r="L175" i="8"/>
  <c r="L179" i="8"/>
  <c r="O179" i="8" s="1"/>
  <c r="L19" i="8"/>
  <c r="O19" i="8" s="1"/>
  <c r="Q175" i="8"/>
  <c r="T175" i="8" s="1"/>
  <c r="R188" i="8"/>
  <c r="R186" i="8" s="1"/>
  <c r="L558" i="8"/>
  <c r="O558" i="8" s="1"/>
  <c r="R19" i="8"/>
  <c r="U19" i="8" s="1"/>
  <c r="Q74" i="8"/>
  <c r="Q72" i="8" s="1"/>
  <c r="S160" i="8"/>
  <c r="L272" i="8"/>
  <c r="O272" i="8" s="1"/>
  <c r="M558" i="8"/>
  <c r="P558" i="8" s="1"/>
  <c r="J675" i="8"/>
  <c r="M519" i="8"/>
  <c r="P519" i="8" s="1"/>
  <c r="N601" i="8"/>
  <c r="N599" i="8" s="1"/>
  <c r="Q605" i="8"/>
  <c r="T605" i="8" s="1"/>
  <c r="I615" i="8"/>
  <c r="K615" i="8" s="1"/>
  <c r="M50" i="8"/>
  <c r="P50" i="8" s="1"/>
  <c r="O75" i="8"/>
  <c r="N268" i="8"/>
  <c r="N266" i="8" s="1"/>
  <c r="L284" i="8"/>
  <c r="L282" i="8" s="1"/>
  <c r="L288" i="8"/>
  <c r="O288" i="8" s="1"/>
  <c r="S415" i="8"/>
  <c r="S413" i="8" s="1"/>
  <c r="Q602" i="8"/>
  <c r="T602" i="8" s="1"/>
  <c r="P75" i="8"/>
  <c r="Q78" i="8"/>
  <c r="T78" i="8" s="1"/>
  <c r="N96" i="8"/>
  <c r="N94" i="8" s="1"/>
  <c r="N120" i="8"/>
  <c r="S119" i="8"/>
  <c r="S117" i="8" s="1"/>
  <c r="L141" i="8"/>
  <c r="L139" i="8" s="1"/>
  <c r="S266" i="8"/>
  <c r="M537" i="8"/>
  <c r="P537" i="8" s="1"/>
  <c r="O539" i="8"/>
  <c r="Q645" i="8"/>
  <c r="K703" i="8"/>
  <c r="K709" i="8"/>
  <c r="T763" i="8"/>
  <c r="L62" i="8"/>
  <c r="O62" i="8" s="1"/>
  <c r="I82" i="8"/>
  <c r="I70" i="8" s="1"/>
  <c r="K70" i="8" s="1"/>
  <c r="U194" i="8"/>
  <c r="O416" i="8"/>
  <c r="L561" i="8"/>
  <c r="O561" i="8" s="1"/>
  <c r="O579" i="8"/>
  <c r="J701" i="8"/>
  <c r="M46" i="8"/>
  <c r="M44" i="8" s="1"/>
  <c r="M61" i="8"/>
  <c r="M59" i="8" s="1"/>
  <c r="T77" i="8"/>
  <c r="S94" i="8"/>
  <c r="P144" i="8"/>
  <c r="R189" i="8"/>
  <c r="K293" i="8"/>
  <c r="K369" i="8"/>
  <c r="K388" i="8"/>
  <c r="I492" i="8"/>
  <c r="K492" i="8" s="1"/>
  <c r="L495" i="8"/>
  <c r="O495" i="8" s="1"/>
  <c r="M579" i="8"/>
  <c r="P579" i="8" s="1"/>
  <c r="K779" i="8"/>
  <c r="K785" i="8"/>
  <c r="U77" i="8"/>
  <c r="Q141" i="8"/>
  <c r="Q139" i="8" s="1"/>
  <c r="N175" i="8"/>
  <c r="N173" i="8" s="1"/>
  <c r="N377" i="8"/>
  <c r="N375" i="8" s="1"/>
  <c r="J374" i="8"/>
  <c r="K780" i="8"/>
  <c r="U695" i="8"/>
  <c r="M78" i="8"/>
  <c r="P78" i="8" s="1"/>
  <c r="S23" i="8"/>
  <c r="S21" i="8" s="1"/>
  <c r="S141" i="8"/>
  <c r="S139" i="8" s="1"/>
  <c r="L236" i="8"/>
  <c r="M305" i="8"/>
  <c r="M303" i="8" s="1"/>
  <c r="K371" i="8"/>
  <c r="Q415" i="8"/>
  <c r="N495" i="8"/>
  <c r="N493" i="8" s="1"/>
  <c r="R602" i="8"/>
  <c r="U602" i="8" s="1"/>
  <c r="K629" i="8"/>
  <c r="K778" i="8"/>
  <c r="K784" i="8"/>
  <c r="L74" i="8"/>
  <c r="L72" i="8" s="1"/>
  <c r="S97" i="8"/>
  <c r="U99" i="8"/>
  <c r="O142" i="8"/>
  <c r="R176" i="8"/>
  <c r="U176" i="8" s="1"/>
  <c r="Q188" i="8"/>
  <c r="Q186" i="8" s="1"/>
  <c r="R305" i="8"/>
  <c r="R303" i="8" s="1"/>
  <c r="R415" i="8"/>
  <c r="R413" i="8" s="1"/>
  <c r="M495" i="8"/>
  <c r="P495" i="8" s="1"/>
  <c r="U604" i="8"/>
  <c r="U647" i="8"/>
  <c r="T695" i="8"/>
  <c r="K782" i="8"/>
  <c r="R96" i="8"/>
  <c r="U96" i="8" s="1"/>
  <c r="L254" i="8"/>
  <c r="O254" i="8" s="1"/>
  <c r="M377" i="8"/>
  <c r="M375" i="8" s="1"/>
  <c r="P375" i="8" s="1"/>
  <c r="K632" i="8"/>
  <c r="R26" i="8"/>
  <c r="U26" i="8" s="1"/>
  <c r="N160" i="8"/>
  <c r="T194" i="8"/>
  <c r="L203" i="8"/>
  <c r="O203" i="8" s="1"/>
  <c r="K209" i="8"/>
  <c r="L233" i="8"/>
  <c r="M268" i="8"/>
  <c r="M266" i="8" s="1"/>
  <c r="M272" i="8"/>
  <c r="P272" i="8" s="1"/>
  <c r="P308" i="8"/>
  <c r="O341" i="8"/>
  <c r="P361" i="8"/>
  <c r="K386" i="8"/>
  <c r="O501" i="8"/>
  <c r="O604" i="8"/>
  <c r="R605" i="8"/>
  <c r="U605" i="8" s="1"/>
  <c r="S601" i="8"/>
  <c r="S599" i="8" s="1"/>
  <c r="R618" i="8"/>
  <c r="R616" i="8" s="1"/>
  <c r="Q692" i="8"/>
  <c r="T692" i="8" s="1"/>
  <c r="Q730" i="8"/>
  <c r="Q728" i="8" s="1"/>
  <c r="L119" i="8"/>
  <c r="O119" i="8" s="1"/>
  <c r="R160" i="8"/>
  <c r="U160" i="8" s="1"/>
  <c r="P341" i="8"/>
  <c r="M378" i="8"/>
  <c r="P378" i="8" s="1"/>
  <c r="S394" i="8"/>
  <c r="S392" i="8" s="1"/>
  <c r="M496" i="8"/>
  <c r="P496" i="8" s="1"/>
  <c r="P501" i="8"/>
  <c r="L602" i="8"/>
  <c r="O602" i="8" s="1"/>
  <c r="R693" i="8"/>
  <c r="R762" i="8"/>
  <c r="R760" i="8" s="1"/>
  <c r="S157" i="8"/>
  <c r="L23" i="8"/>
  <c r="L21" i="8" s="1"/>
  <c r="O47" i="8"/>
  <c r="L26" i="8"/>
  <c r="L24" i="8" s="1"/>
  <c r="Q75" i="8"/>
  <c r="T75" i="8" s="1"/>
  <c r="I83" i="8"/>
  <c r="I71" i="8" s="1"/>
  <c r="K71" i="8" s="1"/>
  <c r="K153" i="8"/>
  <c r="L159" i="8"/>
  <c r="L157" i="8" s="1"/>
  <c r="K292" i="8"/>
  <c r="K346" i="8"/>
  <c r="J351" i="8"/>
  <c r="L605" i="8"/>
  <c r="O605" i="8" s="1"/>
  <c r="K727" i="8"/>
  <c r="U765" i="8"/>
  <c r="R75" i="8"/>
  <c r="U75" i="8" s="1"/>
  <c r="N97" i="8"/>
  <c r="O99" i="8"/>
  <c r="O102" i="8"/>
  <c r="S120" i="8"/>
  <c r="U120" i="8" s="1"/>
  <c r="T144" i="8"/>
  <c r="L163" i="8"/>
  <c r="O163" i="8" s="1"/>
  <c r="L176" i="8"/>
  <c r="O176" i="8" s="1"/>
  <c r="O178" i="8"/>
  <c r="N188" i="8"/>
  <c r="N186" i="8" s="1"/>
  <c r="I195" i="8"/>
  <c r="K195" i="8" s="1"/>
  <c r="L222" i="8"/>
  <c r="O222" i="8" s="1"/>
  <c r="K252" i="8"/>
  <c r="I265" i="8"/>
  <c r="K265" i="8" s="1"/>
  <c r="M269" i="8"/>
  <c r="P271" i="8"/>
  <c r="M288" i="8"/>
  <c r="P288" i="8" s="1"/>
  <c r="Q305" i="8"/>
  <c r="Q303" i="8" s="1"/>
  <c r="S378" i="8"/>
  <c r="T378" i="8" s="1"/>
  <c r="M381" i="8"/>
  <c r="P381" i="8" s="1"/>
  <c r="I374" i="8"/>
  <c r="T418" i="8"/>
  <c r="K424" i="8"/>
  <c r="Q495" i="8"/>
  <c r="Q496" i="8"/>
  <c r="T496" i="8" s="1"/>
  <c r="L557" i="8"/>
  <c r="L555" i="8" s="1"/>
  <c r="Q601" i="8"/>
  <c r="T601" i="8" s="1"/>
  <c r="M605" i="8"/>
  <c r="P605" i="8" s="1"/>
  <c r="K631" i="8"/>
  <c r="K653" i="8"/>
  <c r="J674" i="8"/>
  <c r="T733" i="8"/>
  <c r="M47" i="8"/>
  <c r="P47" i="8" s="1"/>
  <c r="L65" i="8"/>
  <c r="N26" i="8"/>
  <c r="N24" i="8" s="1"/>
  <c r="L96" i="8"/>
  <c r="O96" i="8" s="1"/>
  <c r="O191" i="8"/>
  <c r="I240" i="8"/>
  <c r="K240" i="8" s="1"/>
  <c r="N269" i="8"/>
  <c r="T271" i="8"/>
  <c r="Q377" i="8"/>
  <c r="Q375" i="8" s="1"/>
  <c r="L415" i="8"/>
  <c r="L413" i="8" s="1"/>
  <c r="R495" i="8"/>
  <c r="U495" i="8" s="1"/>
  <c r="P518" i="8"/>
  <c r="N557" i="8"/>
  <c r="N555" i="8" s="1"/>
  <c r="U621" i="8"/>
  <c r="J702" i="8"/>
  <c r="M26" i="8"/>
  <c r="M24" i="8" s="1"/>
  <c r="P64" i="8"/>
  <c r="P77" i="8"/>
  <c r="S26" i="8"/>
  <c r="I93" i="8"/>
  <c r="K93" i="8" s="1"/>
  <c r="Q97" i="8"/>
  <c r="T97" i="8" s="1"/>
  <c r="M120" i="8"/>
  <c r="P120" i="8" s="1"/>
  <c r="O122" i="8"/>
  <c r="Q123" i="8"/>
  <c r="T123" i="8" s="1"/>
  <c r="N141" i="8"/>
  <c r="R145" i="8"/>
  <c r="U145" i="8" s="1"/>
  <c r="L160" i="8"/>
  <c r="O162" i="8"/>
  <c r="Q176" i="8"/>
  <c r="T176" i="8" s="1"/>
  <c r="L189" i="8"/>
  <c r="O189" i="8" s="1"/>
  <c r="I221" i="8"/>
  <c r="K221" i="8" s="1"/>
  <c r="Q269" i="8"/>
  <c r="N306" i="8"/>
  <c r="P306" i="8" s="1"/>
  <c r="O328" i="8"/>
  <c r="O361" i="8"/>
  <c r="M415" i="8"/>
  <c r="M413" i="8" s="1"/>
  <c r="K457" i="8"/>
  <c r="L499" i="8"/>
  <c r="O499" i="8" s="1"/>
  <c r="M515" i="8"/>
  <c r="P515" i="8" s="1"/>
  <c r="T644" i="8"/>
  <c r="R645" i="8"/>
  <c r="S731" i="8"/>
  <c r="T731" i="8" s="1"/>
  <c r="T765" i="8"/>
  <c r="K774" i="8"/>
  <c r="K783" i="8"/>
  <c r="N74" i="8"/>
  <c r="T122" i="8"/>
  <c r="T142" i="8"/>
  <c r="T416" i="8"/>
  <c r="N536" i="8"/>
  <c r="N534" i="8" s="1"/>
  <c r="M578" i="8"/>
  <c r="S619" i="8"/>
  <c r="T619" i="8" s="1"/>
  <c r="K781" i="8"/>
  <c r="N65" i="8"/>
  <c r="M97" i="8"/>
  <c r="P97" i="8" s="1"/>
  <c r="S306" i="8"/>
  <c r="T306" i="8" s="1"/>
  <c r="S305" i="8"/>
  <c r="T308" i="8"/>
  <c r="Q19" i="8"/>
  <c r="M23" i="8"/>
  <c r="M21" i="8" s="1"/>
  <c r="O49" i="8"/>
  <c r="O52" i="8"/>
  <c r="L46" i="8"/>
  <c r="N61" i="8"/>
  <c r="T61" i="8"/>
  <c r="P67" i="8"/>
  <c r="M100" i="8"/>
  <c r="P100" i="8" s="1"/>
  <c r="K108" i="8"/>
  <c r="I92" i="8"/>
  <c r="K92" i="8" s="1"/>
  <c r="M119" i="8"/>
  <c r="U125" i="8"/>
  <c r="R123" i="8"/>
  <c r="U123" i="8" s="1"/>
  <c r="S189" i="8"/>
  <c r="T189" i="8" s="1"/>
  <c r="U191" i="8"/>
  <c r="S188" i="8"/>
  <c r="S186" i="8" s="1"/>
  <c r="T191" i="8"/>
  <c r="L269" i="8"/>
  <c r="O271" i="8"/>
  <c r="L268" i="8"/>
  <c r="O308" i="8"/>
  <c r="L305" i="8"/>
  <c r="L306" i="8"/>
  <c r="N326" i="8"/>
  <c r="N322" i="8"/>
  <c r="N320" i="8" s="1"/>
  <c r="T334" i="8"/>
  <c r="Q333" i="8"/>
  <c r="T333" i="8" s="1"/>
  <c r="R269" i="8"/>
  <c r="U271" i="8"/>
  <c r="R268" i="8"/>
  <c r="L378" i="8"/>
  <c r="O378" i="8" s="1"/>
  <c r="O380" i="8"/>
  <c r="L377" i="8"/>
  <c r="N23" i="8"/>
  <c r="P25" i="8"/>
  <c r="N46" i="8"/>
  <c r="P49" i="8"/>
  <c r="Q26" i="8"/>
  <c r="T26" i="8" s="1"/>
  <c r="U122" i="8"/>
  <c r="O147" i="8"/>
  <c r="L145" i="8"/>
  <c r="O145" i="8" s="1"/>
  <c r="Q159" i="8"/>
  <c r="P187" i="8"/>
  <c r="M189" i="8"/>
  <c r="P189" i="8" s="1"/>
  <c r="P191" i="8"/>
  <c r="M188" i="8"/>
  <c r="P287" i="8"/>
  <c r="O325" i="8"/>
  <c r="L322" i="8"/>
  <c r="L323" i="8"/>
  <c r="O323" i="8" s="1"/>
  <c r="N419" i="8"/>
  <c r="N415" i="8"/>
  <c r="N413" i="8" s="1"/>
  <c r="Q160" i="8"/>
  <c r="T160" i="8" s="1"/>
  <c r="U144" i="8"/>
  <c r="R142" i="8"/>
  <c r="U142" i="8" s="1"/>
  <c r="M160" i="8"/>
  <c r="P162" i="8"/>
  <c r="S176" i="8"/>
  <c r="S175" i="8"/>
  <c r="S173" i="8" s="1"/>
  <c r="K280" i="8"/>
  <c r="N285" i="8"/>
  <c r="P285" i="8" s="1"/>
  <c r="N284" i="8"/>
  <c r="N282" i="8" s="1"/>
  <c r="K260" i="8"/>
  <c r="I253" i="8"/>
  <c r="M19" i="8"/>
  <c r="O67" i="8"/>
  <c r="L61" i="8"/>
  <c r="O77" i="8"/>
  <c r="K86" i="8"/>
  <c r="Q119" i="8"/>
  <c r="R141" i="8"/>
  <c r="P158" i="8"/>
  <c r="M176" i="8"/>
  <c r="P176" i="8" s="1"/>
  <c r="P178" i="8"/>
  <c r="M175" i="8"/>
  <c r="T304" i="8"/>
  <c r="M536" i="8"/>
  <c r="P536" i="8" s="1"/>
  <c r="M540" i="8"/>
  <c r="P540" i="8" s="1"/>
  <c r="P542" i="8"/>
  <c r="R23" i="8"/>
  <c r="R21" i="8" s="1"/>
  <c r="O73" i="8"/>
  <c r="M74" i="8"/>
  <c r="Q23" i="8"/>
  <c r="T80" i="8"/>
  <c r="M96" i="8"/>
  <c r="I116" i="8"/>
  <c r="K116" i="8" s="1"/>
  <c r="R119" i="8"/>
  <c r="O125" i="8"/>
  <c r="I137" i="8"/>
  <c r="K137" i="8" s="1"/>
  <c r="M141" i="8"/>
  <c r="M142" i="8"/>
  <c r="P142" i="8" s="1"/>
  <c r="Q145" i="8"/>
  <c r="T145" i="8" s="1"/>
  <c r="T147" i="8"/>
  <c r="K138" i="8"/>
  <c r="M159" i="8"/>
  <c r="J503" i="8"/>
  <c r="J492" i="8" s="1"/>
  <c r="K504" i="8"/>
  <c r="O144" i="8"/>
  <c r="R159" i="8"/>
  <c r="P165" i="8"/>
  <c r="I169" i="8"/>
  <c r="K169" i="8" s="1"/>
  <c r="R175" i="8"/>
  <c r="P181" i="8"/>
  <c r="P194" i="8"/>
  <c r="I238" i="8"/>
  <c r="K238" i="8" s="1"/>
  <c r="Q268" i="8"/>
  <c r="T268" i="8" s="1"/>
  <c r="J280" i="8"/>
  <c r="Q282" i="8"/>
  <c r="T282" i="8" s="1"/>
  <c r="M284" i="8"/>
  <c r="N305" i="8"/>
  <c r="N303" i="8" s="1"/>
  <c r="R320" i="8"/>
  <c r="U320" i="8" s="1"/>
  <c r="R333" i="8"/>
  <c r="U333" i="8" s="1"/>
  <c r="U335" i="8"/>
  <c r="T397" i="8"/>
  <c r="Q394" i="8"/>
  <c r="T394" i="8" s="1"/>
  <c r="Q395" i="8"/>
  <c r="T395" i="8" s="1"/>
  <c r="K412" i="8"/>
  <c r="K440" i="8"/>
  <c r="N496" i="8"/>
  <c r="O584" i="8"/>
  <c r="L578" i="8"/>
  <c r="L576" i="8" s="1"/>
  <c r="L309" i="8"/>
  <c r="O309" i="8" s="1"/>
  <c r="O311" i="8"/>
  <c r="L336" i="8"/>
  <c r="O336" i="8" s="1"/>
  <c r="O338" i="8"/>
  <c r="R375" i="8"/>
  <c r="U377" i="8"/>
  <c r="N516" i="8"/>
  <c r="N515" i="8"/>
  <c r="N513" i="8" s="1"/>
  <c r="Q534" i="8"/>
  <c r="T534" i="8" s="1"/>
  <c r="T535" i="8"/>
  <c r="P563" i="8"/>
  <c r="M557" i="8"/>
  <c r="I156" i="8"/>
  <c r="K156" i="8" s="1"/>
  <c r="L243" i="8"/>
  <c r="K281" i="8"/>
  <c r="M309" i="8"/>
  <c r="P309" i="8" s="1"/>
  <c r="P311" i="8"/>
  <c r="M336" i="8"/>
  <c r="P336" i="8" s="1"/>
  <c r="P338" i="8"/>
  <c r="U414" i="8"/>
  <c r="M561" i="8"/>
  <c r="P561" i="8" s="1"/>
  <c r="T577" i="8"/>
  <c r="Q576" i="8"/>
  <c r="T576" i="8" s="1"/>
  <c r="O600" i="8"/>
  <c r="M690" i="8"/>
  <c r="P690" i="8" s="1"/>
  <c r="P692" i="8"/>
  <c r="J231" i="8"/>
  <c r="J185" i="8" s="1"/>
  <c r="R282" i="8"/>
  <c r="U282" i="8" s="1"/>
  <c r="O287" i="8"/>
  <c r="Q320" i="8"/>
  <c r="T320" i="8" s="1"/>
  <c r="T322" i="8"/>
  <c r="L335" i="8"/>
  <c r="U393" i="8"/>
  <c r="O414" i="8"/>
  <c r="L519" i="8"/>
  <c r="O519" i="8" s="1"/>
  <c r="L515" i="8"/>
  <c r="O515" i="8" s="1"/>
  <c r="O521" i="8"/>
  <c r="P604" i="8"/>
  <c r="M601" i="8"/>
  <c r="I168" i="8"/>
  <c r="K168" i="8" s="1"/>
  <c r="K220" i="8"/>
  <c r="I213" i="8"/>
  <c r="K213" i="8" s="1"/>
  <c r="U308" i="8"/>
  <c r="M326" i="8"/>
  <c r="P326" i="8" s="1"/>
  <c r="P328" i="8"/>
  <c r="M322" i="8"/>
  <c r="K330" i="8"/>
  <c r="M335" i="8"/>
  <c r="J343" i="8"/>
  <c r="J332" i="8"/>
  <c r="K332" i="8" s="1"/>
  <c r="M362" i="8"/>
  <c r="P362" i="8" s="1"/>
  <c r="P364" i="8"/>
  <c r="M358" i="8"/>
  <c r="R378" i="8"/>
  <c r="U380" i="8"/>
  <c r="L381" i="8"/>
  <c r="O381" i="8" s="1"/>
  <c r="O383" i="8"/>
  <c r="O393" i="8"/>
  <c r="L392" i="8"/>
  <c r="O392" i="8" s="1"/>
  <c r="M602" i="8"/>
  <c r="P602" i="8" s="1"/>
  <c r="N335" i="8"/>
  <c r="N333" i="8" s="1"/>
  <c r="J365" i="8"/>
  <c r="K365" i="8" s="1"/>
  <c r="O418" i="8"/>
  <c r="U418" i="8"/>
  <c r="O421" i="8"/>
  <c r="J456" i="8"/>
  <c r="K456" i="8" s="1"/>
  <c r="U498" i="8"/>
  <c r="O518" i="8"/>
  <c r="U600" i="8"/>
  <c r="L616" i="8"/>
  <c r="O616" i="8" s="1"/>
  <c r="M642" i="8"/>
  <c r="P642" i="8" s="1"/>
  <c r="T647" i="8"/>
  <c r="S645" i="8"/>
  <c r="T691" i="8"/>
  <c r="K707" i="8"/>
  <c r="L358" i="8"/>
  <c r="N359" i="8"/>
  <c r="P359" i="8" s="1"/>
  <c r="O364" i="8"/>
  <c r="T380" i="8"/>
  <c r="P394" i="8"/>
  <c r="P418" i="8"/>
  <c r="P421" i="8"/>
  <c r="K441" i="8"/>
  <c r="Q714" i="8"/>
  <c r="T714" i="8" s="1"/>
  <c r="T716" i="8"/>
  <c r="K433" i="8"/>
  <c r="S513" i="8"/>
  <c r="Q555" i="8"/>
  <c r="T555" i="8" s="1"/>
  <c r="O581" i="8"/>
  <c r="K705" i="8"/>
  <c r="I701" i="8"/>
  <c r="Q618" i="8"/>
  <c r="T618" i="8" s="1"/>
  <c r="Q642" i="8"/>
  <c r="T642" i="8" s="1"/>
  <c r="K423" i="8"/>
  <c r="O542" i="8"/>
  <c r="L536" i="8"/>
  <c r="O577" i="8"/>
  <c r="N578" i="8"/>
  <c r="N576" i="8" s="1"/>
  <c r="T621" i="8"/>
  <c r="K689" i="8"/>
  <c r="L760" i="8"/>
  <c r="O760" i="8" s="1"/>
  <c r="O762" i="8"/>
  <c r="U763" i="8"/>
  <c r="K626" i="8"/>
  <c r="R730" i="8"/>
  <c r="U730" i="8" s="1"/>
  <c r="U733" i="8"/>
  <c r="S762" i="8"/>
  <c r="S760" i="8" s="1"/>
  <c r="S693" i="8"/>
  <c r="R644" i="8"/>
  <c r="R692" i="8"/>
  <c r="Q762" i="8"/>
  <c r="M78" i="6"/>
  <c r="P78" i="6" s="1"/>
  <c r="K778" i="7"/>
  <c r="K781" i="7"/>
  <c r="K784" i="7"/>
  <c r="N714" i="7"/>
  <c r="O715" i="7"/>
  <c r="M714" i="7"/>
  <c r="P714" i="7" s="1"/>
  <c r="R714" i="7"/>
  <c r="U714" i="7" s="1"/>
  <c r="N642" i="7"/>
  <c r="Q513" i="7"/>
  <c r="T513" i="7" s="1"/>
  <c r="N19" i="7"/>
  <c r="S339" i="1"/>
  <c r="R513" i="7"/>
  <c r="U513" i="7" s="1"/>
  <c r="U22" i="7"/>
  <c r="Q19" i="7"/>
  <c r="T19" i="7" s="1"/>
  <c r="L392" i="7"/>
  <c r="O392" i="7" s="1"/>
  <c r="K703" i="7"/>
  <c r="K709" i="7"/>
  <c r="P561" i="7"/>
  <c r="N61" i="7"/>
  <c r="N59" i="7" s="1"/>
  <c r="P67" i="7"/>
  <c r="L234" i="7"/>
  <c r="J701" i="7"/>
  <c r="M322" i="1"/>
  <c r="N601" i="7"/>
  <c r="N599" i="7" s="1"/>
  <c r="N46" i="7"/>
  <c r="N44" i="7" s="1"/>
  <c r="P540" i="7"/>
  <c r="S414" i="1"/>
  <c r="L19" i="7"/>
  <c r="O19" i="7" s="1"/>
  <c r="U416" i="7"/>
  <c r="M19" i="7"/>
  <c r="P19" i="7" s="1"/>
  <c r="T80" i="7"/>
  <c r="M377" i="7"/>
  <c r="M375" i="7" s="1"/>
  <c r="P375" i="7" s="1"/>
  <c r="L558" i="7"/>
  <c r="O558" i="7" s="1"/>
  <c r="R602" i="7"/>
  <c r="U602" i="7" s="1"/>
  <c r="L46" i="7"/>
  <c r="L44" i="7" s="1"/>
  <c r="M188" i="7"/>
  <c r="M186" i="7" s="1"/>
  <c r="M288" i="7"/>
  <c r="P288" i="7" s="1"/>
  <c r="S415" i="7"/>
  <c r="S413" i="7" s="1"/>
  <c r="L61" i="7"/>
  <c r="R96" i="7"/>
  <c r="U96" i="7" s="1"/>
  <c r="U123" i="7"/>
  <c r="I136" i="7"/>
  <c r="K136" i="7" s="1"/>
  <c r="Q26" i="7"/>
  <c r="Q24" i="7" s="1"/>
  <c r="O561" i="7"/>
  <c r="J374" i="7"/>
  <c r="M558" i="7"/>
  <c r="P558" i="7" s="1"/>
  <c r="P178" i="7"/>
  <c r="L378" i="7"/>
  <c r="O378" i="7" s="1"/>
  <c r="M579" i="7"/>
  <c r="P579" i="7" s="1"/>
  <c r="S141" i="7"/>
  <c r="S139" i="7" s="1"/>
  <c r="M268" i="7"/>
  <c r="M266" i="7" s="1"/>
  <c r="K369" i="7"/>
  <c r="I202" i="7"/>
  <c r="K202" i="7" s="1"/>
  <c r="L288" i="7"/>
  <c r="O288" i="7" s="1"/>
  <c r="Q305" i="7"/>
  <c r="Q303" i="7" s="1"/>
  <c r="R377" i="7"/>
  <c r="R375" i="7" s="1"/>
  <c r="L381" i="7"/>
  <c r="O381" i="7" s="1"/>
  <c r="K779" i="7"/>
  <c r="M119" i="7"/>
  <c r="P119" i="7" s="1"/>
  <c r="S272" i="1"/>
  <c r="O178" i="7"/>
  <c r="L323" i="7"/>
  <c r="O323" i="7" s="1"/>
  <c r="L74" i="7"/>
  <c r="L72" i="7" s="1"/>
  <c r="Q159" i="7"/>
  <c r="T159" i="7" s="1"/>
  <c r="R175" i="7"/>
  <c r="U175" i="7" s="1"/>
  <c r="N47" i="7"/>
  <c r="P47" i="7" s="1"/>
  <c r="N62" i="7"/>
  <c r="P62" i="7" s="1"/>
  <c r="S188" i="7"/>
  <c r="S186" i="7" s="1"/>
  <c r="K198" i="7"/>
  <c r="S268" i="7"/>
  <c r="S266" i="7" s="1"/>
  <c r="M272" i="7"/>
  <c r="P272" i="7" s="1"/>
  <c r="K386" i="7"/>
  <c r="L720" i="1"/>
  <c r="O720" i="1" s="1"/>
  <c r="S601" i="7"/>
  <c r="S599" i="7" s="1"/>
  <c r="O52" i="7"/>
  <c r="O67" i="7"/>
  <c r="P75" i="7"/>
  <c r="S97" i="7"/>
  <c r="U97" i="7" s="1"/>
  <c r="L176" i="7"/>
  <c r="Q192" i="7"/>
  <c r="T192" i="7" s="1"/>
  <c r="P274" i="7"/>
  <c r="L326" i="7"/>
  <c r="O326" i="7" s="1"/>
  <c r="Q495" i="7"/>
  <c r="T495" i="7" s="1"/>
  <c r="L516" i="7"/>
  <c r="O516" i="7" s="1"/>
  <c r="Q730" i="7"/>
  <c r="Q728" i="7" s="1"/>
  <c r="I156" i="7"/>
  <c r="K156" i="7" s="1"/>
  <c r="S192" i="7"/>
  <c r="L203" i="7"/>
  <c r="O203" i="7" s="1"/>
  <c r="N268" i="7"/>
  <c r="N266" i="7" s="1"/>
  <c r="S395" i="7"/>
  <c r="I423" i="7"/>
  <c r="K423" i="7" s="1"/>
  <c r="R496" i="7"/>
  <c r="U496" i="7" s="1"/>
  <c r="T733" i="7"/>
  <c r="M141" i="7"/>
  <c r="M139" i="7" s="1"/>
  <c r="J332" i="7"/>
  <c r="O418" i="7"/>
  <c r="O65" i="7"/>
  <c r="U99" i="7"/>
  <c r="R141" i="7"/>
  <c r="U141" i="7" s="1"/>
  <c r="O144" i="7"/>
  <c r="T189" i="7"/>
  <c r="P338" i="7"/>
  <c r="K346" i="7"/>
  <c r="J351" i="7"/>
  <c r="I374" i="7"/>
  <c r="T418" i="7"/>
  <c r="M519" i="7"/>
  <c r="P519" i="7" s="1"/>
  <c r="Q602" i="7"/>
  <c r="T602" i="7" s="1"/>
  <c r="R601" i="7"/>
  <c r="U601" i="7" s="1"/>
  <c r="J675" i="7"/>
  <c r="T695" i="7"/>
  <c r="T763" i="7"/>
  <c r="L96" i="7"/>
  <c r="O96" i="7" s="1"/>
  <c r="L120" i="7"/>
  <c r="O120" i="7" s="1"/>
  <c r="U144" i="7"/>
  <c r="U147" i="7"/>
  <c r="T162" i="7"/>
  <c r="R176" i="7"/>
  <c r="U176" i="7" s="1"/>
  <c r="I240" i="7"/>
  <c r="K240" i="7" s="1"/>
  <c r="T269" i="7"/>
  <c r="L339" i="7"/>
  <c r="O339" i="7" s="1"/>
  <c r="L377" i="7"/>
  <c r="O377" i="7" s="1"/>
  <c r="I492" i="7"/>
  <c r="K492" i="7" s="1"/>
  <c r="L557" i="7"/>
  <c r="L555" i="7" s="1"/>
  <c r="O604" i="7"/>
  <c r="T647" i="7"/>
  <c r="K727" i="7"/>
  <c r="P80" i="7"/>
  <c r="L97" i="7"/>
  <c r="O97" i="7" s="1"/>
  <c r="P194" i="7"/>
  <c r="L235" i="7"/>
  <c r="T271" i="7"/>
  <c r="M339" i="7"/>
  <c r="P339" i="7" s="1"/>
  <c r="N377" i="7"/>
  <c r="N375" i="7" s="1"/>
  <c r="T397" i="7"/>
  <c r="Q416" i="7"/>
  <c r="T416" i="7" s="1"/>
  <c r="U418" i="7"/>
  <c r="M582" i="7"/>
  <c r="P582" i="7" s="1"/>
  <c r="R605" i="7"/>
  <c r="U605" i="7" s="1"/>
  <c r="S731" i="7"/>
  <c r="T731" i="7" s="1"/>
  <c r="N96" i="7"/>
  <c r="N94" i="7" s="1"/>
  <c r="L222" i="7"/>
  <c r="O222" i="7" s="1"/>
  <c r="K330" i="7"/>
  <c r="O359" i="7"/>
  <c r="Q394" i="7"/>
  <c r="T394" i="7" s="1"/>
  <c r="O581" i="7"/>
  <c r="S619" i="7"/>
  <c r="U619" i="7" s="1"/>
  <c r="R645" i="7"/>
  <c r="U645" i="7" s="1"/>
  <c r="S692" i="7"/>
  <c r="S690" i="7" s="1"/>
  <c r="T693" i="7"/>
  <c r="I116" i="7"/>
  <c r="K116" i="7" s="1"/>
  <c r="L415" i="7"/>
  <c r="L413" i="7" s="1"/>
  <c r="R618" i="7"/>
  <c r="R616" i="7" s="1"/>
  <c r="S644" i="7"/>
  <c r="S642" i="7" s="1"/>
  <c r="R762" i="7"/>
  <c r="R760" i="7" s="1"/>
  <c r="K780" i="7"/>
  <c r="S26" i="7"/>
  <c r="S24" i="7" s="1"/>
  <c r="P191" i="7"/>
  <c r="N305" i="7"/>
  <c r="N303" i="7" s="1"/>
  <c r="R415" i="7"/>
  <c r="M578" i="7"/>
  <c r="P578" i="7" s="1"/>
  <c r="P52" i="7"/>
  <c r="M26" i="7"/>
  <c r="M24" i="7" s="1"/>
  <c r="P99" i="7"/>
  <c r="M97" i="7"/>
  <c r="P97" i="7" s="1"/>
  <c r="M96" i="7"/>
  <c r="M94" i="7" s="1"/>
  <c r="M160" i="7"/>
  <c r="P160" i="7" s="1"/>
  <c r="M159" i="7"/>
  <c r="M157" i="7" s="1"/>
  <c r="P162" i="7"/>
  <c r="P518" i="7"/>
  <c r="M516" i="7"/>
  <c r="P516" i="7" s="1"/>
  <c r="M515" i="7"/>
  <c r="P515" i="7" s="1"/>
  <c r="M23" i="7"/>
  <c r="N74" i="7"/>
  <c r="N72" i="7" s="1"/>
  <c r="Q175" i="7"/>
  <c r="T178" i="7"/>
  <c r="Q176" i="7"/>
  <c r="T176" i="7" s="1"/>
  <c r="O274" i="7"/>
  <c r="L272" i="7"/>
  <c r="O272" i="7" s="1"/>
  <c r="I265" i="7"/>
  <c r="K265" i="7" s="1"/>
  <c r="K276" i="7"/>
  <c r="L495" i="7"/>
  <c r="O495" i="7" s="1"/>
  <c r="L496" i="7"/>
  <c r="O496" i="7" s="1"/>
  <c r="O498" i="7"/>
  <c r="O607" i="7"/>
  <c r="L605" i="7"/>
  <c r="O605" i="7" s="1"/>
  <c r="Q23" i="7"/>
  <c r="Q20" i="7" s="1"/>
  <c r="M50" i="7"/>
  <c r="P50" i="7" s="1"/>
  <c r="P64" i="7"/>
  <c r="Q74" i="7"/>
  <c r="Q72" i="7" s="1"/>
  <c r="K108" i="7"/>
  <c r="I92" i="7"/>
  <c r="K92" i="7" s="1"/>
  <c r="T147" i="7"/>
  <c r="Q145" i="7"/>
  <c r="T145" i="7" s="1"/>
  <c r="R192" i="7"/>
  <c r="U192" i="7" s="1"/>
  <c r="U194" i="7"/>
  <c r="I281" i="7"/>
  <c r="K281" i="7" s="1"/>
  <c r="K292" i="7"/>
  <c r="O361" i="7"/>
  <c r="Q378" i="7"/>
  <c r="Q377" i="7"/>
  <c r="Q375" i="7" s="1"/>
  <c r="P539" i="7"/>
  <c r="M537" i="7"/>
  <c r="P537" i="7" s="1"/>
  <c r="L579" i="7"/>
  <c r="O579" i="7" s="1"/>
  <c r="S605" i="7"/>
  <c r="U693" i="7"/>
  <c r="I759" i="7"/>
  <c r="K759" i="7" s="1"/>
  <c r="K774" i="7"/>
  <c r="M284" i="1"/>
  <c r="R74" i="7"/>
  <c r="R72" i="7" s="1"/>
  <c r="S94" i="7"/>
  <c r="O165" i="7"/>
  <c r="L163" i="7"/>
  <c r="O163" i="7" s="1"/>
  <c r="O194" i="7"/>
  <c r="L192" i="7"/>
  <c r="O192" i="7" s="1"/>
  <c r="O80" i="7"/>
  <c r="L78" i="7"/>
  <c r="O78" i="7" s="1"/>
  <c r="N415" i="7"/>
  <c r="N419" i="7"/>
  <c r="L601" i="7"/>
  <c r="P604" i="7"/>
  <c r="M602" i="7"/>
  <c r="P602" i="7" s="1"/>
  <c r="M601" i="7"/>
  <c r="P601" i="7" s="1"/>
  <c r="M65" i="7"/>
  <c r="P65" i="7" s="1"/>
  <c r="P77" i="7"/>
  <c r="T125" i="7"/>
  <c r="Q123" i="7"/>
  <c r="T123" i="7" s="1"/>
  <c r="L254" i="7"/>
  <c r="O254" i="7" s="1"/>
  <c r="M326" i="7"/>
  <c r="P326" i="7" s="1"/>
  <c r="P328" i="7"/>
  <c r="K368" i="7"/>
  <c r="M416" i="7"/>
  <c r="P416" i="7" s="1"/>
  <c r="M415" i="7"/>
  <c r="P415" i="7" s="1"/>
  <c r="N495" i="7"/>
  <c r="N493" i="7" s="1"/>
  <c r="N499" i="7"/>
  <c r="P49" i="7"/>
  <c r="M100" i="7"/>
  <c r="P100" i="7" s="1"/>
  <c r="Q119" i="7"/>
  <c r="Q117" i="7" s="1"/>
  <c r="L141" i="7"/>
  <c r="L139" i="7" s="1"/>
  <c r="S159" i="7"/>
  <c r="S157" i="7" s="1"/>
  <c r="M189" i="7"/>
  <c r="P189" i="7" s="1"/>
  <c r="U189" i="7"/>
  <c r="Q268" i="7"/>
  <c r="M306" i="7"/>
  <c r="P306" i="7" s="1"/>
  <c r="M358" i="7"/>
  <c r="M356" i="7" s="1"/>
  <c r="Q415" i="7"/>
  <c r="O421" i="7"/>
  <c r="O501" i="7"/>
  <c r="L537" i="7"/>
  <c r="O537" i="7" s="1"/>
  <c r="O602" i="7"/>
  <c r="U607" i="7"/>
  <c r="J674" i="7"/>
  <c r="S730" i="7"/>
  <c r="S728" i="7" s="1"/>
  <c r="I758" i="7"/>
  <c r="K758" i="7" s="1"/>
  <c r="T765" i="7"/>
  <c r="P287" i="7"/>
  <c r="N284" i="7"/>
  <c r="N282" i="7" s="1"/>
  <c r="I615" i="7"/>
  <c r="K615" i="7" s="1"/>
  <c r="K629" i="7"/>
  <c r="K689" i="7"/>
  <c r="S142" i="7"/>
  <c r="K183" i="7"/>
  <c r="K251" i="7"/>
  <c r="K260" i="7"/>
  <c r="M322" i="7"/>
  <c r="P322" i="7" s="1"/>
  <c r="K631" i="7"/>
  <c r="K785" i="7"/>
  <c r="U125" i="7"/>
  <c r="L145" i="7"/>
  <c r="O145" i="7" s="1"/>
  <c r="N175" i="7"/>
  <c r="N173" i="7" s="1"/>
  <c r="L179" i="7"/>
  <c r="O179" i="7" s="1"/>
  <c r="N188" i="7"/>
  <c r="N186" i="7" s="1"/>
  <c r="K220" i="7"/>
  <c r="U271" i="7"/>
  <c r="M284" i="7"/>
  <c r="M305" i="7"/>
  <c r="P305" i="7" s="1"/>
  <c r="K344" i="7"/>
  <c r="M362" i="7"/>
  <c r="P362" i="7" s="1"/>
  <c r="N557" i="7"/>
  <c r="N555" i="7" s="1"/>
  <c r="O563" i="7"/>
  <c r="U621" i="7"/>
  <c r="U695" i="7"/>
  <c r="U765" i="7"/>
  <c r="L123" i="7"/>
  <c r="O123" i="7" s="1"/>
  <c r="M145" i="7"/>
  <c r="P145" i="7" s="1"/>
  <c r="N269" i="7"/>
  <c r="P269" i="7" s="1"/>
  <c r="J343" i="7"/>
  <c r="P361" i="7"/>
  <c r="S392" i="7"/>
  <c r="O416" i="7"/>
  <c r="K632" i="7"/>
  <c r="Q644" i="7"/>
  <c r="T644" i="7" s="1"/>
  <c r="Q692" i="7"/>
  <c r="J702" i="7"/>
  <c r="K707" i="7"/>
  <c r="N163" i="7"/>
  <c r="N159" i="7"/>
  <c r="N157" i="7" s="1"/>
  <c r="I83" i="7"/>
  <c r="K85" i="7"/>
  <c r="T99" i="7"/>
  <c r="Q97" i="7"/>
  <c r="Q96" i="7"/>
  <c r="N100" i="7"/>
  <c r="N123" i="7"/>
  <c r="N119" i="7"/>
  <c r="N117" i="7" s="1"/>
  <c r="I138" i="7"/>
  <c r="K138" i="7" s="1"/>
  <c r="K153" i="7"/>
  <c r="S176" i="7"/>
  <c r="S175" i="7"/>
  <c r="S173" i="7" s="1"/>
  <c r="O158" i="7"/>
  <c r="R159" i="7"/>
  <c r="R160" i="7"/>
  <c r="U160" i="7" s="1"/>
  <c r="U162" i="7"/>
  <c r="O271" i="7"/>
  <c r="L268" i="7"/>
  <c r="L269" i="7"/>
  <c r="Q356" i="7"/>
  <c r="T356" i="7" s="1"/>
  <c r="T358" i="7"/>
  <c r="L159" i="7"/>
  <c r="O159" i="7" s="1"/>
  <c r="O162" i="7"/>
  <c r="L160" i="7"/>
  <c r="O160" i="7" s="1"/>
  <c r="K249" i="7"/>
  <c r="I242" i="7"/>
  <c r="I238" i="7"/>
  <c r="K238" i="7" s="1"/>
  <c r="L285" i="7"/>
  <c r="O285" i="7" s="1"/>
  <c r="O287" i="7"/>
  <c r="L284" i="7"/>
  <c r="L282" i="7" s="1"/>
  <c r="N335" i="7"/>
  <c r="N333" i="7" s="1"/>
  <c r="N336" i="7"/>
  <c r="P336" i="7" s="1"/>
  <c r="K784" i="6"/>
  <c r="L62" i="7"/>
  <c r="O64" i="7"/>
  <c r="S75" i="7"/>
  <c r="T75" i="7" s="1"/>
  <c r="S23" i="7"/>
  <c r="S74" i="7"/>
  <c r="P95" i="7"/>
  <c r="Q141" i="7"/>
  <c r="Q142" i="7"/>
  <c r="T144" i="7"/>
  <c r="S282" i="7"/>
  <c r="L47" i="7"/>
  <c r="O49" i="7"/>
  <c r="L23" i="7"/>
  <c r="O77" i="7"/>
  <c r="L75" i="7"/>
  <c r="O75" i="7" s="1"/>
  <c r="P304" i="7"/>
  <c r="P321" i="7"/>
  <c r="R23" i="7"/>
  <c r="L26" i="7"/>
  <c r="R26" i="7"/>
  <c r="M46" i="7"/>
  <c r="M61" i="7"/>
  <c r="M74" i="7"/>
  <c r="T77" i="7"/>
  <c r="R78" i="7"/>
  <c r="U78" i="7" s="1"/>
  <c r="O102" i="7"/>
  <c r="K109" i="7"/>
  <c r="I93" i="7"/>
  <c r="K93" i="7" s="1"/>
  <c r="L119" i="7"/>
  <c r="O119" i="7" s="1"/>
  <c r="R119" i="7"/>
  <c r="R117" i="7" s="1"/>
  <c r="T158" i="7"/>
  <c r="P165" i="7"/>
  <c r="P174" i="7"/>
  <c r="L175" i="7"/>
  <c r="M176" i="7"/>
  <c r="M175" i="7"/>
  <c r="M173" i="7" s="1"/>
  <c r="Q188" i="7"/>
  <c r="I241" i="7"/>
  <c r="K241" i="7" s="1"/>
  <c r="P285" i="7"/>
  <c r="N326" i="7"/>
  <c r="N322" i="7"/>
  <c r="N320" i="7" s="1"/>
  <c r="S375" i="7"/>
  <c r="U397" i="7"/>
  <c r="R394" i="7"/>
  <c r="U394" i="7" s="1"/>
  <c r="R395" i="7"/>
  <c r="U395" i="7" s="1"/>
  <c r="P414" i="7"/>
  <c r="S120" i="7"/>
  <c r="T120" i="7" s="1"/>
  <c r="T122" i="7"/>
  <c r="P140" i="7"/>
  <c r="L189" i="7"/>
  <c r="O189" i="7" s="1"/>
  <c r="L188" i="7"/>
  <c r="U191" i="7"/>
  <c r="R188" i="7"/>
  <c r="L243" i="7"/>
  <c r="L233" i="7"/>
  <c r="Q282" i="7"/>
  <c r="T282" i="7" s="1"/>
  <c r="M378" i="7"/>
  <c r="P378" i="7" s="1"/>
  <c r="P380" i="7"/>
  <c r="M381" i="7"/>
  <c r="P381" i="7" s="1"/>
  <c r="P383" i="7"/>
  <c r="N23" i="7"/>
  <c r="N26" i="7"/>
  <c r="N24" i="7" s="1"/>
  <c r="U122" i="7"/>
  <c r="N176" i="7"/>
  <c r="K229" i="7"/>
  <c r="P271" i="7"/>
  <c r="K314" i="7"/>
  <c r="I302" i="7"/>
  <c r="K302" i="7" s="1"/>
  <c r="R44" i="7"/>
  <c r="U44" i="7" s="1"/>
  <c r="R59" i="7"/>
  <c r="U59" i="7" s="1"/>
  <c r="N142" i="7"/>
  <c r="P144" i="7"/>
  <c r="N141" i="7"/>
  <c r="K172" i="7"/>
  <c r="U174" i="7"/>
  <c r="L306" i="7"/>
  <c r="O306" i="7" s="1"/>
  <c r="L305" i="7"/>
  <c r="O305" i="7" s="1"/>
  <c r="S306" i="7"/>
  <c r="T306" i="7" s="1"/>
  <c r="S305" i="7"/>
  <c r="S303" i="7" s="1"/>
  <c r="L309" i="7"/>
  <c r="O309" i="7" s="1"/>
  <c r="O311" i="7"/>
  <c r="L336" i="7"/>
  <c r="O338" i="7"/>
  <c r="L335" i="7"/>
  <c r="L333" i="7" s="1"/>
  <c r="U77" i="7"/>
  <c r="I82" i="7"/>
  <c r="T118" i="7"/>
  <c r="S119" i="7"/>
  <c r="P122" i="7"/>
  <c r="M123" i="7"/>
  <c r="P123" i="7" s="1"/>
  <c r="P125" i="7"/>
  <c r="K152" i="7"/>
  <c r="I137" i="7"/>
  <c r="K137" i="7" s="1"/>
  <c r="O191" i="7"/>
  <c r="L236" i="7"/>
  <c r="P325" i="7"/>
  <c r="J503" i="7"/>
  <c r="J492" i="7" s="1"/>
  <c r="K504" i="7"/>
  <c r="L214" i="7"/>
  <c r="O214" i="7" s="1"/>
  <c r="U308" i="7"/>
  <c r="P359" i="7"/>
  <c r="I365" i="7"/>
  <c r="K365" i="7" s="1"/>
  <c r="K371" i="7"/>
  <c r="S496" i="7"/>
  <c r="S495" i="7"/>
  <c r="S493" i="7" s="1"/>
  <c r="O540" i="7"/>
  <c r="K705" i="7"/>
  <c r="I701" i="7"/>
  <c r="M496" i="7"/>
  <c r="P496" i="7" s="1"/>
  <c r="P498" i="7"/>
  <c r="M495" i="7"/>
  <c r="P495" i="7" s="1"/>
  <c r="M642" i="7"/>
  <c r="P642" i="7" s="1"/>
  <c r="P644" i="7"/>
  <c r="T376" i="7"/>
  <c r="P393" i="7"/>
  <c r="M392" i="7"/>
  <c r="P392" i="7" s="1"/>
  <c r="P181" i="7"/>
  <c r="T191" i="7"/>
  <c r="R268" i="7"/>
  <c r="R282" i="7"/>
  <c r="U282" i="7" s="1"/>
  <c r="R305" i="7"/>
  <c r="T308" i="7"/>
  <c r="U334" i="7"/>
  <c r="R333" i="7"/>
  <c r="U333" i="7" s="1"/>
  <c r="N362" i="7"/>
  <c r="N358" i="7"/>
  <c r="N356" i="7" s="1"/>
  <c r="T607" i="7"/>
  <c r="Q601" i="7"/>
  <c r="U269" i="7"/>
  <c r="K293" i="7"/>
  <c r="I280" i="7"/>
  <c r="K280" i="7" s="1"/>
  <c r="O334" i="7"/>
  <c r="S378" i="7"/>
  <c r="U378" i="7" s="1"/>
  <c r="U380" i="7"/>
  <c r="O521" i="7"/>
  <c r="L515" i="7"/>
  <c r="O515" i="7" s="1"/>
  <c r="L519" i="7"/>
  <c r="O519" i="7" s="1"/>
  <c r="N536" i="7"/>
  <c r="N534" i="7" s="1"/>
  <c r="P563" i="7"/>
  <c r="M557" i="7"/>
  <c r="T577" i="7"/>
  <c r="Q576" i="7"/>
  <c r="T576" i="7" s="1"/>
  <c r="L358" i="7"/>
  <c r="O364" i="7"/>
  <c r="T380" i="7"/>
  <c r="P418" i="7"/>
  <c r="R495" i="7"/>
  <c r="P501" i="7"/>
  <c r="N515" i="7"/>
  <c r="N513" i="7" s="1"/>
  <c r="T515" i="7"/>
  <c r="O542" i="7"/>
  <c r="U617" i="7"/>
  <c r="T643" i="7"/>
  <c r="M690" i="7"/>
  <c r="P690" i="7" s="1"/>
  <c r="P692" i="7"/>
  <c r="M419" i="7"/>
  <c r="P419" i="7" s="1"/>
  <c r="Q496" i="7"/>
  <c r="T496" i="7" s="1"/>
  <c r="O617" i="7"/>
  <c r="L616" i="7"/>
  <c r="O616" i="7" s="1"/>
  <c r="T691" i="7"/>
  <c r="L760" i="7"/>
  <c r="O760" i="7" s="1"/>
  <c r="O762" i="7"/>
  <c r="U763" i="7"/>
  <c r="Q555" i="7"/>
  <c r="T555" i="7" s="1"/>
  <c r="J457" i="7"/>
  <c r="T621" i="7"/>
  <c r="Q618" i="7"/>
  <c r="T618" i="7" s="1"/>
  <c r="Q619" i="7"/>
  <c r="L322" i="7"/>
  <c r="I332" i="7"/>
  <c r="M335" i="7"/>
  <c r="L536" i="7"/>
  <c r="P542" i="7"/>
  <c r="M536" i="7"/>
  <c r="O577" i="7"/>
  <c r="N578" i="7"/>
  <c r="N576" i="7" s="1"/>
  <c r="L582" i="7"/>
  <c r="O582" i="7" s="1"/>
  <c r="O584" i="7"/>
  <c r="L578" i="7"/>
  <c r="Q714" i="7"/>
  <c r="T714" i="7" s="1"/>
  <c r="T716" i="7"/>
  <c r="K726" i="7"/>
  <c r="K626" i="7"/>
  <c r="R730" i="7"/>
  <c r="U733" i="7"/>
  <c r="S762" i="7"/>
  <c r="S760" i="7" s="1"/>
  <c r="R644" i="7"/>
  <c r="R692" i="7"/>
  <c r="Q762" i="7"/>
  <c r="U715" i="6"/>
  <c r="N714" i="6"/>
  <c r="Q19" i="6"/>
  <c r="T19" i="6" s="1"/>
  <c r="Q692" i="6"/>
  <c r="Q690" i="6" s="1"/>
  <c r="N557" i="3"/>
  <c r="N555" i="3" s="1"/>
  <c r="Q534" i="6"/>
  <c r="T534" i="6" s="1"/>
  <c r="U556" i="6"/>
  <c r="L19" i="6"/>
  <c r="O19" i="6" s="1"/>
  <c r="M323" i="6"/>
  <c r="P323" i="6" s="1"/>
  <c r="M392" i="6"/>
  <c r="P392" i="6" s="1"/>
  <c r="L392" i="6"/>
  <c r="O392" i="6" s="1"/>
  <c r="N392" i="6"/>
  <c r="P22" i="6"/>
  <c r="U322" i="6"/>
  <c r="N19" i="6"/>
  <c r="L222" i="1"/>
  <c r="U271" i="6"/>
  <c r="L141" i="6"/>
  <c r="L139" i="6" s="1"/>
  <c r="Q321" i="1"/>
  <c r="T321" i="1" s="1"/>
  <c r="N188" i="6"/>
  <c r="N186" i="6" s="1"/>
  <c r="L120" i="6"/>
  <c r="O120" i="6" s="1"/>
  <c r="S394" i="6"/>
  <c r="S392" i="6" s="1"/>
  <c r="N141" i="6"/>
  <c r="S159" i="6"/>
  <c r="S157" i="6" s="1"/>
  <c r="K779" i="6"/>
  <c r="K785" i="6"/>
  <c r="R188" i="6"/>
  <c r="R186" i="6" s="1"/>
  <c r="J351" i="6"/>
  <c r="Q395" i="6"/>
  <c r="T395" i="6" s="1"/>
  <c r="I137" i="6"/>
  <c r="K137" i="6" s="1"/>
  <c r="I265" i="6"/>
  <c r="K265" i="6" s="1"/>
  <c r="N119" i="6"/>
  <c r="N117" i="6" s="1"/>
  <c r="L192" i="6"/>
  <c r="O192" i="6" s="1"/>
  <c r="R602" i="6"/>
  <c r="U602" i="6" s="1"/>
  <c r="I238" i="6"/>
  <c r="K238" i="6" s="1"/>
  <c r="Q188" i="6"/>
  <c r="Q186" i="6" s="1"/>
  <c r="Q377" i="6"/>
  <c r="Q375" i="6" s="1"/>
  <c r="T397" i="6"/>
  <c r="M322" i="6"/>
  <c r="P322" i="6" s="1"/>
  <c r="T733" i="6"/>
  <c r="I93" i="6"/>
  <c r="K93" i="6" s="1"/>
  <c r="I136" i="6"/>
  <c r="K136" i="6" s="1"/>
  <c r="T142" i="6"/>
  <c r="R496" i="6"/>
  <c r="U496" i="6" s="1"/>
  <c r="M495" i="6"/>
  <c r="P495" i="6" s="1"/>
  <c r="N335" i="6"/>
  <c r="N333" i="6" s="1"/>
  <c r="K632" i="6"/>
  <c r="I319" i="6"/>
  <c r="K319" i="6" s="1"/>
  <c r="O498" i="6"/>
  <c r="Q192" i="6"/>
  <c r="T192" i="6" s="1"/>
  <c r="L415" i="6"/>
  <c r="L413" i="6" s="1"/>
  <c r="I615" i="6"/>
  <c r="K615" i="6" s="1"/>
  <c r="P144" i="6"/>
  <c r="S175" i="6"/>
  <c r="S173" i="6" s="1"/>
  <c r="S416" i="6"/>
  <c r="P416" i="6"/>
  <c r="M578" i="6"/>
  <c r="P578" i="6" s="1"/>
  <c r="P194" i="6"/>
  <c r="Q268" i="6"/>
  <c r="Q266" i="6" s="1"/>
  <c r="O287" i="6"/>
  <c r="T308" i="6"/>
  <c r="N305" i="6"/>
  <c r="N303" i="6" s="1"/>
  <c r="R495" i="6"/>
  <c r="R493" i="6" s="1"/>
  <c r="U493" i="6" s="1"/>
  <c r="S601" i="6"/>
  <c r="S599" i="6" s="1"/>
  <c r="S692" i="6"/>
  <c r="S690" i="6" s="1"/>
  <c r="K689" i="6"/>
  <c r="U75" i="6"/>
  <c r="R119" i="6"/>
  <c r="R117" i="6" s="1"/>
  <c r="N175" i="6"/>
  <c r="N173" i="6" s="1"/>
  <c r="U191" i="6"/>
  <c r="I492" i="6"/>
  <c r="K492" i="6" s="1"/>
  <c r="O501" i="6"/>
  <c r="R605" i="6"/>
  <c r="U605" i="6" s="1"/>
  <c r="M305" i="6"/>
  <c r="P305" i="6" s="1"/>
  <c r="O308" i="6"/>
  <c r="S496" i="6"/>
  <c r="O579" i="6"/>
  <c r="O581" i="6"/>
  <c r="U77" i="6"/>
  <c r="I374" i="6"/>
  <c r="N495" i="6"/>
  <c r="N493" i="6" s="1"/>
  <c r="L537" i="6"/>
  <c r="O537" i="6" s="1"/>
  <c r="R601" i="6"/>
  <c r="U601" i="6" s="1"/>
  <c r="R141" i="6"/>
  <c r="U141" i="6" s="1"/>
  <c r="I168" i="6"/>
  <c r="K168" i="6" s="1"/>
  <c r="S188" i="6"/>
  <c r="S186" i="6" s="1"/>
  <c r="I202" i="6"/>
  <c r="K202" i="6" s="1"/>
  <c r="I242" i="6"/>
  <c r="K242" i="6" s="1"/>
  <c r="R268" i="6"/>
  <c r="R266" i="6" s="1"/>
  <c r="M272" i="6"/>
  <c r="P272" i="6" s="1"/>
  <c r="R305" i="6"/>
  <c r="R303" i="6" s="1"/>
  <c r="M326" i="6"/>
  <c r="P326" i="6" s="1"/>
  <c r="M561" i="6"/>
  <c r="P561" i="6" s="1"/>
  <c r="J675" i="6"/>
  <c r="K675" i="6" s="1"/>
  <c r="K778" i="6"/>
  <c r="I156" i="6"/>
  <c r="K156" i="6" s="1"/>
  <c r="N159" i="6"/>
  <c r="N157" i="6" s="1"/>
  <c r="I169" i="6"/>
  <c r="K169" i="6" s="1"/>
  <c r="P271" i="6"/>
  <c r="N377" i="6"/>
  <c r="N375" i="6" s="1"/>
  <c r="R145" i="6"/>
  <c r="U145" i="6" s="1"/>
  <c r="L305" i="6"/>
  <c r="L303" i="6" s="1"/>
  <c r="M582" i="6"/>
  <c r="P582" i="6" s="1"/>
  <c r="L602" i="6"/>
  <c r="O602" i="6" s="1"/>
  <c r="K629" i="6"/>
  <c r="O49" i="6"/>
  <c r="P52" i="6"/>
  <c r="R123" i="6"/>
  <c r="U123" i="6" s="1"/>
  <c r="L377" i="6"/>
  <c r="L375" i="6" s="1"/>
  <c r="O375" i="6" s="1"/>
  <c r="J374" i="6"/>
  <c r="K631" i="6"/>
  <c r="K780" i="6"/>
  <c r="P75" i="6"/>
  <c r="O181" i="6"/>
  <c r="K371" i="6"/>
  <c r="K709" i="6"/>
  <c r="L47" i="6"/>
  <c r="L74" i="6"/>
  <c r="L72" i="6" s="1"/>
  <c r="P97" i="6"/>
  <c r="K108" i="6"/>
  <c r="P122" i="6"/>
  <c r="L222" i="6"/>
  <c r="O222" i="6" s="1"/>
  <c r="O269" i="6"/>
  <c r="L306" i="6"/>
  <c r="O306" i="6" s="1"/>
  <c r="L339" i="6"/>
  <c r="O339" i="6" s="1"/>
  <c r="K346" i="6"/>
  <c r="U418" i="6"/>
  <c r="S493" i="6"/>
  <c r="N515" i="6"/>
  <c r="N513" i="6" s="1"/>
  <c r="P539" i="6"/>
  <c r="K673" i="6"/>
  <c r="T695" i="6"/>
  <c r="K781" i="6"/>
  <c r="N74" i="6"/>
  <c r="N72" i="6" s="1"/>
  <c r="N142" i="6"/>
  <c r="P142" i="6" s="1"/>
  <c r="L159" i="6"/>
  <c r="L157" i="6" s="1"/>
  <c r="Q176" i="6"/>
  <c r="T176" i="6" s="1"/>
  <c r="O359" i="6"/>
  <c r="P364" i="6"/>
  <c r="L561" i="6"/>
  <c r="O561" i="6" s="1"/>
  <c r="L601" i="6"/>
  <c r="L599" i="6" s="1"/>
  <c r="O599" i="6" s="1"/>
  <c r="I758" i="6"/>
  <c r="K758" i="6" s="1"/>
  <c r="T765" i="6"/>
  <c r="K782" i="6"/>
  <c r="S605" i="6"/>
  <c r="O75" i="6"/>
  <c r="O77" i="6"/>
  <c r="I82" i="6"/>
  <c r="K82" i="6" s="1"/>
  <c r="N120" i="6"/>
  <c r="U122" i="6"/>
  <c r="P160" i="6"/>
  <c r="M179" i="6"/>
  <c r="P179" i="6" s="1"/>
  <c r="R192" i="6"/>
  <c r="U192" i="6" s="1"/>
  <c r="K249" i="6"/>
  <c r="Q305" i="6"/>
  <c r="Q303" i="6" s="1"/>
  <c r="U306" i="6"/>
  <c r="P306" i="6"/>
  <c r="U308" i="6"/>
  <c r="O311" i="6"/>
  <c r="J343" i="6"/>
  <c r="P359" i="6"/>
  <c r="K386" i="6"/>
  <c r="L419" i="6"/>
  <c r="O419" i="6" s="1"/>
  <c r="K457" i="6"/>
  <c r="M496" i="6"/>
  <c r="P496" i="6" s="1"/>
  <c r="P498" i="6"/>
  <c r="O607" i="6"/>
  <c r="K703" i="6"/>
  <c r="U763" i="6"/>
  <c r="M96" i="6"/>
  <c r="M94" i="6" s="1"/>
  <c r="L119" i="6"/>
  <c r="L117" i="6" s="1"/>
  <c r="O117" i="6" s="1"/>
  <c r="T120" i="6"/>
  <c r="R142" i="6"/>
  <c r="U142" i="6" s="1"/>
  <c r="L145" i="6"/>
  <c r="O145" i="6" s="1"/>
  <c r="L175" i="6"/>
  <c r="L173" i="6" s="1"/>
  <c r="L203" i="6"/>
  <c r="O203" i="6" s="1"/>
  <c r="I280" i="6"/>
  <c r="K280" i="6" s="1"/>
  <c r="L309" i="6"/>
  <c r="O309" i="6" s="1"/>
  <c r="N322" i="6"/>
  <c r="N320" i="6" s="1"/>
  <c r="Q730" i="6"/>
  <c r="Q728" i="6" s="1"/>
  <c r="Q731" i="6"/>
  <c r="T731" i="6" s="1"/>
  <c r="P49" i="6"/>
  <c r="I116" i="6"/>
  <c r="K116" i="6" s="1"/>
  <c r="L123" i="6"/>
  <c r="O123" i="6" s="1"/>
  <c r="M159" i="6"/>
  <c r="Q175" i="6"/>
  <c r="T175" i="6" s="1"/>
  <c r="M188" i="6"/>
  <c r="M186" i="6" s="1"/>
  <c r="I195" i="6"/>
  <c r="K195" i="6" s="1"/>
  <c r="L235" i="6"/>
  <c r="S305" i="6"/>
  <c r="S303" i="6" s="1"/>
  <c r="L326" i="6"/>
  <c r="O326" i="6" s="1"/>
  <c r="O361" i="6"/>
  <c r="O416" i="6"/>
  <c r="N557" i="6"/>
  <c r="N555" i="6" s="1"/>
  <c r="J674" i="6"/>
  <c r="K674" i="6" s="1"/>
  <c r="S730" i="6"/>
  <c r="S728" i="6" s="1"/>
  <c r="U765" i="6"/>
  <c r="M23" i="6"/>
  <c r="M61" i="6"/>
  <c r="M59" i="6" s="1"/>
  <c r="O62" i="6"/>
  <c r="L78" i="6"/>
  <c r="O78" i="6" s="1"/>
  <c r="K84" i="6"/>
  <c r="T99" i="6"/>
  <c r="S119" i="6"/>
  <c r="R120" i="6"/>
  <c r="U120" i="6" s="1"/>
  <c r="R160" i="6"/>
  <c r="U160" i="6" s="1"/>
  <c r="L234" i="6"/>
  <c r="S269" i="6"/>
  <c r="T269" i="6" s="1"/>
  <c r="T271" i="6"/>
  <c r="P308" i="6"/>
  <c r="N326" i="6"/>
  <c r="M339" i="6"/>
  <c r="P339" i="6" s="1"/>
  <c r="J332" i="6"/>
  <c r="K332" i="6" s="1"/>
  <c r="P361" i="6"/>
  <c r="K368" i="6"/>
  <c r="R377" i="6"/>
  <c r="U377" i="6" s="1"/>
  <c r="M415" i="6"/>
  <c r="M413" i="6" s="1"/>
  <c r="R416" i="6"/>
  <c r="P501" i="6"/>
  <c r="T647" i="6"/>
  <c r="K676" i="6"/>
  <c r="J702" i="6"/>
  <c r="Q602" i="6"/>
  <c r="T602" i="6" s="1"/>
  <c r="M362" i="5"/>
  <c r="P362" i="5" s="1"/>
  <c r="R23" i="6"/>
  <c r="R21" i="6" s="1"/>
  <c r="L26" i="6"/>
  <c r="O26" i="6" s="1"/>
  <c r="R74" i="6"/>
  <c r="R72" i="6" s="1"/>
  <c r="U80" i="6"/>
  <c r="U162" i="6"/>
  <c r="N176" i="6"/>
  <c r="O176" i="6" s="1"/>
  <c r="L188" i="6"/>
  <c r="S268" i="6"/>
  <c r="N284" i="6"/>
  <c r="N282" i="6" s="1"/>
  <c r="L285" i="6"/>
  <c r="O285" i="6" s="1"/>
  <c r="N309" i="6"/>
  <c r="N378" i="6"/>
  <c r="R415" i="6"/>
  <c r="U415" i="6" s="1"/>
  <c r="M515" i="6"/>
  <c r="P515" i="6" s="1"/>
  <c r="L516" i="6"/>
  <c r="O516" i="6" s="1"/>
  <c r="U621" i="6"/>
  <c r="Q644" i="6"/>
  <c r="Q642" i="6" s="1"/>
  <c r="K653" i="6"/>
  <c r="U695" i="6"/>
  <c r="R26" i="6"/>
  <c r="U26" i="6" s="1"/>
  <c r="Q189" i="6"/>
  <c r="T189" i="6" s="1"/>
  <c r="T191" i="6"/>
  <c r="O271" i="6"/>
  <c r="P287" i="6"/>
  <c r="Q306" i="6"/>
  <c r="T306" i="6" s="1"/>
  <c r="S644" i="6"/>
  <c r="S642" i="6" s="1"/>
  <c r="P285" i="6"/>
  <c r="S26" i="6"/>
  <c r="S24" i="6" s="1"/>
  <c r="M65" i="6"/>
  <c r="P65" i="6" s="1"/>
  <c r="M100" i="6"/>
  <c r="P100" i="6" s="1"/>
  <c r="N96" i="6"/>
  <c r="N94" i="6" s="1"/>
  <c r="M145" i="6"/>
  <c r="P145" i="6" s="1"/>
  <c r="L160" i="6"/>
  <c r="O160" i="6" s="1"/>
  <c r="P162" i="6"/>
  <c r="O165" i="6"/>
  <c r="R189" i="6"/>
  <c r="U189" i="6" s="1"/>
  <c r="L268" i="6"/>
  <c r="L266" i="6" s="1"/>
  <c r="O274" i="6"/>
  <c r="S413" i="6"/>
  <c r="O418" i="6"/>
  <c r="M419" i="6"/>
  <c r="P419" i="6" s="1"/>
  <c r="L495" i="6"/>
  <c r="R619" i="6"/>
  <c r="K774" i="6"/>
  <c r="K783" i="6"/>
  <c r="Q378" i="1"/>
  <c r="M579" i="5"/>
  <c r="P579" i="5" s="1"/>
  <c r="I83" i="6"/>
  <c r="K83" i="6" s="1"/>
  <c r="L96" i="6"/>
  <c r="O96" i="6" s="1"/>
  <c r="S97" i="6"/>
  <c r="T97" i="6" s="1"/>
  <c r="P99" i="6"/>
  <c r="O102" i="6"/>
  <c r="P178" i="6"/>
  <c r="L254" i="6"/>
  <c r="O254" i="6" s="1"/>
  <c r="M268" i="6"/>
  <c r="M266" i="6" s="1"/>
  <c r="M269" i="6"/>
  <c r="P269" i="6" s="1"/>
  <c r="M358" i="6"/>
  <c r="M356" i="6" s="1"/>
  <c r="N496" i="6"/>
  <c r="U647" i="6"/>
  <c r="T693" i="6"/>
  <c r="P19" i="6"/>
  <c r="U159" i="6"/>
  <c r="R157" i="6"/>
  <c r="U157" i="6" s="1"/>
  <c r="M47" i="6"/>
  <c r="T174" i="6"/>
  <c r="U187" i="6"/>
  <c r="M336" i="6"/>
  <c r="P336" i="6" s="1"/>
  <c r="M335" i="6"/>
  <c r="P338" i="6"/>
  <c r="K654" i="2"/>
  <c r="S44" i="6"/>
  <c r="N47" i="6"/>
  <c r="N46" i="6"/>
  <c r="N44" i="6" s="1"/>
  <c r="N23" i="6"/>
  <c r="P62" i="6"/>
  <c r="O64" i="6"/>
  <c r="M26" i="6"/>
  <c r="P26" i="6" s="1"/>
  <c r="S74" i="6"/>
  <c r="P77" i="6"/>
  <c r="K87" i="6"/>
  <c r="U95" i="6"/>
  <c r="Q96" i="6"/>
  <c r="T96" i="6" s="1"/>
  <c r="O99" i="6"/>
  <c r="N100" i="6"/>
  <c r="M141" i="6"/>
  <c r="T144" i="6"/>
  <c r="O162" i="6"/>
  <c r="M163" i="6"/>
  <c r="P163" i="6" s="1"/>
  <c r="O178" i="6"/>
  <c r="N189" i="6"/>
  <c r="P189" i="6" s="1"/>
  <c r="O191" i="6"/>
  <c r="L214" i="6"/>
  <c r="O214" i="6" s="1"/>
  <c r="K220" i="6"/>
  <c r="I213" i="6"/>
  <c r="K213" i="6" s="1"/>
  <c r="L243" i="6"/>
  <c r="N268" i="6"/>
  <c r="L323" i="6"/>
  <c r="O323" i="6" s="1"/>
  <c r="O325" i="6"/>
  <c r="L381" i="6"/>
  <c r="O381" i="6" s="1"/>
  <c r="O383" i="6"/>
  <c r="P494" i="6"/>
  <c r="T607" i="6"/>
  <c r="Q601" i="6"/>
  <c r="K440" i="6"/>
  <c r="J423" i="6"/>
  <c r="J412" i="6" s="1"/>
  <c r="K412" i="6" s="1"/>
  <c r="U22" i="6"/>
  <c r="R19" i="6"/>
  <c r="P25" i="6"/>
  <c r="P64" i="6"/>
  <c r="M74" i="6"/>
  <c r="T75" i="6"/>
  <c r="Q23" i="6"/>
  <c r="P191" i="6"/>
  <c r="L233" i="6"/>
  <c r="I281" i="6"/>
  <c r="K281" i="6" s="1"/>
  <c r="K292" i="6"/>
  <c r="L320" i="6"/>
  <c r="O320" i="6" s="1"/>
  <c r="O322" i="6"/>
  <c r="S378" i="6"/>
  <c r="U380" i="6"/>
  <c r="R534" i="6"/>
  <c r="U534" i="6" s="1"/>
  <c r="U535" i="6"/>
  <c r="P60" i="6"/>
  <c r="O67" i="6"/>
  <c r="L61" i="6"/>
  <c r="O144" i="6"/>
  <c r="L142" i="6"/>
  <c r="P267" i="6"/>
  <c r="O22" i="6"/>
  <c r="N26" i="6"/>
  <c r="N24" i="6" s="1"/>
  <c r="U45" i="6"/>
  <c r="N61" i="6"/>
  <c r="N59" i="6" s="1"/>
  <c r="R97" i="6"/>
  <c r="U99" i="6"/>
  <c r="R96" i="6"/>
  <c r="U96" i="6" s="1"/>
  <c r="P118" i="6"/>
  <c r="Q141" i="6"/>
  <c r="T147" i="6"/>
  <c r="T162" i="6"/>
  <c r="Q159" i="6"/>
  <c r="R176" i="6"/>
  <c r="U176" i="6" s="1"/>
  <c r="R175" i="6"/>
  <c r="L288" i="6"/>
  <c r="O288" i="6" s="1"/>
  <c r="O290" i="6"/>
  <c r="L284" i="6"/>
  <c r="P304" i="6"/>
  <c r="N358" i="6"/>
  <c r="N356" i="6" s="1"/>
  <c r="N362" i="6"/>
  <c r="P414" i="6"/>
  <c r="R734" i="1"/>
  <c r="U734" i="1" s="1"/>
  <c r="T95" i="6"/>
  <c r="T125" i="6"/>
  <c r="Q123" i="6"/>
  <c r="T123" i="6" s="1"/>
  <c r="P283" i="6"/>
  <c r="S23" i="6"/>
  <c r="M46" i="6"/>
  <c r="M119" i="6"/>
  <c r="P119" i="6" s="1"/>
  <c r="T122" i="6"/>
  <c r="Q119" i="6"/>
  <c r="I138" i="6"/>
  <c r="K138" i="6" s="1"/>
  <c r="K229" i="6"/>
  <c r="I221" i="6"/>
  <c r="K221" i="6" s="1"/>
  <c r="L236" i="6"/>
  <c r="M288" i="6"/>
  <c r="P288" i="6" s="1"/>
  <c r="P290" i="6"/>
  <c r="M284" i="6"/>
  <c r="M282" i="6" s="1"/>
  <c r="M378" i="6"/>
  <c r="P378" i="6" s="1"/>
  <c r="P380" i="6"/>
  <c r="M377" i="6"/>
  <c r="P377" i="6" s="1"/>
  <c r="Q392" i="6"/>
  <c r="T392" i="6" s="1"/>
  <c r="T394" i="6"/>
  <c r="T418" i="6"/>
  <c r="Q416" i="6"/>
  <c r="S19" i="6"/>
  <c r="L23" i="6"/>
  <c r="L21" i="6" s="1"/>
  <c r="U25" i="6"/>
  <c r="O52" i="6"/>
  <c r="L46" i="6"/>
  <c r="L65" i="6"/>
  <c r="O65" i="6" s="1"/>
  <c r="Q74" i="6"/>
  <c r="T77" i="6"/>
  <c r="Q26" i="6"/>
  <c r="T80" i="6"/>
  <c r="S141" i="6"/>
  <c r="S139" i="6" s="1"/>
  <c r="M175" i="6"/>
  <c r="U178" i="6"/>
  <c r="K183" i="6"/>
  <c r="I172" i="6"/>
  <c r="K172" i="6" s="1"/>
  <c r="O267" i="6"/>
  <c r="O338" i="6"/>
  <c r="L336" i="6"/>
  <c r="O336" i="6" s="1"/>
  <c r="L335" i="6"/>
  <c r="Q415" i="6"/>
  <c r="N232" i="6"/>
  <c r="K260" i="6"/>
  <c r="I253" i="6"/>
  <c r="U267" i="6"/>
  <c r="U334" i="6"/>
  <c r="R333" i="6"/>
  <c r="U333" i="6" s="1"/>
  <c r="L378" i="6"/>
  <c r="O378" i="6" s="1"/>
  <c r="O380" i="6"/>
  <c r="P581" i="6"/>
  <c r="M579" i="6"/>
  <c r="P579" i="6" s="1"/>
  <c r="O414" i="6"/>
  <c r="Q495" i="6"/>
  <c r="Q496" i="6"/>
  <c r="T496" i="6" s="1"/>
  <c r="T498" i="6"/>
  <c r="M558" i="6"/>
  <c r="P558" i="6" s="1"/>
  <c r="P560" i="6"/>
  <c r="M557" i="6"/>
  <c r="M309" i="6"/>
  <c r="P309" i="6" s="1"/>
  <c r="T334" i="6"/>
  <c r="M381" i="6"/>
  <c r="P381" i="6" s="1"/>
  <c r="P383" i="6"/>
  <c r="J503" i="6"/>
  <c r="J492" i="6" s="1"/>
  <c r="M601" i="6"/>
  <c r="P601" i="6" s="1"/>
  <c r="T578" i="6"/>
  <c r="Q576" i="6"/>
  <c r="T576" i="6" s="1"/>
  <c r="T691" i="6"/>
  <c r="K705" i="6"/>
  <c r="I701" i="6"/>
  <c r="I302" i="6"/>
  <c r="K302" i="6" s="1"/>
  <c r="K344" i="6"/>
  <c r="O364" i="6"/>
  <c r="L358" i="6"/>
  <c r="I365" i="6"/>
  <c r="K365" i="6" s="1"/>
  <c r="T380" i="6"/>
  <c r="U397" i="6"/>
  <c r="R394" i="6"/>
  <c r="U394" i="6" s="1"/>
  <c r="R395" i="6"/>
  <c r="U395" i="6" s="1"/>
  <c r="N415" i="6"/>
  <c r="P418" i="6"/>
  <c r="Q513" i="6"/>
  <c r="T513" i="6" s="1"/>
  <c r="T514" i="6"/>
  <c r="N536" i="6"/>
  <c r="N534" i="6" s="1"/>
  <c r="M536" i="6"/>
  <c r="P536" i="6" s="1"/>
  <c r="M602" i="6"/>
  <c r="P602" i="6" s="1"/>
  <c r="P607" i="6"/>
  <c r="M605" i="6"/>
  <c r="P605" i="6" s="1"/>
  <c r="T643" i="6"/>
  <c r="Q320" i="6"/>
  <c r="T320" i="6" s="1"/>
  <c r="K369" i="6"/>
  <c r="S375" i="6"/>
  <c r="U393" i="6"/>
  <c r="L519" i="6"/>
  <c r="O519" i="6" s="1"/>
  <c r="L515" i="6"/>
  <c r="O515" i="6" s="1"/>
  <c r="M540" i="6"/>
  <c r="P540" i="6" s="1"/>
  <c r="P542" i="6"/>
  <c r="T556" i="6"/>
  <c r="O560" i="6"/>
  <c r="L558" i="6"/>
  <c r="O558" i="6" s="1"/>
  <c r="L557" i="6"/>
  <c r="P577" i="6"/>
  <c r="O584" i="6"/>
  <c r="L578" i="6"/>
  <c r="L576" i="6" s="1"/>
  <c r="P600" i="6"/>
  <c r="K441" i="6"/>
  <c r="P518" i="6"/>
  <c r="T621" i="6"/>
  <c r="Q618" i="6"/>
  <c r="Q619" i="6"/>
  <c r="T645" i="6"/>
  <c r="K425" i="6"/>
  <c r="N578" i="6"/>
  <c r="N576" i="6" s="1"/>
  <c r="N601" i="6"/>
  <c r="N599" i="6" s="1"/>
  <c r="R616" i="6"/>
  <c r="S618" i="6"/>
  <c r="S616" i="6" s="1"/>
  <c r="S619" i="6"/>
  <c r="M642" i="6"/>
  <c r="P642" i="6" s="1"/>
  <c r="Q714" i="6"/>
  <c r="T714" i="6" s="1"/>
  <c r="T716" i="6"/>
  <c r="K726" i="6"/>
  <c r="U731" i="6"/>
  <c r="L760" i="6"/>
  <c r="O760" i="6" s="1"/>
  <c r="O762" i="6"/>
  <c r="O542" i="6"/>
  <c r="L536" i="6"/>
  <c r="K678" i="6"/>
  <c r="M690" i="6"/>
  <c r="P690" i="6" s="1"/>
  <c r="P692" i="6"/>
  <c r="K707" i="6"/>
  <c r="K626" i="6"/>
  <c r="R730" i="6"/>
  <c r="U733" i="6"/>
  <c r="S762" i="6"/>
  <c r="S760" i="6" s="1"/>
  <c r="R645" i="6"/>
  <c r="U645" i="6" s="1"/>
  <c r="R693" i="6"/>
  <c r="U693" i="6" s="1"/>
  <c r="J701" i="6"/>
  <c r="Q763" i="6"/>
  <c r="T763" i="6" s="1"/>
  <c r="R644" i="6"/>
  <c r="R692" i="6"/>
  <c r="Q762" i="6"/>
  <c r="K778" i="5"/>
  <c r="K781" i="5"/>
  <c r="K784" i="5"/>
  <c r="M561" i="5"/>
  <c r="P561" i="5" s="1"/>
  <c r="Q141" i="5"/>
  <c r="Q139" i="5" s="1"/>
  <c r="P716" i="5"/>
  <c r="S577" i="1"/>
  <c r="M120" i="5"/>
  <c r="P120" i="5" s="1"/>
  <c r="S555" i="5"/>
  <c r="R579" i="1"/>
  <c r="U579" i="1" s="1"/>
  <c r="M46" i="5"/>
  <c r="M44" i="5" s="1"/>
  <c r="P44" i="5" s="1"/>
  <c r="L381" i="5"/>
  <c r="O381" i="5" s="1"/>
  <c r="K314" i="5"/>
  <c r="L141" i="5"/>
  <c r="L139" i="5" s="1"/>
  <c r="K183" i="5"/>
  <c r="L74" i="5"/>
  <c r="O74" i="5" s="1"/>
  <c r="K780" i="5"/>
  <c r="O328" i="5"/>
  <c r="S378" i="5"/>
  <c r="M377" i="5"/>
  <c r="M375" i="5" s="1"/>
  <c r="P375" i="5" s="1"/>
  <c r="Q730" i="5"/>
  <c r="Q728" i="5" s="1"/>
  <c r="Q74" i="1"/>
  <c r="M339" i="1"/>
  <c r="P339" i="1" s="1"/>
  <c r="L159" i="5"/>
  <c r="L157" i="5" s="1"/>
  <c r="K365" i="5"/>
  <c r="K772" i="5"/>
  <c r="U765" i="5"/>
  <c r="N188" i="5"/>
  <c r="N186" i="5" s="1"/>
  <c r="M19" i="5"/>
  <c r="P19" i="5" s="1"/>
  <c r="L96" i="5"/>
  <c r="O96" i="5" s="1"/>
  <c r="K369" i="5"/>
  <c r="R378" i="5"/>
  <c r="Q222" i="1"/>
  <c r="R19" i="5"/>
  <c r="U19" i="5" s="1"/>
  <c r="O22" i="5"/>
  <c r="Q188" i="5"/>
  <c r="Q186" i="5" s="1"/>
  <c r="L235" i="5"/>
  <c r="T733" i="5"/>
  <c r="K774" i="5"/>
  <c r="P22" i="5"/>
  <c r="S160" i="5"/>
  <c r="O191" i="5"/>
  <c r="N268" i="5"/>
  <c r="N266" i="5" s="1"/>
  <c r="O271" i="5"/>
  <c r="L305" i="5"/>
  <c r="L303" i="5" s="1"/>
  <c r="P560" i="5"/>
  <c r="I168" i="5"/>
  <c r="K168" i="5" s="1"/>
  <c r="T191" i="5"/>
  <c r="K346" i="5"/>
  <c r="R394" i="5"/>
  <c r="U394" i="5" s="1"/>
  <c r="M415" i="5"/>
  <c r="M413" i="5" s="1"/>
  <c r="M537" i="5"/>
  <c r="P537" i="5" s="1"/>
  <c r="M557" i="5"/>
  <c r="P557" i="5" s="1"/>
  <c r="L558" i="5"/>
  <c r="O558" i="5" s="1"/>
  <c r="S619" i="5"/>
  <c r="T619" i="5" s="1"/>
  <c r="K630" i="5"/>
  <c r="S731" i="5"/>
  <c r="T731" i="5" s="1"/>
  <c r="R762" i="5"/>
  <c r="R760" i="5" s="1"/>
  <c r="U760" i="5" s="1"/>
  <c r="L61" i="5"/>
  <c r="L59" i="5" s="1"/>
  <c r="U189" i="5"/>
  <c r="U733" i="5"/>
  <c r="O65" i="5"/>
  <c r="O67" i="5"/>
  <c r="K292" i="5"/>
  <c r="P65" i="5"/>
  <c r="P67" i="5"/>
  <c r="N74" i="5"/>
  <c r="N72" i="5" s="1"/>
  <c r="R74" i="5"/>
  <c r="U74" i="5" s="1"/>
  <c r="S96" i="5"/>
  <c r="S94" i="5" s="1"/>
  <c r="I238" i="5"/>
  <c r="K238" i="5" s="1"/>
  <c r="N284" i="5"/>
  <c r="N282" i="5" s="1"/>
  <c r="R601" i="5"/>
  <c r="R599" i="5" s="1"/>
  <c r="U599" i="5" s="1"/>
  <c r="J675" i="5"/>
  <c r="K707" i="5"/>
  <c r="S74" i="5"/>
  <c r="S72" i="5" s="1"/>
  <c r="R119" i="5"/>
  <c r="R117" i="5" s="1"/>
  <c r="I138" i="5"/>
  <c r="K138" i="5" s="1"/>
  <c r="L288" i="5"/>
  <c r="O288" i="5" s="1"/>
  <c r="P290" i="5"/>
  <c r="O341" i="5"/>
  <c r="N358" i="5"/>
  <c r="N356" i="5" s="1"/>
  <c r="S601" i="5"/>
  <c r="S599" i="5" s="1"/>
  <c r="S692" i="5"/>
  <c r="S690" i="5" s="1"/>
  <c r="K705" i="5"/>
  <c r="S188" i="5"/>
  <c r="P189" i="5"/>
  <c r="L284" i="5"/>
  <c r="L282" i="5" s="1"/>
  <c r="M323" i="5"/>
  <c r="P323" i="5" s="1"/>
  <c r="P341" i="5"/>
  <c r="I374" i="5"/>
  <c r="R644" i="5"/>
  <c r="U644" i="5" s="1"/>
  <c r="R645" i="5"/>
  <c r="U645" i="5" s="1"/>
  <c r="O194" i="5"/>
  <c r="L268" i="5"/>
  <c r="L335" i="5"/>
  <c r="L333" i="5" s="1"/>
  <c r="N377" i="5"/>
  <c r="N375" i="5" s="1"/>
  <c r="M419" i="5"/>
  <c r="P419" i="5" s="1"/>
  <c r="J674" i="5"/>
  <c r="U695" i="5"/>
  <c r="K709" i="5"/>
  <c r="R268" i="5"/>
  <c r="R266" i="5" s="1"/>
  <c r="M74" i="5"/>
  <c r="N96" i="5"/>
  <c r="N94" i="5" s="1"/>
  <c r="S141" i="5"/>
  <c r="S139" i="5" s="1"/>
  <c r="I169" i="5"/>
  <c r="K169" i="5" s="1"/>
  <c r="L254" i="5"/>
  <c r="O254" i="5" s="1"/>
  <c r="L269" i="5"/>
  <c r="O269" i="5" s="1"/>
  <c r="S23" i="5"/>
  <c r="S21" i="5" s="1"/>
  <c r="N305" i="5"/>
  <c r="N303" i="5" s="1"/>
  <c r="K371" i="5"/>
  <c r="M381" i="5"/>
  <c r="P381" i="5" s="1"/>
  <c r="J374" i="5"/>
  <c r="K441" i="5"/>
  <c r="N495" i="5"/>
  <c r="N493" i="5" s="1"/>
  <c r="L582" i="5"/>
  <c r="O582" i="5" s="1"/>
  <c r="J689" i="5"/>
  <c r="K689" i="5" s="1"/>
  <c r="J701" i="5"/>
  <c r="S762" i="5"/>
  <c r="S760" i="5" s="1"/>
  <c r="R762" i="4"/>
  <c r="R760" i="4" s="1"/>
  <c r="M100" i="5"/>
  <c r="P100" i="5" s="1"/>
  <c r="M163" i="5"/>
  <c r="P163" i="5" s="1"/>
  <c r="N175" i="5"/>
  <c r="N173" i="5" s="1"/>
  <c r="Q189" i="5"/>
  <c r="T189" i="5" s="1"/>
  <c r="Q305" i="5"/>
  <c r="Q303" i="5" s="1"/>
  <c r="P380" i="5"/>
  <c r="N415" i="5"/>
  <c r="N413" i="5" s="1"/>
  <c r="L519" i="5"/>
  <c r="O519" i="5" s="1"/>
  <c r="M536" i="5"/>
  <c r="M582" i="5"/>
  <c r="P582" i="5" s="1"/>
  <c r="N601" i="5"/>
  <c r="N599" i="5" s="1"/>
  <c r="K626" i="5"/>
  <c r="Q74" i="5"/>
  <c r="T74" i="5" s="1"/>
  <c r="I83" i="5"/>
  <c r="K83" i="5" s="1"/>
  <c r="I92" i="5"/>
  <c r="K92" i="5" s="1"/>
  <c r="M96" i="5"/>
  <c r="P96" i="5" s="1"/>
  <c r="T142" i="5"/>
  <c r="K154" i="5"/>
  <c r="S175" i="5"/>
  <c r="S173" i="5" s="1"/>
  <c r="L175" i="5"/>
  <c r="L173" i="5" s="1"/>
  <c r="L188" i="5"/>
  <c r="Q192" i="5"/>
  <c r="T192" i="5" s="1"/>
  <c r="T194" i="5"/>
  <c r="P271" i="5"/>
  <c r="M305" i="5"/>
  <c r="K330" i="5"/>
  <c r="M335" i="5"/>
  <c r="M333" i="5" s="1"/>
  <c r="L378" i="5"/>
  <c r="O378" i="5" s="1"/>
  <c r="Q415" i="5"/>
  <c r="Q413" i="5" s="1"/>
  <c r="L415" i="5"/>
  <c r="L413" i="5" s="1"/>
  <c r="L419" i="5"/>
  <c r="O419" i="5" s="1"/>
  <c r="L540" i="5"/>
  <c r="O540" i="5" s="1"/>
  <c r="M601" i="5"/>
  <c r="P601" i="5" s="1"/>
  <c r="I615" i="5"/>
  <c r="K615" i="5" s="1"/>
  <c r="R141" i="5"/>
  <c r="U141" i="5" s="1"/>
  <c r="I156" i="5"/>
  <c r="K156" i="5" s="1"/>
  <c r="P178" i="5"/>
  <c r="L377" i="5"/>
  <c r="O377" i="5" s="1"/>
  <c r="M378" i="5"/>
  <c r="P378" i="5" s="1"/>
  <c r="M78" i="5"/>
  <c r="P78" i="5" s="1"/>
  <c r="L203" i="5"/>
  <c r="O203" i="5" s="1"/>
  <c r="S616" i="5"/>
  <c r="U96" i="5"/>
  <c r="R94" i="5"/>
  <c r="U94" i="5" s="1"/>
  <c r="N119" i="5"/>
  <c r="N117" i="5" s="1"/>
  <c r="S26" i="5"/>
  <c r="S24" i="5" s="1"/>
  <c r="L50" i="5"/>
  <c r="O50" i="5" s="1"/>
  <c r="N141" i="5"/>
  <c r="N139" i="5" s="1"/>
  <c r="K152" i="5"/>
  <c r="M175" i="5"/>
  <c r="M176" i="5"/>
  <c r="P176" i="5" s="1"/>
  <c r="M188" i="5"/>
  <c r="M186" i="5" s="1"/>
  <c r="I242" i="5"/>
  <c r="K242" i="5" s="1"/>
  <c r="L233" i="5"/>
  <c r="S268" i="5"/>
  <c r="S266" i="5" s="1"/>
  <c r="S269" i="5"/>
  <c r="U269" i="5" s="1"/>
  <c r="M284" i="5"/>
  <c r="M282" i="5" s="1"/>
  <c r="P338" i="5"/>
  <c r="K368" i="5"/>
  <c r="U380" i="5"/>
  <c r="S394" i="5"/>
  <c r="S392" i="5" s="1"/>
  <c r="R395" i="5"/>
  <c r="U395" i="5" s="1"/>
  <c r="N419" i="5"/>
  <c r="L516" i="5"/>
  <c r="O516" i="5" s="1"/>
  <c r="M540" i="5"/>
  <c r="P540" i="5" s="1"/>
  <c r="M602" i="5"/>
  <c r="P602" i="5" s="1"/>
  <c r="K629" i="5"/>
  <c r="S644" i="5"/>
  <c r="S642" i="5" s="1"/>
  <c r="R692" i="5"/>
  <c r="R690" i="5" s="1"/>
  <c r="Q762" i="5"/>
  <c r="T762" i="5" s="1"/>
  <c r="M50" i="5"/>
  <c r="P50" i="5" s="1"/>
  <c r="K85" i="5"/>
  <c r="P99" i="5"/>
  <c r="S119" i="5"/>
  <c r="S117" i="5" s="1"/>
  <c r="Q119" i="5"/>
  <c r="Q117" i="5" s="1"/>
  <c r="K127" i="5"/>
  <c r="P162" i="5"/>
  <c r="I265" i="5"/>
  <c r="K265" i="5" s="1"/>
  <c r="K344" i="5"/>
  <c r="M516" i="5"/>
  <c r="P516" i="5" s="1"/>
  <c r="M605" i="5"/>
  <c r="P605" i="5" s="1"/>
  <c r="R693" i="5"/>
  <c r="U693" i="5" s="1"/>
  <c r="J702" i="5"/>
  <c r="K785" i="5"/>
  <c r="R717" i="1"/>
  <c r="U717" i="1" s="1"/>
  <c r="L23" i="5"/>
  <c r="L21" i="5" s="1"/>
  <c r="L46" i="5"/>
  <c r="L44" i="5" s="1"/>
  <c r="N23" i="5"/>
  <c r="N21" i="5" s="1"/>
  <c r="P125" i="5"/>
  <c r="M179" i="5"/>
  <c r="P179" i="5" s="1"/>
  <c r="U191" i="5"/>
  <c r="L222" i="5"/>
  <c r="O222" i="5" s="1"/>
  <c r="K229" i="5"/>
  <c r="L236" i="5"/>
  <c r="M269" i="5"/>
  <c r="P269" i="5" s="1"/>
  <c r="O361" i="5"/>
  <c r="U377" i="5"/>
  <c r="Q496" i="5"/>
  <c r="T496" i="5" s="1"/>
  <c r="T498" i="5"/>
  <c r="L515" i="5"/>
  <c r="M578" i="5"/>
  <c r="R730" i="5"/>
  <c r="R728" i="5" s="1"/>
  <c r="R731" i="5"/>
  <c r="P49" i="5"/>
  <c r="M75" i="5"/>
  <c r="P75" i="5" s="1"/>
  <c r="M97" i="5"/>
  <c r="P97" i="5" s="1"/>
  <c r="L26" i="5"/>
  <c r="L24" i="5" s="1"/>
  <c r="M159" i="5"/>
  <c r="R188" i="5"/>
  <c r="M119" i="5"/>
  <c r="N159" i="5"/>
  <c r="N157" i="5" s="1"/>
  <c r="I195" i="5"/>
  <c r="K195" i="5" s="1"/>
  <c r="I213" i="5"/>
  <c r="K213" i="5" s="1"/>
  <c r="K249" i="5"/>
  <c r="I423" i="5"/>
  <c r="K779" i="5"/>
  <c r="P62" i="5"/>
  <c r="R75" i="5"/>
  <c r="U75" i="5" s="1"/>
  <c r="U77" i="5"/>
  <c r="R78" i="5"/>
  <c r="U78" i="5" s="1"/>
  <c r="U80" i="5"/>
  <c r="Q97" i="5"/>
  <c r="T97" i="5" s="1"/>
  <c r="T99" i="5"/>
  <c r="L120" i="5"/>
  <c r="O120" i="5" s="1"/>
  <c r="O122" i="5"/>
  <c r="M145" i="5"/>
  <c r="P145" i="5" s="1"/>
  <c r="P147" i="5"/>
  <c r="R173" i="5"/>
  <c r="U173" i="5" s="1"/>
  <c r="U175" i="5"/>
  <c r="P267" i="5"/>
  <c r="I280" i="5"/>
  <c r="K280" i="5" s="1"/>
  <c r="K293" i="5"/>
  <c r="N19" i="5"/>
  <c r="M23" i="5"/>
  <c r="Q26" i="5"/>
  <c r="M61" i="5"/>
  <c r="R97" i="5"/>
  <c r="U97" i="5" s="1"/>
  <c r="U99" i="5"/>
  <c r="L100" i="5"/>
  <c r="O100" i="5" s="1"/>
  <c r="O102" i="5"/>
  <c r="Q123" i="5"/>
  <c r="T123" i="5" s="1"/>
  <c r="T125" i="5"/>
  <c r="R142" i="5"/>
  <c r="U142" i="5" s="1"/>
  <c r="U144" i="5"/>
  <c r="P160" i="5"/>
  <c r="Q160" i="5"/>
  <c r="T160" i="5" s="1"/>
  <c r="T162" i="5"/>
  <c r="O189" i="5"/>
  <c r="L214" i="5"/>
  <c r="O214" i="5" s="1"/>
  <c r="O643" i="5"/>
  <c r="L642" i="5"/>
  <c r="O642" i="5" s="1"/>
  <c r="R714" i="5"/>
  <c r="U714" i="5" s="1"/>
  <c r="U716" i="5"/>
  <c r="R26" i="5"/>
  <c r="R44" i="5"/>
  <c r="U44" i="5" s="1"/>
  <c r="T45" i="5"/>
  <c r="N47" i="5"/>
  <c r="O47" i="5" s="1"/>
  <c r="O49" i="5"/>
  <c r="T60" i="5"/>
  <c r="Q59" i="5"/>
  <c r="T59" i="5" s="1"/>
  <c r="N61" i="5"/>
  <c r="N59" i="5" s="1"/>
  <c r="L62" i="5"/>
  <c r="O62" i="5" s="1"/>
  <c r="O64" i="5"/>
  <c r="O73" i="5"/>
  <c r="L75" i="5"/>
  <c r="O75" i="5" s="1"/>
  <c r="O77" i="5"/>
  <c r="T77" i="5"/>
  <c r="L78" i="5"/>
  <c r="O78" i="5" s="1"/>
  <c r="O80" i="5"/>
  <c r="T80" i="5"/>
  <c r="L97" i="5"/>
  <c r="O97" i="5" s="1"/>
  <c r="O99" i="5"/>
  <c r="R123" i="5"/>
  <c r="U123" i="5" s="1"/>
  <c r="U125" i="5"/>
  <c r="M141" i="5"/>
  <c r="R160" i="5"/>
  <c r="U160" i="5" s="1"/>
  <c r="U162" i="5"/>
  <c r="L163" i="5"/>
  <c r="O163" i="5" s="1"/>
  <c r="O165" i="5"/>
  <c r="Q176" i="5"/>
  <c r="T176" i="5" s="1"/>
  <c r="T178" i="5"/>
  <c r="U187" i="5"/>
  <c r="I202" i="5"/>
  <c r="K202" i="5" s="1"/>
  <c r="K209" i="5"/>
  <c r="T304" i="5"/>
  <c r="R306" i="5"/>
  <c r="U308" i="5"/>
  <c r="R305" i="5"/>
  <c r="R303" i="5" s="1"/>
  <c r="R416" i="5"/>
  <c r="U418" i="5"/>
  <c r="R415" i="5"/>
  <c r="R413" i="5" s="1"/>
  <c r="L605" i="5"/>
  <c r="O605" i="5" s="1"/>
  <c r="O607" i="5"/>
  <c r="L601" i="5"/>
  <c r="K778" i="4"/>
  <c r="K784" i="4"/>
  <c r="N50" i="5"/>
  <c r="N26" i="5"/>
  <c r="N24" i="5" s="1"/>
  <c r="R59" i="5"/>
  <c r="U59" i="5" s="1"/>
  <c r="P64" i="5"/>
  <c r="Q96" i="5"/>
  <c r="L119" i="5"/>
  <c r="L123" i="5"/>
  <c r="O123" i="5" s="1"/>
  <c r="O125" i="5"/>
  <c r="T140" i="5"/>
  <c r="L142" i="5"/>
  <c r="O142" i="5" s="1"/>
  <c r="O144" i="5"/>
  <c r="R145" i="5"/>
  <c r="U145" i="5" s="1"/>
  <c r="U147" i="5"/>
  <c r="L160" i="5"/>
  <c r="O160" i="5" s="1"/>
  <c r="O162" i="5"/>
  <c r="R176" i="5"/>
  <c r="U176" i="5" s="1"/>
  <c r="U178" i="5"/>
  <c r="L179" i="5"/>
  <c r="O179" i="5" s="1"/>
  <c r="O181" i="5"/>
  <c r="K260" i="5"/>
  <c r="I253" i="5"/>
  <c r="K253" i="5" s="1"/>
  <c r="Q266" i="5"/>
  <c r="O283" i="5"/>
  <c r="S306" i="5"/>
  <c r="T306" i="5" s="1"/>
  <c r="S305" i="5"/>
  <c r="T308" i="5"/>
  <c r="M326" i="5"/>
  <c r="P326" i="5" s="1"/>
  <c r="P328" i="5"/>
  <c r="M322" i="5"/>
  <c r="Q23" i="5"/>
  <c r="M26" i="5"/>
  <c r="T73" i="5"/>
  <c r="Q120" i="5"/>
  <c r="T120" i="5" s="1"/>
  <c r="T122" i="5"/>
  <c r="M142" i="5"/>
  <c r="P142" i="5" s="1"/>
  <c r="P144" i="5"/>
  <c r="Q157" i="5"/>
  <c r="T157" i="5" s="1"/>
  <c r="T159" i="5"/>
  <c r="L176" i="5"/>
  <c r="O176" i="5" s="1"/>
  <c r="O178" i="5"/>
  <c r="O187" i="5"/>
  <c r="Q269" i="5"/>
  <c r="T271" i="5"/>
  <c r="N326" i="5"/>
  <c r="N322" i="5"/>
  <c r="N320" i="5" s="1"/>
  <c r="R23" i="5"/>
  <c r="I82" i="5"/>
  <c r="K86" i="5"/>
  <c r="R120" i="5"/>
  <c r="U120" i="5" s="1"/>
  <c r="U122" i="5"/>
  <c r="L145" i="5"/>
  <c r="O145" i="5" s="1"/>
  <c r="O147" i="5"/>
  <c r="R157" i="5"/>
  <c r="U157" i="5" s="1"/>
  <c r="U159" i="5"/>
  <c r="Q173" i="5"/>
  <c r="T173" i="5" s="1"/>
  <c r="T175" i="5"/>
  <c r="P187" i="5"/>
  <c r="L234" i="5"/>
  <c r="L243" i="5"/>
  <c r="U322" i="5"/>
  <c r="R320" i="5"/>
  <c r="U320" i="5" s="1"/>
  <c r="O325" i="5"/>
  <c r="L322" i="5"/>
  <c r="L323" i="5"/>
  <c r="O323" i="5" s="1"/>
  <c r="T393" i="5"/>
  <c r="T334" i="5"/>
  <c r="Q333" i="5"/>
  <c r="T333" i="5" s="1"/>
  <c r="U357" i="5"/>
  <c r="R356" i="5"/>
  <c r="U356" i="5" s="1"/>
  <c r="L362" i="5"/>
  <c r="O362" i="5" s="1"/>
  <c r="O364" i="5"/>
  <c r="L358" i="5"/>
  <c r="S416" i="5"/>
  <c r="T416" i="5" s="1"/>
  <c r="T418" i="5"/>
  <c r="T494" i="5"/>
  <c r="Q493" i="5"/>
  <c r="T493" i="5" s="1"/>
  <c r="K503" i="5"/>
  <c r="I492" i="5"/>
  <c r="K492" i="5" s="1"/>
  <c r="R534" i="5"/>
  <c r="U534" i="5" s="1"/>
  <c r="U536" i="5"/>
  <c r="L537" i="5"/>
  <c r="O537" i="5" s="1"/>
  <c r="O539" i="5"/>
  <c r="L536" i="5"/>
  <c r="Q602" i="5"/>
  <c r="T602" i="5" s="1"/>
  <c r="T604" i="5"/>
  <c r="Q601" i="5"/>
  <c r="T761" i="5"/>
  <c r="I93" i="5"/>
  <c r="K93" i="5" s="1"/>
  <c r="T144" i="5"/>
  <c r="T147" i="5"/>
  <c r="P191" i="5"/>
  <c r="R192" i="5"/>
  <c r="U192" i="5" s="1"/>
  <c r="P194" i="5"/>
  <c r="U271" i="5"/>
  <c r="L285" i="5"/>
  <c r="O285" i="5" s="1"/>
  <c r="O287" i="5"/>
  <c r="K302" i="5"/>
  <c r="U304" i="5"/>
  <c r="L306" i="5"/>
  <c r="O306" i="5" s="1"/>
  <c r="O308" i="5"/>
  <c r="R333" i="5"/>
  <c r="U333" i="5" s="1"/>
  <c r="U335" i="5"/>
  <c r="N339" i="5"/>
  <c r="N335" i="5"/>
  <c r="N333" i="5" s="1"/>
  <c r="J343" i="5"/>
  <c r="J332" i="5"/>
  <c r="K332" i="5" s="1"/>
  <c r="Q378" i="5"/>
  <c r="T380" i="5"/>
  <c r="K386" i="5"/>
  <c r="L416" i="5"/>
  <c r="O416" i="5" s="1"/>
  <c r="O418" i="5"/>
  <c r="S496" i="5"/>
  <c r="S495" i="5"/>
  <c r="S493" i="5" s="1"/>
  <c r="L499" i="5"/>
  <c r="O499" i="5" s="1"/>
  <c r="O501" i="5"/>
  <c r="U556" i="5"/>
  <c r="R555" i="5"/>
  <c r="U555" i="5" s="1"/>
  <c r="M285" i="5"/>
  <c r="P285" i="5" s="1"/>
  <c r="P287" i="5"/>
  <c r="O304" i="5"/>
  <c r="M306" i="5"/>
  <c r="P306" i="5" s="1"/>
  <c r="P308" i="5"/>
  <c r="L309" i="5"/>
  <c r="O309" i="5" s="1"/>
  <c r="O311" i="5"/>
  <c r="O357" i="5"/>
  <c r="T414" i="5"/>
  <c r="M416" i="5"/>
  <c r="P416" i="5" s="1"/>
  <c r="P418" i="5"/>
  <c r="L496" i="5"/>
  <c r="O496" i="5" s="1"/>
  <c r="O498" i="5"/>
  <c r="L495" i="5"/>
  <c r="O495" i="5" s="1"/>
  <c r="M268" i="5"/>
  <c r="M272" i="5"/>
  <c r="P272" i="5" s="1"/>
  <c r="L272" i="5"/>
  <c r="O272" i="5" s="1"/>
  <c r="O274" i="5"/>
  <c r="T283" i="5"/>
  <c r="Q282" i="5"/>
  <c r="T282" i="5" s="1"/>
  <c r="M309" i="5"/>
  <c r="P309" i="5" s="1"/>
  <c r="P311" i="5"/>
  <c r="P336" i="5"/>
  <c r="L336" i="5"/>
  <c r="O336" i="5" s="1"/>
  <c r="O338" i="5"/>
  <c r="J351" i="5"/>
  <c r="P357" i="5"/>
  <c r="N359" i="5"/>
  <c r="P359" i="5" s="1"/>
  <c r="P361" i="5"/>
  <c r="Q375" i="5"/>
  <c r="T377" i="5"/>
  <c r="M392" i="5"/>
  <c r="P392" i="5" s="1"/>
  <c r="P394" i="5"/>
  <c r="I456" i="5"/>
  <c r="K456" i="5" s="1"/>
  <c r="K457" i="5"/>
  <c r="M519" i="5"/>
  <c r="P519" i="5" s="1"/>
  <c r="P521" i="5"/>
  <c r="M515" i="5"/>
  <c r="O617" i="5"/>
  <c r="L616" i="5"/>
  <c r="O616" i="5" s="1"/>
  <c r="M690" i="5"/>
  <c r="P690" i="5" s="1"/>
  <c r="P692" i="5"/>
  <c r="K281" i="5"/>
  <c r="U283" i="5"/>
  <c r="R282" i="5"/>
  <c r="U282" i="5" s="1"/>
  <c r="Q320" i="5"/>
  <c r="T320" i="5" s="1"/>
  <c r="T322" i="5"/>
  <c r="S415" i="5"/>
  <c r="N519" i="5"/>
  <c r="N515" i="5"/>
  <c r="N513" i="5" s="1"/>
  <c r="N558" i="5"/>
  <c r="N557" i="5"/>
  <c r="N555" i="5" s="1"/>
  <c r="P617" i="5"/>
  <c r="M616" i="5"/>
  <c r="P616" i="5" s="1"/>
  <c r="M496" i="5"/>
  <c r="P496" i="5" s="1"/>
  <c r="P498" i="5"/>
  <c r="M499" i="5"/>
  <c r="P499" i="5" s="1"/>
  <c r="P501" i="5"/>
  <c r="Q576" i="5"/>
  <c r="T576" i="5" s="1"/>
  <c r="T578" i="5"/>
  <c r="R602" i="5"/>
  <c r="U602" i="5" s="1"/>
  <c r="U604" i="5"/>
  <c r="T621" i="5"/>
  <c r="Q618" i="5"/>
  <c r="M642" i="5"/>
  <c r="P642" i="5" s="1"/>
  <c r="P644" i="5"/>
  <c r="T695" i="5"/>
  <c r="Q692" i="5"/>
  <c r="Q693" i="5"/>
  <c r="T693" i="5" s="1"/>
  <c r="L714" i="5"/>
  <c r="O714" i="5" s="1"/>
  <c r="O716" i="5"/>
  <c r="Q395" i="5"/>
  <c r="T395" i="5" s="1"/>
  <c r="J503" i="5"/>
  <c r="J492" i="5" s="1"/>
  <c r="O556" i="5"/>
  <c r="N582" i="5"/>
  <c r="N578" i="5"/>
  <c r="N576" i="5" s="1"/>
  <c r="U621" i="5"/>
  <c r="R618" i="5"/>
  <c r="U618" i="5" s="1"/>
  <c r="R619" i="5"/>
  <c r="T647" i="5"/>
  <c r="Q644" i="5"/>
  <c r="T644" i="5" s="1"/>
  <c r="Q645" i="5"/>
  <c r="T645" i="5" s="1"/>
  <c r="T691" i="5"/>
  <c r="L392" i="5"/>
  <c r="O392" i="5" s="1"/>
  <c r="M495" i="5"/>
  <c r="P495" i="5" s="1"/>
  <c r="P556" i="5"/>
  <c r="L561" i="5"/>
  <c r="O561" i="5" s="1"/>
  <c r="O563" i="5"/>
  <c r="L557" i="5"/>
  <c r="O557" i="5" s="1"/>
  <c r="L579" i="5"/>
  <c r="O579" i="5" s="1"/>
  <c r="O581" i="5"/>
  <c r="L602" i="5"/>
  <c r="O602" i="5" s="1"/>
  <c r="O604" i="5"/>
  <c r="Q605" i="5"/>
  <c r="T605" i="5" s="1"/>
  <c r="T607" i="5"/>
  <c r="U617" i="5"/>
  <c r="T643" i="5"/>
  <c r="U691" i="5"/>
  <c r="K703" i="5"/>
  <c r="I701" i="5"/>
  <c r="L760" i="5"/>
  <c r="O760" i="5" s="1"/>
  <c r="O762" i="5"/>
  <c r="M358" i="5"/>
  <c r="Q394" i="5"/>
  <c r="T394" i="5" s="1"/>
  <c r="R496" i="5"/>
  <c r="U496" i="5" s="1"/>
  <c r="U498" i="5"/>
  <c r="Q513" i="5"/>
  <c r="T513" i="5" s="1"/>
  <c r="T515" i="5"/>
  <c r="Q534" i="5"/>
  <c r="T534" i="5" s="1"/>
  <c r="T536" i="5"/>
  <c r="N540" i="5"/>
  <c r="N536" i="5"/>
  <c r="N534" i="5" s="1"/>
  <c r="R605" i="5"/>
  <c r="U605" i="5" s="1"/>
  <c r="U607" i="5"/>
  <c r="U643" i="5"/>
  <c r="O691" i="5"/>
  <c r="L690" i="5"/>
  <c r="O690" i="5" s="1"/>
  <c r="L728" i="5"/>
  <c r="O728" i="5" s="1"/>
  <c r="O730" i="5"/>
  <c r="M760" i="5"/>
  <c r="P760" i="5" s="1"/>
  <c r="P762" i="5"/>
  <c r="Q714" i="5"/>
  <c r="T714" i="5" s="1"/>
  <c r="T716" i="5"/>
  <c r="K631" i="5"/>
  <c r="Q763" i="5"/>
  <c r="T763" i="5" s="1"/>
  <c r="R493" i="5"/>
  <c r="U493" i="5" s="1"/>
  <c r="U556" i="4"/>
  <c r="Q19" i="4"/>
  <c r="S320" i="4"/>
  <c r="Q414" i="1"/>
  <c r="T414" i="1" s="1"/>
  <c r="M376" i="1"/>
  <c r="P376" i="1" s="1"/>
  <c r="M605" i="4"/>
  <c r="P605" i="4" s="1"/>
  <c r="R720" i="1"/>
  <c r="U720" i="1" s="1"/>
  <c r="S174" i="1"/>
  <c r="T46" i="4"/>
  <c r="T214" i="4"/>
  <c r="N232" i="4"/>
  <c r="S534" i="4"/>
  <c r="P617" i="4"/>
  <c r="M760" i="4"/>
  <c r="P760" i="4" s="1"/>
  <c r="M714" i="4"/>
  <c r="P714" i="4" s="1"/>
  <c r="M728" i="4"/>
  <c r="P728" i="4" s="1"/>
  <c r="K759" i="4"/>
  <c r="U536" i="4"/>
  <c r="N616" i="4"/>
  <c r="N690" i="4"/>
  <c r="R714" i="4"/>
  <c r="U714" i="4" s="1"/>
  <c r="L728" i="4"/>
  <c r="O728" i="4" s="1"/>
  <c r="S728" i="4"/>
  <c r="M19" i="4"/>
  <c r="P19" i="4" s="1"/>
  <c r="N642" i="4"/>
  <c r="L714" i="4"/>
  <c r="O714" i="4" s="1"/>
  <c r="T203" i="4"/>
  <c r="L395" i="1"/>
  <c r="O395" i="1" s="1"/>
  <c r="N622" i="1"/>
  <c r="N618" i="1"/>
  <c r="Q513" i="2"/>
  <c r="T513" i="2" s="1"/>
  <c r="U515" i="2"/>
  <c r="N232" i="2"/>
  <c r="N19" i="2"/>
  <c r="R644" i="2"/>
  <c r="R642" i="2" s="1"/>
  <c r="Q320" i="2"/>
  <c r="T320" i="2" s="1"/>
  <c r="S534" i="2"/>
  <c r="M616" i="2"/>
  <c r="P616" i="2" s="1"/>
  <c r="L642" i="2"/>
  <c r="O642" i="2" s="1"/>
  <c r="R690" i="2"/>
  <c r="M728" i="2"/>
  <c r="P728" i="2" s="1"/>
  <c r="Q44" i="2"/>
  <c r="T44" i="2" s="1"/>
  <c r="S44" i="2"/>
  <c r="K726" i="2"/>
  <c r="T284" i="2"/>
  <c r="S333" i="2"/>
  <c r="M714" i="2"/>
  <c r="P714" i="2" s="1"/>
  <c r="S728" i="2"/>
  <c r="R333" i="2"/>
  <c r="U333" i="2" s="1"/>
  <c r="P393" i="2"/>
  <c r="K727" i="2"/>
  <c r="N728" i="2"/>
  <c r="K432" i="2"/>
  <c r="K441" i="2"/>
  <c r="N288" i="1"/>
  <c r="M145" i="3"/>
  <c r="P145" i="3" s="1"/>
  <c r="N19" i="3"/>
  <c r="N203" i="1"/>
  <c r="N582" i="1"/>
  <c r="M519" i="4"/>
  <c r="P519" i="4" s="1"/>
  <c r="R377" i="4"/>
  <c r="R375" i="4" s="1"/>
  <c r="K302" i="3"/>
  <c r="Q534" i="3"/>
  <c r="T534" i="3" s="1"/>
  <c r="K265" i="3"/>
  <c r="P617" i="3"/>
  <c r="L690" i="3"/>
  <c r="O690" i="3" s="1"/>
  <c r="K759" i="3"/>
  <c r="Q493" i="4"/>
  <c r="T493" i="4" s="1"/>
  <c r="S555" i="4"/>
  <c r="Q513" i="4"/>
  <c r="T513" i="4" s="1"/>
  <c r="S19" i="4"/>
  <c r="R513" i="4"/>
  <c r="U513" i="4" s="1"/>
  <c r="S576" i="4"/>
  <c r="N222" i="1"/>
  <c r="M392" i="4"/>
  <c r="P392" i="4" s="1"/>
  <c r="S306" i="1"/>
  <c r="L392" i="4"/>
  <c r="O392" i="4" s="1"/>
  <c r="L97" i="4"/>
  <c r="O97" i="4" s="1"/>
  <c r="L214" i="1"/>
  <c r="Q320" i="4"/>
  <c r="T320" i="4" s="1"/>
  <c r="I202" i="4"/>
  <c r="K202" i="4" s="1"/>
  <c r="N643" i="1"/>
  <c r="S692" i="1"/>
  <c r="L236" i="4"/>
  <c r="S97" i="4"/>
  <c r="U97" i="4" s="1"/>
  <c r="R123" i="4"/>
  <c r="U123" i="4" s="1"/>
  <c r="S176" i="4"/>
  <c r="S188" i="1"/>
  <c r="P67" i="4"/>
  <c r="M123" i="4"/>
  <c r="P123" i="4" s="1"/>
  <c r="K346" i="4"/>
  <c r="K629" i="4"/>
  <c r="I240" i="4"/>
  <c r="K240" i="4" s="1"/>
  <c r="L496" i="4"/>
  <c r="O496" i="4" s="1"/>
  <c r="K780" i="4"/>
  <c r="I280" i="4"/>
  <c r="K280" i="4" s="1"/>
  <c r="L358" i="4"/>
  <c r="L356" i="4" s="1"/>
  <c r="L537" i="4"/>
  <c r="O537" i="4" s="1"/>
  <c r="I156" i="4"/>
  <c r="K156" i="4" s="1"/>
  <c r="M323" i="4"/>
  <c r="P323" i="4" s="1"/>
  <c r="T495" i="4"/>
  <c r="K673" i="4"/>
  <c r="K782" i="4"/>
  <c r="L214" i="4"/>
  <c r="O214" i="4" s="1"/>
  <c r="O325" i="4"/>
  <c r="N322" i="4"/>
  <c r="N320" i="4" s="1"/>
  <c r="M536" i="4"/>
  <c r="P536" i="4" s="1"/>
  <c r="I615" i="4"/>
  <c r="K615" i="4" s="1"/>
  <c r="J701" i="4"/>
  <c r="L96" i="4"/>
  <c r="L94" i="4" s="1"/>
  <c r="O94" i="4" s="1"/>
  <c r="U122" i="4"/>
  <c r="L305" i="4"/>
  <c r="L303" i="4" s="1"/>
  <c r="M309" i="4"/>
  <c r="P309" i="4" s="1"/>
  <c r="R602" i="4"/>
  <c r="U602" i="4" s="1"/>
  <c r="R605" i="4"/>
  <c r="U605" i="4" s="1"/>
  <c r="N61" i="4"/>
  <c r="N59" i="4" s="1"/>
  <c r="Q141" i="4"/>
  <c r="Q139" i="4" s="1"/>
  <c r="P144" i="4"/>
  <c r="M159" i="4"/>
  <c r="M157" i="4" s="1"/>
  <c r="Q305" i="4"/>
  <c r="T305" i="4" s="1"/>
  <c r="T142" i="4"/>
  <c r="R145" i="4"/>
  <c r="U145" i="4" s="1"/>
  <c r="L192" i="4"/>
  <c r="O192" i="4" s="1"/>
  <c r="M284" i="4"/>
  <c r="M282" i="4" s="1"/>
  <c r="N305" i="4"/>
  <c r="N415" i="4"/>
  <c r="N413" i="4" s="1"/>
  <c r="Q496" i="4"/>
  <c r="T496" i="4" s="1"/>
  <c r="K703" i="4"/>
  <c r="K709" i="4"/>
  <c r="K774" i="4"/>
  <c r="S188" i="4"/>
  <c r="S186" i="4" s="1"/>
  <c r="M288" i="4"/>
  <c r="P288" i="4" s="1"/>
  <c r="N326" i="4"/>
  <c r="S496" i="4"/>
  <c r="L561" i="4"/>
  <c r="O561" i="4" s="1"/>
  <c r="P99" i="4"/>
  <c r="T120" i="4"/>
  <c r="P178" i="4"/>
  <c r="P194" i="4"/>
  <c r="J351" i="4"/>
  <c r="K653" i="4"/>
  <c r="T695" i="4"/>
  <c r="R268" i="4"/>
  <c r="R266" i="4" s="1"/>
  <c r="M119" i="4"/>
  <c r="Q75" i="4"/>
  <c r="T75" i="4" s="1"/>
  <c r="M96" i="4"/>
  <c r="M94" i="4" s="1"/>
  <c r="S119" i="4"/>
  <c r="S117" i="4" s="1"/>
  <c r="P271" i="4"/>
  <c r="L306" i="4"/>
  <c r="N335" i="4"/>
  <c r="N333" i="4" s="1"/>
  <c r="K457" i="4"/>
  <c r="M537" i="4"/>
  <c r="P537" i="4" s="1"/>
  <c r="M558" i="4"/>
  <c r="P558" i="4" s="1"/>
  <c r="Q605" i="4"/>
  <c r="T605" i="4" s="1"/>
  <c r="R618" i="4"/>
  <c r="R616" i="4" s="1"/>
  <c r="M74" i="4"/>
  <c r="M72" i="4" s="1"/>
  <c r="N96" i="4"/>
  <c r="N94" i="4" s="1"/>
  <c r="T99" i="4"/>
  <c r="M120" i="4"/>
  <c r="P120" i="4" s="1"/>
  <c r="I221" i="4"/>
  <c r="K221" i="4" s="1"/>
  <c r="I253" i="4"/>
  <c r="K253" i="4" s="1"/>
  <c r="I423" i="4"/>
  <c r="K423" i="4" s="1"/>
  <c r="R496" i="4"/>
  <c r="U496" i="4" s="1"/>
  <c r="U498" i="4"/>
  <c r="P539" i="4"/>
  <c r="N159" i="4"/>
  <c r="N157" i="4" s="1"/>
  <c r="N175" i="4"/>
  <c r="N173" i="4" s="1"/>
  <c r="O178" i="4"/>
  <c r="M188" i="4"/>
  <c r="M186" i="4" s="1"/>
  <c r="S377" i="4"/>
  <c r="S375" i="4" s="1"/>
  <c r="O383" i="4"/>
  <c r="K386" i="4"/>
  <c r="L415" i="4"/>
  <c r="L413" i="4" s="1"/>
  <c r="T647" i="4"/>
  <c r="M97" i="4"/>
  <c r="P97" i="4" s="1"/>
  <c r="O191" i="4"/>
  <c r="S536" i="1"/>
  <c r="N119" i="4"/>
  <c r="N117" i="4" s="1"/>
  <c r="L189" i="4"/>
  <c r="I238" i="4"/>
  <c r="K238" i="4" s="1"/>
  <c r="N268" i="4"/>
  <c r="N266" i="4" s="1"/>
  <c r="L284" i="4"/>
  <c r="L282" i="4" s="1"/>
  <c r="J702" i="4"/>
  <c r="I758" i="4"/>
  <c r="K758" i="4" s="1"/>
  <c r="S602" i="1"/>
  <c r="U645" i="4"/>
  <c r="L46" i="4"/>
  <c r="L44" i="4" s="1"/>
  <c r="L50" i="4"/>
  <c r="O50" i="4" s="1"/>
  <c r="P64" i="4"/>
  <c r="R120" i="4"/>
  <c r="U120" i="4" s="1"/>
  <c r="R159" i="4"/>
  <c r="L188" i="4"/>
  <c r="L186" i="4" s="1"/>
  <c r="L339" i="4"/>
  <c r="O339" i="4" s="1"/>
  <c r="O361" i="4"/>
  <c r="M377" i="4"/>
  <c r="M375" i="4" s="1"/>
  <c r="I492" i="4"/>
  <c r="K492" i="4" s="1"/>
  <c r="L558" i="4"/>
  <c r="O558" i="4" s="1"/>
  <c r="M561" i="4"/>
  <c r="P561" i="4" s="1"/>
  <c r="S644" i="4"/>
  <c r="S642" i="4" s="1"/>
  <c r="S692" i="4"/>
  <c r="S690" i="4" s="1"/>
  <c r="M78" i="4"/>
  <c r="P78" i="4" s="1"/>
  <c r="L61" i="4"/>
  <c r="R119" i="4"/>
  <c r="R117" i="4" s="1"/>
  <c r="U162" i="4"/>
  <c r="N339" i="4"/>
  <c r="Q415" i="4"/>
  <c r="Q413" i="4" s="1"/>
  <c r="U418" i="4"/>
  <c r="L557" i="4"/>
  <c r="O557" i="4" s="1"/>
  <c r="T645" i="4"/>
  <c r="J675" i="4"/>
  <c r="T693" i="4"/>
  <c r="K785" i="4"/>
  <c r="S94" i="4"/>
  <c r="U693" i="4"/>
  <c r="L100" i="4"/>
  <c r="O100" i="4" s="1"/>
  <c r="P162" i="4"/>
  <c r="I302" i="4"/>
  <c r="K302" i="4" s="1"/>
  <c r="R415" i="4"/>
  <c r="R413" i="4" s="1"/>
  <c r="L419" i="4"/>
  <c r="O419" i="4" s="1"/>
  <c r="M557" i="4"/>
  <c r="M555" i="4" s="1"/>
  <c r="P555" i="4" s="1"/>
  <c r="M602" i="4"/>
  <c r="P602" i="4" s="1"/>
  <c r="L601" i="4"/>
  <c r="L599" i="4" s="1"/>
  <c r="Q730" i="4"/>
  <c r="Q728" i="4" s="1"/>
  <c r="S731" i="4"/>
  <c r="U731" i="4" s="1"/>
  <c r="K783" i="4"/>
  <c r="L74" i="4"/>
  <c r="O74" i="4" s="1"/>
  <c r="S141" i="4"/>
  <c r="S139" i="4" s="1"/>
  <c r="K153" i="4"/>
  <c r="P361" i="4"/>
  <c r="J374" i="4"/>
  <c r="M381" i="4"/>
  <c r="P381" i="4" s="1"/>
  <c r="M419" i="4"/>
  <c r="P419" i="4" s="1"/>
  <c r="N495" i="4"/>
  <c r="N493" i="4" s="1"/>
  <c r="K781" i="4"/>
  <c r="T147" i="4"/>
  <c r="R176" i="4"/>
  <c r="U176" i="4" s="1"/>
  <c r="O181" i="4"/>
  <c r="L222" i="4"/>
  <c r="O222" i="4" s="1"/>
  <c r="P308" i="4"/>
  <c r="K368" i="4"/>
  <c r="K779" i="4"/>
  <c r="U271" i="4"/>
  <c r="S268" i="4"/>
  <c r="S269" i="4"/>
  <c r="U269" i="4" s="1"/>
  <c r="P501" i="4"/>
  <c r="M499" i="4"/>
  <c r="P499" i="4" s="1"/>
  <c r="O518" i="4"/>
  <c r="L516" i="4"/>
  <c r="O516" i="4" s="1"/>
  <c r="M46" i="4"/>
  <c r="M44" i="4" s="1"/>
  <c r="M47" i="4"/>
  <c r="L269" i="4"/>
  <c r="O269" i="4" s="1"/>
  <c r="L268" i="4"/>
  <c r="O271" i="4"/>
  <c r="K371" i="4"/>
  <c r="I365" i="4"/>
  <c r="K365" i="4" s="1"/>
  <c r="M495" i="4"/>
  <c r="P495" i="4" s="1"/>
  <c r="S618" i="4"/>
  <c r="S616" i="4" s="1"/>
  <c r="S619" i="4"/>
  <c r="U619" i="4" s="1"/>
  <c r="U621" i="4"/>
  <c r="T621" i="4"/>
  <c r="S23" i="4"/>
  <c r="S160" i="4"/>
  <c r="S159" i="4"/>
  <c r="S157" i="4" s="1"/>
  <c r="I241" i="4"/>
  <c r="K241" i="4" s="1"/>
  <c r="K252" i="4"/>
  <c r="K276" i="4"/>
  <c r="I265" i="4"/>
  <c r="K265" i="4" s="1"/>
  <c r="M339" i="4"/>
  <c r="P339" i="4" s="1"/>
  <c r="M335" i="4"/>
  <c r="M333" i="4" s="1"/>
  <c r="N377" i="4"/>
  <c r="N375" i="4" s="1"/>
  <c r="N378" i="4"/>
  <c r="P378" i="4" s="1"/>
  <c r="N540" i="4"/>
  <c r="N536" i="4"/>
  <c r="N534" i="4" s="1"/>
  <c r="R601" i="4"/>
  <c r="U601" i="4" s="1"/>
  <c r="S602" i="4"/>
  <c r="S601" i="4"/>
  <c r="S599" i="4" s="1"/>
  <c r="I116" i="4"/>
  <c r="K116" i="4" s="1"/>
  <c r="K127" i="4"/>
  <c r="L159" i="4"/>
  <c r="O162" i="4"/>
  <c r="U191" i="4"/>
  <c r="R188" i="4"/>
  <c r="R189" i="4"/>
  <c r="U189" i="4" s="1"/>
  <c r="O274" i="4"/>
  <c r="L272" i="4"/>
  <c r="O272" i="4" s="1"/>
  <c r="P498" i="4"/>
  <c r="M496" i="4"/>
  <c r="P496" i="4" s="1"/>
  <c r="L141" i="4"/>
  <c r="L139" i="4" s="1"/>
  <c r="O144" i="4"/>
  <c r="L142" i="4"/>
  <c r="O142" i="4" s="1"/>
  <c r="T178" i="4"/>
  <c r="Q175" i="4"/>
  <c r="R305" i="4"/>
  <c r="R303" i="4" s="1"/>
  <c r="R306" i="4"/>
  <c r="O338" i="4"/>
  <c r="L336" i="4"/>
  <c r="O336" i="4" s="1"/>
  <c r="P52" i="4"/>
  <c r="M26" i="4"/>
  <c r="M24" i="4" s="1"/>
  <c r="N78" i="4"/>
  <c r="N74" i="4"/>
  <c r="N72" i="4" s="1"/>
  <c r="S145" i="4"/>
  <c r="O147" i="4"/>
  <c r="L145" i="4"/>
  <c r="O145" i="4" s="1"/>
  <c r="O165" i="4"/>
  <c r="L163" i="4"/>
  <c r="O163" i="4" s="1"/>
  <c r="T765" i="4"/>
  <c r="Q763" i="4"/>
  <c r="T763" i="4" s="1"/>
  <c r="N23" i="4"/>
  <c r="N21" i="4" s="1"/>
  <c r="N26" i="4"/>
  <c r="N24" i="4" s="1"/>
  <c r="U308" i="4"/>
  <c r="J674" i="4"/>
  <c r="L23" i="4"/>
  <c r="O49" i="4"/>
  <c r="L65" i="4"/>
  <c r="O65" i="4" s="1"/>
  <c r="Q74" i="4"/>
  <c r="T74" i="4" s="1"/>
  <c r="T191" i="4"/>
  <c r="L235" i="4"/>
  <c r="M272" i="4"/>
  <c r="P272" i="4" s="1"/>
  <c r="T308" i="4"/>
  <c r="K330" i="4"/>
  <c r="M582" i="4"/>
  <c r="P582" i="4" s="1"/>
  <c r="L605" i="4"/>
  <c r="O605" i="4" s="1"/>
  <c r="K631" i="4"/>
  <c r="K689" i="4"/>
  <c r="Q23" i="4"/>
  <c r="Q21" i="4" s="1"/>
  <c r="Q26" i="4"/>
  <c r="T26" i="4" s="1"/>
  <c r="M65" i="4"/>
  <c r="P65" i="4" s="1"/>
  <c r="O67" i="4"/>
  <c r="S74" i="4"/>
  <c r="S72" i="4" s="1"/>
  <c r="Q97" i="4"/>
  <c r="L119" i="4"/>
  <c r="T122" i="4"/>
  <c r="M141" i="4"/>
  <c r="M142" i="4"/>
  <c r="P142" i="4" s="1"/>
  <c r="M145" i="4"/>
  <c r="P145" i="4" s="1"/>
  <c r="M163" i="4"/>
  <c r="P163" i="4" s="1"/>
  <c r="R175" i="4"/>
  <c r="L203" i="4"/>
  <c r="O203" i="4" s="1"/>
  <c r="K249" i="4"/>
  <c r="L288" i="4"/>
  <c r="O288" i="4" s="1"/>
  <c r="S306" i="4"/>
  <c r="T306" i="4" s="1"/>
  <c r="L309" i="4"/>
  <c r="O309" i="4" s="1"/>
  <c r="L322" i="4"/>
  <c r="O322" i="4" s="1"/>
  <c r="M326" i="4"/>
  <c r="P326" i="4" s="1"/>
  <c r="P338" i="4"/>
  <c r="L362" i="4"/>
  <c r="O362" i="4" s="1"/>
  <c r="M515" i="4"/>
  <c r="P515" i="4" s="1"/>
  <c r="L579" i="4"/>
  <c r="O579" i="4" s="1"/>
  <c r="L602" i="4"/>
  <c r="K727" i="4"/>
  <c r="U765" i="4"/>
  <c r="M75" i="4"/>
  <c r="P75" i="4" s="1"/>
  <c r="O77" i="4"/>
  <c r="Q78" i="4"/>
  <c r="T78" i="4" s="1"/>
  <c r="U80" i="4"/>
  <c r="I83" i="4"/>
  <c r="I71" i="4" s="1"/>
  <c r="K71" i="4" s="1"/>
  <c r="R96" i="4"/>
  <c r="R94" i="4" s="1"/>
  <c r="U99" i="4"/>
  <c r="L120" i="4"/>
  <c r="O120" i="4" s="1"/>
  <c r="T125" i="4"/>
  <c r="N141" i="4"/>
  <c r="N139" i="4" s="1"/>
  <c r="Q188" i="4"/>
  <c r="R192" i="4"/>
  <c r="U192" i="4" s="1"/>
  <c r="T194" i="4"/>
  <c r="I281" i="4"/>
  <c r="K281" i="4" s="1"/>
  <c r="M322" i="4"/>
  <c r="P322" i="4" s="1"/>
  <c r="N358" i="4"/>
  <c r="N356" i="4" s="1"/>
  <c r="U380" i="4"/>
  <c r="R395" i="4"/>
  <c r="U395" i="4" s="1"/>
  <c r="S493" i="4"/>
  <c r="P518" i="4"/>
  <c r="K632" i="4"/>
  <c r="U647" i="4"/>
  <c r="U695" i="4"/>
  <c r="T733" i="4"/>
  <c r="O64" i="4"/>
  <c r="I82" i="4"/>
  <c r="I70" i="4" s="1"/>
  <c r="K70" i="4" s="1"/>
  <c r="L123" i="4"/>
  <c r="O123" i="4" s="1"/>
  <c r="T144" i="4"/>
  <c r="L175" i="4"/>
  <c r="L176" i="4"/>
  <c r="O176" i="4" s="1"/>
  <c r="M179" i="4"/>
  <c r="P179" i="4" s="1"/>
  <c r="T189" i="4"/>
  <c r="I195" i="4"/>
  <c r="K195" i="4" s="1"/>
  <c r="L243" i="4"/>
  <c r="O243" i="4" s="1"/>
  <c r="M268" i="4"/>
  <c r="M269" i="4"/>
  <c r="P269" i="4" s="1"/>
  <c r="P287" i="4"/>
  <c r="O359" i="4"/>
  <c r="S394" i="4"/>
  <c r="S392" i="4" s="1"/>
  <c r="S416" i="4"/>
  <c r="U416" i="4" s="1"/>
  <c r="T418" i="4"/>
  <c r="M601" i="4"/>
  <c r="P601" i="4" s="1"/>
  <c r="Q602" i="4"/>
  <c r="T602" i="4" s="1"/>
  <c r="Q644" i="4"/>
  <c r="Q642" i="4" s="1"/>
  <c r="Q692" i="4"/>
  <c r="K707" i="4"/>
  <c r="S173" i="4"/>
  <c r="M336" i="1"/>
  <c r="Q269" i="4"/>
  <c r="T271" i="4"/>
  <c r="Q377" i="4"/>
  <c r="T380" i="4"/>
  <c r="Q378" i="4"/>
  <c r="T378" i="4" s="1"/>
  <c r="M415" i="4"/>
  <c r="P418" i="4"/>
  <c r="M416" i="4"/>
  <c r="P416" i="4" s="1"/>
  <c r="L19" i="4"/>
  <c r="R19" i="4"/>
  <c r="R23" i="4"/>
  <c r="N46" i="4"/>
  <c r="N62" i="4"/>
  <c r="O62" i="4" s="1"/>
  <c r="K86" i="4"/>
  <c r="K89" i="4"/>
  <c r="I93" i="4"/>
  <c r="K93" i="4" s="1"/>
  <c r="M100" i="4"/>
  <c r="P100" i="4" s="1"/>
  <c r="R141" i="4"/>
  <c r="M176" i="4"/>
  <c r="P176" i="4" s="1"/>
  <c r="K230" i="4"/>
  <c r="K242" i="4"/>
  <c r="L254" i="4"/>
  <c r="O254" i="4" s="1"/>
  <c r="L233" i="4"/>
  <c r="U60" i="4"/>
  <c r="I137" i="4"/>
  <c r="K137" i="4" s="1"/>
  <c r="I172" i="4"/>
  <c r="K172" i="4" s="1"/>
  <c r="N188" i="4"/>
  <c r="U414" i="4"/>
  <c r="P581" i="4"/>
  <c r="M578" i="4"/>
  <c r="P578" i="4" s="1"/>
  <c r="M579" i="4"/>
  <c r="P579" i="4" s="1"/>
  <c r="N19" i="4"/>
  <c r="T19" i="4"/>
  <c r="M23" i="4"/>
  <c r="T25" i="4"/>
  <c r="N47" i="4"/>
  <c r="O60" i="4"/>
  <c r="O80" i="4"/>
  <c r="U118" i="4"/>
  <c r="Q119" i="4"/>
  <c r="K154" i="4"/>
  <c r="I136" i="4"/>
  <c r="K136" i="4" s="1"/>
  <c r="T158" i="4"/>
  <c r="M160" i="4"/>
  <c r="P160" i="4" s="1"/>
  <c r="U187" i="4"/>
  <c r="Q268" i="4"/>
  <c r="Q266" i="4" s="1"/>
  <c r="N285" i="4"/>
  <c r="N284" i="4"/>
  <c r="N282" i="4" s="1"/>
  <c r="S303" i="4"/>
  <c r="Q333" i="4"/>
  <c r="T333" i="4" s="1"/>
  <c r="T334" i="4"/>
  <c r="R576" i="4"/>
  <c r="U576" i="4" s="1"/>
  <c r="U577" i="4"/>
  <c r="R26" i="4"/>
  <c r="U45" i="4"/>
  <c r="P49" i="4"/>
  <c r="M61" i="4"/>
  <c r="P77" i="4"/>
  <c r="I92" i="4"/>
  <c r="K92" i="4" s="1"/>
  <c r="Q96" i="4"/>
  <c r="T96" i="4" s="1"/>
  <c r="R142" i="4"/>
  <c r="U142" i="4" s="1"/>
  <c r="Q159" i="4"/>
  <c r="T159" i="4" s="1"/>
  <c r="M175" i="4"/>
  <c r="O187" i="4"/>
  <c r="N189" i="4"/>
  <c r="P189" i="4" s="1"/>
  <c r="P191" i="4"/>
  <c r="L26" i="4"/>
  <c r="S26" i="4"/>
  <c r="S24" i="4" s="1"/>
  <c r="O45" i="4"/>
  <c r="R74" i="4"/>
  <c r="U74" i="4" s="1"/>
  <c r="U77" i="4"/>
  <c r="Q160" i="4"/>
  <c r="T160" i="4" s="1"/>
  <c r="J332" i="4"/>
  <c r="K332" i="4" s="1"/>
  <c r="J343" i="4"/>
  <c r="K344" i="4"/>
  <c r="Q395" i="4"/>
  <c r="T395" i="4" s="1"/>
  <c r="T397" i="4"/>
  <c r="Q394" i="4"/>
  <c r="T394" i="4" s="1"/>
  <c r="M305" i="4"/>
  <c r="P321" i="4"/>
  <c r="P341" i="4"/>
  <c r="M358" i="4"/>
  <c r="P364" i="4"/>
  <c r="L377" i="4"/>
  <c r="U378" i="4"/>
  <c r="I374" i="4"/>
  <c r="N392" i="4"/>
  <c r="N416" i="4"/>
  <c r="O416" i="4" s="1"/>
  <c r="O418" i="4"/>
  <c r="U494" i="4"/>
  <c r="R493" i="4"/>
  <c r="U493" i="4" s="1"/>
  <c r="T498" i="4"/>
  <c r="L519" i="4"/>
  <c r="O519" i="4" s="1"/>
  <c r="L515" i="4"/>
  <c r="O515" i="4" s="1"/>
  <c r="O521" i="4"/>
  <c r="M540" i="4"/>
  <c r="P540" i="4" s="1"/>
  <c r="P542" i="4"/>
  <c r="N557" i="4"/>
  <c r="N555" i="4" s="1"/>
  <c r="P600" i="4"/>
  <c r="M690" i="4"/>
  <c r="P690" i="4" s="1"/>
  <c r="P692" i="4"/>
  <c r="I213" i="4"/>
  <c r="K213" i="4" s="1"/>
  <c r="L234" i="4"/>
  <c r="M306" i="4"/>
  <c r="N306" i="4"/>
  <c r="O308" i="4"/>
  <c r="R320" i="4"/>
  <c r="U320" i="4" s="1"/>
  <c r="P336" i="4"/>
  <c r="S356" i="4"/>
  <c r="P359" i="4"/>
  <c r="P380" i="4"/>
  <c r="L499" i="4"/>
  <c r="O499" i="4" s="1"/>
  <c r="N516" i="4"/>
  <c r="N515" i="4"/>
  <c r="N513" i="4" s="1"/>
  <c r="N602" i="4"/>
  <c r="N601" i="4"/>
  <c r="O604" i="4"/>
  <c r="T643" i="4"/>
  <c r="O287" i="4"/>
  <c r="L335" i="4"/>
  <c r="K369" i="4"/>
  <c r="S415" i="4"/>
  <c r="L495" i="4"/>
  <c r="O495" i="4" s="1"/>
  <c r="J503" i="4"/>
  <c r="J492" i="4" s="1"/>
  <c r="K504" i="4"/>
  <c r="Q534" i="4"/>
  <c r="T534" i="4" s="1"/>
  <c r="T535" i="4"/>
  <c r="T283" i="4"/>
  <c r="O328" i="4"/>
  <c r="O380" i="4"/>
  <c r="Q618" i="4"/>
  <c r="T691" i="4"/>
  <c r="L760" i="4"/>
  <c r="O760" i="4" s="1"/>
  <c r="O762" i="4"/>
  <c r="U763" i="4"/>
  <c r="S513" i="4"/>
  <c r="Q555" i="4"/>
  <c r="T555" i="4" s="1"/>
  <c r="R394" i="4"/>
  <c r="Q576" i="4"/>
  <c r="T576" i="4" s="1"/>
  <c r="O577" i="4"/>
  <c r="N578" i="4"/>
  <c r="N576" i="4" s="1"/>
  <c r="M642" i="4"/>
  <c r="P642" i="4" s="1"/>
  <c r="Q714" i="4"/>
  <c r="T714" i="4" s="1"/>
  <c r="T716" i="4"/>
  <c r="K726" i="4"/>
  <c r="O542" i="4"/>
  <c r="L536" i="4"/>
  <c r="O584" i="4"/>
  <c r="L578" i="4"/>
  <c r="O578" i="4" s="1"/>
  <c r="Q601" i="4"/>
  <c r="L616" i="4"/>
  <c r="O616" i="4" s="1"/>
  <c r="K705" i="4"/>
  <c r="I701" i="4"/>
  <c r="K626" i="4"/>
  <c r="R730" i="4"/>
  <c r="U730" i="4" s="1"/>
  <c r="U733" i="4"/>
  <c r="S762" i="4"/>
  <c r="S760" i="4" s="1"/>
  <c r="R644" i="4"/>
  <c r="R692" i="4"/>
  <c r="Q762" i="4"/>
  <c r="N600" i="1"/>
  <c r="N599" i="1" s="1"/>
  <c r="M75" i="2"/>
  <c r="P75" i="2" s="1"/>
  <c r="L642" i="3"/>
  <c r="O642" i="3" s="1"/>
  <c r="S622" i="1"/>
  <c r="R140" i="1"/>
  <c r="U140" i="1" s="1"/>
  <c r="S642" i="3"/>
  <c r="R692" i="1"/>
  <c r="N535" i="1"/>
  <c r="L158" i="1"/>
  <c r="O158" i="1" s="1"/>
  <c r="K779" i="3"/>
  <c r="K785" i="3"/>
  <c r="L602" i="3"/>
  <c r="O602" i="3" s="1"/>
  <c r="M335" i="3"/>
  <c r="M333" i="3" s="1"/>
  <c r="S693" i="3"/>
  <c r="U693" i="3" s="1"/>
  <c r="S359" i="1"/>
  <c r="J675" i="3"/>
  <c r="P560" i="3"/>
  <c r="O62" i="3"/>
  <c r="I172" i="3"/>
  <c r="K172" i="3" s="1"/>
  <c r="S74" i="3"/>
  <c r="S72" i="3" s="1"/>
  <c r="L496" i="3"/>
  <c r="O496" i="3" s="1"/>
  <c r="S75" i="3"/>
  <c r="T75" i="3" s="1"/>
  <c r="S322" i="1"/>
  <c r="K368" i="3"/>
  <c r="S326" i="1"/>
  <c r="M120" i="2"/>
  <c r="P120" i="2" s="1"/>
  <c r="R119" i="3"/>
  <c r="R117" i="3" s="1"/>
  <c r="R123" i="3"/>
  <c r="U123" i="3" s="1"/>
  <c r="R305" i="3"/>
  <c r="R303" i="3" s="1"/>
  <c r="P418" i="3"/>
  <c r="Q97" i="3"/>
  <c r="T97" i="3" s="1"/>
  <c r="L763" i="1"/>
  <c r="O763" i="1" s="1"/>
  <c r="P62" i="3"/>
  <c r="P67" i="3"/>
  <c r="U122" i="3"/>
  <c r="R175" i="3"/>
  <c r="U175" i="3" s="1"/>
  <c r="U191" i="3"/>
  <c r="Q306" i="3"/>
  <c r="P361" i="3"/>
  <c r="I374" i="3"/>
  <c r="Q495" i="3"/>
  <c r="J374" i="3"/>
  <c r="T498" i="3"/>
  <c r="P501" i="3"/>
  <c r="Q232" i="1"/>
  <c r="R96" i="3"/>
  <c r="R94" i="3" s="1"/>
  <c r="U94" i="3" s="1"/>
  <c r="Q123" i="3"/>
  <c r="T123" i="3" s="1"/>
  <c r="R159" i="3"/>
  <c r="U159" i="3" s="1"/>
  <c r="M188" i="3"/>
  <c r="M186" i="3" s="1"/>
  <c r="L188" i="3"/>
  <c r="L186" i="3" s="1"/>
  <c r="L192" i="3"/>
  <c r="O192" i="3" s="1"/>
  <c r="M339" i="3"/>
  <c r="P339" i="3" s="1"/>
  <c r="M495" i="3"/>
  <c r="P495" i="3" s="1"/>
  <c r="Q605" i="3"/>
  <c r="T605" i="3" s="1"/>
  <c r="U120" i="3"/>
  <c r="P181" i="3"/>
  <c r="L222" i="3"/>
  <c r="O222" i="3" s="1"/>
  <c r="Q188" i="3"/>
  <c r="Q186" i="3" s="1"/>
  <c r="R605" i="3"/>
  <c r="U605" i="3" s="1"/>
  <c r="I93" i="3"/>
  <c r="K93" i="3" s="1"/>
  <c r="R160" i="3"/>
  <c r="U160" i="3" s="1"/>
  <c r="R176" i="3"/>
  <c r="U176" i="3" s="1"/>
  <c r="L235" i="3"/>
  <c r="M288" i="3"/>
  <c r="P288" i="3" s="1"/>
  <c r="N415" i="3"/>
  <c r="N413" i="3" s="1"/>
  <c r="L601" i="3"/>
  <c r="O601" i="3" s="1"/>
  <c r="I615" i="3"/>
  <c r="K615" i="3" s="1"/>
  <c r="U77" i="3"/>
  <c r="N175" i="3"/>
  <c r="N173" i="3" s="1"/>
  <c r="R189" i="3"/>
  <c r="U189" i="3" s="1"/>
  <c r="M284" i="3"/>
  <c r="M282" i="3" s="1"/>
  <c r="L326" i="3"/>
  <c r="O326" i="3" s="1"/>
  <c r="P518" i="3"/>
  <c r="L561" i="3"/>
  <c r="O561" i="3" s="1"/>
  <c r="I136" i="3"/>
  <c r="K136" i="3" s="1"/>
  <c r="K780" i="3"/>
  <c r="L100" i="3"/>
  <c r="O100" i="3" s="1"/>
  <c r="K386" i="3"/>
  <c r="P47" i="3"/>
  <c r="N26" i="3"/>
  <c r="N24" i="3" s="1"/>
  <c r="N558" i="3"/>
  <c r="K778" i="3"/>
  <c r="M65" i="3"/>
  <c r="P65" i="3" s="1"/>
  <c r="S188" i="3"/>
  <c r="S186" i="3" s="1"/>
  <c r="P191" i="3"/>
  <c r="N359" i="3"/>
  <c r="P359" i="3" s="1"/>
  <c r="S493" i="3"/>
  <c r="N46" i="3"/>
  <c r="N44" i="3" s="1"/>
  <c r="M50" i="3"/>
  <c r="P50" i="3" s="1"/>
  <c r="T122" i="3"/>
  <c r="L189" i="3"/>
  <c r="M326" i="3"/>
  <c r="P326" i="3" s="1"/>
  <c r="R602" i="3"/>
  <c r="U602" i="3" s="1"/>
  <c r="M605" i="3"/>
  <c r="P605" i="3" s="1"/>
  <c r="O607" i="3"/>
  <c r="S645" i="3"/>
  <c r="K689" i="3"/>
  <c r="I758" i="3"/>
  <c r="K758" i="3" s="1"/>
  <c r="O49" i="3"/>
  <c r="R141" i="3"/>
  <c r="U141" i="3" s="1"/>
  <c r="J351" i="3"/>
  <c r="K369" i="3"/>
  <c r="N515" i="3"/>
  <c r="N513" i="3" s="1"/>
  <c r="P49" i="3"/>
  <c r="N61" i="3"/>
  <c r="N59" i="3" s="1"/>
  <c r="O64" i="3"/>
  <c r="M159" i="3"/>
  <c r="M157" i="3" s="1"/>
  <c r="T189" i="3"/>
  <c r="N322" i="3"/>
  <c r="N320" i="3" s="1"/>
  <c r="O416" i="3"/>
  <c r="Q96" i="3"/>
  <c r="T96" i="3" s="1"/>
  <c r="Q119" i="3"/>
  <c r="Q117" i="3" s="1"/>
  <c r="Q159" i="3"/>
  <c r="T159" i="3" s="1"/>
  <c r="N188" i="3"/>
  <c r="N186" i="3" s="1"/>
  <c r="O191" i="3"/>
  <c r="K229" i="3"/>
  <c r="K276" i="3"/>
  <c r="Q416" i="3"/>
  <c r="K774" i="3"/>
  <c r="K784" i="3"/>
  <c r="P80" i="3"/>
  <c r="Q141" i="3"/>
  <c r="Q139" i="3" s="1"/>
  <c r="Q145" i="3"/>
  <c r="T145" i="3" s="1"/>
  <c r="N189" i="3"/>
  <c r="I195" i="3"/>
  <c r="K195" i="3" s="1"/>
  <c r="I202" i="3"/>
  <c r="K202" i="3" s="1"/>
  <c r="J231" i="3"/>
  <c r="J185" i="3" s="1"/>
  <c r="L236" i="3"/>
  <c r="P271" i="3"/>
  <c r="K314" i="3"/>
  <c r="R320" i="3"/>
  <c r="U320" i="3" s="1"/>
  <c r="O338" i="3"/>
  <c r="K346" i="3"/>
  <c r="L415" i="3"/>
  <c r="R416" i="3"/>
  <c r="K425" i="3"/>
  <c r="R601" i="3"/>
  <c r="U601" i="3" s="1"/>
  <c r="S601" i="3"/>
  <c r="S599" i="3" s="1"/>
  <c r="Q730" i="3"/>
  <c r="Q728" i="3" s="1"/>
  <c r="N760" i="3"/>
  <c r="K782" i="3"/>
  <c r="R44" i="3"/>
  <c r="U44" i="3" s="1"/>
  <c r="Q120" i="3"/>
  <c r="T120" i="3" s="1"/>
  <c r="O125" i="3"/>
  <c r="I137" i="3"/>
  <c r="K137" i="3" s="1"/>
  <c r="Q160" i="3"/>
  <c r="T160" i="3" s="1"/>
  <c r="T191" i="3"/>
  <c r="N232" i="3"/>
  <c r="L233" i="3"/>
  <c r="Q266" i="3"/>
  <c r="M381" i="3"/>
  <c r="P381" i="3" s="1"/>
  <c r="L419" i="3"/>
  <c r="O419" i="3" s="1"/>
  <c r="P421" i="3"/>
  <c r="M519" i="3"/>
  <c r="P519" i="3" s="1"/>
  <c r="R534" i="3"/>
  <c r="U534" i="3" s="1"/>
  <c r="L579" i="3"/>
  <c r="O579" i="3" s="1"/>
  <c r="O691" i="3"/>
  <c r="J701" i="3"/>
  <c r="L47" i="3"/>
  <c r="O47" i="3" s="1"/>
  <c r="S23" i="3"/>
  <c r="S21" i="3" s="1"/>
  <c r="T144" i="3"/>
  <c r="R188" i="3"/>
  <c r="R186" i="3" s="1"/>
  <c r="L214" i="3"/>
  <c r="O214" i="3" s="1"/>
  <c r="R378" i="3"/>
  <c r="O418" i="3"/>
  <c r="S534" i="3"/>
  <c r="L537" i="3"/>
  <c r="O537" i="3" s="1"/>
  <c r="M602" i="3"/>
  <c r="P602" i="3" s="1"/>
  <c r="L605" i="3"/>
  <c r="O605" i="3" s="1"/>
  <c r="N714" i="3"/>
  <c r="U45" i="3"/>
  <c r="R142" i="3"/>
  <c r="U142" i="3" s="1"/>
  <c r="N176" i="3"/>
  <c r="O176" i="3" s="1"/>
  <c r="T203" i="3"/>
  <c r="K432" i="3"/>
  <c r="J457" i="3"/>
  <c r="K457" i="3" s="1"/>
  <c r="S555" i="3"/>
  <c r="S576" i="3"/>
  <c r="R645" i="3"/>
  <c r="U645" i="3" s="1"/>
  <c r="S690" i="3"/>
  <c r="K726" i="3"/>
  <c r="N728" i="3"/>
  <c r="R762" i="3"/>
  <c r="R760" i="3" s="1"/>
  <c r="K783" i="3"/>
  <c r="T178" i="3"/>
  <c r="Q175" i="3"/>
  <c r="T175" i="3" s="1"/>
  <c r="Q176" i="3"/>
  <c r="T176" i="3" s="1"/>
  <c r="P267" i="3"/>
  <c r="S377" i="3"/>
  <c r="S375" i="3" s="1"/>
  <c r="S378" i="3"/>
  <c r="T378" i="3" s="1"/>
  <c r="O414" i="3"/>
  <c r="I492" i="3"/>
  <c r="K492" i="3" s="1"/>
  <c r="K503" i="3"/>
  <c r="P539" i="3"/>
  <c r="M537" i="3"/>
  <c r="P537" i="3" s="1"/>
  <c r="U600" i="3"/>
  <c r="N605" i="3"/>
  <c r="N601" i="3"/>
  <c r="N599" i="3" s="1"/>
  <c r="S618" i="3"/>
  <c r="S616" i="3" s="1"/>
  <c r="S619" i="3"/>
  <c r="L163" i="1"/>
  <c r="O163" i="1" s="1"/>
  <c r="S26" i="3"/>
  <c r="S24" i="3" s="1"/>
  <c r="O99" i="3"/>
  <c r="L96" i="3"/>
  <c r="O96" i="3" s="1"/>
  <c r="L97" i="3"/>
  <c r="O97" i="3" s="1"/>
  <c r="M123" i="3"/>
  <c r="P123" i="3" s="1"/>
  <c r="P125" i="3"/>
  <c r="R145" i="3"/>
  <c r="U145" i="3" s="1"/>
  <c r="O147" i="3"/>
  <c r="L145" i="3"/>
  <c r="O145" i="3" s="1"/>
  <c r="K292" i="3"/>
  <c r="I281" i="3"/>
  <c r="K281" i="3" s="1"/>
  <c r="U308" i="3"/>
  <c r="O380" i="3"/>
  <c r="L377" i="3"/>
  <c r="O377" i="3" s="1"/>
  <c r="T380" i="3"/>
  <c r="N120" i="1"/>
  <c r="N23" i="3"/>
  <c r="S119" i="3"/>
  <c r="S117" i="3" s="1"/>
  <c r="L203" i="3"/>
  <c r="O203" i="3" s="1"/>
  <c r="M272" i="3"/>
  <c r="P272" i="3" s="1"/>
  <c r="M268" i="3"/>
  <c r="M266" i="3" s="1"/>
  <c r="P274" i="3"/>
  <c r="M306" i="3"/>
  <c r="P306" i="3" s="1"/>
  <c r="M305" i="3"/>
  <c r="M303" i="3" s="1"/>
  <c r="P308" i="3"/>
  <c r="P364" i="3"/>
  <c r="M362" i="3"/>
  <c r="P362" i="3" s="1"/>
  <c r="K440" i="3"/>
  <c r="S496" i="3"/>
  <c r="P498" i="3"/>
  <c r="M496" i="3"/>
  <c r="P496" i="3" s="1"/>
  <c r="M536" i="3"/>
  <c r="P536" i="3" s="1"/>
  <c r="Q555" i="3"/>
  <c r="T555" i="3" s="1"/>
  <c r="T556" i="3"/>
  <c r="P584" i="3"/>
  <c r="M582" i="3"/>
  <c r="P582" i="3" s="1"/>
  <c r="R23" i="3"/>
  <c r="R21" i="3" s="1"/>
  <c r="S44" i="3"/>
  <c r="R75" i="3"/>
  <c r="L74" i="3"/>
  <c r="O77" i="3"/>
  <c r="L119" i="3"/>
  <c r="O119" i="3" s="1"/>
  <c r="O122" i="3"/>
  <c r="L120" i="3"/>
  <c r="O120" i="3" s="1"/>
  <c r="O187" i="3"/>
  <c r="O306" i="3"/>
  <c r="N335" i="3"/>
  <c r="N333" i="3" s="1"/>
  <c r="N496" i="3"/>
  <c r="N495" i="3"/>
  <c r="N493" i="3" s="1"/>
  <c r="L515" i="3"/>
  <c r="O515" i="3" s="1"/>
  <c r="O521" i="3"/>
  <c r="L519" i="3"/>
  <c r="O519" i="3" s="1"/>
  <c r="T695" i="3"/>
  <c r="Q693" i="3"/>
  <c r="Q692" i="3"/>
  <c r="Q690" i="3" s="1"/>
  <c r="T763" i="3"/>
  <c r="P77" i="3"/>
  <c r="M74" i="3"/>
  <c r="M72" i="3" s="1"/>
  <c r="M120" i="3"/>
  <c r="P120" i="3" s="1"/>
  <c r="M119" i="3"/>
  <c r="P119" i="3" s="1"/>
  <c r="L141" i="3"/>
  <c r="L139" i="3" s="1"/>
  <c r="T194" i="3"/>
  <c r="Q192" i="3"/>
  <c r="T192" i="3" s="1"/>
  <c r="O311" i="3"/>
  <c r="L309" i="3"/>
  <c r="O309" i="3" s="1"/>
  <c r="Q513" i="3"/>
  <c r="T513" i="3" s="1"/>
  <c r="T514" i="3"/>
  <c r="T647" i="3"/>
  <c r="Q645" i="3"/>
  <c r="T645" i="3" s="1"/>
  <c r="Q644" i="3"/>
  <c r="T644" i="3" s="1"/>
  <c r="U765" i="3"/>
  <c r="L19" i="3"/>
  <c r="O19" i="3" s="1"/>
  <c r="M26" i="3"/>
  <c r="M24" i="3" s="1"/>
  <c r="M46" i="3"/>
  <c r="M44" i="3" s="1"/>
  <c r="Q59" i="3"/>
  <c r="T59" i="3" s="1"/>
  <c r="N74" i="3"/>
  <c r="N75" i="3"/>
  <c r="O75" i="3" s="1"/>
  <c r="T95" i="3"/>
  <c r="K108" i="3"/>
  <c r="L163" i="3"/>
  <c r="O163" i="3" s="1"/>
  <c r="S268" i="3"/>
  <c r="T268" i="3" s="1"/>
  <c r="S269" i="3"/>
  <c r="T284" i="3"/>
  <c r="Q282" i="3"/>
  <c r="T282" i="3" s="1"/>
  <c r="M309" i="3"/>
  <c r="P309" i="3" s="1"/>
  <c r="P311" i="3"/>
  <c r="S320" i="3"/>
  <c r="O383" i="3"/>
  <c r="L381" i="3"/>
  <c r="O381" i="3" s="1"/>
  <c r="M540" i="3"/>
  <c r="P540" i="3" s="1"/>
  <c r="R618" i="3"/>
  <c r="R616" i="3" s="1"/>
  <c r="R619" i="3"/>
  <c r="U621" i="3"/>
  <c r="K630" i="3"/>
  <c r="K632" i="3"/>
  <c r="K631" i="3"/>
  <c r="K703" i="3"/>
  <c r="S714" i="3"/>
  <c r="K727" i="3"/>
  <c r="S730" i="3"/>
  <c r="S728" i="3" s="1"/>
  <c r="S731" i="3"/>
  <c r="U731" i="3" s="1"/>
  <c r="R59" i="3"/>
  <c r="U59" i="3" s="1"/>
  <c r="O65" i="3"/>
  <c r="R26" i="3"/>
  <c r="N96" i="3"/>
  <c r="N94" i="3" s="1"/>
  <c r="L268" i="3"/>
  <c r="L266" i="3" s="1"/>
  <c r="Q269" i="3"/>
  <c r="T271" i="3"/>
  <c r="O308" i="3"/>
  <c r="U321" i="3"/>
  <c r="O364" i="3"/>
  <c r="K441" i="3"/>
  <c r="U498" i="3"/>
  <c r="N616" i="3"/>
  <c r="U695" i="3"/>
  <c r="M714" i="3"/>
  <c r="P714" i="3" s="1"/>
  <c r="M728" i="3"/>
  <c r="P728" i="3" s="1"/>
  <c r="T733" i="3"/>
  <c r="S159" i="3"/>
  <c r="S157" i="3" s="1"/>
  <c r="R192" i="3"/>
  <c r="U192" i="3" s="1"/>
  <c r="L234" i="3"/>
  <c r="Q377" i="3"/>
  <c r="N392" i="3"/>
  <c r="Q395" i="3"/>
  <c r="T395" i="3" s="1"/>
  <c r="J702" i="3"/>
  <c r="R714" i="3"/>
  <c r="U714" i="3" s="1"/>
  <c r="U60" i="3"/>
  <c r="T78" i="3"/>
  <c r="K424" i="3"/>
  <c r="N516" i="3"/>
  <c r="M601" i="3"/>
  <c r="P601" i="3" s="1"/>
  <c r="L714" i="3"/>
  <c r="O714" i="3" s="1"/>
  <c r="L728" i="3"/>
  <c r="O728" i="3" s="1"/>
  <c r="T765" i="3"/>
  <c r="U380" i="3"/>
  <c r="J458" i="3"/>
  <c r="L495" i="3"/>
  <c r="O495" i="3" s="1"/>
  <c r="N642" i="3"/>
  <c r="J674" i="3"/>
  <c r="N690" i="3"/>
  <c r="M760" i="3"/>
  <c r="P760" i="3" s="1"/>
  <c r="K781" i="3"/>
  <c r="T77" i="3"/>
  <c r="Q23" i="3"/>
  <c r="Q74" i="3"/>
  <c r="R74" i="3"/>
  <c r="U174" i="3"/>
  <c r="M176" i="3"/>
  <c r="M175" i="3"/>
  <c r="P178" i="3"/>
  <c r="Q303" i="3"/>
  <c r="T304" i="3"/>
  <c r="U376" i="3"/>
  <c r="R375" i="3"/>
  <c r="O535" i="3"/>
  <c r="T174" i="3"/>
  <c r="Q44" i="3"/>
  <c r="T44" i="3" s="1"/>
  <c r="P64" i="3"/>
  <c r="O73" i="3"/>
  <c r="M97" i="3"/>
  <c r="P97" i="3" s="1"/>
  <c r="P99" i="3"/>
  <c r="M96" i="3"/>
  <c r="P96" i="3" s="1"/>
  <c r="I138" i="3"/>
  <c r="K138" i="3" s="1"/>
  <c r="K153" i="3"/>
  <c r="I168" i="3"/>
  <c r="K168" i="3" s="1"/>
  <c r="I169" i="3"/>
  <c r="K169" i="3" s="1"/>
  <c r="I156" i="3"/>
  <c r="K156" i="3" s="1"/>
  <c r="K167" i="3"/>
  <c r="R282" i="3"/>
  <c r="U282" i="3" s="1"/>
  <c r="O325" i="3"/>
  <c r="L322" i="3"/>
  <c r="N362" i="3"/>
  <c r="N358" i="3"/>
  <c r="N356" i="3" s="1"/>
  <c r="U514" i="3"/>
  <c r="R513" i="3"/>
  <c r="U513" i="3" s="1"/>
  <c r="L734" i="1"/>
  <c r="O734" i="1" s="1"/>
  <c r="O178" i="3"/>
  <c r="L175" i="3"/>
  <c r="Q19" i="3"/>
  <c r="T22" i="3"/>
  <c r="O52" i="3"/>
  <c r="L46" i="3"/>
  <c r="P73" i="3"/>
  <c r="N120" i="3"/>
  <c r="N119" i="3"/>
  <c r="N117" i="3" s="1"/>
  <c r="S142" i="3"/>
  <c r="T142" i="3" s="1"/>
  <c r="S141" i="3"/>
  <c r="S139" i="3" s="1"/>
  <c r="R269" i="3"/>
  <c r="R268" i="3"/>
  <c r="R266" i="3" s="1"/>
  <c r="U271" i="3"/>
  <c r="O283" i="3"/>
  <c r="S282" i="3"/>
  <c r="L323" i="3"/>
  <c r="O323" i="3" s="1"/>
  <c r="P338" i="3"/>
  <c r="L359" i="3"/>
  <c r="L358" i="3"/>
  <c r="L356" i="3" s="1"/>
  <c r="O361" i="3"/>
  <c r="U397" i="3"/>
  <c r="R395" i="3"/>
  <c r="U395" i="3" s="1"/>
  <c r="R394" i="3"/>
  <c r="O67" i="3"/>
  <c r="L61" i="3"/>
  <c r="U73" i="3"/>
  <c r="N142" i="3"/>
  <c r="O142" i="3" s="1"/>
  <c r="N141" i="3"/>
  <c r="O144" i="3"/>
  <c r="I238" i="3"/>
  <c r="K238" i="3" s="1"/>
  <c r="K249" i="3"/>
  <c r="I242" i="3"/>
  <c r="P357" i="3"/>
  <c r="T578" i="3"/>
  <c r="Q576" i="3"/>
  <c r="T576" i="3" s="1"/>
  <c r="R19" i="3"/>
  <c r="L23" i="3"/>
  <c r="T25" i="3"/>
  <c r="L78" i="3"/>
  <c r="O78" i="3" s="1"/>
  <c r="K127" i="3"/>
  <c r="I116" i="3"/>
  <c r="K116" i="3" s="1"/>
  <c r="N160" i="3"/>
  <c r="N159" i="3"/>
  <c r="T187" i="3"/>
  <c r="S395" i="3"/>
  <c r="S394" i="3"/>
  <c r="S392" i="3" s="1"/>
  <c r="R78" i="3"/>
  <c r="U78" i="3" s="1"/>
  <c r="U80" i="3"/>
  <c r="S97" i="3"/>
  <c r="S96" i="3"/>
  <c r="S94" i="3" s="1"/>
  <c r="M19" i="3"/>
  <c r="S19" i="3"/>
  <c r="P22" i="3"/>
  <c r="M23" i="3"/>
  <c r="L26" i="3"/>
  <c r="M61" i="3"/>
  <c r="P95" i="3"/>
  <c r="P144" i="3"/>
  <c r="M141" i="3"/>
  <c r="L159" i="3"/>
  <c r="P162" i="3"/>
  <c r="S176" i="3"/>
  <c r="S175" i="3"/>
  <c r="S173" i="3" s="1"/>
  <c r="K260" i="3"/>
  <c r="I253" i="3"/>
  <c r="K253" i="3" s="1"/>
  <c r="L269" i="3"/>
  <c r="O271" i="3"/>
  <c r="O290" i="3"/>
  <c r="L284" i="3"/>
  <c r="L282" i="3" s="1"/>
  <c r="N305" i="3"/>
  <c r="N303" i="3" s="1"/>
  <c r="N336" i="3"/>
  <c r="P336" i="3" s="1"/>
  <c r="T80" i="3"/>
  <c r="U99" i="3"/>
  <c r="P102" i="3"/>
  <c r="P122" i="3"/>
  <c r="L179" i="3"/>
  <c r="O179" i="3" s="1"/>
  <c r="P194" i="3"/>
  <c r="K220" i="3"/>
  <c r="I213" i="3"/>
  <c r="K213" i="3" s="1"/>
  <c r="L243" i="3"/>
  <c r="L254" i="3"/>
  <c r="O254" i="3" s="1"/>
  <c r="N268" i="3"/>
  <c r="P325" i="3"/>
  <c r="M322" i="3"/>
  <c r="M323" i="3"/>
  <c r="P323" i="3" s="1"/>
  <c r="T335" i="3"/>
  <c r="Q333" i="3"/>
  <c r="T333" i="3" s="1"/>
  <c r="L339" i="3"/>
  <c r="O339" i="3" s="1"/>
  <c r="L335" i="3"/>
  <c r="O376" i="3"/>
  <c r="P380" i="3"/>
  <c r="M377" i="3"/>
  <c r="N537" i="3"/>
  <c r="N536" i="3"/>
  <c r="N534" i="3" s="1"/>
  <c r="U267" i="3"/>
  <c r="M285" i="3"/>
  <c r="P287" i="3"/>
  <c r="J280" i="3"/>
  <c r="K280" i="3" s="1"/>
  <c r="K293" i="3"/>
  <c r="R413" i="3"/>
  <c r="M416" i="3"/>
  <c r="P416" i="3" s="1"/>
  <c r="M415" i="3"/>
  <c r="S416" i="3"/>
  <c r="T418" i="3"/>
  <c r="S415" i="3"/>
  <c r="T415" i="3" s="1"/>
  <c r="U418" i="3"/>
  <c r="K423" i="3"/>
  <c r="I412" i="3"/>
  <c r="K412" i="3" s="1"/>
  <c r="Q26" i="3"/>
  <c r="I82" i="3"/>
  <c r="O162" i="3"/>
  <c r="P165" i="3"/>
  <c r="O267" i="3"/>
  <c r="N269" i="3"/>
  <c r="P269" i="3" s="1"/>
  <c r="O287" i="3"/>
  <c r="N284" i="3"/>
  <c r="N282" i="3" s="1"/>
  <c r="N285" i="3"/>
  <c r="O285" i="3" s="1"/>
  <c r="T305" i="3"/>
  <c r="S306" i="3"/>
  <c r="U306" i="3" s="1"/>
  <c r="T308" i="3"/>
  <c r="J343" i="3"/>
  <c r="J332" i="3"/>
  <c r="T358" i="3"/>
  <c r="Q356" i="3"/>
  <c r="T356" i="3" s="1"/>
  <c r="K371" i="3"/>
  <c r="I365" i="3"/>
  <c r="K365" i="3" s="1"/>
  <c r="K85" i="3"/>
  <c r="I83" i="3"/>
  <c r="O274" i="3"/>
  <c r="K330" i="3"/>
  <c r="I319" i="3"/>
  <c r="K319" i="3" s="1"/>
  <c r="P334" i="3"/>
  <c r="O341" i="3"/>
  <c r="N377" i="3"/>
  <c r="N375" i="3" s="1"/>
  <c r="M378" i="3"/>
  <c r="P378" i="3" s="1"/>
  <c r="O394" i="3"/>
  <c r="L392" i="3"/>
  <c r="O392" i="3" s="1"/>
  <c r="P414" i="3"/>
  <c r="O501" i="3"/>
  <c r="L305" i="3"/>
  <c r="R333" i="3"/>
  <c r="U333" i="3" s="1"/>
  <c r="K344" i="3"/>
  <c r="I332" i="3"/>
  <c r="R356" i="3"/>
  <c r="U356" i="3" s="1"/>
  <c r="M392" i="3"/>
  <c r="P392" i="3" s="1"/>
  <c r="J456" i="3"/>
  <c r="K456" i="3" s="1"/>
  <c r="P600" i="3"/>
  <c r="O518" i="3"/>
  <c r="L516" i="3"/>
  <c r="O516" i="3" s="1"/>
  <c r="R576" i="3"/>
  <c r="U576" i="3" s="1"/>
  <c r="U577" i="3"/>
  <c r="O560" i="3"/>
  <c r="L557" i="3"/>
  <c r="P581" i="3"/>
  <c r="M578" i="3"/>
  <c r="S303" i="3"/>
  <c r="Q320" i="3"/>
  <c r="T320" i="3" s="1"/>
  <c r="K505" i="3"/>
  <c r="J503" i="3"/>
  <c r="J492" i="3" s="1"/>
  <c r="N578" i="3"/>
  <c r="N576" i="3" s="1"/>
  <c r="M579" i="3"/>
  <c r="P579" i="3" s="1"/>
  <c r="T604" i="3"/>
  <c r="Q601" i="3"/>
  <c r="M642" i="3"/>
  <c r="P642" i="3" s="1"/>
  <c r="P644" i="3"/>
  <c r="R495" i="3"/>
  <c r="S513" i="3"/>
  <c r="U535" i="3"/>
  <c r="P563" i="3"/>
  <c r="M557" i="3"/>
  <c r="O584" i="3"/>
  <c r="L578" i="3"/>
  <c r="O578" i="3" s="1"/>
  <c r="T621" i="3"/>
  <c r="Q618" i="3"/>
  <c r="Q619" i="3"/>
  <c r="K707" i="3"/>
  <c r="Q714" i="3"/>
  <c r="T714" i="3" s="1"/>
  <c r="T716" i="3"/>
  <c r="K705" i="3"/>
  <c r="I701" i="3"/>
  <c r="M358" i="3"/>
  <c r="Q394" i="3"/>
  <c r="K433" i="3"/>
  <c r="M515" i="3"/>
  <c r="P515" i="3" s="1"/>
  <c r="O542" i="3"/>
  <c r="L536" i="3"/>
  <c r="O536" i="3" s="1"/>
  <c r="R555" i="3"/>
  <c r="U555" i="3" s="1"/>
  <c r="O600" i="3"/>
  <c r="U617" i="3"/>
  <c r="T643" i="3"/>
  <c r="M690" i="3"/>
  <c r="P690" i="3" s="1"/>
  <c r="P692" i="3"/>
  <c r="O617" i="3"/>
  <c r="L616" i="3"/>
  <c r="O616" i="3" s="1"/>
  <c r="T691" i="3"/>
  <c r="L760" i="3"/>
  <c r="O760" i="3" s="1"/>
  <c r="O762" i="3"/>
  <c r="U763" i="3"/>
  <c r="K626" i="3"/>
  <c r="R730" i="3"/>
  <c r="U733" i="3"/>
  <c r="S762" i="3"/>
  <c r="S760" i="3" s="1"/>
  <c r="R644" i="3"/>
  <c r="R692" i="3"/>
  <c r="Q762" i="3"/>
  <c r="P716" i="2"/>
  <c r="L714" i="2"/>
  <c r="O714" i="2" s="1"/>
  <c r="N714" i="2"/>
  <c r="U715" i="2"/>
  <c r="Q19" i="2"/>
  <c r="T19" i="2" s="1"/>
  <c r="Q576" i="2"/>
  <c r="T576" i="2" s="1"/>
  <c r="R576" i="2"/>
  <c r="U576" i="2" s="1"/>
  <c r="S576" i="2"/>
  <c r="S493" i="2"/>
  <c r="Q283" i="1"/>
  <c r="T283" i="1" s="1"/>
  <c r="R414" i="1"/>
  <c r="U414" i="1" s="1"/>
  <c r="N540" i="1"/>
  <c r="N61" i="1"/>
  <c r="P64" i="2"/>
  <c r="R693" i="1"/>
  <c r="S320" i="2"/>
  <c r="I374" i="2"/>
  <c r="L235" i="2"/>
  <c r="T416" i="2"/>
  <c r="L123" i="2"/>
  <c r="O123" i="2" s="1"/>
  <c r="L602" i="2"/>
  <c r="O602" i="2" s="1"/>
  <c r="P162" i="2"/>
  <c r="L499" i="1"/>
  <c r="O499" i="1" s="1"/>
  <c r="I116" i="2"/>
  <c r="K116" i="2" s="1"/>
  <c r="L326" i="2"/>
  <c r="O326" i="2" s="1"/>
  <c r="M75" i="1"/>
  <c r="L268" i="1"/>
  <c r="N175" i="2"/>
  <c r="N173" i="2" s="1"/>
  <c r="T194" i="2"/>
  <c r="S285" i="1"/>
  <c r="L268" i="2"/>
  <c r="L266" i="2" s="1"/>
  <c r="R762" i="2"/>
  <c r="R760" i="2" s="1"/>
  <c r="K784" i="2"/>
  <c r="O336" i="2"/>
  <c r="N159" i="1"/>
  <c r="N145" i="1"/>
  <c r="S203" i="1"/>
  <c r="N100" i="1"/>
  <c r="M100" i="2"/>
  <c r="P100" i="2" s="1"/>
  <c r="N188" i="2"/>
  <c r="N186" i="2" s="1"/>
  <c r="Q377" i="2"/>
  <c r="Q375" i="2" s="1"/>
  <c r="S74" i="2"/>
  <c r="S72" i="2" s="1"/>
  <c r="S97" i="2"/>
  <c r="R142" i="2"/>
  <c r="U142" i="2" s="1"/>
  <c r="N159" i="2"/>
  <c r="N157" i="2" s="1"/>
  <c r="L236" i="2"/>
  <c r="S159" i="2"/>
  <c r="S157" i="2" s="1"/>
  <c r="Q496" i="2"/>
  <c r="T496" i="2" s="1"/>
  <c r="Q189" i="1"/>
  <c r="N119" i="2"/>
  <c r="N117" i="2" s="1"/>
  <c r="N141" i="2"/>
  <c r="N139" i="2" s="1"/>
  <c r="S601" i="2"/>
  <c r="S599" i="2" s="1"/>
  <c r="J675" i="2"/>
  <c r="K675" i="2" s="1"/>
  <c r="I137" i="2"/>
  <c r="K137" i="2" s="1"/>
  <c r="Q141" i="2"/>
  <c r="T141" i="2" s="1"/>
  <c r="T306" i="2"/>
  <c r="Q415" i="2"/>
  <c r="Q413" i="2" s="1"/>
  <c r="M499" i="2"/>
  <c r="P499" i="2" s="1"/>
  <c r="P178" i="2"/>
  <c r="P269" i="2"/>
  <c r="K293" i="2"/>
  <c r="P341" i="2"/>
  <c r="J351" i="2"/>
  <c r="U397" i="2"/>
  <c r="L415" i="2"/>
  <c r="L413" i="2" s="1"/>
  <c r="K676" i="2"/>
  <c r="Q762" i="2"/>
  <c r="Q760" i="2" s="1"/>
  <c r="M203" i="1"/>
  <c r="N62" i="2"/>
  <c r="P62" i="2" s="1"/>
  <c r="I136" i="2"/>
  <c r="K136" i="2" s="1"/>
  <c r="R145" i="2"/>
  <c r="U145" i="2" s="1"/>
  <c r="O287" i="2"/>
  <c r="R377" i="2"/>
  <c r="R375" i="2" s="1"/>
  <c r="L381" i="2"/>
  <c r="O381" i="2" s="1"/>
  <c r="R496" i="2"/>
  <c r="U496" i="2" s="1"/>
  <c r="N536" i="2"/>
  <c r="N534" i="2" s="1"/>
  <c r="L561" i="2"/>
  <c r="O561" i="2" s="1"/>
  <c r="Q692" i="2"/>
  <c r="Q690" i="2" s="1"/>
  <c r="J701" i="2"/>
  <c r="I758" i="2"/>
  <c r="K758" i="2" s="1"/>
  <c r="L232" i="1"/>
  <c r="P144" i="2"/>
  <c r="M160" i="2"/>
  <c r="P160" i="2" s="1"/>
  <c r="L163" i="2"/>
  <c r="O163" i="2" s="1"/>
  <c r="Q189" i="2"/>
  <c r="T189" i="2" s="1"/>
  <c r="O191" i="2"/>
  <c r="N192" i="2"/>
  <c r="I492" i="2"/>
  <c r="K492" i="2" s="1"/>
  <c r="M561" i="2"/>
  <c r="P561" i="2" s="1"/>
  <c r="I701" i="2"/>
  <c r="K709" i="2"/>
  <c r="O80" i="2"/>
  <c r="I172" i="2"/>
  <c r="K172" i="2" s="1"/>
  <c r="R189" i="2"/>
  <c r="U189" i="2" s="1"/>
  <c r="M557" i="2"/>
  <c r="M555" i="2" s="1"/>
  <c r="P555" i="2" s="1"/>
  <c r="S232" i="1"/>
  <c r="O64" i="2"/>
  <c r="I92" i="2"/>
  <c r="K92" i="2" s="1"/>
  <c r="L142" i="2"/>
  <c r="O142" i="2" s="1"/>
  <c r="N284" i="2"/>
  <c r="N282" i="2" s="1"/>
  <c r="L305" i="2"/>
  <c r="L303" i="2" s="1"/>
  <c r="O341" i="2"/>
  <c r="K369" i="2"/>
  <c r="K632" i="2"/>
  <c r="K780" i="2"/>
  <c r="K783" i="2"/>
  <c r="Q305" i="2"/>
  <c r="Q303" i="2" s="1"/>
  <c r="I202" i="2"/>
  <c r="K202" i="2" s="1"/>
  <c r="I238" i="2"/>
  <c r="K238" i="2" s="1"/>
  <c r="S305" i="2"/>
  <c r="S303" i="2" s="1"/>
  <c r="T308" i="2"/>
  <c r="R602" i="2"/>
  <c r="U602" i="2" s="1"/>
  <c r="U695" i="2"/>
  <c r="S119" i="2"/>
  <c r="S117" i="2" s="1"/>
  <c r="N142" i="2"/>
  <c r="P189" i="2"/>
  <c r="L222" i="2"/>
  <c r="O222" i="2" s="1"/>
  <c r="N268" i="2"/>
  <c r="N266" i="2" s="1"/>
  <c r="M288" i="2"/>
  <c r="P288" i="2" s="1"/>
  <c r="P325" i="2"/>
  <c r="P336" i="2"/>
  <c r="M23" i="2"/>
  <c r="M21" i="2" s="1"/>
  <c r="N377" i="2"/>
  <c r="N375" i="2" s="1"/>
  <c r="P380" i="2"/>
  <c r="R394" i="2"/>
  <c r="U394" i="2" s="1"/>
  <c r="N415" i="2"/>
  <c r="N413" i="2" s="1"/>
  <c r="S496" i="2"/>
  <c r="L557" i="2"/>
  <c r="O557" i="2" s="1"/>
  <c r="S602" i="2"/>
  <c r="M601" i="2"/>
  <c r="P601" i="2" s="1"/>
  <c r="M605" i="2"/>
  <c r="P605" i="2" s="1"/>
  <c r="U647" i="2"/>
  <c r="K782" i="2"/>
  <c r="P416" i="2"/>
  <c r="T80" i="2"/>
  <c r="I82" i="2"/>
  <c r="I70" i="2" s="1"/>
  <c r="K70" i="2" s="1"/>
  <c r="N96" i="2"/>
  <c r="N94" i="2" s="1"/>
  <c r="P191" i="2"/>
  <c r="I221" i="2"/>
  <c r="K221" i="2" s="1"/>
  <c r="I265" i="2"/>
  <c r="K265" i="2" s="1"/>
  <c r="I302" i="2"/>
  <c r="K302" i="2" s="1"/>
  <c r="K344" i="2"/>
  <c r="S394" i="2"/>
  <c r="S392" i="2" s="1"/>
  <c r="N495" i="2"/>
  <c r="N493" i="2" s="1"/>
  <c r="R605" i="2"/>
  <c r="U605" i="2" s="1"/>
  <c r="J702" i="2"/>
  <c r="M97" i="2"/>
  <c r="P97" i="2" s="1"/>
  <c r="L141" i="2"/>
  <c r="M145" i="2"/>
  <c r="P145" i="2" s="1"/>
  <c r="I253" i="2"/>
  <c r="K253" i="2" s="1"/>
  <c r="L537" i="2"/>
  <c r="O537" i="2" s="1"/>
  <c r="N601" i="2"/>
  <c r="N599" i="2" s="1"/>
  <c r="I615" i="2"/>
  <c r="K615" i="2" s="1"/>
  <c r="R693" i="2"/>
  <c r="U765" i="2"/>
  <c r="P49" i="2"/>
  <c r="L74" i="2"/>
  <c r="O74" i="2" s="1"/>
  <c r="M141" i="2"/>
  <c r="S141" i="2"/>
  <c r="S139" i="2" s="1"/>
  <c r="M176" i="2"/>
  <c r="I242" i="2"/>
  <c r="K242" i="2" s="1"/>
  <c r="M284" i="2"/>
  <c r="M282" i="2" s="1"/>
  <c r="N285" i="2"/>
  <c r="P285" i="2" s="1"/>
  <c r="K368" i="2"/>
  <c r="J503" i="2"/>
  <c r="J492" i="2" s="1"/>
  <c r="M537" i="2"/>
  <c r="P537" i="2" s="1"/>
  <c r="R601" i="2"/>
  <c r="U601" i="2" s="1"/>
  <c r="Q644" i="2"/>
  <c r="Q642" i="2" s="1"/>
  <c r="K778" i="2"/>
  <c r="T763" i="2"/>
  <c r="U619" i="2"/>
  <c r="N47" i="2"/>
  <c r="P47" i="2" s="1"/>
  <c r="N74" i="2"/>
  <c r="N72" i="2" s="1"/>
  <c r="U80" i="2"/>
  <c r="S94" i="2"/>
  <c r="R141" i="2"/>
  <c r="U141" i="2" s="1"/>
  <c r="T147" i="2"/>
  <c r="K169" i="2"/>
  <c r="N176" i="2"/>
  <c r="O176" i="2" s="1"/>
  <c r="O178" i="2"/>
  <c r="Q188" i="2"/>
  <c r="T188" i="2" s="1"/>
  <c r="L234" i="2"/>
  <c r="I281" i="2"/>
  <c r="K281" i="2" s="1"/>
  <c r="L377" i="2"/>
  <c r="L375" i="2" s="1"/>
  <c r="O375" i="2" s="1"/>
  <c r="S377" i="2"/>
  <c r="S375" i="2" s="1"/>
  <c r="T378" i="2"/>
  <c r="N578" i="2"/>
  <c r="N576" i="2" s="1"/>
  <c r="M602" i="2"/>
  <c r="P602" i="2" s="1"/>
  <c r="T647" i="2"/>
  <c r="T695" i="2"/>
  <c r="U733" i="2"/>
  <c r="I423" i="2"/>
  <c r="I412" i="2" s="1"/>
  <c r="K412" i="2" s="1"/>
  <c r="Q75" i="2"/>
  <c r="T75" i="2" s="1"/>
  <c r="S123" i="2"/>
  <c r="T144" i="2"/>
  <c r="M175" i="2"/>
  <c r="I195" i="2"/>
  <c r="K195" i="2" s="1"/>
  <c r="Q268" i="2"/>
  <c r="T268" i="2" s="1"/>
  <c r="S269" i="2"/>
  <c r="T269" i="2" s="1"/>
  <c r="M305" i="2"/>
  <c r="M303" i="2" s="1"/>
  <c r="L335" i="2"/>
  <c r="L333" i="2" s="1"/>
  <c r="K371" i="2"/>
  <c r="M377" i="2"/>
  <c r="L378" i="2"/>
  <c r="O378" i="2" s="1"/>
  <c r="U380" i="2"/>
  <c r="M415" i="2"/>
  <c r="T418" i="2"/>
  <c r="Q495" i="2"/>
  <c r="T495" i="2" s="1"/>
  <c r="U621" i="2"/>
  <c r="S644" i="2"/>
  <c r="S642" i="2" s="1"/>
  <c r="S645" i="2"/>
  <c r="U645" i="2" s="1"/>
  <c r="J674" i="2"/>
  <c r="K674" i="2" s="1"/>
  <c r="S692" i="2"/>
  <c r="S690" i="2" s="1"/>
  <c r="S693" i="2"/>
  <c r="K705" i="2"/>
  <c r="K785" i="2"/>
  <c r="S23" i="2"/>
  <c r="S21" i="2" s="1"/>
  <c r="M78" i="2"/>
  <c r="P78" i="2" s="1"/>
  <c r="N120" i="2"/>
  <c r="L145" i="2"/>
  <c r="O145" i="2" s="1"/>
  <c r="M159" i="2"/>
  <c r="L159" i="2"/>
  <c r="L157" i="2" s="1"/>
  <c r="O157" i="2" s="1"/>
  <c r="L189" i="2"/>
  <c r="O189" i="2" s="1"/>
  <c r="U268" i="2"/>
  <c r="N358" i="2"/>
  <c r="N356" i="2" s="1"/>
  <c r="K365" i="2"/>
  <c r="O518" i="2"/>
  <c r="R618" i="2"/>
  <c r="Q731" i="2"/>
  <c r="T733" i="2"/>
  <c r="O49" i="2"/>
  <c r="U120" i="2"/>
  <c r="S175" i="2"/>
  <c r="S173" i="2" s="1"/>
  <c r="K249" i="2"/>
  <c r="J343" i="2"/>
  <c r="P361" i="2"/>
  <c r="U378" i="2"/>
  <c r="M496" i="2"/>
  <c r="P496" i="2" s="1"/>
  <c r="P518" i="2"/>
  <c r="L579" i="2"/>
  <c r="O579" i="2" s="1"/>
  <c r="L601" i="2"/>
  <c r="O607" i="2"/>
  <c r="S618" i="2"/>
  <c r="S616" i="2" s="1"/>
  <c r="K629" i="2"/>
  <c r="R731" i="2"/>
  <c r="K774" i="2"/>
  <c r="K781" i="2"/>
  <c r="U763" i="2"/>
  <c r="L47" i="2"/>
  <c r="O77" i="2"/>
  <c r="M163" i="2"/>
  <c r="P163" i="2" s="1"/>
  <c r="L192" i="2"/>
  <c r="O192" i="2" s="1"/>
  <c r="L203" i="2"/>
  <c r="O203" i="2" s="1"/>
  <c r="L243" i="2"/>
  <c r="O243" i="2" s="1"/>
  <c r="L284" i="2"/>
  <c r="K346" i="2"/>
  <c r="P383" i="2"/>
  <c r="S415" i="2"/>
  <c r="M495" i="2"/>
  <c r="P495" i="2" s="1"/>
  <c r="N557" i="2"/>
  <c r="N555" i="2" s="1"/>
  <c r="M579" i="2"/>
  <c r="P579" i="2" s="1"/>
  <c r="K678" i="2"/>
  <c r="K703" i="2"/>
  <c r="S731" i="2"/>
  <c r="T765" i="2"/>
  <c r="K779" i="2"/>
  <c r="N214" i="1"/>
  <c r="O414" i="2"/>
  <c r="Q23" i="2"/>
  <c r="Q21" i="2" s="1"/>
  <c r="U73" i="2"/>
  <c r="Q74" i="2"/>
  <c r="T74" i="2" s="1"/>
  <c r="L119" i="2"/>
  <c r="U122" i="2"/>
  <c r="R119" i="2"/>
  <c r="U162" i="2"/>
  <c r="R159" i="2"/>
  <c r="L179" i="2"/>
  <c r="O179" i="2" s="1"/>
  <c r="R192" i="2"/>
  <c r="U192" i="2" s="1"/>
  <c r="S540" i="1"/>
  <c r="P118" i="2"/>
  <c r="S145" i="2"/>
  <c r="I138" i="2"/>
  <c r="K138" i="2" s="1"/>
  <c r="K153" i="2"/>
  <c r="R416" i="2"/>
  <c r="U416" i="2" s="1"/>
  <c r="U418" i="2"/>
  <c r="R415" i="2"/>
  <c r="R413" i="2" s="1"/>
  <c r="L23" i="2"/>
  <c r="Q26" i="2"/>
  <c r="K85" i="2"/>
  <c r="I83" i="2"/>
  <c r="P95" i="2"/>
  <c r="T99" i="2"/>
  <c r="Q96" i="2"/>
  <c r="M119" i="2"/>
  <c r="P119" i="2" s="1"/>
  <c r="M179" i="2"/>
  <c r="P179" i="2" s="1"/>
  <c r="T187" i="2"/>
  <c r="T267" i="2"/>
  <c r="P304" i="2"/>
  <c r="N306" i="2"/>
  <c r="P306" i="2" s="1"/>
  <c r="N305" i="2"/>
  <c r="N303" i="2" s="1"/>
  <c r="O325" i="2"/>
  <c r="L322" i="2"/>
  <c r="L323" i="2"/>
  <c r="O323" i="2" s="1"/>
  <c r="O357" i="2"/>
  <c r="T73" i="2"/>
  <c r="T122" i="2"/>
  <c r="Q119" i="2"/>
  <c r="R123" i="2"/>
  <c r="U123" i="2" s="1"/>
  <c r="R26" i="2"/>
  <c r="U26" i="2" s="1"/>
  <c r="P158" i="2"/>
  <c r="T162" i="2"/>
  <c r="Q159" i="2"/>
  <c r="T159" i="2" s="1"/>
  <c r="U25" i="2"/>
  <c r="S26" i="2"/>
  <c r="R44" i="2"/>
  <c r="U44" i="2" s="1"/>
  <c r="O45" i="2"/>
  <c r="L50" i="2"/>
  <c r="O50" i="2" s="1"/>
  <c r="L26" i="2"/>
  <c r="O26" i="2" s="1"/>
  <c r="P60" i="2"/>
  <c r="L61" i="2"/>
  <c r="P67" i="2"/>
  <c r="M61" i="2"/>
  <c r="M59" i="2" s="1"/>
  <c r="R75" i="2"/>
  <c r="U75" i="2" s="1"/>
  <c r="U77" i="2"/>
  <c r="R74" i="2"/>
  <c r="U74" i="2" s="1"/>
  <c r="R23" i="2"/>
  <c r="I93" i="2"/>
  <c r="K93" i="2" s="1"/>
  <c r="L96" i="2"/>
  <c r="U99" i="2"/>
  <c r="R96" i="2"/>
  <c r="M192" i="2"/>
  <c r="P192" i="2" s="1"/>
  <c r="P194" i="2"/>
  <c r="U322" i="2"/>
  <c r="R320" i="2"/>
  <c r="U320" i="2" s="1"/>
  <c r="L19" i="2"/>
  <c r="R19" i="2"/>
  <c r="N23" i="2"/>
  <c r="N21" i="2" s="1"/>
  <c r="O25" i="2"/>
  <c r="M26" i="2"/>
  <c r="P45" i="2"/>
  <c r="L46" i="2"/>
  <c r="L44" i="2" s="1"/>
  <c r="P52" i="2"/>
  <c r="M46" i="2"/>
  <c r="N61" i="2"/>
  <c r="N59" i="2" s="1"/>
  <c r="O73" i="2"/>
  <c r="M74" i="2"/>
  <c r="K86" i="2"/>
  <c r="M96" i="2"/>
  <c r="P96" i="2" s="1"/>
  <c r="L97" i="2"/>
  <c r="O97" i="2" s="1"/>
  <c r="O122" i="2"/>
  <c r="M123" i="2"/>
  <c r="P123" i="2" s="1"/>
  <c r="O162" i="2"/>
  <c r="P174" i="2"/>
  <c r="T178" i="2"/>
  <c r="Q175" i="2"/>
  <c r="S188" i="2"/>
  <c r="S186" i="2" s="1"/>
  <c r="L254" i="2"/>
  <c r="O254" i="2" s="1"/>
  <c r="L233" i="2"/>
  <c r="M19" i="2"/>
  <c r="S19" i="2"/>
  <c r="N26" i="2"/>
  <c r="N24" i="2" s="1"/>
  <c r="N46" i="2"/>
  <c r="N44" i="2" s="1"/>
  <c r="O67" i="2"/>
  <c r="L100" i="2"/>
  <c r="O100" i="2" s="1"/>
  <c r="Q120" i="2"/>
  <c r="T120" i="2" s="1"/>
  <c r="T125" i="2"/>
  <c r="Q123" i="2"/>
  <c r="T123" i="2" s="1"/>
  <c r="T140" i="2"/>
  <c r="Q160" i="2"/>
  <c r="T160" i="2" s="1"/>
  <c r="L175" i="2"/>
  <c r="U178" i="2"/>
  <c r="R175" i="2"/>
  <c r="M188" i="2"/>
  <c r="L188" i="2"/>
  <c r="R188" i="2"/>
  <c r="U188" i="2" s="1"/>
  <c r="R269" i="2"/>
  <c r="U271" i="2"/>
  <c r="O283" i="2"/>
  <c r="P338" i="2"/>
  <c r="M335" i="2"/>
  <c r="P364" i="2"/>
  <c r="M358" i="2"/>
  <c r="T397" i="2"/>
  <c r="Q394" i="2"/>
  <c r="Q395" i="2"/>
  <c r="T395" i="2" s="1"/>
  <c r="Q602" i="2"/>
  <c r="T602" i="2" s="1"/>
  <c r="T604" i="2"/>
  <c r="Q601" i="2"/>
  <c r="P283" i="2"/>
  <c r="L288" i="2"/>
  <c r="O288" i="2" s="1"/>
  <c r="O290" i="2"/>
  <c r="M362" i="2"/>
  <c r="P362" i="2" s="1"/>
  <c r="L214" i="2"/>
  <c r="O214" i="2" s="1"/>
  <c r="K220" i="2"/>
  <c r="I213" i="2"/>
  <c r="K213" i="2" s="1"/>
  <c r="O267" i="2"/>
  <c r="L269" i="2"/>
  <c r="O269" i="2" s="1"/>
  <c r="O271" i="2"/>
  <c r="T271" i="2"/>
  <c r="J332" i="2"/>
  <c r="L419" i="2"/>
  <c r="O419" i="2" s="1"/>
  <c r="O421" i="2"/>
  <c r="O514" i="2"/>
  <c r="M540" i="2"/>
  <c r="P540" i="2" s="1"/>
  <c r="P542" i="2"/>
  <c r="M536" i="2"/>
  <c r="P600" i="2"/>
  <c r="M268" i="2"/>
  <c r="P271" i="2"/>
  <c r="M272" i="2"/>
  <c r="P272" i="2" s="1"/>
  <c r="R306" i="2"/>
  <c r="U306" i="2" s="1"/>
  <c r="U308" i="2"/>
  <c r="T334" i="2"/>
  <c r="Q333" i="2"/>
  <c r="T333" i="2" s="1"/>
  <c r="N359" i="2"/>
  <c r="P359" i="2" s="1"/>
  <c r="O361" i="2"/>
  <c r="L416" i="2"/>
  <c r="O416" i="2" s="1"/>
  <c r="O418" i="2"/>
  <c r="U304" i="2"/>
  <c r="I319" i="2"/>
  <c r="K319" i="2" s="1"/>
  <c r="K330" i="2"/>
  <c r="N339" i="2"/>
  <c r="N335" i="2"/>
  <c r="N333" i="2" s="1"/>
  <c r="U393" i="2"/>
  <c r="R266" i="2"/>
  <c r="U266" i="2" s="1"/>
  <c r="U283" i="2"/>
  <c r="R282" i="2"/>
  <c r="U282" i="2" s="1"/>
  <c r="O304" i="2"/>
  <c r="R305" i="2"/>
  <c r="L306" i="2"/>
  <c r="O308" i="2"/>
  <c r="L309" i="2"/>
  <c r="O309" i="2" s="1"/>
  <c r="O311" i="2"/>
  <c r="M326" i="2"/>
  <c r="P326" i="2" s="1"/>
  <c r="P328" i="2"/>
  <c r="M322" i="2"/>
  <c r="I332" i="2"/>
  <c r="J374" i="2"/>
  <c r="K386" i="2"/>
  <c r="O393" i="2"/>
  <c r="L392" i="2"/>
  <c r="O392" i="2" s="1"/>
  <c r="U414" i="2"/>
  <c r="O501" i="2"/>
  <c r="L499" i="2"/>
  <c r="O499" i="2" s="1"/>
  <c r="O617" i="2"/>
  <c r="L616" i="2"/>
  <c r="O616" i="2" s="1"/>
  <c r="O498" i="2"/>
  <c r="L495" i="2"/>
  <c r="L496" i="2"/>
  <c r="O496" i="2" s="1"/>
  <c r="J457" i="2"/>
  <c r="J456" i="2" s="1"/>
  <c r="K456" i="2" s="1"/>
  <c r="P514" i="2"/>
  <c r="N515" i="2"/>
  <c r="N513" i="2" s="1"/>
  <c r="L519" i="2"/>
  <c r="O519" i="2" s="1"/>
  <c r="O521" i="2"/>
  <c r="L515" i="2"/>
  <c r="O515" i="2" s="1"/>
  <c r="Q534" i="2"/>
  <c r="T534" i="2" s="1"/>
  <c r="L558" i="2"/>
  <c r="O558" i="2" s="1"/>
  <c r="O560" i="2"/>
  <c r="N582" i="2"/>
  <c r="L582" i="2"/>
  <c r="O582" i="2" s="1"/>
  <c r="O584" i="2"/>
  <c r="L578" i="2"/>
  <c r="T621" i="2"/>
  <c r="Q618" i="2"/>
  <c r="Q619" i="2"/>
  <c r="T619" i="2" s="1"/>
  <c r="M642" i="2"/>
  <c r="P642" i="2" s="1"/>
  <c r="P644" i="2"/>
  <c r="K689" i="2"/>
  <c r="P521" i="2"/>
  <c r="M515" i="2"/>
  <c r="P515" i="2" s="1"/>
  <c r="M558" i="2"/>
  <c r="P558" i="2" s="1"/>
  <c r="P560" i="2"/>
  <c r="T643" i="2"/>
  <c r="L760" i="2"/>
  <c r="O760" i="2" s="1"/>
  <c r="O762" i="2"/>
  <c r="K504" i="2"/>
  <c r="T556" i="2"/>
  <c r="Q555" i="2"/>
  <c r="T555" i="2" s="1"/>
  <c r="M690" i="2"/>
  <c r="P690" i="2" s="1"/>
  <c r="P692" i="2"/>
  <c r="O274" i="2"/>
  <c r="P287" i="2"/>
  <c r="P308" i="2"/>
  <c r="P311" i="2"/>
  <c r="N322" i="2"/>
  <c r="N320" i="2" s="1"/>
  <c r="O338" i="2"/>
  <c r="L358" i="2"/>
  <c r="O364" i="2"/>
  <c r="T380" i="2"/>
  <c r="P418" i="2"/>
  <c r="R495" i="2"/>
  <c r="U556" i="2"/>
  <c r="R555" i="2"/>
  <c r="U555" i="2" s="1"/>
  <c r="T691" i="2"/>
  <c r="Q714" i="2"/>
  <c r="T714" i="2" s="1"/>
  <c r="T716" i="2"/>
  <c r="Q728" i="2"/>
  <c r="T730" i="2"/>
  <c r="M419" i="2"/>
  <c r="P419" i="2" s="1"/>
  <c r="N540" i="2"/>
  <c r="L540" i="2"/>
  <c r="O540" i="2" s="1"/>
  <c r="O542" i="2"/>
  <c r="L536" i="2"/>
  <c r="O556" i="2"/>
  <c r="Q605" i="2"/>
  <c r="T605" i="2" s="1"/>
  <c r="T607" i="2"/>
  <c r="U617" i="2"/>
  <c r="K707" i="2"/>
  <c r="K626" i="2"/>
  <c r="K630" i="2"/>
  <c r="R730" i="2"/>
  <c r="S762" i="2"/>
  <c r="S760" i="2" s="1"/>
  <c r="M578" i="2"/>
  <c r="P584" i="2"/>
  <c r="P618" i="2"/>
  <c r="O644" i="2"/>
  <c r="O692" i="2"/>
  <c r="S416" i="1"/>
  <c r="R618" i="1"/>
  <c r="S123" i="1"/>
  <c r="R334" i="1"/>
  <c r="U334" i="1" s="1"/>
  <c r="R622" i="1"/>
  <c r="U622" i="1" s="1"/>
  <c r="R232" i="1"/>
  <c r="Q692" i="1"/>
  <c r="S267" i="1"/>
  <c r="S222" i="1"/>
  <c r="S323" i="1"/>
  <c r="Q203" i="1"/>
  <c r="L696" i="1"/>
  <c r="O696" i="1" s="1"/>
  <c r="Q214" i="1"/>
  <c r="R214" i="1"/>
  <c r="I374" i="1"/>
  <c r="K374" i="1" s="1"/>
  <c r="L693" i="1"/>
  <c r="O693" i="1" s="1"/>
  <c r="L494" i="1"/>
  <c r="O494" i="1" s="1"/>
  <c r="L495" i="1"/>
  <c r="S304" i="1"/>
  <c r="R73" i="1"/>
  <c r="U73" i="1" s="1"/>
  <c r="O52" i="1"/>
  <c r="Q158" i="1"/>
  <c r="T158" i="1" s="1"/>
  <c r="K778" i="1"/>
  <c r="K781" i="1"/>
  <c r="K784" i="1"/>
  <c r="S46" i="1"/>
  <c r="S44" i="1" s="1"/>
  <c r="N78" i="1"/>
  <c r="S62" i="1"/>
  <c r="R179" i="1"/>
  <c r="U179" i="1" s="1"/>
  <c r="R100" i="1"/>
  <c r="U100" i="1" s="1"/>
  <c r="T765" i="1"/>
  <c r="N416" i="1"/>
  <c r="U52" i="1"/>
  <c r="U180" i="1"/>
  <c r="T125" i="1"/>
  <c r="R766" i="1"/>
  <c r="U766" i="1" s="1"/>
  <c r="S393" i="1"/>
  <c r="L577" i="1"/>
  <c r="O577" i="1" s="1"/>
  <c r="L578" i="1"/>
  <c r="M582" i="1"/>
  <c r="P582" i="1" s="1"/>
  <c r="N762" i="1"/>
  <c r="L203" i="1"/>
  <c r="R222" i="1"/>
  <c r="N175" i="1"/>
  <c r="K295" i="1"/>
  <c r="S495" i="1"/>
  <c r="R306" i="1"/>
  <c r="J332" i="1"/>
  <c r="R619" i="1"/>
  <c r="R716" i="1"/>
  <c r="U716" i="1" s="1"/>
  <c r="M762" i="1"/>
  <c r="P762" i="1" s="1"/>
  <c r="K109" i="1"/>
  <c r="N309" i="1"/>
  <c r="M556" i="1"/>
  <c r="P556" i="1" s="1"/>
  <c r="Q123" i="1"/>
  <c r="Q305" i="1"/>
  <c r="N556" i="1"/>
  <c r="P162" i="1"/>
  <c r="M188" i="1"/>
  <c r="N339" i="1"/>
  <c r="L617" i="1"/>
  <c r="O617" i="1" s="1"/>
  <c r="S643" i="1"/>
  <c r="K746" i="1"/>
  <c r="Q761" i="1"/>
  <c r="T761" i="1" s="1"/>
  <c r="N766" i="1"/>
  <c r="L96" i="1"/>
  <c r="O191" i="1"/>
  <c r="N187" i="1"/>
  <c r="J199" i="1"/>
  <c r="R305" i="1"/>
  <c r="J467" i="1"/>
  <c r="K782" i="1"/>
  <c r="K785" i="1"/>
  <c r="L73" i="1"/>
  <c r="O73" i="1" s="1"/>
  <c r="M46" i="1"/>
  <c r="M44" i="1" s="1"/>
  <c r="O396" i="1"/>
  <c r="L46" i="1"/>
  <c r="L44" i="1" s="1"/>
  <c r="K114" i="1"/>
  <c r="K137" i="1"/>
  <c r="S357" i="1"/>
  <c r="Q535" i="1"/>
  <c r="T535" i="1" s="1"/>
  <c r="M561" i="1"/>
  <c r="L619" i="1"/>
  <c r="O619" i="1" s="1"/>
  <c r="Q716" i="1"/>
  <c r="T716" i="1" s="1"/>
  <c r="K265" i="1"/>
  <c r="K344" i="1"/>
  <c r="L393" i="1"/>
  <c r="O393" i="1" s="1"/>
  <c r="N494" i="1"/>
  <c r="Q643" i="1"/>
  <c r="T643" i="1" s="1"/>
  <c r="Q644" i="1"/>
  <c r="K653" i="1"/>
  <c r="K740" i="1"/>
  <c r="N377" i="1"/>
  <c r="K87" i="1"/>
  <c r="N97" i="1"/>
  <c r="P99" i="1"/>
  <c r="U122" i="1"/>
  <c r="M174" i="1"/>
  <c r="P174" i="1" s="1"/>
  <c r="L272" i="1"/>
  <c r="O272" i="1" s="1"/>
  <c r="K330" i="1"/>
  <c r="N335" i="1"/>
  <c r="Q393" i="1"/>
  <c r="T393" i="1" s="1"/>
  <c r="U498" i="1"/>
  <c r="L618" i="1"/>
  <c r="O618" i="1" s="1"/>
  <c r="S269" i="1"/>
  <c r="P340" i="1"/>
  <c r="J433" i="1"/>
  <c r="K433" i="1" s="1"/>
  <c r="J460" i="1"/>
  <c r="O498" i="1"/>
  <c r="M515" i="1"/>
  <c r="P515" i="1" s="1"/>
  <c r="K679" i="1"/>
  <c r="I701" i="1"/>
  <c r="M715" i="1"/>
  <c r="P715" i="1" s="1"/>
  <c r="O79" i="1"/>
  <c r="T190" i="1"/>
  <c r="N268" i="1"/>
  <c r="M272" i="1"/>
  <c r="P272" i="1" s="1"/>
  <c r="L309" i="1"/>
  <c r="O309" i="1" s="1"/>
  <c r="I319" i="1"/>
  <c r="K319" i="1" s="1"/>
  <c r="Q339" i="1"/>
  <c r="T339" i="1" s="1"/>
  <c r="J351" i="1"/>
  <c r="S376" i="1"/>
  <c r="J485" i="1"/>
  <c r="R495" i="1"/>
  <c r="Q494" i="1"/>
  <c r="T494" i="1" s="1"/>
  <c r="N515" i="1"/>
  <c r="M519" i="1"/>
  <c r="P519" i="1" s="1"/>
  <c r="M536" i="1"/>
  <c r="P559" i="1"/>
  <c r="N558" i="1"/>
  <c r="S578" i="1"/>
  <c r="Q600" i="1"/>
  <c r="T600" i="1" s="1"/>
  <c r="Q601" i="1"/>
  <c r="T601" i="1" s="1"/>
  <c r="J727" i="1"/>
  <c r="K727" i="1" s="1"/>
  <c r="L761" i="1"/>
  <c r="O761" i="1" s="1"/>
  <c r="T764" i="1"/>
  <c r="U765" i="1"/>
  <c r="N60" i="1"/>
  <c r="S73" i="1"/>
  <c r="J83" i="1"/>
  <c r="J71" i="1" s="1"/>
  <c r="K88" i="1"/>
  <c r="R95" i="1"/>
  <c r="U95" i="1" s="1"/>
  <c r="R97" i="1"/>
  <c r="Q142" i="1"/>
  <c r="T144" i="1"/>
  <c r="N158" i="1"/>
  <c r="R203" i="1"/>
  <c r="N272" i="1"/>
  <c r="T498" i="1"/>
  <c r="Q514" i="1"/>
  <c r="T514" i="1" s="1"/>
  <c r="P518" i="1"/>
  <c r="N519" i="1"/>
  <c r="Q602" i="1"/>
  <c r="T602" i="1" s="1"/>
  <c r="J674" i="1"/>
  <c r="K674" i="1" s="1"/>
  <c r="J682" i="1"/>
  <c r="K682" i="1" s="1"/>
  <c r="L729" i="1"/>
  <c r="O733" i="1"/>
  <c r="N729" i="1"/>
  <c r="N730" i="1"/>
  <c r="Q187" i="1"/>
  <c r="T187" i="1" s="1"/>
  <c r="M222" i="1"/>
  <c r="S362" i="1"/>
  <c r="P194" i="1"/>
  <c r="K89" i="1"/>
  <c r="S96" i="1"/>
  <c r="N119" i="1"/>
  <c r="L174" i="1"/>
  <c r="O174" i="1" s="1"/>
  <c r="S175" i="1"/>
  <c r="S268" i="1"/>
  <c r="L339" i="1"/>
  <c r="O339" i="1" s="1"/>
  <c r="K369" i="1"/>
  <c r="J374" i="1"/>
  <c r="Q496" i="1"/>
  <c r="S496" i="1"/>
  <c r="S556" i="1"/>
  <c r="O581" i="1"/>
  <c r="O604" i="1"/>
  <c r="U623" i="1"/>
  <c r="K681" i="1"/>
  <c r="Q730" i="1"/>
  <c r="Q729" i="1"/>
  <c r="T729" i="1" s="1"/>
  <c r="R362" i="1"/>
  <c r="U362" i="1" s="1"/>
  <c r="N123" i="1"/>
  <c r="Q175" i="1"/>
  <c r="T175" i="1" s="1"/>
  <c r="N179" i="1"/>
  <c r="K209" i="1"/>
  <c r="M304" i="1"/>
  <c r="P304" i="1" s="1"/>
  <c r="L321" i="1"/>
  <c r="O321" i="1" s="1"/>
  <c r="M378" i="1"/>
  <c r="M393" i="1"/>
  <c r="P393" i="1" s="1"/>
  <c r="N394" i="1"/>
  <c r="J447" i="1"/>
  <c r="J441" i="1" s="1"/>
  <c r="K441" i="1" s="1"/>
  <c r="L556" i="1"/>
  <c r="O556" i="1" s="1"/>
  <c r="N577" i="1"/>
  <c r="N648" i="1"/>
  <c r="N690" i="1"/>
  <c r="S691" i="1"/>
  <c r="N716" i="1"/>
  <c r="L60" i="1"/>
  <c r="O60" i="1" s="1"/>
  <c r="R46" i="1"/>
  <c r="U46" i="1" s="1"/>
  <c r="S60" i="1"/>
  <c r="P67" i="1"/>
  <c r="M97" i="1"/>
  <c r="K151" i="1"/>
  <c r="L159" i="1"/>
  <c r="L176" i="1"/>
  <c r="U191" i="1"/>
  <c r="N192" i="1"/>
  <c r="K238" i="1"/>
  <c r="Q284" i="1"/>
  <c r="T284" i="1" s="1"/>
  <c r="N304" i="1"/>
  <c r="S305" i="1"/>
  <c r="N321" i="1"/>
  <c r="M321" i="1"/>
  <c r="N357" i="1"/>
  <c r="P379" i="1"/>
  <c r="Q398" i="1"/>
  <c r="T398" i="1" s="1"/>
  <c r="M416" i="1"/>
  <c r="N415" i="1"/>
  <c r="N414" i="1"/>
  <c r="J446" i="1"/>
  <c r="J440" i="1" s="1"/>
  <c r="J423" i="1" s="1"/>
  <c r="J412" i="1" s="1"/>
  <c r="K412" i="1" s="1"/>
  <c r="J477" i="1"/>
  <c r="M514" i="1"/>
  <c r="P514" i="1" s="1"/>
  <c r="S516" i="1"/>
  <c r="S519" i="1"/>
  <c r="R535" i="1"/>
  <c r="U535" i="1" s="1"/>
  <c r="L540" i="1"/>
  <c r="O540" i="1" s="1"/>
  <c r="R558" i="1"/>
  <c r="U558" i="1" s="1"/>
  <c r="K673" i="1"/>
  <c r="K700" i="1"/>
  <c r="J702" i="1"/>
  <c r="M766" i="1"/>
  <c r="P766" i="1" s="1"/>
  <c r="N232" i="1"/>
  <c r="P273" i="1"/>
  <c r="R309" i="1"/>
  <c r="U309" i="1" s="1"/>
  <c r="S321" i="1"/>
  <c r="S395" i="1"/>
  <c r="P520" i="1"/>
  <c r="R643" i="1"/>
  <c r="U643" i="1" s="1"/>
  <c r="K742" i="1"/>
  <c r="Q766" i="1"/>
  <c r="T766" i="1" s="1"/>
  <c r="M214" i="1"/>
  <c r="T49" i="1"/>
  <c r="N140" i="1"/>
  <c r="R160" i="1"/>
  <c r="U160" i="1" s="1"/>
  <c r="M60" i="1"/>
  <c r="P60" i="1" s="1"/>
  <c r="S78" i="1"/>
  <c r="I82" i="1"/>
  <c r="I70" i="1" s="1"/>
  <c r="M96" i="1"/>
  <c r="K116" i="1"/>
  <c r="K129" i="1"/>
  <c r="S141" i="1"/>
  <c r="I156" i="1"/>
  <c r="K156" i="1" s="1"/>
  <c r="S158" i="1"/>
  <c r="S179" i="1"/>
  <c r="Q192" i="1"/>
  <c r="T192" i="1" s="1"/>
  <c r="S192" i="1"/>
  <c r="M267" i="1"/>
  <c r="P267" i="1" s="1"/>
  <c r="S309" i="1"/>
  <c r="M359" i="1"/>
  <c r="N362" i="1"/>
  <c r="R377" i="1"/>
  <c r="Q376" i="1"/>
  <c r="Q375" i="1" s="1"/>
  <c r="K386" i="1"/>
  <c r="N495" i="1"/>
  <c r="Q536" i="1"/>
  <c r="T536" i="1" s="1"/>
  <c r="U559" i="1"/>
  <c r="S557" i="1"/>
  <c r="S579" i="1"/>
  <c r="S600" i="1"/>
  <c r="M617" i="1"/>
  <c r="P617" i="1" s="1"/>
  <c r="J661" i="1"/>
  <c r="K661" i="1" s="1"/>
  <c r="K705" i="1"/>
  <c r="J726" i="1"/>
  <c r="K726" i="1" s="1"/>
  <c r="K755" i="1"/>
  <c r="K780" i="1"/>
  <c r="K783" i="1"/>
  <c r="R381" i="1"/>
  <c r="U381" i="1" s="1"/>
  <c r="N118" i="1"/>
  <c r="M141" i="1"/>
  <c r="R159" i="1"/>
  <c r="U159" i="1" s="1"/>
  <c r="U49" i="1"/>
  <c r="T52" i="1"/>
  <c r="M62" i="1"/>
  <c r="N65" i="1"/>
  <c r="L78" i="1"/>
  <c r="O78" i="1" s="1"/>
  <c r="Q118" i="1"/>
  <c r="T118" i="1" s="1"/>
  <c r="R118" i="1"/>
  <c r="U118" i="1" s="1"/>
  <c r="M123" i="1"/>
  <c r="P123" i="1" s="1"/>
  <c r="N188" i="1"/>
  <c r="O287" i="1"/>
  <c r="N305" i="1"/>
  <c r="I332" i="1"/>
  <c r="P338" i="1"/>
  <c r="R339" i="1"/>
  <c r="U339" i="1" s="1"/>
  <c r="K346" i="1"/>
  <c r="S358" i="1"/>
  <c r="K368" i="1"/>
  <c r="L376" i="1"/>
  <c r="O376" i="1" s="1"/>
  <c r="N395" i="1"/>
  <c r="M395" i="1"/>
  <c r="P395" i="1" s="1"/>
  <c r="L414" i="1"/>
  <c r="O414" i="1" s="1"/>
  <c r="J424" i="1"/>
  <c r="K424" i="1" s="1"/>
  <c r="M495" i="1"/>
  <c r="P495" i="1" s="1"/>
  <c r="R536" i="1"/>
  <c r="U536" i="1" s="1"/>
  <c r="Q556" i="1"/>
  <c r="T556" i="1" s="1"/>
  <c r="N605" i="1"/>
  <c r="K627" i="1"/>
  <c r="M644" i="1"/>
  <c r="P644" i="1" s="1"/>
  <c r="M691" i="1"/>
  <c r="P691" i="1" s="1"/>
  <c r="M729" i="1"/>
  <c r="P729" i="1" s="1"/>
  <c r="K744" i="1"/>
  <c r="K749" i="1"/>
  <c r="R762" i="1"/>
  <c r="R763" i="1"/>
  <c r="S23" i="1"/>
  <c r="P125" i="1"/>
  <c r="M119" i="1"/>
  <c r="P119" i="1" s="1"/>
  <c r="T360" i="1"/>
  <c r="Q357" i="1"/>
  <c r="T357" i="1" s="1"/>
  <c r="T580" i="1"/>
  <c r="Q577" i="1"/>
  <c r="T577" i="1" s="1"/>
  <c r="Q61" i="1"/>
  <c r="T61" i="1" s="1"/>
  <c r="R60" i="1"/>
  <c r="U60" i="1" s="1"/>
  <c r="R22" i="1"/>
  <c r="U22" i="1" s="1"/>
  <c r="U63" i="1"/>
  <c r="N73" i="1"/>
  <c r="N75" i="1"/>
  <c r="L23" i="1"/>
  <c r="M78" i="1"/>
  <c r="P78" i="1" s="1"/>
  <c r="T79" i="1"/>
  <c r="Q78" i="1"/>
  <c r="O98" i="1"/>
  <c r="L97" i="1"/>
  <c r="K113" i="1"/>
  <c r="O178" i="1"/>
  <c r="L175" i="1"/>
  <c r="K183" i="1"/>
  <c r="I172" i="1"/>
  <c r="K172" i="1" s="1"/>
  <c r="S189" i="1"/>
  <c r="S187" i="1"/>
  <c r="T191" i="1"/>
  <c r="Q188" i="1"/>
  <c r="K229" i="1"/>
  <c r="U274" i="1"/>
  <c r="R272" i="1"/>
  <c r="U272" i="1" s="1"/>
  <c r="M283" i="1"/>
  <c r="P283" i="1" s="1"/>
  <c r="O397" i="1"/>
  <c r="L394" i="1"/>
  <c r="O394" i="1" s="1"/>
  <c r="U621" i="1"/>
  <c r="S619" i="1"/>
  <c r="S618" i="1"/>
  <c r="M158" i="1"/>
  <c r="P158" i="1" s="1"/>
  <c r="T177" i="1"/>
  <c r="Q174" i="1"/>
  <c r="Q65" i="1"/>
  <c r="T65" i="1" s="1"/>
  <c r="K86" i="1"/>
  <c r="Q97" i="1"/>
  <c r="Q96" i="1"/>
  <c r="T99" i="1"/>
  <c r="Q141" i="1"/>
  <c r="T147" i="1"/>
  <c r="Q145" i="1"/>
  <c r="T145" i="1" s="1"/>
  <c r="Q176" i="1"/>
  <c r="T176" i="1" s="1"/>
  <c r="Q267" i="1"/>
  <c r="T267" i="1" s="1"/>
  <c r="T270" i="1"/>
  <c r="L284" i="1"/>
  <c r="O290" i="1"/>
  <c r="P76" i="1"/>
  <c r="M73" i="1"/>
  <c r="R269" i="1"/>
  <c r="R267" i="1"/>
  <c r="U270" i="1"/>
  <c r="R398" i="1"/>
  <c r="U398" i="1" s="1"/>
  <c r="U399" i="1"/>
  <c r="R393" i="1"/>
  <c r="N23" i="1"/>
  <c r="S47" i="1"/>
  <c r="P77" i="1"/>
  <c r="M74" i="1"/>
  <c r="N142" i="1"/>
  <c r="M145" i="1"/>
  <c r="P145" i="1" s="1"/>
  <c r="P146" i="1"/>
  <c r="S160" i="1"/>
  <c r="I169" i="1"/>
  <c r="K169" i="1" s="1"/>
  <c r="K168" i="1"/>
  <c r="P178" i="1"/>
  <c r="M175" i="1"/>
  <c r="O180" i="1"/>
  <c r="L179" i="1"/>
  <c r="O179" i="1" s="1"/>
  <c r="O270" i="1"/>
  <c r="L269" i="1"/>
  <c r="O308" i="1"/>
  <c r="L305" i="1"/>
  <c r="M232" i="1"/>
  <c r="R175" i="1"/>
  <c r="U175" i="1" s="1"/>
  <c r="U178" i="1"/>
  <c r="R176" i="1"/>
  <c r="U176" i="1" s="1"/>
  <c r="Q306" i="1"/>
  <c r="T307" i="1"/>
  <c r="Q304" i="1"/>
  <c r="T304" i="1" s="1"/>
  <c r="N322" i="1"/>
  <c r="N323" i="1"/>
  <c r="R496" i="1"/>
  <c r="R494" i="1"/>
  <c r="U494" i="1" s="1"/>
  <c r="S763" i="1"/>
  <c r="S761" i="1"/>
  <c r="S766" i="1"/>
  <c r="S762" i="1"/>
  <c r="R96" i="1"/>
  <c r="U99" i="1"/>
  <c r="L120" i="1"/>
  <c r="O120" i="1" s="1"/>
  <c r="O121" i="1"/>
  <c r="L118" i="1"/>
  <c r="O118" i="1" s="1"/>
  <c r="U121" i="1"/>
  <c r="N285" i="1"/>
  <c r="N283" i="1"/>
  <c r="T325" i="1"/>
  <c r="Q322" i="1"/>
  <c r="T322" i="1" s="1"/>
  <c r="P364" i="1"/>
  <c r="M358" i="1"/>
  <c r="M362" i="1"/>
  <c r="P362" i="1" s="1"/>
  <c r="Q95" i="1"/>
  <c r="T101" i="1"/>
  <c r="M26" i="1"/>
  <c r="P52" i="1"/>
  <c r="M50" i="1"/>
  <c r="P50" i="1" s="1"/>
  <c r="N74" i="1"/>
  <c r="J93" i="1"/>
  <c r="K93" i="1" s="1"/>
  <c r="Q100" i="1"/>
  <c r="T100" i="1" s="1"/>
  <c r="K108" i="1"/>
  <c r="I92" i="1"/>
  <c r="K92" i="1" s="1"/>
  <c r="L160" i="1"/>
  <c r="O161" i="1"/>
  <c r="T165" i="1"/>
  <c r="Q159" i="1"/>
  <c r="T159" i="1" s="1"/>
  <c r="M268" i="1"/>
  <c r="P271" i="1"/>
  <c r="U290" i="1"/>
  <c r="R284" i="1"/>
  <c r="U284" i="1" s="1"/>
  <c r="M306" i="1"/>
  <c r="M305" i="1"/>
  <c r="P308" i="1"/>
  <c r="N336" i="1"/>
  <c r="N334" i="1"/>
  <c r="S288" i="1"/>
  <c r="S283" i="1"/>
  <c r="P310" i="1"/>
  <c r="M309" i="1"/>
  <c r="P309" i="1" s="1"/>
  <c r="L322" i="1"/>
  <c r="M326" i="1"/>
  <c r="P326" i="1" s="1"/>
  <c r="P327" i="1"/>
  <c r="O768" i="1"/>
  <c r="L766" i="1"/>
  <c r="O766" i="1" s="1"/>
  <c r="K90" i="1"/>
  <c r="R123" i="1"/>
  <c r="P144" i="1"/>
  <c r="O196" i="1"/>
  <c r="R516" i="1"/>
  <c r="U516" i="1" s="1"/>
  <c r="R514" i="1"/>
  <c r="U517" i="1"/>
  <c r="U521" i="1"/>
  <c r="R519" i="1"/>
  <c r="U519" i="1" s="1"/>
  <c r="S537" i="1"/>
  <c r="S535" i="1"/>
  <c r="O647" i="1"/>
  <c r="L644" i="1"/>
  <c r="O644" i="1" s="1"/>
  <c r="L692" i="1"/>
  <c r="O692" i="1" s="1"/>
  <c r="O695" i="1"/>
  <c r="N720" i="1"/>
  <c r="N715" i="1"/>
  <c r="R731" i="1"/>
  <c r="R729" i="1"/>
  <c r="R728" i="1" s="1"/>
  <c r="L762" i="1"/>
  <c r="O762" i="1" s="1"/>
  <c r="M761" i="1"/>
  <c r="P761" i="1" s="1"/>
  <c r="P764" i="1"/>
  <c r="M763" i="1"/>
  <c r="P763" i="1" s="1"/>
  <c r="Q46" i="1"/>
  <c r="Q44" i="1" s="1"/>
  <c r="T44" i="1" s="1"/>
  <c r="S26" i="1"/>
  <c r="Q75" i="1"/>
  <c r="K85" i="1"/>
  <c r="N95" i="1"/>
  <c r="O99" i="1"/>
  <c r="M100" i="1"/>
  <c r="P100" i="1" s="1"/>
  <c r="N141" i="1"/>
  <c r="K154" i="1"/>
  <c r="S163" i="1"/>
  <c r="S176" i="1"/>
  <c r="R188" i="1"/>
  <c r="M187" i="1"/>
  <c r="P187" i="1" s="1"/>
  <c r="K228" i="1"/>
  <c r="N269" i="1"/>
  <c r="T271" i="1"/>
  <c r="Q272" i="1"/>
  <c r="T272" i="1" s="1"/>
  <c r="S336" i="1"/>
  <c r="S334" i="1"/>
  <c r="M335" i="1"/>
  <c r="P341" i="1"/>
  <c r="R515" i="1"/>
  <c r="U515" i="1" s="1"/>
  <c r="M619" i="1"/>
  <c r="P619" i="1" s="1"/>
  <c r="P621" i="1"/>
  <c r="M618" i="1"/>
  <c r="P618" i="1" s="1"/>
  <c r="M643" i="1"/>
  <c r="P643" i="1" s="1"/>
  <c r="P646" i="1"/>
  <c r="N734" i="1"/>
  <c r="K84" i="1"/>
  <c r="O64" i="1"/>
  <c r="O67" i="1"/>
  <c r="L100" i="1"/>
  <c r="O100" i="1" s="1"/>
  <c r="U125" i="1"/>
  <c r="K136" i="1"/>
  <c r="S142" i="1"/>
  <c r="K152" i="1"/>
  <c r="R158" i="1"/>
  <c r="U158" i="1" s="1"/>
  <c r="Q179" i="1"/>
  <c r="T179" i="1" s="1"/>
  <c r="L188" i="1"/>
  <c r="K219" i="1"/>
  <c r="M269" i="1"/>
  <c r="U271" i="1"/>
  <c r="S284" i="1"/>
  <c r="K292" i="1"/>
  <c r="K296" i="1"/>
  <c r="L306" i="1"/>
  <c r="N306" i="1"/>
  <c r="T308" i="1"/>
  <c r="M323" i="1"/>
  <c r="O325" i="1"/>
  <c r="Q334" i="1"/>
  <c r="T334" i="1" s="1"/>
  <c r="L334" i="1"/>
  <c r="O334" i="1" s="1"/>
  <c r="O337" i="1"/>
  <c r="U337" i="1"/>
  <c r="O380" i="1"/>
  <c r="L377" i="1"/>
  <c r="L378" i="1"/>
  <c r="R499" i="1"/>
  <c r="U499" i="1" s="1"/>
  <c r="U500" i="1"/>
  <c r="L514" i="1"/>
  <c r="O517" i="1"/>
  <c r="L516" i="1"/>
  <c r="O516" i="1" s="1"/>
  <c r="P538" i="1"/>
  <c r="M535" i="1"/>
  <c r="M537" i="1"/>
  <c r="P537" i="1" s="1"/>
  <c r="P560" i="1"/>
  <c r="M558" i="1"/>
  <c r="P558" i="1" s="1"/>
  <c r="M557" i="1"/>
  <c r="P581" i="1"/>
  <c r="M578" i="1"/>
  <c r="P578" i="1" s="1"/>
  <c r="L691" i="1"/>
  <c r="O691" i="1" s="1"/>
  <c r="Q140" i="1"/>
  <c r="M142" i="1"/>
  <c r="L140" i="1"/>
  <c r="O140" i="1" s="1"/>
  <c r="S145" i="1"/>
  <c r="N163" i="1"/>
  <c r="K167" i="1"/>
  <c r="R174" i="1"/>
  <c r="N176" i="1"/>
  <c r="K221" i="1"/>
  <c r="O271" i="1"/>
  <c r="K281" i="1"/>
  <c r="L304" i="1"/>
  <c r="R304" i="1"/>
  <c r="U308" i="1"/>
  <c r="R321" i="1"/>
  <c r="U321" i="1" s="1"/>
  <c r="R322" i="1"/>
  <c r="U322" i="1" s="1"/>
  <c r="P325" i="1"/>
  <c r="M334" i="1"/>
  <c r="P337" i="1"/>
  <c r="U397" i="1"/>
  <c r="R395" i="1"/>
  <c r="U395" i="1" s="1"/>
  <c r="R394" i="1"/>
  <c r="U394" i="1" s="1"/>
  <c r="M414" i="1"/>
  <c r="P414" i="1" s="1"/>
  <c r="P420" i="1"/>
  <c r="R578" i="1"/>
  <c r="U578" i="1" s="1"/>
  <c r="U584" i="1"/>
  <c r="U607" i="1"/>
  <c r="R601" i="1"/>
  <c r="U601" i="1" s="1"/>
  <c r="Q619" i="1"/>
  <c r="T620" i="1"/>
  <c r="Q617" i="1"/>
  <c r="T617" i="1" s="1"/>
  <c r="L717" i="1"/>
  <c r="O717" i="1" s="1"/>
  <c r="L715" i="1"/>
  <c r="O715" i="1" s="1"/>
  <c r="L716" i="1"/>
  <c r="O716" i="1" s="1"/>
  <c r="O719" i="1"/>
  <c r="S605" i="1"/>
  <c r="S648" i="1"/>
  <c r="Q362" i="1"/>
  <c r="T362" i="1" s="1"/>
  <c r="S394" i="1"/>
  <c r="T399" i="1"/>
  <c r="T497" i="1"/>
  <c r="L515" i="1"/>
  <c r="O515" i="1" s="1"/>
  <c r="M516" i="1"/>
  <c r="P516" i="1" s="1"/>
  <c r="N516" i="1"/>
  <c r="T517" i="1"/>
  <c r="L535" i="1"/>
  <c r="O535" i="1" s="1"/>
  <c r="N578" i="1"/>
  <c r="R582" i="1"/>
  <c r="U582" i="1" s="1"/>
  <c r="M601" i="1"/>
  <c r="P601" i="1" s="1"/>
  <c r="N602" i="1"/>
  <c r="T607" i="1"/>
  <c r="L622" i="1"/>
  <c r="O622" i="1" s="1"/>
  <c r="N693" i="1"/>
  <c r="R715" i="1"/>
  <c r="N717" i="1"/>
  <c r="R761" i="1"/>
  <c r="O764" i="1"/>
  <c r="U764" i="1"/>
  <c r="J343" i="1"/>
  <c r="R376" i="1"/>
  <c r="S381" i="1"/>
  <c r="N393" i="1"/>
  <c r="L398" i="1"/>
  <c r="O398" i="1" s="1"/>
  <c r="N398" i="1"/>
  <c r="O418" i="1"/>
  <c r="N419" i="1"/>
  <c r="J459" i="1"/>
  <c r="M540" i="1"/>
  <c r="K544" i="1"/>
  <c r="R577" i="1"/>
  <c r="L579" i="1"/>
  <c r="L582" i="1"/>
  <c r="O582" i="1" s="1"/>
  <c r="S582" i="1"/>
  <c r="R617" i="1"/>
  <c r="Q622" i="1"/>
  <c r="T622" i="1" s="1"/>
  <c r="M648" i="1"/>
  <c r="P648" i="1" s="1"/>
  <c r="R691" i="1"/>
  <c r="N696" i="1"/>
  <c r="K709" i="1"/>
  <c r="S720" i="1"/>
  <c r="K752" i="1"/>
  <c r="P768" i="1"/>
  <c r="K772" i="1"/>
  <c r="Q336" i="1"/>
  <c r="T336" i="1" s="1"/>
  <c r="U340" i="1"/>
  <c r="M357" i="1"/>
  <c r="U363" i="1"/>
  <c r="U380" i="1"/>
  <c r="M381" i="1"/>
  <c r="P381" i="1" s="1"/>
  <c r="M394" i="1"/>
  <c r="P394" i="1" s="1"/>
  <c r="T396" i="1"/>
  <c r="P397" i="1"/>
  <c r="M398" i="1"/>
  <c r="P398" i="1" s="1"/>
  <c r="J468" i="1"/>
  <c r="N499" i="1"/>
  <c r="K533" i="1"/>
  <c r="U580" i="1"/>
  <c r="T621" i="1"/>
  <c r="K689" i="1"/>
  <c r="K758" i="1"/>
  <c r="Q762" i="1"/>
  <c r="Q763" i="1"/>
  <c r="T767" i="1"/>
  <c r="O340" i="1"/>
  <c r="T364" i="1"/>
  <c r="T379" i="1"/>
  <c r="L419" i="1"/>
  <c r="O419" i="1" s="1"/>
  <c r="J425" i="1"/>
  <c r="K425" i="1" s="1"/>
  <c r="J432" i="1"/>
  <c r="K432" i="1" s="1"/>
  <c r="J484" i="1"/>
  <c r="S514" i="1"/>
  <c r="L519" i="1"/>
  <c r="O519" i="1" s="1"/>
  <c r="R537" i="1"/>
  <c r="U537" i="1" s="1"/>
  <c r="N579" i="1"/>
  <c r="Q618" i="1"/>
  <c r="J654" i="1"/>
  <c r="K654" i="1" s="1"/>
  <c r="K676" i="1"/>
  <c r="R696" i="1"/>
  <c r="U696" i="1" s="1"/>
  <c r="K707" i="1"/>
  <c r="R61" i="1"/>
  <c r="U61" i="1" s="1"/>
  <c r="S100" i="1"/>
  <c r="S25" i="1"/>
  <c r="K293" i="1"/>
  <c r="I280" i="1"/>
  <c r="K280" i="1" s="1"/>
  <c r="N26" i="1"/>
  <c r="P49" i="1"/>
  <c r="S120" i="1"/>
  <c r="S118" i="1"/>
  <c r="T122" i="1"/>
  <c r="Q23" i="1"/>
  <c r="Q120" i="1"/>
  <c r="Q119" i="1"/>
  <c r="R145" i="1"/>
  <c r="U145" i="1" s="1"/>
  <c r="U146" i="1"/>
  <c r="R163" i="1"/>
  <c r="U163" i="1" s="1"/>
  <c r="U164" i="1"/>
  <c r="M179" i="1"/>
  <c r="P179" i="1" s="1"/>
  <c r="P180" i="1"/>
  <c r="M25" i="1"/>
  <c r="R26" i="1"/>
  <c r="U67" i="1"/>
  <c r="I83" i="1"/>
  <c r="U45" i="1"/>
  <c r="N47" i="1"/>
  <c r="P47" i="1" s="1"/>
  <c r="O49" i="1"/>
  <c r="P121" i="1"/>
  <c r="M118" i="1"/>
  <c r="L192" i="1"/>
  <c r="O192" i="1" s="1"/>
  <c r="O193" i="1"/>
  <c r="U286" i="1"/>
  <c r="R285" i="1"/>
  <c r="U285" i="1" s="1"/>
  <c r="R283" i="1"/>
  <c r="P497" i="1"/>
  <c r="M496" i="1"/>
  <c r="P496" i="1" s="1"/>
  <c r="M494" i="1"/>
  <c r="P500" i="1"/>
  <c r="M499" i="1"/>
  <c r="P499" i="1" s="1"/>
  <c r="T501" i="1"/>
  <c r="Q499" i="1"/>
  <c r="T499" i="1" s="1"/>
  <c r="R78" i="1"/>
  <c r="U80" i="1"/>
  <c r="S95" i="1"/>
  <c r="L189" i="1"/>
  <c r="O190" i="1"/>
  <c r="R75" i="1"/>
  <c r="R23" i="1"/>
  <c r="U77" i="1"/>
  <c r="S97" i="1"/>
  <c r="S22" i="1"/>
  <c r="T361" i="1"/>
  <c r="Q358" i="1"/>
  <c r="T358" i="1" s="1"/>
  <c r="P64" i="1"/>
  <c r="M23" i="1"/>
  <c r="M61" i="1"/>
  <c r="L141" i="1"/>
  <c r="O144" i="1"/>
  <c r="L22" i="1"/>
  <c r="L25" i="1"/>
  <c r="O45" i="1"/>
  <c r="M22" i="1"/>
  <c r="R25" i="1"/>
  <c r="N46" i="1"/>
  <c r="N44" i="1" s="1"/>
  <c r="L95" i="1"/>
  <c r="M120" i="1"/>
  <c r="P120" i="1" s="1"/>
  <c r="L123" i="1"/>
  <c r="O123" i="1" s="1"/>
  <c r="L119" i="1"/>
  <c r="O119" i="1" s="1"/>
  <c r="O125" i="1"/>
  <c r="L187" i="1"/>
  <c r="L74" i="1"/>
  <c r="M95" i="1"/>
  <c r="N174" i="1"/>
  <c r="O289" i="1"/>
  <c r="L288" i="1"/>
  <c r="O288" i="1" s="1"/>
  <c r="T324" i="1"/>
  <c r="Q323" i="1"/>
  <c r="T323" i="1" s="1"/>
  <c r="T327" i="1"/>
  <c r="Q326" i="1"/>
  <c r="T326" i="1" s="1"/>
  <c r="R335" i="1"/>
  <c r="U335" i="1" s="1"/>
  <c r="U338" i="1"/>
  <c r="R359" i="1"/>
  <c r="U359" i="1" s="1"/>
  <c r="R357" i="1"/>
  <c r="U360" i="1"/>
  <c r="T418" i="1"/>
  <c r="Q415" i="1"/>
  <c r="S415" i="1"/>
  <c r="S419" i="1"/>
  <c r="T581" i="1"/>
  <c r="Q579" i="1"/>
  <c r="T579" i="1" s="1"/>
  <c r="Q578" i="1"/>
  <c r="N22" i="1"/>
  <c r="N25" i="1"/>
  <c r="L47" i="1"/>
  <c r="L62" i="1"/>
  <c r="R62" i="1"/>
  <c r="U62" i="1" s="1"/>
  <c r="M65" i="1"/>
  <c r="M140" i="1"/>
  <c r="R141" i="1"/>
  <c r="U141" i="1" s="1"/>
  <c r="K150" i="1"/>
  <c r="K153" i="1"/>
  <c r="I138" i="1"/>
  <c r="K138" i="1" s="1"/>
  <c r="S159" i="1"/>
  <c r="Q160" i="1"/>
  <c r="T160" i="1" s="1"/>
  <c r="T161" i="1"/>
  <c r="O162" i="1"/>
  <c r="N160" i="1"/>
  <c r="M163" i="1"/>
  <c r="P163" i="1" s="1"/>
  <c r="K220" i="1"/>
  <c r="I213" i="1"/>
  <c r="K213" i="1" s="1"/>
  <c r="K276" i="1"/>
  <c r="O286" i="1"/>
  <c r="L285" i="1"/>
  <c r="L359" i="1"/>
  <c r="O360" i="1"/>
  <c r="L357" i="1"/>
  <c r="S378" i="1"/>
  <c r="T380" i="1"/>
  <c r="S377" i="1"/>
  <c r="R416" i="1"/>
  <c r="U417" i="1"/>
  <c r="U418" i="1"/>
  <c r="R415" i="1"/>
  <c r="N537" i="1"/>
  <c r="N536" i="1"/>
  <c r="S65" i="1"/>
  <c r="S140" i="1"/>
  <c r="Q26" i="1"/>
  <c r="R142" i="1"/>
  <c r="U142" i="1" s="1"/>
  <c r="U143" i="1"/>
  <c r="M176" i="1"/>
  <c r="P177" i="1"/>
  <c r="P191" i="1"/>
  <c r="N189" i="1"/>
  <c r="K202" i="1"/>
  <c r="L283" i="1"/>
  <c r="P287" i="1"/>
  <c r="L335" i="1"/>
  <c r="O338" i="1"/>
  <c r="N378" i="1"/>
  <c r="N376" i="1"/>
  <c r="K388" i="1"/>
  <c r="O560" i="1"/>
  <c r="L557" i="1"/>
  <c r="N561" i="1"/>
  <c r="N557" i="1"/>
  <c r="N619" i="1"/>
  <c r="N617" i="1"/>
  <c r="N62" i="1"/>
  <c r="S74" i="1"/>
  <c r="S75" i="1"/>
  <c r="P190" i="1"/>
  <c r="M189" i="1"/>
  <c r="L61" i="1"/>
  <c r="S61" i="1"/>
  <c r="P98" i="1"/>
  <c r="R119" i="1"/>
  <c r="L26" i="1"/>
  <c r="Q62" i="1"/>
  <c r="T62" i="1" s="1"/>
  <c r="R65" i="1"/>
  <c r="U65" i="1" s="1"/>
  <c r="O77" i="1"/>
  <c r="O80" i="1"/>
  <c r="J82" i="1"/>
  <c r="N96" i="1"/>
  <c r="K127" i="1"/>
  <c r="L142" i="1"/>
  <c r="O143" i="1"/>
  <c r="M159" i="1"/>
  <c r="O164" i="1"/>
  <c r="R189" i="1"/>
  <c r="U190" i="1"/>
  <c r="R192" i="1"/>
  <c r="U192" i="1" s="1"/>
  <c r="U193" i="1"/>
  <c r="I185" i="1"/>
  <c r="K185" i="1" s="1"/>
  <c r="K230" i="1"/>
  <c r="Q288" i="1"/>
  <c r="T288" i="1" s="1"/>
  <c r="T289" i="1"/>
  <c r="Q309" i="1"/>
  <c r="T309" i="1" s="1"/>
  <c r="T341" i="1"/>
  <c r="Q335" i="1"/>
  <c r="T335" i="1" s="1"/>
  <c r="Q381" i="1"/>
  <c r="T381" i="1" s="1"/>
  <c r="T382" i="1"/>
  <c r="I484" i="1"/>
  <c r="K484" i="1" s="1"/>
  <c r="J475" i="1"/>
  <c r="K631" i="1"/>
  <c r="K629" i="1"/>
  <c r="I615" i="1"/>
  <c r="K630" i="1"/>
  <c r="L145" i="1"/>
  <c r="O145" i="1" s="1"/>
  <c r="O146" i="1"/>
  <c r="P193" i="1"/>
  <c r="M192" i="1"/>
  <c r="P192" i="1" s="1"/>
  <c r="Q73" i="1"/>
  <c r="P101" i="1"/>
  <c r="L65" i="1"/>
  <c r="L75" i="1"/>
  <c r="Q22" i="1"/>
  <c r="Q25" i="1"/>
  <c r="Q60" i="1"/>
  <c r="T77" i="1"/>
  <c r="T80" i="1"/>
  <c r="R120" i="1"/>
  <c r="M160" i="1"/>
  <c r="U161" i="1"/>
  <c r="Q163" i="1"/>
  <c r="T163" i="1" s="1"/>
  <c r="T164" i="1"/>
  <c r="K198" i="1"/>
  <c r="I195" i="1"/>
  <c r="K195" i="1" s="1"/>
  <c r="N267" i="1"/>
  <c r="Q268" i="1"/>
  <c r="Q269" i="1"/>
  <c r="N284" i="1"/>
  <c r="Q285" i="1"/>
  <c r="T285" i="1" s="1"/>
  <c r="T286" i="1"/>
  <c r="U289" i="1"/>
  <c r="R288" i="1"/>
  <c r="U288" i="1" s="1"/>
  <c r="K314" i="1"/>
  <c r="I302" i="1"/>
  <c r="K302" i="1" s="1"/>
  <c r="N359" i="1"/>
  <c r="N358" i="1"/>
  <c r="Q394" i="1"/>
  <c r="T394" i="1" s="1"/>
  <c r="J476" i="1"/>
  <c r="R378" i="1"/>
  <c r="L381" i="1"/>
  <c r="O381" i="1" s="1"/>
  <c r="Q557" i="1"/>
  <c r="T557" i="1" s="1"/>
  <c r="R561" i="1"/>
  <c r="U561" i="1" s="1"/>
  <c r="U562" i="1"/>
  <c r="M577" i="1"/>
  <c r="T584" i="1"/>
  <c r="Q582" i="1"/>
  <c r="T582" i="1" s="1"/>
  <c r="O606" i="1"/>
  <c r="L605" i="1"/>
  <c r="O605" i="1" s="1"/>
  <c r="N644" i="1"/>
  <c r="N645" i="1"/>
  <c r="M285" i="1"/>
  <c r="M288" i="1"/>
  <c r="P288" i="1" s="1"/>
  <c r="L323" i="1"/>
  <c r="R323" i="1"/>
  <c r="U323" i="1" s="1"/>
  <c r="L326" i="1"/>
  <c r="O326" i="1" s="1"/>
  <c r="R326" i="1"/>
  <c r="U326" i="1" s="1"/>
  <c r="L336" i="1"/>
  <c r="R336" i="1"/>
  <c r="U336" i="1" s="1"/>
  <c r="O361" i="1"/>
  <c r="L362" i="1"/>
  <c r="O362" i="1" s="1"/>
  <c r="P380" i="1"/>
  <c r="N381" i="1"/>
  <c r="S515" i="1"/>
  <c r="L561" i="1"/>
  <c r="O562" i="1"/>
  <c r="R644" i="1"/>
  <c r="T735" i="1"/>
  <c r="Q734" i="1"/>
  <c r="T734" i="1" s="1"/>
  <c r="N763" i="1"/>
  <c r="N761" i="1"/>
  <c r="R358" i="1"/>
  <c r="U358" i="1" s="1"/>
  <c r="P361" i="1"/>
  <c r="M377" i="1"/>
  <c r="S494" i="1"/>
  <c r="L496" i="1"/>
  <c r="O497" i="1"/>
  <c r="Q495" i="1"/>
  <c r="K492" i="1"/>
  <c r="N514" i="1"/>
  <c r="Q515" i="1"/>
  <c r="T515" i="1" s="1"/>
  <c r="R556" i="1"/>
  <c r="M579" i="1"/>
  <c r="P579" i="1" s="1"/>
  <c r="T694" i="1"/>
  <c r="Q693" i="1"/>
  <c r="Q691" i="1"/>
  <c r="T718" i="1"/>
  <c r="Q717" i="1"/>
  <c r="T717" i="1" s="1"/>
  <c r="Q715" i="1"/>
  <c r="I365" i="1"/>
  <c r="K365" i="1" s="1"/>
  <c r="K371" i="1"/>
  <c r="Q395" i="1"/>
  <c r="T395" i="1" s="1"/>
  <c r="L416" i="1"/>
  <c r="O417" i="1"/>
  <c r="U649" i="1"/>
  <c r="R648" i="1"/>
  <c r="U648" i="1" s="1"/>
  <c r="O420" i="1"/>
  <c r="N496" i="1"/>
  <c r="U497" i="1"/>
  <c r="O500" i="1"/>
  <c r="Q519" i="1"/>
  <c r="T519" i="1" s="1"/>
  <c r="L536" i="1"/>
  <c r="L537" i="1"/>
  <c r="O537" i="1" s="1"/>
  <c r="O541" i="1"/>
  <c r="O542" i="1"/>
  <c r="R557" i="1"/>
  <c r="U557" i="1" s="1"/>
  <c r="O580" i="1"/>
  <c r="L601" i="1"/>
  <c r="O601" i="1" s="1"/>
  <c r="R602" i="1"/>
  <c r="U602" i="1" s="1"/>
  <c r="R600" i="1"/>
  <c r="U603" i="1"/>
  <c r="Q645" i="1"/>
  <c r="T646" i="1"/>
  <c r="M692" i="1"/>
  <c r="P692" i="1" s="1"/>
  <c r="U733" i="1"/>
  <c r="T733" i="1"/>
  <c r="S730" i="1"/>
  <c r="S728" i="1" s="1"/>
  <c r="Q516" i="1"/>
  <c r="T516" i="1" s="1"/>
  <c r="P542" i="1"/>
  <c r="L602" i="1"/>
  <c r="L600" i="1"/>
  <c r="U695" i="1"/>
  <c r="T695" i="1"/>
  <c r="P733" i="1"/>
  <c r="M730" i="1"/>
  <c r="P730" i="1" s="1"/>
  <c r="Q359" i="1"/>
  <c r="T359" i="1" s="1"/>
  <c r="L415" i="1"/>
  <c r="P418" i="1"/>
  <c r="M419" i="1"/>
  <c r="P419" i="1" s="1"/>
  <c r="T420" i="1"/>
  <c r="Q419" i="1"/>
  <c r="T419" i="1" s="1"/>
  <c r="L558" i="1"/>
  <c r="O558" i="1" s="1"/>
  <c r="O563" i="1"/>
  <c r="M600" i="1"/>
  <c r="P603" i="1"/>
  <c r="M602" i="1"/>
  <c r="P602" i="1" s="1"/>
  <c r="S617" i="1"/>
  <c r="O646" i="1"/>
  <c r="L645" i="1"/>
  <c r="O645" i="1" s="1"/>
  <c r="L643" i="1"/>
  <c r="S645" i="1"/>
  <c r="T647" i="1"/>
  <c r="S644" i="1"/>
  <c r="K678" i="1"/>
  <c r="J675" i="1"/>
  <c r="K675" i="1" s="1"/>
  <c r="M415" i="1"/>
  <c r="T417" i="1"/>
  <c r="Q416" i="1"/>
  <c r="R419" i="1"/>
  <c r="U419" i="1" s="1"/>
  <c r="R540" i="1"/>
  <c r="U540" i="1" s="1"/>
  <c r="P563" i="1"/>
  <c r="Q605" i="1"/>
  <c r="T605" i="1" s="1"/>
  <c r="T606" i="1"/>
  <c r="U606" i="1"/>
  <c r="R605" i="1"/>
  <c r="U605" i="1" s="1"/>
  <c r="K628" i="1"/>
  <c r="J632" i="1"/>
  <c r="J626" i="1" s="1"/>
  <c r="J615" i="1" s="1"/>
  <c r="U646" i="1"/>
  <c r="R645" i="1"/>
  <c r="U647" i="1"/>
  <c r="Q648" i="1"/>
  <c r="T648" i="1" s="1"/>
  <c r="T649" i="1"/>
  <c r="S693" i="1"/>
  <c r="K703" i="1"/>
  <c r="J701" i="1"/>
  <c r="S717" i="1"/>
  <c r="S734" i="1"/>
  <c r="K779" i="1"/>
  <c r="T697" i="1"/>
  <c r="Q696" i="1"/>
  <c r="T696" i="1" s="1"/>
  <c r="T732" i="1"/>
  <c r="Q731" i="1"/>
  <c r="K503" i="1"/>
  <c r="Q537" i="1"/>
  <c r="T537" i="1" s="1"/>
  <c r="Q540" i="1"/>
  <c r="T540" i="1" s="1"/>
  <c r="Q558" i="1"/>
  <c r="T558" i="1" s="1"/>
  <c r="Q561" i="1"/>
  <c r="T561" i="1" s="1"/>
  <c r="O649" i="1"/>
  <c r="L648" i="1"/>
  <c r="O648" i="1" s="1"/>
  <c r="M605" i="1"/>
  <c r="P605" i="1" s="1"/>
  <c r="P607" i="1"/>
  <c r="M622" i="1"/>
  <c r="P622" i="1" s="1"/>
  <c r="J636" i="1"/>
  <c r="J635" i="1" s="1"/>
  <c r="M645" i="1"/>
  <c r="P645" i="1" s="1"/>
  <c r="P647" i="1"/>
  <c r="S696" i="1"/>
  <c r="M716" i="1"/>
  <c r="P716" i="1" s="1"/>
  <c r="T721" i="1"/>
  <c r="Q720" i="1"/>
  <c r="T720" i="1" s="1"/>
  <c r="S731" i="1"/>
  <c r="I759" i="1"/>
  <c r="K759" i="1" s="1"/>
  <c r="K774" i="1"/>
  <c r="P650" i="1"/>
  <c r="M693" i="1"/>
  <c r="P693" i="1" s="1"/>
  <c r="O694" i="1"/>
  <c r="U694" i="1"/>
  <c r="M696" i="1"/>
  <c r="P696" i="1" s="1"/>
  <c r="O697" i="1"/>
  <c r="U697" i="1"/>
  <c r="M717" i="1"/>
  <c r="P717" i="1" s="1"/>
  <c r="O718" i="1"/>
  <c r="U718" i="1"/>
  <c r="M720" i="1"/>
  <c r="P720" i="1" s="1"/>
  <c r="O721" i="1"/>
  <c r="U721" i="1"/>
  <c r="M731" i="1"/>
  <c r="P731" i="1" s="1"/>
  <c r="O732" i="1"/>
  <c r="U732" i="1"/>
  <c r="M734" i="1"/>
  <c r="P734" i="1" s="1"/>
  <c r="O735" i="1"/>
  <c r="U735" i="1"/>
  <c r="U120" i="13" l="1"/>
  <c r="U120" i="18"/>
  <c r="O358" i="15"/>
  <c r="L94" i="16"/>
  <c r="O94" i="16" s="1"/>
  <c r="K374" i="17"/>
  <c r="O495" i="18"/>
  <c r="L555" i="18"/>
  <c r="O555" i="18" s="1"/>
  <c r="L413" i="13"/>
  <c r="O413" i="13" s="1"/>
  <c r="T377" i="17"/>
  <c r="K701" i="17"/>
  <c r="R690" i="18"/>
  <c r="U690" i="18" s="1"/>
  <c r="P46" i="17"/>
  <c r="L534" i="16"/>
  <c r="O534" i="16" s="1"/>
  <c r="U186" i="13"/>
  <c r="O284" i="17"/>
  <c r="L94" i="17"/>
  <c r="O94" i="17" s="1"/>
  <c r="N493" i="18"/>
  <c r="O493" i="18" s="1"/>
  <c r="O601" i="16"/>
  <c r="P413" i="18"/>
  <c r="P24" i="18"/>
  <c r="T306" i="14"/>
  <c r="O188" i="16"/>
  <c r="L117" i="17"/>
  <c r="O117" i="17" s="1"/>
  <c r="O335" i="18"/>
  <c r="P186" i="16"/>
  <c r="T139" i="17"/>
  <c r="K701" i="18"/>
  <c r="Q173" i="17"/>
  <c r="T173" i="17" s="1"/>
  <c r="K701" i="11"/>
  <c r="P74" i="16"/>
  <c r="U416" i="18"/>
  <c r="P578" i="15"/>
  <c r="M94" i="16"/>
  <c r="P94" i="16" s="1"/>
  <c r="O74" i="17"/>
  <c r="O175" i="18"/>
  <c r="Q72" i="13"/>
  <c r="T72" i="13" s="1"/>
  <c r="I231" i="17"/>
  <c r="K231" i="17" s="1"/>
  <c r="M72" i="17"/>
  <c r="P72" i="17" s="1"/>
  <c r="O282" i="18"/>
  <c r="U644" i="18"/>
  <c r="T728" i="8"/>
  <c r="T269" i="15"/>
  <c r="O305" i="13"/>
  <c r="P335" i="18"/>
  <c r="T618" i="18"/>
  <c r="P96" i="18"/>
  <c r="U119" i="18"/>
  <c r="M117" i="18"/>
  <c r="P117" i="18" s="1"/>
  <c r="O160" i="18"/>
  <c r="R413" i="16"/>
  <c r="U413" i="16" s="1"/>
  <c r="O305" i="17"/>
  <c r="P141" i="18"/>
  <c r="L232" i="18"/>
  <c r="U763" i="18"/>
  <c r="K374" i="16"/>
  <c r="M513" i="16"/>
  <c r="P513" i="16" s="1"/>
  <c r="Q303" i="16"/>
  <c r="T303" i="16" s="1"/>
  <c r="M493" i="17"/>
  <c r="P493" i="17" s="1"/>
  <c r="L513" i="18"/>
  <c r="O513" i="18" s="1"/>
  <c r="P320" i="18"/>
  <c r="T141" i="17"/>
  <c r="P157" i="14"/>
  <c r="P61" i="16"/>
  <c r="L555" i="16"/>
  <c r="O555" i="16" s="1"/>
  <c r="O159" i="18"/>
  <c r="P159" i="18"/>
  <c r="P305" i="17"/>
  <c r="P141" i="17"/>
  <c r="O356" i="18"/>
  <c r="L576" i="18"/>
  <c r="O576" i="18" s="1"/>
  <c r="Q599" i="13"/>
  <c r="T599" i="13" s="1"/>
  <c r="T416" i="14"/>
  <c r="K374" i="15"/>
  <c r="P269" i="16"/>
  <c r="T616" i="18"/>
  <c r="L157" i="17"/>
  <c r="O157" i="17" s="1"/>
  <c r="T119" i="17"/>
  <c r="O269" i="17"/>
  <c r="L513" i="17"/>
  <c r="O513" i="17" s="1"/>
  <c r="L117" i="18"/>
  <c r="O117" i="18" s="1"/>
  <c r="P268" i="18"/>
  <c r="P322" i="18"/>
  <c r="U619" i="13"/>
  <c r="P269" i="17"/>
  <c r="O359" i="18"/>
  <c r="R728" i="18"/>
  <c r="U728" i="18" s="1"/>
  <c r="U728" i="5"/>
  <c r="K332" i="17"/>
  <c r="P557" i="18"/>
  <c r="M555" i="18"/>
  <c r="P555" i="18" s="1"/>
  <c r="O284" i="13"/>
  <c r="O46" i="16"/>
  <c r="L534" i="18"/>
  <c r="O534" i="18" s="1"/>
  <c r="T763" i="18"/>
  <c r="T415" i="18"/>
  <c r="U97" i="14"/>
  <c r="T644" i="16"/>
  <c r="M599" i="18"/>
  <c r="P599" i="18" s="1"/>
  <c r="U416" i="16"/>
  <c r="T619" i="17"/>
  <c r="L333" i="18"/>
  <c r="O333" i="18" s="1"/>
  <c r="O173" i="18"/>
  <c r="O46" i="18"/>
  <c r="P46" i="16"/>
  <c r="I231" i="16"/>
  <c r="K231" i="16" s="1"/>
  <c r="K701" i="16"/>
  <c r="K83" i="17"/>
  <c r="T416" i="16"/>
  <c r="T416" i="17"/>
  <c r="T692" i="17"/>
  <c r="M157" i="18"/>
  <c r="P157" i="18" s="1"/>
  <c r="T188" i="18"/>
  <c r="T730" i="12"/>
  <c r="R173" i="13"/>
  <c r="U173" i="13" s="1"/>
  <c r="U186" i="16"/>
  <c r="R413" i="17"/>
  <c r="U413" i="17" s="1"/>
  <c r="U693" i="17"/>
  <c r="T72" i="18"/>
  <c r="O74" i="18"/>
  <c r="U117" i="18"/>
  <c r="P305" i="18"/>
  <c r="P323" i="18"/>
  <c r="O284" i="18"/>
  <c r="T413" i="18"/>
  <c r="T730" i="18"/>
  <c r="M576" i="18"/>
  <c r="P576" i="18" s="1"/>
  <c r="O377" i="17"/>
  <c r="M303" i="17"/>
  <c r="P303" i="17" s="1"/>
  <c r="K503" i="18"/>
  <c r="T728" i="18"/>
  <c r="R599" i="18"/>
  <c r="U599" i="18" s="1"/>
  <c r="O415" i="17"/>
  <c r="U75" i="14"/>
  <c r="O601" i="15"/>
  <c r="T141" i="18"/>
  <c r="L44" i="18"/>
  <c r="O269" i="16"/>
  <c r="Q72" i="17"/>
  <c r="T72" i="17" s="1"/>
  <c r="O188" i="17"/>
  <c r="U763" i="17"/>
  <c r="O356" i="17"/>
  <c r="P284" i="18"/>
  <c r="U188" i="18"/>
  <c r="Q760" i="18"/>
  <c r="T760" i="18" s="1"/>
  <c r="O335" i="17"/>
  <c r="P415" i="18"/>
  <c r="Q493" i="16"/>
  <c r="T493" i="16" s="1"/>
  <c r="P188" i="17"/>
  <c r="L493" i="17"/>
  <c r="O493" i="17" s="1"/>
  <c r="O176" i="18"/>
  <c r="P188" i="18"/>
  <c r="U692" i="13"/>
  <c r="M576" i="14"/>
  <c r="P576" i="14" s="1"/>
  <c r="M117" i="13"/>
  <c r="P117" i="13" s="1"/>
  <c r="P336" i="14"/>
  <c r="O61" i="17"/>
  <c r="R157" i="17"/>
  <c r="U157" i="17" s="1"/>
  <c r="R493" i="17"/>
  <c r="U493" i="17" s="1"/>
  <c r="Q690" i="17"/>
  <c r="T690" i="17" s="1"/>
  <c r="U616" i="17"/>
  <c r="P359" i="17"/>
  <c r="T760" i="17"/>
  <c r="T120" i="17"/>
  <c r="R94" i="18"/>
  <c r="U94" i="18" s="1"/>
  <c r="O186" i="18"/>
  <c r="L375" i="18"/>
  <c r="O375" i="18" s="1"/>
  <c r="T693" i="18"/>
  <c r="O602" i="18"/>
  <c r="L493" i="13"/>
  <c r="O493" i="13" s="1"/>
  <c r="O46" i="15"/>
  <c r="L599" i="16"/>
  <c r="O599" i="16" s="1"/>
  <c r="K82" i="17"/>
  <c r="P333" i="17"/>
  <c r="T644" i="17"/>
  <c r="O141" i="18"/>
  <c r="T377" i="18"/>
  <c r="U378" i="18"/>
  <c r="T495" i="18"/>
  <c r="R642" i="18"/>
  <c r="U642" i="18" s="1"/>
  <c r="T413" i="14"/>
  <c r="P416" i="16"/>
  <c r="O59" i="17"/>
  <c r="M413" i="17"/>
  <c r="P413" i="17" s="1"/>
  <c r="P266" i="17"/>
  <c r="T642" i="17"/>
  <c r="P26" i="18"/>
  <c r="O139" i="18"/>
  <c r="O268" i="18"/>
  <c r="O157" i="18"/>
  <c r="K492" i="18"/>
  <c r="U760" i="18"/>
  <c r="S493" i="18"/>
  <c r="U493" i="18" s="1"/>
  <c r="R392" i="13"/>
  <c r="U392" i="13" s="1"/>
  <c r="K82" i="13"/>
  <c r="U763" i="14"/>
  <c r="P557" i="13"/>
  <c r="M139" i="15"/>
  <c r="P139" i="15" s="1"/>
  <c r="Q599" i="17"/>
  <c r="T599" i="17" s="1"/>
  <c r="P268" i="17"/>
  <c r="O601" i="14"/>
  <c r="U495" i="16"/>
  <c r="O495" i="16"/>
  <c r="T378" i="16"/>
  <c r="O602" i="16"/>
  <c r="O578" i="16"/>
  <c r="U305" i="17"/>
  <c r="T378" i="17"/>
  <c r="O358" i="17"/>
  <c r="O601" i="17"/>
  <c r="T303" i="17"/>
  <c r="Q157" i="18"/>
  <c r="T157" i="18" s="1"/>
  <c r="O188" i="18"/>
  <c r="M333" i="18"/>
  <c r="P333" i="18" s="1"/>
  <c r="M375" i="18"/>
  <c r="P375" i="18" s="1"/>
  <c r="S266" i="18"/>
  <c r="T266" i="18" s="1"/>
  <c r="Q139" i="13"/>
  <c r="T139" i="13" s="1"/>
  <c r="L186" i="16"/>
  <c r="O186" i="16" s="1"/>
  <c r="T188" i="17"/>
  <c r="R139" i="17"/>
  <c r="U139" i="17" s="1"/>
  <c r="T189" i="17"/>
  <c r="L375" i="17"/>
  <c r="O375" i="17" s="1"/>
  <c r="U644" i="17"/>
  <c r="T616" i="17"/>
  <c r="P375" i="17"/>
  <c r="M59" i="18"/>
  <c r="P59" i="18" s="1"/>
  <c r="P61" i="18"/>
  <c r="O59" i="18"/>
  <c r="M173" i="18"/>
  <c r="P173" i="18" s="1"/>
  <c r="P175" i="18"/>
  <c r="U268" i="18"/>
  <c r="N72" i="18"/>
  <c r="O72" i="18" s="1"/>
  <c r="M266" i="18"/>
  <c r="P266" i="18" s="1"/>
  <c r="U175" i="18"/>
  <c r="R173" i="18"/>
  <c r="U173" i="18" s="1"/>
  <c r="O358" i="18"/>
  <c r="U186" i="18"/>
  <c r="S375" i="18"/>
  <c r="U375" i="18" s="1"/>
  <c r="Q642" i="18"/>
  <c r="T642" i="18" s="1"/>
  <c r="T644" i="18"/>
  <c r="K374" i="18"/>
  <c r="U415" i="18"/>
  <c r="R413" i="18"/>
  <c r="U413" i="18" s="1"/>
  <c r="U731" i="18"/>
  <c r="Q20" i="18"/>
  <c r="Q18" i="18" s="1"/>
  <c r="T23" i="18"/>
  <c r="Q21" i="18"/>
  <c r="T21" i="18" s="1"/>
  <c r="K82" i="18"/>
  <c r="I70" i="18"/>
  <c r="K70" i="18" s="1"/>
  <c r="U159" i="18"/>
  <c r="R157" i="18"/>
  <c r="U157" i="18" s="1"/>
  <c r="Q599" i="18"/>
  <c r="T599" i="18" s="1"/>
  <c r="O46" i="14"/>
  <c r="M72" i="18"/>
  <c r="P74" i="18"/>
  <c r="O61" i="18"/>
  <c r="O44" i="18"/>
  <c r="U74" i="18"/>
  <c r="P358" i="18"/>
  <c r="P515" i="18"/>
  <c r="M513" i="18"/>
  <c r="P513" i="18" s="1"/>
  <c r="Q493" i="18"/>
  <c r="O601" i="18"/>
  <c r="L599" i="18"/>
  <c r="O599" i="18" s="1"/>
  <c r="M44" i="18"/>
  <c r="P46" i="18"/>
  <c r="U416" i="17"/>
  <c r="T19" i="18"/>
  <c r="R24" i="18"/>
  <c r="U24" i="18" s="1"/>
  <c r="U26" i="18"/>
  <c r="P19" i="18"/>
  <c r="U72" i="18"/>
  <c r="R139" i="18"/>
  <c r="U139" i="18" s="1"/>
  <c r="Q173" i="18"/>
  <c r="T173" i="18" s="1"/>
  <c r="I231" i="18"/>
  <c r="K242" i="18"/>
  <c r="P356" i="18"/>
  <c r="N303" i="18"/>
  <c r="O303" i="18" s="1"/>
  <c r="M534" i="18"/>
  <c r="P534" i="18" s="1"/>
  <c r="K456" i="18"/>
  <c r="R24" i="17"/>
  <c r="U24" i="17" s="1"/>
  <c r="Q117" i="18"/>
  <c r="T117" i="18" s="1"/>
  <c r="T119" i="18"/>
  <c r="O175" i="15"/>
  <c r="Q413" i="16"/>
  <c r="T413" i="16" s="1"/>
  <c r="O359" i="17"/>
  <c r="L21" i="18"/>
  <c r="L20" i="18"/>
  <c r="O23" i="18"/>
  <c r="P23" i="18"/>
  <c r="M20" i="18"/>
  <c r="T139" i="18"/>
  <c r="I71" i="18"/>
  <c r="K71" i="18" s="1"/>
  <c r="K83" i="18"/>
  <c r="O322" i="18"/>
  <c r="M186" i="18"/>
  <c r="P186" i="18" s="1"/>
  <c r="O305" i="18"/>
  <c r="T26" i="18"/>
  <c r="Q24" i="18"/>
  <c r="T24" i="18" s="1"/>
  <c r="T186" i="18"/>
  <c r="T378" i="18"/>
  <c r="R616" i="18"/>
  <c r="U616" i="18" s="1"/>
  <c r="U618" i="18"/>
  <c r="L266" i="18"/>
  <c r="O266" i="18" s="1"/>
  <c r="K457" i="18"/>
  <c r="N21" i="18"/>
  <c r="N20" i="18"/>
  <c r="N18" i="18" s="1"/>
  <c r="M576" i="16"/>
  <c r="P576" i="16" s="1"/>
  <c r="O141" i="17"/>
  <c r="T117" i="17"/>
  <c r="U119" i="17"/>
  <c r="L413" i="17"/>
  <c r="O413" i="17" s="1"/>
  <c r="P61" i="17"/>
  <c r="R21" i="18"/>
  <c r="U21" i="18" s="1"/>
  <c r="R20" i="18"/>
  <c r="U23" i="18"/>
  <c r="Q94" i="18"/>
  <c r="T94" i="18" s="1"/>
  <c r="T96" i="18"/>
  <c r="S20" i="18"/>
  <c r="S18" i="18" s="1"/>
  <c r="L94" i="18"/>
  <c r="O94" i="18" s="1"/>
  <c r="M21" i="18"/>
  <c r="T74" i="18"/>
  <c r="M139" i="18"/>
  <c r="P139" i="18" s="1"/>
  <c r="U305" i="18"/>
  <c r="M282" i="18"/>
  <c r="P282" i="18" s="1"/>
  <c r="S303" i="18"/>
  <c r="U303" i="18" s="1"/>
  <c r="L24" i="18"/>
  <c r="O24" i="18" s="1"/>
  <c r="O26" i="18"/>
  <c r="L320" i="18"/>
  <c r="O320" i="18" s="1"/>
  <c r="L413" i="18"/>
  <c r="O413" i="18" s="1"/>
  <c r="O415" i="18"/>
  <c r="Q690" i="18"/>
  <c r="T690" i="18" s="1"/>
  <c r="T692" i="18"/>
  <c r="M493" i="18"/>
  <c r="P493" i="18" s="1"/>
  <c r="P495" i="18"/>
  <c r="L139" i="13"/>
  <c r="O139" i="13" s="1"/>
  <c r="P74" i="15"/>
  <c r="L356" i="15"/>
  <c r="O356" i="15" s="1"/>
  <c r="O157" i="16"/>
  <c r="P188" i="16"/>
  <c r="R599" i="16"/>
  <c r="U599" i="16" s="1"/>
  <c r="O175" i="17"/>
  <c r="L282" i="17"/>
  <c r="O282" i="17" s="1"/>
  <c r="U269" i="17"/>
  <c r="M320" i="17"/>
  <c r="P320" i="17" s="1"/>
  <c r="M356" i="17"/>
  <c r="P356" i="17" s="1"/>
  <c r="P358" i="17"/>
  <c r="T728" i="5"/>
  <c r="R413" i="13"/>
  <c r="U413" i="13" s="1"/>
  <c r="L157" i="14"/>
  <c r="O157" i="14" s="1"/>
  <c r="P335" i="13"/>
  <c r="R642" i="13"/>
  <c r="U642" i="13" s="1"/>
  <c r="O358" i="16"/>
  <c r="P358" i="16"/>
  <c r="L576" i="17"/>
  <c r="O576" i="17" s="1"/>
  <c r="R72" i="17"/>
  <c r="U72" i="17" s="1"/>
  <c r="U74" i="17"/>
  <c r="O175" i="14"/>
  <c r="M94" i="17"/>
  <c r="P94" i="17" s="1"/>
  <c r="P336" i="17"/>
  <c r="T645" i="17"/>
  <c r="P62" i="17"/>
  <c r="U616" i="10"/>
  <c r="Q642" i="14"/>
  <c r="T642" i="14" s="1"/>
  <c r="T266" i="13"/>
  <c r="U119" i="15"/>
  <c r="T119" i="15"/>
  <c r="T616" i="15"/>
  <c r="K701" i="15"/>
  <c r="O175" i="16"/>
  <c r="O74" i="16"/>
  <c r="T188" i="16"/>
  <c r="U619" i="16"/>
  <c r="M534" i="16"/>
  <c r="P534" i="16" s="1"/>
  <c r="P189" i="16"/>
  <c r="P189" i="17"/>
  <c r="O24" i="17"/>
  <c r="U188" i="17"/>
  <c r="L186" i="17"/>
  <c r="O186" i="17" s="1"/>
  <c r="M186" i="17"/>
  <c r="P186" i="17" s="1"/>
  <c r="P377" i="17"/>
  <c r="L44" i="17"/>
  <c r="O44" i="17" s="1"/>
  <c r="O46" i="17"/>
  <c r="P284" i="14"/>
  <c r="T26" i="13"/>
  <c r="T731" i="15"/>
  <c r="P26" i="17"/>
  <c r="M44" i="17"/>
  <c r="P44" i="17" s="1"/>
  <c r="N139" i="17"/>
  <c r="O139" i="17" s="1"/>
  <c r="U690" i="17"/>
  <c r="U692" i="17"/>
  <c r="M576" i="17"/>
  <c r="P576" i="17" s="1"/>
  <c r="P157" i="17"/>
  <c r="O23" i="17"/>
  <c r="L20" i="17"/>
  <c r="L18" i="17" s="1"/>
  <c r="Q24" i="17"/>
  <c r="T24" i="17" s="1"/>
  <c r="T26" i="17"/>
  <c r="M117" i="17"/>
  <c r="P117" i="17" s="1"/>
  <c r="U19" i="17"/>
  <c r="P284" i="17"/>
  <c r="M282" i="17"/>
  <c r="P282" i="17" s="1"/>
  <c r="Q392" i="17"/>
  <c r="T392" i="17" s="1"/>
  <c r="T394" i="17"/>
  <c r="R728" i="17"/>
  <c r="U730" i="17"/>
  <c r="S714" i="1"/>
  <c r="R616" i="14"/>
  <c r="U616" i="14" s="1"/>
  <c r="S94" i="15"/>
  <c r="U94" i="15" s="1"/>
  <c r="T303" i="15"/>
  <c r="T619" i="15"/>
  <c r="O74" i="15"/>
  <c r="T74" i="16"/>
  <c r="O189" i="16"/>
  <c r="P175" i="16"/>
  <c r="L375" i="16"/>
  <c r="O375" i="16" s="1"/>
  <c r="T616" i="16"/>
  <c r="U730" i="16"/>
  <c r="U23" i="17"/>
  <c r="R20" i="17"/>
  <c r="L21" i="17"/>
  <c r="O142" i="17"/>
  <c r="Q266" i="17"/>
  <c r="T266" i="17" s="1"/>
  <c r="O268" i="17"/>
  <c r="L266" i="17"/>
  <c r="O266" i="17" s="1"/>
  <c r="L303" i="17"/>
  <c r="O303" i="17" s="1"/>
  <c r="O333" i="17"/>
  <c r="I412" i="17"/>
  <c r="K412" i="17" s="1"/>
  <c r="K423" i="17"/>
  <c r="P335" i="17"/>
  <c r="L534" i="17"/>
  <c r="O534" i="17" s="1"/>
  <c r="M555" i="17"/>
  <c r="P555" i="17" s="1"/>
  <c r="R599" i="17"/>
  <c r="U599" i="17" s="1"/>
  <c r="T728" i="12"/>
  <c r="P96" i="13"/>
  <c r="P284" i="15"/>
  <c r="T690" i="16"/>
  <c r="N20" i="17"/>
  <c r="N18" i="17" s="1"/>
  <c r="U21" i="17"/>
  <c r="P159" i="17"/>
  <c r="T375" i="17"/>
  <c r="R392" i="17"/>
  <c r="U392" i="17" s="1"/>
  <c r="L555" i="17"/>
  <c r="O555" i="17" s="1"/>
  <c r="S728" i="17"/>
  <c r="T728" i="17" s="1"/>
  <c r="T728" i="11"/>
  <c r="Q493" i="14"/>
  <c r="T493" i="14" s="1"/>
  <c r="T189" i="15"/>
  <c r="Q94" i="16"/>
  <c r="T94" i="16" s="1"/>
  <c r="L117" i="16"/>
  <c r="O117" i="16" s="1"/>
  <c r="Q21" i="17"/>
  <c r="T21" i="17" s="1"/>
  <c r="Q20" i="17"/>
  <c r="T23" i="17"/>
  <c r="N173" i="17"/>
  <c r="Q186" i="17"/>
  <c r="T186" i="17" s="1"/>
  <c r="O336" i="17"/>
  <c r="P601" i="17"/>
  <c r="M599" i="17"/>
  <c r="P599" i="17" s="1"/>
  <c r="U378" i="17"/>
  <c r="T305" i="17"/>
  <c r="U762" i="17"/>
  <c r="T690" i="14"/>
  <c r="T306" i="15"/>
  <c r="O159" i="15"/>
  <c r="O268" i="15"/>
  <c r="P268" i="15"/>
  <c r="T119" i="16"/>
  <c r="U119" i="16"/>
  <c r="M24" i="16"/>
  <c r="P24" i="16" s="1"/>
  <c r="T268" i="16"/>
  <c r="L44" i="16"/>
  <c r="O44" i="16" s="1"/>
  <c r="N21" i="17"/>
  <c r="P21" i="17" s="1"/>
  <c r="P23" i="17"/>
  <c r="M20" i="17"/>
  <c r="O26" i="17"/>
  <c r="P59" i="17"/>
  <c r="L320" i="17"/>
  <c r="O320" i="17" s="1"/>
  <c r="O322" i="17"/>
  <c r="U117" i="17"/>
  <c r="R303" i="17"/>
  <c r="U303" i="17" s="1"/>
  <c r="R186" i="17"/>
  <c r="U186" i="17" s="1"/>
  <c r="R375" i="17"/>
  <c r="U375" i="17" s="1"/>
  <c r="R642" i="17"/>
  <c r="U642" i="17" s="1"/>
  <c r="P285" i="17"/>
  <c r="M513" i="17"/>
  <c r="P513" i="17" s="1"/>
  <c r="P515" i="17"/>
  <c r="T306" i="17"/>
  <c r="T731" i="14"/>
  <c r="T266" i="16"/>
  <c r="O269" i="15"/>
  <c r="O576" i="16"/>
  <c r="M599" i="16"/>
  <c r="P599" i="16" s="1"/>
  <c r="O47" i="16"/>
  <c r="S20" i="17"/>
  <c r="S18" i="17" s="1"/>
  <c r="M24" i="17"/>
  <c r="P24" i="17" s="1"/>
  <c r="M173" i="17"/>
  <c r="P175" i="17"/>
  <c r="L232" i="17"/>
  <c r="O19" i="17"/>
  <c r="P536" i="17"/>
  <c r="M534" i="17"/>
  <c r="P534" i="17" s="1"/>
  <c r="P306" i="17"/>
  <c r="U619" i="17"/>
  <c r="L599" i="17"/>
  <c r="O599" i="17" s="1"/>
  <c r="T762" i="17"/>
  <c r="R157" i="16"/>
  <c r="U157" i="16" s="1"/>
  <c r="T141" i="16"/>
  <c r="Q139" i="16"/>
  <c r="T139" i="16" s="1"/>
  <c r="M413" i="13"/>
  <c r="P413" i="13" s="1"/>
  <c r="U303" i="13"/>
  <c r="O61" i="13"/>
  <c r="U413" i="14"/>
  <c r="Q413" i="13"/>
  <c r="T413" i="13" s="1"/>
  <c r="T303" i="13"/>
  <c r="R24" i="15"/>
  <c r="U24" i="15" s="1"/>
  <c r="P97" i="15"/>
  <c r="R616" i="15"/>
  <c r="U616" i="15" s="1"/>
  <c r="M375" i="15"/>
  <c r="P375" i="15" s="1"/>
  <c r="U762" i="15"/>
  <c r="U728" i="16"/>
  <c r="P356" i="13"/>
  <c r="T762" i="15"/>
  <c r="R117" i="16"/>
  <c r="U117" i="16" s="1"/>
  <c r="M356" i="16"/>
  <c r="P356" i="16" s="1"/>
  <c r="U616" i="16"/>
  <c r="U375" i="8"/>
  <c r="U731" i="12"/>
  <c r="U268" i="13"/>
  <c r="P305" i="13"/>
  <c r="P269" i="14"/>
  <c r="U141" i="13"/>
  <c r="P159" i="15"/>
  <c r="R173" i="15"/>
  <c r="U173" i="15" s="1"/>
  <c r="P173" i="16"/>
  <c r="Q599" i="16"/>
  <c r="T599" i="16" s="1"/>
  <c r="U693" i="16"/>
  <c r="O333" i="16"/>
  <c r="T618" i="16"/>
  <c r="U378" i="16"/>
  <c r="P377" i="16"/>
  <c r="M375" i="16"/>
  <c r="P375" i="16" s="1"/>
  <c r="U616" i="13"/>
  <c r="U188" i="13"/>
  <c r="M320" i="14"/>
  <c r="P320" i="14" s="1"/>
  <c r="T731" i="13"/>
  <c r="U74" i="15"/>
  <c r="M266" i="15"/>
  <c r="P266" i="15" s="1"/>
  <c r="O515" i="15"/>
  <c r="U72" i="16"/>
  <c r="R139" i="16"/>
  <c r="U139" i="16" s="1"/>
  <c r="L356" i="16"/>
  <c r="O356" i="16" s="1"/>
  <c r="O335" i="16"/>
  <c r="T730" i="16"/>
  <c r="K332" i="16"/>
  <c r="T375" i="8"/>
  <c r="O601" i="12"/>
  <c r="Q173" i="13"/>
  <c r="T173" i="13" s="1"/>
  <c r="K83" i="13"/>
  <c r="U763" i="13"/>
  <c r="U189" i="15"/>
  <c r="L24" i="15"/>
  <c r="O24" i="15" s="1"/>
  <c r="T377" i="15"/>
  <c r="P335" i="15"/>
  <c r="L24" i="16"/>
  <c r="O24" i="16" s="1"/>
  <c r="U74" i="16"/>
  <c r="M493" i="16"/>
  <c r="P493" i="16" s="1"/>
  <c r="O72" i="16"/>
  <c r="U188" i="16"/>
  <c r="O268" i="16"/>
  <c r="L266" i="16"/>
  <c r="O266" i="16" s="1"/>
  <c r="O243" i="16"/>
  <c r="L232" i="16"/>
  <c r="I71" i="16"/>
  <c r="K71" i="16" s="1"/>
  <c r="K83" i="16"/>
  <c r="L320" i="16"/>
  <c r="O320" i="16" s="1"/>
  <c r="O322" i="16"/>
  <c r="M333" i="16"/>
  <c r="P333" i="16" s="1"/>
  <c r="P335" i="16"/>
  <c r="Q375" i="16"/>
  <c r="T375" i="16" s="1"/>
  <c r="T377" i="16"/>
  <c r="U616" i="7"/>
  <c r="O188" i="11"/>
  <c r="P268" i="14"/>
  <c r="K374" i="14"/>
  <c r="U601" i="13"/>
  <c r="S728" i="14"/>
  <c r="T728" i="14" s="1"/>
  <c r="T305" i="13"/>
  <c r="P94" i="15"/>
  <c r="R760" i="15"/>
  <c r="U760" i="15" s="1"/>
  <c r="Q20" i="16"/>
  <c r="T23" i="16"/>
  <c r="Q21" i="16"/>
  <c r="L139" i="16"/>
  <c r="O139" i="16" s="1"/>
  <c r="P322" i="16"/>
  <c r="M320" i="16"/>
  <c r="P320" i="16" s="1"/>
  <c r="O282" i="16"/>
  <c r="R642" i="16"/>
  <c r="U644" i="16"/>
  <c r="M413" i="16"/>
  <c r="P413" i="16" s="1"/>
  <c r="P415" i="16"/>
  <c r="O46" i="13"/>
  <c r="O61" i="14"/>
  <c r="O142" i="14"/>
  <c r="P159" i="14"/>
  <c r="O415" i="14"/>
  <c r="T268" i="13"/>
  <c r="P175" i="14"/>
  <c r="M576" i="13"/>
  <c r="P576" i="13" s="1"/>
  <c r="O173" i="15"/>
  <c r="Q493" i="15"/>
  <c r="T493" i="15" s="1"/>
  <c r="U693" i="15"/>
  <c r="L20" i="16"/>
  <c r="O23" i="16"/>
  <c r="P23" i="16"/>
  <c r="M20" i="16"/>
  <c r="O159" i="16"/>
  <c r="L21" i="16"/>
  <c r="Q117" i="16"/>
  <c r="T117" i="16" s="1"/>
  <c r="M59" i="16"/>
  <c r="P59" i="16" s="1"/>
  <c r="R94" i="16"/>
  <c r="U94" i="16" s="1"/>
  <c r="U19" i="16"/>
  <c r="P176" i="16"/>
  <c r="M72" i="16"/>
  <c r="P72" i="16" s="1"/>
  <c r="U268" i="16"/>
  <c r="R266" i="16"/>
  <c r="U266" i="16" s="1"/>
  <c r="M266" i="16"/>
  <c r="P266" i="16" s="1"/>
  <c r="P268" i="16"/>
  <c r="T645" i="16"/>
  <c r="U618" i="16"/>
  <c r="Q728" i="16"/>
  <c r="T728" i="16" s="1"/>
  <c r="U74" i="11"/>
  <c r="P46" i="13"/>
  <c r="O74" i="14"/>
  <c r="U141" i="14"/>
  <c r="R599" i="14"/>
  <c r="U599" i="14" s="1"/>
  <c r="U690" i="13"/>
  <c r="L139" i="15"/>
  <c r="O139" i="15" s="1"/>
  <c r="P415" i="15"/>
  <c r="S20" i="15"/>
  <c r="S18" i="15" s="1"/>
  <c r="U619" i="15"/>
  <c r="R20" i="16"/>
  <c r="U23" i="16"/>
  <c r="S20" i="16"/>
  <c r="S18" i="16" s="1"/>
  <c r="M139" i="16"/>
  <c r="P139" i="16" s="1"/>
  <c r="Q157" i="16"/>
  <c r="T157" i="16" s="1"/>
  <c r="T72" i="16"/>
  <c r="S21" i="16"/>
  <c r="U21" i="16" s="1"/>
  <c r="L173" i="16"/>
  <c r="O173" i="16" s="1"/>
  <c r="Q186" i="16"/>
  <c r="T186" i="16" s="1"/>
  <c r="P305" i="16"/>
  <c r="M303" i="16"/>
  <c r="P303" i="16" s="1"/>
  <c r="Q760" i="16"/>
  <c r="T760" i="16" s="1"/>
  <c r="T762" i="16"/>
  <c r="L599" i="15"/>
  <c r="O599" i="15" s="1"/>
  <c r="Q760" i="15"/>
  <c r="T760" i="15" s="1"/>
  <c r="N40" i="16"/>
  <c r="N21" i="16"/>
  <c r="P21" i="16" s="1"/>
  <c r="N20" i="16"/>
  <c r="N18" i="16" s="1"/>
  <c r="K82" i="16"/>
  <c r="I70" i="16"/>
  <c r="K70" i="16" s="1"/>
  <c r="M44" i="16"/>
  <c r="O285" i="16"/>
  <c r="P284" i="16"/>
  <c r="M282" i="16"/>
  <c r="P282" i="16" s="1"/>
  <c r="O415" i="16"/>
  <c r="L413" i="16"/>
  <c r="O413" i="16" s="1"/>
  <c r="U24" i="16"/>
  <c r="S642" i="16"/>
  <c r="T642" i="16" s="1"/>
  <c r="U760" i="16"/>
  <c r="O284" i="16"/>
  <c r="T692" i="16"/>
  <c r="O160" i="15"/>
  <c r="T728" i="15"/>
  <c r="L59" i="16"/>
  <c r="O59" i="16" s="1"/>
  <c r="O61" i="16"/>
  <c r="P159" i="16"/>
  <c r="M157" i="16"/>
  <c r="P157" i="16" s="1"/>
  <c r="Q173" i="16"/>
  <c r="T173" i="16" s="1"/>
  <c r="P119" i="16"/>
  <c r="M117" i="16"/>
  <c r="P117" i="16" s="1"/>
  <c r="R173" i="16"/>
  <c r="U173" i="16" s="1"/>
  <c r="U26" i="16"/>
  <c r="Q24" i="16"/>
  <c r="T24" i="16" s="1"/>
  <c r="T26" i="16"/>
  <c r="U306" i="16"/>
  <c r="U692" i="16"/>
  <c r="R690" i="16"/>
  <c r="U690" i="16" s="1"/>
  <c r="L513" i="16"/>
  <c r="O513" i="16" s="1"/>
  <c r="L303" i="16"/>
  <c r="O303" i="16" s="1"/>
  <c r="U762" i="16"/>
  <c r="O21" i="13"/>
  <c r="O268" i="14"/>
  <c r="U306" i="14"/>
  <c r="N44" i="15"/>
  <c r="P44" i="15" s="1"/>
  <c r="R139" i="15"/>
  <c r="U139" i="15" s="1"/>
  <c r="N20" i="15"/>
  <c r="N18" i="15" s="1"/>
  <c r="P62" i="15"/>
  <c r="P495" i="15"/>
  <c r="K332" i="15"/>
  <c r="R728" i="15"/>
  <c r="U728" i="15" s="1"/>
  <c r="P119" i="15"/>
  <c r="M117" i="15"/>
  <c r="P117" i="15" s="1"/>
  <c r="L266" i="15"/>
  <c r="O266" i="15" s="1"/>
  <c r="N282" i="15"/>
  <c r="P282" i="15" s="1"/>
  <c r="R690" i="15"/>
  <c r="U690" i="15" s="1"/>
  <c r="U269" i="15"/>
  <c r="P333" i="14"/>
  <c r="Q173" i="15"/>
  <c r="T173" i="15" s="1"/>
  <c r="N282" i="14"/>
  <c r="O282" i="14" s="1"/>
  <c r="T94" i="13"/>
  <c r="S413" i="15"/>
  <c r="T413" i="15" s="1"/>
  <c r="O96" i="15"/>
  <c r="P601" i="15"/>
  <c r="M599" i="15"/>
  <c r="P599" i="15" s="1"/>
  <c r="U731" i="13"/>
  <c r="P141" i="14"/>
  <c r="R493" i="15"/>
  <c r="U493" i="15" s="1"/>
  <c r="R303" i="14"/>
  <c r="U303" i="14" s="1"/>
  <c r="P358" i="14"/>
  <c r="Q157" i="15"/>
  <c r="T157" i="15" s="1"/>
  <c r="T763" i="14"/>
  <c r="O413" i="14"/>
  <c r="N21" i="15"/>
  <c r="P21" i="15" s="1"/>
  <c r="O243" i="15"/>
  <c r="L232" i="15"/>
  <c r="U159" i="15"/>
  <c r="R157" i="15"/>
  <c r="U157" i="15" s="1"/>
  <c r="R117" i="15"/>
  <c r="U117" i="15" s="1"/>
  <c r="U377" i="15"/>
  <c r="R375" i="15"/>
  <c r="U375" i="15" s="1"/>
  <c r="O284" i="15"/>
  <c r="U616" i="8"/>
  <c r="U394" i="12"/>
  <c r="T188" i="13"/>
  <c r="O284" i="14"/>
  <c r="P415" i="14"/>
  <c r="T763" i="13"/>
  <c r="P159" i="13"/>
  <c r="M303" i="14"/>
  <c r="P303" i="14" s="1"/>
  <c r="L20" i="15"/>
  <c r="O23" i="15"/>
  <c r="O97" i="15"/>
  <c r="S72" i="15"/>
  <c r="U72" i="15" s="1"/>
  <c r="I231" i="15"/>
  <c r="K242" i="15"/>
  <c r="K82" i="15"/>
  <c r="I70" i="15"/>
  <c r="K70" i="15" s="1"/>
  <c r="U305" i="15"/>
  <c r="R303" i="15"/>
  <c r="U303" i="15" s="1"/>
  <c r="M513" i="15"/>
  <c r="P513" i="15" s="1"/>
  <c r="N333" i="15"/>
  <c r="P333" i="15" s="1"/>
  <c r="M413" i="15"/>
  <c r="P413" i="15" s="1"/>
  <c r="O536" i="15"/>
  <c r="L534" i="15"/>
  <c r="O534" i="15" s="1"/>
  <c r="I412" i="15"/>
  <c r="K412" i="15" s="1"/>
  <c r="K423" i="15"/>
  <c r="Q24" i="15"/>
  <c r="T24" i="15" s="1"/>
  <c r="T26" i="15"/>
  <c r="O415" i="15"/>
  <c r="L413" i="15"/>
  <c r="O413" i="15" s="1"/>
  <c r="U94" i="13"/>
  <c r="O377" i="14"/>
  <c r="M356" i="15"/>
  <c r="P356" i="15" s="1"/>
  <c r="P358" i="15"/>
  <c r="T375" i="12"/>
  <c r="Q493" i="13"/>
  <c r="T493" i="13" s="1"/>
  <c r="L375" i="13"/>
  <c r="O375" i="13" s="1"/>
  <c r="Q642" i="13"/>
  <c r="T642" i="13" s="1"/>
  <c r="M333" i="13"/>
  <c r="P333" i="13" s="1"/>
  <c r="M94" i="14"/>
  <c r="P94" i="14" s="1"/>
  <c r="K83" i="14"/>
  <c r="P26" i="14"/>
  <c r="M139" i="14"/>
  <c r="P139" i="14" s="1"/>
  <c r="L303" i="14"/>
  <c r="O303" i="14" s="1"/>
  <c r="U760" i="14"/>
  <c r="T760" i="14"/>
  <c r="M513" i="14"/>
  <c r="P513" i="14" s="1"/>
  <c r="L513" i="14"/>
  <c r="O513" i="14" s="1"/>
  <c r="O416" i="14"/>
  <c r="P416" i="14"/>
  <c r="U306" i="13"/>
  <c r="R20" i="15"/>
  <c r="U23" i="15"/>
  <c r="S21" i="15"/>
  <c r="U21" i="15" s="1"/>
  <c r="L21" i="15"/>
  <c r="I71" i="15"/>
  <c r="K71" i="15" s="1"/>
  <c r="K83" i="15"/>
  <c r="O188" i="15"/>
  <c r="M303" i="15"/>
  <c r="P303" i="15" s="1"/>
  <c r="P305" i="15"/>
  <c r="T19" i="15"/>
  <c r="M72" i="15"/>
  <c r="P72" i="15" s="1"/>
  <c r="O157" i="15"/>
  <c r="L186" i="15"/>
  <c r="O186" i="15" s="1"/>
  <c r="O305" i="15"/>
  <c r="L303" i="15"/>
  <c r="O303" i="15" s="1"/>
  <c r="O377" i="15"/>
  <c r="L375" i="15"/>
  <c r="O375" i="15" s="1"/>
  <c r="S642" i="15"/>
  <c r="T642" i="15" s="1"/>
  <c r="T188" i="15"/>
  <c r="U415" i="15"/>
  <c r="R413" i="15"/>
  <c r="L493" i="15"/>
  <c r="O493" i="15" s="1"/>
  <c r="L576" i="15"/>
  <c r="O576" i="15" s="1"/>
  <c r="O61" i="15"/>
  <c r="L59" i="15"/>
  <c r="O59" i="15" s="1"/>
  <c r="U186" i="15"/>
  <c r="T394" i="15"/>
  <c r="Q392" i="15"/>
  <c r="T392" i="15" s="1"/>
  <c r="T119" i="14"/>
  <c r="U305" i="12"/>
  <c r="T21" i="13"/>
  <c r="T142" i="14"/>
  <c r="T75" i="14"/>
  <c r="U186" i="14"/>
  <c r="N72" i="14"/>
  <c r="O72" i="14" s="1"/>
  <c r="L375" i="14"/>
  <c r="O375" i="14" s="1"/>
  <c r="M356" i="14"/>
  <c r="P356" i="14" s="1"/>
  <c r="O188" i="13"/>
  <c r="U618" i="13"/>
  <c r="M599" i="14"/>
  <c r="P599" i="14" s="1"/>
  <c r="O356" i="13"/>
  <c r="O59" i="13"/>
  <c r="P46" i="15"/>
  <c r="P23" i="15"/>
  <c r="M20" i="15"/>
  <c r="M173" i="15"/>
  <c r="P173" i="15" s="1"/>
  <c r="P175" i="15"/>
  <c r="U188" i="15"/>
  <c r="P96" i="15"/>
  <c r="P157" i="15"/>
  <c r="T74" i="15"/>
  <c r="L320" i="15"/>
  <c r="O320" i="15" s="1"/>
  <c r="P188" i="15"/>
  <c r="L555" i="15"/>
  <c r="O555" i="15" s="1"/>
  <c r="Q375" i="15"/>
  <c r="T375" i="15" s="1"/>
  <c r="M534" i="15"/>
  <c r="P534" i="15" s="1"/>
  <c r="P536" i="15"/>
  <c r="R599" i="15"/>
  <c r="U599" i="15" s="1"/>
  <c r="Q20" i="15"/>
  <c r="T23" i="15"/>
  <c r="Q21" i="15"/>
  <c r="T186" i="15"/>
  <c r="T141" i="15"/>
  <c r="Q139" i="15"/>
  <c r="T139" i="15" s="1"/>
  <c r="Q599" i="15"/>
  <c r="T599" i="15" s="1"/>
  <c r="T601" i="15"/>
  <c r="U119" i="1"/>
  <c r="K701" i="12"/>
  <c r="T141" i="14"/>
  <c r="O188" i="14"/>
  <c r="M117" i="14"/>
  <c r="P117" i="14" s="1"/>
  <c r="U188" i="14"/>
  <c r="O602" i="14"/>
  <c r="P377" i="14"/>
  <c r="K701" i="14"/>
  <c r="O141" i="14"/>
  <c r="T690" i="13"/>
  <c r="P536" i="14"/>
  <c r="M24" i="15"/>
  <c r="P24" i="15" s="1"/>
  <c r="O119" i="15"/>
  <c r="L117" i="15"/>
  <c r="O117" i="15" s="1"/>
  <c r="O94" i="15"/>
  <c r="Q117" i="15"/>
  <c r="T117" i="15" s="1"/>
  <c r="U96" i="15"/>
  <c r="P322" i="15"/>
  <c r="M320" i="15"/>
  <c r="P320" i="15" s="1"/>
  <c r="O72" i="15"/>
  <c r="P186" i="15"/>
  <c r="T268" i="15"/>
  <c r="Q266" i="15"/>
  <c r="T266" i="15" s="1"/>
  <c r="U19" i="15"/>
  <c r="M555" i="15"/>
  <c r="P555" i="15" s="1"/>
  <c r="O335" i="15"/>
  <c r="L333" i="15"/>
  <c r="M59" i="15"/>
  <c r="P59" i="15" s="1"/>
  <c r="T644" i="15"/>
  <c r="Q690" i="15"/>
  <c r="T690" i="15" s="1"/>
  <c r="N186" i="13"/>
  <c r="O186" i="13" s="1"/>
  <c r="L94" i="14"/>
  <c r="O94" i="14" s="1"/>
  <c r="R173" i="14"/>
  <c r="U173" i="14" s="1"/>
  <c r="L139" i="14"/>
  <c r="O139" i="14" s="1"/>
  <c r="P495" i="14"/>
  <c r="O359" i="14"/>
  <c r="U693" i="14"/>
  <c r="U728" i="9"/>
  <c r="T728" i="9"/>
  <c r="T189" i="11"/>
  <c r="T690" i="12"/>
  <c r="K332" i="12"/>
  <c r="P601" i="12"/>
  <c r="T762" i="13"/>
  <c r="O62" i="13"/>
  <c r="N44" i="14"/>
  <c r="O44" i="14" s="1"/>
  <c r="L320" i="14"/>
  <c r="O320" i="14" s="1"/>
  <c r="O557" i="13"/>
  <c r="O358" i="13"/>
  <c r="M413" i="14"/>
  <c r="P413" i="14" s="1"/>
  <c r="L266" i="14"/>
  <c r="O266" i="14" s="1"/>
  <c r="T618" i="13"/>
  <c r="O576" i="13"/>
  <c r="K701" i="13"/>
  <c r="T186" i="14"/>
  <c r="M534" i="14"/>
  <c r="P534" i="14" s="1"/>
  <c r="O576" i="14"/>
  <c r="M157" i="13"/>
  <c r="P157" i="13" s="1"/>
  <c r="S117" i="14"/>
  <c r="T117" i="14" s="1"/>
  <c r="Q173" i="14"/>
  <c r="T173" i="14" s="1"/>
  <c r="T175" i="14"/>
  <c r="R493" i="11"/>
  <c r="U493" i="11" s="1"/>
  <c r="P415" i="11"/>
  <c r="O175" i="13"/>
  <c r="Q157" i="14"/>
  <c r="T157" i="14" s="1"/>
  <c r="T188" i="14"/>
  <c r="P359" i="14"/>
  <c r="P173" i="14"/>
  <c r="O578" i="14"/>
  <c r="U690" i="14"/>
  <c r="T619" i="14"/>
  <c r="K82" i="14"/>
  <c r="I70" i="14"/>
  <c r="K70" i="14" s="1"/>
  <c r="O268" i="11"/>
  <c r="N555" i="13"/>
  <c r="P555" i="13" s="1"/>
  <c r="P358" i="13"/>
  <c r="P61" i="13"/>
  <c r="M72" i="13"/>
  <c r="P72" i="13" s="1"/>
  <c r="L282" i="13"/>
  <c r="O282" i="13" s="1"/>
  <c r="P160" i="14"/>
  <c r="L599" i="14"/>
  <c r="O599" i="14" s="1"/>
  <c r="T692" i="13"/>
  <c r="U692" i="14"/>
  <c r="T692" i="14"/>
  <c r="T269" i="13"/>
  <c r="R21" i="14"/>
  <c r="U21" i="14" s="1"/>
  <c r="R20" i="14"/>
  <c r="U23" i="14"/>
  <c r="P19" i="14"/>
  <c r="L24" i="14"/>
  <c r="O24" i="14" s="1"/>
  <c r="O26" i="14"/>
  <c r="Q94" i="14"/>
  <c r="T94" i="14" s="1"/>
  <c r="L232" i="14"/>
  <c r="O243" i="14"/>
  <c r="T377" i="14"/>
  <c r="U377" i="14"/>
  <c r="O23" i="13"/>
  <c r="O601" i="13"/>
  <c r="L599" i="13"/>
  <c r="O599" i="13" s="1"/>
  <c r="P266" i="13"/>
  <c r="R157" i="13"/>
  <c r="U157" i="13" s="1"/>
  <c r="T189" i="13"/>
  <c r="M44" i="14"/>
  <c r="P46" i="14"/>
  <c r="T19" i="14"/>
  <c r="T72" i="14"/>
  <c r="Q139" i="14"/>
  <c r="T139" i="14" s="1"/>
  <c r="T266" i="14"/>
  <c r="L333" i="14"/>
  <c r="O333" i="14" s="1"/>
  <c r="O335" i="14"/>
  <c r="T26" i="14"/>
  <c r="Q24" i="14"/>
  <c r="T24" i="14" s="1"/>
  <c r="T378" i="14"/>
  <c r="U378" i="14"/>
  <c r="Q20" i="13"/>
  <c r="Q18" i="13" s="1"/>
  <c r="P378" i="14"/>
  <c r="U416" i="14"/>
  <c r="L555" i="14"/>
  <c r="O555" i="14" s="1"/>
  <c r="O602" i="13"/>
  <c r="L534" i="14"/>
  <c r="O534" i="14" s="1"/>
  <c r="O536" i="14"/>
  <c r="P188" i="13"/>
  <c r="M186" i="13"/>
  <c r="U693" i="13"/>
  <c r="L232" i="13"/>
  <c r="U96" i="13"/>
  <c r="L20" i="13"/>
  <c r="L18" i="13" s="1"/>
  <c r="M59" i="14"/>
  <c r="P61" i="14"/>
  <c r="P23" i="14"/>
  <c r="M20" i="14"/>
  <c r="M18" i="14" s="1"/>
  <c r="M21" i="14"/>
  <c r="U120" i="14"/>
  <c r="T74" i="14"/>
  <c r="N59" i="14"/>
  <c r="O59" i="14" s="1"/>
  <c r="M266" i="14"/>
  <c r="P266" i="14" s="1"/>
  <c r="O495" i="14"/>
  <c r="L493" i="14"/>
  <c r="O493" i="14" s="1"/>
  <c r="M375" i="13"/>
  <c r="P375" i="13" s="1"/>
  <c r="U268" i="14"/>
  <c r="O515" i="13"/>
  <c r="L513" i="13"/>
  <c r="O513" i="13" s="1"/>
  <c r="P495" i="13"/>
  <c r="M44" i="13"/>
  <c r="P44" i="13" s="1"/>
  <c r="T96" i="13"/>
  <c r="M72" i="14"/>
  <c r="P74" i="14"/>
  <c r="S20" i="14"/>
  <c r="S18" i="14" s="1"/>
  <c r="M24" i="14"/>
  <c r="P24" i="14" s="1"/>
  <c r="O119" i="14"/>
  <c r="L117" i="14"/>
  <c r="O117" i="14" s="1"/>
  <c r="U159" i="14"/>
  <c r="R157" i="14"/>
  <c r="U157" i="14" s="1"/>
  <c r="L173" i="14"/>
  <c r="O173" i="14" s="1"/>
  <c r="Q303" i="14"/>
  <c r="T303" i="14" s="1"/>
  <c r="T268" i="14"/>
  <c r="U495" i="14"/>
  <c r="R493" i="14"/>
  <c r="U493" i="14" s="1"/>
  <c r="R94" i="14"/>
  <c r="U94" i="14" s="1"/>
  <c r="U266" i="14"/>
  <c r="O358" i="14"/>
  <c r="L356" i="14"/>
  <c r="O356" i="14" s="1"/>
  <c r="O268" i="13"/>
  <c r="L266" i="13"/>
  <c r="O266" i="13" s="1"/>
  <c r="P268" i="13"/>
  <c r="U378" i="12"/>
  <c r="P285" i="13"/>
  <c r="Q186" i="13"/>
  <c r="T186" i="13" s="1"/>
  <c r="R24" i="14"/>
  <c r="U24" i="14" s="1"/>
  <c r="U26" i="14"/>
  <c r="U119" i="14"/>
  <c r="R117" i="14"/>
  <c r="N186" i="14"/>
  <c r="P186" i="14" s="1"/>
  <c r="P188" i="14"/>
  <c r="P335" i="14"/>
  <c r="U72" i="14"/>
  <c r="P557" i="14"/>
  <c r="M555" i="14"/>
  <c r="P555" i="14" s="1"/>
  <c r="Q599" i="14"/>
  <c r="T599" i="14" s="1"/>
  <c r="T601" i="14"/>
  <c r="M320" i="13"/>
  <c r="P320" i="13" s="1"/>
  <c r="R728" i="14"/>
  <c r="U730" i="14"/>
  <c r="O173" i="13"/>
  <c r="J412" i="14"/>
  <c r="K412" i="14" s="1"/>
  <c r="K423" i="14"/>
  <c r="R392" i="14"/>
  <c r="U392" i="14" s="1"/>
  <c r="U394" i="14"/>
  <c r="P536" i="13"/>
  <c r="M534" i="13"/>
  <c r="P534" i="13" s="1"/>
  <c r="O159" i="13"/>
  <c r="L157" i="13"/>
  <c r="O157" i="13" s="1"/>
  <c r="P601" i="13"/>
  <c r="M599" i="13"/>
  <c r="P599" i="13" s="1"/>
  <c r="R375" i="13"/>
  <c r="U375" i="13" s="1"/>
  <c r="O578" i="13"/>
  <c r="U21" i="13"/>
  <c r="O26" i="13"/>
  <c r="Q20" i="14"/>
  <c r="Q18" i="14" s="1"/>
  <c r="T23" i="14"/>
  <c r="Q21" i="14"/>
  <c r="T21" i="14" s="1"/>
  <c r="L21" i="14"/>
  <c r="L20" i="14"/>
  <c r="O23" i="14"/>
  <c r="N21" i="14"/>
  <c r="N20" i="14"/>
  <c r="N18" i="14" s="1"/>
  <c r="P142" i="14"/>
  <c r="U74" i="14"/>
  <c r="S375" i="14"/>
  <c r="U375" i="14" s="1"/>
  <c r="K253" i="14"/>
  <c r="I231" i="14"/>
  <c r="M375" i="14"/>
  <c r="P375" i="14" s="1"/>
  <c r="O74" i="13"/>
  <c r="L72" i="13"/>
  <c r="O72" i="13" s="1"/>
  <c r="T119" i="11"/>
  <c r="U303" i="12"/>
  <c r="U266" i="13"/>
  <c r="U26" i="13"/>
  <c r="R20" i="13"/>
  <c r="U119" i="11"/>
  <c r="T619" i="13"/>
  <c r="I231" i="13"/>
  <c r="P141" i="13"/>
  <c r="M139" i="13"/>
  <c r="P139" i="13" s="1"/>
  <c r="O96" i="13"/>
  <c r="L94" i="13"/>
  <c r="O94" i="13" s="1"/>
  <c r="P175" i="13"/>
  <c r="M173" i="13"/>
  <c r="P173" i="13" s="1"/>
  <c r="U268" i="1"/>
  <c r="O96" i="12"/>
  <c r="M59" i="13"/>
  <c r="P59" i="13" s="1"/>
  <c r="U119" i="13"/>
  <c r="R117" i="13"/>
  <c r="U117" i="13" s="1"/>
  <c r="N20" i="13"/>
  <c r="N18" i="13" s="1"/>
  <c r="N24" i="13"/>
  <c r="P24" i="13" s="1"/>
  <c r="U375" i="5"/>
  <c r="R728" i="13"/>
  <c r="U728" i="13" s="1"/>
  <c r="U730" i="13"/>
  <c r="Q392" i="13"/>
  <c r="T392" i="13" s="1"/>
  <c r="T394" i="13"/>
  <c r="Q616" i="13"/>
  <c r="T616" i="13" s="1"/>
  <c r="P284" i="13"/>
  <c r="M282" i="13"/>
  <c r="P282" i="13" s="1"/>
  <c r="O119" i="13"/>
  <c r="L117" i="13"/>
  <c r="O117" i="13" s="1"/>
  <c r="T23" i="13"/>
  <c r="S20" i="13"/>
  <c r="M513" i="13"/>
  <c r="P513" i="13" s="1"/>
  <c r="P515" i="13"/>
  <c r="P26" i="13"/>
  <c r="U23" i="13"/>
  <c r="R375" i="11"/>
  <c r="U375" i="11" s="1"/>
  <c r="P285" i="12"/>
  <c r="T139" i="12"/>
  <c r="L333" i="13"/>
  <c r="O333" i="13" s="1"/>
  <c r="O335" i="13"/>
  <c r="R72" i="13"/>
  <c r="U72" i="13" s="1"/>
  <c r="U74" i="13"/>
  <c r="T119" i="13"/>
  <c r="Q117" i="13"/>
  <c r="T117" i="13" s="1"/>
  <c r="P23" i="13"/>
  <c r="M20" i="13"/>
  <c r="O44" i="13"/>
  <c r="M21" i="13"/>
  <c r="P21" i="13" s="1"/>
  <c r="Q493" i="11"/>
  <c r="T493" i="11" s="1"/>
  <c r="P141" i="11"/>
  <c r="T141" i="12"/>
  <c r="T375" i="5"/>
  <c r="P358" i="11"/>
  <c r="T616" i="12"/>
  <c r="O23" i="11"/>
  <c r="T760" i="12"/>
  <c r="M375" i="12"/>
  <c r="P375" i="12" s="1"/>
  <c r="T266" i="12"/>
  <c r="T74" i="12"/>
  <c r="O282" i="12"/>
  <c r="U269" i="11"/>
  <c r="O413" i="11"/>
  <c r="P495" i="11"/>
  <c r="P189" i="11"/>
  <c r="T305" i="11"/>
  <c r="T142" i="12"/>
  <c r="T303" i="11"/>
  <c r="U188" i="11"/>
  <c r="R642" i="12"/>
  <c r="U642" i="12" s="1"/>
  <c r="P268" i="12"/>
  <c r="P159" i="12"/>
  <c r="U375" i="12"/>
  <c r="Q24" i="12"/>
  <c r="T24" i="12" s="1"/>
  <c r="T416" i="11"/>
  <c r="U97" i="11"/>
  <c r="O413" i="12"/>
  <c r="U415" i="12"/>
  <c r="O415" i="11"/>
  <c r="O495" i="12"/>
  <c r="O186" i="12"/>
  <c r="P74" i="11"/>
  <c r="Q392" i="12"/>
  <c r="T392" i="12" s="1"/>
  <c r="I71" i="12"/>
  <c r="K71" i="12" s="1"/>
  <c r="P141" i="12"/>
  <c r="P188" i="12"/>
  <c r="R599" i="12"/>
  <c r="U599" i="12" s="1"/>
  <c r="T159" i="12"/>
  <c r="Q157" i="12"/>
  <c r="T157" i="12" s="1"/>
  <c r="U94" i="11"/>
  <c r="S72" i="11"/>
  <c r="U72" i="11" s="1"/>
  <c r="R728" i="12"/>
  <c r="U728" i="12" s="1"/>
  <c r="L555" i="12"/>
  <c r="O555" i="12" s="1"/>
  <c r="M186" i="12"/>
  <c r="P186" i="12" s="1"/>
  <c r="M94" i="12"/>
  <c r="P94" i="12" s="1"/>
  <c r="Q266" i="11"/>
  <c r="T266" i="11" s="1"/>
  <c r="P61" i="12"/>
  <c r="T188" i="12"/>
  <c r="O59" i="12"/>
  <c r="U616" i="12"/>
  <c r="O188" i="12"/>
  <c r="T378" i="12"/>
  <c r="R266" i="11"/>
  <c r="U266" i="11" s="1"/>
  <c r="O268" i="12"/>
  <c r="Q20" i="11"/>
  <c r="Q18" i="11" s="1"/>
  <c r="U74" i="12"/>
  <c r="R690" i="12"/>
  <c r="U690" i="12" s="1"/>
  <c r="R24" i="12"/>
  <c r="U24" i="12" s="1"/>
  <c r="R157" i="11"/>
  <c r="U157" i="11" s="1"/>
  <c r="T413" i="12"/>
  <c r="R157" i="12"/>
  <c r="U157" i="12" s="1"/>
  <c r="T690" i="11"/>
  <c r="T415" i="11"/>
  <c r="R20" i="12"/>
  <c r="R18" i="12" s="1"/>
  <c r="L20" i="12"/>
  <c r="L18" i="12" s="1"/>
  <c r="T119" i="12"/>
  <c r="T117" i="12"/>
  <c r="U96" i="11"/>
  <c r="L94" i="11"/>
  <c r="O94" i="11" s="1"/>
  <c r="O305" i="12"/>
  <c r="U413" i="12"/>
  <c r="U96" i="12"/>
  <c r="O415" i="12"/>
  <c r="Q642" i="12"/>
  <c r="T642" i="12" s="1"/>
  <c r="O335" i="12"/>
  <c r="R173" i="12"/>
  <c r="U173" i="12" s="1"/>
  <c r="P173" i="12"/>
  <c r="R616" i="11"/>
  <c r="U616" i="11" s="1"/>
  <c r="O284" i="11"/>
  <c r="P266" i="11"/>
  <c r="T692" i="11"/>
  <c r="U268" i="12"/>
  <c r="U266" i="12"/>
  <c r="O173" i="12"/>
  <c r="L375" i="12"/>
  <c r="O375" i="12" s="1"/>
  <c r="O377" i="12"/>
  <c r="O175" i="12"/>
  <c r="O24" i="12"/>
  <c r="T268" i="12"/>
  <c r="M117" i="12"/>
  <c r="P117" i="12" s="1"/>
  <c r="R24" i="11"/>
  <c r="U24" i="11" s="1"/>
  <c r="Q392" i="11"/>
  <c r="T392" i="11" s="1"/>
  <c r="Q24" i="11"/>
  <c r="T24" i="11" s="1"/>
  <c r="Q413" i="11"/>
  <c r="T413" i="11" s="1"/>
  <c r="M139" i="12"/>
  <c r="P139" i="12" s="1"/>
  <c r="O74" i="12"/>
  <c r="P74" i="12"/>
  <c r="K332" i="11"/>
  <c r="P268" i="11"/>
  <c r="R139" i="11"/>
  <c r="U139" i="11" s="1"/>
  <c r="P47" i="11"/>
  <c r="P142" i="12"/>
  <c r="U618" i="12"/>
  <c r="O65" i="12"/>
  <c r="L139" i="12"/>
  <c r="O139" i="12" s="1"/>
  <c r="O141" i="12"/>
  <c r="U763" i="11"/>
  <c r="T97" i="11"/>
  <c r="P356" i="11"/>
  <c r="T644" i="11"/>
  <c r="P46" i="11"/>
  <c r="O578" i="12"/>
  <c r="T762" i="12"/>
  <c r="N333" i="12"/>
  <c r="R493" i="12"/>
  <c r="U493" i="12" s="1"/>
  <c r="U763" i="12"/>
  <c r="M157" i="12"/>
  <c r="P157" i="12" s="1"/>
  <c r="P59" i="12"/>
  <c r="O159" i="12"/>
  <c r="L157" i="12"/>
  <c r="O157" i="12" s="1"/>
  <c r="M72" i="12"/>
  <c r="P72" i="12" s="1"/>
  <c r="Q173" i="12"/>
  <c r="T173" i="12" s="1"/>
  <c r="T175" i="12"/>
  <c r="K423" i="12"/>
  <c r="I412" i="12"/>
  <c r="K412" i="12" s="1"/>
  <c r="T601" i="11"/>
  <c r="T619" i="11"/>
  <c r="O536" i="11"/>
  <c r="I70" i="11"/>
  <c r="K70" i="11" s="1"/>
  <c r="P61" i="11"/>
  <c r="P284" i="11"/>
  <c r="U762" i="12"/>
  <c r="M513" i="12"/>
  <c r="P513" i="12" s="1"/>
  <c r="P284" i="12"/>
  <c r="T618" i="12"/>
  <c r="N266" i="12"/>
  <c r="P266" i="12" s="1"/>
  <c r="T415" i="12"/>
  <c r="L266" i="12"/>
  <c r="P415" i="12"/>
  <c r="M413" i="12"/>
  <c r="P413" i="12" s="1"/>
  <c r="L599" i="12"/>
  <c r="O599" i="12" s="1"/>
  <c r="O61" i="12"/>
  <c r="P46" i="12"/>
  <c r="S599" i="1"/>
  <c r="T642" i="11"/>
  <c r="T760" i="11"/>
  <c r="M375" i="11"/>
  <c r="P375" i="11" s="1"/>
  <c r="Q21" i="11"/>
  <c r="T21" i="11" s="1"/>
  <c r="U619" i="11"/>
  <c r="P416" i="11"/>
  <c r="O284" i="12"/>
  <c r="L21" i="12"/>
  <c r="P495" i="12"/>
  <c r="M493" i="12"/>
  <c r="P493" i="12" s="1"/>
  <c r="U141" i="12"/>
  <c r="R139" i="12"/>
  <c r="U139" i="12" s="1"/>
  <c r="P24" i="12"/>
  <c r="O142" i="12"/>
  <c r="L493" i="11"/>
  <c r="O493" i="11" s="1"/>
  <c r="P26" i="12"/>
  <c r="P175" i="12"/>
  <c r="T96" i="11"/>
  <c r="U416" i="11"/>
  <c r="L72" i="12"/>
  <c r="O72" i="12" s="1"/>
  <c r="O356" i="11"/>
  <c r="O46" i="12"/>
  <c r="S21" i="12"/>
  <c r="T21" i="12" s="1"/>
  <c r="S20" i="12"/>
  <c r="S18" i="12" s="1"/>
  <c r="U23" i="12"/>
  <c r="O26" i="12"/>
  <c r="P578" i="12"/>
  <c r="M576" i="12"/>
  <c r="P576" i="12" s="1"/>
  <c r="R303" i="11"/>
  <c r="U303" i="11" s="1"/>
  <c r="O358" i="12"/>
  <c r="P359" i="12"/>
  <c r="T495" i="12"/>
  <c r="Q493" i="12"/>
  <c r="T493" i="12" s="1"/>
  <c r="K374" i="12"/>
  <c r="M282" i="12"/>
  <c r="P282" i="12" s="1"/>
  <c r="T186" i="12"/>
  <c r="K82" i="12"/>
  <c r="I70" i="12"/>
  <c r="K70" i="12" s="1"/>
  <c r="Q72" i="12"/>
  <c r="T72" i="12" s="1"/>
  <c r="L534" i="12"/>
  <c r="O534" i="12" s="1"/>
  <c r="O536" i="12"/>
  <c r="M21" i="12"/>
  <c r="P23" i="12"/>
  <c r="M20" i="12"/>
  <c r="O305" i="11"/>
  <c r="Q117" i="11"/>
  <c r="T117" i="11" s="1"/>
  <c r="P358" i="12"/>
  <c r="M320" i="12"/>
  <c r="P320" i="12" s="1"/>
  <c r="P322" i="12"/>
  <c r="L320" i="12"/>
  <c r="O320" i="12" s="1"/>
  <c r="O322" i="12"/>
  <c r="M333" i="12"/>
  <c r="P335" i="12"/>
  <c r="O119" i="12"/>
  <c r="L117" i="12"/>
  <c r="O117" i="12" s="1"/>
  <c r="Q20" i="12"/>
  <c r="T23" i="12"/>
  <c r="M59" i="11"/>
  <c r="P59" i="11" s="1"/>
  <c r="O358" i="11"/>
  <c r="Q599" i="12"/>
  <c r="T599" i="12" s="1"/>
  <c r="T601" i="12"/>
  <c r="P557" i="12"/>
  <c r="M555" i="12"/>
  <c r="P555" i="12" s="1"/>
  <c r="P356" i="12"/>
  <c r="R186" i="12"/>
  <c r="U186" i="12" s="1"/>
  <c r="U188" i="12"/>
  <c r="N20" i="12"/>
  <c r="N21" i="12"/>
  <c r="O21" i="12" s="1"/>
  <c r="P44" i="12"/>
  <c r="T730" i="11"/>
  <c r="L555" i="11"/>
  <c r="O555" i="11" s="1"/>
  <c r="T74" i="11"/>
  <c r="U760" i="12"/>
  <c r="P536" i="12"/>
  <c r="M534" i="12"/>
  <c r="P534" i="12" s="1"/>
  <c r="L576" i="12"/>
  <c r="O576" i="12" s="1"/>
  <c r="O356" i="12"/>
  <c r="O515" i="12"/>
  <c r="L513" i="12"/>
  <c r="O513" i="12" s="1"/>
  <c r="O44" i="12"/>
  <c r="T305" i="12"/>
  <c r="Q303" i="12"/>
  <c r="T303" i="12" s="1"/>
  <c r="U119" i="12"/>
  <c r="R117" i="12"/>
  <c r="U117" i="12" s="1"/>
  <c r="O23" i="12"/>
  <c r="O254" i="12"/>
  <c r="L232" i="12"/>
  <c r="P303" i="11"/>
  <c r="M117" i="11"/>
  <c r="P117" i="11" s="1"/>
  <c r="O335" i="11"/>
  <c r="P305" i="11"/>
  <c r="T693" i="12"/>
  <c r="U693" i="12"/>
  <c r="P305" i="12"/>
  <c r="M303" i="12"/>
  <c r="P303" i="12" s="1"/>
  <c r="T96" i="12"/>
  <c r="Q94" i="12"/>
  <c r="T94" i="12" s="1"/>
  <c r="K242" i="12"/>
  <c r="I231" i="12"/>
  <c r="R72" i="12"/>
  <c r="U72" i="12" s="1"/>
  <c r="L282" i="11"/>
  <c r="O282" i="11" s="1"/>
  <c r="R20" i="11"/>
  <c r="R18" i="11" s="1"/>
  <c r="L576" i="11"/>
  <c r="O576" i="11" s="1"/>
  <c r="P515" i="11"/>
  <c r="M513" i="11"/>
  <c r="P513" i="11" s="1"/>
  <c r="L375" i="11"/>
  <c r="O375" i="11" s="1"/>
  <c r="O377" i="11"/>
  <c r="L266" i="11"/>
  <c r="O266" i="11" s="1"/>
  <c r="L24" i="11"/>
  <c r="O24" i="11" s="1"/>
  <c r="O160" i="11"/>
  <c r="U23" i="11"/>
  <c r="L186" i="11"/>
  <c r="O186" i="11" s="1"/>
  <c r="M320" i="11"/>
  <c r="P320" i="11" s="1"/>
  <c r="U644" i="11"/>
  <c r="L232" i="11"/>
  <c r="L303" i="11"/>
  <c r="O303" i="11" s="1"/>
  <c r="U415" i="11"/>
  <c r="R413" i="11"/>
  <c r="U413" i="11" s="1"/>
  <c r="Q72" i="11"/>
  <c r="U693" i="11"/>
  <c r="L534" i="11"/>
  <c r="O534" i="11" s="1"/>
  <c r="M413" i="11"/>
  <c r="P413" i="11" s="1"/>
  <c r="M282" i="11"/>
  <c r="P282" i="11" s="1"/>
  <c r="U120" i="11"/>
  <c r="T23" i="11"/>
  <c r="U642" i="11"/>
  <c r="U175" i="11"/>
  <c r="R173" i="11"/>
  <c r="U173" i="11" s="1"/>
  <c r="U692" i="11"/>
  <c r="R690" i="11"/>
  <c r="U690" i="11" s="1"/>
  <c r="P96" i="11"/>
  <c r="M94" i="11"/>
  <c r="P94" i="11" s="1"/>
  <c r="P601" i="11"/>
  <c r="M599" i="11"/>
  <c r="P599" i="11" s="1"/>
  <c r="U601" i="11"/>
  <c r="R599" i="11"/>
  <c r="U599" i="11" s="1"/>
  <c r="K83" i="11"/>
  <c r="I71" i="11"/>
  <c r="K71" i="11" s="1"/>
  <c r="L513" i="11"/>
  <c r="O513" i="11" s="1"/>
  <c r="T731" i="11"/>
  <c r="P534" i="11"/>
  <c r="O601" i="11"/>
  <c r="L599" i="11"/>
  <c r="O599" i="11" s="1"/>
  <c r="T306" i="11"/>
  <c r="Q94" i="11"/>
  <c r="T94" i="11" s="1"/>
  <c r="U21" i="11"/>
  <c r="O243" i="11"/>
  <c r="L139" i="11"/>
  <c r="O139" i="11" s="1"/>
  <c r="O141" i="11"/>
  <c r="P578" i="11"/>
  <c r="M576" i="11"/>
  <c r="P576" i="11" s="1"/>
  <c r="R186" i="11"/>
  <c r="U186" i="11" s="1"/>
  <c r="N21" i="11"/>
  <c r="P21" i="11" s="1"/>
  <c r="N20" i="11"/>
  <c r="N18" i="11" s="1"/>
  <c r="P72" i="11"/>
  <c r="P536" i="11"/>
  <c r="T377" i="11"/>
  <c r="Q375" i="11"/>
  <c r="T375" i="11" s="1"/>
  <c r="L20" i="11"/>
  <c r="M555" i="11"/>
  <c r="P555" i="11" s="1"/>
  <c r="P557" i="11"/>
  <c r="O74" i="11"/>
  <c r="L72" i="11"/>
  <c r="O72" i="11" s="1"/>
  <c r="T762" i="11"/>
  <c r="T159" i="11"/>
  <c r="Q157" i="11"/>
  <c r="T157" i="11" s="1"/>
  <c r="T188" i="11"/>
  <c r="Q186" i="11"/>
  <c r="T186" i="11" s="1"/>
  <c r="L117" i="11"/>
  <c r="O117" i="11" s="1"/>
  <c r="N173" i="11"/>
  <c r="O175" i="11"/>
  <c r="P175" i="11"/>
  <c r="P188" i="11"/>
  <c r="M186" i="11"/>
  <c r="P186" i="11" s="1"/>
  <c r="T141" i="11"/>
  <c r="Q139" i="11"/>
  <c r="T139" i="11" s="1"/>
  <c r="U760" i="11"/>
  <c r="R392" i="11"/>
  <c r="U392" i="11" s="1"/>
  <c r="U394" i="11"/>
  <c r="O333" i="11"/>
  <c r="N157" i="11"/>
  <c r="O159" i="11"/>
  <c r="P159" i="11"/>
  <c r="K242" i="11"/>
  <c r="I231" i="11"/>
  <c r="L320" i="11"/>
  <c r="O320" i="11" s="1"/>
  <c r="O322" i="11"/>
  <c r="U762" i="11"/>
  <c r="Q616" i="11"/>
  <c r="T616" i="11" s="1"/>
  <c r="T618" i="11"/>
  <c r="M333" i="11"/>
  <c r="P333" i="11" s="1"/>
  <c r="P335" i="11"/>
  <c r="L59" i="11"/>
  <c r="O59" i="11" s="1"/>
  <c r="O61" i="11"/>
  <c r="O269" i="11"/>
  <c r="M139" i="11"/>
  <c r="P139" i="11" s="1"/>
  <c r="O336" i="11"/>
  <c r="S20" i="11"/>
  <c r="S18" i="11" s="1"/>
  <c r="R117" i="11"/>
  <c r="U117" i="11" s="1"/>
  <c r="T175" i="11"/>
  <c r="Q173" i="11"/>
  <c r="T173" i="11" s="1"/>
  <c r="R728" i="11"/>
  <c r="U728" i="11" s="1"/>
  <c r="U730" i="11"/>
  <c r="L44" i="11"/>
  <c r="O46" i="11"/>
  <c r="P44" i="11"/>
  <c r="P23" i="11"/>
  <c r="M20" i="11"/>
  <c r="M24" i="11"/>
  <c r="P24" i="11" s="1"/>
  <c r="T23" i="10"/>
  <c r="Q616" i="10"/>
  <c r="T616" i="10" s="1"/>
  <c r="T416" i="6"/>
  <c r="U188" i="9"/>
  <c r="T119" i="10"/>
  <c r="L266" i="1"/>
  <c r="U306" i="10"/>
  <c r="P175" i="9"/>
  <c r="L599" i="10"/>
  <c r="O599" i="10" s="1"/>
  <c r="L320" i="10"/>
  <c r="O320" i="10" s="1"/>
  <c r="P333" i="9"/>
  <c r="O335" i="9"/>
  <c r="O578" i="9"/>
  <c r="O65" i="10"/>
  <c r="L534" i="9"/>
  <c r="O534" i="9" s="1"/>
  <c r="U378" i="10"/>
  <c r="O415" i="10"/>
  <c r="P268" i="9"/>
  <c r="M513" i="10"/>
  <c r="P513" i="10" s="1"/>
  <c r="T413" i="9"/>
  <c r="O282" i="10"/>
  <c r="T377" i="9"/>
  <c r="S20" i="9"/>
  <c r="S18" i="9" s="1"/>
  <c r="M555" i="9"/>
  <c r="P555" i="9" s="1"/>
  <c r="L513" i="10"/>
  <c r="O513" i="10" s="1"/>
  <c r="S333" i="1"/>
  <c r="M576" i="10"/>
  <c r="P576" i="10" s="1"/>
  <c r="U619" i="10"/>
  <c r="L413" i="10"/>
  <c r="O413" i="10" s="1"/>
  <c r="T375" i="10"/>
  <c r="T619" i="10"/>
  <c r="L555" i="10"/>
  <c r="O555" i="10" s="1"/>
  <c r="Q642" i="10"/>
  <c r="T642" i="10" s="1"/>
  <c r="I71" i="9"/>
  <c r="K71" i="9" s="1"/>
  <c r="L303" i="10"/>
  <c r="O303" i="10" s="1"/>
  <c r="T74" i="10"/>
  <c r="P335" i="9"/>
  <c r="P74" i="10"/>
  <c r="U189" i="9"/>
  <c r="L117" i="10"/>
  <c r="O117" i="10" s="1"/>
  <c r="P268" i="10"/>
  <c r="M493" i="10"/>
  <c r="P493" i="10" s="1"/>
  <c r="T189" i="9"/>
  <c r="K82" i="9"/>
  <c r="O74" i="10"/>
  <c r="U117" i="10"/>
  <c r="T644" i="9"/>
  <c r="T731" i="10"/>
  <c r="U413" i="10"/>
  <c r="P61" i="10"/>
  <c r="P413" i="10"/>
  <c r="O284" i="9"/>
  <c r="K701" i="9"/>
  <c r="U305" i="10"/>
  <c r="L157" i="10"/>
  <c r="O157" i="10" s="1"/>
  <c r="P186" i="10"/>
  <c r="U731" i="9"/>
  <c r="P284" i="9"/>
  <c r="T415" i="10"/>
  <c r="T306" i="10"/>
  <c r="U618" i="9"/>
  <c r="P159" i="9"/>
  <c r="U644" i="9"/>
  <c r="K701" i="10"/>
  <c r="U375" i="10"/>
  <c r="O188" i="10"/>
  <c r="P415" i="10"/>
  <c r="M139" i="10"/>
  <c r="P139" i="10" s="1"/>
  <c r="O322" i="9"/>
  <c r="Q139" i="9"/>
  <c r="T139" i="9" s="1"/>
  <c r="M24" i="9"/>
  <c r="P24" i="9" s="1"/>
  <c r="P188" i="10"/>
  <c r="O61" i="10"/>
  <c r="Q20" i="10"/>
  <c r="Q18" i="10" s="1"/>
  <c r="Q173" i="10"/>
  <c r="T173" i="10" s="1"/>
  <c r="R599" i="10"/>
  <c r="U599" i="10" s="1"/>
  <c r="R173" i="10"/>
  <c r="U173" i="10" s="1"/>
  <c r="O284" i="10"/>
  <c r="O173" i="10"/>
  <c r="R139" i="10"/>
  <c r="U139" i="10" s="1"/>
  <c r="R642" i="9"/>
  <c r="U642" i="9" s="1"/>
  <c r="U266" i="10"/>
  <c r="T266" i="10"/>
  <c r="U269" i="9"/>
  <c r="P358" i="9"/>
  <c r="R493" i="10"/>
  <c r="U493" i="10" s="1"/>
  <c r="N20" i="10"/>
  <c r="N18" i="10" s="1"/>
  <c r="P159" i="10"/>
  <c r="Q24" i="10"/>
  <c r="T24" i="10" s="1"/>
  <c r="O61" i="9"/>
  <c r="T305" i="9"/>
  <c r="O285" i="10"/>
  <c r="K83" i="10"/>
  <c r="Q413" i="10"/>
  <c r="T413" i="10" s="1"/>
  <c r="U305" i="9"/>
  <c r="U119" i="10"/>
  <c r="T377" i="10"/>
  <c r="P285" i="10"/>
  <c r="M117" i="10"/>
  <c r="P117" i="10" s="1"/>
  <c r="O175" i="10"/>
  <c r="T730" i="9"/>
  <c r="T266" i="9"/>
  <c r="U415" i="10"/>
  <c r="O268" i="9"/>
  <c r="O415" i="9"/>
  <c r="P23" i="9"/>
  <c r="M72" i="9"/>
  <c r="P72" i="9" s="1"/>
  <c r="L576" i="10"/>
  <c r="O576" i="10" s="1"/>
  <c r="P358" i="10"/>
  <c r="P75" i="10"/>
  <c r="M59" i="10"/>
  <c r="P59" i="10" s="1"/>
  <c r="Q392" i="9"/>
  <c r="T392" i="9" s="1"/>
  <c r="N356" i="9"/>
  <c r="P356" i="9" s="1"/>
  <c r="T645" i="9"/>
  <c r="U730" i="10"/>
  <c r="U618" i="10"/>
  <c r="M534" i="10"/>
  <c r="P534" i="10" s="1"/>
  <c r="U415" i="9"/>
  <c r="L94" i="9"/>
  <c r="O94" i="9" s="1"/>
  <c r="M282" i="9"/>
  <c r="P282" i="9" s="1"/>
  <c r="L117" i="9"/>
  <c r="O117" i="9" s="1"/>
  <c r="I412" i="9"/>
  <c r="K412" i="9" s="1"/>
  <c r="T690" i="10"/>
  <c r="L72" i="10"/>
  <c r="O72" i="10" s="1"/>
  <c r="M72" i="10"/>
  <c r="P72" i="10" s="1"/>
  <c r="Q157" i="10"/>
  <c r="T157" i="10" s="1"/>
  <c r="U762" i="9"/>
  <c r="T731" i="9"/>
  <c r="P176" i="9"/>
  <c r="T306" i="9"/>
  <c r="P336" i="9"/>
  <c r="T692" i="10"/>
  <c r="P359" i="10"/>
  <c r="T730" i="10"/>
  <c r="O59" i="10"/>
  <c r="R24" i="9"/>
  <c r="U24" i="9" s="1"/>
  <c r="T728" i="10"/>
  <c r="K374" i="9"/>
  <c r="T416" i="9"/>
  <c r="U159" i="9"/>
  <c r="K374" i="10"/>
  <c r="Q392" i="10"/>
  <c r="T392" i="10" s="1"/>
  <c r="U268" i="10"/>
  <c r="O358" i="10"/>
  <c r="L356" i="10"/>
  <c r="O356" i="10" s="1"/>
  <c r="L333" i="9"/>
  <c r="O333" i="9" s="1"/>
  <c r="R728" i="10"/>
  <c r="U728" i="10" s="1"/>
  <c r="O96" i="10"/>
  <c r="L94" i="10"/>
  <c r="O94" i="10" s="1"/>
  <c r="L72" i="9"/>
  <c r="O72" i="9" s="1"/>
  <c r="L139" i="10"/>
  <c r="O139" i="10" s="1"/>
  <c r="T268" i="10"/>
  <c r="L493" i="10"/>
  <c r="O493" i="10" s="1"/>
  <c r="T96" i="10"/>
  <c r="T415" i="9"/>
  <c r="Q599" i="10"/>
  <c r="T599" i="10" s="1"/>
  <c r="O26" i="10"/>
  <c r="T188" i="10"/>
  <c r="M375" i="10"/>
  <c r="P375" i="10" s="1"/>
  <c r="P322" i="10"/>
  <c r="M320" i="10"/>
  <c r="P320" i="10" s="1"/>
  <c r="P601" i="10"/>
  <c r="M599" i="10"/>
  <c r="P599" i="10" s="1"/>
  <c r="S72" i="10"/>
  <c r="T72" i="10" s="1"/>
  <c r="T692" i="9"/>
  <c r="U306" i="9"/>
  <c r="O536" i="10"/>
  <c r="L534" i="10"/>
  <c r="O534" i="10" s="1"/>
  <c r="Q186" i="10"/>
  <c r="T186" i="10" s="1"/>
  <c r="M266" i="10"/>
  <c r="P266" i="10" s="1"/>
  <c r="U74" i="10"/>
  <c r="O268" i="10"/>
  <c r="L266" i="10"/>
  <c r="O266" i="10" s="1"/>
  <c r="L232" i="10"/>
  <c r="O243" i="10"/>
  <c r="P23" i="10"/>
  <c r="M20" i="10"/>
  <c r="M21" i="10"/>
  <c r="P21" i="10" s="1"/>
  <c r="L186" i="10"/>
  <c r="O186" i="10" s="1"/>
  <c r="R186" i="9"/>
  <c r="U186" i="9" s="1"/>
  <c r="R72" i="9"/>
  <c r="U72" i="9" s="1"/>
  <c r="Q760" i="10"/>
  <c r="T760" i="10" s="1"/>
  <c r="T762" i="10"/>
  <c r="U189" i="10"/>
  <c r="M44" i="10"/>
  <c r="P46" i="10"/>
  <c r="L44" i="10"/>
  <c r="O46" i="10"/>
  <c r="L333" i="10"/>
  <c r="O333" i="10" s="1"/>
  <c r="O335" i="10"/>
  <c r="L375" i="10"/>
  <c r="O375" i="10" s="1"/>
  <c r="O377" i="10"/>
  <c r="Q117" i="10"/>
  <c r="T117" i="10" s="1"/>
  <c r="S117" i="1"/>
  <c r="T375" i="9"/>
  <c r="R690" i="10"/>
  <c r="U690" i="10" s="1"/>
  <c r="U692" i="10"/>
  <c r="M356" i="10"/>
  <c r="P356" i="10" s="1"/>
  <c r="S303" i="10"/>
  <c r="U303" i="10" s="1"/>
  <c r="T305" i="10"/>
  <c r="O416" i="10"/>
  <c r="M333" i="10"/>
  <c r="P333" i="10" s="1"/>
  <c r="P335" i="10"/>
  <c r="U188" i="10"/>
  <c r="R186" i="10"/>
  <c r="U186" i="10" s="1"/>
  <c r="R24" i="10"/>
  <c r="U24" i="10" s="1"/>
  <c r="U26" i="10"/>
  <c r="Q139" i="10"/>
  <c r="T139" i="10" s="1"/>
  <c r="T141" i="10"/>
  <c r="U690" i="9"/>
  <c r="U416" i="9"/>
  <c r="U644" i="10"/>
  <c r="R642" i="10"/>
  <c r="U642" i="10" s="1"/>
  <c r="N157" i="10"/>
  <c r="P157" i="10" s="1"/>
  <c r="I70" i="10"/>
  <c r="K70" i="10" s="1"/>
  <c r="K82" i="10"/>
  <c r="P175" i="10"/>
  <c r="M173" i="10"/>
  <c r="P173" i="10" s="1"/>
  <c r="P96" i="10"/>
  <c r="M94" i="10"/>
  <c r="P94" i="10" s="1"/>
  <c r="R21" i="10"/>
  <c r="U23" i="10"/>
  <c r="R20" i="10"/>
  <c r="K242" i="10"/>
  <c r="I231" i="10"/>
  <c r="M303" i="10"/>
  <c r="P303" i="10" s="1"/>
  <c r="P305" i="10"/>
  <c r="S20" i="10"/>
  <c r="S18" i="10" s="1"/>
  <c r="S21" i="10"/>
  <c r="T21" i="10" s="1"/>
  <c r="L21" i="10"/>
  <c r="O21" i="10" s="1"/>
  <c r="O23" i="10"/>
  <c r="L20" i="10"/>
  <c r="U96" i="10"/>
  <c r="T97" i="10"/>
  <c r="Q760" i="9"/>
  <c r="T760" i="9" s="1"/>
  <c r="R413" i="9"/>
  <c r="U413" i="9" s="1"/>
  <c r="O186" i="9"/>
  <c r="P557" i="10"/>
  <c r="M555" i="10"/>
  <c r="P555" i="10" s="1"/>
  <c r="M282" i="10"/>
  <c r="P282" i="10" s="1"/>
  <c r="P284" i="10"/>
  <c r="P26" i="10"/>
  <c r="N24" i="10"/>
  <c r="P24" i="10" s="1"/>
  <c r="U94" i="10"/>
  <c r="T94" i="10"/>
  <c r="Q493" i="9"/>
  <c r="T493" i="9" s="1"/>
  <c r="Q72" i="9"/>
  <c r="T72" i="9" s="1"/>
  <c r="S21" i="9"/>
  <c r="R616" i="9"/>
  <c r="U616" i="9" s="1"/>
  <c r="P186" i="9"/>
  <c r="U645" i="9"/>
  <c r="M375" i="9"/>
  <c r="P375" i="9" s="1"/>
  <c r="P377" i="9"/>
  <c r="M493" i="9"/>
  <c r="P493" i="9" s="1"/>
  <c r="N266" i="9"/>
  <c r="P266" i="9" s="1"/>
  <c r="U94" i="9"/>
  <c r="U141" i="9"/>
  <c r="R139" i="9"/>
  <c r="U139" i="9" s="1"/>
  <c r="P96" i="9"/>
  <c r="M94" i="9"/>
  <c r="P94" i="9" s="1"/>
  <c r="R392" i="9"/>
  <c r="U392" i="9" s="1"/>
  <c r="P61" i="9"/>
  <c r="M20" i="9"/>
  <c r="M18" i="9" s="1"/>
  <c r="U692" i="9"/>
  <c r="L24" i="9"/>
  <c r="O24" i="9" s="1"/>
  <c r="R173" i="9"/>
  <c r="U173" i="9" s="1"/>
  <c r="U175" i="9"/>
  <c r="U23" i="9"/>
  <c r="R20" i="9"/>
  <c r="P601" i="9"/>
  <c r="M599" i="9"/>
  <c r="P599" i="9" s="1"/>
  <c r="N21" i="9"/>
  <c r="P21" i="9" s="1"/>
  <c r="N20" i="9"/>
  <c r="N18" i="9" s="1"/>
  <c r="R303" i="9"/>
  <c r="U303" i="9" s="1"/>
  <c r="P188" i="9"/>
  <c r="L139" i="9"/>
  <c r="O139" i="9" s="1"/>
  <c r="Q303" i="9"/>
  <c r="T303" i="9" s="1"/>
  <c r="R21" i="9"/>
  <c r="T268" i="9"/>
  <c r="L20" i="9"/>
  <c r="Q642" i="9"/>
  <c r="T642" i="9" s="1"/>
  <c r="O188" i="9"/>
  <c r="O23" i="9"/>
  <c r="O495" i="9"/>
  <c r="L493" i="9"/>
  <c r="O493" i="9" s="1"/>
  <c r="U495" i="9"/>
  <c r="R493" i="9"/>
  <c r="U493" i="9" s="1"/>
  <c r="Q599" i="9"/>
  <c r="T599" i="9" s="1"/>
  <c r="T601" i="9"/>
  <c r="P515" i="9"/>
  <c r="M513" i="9"/>
  <c r="P513" i="9" s="1"/>
  <c r="O377" i="9"/>
  <c r="L375" i="9"/>
  <c r="O375" i="9" s="1"/>
  <c r="O243" i="9"/>
  <c r="L232" i="9"/>
  <c r="O269" i="9"/>
  <c r="M173" i="9"/>
  <c r="P173" i="9" s="1"/>
  <c r="M117" i="9"/>
  <c r="P117" i="9" s="1"/>
  <c r="T175" i="9"/>
  <c r="Q173" i="9"/>
  <c r="T173" i="9" s="1"/>
  <c r="P59" i="9"/>
  <c r="L266" i="9"/>
  <c r="P578" i="9"/>
  <c r="M576" i="9"/>
  <c r="P576" i="9" s="1"/>
  <c r="O358" i="9"/>
  <c r="L356" i="9"/>
  <c r="U96" i="9"/>
  <c r="M303" i="9"/>
  <c r="P303" i="9" s="1"/>
  <c r="T96" i="9"/>
  <c r="L282" i="9"/>
  <c r="O282" i="9" s="1"/>
  <c r="T618" i="9"/>
  <c r="Q616" i="9"/>
  <c r="T616" i="9" s="1"/>
  <c r="L303" i="9"/>
  <c r="O303" i="9" s="1"/>
  <c r="L413" i="9"/>
  <c r="O413" i="9" s="1"/>
  <c r="O159" i="9"/>
  <c r="L157" i="9"/>
  <c r="O157" i="9" s="1"/>
  <c r="T159" i="9"/>
  <c r="Q157" i="9"/>
  <c r="T157" i="9" s="1"/>
  <c r="T94" i="9"/>
  <c r="M44" i="9"/>
  <c r="P46" i="9"/>
  <c r="M413" i="9"/>
  <c r="P413" i="9" s="1"/>
  <c r="R599" i="9"/>
  <c r="U599" i="9" s="1"/>
  <c r="U601" i="9"/>
  <c r="L599" i="9"/>
  <c r="O599" i="9" s="1"/>
  <c r="O601" i="9"/>
  <c r="U377" i="9"/>
  <c r="R375" i="9"/>
  <c r="U375" i="9" s="1"/>
  <c r="T188" i="9"/>
  <c r="Q186" i="9"/>
  <c r="T186" i="9" s="1"/>
  <c r="M157" i="9"/>
  <c r="P157" i="9" s="1"/>
  <c r="M139" i="9"/>
  <c r="P139" i="9" s="1"/>
  <c r="P141" i="9"/>
  <c r="Q24" i="9"/>
  <c r="T24" i="9" s="1"/>
  <c r="T26" i="9"/>
  <c r="L59" i="9"/>
  <c r="O59" i="9" s="1"/>
  <c r="T763" i="9"/>
  <c r="U763" i="9"/>
  <c r="P536" i="9"/>
  <c r="M534" i="9"/>
  <c r="P534" i="9" s="1"/>
  <c r="L555" i="9"/>
  <c r="O555" i="9" s="1"/>
  <c r="Q690" i="9"/>
  <c r="T690" i="9" s="1"/>
  <c r="U268" i="9"/>
  <c r="R266" i="9"/>
  <c r="U266" i="9" s="1"/>
  <c r="P322" i="9"/>
  <c r="M320" i="9"/>
  <c r="P320" i="9" s="1"/>
  <c r="I185" i="9"/>
  <c r="K185" i="9" s="1"/>
  <c r="O515" i="9"/>
  <c r="L513" i="9"/>
  <c r="O513" i="9" s="1"/>
  <c r="O175" i="9"/>
  <c r="L173" i="9"/>
  <c r="O173" i="9" s="1"/>
  <c r="U119" i="9"/>
  <c r="R117" i="9"/>
  <c r="U117" i="9" s="1"/>
  <c r="T119" i="9"/>
  <c r="Q117" i="9"/>
  <c r="T117" i="9" s="1"/>
  <c r="L44" i="9"/>
  <c r="O46" i="9"/>
  <c r="Q21" i="9"/>
  <c r="T23" i="9"/>
  <c r="Q20" i="9"/>
  <c r="L728" i="1"/>
  <c r="O728" i="1" s="1"/>
  <c r="R599" i="8"/>
  <c r="U599" i="8" s="1"/>
  <c r="M320" i="1"/>
  <c r="P358" i="8"/>
  <c r="K701" i="8"/>
  <c r="R392" i="8"/>
  <c r="U392" i="8" s="1"/>
  <c r="T72" i="8"/>
  <c r="U645" i="8"/>
  <c r="P159" i="8"/>
  <c r="U269" i="8"/>
  <c r="O157" i="8"/>
  <c r="P268" i="8"/>
  <c r="L599" i="8"/>
  <c r="O599" i="8" s="1"/>
  <c r="Q94" i="8"/>
  <c r="T94" i="8" s="1"/>
  <c r="K82" i="8"/>
  <c r="T269" i="8"/>
  <c r="Q599" i="8"/>
  <c r="T599" i="8" s="1"/>
  <c r="L94" i="8"/>
  <c r="O94" i="8" s="1"/>
  <c r="U72" i="8"/>
  <c r="U74" i="8"/>
  <c r="T74" i="8"/>
  <c r="R493" i="8"/>
  <c r="U493" i="8" s="1"/>
  <c r="P175" i="8"/>
  <c r="U189" i="8"/>
  <c r="L117" i="8"/>
  <c r="O117" i="8" s="1"/>
  <c r="R94" i="8"/>
  <c r="U94" i="8" s="1"/>
  <c r="O175" i="8"/>
  <c r="U619" i="8"/>
  <c r="U415" i="8"/>
  <c r="U413" i="8"/>
  <c r="L173" i="8"/>
  <c r="O173" i="8" s="1"/>
  <c r="M493" i="8"/>
  <c r="P493" i="8" s="1"/>
  <c r="P46" i="8"/>
  <c r="T415" i="8"/>
  <c r="U618" i="8"/>
  <c r="Q413" i="8"/>
  <c r="T413" i="8" s="1"/>
  <c r="P377" i="8"/>
  <c r="U693" i="8"/>
  <c r="O306" i="8"/>
  <c r="M356" i="8"/>
  <c r="P356" i="8" s="1"/>
  <c r="K83" i="8"/>
  <c r="K374" i="8"/>
  <c r="P61" i="8"/>
  <c r="P160" i="8"/>
  <c r="O74" i="8"/>
  <c r="O65" i="8"/>
  <c r="L493" i="8"/>
  <c r="O493" i="8" s="1"/>
  <c r="U305" i="8"/>
  <c r="Q173" i="8"/>
  <c r="T173" i="8" s="1"/>
  <c r="O160" i="8"/>
  <c r="R24" i="8"/>
  <c r="U24" i="8" s="1"/>
  <c r="U306" i="8"/>
  <c r="T730" i="8"/>
  <c r="U119" i="8"/>
  <c r="P415" i="8"/>
  <c r="U21" i="8"/>
  <c r="T119" i="8"/>
  <c r="O141" i="8"/>
  <c r="S20" i="8"/>
  <c r="S18" i="8" s="1"/>
  <c r="U762" i="8"/>
  <c r="M157" i="8"/>
  <c r="P157" i="8" s="1"/>
  <c r="N20" i="8"/>
  <c r="N18" i="8" s="1"/>
  <c r="T188" i="8"/>
  <c r="N44" i="8"/>
  <c r="P44" i="8" s="1"/>
  <c r="O24" i="8"/>
  <c r="U731" i="8"/>
  <c r="Q690" i="8"/>
  <c r="T690" i="8" s="1"/>
  <c r="T139" i="8"/>
  <c r="O284" i="8"/>
  <c r="T377" i="8"/>
  <c r="Q117" i="8"/>
  <c r="T117" i="8" s="1"/>
  <c r="P266" i="8"/>
  <c r="T186" i="8"/>
  <c r="P413" i="8"/>
  <c r="O186" i="8"/>
  <c r="O26" i="8"/>
  <c r="P188" i="8"/>
  <c r="T141" i="8"/>
  <c r="O555" i="8"/>
  <c r="M513" i="8"/>
  <c r="P513" i="8" s="1"/>
  <c r="M534" i="8"/>
  <c r="P534" i="8" s="1"/>
  <c r="M173" i="8"/>
  <c r="P173" i="8" s="1"/>
  <c r="N139" i="8"/>
  <c r="O139" i="8" s="1"/>
  <c r="S24" i="8"/>
  <c r="N72" i="8"/>
  <c r="O72" i="8" s="1"/>
  <c r="U188" i="8"/>
  <c r="O269" i="8"/>
  <c r="O188" i="8"/>
  <c r="P26" i="8"/>
  <c r="T495" i="8"/>
  <c r="Q493" i="8"/>
  <c r="T493" i="8" s="1"/>
  <c r="L20" i="8"/>
  <c r="L18" i="8" s="1"/>
  <c r="U378" i="8"/>
  <c r="P305" i="8"/>
  <c r="O159" i="8"/>
  <c r="P24" i="8"/>
  <c r="T120" i="8"/>
  <c r="R728" i="8"/>
  <c r="U728" i="8" s="1"/>
  <c r="Q392" i="8"/>
  <c r="T392" i="8" s="1"/>
  <c r="O23" i="8"/>
  <c r="P303" i="8"/>
  <c r="M186" i="8"/>
  <c r="P186" i="8" s="1"/>
  <c r="P578" i="8"/>
  <c r="M576" i="8"/>
  <c r="P576" i="8" s="1"/>
  <c r="R117" i="8"/>
  <c r="U117" i="8" s="1"/>
  <c r="N21" i="8"/>
  <c r="O21" i="8" s="1"/>
  <c r="O557" i="8"/>
  <c r="P269" i="8"/>
  <c r="Q760" i="8"/>
  <c r="T760" i="8" s="1"/>
  <c r="T762" i="8"/>
  <c r="U760" i="8"/>
  <c r="P96" i="8"/>
  <c r="M94" i="8"/>
  <c r="P94" i="8" s="1"/>
  <c r="N59" i="8"/>
  <c r="L375" i="8"/>
  <c r="O375" i="8" s="1"/>
  <c r="O377" i="8"/>
  <c r="U186" i="8"/>
  <c r="P119" i="8"/>
  <c r="M117" i="8"/>
  <c r="P117" i="8" s="1"/>
  <c r="P23" i="8"/>
  <c r="M20" i="8"/>
  <c r="R690" i="8"/>
  <c r="U690" i="8" s="1"/>
  <c r="U692" i="8"/>
  <c r="O536" i="8"/>
  <c r="L534" i="8"/>
  <c r="O534" i="8" s="1"/>
  <c r="M320" i="8"/>
  <c r="P320" i="8" s="1"/>
  <c r="P322" i="8"/>
  <c r="O359" i="8"/>
  <c r="L232" i="8"/>
  <c r="O243" i="8"/>
  <c r="P19" i="8"/>
  <c r="K253" i="8"/>
  <c r="I231" i="8"/>
  <c r="U644" i="8"/>
  <c r="R642" i="8"/>
  <c r="U642" i="8" s="1"/>
  <c r="O358" i="8"/>
  <c r="L356" i="8"/>
  <c r="O356" i="8" s="1"/>
  <c r="L333" i="8"/>
  <c r="O333" i="8" s="1"/>
  <c r="O335" i="8"/>
  <c r="Q20" i="8"/>
  <c r="Q21" i="8"/>
  <c r="T21" i="8" s="1"/>
  <c r="T23" i="8"/>
  <c r="R20" i="8"/>
  <c r="U23" i="8"/>
  <c r="O305" i="8"/>
  <c r="L303" i="8"/>
  <c r="O303" i="8" s="1"/>
  <c r="Q266" i="8"/>
  <c r="T266" i="8" s="1"/>
  <c r="T19" i="8"/>
  <c r="T645" i="8"/>
  <c r="P557" i="8"/>
  <c r="M555" i="8"/>
  <c r="P555" i="8" s="1"/>
  <c r="R157" i="8"/>
  <c r="U157" i="8" s="1"/>
  <c r="U159" i="8"/>
  <c r="P74" i="8"/>
  <c r="M72" i="8"/>
  <c r="U141" i="8"/>
  <c r="R139" i="8"/>
  <c r="U139" i="8" s="1"/>
  <c r="O61" i="8"/>
  <c r="U268" i="8"/>
  <c r="R266" i="8"/>
  <c r="U266" i="8" s="1"/>
  <c r="O46" i="8"/>
  <c r="L44" i="8"/>
  <c r="O576" i="8"/>
  <c r="Q616" i="8"/>
  <c r="T616" i="8" s="1"/>
  <c r="L513" i="8"/>
  <c r="O513" i="8" s="1"/>
  <c r="O413" i="8"/>
  <c r="O578" i="8"/>
  <c r="P284" i="8"/>
  <c r="M282" i="8"/>
  <c r="P282" i="8" s="1"/>
  <c r="O285" i="8"/>
  <c r="T159" i="8"/>
  <c r="Q157" i="8"/>
  <c r="T157" i="8" s="1"/>
  <c r="S303" i="8"/>
  <c r="U303" i="8" s="1"/>
  <c r="T305" i="8"/>
  <c r="P65" i="8"/>
  <c r="T693" i="8"/>
  <c r="O415" i="8"/>
  <c r="P335" i="8"/>
  <c r="M333" i="8"/>
  <c r="P333" i="8" s="1"/>
  <c r="O282" i="8"/>
  <c r="P601" i="8"/>
  <c r="M599" i="8"/>
  <c r="P599" i="8" s="1"/>
  <c r="R173" i="8"/>
  <c r="U173" i="8" s="1"/>
  <c r="U175" i="8"/>
  <c r="P141" i="8"/>
  <c r="M139" i="8"/>
  <c r="O322" i="8"/>
  <c r="L320" i="8"/>
  <c r="O320" i="8" s="1"/>
  <c r="O268" i="8"/>
  <c r="L266" i="8"/>
  <c r="O266" i="8" s="1"/>
  <c r="L59" i="8"/>
  <c r="Q24" i="8"/>
  <c r="T24" i="8" s="1"/>
  <c r="K332" i="7"/>
  <c r="U268" i="7"/>
  <c r="O47" i="7"/>
  <c r="O46" i="7"/>
  <c r="Q18" i="7"/>
  <c r="U731" i="7"/>
  <c r="P377" i="7"/>
  <c r="O61" i="7"/>
  <c r="P322" i="1"/>
  <c r="R173" i="7"/>
  <c r="U173" i="7" s="1"/>
  <c r="Q493" i="7"/>
  <c r="T493" i="7" s="1"/>
  <c r="M117" i="7"/>
  <c r="P117" i="7" s="1"/>
  <c r="T377" i="7"/>
  <c r="T268" i="7"/>
  <c r="R94" i="7"/>
  <c r="U94" i="7" s="1"/>
  <c r="O601" i="7"/>
  <c r="U618" i="7"/>
  <c r="S413" i="1"/>
  <c r="K701" i="7"/>
  <c r="U305" i="7"/>
  <c r="L117" i="7"/>
  <c r="O117" i="7" s="1"/>
  <c r="P188" i="7"/>
  <c r="T97" i="7"/>
  <c r="P186" i="7"/>
  <c r="P157" i="7"/>
  <c r="U375" i="7"/>
  <c r="L599" i="7"/>
  <c r="O599" i="7" s="1"/>
  <c r="U415" i="7"/>
  <c r="O176" i="7"/>
  <c r="L59" i="7"/>
  <c r="O59" i="7" s="1"/>
  <c r="T692" i="7"/>
  <c r="Q157" i="7"/>
  <c r="T157" i="7" s="1"/>
  <c r="K374" i="7"/>
  <c r="M576" i="7"/>
  <c r="P576" i="7" s="1"/>
  <c r="U377" i="7"/>
  <c r="T188" i="7"/>
  <c r="T141" i="7"/>
  <c r="O62" i="7"/>
  <c r="Q139" i="7"/>
  <c r="T139" i="7" s="1"/>
  <c r="T24" i="7"/>
  <c r="M493" i="7"/>
  <c r="P493" i="7" s="1"/>
  <c r="I412" i="7"/>
  <c r="K412" i="7" s="1"/>
  <c r="T728" i="7"/>
  <c r="R139" i="7"/>
  <c r="U139" i="7" s="1"/>
  <c r="Q186" i="7"/>
  <c r="T186" i="7" s="1"/>
  <c r="O333" i="7"/>
  <c r="R599" i="7"/>
  <c r="U599" i="7" s="1"/>
  <c r="T119" i="7"/>
  <c r="P268" i="7"/>
  <c r="U730" i="7"/>
  <c r="P266" i="7"/>
  <c r="U306" i="7"/>
  <c r="P24" i="7"/>
  <c r="M413" i="7"/>
  <c r="P413" i="7" s="1"/>
  <c r="P173" i="7"/>
  <c r="M320" i="7"/>
  <c r="P320" i="7" s="1"/>
  <c r="T142" i="7"/>
  <c r="U762" i="7"/>
  <c r="L94" i="7"/>
  <c r="O94" i="7" s="1"/>
  <c r="T619" i="7"/>
  <c r="R392" i="7"/>
  <c r="U392" i="7" s="1"/>
  <c r="O72" i="7"/>
  <c r="Q21" i="7"/>
  <c r="P175" i="7"/>
  <c r="Q392" i="7"/>
  <c r="T392" i="7" s="1"/>
  <c r="L375" i="7"/>
  <c r="O375" i="7" s="1"/>
  <c r="T26" i="7"/>
  <c r="P94" i="7"/>
  <c r="T730" i="7"/>
  <c r="M303" i="7"/>
  <c r="P303" i="7" s="1"/>
  <c r="T23" i="7"/>
  <c r="R413" i="7"/>
  <c r="U413" i="7" s="1"/>
  <c r="O555" i="7"/>
  <c r="S117" i="7"/>
  <c r="T117" i="7" s="1"/>
  <c r="Q690" i="7"/>
  <c r="T690" i="7" s="1"/>
  <c r="O557" i="7"/>
  <c r="L493" i="7"/>
  <c r="O493" i="7" s="1"/>
  <c r="O282" i="7"/>
  <c r="O336" i="7"/>
  <c r="N20" i="7"/>
  <c r="N18" i="7" s="1"/>
  <c r="O284" i="7"/>
  <c r="P96" i="7"/>
  <c r="N413" i="7"/>
  <c r="O413" i="7" s="1"/>
  <c r="O415" i="7"/>
  <c r="T175" i="7"/>
  <c r="Q173" i="7"/>
  <c r="T173" i="7" s="1"/>
  <c r="M513" i="7"/>
  <c r="P513" i="7" s="1"/>
  <c r="Q642" i="7"/>
  <c r="T642" i="7" s="1"/>
  <c r="O269" i="7"/>
  <c r="R266" i="7"/>
  <c r="U266" i="7" s="1"/>
  <c r="T375" i="7"/>
  <c r="P176" i="7"/>
  <c r="P26" i="7"/>
  <c r="T415" i="7"/>
  <c r="Q413" i="7"/>
  <c r="T413" i="7" s="1"/>
  <c r="Q266" i="7"/>
  <c r="T266" i="7" s="1"/>
  <c r="O74" i="7"/>
  <c r="M599" i="7"/>
  <c r="P599" i="7" s="1"/>
  <c r="P159" i="7"/>
  <c r="P284" i="7"/>
  <c r="M282" i="7"/>
  <c r="P282" i="7" s="1"/>
  <c r="O222" i="1"/>
  <c r="O578" i="7"/>
  <c r="P356" i="7"/>
  <c r="O335" i="7"/>
  <c r="M21" i="7"/>
  <c r="M20" i="7"/>
  <c r="M18" i="7" s="1"/>
  <c r="R642" i="7"/>
  <c r="U642" i="7" s="1"/>
  <c r="U644" i="7"/>
  <c r="L534" i="7"/>
  <c r="O534" i="7" s="1"/>
  <c r="O536" i="7"/>
  <c r="O141" i="7"/>
  <c r="P141" i="7"/>
  <c r="M72" i="7"/>
  <c r="P72" i="7" s="1"/>
  <c r="P74" i="7"/>
  <c r="U159" i="7"/>
  <c r="R157" i="7"/>
  <c r="U157" i="7" s="1"/>
  <c r="T96" i="7"/>
  <c r="Q94" i="7"/>
  <c r="T94" i="7" s="1"/>
  <c r="O358" i="7"/>
  <c r="L356" i="7"/>
  <c r="O356" i="7" s="1"/>
  <c r="Q616" i="7"/>
  <c r="T616" i="7" s="1"/>
  <c r="N139" i="7"/>
  <c r="L232" i="7"/>
  <c r="O243" i="7"/>
  <c r="M59" i="7"/>
  <c r="P59" i="7" s="1"/>
  <c r="P61" i="7"/>
  <c r="S72" i="7"/>
  <c r="T72" i="7" s="1"/>
  <c r="T74" i="7"/>
  <c r="L157" i="7"/>
  <c r="O157" i="7" s="1"/>
  <c r="U760" i="7"/>
  <c r="M333" i="7"/>
  <c r="P333" i="7" s="1"/>
  <c r="P335" i="7"/>
  <c r="L576" i="7"/>
  <c r="O576" i="7" s="1"/>
  <c r="R493" i="7"/>
  <c r="U493" i="7" s="1"/>
  <c r="U495" i="7"/>
  <c r="Q599" i="7"/>
  <c r="T599" i="7" s="1"/>
  <c r="T601" i="7"/>
  <c r="L513" i="7"/>
  <c r="O513" i="7" s="1"/>
  <c r="T305" i="7"/>
  <c r="P142" i="7"/>
  <c r="O142" i="7"/>
  <c r="U188" i="7"/>
  <c r="R186" i="7"/>
  <c r="U186" i="7" s="1"/>
  <c r="M44" i="7"/>
  <c r="P46" i="7"/>
  <c r="S20" i="7"/>
  <c r="S21" i="7"/>
  <c r="P23" i="7"/>
  <c r="K242" i="7"/>
  <c r="I231" i="7"/>
  <c r="U75" i="7"/>
  <c r="O268" i="7"/>
  <c r="L266" i="7"/>
  <c r="O266" i="7" s="1"/>
  <c r="P358" i="7"/>
  <c r="R303" i="7"/>
  <c r="U303" i="7" s="1"/>
  <c r="O44" i="7"/>
  <c r="R24" i="7"/>
  <c r="U24" i="7" s="1"/>
  <c r="U26" i="7"/>
  <c r="L21" i="7"/>
  <c r="O23" i="7"/>
  <c r="L20" i="7"/>
  <c r="N21" i="7"/>
  <c r="U74" i="7"/>
  <c r="Q760" i="7"/>
  <c r="T760" i="7" s="1"/>
  <c r="T762" i="7"/>
  <c r="P536" i="7"/>
  <c r="M534" i="7"/>
  <c r="P534" i="7" s="1"/>
  <c r="O322" i="7"/>
  <c r="L320" i="7"/>
  <c r="O320" i="7" s="1"/>
  <c r="J456" i="7"/>
  <c r="K456" i="7" s="1"/>
  <c r="K457" i="7"/>
  <c r="P557" i="7"/>
  <c r="M555" i="7"/>
  <c r="P555" i="7" s="1"/>
  <c r="T378" i="7"/>
  <c r="L303" i="7"/>
  <c r="O303" i="7" s="1"/>
  <c r="O188" i="7"/>
  <c r="L186" i="7"/>
  <c r="O186" i="7" s="1"/>
  <c r="O175" i="7"/>
  <c r="L173" i="7"/>
  <c r="O173" i="7" s="1"/>
  <c r="U119" i="7"/>
  <c r="L24" i="7"/>
  <c r="O24" i="7" s="1"/>
  <c r="O26" i="7"/>
  <c r="U120" i="7"/>
  <c r="K83" i="7"/>
  <c r="I71" i="7"/>
  <c r="K71" i="7" s="1"/>
  <c r="R690" i="7"/>
  <c r="U690" i="7" s="1"/>
  <c r="U692" i="7"/>
  <c r="R728" i="7"/>
  <c r="U728" i="7" s="1"/>
  <c r="T303" i="7"/>
  <c r="I70" i="7"/>
  <c r="K70" i="7" s="1"/>
  <c r="K82" i="7"/>
  <c r="R21" i="7"/>
  <c r="U23" i="7"/>
  <c r="R20" i="7"/>
  <c r="R599" i="6"/>
  <c r="U599" i="6" s="1"/>
  <c r="M493" i="6"/>
  <c r="P493" i="6" s="1"/>
  <c r="M576" i="6"/>
  <c r="P576" i="6" s="1"/>
  <c r="T377" i="6"/>
  <c r="T375" i="6"/>
  <c r="P94" i="6"/>
  <c r="O141" i="6"/>
  <c r="U416" i="6"/>
  <c r="M320" i="6"/>
  <c r="P320" i="6" s="1"/>
  <c r="P159" i="6"/>
  <c r="P186" i="6"/>
  <c r="R375" i="6"/>
  <c r="U375" i="6" s="1"/>
  <c r="O188" i="6"/>
  <c r="M303" i="6"/>
  <c r="P303" i="6" s="1"/>
  <c r="O415" i="6"/>
  <c r="O159" i="6"/>
  <c r="N139" i="6"/>
  <c r="O139" i="6" s="1"/>
  <c r="T268" i="6"/>
  <c r="T690" i="6"/>
  <c r="T692" i="6"/>
  <c r="U119" i="6"/>
  <c r="I70" i="6"/>
  <c r="K70" i="6" s="1"/>
  <c r="O119" i="6"/>
  <c r="T303" i="6"/>
  <c r="K374" i="6"/>
  <c r="R24" i="6"/>
  <c r="U24" i="6" s="1"/>
  <c r="O72" i="6"/>
  <c r="I71" i="6"/>
  <c r="K71" i="6" s="1"/>
  <c r="T730" i="6"/>
  <c r="P176" i="6"/>
  <c r="O175" i="6"/>
  <c r="K701" i="6"/>
  <c r="P175" i="6"/>
  <c r="U495" i="6"/>
  <c r="O377" i="6"/>
  <c r="R139" i="6"/>
  <c r="U139" i="6" s="1"/>
  <c r="O303" i="6"/>
  <c r="O173" i="6"/>
  <c r="O157" i="6"/>
  <c r="P96" i="6"/>
  <c r="S576" i="1"/>
  <c r="U188" i="6"/>
  <c r="O305" i="6"/>
  <c r="O74" i="6"/>
  <c r="R20" i="6"/>
  <c r="R18" i="6" s="1"/>
  <c r="U23" i="6"/>
  <c r="O142" i="6"/>
  <c r="M157" i="6"/>
  <c r="P157" i="6" s="1"/>
  <c r="U186" i="6"/>
  <c r="T188" i="6"/>
  <c r="U97" i="6"/>
  <c r="O601" i="6"/>
  <c r="M20" i="6"/>
  <c r="M18" i="6" s="1"/>
  <c r="T186" i="6"/>
  <c r="U616" i="6"/>
  <c r="P46" i="6"/>
  <c r="P188" i="6"/>
  <c r="O47" i="6"/>
  <c r="S117" i="6"/>
  <c r="U117" i="6" s="1"/>
  <c r="T642" i="6"/>
  <c r="T728" i="6"/>
  <c r="O46" i="6"/>
  <c r="T119" i="6"/>
  <c r="M21" i="6"/>
  <c r="P358" i="6"/>
  <c r="T141" i="6"/>
  <c r="L44" i="6"/>
  <c r="O44" i="6" s="1"/>
  <c r="T305" i="6"/>
  <c r="U305" i="6"/>
  <c r="P415" i="6"/>
  <c r="L186" i="6"/>
  <c r="O186" i="6" s="1"/>
  <c r="Q173" i="6"/>
  <c r="T173" i="6" s="1"/>
  <c r="L24" i="6"/>
  <c r="O24" i="6" s="1"/>
  <c r="T378" i="1"/>
  <c r="M513" i="6"/>
  <c r="P513" i="6" s="1"/>
  <c r="T618" i="6"/>
  <c r="Q94" i="6"/>
  <c r="T94" i="6" s="1"/>
  <c r="M24" i="6"/>
  <c r="P24" i="6" s="1"/>
  <c r="P23" i="6"/>
  <c r="U619" i="6"/>
  <c r="T644" i="6"/>
  <c r="M599" i="6"/>
  <c r="P599" i="6" s="1"/>
  <c r="M375" i="6"/>
  <c r="P375" i="6" s="1"/>
  <c r="R392" i="6"/>
  <c r="U392" i="6" s="1"/>
  <c r="P284" i="6"/>
  <c r="S20" i="6"/>
  <c r="S18" i="6" s="1"/>
  <c r="P61" i="6"/>
  <c r="U269" i="6"/>
  <c r="U303" i="6"/>
  <c r="P47" i="6"/>
  <c r="U268" i="6"/>
  <c r="L94" i="6"/>
  <c r="O94" i="6" s="1"/>
  <c r="O495" i="6"/>
  <c r="L493" i="6"/>
  <c r="O493" i="6" s="1"/>
  <c r="S266" i="6"/>
  <c r="T266" i="6" s="1"/>
  <c r="N413" i="6"/>
  <c r="P413" i="6" s="1"/>
  <c r="R413" i="6"/>
  <c r="U413" i="6" s="1"/>
  <c r="M534" i="6"/>
  <c r="P534" i="6" s="1"/>
  <c r="T74" i="6"/>
  <c r="P282" i="6"/>
  <c r="M44" i="6"/>
  <c r="P44" i="6" s="1"/>
  <c r="O576" i="6"/>
  <c r="O268" i="5"/>
  <c r="T619" i="6"/>
  <c r="O557" i="6"/>
  <c r="L555" i="6"/>
  <c r="O555" i="6" s="1"/>
  <c r="L356" i="6"/>
  <c r="O356" i="6" s="1"/>
  <c r="O358" i="6"/>
  <c r="P557" i="6"/>
  <c r="M555" i="6"/>
  <c r="P555" i="6" s="1"/>
  <c r="K253" i="6"/>
  <c r="I231" i="6"/>
  <c r="O189" i="6"/>
  <c r="M173" i="6"/>
  <c r="P173" i="6" s="1"/>
  <c r="Q117" i="6"/>
  <c r="K423" i="6"/>
  <c r="U762" i="6"/>
  <c r="T26" i="6"/>
  <c r="Q24" i="6"/>
  <c r="T24" i="6" s="1"/>
  <c r="R173" i="6"/>
  <c r="U173" i="6" s="1"/>
  <c r="U175" i="6"/>
  <c r="T601" i="6"/>
  <c r="Q599" i="6"/>
  <c r="T599" i="6" s="1"/>
  <c r="M333" i="6"/>
  <c r="P333" i="6" s="1"/>
  <c r="P335" i="6"/>
  <c r="Q760" i="6"/>
  <c r="T760" i="6" s="1"/>
  <c r="T762" i="6"/>
  <c r="U760" i="6"/>
  <c r="O578" i="6"/>
  <c r="P356" i="6"/>
  <c r="Q20" i="6"/>
  <c r="T23" i="6"/>
  <c r="Q21" i="6"/>
  <c r="U19" i="6"/>
  <c r="M117" i="6"/>
  <c r="P117" i="6" s="1"/>
  <c r="R690" i="6"/>
  <c r="U690" i="6" s="1"/>
  <c r="U692" i="6"/>
  <c r="O23" i="6"/>
  <c r="L20" i="6"/>
  <c r="T159" i="6"/>
  <c r="Q157" i="6"/>
  <c r="T157" i="6" s="1"/>
  <c r="O61" i="6"/>
  <c r="L59" i="6"/>
  <c r="O59" i="6" s="1"/>
  <c r="N266" i="6"/>
  <c r="O266" i="6" s="1"/>
  <c r="O268" i="6"/>
  <c r="U74" i="6"/>
  <c r="S72" i="6"/>
  <c r="U72" i="6" s="1"/>
  <c r="R642" i="6"/>
  <c r="U642" i="6" s="1"/>
  <c r="U644" i="6"/>
  <c r="Q413" i="6"/>
  <c r="T413" i="6" s="1"/>
  <c r="T415" i="6"/>
  <c r="O284" i="6"/>
  <c r="L282" i="6"/>
  <c r="O282" i="6" s="1"/>
  <c r="T378" i="6"/>
  <c r="U378" i="6"/>
  <c r="P74" i="6"/>
  <c r="M72" i="6"/>
  <c r="P72" i="6" s="1"/>
  <c r="O243" i="6"/>
  <c r="L232" i="6"/>
  <c r="P141" i="6"/>
  <c r="M139" i="6"/>
  <c r="N21" i="6"/>
  <c r="O21" i="6" s="1"/>
  <c r="N20" i="6"/>
  <c r="N18" i="6" s="1"/>
  <c r="R728" i="6"/>
  <c r="U728" i="6" s="1"/>
  <c r="U730" i="6"/>
  <c r="O536" i="6"/>
  <c r="L534" i="6"/>
  <c r="O534" i="6" s="1"/>
  <c r="Q616" i="6"/>
  <c r="T616" i="6" s="1"/>
  <c r="U618" i="6"/>
  <c r="L513" i="6"/>
  <c r="O513" i="6" s="1"/>
  <c r="Q493" i="6"/>
  <c r="T493" i="6" s="1"/>
  <c r="T495" i="6"/>
  <c r="O335" i="6"/>
  <c r="L333" i="6"/>
  <c r="O333" i="6" s="1"/>
  <c r="S21" i="6"/>
  <c r="U21" i="6" s="1"/>
  <c r="P59" i="6"/>
  <c r="P268" i="6"/>
  <c r="Q139" i="6"/>
  <c r="T139" i="6" s="1"/>
  <c r="R94" i="6"/>
  <c r="U94" i="6" s="1"/>
  <c r="Q72" i="6"/>
  <c r="P377" i="5"/>
  <c r="O188" i="5"/>
  <c r="P305" i="5"/>
  <c r="L72" i="5"/>
  <c r="O72" i="5" s="1"/>
  <c r="U731" i="5"/>
  <c r="P186" i="5"/>
  <c r="U762" i="5"/>
  <c r="P46" i="5"/>
  <c r="U601" i="5"/>
  <c r="P358" i="5"/>
  <c r="O358" i="5"/>
  <c r="U692" i="5"/>
  <c r="R392" i="5"/>
  <c r="U392" i="5" s="1"/>
  <c r="O46" i="5"/>
  <c r="M303" i="5"/>
  <c r="P303" i="5" s="1"/>
  <c r="R139" i="5"/>
  <c r="U139" i="5" s="1"/>
  <c r="T141" i="5"/>
  <c r="U378" i="5"/>
  <c r="T730" i="5"/>
  <c r="R642" i="5"/>
  <c r="U642" i="5" s="1"/>
  <c r="N20" i="5"/>
  <c r="N18" i="5" s="1"/>
  <c r="U619" i="5"/>
  <c r="L94" i="5"/>
  <c r="O94" i="5" s="1"/>
  <c r="T692" i="5"/>
  <c r="P268" i="5"/>
  <c r="O303" i="5"/>
  <c r="O305" i="5"/>
  <c r="Q642" i="5"/>
  <c r="T642" i="5" s="1"/>
  <c r="T378" i="5"/>
  <c r="U117" i="5"/>
  <c r="L266" i="5"/>
  <c r="O266" i="5" s="1"/>
  <c r="R72" i="5"/>
  <c r="U72" i="5" s="1"/>
  <c r="T117" i="5"/>
  <c r="U690" i="5"/>
  <c r="K701" i="5"/>
  <c r="L493" i="5"/>
  <c r="O493" i="5" s="1"/>
  <c r="T188" i="5"/>
  <c r="P26" i="5"/>
  <c r="M555" i="5"/>
  <c r="P555" i="5" s="1"/>
  <c r="O578" i="5"/>
  <c r="S20" i="5"/>
  <c r="S18" i="5" s="1"/>
  <c r="O23" i="5"/>
  <c r="K374" i="5"/>
  <c r="Q72" i="5"/>
  <c r="T72" i="5" s="1"/>
  <c r="I71" i="5"/>
  <c r="K71" i="5" s="1"/>
  <c r="T139" i="5"/>
  <c r="U188" i="5"/>
  <c r="T268" i="5"/>
  <c r="L356" i="5"/>
  <c r="O356" i="5" s="1"/>
  <c r="O159" i="5"/>
  <c r="O173" i="5"/>
  <c r="P188" i="5"/>
  <c r="O282" i="5"/>
  <c r="P284" i="5"/>
  <c r="O284" i="5"/>
  <c r="P282" i="5"/>
  <c r="M94" i="5"/>
  <c r="P94" i="5" s="1"/>
  <c r="S186" i="5"/>
  <c r="T186" i="5" s="1"/>
  <c r="O413" i="5"/>
  <c r="Q760" i="5"/>
  <c r="T760" i="5" s="1"/>
  <c r="P415" i="5"/>
  <c r="T269" i="5"/>
  <c r="U119" i="5"/>
  <c r="L375" i="5"/>
  <c r="O375" i="5" s="1"/>
  <c r="T119" i="5"/>
  <c r="P413" i="5"/>
  <c r="L186" i="5"/>
  <c r="O186" i="5" s="1"/>
  <c r="O415" i="5"/>
  <c r="T728" i="4"/>
  <c r="O175" i="5"/>
  <c r="M599" i="5"/>
  <c r="P599" i="5" s="1"/>
  <c r="P536" i="5"/>
  <c r="M534" i="5"/>
  <c r="P534" i="5" s="1"/>
  <c r="P74" i="5"/>
  <c r="M72" i="5"/>
  <c r="P72" i="5" s="1"/>
  <c r="U730" i="5"/>
  <c r="O157" i="5"/>
  <c r="U266" i="5"/>
  <c r="O21" i="5"/>
  <c r="N616" i="1"/>
  <c r="L20" i="5"/>
  <c r="P47" i="5"/>
  <c r="P578" i="5"/>
  <c r="M576" i="5"/>
  <c r="P576" i="5" s="1"/>
  <c r="T728" i="2"/>
  <c r="O576" i="5"/>
  <c r="U268" i="5"/>
  <c r="I231" i="5"/>
  <c r="K231" i="5" s="1"/>
  <c r="O141" i="5"/>
  <c r="O515" i="5"/>
  <c r="L513" i="5"/>
  <c r="O513" i="5" s="1"/>
  <c r="T266" i="5"/>
  <c r="O335" i="5"/>
  <c r="U306" i="5"/>
  <c r="N40" i="5"/>
  <c r="O139" i="5"/>
  <c r="P159" i="5"/>
  <c r="M157" i="5"/>
  <c r="P157" i="5" s="1"/>
  <c r="Q690" i="5"/>
  <c r="T690" i="5" s="1"/>
  <c r="O333" i="5"/>
  <c r="R186" i="5"/>
  <c r="I412" i="5"/>
  <c r="K412" i="5" s="1"/>
  <c r="K423" i="5"/>
  <c r="M117" i="5"/>
  <c r="P117" i="5" s="1"/>
  <c r="P119" i="5"/>
  <c r="P175" i="5"/>
  <c r="M173" i="5"/>
  <c r="P173" i="5" s="1"/>
  <c r="L555" i="5"/>
  <c r="O555" i="5" s="1"/>
  <c r="P515" i="5"/>
  <c r="M513" i="5"/>
  <c r="P513" i="5" s="1"/>
  <c r="M356" i="5"/>
  <c r="P356" i="5" s="1"/>
  <c r="O322" i="5"/>
  <c r="L320" i="5"/>
  <c r="O320" i="5" s="1"/>
  <c r="R21" i="5"/>
  <c r="U21" i="5" s="1"/>
  <c r="R20" i="5"/>
  <c r="U23" i="5"/>
  <c r="M24" i="5"/>
  <c r="P24" i="5" s="1"/>
  <c r="U415" i="5"/>
  <c r="U26" i="5"/>
  <c r="R24" i="5"/>
  <c r="U24" i="5" s="1"/>
  <c r="S413" i="5"/>
  <c r="U413" i="5" s="1"/>
  <c r="T415" i="5"/>
  <c r="Q392" i="5"/>
  <c r="T392" i="5" s="1"/>
  <c r="S303" i="5"/>
  <c r="T303" i="5" s="1"/>
  <c r="T305" i="5"/>
  <c r="T26" i="5"/>
  <c r="Q24" i="5"/>
  <c r="T24" i="5" s="1"/>
  <c r="M266" i="5"/>
  <c r="P266" i="5" s="1"/>
  <c r="T618" i="5"/>
  <c r="Q616" i="5"/>
  <c r="T616" i="5" s="1"/>
  <c r="O359" i="5"/>
  <c r="O59" i="5"/>
  <c r="U416" i="5"/>
  <c r="M139" i="5"/>
  <c r="P139" i="5" s="1"/>
  <c r="P141" i="5"/>
  <c r="M20" i="5"/>
  <c r="P23" i="5"/>
  <c r="M21" i="5"/>
  <c r="P21" i="5" s="1"/>
  <c r="O24" i="5"/>
  <c r="M493" i="5"/>
  <c r="P493" i="5" s="1"/>
  <c r="P333" i="5"/>
  <c r="P322" i="5"/>
  <c r="M320" i="5"/>
  <c r="P320" i="5" s="1"/>
  <c r="L599" i="5"/>
  <c r="O599" i="5" s="1"/>
  <c r="O601" i="5"/>
  <c r="U305" i="5"/>
  <c r="O26" i="5"/>
  <c r="R616" i="5"/>
  <c r="U616" i="5" s="1"/>
  <c r="L534" i="5"/>
  <c r="O534" i="5" s="1"/>
  <c r="O536" i="5"/>
  <c r="P335" i="5"/>
  <c r="O243" i="5"/>
  <c r="L232" i="5"/>
  <c r="I70" i="5"/>
  <c r="K70" i="5" s="1"/>
  <c r="K82" i="5"/>
  <c r="L117" i="5"/>
  <c r="O117" i="5" s="1"/>
  <c r="O119" i="5"/>
  <c r="Q599" i="5"/>
  <c r="T599" i="5" s="1"/>
  <c r="T601" i="5"/>
  <c r="T23" i="5"/>
  <c r="Q21" i="5"/>
  <c r="T21" i="5" s="1"/>
  <c r="Q20" i="5"/>
  <c r="T96" i="5"/>
  <c r="Q94" i="5"/>
  <c r="T94" i="5" s="1"/>
  <c r="O44" i="5"/>
  <c r="P61" i="5"/>
  <c r="M59" i="5"/>
  <c r="O61" i="5"/>
  <c r="N642" i="1"/>
  <c r="S173" i="1"/>
  <c r="U642" i="2"/>
  <c r="O203" i="1"/>
  <c r="U690" i="2"/>
  <c r="S690" i="1"/>
  <c r="S534" i="1"/>
  <c r="U692" i="1"/>
  <c r="O377" i="4"/>
  <c r="U306" i="1"/>
  <c r="T306" i="1"/>
  <c r="O214" i="1"/>
  <c r="T141" i="4"/>
  <c r="O305" i="4"/>
  <c r="L555" i="4"/>
  <c r="O555" i="4" s="1"/>
  <c r="T692" i="1"/>
  <c r="L157" i="1"/>
  <c r="N303" i="4"/>
  <c r="O303" i="4" s="1"/>
  <c r="T642" i="4"/>
  <c r="T139" i="4"/>
  <c r="O61" i="4"/>
  <c r="P159" i="4"/>
  <c r="M534" i="4"/>
  <c r="P534" i="4" s="1"/>
  <c r="K374" i="4"/>
  <c r="T119" i="4"/>
  <c r="I231" i="4"/>
  <c r="K231" i="4" s="1"/>
  <c r="S186" i="1"/>
  <c r="Q303" i="4"/>
  <c r="T303" i="4" s="1"/>
  <c r="U188" i="1"/>
  <c r="T97" i="4"/>
  <c r="K701" i="4"/>
  <c r="T188" i="1"/>
  <c r="U375" i="4"/>
  <c r="T692" i="4"/>
  <c r="T644" i="4"/>
  <c r="T188" i="4"/>
  <c r="O413" i="4"/>
  <c r="T619" i="4"/>
  <c r="O306" i="4"/>
  <c r="O282" i="4"/>
  <c r="P47" i="4"/>
  <c r="P26" i="4"/>
  <c r="U119" i="4"/>
  <c r="P557" i="4"/>
  <c r="P336" i="1"/>
  <c r="T730" i="4"/>
  <c r="T731" i="4"/>
  <c r="O601" i="4"/>
  <c r="U188" i="4"/>
  <c r="O96" i="4"/>
  <c r="P377" i="4"/>
  <c r="P333" i="4"/>
  <c r="P335" i="4"/>
  <c r="O378" i="4"/>
  <c r="U117" i="4"/>
  <c r="U377" i="4"/>
  <c r="P119" i="4"/>
  <c r="M117" i="4"/>
  <c r="P117" i="4" s="1"/>
  <c r="P94" i="4"/>
  <c r="U305" i="4"/>
  <c r="O188" i="4"/>
  <c r="L513" i="4"/>
  <c r="O513" i="4" s="1"/>
  <c r="I412" i="4"/>
  <c r="K412" i="4" s="1"/>
  <c r="P96" i="4"/>
  <c r="P176" i="3"/>
  <c r="P72" i="4"/>
  <c r="O23" i="4"/>
  <c r="P375" i="4"/>
  <c r="O415" i="4"/>
  <c r="T618" i="4"/>
  <c r="O284" i="4"/>
  <c r="P284" i="4"/>
  <c r="P62" i="4"/>
  <c r="U616" i="4"/>
  <c r="L72" i="4"/>
  <c r="O72" i="4" s="1"/>
  <c r="K83" i="4"/>
  <c r="T23" i="4"/>
  <c r="R186" i="4"/>
  <c r="U186" i="4" s="1"/>
  <c r="P157" i="4"/>
  <c r="U94" i="4"/>
  <c r="L59" i="4"/>
  <c r="O59" i="4" s="1"/>
  <c r="M513" i="4"/>
  <c r="P513" i="4" s="1"/>
  <c r="T415" i="4"/>
  <c r="P358" i="4"/>
  <c r="L21" i="4"/>
  <c r="O21" i="4" s="1"/>
  <c r="O358" i="4"/>
  <c r="M493" i="4"/>
  <c r="P493" i="4" s="1"/>
  <c r="U159" i="4"/>
  <c r="R157" i="4"/>
  <c r="U157" i="4" s="1"/>
  <c r="Q20" i="4"/>
  <c r="Q18" i="4" s="1"/>
  <c r="Q24" i="4"/>
  <c r="T24" i="4" s="1"/>
  <c r="L375" i="4"/>
  <c r="O375" i="4" s="1"/>
  <c r="K82" i="4"/>
  <c r="U96" i="4"/>
  <c r="S20" i="4"/>
  <c r="S18" i="4" s="1"/>
  <c r="Q72" i="4"/>
  <c r="T72" i="4" s="1"/>
  <c r="S21" i="4"/>
  <c r="T21" i="4" s="1"/>
  <c r="O356" i="4"/>
  <c r="U306" i="4"/>
  <c r="O139" i="4"/>
  <c r="P268" i="4"/>
  <c r="M266" i="4"/>
  <c r="P266" i="4" s="1"/>
  <c r="L173" i="4"/>
  <c r="O173" i="4" s="1"/>
  <c r="O175" i="4"/>
  <c r="U175" i="4"/>
  <c r="R173" i="4"/>
  <c r="U173" i="4" s="1"/>
  <c r="L266" i="4"/>
  <c r="O266" i="4" s="1"/>
  <c r="O268" i="4"/>
  <c r="U268" i="4"/>
  <c r="S266" i="4"/>
  <c r="U266" i="4" s="1"/>
  <c r="O602" i="4"/>
  <c r="U618" i="4"/>
  <c r="M320" i="4"/>
  <c r="P320" i="4" s="1"/>
  <c r="P24" i="4"/>
  <c r="T175" i="4"/>
  <c r="Q173" i="4"/>
  <c r="T173" i="4" s="1"/>
  <c r="U377" i="3"/>
  <c r="N599" i="4"/>
  <c r="O599" i="4" s="1"/>
  <c r="L320" i="4"/>
  <c r="O320" i="4" s="1"/>
  <c r="T269" i="4"/>
  <c r="Q186" i="4"/>
  <c r="T186" i="4" s="1"/>
  <c r="L117" i="4"/>
  <c r="O117" i="4" s="1"/>
  <c r="O119" i="4"/>
  <c r="P74" i="4"/>
  <c r="N20" i="4"/>
  <c r="N18" i="4" s="1"/>
  <c r="L157" i="4"/>
  <c r="O157" i="4" s="1"/>
  <c r="O159" i="4"/>
  <c r="T693" i="3"/>
  <c r="M576" i="4"/>
  <c r="P576" i="4" s="1"/>
  <c r="L20" i="4"/>
  <c r="L18" i="4" s="1"/>
  <c r="O47" i="4"/>
  <c r="M356" i="4"/>
  <c r="P356" i="4" s="1"/>
  <c r="T268" i="4"/>
  <c r="P141" i="4"/>
  <c r="M139" i="4"/>
  <c r="P139" i="4" s="1"/>
  <c r="Q690" i="4"/>
  <c r="T690" i="4" s="1"/>
  <c r="T416" i="4"/>
  <c r="M599" i="4"/>
  <c r="P599" i="4" s="1"/>
  <c r="U303" i="4"/>
  <c r="P46" i="4"/>
  <c r="R599" i="4"/>
  <c r="U599" i="4" s="1"/>
  <c r="O141" i="4"/>
  <c r="P305" i="4"/>
  <c r="M303" i="4"/>
  <c r="O536" i="4"/>
  <c r="L534" i="4"/>
  <c r="O534" i="4" s="1"/>
  <c r="U26" i="4"/>
  <c r="R24" i="4"/>
  <c r="U24" i="4" s="1"/>
  <c r="P23" i="4"/>
  <c r="M21" i="4"/>
  <c r="P21" i="4" s="1"/>
  <c r="M20" i="4"/>
  <c r="U141" i="4"/>
  <c r="R139" i="4"/>
  <c r="U139" i="4" s="1"/>
  <c r="Q760" i="4"/>
  <c r="T760" i="4" s="1"/>
  <c r="T762" i="4"/>
  <c r="L493" i="4"/>
  <c r="O493" i="4" s="1"/>
  <c r="O335" i="4"/>
  <c r="L333" i="4"/>
  <c r="O333" i="4" s="1"/>
  <c r="P306" i="4"/>
  <c r="R72" i="4"/>
  <c r="U72" i="4" s="1"/>
  <c r="U19" i="4"/>
  <c r="P415" i="4"/>
  <c r="M413" i="4"/>
  <c r="P413" i="4" s="1"/>
  <c r="R690" i="4"/>
  <c r="U690" i="4" s="1"/>
  <c r="U692" i="4"/>
  <c r="U762" i="4"/>
  <c r="Q616" i="4"/>
  <c r="T616" i="4" s="1"/>
  <c r="U394" i="4"/>
  <c r="R392" i="4"/>
  <c r="U392" i="4" s="1"/>
  <c r="L576" i="4"/>
  <c r="O576" i="4" s="1"/>
  <c r="U415" i="4"/>
  <c r="S413" i="4"/>
  <c r="U413" i="4" s="1"/>
  <c r="Q392" i="4"/>
  <c r="T392" i="4" s="1"/>
  <c r="P282" i="4"/>
  <c r="P175" i="4"/>
  <c r="M173" i="4"/>
  <c r="P173" i="4" s="1"/>
  <c r="Q94" i="4"/>
  <c r="T94" i="4" s="1"/>
  <c r="O19" i="4"/>
  <c r="O285" i="4"/>
  <c r="P285" i="4"/>
  <c r="R642" i="4"/>
  <c r="U642" i="4" s="1"/>
  <c r="U644" i="4"/>
  <c r="U760" i="4"/>
  <c r="T601" i="4"/>
  <c r="Q599" i="4"/>
  <c r="T599" i="4" s="1"/>
  <c r="R728" i="4"/>
  <c r="U728" i="4" s="1"/>
  <c r="P61" i="4"/>
  <c r="M59" i="4"/>
  <c r="O46" i="4"/>
  <c r="N44" i="4"/>
  <c r="L232" i="4"/>
  <c r="Q157" i="4"/>
  <c r="T157" i="4" s="1"/>
  <c r="O26" i="4"/>
  <c r="L24" i="4"/>
  <c r="O24" i="4" s="1"/>
  <c r="N186" i="4"/>
  <c r="P186" i="4" s="1"/>
  <c r="P188" i="4"/>
  <c r="O189" i="4"/>
  <c r="U23" i="4"/>
  <c r="R20" i="4"/>
  <c r="R21" i="4"/>
  <c r="T377" i="4"/>
  <c r="Q375" i="4"/>
  <c r="T375" i="4" s="1"/>
  <c r="Q117" i="4"/>
  <c r="T117" i="4" s="1"/>
  <c r="T139" i="3"/>
  <c r="N534" i="1"/>
  <c r="R690" i="1"/>
  <c r="U616" i="3"/>
  <c r="R139" i="3"/>
  <c r="U139" i="3" s="1"/>
  <c r="P540" i="1"/>
  <c r="L599" i="3"/>
  <c r="O599" i="3" s="1"/>
  <c r="T188" i="3"/>
  <c r="P159" i="3"/>
  <c r="O359" i="3"/>
  <c r="R173" i="3"/>
  <c r="U173" i="3" s="1"/>
  <c r="U26" i="3"/>
  <c r="U188" i="3"/>
  <c r="U618" i="3"/>
  <c r="U96" i="3"/>
  <c r="U23" i="3"/>
  <c r="K374" i="3"/>
  <c r="T690" i="3"/>
  <c r="M534" i="3"/>
  <c r="P534" i="3" s="1"/>
  <c r="U619" i="3"/>
  <c r="U74" i="3"/>
  <c r="O61" i="1"/>
  <c r="L94" i="3"/>
  <c r="O94" i="3" s="1"/>
  <c r="U305" i="3"/>
  <c r="P282" i="3"/>
  <c r="O415" i="3"/>
  <c r="S320" i="1"/>
  <c r="U416" i="3"/>
  <c r="T377" i="3"/>
  <c r="T692" i="3"/>
  <c r="P61" i="3"/>
  <c r="U269" i="3"/>
  <c r="R24" i="3"/>
  <c r="U24" i="3" s="1"/>
  <c r="O46" i="3"/>
  <c r="U117" i="3"/>
  <c r="O189" i="3"/>
  <c r="P175" i="3"/>
  <c r="U75" i="3"/>
  <c r="M493" i="3"/>
  <c r="P493" i="3" s="1"/>
  <c r="R157" i="3"/>
  <c r="U157" i="3" s="1"/>
  <c r="U303" i="3"/>
  <c r="T731" i="3"/>
  <c r="Q157" i="3"/>
  <c r="T157" i="3" s="1"/>
  <c r="O61" i="3"/>
  <c r="O188" i="3"/>
  <c r="P415" i="3"/>
  <c r="L117" i="3"/>
  <c r="O117" i="3" s="1"/>
  <c r="P24" i="3"/>
  <c r="T495" i="3"/>
  <c r="Q493" i="3"/>
  <c r="T493" i="3" s="1"/>
  <c r="Q186" i="2"/>
  <c r="T186" i="2" s="1"/>
  <c r="T730" i="3"/>
  <c r="L375" i="3"/>
  <c r="O375" i="3" s="1"/>
  <c r="P26" i="3"/>
  <c r="L413" i="3"/>
  <c r="O413" i="3" s="1"/>
  <c r="P333" i="3"/>
  <c r="L493" i="3"/>
  <c r="O493" i="3" s="1"/>
  <c r="P74" i="3"/>
  <c r="L44" i="3"/>
  <c r="O44" i="3" s="1"/>
  <c r="P335" i="3"/>
  <c r="U378" i="3"/>
  <c r="O141" i="3"/>
  <c r="P186" i="3"/>
  <c r="N139" i="3"/>
  <c r="O139" i="3" s="1"/>
  <c r="T119" i="3"/>
  <c r="P358" i="3"/>
  <c r="T618" i="3"/>
  <c r="P305" i="3"/>
  <c r="M117" i="3"/>
  <c r="P117" i="3" s="1"/>
  <c r="T26" i="3"/>
  <c r="P46" i="3"/>
  <c r="N20" i="3"/>
  <c r="N18" i="3" s="1"/>
  <c r="L513" i="3"/>
  <c r="O513" i="3" s="1"/>
  <c r="T269" i="3"/>
  <c r="M599" i="3"/>
  <c r="P599" i="3" s="1"/>
  <c r="M413" i="3"/>
  <c r="P413" i="3" s="1"/>
  <c r="O335" i="3"/>
  <c r="U375" i="3"/>
  <c r="O74" i="3"/>
  <c r="U730" i="3"/>
  <c r="Q375" i="3"/>
  <c r="T375" i="3" s="1"/>
  <c r="R72" i="3"/>
  <c r="U72" i="3" s="1"/>
  <c r="P188" i="3"/>
  <c r="N21" i="3"/>
  <c r="O186" i="3"/>
  <c r="K701" i="3"/>
  <c r="L72" i="3"/>
  <c r="Q94" i="3"/>
  <c r="T94" i="3" s="1"/>
  <c r="P189" i="3"/>
  <c r="S266" i="3"/>
  <c r="T266" i="3" s="1"/>
  <c r="T619" i="3"/>
  <c r="R599" i="3"/>
  <c r="U599" i="3" s="1"/>
  <c r="K374" i="2"/>
  <c r="Q642" i="3"/>
  <c r="T642" i="3" s="1"/>
  <c r="U762" i="3"/>
  <c r="T728" i="3"/>
  <c r="S413" i="3"/>
  <c r="T413" i="3" s="1"/>
  <c r="O282" i="3"/>
  <c r="U186" i="3"/>
  <c r="M94" i="3"/>
  <c r="P94" i="3" s="1"/>
  <c r="U268" i="3"/>
  <c r="T141" i="3"/>
  <c r="L59" i="3"/>
  <c r="O59" i="3" s="1"/>
  <c r="U119" i="3"/>
  <c r="Q173" i="3"/>
  <c r="T173" i="3" s="1"/>
  <c r="T117" i="3"/>
  <c r="S20" i="3"/>
  <c r="S18" i="3" s="1"/>
  <c r="M59" i="3"/>
  <c r="P59" i="3" s="1"/>
  <c r="P75" i="3"/>
  <c r="N72" i="3"/>
  <c r="P72" i="3" s="1"/>
  <c r="P285" i="3"/>
  <c r="K332" i="3"/>
  <c r="N157" i="3"/>
  <c r="P157" i="3" s="1"/>
  <c r="T416" i="3"/>
  <c r="R20" i="3"/>
  <c r="R18" i="3" s="1"/>
  <c r="O175" i="3"/>
  <c r="L173" i="3"/>
  <c r="O173" i="3" s="1"/>
  <c r="R690" i="3"/>
  <c r="U690" i="3" s="1"/>
  <c r="U692" i="3"/>
  <c r="L576" i="3"/>
  <c r="O576" i="3" s="1"/>
  <c r="P141" i="3"/>
  <c r="M139" i="3"/>
  <c r="M20" i="3"/>
  <c r="P23" i="3"/>
  <c r="O160" i="3"/>
  <c r="P160" i="3"/>
  <c r="L20" i="3"/>
  <c r="L21" i="3"/>
  <c r="O23" i="3"/>
  <c r="K242" i="3"/>
  <c r="I231" i="3"/>
  <c r="L534" i="3"/>
  <c r="O534" i="3" s="1"/>
  <c r="M320" i="3"/>
  <c r="P320" i="3" s="1"/>
  <c r="P322" i="3"/>
  <c r="R642" i="3"/>
  <c r="U642" i="3" s="1"/>
  <c r="U644" i="3"/>
  <c r="U760" i="3"/>
  <c r="P557" i="3"/>
  <c r="M555" i="3"/>
  <c r="P555" i="3" s="1"/>
  <c r="O557" i="3"/>
  <c r="L555" i="3"/>
  <c r="O555" i="3" s="1"/>
  <c r="O336" i="3"/>
  <c r="P284" i="3"/>
  <c r="M173" i="3"/>
  <c r="P173" i="3" s="1"/>
  <c r="T306" i="3"/>
  <c r="U19" i="3"/>
  <c r="O26" i="3"/>
  <c r="L24" i="3"/>
  <c r="O24" i="3" s="1"/>
  <c r="T19" i="3"/>
  <c r="T601" i="3"/>
  <c r="Q599" i="3"/>
  <c r="T599" i="3" s="1"/>
  <c r="M513" i="3"/>
  <c r="P513" i="3" s="1"/>
  <c r="K83" i="3"/>
  <c r="I71" i="3"/>
  <c r="K71" i="3" s="1"/>
  <c r="M375" i="3"/>
  <c r="P375" i="3" s="1"/>
  <c r="P377" i="3"/>
  <c r="P268" i="3"/>
  <c r="N266" i="3"/>
  <c r="P266" i="3" s="1"/>
  <c r="O269" i="3"/>
  <c r="U21" i="3"/>
  <c r="O358" i="3"/>
  <c r="O322" i="3"/>
  <c r="L320" i="3"/>
  <c r="O320" i="3" s="1"/>
  <c r="U495" i="3"/>
  <c r="R493" i="3"/>
  <c r="U493" i="3" s="1"/>
  <c r="T23" i="3"/>
  <c r="Q20" i="3"/>
  <c r="L333" i="3"/>
  <c r="O333" i="3" s="1"/>
  <c r="P303" i="3"/>
  <c r="I70" i="3"/>
  <c r="K70" i="3" s="1"/>
  <c r="K82" i="3"/>
  <c r="O268" i="3"/>
  <c r="T186" i="3"/>
  <c r="Q760" i="3"/>
  <c r="T760" i="3" s="1"/>
  <c r="T762" i="3"/>
  <c r="O284" i="3"/>
  <c r="T394" i="3"/>
  <c r="Q392" i="3"/>
  <c r="T392" i="3" s="1"/>
  <c r="R728" i="3"/>
  <c r="U728" i="3" s="1"/>
  <c r="P578" i="3"/>
  <c r="M576" i="3"/>
  <c r="P576" i="3" s="1"/>
  <c r="O356" i="3"/>
  <c r="O305" i="3"/>
  <c r="L303" i="3"/>
  <c r="O303" i="3" s="1"/>
  <c r="U415" i="3"/>
  <c r="Q616" i="3"/>
  <c r="T616" i="3" s="1"/>
  <c r="L232" i="3"/>
  <c r="O243" i="3"/>
  <c r="O159" i="3"/>
  <c r="L157" i="3"/>
  <c r="P44" i="3"/>
  <c r="P19" i="3"/>
  <c r="M356" i="3"/>
  <c r="P356" i="3" s="1"/>
  <c r="U394" i="3"/>
  <c r="R392" i="3"/>
  <c r="U392" i="3" s="1"/>
  <c r="M21" i="3"/>
  <c r="T303" i="3"/>
  <c r="P142" i="3"/>
  <c r="T74" i="3"/>
  <c r="Q72" i="3"/>
  <c r="T72" i="3" s="1"/>
  <c r="Q21" i="3"/>
  <c r="T21" i="3" s="1"/>
  <c r="Q24" i="3"/>
  <c r="T24" i="3" s="1"/>
  <c r="K701" i="2"/>
  <c r="U693" i="1"/>
  <c r="O62" i="2"/>
  <c r="P159" i="2"/>
  <c r="L72" i="2"/>
  <c r="O72" i="2" s="1"/>
  <c r="P61" i="1"/>
  <c r="N59" i="1"/>
  <c r="P75" i="1"/>
  <c r="P21" i="2"/>
  <c r="O268" i="1"/>
  <c r="P282" i="2"/>
  <c r="K423" i="2"/>
  <c r="U305" i="2"/>
  <c r="P175" i="2"/>
  <c r="P188" i="2"/>
  <c r="M157" i="2"/>
  <c r="P157" i="2" s="1"/>
  <c r="N157" i="1"/>
  <c r="L555" i="2"/>
  <c r="O555" i="2" s="1"/>
  <c r="R139" i="2"/>
  <c r="U139" i="2" s="1"/>
  <c r="T760" i="2"/>
  <c r="O284" i="2"/>
  <c r="T415" i="2"/>
  <c r="Q139" i="2"/>
  <c r="T139" i="2" s="1"/>
  <c r="R392" i="2"/>
  <c r="U392" i="2" s="1"/>
  <c r="M599" i="2"/>
  <c r="P599" i="2" s="1"/>
  <c r="T305" i="2"/>
  <c r="U269" i="2"/>
  <c r="T375" i="2"/>
  <c r="T189" i="1"/>
  <c r="O266" i="2"/>
  <c r="T21" i="2"/>
  <c r="R599" i="2"/>
  <c r="U599" i="2" s="1"/>
  <c r="U693" i="2"/>
  <c r="O285" i="2"/>
  <c r="U644" i="2"/>
  <c r="P284" i="2"/>
  <c r="Q266" i="2"/>
  <c r="T266" i="2" s="1"/>
  <c r="U618" i="1"/>
  <c r="M493" i="2"/>
  <c r="P493" i="2" s="1"/>
  <c r="O377" i="2"/>
  <c r="P415" i="2"/>
  <c r="O232" i="1"/>
  <c r="P557" i="2"/>
  <c r="O268" i="2"/>
  <c r="P176" i="2"/>
  <c r="T644" i="2"/>
  <c r="O159" i="2"/>
  <c r="U123" i="1"/>
  <c r="U618" i="2"/>
  <c r="I231" i="2"/>
  <c r="K231" i="2" s="1"/>
  <c r="P141" i="2"/>
  <c r="M139" i="2"/>
  <c r="P139" i="2" s="1"/>
  <c r="T303" i="2"/>
  <c r="Q493" i="2"/>
  <c r="T493" i="2" s="1"/>
  <c r="T119" i="2"/>
  <c r="O413" i="2"/>
  <c r="R24" i="2"/>
  <c r="U24" i="2" s="1"/>
  <c r="O141" i="2"/>
  <c r="L139" i="2"/>
  <c r="O139" i="2" s="1"/>
  <c r="T693" i="2"/>
  <c r="R616" i="2"/>
  <c r="U616" i="2" s="1"/>
  <c r="O358" i="2"/>
  <c r="S20" i="2"/>
  <c r="S18" i="2" s="1"/>
  <c r="T645" i="2"/>
  <c r="K82" i="2"/>
  <c r="O415" i="2"/>
  <c r="O335" i="2"/>
  <c r="T642" i="2"/>
  <c r="U762" i="2"/>
  <c r="T618" i="2"/>
  <c r="K332" i="2"/>
  <c r="L282" i="2"/>
  <c r="O282" i="2" s="1"/>
  <c r="M173" i="2"/>
  <c r="P173" i="2" s="1"/>
  <c r="L356" i="2"/>
  <c r="O356" i="2" s="1"/>
  <c r="O47" i="2"/>
  <c r="Q117" i="2"/>
  <c r="T117" i="2" s="1"/>
  <c r="T377" i="2"/>
  <c r="U731" i="2"/>
  <c r="L599" i="2"/>
  <c r="O599" i="2" s="1"/>
  <c r="O601" i="2"/>
  <c r="U377" i="2"/>
  <c r="M375" i="2"/>
  <c r="P375" i="2" s="1"/>
  <c r="P377" i="2"/>
  <c r="O333" i="2"/>
  <c r="T123" i="1"/>
  <c r="O416" i="1"/>
  <c r="T690" i="2"/>
  <c r="M513" i="2"/>
  <c r="P513" i="2" s="1"/>
  <c r="P305" i="2"/>
  <c r="M94" i="2"/>
  <c r="P94" i="2" s="1"/>
  <c r="O305" i="2"/>
  <c r="M413" i="2"/>
  <c r="P413" i="2" s="1"/>
  <c r="S413" i="2"/>
  <c r="T413" i="2" s="1"/>
  <c r="U375" i="2"/>
  <c r="U692" i="2"/>
  <c r="T692" i="2"/>
  <c r="O303" i="2"/>
  <c r="P303" i="2"/>
  <c r="U415" i="2"/>
  <c r="T731" i="2"/>
  <c r="P536" i="2"/>
  <c r="M534" i="2"/>
  <c r="P534" i="2" s="1"/>
  <c r="M320" i="2"/>
  <c r="P320" i="2" s="1"/>
  <c r="P322" i="2"/>
  <c r="Q392" i="2"/>
  <c r="T392" i="2" s="1"/>
  <c r="T394" i="2"/>
  <c r="U23" i="2"/>
  <c r="R21" i="2"/>
  <c r="U21" i="2" s="1"/>
  <c r="R20" i="2"/>
  <c r="R157" i="2"/>
  <c r="U157" i="2" s="1"/>
  <c r="U159" i="2"/>
  <c r="T416" i="1"/>
  <c r="U416" i="1"/>
  <c r="R728" i="2"/>
  <c r="U728" i="2" s="1"/>
  <c r="U730" i="2"/>
  <c r="L534" i="2"/>
  <c r="O534" i="2" s="1"/>
  <c r="O536" i="2"/>
  <c r="K457" i="2"/>
  <c r="O578" i="2"/>
  <c r="L576" i="2"/>
  <c r="O576" i="2" s="1"/>
  <c r="R303" i="2"/>
  <c r="U303" i="2" s="1"/>
  <c r="M186" i="2"/>
  <c r="P186" i="2" s="1"/>
  <c r="U175" i="2"/>
  <c r="R173" i="2"/>
  <c r="U173" i="2" s="1"/>
  <c r="P46" i="2"/>
  <c r="N20" i="2"/>
  <c r="N18" i="2" s="1"/>
  <c r="P23" i="2"/>
  <c r="R72" i="2"/>
  <c r="U72" i="2" s="1"/>
  <c r="P578" i="2"/>
  <c r="M576" i="2"/>
  <c r="P576" i="2" s="1"/>
  <c r="M20" i="2"/>
  <c r="M18" i="2" s="1"/>
  <c r="P26" i="2"/>
  <c r="M24" i="2"/>
  <c r="P24" i="2" s="1"/>
  <c r="O306" i="2"/>
  <c r="O44" i="2"/>
  <c r="R493" i="2"/>
  <c r="U493" i="2" s="1"/>
  <c r="U495" i="2"/>
  <c r="L513" i="2"/>
  <c r="O513" i="2" s="1"/>
  <c r="T601" i="2"/>
  <c r="Q599" i="2"/>
  <c r="T599" i="2" s="1"/>
  <c r="M356" i="2"/>
  <c r="P356" i="2" s="1"/>
  <c r="P358" i="2"/>
  <c r="N40" i="2"/>
  <c r="U19" i="2"/>
  <c r="R94" i="2"/>
  <c r="U94" i="2" s="1"/>
  <c r="U96" i="2"/>
  <c r="Q72" i="2"/>
  <c r="T72" i="2" s="1"/>
  <c r="O322" i="2"/>
  <c r="L320" i="2"/>
  <c r="O320" i="2" s="1"/>
  <c r="K83" i="2"/>
  <c r="I71" i="2"/>
  <c r="K71" i="2" s="1"/>
  <c r="R117" i="2"/>
  <c r="U117" i="2" s="1"/>
  <c r="U119" i="2"/>
  <c r="Q157" i="2"/>
  <c r="T157" i="2" s="1"/>
  <c r="S24" i="2"/>
  <c r="L493" i="2"/>
  <c r="O493" i="2" s="1"/>
  <c r="O495" i="2"/>
  <c r="P19" i="2"/>
  <c r="U760" i="2"/>
  <c r="P268" i="2"/>
  <c r="M266" i="2"/>
  <c r="P266" i="2" s="1"/>
  <c r="O359" i="2"/>
  <c r="L173" i="2"/>
  <c r="O173" i="2" s="1"/>
  <c r="O175" i="2"/>
  <c r="O46" i="2"/>
  <c r="O19" i="2"/>
  <c r="P59" i="2"/>
  <c r="L186" i="2"/>
  <c r="O186" i="2" s="1"/>
  <c r="O188" i="2"/>
  <c r="T175" i="2"/>
  <c r="Q173" i="2"/>
  <c r="T173" i="2" s="1"/>
  <c r="O23" i="2"/>
  <c r="L21" i="2"/>
  <c r="O21" i="2" s="1"/>
  <c r="L20" i="2"/>
  <c r="L18" i="2" s="1"/>
  <c r="O61" i="2"/>
  <c r="L59" i="2"/>
  <c r="O59" i="2" s="1"/>
  <c r="T762" i="2"/>
  <c r="Q616" i="2"/>
  <c r="T616" i="2" s="1"/>
  <c r="L232" i="2"/>
  <c r="P335" i="2"/>
  <c r="M333" i="2"/>
  <c r="P333" i="2" s="1"/>
  <c r="P74" i="2"/>
  <c r="M72" i="2"/>
  <c r="P72" i="2" s="1"/>
  <c r="L94" i="2"/>
  <c r="O94" i="2" s="1"/>
  <c r="O96" i="2"/>
  <c r="P61" i="2"/>
  <c r="T96" i="2"/>
  <c r="Q94" i="2"/>
  <c r="T94" i="2" s="1"/>
  <c r="T26" i="2"/>
  <c r="Q24" i="2"/>
  <c r="T24" i="2" s="1"/>
  <c r="M117" i="2"/>
  <c r="P117" i="2" s="1"/>
  <c r="R186" i="2"/>
  <c r="U186" i="2" s="1"/>
  <c r="L117" i="2"/>
  <c r="O117" i="2" s="1"/>
  <c r="O119" i="2"/>
  <c r="T23" i="2"/>
  <c r="Q20" i="2"/>
  <c r="L24" i="2"/>
  <c r="O24" i="2" s="1"/>
  <c r="M44" i="2"/>
  <c r="L493" i="1"/>
  <c r="O415" i="1"/>
  <c r="Q320" i="1"/>
  <c r="T320" i="1" s="1"/>
  <c r="N375" i="1"/>
  <c r="O284" i="1"/>
  <c r="K701" i="1"/>
  <c r="S493" i="1"/>
  <c r="T269" i="1"/>
  <c r="P561" i="1"/>
  <c r="P306" i="1"/>
  <c r="N760" i="1"/>
  <c r="N333" i="1"/>
  <c r="J457" i="1"/>
  <c r="J456" i="1" s="1"/>
  <c r="K456" i="1" s="1"/>
  <c r="P335" i="1"/>
  <c r="U377" i="1"/>
  <c r="U97" i="1"/>
  <c r="U619" i="1"/>
  <c r="U691" i="1"/>
  <c r="P141" i="1"/>
  <c r="P188" i="1"/>
  <c r="S392" i="1"/>
  <c r="O323" i="1"/>
  <c r="O495" i="1"/>
  <c r="T762" i="1"/>
  <c r="P323" i="1"/>
  <c r="S20" i="1"/>
  <c r="N413" i="1"/>
  <c r="Q642" i="1"/>
  <c r="T268" i="1"/>
  <c r="N173" i="1"/>
  <c r="R72" i="1"/>
  <c r="R642" i="1"/>
  <c r="P358" i="1"/>
  <c r="P175" i="1"/>
  <c r="L576" i="1"/>
  <c r="N555" i="1"/>
  <c r="O159" i="1"/>
  <c r="S139" i="1"/>
  <c r="U78" i="1"/>
  <c r="R44" i="1"/>
  <c r="U44" i="1" s="1"/>
  <c r="R714" i="1"/>
  <c r="U714" i="1" s="1"/>
  <c r="Q728" i="1"/>
  <c r="T728" i="1" s="1"/>
  <c r="N576" i="1"/>
  <c r="M303" i="1"/>
  <c r="O175" i="1"/>
  <c r="S555" i="1"/>
  <c r="S356" i="1"/>
  <c r="Q534" i="1"/>
  <c r="T534" i="1" s="1"/>
  <c r="N266" i="1"/>
  <c r="O160" i="1"/>
  <c r="P416" i="1"/>
  <c r="S616" i="1"/>
  <c r="M282" i="1"/>
  <c r="O142" i="1"/>
  <c r="R576" i="1"/>
  <c r="U576" i="1" s="1"/>
  <c r="T619" i="1"/>
  <c r="L616" i="1"/>
  <c r="O616" i="1" s="1"/>
  <c r="S282" i="1"/>
  <c r="M392" i="1"/>
  <c r="P392" i="1" s="1"/>
  <c r="T618" i="1"/>
  <c r="O335" i="1"/>
  <c r="P268" i="1"/>
  <c r="T141" i="1"/>
  <c r="U577" i="1"/>
  <c r="T763" i="1"/>
  <c r="U495" i="1"/>
  <c r="N493" i="1"/>
  <c r="T78" i="1"/>
  <c r="M616" i="1"/>
  <c r="P616" i="1" s="1"/>
  <c r="M555" i="1"/>
  <c r="K332" i="1"/>
  <c r="R186" i="1"/>
  <c r="O176" i="1"/>
  <c r="R493" i="1"/>
  <c r="T96" i="1"/>
  <c r="S266" i="1"/>
  <c r="U415" i="1"/>
  <c r="S94" i="1"/>
  <c r="O322" i="1"/>
  <c r="U96" i="1"/>
  <c r="O23" i="1"/>
  <c r="P97" i="1"/>
  <c r="T142" i="1"/>
  <c r="J458" i="1"/>
  <c r="N186" i="1"/>
  <c r="O97" i="1"/>
  <c r="L320" i="1"/>
  <c r="T496" i="1"/>
  <c r="Q599" i="1"/>
  <c r="T599" i="1" s="1"/>
  <c r="K440" i="1"/>
  <c r="P62" i="1"/>
  <c r="M186" i="1"/>
  <c r="T46" i="1"/>
  <c r="L392" i="1"/>
  <c r="O392" i="1" s="1"/>
  <c r="O306" i="1"/>
  <c r="N714" i="1"/>
  <c r="U496" i="1"/>
  <c r="U729" i="1"/>
  <c r="O536" i="1"/>
  <c r="S72" i="1"/>
  <c r="O729" i="1"/>
  <c r="R333" i="1"/>
  <c r="U333" i="1" s="1"/>
  <c r="M728" i="1"/>
  <c r="P728" i="1" s="1"/>
  <c r="U728" i="1"/>
  <c r="N356" i="1"/>
  <c r="O75" i="1"/>
  <c r="T26" i="1"/>
  <c r="N24" i="1"/>
  <c r="U762" i="1"/>
  <c r="K423" i="1"/>
  <c r="O305" i="1"/>
  <c r="U269" i="1"/>
  <c r="U305" i="1"/>
  <c r="N513" i="1"/>
  <c r="P359" i="1"/>
  <c r="O65" i="1"/>
  <c r="P321" i="1"/>
  <c r="T74" i="1"/>
  <c r="Q303" i="1"/>
  <c r="O26" i="1"/>
  <c r="S157" i="1"/>
  <c r="P65" i="1"/>
  <c r="L72" i="1"/>
  <c r="O579" i="1"/>
  <c r="U763" i="1"/>
  <c r="O578" i="1"/>
  <c r="S303" i="1"/>
  <c r="U715" i="1"/>
  <c r="Q392" i="1"/>
  <c r="T392" i="1" s="1"/>
  <c r="Q157" i="1"/>
  <c r="T157" i="1" s="1"/>
  <c r="T376" i="1"/>
  <c r="O141" i="1"/>
  <c r="L690" i="1"/>
  <c r="O690" i="1" s="1"/>
  <c r="N117" i="1"/>
  <c r="Q555" i="1"/>
  <c r="T555" i="1" s="1"/>
  <c r="S59" i="1"/>
  <c r="R413" i="1"/>
  <c r="M513" i="1"/>
  <c r="P513" i="1" s="1"/>
  <c r="T305" i="1"/>
  <c r="N728" i="1"/>
  <c r="T75" i="1"/>
  <c r="R534" i="1"/>
  <c r="U534" i="1" s="1"/>
  <c r="P44" i="1"/>
  <c r="U26" i="1"/>
  <c r="L375" i="1"/>
  <c r="U731" i="1"/>
  <c r="O602" i="1"/>
  <c r="O336" i="1"/>
  <c r="R320" i="1"/>
  <c r="U320" i="1" s="1"/>
  <c r="U378" i="1"/>
  <c r="P284" i="1"/>
  <c r="U189" i="1"/>
  <c r="O557" i="1"/>
  <c r="O47" i="1"/>
  <c r="R157" i="1"/>
  <c r="U157" i="1" s="1"/>
  <c r="Q282" i="1"/>
  <c r="T282" i="1" s="1"/>
  <c r="S24" i="1"/>
  <c r="N392" i="1"/>
  <c r="O188" i="1"/>
  <c r="P305" i="1"/>
  <c r="S760" i="1"/>
  <c r="Q186" i="1"/>
  <c r="R59" i="1"/>
  <c r="U59" i="1" s="1"/>
  <c r="N139" i="1"/>
  <c r="N303" i="1"/>
  <c r="Q616" i="1"/>
  <c r="P189" i="1"/>
  <c r="N320" i="1"/>
  <c r="P46" i="1"/>
  <c r="R117" i="1"/>
  <c r="U117" i="1" s="1"/>
  <c r="U617" i="1"/>
  <c r="R616" i="1"/>
  <c r="L714" i="1"/>
  <c r="O714" i="1" s="1"/>
  <c r="O304" i="1"/>
  <c r="L303" i="1"/>
  <c r="R173" i="1"/>
  <c r="U173" i="1" s="1"/>
  <c r="U174" i="1"/>
  <c r="Q139" i="1"/>
  <c r="T140" i="1"/>
  <c r="P142" i="1"/>
  <c r="M356" i="1"/>
  <c r="P357" i="1"/>
  <c r="Q760" i="1"/>
  <c r="M333" i="1"/>
  <c r="P334" i="1"/>
  <c r="R392" i="1"/>
  <c r="U392" i="1" s="1"/>
  <c r="U393" i="1"/>
  <c r="M690" i="1"/>
  <c r="P690" i="1" s="1"/>
  <c r="Q356" i="1"/>
  <c r="T356" i="1" s="1"/>
  <c r="O377" i="1"/>
  <c r="U74" i="1"/>
  <c r="M173" i="1"/>
  <c r="T120" i="1"/>
  <c r="N20" i="1"/>
  <c r="O46" i="1"/>
  <c r="U761" i="1"/>
  <c r="R760" i="1"/>
  <c r="O514" i="1"/>
  <c r="L513" i="1"/>
  <c r="O513" i="1" s="1"/>
  <c r="L760" i="1"/>
  <c r="O760" i="1" s="1"/>
  <c r="O269" i="1"/>
  <c r="P74" i="1"/>
  <c r="R303" i="1"/>
  <c r="U304" i="1"/>
  <c r="P73" i="1"/>
  <c r="M72" i="1"/>
  <c r="M266" i="1"/>
  <c r="S513" i="1"/>
  <c r="P285" i="1"/>
  <c r="N282" i="1"/>
  <c r="P160" i="1"/>
  <c r="U120" i="1"/>
  <c r="O285" i="1"/>
  <c r="T415" i="1"/>
  <c r="O74" i="1"/>
  <c r="L555" i="1"/>
  <c r="P269" i="1"/>
  <c r="L173" i="1"/>
  <c r="Q173" i="1"/>
  <c r="T173" i="1" s="1"/>
  <c r="T174" i="1"/>
  <c r="N72" i="1"/>
  <c r="P176" i="1"/>
  <c r="L117" i="1"/>
  <c r="O117" i="1" s="1"/>
  <c r="U376" i="1"/>
  <c r="R375" i="1"/>
  <c r="P535" i="1"/>
  <c r="M534" i="1"/>
  <c r="R513" i="1"/>
  <c r="U513" i="1" s="1"/>
  <c r="U514" i="1"/>
  <c r="R266" i="1"/>
  <c r="U267" i="1"/>
  <c r="M642" i="1"/>
  <c r="P642" i="1" s="1"/>
  <c r="P557" i="1"/>
  <c r="Q513" i="1"/>
  <c r="T513" i="1" s="1"/>
  <c r="M760" i="1"/>
  <c r="P760" i="1" s="1"/>
  <c r="Q94" i="1"/>
  <c r="T95" i="1"/>
  <c r="R94" i="1"/>
  <c r="T60" i="1"/>
  <c r="Q59" i="1"/>
  <c r="T59" i="1" s="1"/>
  <c r="L186" i="1"/>
  <c r="O187" i="1"/>
  <c r="R20" i="1"/>
  <c r="U23" i="1"/>
  <c r="P118" i="1"/>
  <c r="M117" i="1"/>
  <c r="P117" i="1" s="1"/>
  <c r="K83" i="1"/>
  <c r="I71" i="1"/>
  <c r="K71" i="1" s="1"/>
  <c r="Q20" i="1"/>
  <c r="T23" i="1"/>
  <c r="M714" i="1"/>
  <c r="P714" i="1" s="1"/>
  <c r="L534" i="1"/>
  <c r="P415" i="1"/>
  <c r="M413" i="1"/>
  <c r="O643" i="1"/>
  <c r="L642" i="1"/>
  <c r="O642" i="1" s="1"/>
  <c r="P600" i="1"/>
  <c r="M599" i="1"/>
  <c r="P599" i="1" s="1"/>
  <c r="U730" i="1"/>
  <c r="T730" i="1"/>
  <c r="Q493" i="1"/>
  <c r="T495" i="1"/>
  <c r="Q24" i="1"/>
  <c r="T25" i="1"/>
  <c r="T73" i="1"/>
  <c r="Q72" i="1"/>
  <c r="K632" i="1"/>
  <c r="M59" i="1"/>
  <c r="O359" i="1"/>
  <c r="Q266" i="1"/>
  <c r="R356" i="1"/>
  <c r="U356" i="1" s="1"/>
  <c r="U357" i="1"/>
  <c r="O44" i="1"/>
  <c r="U75" i="1"/>
  <c r="P494" i="1"/>
  <c r="M493" i="1"/>
  <c r="P493" i="1" s="1"/>
  <c r="P26" i="1"/>
  <c r="T645" i="1"/>
  <c r="T693" i="1"/>
  <c r="O96" i="1"/>
  <c r="N94" i="1"/>
  <c r="P96" i="1"/>
  <c r="R599" i="1"/>
  <c r="U599" i="1" s="1"/>
  <c r="U600" i="1"/>
  <c r="M375" i="1"/>
  <c r="P377" i="1"/>
  <c r="P577" i="1"/>
  <c r="M576" i="1"/>
  <c r="P576" i="1" s="1"/>
  <c r="Q19" i="1"/>
  <c r="T22" i="1"/>
  <c r="Q21" i="1"/>
  <c r="K626" i="1"/>
  <c r="K82" i="1"/>
  <c r="J70" i="1"/>
  <c r="K70" i="1" s="1"/>
  <c r="L413" i="1"/>
  <c r="S375" i="1"/>
  <c r="T377" i="1"/>
  <c r="M139" i="1"/>
  <c r="P140" i="1"/>
  <c r="N21" i="1"/>
  <c r="N19" i="1"/>
  <c r="L59" i="1"/>
  <c r="L20" i="1"/>
  <c r="R21" i="1"/>
  <c r="S642" i="1"/>
  <c r="T644" i="1"/>
  <c r="L599" i="1"/>
  <c r="O599" i="1" s="1"/>
  <c r="O600" i="1"/>
  <c r="P159" i="1"/>
  <c r="M157" i="1"/>
  <c r="P378" i="1"/>
  <c r="O378" i="1"/>
  <c r="U645" i="1"/>
  <c r="T715" i="1"/>
  <c r="Q714" i="1"/>
  <c r="T714" i="1" s="1"/>
  <c r="P536" i="1"/>
  <c r="R555" i="1"/>
  <c r="U555" i="1" s="1"/>
  <c r="U556" i="1"/>
  <c r="O496" i="1"/>
  <c r="O561" i="1"/>
  <c r="L333" i="1"/>
  <c r="O283" i="1"/>
  <c r="L282" i="1"/>
  <c r="O358" i="1"/>
  <c r="O25" i="1"/>
  <c r="L24" i="1"/>
  <c r="M20" i="1"/>
  <c r="P23" i="1"/>
  <c r="Q333" i="1"/>
  <c r="T333" i="1" s="1"/>
  <c r="S21" i="1"/>
  <c r="S19" i="1"/>
  <c r="O189" i="1"/>
  <c r="L139" i="1"/>
  <c r="P25" i="1"/>
  <c r="M24" i="1"/>
  <c r="T119" i="1"/>
  <c r="Q117" i="1"/>
  <c r="M94" i="1"/>
  <c r="P95" i="1"/>
  <c r="U25" i="1"/>
  <c r="R24" i="1"/>
  <c r="O22" i="1"/>
  <c r="L21" i="1"/>
  <c r="L19" i="1"/>
  <c r="T97" i="1"/>
  <c r="T731" i="1"/>
  <c r="T691" i="1"/>
  <c r="Q690" i="1"/>
  <c r="Q413" i="1"/>
  <c r="U644" i="1"/>
  <c r="K615" i="1"/>
  <c r="L356" i="1"/>
  <c r="O357" i="1"/>
  <c r="O62" i="1"/>
  <c r="T578" i="1"/>
  <c r="Q576" i="1"/>
  <c r="T576" i="1" s="1"/>
  <c r="O95" i="1"/>
  <c r="L94" i="1"/>
  <c r="M21" i="1"/>
  <c r="P22" i="1"/>
  <c r="M19" i="1"/>
  <c r="R19" i="1"/>
  <c r="U283" i="1"/>
  <c r="R282" i="1"/>
  <c r="U282" i="1" s="1"/>
  <c r="R139" i="1"/>
  <c r="U139" i="1" s="1"/>
  <c r="I185" i="17" l="1"/>
  <c r="K185" i="17" s="1"/>
  <c r="I185" i="16"/>
  <c r="K185" i="16" s="1"/>
  <c r="U642" i="15"/>
  <c r="T375" i="18"/>
  <c r="P72" i="18"/>
  <c r="P20" i="18"/>
  <c r="N40" i="18"/>
  <c r="U728" i="14"/>
  <c r="O18" i="17"/>
  <c r="T493" i="18"/>
  <c r="T94" i="15"/>
  <c r="U266" i="18"/>
  <c r="K231" i="18"/>
  <c r="I185" i="18"/>
  <c r="K185" i="18" s="1"/>
  <c r="M40" i="18"/>
  <c r="P44" i="18"/>
  <c r="T18" i="18"/>
  <c r="O20" i="18"/>
  <c r="L18" i="18"/>
  <c r="O18" i="18" s="1"/>
  <c r="P303" i="18"/>
  <c r="T303" i="18"/>
  <c r="T72" i="15"/>
  <c r="O21" i="18"/>
  <c r="L40" i="18"/>
  <c r="T20" i="18"/>
  <c r="P21" i="18"/>
  <c r="U20" i="18"/>
  <c r="R18" i="18"/>
  <c r="U18" i="18" s="1"/>
  <c r="M18" i="18"/>
  <c r="P18" i="18" s="1"/>
  <c r="M40" i="17"/>
  <c r="N40" i="17"/>
  <c r="P139" i="17"/>
  <c r="O21" i="17"/>
  <c r="L40" i="17"/>
  <c r="T20" i="17"/>
  <c r="Q18" i="17"/>
  <c r="T18" i="17" s="1"/>
  <c r="O173" i="17"/>
  <c r="U20" i="17"/>
  <c r="O20" i="17"/>
  <c r="O555" i="13"/>
  <c r="P173" i="17"/>
  <c r="P20" i="17"/>
  <c r="M18" i="17"/>
  <c r="P18" i="17" s="1"/>
  <c r="U728" i="17"/>
  <c r="R18" i="17"/>
  <c r="U18" i="17" s="1"/>
  <c r="O21" i="15"/>
  <c r="T20" i="15"/>
  <c r="U20" i="15"/>
  <c r="T21" i="16"/>
  <c r="O20" i="16"/>
  <c r="L18" i="16"/>
  <c r="O18" i="16" s="1"/>
  <c r="U642" i="16"/>
  <c r="O21" i="16"/>
  <c r="Q18" i="16"/>
  <c r="T18" i="16" s="1"/>
  <c r="T20" i="16"/>
  <c r="N40" i="15"/>
  <c r="M40" i="16"/>
  <c r="P40" i="16" s="1"/>
  <c r="P44" i="16"/>
  <c r="L40" i="16"/>
  <c r="O40" i="16" s="1"/>
  <c r="U20" i="16"/>
  <c r="R18" i="16"/>
  <c r="U18" i="16" s="1"/>
  <c r="P20" i="16"/>
  <c r="M18" i="16"/>
  <c r="P18" i="16" s="1"/>
  <c r="P282" i="14"/>
  <c r="P72" i="14"/>
  <c r="O333" i="15"/>
  <c r="T21" i="15"/>
  <c r="O44" i="15"/>
  <c r="O282" i="15"/>
  <c r="U413" i="15"/>
  <c r="K231" i="15"/>
  <c r="I185" i="15"/>
  <c r="K185" i="15" s="1"/>
  <c r="P186" i="13"/>
  <c r="R18" i="15"/>
  <c r="U18" i="15" s="1"/>
  <c r="L40" i="15"/>
  <c r="U117" i="14"/>
  <c r="P20" i="15"/>
  <c r="M18" i="15"/>
  <c r="P18" i="15" s="1"/>
  <c r="M40" i="15"/>
  <c r="L40" i="14"/>
  <c r="P18" i="14"/>
  <c r="O20" i="15"/>
  <c r="L18" i="15"/>
  <c r="O18" i="15" s="1"/>
  <c r="N40" i="14"/>
  <c r="Q18" i="15"/>
  <c r="T18" i="15" s="1"/>
  <c r="N40" i="13"/>
  <c r="O18" i="13"/>
  <c r="T375" i="14"/>
  <c r="O21" i="14"/>
  <c r="T18" i="14"/>
  <c r="K231" i="14"/>
  <c r="I185" i="14"/>
  <c r="K185" i="14" s="1"/>
  <c r="O20" i="14"/>
  <c r="L18" i="14"/>
  <c r="O18" i="14" s="1"/>
  <c r="P21" i="14"/>
  <c r="P20" i="14"/>
  <c r="M40" i="14"/>
  <c r="P44" i="14"/>
  <c r="U20" i="14"/>
  <c r="R18" i="14"/>
  <c r="U18" i="14" s="1"/>
  <c r="T20" i="14"/>
  <c r="O186" i="14"/>
  <c r="P59" i="14"/>
  <c r="O20" i="13"/>
  <c r="P20" i="13"/>
  <c r="M18" i="13"/>
  <c r="P18" i="13" s="1"/>
  <c r="O24" i="13"/>
  <c r="M40" i="13"/>
  <c r="K231" i="13"/>
  <c r="I185" i="13"/>
  <c r="K185" i="13" s="1"/>
  <c r="U20" i="13"/>
  <c r="R18" i="13"/>
  <c r="S18" i="13"/>
  <c r="T18" i="13" s="1"/>
  <c r="T20" i="13"/>
  <c r="L40" i="13"/>
  <c r="T72" i="11"/>
  <c r="U18" i="12"/>
  <c r="O266" i="12"/>
  <c r="N40" i="12"/>
  <c r="U20" i="12"/>
  <c r="U21" i="12"/>
  <c r="P21" i="12"/>
  <c r="P333" i="12"/>
  <c r="O333" i="12"/>
  <c r="T117" i="1"/>
  <c r="M18" i="12"/>
  <c r="P20" i="12"/>
  <c r="O21" i="11"/>
  <c r="M40" i="12"/>
  <c r="K231" i="12"/>
  <c r="I185" i="12"/>
  <c r="K185" i="12" s="1"/>
  <c r="L40" i="12"/>
  <c r="N18" i="12"/>
  <c r="O18" i="12" s="1"/>
  <c r="O20" i="12"/>
  <c r="T20" i="12"/>
  <c r="Q18" i="12"/>
  <c r="T18" i="12" s="1"/>
  <c r="M40" i="11"/>
  <c r="T20" i="11"/>
  <c r="U18" i="11"/>
  <c r="T18" i="11"/>
  <c r="U20" i="11"/>
  <c r="O20" i="11"/>
  <c r="L18" i="11"/>
  <c r="O18" i="11" s="1"/>
  <c r="K231" i="11"/>
  <c r="I185" i="11"/>
  <c r="K185" i="11" s="1"/>
  <c r="L40" i="11"/>
  <c r="O44" i="11"/>
  <c r="M18" i="11"/>
  <c r="P18" i="11" s="1"/>
  <c r="P20" i="11"/>
  <c r="N40" i="11"/>
  <c r="P157" i="11"/>
  <c r="O157" i="11"/>
  <c r="O173" i="11"/>
  <c r="P173" i="11"/>
  <c r="O266" i="1"/>
  <c r="U413" i="1"/>
  <c r="T18" i="10"/>
  <c r="O356" i="9"/>
  <c r="O20" i="5"/>
  <c r="N40" i="9"/>
  <c r="T21" i="9"/>
  <c r="U21" i="9"/>
  <c r="U72" i="10"/>
  <c r="T303" i="10"/>
  <c r="O266" i="9"/>
  <c r="O24" i="10"/>
  <c r="P18" i="9"/>
  <c r="T20" i="10"/>
  <c r="K231" i="10"/>
  <c r="I185" i="10"/>
  <c r="K185" i="10" s="1"/>
  <c r="L40" i="10"/>
  <c r="O44" i="10"/>
  <c r="R18" i="10"/>
  <c r="U18" i="10" s="1"/>
  <c r="U20" i="10"/>
  <c r="P44" i="10"/>
  <c r="M40" i="10"/>
  <c r="P20" i="10"/>
  <c r="M18" i="10"/>
  <c r="P18" i="10" s="1"/>
  <c r="L18" i="10"/>
  <c r="O18" i="10" s="1"/>
  <c r="O20" i="10"/>
  <c r="U21" i="10"/>
  <c r="N40" i="10"/>
  <c r="P20" i="9"/>
  <c r="O21" i="9"/>
  <c r="U20" i="9"/>
  <c r="R18" i="9"/>
  <c r="U18" i="9" s="1"/>
  <c r="O20" i="9"/>
  <c r="L18" i="9"/>
  <c r="O18" i="9" s="1"/>
  <c r="L40" i="9"/>
  <c r="O44" i="9"/>
  <c r="P44" i="9"/>
  <c r="M40" i="9"/>
  <c r="Q18" i="9"/>
  <c r="T18" i="9" s="1"/>
  <c r="T20" i="9"/>
  <c r="P320" i="1"/>
  <c r="T20" i="8"/>
  <c r="O18" i="8"/>
  <c r="P139" i="8"/>
  <c r="N40" i="8"/>
  <c r="T413" i="1"/>
  <c r="P59" i="8"/>
  <c r="P20" i="8"/>
  <c r="P72" i="8"/>
  <c r="O20" i="8"/>
  <c r="M18" i="8"/>
  <c r="P18" i="8" s="1"/>
  <c r="P21" i="8"/>
  <c r="M40" i="8"/>
  <c r="O59" i="8"/>
  <c r="T303" i="8"/>
  <c r="R18" i="8"/>
  <c r="U18" i="8" s="1"/>
  <c r="U20" i="8"/>
  <c r="O44" i="8"/>
  <c r="L40" i="8"/>
  <c r="Q18" i="8"/>
  <c r="T18" i="8" s="1"/>
  <c r="K231" i="8"/>
  <c r="I185" i="8"/>
  <c r="K185" i="8" s="1"/>
  <c r="T21" i="7"/>
  <c r="P21" i="7"/>
  <c r="P18" i="7"/>
  <c r="U117" i="7"/>
  <c r="P20" i="7"/>
  <c r="L18" i="7"/>
  <c r="O18" i="7" s="1"/>
  <c r="O20" i="7"/>
  <c r="S18" i="7"/>
  <c r="T18" i="7" s="1"/>
  <c r="T20" i="7"/>
  <c r="R18" i="7"/>
  <c r="U20" i="7"/>
  <c r="U72" i="7"/>
  <c r="O21" i="7"/>
  <c r="L40" i="7"/>
  <c r="I185" i="7"/>
  <c r="K185" i="7" s="1"/>
  <c r="K231" i="7"/>
  <c r="P44" i="7"/>
  <c r="M40" i="7"/>
  <c r="O139" i="7"/>
  <c r="N40" i="7"/>
  <c r="U21" i="7"/>
  <c r="P139" i="7"/>
  <c r="P139" i="6"/>
  <c r="O413" i="6"/>
  <c r="T72" i="6"/>
  <c r="U266" i="6"/>
  <c r="T117" i="6"/>
  <c r="U20" i="6"/>
  <c r="U18" i="6"/>
  <c r="T21" i="6"/>
  <c r="P18" i="6"/>
  <c r="P21" i="6"/>
  <c r="M40" i="6"/>
  <c r="K231" i="6"/>
  <c r="I185" i="6"/>
  <c r="K185" i="6" s="1"/>
  <c r="P266" i="6"/>
  <c r="P20" i="6"/>
  <c r="Q18" i="6"/>
  <c r="T18" i="6" s="1"/>
  <c r="T20" i="6"/>
  <c r="O20" i="6"/>
  <c r="L18" i="6"/>
  <c r="O18" i="6" s="1"/>
  <c r="L40" i="6"/>
  <c r="N40" i="6"/>
  <c r="I185" i="5"/>
  <c r="K185" i="5" s="1"/>
  <c r="U303" i="5"/>
  <c r="T690" i="1"/>
  <c r="L18" i="5"/>
  <c r="O18" i="5" s="1"/>
  <c r="U186" i="5"/>
  <c r="T413" i="5"/>
  <c r="O493" i="1"/>
  <c r="L40" i="5"/>
  <c r="O40" i="5" s="1"/>
  <c r="P59" i="5"/>
  <c r="M40" i="5"/>
  <c r="P40" i="5" s="1"/>
  <c r="T20" i="5"/>
  <c r="Q18" i="5"/>
  <c r="T18" i="5" s="1"/>
  <c r="P20" i="5"/>
  <c r="M18" i="5"/>
  <c r="P18" i="5" s="1"/>
  <c r="U20" i="5"/>
  <c r="R18" i="5"/>
  <c r="U18" i="5" s="1"/>
  <c r="T186" i="1"/>
  <c r="U186" i="1"/>
  <c r="U690" i="1"/>
  <c r="O157" i="1"/>
  <c r="P303" i="4"/>
  <c r="I185" i="4"/>
  <c r="K185" i="4" s="1"/>
  <c r="O534" i="1"/>
  <c r="P534" i="1"/>
  <c r="T18" i="4"/>
  <c r="U21" i="4"/>
  <c r="U20" i="4"/>
  <c r="T20" i="4"/>
  <c r="O18" i="4"/>
  <c r="O20" i="4"/>
  <c r="R18" i="4"/>
  <c r="U18" i="4" s="1"/>
  <c r="T266" i="4"/>
  <c r="P59" i="4"/>
  <c r="M40" i="4"/>
  <c r="O186" i="4"/>
  <c r="T413" i="4"/>
  <c r="L40" i="4"/>
  <c r="N40" i="4"/>
  <c r="O44" i="4"/>
  <c r="P44" i="4"/>
  <c r="M18" i="4"/>
  <c r="P18" i="4" s="1"/>
  <c r="P20" i="4"/>
  <c r="T20" i="3"/>
  <c r="P20" i="3"/>
  <c r="U18" i="3"/>
  <c r="O72" i="3"/>
  <c r="P21" i="3"/>
  <c r="O157" i="3"/>
  <c r="O21" i="3"/>
  <c r="P139" i="3"/>
  <c r="U266" i="3"/>
  <c r="M18" i="3"/>
  <c r="P18" i="3" s="1"/>
  <c r="U413" i="3"/>
  <c r="U20" i="3"/>
  <c r="M40" i="3"/>
  <c r="L40" i="3"/>
  <c r="O266" i="3"/>
  <c r="O20" i="3"/>
  <c r="L18" i="3"/>
  <c r="O18" i="3" s="1"/>
  <c r="K231" i="3"/>
  <c r="I185" i="3"/>
  <c r="K185" i="3" s="1"/>
  <c r="Q18" i="3"/>
  <c r="T18" i="3" s="1"/>
  <c r="N40" i="3"/>
  <c r="P157" i="1"/>
  <c r="O59" i="1"/>
  <c r="P59" i="1"/>
  <c r="I185" i="2"/>
  <c r="K185" i="2" s="1"/>
  <c r="U20" i="2"/>
  <c r="R18" i="2"/>
  <c r="U18" i="2" s="1"/>
  <c r="U413" i="2"/>
  <c r="L40" i="2"/>
  <c r="O40" i="2" s="1"/>
  <c r="P44" i="2"/>
  <c r="M40" i="2"/>
  <c r="P40" i="2" s="1"/>
  <c r="O18" i="2"/>
  <c r="P18" i="2"/>
  <c r="P20" i="2"/>
  <c r="T20" i="2"/>
  <c r="Q18" i="2"/>
  <c r="T18" i="2" s="1"/>
  <c r="O20" i="2"/>
  <c r="O333" i="1"/>
  <c r="P375" i="1"/>
  <c r="O375" i="1"/>
  <c r="T493" i="1"/>
  <c r="P266" i="1"/>
  <c r="K457" i="1"/>
  <c r="U493" i="1"/>
  <c r="O413" i="1"/>
  <c r="P333" i="1"/>
  <c r="P413" i="1"/>
  <c r="O173" i="1"/>
  <c r="O576" i="1"/>
  <c r="T20" i="1"/>
  <c r="O72" i="1"/>
  <c r="P186" i="1"/>
  <c r="U20" i="1"/>
  <c r="S18" i="1"/>
  <c r="U642" i="1"/>
  <c r="O555" i="1"/>
  <c r="P173" i="1"/>
  <c r="U72" i="1"/>
  <c r="P555" i="1"/>
  <c r="T139" i="1"/>
  <c r="O186" i="1"/>
  <c r="P303" i="1"/>
  <c r="P282" i="1"/>
  <c r="U94" i="1"/>
  <c r="U616" i="1"/>
  <c r="T616" i="1"/>
  <c r="O320" i="1"/>
  <c r="U24" i="1"/>
  <c r="T266" i="1"/>
  <c r="U266" i="1"/>
  <c r="P24" i="1"/>
  <c r="P356" i="1"/>
  <c r="O356" i="1"/>
  <c r="T94" i="1"/>
  <c r="O24" i="1"/>
  <c r="U375" i="1"/>
  <c r="T72" i="1"/>
  <c r="T760" i="1"/>
  <c r="T303" i="1"/>
  <c r="P139" i="1"/>
  <c r="O139" i="1"/>
  <c r="T21" i="1"/>
  <c r="P72" i="1"/>
  <c r="O282" i="1"/>
  <c r="U303" i="1"/>
  <c r="U21" i="1"/>
  <c r="T24" i="1"/>
  <c r="O21" i="1"/>
  <c r="O20" i="1"/>
  <c r="U760" i="1"/>
  <c r="O303" i="1"/>
  <c r="P20" i="1"/>
  <c r="P21" i="1"/>
  <c r="N18" i="1"/>
  <c r="P94" i="1"/>
  <c r="U19" i="1"/>
  <c r="R18" i="1"/>
  <c r="O19" i="1"/>
  <c r="L18" i="1"/>
  <c r="T375" i="1"/>
  <c r="P19" i="1"/>
  <c r="M18" i="1"/>
  <c r="T642" i="1"/>
  <c r="O94" i="1"/>
  <c r="T19" i="1"/>
  <c r="Q18" i="1"/>
  <c r="O40" i="18" l="1"/>
  <c r="P40" i="18"/>
  <c r="P40" i="17"/>
  <c r="O40" i="17"/>
  <c r="O40" i="15"/>
  <c r="P40" i="14"/>
  <c r="P40" i="15"/>
  <c r="O40" i="14"/>
  <c r="O40" i="13"/>
  <c r="P40" i="13"/>
  <c r="U18" i="13"/>
  <c r="O40" i="12"/>
  <c r="P40" i="12"/>
  <c r="P40" i="11"/>
  <c r="P18" i="12"/>
  <c r="O40" i="11"/>
  <c r="O40" i="9"/>
  <c r="P40" i="9"/>
  <c r="O40" i="10"/>
  <c r="P40" i="10"/>
  <c r="O40" i="8"/>
  <c r="P40" i="8"/>
  <c r="U18" i="7"/>
  <c r="O40" i="7"/>
  <c r="P40" i="7"/>
  <c r="P40" i="6"/>
  <c r="O40" i="6"/>
  <c r="O40" i="4"/>
  <c r="P40" i="4"/>
  <c r="O40" i="3"/>
  <c r="P40" i="3"/>
  <c r="U18" i="1"/>
  <c r="T18" i="1"/>
  <c r="P18" i="1"/>
  <c r="O18" i="1"/>
</calcChain>
</file>

<file path=xl/sharedStrings.xml><?xml version="1.0" encoding="utf-8"?>
<sst xmlns="http://schemas.openxmlformats.org/spreadsheetml/2006/main" count="23657" uniqueCount="351">
  <si>
    <t>รายละเอียดแผนงาน/โครงการ ผลผลิต/กิจกรรม ปีงบประมาณ พ.ศ. 2567</t>
  </si>
  <si>
    <t>รวมภาคเหนือ</t>
  </si>
  <si>
    <t>งบประมาณตาม พ.ร.บ.</t>
  </si>
  <si>
    <t>งบประมาณกองทุน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</si>
  <si>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</si>
  <si>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</si>
  <si>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</si>
  <si>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</si>
  <si>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</si>
  <si>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</si>
  <si>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</si>
  <si>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</si>
  <si>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</si>
  <si>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</si>
  <si>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</si>
  <si>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</si>
  <si>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</si>
  <si>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</si>
  <si>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</si>
  <si>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</si>
  <si>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</si>
  <si>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</si>
  <si>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</si>
  <si>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</si>
  <si>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</si>
  <si>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</si>
  <si>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</si>
  <si>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</si>
  <si>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</si>
  <si>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</si>
  <si>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</si>
  <si>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</si>
  <si>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</si>
  <si>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</si>
  <si>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</si>
  <si>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</si>
  <si>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</si>
  <si>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</si>
  <si>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</si>
  <si>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</si>
  <si>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</si>
  <si>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</si>
  <si>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</si>
  <si>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</si>
  <si>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</si>
  <si>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</si>
  <si>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</si>
  <si>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</si>
  <si>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</si>
  <si>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</si>
  <si>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</si>
  <si>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</si>
  <si>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</si>
  <si>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</si>
  <si>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</si>
  <si>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</si>
  <si>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</si>
  <si>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</si>
  <si>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</si>
  <si>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</si>
  <si>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</si>
  <si>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</si>
  <si>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</si>
  <si>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</si>
  <si>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</si>
  <si>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</si>
  <si>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</si>
  <si>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</si>
  <si>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</si>
  <si>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</si>
  <si>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</si>
  <si>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</si>
  <si>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</si>
  <si>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</si>
  <si>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</si>
  <si>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</si>
  <si>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</si>
  <si>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</si>
  <si>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</si>
  <si>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</si>
  <si>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</si>
  <si>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</si>
  <si>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</si>
  <si>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</si>
  <si>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</si>
  <si>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</si>
  <si>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</si>
  <si>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</si>
  <si>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</si>
  <si>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</si>
  <si>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</si>
  <si>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</si>
  <si>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</si>
  <si>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</si>
  <si>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</si>
  <si>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</si>
  <si>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</si>
  <si>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</si>
  <si>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</si>
  <si>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</si>
  <si>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</si>
  <si>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</si>
  <si>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</si>
  <si>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</si>
  <si>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</si>
  <si>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</si>
  <si>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</si>
  <si>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</si>
  <si>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</si>
  <si>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</si>
  <si>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</si>
  <si>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</si>
  <si>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</si>
  <si>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</si>
  <si>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</si>
  <si>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</si>
  <si>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</si>
  <si>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</si>
  <si>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</si>
  <si>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</si>
  <si>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</si>
  <si>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</si>
  <si>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</si>
  <si>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</si>
  <si>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</si>
  <si>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</si>
  <si>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</si>
  <si>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</si>
  <si>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</si>
  <si>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</si>
  <si>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</si>
  <si>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</si>
  <si>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</si>
  <si>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</si>
  <si>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</si>
  <si>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</si>
  <si>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</si>
  <si>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</si>
  <si>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</si>
  <si>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</si>
  <si>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</si>
  <si>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</si>
  <si>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</si>
  <si>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</si>
  <si>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</si>
  <si>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</si>
  <si>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</si>
  <si>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</si>
  <si>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</si>
  <si>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</si>
  <si>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</si>
  <si>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</si>
  <si>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</si>
  <si>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</si>
  <si>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</si>
  <si>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</si>
  <si>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</si>
  <si>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</si>
  <si>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</si>
  <si>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</si>
  <si>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</si>
  <si>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</si>
  <si>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</si>
  <si>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</si>
  <si>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</si>
  <si>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</si>
  <si>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</si>
  <si>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</si>
  <si>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</si>
  <si>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</si>
  <si>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</si>
  <si>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</si>
  <si>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</si>
  <si>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</si>
  <si>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</si>
  <si>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</si>
  <si>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</si>
  <si>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</si>
  <si>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</si>
  <si>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</si>
  <si>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</si>
  <si>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</si>
  <si>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</si>
  <si>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</si>
  <si>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</si>
  <si>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</si>
  <si>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</si>
  <si>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</si>
  <si>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</si>
  <si>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</si>
  <si>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</si>
  <si>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</si>
  <si>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</si>
  <si>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</si>
  <si>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</si>
  <si>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</si>
  <si>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</si>
  <si>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</si>
  <si>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</si>
  <si>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</si>
  <si>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</si>
  <si>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</si>
  <si>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</si>
  <si>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</si>
  <si>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</si>
  <si>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</si>
  <si>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</si>
  <si>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</si>
  <si>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</si>
  <si>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</si>
  <si>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</si>
  <si>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</si>
  <si>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</si>
  <si>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</si>
  <si>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</si>
  <si>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</si>
  <si>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</si>
  <si>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</si>
  <si>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</si>
  <si>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</si>
  <si>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งบประมาณกองทุนการปฏิรูปที่ดินเพื่อเกษตรกรรม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</si>
  <si>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</si>
  <si>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</si>
  <si>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</si>
  <si>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</si>
  <si>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</si>
  <si>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</si>
  <si>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</si>
  <si>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</si>
  <si>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</si>
  <si>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</si>
  <si>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</si>
  <si>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</si>
  <si>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</si>
  <si>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</si>
  <si>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</si>
  <si>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</si>
  <si>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</si>
  <si>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</si>
  <si>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</si>
  <si>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</si>
  <si>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</si>
  <si>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</si>
  <si>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</si>
  <si>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</si>
  <si>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</si>
  <si>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</si>
  <si>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</si>
  <si>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</si>
  <si>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</si>
  <si>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</si>
  <si>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</si>
  <si>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</si>
  <si>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</si>
  <si>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</si>
  <si>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</si>
  <si>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</si>
  <si>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</si>
  <si>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</si>
  <si>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</si>
  <si>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</si>
  <si>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</si>
  <si>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</si>
  <si>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</si>
  <si>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</si>
  <si>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</si>
  <si>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</si>
  <si>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</si>
  <si>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</si>
  <si>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</si>
  <si>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</si>
  <si>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</si>
  <si>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1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</si>
  <si>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1</t>
    </r>
  </si>
  <si>
    <t>- ขั้นที่ 2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</si>
  <si>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2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</si>
  <si>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2</t>
    </r>
  </si>
  <si>
    <t>- ขั้นที่ 3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</si>
  <si>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3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</si>
  <si>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</si>
  <si>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</si>
  <si>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</t>
    </r>
    <r>
      <rPr>
        <sz val="15"/>
        <color rgb="FFFF0000"/>
        <rFont val="Arial"/>
      </rPr>
      <t>การทั้ง</t>
    </r>
    <r>
      <rPr>
        <sz val="15"/>
        <color theme="1"/>
        <rFont val="Arial"/>
      </rPr>
      <t>หมด)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</si>
  <si>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</si>
  <si>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</si>
  <si>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</si>
  <si>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</si>
  <si>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</si>
  <si>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</si>
  <si>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</si>
  <si>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</si>
  <si>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</si>
  <si>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</si>
  <si>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</si>
  <si>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</si>
  <si>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</si>
  <si>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</si>
  <si>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</si>
  <si>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สำนักงานการปฏิรูปที่ดินจังหวัด กำแพงเพชร</t>
  </si>
  <si>
    <t>รวม งบประมาณ</t>
  </si>
  <si>
    <r>
      <rPr>
        <b/>
        <sz val="15"/>
        <color theme="1"/>
        <rFont val="Arial"/>
        <family val="2"/>
      </rPr>
      <t>- หลักสูตรที่ 1</t>
    </r>
    <r>
      <rPr>
        <b/>
        <sz val="15"/>
        <color theme="1"/>
        <rFont val="Arial"/>
        <family val="2"/>
      </rPr>
      <t xml:space="preserve"> การดูแลรักษาโรงอบ ฯ</t>
    </r>
  </si>
  <si>
    <r>
      <rPr>
        <b/>
        <sz val="15"/>
        <color theme="1"/>
        <rFont val="Arial"/>
        <family val="2"/>
      </rPr>
      <t>- หลักสูตรที่ 2</t>
    </r>
    <r>
      <rPr>
        <b/>
        <sz val="15"/>
        <color theme="1"/>
        <rFont val="Arial"/>
        <family val="2"/>
      </rPr>
      <t xml:space="preserve"> การแปรรูปสมุนไพรด้วยโรงอบ ฯ</t>
    </r>
  </si>
  <si>
    <t>- ค่าจ้างเหมาบริการ</t>
  </si>
  <si>
    <t>- ค่าใช้จ่ายในการบริหารงาน</t>
  </si>
  <si>
    <r>
      <rPr>
        <b/>
        <sz val="15"/>
        <color theme="1"/>
        <rFont val="Arial"/>
        <family val="2"/>
      </rPr>
      <t xml:space="preserve">หลักสูตร </t>
    </r>
    <r>
      <rPr>
        <sz val="15"/>
        <color theme="1"/>
        <rFont val="Arial"/>
        <family val="2"/>
      </rPr>
      <t>แนวทางการเฝ้าระวังการเผาไหม้ฯ</t>
    </r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</si>
  <si>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theme="1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</si>
  <si>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theme="1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</t>
    </r>
  </si>
  <si>
    <r>
      <rPr>
        <sz val="15"/>
        <color rgb="FF000000"/>
        <rFont val="Arial"/>
        <family val="2"/>
      </rPr>
      <t>- เกษตรกรที่เข้าร่วมโครงการขั้นที่</t>
    </r>
    <r>
      <rPr>
        <sz val="15"/>
        <color rgb="FF000000"/>
        <rFont val="Arial"/>
        <family val="2"/>
      </rPr>
      <t xml:space="preserve"> 1 ทั้งหมด</t>
    </r>
  </si>
  <si>
    <r>
      <rPr>
        <sz val="15"/>
        <color rgb="FF000000"/>
        <rFont val="Arial"/>
        <family val="2"/>
      </rPr>
      <t>- เกษต</t>
    </r>
    <r>
      <rPr>
        <sz val="15"/>
        <color rgb="FF000000"/>
        <rFont val="Arial"/>
        <family val="2"/>
      </rPr>
      <t>รกรเฉ</t>
    </r>
    <r>
      <rPr>
        <sz val="15"/>
        <color rgb="FF000000"/>
        <rFont val="Arial"/>
        <family val="2"/>
      </rPr>
      <t>พาะที่ได้รับการอบรม ขั้นที่ 1</t>
    </r>
  </si>
  <si>
    <r>
      <rPr>
        <sz val="15"/>
        <color rgb="FF000000"/>
        <rFont val="Arial"/>
        <family val="2"/>
      </rPr>
      <t>- เกษตรกรที่เข้าร่วมโครงการขั้นที่</t>
    </r>
    <r>
      <rPr>
        <sz val="15"/>
        <color rgb="FF000000"/>
        <rFont val="Arial"/>
        <family val="2"/>
      </rPr>
      <t xml:space="preserve"> 2 ทั้งหมด</t>
    </r>
  </si>
  <si>
    <r>
      <rPr>
        <sz val="15"/>
        <color rgb="FF000000"/>
        <rFont val="Arial"/>
        <family val="2"/>
      </rPr>
      <t>- เกษต</t>
    </r>
    <r>
      <rPr>
        <sz val="15"/>
        <color rgb="FF000000"/>
        <rFont val="Arial"/>
        <family val="2"/>
      </rPr>
      <t>รกรเฉ</t>
    </r>
    <r>
      <rPr>
        <sz val="15"/>
        <color rgb="FF000000"/>
        <rFont val="Arial"/>
        <family val="2"/>
      </rPr>
      <t>พาะที่ได้รับการอบรม ขั้นที่ 2</t>
    </r>
  </si>
  <si>
    <r>
      <rPr>
        <sz val="15"/>
        <color rgb="FF000000"/>
        <rFont val="Arial"/>
        <family val="2"/>
      </rPr>
      <t>- เกษตรกรที่เข้าร่วมโครงการขั้นที่</t>
    </r>
    <r>
      <rPr>
        <sz val="15"/>
        <color rgb="FF000000"/>
        <rFont val="Arial"/>
        <family val="2"/>
      </rPr>
      <t xml:space="preserve"> 3 ทั้งหมด</t>
    </r>
  </si>
  <si>
    <r>
      <rPr>
        <sz val="15"/>
        <color rgb="FF000000"/>
        <rFont val="Arial"/>
        <family val="2"/>
      </rPr>
      <t>- เกษต</t>
    </r>
    <r>
      <rPr>
        <sz val="15"/>
        <color rgb="FF000000"/>
        <rFont val="Arial"/>
        <family val="2"/>
      </rPr>
      <t>รกรเฉ</t>
    </r>
    <r>
      <rPr>
        <sz val="15"/>
        <color rgb="FF000000"/>
        <rFont val="Arial"/>
        <family val="2"/>
      </rPr>
      <t>พาะที่ได้รับการอบรม ขั้นที่ 3</t>
    </r>
  </si>
  <si>
    <r>
      <rPr>
        <sz val="15"/>
        <color rgb="FF000000"/>
        <rFont val="Arial"/>
        <family val="2"/>
      </rPr>
      <t>- เกษตรกรขั้นที่ 1 (</t>
    </r>
    <r>
      <rPr>
        <sz val="15"/>
        <color rgb="FF000000"/>
        <rFont val="Arial"/>
        <family val="2"/>
      </rPr>
      <t>เฉพาะ</t>
    </r>
    <r>
      <rPr>
        <sz val="15"/>
        <color rgb="FF000000"/>
        <rFont val="Arial"/>
        <family val="2"/>
      </rPr>
      <t>) ที่ได้รับการอบรม</t>
    </r>
  </si>
  <si>
    <r>
      <rPr>
        <sz val="15"/>
        <color rgb="FF000000"/>
        <rFont val="Arial"/>
        <family val="2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  <family val="2"/>
      </rPr>
      <t>การทั้ง</t>
    </r>
    <r>
      <rPr>
        <sz val="15"/>
        <color rgb="FF000000"/>
        <rFont val="Arial"/>
        <family val="2"/>
      </rPr>
      <t>หมด)</t>
    </r>
  </si>
  <si>
    <r>
      <rPr>
        <sz val="15"/>
        <color rgb="FF000000"/>
        <rFont val="Arial"/>
        <family val="2"/>
      </rPr>
      <t>- เกษตรกรขั้นที่ 2 (</t>
    </r>
    <r>
      <rPr>
        <sz val="15"/>
        <color rgb="FF000000"/>
        <rFont val="Arial"/>
        <family val="2"/>
      </rPr>
      <t>เฉพาะ</t>
    </r>
    <r>
      <rPr>
        <sz val="15"/>
        <color rgb="FF000000"/>
        <rFont val="Arial"/>
        <family val="2"/>
      </rPr>
      <t>) ที่ได้รับการอบรม</t>
    </r>
  </si>
  <si>
    <r>
      <rPr>
        <sz val="15"/>
        <color rgb="FF000000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000000"/>
        <rFont val="Arial"/>
        <family val="2"/>
      </rPr>
      <t>ทั้งหมด</t>
    </r>
    <r>
      <rPr>
        <sz val="15"/>
        <color rgb="FF000000"/>
        <rFont val="Arial"/>
        <family val="2"/>
      </rPr>
      <t>)</t>
    </r>
  </si>
  <si>
    <t>สำนักงานการปฏิรูปที่ดินจังหวัด เชียงราย</t>
  </si>
  <si>
    <t>- งบบริหารโครงการ</t>
  </si>
  <si>
    <t>สำนักงานการปฏิรูปที่ดินจังหวัด เชียงใหม่</t>
  </si>
  <si>
    <t>(5) โครงการธนาคารอาหารชุมชน (เกษตรวิชญา)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</si>
  <si>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</si>
  <si>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</si>
  <si>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สำนักงานการปฏิรูปที่ดินจังหวัด น่าน</t>
  </si>
  <si>
    <t>(5) โครงการศูนย์ภูฟ้าพัฒนาตามพระราชดำริฯ</t>
  </si>
  <si>
    <t>(6) โครงการปิดทองหลังพระตามพระราชดำริฯ</t>
  </si>
  <si>
    <t>สำนักงานการปฏิรูปที่ดินจังหวัด พะเยา</t>
  </si>
  <si>
    <t>(5) โครงการศูนย์เรียนรู้การพัฒนาเกษตรอ่างเก็บน้ำห้วยไฟฯ</t>
  </si>
  <si>
    <t>ราย/แปลง</t>
  </si>
  <si>
    <t xml:space="preserve"> กิจกรรมการจัดที่ดินเอกชน 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</si>
  <si>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</si>
  <si>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</si>
  <si>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</si>
  <si>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</si>
  <si>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</si>
  <si>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</si>
  <si>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</si>
  <si>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</si>
  <si>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</si>
  <si>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</si>
  <si>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</si>
  <si>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</si>
  <si>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</si>
  <si>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</si>
  <si>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</si>
  <si>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t>สำนักงานการปฏิรูปที่ดินจังหวัด ลำปาง</t>
  </si>
  <si>
    <t>(5) โครงการพัฒนาพื้นที่ลุ่มน้ำแม่อาวฯ</t>
  </si>
  <si>
    <t>สำนักงานการปฏิรูปที่ดินจังหวัด ลำพูน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</si>
  <si>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</si>
  <si>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</si>
  <si>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</si>
  <si>
    <t>ข้อมูล ณ วันที่ 15 พ.ค.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</si>
</sst>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  <numFmt numFmtId="170" formatCode="_-* #,##0.00_-;\-* #,##0.00_-;_-* &quot;-&quot;_-;_-@"/>
  </numFmts>
  <fonts count="74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theme="1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5"/>
      <color rgb="FFFF0000"/>
      <name val="Arial"/>
    </font>
    <font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u/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i/>
      <sz val="15"/>
      <color rgb="FF999999"/>
      <name val="Arial"/>
    </font>
    <font>
      <sz val="15"/>
      <color rgb="FF434343"/>
      <name val="Arial"/>
    </font>
    <font>
      <b/>
      <u/>
      <sz val="15"/>
      <color rgb="FFFF0000"/>
      <name val="Arial"/>
    </font>
    <font>
      <b/>
      <sz val="15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sz val="15"/>
      <name val="Arial"/>
      <family val="2"/>
    </font>
    <font>
      <b/>
      <u/>
      <sz val="15"/>
      <name val="Arial"/>
      <family val="2"/>
    </font>
    <font>
      <sz val="10"/>
      <color rgb="FF000000"/>
      <name val="Arial"/>
      <family val="2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b/>
      <sz val="15"/>
      <color rgb="FFFFFFFF"/>
      <name val="Arial"/>
      <family val="2"/>
    </font>
    <font>
      <sz val="10"/>
      <color theme="1"/>
      <name val="Arial"/>
      <family val="2"/>
      <scheme val="minor"/>
    </font>
    <font>
      <b/>
      <u/>
      <sz val="15"/>
      <color theme="1"/>
      <name val="Arial"/>
      <family val="2"/>
    </font>
    <font>
      <sz val="15"/>
      <color rgb="FFFF0000"/>
      <name val="Arial"/>
      <family val="2"/>
    </font>
    <font>
      <sz val="15"/>
      <color theme="1"/>
      <name val="Arial"/>
      <family val="2"/>
    </font>
    <font>
      <u/>
      <sz val="15"/>
      <color theme="1"/>
      <name val="Arial"/>
      <family val="2"/>
    </font>
    <font>
      <b/>
      <sz val="15"/>
      <color rgb="FFFF0000"/>
      <name val="Arial"/>
      <family val="2"/>
    </font>
    <font>
      <sz val="11"/>
      <color theme="1"/>
      <name val="Arial"/>
      <family val="2"/>
    </font>
    <font>
      <b/>
      <u/>
      <sz val="15"/>
      <color rgb="FFFF0000"/>
      <name val="Arial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u/>
      <sz val="15"/>
      <color rgb="FF000000"/>
      <name val="Arial"/>
      <family val="2"/>
    </font>
    <font>
      <sz val="10"/>
      <color rgb="FFFF0000"/>
      <name val="Arial"/>
      <family val="2"/>
    </font>
    <font>
      <sz val="15"/>
      <color rgb="FF000000"/>
      <name val="Arial"/>
      <family val="2"/>
    </font>
    <font>
      <u/>
      <sz val="15"/>
      <color rgb="FF000000"/>
      <name val="Arial"/>
      <family val="2"/>
    </font>
    <font>
      <i/>
      <sz val="13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5"/>
      <color rgb="FFFF0000"/>
      <name val="Arial"/>
      <family val="2"/>
    </font>
    <font>
      <i/>
      <sz val="15"/>
      <color rgb="FF999999"/>
      <name val="Arial"/>
      <family val="2"/>
    </font>
    <font>
      <sz val="15"/>
      <color rgb="FF434343"/>
      <name val="Arial"/>
      <family val="2"/>
    </font>
    <font>
      <sz val="10"/>
      <color theme="1"/>
      <name val="Arial"/>
      <scheme val="minor"/>
    </font>
    <font>
      <sz val="11"/>
      <color theme="1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u/>
      <sz val="15"/>
      <color rgb="FF000000"/>
      <name val="Arial"/>
    </font>
    <font>
      <u/>
      <sz val="15"/>
      <color rgb="FFFF0000"/>
      <name val="Arial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43" fillId="0" borderId="0"/>
  </cellStyleXfs>
  <cellXfs count="1637">
    <xf numFmtId="0" fontId="0" fillId="0" borderId="0" xfId="0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2" xfId="0" applyNumberFormat="1" applyFont="1" applyFill="1" applyBorder="1"/>
    <xf numFmtId="0" fontId="5" fillId="5" borderId="6" xfId="0" applyFont="1" applyFill="1" applyBorder="1" applyAlignment="1">
      <alignment horizontal="center"/>
    </xf>
    <xf numFmtId="0" fontId="2" fillId="5" borderId="2" xfId="0" applyFont="1" applyFill="1" applyBorder="1"/>
    <xf numFmtId="165" fontId="5" fillId="6" borderId="2" xfId="0" applyNumberFormat="1" applyFont="1" applyFill="1" applyBorder="1" applyAlignment="1">
      <alignment horizontal="center"/>
    </xf>
    <xf numFmtId="164" fontId="5" fillId="6" borderId="2" xfId="0" applyNumberFormat="1" applyFont="1" applyFill="1" applyBorder="1" applyAlignment="1">
      <alignment horizontal="center" wrapText="1"/>
    </xf>
    <xf numFmtId="165" fontId="5" fillId="7" borderId="2" xfId="0" applyNumberFormat="1" applyFont="1" applyFill="1" applyBorder="1" applyAlignment="1">
      <alignment horizontal="center" wrapText="1"/>
    </xf>
    <xf numFmtId="165" fontId="5" fillId="9" borderId="2" xfId="0" applyNumberFormat="1" applyFont="1" applyFill="1" applyBorder="1" applyAlignment="1">
      <alignment horizontal="center" wrapText="1"/>
    </xf>
    <xf numFmtId="165" fontId="5" fillId="8" borderId="2" xfId="0" applyNumberFormat="1" applyFon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center"/>
    </xf>
    <xf numFmtId="165" fontId="5" fillId="9" borderId="2" xfId="0" applyNumberFormat="1" applyFont="1" applyFill="1" applyBorder="1" applyAlignment="1">
      <alignment horizontal="center"/>
    </xf>
    <xf numFmtId="0" fontId="2" fillId="10" borderId="7" xfId="0" applyFont="1" applyFill="1" applyBorder="1"/>
    <xf numFmtId="0" fontId="2" fillId="10" borderId="2" xfId="0" applyFont="1" applyFill="1" applyBorder="1"/>
    <xf numFmtId="166" fontId="2" fillId="10" borderId="2" xfId="0" applyNumberFormat="1" applyFont="1" applyFill="1" applyBorder="1"/>
    <xf numFmtId="165" fontId="2" fillId="10" borderId="2" xfId="0" applyNumberFormat="1" applyFont="1" applyFill="1" applyBorder="1"/>
    <xf numFmtId="0" fontId="2" fillId="10" borderId="8" xfId="0" applyFont="1" applyFill="1" applyBorder="1"/>
    <xf numFmtId="0" fontId="2" fillId="10" borderId="9" xfId="0" applyFont="1" applyFill="1" applyBorder="1"/>
    <xf numFmtId="0" fontId="2" fillId="10" borderId="10" xfId="0" applyFont="1" applyFill="1" applyBorder="1"/>
    <xf numFmtId="166" fontId="2" fillId="10" borderId="10" xfId="0" applyNumberFormat="1" applyFont="1" applyFill="1" applyBorder="1"/>
    <xf numFmtId="165" fontId="2" fillId="10" borderId="10" xfId="0" applyNumberFormat="1" applyFont="1" applyFill="1" applyBorder="1"/>
    <xf numFmtId="0" fontId="2" fillId="10" borderId="1" xfId="0" applyFont="1" applyFill="1" applyBorder="1"/>
    <xf numFmtId="0" fontId="2" fillId="11" borderId="2" xfId="0" applyFont="1" applyFill="1" applyBorder="1"/>
    <xf numFmtId="166" fontId="2" fillId="11" borderId="2" xfId="0" applyNumberFormat="1" applyFont="1" applyFill="1" applyBorder="1"/>
    <xf numFmtId="165" fontId="2" fillId="11" borderId="2" xfId="0" applyNumberFormat="1" applyFont="1" applyFill="1" applyBorder="1"/>
    <xf numFmtId="0" fontId="2" fillId="12" borderId="8" xfId="0" applyFont="1" applyFill="1" applyBorder="1"/>
    <xf numFmtId="0" fontId="2" fillId="12" borderId="9" xfId="0" applyFont="1" applyFill="1" applyBorder="1"/>
    <xf numFmtId="0" fontId="5" fillId="12" borderId="9" xfId="0" applyFont="1" applyFill="1" applyBorder="1"/>
    <xf numFmtId="0" fontId="6" fillId="12" borderId="9" xfId="0" applyFont="1" applyFill="1" applyBorder="1"/>
    <xf numFmtId="0" fontId="2" fillId="12" borderId="10" xfId="0" applyFont="1" applyFill="1" applyBorder="1"/>
    <xf numFmtId="0" fontId="5" fillId="12" borderId="10" xfId="0" applyFont="1" applyFill="1" applyBorder="1" applyAlignment="1">
      <alignment horizontal="center"/>
    </xf>
    <xf numFmtId="166" fontId="2" fillId="12" borderId="10" xfId="0" applyNumberFormat="1" applyFont="1" applyFill="1" applyBorder="1"/>
    <xf numFmtId="165" fontId="2" fillId="12" borderId="10" xfId="0" applyNumberFormat="1" applyFont="1" applyFill="1" applyBorder="1"/>
    <xf numFmtId="165" fontId="5" fillId="12" borderId="10" xfId="0" applyNumberFormat="1" applyFont="1" applyFill="1" applyBorder="1"/>
    <xf numFmtId="0" fontId="7" fillId="12" borderId="9" xfId="0" applyFont="1" applyFill="1" applyBorder="1"/>
    <xf numFmtId="0" fontId="7" fillId="12" borderId="10" xfId="0" applyFont="1" applyFill="1" applyBorder="1" applyAlignment="1">
      <alignment horizontal="center"/>
    </xf>
    <xf numFmtId="165" fontId="8" fillId="12" borderId="10" xfId="0" applyNumberFormat="1" applyFont="1" applyFill="1" applyBorder="1"/>
    <xf numFmtId="165" fontId="7" fillId="12" borderId="10" xfId="0" applyNumberFormat="1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9" fillId="2" borderId="9" xfId="0" applyFont="1" applyFill="1" applyBorder="1"/>
    <xf numFmtId="0" fontId="2" fillId="2" borderId="10" xfId="0" applyFont="1" applyFill="1" applyBorder="1"/>
    <xf numFmtId="0" fontId="7" fillId="2" borderId="10" xfId="0" applyFont="1" applyFill="1" applyBorder="1" applyAlignment="1">
      <alignment horizontal="center"/>
    </xf>
    <xf numFmtId="166" fontId="2" fillId="2" borderId="10" xfId="0" applyNumberFormat="1" applyFont="1" applyFill="1" applyBorder="1"/>
    <xf numFmtId="165" fontId="2" fillId="2" borderId="10" xfId="0" applyNumberFormat="1" applyFont="1" applyFill="1" applyBorder="1"/>
    <xf numFmtId="165" fontId="7" fillId="2" borderId="10" xfId="0" applyNumberFormat="1" applyFont="1" applyFill="1" applyBorder="1"/>
    <xf numFmtId="0" fontId="7" fillId="2" borderId="9" xfId="0" applyFont="1" applyFill="1" applyBorder="1"/>
    <xf numFmtId="165" fontId="8" fillId="2" borderId="10" xfId="0" applyNumberFormat="1" applyFont="1" applyFill="1" applyBorder="1"/>
    <xf numFmtId="0" fontId="10" fillId="2" borderId="9" xfId="0" applyFont="1" applyFill="1" applyBorder="1"/>
    <xf numFmtId="0" fontId="2" fillId="2" borderId="7" xfId="0" applyFont="1" applyFill="1" applyBorder="1"/>
    <xf numFmtId="0" fontId="7" fillId="2" borderId="1" xfId="0" applyFont="1" applyFill="1" applyBorder="1"/>
    <xf numFmtId="0" fontId="2" fillId="2" borderId="2" xfId="0" applyFont="1" applyFill="1" applyBorder="1"/>
    <xf numFmtId="0" fontId="7" fillId="2" borderId="2" xfId="0" applyFont="1" applyFill="1" applyBorder="1" applyAlignment="1">
      <alignment horizontal="center"/>
    </xf>
    <xf numFmtId="166" fontId="2" fillId="2" borderId="2" xfId="0" applyNumberFormat="1" applyFont="1" applyFill="1" applyBorder="1"/>
    <xf numFmtId="0" fontId="5" fillId="13" borderId="7" xfId="0" applyFont="1" applyFill="1" applyBorder="1"/>
    <xf numFmtId="0" fontId="2" fillId="13" borderId="1" xfId="0" applyFont="1" applyFill="1" applyBorder="1"/>
    <xf numFmtId="0" fontId="2" fillId="13" borderId="2" xfId="0" applyFont="1" applyFill="1" applyBorder="1"/>
    <xf numFmtId="166" fontId="2" fillId="13" borderId="2" xfId="0" applyNumberFormat="1" applyFont="1" applyFill="1" applyBorder="1"/>
    <xf numFmtId="165" fontId="2" fillId="13" borderId="2" xfId="0" applyNumberFormat="1" applyFont="1" applyFill="1" applyBorder="1"/>
    <xf numFmtId="0" fontId="5" fillId="14" borderId="7" xfId="0" applyFont="1" applyFill="1" applyBorder="1"/>
    <xf numFmtId="0" fontId="2" fillId="14" borderId="1" xfId="0" applyFont="1" applyFill="1" applyBorder="1"/>
    <xf numFmtId="166" fontId="2" fillId="14" borderId="1" xfId="0" applyNumberFormat="1" applyFont="1" applyFill="1" applyBorder="1"/>
    <xf numFmtId="165" fontId="2" fillId="14" borderId="1" xfId="0" applyNumberFormat="1" applyFont="1" applyFill="1" applyBorder="1"/>
    <xf numFmtId="165" fontId="2" fillId="14" borderId="2" xfId="0" applyNumberFormat="1" applyFont="1" applyFill="1" applyBorder="1"/>
    <xf numFmtId="0" fontId="2" fillId="15" borderId="9" xfId="0" applyFont="1" applyFill="1" applyBorder="1"/>
    <xf numFmtId="0" fontId="5" fillId="15" borderId="9" xfId="0" applyFont="1" applyFill="1" applyBorder="1"/>
    <xf numFmtId="0" fontId="2" fillId="15" borderId="10" xfId="0" applyFont="1" applyFill="1" applyBorder="1"/>
    <xf numFmtId="166" fontId="2" fillId="15" borderId="10" xfId="0" applyNumberFormat="1" applyFont="1" applyFill="1" applyBorder="1"/>
    <xf numFmtId="165" fontId="2" fillId="15" borderId="10" xfId="0" applyNumberFormat="1" applyFont="1" applyFill="1" applyBorder="1"/>
    <xf numFmtId="0" fontId="2" fillId="16" borderId="8" xfId="0" applyFont="1" applyFill="1" applyBorder="1"/>
    <xf numFmtId="0" fontId="2" fillId="16" borderId="9" xfId="0" applyFont="1" applyFill="1" applyBorder="1"/>
    <xf numFmtId="0" fontId="5" fillId="16" borderId="9" xfId="0" applyFont="1" applyFill="1" applyBorder="1"/>
    <xf numFmtId="0" fontId="11" fillId="16" borderId="9" xfId="0" applyFont="1" applyFill="1" applyBorder="1"/>
    <xf numFmtId="0" fontId="2" fillId="16" borderId="10" xfId="0" applyFont="1" applyFill="1" applyBorder="1"/>
    <xf numFmtId="0" fontId="5" fillId="16" borderId="10" xfId="0" applyFont="1" applyFill="1" applyBorder="1" applyAlignment="1">
      <alignment horizontal="center"/>
    </xf>
    <xf numFmtId="166" fontId="2" fillId="16" borderId="10" xfId="0" applyNumberFormat="1" applyFont="1" applyFill="1" applyBorder="1"/>
    <xf numFmtId="165" fontId="2" fillId="16" borderId="10" xfId="0" applyNumberFormat="1" applyFont="1" applyFill="1" applyBorder="1"/>
    <xf numFmtId="165" fontId="5" fillId="16" borderId="10" xfId="0" applyNumberFormat="1" applyFont="1" applyFill="1" applyBorder="1"/>
    <xf numFmtId="0" fontId="7" fillId="16" borderId="9" xfId="0" applyFont="1" applyFill="1" applyBorder="1"/>
    <xf numFmtId="0" fontId="7" fillId="16" borderId="10" xfId="0" applyFont="1" applyFill="1" applyBorder="1" applyAlignment="1">
      <alignment horizontal="center"/>
    </xf>
    <xf numFmtId="165" fontId="8" fillId="16" borderId="10" xfId="0" applyNumberFormat="1" applyFont="1" applyFill="1" applyBorder="1"/>
    <xf numFmtId="165" fontId="7" fillId="16" borderId="10" xfId="0" applyNumberFormat="1" applyFont="1" applyFill="1" applyBorder="1"/>
    <xf numFmtId="165" fontId="8" fillId="2" borderId="10" xfId="0" applyNumberFormat="1" applyFont="1" applyFill="1" applyBorder="1" applyAlignment="1">
      <alignment horizontal="right"/>
    </xf>
    <xf numFmtId="0" fontId="2" fillId="17" borderId="1" xfId="0" applyFont="1" applyFill="1" applyBorder="1"/>
    <xf numFmtId="166" fontId="2" fillId="17" borderId="1" xfId="0" applyNumberFormat="1" applyFont="1" applyFill="1" applyBorder="1"/>
    <xf numFmtId="165" fontId="2" fillId="17" borderId="1" xfId="0" applyNumberFormat="1" applyFont="1" applyFill="1" applyBorder="1"/>
    <xf numFmtId="165" fontId="2" fillId="17" borderId="2" xfId="0" applyNumberFormat="1" applyFont="1" applyFill="1" applyBorder="1"/>
    <xf numFmtId="0" fontId="2" fillId="18" borderId="8" xfId="0" applyFont="1" applyFill="1" applyBorder="1"/>
    <xf numFmtId="0" fontId="2" fillId="18" borderId="10" xfId="0" applyFont="1" applyFill="1" applyBorder="1"/>
    <xf numFmtId="166" fontId="2" fillId="18" borderId="10" xfId="0" applyNumberFormat="1" applyFont="1" applyFill="1" applyBorder="1"/>
    <xf numFmtId="165" fontId="2" fillId="18" borderId="10" xfId="0" applyNumberFormat="1" applyFont="1" applyFill="1" applyBorder="1"/>
    <xf numFmtId="0" fontId="2" fillId="19" borderId="8" xfId="0" applyFont="1" applyFill="1" applyBorder="1"/>
    <xf numFmtId="0" fontId="5" fillId="19" borderId="9" xfId="0" applyFont="1" applyFill="1" applyBorder="1"/>
    <xf numFmtId="0" fontId="2" fillId="19" borderId="9" xfId="0" applyFont="1" applyFill="1" applyBorder="1"/>
    <xf numFmtId="0" fontId="2" fillId="19" borderId="10" xfId="0" applyFont="1" applyFill="1" applyBorder="1"/>
    <xf numFmtId="166" fontId="2" fillId="19" borderId="10" xfId="0" applyNumberFormat="1" applyFont="1" applyFill="1" applyBorder="1"/>
    <xf numFmtId="165" fontId="2" fillId="19" borderId="10" xfId="0" applyNumberFormat="1" applyFont="1" applyFill="1" applyBorder="1"/>
    <xf numFmtId="0" fontId="2" fillId="20" borderId="8" xfId="0" applyFont="1" applyFill="1" applyBorder="1"/>
    <xf numFmtId="0" fontId="2" fillId="20" borderId="9" xfId="0" applyFont="1" applyFill="1" applyBorder="1"/>
    <xf numFmtId="0" fontId="5" fillId="20" borderId="9" xfId="0" applyFont="1" applyFill="1" applyBorder="1"/>
    <xf numFmtId="0" fontId="12" fillId="20" borderId="9" xfId="0" applyFont="1" applyFill="1" applyBorder="1"/>
    <xf numFmtId="0" fontId="2" fillId="20" borderId="10" xfId="0" applyFont="1" applyFill="1" applyBorder="1"/>
    <xf numFmtId="0" fontId="5" fillId="20" borderId="10" xfId="0" applyFont="1" applyFill="1" applyBorder="1" applyAlignment="1">
      <alignment horizontal="center"/>
    </xf>
    <xf numFmtId="166" fontId="2" fillId="20" borderId="10" xfId="0" applyNumberFormat="1" applyFont="1" applyFill="1" applyBorder="1"/>
    <xf numFmtId="165" fontId="2" fillId="20" borderId="10" xfId="0" applyNumberFormat="1" applyFont="1" applyFill="1" applyBorder="1"/>
    <xf numFmtId="165" fontId="5" fillId="20" borderId="10" xfId="0" applyNumberFormat="1" applyFont="1" applyFill="1" applyBorder="1"/>
    <xf numFmtId="0" fontId="7" fillId="20" borderId="9" xfId="0" applyFont="1" applyFill="1" applyBorder="1"/>
    <xf numFmtId="0" fontId="7" fillId="20" borderId="10" xfId="0" applyFont="1" applyFill="1" applyBorder="1" applyAlignment="1">
      <alignment horizontal="center"/>
    </xf>
    <xf numFmtId="165" fontId="7" fillId="20" borderId="10" xfId="0" applyNumberFormat="1" applyFont="1" applyFill="1" applyBorder="1"/>
    <xf numFmtId="165" fontId="8" fillId="20" borderId="10" xfId="0" applyNumberFormat="1" applyFont="1" applyFill="1" applyBorder="1"/>
    <xf numFmtId="165" fontId="7" fillId="2" borderId="2" xfId="0" applyNumberFormat="1" applyFont="1" applyFill="1" applyBorder="1"/>
    <xf numFmtId="164" fontId="5" fillId="21" borderId="7" xfId="0" applyNumberFormat="1" applyFont="1" applyFill="1" applyBorder="1"/>
    <xf numFmtId="164" fontId="2" fillId="21" borderId="1" xfId="0" applyNumberFormat="1" applyFont="1" applyFill="1" applyBorder="1"/>
    <xf numFmtId="0" fontId="2" fillId="21" borderId="1" xfId="0" applyFont="1" applyFill="1" applyBorder="1"/>
    <xf numFmtId="166" fontId="2" fillId="21" borderId="1" xfId="0" applyNumberFormat="1" applyFont="1" applyFill="1" applyBorder="1"/>
    <xf numFmtId="165" fontId="2" fillId="21" borderId="1" xfId="0" applyNumberFormat="1" applyFont="1" applyFill="1" applyBorder="1"/>
    <xf numFmtId="165" fontId="2" fillId="21" borderId="2" xfId="0" applyNumberFormat="1" applyFont="1" applyFill="1" applyBorder="1"/>
    <xf numFmtId="164" fontId="5" fillId="22" borderId="8" xfId="0" applyNumberFormat="1" applyFont="1" applyFill="1" applyBorder="1"/>
    <xf numFmtId="0" fontId="2" fillId="22" borderId="9" xfId="0" applyFont="1" applyFill="1" applyBorder="1"/>
    <xf numFmtId="164" fontId="2" fillId="22" borderId="9" xfId="0" applyNumberFormat="1" applyFont="1" applyFill="1" applyBorder="1"/>
    <xf numFmtId="0" fontId="2" fillId="22" borderId="10" xfId="0" applyFont="1" applyFill="1" applyBorder="1"/>
    <xf numFmtId="166" fontId="2" fillId="22" borderId="10" xfId="0" applyNumberFormat="1" applyFont="1" applyFill="1" applyBorder="1"/>
    <xf numFmtId="165" fontId="2" fillId="22" borderId="10" xfId="0" applyNumberFormat="1" applyFont="1" applyFill="1" applyBorder="1"/>
    <xf numFmtId="167" fontId="2" fillId="12" borderId="8" xfId="0" applyNumberFormat="1" applyFont="1" applyFill="1" applyBorder="1"/>
    <xf numFmtId="164" fontId="2" fillId="12" borderId="9" xfId="0" applyNumberFormat="1" applyFont="1" applyFill="1" applyBorder="1"/>
    <xf numFmtId="0" fontId="5" fillId="12" borderId="10" xfId="0" applyFont="1" applyFill="1" applyBorder="1" applyAlignment="1">
      <alignment horizontal="center" wrapText="1"/>
    </xf>
    <xf numFmtId="166" fontId="5" fillId="12" borderId="10" xfId="0" applyNumberFormat="1" applyFont="1" applyFill="1" applyBorder="1"/>
    <xf numFmtId="167" fontId="2" fillId="2" borderId="8" xfId="0" applyNumberFormat="1" applyFont="1" applyFill="1" applyBorder="1"/>
    <xf numFmtId="0" fontId="5" fillId="2" borderId="9" xfId="0" applyFont="1" applyFill="1" applyBorder="1"/>
    <xf numFmtId="0" fontId="13" fillId="2" borderId="9" xfId="0" applyFont="1" applyFill="1" applyBorder="1"/>
    <xf numFmtId="164" fontId="5" fillId="2" borderId="10" xfId="0" applyNumberFormat="1" applyFont="1" applyFill="1" applyBorder="1" applyAlignment="1">
      <alignment horizontal="center"/>
    </xf>
    <xf numFmtId="165" fontId="5" fillId="2" borderId="10" xfId="0" applyNumberFormat="1" applyFont="1" applyFill="1" applyBorder="1"/>
    <xf numFmtId="164" fontId="7" fillId="2" borderId="10" xfId="0" applyNumberFormat="1" applyFont="1" applyFill="1" applyBorder="1" applyAlignment="1">
      <alignment horizontal="center"/>
    </xf>
    <xf numFmtId="164" fontId="7" fillId="0" borderId="10" xfId="0" applyNumberFormat="1" applyFont="1" applyBorder="1" applyAlignment="1">
      <alignment horizontal="center" wrapText="1"/>
    </xf>
    <xf numFmtId="166" fontId="2" fillId="0" borderId="10" xfId="0" applyNumberFormat="1" applyFont="1" applyBorder="1"/>
    <xf numFmtId="165" fontId="2" fillId="0" borderId="10" xfId="0" applyNumberFormat="1" applyFont="1" applyBorder="1"/>
    <xf numFmtId="164" fontId="7" fillId="0" borderId="10" xfId="0" applyNumberFormat="1" applyFont="1" applyBorder="1" applyAlignment="1">
      <alignment horizontal="center"/>
    </xf>
    <xf numFmtId="164" fontId="2" fillId="0" borderId="8" xfId="0" applyNumberFormat="1" applyFont="1" applyBorder="1"/>
    <xf numFmtId="164" fontId="2" fillId="0" borderId="9" xfId="0" applyNumberFormat="1" applyFont="1" applyBorder="1"/>
    <xf numFmtId="0" fontId="14" fillId="23" borderId="9" xfId="0" quotePrefix="1" applyFont="1" applyFill="1" applyBorder="1"/>
    <xf numFmtId="0" fontId="2" fillId="23" borderId="9" xfId="0" applyFont="1" applyFill="1" applyBorder="1"/>
    <xf numFmtId="0" fontId="2" fillId="23" borderId="10" xfId="0" applyFont="1" applyFill="1" applyBorder="1"/>
    <xf numFmtId="0" fontId="2" fillId="0" borderId="10" xfId="0" applyFont="1" applyBorder="1"/>
    <xf numFmtId="0" fontId="7" fillId="0" borderId="9" xfId="0" quotePrefix="1" applyFont="1" applyBorder="1"/>
    <xf numFmtId="0" fontId="2" fillId="0" borderId="9" xfId="0" applyFont="1" applyBorder="1"/>
    <xf numFmtId="0" fontId="5" fillId="0" borderId="10" xfId="0" applyFont="1" applyBorder="1" applyAlignment="1">
      <alignment horizontal="center" wrapText="1"/>
    </xf>
    <xf numFmtId="166" fontId="5" fillId="2" borderId="10" xfId="0" applyNumberFormat="1" applyFont="1" applyFill="1" applyBorder="1"/>
    <xf numFmtId="165" fontId="5" fillId="0" borderId="10" xfId="0" applyNumberFormat="1" applyFont="1" applyBorder="1"/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166" fontId="7" fillId="0" borderId="10" xfId="0" applyNumberFormat="1" applyFont="1" applyBorder="1"/>
    <xf numFmtId="165" fontId="7" fillId="0" borderId="10" xfId="0" applyNumberFormat="1" applyFont="1" applyBorder="1"/>
    <xf numFmtId="0" fontId="7" fillId="0" borderId="10" xfId="0" applyFont="1" applyBorder="1" applyAlignment="1">
      <alignment horizontal="center" wrapText="1"/>
    </xf>
    <xf numFmtId="164" fontId="2" fillId="22" borderId="10" xfId="0" applyNumberFormat="1" applyFont="1" applyFill="1" applyBorder="1"/>
    <xf numFmtId="164" fontId="5" fillId="12" borderId="10" xfId="0" applyNumberFormat="1" applyFont="1" applyFill="1" applyBorder="1" applyAlignment="1">
      <alignment horizontal="center" wrapText="1"/>
    </xf>
    <xf numFmtId="0" fontId="8" fillId="2" borderId="9" xfId="0" applyFont="1" applyFill="1" applyBorder="1"/>
    <xf numFmtId="164" fontId="8" fillId="2" borderId="10" xfId="0" applyNumberFormat="1" applyFont="1" applyFill="1" applyBorder="1" applyAlignment="1">
      <alignment horizontal="center"/>
    </xf>
    <xf numFmtId="164" fontId="2" fillId="2" borderId="9" xfId="0" applyNumberFormat="1" applyFont="1" applyFill="1" applyBorder="1"/>
    <xf numFmtId="164" fontId="8" fillId="0" borderId="10" xfId="0" applyNumberFormat="1" applyFont="1" applyBorder="1" applyAlignment="1">
      <alignment horizontal="center" wrapText="1"/>
    </xf>
    <xf numFmtId="164" fontId="15" fillId="2" borderId="9" xfId="0" applyNumberFormat="1" applyFont="1" applyFill="1" applyBorder="1"/>
    <xf numFmtId="164" fontId="5" fillId="2" borderId="9" xfId="0" applyNumberFormat="1" applyFont="1" applyFill="1" applyBorder="1"/>
    <xf numFmtId="164" fontId="2" fillId="10" borderId="8" xfId="0" applyNumberFormat="1" applyFont="1" applyFill="1" applyBorder="1"/>
    <xf numFmtId="164" fontId="2" fillId="10" borderId="9" xfId="0" applyNumberFormat="1" applyFont="1" applyFill="1" applyBorder="1"/>
    <xf numFmtId="0" fontId="5" fillId="0" borderId="9" xfId="0" applyFont="1" applyBorder="1"/>
    <xf numFmtId="0" fontId="2" fillId="0" borderId="0" xfId="0" applyFont="1"/>
    <xf numFmtId="166" fontId="7" fillId="2" borderId="10" xfId="0" applyNumberFormat="1" applyFont="1" applyFill="1" applyBorder="1"/>
    <xf numFmtId="166" fontId="7" fillId="24" borderId="10" xfId="0" applyNumberFormat="1" applyFont="1" applyFill="1" applyBorder="1"/>
    <xf numFmtId="167" fontId="2" fillId="22" borderId="9" xfId="0" applyNumberFormat="1" applyFont="1" applyFill="1" applyBorder="1"/>
    <xf numFmtId="166" fontId="2" fillId="22" borderId="9" xfId="0" applyNumberFormat="1" applyFont="1" applyFill="1" applyBorder="1"/>
    <xf numFmtId="165" fontId="2" fillId="22" borderId="9" xfId="0" applyNumberFormat="1" applyFont="1" applyFill="1" applyBorder="1"/>
    <xf numFmtId="164" fontId="5" fillId="12" borderId="9" xfId="0" applyNumberFormat="1" applyFont="1" applyFill="1" applyBorder="1"/>
    <xf numFmtId="167" fontId="2" fillId="12" borderId="9" xfId="0" applyNumberFormat="1" applyFont="1" applyFill="1" applyBorder="1"/>
    <xf numFmtId="164" fontId="5" fillId="12" borderId="10" xfId="0" applyNumberFormat="1" applyFont="1" applyFill="1" applyBorder="1" applyAlignment="1">
      <alignment horizontal="center"/>
    </xf>
    <xf numFmtId="167" fontId="2" fillId="2" borderId="9" xfId="0" applyNumberFormat="1" applyFont="1" applyFill="1" applyBorder="1"/>
    <xf numFmtId="164" fontId="7" fillId="2" borderId="10" xfId="0" applyNumberFormat="1" applyFont="1" applyFill="1" applyBorder="1" applyAlignment="1">
      <alignment horizontal="center" wrapText="1"/>
    </xf>
    <xf numFmtId="164" fontId="8" fillId="2" borderId="10" xfId="0" applyNumberFormat="1" applyFont="1" applyFill="1" applyBorder="1" applyAlignment="1">
      <alignment horizontal="center" wrapText="1"/>
    </xf>
    <xf numFmtId="164" fontId="16" fillId="2" borderId="9" xfId="0" applyNumberFormat="1" applyFont="1" applyFill="1" applyBorder="1" applyAlignment="1">
      <alignment horizontal="center"/>
    </xf>
    <xf numFmtId="164" fontId="2" fillId="0" borderId="10" xfId="0" applyNumberFormat="1" applyFont="1" applyBorder="1"/>
    <xf numFmtId="0" fontId="8" fillId="0" borderId="9" xfId="0" applyFont="1" applyBorder="1"/>
    <xf numFmtId="164" fontId="2" fillId="2" borderId="10" xfId="0" applyNumberFormat="1" applyFont="1" applyFill="1" applyBorder="1"/>
    <xf numFmtId="164" fontId="2" fillId="10" borderId="10" xfId="0" applyNumberFormat="1" applyFont="1" applyFill="1" applyBorder="1"/>
    <xf numFmtId="166" fontId="2" fillId="12" borderId="9" xfId="0" applyNumberFormat="1" applyFont="1" applyFill="1" applyBorder="1"/>
    <xf numFmtId="167" fontId="5" fillId="12" borderId="9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167" fontId="2" fillId="2" borderId="7" xfId="0" applyNumberFormat="1" applyFont="1" applyFill="1" applyBorder="1"/>
    <xf numFmtId="164" fontId="7" fillId="0" borderId="2" xfId="0" applyNumberFormat="1" applyFont="1" applyBorder="1" applyAlignment="1">
      <alignment horizontal="center"/>
    </xf>
    <xf numFmtId="166" fontId="7" fillId="2" borderId="2" xfId="0" applyNumberFormat="1" applyFont="1" applyFill="1" applyBorder="1"/>
    <xf numFmtId="166" fontId="7" fillId="2" borderId="2" xfId="0" applyNumberFormat="1" applyFont="1" applyFill="1" applyBorder="1" applyAlignment="1">
      <alignment horizontal="right"/>
    </xf>
    <xf numFmtId="164" fontId="5" fillId="9" borderId="7" xfId="0" applyNumberFormat="1" applyFont="1" applyFill="1" applyBorder="1"/>
    <xf numFmtId="164" fontId="2" fillId="9" borderId="1" xfId="0" applyNumberFormat="1" applyFont="1" applyFill="1" applyBorder="1"/>
    <xf numFmtId="0" fontId="2" fillId="9" borderId="1" xfId="0" applyFont="1" applyFill="1" applyBorder="1"/>
    <xf numFmtId="166" fontId="2" fillId="9" borderId="1" xfId="0" applyNumberFormat="1" applyFont="1" applyFill="1" applyBorder="1"/>
    <xf numFmtId="165" fontId="2" fillId="9" borderId="1" xfId="0" applyNumberFormat="1" applyFont="1" applyFill="1" applyBorder="1"/>
    <xf numFmtId="165" fontId="2" fillId="9" borderId="2" xfId="0" applyNumberFormat="1" applyFont="1" applyFill="1" applyBorder="1"/>
    <xf numFmtId="164" fontId="5" fillId="25" borderId="8" xfId="0" applyNumberFormat="1" applyFont="1" applyFill="1" applyBorder="1"/>
    <xf numFmtId="164" fontId="2" fillId="25" borderId="9" xfId="0" applyNumberFormat="1" applyFont="1" applyFill="1" applyBorder="1"/>
    <xf numFmtId="0" fontId="2" fillId="25" borderId="9" xfId="0" applyFont="1" applyFill="1" applyBorder="1"/>
    <xf numFmtId="0" fontId="2" fillId="25" borderId="10" xfId="0" applyFont="1" applyFill="1" applyBorder="1"/>
    <xf numFmtId="166" fontId="2" fillId="25" borderId="10" xfId="0" applyNumberFormat="1" applyFont="1" applyFill="1" applyBorder="1"/>
    <xf numFmtId="165" fontId="2" fillId="25" borderId="10" xfId="0" applyNumberFormat="1" applyFont="1" applyFill="1" applyBorder="1"/>
    <xf numFmtId="164" fontId="2" fillId="23" borderId="8" xfId="0" applyNumberFormat="1" applyFont="1" applyFill="1" applyBorder="1"/>
    <xf numFmtId="0" fontId="5" fillId="23" borderId="9" xfId="0" applyFont="1" applyFill="1" applyBorder="1"/>
    <xf numFmtId="164" fontId="2" fillId="23" borderId="9" xfId="0" applyNumberFormat="1" applyFont="1" applyFill="1" applyBorder="1"/>
    <xf numFmtId="0" fontId="5" fillId="23" borderId="10" xfId="0" applyFont="1" applyFill="1" applyBorder="1" applyAlignment="1">
      <alignment horizontal="center" wrapText="1"/>
    </xf>
    <xf numFmtId="166" fontId="5" fillId="23" borderId="10" xfId="0" applyNumberFormat="1" applyFont="1" applyFill="1" applyBorder="1"/>
    <xf numFmtId="165" fontId="5" fillId="23" borderId="10" xfId="0" applyNumberFormat="1" applyFont="1" applyFill="1" applyBorder="1"/>
    <xf numFmtId="165" fontId="2" fillId="23" borderId="10" xfId="0" applyNumberFormat="1" applyFont="1" applyFill="1" applyBorder="1"/>
    <xf numFmtId="164" fontId="2" fillId="2" borderId="8" xfId="0" applyNumberFormat="1" applyFont="1" applyFill="1" applyBorder="1"/>
    <xf numFmtId="164" fontId="7" fillId="2" borderId="9" xfId="0" applyNumberFormat="1" applyFont="1" applyFill="1" applyBorder="1"/>
    <xf numFmtId="0" fontId="7" fillId="2" borderId="10" xfId="0" applyFont="1" applyFill="1" applyBorder="1" applyAlignment="1">
      <alignment horizontal="center" wrapText="1"/>
    </xf>
    <xf numFmtId="164" fontId="2" fillId="26" borderId="8" xfId="0" applyNumberFormat="1" applyFont="1" applyFill="1" applyBorder="1"/>
    <xf numFmtId="164" fontId="2" fillId="26" borderId="9" xfId="0" applyNumberFormat="1" applyFont="1" applyFill="1" applyBorder="1"/>
    <xf numFmtId="0" fontId="5" fillId="26" borderId="9" xfId="0" applyFont="1" applyFill="1" applyBorder="1"/>
    <xf numFmtId="0" fontId="2" fillId="26" borderId="9" xfId="0" applyFont="1" applyFill="1" applyBorder="1"/>
    <xf numFmtId="0" fontId="2" fillId="26" borderId="10" xfId="0" applyFont="1" applyFill="1" applyBorder="1"/>
    <xf numFmtId="0" fontId="5" fillId="26" borderId="10" xfId="0" applyFont="1" applyFill="1" applyBorder="1" applyAlignment="1">
      <alignment horizontal="center" wrapText="1"/>
    </xf>
    <xf numFmtId="166" fontId="5" fillId="26" borderId="10" xfId="0" applyNumberFormat="1" applyFont="1" applyFill="1" applyBorder="1"/>
    <xf numFmtId="165" fontId="5" fillId="26" borderId="10" xfId="0" applyNumberFormat="1" applyFont="1" applyFill="1" applyBorder="1"/>
    <xf numFmtId="165" fontId="2" fillId="26" borderId="10" xfId="0" applyNumberFormat="1" applyFont="1" applyFill="1" applyBorder="1"/>
    <xf numFmtId="0" fontId="17" fillId="2" borderId="9" xfId="0" quotePrefix="1" applyFont="1" applyFill="1" applyBorder="1"/>
    <xf numFmtId="164" fontId="5" fillId="0" borderId="10" xfId="0" applyNumberFormat="1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6" borderId="10" xfId="0" applyFont="1" applyFill="1" applyBorder="1" applyAlignment="1">
      <alignment horizontal="center"/>
    </xf>
    <xf numFmtId="165" fontId="7" fillId="2" borderId="10" xfId="0" applyNumberFormat="1" applyFont="1" applyFill="1" applyBorder="1" applyAlignment="1">
      <alignment horizontal="right"/>
    </xf>
    <xf numFmtId="0" fontId="7" fillId="0" borderId="10" xfId="0" applyFont="1" applyBorder="1"/>
    <xf numFmtId="165" fontId="7" fillId="26" borderId="10" xfId="0" applyNumberFormat="1" applyFont="1" applyFill="1" applyBorder="1"/>
    <xf numFmtId="164" fontId="2" fillId="27" borderId="8" xfId="0" applyNumberFormat="1" applyFont="1" applyFill="1" applyBorder="1"/>
    <xf numFmtId="164" fontId="2" fillId="27" borderId="9" xfId="0" applyNumberFormat="1" applyFont="1" applyFill="1" applyBorder="1"/>
    <xf numFmtId="0" fontId="2" fillId="27" borderId="9" xfId="0" applyFont="1" applyFill="1" applyBorder="1"/>
    <xf numFmtId="0" fontId="2" fillId="27" borderId="10" xfId="0" applyFont="1" applyFill="1" applyBorder="1"/>
    <xf numFmtId="164" fontId="2" fillId="27" borderId="10" xfId="0" applyNumberFormat="1" applyFont="1" applyFill="1" applyBorder="1"/>
    <xf numFmtId="166" fontId="2" fillId="27" borderId="10" xfId="0" applyNumberFormat="1" applyFont="1" applyFill="1" applyBorder="1"/>
    <xf numFmtId="165" fontId="2" fillId="27" borderId="10" xfId="0" applyNumberFormat="1" applyFont="1" applyFill="1" applyBorder="1"/>
    <xf numFmtId="164" fontId="7" fillId="0" borderId="9" xfId="0" quotePrefix="1" applyNumberFormat="1" applyFont="1" applyBorder="1"/>
    <xf numFmtId="0" fontId="16" fillId="27" borderId="9" xfId="0" applyFont="1" applyFill="1" applyBorder="1"/>
    <xf numFmtId="0" fontId="16" fillId="27" borderId="10" xfId="0" applyFont="1" applyFill="1" applyBorder="1" applyAlignment="1">
      <alignment horizontal="center" wrapText="1"/>
    </xf>
    <xf numFmtId="167" fontId="2" fillId="27" borderId="8" xfId="0" applyNumberFormat="1" applyFont="1" applyFill="1" applyBorder="1"/>
    <xf numFmtId="0" fontId="18" fillId="27" borderId="9" xfId="0" applyFont="1" applyFill="1" applyBorder="1"/>
    <xf numFmtId="164" fontId="16" fillId="27" borderId="10" xfId="0" applyNumberFormat="1" applyFont="1" applyFill="1" applyBorder="1" applyAlignment="1">
      <alignment horizontal="center" wrapText="1"/>
    </xf>
    <xf numFmtId="0" fontId="8" fillId="27" borderId="9" xfId="0" applyFont="1" applyFill="1" applyBorder="1"/>
    <xf numFmtId="164" fontId="8" fillId="27" borderId="10" xfId="0" applyNumberFormat="1" applyFont="1" applyFill="1" applyBorder="1" applyAlignment="1">
      <alignment horizontal="center" wrapText="1"/>
    </xf>
    <xf numFmtId="164" fontId="16" fillId="27" borderId="9" xfId="0" applyNumberFormat="1" applyFont="1" applyFill="1" applyBorder="1"/>
    <xf numFmtId="0" fontId="19" fillId="27" borderId="9" xfId="0" quotePrefix="1" applyFont="1" applyFill="1" applyBorder="1"/>
    <xf numFmtId="0" fontId="8" fillId="27" borderId="10" xfId="0" applyFont="1" applyFill="1" applyBorder="1" applyAlignment="1">
      <alignment horizontal="center"/>
    </xf>
    <xf numFmtId="164" fontId="8" fillId="27" borderId="9" xfId="0" quotePrefix="1" applyNumberFormat="1" applyFont="1" applyFill="1" applyBorder="1"/>
    <xf numFmtId="0" fontId="8" fillId="27" borderId="9" xfId="0" quotePrefix="1" applyFont="1" applyFill="1" applyBorder="1"/>
    <xf numFmtId="46" fontId="2" fillId="2" borderId="8" xfId="0" applyNumberFormat="1" applyFont="1" applyFill="1" applyBorder="1"/>
    <xf numFmtId="0" fontId="7" fillId="2" borderId="9" xfId="0" quotePrefix="1" applyFont="1" applyFill="1" applyBorder="1"/>
    <xf numFmtId="164" fontId="2" fillId="0" borderId="7" xfId="0" applyNumberFormat="1" applyFont="1" applyBorder="1"/>
    <xf numFmtId="164" fontId="2" fillId="0" borderId="1" xfId="0" applyNumberFormat="1" applyFont="1" applyBorder="1"/>
    <xf numFmtId="0" fontId="7" fillId="0" borderId="1" xfId="0" quotePrefix="1" applyFont="1" applyBorder="1"/>
    <xf numFmtId="0" fontId="2" fillId="0" borderId="1" xfId="0" applyFont="1" applyBorder="1"/>
    <xf numFmtId="0" fontId="2" fillId="0" borderId="2" xfId="0" applyFont="1" applyBorder="1"/>
    <xf numFmtId="165" fontId="7" fillId="0" borderId="2" xfId="0" applyNumberFormat="1" applyFont="1" applyBorder="1" applyAlignment="1">
      <alignment horizontal="right"/>
    </xf>
    <xf numFmtId="165" fontId="2" fillId="0" borderId="2" xfId="0" applyNumberFormat="1" applyFont="1" applyBorder="1"/>
    <xf numFmtId="164" fontId="3" fillId="28" borderId="7" xfId="0" applyNumberFormat="1" applyFont="1" applyFill="1" applyBorder="1"/>
    <xf numFmtId="164" fontId="2" fillId="28" borderId="1" xfId="0" applyNumberFormat="1" applyFont="1" applyFill="1" applyBorder="1"/>
    <xf numFmtId="0" fontId="2" fillId="28" borderId="1" xfId="0" applyFont="1" applyFill="1" applyBorder="1"/>
    <xf numFmtId="166" fontId="2" fillId="28" borderId="1" xfId="0" applyNumberFormat="1" applyFont="1" applyFill="1" applyBorder="1"/>
    <xf numFmtId="165" fontId="2" fillId="28" borderId="1" xfId="0" applyNumberFormat="1" applyFont="1" applyFill="1" applyBorder="1"/>
    <xf numFmtId="165" fontId="2" fillId="28" borderId="2" xfId="0" applyNumberFormat="1" applyFont="1" applyFill="1" applyBorder="1"/>
    <xf numFmtId="164" fontId="5" fillId="29" borderId="8" xfId="0" applyNumberFormat="1" applyFont="1" applyFill="1" applyBorder="1"/>
    <xf numFmtId="0" fontId="2" fillId="29" borderId="9" xfId="0" applyFont="1" applyFill="1" applyBorder="1"/>
    <xf numFmtId="164" fontId="2" fillId="29" borderId="9" xfId="0" applyNumberFormat="1" applyFont="1" applyFill="1" applyBorder="1"/>
    <xf numFmtId="166" fontId="2" fillId="29" borderId="9" xfId="0" applyNumberFormat="1" applyFont="1" applyFill="1" applyBorder="1"/>
    <xf numFmtId="166" fontId="2" fillId="29" borderId="10" xfId="0" applyNumberFormat="1" applyFont="1" applyFill="1" applyBorder="1"/>
    <xf numFmtId="165" fontId="2" fillId="29" borderId="10" xfId="0" applyNumberFormat="1" applyFont="1" applyFill="1" applyBorder="1"/>
    <xf numFmtId="167" fontId="2" fillId="30" borderId="8" xfId="0" applyNumberFormat="1" applyFont="1" applyFill="1" applyBorder="1"/>
    <xf numFmtId="0" fontId="5" fillId="30" borderId="9" xfId="0" applyFont="1" applyFill="1" applyBorder="1"/>
    <xf numFmtId="0" fontId="2" fillId="30" borderId="9" xfId="0" applyFont="1" applyFill="1" applyBorder="1"/>
    <xf numFmtId="164" fontId="2" fillId="30" borderId="9" xfId="0" applyNumberFormat="1" applyFont="1" applyFill="1" applyBorder="1"/>
    <xf numFmtId="0" fontId="2" fillId="30" borderId="10" xfId="0" applyFont="1" applyFill="1" applyBorder="1"/>
    <xf numFmtId="0" fontId="5" fillId="30" borderId="10" xfId="0" applyFont="1" applyFill="1" applyBorder="1" applyAlignment="1">
      <alignment horizontal="center" wrapText="1"/>
    </xf>
    <xf numFmtId="166" fontId="5" fillId="30" borderId="10" xfId="0" applyNumberFormat="1" applyFont="1" applyFill="1" applyBorder="1"/>
    <xf numFmtId="165" fontId="5" fillId="30" borderId="10" xfId="0" applyNumberFormat="1" applyFont="1" applyFill="1" applyBorder="1"/>
    <xf numFmtId="165" fontId="2" fillId="30" borderId="10" xfId="0" applyNumberFormat="1" applyFont="1" applyFill="1" applyBorder="1"/>
    <xf numFmtId="164" fontId="2" fillId="10" borderId="7" xfId="0" applyNumberFormat="1" applyFont="1" applyFill="1" applyBorder="1"/>
    <xf numFmtId="164" fontId="2" fillId="10" borderId="1" xfId="0" applyNumberFormat="1" applyFont="1" applyFill="1" applyBorder="1"/>
    <xf numFmtId="164" fontId="5" fillId="31" borderId="7" xfId="0" applyNumberFormat="1" applyFont="1" applyFill="1" applyBorder="1"/>
    <xf numFmtId="164" fontId="2" fillId="31" borderId="1" xfId="0" applyNumberFormat="1" applyFont="1" applyFill="1" applyBorder="1"/>
    <xf numFmtId="0" fontId="2" fillId="31" borderId="1" xfId="0" applyFont="1" applyFill="1" applyBorder="1"/>
    <xf numFmtId="166" fontId="2" fillId="31" borderId="1" xfId="0" applyNumberFormat="1" applyFont="1" applyFill="1" applyBorder="1"/>
    <xf numFmtId="165" fontId="2" fillId="31" borderId="1" xfId="0" applyNumberFormat="1" applyFont="1" applyFill="1" applyBorder="1"/>
    <xf numFmtId="165" fontId="2" fillId="31" borderId="2" xfId="0" applyNumberFormat="1" applyFont="1" applyFill="1" applyBorder="1"/>
    <xf numFmtId="164" fontId="5" fillId="32" borderId="8" xfId="0" applyNumberFormat="1" applyFont="1" applyFill="1" applyBorder="1"/>
    <xf numFmtId="164" fontId="2" fillId="32" borderId="9" xfId="0" applyNumberFormat="1" applyFont="1" applyFill="1" applyBorder="1"/>
    <xf numFmtId="0" fontId="2" fillId="32" borderId="9" xfId="0" applyFont="1" applyFill="1" applyBorder="1"/>
    <xf numFmtId="0" fontId="2" fillId="32" borderId="10" xfId="0" applyFont="1" applyFill="1" applyBorder="1"/>
    <xf numFmtId="166" fontId="2" fillId="32" borderId="10" xfId="0" applyNumberFormat="1" applyFont="1" applyFill="1" applyBorder="1"/>
    <xf numFmtId="165" fontId="2" fillId="32" borderId="10" xfId="0" applyNumberFormat="1" applyFont="1" applyFill="1" applyBorder="1"/>
    <xf numFmtId="164" fontId="2" fillId="33" borderId="8" xfId="0" applyNumberFormat="1" applyFont="1" applyFill="1" applyBorder="1"/>
    <xf numFmtId="0" fontId="5" fillId="33" borderId="9" xfId="0" applyFont="1" applyFill="1" applyBorder="1"/>
    <xf numFmtId="0" fontId="2" fillId="33" borderId="9" xfId="0" applyFont="1" applyFill="1" applyBorder="1"/>
    <xf numFmtId="0" fontId="2" fillId="33" borderId="10" xfId="0" applyFont="1" applyFill="1" applyBorder="1"/>
    <xf numFmtId="0" fontId="5" fillId="33" borderId="10" xfId="0" applyFont="1" applyFill="1" applyBorder="1" applyAlignment="1">
      <alignment horizontal="center" wrapText="1"/>
    </xf>
    <xf numFmtId="166" fontId="5" fillId="33" borderId="10" xfId="0" applyNumberFormat="1" applyFont="1" applyFill="1" applyBorder="1"/>
    <xf numFmtId="165" fontId="5" fillId="33" borderId="10" xfId="0" applyNumberFormat="1" applyFont="1" applyFill="1" applyBorder="1"/>
    <xf numFmtId="165" fontId="2" fillId="33" borderId="10" xfId="0" applyNumberFormat="1" applyFont="1" applyFill="1" applyBorder="1"/>
    <xf numFmtId="167" fontId="2" fillId="33" borderId="8" xfId="0" applyNumberFormat="1" applyFont="1" applyFill="1" applyBorder="1"/>
    <xf numFmtId="167" fontId="2" fillId="33" borderId="9" xfId="0" applyNumberFormat="1" applyFont="1" applyFill="1" applyBorder="1"/>
    <xf numFmtId="164" fontId="2" fillId="33" borderId="9" xfId="0" applyNumberFormat="1" applyFont="1" applyFill="1" applyBorder="1"/>
    <xf numFmtId="164" fontId="20" fillId="26" borderId="9" xfId="0" applyNumberFormat="1" applyFont="1" applyFill="1" applyBorder="1"/>
    <xf numFmtId="166" fontId="5" fillId="26" borderId="10" xfId="0" applyNumberFormat="1" applyFont="1" applyFill="1" applyBorder="1" applyAlignment="1">
      <alignment horizontal="right"/>
    </xf>
    <xf numFmtId="165" fontId="5" fillId="26" borderId="10" xfId="0" applyNumberFormat="1" applyFont="1" applyFill="1" applyBorder="1" applyAlignment="1">
      <alignment horizontal="right"/>
    </xf>
    <xf numFmtId="164" fontId="21" fillId="2" borderId="9" xfId="0" applyNumberFormat="1" applyFont="1" applyFill="1" applyBorder="1"/>
    <xf numFmtId="0" fontId="22" fillId="26" borderId="9" xfId="0" applyFont="1" applyFill="1" applyBorder="1"/>
    <xf numFmtId="166" fontId="2" fillId="33" borderId="10" xfId="0" applyNumberFormat="1" applyFont="1" applyFill="1" applyBorder="1"/>
    <xf numFmtId="0" fontId="23" fillId="0" borderId="9" xfId="0" quotePrefix="1" applyFont="1" applyBorder="1"/>
    <xf numFmtId="164" fontId="21" fillId="2" borderId="1" xfId="0" applyNumberFormat="1" applyFont="1" applyFill="1" applyBorder="1"/>
    <xf numFmtId="164" fontId="5" fillId="33" borderId="9" xfId="0" applyNumberFormat="1" applyFont="1" applyFill="1" applyBorder="1"/>
    <xf numFmtId="164" fontId="5" fillId="33" borderId="10" xfId="0" applyNumberFormat="1" applyFont="1" applyFill="1" applyBorder="1" applyAlignment="1">
      <alignment horizontal="center" wrapText="1"/>
    </xf>
    <xf numFmtId="164" fontId="24" fillId="2" borderId="9" xfId="0" applyNumberFormat="1" applyFont="1" applyFill="1" applyBorder="1"/>
    <xf numFmtId="164" fontId="25" fillId="23" borderId="9" xfId="0" quotePrefix="1" applyNumberFormat="1" applyFont="1" applyFill="1" applyBorder="1"/>
    <xf numFmtId="164" fontId="8" fillId="2" borderId="9" xfId="0" applyNumberFormat="1" applyFont="1" applyFill="1" applyBorder="1"/>
    <xf numFmtId="166" fontId="8" fillId="2" borderId="10" xfId="0" applyNumberFormat="1" applyFont="1" applyFill="1" applyBorder="1"/>
    <xf numFmtId="164" fontId="2" fillId="27" borderId="1" xfId="0" applyNumberFormat="1" applyFont="1" applyFill="1" applyBorder="1"/>
    <xf numFmtId="164" fontId="2" fillId="27" borderId="2" xfId="0" applyNumberFormat="1" applyFont="1" applyFill="1" applyBorder="1"/>
    <xf numFmtId="166" fontId="2" fillId="27" borderId="2" xfId="0" applyNumberFormat="1" applyFont="1" applyFill="1" applyBorder="1"/>
    <xf numFmtId="165" fontId="2" fillId="27" borderId="2" xfId="0" applyNumberFormat="1" applyFont="1" applyFill="1" applyBorder="1"/>
    <xf numFmtId="164" fontId="2" fillId="33" borderId="10" xfId="0" applyNumberFormat="1" applyFont="1" applyFill="1" applyBorder="1"/>
    <xf numFmtId="164" fontId="5" fillId="33" borderId="10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 wrapText="1"/>
    </xf>
    <xf numFmtId="164" fontId="27" fillId="2" borderId="9" xfId="0" quotePrefix="1" applyNumberFormat="1" applyFont="1" applyFill="1" applyBorder="1"/>
    <xf numFmtId="168" fontId="7" fillId="2" borderId="10" xfId="0" applyNumberFormat="1" applyFont="1" applyFill="1" applyBorder="1"/>
    <xf numFmtId="164" fontId="7" fillId="2" borderId="9" xfId="0" quotePrefix="1" applyNumberFormat="1" applyFont="1" applyFill="1" applyBorder="1"/>
    <xf numFmtId="164" fontId="28" fillId="2" borderId="9" xfId="0" applyNumberFormat="1" applyFont="1" applyFill="1" applyBorder="1"/>
    <xf numFmtId="166" fontId="5" fillId="2" borderId="10" xfId="0" applyNumberFormat="1" applyFont="1" applyFill="1" applyBorder="1" applyAlignment="1">
      <alignment horizontal="right"/>
    </xf>
    <xf numFmtId="164" fontId="2" fillId="2" borderId="7" xfId="0" applyNumberFormat="1" applyFont="1" applyFill="1" applyBorder="1"/>
    <xf numFmtId="164" fontId="2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0" fontId="29" fillId="2" borderId="9" xfId="0" applyFont="1" applyFill="1" applyBorder="1"/>
    <xf numFmtId="164" fontId="5" fillId="2" borderId="1" xfId="0" applyNumberFormat="1" applyFont="1" applyFill="1" applyBorder="1"/>
    <xf numFmtId="166" fontId="7" fillId="24" borderId="2" xfId="0" applyNumberFormat="1" applyFont="1" applyFill="1" applyBorder="1"/>
    <xf numFmtId="164" fontId="5" fillId="34" borderId="7" xfId="0" applyNumberFormat="1" applyFont="1" applyFill="1" applyBorder="1"/>
    <xf numFmtId="164" fontId="2" fillId="34" borderId="1" xfId="0" applyNumberFormat="1" applyFont="1" applyFill="1" applyBorder="1"/>
    <xf numFmtId="0" fontId="2" fillId="34" borderId="1" xfId="0" applyFont="1" applyFill="1" applyBorder="1"/>
    <xf numFmtId="166" fontId="2" fillId="34" borderId="1" xfId="0" applyNumberFormat="1" applyFont="1" applyFill="1" applyBorder="1"/>
    <xf numFmtId="165" fontId="2" fillId="34" borderId="1" xfId="0" applyNumberFormat="1" applyFont="1" applyFill="1" applyBorder="1"/>
    <xf numFmtId="165" fontId="2" fillId="34" borderId="2" xfId="0" applyNumberFormat="1" applyFont="1" applyFill="1" applyBorder="1"/>
    <xf numFmtId="165" fontId="2" fillId="35" borderId="2" xfId="0" applyNumberFormat="1" applyFont="1" applyFill="1" applyBorder="1"/>
    <xf numFmtId="164" fontId="5" fillId="36" borderId="8" xfId="0" applyNumberFormat="1" applyFont="1" applyFill="1" applyBorder="1"/>
    <xf numFmtId="164" fontId="2" fillId="36" borderId="9" xfId="0" applyNumberFormat="1" applyFont="1" applyFill="1" applyBorder="1"/>
    <xf numFmtId="0" fontId="2" fillId="36" borderId="9" xfId="0" applyFont="1" applyFill="1" applyBorder="1"/>
    <xf numFmtId="0" fontId="2" fillId="36" borderId="10" xfId="0" applyFont="1" applyFill="1" applyBorder="1"/>
    <xf numFmtId="166" fontId="2" fillId="36" borderId="10" xfId="0" applyNumberFormat="1" applyFont="1" applyFill="1" applyBorder="1"/>
    <xf numFmtId="165" fontId="2" fillId="36" borderId="10" xfId="0" applyNumberFormat="1" applyFont="1" applyFill="1" applyBorder="1"/>
    <xf numFmtId="165" fontId="2" fillId="36" borderId="6" xfId="0" applyNumberFormat="1" applyFont="1" applyFill="1" applyBorder="1"/>
    <xf numFmtId="164" fontId="2" fillId="37" borderId="8" xfId="0" applyNumberFormat="1" applyFont="1" applyFill="1" applyBorder="1"/>
    <xf numFmtId="0" fontId="5" fillId="37" borderId="9" xfId="0" applyFont="1" applyFill="1" applyBorder="1"/>
    <xf numFmtId="164" fontId="2" fillId="37" borderId="9" xfId="0" applyNumberFormat="1" applyFont="1" applyFill="1" applyBorder="1"/>
    <xf numFmtId="0" fontId="2" fillId="37" borderId="9" xfId="0" applyFont="1" applyFill="1" applyBorder="1"/>
    <xf numFmtId="0" fontId="2" fillId="37" borderId="10" xfId="0" applyFont="1" applyFill="1" applyBorder="1"/>
    <xf numFmtId="0" fontId="5" fillId="37" borderId="10" xfId="0" applyFont="1" applyFill="1" applyBorder="1" applyAlignment="1">
      <alignment horizontal="center" wrapText="1"/>
    </xf>
    <xf numFmtId="166" fontId="5" fillId="37" borderId="10" xfId="0" applyNumberFormat="1" applyFont="1" applyFill="1" applyBorder="1"/>
    <xf numFmtId="165" fontId="5" fillId="37" borderId="10" xfId="0" applyNumberFormat="1" applyFont="1" applyFill="1" applyBorder="1"/>
    <xf numFmtId="165" fontId="2" fillId="37" borderId="10" xfId="0" applyNumberFormat="1" applyFont="1" applyFill="1" applyBorder="1"/>
    <xf numFmtId="0" fontId="7" fillId="0" borderId="1" xfId="0" applyFont="1" applyBorder="1"/>
    <xf numFmtId="0" fontId="7" fillId="2" borderId="2" xfId="0" applyFont="1" applyFill="1" applyBorder="1" applyAlignment="1">
      <alignment horizontal="center" wrapText="1"/>
    </xf>
    <xf numFmtId="164" fontId="2" fillId="27" borderId="7" xfId="0" applyNumberFormat="1" applyFont="1" applyFill="1" applyBorder="1"/>
    <xf numFmtId="0" fontId="2" fillId="27" borderId="1" xfId="0" applyFont="1" applyFill="1" applyBorder="1"/>
    <xf numFmtId="0" fontId="2" fillId="27" borderId="2" xfId="0" applyFont="1" applyFill="1" applyBorder="1"/>
    <xf numFmtId="164" fontId="5" fillId="37" borderId="10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164" fontId="2" fillId="2" borderId="11" xfId="0" applyNumberFormat="1" applyFont="1" applyFill="1" applyBorder="1"/>
    <xf numFmtId="0" fontId="2" fillId="2" borderId="12" xfId="0" applyFont="1" applyFill="1" applyBorder="1"/>
    <xf numFmtId="164" fontId="2" fillId="2" borderId="12" xfId="0" applyNumberFormat="1" applyFont="1" applyFill="1" applyBorder="1"/>
    <xf numFmtId="0" fontId="7" fillId="0" borderId="12" xfId="0" applyFont="1" applyBorder="1"/>
    <xf numFmtId="0" fontId="2" fillId="2" borderId="13" xfId="0" applyFont="1" applyFill="1" applyBorder="1"/>
    <xf numFmtId="164" fontId="7" fillId="2" borderId="13" xfId="0" applyNumberFormat="1" applyFont="1" applyFill="1" applyBorder="1" applyAlignment="1">
      <alignment horizontal="center" wrapText="1"/>
    </xf>
    <xf numFmtId="166" fontId="7" fillId="2" borderId="13" xfId="0" applyNumberFormat="1" applyFont="1" applyFill="1" applyBorder="1" applyAlignment="1">
      <alignment horizontal="right"/>
    </xf>
    <xf numFmtId="165" fontId="7" fillId="2" borderId="13" xfId="0" applyNumberFormat="1" applyFont="1" applyFill="1" applyBorder="1" applyAlignment="1">
      <alignment horizontal="right"/>
    </xf>
    <xf numFmtId="165" fontId="2" fillId="2" borderId="13" xfId="0" applyNumberFormat="1" applyFont="1" applyFill="1" applyBorder="1"/>
    <xf numFmtId="166" fontId="2" fillId="37" borderId="10" xfId="0" applyNumberFormat="1" applyFont="1" applyFill="1" applyBorder="1"/>
    <xf numFmtId="164" fontId="16" fillId="0" borderId="10" xfId="0" applyNumberFormat="1" applyFont="1" applyBorder="1" applyAlignment="1">
      <alignment horizontal="center" wrapText="1"/>
    </xf>
    <xf numFmtId="0" fontId="31" fillId="2" borderId="9" xfId="0" applyFont="1" applyFill="1" applyBorder="1"/>
    <xf numFmtId="164" fontId="16" fillId="0" borderId="10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0" borderId="9" xfId="0" applyNumberFormat="1" applyFont="1" applyBorder="1"/>
    <xf numFmtId="164" fontId="3" fillId="38" borderId="7" xfId="0" applyNumberFormat="1" applyFont="1" applyFill="1" applyBorder="1"/>
    <xf numFmtId="164" fontId="2" fillId="38" borderId="1" xfId="0" applyNumberFormat="1" applyFont="1" applyFill="1" applyBorder="1"/>
    <xf numFmtId="0" fontId="2" fillId="38" borderId="1" xfId="0" applyFont="1" applyFill="1" applyBorder="1"/>
    <xf numFmtId="0" fontId="2" fillId="38" borderId="2" xfId="0" applyFont="1" applyFill="1" applyBorder="1"/>
    <xf numFmtId="164" fontId="2" fillId="38" borderId="2" xfId="0" applyNumberFormat="1" applyFont="1" applyFill="1" applyBorder="1"/>
    <xf numFmtId="166" fontId="2" fillId="38" borderId="2" xfId="0" applyNumberFormat="1" applyFont="1" applyFill="1" applyBorder="1"/>
    <xf numFmtId="165" fontId="2" fillId="38" borderId="2" xfId="0" applyNumberFormat="1" applyFont="1" applyFill="1" applyBorder="1"/>
    <xf numFmtId="164" fontId="2" fillId="39" borderId="9" xfId="0" applyNumberFormat="1" applyFont="1" applyFill="1" applyBorder="1"/>
    <xf numFmtId="164" fontId="5" fillId="39" borderId="9" xfId="0" applyNumberFormat="1" applyFont="1" applyFill="1" applyBorder="1"/>
    <xf numFmtId="0" fontId="2" fillId="39" borderId="9" xfId="0" applyFont="1" applyFill="1" applyBorder="1"/>
    <xf numFmtId="0" fontId="2" fillId="39" borderId="10" xfId="0" applyFont="1" applyFill="1" applyBorder="1"/>
    <xf numFmtId="164" fontId="2" fillId="39" borderId="10" xfId="0" applyNumberFormat="1" applyFont="1" applyFill="1" applyBorder="1"/>
    <xf numFmtId="166" fontId="2" fillId="39" borderId="10" xfId="0" applyNumberFormat="1" applyFont="1" applyFill="1" applyBorder="1"/>
    <xf numFmtId="165" fontId="2" fillId="39" borderId="10" xfId="0" applyNumberFormat="1" applyFont="1" applyFill="1" applyBorder="1"/>
    <xf numFmtId="164" fontId="2" fillId="40" borderId="9" xfId="0" applyNumberFormat="1" applyFont="1" applyFill="1" applyBorder="1"/>
    <xf numFmtId="164" fontId="5" fillId="40" borderId="9" xfId="0" applyNumberFormat="1" applyFont="1" applyFill="1" applyBorder="1"/>
    <xf numFmtId="0" fontId="2" fillId="40" borderId="9" xfId="0" applyFont="1" applyFill="1" applyBorder="1"/>
    <xf numFmtId="0" fontId="2" fillId="40" borderId="10" xfId="0" applyFont="1" applyFill="1" applyBorder="1"/>
    <xf numFmtId="164" fontId="5" fillId="40" borderId="10" xfId="0" applyNumberFormat="1" applyFont="1" applyFill="1" applyBorder="1" applyAlignment="1">
      <alignment horizontal="center"/>
    </xf>
    <xf numFmtId="166" fontId="5" fillId="40" borderId="10" xfId="0" applyNumberFormat="1" applyFont="1" applyFill="1" applyBorder="1"/>
    <xf numFmtId="165" fontId="5" fillId="40" borderId="10" xfId="0" applyNumberFormat="1" applyFont="1" applyFill="1" applyBorder="1"/>
    <xf numFmtId="165" fontId="2" fillId="40" borderId="10" xfId="0" applyNumberFormat="1" applyFont="1" applyFill="1" applyBorder="1"/>
    <xf numFmtId="164" fontId="33" fillId="23" borderId="9" xfId="0" applyNumberFormat="1" applyFont="1" applyFill="1" applyBorder="1"/>
    <xf numFmtId="164" fontId="7" fillId="0" borderId="9" xfId="0" applyNumberFormat="1" applyFont="1" applyBorder="1"/>
    <xf numFmtId="164" fontId="5" fillId="0" borderId="10" xfId="0" applyNumberFormat="1" applyFont="1" applyBorder="1" applyAlignment="1">
      <alignment horizontal="center"/>
    </xf>
    <xf numFmtId="164" fontId="2" fillId="40" borderId="10" xfId="0" applyNumberFormat="1" applyFont="1" applyFill="1" applyBorder="1"/>
    <xf numFmtId="166" fontId="2" fillId="40" borderId="10" xfId="0" applyNumberFormat="1" applyFont="1" applyFill="1" applyBorder="1"/>
    <xf numFmtId="0" fontId="34" fillId="23" borderId="9" xfId="0" applyFont="1" applyFill="1" applyBorder="1"/>
    <xf numFmtId="164" fontId="7" fillId="2" borderId="10" xfId="0" applyNumberFormat="1" applyFont="1" applyFill="1" applyBorder="1"/>
    <xf numFmtId="169" fontId="2" fillId="2" borderId="10" xfId="0" applyNumberFormat="1" applyFont="1" applyFill="1" applyBorder="1"/>
    <xf numFmtId="164" fontId="5" fillId="2" borderId="10" xfId="0" applyNumberFormat="1" applyFont="1" applyFill="1" applyBorder="1"/>
    <xf numFmtId="164" fontId="7" fillId="24" borderId="10" xfId="0" applyNumberFormat="1" applyFont="1" applyFill="1" applyBorder="1"/>
    <xf numFmtId="164" fontId="35" fillId="0" borderId="1" xfId="0" applyNumberFormat="1" applyFont="1" applyBorder="1"/>
    <xf numFmtId="169" fontId="2" fillId="2" borderId="2" xfId="0" applyNumberFormat="1" applyFont="1" applyFill="1" applyBorder="1"/>
    <xf numFmtId="164" fontId="7" fillId="39" borderId="10" xfId="0" applyNumberFormat="1" applyFont="1" applyFill="1" applyBorder="1" applyAlignment="1">
      <alignment horizontal="center"/>
    </xf>
    <xf numFmtId="166" fontId="7" fillId="39" borderId="10" xfId="0" applyNumberFormat="1" applyFont="1" applyFill="1" applyBorder="1"/>
    <xf numFmtId="165" fontId="5" fillId="39" borderId="10" xfId="0" applyNumberFormat="1" applyFont="1" applyFill="1" applyBorder="1"/>
    <xf numFmtId="0" fontId="5" fillId="0" borderId="9" xfId="0" quotePrefix="1" applyFont="1" applyBorder="1"/>
    <xf numFmtId="0" fontId="36" fillId="0" borderId="9" xfId="0" applyFont="1" applyBorder="1"/>
    <xf numFmtId="164" fontId="16" fillId="39" borderId="9" xfId="0" applyNumberFormat="1" applyFont="1" applyFill="1" applyBorder="1"/>
    <xf numFmtId="164" fontId="16" fillId="39" borderId="10" xfId="0" applyNumberFormat="1" applyFont="1" applyFill="1" applyBorder="1" applyAlignment="1">
      <alignment horizontal="center"/>
    </xf>
    <xf numFmtId="165" fontId="16" fillId="39" borderId="10" xfId="0" applyNumberFormat="1" applyFont="1" applyFill="1" applyBorder="1"/>
    <xf numFmtId="0" fontId="37" fillId="23" borderId="9" xfId="0" applyFont="1" applyFill="1" applyBorder="1"/>
    <xf numFmtId="166" fontId="8" fillId="2" borderId="10" xfId="0" applyNumberFormat="1" applyFont="1" applyFill="1" applyBorder="1" applyAlignment="1">
      <alignment horizontal="right"/>
    </xf>
    <xf numFmtId="0" fontId="8" fillId="2" borderId="1" xfId="0" applyFont="1" applyFill="1" applyBorder="1"/>
    <xf numFmtId="164" fontId="8" fillId="0" borderId="2" xfId="0" applyNumberFormat="1" applyFont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right"/>
    </xf>
    <xf numFmtId="164" fontId="5" fillId="39" borderId="10" xfId="0" applyNumberFormat="1" applyFont="1" applyFill="1" applyBorder="1" applyAlignment="1">
      <alignment horizontal="center"/>
    </xf>
    <xf numFmtId="166" fontId="5" fillId="39" borderId="10" xfId="0" applyNumberFormat="1" applyFont="1" applyFill="1" applyBorder="1"/>
    <xf numFmtId="164" fontId="2" fillId="39" borderId="8" xfId="0" applyNumberFormat="1" applyFont="1" applyFill="1" applyBorder="1"/>
    <xf numFmtId="164" fontId="5" fillId="0" borderId="9" xfId="0" applyNumberFormat="1" applyFont="1" applyBorder="1"/>
    <xf numFmtId="164" fontId="2" fillId="0" borderId="12" xfId="0" applyNumberFormat="1" applyFont="1" applyBorder="1"/>
    <xf numFmtId="164" fontId="7" fillId="0" borderId="12" xfId="0" applyNumberFormat="1" applyFont="1" applyBorder="1"/>
    <xf numFmtId="0" fontId="2" fillId="0" borderId="12" xfId="0" applyFont="1" applyBorder="1"/>
    <xf numFmtId="0" fontId="2" fillId="0" borderId="13" xfId="0" applyFont="1" applyBorder="1"/>
    <xf numFmtId="164" fontId="7" fillId="0" borderId="13" xfId="0" applyNumberFormat="1" applyFont="1" applyBorder="1" applyAlignment="1">
      <alignment horizontal="center"/>
    </xf>
    <xf numFmtId="166" fontId="2" fillId="0" borderId="13" xfId="0" applyNumberFormat="1" applyFont="1" applyBorder="1"/>
    <xf numFmtId="166" fontId="7" fillId="24" borderId="13" xfId="0" applyNumberFormat="1" applyFont="1" applyFill="1" applyBorder="1" applyAlignment="1">
      <alignment horizontal="right"/>
    </xf>
    <xf numFmtId="165" fontId="2" fillId="0" borderId="13" xfId="0" applyNumberFormat="1" applyFont="1" applyBorder="1"/>
    <xf numFmtId="167" fontId="16" fillId="2" borderId="9" xfId="0" applyNumberFormat="1" applyFont="1" applyFill="1" applyBorder="1" applyAlignment="1">
      <alignment horizontal="center"/>
    </xf>
    <xf numFmtId="164" fontId="5" fillId="13" borderId="17" xfId="0" applyNumberFormat="1" applyFont="1" applyFill="1" applyBorder="1"/>
    <xf numFmtId="164" fontId="2" fillId="13" borderId="18" xfId="0" applyNumberFormat="1" applyFont="1" applyFill="1" applyBorder="1"/>
    <xf numFmtId="0" fontId="2" fillId="13" borderId="18" xfId="0" applyFont="1" applyFill="1" applyBorder="1"/>
    <xf numFmtId="0" fontId="2" fillId="13" borderId="19" xfId="0" applyFont="1" applyFill="1" applyBorder="1"/>
    <xf numFmtId="164" fontId="5" fillId="13" borderId="18" xfId="0" applyNumberFormat="1" applyFont="1" applyFill="1" applyBorder="1"/>
    <xf numFmtId="166" fontId="2" fillId="13" borderId="18" xfId="0" applyNumberFormat="1" applyFont="1" applyFill="1" applyBorder="1"/>
    <xf numFmtId="166" fontId="2" fillId="13" borderId="19" xfId="0" applyNumberFormat="1" applyFont="1" applyFill="1" applyBorder="1"/>
    <xf numFmtId="165" fontId="2" fillId="13" borderId="19" xfId="0" applyNumberFormat="1" applyFont="1" applyFill="1" applyBorder="1"/>
    <xf numFmtId="165" fontId="7" fillId="2" borderId="2" xfId="0" applyNumberFormat="1" applyFont="1" applyFill="1" applyBorder="1" applyAlignment="1">
      <alignment horizontal="right"/>
    </xf>
    <xf numFmtId="164" fontId="2" fillId="0" borderId="0" xfId="0" applyNumberFormat="1" applyFont="1"/>
    <xf numFmtId="166" fontId="2" fillId="0" borderId="0" xfId="0" applyNumberFormat="1" applyFont="1"/>
    <xf numFmtId="165" fontId="2" fillId="0" borderId="0" xfId="0" applyNumberFormat="1" applyFont="1"/>
    <xf numFmtId="164" fontId="21" fillId="0" borderId="0" xfId="0" applyNumberFormat="1" applyFont="1"/>
    <xf numFmtId="164" fontId="38" fillId="22" borderId="8" xfId="0" applyNumberFormat="1" applyFont="1" applyFill="1" applyBorder="1"/>
    <xf numFmtId="0" fontId="39" fillId="22" borderId="9" xfId="0" applyFont="1" applyFill="1" applyBorder="1"/>
    <xf numFmtId="167" fontId="39" fillId="22" borderId="9" xfId="0" applyNumberFormat="1" applyFont="1" applyFill="1" applyBorder="1"/>
    <xf numFmtId="164" fontId="39" fillId="22" borderId="9" xfId="0" applyNumberFormat="1" applyFont="1" applyFill="1" applyBorder="1"/>
    <xf numFmtId="166" fontId="39" fillId="22" borderId="9" xfId="0" applyNumberFormat="1" applyFont="1" applyFill="1" applyBorder="1"/>
    <xf numFmtId="165" fontId="39" fillId="22" borderId="9" xfId="0" applyNumberFormat="1" applyFont="1" applyFill="1" applyBorder="1"/>
    <xf numFmtId="165" fontId="39" fillId="22" borderId="10" xfId="0" applyNumberFormat="1" applyFont="1" applyFill="1" applyBorder="1"/>
    <xf numFmtId="0" fontId="40" fillId="0" borderId="0" xfId="0" applyFont="1"/>
    <xf numFmtId="167" fontId="39" fillId="12" borderId="8" xfId="0" applyNumberFormat="1" applyFont="1" applyFill="1" applyBorder="1"/>
    <xf numFmtId="0" fontId="38" fillId="12" borderId="9" xfId="0" applyFont="1" applyFill="1" applyBorder="1"/>
    <xf numFmtId="167" fontId="39" fillId="12" borderId="9" xfId="0" applyNumberFormat="1" applyFont="1" applyFill="1" applyBorder="1"/>
    <xf numFmtId="164" fontId="39" fillId="12" borderId="9" xfId="0" applyNumberFormat="1" applyFont="1" applyFill="1" applyBorder="1"/>
    <xf numFmtId="0" fontId="39" fillId="12" borderId="9" xfId="0" applyFont="1" applyFill="1" applyBorder="1"/>
    <xf numFmtId="164" fontId="38" fillId="12" borderId="9" xfId="0" applyNumberFormat="1" applyFont="1" applyFill="1" applyBorder="1" applyAlignment="1">
      <alignment horizontal="center"/>
    </xf>
    <xf numFmtId="166" fontId="39" fillId="12" borderId="9" xfId="0" applyNumberFormat="1" applyFont="1" applyFill="1" applyBorder="1"/>
    <xf numFmtId="166" fontId="39" fillId="12" borderId="10" xfId="0" applyNumberFormat="1" applyFont="1" applyFill="1" applyBorder="1"/>
    <xf numFmtId="165" fontId="39" fillId="12" borderId="10" xfId="0" applyNumberFormat="1" applyFont="1" applyFill="1" applyBorder="1"/>
    <xf numFmtId="164" fontId="39" fillId="12" borderId="8" xfId="0" applyNumberFormat="1" applyFont="1" applyFill="1" applyBorder="1"/>
    <xf numFmtId="164" fontId="41" fillId="12" borderId="9" xfId="0" applyNumberFormat="1" applyFont="1" applyFill="1" applyBorder="1"/>
    <xf numFmtId="0" fontId="39" fillId="12" borderId="10" xfId="0" applyFont="1" applyFill="1" applyBorder="1"/>
    <xf numFmtId="164" fontId="38" fillId="12" borderId="10" xfId="0" applyNumberFormat="1" applyFont="1" applyFill="1" applyBorder="1" applyAlignment="1">
      <alignment horizontal="center"/>
    </xf>
    <xf numFmtId="167" fontId="39" fillId="2" borderId="8" xfId="0" applyNumberFormat="1" applyFont="1" applyFill="1" applyBorder="1"/>
    <xf numFmtId="164" fontId="39" fillId="2" borderId="9" xfId="0" applyNumberFormat="1" applyFont="1" applyFill="1" applyBorder="1"/>
    <xf numFmtId="164" fontId="38" fillId="2" borderId="9" xfId="0" applyNumberFormat="1" applyFont="1" applyFill="1" applyBorder="1" applyAlignment="1">
      <alignment horizontal="center"/>
    </xf>
    <xf numFmtId="0" fontId="42" fillId="2" borderId="9" xfId="0" applyFont="1" applyFill="1" applyBorder="1"/>
    <xf numFmtId="0" fontId="39" fillId="0" borderId="9" xfId="0" applyFont="1" applyBorder="1"/>
    <xf numFmtId="0" fontId="39" fillId="0" borderId="10" xfId="0" applyFont="1" applyBorder="1"/>
    <xf numFmtId="164" fontId="38" fillId="0" borderId="10" xfId="0" applyNumberFormat="1" applyFont="1" applyBorder="1" applyAlignment="1">
      <alignment horizontal="center" wrapText="1"/>
    </xf>
    <xf numFmtId="166" fontId="39" fillId="2" borderId="10" xfId="0" applyNumberFormat="1" applyFont="1" applyFill="1" applyBorder="1"/>
    <xf numFmtId="165" fontId="39" fillId="2" borderId="10" xfId="0" applyNumberFormat="1" applyFont="1" applyFill="1" applyBorder="1"/>
    <xf numFmtId="165" fontId="38" fillId="2" borderId="10" xfId="0" applyNumberFormat="1" applyFont="1" applyFill="1" applyBorder="1"/>
    <xf numFmtId="0" fontId="41" fillId="2" borderId="9" xfId="0" applyFont="1" applyFill="1" applyBorder="1"/>
    <xf numFmtId="0" fontId="39" fillId="2" borderId="9" xfId="0" applyFont="1" applyFill="1" applyBorder="1"/>
    <xf numFmtId="0" fontId="39" fillId="2" borderId="10" xfId="0" applyFont="1" applyFill="1" applyBorder="1"/>
    <xf numFmtId="164" fontId="41" fillId="0" borderId="10" xfId="0" applyNumberFormat="1" applyFont="1" applyBorder="1" applyAlignment="1">
      <alignment horizontal="center" wrapText="1"/>
    </xf>
    <xf numFmtId="165" fontId="41" fillId="2" borderId="10" xfId="0" applyNumberFormat="1" applyFont="1" applyFill="1" applyBorder="1"/>
    <xf numFmtId="166" fontId="39" fillId="0" borderId="10" xfId="0" applyNumberFormat="1" applyFont="1" applyBorder="1"/>
    <xf numFmtId="165" fontId="39" fillId="0" borderId="10" xfId="0" applyNumberFormat="1" applyFont="1" applyBorder="1"/>
    <xf numFmtId="164" fontId="38" fillId="0" borderId="10" xfId="0" applyNumberFormat="1" applyFont="1" applyBorder="1" applyAlignment="1">
      <alignment horizontal="center"/>
    </xf>
    <xf numFmtId="164" fontId="41" fillId="2" borderId="9" xfId="0" applyNumberFormat="1" applyFont="1" applyFill="1" applyBorder="1"/>
    <xf numFmtId="164" fontId="41" fillId="0" borderId="10" xfId="0" applyNumberFormat="1" applyFont="1" applyBorder="1" applyAlignment="1">
      <alignment horizontal="center"/>
    </xf>
    <xf numFmtId="164" fontId="39" fillId="0" borderId="8" xfId="0" applyNumberFormat="1" applyFont="1" applyBorder="1"/>
    <xf numFmtId="164" fontId="39" fillId="0" borderId="9" xfId="0" applyNumberFormat="1" applyFont="1" applyBorder="1"/>
    <xf numFmtId="0" fontId="42" fillId="23" borderId="9" xfId="0" quotePrefix="1" applyFont="1" applyFill="1" applyBorder="1"/>
    <xf numFmtId="0" fontId="39" fillId="23" borderId="9" xfId="0" applyFont="1" applyFill="1" applyBorder="1"/>
    <xf numFmtId="0" fontId="39" fillId="23" borderId="10" xfId="0" applyFont="1" applyFill="1" applyBorder="1"/>
    <xf numFmtId="164" fontId="39" fillId="0" borderId="10" xfId="0" applyNumberFormat="1" applyFont="1" applyBorder="1"/>
    <xf numFmtId="164" fontId="41" fillId="0" borderId="9" xfId="0" applyNumberFormat="1" applyFont="1" applyBorder="1"/>
    <xf numFmtId="164" fontId="39" fillId="0" borderId="14" xfId="0" applyNumberFormat="1" applyFont="1" applyBorder="1"/>
    <xf numFmtId="164" fontId="39" fillId="0" borderId="15" xfId="0" applyNumberFormat="1" applyFont="1" applyBorder="1"/>
    <xf numFmtId="164" fontId="41" fillId="0" borderId="15" xfId="0" applyNumberFormat="1" applyFont="1" applyBorder="1"/>
    <xf numFmtId="0" fontId="39" fillId="0" borderId="15" xfId="0" applyFont="1" applyBorder="1"/>
    <xf numFmtId="0" fontId="39" fillId="0" borderId="16" xfId="0" applyFont="1" applyBorder="1"/>
    <xf numFmtId="164" fontId="41" fillId="0" borderId="16" xfId="0" applyNumberFormat="1" applyFont="1" applyBorder="1" applyAlignment="1">
      <alignment horizontal="center" wrapText="1"/>
    </xf>
    <xf numFmtId="166" fontId="39" fillId="2" borderId="16" xfId="0" applyNumberFormat="1" applyFont="1" applyFill="1" applyBorder="1"/>
    <xf numFmtId="165" fontId="39" fillId="0" borderId="16" xfId="0" applyNumberFormat="1" applyFont="1" applyBorder="1"/>
    <xf numFmtId="165" fontId="39" fillId="2" borderId="16" xfId="0" applyNumberFormat="1" applyFont="1" applyFill="1" applyBorder="1"/>
    <xf numFmtId="0" fontId="45" fillId="0" borderId="0" xfId="1" applyFont="1"/>
    <xf numFmtId="0" fontId="43" fillId="0" borderId="0" xfId="1"/>
    <xf numFmtId="0" fontId="45" fillId="0" borderId="1" xfId="1" applyFont="1" applyBorder="1"/>
    <xf numFmtId="0" fontId="45" fillId="2" borderId="1" xfId="1" applyFont="1" applyFill="1" applyBorder="1"/>
    <xf numFmtId="164" fontId="45" fillId="2" borderId="1" xfId="1" applyNumberFormat="1" applyFont="1" applyFill="1" applyBorder="1"/>
    <xf numFmtId="165" fontId="45" fillId="2" borderId="1" xfId="1" applyNumberFormat="1" applyFont="1" applyFill="1" applyBorder="1"/>
    <xf numFmtId="0" fontId="46" fillId="5" borderId="6" xfId="1" applyFont="1" applyFill="1" applyBorder="1" applyAlignment="1">
      <alignment horizontal="center"/>
    </xf>
    <xf numFmtId="0" fontId="46" fillId="5" borderId="2" xfId="1" applyFont="1" applyFill="1" applyBorder="1" applyAlignment="1">
      <alignment horizontal="center"/>
    </xf>
    <xf numFmtId="165" fontId="44" fillId="6" borderId="2" xfId="1" applyNumberFormat="1" applyFont="1" applyFill="1" applyBorder="1" applyAlignment="1">
      <alignment horizontal="center"/>
    </xf>
    <xf numFmtId="164" fontId="44" fillId="6" borderId="2" xfId="1" applyNumberFormat="1" applyFont="1" applyFill="1" applyBorder="1" applyAlignment="1">
      <alignment horizontal="center" wrapText="1"/>
    </xf>
    <xf numFmtId="165" fontId="44" fillId="7" borderId="20" xfId="1" applyNumberFormat="1" applyFont="1" applyFill="1" applyBorder="1" applyAlignment="1">
      <alignment horizontal="center" wrapText="1"/>
    </xf>
    <xf numFmtId="165" fontId="44" fillId="9" borderId="2" xfId="1" applyNumberFormat="1" applyFont="1" applyFill="1" applyBorder="1" applyAlignment="1">
      <alignment horizontal="center" wrapText="1"/>
    </xf>
    <xf numFmtId="165" fontId="44" fillId="8" borderId="2" xfId="1" applyNumberFormat="1" applyFont="1" applyFill="1" applyBorder="1" applyAlignment="1">
      <alignment horizontal="center"/>
    </xf>
    <xf numFmtId="165" fontId="44" fillId="7" borderId="2" xfId="1" applyNumberFormat="1" applyFont="1" applyFill="1" applyBorder="1" applyAlignment="1">
      <alignment horizontal="center"/>
    </xf>
    <xf numFmtId="165" fontId="44" fillId="9" borderId="2" xfId="1" applyNumberFormat="1" applyFont="1" applyFill="1" applyBorder="1" applyAlignment="1">
      <alignment horizontal="center"/>
    </xf>
    <xf numFmtId="165" fontId="44" fillId="7" borderId="2" xfId="1" applyNumberFormat="1" applyFont="1" applyFill="1" applyBorder="1" applyAlignment="1">
      <alignment horizontal="center" wrapText="1"/>
    </xf>
    <xf numFmtId="0" fontId="45" fillId="10" borderId="2" xfId="1" applyFont="1" applyFill="1" applyBorder="1"/>
    <xf numFmtId="166" fontId="45" fillId="10" borderId="2" xfId="1" applyNumberFormat="1" applyFont="1" applyFill="1" applyBorder="1"/>
    <xf numFmtId="165" fontId="45" fillId="10" borderId="2" xfId="1" applyNumberFormat="1" applyFont="1" applyFill="1" applyBorder="1"/>
    <xf numFmtId="165" fontId="45" fillId="10" borderId="20" xfId="1" applyNumberFormat="1" applyFont="1" applyFill="1" applyBorder="1"/>
    <xf numFmtId="0" fontId="45" fillId="10" borderId="8" xfId="1" applyFont="1" applyFill="1" applyBorder="1"/>
    <xf numFmtId="0" fontId="45" fillId="10" borderId="9" xfId="1" applyFont="1" applyFill="1" applyBorder="1"/>
    <xf numFmtId="0" fontId="45" fillId="10" borderId="10" xfId="1" applyFont="1" applyFill="1" applyBorder="1"/>
    <xf numFmtId="166" fontId="45" fillId="10" borderId="10" xfId="1" applyNumberFormat="1" applyFont="1" applyFill="1" applyBorder="1"/>
    <xf numFmtId="165" fontId="45" fillId="10" borderId="10" xfId="1" applyNumberFormat="1" applyFont="1" applyFill="1" applyBorder="1"/>
    <xf numFmtId="165" fontId="45" fillId="10" borderId="21" xfId="1" applyNumberFormat="1" applyFont="1" applyFill="1" applyBorder="1"/>
    <xf numFmtId="0" fontId="45" fillId="10" borderId="7" xfId="1" applyFont="1" applyFill="1" applyBorder="1"/>
    <xf numFmtId="0" fontId="45" fillId="10" borderId="1" xfId="1" applyFont="1" applyFill="1" applyBorder="1"/>
    <xf numFmtId="0" fontId="45" fillId="11" borderId="2" xfId="1" applyFont="1" applyFill="1" applyBorder="1"/>
    <xf numFmtId="166" fontId="45" fillId="11" borderId="2" xfId="1" applyNumberFormat="1" applyFont="1" applyFill="1" applyBorder="1"/>
    <xf numFmtId="165" fontId="45" fillId="11" borderId="2" xfId="1" applyNumberFormat="1" applyFont="1" applyFill="1" applyBorder="1"/>
    <xf numFmtId="165" fontId="45" fillId="11" borderId="20" xfId="1" applyNumberFormat="1" applyFont="1" applyFill="1" applyBorder="1"/>
    <xf numFmtId="0" fontId="45" fillId="12" borderId="8" xfId="1" applyFont="1" applyFill="1" applyBorder="1"/>
    <xf numFmtId="0" fontId="45" fillId="12" borderId="9" xfId="1" applyFont="1" applyFill="1" applyBorder="1"/>
    <xf numFmtId="0" fontId="44" fillId="12" borderId="9" xfId="1" applyFont="1" applyFill="1" applyBorder="1"/>
    <xf numFmtId="0" fontId="48" fillId="12" borderId="9" xfId="1" applyFont="1" applyFill="1" applyBorder="1"/>
    <xf numFmtId="0" fontId="45" fillId="12" borderId="10" xfId="1" applyFont="1" applyFill="1" applyBorder="1"/>
    <xf numFmtId="0" fontId="44" fillId="12" borderId="10" xfId="1" applyFont="1" applyFill="1" applyBorder="1" applyAlignment="1">
      <alignment horizontal="center"/>
    </xf>
    <xf numFmtId="166" fontId="45" fillId="12" borderId="10" xfId="1" applyNumberFormat="1" applyFont="1" applyFill="1" applyBorder="1"/>
    <xf numFmtId="165" fontId="45" fillId="12" borderId="10" xfId="1" applyNumberFormat="1" applyFont="1" applyFill="1" applyBorder="1"/>
    <xf numFmtId="165" fontId="44" fillId="12" borderId="21" xfId="1" applyNumberFormat="1" applyFont="1" applyFill="1" applyBorder="1" applyAlignment="1">
      <alignment horizontal="right"/>
    </xf>
    <xf numFmtId="165" fontId="44" fillId="12" borderId="10" xfId="1" applyNumberFormat="1" applyFont="1" applyFill="1" applyBorder="1" applyAlignment="1">
      <alignment horizontal="right"/>
    </xf>
    <xf numFmtId="0" fontId="49" fillId="12" borderId="9" xfId="1" applyFont="1" applyFill="1" applyBorder="1"/>
    <xf numFmtId="0" fontId="49" fillId="12" borderId="10" xfId="1" applyFont="1" applyFill="1" applyBorder="1" applyAlignment="1">
      <alignment horizontal="center"/>
    </xf>
    <xf numFmtId="165" fontId="49" fillId="12" borderId="21" xfId="1" applyNumberFormat="1" applyFont="1" applyFill="1" applyBorder="1" applyAlignment="1">
      <alignment horizontal="right"/>
    </xf>
    <xf numFmtId="165" fontId="49" fillId="12" borderId="10" xfId="1" applyNumberFormat="1" applyFont="1" applyFill="1" applyBorder="1" applyAlignment="1">
      <alignment horizontal="right"/>
    </xf>
    <xf numFmtId="0" fontId="50" fillId="12" borderId="9" xfId="1" applyFont="1" applyFill="1" applyBorder="1"/>
    <xf numFmtId="0" fontId="50" fillId="12" borderId="10" xfId="1" applyFont="1" applyFill="1" applyBorder="1" applyAlignment="1">
      <alignment horizontal="center"/>
    </xf>
    <xf numFmtId="165" fontId="50" fillId="12" borderId="21" xfId="1" applyNumberFormat="1" applyFont="1" applyFill="1" applyBorder="1" applyAlignment="1">
      <alignment horizontal="right"/>
    </xf>
    <xf numFmtId="165" fontId="50" fillId="12" borderId="10" xfId="1" applyNumberFormat="1" applyFont="1" applyFill="1" applyBorder="1" applyAlignment="1">
      <alignment horizontal="right"/>
    </xf>
    <xf numFmtId="0" fontId="45" fillId="2" borderId="8" xfId="1" applyFont="1" applyFill="1" applyBorder="1"/>
    <xf numFmtId="0" fontId="45" fillId="2" borderId="9" xfId="1" applyFont="1" applyFill="1" applyBorder="1"/>
    <xf numFmtId="0" fontId="51" fillId="2" borderId="9" xfId="1" applyFont="1" applyFill="1" applyBorder="1"/>
    <xf numFmtId="0" fontId="45" fillId="2" borderId="10" xfId="1" applyFont="1" applyFill="1" applyBorder="1"/>
    <xf numFmtId="0" fontId="50" fillId="2" borderId="10" xfId="1" applyFont="1" applyFill="1" applyBorder="1" applyAlignment="1">
      <alignment horizontal="center"/>
    </xf>
    <xf numFmtId="166" fontId="45" fillId="2" borderId="10" xfId="1" applyNumberFormat="1" applyFont="1" applyFill="1" applyBorder="1"/>
    <xf numFmtId="165" fontId="45" fillId="2" borderId="10" xfId="1" applyNumberFormat="1" applyFont="1" applyFill="1" applyBorder="1"/>
    <xf numFmtId="165" fontId="50" fillId="2" borderId="21" xfId="1" applyNumberFormat="1" applyFont="1" applyFill="1" applyBorder="1" applyAlignment="1">
      <alignment horizontal="right"/>
    </xf>
    <xf numFmtId="165" fontId="50" fillId="2" borderId="10" xfId="1" applyNumberFormat="1" applyFont="1" applyFill="1" applyBorder="1" applyAlignment="1">
      <alignment horizontal="right"/>
    </xf>
    <xf numFmtId="0" fontId="49" fillId="2" borderId="9" xfId="1" applyFont="1" applyFill="1" applyBorder="1"/>
    <xf numFmtId="0" fontId="49" fillId="2" borderId="10" xfId="1" applyFont="1" applyFill="1" applyBorder="1" applyAlignment="1">
      <alignment horizontal="center"/>
    </xf>
    <xf numFmtId="165" fontId="49" fillId="2" borderId="21" xfId="1" applyNumberFormat="1" applyFont="1" applyFill="1" applyBorder="1" applyAlignment="1">
      <alignment horizontal="right"/>
    </xf>
    <xf numFmtId="165" fontId="49" fillId="2" borderId="10" xfId="1" applyNumberFormat="1" applyFont="1" applyFill="1" applyBorder="1" applyAlignment="1">
      <alignment horizontal="right"/>
    </xf>
    <xf numFmtId="0" fontId="50" fillId="2" borderId="9" xfId="1" applyFont="1" applyFill="1" applyBorder="1"/>
    <xf numFmtId="165" fontId="45" fillId="2" borderId="21" xfId="1" applyNumberFormat="1" applyFont="1" applyFill="1" applyBorder="1"/>
    <xf numFmtId="0" fontId="45" fillId="2" borderId="7" xfId="1" applyFont="1" applyFill="1" applyBorder="1"/>
    <xf numFmtId="0" fontId="50" fillId="2" borderId="1" xfId="1" applyFont="1" applyFill="1" applyBorder="1"/>
    <xf numFmtId="0" fontId="45" fillId="2" borderId="2" xfId="1" applyFont="1" applyFill="1" applyBorder="1"/>
    <xf numFmtId="0" fontId="50" fillId="2" borderId="2" xfId="1" applyFont="1" applyFill="1" applyBorder="1" applyAlignment="1">
      <alignment horizontal="center"/>
    </xf>
    <xf numFmtId="166" fontId="45" fillId="2" borderId="2" xfId="1" applyNumberFormat="1" applyFont="1" applyFill="1" applyBorder="1"/>
    <xf numFmtId="165" fontId="45" fillId="2" borderId="2" xfId="1" applyNumberFormat="1" applyFont="1" applyFill="1" applyBorder="1"/>
    <xf numFmtId="165" fontId="45" fillId="2" borderId="20" xfId="1" applyNumberFormat="1" applyFont="1" applyFill="1" applyBorder="1"/>
    <xf numFmtId="0" fontId="44" fillId="13" borderId="7" xfId="1" applyFont="1" applyFill="1" applyBorder="1"/>
    <xf numFmtId="0" fontId="45" fillId="13" borderId="1" xfId="1" applyFont="1" applyFill="1" applyBorder="1"/>
    <xf numFmtId="0" fontId="45" fillId="13" borderId="2" xfId="1" applyFont="1" applyFill="1" applyBorder="1"/>
    <xf numFmtId="166" fontId="45" fillId="13" borderId="2" xfId="1" applyNumberFormat="1" applyFont="1" applyFill="1" applyBorder="1"/>
    <xf numFmtId="165" fontId="45" fillId="13" borderId="2" xfId="1" applyNumberFormat="1" applyFont="1" applyFill="1" applyBorder="1"/>
    <xf numFmtId="165" fontId="44" fillId="13" borderId="20" xfId="1" applyNumberFormat="1" applyFont="1" applyFill="1" applyBorder="1" applyAlignment="1">
      <alignment horizontal="right"/>
    </xf>
    <xf numFmtId="165" fontId="44" fillId="13" borderId="2" xfId="1" applyNumberFormat="1" applyFont="1" applyFill="1" applyBorder="1" applyAlignment="1">
      <alignment horizontal="right"/>
    </xf>
    <xf numFmtId="0" fontId="44" fillId="14" borderId="7" xfId="1" applyFont="1" applyFill="1" applyBorder="1"/>
    <xf numFmtId="0" fontId="45" fillId="14" borderId="1" xfId="1" applyFont="1" applyFill="1" applyBorder="1"/>
    <xf numFmtId="166" fontId="45" fillId="14" borderId="1" xfId="1" applyNumberFormat="1" applyFont="1" applyFill="1" applyBorder="1"/>
    <xf numFmtId="165" fontId="45" fillId="14" borderId="1" xfId="1" applyNumberFormat="1" applyFont="1" applyFill="1" applyBorder="1"/>
    <xf numFmtId="165" fontId="45" fillId="14" borderId="2" xfId="1" applyNumberFormat="1" applyFont="1" applyFill="1" applyBorder="1"/>
    <xf numFmtId="0" fontId="45" fillId="15" borderId="9" xfId="1" applyFont="1" applyFill="1" applyBorder="1"/>
    <xf numFmtId="0" fontId="44" fillId="15" borderId="9" xfId="1" applyFont="1" applyFill="1" applyBorder="1"/>
    <xf numFmtId="0" fontId="45" fillId="15" borderId="10" xfId="1" applyFont="1" applyFill="1" applyBorder="1"/>
    <xf numFmtId="166" fontId="45" fillId="15" borderId="10" xfId="1" applyNumberFormat="1" applyFont="1" applyFill="1" applyBorder="1"/>
    <xf numFmtId="165" fontId="45" fillId="15" borderId="10" xfId="1" applyNumberFormat="1" applyFont="1" applyFill="1" applyBorder="1"/>
    <xf numFmtId="165" fontId="45" fillId="15" borderId="21" xfId="1" applyNumberFormat="1" applyFont="1" applyFill="1" applyBorder="1"/>
    <xf numFmtId="0" fontId="45" fillId="16" borderId="8" xfId="1" applyFont="1" applyFill="1" applyBorder="1"/>
    <xf numFmtId="0" fontId="45" fillId="16" borderId="9" xfId="1" applyFont="1" applyFill="1" applyBorder="1"/>
    <xf numFmtId="0" fontId="44" fillId="16" borderId="9" xfId="1" applyFont="1" applyFill="1" applyBorder="1"/>
    <xf numFmtId="0" fontId="48" fillId="16" borderId="9" xfId="1" applyFont="1" applyFill="1" applyBorder="1"/>
    <xf numFmtId="0" fontId="45" fillId="16" borderId="10" xfId="1" applyFont="1" applyFill="1" applyBorder="1"/>
    <xf numFmtId="0" fontId="44" fillId="16" borderId="10" xfId="1" applyFont="1" applyFill="1" applyBorder="1" applyAlignment="1">
      <alignment horizontal="center"/>
    </xf>
    <xf numFmtId="166" fontId="45" fillId="16" borderId="10" xfId="1" applyNumberFormat="1" applyFont="1" applyFill="1" applyBorder="1"/>
    <xf numFmtId="165" fontId="45" fillId="16" borderId="10" xfId="1" applyNumberFormat="1" applyFont="1" applyFill="1" applyBorder="1"/>
    <xf numFmtId="165" fontId="44" fillId="16" borderId="21" xfId="1" applyNumberFormat="1" applyFont="1" applyFill="1" applyBorder="1" applyAlignment="1">
      <alignment horizontal="right"/>
    </xf>
    <xf numFmtId="165" fontId="44" fillId="16" borderId="10" xfId="1" applyNumberFormat="1" applyFont="1" applyFill="1" applyBorder="1" applyAlignment="1">
      <alignment horizontal="right"/>
    </xf>
    <xf numFmtId="0" fontId="49" fillId="16" borderId="9" xfId="1" applyFont="1" applyFill="1" applyBorder="1"/>
    <xf numFmtId="0" fontId="49" fillId="16" borderId="10" xfId="1" applyFont="1" applyFill="1" applyBorder="1" applyAlignment="1">
      <alignment horizontal="center"/>
    </xf>
    <xf numFmtId="165" fontId="49" fillId="16" borderId="21" xfId="1" applyNumberFormat="1" applyFont="1" applyFill="1" applyBorder="1" applyAlignment="1">
      <alignment horizontal="right"/>
    </xf>
    <xf numFmtId="165" fontId="49" fillId="16" borderId="10" xfId="1" applyNumberFormat="1" applyFont="1" applyFill="1" applyBorder="1" applyAlignment="1">
      <alignment horizontal="right"/>
    </xf>
    <xf numFmtId="0" fontId="50" fillId="16" borderId="9" xfId="1" applyFont="1" applyFill="1" applyBorder="1"/>
    <xf numFmtId="0" fontId="50" fillId="16" borderId="10" xfId="1" applyFont="1" applyFill="1" applyBorder="1" applyAlignment="1">
      <alignment horizontal="center"/>
    </xf>
    <xf numFmtId="165" fontId="50" fillId="16" borderId="21" xfId="1" applyNumberFormat="1" applyFont="1" applyFill="1" applyBorder="1" applyAlignment="1">
      <alignment horizontal="right"/>
    </xf>
    <xf numFmtId="165" fontId="50" fillId="16" borderId="10" xfId="1" applyNumberFormat="1" applyFont="1" applyFill="1" applyBorder="1" applyAlignment="1">
      <alignment horizontal="right"/>
    </xf>
    <xf numFmtId="0" fontId="45" fillId="17" borderId="1" xfId="1" applyFont="1" applyFill="1" applyBorder="1"/>
    <xf numFmtId="166" fontId="45" fillId="17" borderId="1" xfId="1" applyNumberFormat="1" applyFont="1" applyFill="1" applyBorder="1"/>
    <xf numFmtId="165" fontId="45" fillId="17" borderId="1" xfId="1" applyNumberFormat="1" applyFont="1" applyFill="1" applyBorder="1"/>
    <xf numFmtId="165" fontId="45" fillId="17" borderId="2" xfId="1" applyNumberFormat="1" applyFont="1" applyFill="1" applyBorder="1"/>
    <xf numFmtId="0" fontId="45" fillId="18" borderId="8" xfId="1" applyFont="1" applyFill="1" applyBorder="1"/>
    <xf numFmtId="0" fontId="39" fillId="0" borderId="9" xfId="1" applyFont="1" applyBorder="1"/>
    <xf numFmtId="0" fontId="39" fillId="0" borderId="10" xfId="1" applyFont="1" applyBorder="1"/>
    <xf numFmtId="0" fontId="45" fillId="18" borderId="10" xfId="1" applyFont="1" applyFill="1" applyBorder="1"/>
    <xf numFmtId="166" fontId="45" fillId="18" borderId="10" xfId="1" applyNumberFormat="1" applyFont="1" applyFill="1" applyBorder="1"/>
    <xf numFmtId="165" fontId="45" fillId="18" borderId="10" xfId="1" applyNumberFormat="1" applyFont="1" applyFill="1" applyBorder="1"/>
    <xf numFmtId="165" fontId="45" fillId="18" borderId="21" xfId="1" applyNumberFormat="1" applyFont="1" applyFill="1" applyBorder="1"/>
    <xf numFmtId="0" fontId="45" fillId="19" borderId="8" xfId="1" applyFont="1" applyFill="1" applyBorder="1"/>
    <xf numFmtId="0" fontId="44" fillId="19" borderId="9" xfId="1" applyFont="1" applyFill="1" applyBorder="1"/>
    <xf numFmtId="0" fontId="45" fillId="19" borderId="9" xfId="1" applyFont="1" applyFill="1" applyBorder="1"/>
    <xf numFmtId="0" fontId="45" fillId="19" borderId="10" xfId="1" applyFont="1" applyFill="1" applyBorder="1"/>
    <xf numFmtId="166" fontId="45" fillId="19" borderId="10" xfId="1" applyNumberFormat="1" applyFont="1" applyFill="1" applyBorder="1"/>
    <xf numFmtId="165" fontId="45" fillId="19" borderId="10" xfId="1" applyNumberFormat="1" applyFont="1" applyFill="1" applyBorder="1"/>
    <xf numFmtId="165" fontId="45" fillId="19" borderId="21" xfId="1" applyNumberFormat="1" applyFont="1" applyFill="1" applyBorder="1"/>
    <xf numFmtId="0" fontId="45" fillId="20" borderId="8" xfId="1" applyFont="1" applyFill="1" applyBorder="1"/>
    <xf numFmtId="0" fontId="45" fillId="20" borderId="9" xfId="1" applyFont="1" applyFill="1" applyBorder="1"/>
    <xf numFmtId="0" fontId="44" fillId="20" borderId="9" xfId="1" applyFont="1" applyFill="1" applyBorder="1"/>
    <xf numFmtId="0" fontId="48" fillId="20" borderId="9" xfId="1" applyFont="1" applyFill="1" applyBorder="1"/>
    <xf numFmtId="0" fontId="45" fillId="20" borderId="10" xfId="1" applyFont="1" applyFill="1" applyBorder="1"/>
    <xf numFmtId="0" fontId="44" fillId="20" borderId="10" xfId="1" applyFont="1" applyFill="1" applyBorder="1" applyAlignment="1">
      <alignment horizontal="center"/>
    </xf>
    <xf numFmtId="166" fontId="45" fillId="20" borderId="10" xfId="1" applyNumberFormat="1" applyFont="1" applyFill="1" applyBorder="1"/>
    <xf numFmtId="165" fontId="45" fillId="20" borderId="10" xfId="1" applyNumberFormat="1" applyFont="1" applyFill="1" applyBorder="1"/>
    <xf numFmtId="165" fontId="44" fillId="20" borderId="21" xfId="1" applyNumberFormat="1" applyFont="1" applyFill="1" applyBorder="1" applyAlignment="1">
      <alignment horizontal="right"/>
    </xf>
    <xf numFmtId="165" fontId="44" fillId="20" borderId="10" xfId="1" applyNumberFormat="1" applyFont="1" applyFill="1" applyBorder="1" applyAlignment="1">
      <alignment horizontal="right"/>
    </xf>
    <xf numFmtId="0" fontId="49" fillId="20" borderId="9" xfId="1" applyFont="1" applyFill="1" applyBorder="1"/>
    <xf numFmtId="0" fontId="49" fillId="20" borderId="10" xfId="1" applyFont="1" applyFill="1" applyBorder="1" applyAlignment="1">
      <alignment horizontal="center"/>
    </xf>
    <xf numFmtId="165" fontId="49" fillId="20" borderId="21" xfId="1" applyNumberFormat="1" applyFont="1" applyFill="1" applyBorder="1" applyAlignment="1">
      <alignment horizontal="right"/>
    </xf>
    <xf numFmtId="165" fontId="49" fillId="20" borderId="10" xfId="1" applyNumberFormat="1" applyFont="1" applyFill="1" applyBorder="1" applyAlignment="1">
      <alignment horizontal="right"/>
    </xf>
    <xf numFmtId="0" fontId="50" fillId="20" borderId="9" xfId="1" applyFont="1" applyFill="1" applyBorder="1"/>
    <xf numFmtId="0" fontId="50" fillId="20" borderId="10" xfId="1" applyFont="1" applyFill="1" applyBorder="1" applyAlignment="1">
      <alignment horizontal="center"/>
    </xf>
    <xf numFmtId="165" fontId="50" fillId="20" borderId="21" xfId="1" applyNumberFormat="1" applyFont="1" applyFill="1" applyBorder="1" applyAlignment="1">
      <alignment horizontal="right"/>
    </xf>
    <xf numFmtId="165" fontId="50" fillId="20" borderId="10" xfId="1" applyNumberFormat="1" applyFont="1" applyFill="1" applyBorder="1" applyAlignment="1">
      <alignment horizontal="right"/>
    </xf>
    <xf numFmtId="165" fontId="50" fillId="2" borderId="20" xfId="1" applyNumberFormat="1" applyFont="1" applyFill="1" applyBorder="1" applyAlignment="1">
      <alignment horizontal="right"/>
    </xf>
    <xf numFmtId="165" fontId="50" fillId="2" borderId="2" xfId="1" applyNumberFormat="1" applyFont="1" applyFill="1" applyBorder="1" applyAlignment="1">
      <alignment horizontal="right"/>
    </xf>
    <xf numFmtId="164" fontId="44" fillId="21" borderId="7" xfId="1" applyNumberFormat="1" applyFont="1" applyFill="1" applyBorder="1"/>
    <xf numFmtId="164" fontId="45" fillId="21" borderId="1" xfId="1" applyNumberFormat="1" applyFont="1" applyFill="1" applyBorder="1"/>
    <xf numFmtId="0" fontId="45" fillId="21" borderId="1" xfId="1" applyFont="1" applyFill="1" applyBorder="1"/>
    <xf numFmtId="166" fontId="45" fillId="21" borderId="1" xfId="1" applyNumberFormat="1" applyFont="1" applyFill="1" applyBorder="1"/>
    <xf numFmtId="165" fontId="45" fillId="21" borderId="1" xfId="1" applyNumberFormat="1" applyFont="1" applyFill="1" applyBorder="1"/>
    <xf numFmtId="165" fontId="45" fillId="21" borderId="2" xfId="1" applyNumberFormat="1" applyFont="1" applyFill="1" applyBorder="1"/>
    <xf numFmtId="164" fontId="44" fillId="22" borderId="8" xfId="1" applyNumberFormat="1" applyFont="1" applyFill="1" applyBorder="1"/>
    <xf numFmtId="0" fontId="45" fillId="22" borderId="9" xfId="1" applyFont="1" applyFill="1" applyBorder="1"/>
    <xf numFmtId="164" fontId="45" fillId="22" borderId="9" xfId="1" applyNumberFormat="1" applyFont="1" applyFill="1" applyBorder="1"/>
    <xf numFmtId="0" fontId="45" fillId="22" borderId="10" xfId="1" applyFont="1" applyFill="1" applyBorder="1"/>
    <xf numFmtId="166" fontId="45" fillId="22" borderId="10" xfId="1" applyNumberFormat="1" applyFont="1" applyFill="1" applyBorder="1"/>
    <xf numFmtId="165" fontId="45" fillId="22" borderId="10" xfId="1" applyNumberFormat="1" applyFont="1" applyFill="1" applyBorder="1"/>
    <xf numFmtId="165" fontId="45" fillId="22" borderId="21" xfId="1" applyNumberFormat="1" applyFont="1" applyFill="1" applyBorder="1"/>
    <xf numFmtId="167" fontId="45" fillId="12" borderId="8" xfId="1" applyNumberFormat="1" applyFont="1" applyFill="1" applyBorder="1"/>
    <xf numFmtId="164" fontId="45" fillId="12" borderId="9" xfId="1" applyNumberFormat="1" applyFont="1" applyFill="1" applyBorder="1"/>
    <xf numFmtId="0" fontId="44" fillId="12" borderId="10" xfId="1" applyFont="1" applyFill="1" applyBorder="1" applyAlignment="1">
      <alignment horizontal="center" wrapText="1"/>
    </xf>
    <xf numFmtId="166" fontId="44" fillId="12" borderId="10" xfId="1" applyNumberFormat="1" applyFont="1" applyFill="1" applyBorder="1" applyAlignment="1">
      <alignment horizontal="right"/>
    </xf>
    <xf numFmtId="165" fontId="45" fillId="12" borderId="21" xfId="1" applyNumberFormat="1" applyFont="1" applyFill="1" applyBorder="1"/>
    <xf numFmtId="167" fontId="45" fillId="2" borderId="8" xfId="1" applyNumberFormat="1" applyFont="1" applyFill="1" applyBorder="1"/>
    <xf numFmtId="0" fontId="44" fillId="2" borderId="9" xfId="1" applyFont="1" applyFill="1" applyBorder="1"/>
    <xf numFmtId="0" fontId="48" fillId="2" borderId="9" xfId="1" applyFont="1" applyFill="1" applyBorder="1"/>
    <xf numFmtId="164" fontId="44" fillId="2" borderId="10" xfId="1" applyNumberFormat="1" applyFont="1" applyFill="1" applyBorder="1" applyAlignment="1">
      <alignment horizontal="center"/>
    </xf>
    <xf numFmtId="165" fontId="44" fillId="2" borderId="21" xfId="1" applyNumberFormat="1" applyFont="1" applyFill="1" applyBorder="1" applyAlignment="1">
      <alignment horizontal="right"/>
    </xf>
    <xf numFmtId="165" fontId="44" fillId="2" borderId="10" xfId="1" applyNumberFormat="1" applyFont="1" applyFill="1" applyBorder="1" applyAlignment="1">
      <alignment horizontal="right"/>
    </xf>
    <xf numFmtId="164" fontId="49" fillId="2" borderId="10" xfId="1" applyNumberFormat="1" applyFont="1" applyFill="1" applyBorder="1" applyAlignment="1">
      <alignment horizontal="center"/>
    </xf>
    <xf numFmtId="164" fontId="50" fillId="2" borderId="10" xfId="1" applyNumberFormat="1" applyFont="1" applyFill="1" applyBorder="1" applyAlignment="1">
      <alignment horizontal="center"/>
    </xf>
    <xf numFmtId="164" fontId="50" fillId="0" borderId="10" xfId="1" applyNumberFormat="1" applyFont="1" applyBorder="1" applyAlignment="1">
      <alignment horizontal="center" wrapText="1"/>
    </xf>
    <xf numFmtId="166" fontId="45" fillId="0" borderId="10" xfId="1" applyNumberFormat="1" applyFont="1" applyBorder="1"/>
    <xf numFmtId="165" fontId="45" fillId="0" borderId="10" xfId="1" applyNumberFormat="1" applyFont="1" applyBorder="1"/>
    <xf numFmtId="164" fontId="49" fillId="0" borderId="10" xfId="1" applyNumberFormat="1" applyFont="1" applyBorder="1" applyAlignment="1">
      <alignment horizontal="center" wrapText="1"/>
    </xf>
    <xf numFmtId="164" fontId="50" fillId="0" borderId="10" xfId="1" applyNumberFormat="1" applyFont="1" applyBorder="1" applyAlignment="1">
      <alignment horizontal="center"/>
    </xf>
    <xf numFmtId="164" fontId="45" fillId="0" borderId="8" xfId="1" applyNumberFormat="1" applyFont="1" applyBorder="1"/>
    <xf numFmtId="164" fontId="45" fillId="0" borderId="9" xfId="1" applyNumberFormat="1" applyFont="1" applyBorder="1"/>
    <xf numFmtId="0" fontId="48" fillId="23" borderId="9" xfId="1" quotePrefix="1" applyFont="1" applyFill="1" applyBorder="1"/>
    <xf numFmtId="0" fontId="45" fillId="23" borderId="9" xfId="1" applyFont="1" applyFill="1" applyBorder="1"/>
    <xf numFmtId="0" fontId="45" fillId="23" borderId="10" xfId="1" applyFont="1" applyFill="1" applyBorder="1"/>
    <xf numFmtId="0" fontId="45" fillId="0" borderId="10" xfId="1" applyFont="1" applyBorder="1"/>
    <xf numFmtId="165" fontId="45" fillId="0" borderId="21" xfId="1" applyNumberFormat="1" applyFont="1" applyBorder="1"/>
    <xf numFmtId="0" fontId="50" fillId="0" borderId="9" xfId="1" quotePrefix="1" applyFont="1" applyBorder="1"/>
    <xf numFmtId="0" fontId="45" fillId="0" borderId="9" xfId="1" applyFont="1" applyBorder="1"/>
    <xf numFmtId="0" fontId="44" fillId="0" borderId="10" xfId="1" applyFont="1" applyBorder="1" applyAlignment="1">
      <alignment horizontal="center" wrapText="1"/>
    </xf>
    <xf numFmtId="166" fontId="44" fillId="2" borderId="10" xfId="1" applyNumberFormat="1" applyFont="1" applyFill="1" applyBorder="1" applyAlignment="1">
      <alignment horizontal="right"/>
    </xf>
    <xf numFmtId="165" fontId="44" fillId="0" borderId="10" xfId="1" applyNumberFormat="1" applyFont="1" applyBorder="1" applyAlignment="1">
      <alignment horizontal="right"/>
    </xf>
    <xf numFmtId="0" fontId="50" fillId="0" borderId="9" xfId="1" applyFont="1" applyBorder="1"/>
    <xf numFmtId="0" fontId="50" fillId="0" borderId="10" xfId="1" applyFont="1" applyBorder="1" applyAlignment="1">
      <alignment horizontal="center"/>
    </xf>
    <xf numFmtId="166" fontId="50" fillId="0" borderId="10" xfId="1" applyNumberFormat="1" applyFont="1" applyBorder="1" applyAlignment="1">
      <alignment horizontal="right"/>
    </xf>
    <xf numFmtId="166" fontId="50" fillId="24" borderId="10" xfId="1" applyNumberFormat="1" applyFont="1" applyFill="1" applyBorder="1" applyAlignment="1">
      <alignment horizontal="right"/>
    </xf>
    <xf numFmtId="165" fontId="50" fillId="0" borderId="10" xfId="1" applyNumberFormat="1" applyFont="1" applyBorder="1" applyAlignment="1">
      <alignment horizontal="right"/>
    </xf>
    <xf numFmtId="0" fontId="50" fillId="0" borderId="10" xfId="1" applyFont="1" applyBorder="1" applyAlignment="1">
      <alignment horizontal="center" wrapText="1"/>
    </xf>
    <xf numFmtId="164" fontId="45" fillId="10" borderId="8" xfId="1" applyNumberFormat="1" applyFont="1" applyFill="1" applyBorder="1"/>
    <xf numFmtId="164" fontId="45" fillId="10" borderId="9" xfId="1" applyNumberFormat="1" applyFont="1" applyFill="1" applyBorder="1"/>
    <xf numFmtId="0" fontId="44" fillId="0" borderId="9" xfId="1" applyFont="1" applyBorder="1"/>
    <xf numFmtId="166" fontId="50" fillId="2" borderId="10" xfId="1" applyNumberFormat="1" applyFont="1" applyFill="1" applyBorder="1" applyAlignment="1">
      <alignment horizontal="right"/>
    </xf>
    <xf numFmtId="164" fontId="44" fillId="22" borderId="11" xfId="1" applyNumberFormat="1" applyFont="1" applyFill="1" applyBorder="1"/>
    <xf numFmtId="164" fontId="45" fillId="22" borderId="12" xfId="1" applyNumberFormat="1" applyFont="1" applyFill="1" applyBorder="1"/>
    <xf numFmtId="167" fontId="45" fillId="22" borderId="12" xfId="1" applyNumberFormat="1" applyFont="1" applyFill="1" applyBorder="1"/>
    <xf numFmtId="0" fontId="45" fillId="22" borderId="12" xfId="1" applyFont="1" applyFill="1" applyBorder="1"/>
    <xf numFmtId="166" fontId="45" fillId="22" borderId="12" xfId="1" applyNumberFormat="1" applyFont="1" applyFill="1" applyBorder="1"/>
    <xf numFmtId="165" fontId="45" fillId="22" borderId="12" xfId="1" applyNumberFormat="1" applyFont="1" applyFill="1" applyBorder="1"/>
    <xf numFmtId="164" fontId="44" fillId="12" borderId="9" xfId="1" applyNumberFormat="1" applyFont="1" applyFill="1" applyBorder="1"/>
    <xf numFmtId="167" fontId="45" fillId="12" borderId="9" xfId="1" applyNumberFormat="1" applyFont="1" applyFill="1" applyBorder="1"/>
    <xf numFmtId="164" fontId="44" fillId="12" borderId="10" xfId="1" applyNumberFormat="1" applyFont="1" applyFill="1" applyBorder="1" applyAlignment="1">
      <alignment horizontal="center"/>
    </xf>
    <xf numFmtId="164" fontId="45" fillId="2" borderId="9" xfId="1" applyNumberFormat="1" applyFont="1" applyFill="1" applyBorder="1"/>
    <xf numFmtId="164" fontId="44" fillId="2" borderId="9" xfId="1" applyNumberFormat="1" applyFont="1" applyFill="1" applyBorder="1"/>
    <xf numFmtId="167" fontId="45" fillId="2" borderId="9" xfId="1" applyNumberFormat="1" applyFont="1" applyFill="1" applyBorder="1"/>
    <xf numFmtId="164" fontId="51" fillId="2" borderId="9" xfId="1" applyNumberFormat="1" applyFont="1" applyFill="1" applyBorder="1"/>
    <xf numFmtId="164" fontId="50" fillId="2" borderId="10" xfId="1" applyNumberFormat="1" applyFont="1" applyFill="1" applyBorder="1" applyAlignment="1">
      <alignment horizontal="center" wrapText="1"/>
    </xf>
    <xf numFmtId="164" fontId="49" fillId="2" borderId="10" xfId="1" applyNumberFormat="1" applyFont="1" applyFill="1" applyBorder="1" applyAlignment="1">
      <alignment horizontal="center" wrapText="1"/>
    </xf>
    <xf numFmtId="164" fontId="52" fillId="2" borderId="9" xfId="1" applyNumberFormat="1" applyFont="1" applyFill="1" applyBorder="1" applyAlignment="1">
      <alignment horizontal="center"/>
    </xf>
    <xf numFmtId="164" fontId="45" fillId="0" borderId="10" xfId="1" applyNumberFormat="1" applyFont="1" applyBorder="1"/>
    <xf numFmtId="0" fontId="49" fillId="0" borderId="9" xfId="1" applyFont="1" applyBorder="1"/>
    <xf numFmtId="164" fontId="45" fillId="2" borderId="10" xfId="1" applyNumberFormat="1" applyFont="1" applyFill="1" applyBorder="1"/>
    <xf numFmtId="164" fontId="45" fillId="10" borderId="10" xfId="1" applyNumberFormat="1" applyFont="1" applyFill="1" applyBorder="1"/>
    <xf numFmtId="167" fontId="45" fillId="22" borderId="9" xfId="1" applyNumberFormat="1" applyFont="1" applyFill="1" applyBorder="1"/>
    <xf numFmtId="166" fontId="45" fillId="22" borderId="9" xfId="1" applyNumberFormat="1" applyFont="1" applyFill="1" applyBorder="1"/>
    <xf numFmtId="165" fontId="45" fillId="22" borderId="9" xfId="1" applyNumberFormat="1" applyFont="1" applyFill="1" applyBorder="1"/>
    <xf numFmtId="166" fontId="45" fillId="12" borderId="9" xfId="1" applyNumberFormat="1" applyFont="1" applyFill="1" applyBorder="1"/>
    <xf numFmtId="167" fontId="44" fillId="12" borderId="9" xfId="1" applyNumberFormat="1" applyFont="1" applyFill="1" applyBorder="1"/>
    <xf numFmtId="164" fontId="49" fillId="0" borderId="10" xfId="1" applyNumberFormat="1" applyFont="1" applyBorder="1" applyAlignment="1">
      <alignment horizontal="center"/>
    </xf>
    <xf numFmtId="166" fontId="49" fillId="2" borderId="10" xfId="1" applyNumberFormat="1" applyFont="1" applyFill="1" applyBorder="1" applyAlignment="1">
      <alignment horizontal="right"/>
    </xf>
    <xf numFmtId="166" fontId="49" fillId="24" borderId="10" xfId="1" applyNumberFormat="1" applyFont="1" applyFill="1" applyBorder="1" applyAlignment="1">
      <alignment horizontal="right"/>
    </xf>
    <xf numFmtId="167" fontId="45" fillId="2" borderId="7" xfId="1" applyNumberFormat="1" applyFont="1" applyFill="1" applyBorder="1"/>
    <xf numFmtId="0" fontId="49" fillId="2" borderId="1" xfId="1" applyFont="1" applyFill="1" applyBorder="1"/>
    <xf numFmtId="164" fontId="49" fillId="0" borderId="2" xfId="1" applyNumberFormat="1" applyFont="1" applyBorder="1" applyAlignment="1">
      <alignment horizontal="center"/>
    </xf>
    <xf numFmtId="166" fontId="49" fillId="2" borderId="2" xfId="1" applyNumberFormat="1" applyFont="1" applyFill="1" applyBorder="1" applyAlignment="1">
      <alignment horizontal="right"/>
    </xf>
    <xf numFmtId="166" fontId="49" fillId="24" borderId="2" xfId="1" applyNumberFormat="1" applyFont="1" applyFill="1" applyBorder="1" applyAlignment="1">
      <alignment horizontal="right"/>
    </xf>
    <xf numFmtId="165" fontId="49" fillId="2" borderId="2" xfId="1" applyNumberFormat="1" applyFont="1" applyFill="1" applyBorder="1" applyAlignment="1">
      <alignment horizontal="right"/>
    </xf>
    <xf numFmtId="164" fontId="44" fillId="9" borderId="7" xfId="1" applyNumberFormat="1" applyFont="1" applyFill="1" applyBorder="1"/>
    <xf numFmtId="164" fontId="45" fillId="9" borderId="1" xfId="1" applyNumberFormat="1" applyFont="1" applyFill="1" applyBorder="1"/>
    <xf numFmtId="0" fontId="45" fillId="9" borderId="1" xfId="1" applyFont="1" applyFill="1" applyBorder="1"/>
    <xf numFmtId="166" fontId="45" fillId="9" borderId="1" xfId="1" applyNumberFormat="1" applyFont="1" applyFill="1" applyBorder="1"/>
    <xf numFmtId="165" fontId="45" fillId="9" borderId="1" xfId="1" applyNumberFormat="1" applyFont="1" applyFill="1" applyBorder="1"/>
    <xf numFmtId="165" fontId="45" fillId="9" borderId="2" xfId="1" applyNumberFormat="1" applyFont="1" applyFill="1" applyBorder="1"/>
    <xf numFmtId="164" fontId="44" fillId="25" borderId="8" xfId="1" applyNumberFormat="1" applyFont="1" applyFill="1" applyBorder="1"/>
    <xf numFmtId="164" fontId="45" fillId="25" borderId="9" xfId="1" applyNumberFormat="1" applyFont="1" applyFill="1" applyBorder="1"/>
    <xf numFmtId="0" fontId="45" fillId="25" borderId="9" xfId="1" applyFont="1" applyFill="1" applyBorder="1"/>
    <xf numFmtId="0" fontId="45" fillId="25" borderId="10" xfId="1" applyFont="1" applyFill="1" applyBorder="1"/>
    <xf numFmtId="166" fontId="45" fillId="25" borderId="10" xfId="1" applyNumberFormat="1" applyFont="1" applyFill="1" applyBorder="1"/>
    <xf numFmtId="165" fontId="45" fillId="25" borderId="10" xfId="1" applyNumberFormat="1" applyFont="1" applyFill="1" applyBorder="1"/>
    <xf numFmtId="165" fontId="45" fillId="25" borderId="21" xfId="1" applyNumberFormat="1" applyFont="1" applyFill="1" applyBorder="1"/>
    <xf numFmtId="164" fontId="45" fillId="23" borderId="8" xfId="1" applyNumberFormat="1" applyFont="1" applyFill="1" applyBorder="1"/>
    <xf numFmtId="0" fontId="44" fillId="23" borderId="9" xfId="1" applyFont="1" applyFill="1" applyBorder="1"/>
    <xf numFmtId="164" fontId="45" fillId="23" borderId="9" xfId="1" applyNumberFormat="1" applyFont="1" applyFill="1" applyBorder="1"/>
    <xf numFmtId="0" fontId="44" fillId="23" borderId="10" xfId="1" applyFont="1" applyFill="1" applyBorder="1" applyAlignment="1">
      <alignment horizontal="center" wrapText="1"/>
    </xf>
    <xf numFmtId="166" fontId="44" fillId="23" borderId="10" xfId="1" applyNumberFormat="1" applyFont="1" applyFill="1" applyBorder="1" applyAlignment="1">
      <alignment horizontal="right"/>
    </xf>
    <xf numFmtId="165" fontId="44" fillId="23" borderId="10" xfId="1" applyNumberFormat="1" applyFont="1" applyFill="1" applyBorder="1" applyAlignment="1">
      <alignment horizontal="right"/>
    </xf>
    <xf numFmtId="165" fontId="45" fillId="23" borderId="21" xfId="1" applyNumberFormat="1" applyFont="1" applyFill="1" applyBorder="1"/>
    <xf numFmtId="165" fontId="45" fillId="23" borderId="10" xfId="1" applyNumberFormat="1" applyFont="1" applyFill="1" applyBorder="1"/>
    <xf numFmtId="164" fontId="45" fillId="2" borderId="8" xfId="1" applyNumberFormat="1" applyFont="1" applyFill="1" applyBorder="1"/>
    <xf numFmtId="164" fontId="50" fillId="2" borderId="9" xfId="1" applyNumberFormat="1" applyFont="1" applyFill="1" applyBorder="1"/>
    <xf numFmtId="0" fontId="50" fillId="2" borderId="10" xfId="1" applyFont="1" applyFill="1" applyBorder="1" applyAlignment="1">
      <alignment horizontal="center" wrapText="1"/>
    </xf>
    <xf numFmtId="164" fontId="49" fillId="2" borderId="9" xfId="1" applyNumberFormat="1" applyFont="1" applyFill="1" applyBorder="1"/>
    <xf numFmtId="0" fontId="49" fillId="2" borderId="10" xfId="1" applyFont="1" applyFill="1" applyBorder="1" applyAlignment="1">
      <alignment horizontal="center" wrapText="1"/>
    </xf>
    <xf numFmtId="164" fontId="45" fillId="26" borderId="8" xfId="1" applyNumberFormat="1" applyFont="1" applyFill="1" applyBorder="1"/>
    <xf numFmtId="164" fontId="45" fillId="26" borderId="9" xfId="1" applyNumberFormat="1" applyFont="1" applyFill="1" applyBorder="1"/>
    <xf numFmtId="0" fontId="44" fillId="26" borderId="9" xfId="1" applyFont="1" applyFill="1" applyBorder="1"/>
    <xf numFmtId="0" fontId="45" fillId="26" borderId="9" xfId="1" applyFont="1" applyFill="1" applyBorder="1"/>
    <xf numFmtId="0" fontId="45" fillId="26" borderId="10" xfId="1" applyFont="1" applyFill="1" applyBorder="1"/>
    <xf numFmtId="0" fontId="44" fillId="26" borderId="10" xfId="1" applyFont="1" applyFill="1" applyBorder="1" applyAlignment="1">
      <alignment horizontal="center" wrapText="1"/>
    </xf>
    <xf numFmtId="166" fontId="44" fillId="26" borderId="10" xfId="1" applyNumberFormat="1" applyFont="1" applyFill="1" applyBorder="1" applyAlignment="1">
      <alignment horizontal="right"/>
    </xf>
    <xf numFmtId="165" fontId="44" fillId="26" borderId="10" xfId="1" applyNumberFormat="1" applyFont="1" applyFill="1" applyBorder="1" applyAlignment="1">
      <alignment horizontal="right"/>
    </xf>
    <xf numFmtId="165" fontId="45" fillId="26" borderId="21" xfId="1" applyNumberFormat="1" applyFont="1" applyFill="1" applyBorder="1"/>
    <xf numFmtId="165" fontId="45" fillId="26" borderId="10" xfId="1" applyNumberFormat="1" applyFont="1" applyFill="1" applyBorder="1"/>
    <xf numFmtId="0" fontId="48" fillId="2" borderId="9" xfId="1" quotePrefix="1" applyFont="1" applyFill="1" applyBorder="1"/>
    <xf numFmtId="164" fontId="44" fillId="0" borderId="10" xfId="1" applyNumberFormat="1" applyFont="1" applyBorder="1" applyAlignment="1">
      <alignment horizontal="center" wrapText="1"/>
    </xf>
    <xf numFmtId="165" fontId="44" fillId="24" borderId="10" xfId="1" applyNumberFormat="1" applyFont="1" applyFill="1" applyBorder="1" applyAlignment="1">
      <alignment horizontal="right"/>
    </xf>
    <xf numFmtId="0" fontId="44" fillId="26" borderId="10" xfId="1" applyFont="1" applyFill="1" applyBorder="1" applyAlignment="1">
      <alignment horizontal="center"/>
    </xf>
    <xf numFmtId="165" fontId="44" fillId="2" borderId="22" xfId="1" applyNumberFormat="1" applyFont="1" applyFill="1" applyBorder="1" applyAlignment="1">
      <alignment horizontal="right"/>
    </xf>
    <xf numFmtId="165" fontId="45" fillId="2" borderId="13" xfId="1" applyNumberFormat="1" applyFont="1" applyFill="1" applyBorder="1"/>
    <xf numFmtId="165" fontId="44" fillId="2" borderId="13" xfId="1" applyNumberFormat="1" applyFont="1" applyFill="1" applyBorder="1" applyAlignment="1">
      <alignment horizontal="right"/>
    </xf>
    <xf numFmtId="165" fontId="50" fillId="24" borderId="10" xfId="1" applyNumberFormat="1" applyFont="1" applyFill="1" applyBorder="1" applyAlignment="1">
      <alignment horizontal="right"/>
    </xf>
    <xf numFmtId="0" fontId="50" fillId="0" borderId="10" xfId="1" applyFont="1" applyBorder="1"/>
    <xf numFmtId="0" fontId="50" fillId="2" borderId="12" xfId="1" applyFont="1" applyFill="1" applyBorder="1"/>
    <xf numFmtId="165" fontId="52" fillId="2" borderId="21" xfId="1" applyNumberFormat="1" applyFont="1" applyFill="1" applyBorder="1" applyAlignment="1">
      <alignment horizontal="right"/>
    </xf>
    <xf numFmtId="165" fontId="52" fillId="2" borderId="10" xfId="1" applyNumberFormat="1" applyFont="1" applyFill="1" applyBorder="1" applyAlignment="1">
      <alignment horizontal="right"/>
    </xf>
    <xf numFmtId="165" fontId="53" fillId="2" borderId="10" xfId="1" applyNumberFormat="1" applyFont="1" applyFill="1" applyBorder="1"/>
    <xf numFmtId="164" fontId="50" fillId="0" borderId="9" xfId="1" quotePrefix="1" applyNumberFormat="1" applyFont="1" applyBorder="1"/>
    <xf numFmtId="0" fontId="52" fillId="26" borderId="9" xfId="1" applyFont="1" applyFill="1" applyBorder="1"/>
    <xf numFmtId="0" fontId="52" fillId="26" borderId="10" xfId="1" applyFont="1" applyFill="1" applyBorder="1" applyAlignment="1">
      <alignment horizontal="center" wrapText="1"/>
    </xf>
    <xf numFmtId="166" fontId="52" fillId="26" borderId="10" xfId="1" applyNumberFormat="1" applyFont="1" applyFill="1" applyBorder="1" applyAlignment="1">
      <alignment horizontal="right"/>
    </xf>
    <xf numFmtId="165" fontId="52" fillId="26" borderId="10" xfId="1" applyNumberFormat="1" applyFont="1" applyFill="1" applyBorder="1" applyAlignment="1">
      <alignment horizontal="right"/>
    </xf>
    <xf numFmtId="0" fontId="52" fillId="2" borderId="9" xfId="1" applyFont="1" applyFill="1" applyBorder="1"/>
    <xf numFmtId="0" fontId="54" fillId="2" borderId="9" xfId="1" applyFont="1" applyFill="1" applyBorder="1"/>
    <xf numFmtId="164" fontId="52" fillId="0" borderId="10" xfId="1" applyNumberFormat="1" applyFont="1" applyBorder="1" applyAlignment="1">
      <alignment horizontal="center" wrapText="1"/>
    </xf>
    <xf numFmtId="164" fontId="52" fillId="2" borderId="9" xfId="1" applyNumberFormat="1" applyFont="1" applyFill="1" applyBorder="1"/>
    <xf numFmtId="0" fontId="54" fillId="23" borderId="9" xfId="1" quotePrefix="1" applyFont="1" applyFill="1" applyBorder="1"/>
    <xf numFmtId="0" fontId="49" fillId="0" borderId="10" xfId="1" applyFont="1" applyBorder="1" applyAlignment="1">
      <alignment horizontal="center"/>
    </xf>
    <xf numFmtId="164" fontId="49" fillId="0" borderId="9" xfId="1" quotePrefix="1" applyNumberFormat="1" applyFont="1" applyBorder="1"/>
    <xf numFmtId="0" fontId="49" fillId="0" borderId="9" xfId="1" quotePrefix="1" applyFont="1" applyBorder="1"/>
    <xf numFmtId="0" fontId="54" fillId="2" borderId="9" xfId="1" quotePrefix="1" applyFont="1" applyFill="1" applyBorder="1"/>
    <xf numFmtId="164" fontId="55" fillId="25" borderId="8" xfId="1" applyNumberFormat="1" applyFont="1" applyFill="1" applyBorder="1"/>
    <xf numFmtId="164" fontId="56" fillId="25" borderId="9" xfId="1" applyNumberFormat="1" applyFont="1" applyFill="1" applyBorder="1"/>
    <xf numFmtId="0" fontId="56" fillId="25" borderId="9" xfId="1" applyFont="1" applyFill="1" applyBorder="1"/>
    <xf numFmtId="0" fontId="56" fillId="25" borderId="10" xfId="1" applyFont="1" applyFill="1" applyBorder="1"/>
    <xf numFmtId="166" fontId="56" fillId="25" borderId="10" xfId="1" applyNumberFormat="1" applyFont="1" applyFill="1" applyBorder="1"/>
    <xf numFmtId="165" fontId="56" fillId="25" borderId="10" xfId="1" applyNumberFormat="1" applyFont="1" applyFill="1" applyBorder="1"/>
    <xf numFmtId="165" fontId="56" fillId="25" borderId="21" xfId="1" applyNumberFormat="1" applyFont="1" applyFill="1" applyBorder="1"/>
    <xf numFmtId="164" fontId="56" fillId="23" borderId="8" xfId="1" applyNumberFormat="1" applyFont="1" applyFill="1" applyBorder="1"/>
    <xf numFmtId="0" fontId="55" fillId="23" borderId="9" xfId="1" applyFont="1" applyFill="1" applyBorder="1"/>
    <xf numFmtId="164" fontId="56" fillId="23" borderId="9" xfId="1" applyNumberFormat="1" applyFont="1" applyFill="1" applyBorder="1"/>
    <xf numFmtId="0" fontId="56" fillId="23" borderId="9" xfId="1" applyFont="1" applyFill="1" applyBorder="1"/>
    <xf numFmtId="0" fontId="56" fillId="23" borderId="10" xfId="1" applyFont="1" applyFill="1" applyBorder="1"/>
    <xf numFmtId="0" fontId="55" fillId="23" borderId="10" xfId="1" applyFont="1" applyFill="1" applyBorder="1" applyAlignment="1">
      <alignment horizontal="center" wrapText="1"/>
    </xf>
    <xf numFmtId="166" fontId="55" fillId="23" borderId="10" xfId="1" applyNumberFormat="1" applyFont="1" applyFill="1" applyBorder="1"/>
    <xf numFmtId="165" fontId="55" fillId="23" borderId="10" xfId="1" applyNumberFormat="1" applyFont="1" applyFill="1" applyBorder="1" applyAlignment="1">
      <alignment horizontal="right"/>
    </xf>
    <xf numFmtId="165" fontId="56" fillId="23" borderId="21" xfId="1" applyNumberFormat="1" applyFont="1" applyFill="1" applyBorder="1"/>
    <xf numFmtId="165" fontId="56" fillId="23" borderId="10" xfId="1" applyNumberFormat="1" applyFont="1" applyFill="1" applyBorder="1"/>
    <xf numFmtId="167" fontId="56" fillId="2" borderId="8" xfId="1" applyNumberFormat="1" applyFont="1" applyFill="1" applyBorder="1"/>
    <xf numFmtId="0" fontId="56" fillId="2" borderId="9" xfId="1" applyFont="1" applyFill="1" applyBorder="1"/>
    <xf numFmtId="0" fontId="55" fillId="2" borderId="9" xfId="1" applyFont="1" applyFill="1" applyBorder="1"/>
    <xf numFmtId="0" fontId="57" fillId="2" borderId="9" xfId="1" applyFont="1" applyFill="1" applyBorder="1"/>
    <xf numFmtId="0" fontId="56" fillId="2" borderId="10" xfId="1" applyFont="1" applyFill="1" applyBorder="1"/>
    <xf numFmtId="164" fontId="55" fillId="2" borderId="10" xfId="1" applyNumberFormat="1" applyFont="1" applyFill="1" applyBorder="1" applyAlignment="1">
      <alignment horizontal="center"/>
    </xf>
    <xf numFmtId="166" fontId="56" fillId="2" borderId="10" xfId="1" applyNumberFormat="1" applyFont="1" applyFill="1" applyBorder="1"/>
    <xf numFmtId="165" fontId="56" fillId="2" borderId="10" xfId="1" applyNumberFormat="1" applyFont="1" applyFill="1" applyBorder="1"/>
    <xf numFmtId="165" fontId="55" fillId="2" borderId="21" xfId="1" applyNumberFormat="1" applyFont="1" applyFill="1" applyBorder="1" applyAlignment="1">
      <alignment horizontal="right"/>
    </xf>
    <xf numFmtId="165" fontId="55" fillId="2" borderId="10" xfId="1" applyNumberFormat="1" applyFont="1" applyFill="1" applyBorder="1" applyAlignment="1">
      <alignment horizontal="right"/>
    </xf>
    <xf numFmtId="167" fontId="58" fillId="2" borderId="8" xfId="1" applyNumberFormat="1" applyFont="1" applyFill="1" applyBorder="1"/>
    <xf numFmtId="0" fontId="58" fillId="2" borderId="9" xfId="1" applyFont="1" applyFill="1" applyBorder="1"/>
    <xf numFmtId="0" fontId="58" fillId="2" borderId="10" xfId="1" applyFont="1" applyFill="1" applyBorder="1"/>
    <xf numFmtId="166" fontId="58" fillId="2" borderId="10" xfId="1" applyNumberFormat="1" applyFont="1" applyFill="1" applyBorder="1"/>
    <xf numFmtId="165" fontId="58" fillId="2" borderId="10" xfId="1" applyNumberFormat="1" applyFont="1" applyFill="1" applyBorder="1"/>
    <xf numFmtId="0" fontId="59" fillId="2" borderId="9" xfId="1" applyFont="1" applyFill="1" applyBorder="1"/>
    <xf numFmtId="164" fontId="59" fillId="2" borderId="10" xfId="1" applyNumberFormat="1" applyFont="1" applyFill="1" applyBorder="1" applyAlignment="1">
      <alignment horizontal="center"/>
    </xf>
    <xf numFmtId="165" fontId="59" fillId="2" borderId="21" xfId="1" applyNumberFormat="1" applyFont="1" applyFill="1" applyBorder="1" applyAlignment="1">
      <alignment horizontal="right"/>
    </xf>
    <xf numFmtId="165" fontId="59" fillId="2" borderId="10" xfId="1" applyNumberFormat="1" applyFont="1" applyFill="1" applyBorder="1" applyAlignment="1">
      <alignment horizontal="right"/>
    </xf>
    <xf numFmtId="0" fontId="60" fillId="2" borderId="9" xfId="1" applyFont="1" applyFill="1" applyBorder="1"/>
    <xf numFmtId="164" fontId="59" fillId="0" borderId="10" xfId="1" applyNumberFormat="1" applyFont="1" applyBorder="1" applyAlignment="1">
      <alignment horizontal="center" wrapText="1"/>
    </xf>
    <xf numFmtId="166" fontId="56" fillId="0" borderId="10" xfId="1" applyNumberFormat="1" applyFont="1" applyBorder="1"/>
    <xf numFmtId="165" fontId="56" fillId="0" borderId="10" xfId="1" applyNumberFormat="1" applyFont="1" applyBorder="1"/>
    <xf numFmtId="166" fontId="58" fillId="0" borderId="10" xfId="1" applyNumberFormat="1" applyFont="1" applyBorder="1"/>
    <xf numFmtId="165" fontId="58" fillId="0" borderId="10" xfId="1" applyNumberFormat="1" applyFont="1" applyBorder="1"/>
    <xf numFmtId="164" fontId="59" fillId="0" borderId="10" xfId="1" applyNumberFormat="1" applyFont="1" applyBorder="1" applyAlignment="1">
      <alignment horizontal="center"/>
    </xf>
    <xf numFmtId="164" fontId="56" fillId="0" borderId="8" xfId="1" applyNumberFormat="1" applyFont="1" applyBorder="1"/>
    <xf numFmtId="164" fontId="56" fillId="0" borderId="9" xfId="1" applyNumberFormat="1" applyFont="1" applyBorder="1"/>
    <xf numFmtId="0" fontId="57" fillId="23" borderId="9" xfId="1" quotePrefix="1" applyFont="1" applyFill="1" applyBorder="1"/>
    <xf numFmtId="0" fontId="56" fillId="0" borderId="10" xfId="1" applyFont="1" applyBorder="1"/>
    <xf numFmtId="165" fontId="56" fillId="0" borderId="21" xfId="1" applyNumberFormat="1" applyFont="1" applyBorder="1"/>
    <xf numFmtId="46" fontId="45" fillId="2" borderId="11" xfId="1" applyNumberFormat="1" applyFont="1" applyFill="1" applyBorder="1"/>
    <xf numFmtId="164" fontId="45" fillId="2" borderId="12" xfId="1" applyNumberFormat="1" applyFont="1" applyFill="1" applyBorder="1"/>
    <xf numFmtId="0" fontId="50" fillId="2" borderId="12" xfId="1" quotePrefix="1" applyFont="1" applyFill="1" applyBorder="1"/>
    <xf numFmtId="0" fontId="45" fillId="2" borderId="12" xfId="1" applyFont="1" applyFill="1" applyBorder="1"/>
    <xf numFmtId="0" fontId="45" fillId="2" borderId="13" xfId="1" applyFont="1" applyFill="1" applyBorder="1"/>
    <xf numFmtId="164" fontId="50" fillId="2" borderId="13" xfId="1" applyNumberFormat="1" applyFont="1" applyFill="1" applyBorder="1" applyAlignment="1">
      <alignment horizontal="center"/>
    </xf>
    <xf numFmtId="166" fontId="50" fillId="2" borderId="13" xfId="1" applyNumberFormat="1" applyFont="1" applyFill="1" applyBorder="1" applyAlignment="1">
      <alignment horizontal="right"/>
    </xf>
    <xf numFmtId="166" fontId="50" fillId="24" borderId="13" xfId="1" applyNumberFormat="1" applyFont="1" applyFill="1" applyBorder="1" applyAlignment="1">
      <alignment horizontal="right"/>
    </xf>
    <xf numFmtId="165" fontId="50" fillId="2" borderId="13" xfId="1" applyNumberFormat="1" applyFont="1" applyFill="1" applyBorder="1" applyAlignment="1">
      <alignment horizontal="right"/>
    </xf>
    <xf numFmtId="164" fontId="45" fillId="0" borderId="7" xfId="1" applyNumberFormat="1" applyFont="1" applyBorder="1"/>
    <xf numFmtId="164" fontId="45" fillId="0" borderId="1" xfId="1" applyNumberFormat="1" applyFont="1" applyBorder="1"/>
    <xf numFmtId="0" fontId="49" fillId="0" borderId="1" xfId="1" quotePrefix="1" applyFont="1" applyBorder="1"/>
    <xf numFmtId="0" fontId="45" fillId="0" borderId="2" xfId="1" applyFont="1" applyBorder="1"/>
    <xf numFmtId="0" fontId="49" fillId="2" borderId="2" xfId="1" applyFont="1" applyFill="1" applyBorder="1" applyAlignment="1">
      <alignment horizontal="center"/>
    </xf>
    <xf numFmtId="165" fontId="49" fillId="0" borderId="2" xfId="1" applyNumberFormat="1" applyFont="1" applyBorder="1" applyAlignment="1">
      <alignment horizontal="right"/>
    </xf>
    <xf numFmtId="165" fontId="45" fillId="0" borderId="20" xfId="1" applyNumberFormat="1" applyFont="1" applyBorder="1"/>
    <xf numFmtId="165" fontId="45" fillId="0" borderId="2" xfId="1" applyNumberFormat="1" applyFont="1" applyBorder="1"/>
    <xf numFmtId="164" fontId="46" fillId="28" borderId="7" xfId="1" applyNumberFormat="1" applyFont="1" applyFill="1" applyBorder="1"/>
    <xf numFmtId="164" fontId="45" fillId="28" borderId="1" xfId="1" applyNumberFormat="1" applyFont="1" applyFill="1" applyBorder="1"/>
    <xf numFmtId="0" fontId="45" fillId="28" borderId="1" xfId="1" applyFont="1" applyFill="1" applyBorder="1"/>
    <xf numFmtId="166" fontId="45" fillId="28" borderId="1" xfId="1" applyNumberFormat="1" applyFont="1" applyFill="1" applyBorder="1"/>
    <xf numFmtId="165" fontId="45" fillId="28" borderId="1" xfId="1" applyNumberFormat="1" applyFont="1" applyFill="1" applyBorder="1"/>
    <xf numFmtId="165" fontId="45" fillId="28" borderId="2" xfId="1" applyNumberFormat="1" applyFont="1" applyFill="1" applyBorder="1"/>
    <xf numFmtId="164" fontId="44" fillId="29" borderId="8" xfId="1" applyNumberFormat="1" applyFont="1" applyFill="1" applyBorder="1"/>
    <xf numFmtId="0" fontId="45" fillId="29" borderId="9" xfId="1" applyFont="1" applyFill="1" applyBorder="1"/>
    <xf numFmtId="164" fontId="45" fillId="29" borderId="9" xfId="1" applyNumberFormat="1" applyFont="1" applyFill="1" applyBorder="1"/>
    <xf numFmtId="166" fontId="45" fillId="29" borderId="9" xfId="1" applyNumberFormat="1" applyFont="1" applyFill="1" applyBorder="1"/>
    <xf numFmtId="166" fontId="45" fillId="29" borderId="10" xfId="1" applyNumberFormat="1" applyFont="1" applyFill="1" applyBorder="1"/>
    <xf numFmtId="165" fontId="45" fillId="29" borderId="10" xfId="1" applyNumberFormat="1" applyFont="1" applyFill="1" applyBorder="1"/>
    <xf numFmtId="165" fontId="45" fillId="29" borderId="21" xfId="1" applyNumberFormat="1" applyFont="1" applyFill="1" applyBorder="1"/>
    <xf numFmtId="167" fontId="45" fillId="30" borderId="8" xfId="1" applyNumberFormat="1" applyFont="1" applyFill="1" applyBorder="1"/>
    <xf numFmtId="0" fontId="44" fillId="30" borderId="9" xfId="1" applyFont="1" applyFill="1" applyBorder="1"/>
    <xf numFmtId="0" fontId="45" fillId="30" borderId="9" xfId="1" applyFont="1" applyFill="1" applyBorder="1"/>
    <xf numFmtId="164" fontId="45" fillId="30" borderId="9" xfId="1" applyNumberFormat="1" applyFont="1" applyFill="1" applyBorder="1"/>
    <xf numFmtId="0" fontId="45" fillId="30" borderId="10" xfId="1" applyFont="1" applyFill="1" applyBorder="1"/>
    <xf numFmtId="0" fontId="44" fillId="30" borderId="10" xfId="1" applyFont="1" applyFill="1" applyBorder="1" applyAlignment="1">
      <alignment horizontal="center" wrapText="1"/>
    </xf>
    <xf numFmtId="166" fontId="44" fillId="30" borderId="10" xfId="1" applyNumberFormat="1" applyFont="1" applyFill="1" applyBorder="1" applyAlignment="1">
      <alignment horizontal="right"/>
    </xf>
    <xf numFmtId="165" fontId="44" fillId="30" borderId="10" xfId="1" applyNumberFormat="1" applyFont="1" applyFill="1" applyBorder="1" applyAlignment="1">
      <alignment horizontal="right"/>
    </xf>
    <xf numFmtId="165" fontId="45" fillId="30" borderId="21" xfId="1" applyNumberFormat="1" applyFont="1" applyFill="1" applyBorder="1"/>
    <xf numFmtId="165" fontId="45" fillId="30" borderId="10" xfId="1" applyNumberFormat="1" applyFont="1" applyFill="1" applyBorder="1"/>
    <xf numFmtId="164" fontId="45" fillId="10" borderId="7" xfId="1" applyNumberFormat="1" applyFont="1" applyFill="1" applyBorder="1"/>
    <xf numFmtId="164" fontId="45" fillId="10" borderId="1" xfId="1" applyNumberFormat="1" applyFont="1" applyFill="1" applyBorder="1"/>
    <xf numFmtId="164" fontId="44" fillId="31" borderId="7" xfId="1" applyNumberFormat="1" applyFont="1" applyFill="1" applyBorder="1"/>
    <xf numFmtId="164" fontId="45" fillId="31" borderId="1" xfId="1" applyNumberFormat="1" applyFont="1" applyFill="1" applyBorder="1"/>
    <xf numFmtId="0" fontId="45" fillId="31" borderId="1" xfId="1" applyFont="1" applyFill="1" applyBorder="1"/>
    <xf numFmtId="166" fontId="45" fillId="31" borderId="1" xfId="1" applyNumberFormat="1" applyFont="1" applyFill="1" applyBorder="1"/>
    <xf numFmtId="165" fontId="45" fillId="31" borderId="1" xfId="1" applyNumberFormat="1" applyFont="1" applyFill="1" applyBorder="1"/>
    <xf numFmtId="165" fontId="45" fillId="31" borderId="2" xfId="1" applyNumberFormat="1" applyFont="1" applyFill="1" applyBorder="1"/>
    <xf numFmtId="164" fontId="44" fillId="32" borderId="8" xfId="1" applyNumberFormat="1" applyFont="1" applyFill="1" applyBorder="1"/>
    <xf numFmtId="164" fontId="45" fillId="32" borderId="9" xfId="1" applyNumberFormat="1" applyFont="1" applyFill="1" applyBorder="1"/>
    <xf numFmtId="0" fontId="45" fillId="32" borderId="9" xfId="1" applyFont="1" applyFill="1" applyBorder="1"/>
    <xf numFmtId="0" fontId="45" fillId="32" borderId="10" xfId="1" applyFont="1" applyFill="1" applyBorder="1"/>
    <xf numFmtId="166" fontId="45" fillId="32" borderId="10" xfId="1" applyNumberFormat="1" applyFont="1" applyFill="1" applyBorder="1"/>
    <xf numFmtId="165" fontId="45" fillId="32" borderId="10" xfId="1" applyNumberFormat="1" applyFont="1" applyFill="1" applyBorder="1"/>
    <xf numFmtId="165" fontId="45" fillId="32" borderId="21" xfId="1" applyNumberFormat="1" applyFont="1" applyFill="1" applyBorder="1"/>
    <xf numFmtId="164" fontId="45" fillId="33" borderId="8" xfId="1" applyNumberFormat="1" applyFont="1" applyFill="1" applyBorder="1"/>
    <xf numFmtId="0" fontId="44" fillId="33" borderId="9" xfId="1" applyFont="1" applyFill="1" applyBorder="1"/>
    <xf numFmtId="0" fontId="45" fillId="33" borderId="9" xfId="1" applyFont="1" applyFill="1" applyBorder="1"/>
    <xf numFmtId="0" fontId="45" fillId="33" borderId="10" xfId="1" applyFont="1" applyFill="1" applyBorder="1"/>
    <xf numFmtId="0" fontId="44" fillId="33" borderId="10" xfId="1" applyFont="1" applyFill="1" applyBorder="1" applyAlignment="1">
      <alignment horizontal="center" wrapText="1"/>
    </xf>
    <xf numFmtId="166" fontId="44" fillId="33" borderId="10" xfId="1" applyNumberFormat="1" applyFont="1" applyFill="1" applyBorder="1" applyAlignment="1">
      <alignment horizontal="right"/>
    </xf>
    <xf numFmtId="165" fontId="44" fillId="33" borderId="10" xfId="1" applyNumberFormat="1" applyFont="1" applyFill="1" applyBorder="1" applyAlignment="1">
      <alignment horizontal="right"/>
    </xf>
    <xf numFmtId="165" fontId="45" fillId="33" borderId="21" xfId="1" applyNumberFormat="1" applyFont="1" applyFill="1" applyBorder="1"/>
    <xf numFmtId="165" fontId="45" fillId="33" borderId="10" xfId="1" applyNumberFormat="1" applyFont="1" applyFill="1" applyBorder="1"/>
    <xf numFmtId="0" fontId="50" fillId="10" borderId="9" xfId="1" applyFont="1" applyFill="1" applyBorder="1"/>
    <xf numFmtId="166" fontId="50" fillId="10" borderId="10" xfId="1" applyNumberFormat="1" applyFont="1" applyFill="1" applyBorder="1" applyAlignment="1">
      <alignment horizontal="right"/>
    </xf>
    <xf numFmtId="0" fontId="50" fillId="10" borderId="10" xfId="1" applyFont="1" applyFill="1" applyBorder="1" applyAlignment="1">
      <alignment horizontal="center"/>
    </xf>
    <xf numFmtId="165" fontId="50" fillId="10" borderId="10" xfId="1" applyNumberFormat="1" applyFont="1" applyFill="1" applyBorder="1" applyAlignment="1">
      <alignment horizontal="right"/>
    </xf>
    <xf numFmtId="0" fontId="49" fillId="10" borderId="9" xfId="1" applyFont="1" applyFill="1" applyBorder="1"/>
    <xf numFmtId="0" fontId="49" fillId="10" borderId="10" xfId="1" applyFont="1" applyFill="1" applyBorder="1" applyAlignment="1">
      <alignment horizontal="center"/>
    </xf>
    <xf numFmtId="166" fontId="49" fillId="10" borderId="10" xfId="1" applyNumberFormat="1" applyFont="1" applyFill="1" applyBorder="1" applyAlignment="1">
      <alignment horizontal="right"/>
    </xf>
    <xf numFmtId="165" fontId="49" fillId="10" borderId="10" xfId="1" applyNumberFormat="1" applyFont="1" applyFill="1" applyBorder="1" applyAlignment="1">
      <alignment horizontal="right"/>
    </xf>
    <xf numFmtId="167" fontId="45" fillId="33" borderId="8" xfId="1" applyNumberFormat="1" applyFont="1" applyFill="1" applyBorder="1"/>
    <xf numFmtId="167" fontId="45" fillId="33" borderId="9" xfId="1" applyNumberFormat="1" applyFont="1" applyFill="1" applyBorder="1"/>
    <xf numFmtId="164" fontId="45" fillId="33" borderId="9" xfId="1" applyNumberFormat="1" applyFont="1" applyFill="1" applyBorder="1"/>
    <xf numFmtId="166" fontId="44" fillId="33" borderId="22" xfId="1" applyNumberFormat="1" applyFont="1" applyFill="1" applyBorder="1" applyAlignment="1">
      <alignment horizontal="right"/>
    </xf>
    <xf numFmtId="166" fontId="44" fillId="33" borderId="13" xfId="1" applyNumberFormat="1" applyFont="1" applyFill="1" applyBorder="1" applyAlignment="1">
      <alignment horizontal="right"/>
    </xf>
    <xf numFmtId="165" fontId="44" fillId="33" borderId="13" xfId="1" applyNumberFormat="1" applyFont="1" applyFill="1" applyBorder="1" applyAlignment="1">
      <alignment horizontal="right"/>
    </xf>
    <xf numFmtId="164" fontId="45" fillId="26" borderId="11" xfId="1" applyNumberFormat="1" applyFont="1" applyFill="1" applyBorder="1"/>
    <xf numFmtId="0" fontId="45" fillId="26" borderId="12" xfId="1" applyFont="1" applyFill="1" applyBorder="1"/>
    <xf numFmtId="164" fontId="45" fillId="26" borderId="12" xfId="1" applyNumberFormat="1" applyFont="1" applyFill="1" applyBorder="1"/>
    <xf numFmtId="164" fontId="48" fillId="26" borderId="12" xfId="1" applyNumberFormat="1" applyFont="1" applyFill="1" applyBorder="1"/>
    <xf numFmtId="0" fontId="45" fillId="26" borderId="13" xfId="1" applyFont="1" applyFill="1" applyBorder="1"/>
    <xf numFmtId="0" fontId="44" fillId="26" borderId="13" xfId="1" applyFont="1" applyFill="1" applyBorder="1" applyAlignment="1">
      <alignment horizontal="center" wrapText="1"/>
    </xf>
    <xf numFmtId="166" fontId="44" fillId="26" borderId="13" xfId="1" applyNumberFormat="1" applyFont="1" applyFill="1" applyBorder="1" applyAlignment="1">
      <alignment horizontal="right"/>
    </xf>
    <xf numFmtId="165" fontId="44" fillId="26" borderId="13" xfId="1" applyNumberFormat="1" applyFont="1" applyFill="1" applyBorder="1" applyAlignment="1">
      <alignment horizontal="right"/>
    </xf>
    <xf numFmtId="164" fontId="61" fillId="2" borderId="9" xfId="1" applyNumberFormat="1" applyFont="1" applyFill="1" applyBorder="1"/>
    <xf numFmtId="0" fontId="48" fillId="26" borderId="9" xfId="1" applyFont="1" applyFill="1" applyBorder="1"/>
    <xf numFmtId="166" fontId="45" fillId="33" borderId="10" xfId="1" applyNumberFormat="1" applyFont="1" applyFill="1" applyBorder="1"/>
    <xf numFmtId="170" fontId="50" fillId="2" borderId="10" xfId="1" applyNumberFormat="1" applyFont="1" applyFill="1" applyBorder="1" applyAlignment="1">
      <alignment horizontal="right"/>
    </xf>
    <xf numFmtId="0" fontId="59" fillId="0" borderId="9" xfId="1" quotePrefix="1" applyFont="1" applyBorder="1"/>
    <xf numFmtId="164" fontId="61" fillId="2" borderId="1" xfId="1" applyNumberFormat="1" applyFont="1" applyFill="1" applyBorder="1"/>
    <xf numFmtId="167" fontId="45" fillId="33" borderId="17" xfId="1" applyNumberFormat="1" applyFont="1" applyFill="1" applyBorder="1"/>
    <xf numFmtId="164" fontId="44" fillId="33" borderId="18" xfId="1" applyNumberFormat="1" applyFont="1" applyFill="1" applyBorder="1"/>
    <xf numFmtId="167" fontId="45" fillId="33" borderId="18" xfId="1" applyNumberFormat="1" applyFont="1" applyFill="1" applyBorder="1"/>
    <xf numFmtId="164" fontId="45" fillId="33" borderId="18" xfId="1" applyNumberFormat="1" applyFont="1" applyFill="1" applyBorder="1"/>
    <xf numFmtId="0" fontId="45" fillId="33" borderId="18" xfId="1" applyFont="1" applyFill="1" applyBorder="1"/>
    <xf numFmtId="0" fontId="45" fillId="33" borderId="19" xfId="1" applyFont="1" applyFill="1" applyBorder="1"/>
    <xf numFmtId="164" fontId="44" fillId="33" borderId="19" xfId="1" applyNumberFormat="1" applyFont="1" applyFill="1" applyBorder="1" applyAlignment="1">
      <alignment horizontal="center" wrapText="1"/>
    </xf>
    <xf numFmtId="166" fontId="44" fillId="33" borderId="19" xfId="1" applyNumberFormat="1" applyFont="1" applyFill="1" applyBorder="1" applyAlignment="1">
      <alignment horizontal="right"/>
    </xf>
    <xf numFmtId="165" fontId="44" fillId="33" borderId="19" xfId="1" applyNumberFormat="1" applyFont="1" applyFill="1" applyBorder="1" applyAlignment="1">
      <alignment horizontal="right"/>
    </xf>
    <xf numFmtId="164" fontId="48" fillId="2" borderId="9" xfId="1" applyNumberFormat="1" applyFont="1" applyFill="1" applyBorder="1"/>
    <xf numFmtId="164" fontId="48" fillId="23" borderId="9" xfId="1" quotePrefix="1" applyNumberFormat="1" applyFont="1" applyFill="1" applyBorder="1"/>
    <xf numFmtId="164" fontId="56" fillId="2" borderId="9" xfId="1" applyNumberFormat="1" applyFont="1" applyFill="1" applyBorder="1"/>
    <xf numFmtId="164" fontId="59" fillId="2" borderId="9" xfId="1" applyNumberFormat="1" applyFont="1" applyFill="1" applyBorder="1"/>
    <xf numFmtId="164" fontId="56" fillId="2" borderId="10" xfId="1" applyNumberFormat="1" applyFont="1" applyFill="1" applyBorder="1"/>
    <xf numFmtId="166" fontId="59" fillId="2" borderId="10" xfId="1" applyNumberFormat="1" applyFont="1" applyFill="1" applyBorder="1" applyAlignment="1">
      <alignment horizontal="right"/>
    </xf>
    <xf numFmtId="164" fontId="45" fillId="27" borderId="9" xfId="1" applyNumberFormat="1" applyFont="1" applyFill="1" applyBorder="1"/>
    <xf numFmtId="164" fontId="45" fillId="27" borderId="10" xfId="1" applyNumberFormat="1" applyFont="1" applyFill="1" applyBorder="1"/>
    <xf numFmtId="166" fontId="45" fillId="27" borderId="10" xfId="1" applyNumberFormat="1" applyFont="1" applyFill="1" applyBorder="1"/>
    <xf numFmtId="165" fontId="45" fillId="27" borderId="10" xfId="1" applyNumberFormat="1" applyFont="1" applyFill="1" applyBorder="1"/>
    <xf numFmtId="165" fontId="45" fillId="27" borderId="21" xfId="1" applyNumberFormat="1" applyFont="1" applyFill="1" applyBorder="1"/>
    <xf numFmtId="164" fontId="45" fillId="27" borderId="1" xfId="1" applyNumberFormat="1" applyFont="1" applyFill="1" applyBorder="1"/>
    <xf numFmtId="164" fontId="45" fillId="27" borderId="2" xfId="1" applyNumberFormat="1" applyFont="1" applyFill="1" applyBorder="1"/>
    <xf numFmtId="166" fontId="45" fillId="27" borderId="2" xfId="1" applyNumberFormat="1" applyFont="1" applyFill="1" applyBorder="1"/>
    <xf numFmtId="165" fontId="45" fillId="27" borderId="2" xfId="1" applyNumberFormat="1" applyFont="1" applyFill="1" applyBorder="1"/>
    <xf numFmtId="165" fontId="45" fillId="27" borderId="20" xfId="1" applyNumberFormat="1" applyFont="1" applyFill="1" applyBorder="1"/>
    <xf numFmtId="164" fontId="44" fillId="33" borderId="9" xfId="1" applyNumberFormat="1" applyFont="1" applyFill="1" applyBorder="1"/>
    <xf numFmtId="164" fontId="44" fillId="33" borderId="10" xfId="1" applyNumberFormat="1" applyFont="1" applyFill="1" applyBorder="1" applyAlignment="1">
      <alignment horizontal="center" wrapText="1"/>
    </xf>
    <xf numFmtId="164" fontId="45" fillId="27" borderId="8" xfId="1" applyNumberFormat="1" applyFont="1" applyFill="1" applyBorder="1"/>
    <xf numFmtId="0" fontId="45" fillId="27" borderId="9" xfId="1" applyFont="1" applyFill="1" applyBorder="1"/>
    <xf numFmtId="0" fontId="45" fillId="27" borderId="10" xfId="1" applyFont="1" applyFill="1" applyBorder="1"/>
    <xf numFmtId="164" fontId="45" fillId="33" borderId="10" xfId="1" applyNumberFormat="1" applyFont="1" applyFill="1" applyBorder="1"/>
    <xf numFmtId="164" fontId="44" fillId="33" borderId="10" xfId="1" applyNumberFormat="1" applyFont="1" applyFill="1" applyBorder="1" applyAlignment="1">
      <alignment horizontal="center"/>
    </xf>
    <xf numFmtId="164" fontId="44" fillId="2" borderId="9" xfId="1" applyNumberFormat="1" applyFont="1" applyFill="1" applyBorder="1" applyAlignment="1">
      <alignment horizontal="center"/>
    </xf>
    <xf numFmtId="164" fontId="44" fillId="2" borderId="10" xfId="1" applyNumberFormat="1" applyFont="1" applyFill="1" applyBorder="1" applyAlignment="1">
      <alignment horizontal="center" wrapText="1"/>
    </xf>
    <xf numFmtId="164" fontId="48" fillId="2" borderId="9" xfId="1" quotePrefix="1" applyNumberFormat="1" applyFont="1" applyFill="1" applyBorder="1"/>
    <xf numFmtId="168" fontId="45" fillId="2" borderId="10" xfId="1" applyNumberFormat="1" applyFont="1" applyFill="1" applyBorder="1"/>
    <xf numFmtId="164" fontId="50" fillId="2" borderId="9" xfId="1" quotePrefix="1" applyNumberFormat="1" applyFont="1" applyFill="1" applyBorder="1"/>
    <xf numFmtId="164" fontId="62" fillId="2" borderId="9" xfId="1" applyNumberFormat="1" applyFont="1" applyFill="1" applyBorder="1"/>
    <xf numFmtId="164" fontId="45" fillId="2" borderId="7" xfId="1" applyNumberFormat="1" applyFont="1" applyFill="1" applyBorder="1"/>
    <xf numFmtId="164" fontId="45" fillId="2" borderId="2" xfId="1" applyNumberFormat="1" applyFont="1" applyFill="1" applyBorder="1"/>
    <xf numFmtId="164" fontId="50" fillId="2" borderId="2" xfId="1" applyNumberFormat="1" applyFont="1" applyFill="1" applyBorder="1" applyAlignment="1">
      <alignment horizontal="center"/>
    </xf>
    <xf numFmtId="0" fontId="63" fillId="2" borderId="9" xfId="1" applyFont="1" applyFill="1" applyBorder="1"/>
    <xf numFmtId="164" fontId="44" fillId="2" borderId="1" xfId="1" applyNumberFormat="1" applyFont="1" applyFill="1" applyBorder="1"/>
    <xf numFmtId="166" fontId="50" fillId="2" borderId="2" xfId="1" applyNumberFormat="1" applyFont="1" applyFill="1" applyBorder="1" applyAlignment="1">
      <alignment horizontal="right"/>
    </xf>
    <xf numFmtId="166" fontId="50" fillId="24" borderId="2" xfId="1" applyNumberFormat="1" applyFont="1" applyFill="1" applyBorder="1" applyAlignment="1">
      <alignment horizontal="right"/>
    </xf>
    <xf numFmtId="164" fontId="52" fillId="34" borderId="7" xfId="1" applyNumberFormat="1" applyFont="1" applyFill="1" applyBorder="1"/>
    <xf numFmtId="164" fontId="45" fillId="34" borderId="1" xfId="1" applyNumberFormat="1" applyFont="1" applyFill="1" applyBorder="1"/>
    <xf numFmtId="0" fontId="45" fillId="34" borderId="1" xfId="1" applyFont="1" applyFill="1" applyBorder="1"/>
    <xf numFmtId="166" fontId="45" fillId="34" borderId="1" xfId="1" applyNumberFormat="1" applyFont="1" applyFill="1" applyBorder="1"/>
    <xf numFmtId="165" fontId="45" fillId="34" borderId="1" xfId="1" applyNumberFormat="1" applyFont="1" applyFill="1" applyBorder="1"/>
    <xf numFmtId="165" fontId="45" fillId="35" borderId="20" xfId="1" applyNumberFormat="1" applyFont="1" applyFill="1" applyBorder="1"/>
    <xf numFmtId="165" fontId="45" fillId="35" borderId="2" xfId="1" applyNumberFormat="1" applyFont="1" applyFill="1" applyBorder="1"/>
    <xf numFmtId="164" fontId="52" fillId="36" borderId="8" xfId="1" applyNumberFormat="1" applyFont="1" applyFill="1" applyBorder="1"/>
    <xf numFmtId="164" fontId="45" fillId="36" borderId="9" xfId="1" applyNumberFormat="1" applyFont="1" applyFill="1" applyBorder="1"/>
    <xf numFmtId="0" fontId="45" fillId="36" borderId="9" xfId="1" applyFont="1" applyFill="1" applyBorder="1"/>
    <xf numFmtId="0" fontId="45" fillId="36" borderId="10" xfId="1" applyFont="1" applyFill="1" applyBorder="1"/>
    <xf numFmtId="166" fontId="45" fillId="36" borderId="10" xfId="1" applyNumberFormat="1" applyFont="1" applyFill="1" applyBorder="1"/>
    <xf numFmtId="165" fontId="45" fillId="36" borderId="10" xfId="1" applyNumberFormat="1" applyFont="1" applyFill="1" applyBorder="1"/>
    <xf numFmtId="165" fontId="45" fillId="36" borderId="23" xfId="1" applyNumberFormat="1" applyFont="1" applyFill="1" applyBorder="1"/>
    <xf numFmtId="165" fontId="45" fillId="36" borderId="6" xfId="1" applyNumberFormat="1" applyFont="1" applyFill="1" applyBorder="1"/>
    <xf numFmtId="164" fontId="45" fillId="37" borderId="8" xfId="1" applyNumberFormat="1" applyFont="1" applyFill="1" applyBorder="1"/>
    <xf numFmtId="0" fontId="52" fillId="37" borderId="9" xfId="1" applyFont="1" applyFill="1" applyBorder="1"/>
    <xf numFmtId="164" fontId="45" fillId="37" borderId="9" xfId="1" applyNumberFormat="1" applyFont="1" applyFill="1" applyBorder="1"/>
    <xf numFmtId="0" fontId="45" fillId="37" borderId="9" xfId="1" applyFont="1" applyFill="1" applyBorder="1"/>
    <xf numFmtId="0" fontId="45" fillId="37" borderId="10" xfId="1" applyFont="1" applyFill="1" applyBorder="1"/>
    <xf numFmtId="0" fontId="52" fillId="37" borderId="10" xfId="1" applyFont="1" applyFill="1" applyBorder="1" applyAlignment="1">
      <alignment horizontal="center" wrapText="1"/>
    </xf>
    <xf numFmtId="166" fontId="52" fillId="37" borderId="10" xfId="1" applyNumberFormat="1" applyFont="1" applyFill="1" applyBorder="1" applyAlignment="1">
      <alignment horizontal="right"/>
    </xf>
    <xf numFmtId="165" fontId="52" fillId="37" borderId="10" xfId="1" applyNumberFormat="1" applyFont="1" applyFill="1" applyBorder="1" applyAlignment="1">
      <alignment horizontal="right"/>
    </xf>
    <xf numFmtId="165" fontId="45" fillId="37" borderId="21" xfId="1" applyNumberFormat="1" applyFont="1" applyFill="1" applyBorder="1"/>
    <xf numFmtId="165" fontId="45" fillId="37" borderId="10" xfId="1" applyNumberFormat="1" applyFont="1" applyFill="1" applyBorder="1"/>
    <xf numFmtId="164" fontId="52" fillId="2" borderId="10" xfId="1" applyNumberFormat="1" applyFont="1" applyFill="1" applyBorder="1" applyAlignment="1">
      <alignment horizontal="center"/>
    </xf>
    <xf numFmtId="0" fontId="64" fillId="2" borderId="9" xfId="1" applyFont="1" applyFill="1" applyBorder="1"/>
    <xf numFmtId="0" fontId="49" fillId="0" borderId="1" xfId="1" applyFont="1" applyBorder="1"/>
    <xf numFmtId="0" fontId="49" fillId="2" borderId="2" xfId="1" applyFont="1" applyFill="1" applyBorder="1" applyAlignment="1">
      <alignment horizontal="center" wrapText="1"/>
    </xf>
    <xf numFmtId="164" fontId="45" fillId="27" borderId="11" xfId="1" applyNumberFormat="1" applyFont="1" applyFill="1" applyBorder="1"/>
    <xf numFmtId="164" fontId="45" fillId="27" borderId="12" xfId="1" applyNumberFormat="1" applyFont="1" applyFill="1" applyBorder="1"/>
    <xf numFmtId="0" fontId="45" fillId="27" borderId="12" xfId="1" applyFont="1" applyFill="1" applyBorder="1"/>
    <xf numFmtId="0" fontId="45" fillId="27" borderId="13" xfId="1" applyFont="1" applyFill="1" applyBorder="1"/>
    <xf numFmtId="164" fontId="45" fillId="27" borderId="13" xfId="1" applyNumberFormat="1" applyFont="1" applyFill="1" applyBorder="1"/>
    <xf numFmtId="166" fontId="45" fillId="27" borderId="13" xfId="1" applyNumberFormat="1" applyFont="1" applyFill="1" applyBorder="1"/>
    <xf numFmtId="165" fontId="45" fillId="27" borderId="13" xfId="1" applyNumberFormat="1" applyFont="1" applyFill="1" applyBorder="1"/>
    <xf numFmtId="164" fontId="45" fillId="27" borderId="7" xfId="1" applyNumberFormat="1" applyFont="1" applyFill="1" applyBorder="1"/>
    <xf numFmtId="0" fontId="45" fillId="27" borderId="1" xfId="1" applyFont="1" applyFill="1" applyBorder="1"/>
    <xf numFmtId="0" fontId="45" fillId="27" borderId="2" xfId="1" applyFont="1" applyFill="1" applyBorder="1"/>
    <xf numFmtId="0" fontId="44" fillId="37" borderId="9" xfId="1" applyFont="1" applyFill="1" applyBorder="1"/>
    <xf numFmtId="164" fontId="44" fillId="37" borderId="10" xfId="1" applyNumberFormat="1" applyFont="1" applyFill="1" applyBorder="1" applyAlignment="1">
      <alignment horizontal="center" wrapText="1"/>
    </xf>
    <xf numFmtId="166" fontId="45" fillId="37" borderId="10" xfId="1" applyNumberFormat="1" applyFont="1" applyFill="1" applyBorder="1"/>
    <xf numFmtId="165" fontId="44" fillId="37" borderId="10" xfId="1" applyNumberFormat="1" applyFont="1" applyFill="1" applyBorder="1" applyAlignment="1">
      <alignment horizontal="right"/>
    </xf>
    <xf numFmtId="0" fontId="44" fillId="2" borderId="9" xfId="1" applyFont="1" applyFill="1" applyBorder="1" applyAlignment="1">
      <alignment horizontal="center"/>
    </xf>
    <xf numFmtId="164" fontId="52" fillId="22" borderId="8" xfId="1" applyNumberFormat="1" applyFont="1" applyFill="1" applyBorder="1"/>
    <xf numFmtId="0" fontId="52" fillId="12" borderId="9" xfId="1" applyFont="1" applyFill="1" applyBorder="1"/>
    <xf numFmtId="164" fontId="52" fillId="12" borderId="9" xfId="1" applyNumberFormat="1" applyFont="1" applyFill="1" applyBorder="1" applyAlignment="1">
      <alignment horizontal="center"/>
    </xf>
    <xf numFmtId="164" fontId="45" fillId="12" borderId="8" xfId="1" applyNumberFormat="1" applyFont="1" applyFill="1" applyBorder="1"/>
    <xf numFmtId="164" fontId="49" fillId="12" borderId="9" xfId="1" applyNumberFormat="1" applyFont="1" applyFill="1" applyBorder="1"/>
    <xf numFmtId="164" fontId="52" fillId="12" borderId="10" xfId="1" applyNumberFormat="1" applyFont="1" applyFill="1" applyBorder="1" applyAlignment="1">
      <alignment horizontal="center"/>
    </xf>
    <xf numFmtId="164" fontId="52" fillId="0" borderId="10" xfId="1" applyNumberFormat="1" applyFont="1" applyBorder="1" applyAlignment="1">
      <alignment horizontal="center"/>
    </xf>
    <xf numFmtId="164" fontId="49" fillId="0" borderId="9" xfId="1" applyNumberFormat="1" applyFont="1" applyBorder="1"/>
    <xf numFmtId="164" fontId="45" fillId="0" borderId="14" xfId="1" applyNumberFormat="1" applyFont="1" applyBorder="1"/>
    <xf numFmtId="164" fontId="45" fillId="0" borderId="15" xfId="1" applyNumberFormat="1" applyFont="1" applyBorder="1"/>
    <xf numFmtId="164" fontId="49" fillId="0" borderId="15" xfId="1" applyNumberFormat="1" applyFont="1" applyBorder="1"/>
    <xf numFmtId="0" fontId="45" fillId="0" borderId="15" xfId="1" applyFont="1" applyBorder="1"/>
    <xf numFmtId="0" fontId="45" fillId="0" borderId="16" xfId="1" applyFont="1" applyBorder="1"/>
    <xf numFmtId="164" fontId="49" fillId="0" borderId="16" xfId="1" applyNumberFormat="1" applyFont="1" applyBorder="1" applyAlignment="1">
      <alignment horizontal="center" wrapText="1"/>
    </xf>
    <xf numFmtId="166" fontId="45" fillId="2" borderId="16" xfId="1" applyNumberFormat="1" applyFont="1" applyFill="1" applyBorder="1"/>
    <xf numFmtId="165" fontId="45" fillId="0" borderId="16" xfId="1" applyNumberFormat="1" applyFont="1" applyBorder="1"/>
    <xf numFmtId="165" fontId="45" fillId="2" borderId="24" xfId="1" applyNumberFormat="1" applyFont="1" applyFill="1" applyBorder="1"/>
    <xf numFmtId="165" fontId="45" fillId="2" borderId="16" xfId="1" applyNumberFormat="1" applyFont="1" applyFill="1" applyBorder="1"/>
    <xf numFmtId="164" fontId="46" fillId="38" borderId="7" xfId="1" applyNumberFormat="1" applyFont="1" applyFill="1" applyBorder="1"/>
    <xf numFmtId="164" fontId="45" fillId="38" borderId="1" xfId="1" applyNumberFormat="1" applyFont="1" applyFill="1" applyBorder="1"/>
    <xf numFmtId="0" fontId="45" fillId="38" borderId="1" xfId="1" applyFont="1" applyFill="1" applyBorder="1"/>
    <xf numFmtId="0" fontId="45" fillId="38" borderId="2" xfId="1" applyFont="1" applyFill="1" applyBorder="1"/>
    <xf numFmtId="164" fontId="45" fillId="38" borderId="2" xfId="1" applyNumberFormat="1" applyFont="1" applyFill="1" applyBorder="1"/>
    <xf numFmtId="166" fontId="45" fillId="38" borderId="2" xfId="1" applyNumberFormat="1" applyFont="1" applyFill="1" applyBorder="1"/>
    <xf numFmtId="165" fontId="45" fillId="38" borderId="2" xfId="1" applyNumberFormat="1" applyFont="1" applyFill="1" applyBorder="1"/>
    <xf numFmtId="165" fontId="45" fillId="38" borderId="20" xfId="1" applyNumberFormat="1" applyFont="1" applyFill="1" applyBorder="1"/>
    <xf numFmtId="164" fontId="45" fillId="39" borderId="9" xfId="1" applyNumberFormat="1" applyFont="1" applyFill="1" applyBorder="1"/>
    <xf numFmtId="164" fontId="44" fillId="39" borderId="9" xfId="1" applyNumberFormat="1" applyFont="1" applyFill="1" applyBorder="1"/>
    <xf numFmtId="0" fontId="45" fillId="39" borderId="9" xfId="1" applyFont="1" applyFill="1" applyBorder="1"/>
    <xf numFmtId="0" fontId="45" fillId="39" borderId="10" xfId="1" applyFont="1" applyFill="1" applyBorder="1"/>
    <xf numFmtId="164" fontId="45" fillId="39" borderId="10" xfId="1" applyNumberFormat="1" applyFont="1" applyFill="1" applyBorder="1"/>
    <xf numFmtId="166" fontId="45" fillId="39" borderId="10" xfId="1" applyNumberFormat="1" applyFont="1" applyFill="1" applyBorder="1"/>
    <xf numFmtId="165" fontId="45" fillId="39" borderId="10" xfId="1" applyNumberFormat="1" applyFont="1" applyFill="1" applyBorder="1"/>
    <xf numFmtId="165" fontId="45" fillId="39" borderId="21" xfId="1" applyNumberFormat="1" applyFont="1" applyFill="1" applyBorder="1"/>
    <xf numFmtId="164" fontId="45" fillId="40" borderId="9" xfId="1" applyNumberFormat="1" applyFont="1" applyFill="1" applyBorder="1"/>
    <xf numFmtId="164" fontId="44" fillId="40" borderId="9" xfId="1" applyNumberFormat="1" applyFont="1" applyFill="1" applyBorder="1"/>
    <xf numFmtId="0" fontId="45" fillId="40" borderId="9" xfId="1" applyFont="1" applyFill="1" applyBorder="1"/>
    <xf numFmtId="0" fontId="45" fillId="40" borderId="10" xfId="1" applyFont="1" applyFill="1" applyBorder="1"/>
    <xf numFmtId="164" fontId="44" fillId="40" borderId="10" xfId="1" applyNumberFormat="1" applyFont="1" applyFill="1" applyBorder="1" applyAlignment="1">
      <alignment horizontal="center"/>
    </xf>
    <xf numFmtId="166" fontId="44" fillId="40" borderId="10" xfId="1" applyNumberFormat="1" applyFont="1" applyFill="1" applyBorder="1" applyAlignment="1">
      <alignment horizontal="right"/>
    </xf>
    <xf numFmtId="165" fontId="44" fillId="40" borderId="10" xfId="1" applyNumberFormat="1" applyFont="1" applyFill="1" applyBorder="1" applyAlignment="1">
      <alignment horizontal="right"/>
    </xf>
    <xf numFmtId="165" fontId="45" fillId="40" borderId="21" xfId="1" applyNumberFormat="1" applyFont="1" applyFill="1" applyBorder="1"/>
    <xf numFmtId="165" fontId="45" fillId="40" borderId="10" xfId="1" applyNumberFormat="1" applyFont="1" applyFill="1" applyBorder="1"/>
    <xf numFmtId="164" fontId="48" fillId="23" borderId="9" xfId="1" applyNumberFormat="1" applyFont="1" applyFill="1" applyBorder="1"/>
    <xf numFmtId="164" fontId="50" fillId="0" borderId="9" xfId="1" applyNumberFormat="1" applyFont="1" applyBorder="1"/>
    <xf numFmtId="164" fontId="44" fillId="0" borderId="10" xfId="1" applyNumberFormat="1" applyFont="1" applyBorder="1" applyAlignment="1">
      <alignment horizontal="center"/>
    </xf>
    <xf numFmtId="164" fontId="45" fillId="40" borderId="10" xfId="1" applyNumberFormat="1" applyFont="1" applyFill="1" applyBorder="1"/>
    <xf numFmtId="166" fontId="45" fillId="40" borderId="10" xfId="1" applyNumberFormat="1" applyFont="1" applyFill="1" applyBorder="1"/>
    <xf numFmtId="0" fontId="48" fillId="23" borderId="9" xfId="1" applyFont="1" applyFill="1" applyBorder="1"/>
    <xf numFmtId="164" fontId="50" fillId="2" borderId="10" xfId="1" applyNumberFormat="1" applyFont="1" applyFill="1" applyBorder="1" applyAlignment="1">
      <alignment horizontal="right"/>
    </xf>
    <xf numFmtId="169" fontId="45" fillId="2" borderId="10" xfId="1" applyNumberFormat="1" applyFont="1" applyFill="1" applyBorder="1"/>
    <xf numFmtId="164" fontId="44" fillId="2" borderId="10" xfId="1" applyNumberFormat="1" applyFont="1" applyFill="1" applyBorder="1" applyAlignment="1">
      <alignment horizontal="right"/>
    </xf>
    <xf numFmtId="169" fontId="45" fillId="2" borderId="21" xfId="1" applyNumberFormat="1" applyFont="1" applyFill="1" applyBorder="1"/>
    <xf numFmtId="164" fontId="65" fillId="0" borderId="1" xfId="1" applyNumberFormat="1" applyFont="1" applyBorder="1"/>
    <xf numFmtId="164" fontId="50" fillId="0" borderId="2" xfId="1" applyNumberFormat="1" applyFont="1" applyBorder="1" applyAlignment="1">
      <alignment horizontal="center"/>
    </xf>
    <xf numFmtId="169" fontId="45" fillId="2" borderId="20" xfId="1" applyNumberFormat="1" applyFont="1" applyFill="1" applyBorder="1"/>
    <xf numFmtId="169" fontId="45" fillId="2" borderId="2" xfId="1" applyNumberFormat="1" applyFont="1" applyFill="1" applyBorder="1"/>
    <xf numFmtId="164" fontId="44" fillId="39" borderId="10" xfId="1" applyNumberFormat="1" applyFont="1" applyFill="1" applyBorder="1" applyAlignment="1">
      <alignment horizontal="center"/>
    </xf>
    <xf numFmtId="166" fontId="44" fillId="39" borderId="10" xfId="1" applyNumberFormat="1" applyFont="1" applyFill="1" applyBorder="1" applyAlignment="1">
      <alignment horizontal="right"/>
    </xf>
    <xf numFmtId="165" fontId="44" fillId="39" borderId="10" xfId="1" applyNumberFormat="1" applyFont="1" applyFill="1" applyBorder="1" applyAlignment="1">
      <alignment horizontal="right"/>
    </xf>
    <xf numFmtId="0" fontId="44" fillId="0" borderId="9" xfId="1" quotePrefix="1" applyFont="1" applyBorder="1"/>
    <xf numFmtId="0" fontId="66" fillId="0" borderId="9" xfId="1" applyFont="1" applyBorder="1"/>
    <xf numFmtId="164" fontId="52" fillId="39" borderId="9" xfId="1" applyNumberFormat="1" applyFont="1" applyFill="1" applyBorder="1"/>
    <xf numFmtId="164" fontId="52" fillId="39" borderId="10" xfId="1" applyNumberFormat="1" applyFont="1" applyFill="1" applyBorder="1" applyAlignment="1">
      <alignment horizontal="center"/>
    </xf>
    <xf numFmtId="165" fontId="52" fillId="39" borderId="10" xfId="1" applyNumberFormat="1" applyFont="1" applyFill="1" applyBorder="1" applyAlignment="1">
      <alignment horizontal="right"/>
    </xf>
    <xf numFmtId="0" fontId="54" fillId="23" borderId="9" xfId="1" applyFont="1" applyFill="1" applyBorder="1"/>
    <xf numFmtId="164" fontId="49" fillId="0" borderId="2" xfId="1" applyNumberFormat="1" applyFont="1" applyBorder="1" applyAlignment="1">
      <alignment horizontal="center" wrapText="1"/>
    </xf>
    <xf numFmtId="164" fontId="45" fillId="39" borderId="8" xfId="1" applyNumberFormat="1" applyFont="1" applyFill="1" applyBorder="1"/>
    <xf numFmtId="164" fontId="44" fillId="0" borderId="9" xfId="1" applyNumberFormat="1" applyFont="1" applyBorder="1"/>
    <xf numFmtId="164" fontId="59" fillId="0" borderId="9" xfId="1" applyNumberFormat="1" applyFont="1" applyBorder="1"/>
    <xf numFmtId="166" fontId="59" fillId="24" borderId="10" xfId="1" applyNumberFormat="1" applyFont="1" applyFill="1" applyBorder="1" applyAlignment="1">
      <alignment horizontal="right"/>
    </xf>
    <xf numFmtId="165" fontId="56" fillId="2" borderId="21" xfId="1" applyNumberFormat="1" applyFont="1" applyFill="1" applyBorder="1"/>
    <xf numFmtId="0" fontId="56" fillId="0" borderId="9" xfId="1" applyFont="1" applyBorder="1"/>
    <xf numFmtId="164" fontId="55" fillId="0" borderId="9" xfId="1" applyNumberFormat="1" applyFont="1" applyBorder="1"/>
    <xf numFmtId="0" fontId="59" fillId="0" borderId="9" xfId="1" applyFont="1" applyBorder="1"/>
    <xf numFmtId="164" fontId="45" fillId="0" borderId="12" xfId="1" applyNumberFormat="1" applyFont="1" applyBorder="1"/>
    <xf numFmtId="164" fontId="50" fillId="0" borderId="12" xfId="1" applyNumberFormat="1" applyFont="1" applyBorder="1"/>
    <xf numFmtId="0" fontId="45" fillId="0" borderId="12" xfId="1" applyFont="1" applyBorder="1"/>
    <xf numFmtId="0" fontId="45" fillId="0" borderId="13" xfId="1" applyFont="1" applyBorder="1"/>
    <xf numFmtId="164" fontId="50" fillId="0" borderId="13" xfId="1" applyNumberFormat="1" applyFont="1" applyBorder="1" applyAlignment="1">
      <alignment horizontal="center"/>
    </xf>
    <xf numFmtId="166" fontId="45" fillId="0" borderId="13" xfId="1" applyNumberFormat="1" applyFont="1" applyBorder="1"/>
    <xf numFmtId="165" fontId="45" fillId="0" borderId="13" xfId="1" applyNumberFormat="1" applyFont="1" applyBorder="1"/>
    <xf numFmtId="167" fontId="52" fillId="2" borderId="9" xfId="1" applyNumberFormat="1" applyFont="1" applyFill="1" applyBorder="1" applyAlignment="1">
      <alignment horizontal="center"/>
    </xf>
    <xf numFmtId="0" fontId="44" fillId="13" borderId="17" xfId="1" applyFont="1" applyFill="1" applyBorder="1"/>
    <xf numFmtId="0" fontId="45" fillId="13" borderId="18" xfId="1" applyFont="1" applyFill="1" applyBorder="1"/>
    <xf numFmtId="164" fontId="45" fillId="13" borderId="18" xfId="1" applyNumberFormat="1" applyFont="1" applyFill="1" applyBorder="1"/>
    <xf numFmtId="0" fontId="45" fillId="13" borderId="19" xfId="1" applyFont="1" applyFill="1" applyBorder="1"/>
    <xf numFmtId="0" fontId="44" fillId="13" borderId="18" xfId="1" applyFont="1" applyFill="1" applyBorder="1"/>
    <xf numFmtId="166" fontId="45" fillId="13" borderId="18" xfId="1" applyNumberFormat="1" applyFont="1" applyFill="1" applyBorder="1"/>
    <xf numFmtId="166" fontId="45" fillId="13" borderId="19" xfId="1" applyNumberFormat="1" applyFont="1" applyFill="1" applyBorder="1"/>
    <xf numFmtId="165" fontId="45" fillId="13" borderId="19" xfId="1" applyNumberFormat="1" applyFont="1" applyFill="1" applyBorder="1"/>
    <xf numFmtId="0" fontId="61" fillId="0" borderId="0" xfId="1" applyFont="1"/>
    <xf numFmtId="165" fontId="53" fillId="2" borderId="22" xfId="1" applyNumberFormat="1" applyFont="1" applyFill="1" applyBorder="1" applyAlignment="1">
      <alignment horizontal="right"/>
    </xf>
    <xf numFmtId="165" fontId="53" fillId="2" borderId="13" xfId="1" applyNumberFormat="1" applyFont="1" applyFill="1" applyBorder="1" applyAlignment="1">
      <alignment horizontal="right"/>
    </xf>
    <xf numFmtId="165" fontId="53" fillId="2" borderId="21" xfId="1" applyNumberFormat="1" applyFont="1" applyFill="1" applyBorder="1" applyAlignment="1">
      <alignment horizontal="right"/>
    </xf>
    <xf numFmtId="165" fontId="53" fillId="2" borderId="10" xfId="1" applyNumberFormat="1" applyFont="1" applyFill="1" applyBorder="1" applyAlignment="1">
      <alignment horizontal="right"/>
    </xf>
    <xf numFmtId="164" fontId="45" fillId="0" borderId="11" xfId="1" applyNumberFormat="1" applyFont="1" applyBorder="1"/>
    <xf numFmtId="0" fontId="50" fillId="0" borderId="12" xfId="1" applyFont="1" applyBorder="1"/>
    <xf numFmtId="0" fontId="50" fillId="0" borderId="13" xfId="1" applyFont="1" applyBorder="1" applyAlignment="1">
      <alignment horizontal="center"/>
    </xf>
    <xf numFmtId="166" fontId="50" fillId="0" borderId="13" xfId="1" applyNumberFormat="1" applyFont="1" applyBorder="1" applyAlignment="1">
      <alignment horizontal="right"/>
    </xf>
    <xf numFmtId="164" fontId="58" fillId="26" borderId="8" xfId="1" applyNumberFormat="1" applyFont="1" applyFill="1" applyBorder="1"/>
    <xf numFmtId="164" fontId="58" fillId="2" borderId="8" xfId="1" applyNumberFormat="1" applyFont="1" applyFill="1" applyBorder="1"/>
    <xf numFmtId="164" fontId="58" fillId="0" borderId="8" xfId="1" applyNumberFormat="1" applyFont="1" applyBorder="1"/>
    <xf numFmtId="164" fontId="56" fillId="26" borderId="8" xfId="1" applyNumberFormat="1" applyFont="1" applyFill="1" applyBorder="1"/>
    <xf numFmtId="164" fontId="56" fillId="26" borderId="9" xfId="1" applyNumberFormat="1" applyFont="1" applyFill="1" applyBorder="1"/>
    <xf numFmtId="0" fontId="55" fillId="26" borderId="9" xfId="1" applyFont="1" applyFill="1" applyBorder="1"/>
    <xf numFmtId="0" fontId="56" fillId="26" borderId="9" xfId="1" applyFont="1" applyFill="1" applyBorder="1"/>
    <xf numFmtId="0" fontId="56" fillId="26" borderId="10" xfId="1" applyFont="1" applyFill="1" applyBorder="1"/>
    <xf numFmtId="0" fontId="55" fillId="26" borderId="10" xfId="1" applyFont="1" applyFill="1" applyBorder="1" applyAlignment="1">
      <alignment horizontal="center" wrapText="1"/>
    </xf>
    <xf numFmtId="166" fontId="55" fillId="26" borderId="10" xfId="1" applyNumberFormat="1" applyFont="1" applyFill="1" applyBorder="1" applyAlignment="1">
      <alignment horizontal="right"/>
    </xf>
    <xf numFmtId="165" fontId="55" fillId="26" borderId="10" xfId="1" applyNumberFormat="1" applyFont="1" applyFill="1" applyBorder="1" applyAlignment="1">
      <alignment horizontal="right"/>
    </xf>
    <xf numFmtId="164" fontId="55" fillId="0" borderId="10" xfId="1" applyNumberFormat="1" applyFont="1" applyBorder="1" applyAlignment="1">
      <alignment horizontal="center" wrapText="1"/>
    </xf>
    <xf numFmtId="164" fontId="56" fillId="2" borderId="8" xfId="1" applyNumberFormat="1" applyFont="1" applyFill="1" applyBorder="1"/>
    <xf numFmtId="164" fontId="55" fillId="2" borderId="9" xfId="1" applyNumberFormat="1" applyFont="1" applyFill="1" applyBorder="1"/>
    <xf numFmtId="0" fontId="59" fillId="0" borderId="10" xfId="1" applyFont="1" applyBorder="1" applyAlignment="1">
      <alignment horizontal="center"/>
    </xf>
    <xf numFmtId="164" fontId="59" fillId="0" borderId="9" xfId="1" quotePrefix="1" applyNumberFormat="1" applyFont="1" applyBorder="1"/>
    <xf numFmtId="166" fontId="44" fillId="33" borderId="25" xfId="1" applyNumberFormat="1" applyFont="1" applyFill="1" applyBorder="1" applyAlignment="1">
      <alignment horizontal="right"/>
    </xf>
    <xf numFmtId="166" fontId="45" fillId="2" borderId="21" xfId="1" applyNumberFormat="1" applyFont="1" applyFill="1" applyBorder="1"/>
    <xf numFmtId="166" fontId="45" fillId="0" borderId="21" xfId="1" applyNumberFormat="1" applyFont="1" applyBorder="1"/>
    <xf numFmtId="166" fontId="50" fillId="2" borderId="21" xfId="1" applyNumberFormat="1" applyFont="1" applyFill="1" applyBorder="1" applyAlignment="1">
      <alignment horizontal="right"/>
    </xf>
    <xf numFmtId="166" fontId="59" fillId="2" borderId="21" xfId="1" applyNumberFormat="1" applyFont="1" applyFill="1" applyBorder="1" applyAlignment="1">
      <alignment horizontal="right"/>
    </xf>
    <xf numFmtId="166" fontId="45" fillId="27" borderId="21" xfId="1" applyNumberFormat="1" applyFont="1" applyFill="1" applyBorder="1"/>
    <xf numFmtId="166" fontId="45" fillId="27" borderId="20" xfId="1" applyNumberFormat="1" applyFont="1" applyFill="1" applyBorder="1"/>
    <xf numFmtId="164" fontId="39" fillId="26" borderId="9" xfId="1" applyNumberFormat="1" applyFont="1" applyFill="1" applyBorder="1"/>
    <xf numFmtId="0" fontId="38" fillId="26" borderId="9" xfId="1" applyFont="1" applyFill="1" applyBorder="1"/>
    <xf numFmtId="0" fontId="39" fillId="26" borderId="9" xfId="1" applyFont="1" applyFill="1" applyBorder="1"/>
    <xf numFmtId="0" fontId="39" fillId="26" borderId="10" xfId="1" applyFont="1" applyFill="1" applyBorder="1"/>
    <xf numFmtId="0" fontId="38" fillId="26" borderId="10" xfId="1" applyFont="1" applyFill="1" applyBorder="1" applyAlignment="1">
      <alignment horizontal="center" wrapText="1"/>
    </xf>
    <xf numFmtId="166" fontId="38" fillId="26" borderId="10" xfId="1" applyNumberFormat="1" applyFont="1" applyFill="1" applyBorder="1" applyAlignment="1">
      <alignment horizontal="right"/>
    </xf>
    <xf numFmtId="165" fontId="38" fillId="26" borderId="10" xfId="1" applyNumberFormat="1" applyFont="1" applyFill="1" applyBorder="1" applyAlignment="1">
      <alignment horizontal="right"/>
    </xf>
    <xf numFmtId="165" fontId="39" fillId="26" borderId="21" xfId="1" applyNumberFormat="1" applyFont="1" applyFill="1" applyBorder="1"/>
    <xf numFmtId="165" fontId="39" fillId="26" borderId="10" xfId="1" applyNumberFormat="1" applyFont="1" applyFill="1" applyBorder="1"/>
    <xf numFmtId="0" fontId="39" fillId="2" borderId="9" xfId="1" applyFont="1" applyFill="1" applyBorder="1"/>
    <xf numFmtId="0" fontId="38" fillId="2" borderId="9" xfId="1" applyFont="1" applyFill="1" applyBorder="1"/>
    <xf numFmtId="0" fontId="42" fillId="2" borderId="9" xfId="1" applyFont="1" applyFill="1" applyBorder="1"/>
    <xf numFmtId="0" fontId="39" fillId="2" borderId="10" xfId="1" applyFont="1" applyFill="1" applyBorder="1"/>
    <xf numFmtId="164" fontId="38" fillId="0" borderId="10" xfId="1" applyNumberFormat="1" applyFont="1" applyBorder="1" applyAlignment="1">
      <alignment horizontal="center" wrapText="1"/>
    </xf>
    <xf numFmtId="166" fontId="39" fillId="0" borderId="10" xfId="1" applyNumberFormat="1" applyFont="1" applyBorder="1"/>
    <xf numFmtId="165" fontId="39" fillId="0" borderId="10" xfId="1" applyNumberFormat="1" applyFont="1" applyBorder="1"/>
    <xf numFmtId="165" fontId="38" fillId="2" borderId="21" xfId="1" applyNumberFormat="1" applyFont="1" applyFill="1" applyBorder="1" applyAlignment="1">
      <alignment horizontal="right"/>
    </xf>
    <xf numFmtId="165" fontId="39" fillId="2" borderId="10" xfId="1" applyNumberFormat="1" applyFont="1" applyFill="1" applyBorder="1"/>
    <xf numFmtId="165" fontId="38" fillId="2" borderId="10" xfId="1" applyNumberFormat="1" applyFont="1" applyFill="1" applyBorder="1" applyAlignment="1">
      <alignment horizontal="right"/>
    </xf>
    <xf numFmtId="164" fontId="39" fillId="2" borderId="9" xfId="1" applyNumberFormat="1" applyFont="1" applyFill="1" applyBorder="1"/>
    <xf numFmtId="0" fontId="41" fillId="2" borderId="9" xfId="1" applyFont="1" applyFill="1" applyBorder="1"/>
    <xf numFmtId="164" fontId="41" fillId="0" borderId="10" xfId="1" applyNumberFormat="1" applyFont="1" applyBorder="1" applyAlignment="1">
      <alignment horizontal="center" wrapText="1"/>
    </xf>
    <xf numFmtId="165" fontId="41" fillId="2" borderId="21" xfId="1" applyNumberFormat="1" applyFont="1" applyFill="1" applyBorder="1" applyAlignment="1">
      <alignment horizontal="right"/>
    </xf>
    <xf numFmtId="165" fontId="41" fillId="2" borderId="10" xfId="1" applyNumberFormat="1" applyFont="1" applyFill="1" applyBorder="1" applyAlignment="1">
      <alignment horizontal="right"/>
    </xf>
    <xf numFmtId="166" fontId="39" fillId="2" borderId="10" xfId="1" applyNumberFormat="1" applyFont="1" applyFill="1" applyBorder="1"/>
    <xf numFmtId="164" fontId="39" fillId="0" borderId="9" xfId="1" applyNumberFormat="1" applyFont="1" applyBorder="1"/>
    <xf numFmtId="164" fontId="38" fillId="2" borderId="9" xfId="1" applyNumberFormat="1" applyFont="1" applyFill="1" applyBorder="1"/>
    <xf numFmtId="0" fontId="42" fillId="23" borderId="9" xfId="1" quotePrefix="1" applyFont="1" applyFill="1" applyBorder="1"/>
    <xf numFmtId="0" fontId="39" fillId="23" borderId="9" xfId="1" applyFont="1" applyFill="1" applyBorder="1"/>
    <xf numFmtId="0" fontId="39" fillId="23" borderId="10" xfId="1" applyFont="1" applyFill="1" applyBorder="1"/>
    <xf numFmtId="165" fontId="39" fillId="2" borderId="21" xfId="1" applyNumberFormat="1" applyFont="1" applyFill="1" applyBorder="1"/>
    <xf numFmtId="0" fontId="41" fillId="0" borderId="9" xfId="1" applyFont="1" applyBorder="1"/>
    <xf numFmtId="0" fontId="41" fillId="0" borderId="10" xfId="1" applyFont="1" applyBorder="1" applyAlignment="1">
      <alignment horizontal="center"/>
    </xf>
    <xf numFmtId="166" fontId="41" fillId="2" borderId="10" xfId="1" applyNumberFormat="1" applyFont="1" applyFill="1" applyBorder="1" applyAlignment="1">
      <alignment horizontal="right"/>
    </xf>
    <xf numFmtId="164" fontId="41" fillId="0" borderId="9" xfId="1" quotePrefix="1" applyNumberFormat="1" applyFont="1" applyBorder="1"/>
    <xf numFmtId="0" fontId="41" fillId="0" borderId="9" xfId="1" quotePrefix="1" applyFont="1" applyBorder="1"/>
    <xf numFmtId="164" fontId="38" fillId="22" borderId="8" xfId="1" applyNumberFormat="1" applyFont="1" applyFill="1" applyBorder="1"/>
    <xf numFmtId="0" fontId="39" fillId="22" borderId="9" xfId="1" applyFont="1" applyFill="1" applyBorder="1"/>
    <xf numFmtId="167" fontId="39" fillId="22" borderId="9" xfId="1" applyNumberFormat="1" applyFont="1" applyFill="1" applyBorder="1"/>
    <xf numFmtId="164" fontId="39" fillId="22" borderId="9" xfId="1" applyNumberFormat="1" applyFont="1" applyFill="1" applyBorder="1"/>
    <xf numFmtId="166" fontId="39" fillId="22" borderId="9" xfId="1" applyNumberFormat="1" applyFont="1" applyFill="1" applyBorder="1"/>
    <xf numFmtId="165" fontId="39" fillId="22" borderId="9" xfId="1" applyNumberFormat="1" applyFont="1" applyFill="1" applyBorder="1"/>
    <xf numFmtId="165" fontId="39" fillId="22" borderId="10" xfId="1" applyNumberFormat="1" applyFont="1" applyFill="1" applyBorder="1"/>
    <xf numFmtId="0" fontId="40" fillId="0" borderId="0" xfId="1" applyFont="1"/>
    <xf numFmtId="167" fontId="39" fillId="12" borderId="8" xfId="1" applyNumberFormat="1" applyFont="1" applyFill="1" applyBorder="1"/>
    <xf numFmtId="0" fontId="38" fillId="12" borderId="9" xfId="1" applyFont="1" applyFill="1" applyBorder="1"/>
    <xf numFmtId="167" fontId="39" fillId="12" borderId="9" xfId="1" applyNumberFormat="1" applyFont="1" applyFill="1" applyBorder="1"/>
    <xf numFmtId="164" fontId="39" fillId="12" borderId="9" xfId="1" applyNumberFormat="1" applyFont="1" applyFill="1" applyBorder="1"/>
    <xf numFmtId="0" fontId="39" fillId="12" borderId="9" xfId="1" applyFont="1" applyFill="1" applyBorder="1"/>
    <xf numFmtId="164" fontId="38" fillId="12" borderId="9" xfId="1" applyNumberFormat="1" applyFont="1" applyFill="1" applyBorder="1" applyAlignment="1">
      <alignment horizontal="center"/>
    </xf>
    <xf numFmtId="166" fontId="39" fillId="12" borderId="9" xfId="1" applyNumberFormat="1" applyFont="1" applyFill="1" applyBorder="1"/>
    <xf numFmtId="166" fontId="39" fillId="12" borderId="10" xfId="1" applyNumberFormat="1" applyFont="1" applyFill="1" applyBorder="1"/>
    <xf numFmtId="165" fontId="39" fillId="12" borderId="10" xfId="1" applyNumberFormat="1" applyFont="1" applyFill="1" applyBorder="1"/>
    <xf numFmtId="165" fontId="39" fillId="12" borderId="21" xfId="1" applyNumberFormat="1" applyFont="1" applyFill="1" applyBorder="1"/>
    <xf numFmtId="164" fontId="39" fillId="12" borderId="8" xfId="1" applyNumberFormat="1" applyFont="1" applyFill="1" applyBorder="1"/>
    <xf numFmtId="164" fontId="41" fillId="12" borderId="9" xfId="1" applyNumberFormat="1" applyFont="1" applyFill="1" applyBorder="1"/>
    <xf numFmtId="0" fontId="39" fillId="12" borderId="10" xfId="1" applyFont="1" applyFill="1" applyBorder="1"/>
    <xf numFmtId="164" fontId="38" fillId="12" borderId="10" xfId="1" applyNumberFormat="1" applyFont="1" applyFill="1" applyBorder="1" applyAlignment="1">
      <alignment horizontal="center"/>
    </xf>
    <xf numFmtId="167" fontId="39" fillId="2" borderId="8" xfId="1" applyNumberFormat="1" applyFont="1" applyFill="1" applyBorder="1"/>
    <xf numFmtId="164" fontId="38" fillId="2" borderId="9" xfId="1" applyNumberFormat="1" applyFont="1" applyFill="1" applyBorder="1" applyAlignment="1">
      <alignment horizontal="center"/>
    </xf>
    <xf numFmtId="164" fontId="38" fillId="0" borderId="10" xfId="1" applyNumberFormat="1" applyFont="1" applyBorder="1" applyAlignment="1">
      <alignment horizontal="center"/>
    </xf>
    <xf numFmtId="164" fontId="41" fillId="2" borderId="9" xfId="1" applyNumberFormat="1" applyFont="1" applyFill="1" applyBorder="1"/>
    <xf numFmtId="164" fontId="41" fillId="0" borderId="10" xfId="1" applyNumberFormat="1" applyFont="1" applyBorder="1" applyAlignment="1">
      <alignment horizontal="center"/>
    </xf>
    <xf numFmtId="164" fontId="39" fillId="0" borderId="8" xfId="1" applyNumberFormat="1" applyFont="1" applyBorder="1"/>
    <xf numFmtId="164" fontId="39" fillId="0" borderId="10" xfId="1" applyNumberFormat="1" applyFont="1" applyBorder="1"/>
    <xf numFmtId="164" fontId="41" fillId="0" borderId="9" xfId="1" applyNumberFormat="1" applyFont="1" applyBorder="1"/>
    <xf numFmtId="164" fontId="39" fillId="0" borderId="14" xfId="1" applyNumberFormat="1" applyFont="1" applyBorder="1"/>
    <xf numFmtId="164" fontId="39" fillId="0" borderId="15" xfId="1" applyNumberFormat="1" applyFont="1" applyBorder="1"/>
    <xf numFmtId="164" fontId="41" fillId="0" borderId="15" xfId="1" applyNumberFormat="1" applyFont="1" applyBorder="1"/>
    <xf numFmtId="0" fontId="39" fillId="0" borderId="15" xfId="1" applyFont="1" applyBorder="1"/>
    <xf numFmtId="0" fontId="39" fillId="0" borderId="16" xfId="1" applyFont="1" applyBorder="1"/>
    <xf numFmtId="164" fontId="41" fillId="0" borderId="16" xfId="1" applyNumberFormat="1" applyFont="1" applyBorder="1" applyAlignment="1">
      <alignment horizontal="center" wrapText="1"/>
    </xf>
    <xf numFmtId="166" fontId="39" fillId="2" borderId="16" xfId="1" applyNumberFormat="1" applyFont="1" applyFill="1" applyBorder="1"/>
    <xf numFmtId="165" fontId="39" fillId="0" borderId="16" xfId="1" applyNumberFormat="1" applyFont="1" applyBorder="1"/>
    <xf numFmtId="165" fontId="39" fillId="2" borderId="24" xfId="1" applyNumberFormat="1" applyFont="1" applyFill="1" applyBorder="1"/>
    <xf numFmtId="165" fontId="39" fillId="2" borderId="16" xfId="1" applyNumberFormat="1" applyFont="1" applyFill="1" applyBorder="1"/>
    <xf numFmtId="0" fontId="57" fillId="2" borderId="9" xfId="1" quotePrefix="1" applyFont="1" applyFill="1" applyBorder="1"/>
    <xf numFmtId="166" fontId="44" fillId="37" borderId="10" xfId="1" applyNumberFormat="1" applyFont="1" applyFill="1" applyBorder="1"/>
    <xf numFmtId="166" fontId="50" fillId="2" borderId="10" xfId="1" applyNumberFormat="1" applyFont="1" applyFill="1" applyBorder="1"/>
    <xf numFmtId="165" fontId="50" fillId="2" borderId="10" xfId="1" applyNumberFormat="1" applyFont="1" applyFill="1" applyBorder="1"/>
    <xf numFmtId="164" fontId="50" fillId="39" borderId="10" xfId="1" applyNumberFormat="1" applyFont="1" applyFill="1" applyBorder="1" applyAlignment="1">
      <alignment horizontal="center"/>
    </xf>
    <xf numFmtId="166" fontId="50" fillId="39" borderId="10" xfId="1" applyNumberFormat="1" applyFont="1" applyFill="1" applyBorder="1" applyAlignment="1">
      <alignment horizontal="right"/>
    </xf>
    <xf numFmtId="164" fontId="39" fillId="26" borderId="8" xfId="1" applyNumberFormat="1" applyFont="1" applyFill="1" applyBorder="1"/>
    <xf numFmtId="0" fontId="41" fillId="2" borderId="12" xfId="1" applyFont="1" applyFill="1" applyBorder="1"/>
    <xf numFmtId="164" fontId="39" fillId="2" borderId="8" xfId="1" applyNumberFormat="1" applyFont="1" applyFill="1" applyBorder="1"/>
    <xf numFmtId="0" fontId="46" fillId="5" borderId="6" xfId="1" applyFont="1" applyFill="1" applyBorder="1" applyAlignment="1">
      <alignment horizontal="center" vertical="top"/>
    </xf>
    <xf numFmtId="0" fontId="46" fillId="5" borderId="2" xfId="1" applyFont="1" applyFill="1" applyBorder="1" applyAlignment="1">
      <alignment horizontal="center" vertical="top"/>
    </xf>
    <xf numFmtId="46" fontId="56" fillId="2" borderId="11" xfId="1" applyNumberFormat="1" applyFont="1" applyFill="1" applyBorder="1"/>
    <xf numFmtId="164" fontId="56" fillId="2" borderId="12" xfId="1" applyNumberFormat="1" applyFont="1" applyFill="1" applyBorder="1"/>
    <xf numFmtId="0" fontId="59" fillId="2" borderId="12" xfId="1" quotePrefix="1" applyFont="1" applyFill="1" applyBorder="1"/>
    <xf numFmtId="0" fontId="56" fillId="2" borderId="12" xfId="1" applyFont="1" applyFill="1" applyBorder="1"/>
    <xf numFmtId="0" fontId="56" fillId="2" borderId="13" xfId="1" applyFont="1" applyFill="1" applyBorder="1"/>
    <xf numFmtId="164" fontId="59" fillId="2" borderId="13" xfId="1" applyNumberFormat="1" applyFont="1" applyFill="1" applyBorder="1" applyAlignment="1">
      <alignment horizontal="center"/>
    </xf>
    <xf numFmtId="166" fontId="59" fillId="2" borderId="13" xfId="1" applyNumberFormat="1" applyFont="1" applyFill="1" applyBorder="1" applyAlignment="1">
      <alignment horizontal="right"/>
    </xf>
    <xf numFmtId="166" fontId="59" fillId="24" borderId="13" xfId="1" applyNumberFormat="1" applyFont="1" applyFill="1" applyBorder="1" applyAlignment="1">
      <alignment horizontal="right"/>
    </xf>
    <xf numFmtId="165" fontId="59" fillId="2" borderId="13" xfId="1" applyNumberFormat="1" applyFont="1" applyFill="1" applyBorder="1" applyAlignment="1">
      <alignment horizontal="right"/>
    </xf>
    <xf numFmtId="164" fontId="58" fillId="0" borderId="7" xfId="1" applyNumberFormat="1" applyFont="1" applyBorder="1"/>
    <xf numFmtId="164" fontId="58" fillId="0" borderId="1" xfId="1" applyNumberFormat="1" applyFont="1" applyBorder="1"/>
    <xf numFmtId="0" fontId="58" fillId="0" borderId="1" xfId="1" applyFont="1" applyBorder="1"/>
    <xf numFmtId="0" fontId="58" fillId="0" borderId="2" xfId="1" applyFont="1" applyBorder="1"/>
    <xf numFmtId="165" fontId="58" fillId="0" borderId="20" xfId="1" applyNumberFormat="1" applyFont="1" applyBorder="1"/>
    <xf numFmtId="165" fontId="58" fillId="0" borderId="2" xfId="1" applyNumberFormat="1" applyFont="1" applyBorder="1"/>
    <xf numFmtId="167" fontId="56" fillId="33" borderId="17" xfId="1" applyNumberFormat="1" applyFont="1" applyFill="1" applyBorder="1"/>
    <xf numFmtId="164" fontId="55" fillId="33" borderId="18" xfId="1" applyNumberFormat="1" applyFont="1" applyFill="1" applyBorder="1"/>
    <xf numFmtId="167" fontId="56" fillId="33" borderId="18" xfId="1" applyNumberFormat="1" applyFont="1" applyFill="1" applyBorder="1"/>
    <xf numFmtId="164" fontId="56" fillId="33" borderId="18" xfId="1" applyNumberFormat="1" applyFont="1" applyFill="1" applyBorder="1"/>
    <xf numFmtId="0" fontId="56" fillId="33" borderId="18" xfId="1" applyFont="1" applyFill="1" applyBorder="1"/>
    <xf numFmtId="0" fontId="56" fillId="33" borderId="19" xfId="1" applyFont="1" applyFill="1" applyBorder="1"/>
    <xf numFmtId="164" fontId="55" fillId="33" borderId="19" xfId="1" applyNumberFormat="1" applyFont="1" applyFill="1" applyBorder="1" applyAlignment="1">
      <alignment horizontal="center" wrapText="1"/>
    </xf>
    <xf numFmtId="166" fontId="55" fillId="33" borderId="19" xfId="1" applyNumberFormat="1" applyFont="1" applyFill="1" applyBorder="1" applyAlignment="1">
      <alignment horizontal="right"/>
    </xf>
    <xf numFmtId="165" fontId="55" fillId="33" borderId="19" xfId="1" applyNumberFormat="1" applyFont="1" applyFill="1" applyBorder="1" applyAlignment="1">
      <alignment horizontal="right"/>
    </xf>
    <xf numFmtId="164" fontId="57" fillId="2" borderId="9" xfId="1" applyNumberFormat="1" applyFont="1" applyFill="1" applyBorder="1"/>
    <xf numFmtId="164" fontId="60" fillId="2" borderId="9" xfId="1" applyNumberFormat="1" applyFont="1" applyFill="1" applyBorder="1"/>
    <xf numFmtId="164" fontId="57" fillId="23" borderId="9" xfId="1" quotePrefix="1" applyNumberFormat="1" applyFont="1" applyFill="1" applyBorder="1"/>
    <xf numFmtId="164" fontId="56" fillId="0" borderId="10" xfId="1" applyNumberFormat="1" applyFont="1" applyBorder="1"/>
    <xf numFmtId="164" fontId="56" fillId="27" borderId="9" xfId="1" applyNumberFormat="1" applyFont="1" applyFill="1" applyBorder="1"/>
    <xf numFmtId="164" fontId="56" fillId="27" borderId="10" xfId="1" applyNumberFormat="1" applyFont="1" applyFill="1" applyBorder="1"/>
    <xf numFmtId="166" fontId="56" fillId="27" borderId="10" xfId="1" applyNumberFormat="1" applyFont="1" applyFill="1" applyBorder="1"/>
    <xf numFmtId="165" fontId="56" fillId="27" borderId="10" xfId="1" applyNumberFormat="1" applyFont="1" applyFill="1" applyBorder="1"/>
    <xf numFmtId="164" fontId="56" fillId="27" borderId="1" xfId="1" applyNumberFormat="1" applyFont="1" applyFill="1" applyBorder="1"/>
    <xf numFmtId="164" fontId="56" fillId="27" borderId="2" xfId="1" applyNumberFormat="1" applyFont="1" applyFill="1" applyBorder="1"/>
    <xf numFmtId="166" fontId="56" fillId="27" borderId="2" xfId="1" applyNumberFormat="1" applyFont="1" applyFill="1" applyBorder="1"/>
    <xf numFmtId="165" fontId="56" fillId="27" borderId="2" xfId="1" applyNumberFormat="1" applyFont="1" applyFill="1" applyBorder="1"/>
    <xf numFmtId="170" fontId="50" fillId="24" borderId="10" xfId="1" applyNumberFormat="1" applyFont="1" applyFill="1" applyBorder="1" applyAlignment="1">
      <alignment horizontal="right"/>
    </xf>
    <xf numFmtId="164" fontId="45" fillId="2" borderId="11" xfId="1" applyNumberFormat="1" applyFont="1" applyFill="1" applyBorder="1"/>
    <xf numFmtId="164" fontId="50" fillId="2" borderId="13" xfId="1" applyNumberFormat="1" applyFont="1" applyFill="1" applyBorder="1" applyAlignment="1">
      <alignment horizontal="center" wrapText="1"/>
    </xf>
    <xf numFmtId="0" fontId="30" fillId="2" borderId="9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32" fillId="2" borderId="9" xfId="0" applyFont="1" applyFill="1" applyBorder="1"/>
    <xf numFmtId="0" fontId="5" fillId="5" borderId="5" xfId="0" applyFont="1" applyFill="1" applyBorder="1" applyAlignment="1">
      <alignment horizontal="center"/>
    </xf>
    <xf numFmtId="0" fontId="0" fillId="0" borderId="0" xfId="0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2" xfId="0" applyFont="1" applyBorder="1"/>
    <xf numFmtId="0" fontId="2" fillId="10" borderId="7" xfId="0" applyFont="1" applyFill="1" applyBorder="1"/>
    <xf numFmtId="0" fontId="5" fillId="11" borderId="7" xfId="0" applyFont="1" applyFill="1" applyBorder="1"/>
    <xf numFmtId="0" fontId="5" fillId="17" borderId="7" xfId="0" applyFont="1" applyFill="1" applyBorder="1"/>
    <xf numFmtId="0" fontId="5" fillId="18" borderId="9" xfId="0" applyFont="1" applyFill="1" applyBorder="1"/>
    <xf numFmtId="164" fontId="26" fillId="2" borderId="1" xfId="0" applyNumberFormat="1" applyFont="1" applyFill="1" applyBorder="1"/>
    <xf numFmtId="0" fontId="42" fillId="2" borderId="9" xfId="0" applyFont="1" applyFill="1" applyBorder="1"/>
    <xf numFmtId="0" fontId="39" fillId="0" borderId="9" xfId="0" applyFont="1" applyBorder="1"/>
    <xf numFmtId="0" fontId="39" fillId="0" borderId="10" xfId="0" applyFont="1" applyBorder="1"/>
    <xf numFmtId="165" fontId="5" fillId="8" borderId="1" xfId="0" applyNumberFormat="1" applyFont="1" applyFill="1" applyBorder="1" applyAlignment="1">
      <alignment horizontal="center"/>
    </xf>
    <xf numFmtId="165" fontId="5" fillId="7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4" fontId="3" fillId="4" borderId="3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8" fillId="2" borderId="9" xfId="1" applyFont="1" applyFill="1" applyBorder="1"/>
    <xf numFmtId="0" fontId="39" fillId="0" borderId="9" xfId="1" applyFont="1" applyBorder="1"/>
    <xf numFmtId="0" fontId="39" fillId="0" borderId="10" xfId="1" applyFont="1" applyBorder="1"/>
    <xf numFmtId="164" fontId="48" fillId="2" borderId="1" xfId="1" applyNumberFormat="1" applyFont="1" applyFill="1" applyBorder="1"/>
    <xf numFmtId="0" fontId="39" fillId="0" borderId="1" xfId="1" applyFont="1" applyBorder="1"/>
    <xf numFmtId="0" fontId="54" fillId="2" borderId="9" xfId="1" applyFont="1" applyFill="1" applyBorder="1"/>
    <xf numFmtId="0" fontId="47" fillId="0" borderId="1" xfId="1" applyFont="1" applyBorder="1"/>
    <xf numFmtId="0" fontId="39" fillId="0" borderId="2" xfId="1" applyFont="1" applyBorder="1"/>
    <xf numFmtId="0" fontId="44" fillId="11" borderId="7" xfId="1" applyFont="1" applyFill="1" applyBorder="1"/>
    <xf numFmtId="0" fontId="44" fillId="17" borderId="7" xfId="1" applyFont="1" applyFill="1" applyBorder="1"/>
    <xf numFmtId="0" fontId="44" fillId="18" borderId="9" xfId="1" applyFont="1" applyFill="1" applyBorder="1"/>
    <xf numFmtId="0" fontId="44" fillId="0" borderId="0" xfId="1" applyFont="1" applyAlignment="1">
      <alignment horizontal="center"/>
    </xf>
    <xf numFmtId="0" fontId="43" fillId="0" borderId="0" xfId="1"/>
    <xf numFmtId="164" fontId="46" fillId="3" borderId="7" xfId="1" applyNumberFormat="1" applyFont="1" applyFill="1" applyBorder="1" applyAlignment="1">
      <alignment horizontal="center"/>
    </xf>
    <xf numFmtId="164" fontId="46" fillId="4" borderId="1" xfId="1" applyNumberFormat="1" applyFont="1" applyFill="1" applyBorder="1" applyAlignment="1">
      <alignment horizontal="center"/>
    </xf>
    <xf numFmtId="0" fontId="46" fillId="5" borderId="5" xfId="1" applyFont="1" applyFill="1" applyBorder="1" applyAlignment="1">
      <alignment horizontal="center" vertical="top"/>
    </xf>
    <xf numFmtId="0" fontId="39" fillId="0" borderId="6" xfId="1" applyFont="1" applyBorder="1"/>
    <xf numFmtId="0" fontId="39" fillId="0" borderId="7" xfId="1" applyFont="1" applyBorder="1"/>
    <xf numFmtId="0" fontId="44" fillId="6" borderId="1" xfId="1" applyFont="1" applyFill="1" applyBorder="1" applyAlignment="1">
      <alignment horizontal="center"/>
    </xf>
    <xf numFmtId="165" fontId="44" fillId="7" borderId="7" xfId="1" applyNumberFormat="1" applyFont="1" applyFill="1" applyBorder="1" applyAlignment="1">
      <alignment horizontal="center" wrapText="1"/>
    </xf>
    <xf numFmtId="165" fontId="44" fillId="8" borderId="1" xfId="1" applyNumberFormat="1" applyFont="1" applyFill="1" applyBorder="1" applyAlignment="1">
      <alignment horizontal="center"/>
    </xf>
    <xf numFmtId="165" fontId="44" fillId="7" borderId="1" xfId="1" applyNumberFormat="1" applyFont="1" applyFill="1" applyBorder="1" applyAlignment="1">
      <alignment horizontal="center" wrapText="1"/>
    </xf>
    <xf numFmtId="0" fontId="47" fillId="0" borderId="3" xfId="1" applyFont="1" applyBorder="1"/>
    <xf numFmtId="0" fontId="47" fillId="0" borderId="4" xfId="1" applyFont="1" applyBorder="1"/>
    <xf numFmtId="0" fontId="42" fillId="2" borderId="9" xfId="1" applyFont="1" applyFill="1" applyBorder="1"/>
    <xf numFmtId="0" fontId="5" fillId="0" borderId="0" xfId="0" applyFont="1" applyAlignment="1">
      <alignment horizontal="center"/>
    </xf>
    <xf numFmtId="165" fontId="2" fillId="2" borderId="1" xfId="0" applyNumberFormat="1" applyFont="1" applyFill="1" applyBorder="1"/>
    <xf numFmtId="164" fontId="3" fillId="3" borderId="7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/>
    </xf>
    <xf numFmtId="165" fontId="5" fillId="7" borderId="7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top"/>
    </xf>
    <xf numFmtId="165" fontId="5" fillId="7" borderId="20" xfId="0" applyNumberFormat="1" applyFont="1" applyFill="1" applyBorder="1" applyAlignment="1">
      <alignment horizontal="center" wrapText="1"/>
    </xf>
    <xf numFmtId="0" fontId="67" fillId="0" borderId="1" xfId="0" applyFont="1" applyBorder="1"/>
    <xf numFmtId="165" fontId="2" fillId="10" borderId="20" xfId="0" applyNumberFormat="1" applyFont="1" applyFill="1" applyBorder="1"/>
    <xf numFmtId="165" fontId="2" fillId="10" borderId="21" xfId="0" applyNumberFormat="1" applyFont="1" applyFill="1" applyBorder="1"/>
    <xf numFmtId="165" fontId="2" fillId="11" borderId="20" xfId="0" applyNumberFormat="1" applyFont="1" applyFill="1" applyBorder="1"/>
    <xf numFmtId="165" fontId="5" fillId="12" borderId="21" xfId="0" applyNumberFormat="1" applyFont="1" applyFill="1" applyBorder="1" applyAlignment="1">
      <alignment horizontal="right"/>
    </xf>
    <xf numFmtId="165" fontId="5" fillId="12" borderId="10" xfId="0" applyNumberFormat="1" applyFont="1" applyFill="1" applyBorder="1" applyAlignment="1">
      <alignment horizontal="right"/>
    </xf>
    <xf numFmtId="0" fontId="8" fillId="12" borderId="9" xfId="0" applyFont="1" applyFill="1" applyBorder="1"/>
    <xf numFmtId="0" fontId="8" fillId="12" borderId="10" xfId="0" applyFont="1" applyFill="1" applyBorder="1" applyAlignment="1">
      <alignment horizontal="center"/>
    </xf>
    <xf numFmtId="165" fontId="8" fillId="12" borderId="21" xfId="0" applyNumberFormat="1" applyFont="1" applyFill="1" applyBorder="1" applyAlignment="1">
      <alignment horizontal="right"/>
    </xf>
    <xf numFmtId="165" fontId="8" fillId="12" borderId="10" xfId="0" applyNumberFormat="1" applyFont="1" applyFill="1" applyBorder="1" applyAlignment="1">
      <alignment horizontal="right"/>
    </xf>
    <xf numFmtId="165" fontId="7" fillId="12" borderId="21" xfId="0" applyNumberFormat="1" applyFont="1" applyFill="1" applyBorder="1" applyAlignment="1">
      <alignment horizontal="right"/>
    </xf>
    <xf numFmtId="165" fontId="7" fillId="12" borderId="10" xfId="0" applyNumberFormat="1" applyFont="1" applyFill="1" applyBorder="1" applyAlignment="1">
      <alignment horizontal="right"/>
    </xf>
    <xf numFmtId="165" fontId="7" fillId="2" borderId="21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165" fontId="8" fillId="2" borderId="21" xfId="0" applyNumberFormat="1" applyFont="1" applyFill="1" applyBorder="1" applyAlignment="1">
      <alignment horizontal="right"/>
    </xf>
    <xf numFmtId="165" fontId="2" fillId="2" borderId="21" xfId="0" applyNumberFormat="1" applyFont="1" applyFill="1" applyBorder="1"/>
    <xf numFmtId="165" fontId="2" fillId="2" borderId="20" xfId="0" applyNumberFormat="1" applyFont="1" applyFill="1" applyBorder="1"/>
    <xf numFmtId="165" fontId="5" fillId="13" borderId="20" xfId="0" applyNumberFormat="1" applyFont="1" applyFill="1" applyBorder="1" applyAlignment="1">
      <alignment horizontal="right"/>
    </xf>
    <xf numFmtId="165" fontId="5" fillId="13" borderId="2" xfId="0" applyNumberFormat="1" applyFont="1" applyFill="1" applyBorder="1" applyAlignment="1">
      <alignment horizontal="right"/>
    </xf>
    <xf numFmtId="165" fontId="2" fillId="15" borderId="21" xfId="0" applyNumberFormat="1" applyFont="1" applyFill="1" applyBorder="1"/>
    <xf numFmtId="0" fontId="6" fillId="16" borderId="9" xfId="0" applyFont="1" applyFill="1" applyBorder="1"/>
    <xf numFmtId="165" fontId="5" fillId="16" borderId="21" xfId="0" applyNumberFormat="1" applyFont="1" applyFill="1" applyBorder="1" applyAlignment="1">
      <alignment horizontal="right"/>
    </xf>
    <xf numFmtId="165" fontId="5" fillId="16" borderId="10" xfId="0" applyNumberFormat="1" applyFont="1" applyFill="1" applyBorder="1" applyAlignment="1">
      <alignment horizontal="right"/>
    </xf>
    <xf numFmtId="0" fontId="8" fillId="16" borderId="9" xfId="0" applyFont="1" applyFill="1" applyBorder="1"/>
    <xf numFmtId="0" fontId="8" fillId="16" borderId="10" xfId="0" applyFont="1" applyFill="1" applyBorder="1" applyAlignment="1">
      <alignment horizontal="center"/>
    </xf>
    <xf numFmtId="165" fontId="8" fillId="16" borderId="21" xfId="0" applyNumberFormat="1" applyFont="1" applyFill="1" applyBorder="1" applyAlignment="1">
      <alignment horizontal="right"/>
    </xf>
    <xf numFmtId="165" fontId="8" fillId="16" borderId="10" xfId="0" applyNumberFormat="1" applyFont="1" applyFill="1" applyBorder="1" applyAlignment="1">
      <alignment horizontal="right"/>
    </xf>
    <xf numFmtId="165" fontId="7" fillId="16" borderId="21" xfId="0" applyNumberFormat="1" applyFont="1" applyFill="1" applyBorder="1" applyAlignment="1">
      <alignment horizontal="right"/>
    </xf>
    <xf numFmtId="165" fontId="7" fillId="16" borderId="10" xfId="0" applyNumberFormat="1" applyFont="1" applyFill="1" applyBorder="1" applyAlignment="1">
      <alignment horizontal="right"/>
    </xf>
    <xf numFmtId="165" fontId="2" fillId="18" borderId="21" xfId="0" applyNumberFormat="1" applyFont="1" applyFill="1" applyBorder="1"/>
    <xf numFmtId="165" fontId="2" fillId="19" borderId="21" xfId="0" applyNumberFormat="1" applyFont="1" applyFill="1" applyBorder="1"/>
    <xf numFmtId="0" fontId="6" fillId="20" borderId="9" xfId="0" applyFont="1" applyFill="1" applyBorder="1"/>
    <xf numFmtId="165" fontId="5" fillId="20" borderId="21" xfId="0" applyNumberFormat="1" applyFont="1" applyFill="1" applyBorder="1" applyAlignment="1">
      <alignment horizontal="right"/>
    </xf>
    <xf numFmtId="165" fontId="5" fillId="20" borderId="10" xfId="0" applyNumberFormat="1" applyFont="1" applyFill="1" applyBorder="1" applyAlignment="1">
      <alignment horizontal="right"/>
    </xf>
    <xf numFmtId="0" fontId="8" fillId="20" borderId="9" xfId="0" applyFont="1" applyFill="1" applyBorder="1"/>
    <xf numFmtId="0" fontId="8" fillId="20" borderId="10" xfId="0" applyFont="1" applyFill="1" applyBorder="1" applyAlignment="1">
      <alignment horizontal="center"/>
    </xf>
    <xf numFmtId="165" fontId="8" fillId="20" borderId="21" xfId="0" applyNumberFormat="1" applyFont="1" applyFill="1" applyBorder="1" applyAlignment="1">
      <alignment horizontal="right"/>
    </xf>
    <xf numFmtId="165" fontId="8" fillId="20" borderId="10" xfId="0" applyNumberFormat="1" applyFont="1" applyFill="1" applyBorder="1" applyAlignment="1">
      <alignment horizontal="right"/>
    </xf>
    <xf numFmtId="165" fontId="7" fillId="20" borderId="21" xfId="0" applyNumberFormat="1" applyFont="1" applyFill="1" applyBorder="1" applyAlignment="1">
      <alignment horizontal="right"/>
    </xf>
    <xf numFmtId="165" fontId="7" fillId="20" borderId="10" xfId="0" applyNumberFormat="1" applyFont="1" applyFill="1" applyBorder="1" applyAlignment="1">
      <alignment horizontal="right"/>
    </xf>
    <xf numFmtId="165" fontId="7" fillId="2" borderId="20" xfId="0" applyNumberFormat="1" applyFont="1" applyFill="1" applyBorder="1" applyAlignment="1">
      <alignment horizontal="right"/>
    </xf>
    <xf numFmtId="165" fontId="2" fillId="22" borderId="21" xfId="0" applyNumberFormat="1" applyFont="1" applyFill="1" applyBorder="1"/>
    <xf numFmtId="166" fontId="5" fillId="12" borderId="10" xfId="0" applyNumberFormat="1" applyFont="1" applyFill="1" applyBorder="1" applyAlignment="1">
      <alignment horizontal="right"/>
    </xf>
    <xf numFmtId="165" fontId="2" fillId="12" borderId="21" xfId="0" applyNumberFormat="1" applyFont="1" applyFill="1" applyBorder="1"/>
    <xf numFmtId="0" fontId="6" fillId="2" borderId="9" xfId="0" applyFont="1" applyFill="1" applyBorder="1"/>
    <xf numFmtId="165" fontId="5" fillId="2" borderId="21" xfId="0" applyNumberFormat="1" applyFont="1" applyFill="1" applyBorder="1" applyAlignment="1">
      <alignment horizontal="right"/>
    </xf>
    <xf numFmtId="165" fontId="5" fillId="2" borderId="10" xfId="0" applyNumberFormat="1" applyFont="1" applyFill="1" applyBorder="1" applyAlignment="1">
      <alignment horizontal="right"/>
    </xf>
    <xf numFmtId="0" fontId="6" fillId="23" borderId="9" xfId="0" quotePrefix="1" applyFont="1" applyFill="1" applyBorder="1"/>
    <xf numFmtId="165" fontId="2" fillId="0" borderId="21" xfId="0" applyNumberFormat="1" applyFont="1" applyBorder="1"/>
    <xf numFmtId="165" fontId="5" fillId="0" borderId="10" xfId="0" applyNumberFormat="1" applyFont="1" applyBorder="1" applyAlignment="1">
      <alignment horizontal="right"/>
    </xf>
    <xf numFmtId="166" fontId="7" fillId="0" borderId="10" xfId="0" applyNumberFormat="1" applyFont="1" applyBorder="1" applyAlignment="1">
      <alignment horizontal="right"/>
    </xf>
    <xf numFmtId="166" fontId="7" fillId="24" borderId="10" xfId="0" applyNumberFormat="1" applyFont="1" applyFill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4" fontId="2" fillId="0" borderId="11" xfId="0" applyNumberFormat="1" applyFont="1" applyBorder="1"/>
    <xf numFmtId="0" fontId="7" fillId="0" borderId="13" xfId="0" applyFont="1" applyBorder="1" applyAlignment="1">
      <alignment horizontal="center"/>
    </xf>
    <xf numFmtId="166" fontId="7" fillId="0" borderId="13" xfId="0" applyNumberFormat="1" applyFont="1" applyBorder="1" applyAlignment="1">
      <alignment horizontal="right"/>
    </xf>
    <xf numFmtId="164" fontId="5" fillId="22" borderId="11" xfId="0" applyNumberFormat="1" applyFont="1" applyFill="1" applyBorder="1"/>
    <xf numFmtId="164" fontId="2" fillId="22" borderId="12" xfId="0" applyNumberFormat="1" applyFont="1" applyFill="1" applyBorder="1"/>
    <xf numFmtId="167" fontId="2" fillId="22" borderId="12" xfId="0" applyNumberFormat="1" applyFont="1" applyFill="1" applyBorder="1"/>
    <xf numFmtId="0" fontId="2" fillId="22" borderId="12" xfId="0" applyFont="1" applyFill="1" applyBorder="1"/>
    <xf numFmtId="166" fontId="2" fillId="22" borderId="12" xfId="0" applyNumberFormat="1" applyFont="1" applyFill="1" applyBorder="1"/>
    <xf numFmtId="165" fontId="2" fillId="22" borderId="12" xfId="0" applyNumberFormat="1" applyFont="1" applyFill="1" applyBorder="1"/>
    <xf numFmtId="164" fontId="9" fillId="2" borderId="9" xfId="0" applyNumberFormat="1" applyFont="1" applyFill="1" applyBorder="1"/>
    <xf numFmtId="166" fontId="8" fillId="24" borderId="10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center"/>
    </xf>
    <xf numFmtId="166" fontId="8" fillId="24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165" fontId="2" fillId="25" borderId="21" xfId="0" applyNumberFormat="1" applyFont="1" applyFill="1" applyBorder="1"/>
    <xf numFmtId="166" fontId="5" fillId="23" borderId="10" xfId="0" applyNumberFormat="1" applyFont="1" applyFill="1" applyBorder="1" applyAlignment="1">
      <alignment horizontal="right"/>
    </xf>
    <xf numFmtId="165" fontId="5" fillId="23" borderId="10" xfId="0" applyNumberFormat="1" applyFont="1" applyFill="1" applyBorder="1" applyAlignment="1">
      <alignment horizontal="right"/>
    </xf>
    <xf numFmtId="165" fontId="2" fillId="23" borderId="21" xfId="0" applyNumberFormat="1" applyFont="1" applyFill="1" applyBorder="1"/>
    <xf numFmtId="0" fontId="8" fillId="2" borderId="10" xfId="0" applyFont="1" applyFill="1" applyBorder="1" applyAlignment="1">
      <alignment horizontal="center" wrapText="1"/>
    </xf>
    <xf numFmtId="165" fontId="2" fillId="26" borderId="21" xfId="0" applyNumberFormat="1" applyFont="1" applyFill="1" applyBorder="1"/>
    <xf numFmtId="0" fontId="6" fillId="2" borderId="9" xfId="0" quotePrefix="1" applyFont="1" applyFill="1" applyBorder="1"/>
    <xf numFmtId="165" fontId="5" fillId="24" borderId="10" xfId="0" applyNumberFormat="1" applyFont="1" applyFill="1" applyBorder="1" applyAlignment="1">
      <alignment horizontal="right"/>
    </xf>
    <xf numFmtId="165" fontId="5" fillId="2" borderId="22" xfId="0" applyNumberFormat="1" applyFont="1" applyFill="1" applyBorder="1" applyAlignment="1">
      <alignment horizontal="right"/>
    </xf>
    <xf numFmtId="165" fontId="5" fillId="2" borderId="13" xfId="0" applyNumberFormat="1" applyFont="1" applyFill="1" applyBorder="1" applyAlignment="1">
      <alignment horizontal="right"/>
    </xf>
    <xf numFmtId="0" fontId="7" fillId="2" borderId="12" xfId="0" applyFont="1" applyFill="1" applyBorder="1"/>
    <xf numFmtId="165" fontId="7" fillId="24" borderId="10" xfId="0" applyNumberFormat="1" applyFont="1" applyFill="1" applyBorder="1" applyAlignment="1">
      <alignment horizontal="right"/>
    </xf>
    <xf numFmtId="165" fontId="16" fillId="2" borderId="21" xfId="0" applyNumberFormat="1" applyFont="1" applyFill="1" applyBorder="1" applyAlignment="1">
      <alignment horizontal="right"/>
    </xf>
    <xf numFmtId="165" fontId="16" fillId="2" borderId="10" xfId="0" applyNumberFormat="1" applyFont="1" applyFill="1" applyBorder="1" applyAlignment="1">
      <alignment horizontal="right"/>
    </xf>
    <xf numFmtId="165" fontId="68" fillId="2" borderId="22" xfId="0" applyNumberFormat="1" applyFont="1" applyFill="1" applyBorder="1" applyAlignment="1">
      <alignment horizontal="right"/>
    </xf>
    <xf numFmtId="165" fontId="68" fillId="2" borderId="13" xfId="0" applyNumberFormat="1" applyFont="1" applyFill="1" applyBorder="1" applyAlignment="1">
      <alignment horizontal="right"/>
    </xf>
    <xf numFmtId="165" fontId="68" fillId="2" borderId="21" xfId="0" applyNumberFormat="1" applyFont="1" applyFill="1" applyBorder="1" applyAlignment="1">
      <alignment horizontal="right"/>
    </xf>
    <xf numFmtId="165" fontId="68" fillId="2" borderId="10" xfId="0" applyNumberFormat="1" applyFont="1" applyFill="1" applyBorder="1" applyAlignment="1">
      <alignment horizontal="right"/>
    </xf>
    <xf numFmtId="0" fontId="16" fillId="26" borderId="9" xfId="0" applyFont="1" applyFill="1" applyBorder="1"/>
    <xf numFmtId="0" fontId="16" fillId="26" borderId="10" xfId="0" applyFont="1" applyFill="1" applyBorder="1" applyAlignment="1">
      <alignment horizontal="center" wrapText="1"/>
    </xf>
    <xf numFmtId="166" fontId="16" fillId="26" borderId="10" xfId="0" applyNumberFormat="1" applyFont="1" applyFill="1" applyBorder="1" applyAlignment="1">
      <alignment horizontal="right"/>
    </xf>
    <xf numFmtId="165" fontId="16" fillId="26" borderId="10" xfId="0" applyNumberFormat="1" applyFont="1" applyFill="1" applyBorder="1" applyAlignment="1">
      <alignment horizontal="right"/>
    </xf>
    <xf numFmtId="0" fontId="16" fillId="2" borderId="9" xfId="0" applyFont="1" applyFill="1" applyBorder="1"/>
    <xf numFmtId="0" fontId="18" fillId="2" borderId="9" xfId="0" applyFont="1" applyFill="1" applyBorder="1"/>
    <xf numFmtId="164" fontId="16" fillId="2" borderId="9" xfId="0" applyNumberFormat="1" applyFont="1" applyFill="1" applyBorder="1"/>
    <xf numFmtId="0" fontId="18" fillId="23" borderId="9" xfId="0" quotePrefix="1" applyFont="1" applyFill="1" applyBorder="1"/>
    <xf numFmtId="0" fontId="8" fillId="0" borderId="10" xfId="0" applyFont="1" applyBorder="1" applyAlignment="1">
      <alignment horizontal="center"/>
    </xf>
    <xf numFmtId="164" fontId="8" fillId="0" borderId="9" xfId="0" quotePrefix="1" applyNumberFormat="1" applyFont="1" applyBorder="1"/>
    <xf numFmtId="0" fontId="8" fillId="0" borderId="9" xfId="0" quotePrefix="1" applyFont="1" applyBorder="1"/>
    <xf numFmtId="0" fontId="18" fillId="2" borderId="9" xfId="0" quotePrefix="1" applyFont="1" applyFill="1" applyBorder="1"/>
    <xf numFmtId="164" fontId="1" fillId="25" borderId="8" xfId="0" applyNumberFormat="1" applyFont="1" applyFill="1" applyBorder="1"/>
    <xf numFmtId="164" fontId="69" fillId="25" borderId="9" xfId="0" applyNumberFormat="1" applyFont="1" applyFill="1" applyBorder="1"/>
    <xf numFmtId="0" fontId="69" fillId="25" borderId="9" xfId="0" applyFont="1" applyFill="1" applyBorder="1"/>
    <xf numFmtId="0" fontId="69" fillId="25" borderId="10" xfId="0" applyFont="1" applyFill="1" applyBorder="1"/>
    <xf numFmtId="166" fontId="69" fillId="25" borderId="10" xfId="0" applyNumberFormat="1" applyFont="1" applyFill="1" applyBorder="1"/>
    <xf numFmtId="165" fontId="69" fillId="25" borderId="10" xfId="0" applyNumberFormat="1" applyFont="1" applyFill="1" applyBorder="1"/>
    <xf numFmtId="165" fontId="69" fillId="25" borderId="21" xfId="0" applyNumberFormat="1" applyFont="1" applyFill="1" applyBorder="1"/>
    <xf numFmtId="164" fontId="69" fillId="23" borderId="8" xfId="0" applyNumberFormat="1" applyFont="1" applyFill="1" applyBorder="1"/>
    <xf numFmtId="0" fontId="1" fillId="23" borderId="9" xfId="0" applyFont="1" applyFill="1" applyBorder="1"/>
    <xf numFmtId="164" fontId="69" fillId="23" borderId="9" xfId="0" applyNumberFormat="1" applyFont="1" applyFill="1" applyBorder="1"/>
    <xf numFmtId="0" fontId="69" fillId="23" borderId="9" xfId="0" applyFont="1" applyFill="1" applyBorder="1"/>
    <xf numFmtId="0" fontId="69" fillId="23" borderId="10" xfId="0" applyFont="1" applyFill="1" applyBorder="1"/>
    <xf numFmtId="0" fontId="1" fillId="23" borderId="10" xfId="0" applyFont="1" applyFill="1" applyBorder="1" applyAlignment="1">
      <alignment horizontal="center" wrapText="1"/>
    </xf>
    <xf numFmtId="166" fontId="1" fillId="23" borderId="10" xfId="0" applyNumberFormat="1" applyFont="1" applyFill="1" applyBorder="1"/>
    <xf numFmtId="165" fontId="1" fillId="23" borderId="10" xfId="0" applyNumberFormat="1" applyFont="1" applyFill="1" applyBorder="1" applyAlignment="1">
      <alignment horizontal="right"/>
    </xf>
    <xf numFmtId="165" fontId="69" fillId="23" borderId="21" xfId="0" applyNumberFormat="1" applyFont="1" applyFill="1" applyBorder="1"/>
    <xf numFmtId="165" fontId="69" fillId="23" borderId="10" xfId="0" applyNumberFormat="1" applyFont="1" applyFill="1" applyBorder="1"/>
    <xf numFmtId="167" fontId="69" fillId="2" borderId="8" xfId="0" applyNumberFormat="1" applyFont="1" applyFill="1" applyBorder="1"/>
    <xf numFmtId="0" fontId="69" fillId="2" borderId="9" xfId="0" applyFont="1" applyFill="1" applyBorder="1"/>
    <xf numFmtId="0" fontId="1" fillId="2" borderId="9" xfId="0" applyFont="1" applyFill="1" applyBorder="1"/>
    <xf numFmtId="0" fontId="70" fillId="2" borderId="9" xfId="0" applyFont="1" applyFill="1" applyBorder="1"/>
    <xf numFmtId="0" fontId="69" fillId="2" borderId="10" xfId="0" applyFont="1" applyFill="1" applyBorder="1"/>
    <xf numFmtId="164" fontId="1" fillId="2" borderId="10" xfId="0" applyNumberFormat="1" applyFont="1" applyFill="1" applyBorder="1" applyAlignment="1">
      <alignment horizontal="center"/>
    </xf>
    <xf numFmtId="166" fontId="69" fillId="2" borderId="10" xfId="0" applyNumberFormat="1" applyFont="1" applyFill="1" applyBorder="1"/>
    <xf numFmtId="165" fontId="69" fillId="2" borderId="10" xfId="0" applyNumberFormat="1" applyFont="1" applyFill="1" applyBorder="1"/>
    <xf numFmtId="165" fontId="1" fillId="2" borderId="21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167" fontId="71" fillId="2" borderId="8" xfId="0" applyNumberFormat="1" applyFont="1" applyFill="1" applyBorder="1"/>
    <xf numFmtId="0" fontId="71" fillId="2" borderId="9" xfId="0" applyFont="1" applyFill="1" applyBorder="1"/>
    <xf numFmtId="0" fontId="71" fillId="2" borderId="10" xfId="0" applyFont="1" applyFill="1" applyBorder="1"/>
    <xf numFmtId="166" fontId="71" fillId="2" borderId="10" xfId="0" applyNumberFormat="1" applyFont="1" applyFill="1" applyBorder="1"/>
    <xf numFmtId="165" fontId="71" fillId="2" borderId="10" xfId="0" applyNumberFormat="1" applyFont="1" applyFill="1" applyBorder="1"/>
    <xf numFmtId="0" fontId="23" fillId="2" borderId="9" xfId="0" applyFont="1" applyFill="1" applyBorder="1"/>
    <xf numFmtId="164" fontId="23" fillId="2" borderId="10" xfId="0" applyNumberFormat="1" applyFont="1" applyFill="1" applyBorder="1" applyAlignment="1">
      <alignment horizontal="center"/>
    </xf>
    <xf numFmtId="165" fontId="23" fillId="2" borderId="21" xfId="0" applyNumberFormat="1" applyFont="1" applyFill="1" applyBorder="1" applyAlignment="1">
      <alignment horizontal="right"/>
    </xf>
    <xf numFmtId="165" fontId="23" fillId="2" borderId="10" xfId="0" applyNumberFormat="1" applyFont="1" applyFill="1" applyBorder="1" applyAlignment="1">
      <alignment horizontal="right"/>
    </xf>
    <xf numFmtId="0" fontId="72" fillId="2" borderId="9" xfId="0" applyFont="1" applyFill="1" applyBorder="1"/>
    <xf numFmtId="164" fontId="23" fillId="0" borderId="10" xfId="0" applyNumberFormat="1" applyFont="1" applyBorder="1" applyAlignment="1">
      <alignment horizontal="center" wrapText="1"/>
    </xf>
    <xf numFmtId="166" fontId="69" fillId="0" borderId="10" xfId="0" applyNumberFormat="1" applyFont="1" applyBorder="1"/>
    <xf numFmtId="165" fontId="69" fillId="0" borderId="10" xfId="0" applyNumberFormat="1" applyFont="1" applyBorder="1"/>
    <xf numFmtId="166" fontId="71" fillId="0" borderId="10" xfId="0" applyNumberFormat="1" applyFont="1" applyBorder="1"/>
    <xf numFmtId="165" fontId="71" fillId="0" borderId="10" xfId="0" applyNumberFormat="1" applyFont="1" applyBorder="1"/>
    <xf numFmtId="164" fontId="23" fillId="0" borderId="10" xfId="0" applyNumberFormat="1" applyFont="1" applyBorder="1" applyAlignment="1">
      <alignment horizontal="center"/>
    </xf>
    <xf numFmtId="164" fontId="69" fillId="0" borderId="8" xfId="0" applyNumberFormat="1" applyFont="1" applyBorder="1"/>
    <xf numFmtId="164" fontId="69" fillId="0" borderId="9" xfId="0" applyNumberFormat="1" applyFont="1" applyBorder="1"/>
    <xf numFmtId="0" fontId="70" fillId="23" borderId="9" xfId="0" quotePrefix="1" applyFont="1" applyFill="1" applyBorder="1"/>
    <xf numFmtId="0" fontId="69" fillId="0" borderId="10" xfId="0" applyFont="1" applyBorder="1"/>
    <xf numFmtId="165" fontId="69" fillId="0" borderId="21" xfId="0" applyNumberFormat="1" applyFont="1" applyBorder="1"/>
    <xf numFmtId="46" fontId="2" fillId="2" borderId="11" xfId="0" applyNumberFormat="1" applyFont="1" applyFill="1" applyBorder="1"/>
    <xf numFmtId="0" fontId="7" fillId="2" borderId="12" xfId="0" quotePrefix="1" applyFont="1" applyFill="1" applyBorder="1"/>
    <xf numFmtId="164" fontId="7" fillId="2" borderId="13" xfId="0" applyNumberFormat="1" applyFont="1" applyFill="1" applyBorder="1" applyAlignment="1">
      <alignment horizontal="center"/>
    </xf>
    <xf numFmtId="0" fontId="8" fillId="0" borderId="1" xfId="0" quotePrefix="1" applyFont="1" applyBorder="1"/>
    <xf numFmtId="0" fontId="8" fillId="2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right"/>
    </xf>
    <xf numFmtId="165" fontId="2" fillId="0" borderId="20" xfId="0" applyNumberFormat="1" applyFont="1" applyBorder="1"/>
    <xf numFmtId="165" fontId="2" fillId="29" borderId="21" xfId="0" applyNumberFormat="1" applyFont="1" applyFill="1" applyBorder="1"/>
    <xf numFmtId="166" fontId="5" fillId="30" borderId="10" xfId="0" applyNumberFormat="1" applyFont="1" applyFill="1" applyBorder="1" applyAlignment="1">
      <alignment horizontal="right"/>
    </xf>
    <xf numFmtId="165" fontId="5" fillId="30" borderId="10" xfId="0" applyNumberFormat="1" applyFont="1" applyFill="1" applyBorder="1" applyAlignment="1">
      <alignment horizontal="right"/>
    </xf>
    <xf numFmtId="165" fontId="2" fillId="30" borderId="21" xfId="0" applyNumberFormat="1" applyFont="1" applyFill="1" applyBorder="1"/>
    <xf numFmtId="165" fontId="2" fillId="32" borderId="21" xfId="0" applyNumberFormat="1" applyFont="1" applyFill="1" applyBorder="1"/>
    <xf numFmtId="166" fontId="5" fillId="33" borderId="10" xfId="0" applyNumberFormat="1" applyFont="1" applyFill="1" applyBorder="1" applyAlignment="1">
      <alignment horizontal="right"/>
    </xf>
    <xf numFmtId="165" fontId="5" fillId="33" borderId="10" xfId="0" applyNumberFormat="1" applyFont="1" applyFill="1" applyBorder="1" applyAlignment="1">
      <alignment horizontal="right"/>
    </xf>
    <xf numFmtId="165" fontId="2" fillId="33" borderId="21" xfId="0" applyNumberFormat="1" applyFont="1" applyFill="1" applyBorder="1"/>
    <xf numFmtId="0" fontId="7" fillId="10" borderId="9" xfId="0" applyFont="1" applyFill="1" applyBorder="1"/>
    <xf numFmtId="166" fontId="7" fillId="10" borderId="10" xfId="0" applyNumberFormat="1" applyFont="1" applyFill="1" applyBorder="1" applyAlignment="1">
      <alignment horizontal="right"/>
    </xf>
    <xf numFmtId="0" fontId="7" fillId="10" borderId="10" xfId="0" applyFont="1" applyFill="1" applyBorder="1" applyAlignment="1">
      <alignment horizontal="center"/>
    </xf>
    <xf numFmtId="165" fontId="7" fillId="10" borderId="10" xfId="0" applyNumberFormat="1" applyFont="1" applyFill="1" applyBorder="1" applyAlignment="1">
      <alignment horizontal="right"/>
    </xf>
    <xf numFmtId="0" fontId="8" fillId="10" borderId="9" xfId="0" applyFont="1" applyFill="1" applyBorder="1"/>
    <xf numFmtId="0" fontId="8" fillId="10" borderId="10" xfId="0" applyFont="1" applyFill="1" applyBorder="1" applyAlignment="1">
      <alignment horizontal="center"/>
    </xf>
    <xf numFmtId="166" fontId="8" fillId="10" borderId="10" xfId="0" applyNumberFormat="1" applyFont="1" applyFill="1" applyBorder="1" applyAlignment="1">
      <alignment horizontal="right"/>
    </xf>
    <xf numFmtId="165" fontId="8" fillId="10" borderId="10" xfId="0" applyNumberFormat="1" applyFont="1" applyFill="1" applyBorder="1" applyAlignment="1">
      <alignment horizontal="right"/>
    </xf>
    <xf numFmtId="166" fontId="5" fillId="33" borderId="22" xfId="0" applyNumberFormat="1" applyFont="1" applyFill="1" applyBorder="1" applyAlignment="1">
      <alignment horizontal="right"/>
    </xf>
    <xf numFmtId="166" fontId="5" fillId="33" borderId="13" xfId="0" applyNumberFormat="1" applyFont="1" applyFill="1" applyBorder="1" applyAlignment="1">
      <alignment horizontal="right"/>
    </xf>
    <xf numFmtId="165" fontId="5" fillId="33" borderId="13" xfId="0" applyNumberFormat="1" applyFont="1" applyFill="1" applyBorder="1" applyAlignment="1">
      <alignment horizontal="right"/>
    </xf>
    <xf numFmtId="164" fontId="2" fillId="26" borderId="11" xfId="0" applyNumberFormat="1" applyFont="1" applyFill="1" applyBorder="1"/>
    <xf numFmtId="0" fontId="2" fillId="26" borderId="12" xfId="0" applyFont="1" applyFill="1" applyBorder="1"/>
    <xf numFmtId="164" fontId="2" fillId="26" borderId="12" xfId="0" applyNumberFormat="1" applyFont="1" applyFill="1" applyBorder="1"/>
    <xf numFmtId="164" fontId="6" fillId="26" borderId="12" xfId="0" applyNumberFormat="1" applyFont="1" applyFill="1" applyBorder="1"/>
    <xf numFmtId="0" fontId="2" fillId="26" borderId="13" xfId="0" applyFont="1" applyFill="1" applyBorder="1"/>
    <xf numFmtId="0" fontId="5" fillId="26" borderId="13" xfId="0" applyFont="1" applyFill="1" applyBorder="1" applyAlignment="1">
      <alignment horizontal="center" wrapText="1"/>
    </xf>
    <xf numFmtId="166" fontId="5" fillId="26" borderId="13" xfId="0" applyNumberFormat="1" applyFont="1" applyFill="1" applyBorder="1" applyAlignment="1">
      <alignment horizontal="right"/>
    </xf>
    <xf numFmtId="165" fontId="5" fillId="26" borderId="13" xfId="0" applyNumberFormat="1" applyFont="1" applyFill="1" applyBorder="1" applyAlignment="1">
      <alignment horizontal="right"/>
    </xf>
    <xf numFmtId="0" fontId="6" fillId="26" borderId="9" xfId="0" applyFont="1" applyFill="1" applyBorder="1"/>
    <xf numFmtId="170" fontId="7" fillId="2" borderId="10" xfId="0" applyNumberFormat="1" applyFont="1" applyFill="1" applyBorder="1" applyAlignment="1">
      <alignment horizontal="right"/>
    </xf>
    <xf numFmtId="167" fontId="2" fillId="33" borderId="17" xfId="0" applyNumberFormat="1" applyFont="1" applyFill="1" applyBorder="1"/>
    <xf numFmtId="164" fontId="5" fillId="33" borderId="18" xfId="0" applyNumberFormat="1" applyFont="1" applyFill="1" applyBorder="1"/>
    <xf numFmtId="167" fontId="2" fillId="33" borderId="18" xfId="0" applyNumberFormat="1" applyFont="1" applyFill="1" applyBorder="1"/>
    <xf numFmtId="164" fontId="2" fillId="33" borderId="18" xfId="0" applyNumberFormat="1" applyFont="1" applyFill="1" applyBorder="1"/>
    <xf numFmtId="0" fontId="2" fillId="33" borderId="18" xfId="0" applyFont="1" applyFill="1" applyBorder="1"/>
    <xf numFmtId="0" fontId="2" fillId="33" borderId="19" xfId="0" applyFont="1" applyFill="1" applyBorder="1"/>
    <xf numFmtId="164" fontId="5" fillId="33" borderId="19" xfId="0" applyNumberFormat="1" applyFont="1" applyFill="1" applyBorder="1" applyAlignment="1">
      <alignment horizontal="center" wrapText="1"/>
    </xf>
    <xf numFmtId="166" fontId="5" fillId="33" borderId="19" xfId="0" applyNumberFormat="1" applyFont="1" applyFill="1" applyBorder="1" applyAlignment="1">
      <alignment horizontal="right"/>
    </xf>
    <xf numFmtId="165" fontId="5" fillId="33" borderId="19" xfId="0" applyNumberFormat="1" applyFont="1" applyFill="1" applyBorder="1" applyAlignment="1">
      <alignment horizontal="right"/>
    </xf>
    <xf numFmtId="164" fontId="6" fillId="2" borderId="9" xfId="0" applyNumberFormat="1" applyFont="1" applyFill="1" applyBorder="1"/>
    <xf numFmtId="164" fontId="6" fillId="23" borderId="9" xfId="0" quotePrefix="1" applyNumberFormat="1" applyFont="1" applyFill="1" applyBorder="1"/>
    <xf numFmtId="165" fontId="2" fillId="27" borderId="21" xfId="0" applyNumberFormat="1" applyFont="1" applyFill="1" applyBorder="1"/>
    <xf numFmtId="165" fontId="2" fillId="27" borderId="20" xfId="0" applyNumberFormat="1" applyFont="1" applyFill="1" applyBorder="1"/>
    <xf numFmtId="164" fontId="6" fillId="2" borderId="1" xfId="0" applyNumberFormat="1" applyFont="1" applyFill="1" applyBorder="1"/>
    <xf numFmtId="164" fontId="6" fillId="2" borderId="9" xfId="0" quotePrefix="1" applyNumberFormat="1" applyFont="1" applyFill="1" applyBorder="1"/>
    <xf numFmtId="168" fontId="2" fillId="2" borderId="10" xfId="0" applyNumberFormat="1" applyFont="1" applyFill="1" applyBorder="1"/>
    <xf numFmtId="166" fontId="7" fillId="24" borderId="2" xfId="0" applyNumberFormat="1" applyFont="1" applyFill="1" applyBorder="1" applyAlignment="1">
      <alignment horizontal="right"/>
    </xf>
    <xf numFmtId="164" fontId="16" fillId="34" borderId="7" xfId="0" applyNumberFormat="1" applyFont="1" applyFill="1" applyBorder="1"/>
    <xf numFmtId="165" fontId="2" fillId="35" borderId="20" xfId="0" applyNumberFormat="1" applyFont="1" applyFill="1" applyBorder="1"/>
    <xf numFmtId="164" fontId="16" fillId="36" borderId="8" xfId="0" applyNumberFormat="1" applyFont="1" applyFill="1" applyBorder="1"/>
    <xf numFmtId="165" fontId="2" fillId="36" borderId="23" xfId="0" applyNumberFormat="1" applyFont="1" applyFill="1" applyBorder="1"/>
    <xf numFmtId="0" fontId="16" fillId="37" borderId="9" xfId="0" applyFont="1" applyFill="1" applyBorder="1"/>
    <xf numFmtId="0" fontId="16" fillId="37" borderId="10" xfId="0" applyFont="1" applyFill="1" applyBorder="1" applyAlignment="1">
      <alignment horizontal="center" wrapText="1"/>
    </xf>
    <xf numFmtId="166" fontId="16" fillId="37" borderId="10" xfId="0" applyNumberFormat="1" applyFont="1" applyFill="1" applyBorder="1" applyAlignment="1">
      <alignment horizontal="right"/>
    </xf>
    <xf numFmtId="165" fontId="16" fillId="37" borderId="10" xfId="0" applyNumberFormat="1" applyFont="1" applyFill="1" applyBorder="1" applyAlignment="1">
      <alignment horizontal="right"/>
    </xf>
    <xf numFmtId="165" fontId="2" fillId="37" borderId="21" xfId="0" applyNumberFormat="1" applyFont="1" applyFill="1" applyBorder="1"/>
    <xf numFmtId="164" fontId="16" fillId="2" borderId="10" xfId="0" applyNumberFormat="1" applyFont="1" applyFill="1" applyBorder="1" applyAlignment="1">
      <alignment horizontal="center"/>
    </xf>
    <xf numFmtId="0" fontId="73" fillId="2" borderId="9" xfId="0" applyFont="1" applyFill="1" applyBorder="1"/>
    <xf numFmtId="0" fontId="8" fillId="0" borderId="1" xfId="0" applyFont="1" applyBorder="1"/>
    <xf numFmtId="0" fontId="8" fillId="2" borderId="2" xfId="0" applyFont="1" applyFill="1" applyBorder="1" applyAlignment="1">
      <alignment horizontal="center" wrapText="1"/>
    </xf>
    <xf numFmtId="164" fontId="2" fillId="27" borderId="11" xfId="0" applyNumberFormat="1" applyFont="1" applyFill="1" applyBorder="1"/>
    <xf numFmtId="164" fontId="2" fillId="27" borderId="12" xfId="0" applyNumberFormat="1" applyFont="1" applyFill="1" applyBorder="1"/>
    <xf numFmtId="0" fontId="2" fillId="27" borderId="12" xfId="0" applyFont="1" applyFill="1" applyBorder="1"/>
    <xf numFmtId="0" fontId="2" fillId="27" borderId="13" xfId="0" applyFont="1" applyFill="1" applyBorder="1"/>
    <xf numFmtId="164" fontId="2" fillId="27" borderId="13" xfId="0" applyNumberFormat="1" applyFont="1" applyFill="1" applyBorder="1"/>
    <xf numFmtId="166" fontId="2" fillId="27" borderId="13" xfId="0" applyNumberFormat="1" applyFont="1" applyFill="1" applyBorder="1"/>
    <xf numFmtId="165" fontId="2" fillId="27" borderId="13" xfId="0" applyNumberFormat="1" applyFont="1" applyFill="1" applyBorder="1"/>
    <xf numFmtId="165" fontId="5" fillId="37" borderId="10" xfId="0" applyNumberFormat="1" applyFont="1" applyFill="1" applyBorder="1" applyAlignment="1">
      <alignment horizontal="right"/>
    </xf>
    <xf numFmtId="164" fontId="16" fillId="22" borderId="8" xfId="0" applyNumberFormat="1" applyFont="1" applyFill="1" applyBorder="1"/>
    <xf numFmtId="0" fontId="16" fillId="12" borderId="9" xfId="0" applyFont="1" applyFill="1" applyBorder="1"/>
    <xf numFmtId="164" fontId="16" fillId="12" borderId="9" xfId="0" applyNumberFormat="1" applyFont="1" applyFill="1" applyBorder="1" applyAlignment="1">
      <alignment horizontal="center"/>
    </xf>
    <xf numFmtId="164" fontId="2" fillId="12" borderId="8" xfId="0" applyNumberFormat="1" applyFont="1" applyFill="1" applyBorder="1"/>
    <xf numFmtId="164" fontId="8" fillId="12" borderId="9" xfId="0" applyNumberFormat="1" applyFont="1" applyFill="1" applyBorder="1"/>
    <xf numFmtId="164" fontId="16" fillId="12" borderId="10" xfId="0" applyNumberFormat="1" applyFont="1" applyFill="1" applyBorder="1" applyAlignment="1">
      <alignment horizontal="center"/>
    </xf>
    <xf numFmtId="0" fontId="18" fillId="2" borderId="9" xfId="0" applyFont="1" applyFill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8" fillId="0" borderId="15" xfId="0" applyNumberFormat="1" applyFont="1" applyBorder="1"/>
    <xf numFmtId="0" fontId="2" fillId="0" borderId="15" xfId="0" applyFont="1" applyBorder="1"/>
    <xf numFmtId="0" fontId="2" fillId="0" borderId="16" xfId="0" applyFont="1" applyBorder="1"/>
    <xf numFmtId="164" fontId="8" fillId="0" borderId="16" xfId="0" applyNumberFormat="1" applyFont="1" applyBorder="1" applyAlignment="1">
      <alignment horizontal="center" wrapText="1"/>
    </xf>
    <xf numFmtId="166" fontId="2" fillId="2" borderId="16" xfId="0" applyNumberFormat="1" applyFont="1" applyFill="1" applyBorder="1"/>
    <xf numFmtId="165" fontId="2" fillId="0" borderId="16" xfId="0" applyNumberFormat="1" applyFont="1" applyBorder="1"/>
    <xf numFmtId="165" fontId="2" fillId="2" borderId="24" xfId="0" applyNumberFormat="1" applyFont="1" applyFill="1" applyBorder="1"/>
    <xf numFmtId="165" fontId="2" fillId="2" borderId="16" xfId="0" applyNumberFormat="1" applyFont="1" applyFill="1" applyBorder="1"/>
    <xf numFmtId="165" fontId="2" fillId="38" borderId="20" xfId="0" applyNumberFormat="1" applyFont="1" applyFill="1" applyBorder="1"/>
    <xf numFmtId="165" fontId="2" fillId="39" borderId="21" xfId="0" applyNumberFormat="1" applyFont="1" applyFill="1" applyBorder="1"/>
    <xf numFmtId="166" fontId="5" fillId="40" borderId="10" xfId="0" applyNumberFormat="1" applyFont="1" applyFill="1" applyBorder="1" applyAlignment="1">
      <alignment horizontal="right"/>
    </xf>
    <xf numFmtId="165" fontId="5" fillId="40" borderId="10" xfId="0" applyNumberFormat="1" applyFont="1" applyFill="1" applyBorder="1" applyAlignment="1">
      <alignment horizontal="right"/>
    </xf>
    <xf numFmtId="165" fontId="2" fillId="40" borderId="21" xfId="0" applyNumberFormat="1" applyFont="1" applyFill="1" applyBorder="1"/>
    <xf numFmtId="0" fontId="6" fillId="2" borderId="9" xfId="0" applyFont="1" applyFill="1" applyBorder="1"/>
    <xf numFmtId="164" fontId="6" fillId="23" borderId="9" xfId="0" applyNumberFormat="1" applyFont="1" applyFill="1" applyBorder="1"/>
    <xf numFmtId="0" fontId="6" fillId="23" borderId="9" xfId="0" applyFont="1" applyFill="1" applyBorder="1"/>
    <xf numFmtId="164" fontId="7" fillId="2" borderId="10" xfId="0" applyNumberFormat="1" applyFont="1" applyFill="1" applyBorder="1" applyAlignment="1">
      <alignment horizontal="right"/>
    </xf>
    <xf numFmtId="164" fontId="5" fillId="2" borderId="10" xfId="0" applyNumberFormat="1" applyFont="1" applyFill="1" applyBorder="1" applyAlignment="1">
      <alignment horizontal="right"/>
    </xf>
    <xf numFmtId="169" fontId="2" fillId="2" borderId="21" xfId="0" applyNumberFormat="1" applyFont="1" applyFill="1" applyBorder="1"/>
    <xf numFmtId="169" fontId="2" fillId="2" borderId="20" xfId="0" applyNumberFormat="1" applyFont="1" applyFill="1" applyBorder="1"/>
    <xf numFmtId="166" fontId="7" fillId="39" borderId="10" xfId="0" applyNumberFormat="1" applyFont="1" applyFill="1" applyBorder="1" applyAlignment="1">
      <alignment horizontal="right"/>
    </xf>
    <xf numFmtId="165" fontId="5" fillId="39" borderId="10" xfId="0" applyNumberFormat="1" applyFont="1" applyFill="1" applyBorder="1" applyAlignment="1">
      <alignment horizontal="right"/>
    </xf>
    <xf numFmtId="165" fontId="16" fillId="39" borderId="10" xfId="0" applyNumberFormat="1" applyFont="1" applyFill="1" applyBorder="1" applyAlignment="1">
      <alignment horizontal="right"/>
    </xf>
    <xf numFmtId="0" fontId="18" fillId="23" borderId="9" xfId="0" applyFont="1" applyFill="1" applyBorder="1"/>
    <xf numFmtId="166" fontId="5" fillId="39" borderId="10" xfId="0" applyNumberFormat="1" applyFont="1" applyFill="1" applyBorder="1" applyAlignment="1">
      <alignment horizontal="right"/>
    </xf>
    <xf numFmtId="164" fontId="23" fillId="0" borderId="9" xfId="0" applyNumberFormat="1" applyFont="1" applyBorder="1"/>
    <xf numFmtId="166" fontId="23" fillId="2" borderId="10" xfId="0" applyNumberFormat="1" applyFont="1" applyFill="1" applyBorder="1" applyAlignment="1">
      <alignment horizontal="right"/>
    </xf>
    <xf numFmtId="166" fontId="23" fillId="24" borderId="10" xfId="0" applyNumberFormat="1" applyFont="1" applyFill="1" applyBorder="1" applyAlignment="1">
      <alignment horizontal="right"/>
    </xf>
    <xf numFmtId="165" fontId="69" fillId="2" borderId="21" xfId="0" applyNumberFormat="1" applyFont="1" applyFill="1" applyBorder="1"/>
    <xf numFmtId="164" fontId="69" fillId="2" borderId="10" xfId="0" applyNumberFormat="1" applyFont="1" applyFill="1" applyBorder="1"/>
    <xf numFmtId="0" fontId="69" fillId="0" borderId="9" xfId="0" applyFont="1" applyBorder="1"/>
    <xf numFmtId="164" fontId="1" fillId="0" borderId="9" xfId="0" applyNumberFormat="1" applyFont="1" applyBorder="1"/>
    <xf numFmtId="0" fontId="23" fillId="0" borderId="9" xfId="0" applyFont="1" applyBorder="1"/>
    <xf numFmtId="0" fontId="5" fillId="13" borderId="17" xfId="0" applyFont="1" applyFill="1" applyBorder="1"/>
    <xf numFmtId="0" fontId="5" fillId="13" borderId="18" xfId="0" applyFont="1" applyFill="1" applyBorder="1"/>
    <xf numFmtId="0" fontId="21" fillId="0" borderId="0" xfId="0" applyFont="1"/>
    <xf numFmtId="164" fontId="69" fillId="2" borderId="9" xfId="0" applyNumberFormat="1" applyFont="1" applyFill="1" applyBorder="1"/>
    <xf numFmtId="164" fontId="23" fillId="2" borderId="9" xfId="0" applyNumberFormat="1" applyFont="1" applyFill="1" applyBorder="1"/>
    <xf numFmtId="0" fontId="23" fillId="0" borderId="10" xfId="0" applyFont="1" applyBorder="1" applyAlignment="1">
      <alignment horizontal="center"/>
    </xf>
    <xf numFmtId="164" fontId="23" fillId="0" borderId="9" xfId="0" quotePrefix="1" applyNumberFormat="1" applyFont="1" applyBorder="1"/>
    <xf numFmtId="164" fontId="1" fillId="2" borderId="9" xfId="0" applyNumberFormat="1" applyFont="1" applyFill="1" applyBorder="1"/>
    <xf numFmtId="164" fontId="69" fillId="2" borderId="8" xfId="0" applyNumberFormat="1" applyFont="1" applyFill="1" applyBorder="1"/>
    <xf numFmtId="164" fontId="1" fillId="0" borderId="10" xfId="0" applyNumberFormat="1" applyFont="1" applyBorder="1" applyAlignment="1">
      <alignment horizontal="center" wrapText="1"/>
    </xf>
    <xf numFmtId="165" fontId="1" fillId="26" borderId="10" xfId="0" applyNumberFormat="1" applyFont="1" applyFill="1" applyBorder="1" applyAlignment="1">
      <alignment horizontal="right"/>
    </xf>
    <xf numFmtId="166" fontId="1" fillId="26" borderId="10" xfId="0" applyNumberFormat="1" applyFont="1" applyFill="1" applyBorder="1" applyAlignment="1">
      <alignment horizontal="right"/>
    </xf>
    <xf numFmtId="0" fontId="1" fillId="26" borderId="10" xfId="0" applyFont="1" applyFill="1" applyBorder="1" applyAlignment="1">
      <alignment horizontal="center" wrapText="1"/>
    </xf>
    <xf numFmtId="0" fontId="69" fillId="26" borderId="10" xfId="0" applyFont="1" applyFill="1" applyBorder="1"/>
    <xf numFmtId="0" fontId="69" fillId="26" borderId="9" xfId="0" applyFont="1" applyFill="1" applyBorder="1"/>
    <xf numFmtId="0" fontId="1" fillId="26" borderId="9" xfId="0" applyFont="1" applyFill="1" applyBorder="1"/>
    <xf numFmtId="164" fontId="69" fillId="26" borderId="9" xfId="0" applyNumberFormat="1" applyFont="1" applyFill="1" applyBorder="1"/>
    <xf numFmtId="164" fontId="69" fillId="26" borderId="8" xfId="0" applyNumberFormat="1" applyFont="1" applyFill="1" applyBorder="1"/>
    <xf numFmtId="0" fontId="71" fillId="0" borderId="10" xfId="0" applyFont="1" applyBorder="1"/>
    <xf numFmtId="0" fontId="71" fillId="0" borderId="9" xfId="0" applyFont="1" applyBorder="1"/>
    <xf numFmtId="164" fontId="71" fillId="0" borderId="9" xfId="0" applyNumberFormat="1" applyFont="1" applyBorder="1"/>
    <xf numFmtId="164" fontId="71" fillId="0" borderId="8" xfId="0" applyNumberFormat="1" applyFont="1" applyBorder="1"/>
    <xf numFmtId="0" fontId="71" fillId="23" borderId="10" xfId="0" applyFont="1" applyFill="1" applyBorder="1"/>
    <xf numFmtId="0" fontId="71" fillId="23" borderId="9" xfId="0" applyFont="1" applyFill="1" applyBorder="1"/>
    <xf numFmtId="165" fontId="68" fillId="2" borderId="10" xfId="0" applyNumberFormat="1" applyFont="1" applyFill="1" applyBorder="1"/>
    <xf numFmtId="164" fontId="71" fillId="2" borderId="9" xfId="0" applyNumberFormat="1" applyFont="1" applyFill="1" applyBorder="1"/>
    <xf numFmtId="164" fontId="71" fillId="2" borderId="8" xfId="0" applyNumberFormat="1" applyFont="1" applyFill="1" applyBorder="1"/>
    <xf numFmtId="0" fontId="71" fillId="26" borderId="10" xfId="0" applyFont="1" applyFill="1" applyBorder="1"/>
    <xf numFmtId="0" fontId="71" fillId="26" borderId="9" xfId="0" applyFont="1" applyFill="1" applyBorder="1"/>
    <xf numFmtId="164" fontId="71" fillId="26" borderId="9" xfId="0" applyNumberFormat="1" applyFont="1" applyFill="1" applyBorder="1"/>
    <xf numFmtId="164" fontId="71" fillId="26" borderId="8" xfId="0" applyNumberFormat="1" applyFont="1" applyFill="1" applyBorder="1"/>
    <xf numFmtId="165" fontId="7" fillId="2" borderId="22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96FA7DD7-DCA0-4218-911A-D01BF2DC72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789"/>
  <sheetViews>
    <sheetView view="pageBreakPreview" zoomScale="60" zoomScaleNormal="100" workbookViewId="0">
      <pane xSplit="8" ySplit="6" topLeftCell="I1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3" bestFit="1" customWidth="1"/>
    <col min="15" max="15" width="19.28515625" bestFit="1" customWidth="1"/>
    <col min="16" max="16" width="20.85546875" bestFit="1" customWidth="1"/>
    <col min="17" max="19" width="23" bestFit="1" customWidth="1"/>
    <col min="20" max="20" width="19.28515625" bestFit="1" customWidth="1"/>
    <col min="21" max="21" width="20.85546875" customWidth="1"/>
  </cols>
  <sheetData>
    <row r="1" spans="1:21" ht="15.75" customHeight="1" x14ac:dyDescent="0.3">
      <c r="A1" s="1304" t="s">
        <v>0</v>
      </c>
      <c r="B1" s="1304"/>
      <c r="C1" s="1304"/>
      <c r="D1" s="1304"/>
      <c r="E1" s="1304"/>
      <c r="F1" s="1304"/>
      <c r="G1" s="1304"/>
      <c r="H1" s="1304"/>
      <c r="I1" s="1304"/>
      <c r="J1" s="1304"/>
      <c r="K1" s="1304"/>
      <c r="L1" s="1304"/>
      <c r="M1" s="1304"/>
      <c r="N1" s="1304"/>
      <c r="O1" s="1304"/>
      <c r="P1" s="1304"/>
      <c r="Q1" s="1304"/>
      <c r="R1" s="1304"/>
      <c r="S1" s="1304"/>
      <c r="T1" s="1304"/>
      <c r="U1" s="1304"/>
    </row>
    <row r="2" spans="1:21" ht="15.75" customHeight="1" x14ac:dyDescent="0.3">
      <c r="A2" s="1304" t="s">
        <v>1</v>
      </c>
      <c r="B2" s="1304"/>
      <c r="C2" s="1304"/>
      <c r="D2" s="1304"/>
      <c r="E2" s="1304"/>
      <c r="F2" s="1304"/>
      <c r="G2" s="1304"/>
      <c r="H2" s="1304"/>
      <c r="I2" s="1304"/>
      <c r="J2" s="1304"/>
      <c r="K2" s="1304"/>
      <c r="L2" s="1304"/>
      <c r="M2" s="1304"/>
      <c r="N2" s="1304"/>
      <c r="O2" s="1304"/>
      <c r="P2" s="1304"/>
      <c r="Q2" s="1304"/>
      <c r="R2" s="1304"/>
      <c r="S2" s="1304"/>
      <c r="T2" s="1304"/>
      <c r="U2" s="1304"/>
    </row>
    <row r="3" spans="1:21" ht="15.75" customHeight="1" x14ac:dyDescent="0.3">
      <c r="A3" s="1304" t="s">
        <v>350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1305" t="s">
        <v>2</v>
      </c>
      <c r="M4" s="1306"/>
      <c r="N4" s="1306"/>
      <c r="O4" s="1306"/>
      <c r="P4" s="1307"/>
      <c r="Q4" s="1308" t="s">
        <v>3</v>
      </c>
      <c r="R4" s="1306"/>
      <c r="S4" s="1306"/>
      <c r="T4" s="1306"/>
      <c r="U4" s="1307"/>
    </row>
    <row r="5" spans="1:21" ht="15.75" customHeight="1" x14ac:dyDescent="0.3">
      <c r="A5" s="1288" t="s">
        <v>4</v>
      </c>
      <c r="B5" s="1289"/>
      <c r="C5" s="1289"/>
      <c r="D5" s="1289"/>
      <c r="E5" s="1289"/>
      <c r="F5" s="1289"/>
      <c r="G5" s="1290"/>
      <c r="H5" s="4" t="s">
        <v>5</v>
      </c>
      <c r="I5" s="1309" t="s">
        <v>6</v>
      </c>
      <c r="J5" s="1292"/>
      <c r="K5" s="1293"/>
      <c r="L5" s="1303" t="s">
        <v>7</v>
      </c>
      <c r="M5" s="1293"/>
      <c r="N5" s="1302" t="s">
        <v>8</v>
      </c>
      <c r="O5" s="1292"/>
      <c r="P5" s="1293"/>
      <c r="Q5" s="1303" t="s">
        <v>7</v>
      </c>
      <c r="R5" s="1293"/>
      <c r="S5" s="1302" t="s">
        <v>8</v>
      </c>
      <c r="T5" s="1292"/>
      <c r="U5" s="1293"/>
    </row>
    <row r="6" spans="1:21" ht="15.75" customHeight="1" x14ac:dyDescent="0.3">
      <c r="A6" s="1291"/>
      <c r="B6" s="1292"/>
      <c r="C6" s="1292"/>
      <c r="D6" s="1292"/>
      <c r="E6" s="1292"/>
      <c r="F6" s="1292"/>
      <c r="G6" s="1293"/>
      <c r="H6" s="5"/>
      <c r="I6" s="6" t="s">
        <v>9</v>
      </c>
      <c r="J6" s="7" t="s">
        <v>10</v>
      </c>
      <c r="K6" s="6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294"/>
      <c r="B7" s="1292"/>
      <c r="C7" s="1292"/>
      <c r="D7" s="1292"/>
      <c r="E7" s="1292"/>
      <c r="F7" s="1292"/>
      <c r="G7" s="1293"/>
      <c r="H7" s="14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2.75" hidden="1" x14ac:dyDescent="0.2">
      <c r="A8" s="17"/>
      <c r="B8" s="18"/>
      <c r="C8" s="18"/>
      <c r="D8" s="18"/>
      <c r="E8" s="18"/>
      <c r="F8" s="18"/>
      <c r="G8" s="19"/>
      <c r="H8" s="19"/>
      <c r="I8" s="20"/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12.75" hidden="1" x14ac:dyDescent="0.2">
      <c r="A9" s="17"/>
      <c r="B9" s="18"/>
      <c r="C9" s="18"/>
      <c r="D9" s="18"/>
      <c r="E9" s="18"/>
      <c r="F9" s="18"/>
      <c r="G9" s="19"/>
      <c r="H9" s="19"/>
      <c r="I9" s="20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2.75" hidden="1" x14ac:dyDescent="0.2">
      <c r="A10" s="17"/>
      <c r="B10" s="18"/>
      <c r="C10" s="18"/>
      <c r="D10" s="18"/>
      <c r="E10" s="18"/>
      <c r="F10" s="18"/>
      <c r="G10" s="19"/>
      <c r="H10" s="19"/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2.75" hidden="1" x14ac:dyDescent="0.2">
      <c r="A11" s="17"/>
      <c r="B11" s="18"/>
      <c r="C11" s="18"/>
      <c r="D11" s="18"/>
      <c r="E11" s="18"/>
      <c r="F11" s="18"/>
      <c r="G11" s="19"/>
      <c r="H11" s="19"/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2.75" hidden="1" x14ac:dyDescent="0.2">
      <c r="A12" s="17"/>
      <c r="B12" s="18"/>
      <c r="C12" s="18"/>
      <c r="D12" s="18"/>
      <c r="E12" s="18"/>
      <c r="F12" s="18"/>
      <c r="G12" s="19"/>
      <c r="H12" s="19"/>
      <c r="I12" s="20"/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12.75" hidden="1" x14ac:dyDescent="0.2">
      <c r="A13" s="17"/>
      <c r="B13" s="18"/>
      <c r="C13" s="18"/>
      <c r="D13" s="18"/>
      <c r="E13" s="18"/>
      <c r="F13" s="18"/>
      <c r="G13" s="19"/>
      <c r="H13" s="19"/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2.75" hidden="1" x14ac:dyDescent="0.2">
      <c r="A14" s="17"/>
      <c r="B14" s="18"/>
      <c r="C14" s="18"/>
      <c r="D14" s="18"/>
      <c r="E14" s="18"/>
      <c r="F14" s="18"/>
      <c r="G14" s="19"/>
      <c r="H14" s="19"/>
      <c r="I14" s="20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2.75" hidden="1" x14ac:dyDescent="0.2">
      <c r="A15" s="17"/>
      <c r="B15" s="18"/>
      <c r="C15" s="18"/>
      <c r="D15" s="18"/>
      <c r="E15" s="18"/>
      <c r="F15" s="18"/>
      <c r="G15" s="19"/>
      <c r="H15" s="19"/>
      <c r="I15" s="20"/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2.75" hidden="1" x14ac:dyDescent="0.2">
      <c r="A16" s="13"/>
      <c r="B16" s="22"/>
      <c r="C16" s="22"/>
      <c r="D16" s="22"/>
      <c r="E16" s="22"/>
      <c r="F16" s="22"/>
      <c r="G16" s="14"/>
      <c r="H16" s="14"/>
      <c r="I16" s="15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15.75" customHeight="1" x14ac:dyDescent="0.3">
      <c r="A17" s="1295" t="s">
        <v>17</v>
      </c>
      <c r="B17" s="1292"/>
      <c r="C17" s="1292"/>
      <c r="D17" s="1292"/>
      <c r="E17" s="1292"/>
      <c r="F17" s="1292"/>
      <c r="G17" s="1293"/>
      <c r="H17" s="23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5.75" customHeight="1" x14ac:dyDescent="0.3">
      <c r="A18" s="26"/>
      <c r="B18" s="27"/>
      <c r="C18" s="28" t="s">
        <v>18</v>
      </c>
      <c r="D18" s="29" t="s">
        <v>19</v>
      </c>
      <c r="E18" s="27"/>
      <c r="F18" s="27"/>
      <c r="G18" s="30"/>
      <c r="H18" s="31" t="s">
        <v>14</v>
      </c>
      <c r="I18" s="32"/>
      <c r="J18" s="32"/>
      <c r="K18" s="33"/>
      <c r="L18" s="34">
        <f t="shared" ref="L18:N18" ca="1" si="0">L19+L20</f>
        <v>99751369</v>
      </c>
      <c r="M18" s="34">
        <f t="shared" ca="1" si="0"/>
        <v>92482966.209999904</v>
      </c>
      <c r="N18" s="34">
        <f t="shared" ca="1" si="0"/>
        <v>33407363.899999969</v>
      </c>
      <c r="O18" s="34">
        <f t="shared" ref="O18:O26" ca="1" si="1">IF(L18&gt;0,N18*100/L18,0)</f>
        <v>33.490631993231055</v>
      </c>
      <c r="P18" s="34">
        <f t="shared" ref="P18:P26" ca="1" si="2">IF(M18&gt;0,N18*100/M18,0)</f>
        <v>36.122721046968032</v>
      </c>
      <c r="Q18" s="34">
        <f t="shared" ref="Q18:S18" ca="1" si="3">Q19+Q20</f>
        <v>53218490.039999999</v>
      </c>
      <c r="R18" s="34">
        <f t="shared" ca="1" si="3"/>
        <v>50763185</v>
      </c>
      <c r="S18" s="34">
        <f t="shared" ca="1" si="3"/>
        <v>10644731.059999999</v>
      </c>
      <c r="T18" s="34">
        <f t="shared" ref="T18:T26" ca="1" si="4">IF(Q18&gt;0,S18*100/Q18,0)</f>
        <v>20.001941152406282</v>
      </c>
      <c r="U18" s="34">
        <f t="shared" ref="U18:U26" ca="1" si="5">IF(R18&gt;0,S18*100/R18,0)</f>
        <v>20.969391617172956</v>
      </c>
    </row>
    <row r="19" spans="1:21" ht="15.75" customHeight="1" x14ac:dyDescent="0.25">
      <c r="A19" s="26"/>
      <c r="B19" s="27"/>
      <c r="C19" s="27"/>
      <c r="D19" s="27"/>
      <c r="E19" s="35" t="s">
        <v>20</v>
      </c>
      <c r="F19" s="27"/>
      <c r="G19" s="30"/>
      <c r="H19" s="36" t="s">
        <v>14</v>
      </c>
      <c r="I19" s="32"/>
      <c r="J19" s="32"/>
      <c r="K19" s="33"/>
      <c r="L19" s="37">
        <f t="shared" ref="L19:N19" ca="1" si="6">L22+L25</f>
        <v>0</v>
      </c>
      <c r="M19" s="37">
        <f t="shared" ca="1" si="6"/>
        <v>0</v>
      </c>
      <c r="N19" s="37">
        <f t="shared" ca="1" si="6"/>
        <v>0</v>
      </c>
      <c r="O19" s="37">
        <f t="shared" ca="1" si="1"/>
        <v>0</v>
      </c>
      <c r="P19" s="37">
        <f t="shared" ca="1" si="2"/>
        <v>0</v>
      </c>
      <c r="Q19" s="37">
        <f t="shared" ref="Q19:S19" ca="1" si="7">Q22+Q25</f>
        <v>0</v>
      </c>
      <c r="R19" s="37">
        <f t="shared" ca="1" si="7"/>
        <v>0</v>
      </c>
      <c r="S19" s="37">
        <f t="shared" ca="1" si="7"/>
        <v>0</v>
      </c>
      <c r="T19" s="37">
        <f t="shared" ca="1" si="4"/>
        <v>0</v>
      </c>
      <c r="U19" s="37">
        <f t="shared" ca="1" si="5"/>
        <v>0</v>
      </c>
    </row>
    <row r="20" spans="1:21" ht="15.75" customHeight="1" x14ac:dyDescent="0.25">
      <c r="A20" s="26"/>
      <c r="B20" s="27"/>
      <c r="C20" s="27"/>
      <c r="D20" s="27"/>
      <c r="E20" s="35" t="s">
        <v>21</v>
      </c>
      <c r="F20" s="27"/>
      <c r="G20" s="30"/>
      <c r="H20" s="36" t="s">
        <v>14</v>
      </c>
      <c r="I20" s="32"/>
      <c r="J20" s="32"/>
      <c r="K20" s="33"/>
      <c r="L20" s="38">
        <f t="shared" ref="L20:N20" ca="1" si="8">L23+L26</f>
        <v>99751369</v>
      </c>
      <c r="M20" s="38">
        <f t="shared" ca="1" si="8"/>
        <v>92482966.209999904</v>
      </c>
      <c r="N20" s="38">
        <f t="shared" ca="1" si="8"/>
        <v>33407363.899999969</v>
      </c>
      <c r="O20" s="38">
        <f t="shared" ca="1" si="1"/>
        <v>33.490631993231055</v>
      </c>
      <c r="P20" s="38">
        <f t="shared" ca="1" si="2"/>
        <v>36.122721046968032</v>
      </c>
      <c r="Q20" s="38">
        <f t="shared" ref="Q20:S20" ca="1" si="9">Q23+Q26</f>
        <v>53218490.039999999</v>
      </c>
      <c r="R20" s="38">
        <f t="shared" ca="1" si="9"/>
        <v>50763185</v>
      </c>
      <c r="S20" s="38">
        <f t="shared" ca="1" si="9"/>
        <v>10644731.059999999</v>
      </c>
      <c r="T20" s="38">
        <f t="shared" ca="1" si="4"/>
        <v>20.001941152406282</v>
      </c>
      <c r="U20" s="38">
        <f t="shared" ca="1" si="5"/>
        <v>20.969391617172956</v>
      </c>
    </row>
    <row r="21" spans="1:21" ht="15.75" customHeight="1" x14ac:dyDescent="0.25">
      <c r="A21" s="39"/>
      <c r="B21" s="40"/>
      <c r="C21" s="40"/>
      <c r="D21" s="41" t="s">
        <v>22</v>
      </c>
      <c r="E21" s="40"/>
      <c r="F21" s="40"/>
      <c r="G21" s="42"/>
      <c r="H21" s="43" t="s">
        <v>14</v>
      </c>
      <c r="I21" s="44"/>
      <c r="J21" s="44"/>
      <c r="K21" s="45"/>
      <c r="L21" s="46">
        <f t="shared" ref="L21:N21" ca="1" si="10">L22+L23</f>
        <v>60659769</v>
      </c>
      <c r="M21" s="46">
        <f t="shared" ca="1" si="10"/>
        <v>53391366.209999904</v>
      </c>
      <c r="N21" s="46">
        <f t="shared" ca="1" si="10"/>
        <v>33349363.899999969</v>
      </c>
      <c r="O21" s="46">
        <f t="shared" ca="1" si="1"/>
        <v>54.977729803092338</v>
      </c>
      <c r="P21" s="46">
        <f t="shared" ca="1" si="2"/>
        <v>62.462091284253027</v>
      </c>
      <c r="Q21" s="46">
        <f t="shared" ref="Q21:S21" ca="1" si="11">Q22+Q23</f>
        <v>49764967.039999999</v>
      </c>
      <c r="R21" s="46">
        <f t="shared" ca="1" si="11"/>
        <v>47309662</v>
      </c>
      <c r="S21" s="46">
        <f t="shared" ca="1" si="11"/>
        <v>10346731.059999999</v>
      </c>
      <c r="T21" s="46">
        <f t="shared" ca="1" si="4"/>
        <v>20.79119443942065</v>
      </c>
      <c r="U21" s="46">
        <f t="shared" ca="1" si="5"/>
        <v>21.870228242171756</v>
      </c>
    </row>
    <row r="22" spans="1:21" ht="15.75" customHeight="1" x14ac:dyDescent="0.25">
      <c r="A22" s="39"/>
      <c r="B22" s="40"/>
      <c r="C22" s="40"/>
      <c r="D22" s="40"/>
      <c r="E22" s="47" t="s">
        <v>20</v>
      </c>
      <c r="F22" s="40"/>
      <c r="G22" s="42"/>
      <c r="H22" s="43" t="s">
        <v>14</v>
      </c>
      <c r="I22" s="44"/>
      <c r="J22" s="44"/>
      <c r="K22" s="45"/>
      <c r="L22" s="48">
        <f t="shared" ref="L22:N22" ca="1" si="12">L48+L63+L76+L98+L121+L143+L161+L190+L177+L270+L286+L307+L324+L337+L360+L379+L396+L417+L497+L517+L538+L559+L580+L603+L620+L646+L694+L718+L732+L764</f>
        <v>0</v>
      </c>
      <c r="M22" s="48">
        <f t="shared" ca="1" si="12"/>
        <v>0</v>
      </c>
      <c r="N22" s="48">
        <f t="shared" ca="1" si="12"/>
        <v>0</v>
      </c>
      <c r="O22" s="48">
        <f t="shared" ca="1" si="1"/>
        <v>0</v>
      </c>
      <c r="P22" s="48">
        <f t="shared" ca="1" si="2"/>
        <v>0</v>
      </c>
      <c r="Q22" s="48">
        <f t="shared" ref="Q22:S22" ca="1" si="13">Q48+Q63+Q76+Q98+Q121+Q143+Q161+Q190+Q177+Q270+Q286+Q307+Q324+Q337+Q360+Q379+Q396+Q417+Q497+Q517+Q538+Q559+Q580+Q603+Q620+Q646+Q694+Q718+Q732+Q764</f>
        <v>0</v>
      </c>
      <c r="R22" s="48">
        <f t="shared" ca="1" si="13"/>
        <v>0</v>
      </c>
      <c r="S22" s="48">
        <f t="shared" ca="1" si="13"/>
        <v>0</v>
      </c>
      <c r="T22" s="48">
        <f t="shared" ca="1" si="4"/>
        <v>0</v>
      </c>
      <c r="U22" s="48">
        <f t="shared" ca="1" si="5"/>
        <v>0</v>
      </c>
    </row>
    <row r="23" spans="1:21" ht="15.75" customHeight="1" x14ac:dyDescent="0.25">
      <c r="A23" s="39"/>
      <c r="B23" s="40"/>
      <c r="C23" s="40"/>
      <c r="D23" s="40"/>
      <c r="E23" s="47" t="s">
        <v>21</v>
      </c>
      <c r="F23" s="40"/>
      <c r="G23" s="42"/>
      <c r="H23" s="43" t="s">
        <v>14</v>
      </c>
      <c r="I23" s="44"/>
      <c r="J23" s="44"/>
      <c r="K23" s="45"/>
      <c r="L23" s="46">
        <f t="shared" ref="L23:N23" ca="1" si="14">L49+L64+L77+L99+L122+L144+L162+L191+L178+L271+L287+L308+L325+L338+L361+L380+L397+L418+L498+L518+L539+L560+L581+L604+L621+L647+L695+L719+L733+L765</f>
        <v>60659769</v>
      </c>
      <c r="M23" s="46">
        <f t="shared" ca="1" si="14"/>
        <v>53391366.209999904</v>
      </c>
      <c r="N23" s="46">
        <f t="shared" ca="1" si="14"/>
        <v>33349363.899999969</v>
      </c>
      <c r="O23" s="46">
        <f t="shared" ca="1" si="1"/>
        <v>54.977729803092338</v>
      </c>
      <c r="P23" s="46">
        <f t="shared" ca="1" si="2"/>
        <v>62.462091284253027</v>
      </c>
      <c r="Q23" s="46">
        <f t="shared" ref="Q23:S23" ca="1" si="15">Q49+Q64+Q77+Q99+Q122+Q144+Q162+Q191+Q178+Q271+Q287+Q308+Q325+Q338+Q361+Q380+Q397+Q418+Q498+Q518+Q539+Q560+Q581+Q604+Q621+Q647+Q695+Q719+Q733+Q765</f>
        <v>49764967.039999999</v>
      </c>
      <c r="R23" s="46">
        <f t="shared" ca="1" si="15"/>
        <v>47309662</v>
      </c>
      <c r="S23" s="46">
        <f t="shared" ca="1" si="15"/>
        <v>10346731.059999999</v>
      </c>
      <c r="T23" s="46">
        <f t="shared" ca="1" si="4"/>
        <v>20.79119443942065</v>
      </c>
      <c r="U23" s="46">
        <f t="shared" ca="1" si="5"/>
        <v>21.870228242171756</v>
      </c>
    </row>
    <row r="24" spans="1:21" ht="15.75" customHeight="1" x14ac:dyDescent="0.25">
      <c r="A24" s="39"/>
      <c r="B24" s="40"/>
      <c r="C24" s="40"/>
      <c r="D24" s="41" t="s">
        <v>23</v>
      </c>
      <c r="E24" s="40"/>
      <c r="F24" s="40"/>
      <c r="G24" s="42"/>
      <c r="H24" s="43" t="s">
        <v>14</v>
      </c>
      <c r="I24" s="44"/>
      <c r="J24" s="44"/>
      <c r="K24" s="45"/>
      <c r="L24" s="46">
        <f t="shared" ref="L24:N24" ca="1" si="16">L25+L26</f>
        <v>39091600</v>
      </c>
      <c r="M24" s="46">
        <f t="shared" ca="1" si="16"/>
        <v>39091600</v>
      </c>
      <c r="N24" s="46">
        <f t="shared" ca="1" si="16"/>
        <v>58000</v>
      </c>
      <c r="O24" s="46">
        <f t="shared" ca="1" si="1"/>
        <v>0.14836947067912287</v>
      </c>
      <c r="P24" s="46">
        <f t="shared" ca="1" si="2"/>
        <v>0.14836947067912287</v>
      </c>
      <c r="Q24" s="46">
        <f t="shared" ref="Q24:S24" ca="1" si="17">Q25+Q26</f>
        <v>3453523</v>
      </c>
      <c r="R24" s="46">
        <f t="shared" ca="1" si="17"/>
        <v>3453523</v>
      </c>
      <c r="S24" s="46">
        <f t="shared" ca="1" si="17"/>
        <v>298000</v>
      </c>
      <c r="T24" s="46">
        <f t="shared" ca="1" si="4"/>
        <v>8.6288697078316829</v>
      </c>
      <c r="U24" s="46">
        <f t="shared" ca="1" si="5"/>
        <v>8.6288697078316829</v>
      </c>
    </row>
    <row r="25" spans="1:21" ht="15.75" customHeight="1" x14ac:dyDescent="0.25">
      <c r="A25" s="39"/>
      <c r="B25" s="40"/>
      <c r="C25" s="40"/>
      <c r="D25" s="40"/>
      <c r="E25" s="47" t="s">
        <v>20</v>
      </c>
      <c r="F25" s="40"/>
      <c r="G25" s="42"/>
      <c r="H25" s="43" t="s">
        <v>14</v>
      </c>
      <c r="I25" s="44"/>
      <c r="J25" s="44"/>
      <c r="K25" s="45"/>
      <c r="L25" s="48">
        <f t="shared" ref="L25:N25" ca="1" si="18">L51+L66+L79+L101+L124+L146+L164+L193+L180+L273+L289+L310+L327+L340+L363+L382+L399+L420+L500+L520+L541+L562+L583+L606+L623+L649+L697+L721+L735+L767</f>
        <v>0</v>
      </c>
      <c r="M25" s="48">
        <f t="shared" ca="1" si="18"/>
        <v>0</v>
      </c>
      <c r="N25" s="48">
        <f t="shared" ca="1" si="18"/>
        <v>0</v>
      </c>
      <c r="O25" s="48">
        <f t="shared" ca="1" si="1"/>
        <v>0</v>
      </c>
      <c r="P25" s="48">
        <f t="shared" ca="1" si="2"/>
        <v>0</v>
      </c>
      <c r="Q25" s="48">
        <f t="shared" ref="Q25:S25" ca="1" si="19">Q51+Q66+Q79+Q101+Q124+Q146+Q164+Q193+Q180+Q273+Q289+Q310+Q327+Q340+Q363+Q382+Q399+Q420+Q500+Q520+Q541+Q562+Q583+Q606+Q623+Q649+Q697+Q721+Q735+Q767</f>
        <v>0</v>
      </c>
      <c r="R25" s="48">
        <f t="shared" ca="1" si="19"/>
        <v>0</v>
      </c>
      <c r="S25" s="48">
        <f t="shared" ca="1" si="19"/>
        <v>0</v>
      </c>
      <c r="T25" s="48">
        <f t="shared" ca="1" si="4"/>
        <v>0</v>
      </c>
      <c r="U25" s="48">
        <f t="shared" ca="1" si="5"/>
        <v>0</v>
      </c>
    </row>
    <row r="26" spans="1:21" ht="15.75" customHeight="1" x14ac:dyDescent="0.25">
      <c r="A26" s="39"/>
      <c r="B26" s="40"/>
      <c r="C26" s="40"/>
      <c r="D26" s="40"/>
      <c r="E26" s="47" t="s">
        <v>21</v>
      </c>
      <c r="F26" s="40"/>
      <c r="G26" s="42"/>
      <c r="H26" s="43" t="s">
        <v>14</v>
      </c>
      <c r="I26" s="44"/>
      <c r="J26" s="44"/>
      <c r="K26" s="45"/>
      <c r="L26" s="46">
        <f t="shared" ref="L26:N26" ca="1" si="20">L52+L67+L80+L102+L125+L147+L165+L194+L181+L274+L290+L311+L328+L341+L364+L383+L400+L421+L501+L521+L542+L563+L584+L607+L624+L650+L698+L722+L736+L768</f>
        <v>39091600</v>
      </c>
      <c r="M26" s="46">
        <f t="shared" ca="1" si="20"/>
        <v>39091600</v>
      </c>
      <c r="N26" s="46">
        <f t="shared" ca="1" si="20"/>
        <v>58000</v>
      </c>
      <c r="O26" s="46">
        <f t="shared" ca="1" si="1"/>
        <v>0.14836947067912287</v>
      </c>
      <c r="P26" s="46">
        <f t="shared" ca="1" si="2"/>
        <v>0.14836947067912287</v>
      </c>
      <c r="Q26" s="48">
        <f t="shared" ref="Q26:S26" ca="1" si="21">Q52+Q67+Q80+Q102+Q125+Q147+Q165+Q194+Q181+Q274+Q290+Q311+Q328+Q341+Q364+Q383+Q400+Q421+Q501+Q521+Q542+Q563+Q584+Q607+Q624+Q650+Q698+Q722+Q736+Q768</f>
        <v>3453523</v>
      </c>
      <c r="R26" s="48">
        <f t="shared" ca="1" si="21"/>
        <v>3453523</v>
      </c>
      <c r="S26" s="48">
        <f t="shared" ca="1" si="21"/>
        <v>298000</v>
      </c>
      <c r="T26" s="46">
        <f t="shared" ca="1" si="4"/>
        <v>8.6288697078316829</v>
      </c>
      <c r="U26" s="46">
        <f t="shared" ca="1" si="5"/>
        <v>8.6288697078316829</v>
      </c>
    </row>
    <row r="27" spans="1:21" ht="15.75" customHeight="1" x14ac:dyDescent="0.25">
      <c r="A27" s="39"/>
      <c r="B27" s="40"/>
      <c r="C27" s="40"/>
      <c r="D27" s="49" t="s">
        <v>24</v>
      </c>
      <c r="E27" s="40"/>
      <c r="F27" s="40"/>
      <c r="G27" s="42"/>
      <c r="H27" s="43" t="s">
        <v>14</v>
      </c>
      <c r="I27" s="44"/>
      <c r="J27" s="44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5.75" customHeight="1" x14ac:dyDescent="0.25">
      <c r="A28" s="39"/>
      <c r="B28" s="40"/>
      <c r="C28" s="40"/>
      <c r="D28" s="40"/>
      <c r="E28" s="47" t="s">
        <v>20</v>
      </c>
      <c r="F28" s="40"/>
      <c r="G28" s="42"/>
      <c r="H28" s="43" t="s">
        <v>14</v>
      </c>
      <c r="I28" s="44"/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15.75" customHeight="1" x14ac:dyDescent="0.25">
      <c r="A29" s="50"/>
      <c r="B29" s="1"/>
      <c r="C29" s="1"/>
      <c r="D29" s="1"/>
      <c r="E29" s="51" t="s">
        <v>21</v>
      </c>
      <c r="F29" s="1"/>
      <c r="G29" s="52"/>
      <c r="H29" s="53" t="s">
        <v>14</v>
      </c>
      <c r="I29" s="54"/>
      <c r="J29" s="5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2.75" hidden="1" x14ac:dyDescent="0.2">
      <c r="A30" s="1294"/>
      <c r="B30" s="1292"/>
      <c r="C30" s="1292"/>
      <c r="D30" s="1292"/>
      <c r="E30" s="1292"/>
      <c r="F30" s="1292"/>
      <c r="G30" s="1293"/>
      <c r="H30" s="14"/>
      <c r="I30" s="15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2.75" hidden="1" x14ac:dyDescent="0.2">
      <c r="A31" s="17"/>
      <c r="B31" s="18"/>
      <c r="C31" s="18"/>
      <c r="D31" s="18"/>
      <c r="E31" s="18"/>
      <c r="F31" s="18"/>
      <c r="G31" s="19"/>
      <c r="H31" s="19"/>
      <c r="I31" s="20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2.75" hidden="1" x14ac:dyDescent="0.2">
      <c r="A32" s="17"/>
      <c r="B32" s="18"/>
      <c r="C32" s="18"/>
      <c r="D32" s="18"/>
      <c r="E32" s="18"/>
      <c r="F32" s="18"/>
      <c r="G32" s="19"/>
      <c r="H32" s="19"/>
      <c r="I32" s="20"/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2.75" hidden="1" x14ac:dyDescent="0.2">
      <c r="A33" s="17"/>
      <c r="B33" s="18"/>
      <c r="C33" s="18"/>
      <c r="D33" s="18"/>
      <c r="E33" s="18"/>
      <c r="F33" s="18"/>
      <c r="G33" s="19"/>
      <c r="H33" s="19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2.75" hidden="1" x14ac:dyDescent="0.2">
      <c r="A34" s="17"/>
      <c r="B34" s="18"/>
      <c r="C34" s="18"/>
      <c r="D34" s="18"/>
      <c r="E34" s="18"/>
      <c r="F34" s="18"/>
      <c r="G34" s="19"/>
      <c r="H34" s="19"/>
      <c r="I34" s="20"/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2.75" hidden="1" x14ac:dyDescent="0.2">
      <c r="A35" s="17"/>
      <c r="B35" s="18"/>
      <c r="C35" s="18"/>
      <c r="D35" s="18"/>
      <c r="E35" s="18"/>
      <c r="F35" s="18"/>
      <c r="G35" s="19"/>
      <c r="H35" s="19"/>
      <c r="I35" s="20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2.75" hidden="1" x14ac:dyDescent="0.2">
      <c r="A36" s="17"/>
      <c r="B36" s="18"/>
      <c r="C36" s="18"/>
      <c r="D36" s="18"/>
      <c r="E36" s="18"/>
      <c r="F36" s="18"/>
      <c r="G36" s="19"/>
      <c r="H36" s="19"/>
      <c r="I36" s="20"/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2.75" hidden="1" x14ac:dyDescent="0.2">
      <c r="A37" s="17"/>
      <c r="B37" s="18"/>
      <c r="C37" s="18"/>
      <c r="D37" s="18"/>
      <c r="E37" s="18"/>
      <c r="F37" s="18"/>
      <c r="G37" s="19"/>
      <c r="H37" s="19"/>
      <c r="I37" s="20"/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2.75" hidden="1" x14ac:dyDescent="0.2">
      <c r="A38" s="17"/>
      <c r="B38" s="18"/>
      <c r="C38" s="18"/>
      <c r="D38" s="18"/>
      <c r="E38" s="18"/>
      <c r="F38" s="18"/>
      <c r="G38" s="19"/>
      <c r="H38" s="19"/>
      <c r="I38" s="20"/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2.75" hidden="1" x14ac:dyDescent="0.2">
      <c r="A39" s="13"/>
      <c r="B39" s="22"/>
      <c r="C39" s="22"/>
      <c r="D39" s="22"/>
      <c r="E39" s="22"/>
      <c r="F39" s="22"/>
      <c r="G39" s="14"/>
      <c r="H39" s="14"/>
      <c r="I39" s="15"/>
      <c r="J39" s="15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9.5" x14ac:dyDescent="0.3">
      <c r="A40" s="55" t="s">
        <v>25</v>
      </c>
      <c r="B40" s="56"/>
      <c r="C40" s="56"/>
      <c r="D40" s="56"/>
      <c r="E40" s="56"/>
      <c r="F40" s="56"/>
      <c r="G40" s="57"/>
      <c r="H40" s="57"/>
      <c r="I40" s="58"/>
      <c r="J40" s="58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9.5" x14ac:dyDescent="0.3">
      <c r="A41" s="60" t="s">
        <v>26</v>
      </c>
      <c r="B41" s="61"/>
      <c r="C41" s="61"/>
      <c r="D41" s="61"/>
      <c r="E41" s="61"/>
      <c r="F41" s="61"/>
      <c r="G41" s="61"/>
      <c r="H41" s="61"/>
      <c r="I41" s="62"/>
      <c r="J41" s="62"/>
      <c r="K41" s="63"/>
      <c r="L41" s="63"/>
      <c r="M41" s="63"/>
      <c r="N41" s="63"/>
      <c r="O41" s="63"/>
      <c r="P41" s="64"/>
      <c r="Q41" s="63"/>
      <c r="R41" s="63"/>
      <c r="S41" s="63"/>
      <c r="T41" s="63"/>
      <c r="U41" s="64"/>
    </row>
    <row r="42" spans="1:21" ht="19.5" x14ac:dyDescent="0.3">
      <c r="A42" s="65"/>
      <c r="B42" s="66" t="s">
        <v>27</v>
      </c>
      <c r="C42" s="65"/>
      <c r="D42" s="65"/>
      <c r="E42" s="65"/>
      <c r="F42" s="65"/>
      <c r="G42" s="67"/>
      <c r="H42" s="67"/>
      <c r="I42" s="68"/>
      <c r="J42" s="68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</row>
    <row r="43" spans="1:21" ht="12.75" hidden="1" x14ac:dyDescent="0.2">
      <c r="A43" s="17"/>
      <c r="B43" s="18"/>
      <c r="C43" s="18"/>
      <c r="D43" s="18"/>
      <c r="E43" s="18"/>
      <c r="F43" s="18"/>
      <c r="G43" s="19"/>
      <c r="H43" s="19"/>
      <c r="I43" s="20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1:21" ht="19.5" x14ac:dyDescent="0.3">
      <c r="A44" s="70"/>
      <c r="B44" s="71"/>
      <c r="C44" s="72" t="s">
        <v>18</v>
      </c>
      <c r="D44" s="73" t="s">
        <v>19</v>
      </c>
      <c r="E44" s="71"/>
      <c r="F44" s="71"/>
      <c r="G44" s="74"/>
      <c r="H44" s="75" t="s">
        <v>14</v>
      </c>
      <c r="I44" s="76"/>
      <c r="J44" s="76"/>
      <c r="K44" s="77"/>
      <c r="L44" s="78">
        <f t="shared" ref="L44:N44" ca="1" si="22">L45+L46</f>
        <v>9461707</v>
      </c>
      <c r="M44" s="78">
        <f t="shared" ca="1" si="22"/>
        <v>10493850.2099999</v>
      </c>
      <c r="N44" s="78">
        <f t="shared" ca="1" si="22"/>
        <v>6815714.7300000004</v>
      </c>
      <c r="O44" s="78">
        <f t="shared" ref="O44:O52" ca="1" si="23">IF(L44&gt;0,N44*100/L44,0)</f>
        <v>72.034726186300205</v>
      </c>
      <c r="P44" s="78">
        <f t="shared" ref="P44:P52" ca="1" si="24">IF(M44&gt;0,N44*100/M44,0)</f>
        <v>64.949609472270751</v>
      </c>
      <c r="Q44" s="78">
        <f t="shared" ref="Q44:S44" ca="1" si="25">Q45+Q46</f>
        <v>0</v>
      </c>
      <c r="R44" s="78">
        <f t="shared" ca="1" si="25"/>
        <v>0</v>
      </c>
      <c r="S44" s="78">
        <f t="shared" ca="1" si="25"/>
        <v>0</v>
      </c>
      <c r="T44" s="78">
        <f t="shared" ref="T44:T52" ca="1" si="26">IF(Q44&gt;0,S44*100/Q44,0)</f>
        <v>0</v>
      </c>
      <c r="U44" s="78">
        <f t="shared" ref="U44:U52" ca="1" si="27">IF(R44&gt;0,S44*100/R44,0)</f>
        <v>0</v>
      </c>
    </row>
    <row r="45" spans="1:21" ht="18.75" x14ac:dyDescent="0.25">
      <c r="A45" s="70"/>
      <c r="B45" s="71"/>
      <c r="C45" s="71"/>
      <c r="D45" s="71"/>
      <c r="E45" s="79" t="s">
        <v>20</v>
      </c>
      <c r="F45" s="71"/>
      <c r="G45" s="74"/>
      <c r="H45" s="80" t="s">
        <v>14</v>
      </c>
      <c r="I45" s="76"/>
      <c r="J45" s="76"/>
      <c r="K45" s="77"/>
      <c r="L45" s="81">
        <f t="shared" ref="L45:N45" si="28">L48+L51</f>
        <v>0</v>
      </c>
      <c r="M45" s="81">
        <f t="shared" si="28"/>
        <v>0</v>
      </c>
      <c r="N45" s="81">
        <f t="shared" si="28"/>
        <v>0</v>
      </c>
      <c r="O45" s="81">
        <f t="shared" si="23"/>
        <v>0</v>
      </c>
      <c r="P45" s="81">
        <f t="shared" si="24"/>
        <v>0</v>
      </c>
      <c r="Q45" s="81">
        <f t="shared" ref="Q45:S45" si="29">Q48+Q51</f>
        <v>0</v>
      </c>
      <c r="R45" s="81">
        <f t="shared" si="29"/>
        <v>0</v>
      </c>
      <c r="S45" s="81">
        <f t="shared" si="29"/>
        <v>0</v>
      </c>
      <c r="T45" s="81">
        <f t="shared" si="26"/>
        <v>0</v>
      </c>
      <c r="U45" s="81">
        <f t="shared" si="27"/>
        <v>0</v>
      </c>
    </row>
    <row r="46" spans="1:21" ht="18.75" x14ac:dyDescent="0.25">
      <c r="A46" s="70"/>
      <c r="B46" s="71"/>
      <c r="C46" s="71"/>
      <c r="D46" s="71"/>
      <c r="E46" s="79" t="s">
        <v>21</v>
      </c>
      <c r="F46" s="71"/>
      <c r="G46" s="74"/>
      <c r="H46" s="80" t="s">
        <v>14</v>
      </c>
      <c r="I46" s="76"/>
      <c r="J46" s="76"/>
      <c r="K46" s="77"/>
      <c r="L46" s="82">
        <f t="shared" ref="L46:N46" ca="1" si="30">L49+L52</f>
        <v>9461707</v>
      </c>
      <c r="M46" s="82">
        <f t="shared" ca="1" si="30"/>
        <v>10493850.2099999</v>
      </c>
      <c r="N46" s="82">
        <f t="shared" ca="1" si="30"/>
        <v>6815714.7300000004</v>
      </c>
      <c r="O46" s="82">
        <f t="shared" ca="1" si="23"/>
        <v>72.034726186300205</v>
      </c>
      <c r="P46" s="82">
        <f t="shared" ca="1" si="24"/>
        <v>64.949609472270751</v>
      </c>
      <c r="Q46" s="82">
        <f t="shared" ref="Q46:S46" ca="1" si="31">Q49+Q52</f>
        <v>0</v>
      </c>
      <c r="R46" s="82">
        <f t="shared" ca="1" si="31"/>
        <v>0</v>
      </c>
      <c r="S46" s="82">
        <f t="shared" ca="1" si="31"/>
        <v>0</v>
      </c>
      <c r="T46" s="82">
        <f t="shared" ca="1" si="26"/>
        <v>0</v>
      </c>
      <c r="U46" s="82">
        <f t="shared" ca="1" si="27"/>
        <v>0</v>
      </c>
    </row>
    <row r="47" spans="1:21" ht="18.75" x14ac:dyDescent="0.25">
      <c r="A47" s="39"/>
      <c r="B47" s="40"/>
      <c r="C47" s="40"/>
      <c r="D47" s="41" t="s">
        <v>22</v>
      </c>
      <c r="E47" s="40"/>
      <c r="F47" s="40"/>
      <c r="G47" s="42"/>
      <c r="H47" s="43" t="s">
        <v>14</v>
      </c>
      <c r="I47" s="44"/>
      <c r="J47" s="44"/>
      <c r="K47" s="45"/>
      <c r="L47" s="46">
        <f t="shared" ref="L47:N47" ca="1" si="32">L48+L49</f>
        <v>9461707</v>
      </c>
      <c r="M47" s="46">
        <f t="shared" ca="1" si="32"/>
        <v>10493850.2099999</v>
      </c>
      <c r="N47" s="46">
        <f t="shared" ca="1" si="32"/>
        <v>6815714.7300000004</v>
      </c>
      <c r="O47" s="46">
        <f t="shared" ca="1" si="23"/>
        <v>72.034726186300205</v>
      </c>
      <c r="P47" s="46">
        <f t="shared" ca="1" si="24"/>
        <v>64.949609472270751</v>
      </c>
      <c r="Q47" s="46">
        <f t="shared" ref="Q47:S47" ca="1" si="33">Q48+Q49</f>
        <v>0</v>
      </c>
      <c r="R47" s="46">
        <f t="shared" ca="1" si="33"/>
        <v>0</v>
      </c>
      <c r="S47" s="46">
        <f t="shared" ca="1" si="33"/>
        <v>0</v>
      </c>
      <c r="T47" s="46">
        <f t="shared" ca="1" si="26"/>
        <v>0</v>
      </c>
      <c r="U47" s="46">
        <f t="shared" ca="1" si="27"/>
        <v>0</v>
      </c>
    </row>
    <row r="48" spans="1:21" ht="18.75" x14ac:dyDescent="0.25">
      <c r="A48" s="39"/>
      <c r="B48" s="40"/>
      <c r="C48" s="40"/>
      <c r="D48" s="40"/>
      <c r="E48" s="47" t="s">
        <v>20</v>
      </c>
      <c r="F48" s="40"/>
      <c r="G48" s="42"/>
      <c r="H48" s="43" t="s">
        <v>14</v>
      </c>
      <c r="I48" s="44"/>
      <c r="J48" s="44"/>
      <c r="K48" s="45"/>
      <c r="L48" s="83">
        <v>0</v>
      </c>
      <c r="M48" s="83">
        <v>0</v>
      </c>
      <c r="N48" s="83">
        <v>0</v>
      </c>
      <c r="O48" s="48">
        <f t="shared" si="23"/>
        <v>0</v>
      </c>
      <c r="P48" s="48">
        <f t="shared" si="24"/>
        <v>0</v>
      </c>
      <c r="Q48" s="83">
        <v>0</v>
      </c>
      <c r="R48" s="83">
        <v>0</v>
      </c>
      <c r="S48" s="83">
        <v>0</v>
      </c>
      <c r="T48" s="48">
        <f t="shared" si="26"/>
        <v>0</v>
      </c>
      <c r="U48" s="48">
        <f t="shared" si="27"/>
        <v>0</v>
      </c>
    </row>
    <row r="49" spans="1:21" ht="18.75" x14ac:dyDescent="0.25">
      <c r="A49" s="39"/>
      <c r="B49" s="40"/>
      <c r="C49" s="40"/>
      <c r="D49" s="40"/>
      <c r="E49" s="47" t="s">
        <v>21</v>
      </c>
      <c r="F49" s="40"/>
      <c r="G49" s="42"/>
      <c r="H49" s="43" t="s">
        <v>14</v>
      </c>
      <c r="I49" s="44"/>
      <c r="J49" s="44"/>
      <c r="K49" s="45"/>
      <c r="L49" s="46">
        <f ca="1">IFERROR(__xludf.DUMMYFUNCTION("IMPORTRANGE(""https://docs.google.com/spreadsheets/d/1jTcq05yEiRwXcBMLjiodW9e4biSGYWAHcDj22rKWQ3s/edit?usp=sharing"",""กำแพงเพชร!L49"")+IMPORTRANGE(""https://docs.google.com/spreadsheets/d/1KS0zmDSZPk8KnTAbGN-Xk6MtX1YRZD0ldgdt20K4CRk/edit?usp=sharing"","""&amp;"เชียงราย!L49"")+IMPORTRANGE(""https://docs.google.com/spreadsheets/d/1rEDxBtusbi64tE0zunoIbsTVV16HeL0oJ6trHQeQ7K8/edit?usp=sharing"",""เชียงใหม่!L49"")+IMPORTRANGE(""https://docs.google.com/spreadsheets/d/1W6MnUbDkMi6xHnHko_XkFDO9kkuL6Wqyc-6OCDFjW9I/edit?"&amp;"usp=sharing"",""ตาก!L49"")+IMPORTRANGE(""https://docs.google.com/spreadsheets/d/1IQAWArduLkta9LpYo4a_ULsyqdta6-6aDDiwpUnQT6c/edit?usp=sharing"",""นครสวรรค์!L49"")+IMPORTRANGE(""https://docs.google.com/spreadsheets/d/10s13Sk5xrltsiR-Zkbmk5DwIaDIKO8XlbJAfqy"&amp;"T7Gvg/edit?usp=sharing"",""น่าน!L49"")+IMPORTRANGE(""https://docs.google.com/spreadsheets/d/1uu4nAn4Dbi1XREnLKKotUANlKXa7yCgRcgq8HEzQYW8/edit?usp=sharing"",""พะเยา!L49"")+IMPORTRANGE(""https://docs.google.com/spreadsheets/d/1xfJKIQxVOaPDIICqsflNlLu3JacTDk"&amp;"1FP9RH4phX7mI/edit?usp=sharing"",""พิจิตร!L49"")+IMPORTRANGE(""https://docs.google.com/spreadsheets/d/1JtRfZkJMHtEhI5RdRHxYUG4FIZHqKDpNyIuN7A1Q0_k/edit?usp=sharing"",""พิษณุโลก!L49"")+IMPORTRANGE(""https://docs.google.com/spreadsheets/d/1xlcVZWUNn6SuWm0c3"&amp;"07h32SiGkd9BaeQWlAktfD3KO8/edit?usp=sharing"",""เพชรบูรณ์!L49"")+IMPORTRANGE(""https://docs.google.com/spreadsheets/d/1lOVebEIsI9qjGXl6EX66luk7wiuP2tBaryw-wKvv4e0/edit?usp=sharing"",""แพร่!L49"")+IMPORTRANGE(""https://docs.google.com/spreadsheets/d/1dQrvX"&amp;"0vEcN7Gu0fnZ0B5S90AeR19zth4XlExFBeExMY/edit?usp=sharing"",""แม่ฮ่องสอน!L49"")+IMPORTRANGE(""https://docs.google.com/spreadsheets/d/1DY4XTNNwjluuxqdfdn6qvOSlMRrZqUtmYcZR0ttFiG4/edit?usp=sharing"",""ลำปาง!L49"")+IMPORTRANGE(""https://docs.google.com/spreads"&amp;"heets/d/1ICwG78r0OFT8biBlxnBF8r7she7gNSzOvJ958PWT09c/edit?usp=sharing"",""ลำพูน!L49"")+IMPORTRANGE(""https://docs.google.com/spreadsheets/d/1B0f2xJpZUC6Z0xXnqKlZtEPzsf6L84eP1r1Q15seqRM/edit?usp=sharing"",""สุโขทัย!L49"")+IMPORTRANGE(""https://docs.google."&amp;"com/spreadsheets/d/1v0b9pFQCsKUVExMei7AgY2yQkdeNQvtOssygGsXbiKo/edit?usp=sharing"",""อุตรดิตถ์!L49"")+IMPORTRANGE(""https://docs.google.com/spreadsheets/d/1UsNK1e-WWiCo2PvGqdNfdme4m17_Ezd3J69EeeiQPD0/edit?usp=sharing"",""อุทัยธานี!L49"")"),9461707)</f>
        <v>9461707</v>
      </c>
      <c r="M49" s="46">
        <f ca="1">IFERROR(__xludf.DUMMYFUNCTION("IMPORTRANGE(""https://docs.google.com/spreadsheets/d/1jTcq05yEiRwXcBMLjiodW9e4biSGYWAHcDj22rKWQ3s/edit?usp=sharing"",""กำแพงเพชร!M49"")+IMPORTRANGE(""https://docs.google.com/spreadsheets/d/1KS0zmDSZPk8KnTAbGN-Xk6MtX1YRZD0ldgdt20K4CRk/edit?usp=sharing"","""&amp;"เชียงราย!M49"")+IMPORTRANGE(""https://docs.google.com/spreadsheets/d/1rEDxBtusbi64tE0zunoIbsTVV16HeL0oJ6trHQeQ7K8/edit?usp=sharing"",""เชียงใหม่!M49"")+IMPORTRANGE(""https://docs.google.com/spreadsheets/d/1W6MnUbDkMi6xHnHko_XkFDO9kkuL6Wqyc-6OCDFjW9I/edit?"&amp;"usp=sharing"",""ตาก!M49"")+IMPORTRANGE(""https://docs.google.com/spreadsheets/d/1IQAWArduLkta9LpYo4a_ULsyqdta6-6aDDiwpUnQT6c/edit?usp=sharing"",""นครสวรรค์!M49"")+IMPORTRANGE(""https://docs.google.com/spreadsheets/d/10s13Sk5xrltsiR-Zkbmk5DwIaDIKO8XlbJAfqy"&amp;"T7Gvg/edit?usp=sharing"",""น่าน!M49"")+IMPORTRANGE(""https://docs.google.com/spreadsheets/d/1uu4nAn4Dbi1XREnLKKotUANlKXa7yCgRcgq8HEzQYW8/edit?usp=sharing"",""พะเยา!M49"")+IMPORTRANGE(""https://docs.google.com/spreadsheets/d/1xfJKIQxVOaPDIICqsflNlLu3JacTDk"&amp;"1FP9RH4phX7mI/edit?usp=sharing"",""พิจิตร!M49"")+IMPORTRANGE(""https://docs.google.com/spreadsheets/d/1JtRfZkJMHtEhI5RdRHxYUG4FIZHqKDpNyIuN7A1Q0_k/edit?usp=sharing"",""พิษณุโลก!M49"")+IMPORTRANGE(""https://docs.google.com/spreadsheets/d/1xlcVZWUNn6SuWm0c3"&amp;"07h32SiGkd9BaeQWlAktfD3KO8/edit?usp=sharing"",""เพชรบูรณ์!M49"")+IMPORTRANGE(""https://docs.google.com/spreadsheets/d/1lOVebEIsI9qjGXl6EX66luk7wiuP2tBaryw-wKvv4e0/edit?usp=sharing"",""แพร่!M49"")+IMPORTRANGE(""https://docs.google.com/spreadsheets/d/1dQrvX"&amp;"0vEcN7Gu0fnZ0B5S90AeR19zth4XlExFBeExMY/edit?usp=sharing"",""แม่ฮ่องสอน!M49"")+IMPORTRANGE(""https://docs.google.com/spreadsheets/d/1DY4XTNNwjluuxqdfdn6qvOSlMRrZqUtmYcZR0ttFiG4/edit?usp=sharing"",""ลำปาง!M49"")+IMPORTRANGE(""https://docs.google.com/spreads"&amp;"heets/d/1ICwG78r0OFT8biBlxnBF8r7she7gNSzOvJ958PWT09c/edit?usp=sharing"",""ลำพูน!M49"")+IMPORTRANGE(""https://docs.google.com/spreadsheets/d/1B0f2xJpZUC6Z0xXnqKlZtEPzsf6L84eP1r1Q15seqRM/edit?usp=sharing"",""สุโขทัย!M49"")+IMPORTRANGE(""https://docs.google."&amp;"com/spreadsheets/d/1v0b9pFQCsKUVExMei7AgY2yQkdeNQvtOssygGsXbiKo/edit?usp=sharing"",""อุตรดิตถ์!M49"")+IMPORTRANGE(""https://docs.google.com/spreadsheets/d/1UsNK1e-WWiCo2PvGqdNfdme4m17_Ezd3J69EeeiQPD0/edit?usp=sharing"",""อุทัยธานี!M49"")"),10493850.2099999)</f>
        <v>10493850.2099999</v>
      </c>
      <c r="N49" s="46">
        <f ca="1">IFERROR(__xludf.DUMMYFUNCTION("IMPORTRANGE(""https://docs.google.com/spreadsheets/d/1jTcq05yEiRwXcBMLjiodW9e4biSGYWAHcDj22rKWQ3s/edit?usp=sharing"",""กำแพงเพชร!N49"")+IMPORTRANGE(""https://docs.google.com/spreadsheets/d/1KS0zmDSZPk8KnTAbGN-Xk6MtX1YRZD0ldgdt20K4CRk/edit?usp=sharing"","""&amp;"เชียงราย!N49"")+IMPORTRANGE(""https://docs.google.com/spreadsheets/d/1rEDxBtusbi64tE0zunoIbsTVV16HeL0oJ6trHQeQ7K8/edit?usp=sharing"",""เชียงใหม่!N49"")+IMPORTRANGE(""https://docs.google.com/spreadsheets/d/1W6MnUbDkMi6xHnHko_XkFDO9kkuL6Wqyc-6OCDFjW9I/edit?"&amp;"usp=sharing"",""ตาก!N49"")+IMPORTRANGE(""https://docs.google.com/spreadsheets/d/1IQAWArduLkta9LpYo4a_ULsyqdta6-6aDDiwpUnQT6c/edit?usp=sharing"",""นครสวรรค์!N49"")+IMPORTRANGE(""https://docs.google.com/spreadsheets/d/10s13Sk5xrltsiR-Zkbmk5DwIaDIKO8XlbJAfqy"&amp;"T7Gvg/edit?usp=sharing"",""น่าน!N49"")+IMPORTRANGE(""https://docs.google.com/spreadsheets/d/1uu4nAn4Dbi1XREnLKKotUANlKXa7yCgRcgq8HEzQYW8/edit?usp=sharing"",""พะเยา!N49"")+IMPORTRANGE(""https://docs.google.com/spreadsheets/d/1xfJKIQxVOaPDIICqsflNlLu3JacTDk"&amp;"1FP9RH4phX7mI/edit?usp=sharing"",""พิจิตร!N49"")+IMPORTRANGE(""https://docs.google.com/spreadsheets/d/1JtRfZkJMHtEhI5RdRHxYUG4FIZHqKDpNyIuN7A1Q0_k/edit?usp=sharing"",""พิษณุโลก!N49"")+IMPORTRANGE(""https://docs.google.com/spreadsheets/d/1xlcVZWUNn6SuWm0c3"&amp;"07h32SiGkd9BaeQWlAktfD3KO8/edit?usp=sharing"",""เพชรบูรณ์!N49"")+IMPORTRANGE(""https://docs.google.com/spreadsheets/d/1lOVebEIsI9qjGXl6EX66luk7wiuP2tBaryw-wKvv4e0/edit?usp=sharing"",""แพร่!N49"")+IMPORTRANGE(""https://docs.google.com/spreadsheets/d/1dQrvX"&amp;"0vEcN7Gu0fnZ0B5S90AeR19zth4XlExFBeExMY/edit?usp=sharing"",""แม่ฮ่องสอน!N49"")+IMPORTRANGE(""https://docs.google.com/spreadsheets/d/1DY4XTNNwjluuxqdfdn6qvOSlMRrZqUtmYcZR0ttFiG4/edit?usp=sharing"",""ลำปาง!N49"")+IMPORTRANGE(""https://docs.google.com/spreads"&amp;"heets/d/1ICwG78r0OFT8biBlxnBF8r7she7gNSzOvJ958PWT09c/edit?usp=sharing"",""ลำพูน!N49"")+IMPORTRANGE(""https://docs.google.com/spreadsheets/d/1B0f2xJpZUC6Z0xXnqKlZtEPzsf6L84eP1r1Q15seqRM/edit?usp=sharing"",""สุโขทัย!N49"")+IMPORTRANGE(""https://docs.google."&amp;"com/spreadsheets/d/1v0b9pFQCsKUVExMei7AgY2yQkdeNQvtOssygGsXbiKo/edit?usp=sharing"",""อุตรดิตถ์!N49"")+IMPORTRANGE(""https://docs.google.com/spreadsheets/d/1UsNK1e-WWiCo2PvGqdNfdme4m17_Ezd3J69EeeiQPD0/edit?usp=sharing"",""อุทัยธานี!N49"")"),6815714.73)</f>
        <v>6815714.7300000004</v>
      </c>
      <c r="O49" s="46">
        <f t="shared" ca="1" si="23"/>
        <v>72.034726186300205</v>
      </c>
      <c r="P49" s="46">
        <f t="shared" ca="1" si="24"/>
        <v>64.949609472270751</v>
      </c>
      <c r="Q49" s="46">
        <f ca="1">IFERROR(__xludf.DUMMYFUNCTION("IMPORTRANGE(""https://docs.google.com/spreadsheets/d/1jTcq05yEiRwXcBMLjiodW9e4biSGYWAHcDj22rKWQ3s/edit?usp=sharing"",""กำแพงเพชร!Q49"")+IMPORTRANGE(""https://docs.google.com/spreadsheets/d/1KS0zmDSZPk8KnTAbGN-Xk6MtX1YRZD0ldgdt20K4CRk/edit?usp=sharing"","""&amp;"เชียงราย!Q49"")+IMPORTRANGE(""https://docs.google.com/spreadsheets/d/1rEDxBtusbi64tE0zunoIbsTVV16HeL0oJ6trHQeQ7K8/edit?usp=sharing"",""เชียงใหม่!Q49"")+IMPORTRANGE(""https://docs.google.com/spreadsheets/d/1W6MnUbDkMi6xHnHko_XkFDO9kkuL6Wqyc-6OCDFjW9I/edit?"&amp;"usp=sharing"",""ตาก!Q49"")+IMPORTRANGE(""https://docs.google.com/spreadsheets/d/1IQAWArduLkta9LpYo4a_ULsyqdta6-6aDDiwpUnQT6c/edit?usp=sharing"",""นครสวรรค์!Q49"")+IMPORTRANGE(""https://docs.google.com/spreadsheets/d/10s13Sk5xrltsiR-Zkbmk5DwIaDIKO8XlbJAfqy"&amp;"T7Gvg/edit?usp=sharing"",""น่าน!Q49"")+IMPORTRANGE(""https://docs.google.com/spreadsheets/d/1uu4nAn4Dbi1XREnLKKotUANlKXa7yCgRcgq8HEzQYW8/edit?usp=sharing"",""พะเยา!Q49"")+IMPORTRANGE(""https://docs.google.com/spreadsheets/d/1xfJKIQxVOaPDIICqsflNlLu3JacTDk"&amp;"1FP9RH4phX7mI/edit?usp=sharing"",""พิจิตร!Q49"")+IMPORTRANGE(""https://docs.google.com/spreadsheets/d/1JtRfZkJMHtEhI5RdRHxYUG4FIZHqKDpNyIuN7A1Q0_k/edit?usp=sharing"",""พิษณุโลก!Q49"")+IMPORTRANGE(""https://docs.google.com/spreadsheets/d/1xlcVZWUNn6SuWm0c3"&amp;"07h32SiGkd9BaeQWlAktfD3KO8/edit?usp=sharing"",""เพชรบูรณ์!Q49"")+IMPORTRANGE(""https://docs.google.com/spreadsheets/d/1lOVebEIsI9qjGXl6EX66luk7wiuP2tBaryw-wKvv4e0/edit?usp=sharing"",""แพร่!Q49"")+IMPORTRANGE(""https://docs.google.com/spreadsheets/d/1dQrvX"&amp;"0vEcN7Gu0fnZ0B5S90AeR19zth4XlExFBeExMY/edit?usp=sharing"",""แม่ฮ่องสอน!Q49"")+IMPORTRANGE(""https://docs.google.com/spreadsheets/d/1DY4XTNNwjluuxqdfdn6qvOSlMRrZqUtmYcZR0ttFiG4/edit?usp=sharing"",""ลำปาง!Q49"")+IMPORTRANGE(""https://docs.google.com/spreads"&amp;"heets/d/1ICwG78r0OFT8biBlxnBF8r7she7gNSzOvJ958PWT09c/edit?usp=sharing"",""ลำพูน!Q49"")+IMPORTRANGE(""https://docs.google.com/spreadsheets/d/1B0f2xJpZUC6Z0xXnqKlZtEPzsf6L84eP1r1Q15seqRM/edit?usp=sharing"",""สุโขทัย!Q49"")+IMPORTRANGE(""https://docs.google."&amp;"com/spreadsheets/d/1v0b9pFQCsKUVExMei7AgY2yQkdeNQvtOssygGsXbiKo/edit?usp=sharing"",""อุตรดิตถ์!Q49"")+IMPORTRANGE(""https://docs.google.com/spreadsheets/d/1UsNK1e-WWiCo2PvGqdNfdme4m17_Ezd3J69EeeiQPD0/edit?usp=sharing"",""อุทัยธานี!Q49"")"),0)</f>
        <v>0</v>
      </c>
      <c r="R49" s="46">
        <f ca="1">IFERROR(__xludf.DUMMYFUNCTION("IMPORTRANGE(""https://docs.google.com/spreadsheets/d/1jTcq05yEiRwXcBMLjiodW9e4biSGYWAHcDj22rKWQ3s/edit?usp=sharing"",""กำแพงเพชร!R49"")+IMPORTRANGE(""https://docs.google.com/spreadsheets/d/1KS0zmDSZPk8KnTAbGN-Xk6MtX1YRZD0ldgdt20K4CRk/edit?usp=sharing"","""&amp;"เชียงราย!R49"")+IMPORTRANGE(""https://docs.google.com/spreadsheets/d/1rEDxBtusbi64tE0zunoIbsTVV16HeL0oJ6trHQeQ7K8/edit?usp=sharing"",""เชียงใหม่!R49"")+IMPORTRANGE(""https://docs.google.com/spreadsheets/d/1W6MnUbDkMi6xHnHko_XkFDO9kkuL6Wqyc-6OCDFjW9I/edit?"&amp;"usp=sharing"",""ตาก!R49"")+IMPORTRANGE(""https://docs.google.com/spreadsheets/d/1IQAWArduLkta9LpYo4a_ULsyqdta6-6aDDiwpUnQT6c/edit?usp=sharing"",""นครสวรรค์!R49"")+IMPORTRANGE(""https://docs.google.com/spreadsheets/d/10s13Sk5xrltsiR-Zkbmk5DwIaDIKO8XlbJAfqy"&amp;"T7Gvg/edit?usp=sharing"",""น่าน!R49"")+IMPORTRANGE(""https://docs.google.com/spreadsheets/d/1uu4nAn4Dbi1XREnLKKotUANlKXa7yCgRcgq8HEzQYW8/edit?usp=sharing"",""พะเยา!R49"")+IMPORTRANGE(""https://docs.google.com/spreadsheets/d/1xfJKIQxVOaPDIICqsflNlLu3JacTDk"&amp;"1FP9RH4phX7mI/edit?usp=sharing"",""พิจิตร!R49"")+IMPORTRANGE(""https://docs.google.com/spreadsheets/d/1JtRfZkJMHtEhI5RdRHxYUG4FIZHqKDpNyIuN7A1Q0_k/edit?usp=sharing"",""พิษณุโลก!R49"")+IMPORTRANGE(""https://docs.google.com/spreadsheets/d/1xlcVZWUNn6SuWm0c3"&amp;"07h32SiGkd9BaeQWlAktfD3KO8/edit?usp=sharing"",""เพชรบูรณ์!R49"")+IMPORTRANGE(""https://docs.google.com/spreadsheets/d/1lOVebEIsI9qjGXl6EX66luk7wiuP2tBaryw-wKvv4e0/edit?usp=sharing"",""แพร่!R49"")+IMPORTRANGE(""https://docs.google.com/spreadsheets/d/1dQrvX"&amp;"0vEcN7Gu0fnZ0B5S90AeR19zth4XlExFBeExMY/edit?usp=sharing"",""แม่ฮ่องสอน!R49"")+IMPORTRANGE(""https://docs.google.com/spreadsheets/d/1DY4XTNNwjluuxqdfdn6qvOSlMRrZqUtmYcZR0ttFiG4/edit?usp=sharing"",""ลำปาง!R49"")+IMPORTRANGE(""https://docs.google.com/spreads"&amp;"heets/d/1ICwG78r0OFT8biBlxnBF8r7she7gNSzOvJ958PWT09c/edit?usp=sharing"",""ลำพูน!R49"")+IMPORTRANGE(""https://docs.google.com/spreadsheets/d/1B0f2xJpZUC6Z0xXnqKlZtEPzsf6L84eP1r1Q15seqRM/edit?usp=sharing"",""สุโขทัย!R49"")+IMPORTRANGE(""https://docs.google."&amp;"com/spreadsheets/d/1v0b9pFQCsKUVExMei7AgY2yQkdeNQvtOssygGsXbiKo/edit?usp=sharing"",""อุตรดิตถ์!R49"")+IMPORTRANGE(""https://docs.google.com/spreadsheets/d/1UsNK1e-WWiCo2PvGqdNfdme4m17_Ezd3J69EeeiQPD0/edit?usp=sharing"",""อุทัยธานี!R49"")"),0)</f>
        <v>0</v>
      </c>
      <c r="S49" s="46">
        <f ca="1">IFERROR(__xludf.DUMMYFUNCTION("IMPORTRANGE(""https://docs.google.com/spreadsheets/d/1jTcq05yEiRwXcBMLjiodW9e4biSGYWAHcDj22rKWQ3s/edit?usp=sharing"",""กำแพงเพชร!S49"")+IMPORTRANGE(""https://docs.google.com/spreadsheets/d/1KS0zmDSZPk8KnTAbGN-Xk6MtX1YRZD0ldgdt20K4CRk/edit?usp=sharing"","""&amp;"เชียงราย!S49"")+IMPORTRANGE(""https://docs.google.com/spreadsheets/d/1rEDxBtusbi64tE0zunoIbsTVV16HeL0oJ6trHQeQ7K8/edit?usp=sharing"",""เชียงใหม่!S49"")+IMPORTRANGE(""https://docs.google.com/spreadsheets/d/1W6MnUbDkMi6xHnHko_XkFDO9kkuL6Wqyc-6OCDFjW9I/edit?"&amp;"usp=sharing"",""ตาก!S49"")+IMPORTRANGE(""https://docs.google.com/spreadsheets/d/1IQAWArduLkta9LpYo4a_ULsyqdta6-6aDDiwpUnQT6c/edit?usp=sharing"",""นครสวรรค์!S49"")+IMPORTRANGE(""https://docs.google.com/spreadsheets/d/10s13Sk5xrltsiR-Zkbmk5DwIaDIKO8XlbJAfqy"&amp;"T7Gvg/edit?usp=sharing"",""น่าน!S49"")+IMPORTRANGE(""https://docs.google.com/spreadsheets/d/1uu4nAn4Dbi1XREnLKKotUANlKXa7yCgRcgq8HEzQYW8/edit?usp=sharing"",""พะเยา!S49"")+IMPORTRANGE(""https://docs.google.com/spreadsheets/d/1xfJKIQxVOaPDIICqsflNlLu3JacTDk"&amp;"1FP9RH4phX7mI/edit?usp=sharing"",""พิจิตร!S49"")+IMPORTRANGE(""https://docs.google.com/spreadsheets/d/1JtRfZkJMHtEhI5RdRHxYUG4FIZHqKDpNyIuN7A1Q0_k/edit?usp=sharing"",""พิษณุโลก!S49"")+IMPORTRANGE(""https://docs.google.com/spreadsheets/d/1xlcVZWUNn6SuWm0c3"&amp;"07h32SiGkd9BaeQWlAktfD3KO8/edit?usp=sharing"",""เพชรบูรณ์!S49"")+IMPORTRANGE(""https://docs.google.com/spreadsheets/d/1lOVebEIsI9qjGXl6EX66luk7wiuP2tBaryw-wKvv4e0/edit?usp=sharing"",""แพร่!S49"")+IMPORTRANGE(""https://docs.google.com/spreadsheets/d/1dQrvX"&amp;"0vEcN7Gu0fnZ0B5S90AeR19zth4XlExFBeExMY/edit?usp=sharing"",""แม่ฮ่องสอน!S49"")+IMPORTRANGE(""https://docs.google.com/spreadsheets/d/1DY4XTNNwjluuxqdfdn6qvOSlMRrZqUtmYcZR0ttFiG4/edit?usp=sharing"",""ลำปาง!S49"")+IMPORTRANGE(""https://docs.google.com/spreads"&amp;"heets/d/1ICwG78r0OFT8biBlxnBF8r7she7gNSzOvJ958PWT09c/edit?usp=sharing"",""ลำพูน!S49"")+IMPORTRANGE(""https://docs.google.com/spreadsheets/d/1B0f2xJpZUC6Z0xXnqKlZtEPzsf6L84eP1r1Q15seqRM/edit?usp=sharing"",""สุโขทัย!S49"")+IMPORTRANGE(""https://docs.google."&amp;"com/spreadsheets/d/1v0b9pFQCsKUVExMei7AgY2yQkdeNQvtOssygGsXbiKo/edit?usp=sharing"",""อุตรดิตถ์!S49"")+IMPORTRANGE(""https://docs.google.com/spreadsheets/d/1UsNK1e-WWiCo2PvGqdNfdme4m17_Ezd3J69EeeiQPD0/edit?usp=sharing"",""อุทัยธานี!S49"")"),0)</f>
        <v>0</v>
      </c>
      <c r="T49" s="46">
        <f t="shared" ca="1" si="26"/>
        <v>0</v>
      </c>
      <c r="U49" s="46">
        <f t="shared" ca="1" si="27"/>
        <v>0</v>
      </c>
    </row>
    <row r="50" spans="1:21" ht="18.75" x14ac:dyDescent="0.25">
      <c r="A50" s="39"/>
      <c r="B50" s="40"/>
      <c r="C50" s="40"/>
      <c r="D50" s="49" t="s">
        <v>23</v>
      </c>
      <c r="E50" s="40"/>
      <c r="F50" s="40"/>
      <c r="G50" s="42"/>
      <c r="H50" s="43" t="s">
        <v>14</v>
      </c>
      <c r="I50" s="44"/>
      <c r="J50" s="44"/>
      <c r="K50" s="45"/>
      <c r="L50" s="46">
        <f t="shared" ref="L50:N50" ca="1" si="34">L51+L52</f>
        <v>0</v>
      </c>
      <c r="M50" s="46">
        <f t="shared" ca="1" si="34"/>
        <v>0</v>
      </c>
      <c r="N50" s="46">
        <f t="shared" ca="1" si="34"/>
        <v>0</v>
      </c>
      <c r="O50" s="46">
        <f t="shared" ca="1" si="23"/>
        <v>0</v>
      </c>
      <c r="P50" s="46">
        <f t="shared" ca="1" si="24"/>
        <v>0</v>
      </c>
      <c r="Q50" s="46">
        <f t="shared" ref="Q50:S50" ca="1" si="35">Q51+Q52</f>
        <v>0</v>
      </c>
      <c r="R50" s="46">
        <f t="shared" ca="1" si="35"/>
        <v>0</v>
      </c>
      <c r="S50" s="46">
        <f t="shared" ca="1" si="35"/>
        <v>0</v>
      </c>
      <c r="T50" s="46">
        <f t="shared" ca="1" si="26"/>
        <v>0</v>
      </c>
      <c r="U50" s="46">
        <f t="shared" ca="1" si="27"/>
        <v>0</v>
      </c>
    </row>
    <row r="51" spans="1:21" ht="18.75" x14ac:dyDescent="0.25">
      <c r="A51" s="39"/>
      <c r="B51" s="40"/>
      <c r="C51" s="40"/>
      <c r="D51" s="40"/>
      <c r="E51" s="47" t="s">
        <v>20</v>
      </c>
      <c r="F51" s="40"/>
      <c r="G51" s="42"/>
      <c r="H51" s="43" t="s">
        <v>14</v>
      </c>
      <c r="I51" s="44"/>
      <c r="J51" s="44"/>
      <c r="K51" s="45"/>
      <c r="L51" s="83">
        <v>0</v>
      </c>
      <c r="M51" s="83">
        <v>0</v>
      </c>
      <c r="N51" s="83">
        <v>0</v>
      </c>
      <c r="O51" s="48">
        <f t="shared" si="23"/>
        <v>0</v>
      </c>
      <c r="P51" s="48">
        <f t="shared" si="24"/>
        <v>0</v>
      </c>
      <c r="Q51" s="83">
        <v>0</v>
      </c>
      <c r="R51" s="83">
        <v>0</v>
      </c>
      <c r="S51" s="83">
        <v>0</v>
      </c>
      <c r="T51" s="48">
        <f t="shared" si="26"/>
        <v>0</v>
      </c>
      <c r="U51" s="48">
        <f t="shared" si="27"/>
        <v>0</v>
      </c>
    </row>
    <row r="52" spans="1:21" ht="18.75" x14ac:dyDescent="0.25">
      <c r="A52" s="39"/>
      <c r="B52" s="40"/>
      <c r="C52" s="40"/>
      <c r="D52" s="40"/>
      <c r="E52" s="47" t="s">
        <v>21</v>
      </c>
      <c r="F52" s="40"/>
      <c r="G52" s="42"/>
      <c r="H52" s="43" t="s">
        <v>14</v>
      </c>
      <c r="I52" s="44"/>
      <c r="J52" s="44"/>
      <c r="K52" s="45"/>
      <c r="L52" s="46">
        <f ca="1">IFERROR(__xludf.DUMMYFUNCTION("IMPORTRANGE(""https://docs.google.com/spreadsheets/d/1jTcq05yEiRwXcBMLjiodW9e4biSGYWAHcDj22rKWQ3s/edit?usp=sharing"",""กำแพงเพชร!L52"")+IMPORTRANGE(""https://docs.google.com/spreadsheets/d/1KS0zmDSZPk8KnTAbGN-Xk6MtX1YRZD0ldgdt20K4CRk/edit?usp=sharing"","""&amp;"เชียงราย!L52"")+IMPORTRANGE(""https://docs.google.com/spreadsheets/d/1rEDxBtusbi64tE0zunoIbsTVV16HeL0oJ6trHQeQ7K8/edit?usp=sharing"",""เชียงใหม่!L52"")+IMPORTRANGE(""https://docs.google.com/spreadsheets/d/1W6MnUbDkMi6xHnHko_XkFDO9kkuL6Wqyc-6OCDFjW9I/edit?"&amp;"usp=sharing"",""ตาก!L52"")+IMPORTRANGE(""https://docs.google.com/spreadsheets/d/1IQAWArduLkta9LpYo4a_ULsyqdta6-6aDDiwpUnQT6c/edit?usp=sharing"",""นครสวรรค์!L52"")+IMPORTRANGE(""https://docs.google.com/spreadsheets/d/10s13Sk5xrltsiR-Zkbmk5DwIaDIKO8XlbJAfqy"&amp;"T7Gvg/edit?usp=sharing"",""น่าน!L52"")+IMPORTRANGE(""https://docs.google.com/spreadsheets/d/1uu4nAn4Dbi1XREnLKKotUANlKXa7yCgRcgq8HEzQYW8/edit?usp=sharing"",""พะเยา!L52"")+IMPORTRANGE(""https://docs.google.com/spreadsheets/d/1xfJKIQxVOaPDIICqsflNlLu3JacTDk"&amp;"1FP9RH4phX7mI/edit?usp=sharing"",""พิจิตร!L52"")+IMPORTRANGE(""https://docs.google.com/spreadsheets/d/1JtRfZkJMHtEhI5RdRHxYUG4FIZHqKDpNyIuN7A1Q0_k/edit?usp=sharing"",""พิษณุโลก!L52"")+IMPORTRANGE(""https://docs.google.com/spreadsheets/d/1xlcVZWUNn6SuWm0c3"&amp;"07h32SiGkd9BaeQWlAktfD3KO8/edit?usp=sharing"",""เพชรบูรณ์!L52"")+IMPORTRANGE(""https://docs.google.com/spreadsheets/d/1lOVebEIsI9qjGXl6EX66luk7wiuP2tBaryw-wKvv4e0/edit?usp=sharing"",""แพร่!L52"")+IMPORTRANGE(""https://docs.google.com/spreadsheets/d/1dQrvX"&amp;"0vEcN7Gu0fnZ0B5S90AeR19zth4XlExFBeExMY/edit?usp=sharing"",""แม่ฮ่องสอน!L52"")+IMPORTRANGE(""https://docs.google.com/spreadsheets/d/1DY4XTNNwjluuxqdfdn6qvOSlMRrZqUtmYcZR0ttFiG4/edit?usp=sharing"",""ลำปาง!L52"")+IMPORTRANGE(""https://docs.google.com/spreads"&amp;"heets/d/1ICwG78r0OFT8biBlxnBF8r7she7gNSzOvJ958PWT09c/edit?usp=sharing"",""ลำพูน!L52"")+IMPORTRANGE(""https://docs.google.com/spreadsheets/d/1B0f2xJpZUC6Z0xXnqKlZtEPzsf6L84eP1r1Q15seqRM/edit?usp=sharing"",""สุโขทัย!L52"")+IMPORTRANGE(""https://docs.google."&amp;"com/spreadsheets/d/1v0b9pFQCsKUVExMei7AgY2yQkdeNQvtOssygGsXbiKo/edit?usp=sharing"",""อุตรดิตถ์!L52"")+IMPORTRANGE(""https://docs.google.com/spreadsheets/d/1UsNK1e-WWiCo2PvGqdNfdme4m17_Ezd3J69EeeiQPD0/edit?usp=sharing"",""อุทัยธานี!L52"")"),0)</f>
        <v>0</v>
      </c>
      <c r="M52" s="46">
        <f ca="1">IFERROR(__xludf.DUMMYFUNCTION("IMPORTRANGE(""https://docs.google.com/spreadsheets/d/1jTcq05yEiRwXcBMLjiodW9e4biSGYWAHcDj22rKWQ3s/edit?usp=sharing"",""กำแพงเพชร!M52"")+IMPORTRANGE(""https://docs.google.com/spreadsheets/d/1KS0zmDSZPk8KnTAbGN-Xk6MtX1YRZD0ldgdt20K4CRk/edit?usp=sharing"","""&amp;"เชียงราย!M52"")+IMPORTRANGE(""https://docs.google.com/spreadsheets/d/1rEDxBtusbi64tE0zunoIbsTVV16HeL0oJ6trHQeQ7K8/edit?usp=sharing"",""เชียงใหม่!M52"")+IMPORTRANGE(""https://docs.google.com/spreadsheets/d/1W6MnUbDkMi6xHnHko_XkFDO9kkuL6Wqyc-6OCDFjW9I/edit?"&amp;"usp=sharing"",""ตาก!M52"")+IMPORTRANGE(""https://docs.google.com/spreadsheets/d/1IQAWArduLkta9LpYo4a_ULsyqdta6-6aDDiwpUnQT6c/edit?usp=sharing"",""นครสวรรค์!M52"")+IMPORTRANGE(""https://docs.google.com/spreadsheets/d/10s13Sk5xrltsiR-Zkbmk5DwIaDIKO8XlbJAfqy"&amp;"T7Gvg/edit?usp=sharing"",""น่าน!M52"")+IMPORTRANGE(""https://docs.google.com/spreadsheets/d/1uu4nAn4Dbi1XREnLKKotUANlKXa7yCgRcgq8HEzQYW8/edit?usp=sharing"",""พะเยา!M52"")+IMPORTRANGE(""https://docs.google.com/spreadsheets/d/1xfJKIQxVOaPDIICqsflNlLu3JacTDk"&amp;"1FP9RH4phX7mI/edit?usp=sharing"",""พิจิตร!M52"")+IMPORTRANGE(""https://docs.google.com/spreadsheets/d/1JtRfZkJMHtEhI5RdRHxYUG4FIZHqKDpNyIuN7A1Q0_k/edit?usp=sharing"",""พิษณุโลก!M52"")+IMPORTRANGE(""https://docs.google.com/spreadsheets/d/1xlcVZWUNn6SuWm0c3"&amp;"07h32SiGkd9BaeQWlAktfD3KO8/edit?usp=sharing"",""เพชรบูรณ์!M52"")+IMPORTRANGE(""https://docs.google.com/spreadsheets/d/1lOVebEIsI9qjGXl6EX66luk7wiuP2tBaryw-wKvv4e0/edit?usp=sharing"",""แพร่!M52"")+IMPORTRANGE(""https://docs.google.com/spreadsheets/d/1dQrvX"&amp;"0vEcN7Gu0fnZ0B5S90AeR19zth4XlExFBeExMY/edit?usp=sharing"",""แม่ฮ่องสอน!M52"")+IMPORTRANGE(""https://docs.google.com/spreadsheets/d/1DY4XTNNwjluuxqdfdn6qvOSlMRrZqUtmYcZR0ttFiG4/edit?usp=sharing"",""ลำปาง!M52"")+IMPORTRANGE(""https://docs.google.com/spreads"&amp;"heets/d/1ICwG78r0OFT8biBlxnBF8r7she7gNSzOvJ958PWT09c/edit?usp=sharing"",""ลำพูน!M52"")+IMPORTRANGE(""https://docs.google.com/spreadsheets/d/1B0f2xJpZUC6Z0xXnqKlZtEPzsf6L84eP1r1Q15seqRM/edit?usp=sharing"",""สุโขทัย!M52"")+IMPORTRANGE(""https://docs.google."&amp;"com/spreadsheets/d/1v0b9pFQCsKUVExMei7AgY2yQkdeNQvtOssygGsXbiKo/edit?usp=sharing"",""อุตรดิตถ์!M52"")+IMPORTRANGE(""https://docs.google.com/spreadsheets/d/1UsNK1e-WWiCo2PvGqdNfdme4m17_Ezd3J69EeeiQPD0/edit?usp=sharing"",""อุทัยธานี!M52"")"),0)</f>
        <v>0</v>
      </c>
      <c r="N52" s="46">
        <f ca="1">IFERROR(__xludf.DUMMYFUNCTION("IMPORTRANGE(""https://docs.google.com/spreadsheets/d/1jTcq05yEiRwXcBMLjiodW9e4biSGYWAHcDj22rKWQ3s/edit?usp=sharing"",""กำแพงเพชร!N52"")+IMPORTRANGE(""https://docs.google.com/spreadsheets/d/1KS0zmDSZPk8KnTAbGN-Xk6MtX1YRZD0ldgdt20K4CRk/edit?usp=sharing"","""&amp;"เชียงราย!N52"")+IMPORTRANGE(""https://docs.google.com/spreadsheets/d/1rEDxBtusbi64tE0zunoIbsTVV16HeL0oJ6trHQeQ7K8/edit?usp=sharing"",""เชียงใหม่!N52"")+IMPORTRANGE(""https://docs.google.com/spreadsheets/d/1W6MnUbDkMi6xHnHko_XkFDO9kkuL6Wqyc-6OCDFjW9I/edit?"&amp;"usp=sharing"",""ตาก!N52"")+IMPORTRANGE(""https://docs.google.com/spreadsheets/d/1IQAWArduLkta9LpYo4a_ULsyqdta6-6aDDiwpUnQT6c/edit?usp=sharing"",""นครสวรรค์!N52"")+IMPORTRANGE(""https://docs.google.com/spreadsheets/d/10s13Sk5xrltsiR-Zkbmk5DwIaDIKO8XlbJAfqy"&amp;"T7Gvg/edit?usp=sharing"",""น่าน!N52"")+IMPORTRANGE(""https://docs.google.com/spreadsheets/d/1uu4nAn4Dbi1XREnLKKotUANlKXa7yCgRcgq8HEzQYW8/edit?usp=sharing"",""พะเยา!N52"")+IMPORTRANGE(""https://docs.google.com/spreadsheets/d/1xfJKIQxVOaPDIICqsflNlLu3JacTDk"&amp;"1FP9RH4phX7mI/edit?usp=sharing"",""พิจิตร!N52"")+IMPORTRANGE(""https://docs.google.com/spreadsheets/d/1JtRfZkJMHtEhI5RdRHxYUG4FIZHqKDpNyIuN7A1Q0_k/edit?usp=sharing"",""พิษณุโลก!N52"")+IMPORTRANGE(""https://docs.google.com/spreadsheets/d/1xlcVZWUNn6SuWm0c3"&amp;"07h32SiGkd9BaeQWlAktfD3KO8/edit?usp=sharing"",""เพชรบูรณ์!N52"")+IMPORTRANGE(""https://docs.google.com/spreadsheets/d/1lOVebEIsI9qjGXl6EX66luk7wiuP2tBaryw-wKvv4e0/edit?usp=sharing"",""แพร่!N52"")+IMPORTRANGE(""https://docs.google.com/spreadsheets/d/1dQrvX"&amp;"0vEcN7Gu0fnZ0B5S90AeR19zth4XlExFBeExMY/edit?usp=sharing"",""แม่ฮ่องสอน!N52"")+IMPORTRANGE(""https://docs.google.com/spreadsheets/d/1DY4XTNNwjluuxqdfdn6qvOSlMRrZqUtmYcZR0ttFiG4/edit?usp=sharing"",""ลำปาง!N52"")+IMPORTRANGE(""https://docs.google.com/spreads"&amp;"heets/d/1ICwG78r0OFT8biBlxnBF8r7she7gNSzOvJ958PWT09c/edit?usp=sharing"",""ลำพูน!N52"")+IMPORTRANGE(""https://docs.google.com/spreadsheets/d/1B0f2xJpZUC6Z0xXnqKlZtEPzsf6L84eP1r1Q15seqRM/edit?usp=sharing"",""สุโขทัย!N52"")+IMPORTRANGE(""https://docs.google."&amp;"com/spreadsheets/d/1v0b9pFQCsKUVExMei7AgY2yQkdeNQvtOssygGsXbiKo/edit?usp=sharing"",""อุตรดิตถ์!N52"")+IMPORTRANGE(""https://docs.google.com/spreadsheets/d/1UsNK1e-WWiCo2PvGqdNfdme4m17_Ezd3J69EeeiQPD0/edit?usp=sharing"",""อุทัยธานี!N52"")"),0)</f>
        <v>0</v>
      </c>
      <c r="O52" s="46">
        <f t="shared" ca="1" si="23"/>
        <v>0</v>
      </c>
      <c r="P52" s="46">
        <f t="shared" ca="1" si="24"/>
        <v>0</v>
      </c>
      <c r="Q52" s="46">
        <f ca="1">IFERROR(__xludf.DUMMYFUNCTION("IMPORTRANGE(""https://docs.google.com/spreadsheets/d/1jTcq05yEiRwXcBMLjiodW9e4biSGYWAHcDj22rKWQ3s/edit?usp=sharing"",""กำแพงเพชร!Q52"")+IMPORTRANGE(""https://docs.google.com/spreadsheets/d/1KS0zmDSZPk8KnTAbGN-Xk6MtX1YRZD0ldgdt20K4CRk/edit?usp=sharing"","""&amp;"เชียงราย!Q52"")+IMPORTRANGE(""https://docs.google.com/spreadsheets/d/1rEDxBtusbi64tE0zunoIbsTVV16HeL0oJ6trHQeQ7K8/edit?usp=sharing"",""เชียงใหม่!Q52"")+IMPORTRANGE(""https://docs.google.com/spreadsheets/d/1W6MnUbDkMi6xHnHko_XkFDO9kkuL6Wqyc-6OCDFjW9I/edit?"&amp;"usp=sharing"",""ตาก!Q52"")+IMPORTRANGE(""https://docs.google.com/spreadsheets/d/1IQAWArduLkta9LpYo4a_ULsyqdta6-6aDDiwpUnQT6c/edit?usp=sharing"",""นครสวรรค์!Q52"")+IMPORTRANGE(""https://docs.google.com/spreadsheets/d/10s13Sk5xrltsiR-Zkbmk5DwIaDIKO8XlbJAfqy"&amp;"T7Gvg/edit?usp=sharing"",""น่าน!Q52"")+IMPORTRANGE(""https://docs.google.com/spreadsheets/d/1uu4nAn4Dbi1XREnLKKotUANlKXa7yCgRcgq8HEzQYW8/edit?usp=sharing"",""พะเยา!Q52"")+IMPORTRANGE(""https://docs.google.com/spreadsheets/d/1xfJKIQxVOaPDIICqsflNlLu3JacTDk"&amp;"1FP9RH4phX7mI/edit?usp=sharing"",""พิจิตร!Q52"")+IMPORTRANGE(""https://docs.google.com/spreadsheets/d/1JtRfZkJMHtEhI5RdRHxYUG4FIZHqKDpNyIuN7A1Q0_k/edit?usp=sharing"",""พิษณุโลก!Q52"")+IMPORTRANGE(""https://docs.google.com/spreadsheets/d/1xlcVZWUNn6SuWm0c3"&amp;"07h32SiGkd9BaeQWlAktfD3KO8/edit?usp=sharing"",""เพชรบูรณ์!Q52"")+IMPORTRANGE(""https://docs.google.com/spreadsheets/d/1lOVebEIsI9qjGXl6EX66luk7wiuP2tBaryw-wKvv4e0/edit?usp=sharing"",""แพร่!Q52"")+IMPORTRANGE(""https://docs.google.com/spreadsheets/d/1dQrvX"&amp;"0vEcN7Gu0fnZ0B5S90AeR19zth4XlExFBeExMY/edit?usp=sharing"",""แม่ฮ่องสอน!Q52"")+IMPORTRANGE(""https://docs.google.com/spreadsheets/d/1DY4XTNNwjluuxqdfdn6qvOSlMRrZqUtmYcZR0ttFiG4/edit?usp=sharing"",""ลำปาง!Q52"")+IMPORTRANGE(""https://docs.google.com/spreads"&amp;"heets/d/1ICwG78r0OFT8biBlxnBF8r7she7gNSzOvJ958PWT09c/edit?usp=sharing"",""ลำพูน!Q52"")+IMPORTRANGE(""https://docs.google.com/spreadsheets/d/1B0f2xJpZUC6Z0xXnqKlZtEPzsf6L84eP1r1Q15seqRM/edit?usp=sharing"",""สุโขทัย!Q52"")+IMPORTRANGE(""https://docs.google."&amp;"com/spreadsheets/d/1v0b9pFQCsKUVExMei7AgY2yQkdeNQvtOssygGsXbiKo/edit?usp=sharing"",""อุตรดิตถ์!Q52"")+IMPORTRANGE(""https://docs.google.com/spreadsheets/d/1UsNK1e-WWiCo2PvGqdNfdme4m17_Ezd3J69EeeiQPD0/edit?usp=sharing"",""อุทัยธานี!Q52"")"),0)</f>
        <v>0</v>
      </c>
      <c r="R52" s="46">
        <f ca="1">IFERROR(__xludf.DUMMYFUNCTION("IMPORTRANGE(""https://docs.google.com/spreadsheets/d/1jTcq05yEiRwXcBMLjiodW9e4biSGYWAHcDj22rKWQ3s/edit?usp=sharing"",""กำแพงเพชร!R52"")+IMPORTRANGE(""https://docs.google.com/spreadsheets/d/1KS0zmDSZPk8KnTAbGN-Xk6MtX1YRZD0ldgdt20K4CRk/edit?usp=sharing"","""&amp;"เชียงราย!R52"")+IMPORTRANGE(""https://docs.google.com/spreadsheets/d/1rEDxBtusbi64tE0zunoIbsTVV16HeL0oJ6trHQeQ7K8/edit?usp=sharing"",""เชียงใหม่!R52"")+IMPORTRANGE(""https://docs.google.com/spreadsheets/d/1W6MnUbDkMi6xHnHko_XkFDO9kkuL6Wqyc-6OCDFjW9I/edit?"&amp;"usp=sharing"",""ตาก!R52"")+IMPORTRANGE(""https://docs.google.com/spreadsheets/d/1IQAWArduLkta9LpYo4a_ULsyqdta6-6aDDiwpUnQT6c/edit?usp=sharing"",""นครสวรรค์!R52"")+IMPORTRANGE(""https://docs.google.com/spreadsheets/d/10s13Sk5xrltsiR-Zkbmk5DwIaDIKO8XlbJAfqy"&amp;"T7Gvg/edit?usp=sharing"",""น่าน!R52"")+IMPORTRANGE(""https://docs.google.com/spreadsheets/d/1uu4nAn4Dbi1XREnLKKotUANlKXa7yCgRcgq8HEzQYW8/edit?usp=sharing"",""พะเยา!R52"")+IMPORTRANGE(""https://docs.google.com/spreadsheets/d/1xfJKIQxVOaPDIICqsflNlLu3JacTDk"&amp;"1FP9RH4phX7mI/edit?usp=sharing"",""พิจิตร!R52"")+IMPORTRANGE(""https://docs.google.com/spreadsheets/d/1JtRfZkJMHtEhI5RdRHxYUG4FIZHqKDpNyIuN7A1Q0_k/edit?usp=sharing"",""พิษณุโลก!R52"")+IMPORTRANGE(""https://docs.google.com/spreadsheets/d/1xlcVZWUNn6SuWm0c3"&amp;"07h32SiGkd9BaeQWlAktfD3KO8/edit?usp=sharing"",""เพชรบูรณ์!R52"")+IMPORTRANGE(""https://docs.google.com/spreadsheets/d/1lOVebEIsI9qjGXl6EX66luk7wiuP2tBaryw-wKvv4e0/edit?usp=sharing"",""แพร่!R52"")+IMPORTRANGE(""https://docs.google.com/spreadsheets/d/1dQrvX"&amp;"0vEcN7Gu0fnZ0B5S90AeR19zth4XlExFBeExMY/edit?usp=sharing"",""แม่ฮ่องสอน!R52"")+IMPORTRANGE(""https://docs.google.com/spreadsheets/d/1DY4XTNNwjluuxqdfdn6qvOSlMRrZqUtmYcZR0ttFiG4/edit?usp=sharing"",""ลำปาง!R52"")+IMPORTRANGE(""https://docs.google.com/spreads"&amp;"heets/d/1ICwG78r0OFT8biBlxnBF8r7she7gNSzOvJ958PWT09c/edit?usp=sharing"",""ลำพูน!R52"")+IMPORTRANGE(""https://docs.google.com/spreadsheets/d/1B0f2xJpZUC6Z0xXnqKlZtEPzsf6L84eP1r1Q15seqRM/edit?usp=sharing"",""สุโขทัย!R52"")+IMPORTRANGE(""https://docs.google."&amp;"com/spreadsheets/d/1v0b9pFQCsKUVExMei7AgY2yQkdeNQvtOssygGsXbiKo/edit?usp=sharing"",""อุตรดิตถ์!R52"")+IMPORTRANGE(""https://docs.google.com/spreadsheets/d/1UsNK1e-WWiCo2PvGqdNfdme4m17_Ezd3J69EeeiQPD0/edit?usp=sharing"",""อุทัยธานี!R52"")"),0)</f>
        <v>0</v>
      </c>
      <c r="S52" s="46">
        <f ca="1">IFERROR(__xludf.DUMMYFUNCTION("IMPORTRANGE(""https://docs.google.com/spreadsheets/d/1jTcq05yEiRwXcBMLjiodW9e4biSGYWAHcDj22rKWQ3s/edit?usp=sharing"",""กำแพงเพชร!S52"")+IMPORTRANGE(""https://docs.google.com/spreadsheets/d/1KS0zmDSZPk8KnTAbGN-Xk6MtX1YRZD0ldgdt20K4CRk/edit?usp=sharing"","""&amp;"เชียงราย!S52"")+IMPORTRANGE(""https://docs.google.com/spreadsheets/d/1rEDxBtusbi64tE0zunoIbsTVV16HeL0oJ6trHQeQ7K8/edit?usp=sharing"",""เชียงใหม่!S52"")+IMPORTRANGE(""https://docs.google.com/spreadsheets/d/1W6MnUbDkMi6xHnHko_XkFDO9kkuL6Wqyc-6OCDFjW9I/edit?"&amp;"usp=sharing"",""ตาก!S52"")+IMPORTRANGE(""https://docs.google.com/spreadsheets/d/1IQAWArduLkta9LpYo4a_ULsyqdta6-6aDDiwpUnQT6c/edit?usp=sharing"",""นครสวรรค์!S52"")+IMPORTRANGE(""https://docs.google.com/spreadsheets/d/10s13Sk5xrltsiR-Zkbmk5DwIaDIKO8XlbJAfqy"&amp;"T7Gvg/edit?usp=sharing"",""น่าน!S52"")+IMPORTRANGE(""https://docs.google.com/spreadsheets/d/1uu4nAn4Dbi1XREnLKKotUANlKXa7yCgRcgq8HEzQYW8/edit?usp=sharing"",""พะเยา!S52"")+IMPORTRANGE(""https://docs.google.com/spreadsheets/d/1xfJKIQxVOaPDIICqsflNlLu3JacTDk"&amp;"1FP9RH4phX7mI/edit?usp=sharing"",""พิจิตร!S52"")+IMPORTRANGE(""https://docs.google.com/spreadsheets/d/1JtRfZkJMHtEhI5RdRHxYUG4FIZHqKDpNyIuN7A1Q0_k/edit?usp=sharing"",""พิษณุโลก!S52"")+IMPORTRANGE(""https://docs.google.com/spreadsheets/d/1xlcVZWUNn6SuWm0c3"&amp;"07h32SiGkd9BaeQWlAktfD3KO8/edit?usp=sharing"",""เพชรบูรณ์!S52"")+IMPORTRANGE(""https://docs.google.com/spreadsheets/d/1lOVebEIsI9qjGXl6EX66luk7wiuP2tBaryw-wKvv4e0/edit?usp=sharing"",""แพร่!S52"")+IMPORTRANGE(""https://docs.google.com/spreadsheets/d/1dQrvX"&amp;"0vEcN7Gu0fnZ0B5S90AeR19zth4XlExFBeExMY/edit?usp=sharing"",""แม่ฮ่องสอน!S52"")+IMPORTRANGE(""https://docs.google.com/spreadsheets/d/1DY4XTNNwjluuxqdfdn6qvOSlMRrZqUtmYcZR0ttFiG4/edit?usp=sharing"",""ลำปาง!S52"")+IMPORTRANGE(""https://docs.google.com/spreads"&amp;"heets/d/1ICwG78r0OFT8biBlxnBF8r7she7gNSzOvJ958PWT09c/edit?usp=sharing"",""ลำพูน!S52"")+IMPORTRANGE(""https://docs.google.com/spreadsheets/d/1B0f2xJpZUC6Z0xXnqKlZtEPzsf6L84eP1r1Q15seqRM/edit?usp=sharing"",""สุโขทัย!S52"")+IMPORTRANGE(""https://docs.google."&amp;"com/spreadsheets/d/1v0b9pFQCsKUVExMei7AgY2yQkdeNQvtOssygGsXbiKo/edit?usp=sharing"",""อุตรดิตถ์!S52"")+IMPORTRANGE(""https://docs.google.com/spreadsheets/d/1UsNK1e-WWiCo2PvGqdNfdme4m17_Ezd3J69EeeiQPD0/edit?usp=sharing"",""อุทัยธานี!S52"")"),0)</f>
        <v>0</v>
      </c>
      <c r="T52" s="46">
        <f t="shared" ca="1" si="26"/>
        <v>0</v>
      </c>
      <c r="U52" s="46">
        <f t="shared" ca="1" si="27"/>
        <v>0</v>
      </c>
    </row>
    <row r="53" spans="1:21" ht="18.75" x14ac:dyDescent="0.25">
      <c r="A53" s="39"/>
      <c r="B53" s="40"/>
      <c r="C53" s="40"/>
      <c r="D53" s="49" t="s">
        <v>24</v>
      </c>
      <c r="E53" s="40"/>
      <c r="F53" s="40"/>
      <c r="G53" s="42"/>
      <c r="H53" s="43" t="s">
        <v>14</v>
      </c>
      <c r="I53" s="44"/>
      <c r="J53" s="44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18.75" x14ac:dyDescent="0.25">
      <c r="A54" s="39"/>
      <c r="B54" s="40"/>
      <c r="C54" s="40"/>
      <c r="D54" s="40"/>
      <c r="E54" s="47" t="s">
        <v>20</v>
      </c>
      <c r="F54" s="40"/>
      <c r="G54" s="42"/>
      <c r="H54" s="43" t="s">
        <v>14</v>
      </c>
      <c r="I54" s="44"/>
      <c r="J54" s="44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ht="18.75" x14ac:dyDescent="0.25">
      <c r="A55" s="50"/>
      <c r="B55" s="1"/>
      <c r="C55" s="1"/>
      <c r="D55" s="1"/>
      <c r="E55" s="51" t="s">
        <v>21</v>
      </c>
      <c r="F55" s="1"/>
      <c r="G55" s="52"/>
      <c r="H55" s="53" t="s">
        <v>14</v>
      </c>
      <c r="I55" s="54"/>
      <c r="J55" s="5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9.5" x14ac:dyDescent="0.3">
      <c r="A56" s="1296" t="s">
        <v>28</v>
      </c>
      <c r="B56" s="1292"/>
      <c r="C56" s="1292"/>
      <c r="D56" s="1292"/>
      <c r="E56" s="1292"/>
      <c r="F56" s="1292"/>
      <c r="G56" s="1293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1297" t="s">
        <v>29</v>
      </c>
      <c r="C57" s="1285"/>
      <c r="D57" s="1285"/>
      <c r="E57" s="1285"/>
      <c r="F57" s="1285"/>
      <c r="G57" s="1286"/>
      <c r="H57" s="89"/>
      <c r="I57" s="90"/>
      <c r="J57" s="90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101" t="s">
        <v>19</v>
      </c>
      <c r="E59" s="99"/>
      <c r="F59" s="99"/>
      <c r="G59" s="102"/>
      <c r="H59" s="103" t="s">
        <v>14</v>
      </c>
      <c r="I59" s="104"/>
      <c r="J59" s="104"/>
      <c r="K59" s="105"/>
      <c r="L59" s="106">
        <f t="shared" ref="L59:N59" ca="1" si="36">L60+L61</f>
        <v>40928700</v>
      </c>
      <c r="M59" s="106">
        <f t="shared" ca="1" si="36"/>
        <v>41212240</v>
      </c>
      <c r="N59" s="106">
        <f t="shared" ca="1" si="36"/>
        <v>8660444.9599999897</v>
      </c>
      <c r="O59" s="106">
        <f t="shared" ref="O59:O67" ca="1" si="37">IF(L59&gt;0,N59*100/L59,0)</f>
        <v>21.159833955146361</v>
      </c>
      <c r="P59" s="106">
        <f t="shared" ref="P59:P67" ca="1" si="38">IF(M59&gt;0,N59*100/M59,0)</f>
        <v>21.014254405972569</v>
      </c>
      <c r="Q59" s="106">
        <f t="shared" ref="Q59:S59" ca="1" si="39">Q60+Q61</f>
        <v>0</v>
      </c>
      <c r="R59" s="106">
        <f t="shared" ca="1" si="39"/>
        <v>0</v>
      </c>
      <c r="S59" s="106">
        <f t="shared" ca="1" si="39"/>
        <v>0</v>
      </c>
      <c r="T59" s="106">
        <f t="shared" ref="T59:T67" ca="1" si="40">IF(Q59&gt;0,S59*100/Q59,0)</f>
        <v>0</v>
      </c>
      <c r="U59" s="106">
        <f t="shared" ref="U59:U67" ca="1" si="41">IF(R59&gt;0,S59*100/R59,0)</f>
        <v>0</v>
      </c>
    </row>
    <row r="60" spans="1:21" ht="18.75" x14ac:dyDescent="0.25">
      <c r="A60" s="98"/>
      <c r="B60" s="99"/>
      <c r="C60" s="99"/>
      <c r="D60" s="99"/>
      <c r="E60" s="107" t="s">
        <v>20</v>
      </c>
      <c r="F60" s="99"/>
      <c r="G60" s="102"/>
      <c r="H60" s="108" t="s">
        <v>14</v>
      </c>
      <c r="I60" s="104"/>
      <c r="J60" s="104"/>
      <c r="K60" s="105"/>
      <c r="L60" s="109">
        <f t="shared" ref="L60:N60" ca="1" si="42">L63+L66</f>
        <v>0</v>
      </c>
      <c r="M60" s="109">
        <f t="shared" ca="1" si="42"/>
        <v>0</v>
      </c>
      <c r="N60" s="109">
        <f t="shared" ca="1" si="42"/>
        <v>0</v>
      </c>
      <c r="O60" s="109">
        <f t="shared" ca="1" si="37"/>
        <v>0</v>
      </c>
      <c r="P60" s="109">
        <f t="shared" ca="1" si="38"/>
        <v>0</v>
      </c>
      <c r="Q60" s="110">
        <f t="shared" ref="Q60:S60" ca="1" si="43">Q63+Q66</f>
        <v>0</v>
      </c>
      <c r="R60" s="110">
        <f t="shared" ca="1" si="43"/>
        <v>0</v>
      </c>
      <c r="S60" s="110">
        <f t="shared" ca="1" si="43"/>
        <v>0</v>
      </c>
      <c r="T60" s="110">
        <f t="shared" ca="1" si="40"/>
        <v>0</v>
      </c>
      <c r="U60" s="110">
        <f t="shared" ca="1" si="41"/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109">
        <f t="shared" ref="L61:N61" ca="1" si="44">L64+L67</f>
        <v>40928700</v>
      </c>
      <c r="M61" s="109">
        <f t="shared" ca="1" si="44"/>
        <v>41212240</v>
      </c>
      <c r="N61" s="109">
        <f t="shared" ca="1" si="44"/>
        <v>8660444.9599999897</v>
      </c>
      <c r="O61" s="109">
        <f t="shared" ca="1" si="37"/>
        <v>21.159833955146361</v>
      </c>
      <c r="P61" s="109">
        <f t="shared" ca="1" si="38"/>
        <v>21.014254405972569</v>
      </c>
      <c r="Q61" s="109">
        <f t="shared" ref="Q61:S61" ca="1" si="45">Q64+Q67</f>
        <v>0</v>
      </c>
      <c r="R61" s="109">
        <f t="shared" ca="1" si="45"/>
        <v>0</v>
      </c>
      <c r="S61" s="109">
        <f t="shared" ca="1" si="45"/>
        <v>0</v>
      </c>
      <c r="T61" s="109">
        <f t="shared" ca="1" si="40"/>
        <v>0</v>
      </c>
      <c r="U61" s="109">
        <f t="shared" ca="1" si="41"/>
        <v>0</v>
      </c>
    </row>
    <row r="62" spans="1:21" ht="18.75" x14ac:dyDescent="0.25">
      <c r="A62" s="39"/>
      <c r="B62" s="40"/>
      <c r="C62" s="40"/>
      <c r="D62" s="41" t="s">
        <v>22</v>
      </c>
      <c r="E62" s="40"/>
      <c r="F62" s="40"/>
      <c r="G62" s="42"/>
      <c r="H62" s="43" t="s">
        <v>14</v>
      </c>
      <c r="I62" s="44"/>
      <c r="J62" s="44"/>
      <c r="K62" s="45"/>
      <c r="L62" s="46">
        <f t="shared" ref="L62:N62" ca="1" si="46">L63+L64</f>
        <v>12902100</v>
      </c>
      <c r="M62" s="46">
        <f t="shared" ca="1" si="46"/>
        <v>13185640</v>
      </c>
      <c r="N62" s="46">
        <f t="shared" ca="1" si="46"/>
        <v>8602444.9599999897</v>
      </c>
      <c r="O62" s="46">
        <f t="shared" ca="1" si="37"/>
        <v>66.674765813317123</v>
      </c>
      <c r="P62" s="46">
        <f t="shared" ca="1" si="38"/>
        <v>65.241011888690949</v>
      </c>
      <c r="Q62" s="46">
        <f t="shared" ref="Q62:S62" ca="1" si="47">Q63+Q64</f>
        <v>0</v>
      </c>
      <c r="R62" s="46">
        <f t="shared" ca="1" si="47"/>
        <v>0</v>
      </c>
      <c r="S62" s="46">
        <f t="shared" ca="1" si="47"/>
        <v>0</v>
      </c>
      <c r="T62" s="46">
        <f t="shared" ca="1" si="40"/>
        <v>0</v>
      </c>
      <c r="U62" s="46">
        <f t="shared" ca="1" si="41"/>
        <v>0</v>
      </c>
    </row>
    <row r="63" spans="1:21" ht="18.75" x14ac:dyDescent="0.25">
      <c r="A63" s="39"/>
      <c r="B63" s="40"/>
      <c r="C63" s="40"/>
      <c r="D63" s="40"/>
      <c r="E63" s="47" t="s">
        <v>20</v>
      </c>
      <c r="F63" s="40"/>
      <c r="G63" s="42"/>
      <c r="H63" s="43" t="s">
        <v>14</v>
      </c>
      <c r="I63" s="44"/>
      <c r="J63" s="44"/>
      <c r="K63" s="45"/>
      <c r="L63" s="46">
        <f ca="1">IFERROR(__xludf.DUMMYFUNCTION("IMPORTRANGE(""https://docs.google.com/spreadsheets/d/1jTcq05yEiRwXcBMLjiodW9e4biSGYWAHcDj22rKWQ3s/edit?usp=sharing"",""กำแพงเพชร!L63"")+IMPORTRANGE(""https://docs.google.com/spreadsheets/d/1KS0zmDSZPk8KnTAbGN-Xk6MtX1YRZD0ldgdt20K4CRk/edit?usp=sharing"","""&amp;"เชียงราย!L63"")+IMPORTRANGE(""https://docs.google.com/spreadsheets/d/1rEDxBtusbi64tE0zunoIbsTVV16HeL0oJ6trHQeQ7K8/edit?usp=sharing"",""เชียงใหม่!L63"")+IMPORTRANGE(""https://docs.google.com/spreadsheets/d/1W6MnUbDkMi6xHnHko_XkFDO9kkuL6Wqyc-6OCDFjW9I/edit?"&amp;"usp=sharing"",""ตาก!L63"")+IMPORTRANGE(""https://docs.google.com/spreadsheets/d/1IQAWArduLkta9LpYo4a_ULsyqdta6-6aDDiwpUnQT6c/edit?usp=sharing"",""นครสวรรค์!L63"")+IMPORTRANGE(""https://docs.google.com/spreadsheets/d/10s13Sk5xrltsiR-Zkbmk5DwIaDIKO8XlbJAfqy"&amp;"T7Gvg/edit?usp=sharing"",""น่าน!L63"")+IMPORTRANGE(""https://docs.google.com/spreadsheets/d/1uu4nAn4Dbi1XREnLKKotUANlKXa7yCgRcgq8HEzQYW8/edit?usp=sharing"",""พะเยา!L63"")+IMPORTRANGE(""https://docs.google.com/spreadsheets/d/1xfJKIQxVOaPDIICqsflNlLu3JacTDk"&amp;"1FP9RH4phX7mI/edit?usp=sharing"",""พิจิตร!L63"")+IMPORTRANGE(""https://docs.google.com/spreadsheets/d/1JtRfZkJMHtEhI5RdRHxYUG4FIZHqKDpNyIuN7A1Q0_k/edit?usp=sharing"",""พิษณุโลก!L63"")+IMPORTRANGE(""https://docs.google.com/spreadsheets/d/1xlcVZWUNn6SuWm0c3"&amp;"07h32SiGkd9BaeQWlAktfD3KO8/edit?usp=sharing"",""เพชรบูรณ์!L63"")+IMPORTRANGE(""https://docs.google.com/spreadsheets/d/1lOVebEIsI9qjGXl6EX66luk7wiuP2tBaryw-wKvv4e0/edit?usp=sharing"",""แพร่!L63"")+IMPORTRANGE(""https://docs.google.com/spreadsheets/d/1dQrvX"&amp;"0vEcN7Gu0fnZ0B5S90AeR19zth4XlExFBeExMY/edit?usp=sharing"",""แม่ฮ่องสอน!L63"")+IMPORTRANGE(""https://docs.google.com/spreadsheets/d/1DY4XTNNwjluuxqdfdn6qvOSlMRrZqUtmYcZR0ttFiG4/edit?usp=sharing"",""ลำปาง!L63"")+IMPORTRANGE(""https://docs.google.com/spreads"&amp;"heets/d/1ICwG78r0OFT8biBlxnBF8r7she7gNSzOvJ958PWT09c/edit?usp=sharing"",""ลำพูน!L63"")+IMPORTRANGE(""https://docs.google.com/spreadsheets/d/1B0f2xJpZUC6Z0xXnqKlZtEPzsf6L84eP1r1Q15seqRM/edit?usp=sharing"",""สุโขทัย!L63"")+IMPORTRANGE(""https://docs.google."&amp;"com/spreadsheets/d/1v0b9pFQCsKUVExMei7AgY2yQkdeNQvtOssygGsXbiKo/edit?usp=sharing"",""อุตรดิตถ์!L63"")+IMPORTRANGE(""https://docs.google.com/spreadsheets/d/1UsNK1e-WWiCo2PvGqdNfdme4m17_Ezd3J69EeeiQPD0/edit?usp=sharing"",""อุทัยธานี!L63"")"),0)</f>
        <v>0</v>
      </c>
      <c r="M63" s="46">
        <f ca="1">IFERROR(__xludf.DUMMYFUNCTION("IMPORTRANGE(""https://docs.google.com/spreadsheets/d/1jTcq05yEiRwXcBMLjiodW9e4biSGYWAHcDj22rKWQ3s/edit?usp=sharing"",""กำแพงเพชร!M63"")+IMPORTRANGE(""https://docs.google.com/spreadsheets/d/1KS0zmDSZPk8KnTAbGN-Xk6MtX1YRZD0ldgdt20K4CRk/edit?usp=sharing"","""&amp;"เชียงราย!M63"")+IMPORTRANGE(""https://docs.google.com/spreadsheets/d/1rEDxBtusbi64tE0zunoIbsTVV16HeL0oJ6trHQeQ7K8/edit?usp=sharing"",""เชียงใหม่!M63"")+IMPORTRANGE(""https://docs.google.com/spreadsheets/d/1W6MnUbDkMi6xHnHko_XkFDO9kkuL6Wqyc-6OCDFjW9I/edit?"&amp;"usp=sharing"",""ตาก!M63"")+IMPORTRANGE(""https://docs.google.com/spreadsheets/d/1IQAWArduLkta9LpYo4a_ULsyqdta6-6aDDiwpUnQT6c/edit?usp=sharing"",""นครสวรรค์!M63"")+IMPORTRANGE(""https://docs.google.com/spreadsheets/d/10s13Sk5xrltsiR-Zkbmk5DwIaDIKO8XlbJAfqy"&amp;"T7Gvg/edit?usp=sharing"",""น่าน!M63"")+IMPORTRANGE(""https://docs.google.com/spreadsheets/d/1uu4nAn4Dbi1XREnLKKotUANlKXa7yCgRcgq8HEzQYW8/edit?usp=sharing"",""พะเยา!M63"")+IMPORTRANGE(""https://docs.google.com/spreadsheets/d/1xfJKIQxVOaPDIICqsflNlLu3JacTDk"&amp;"1FP9RH4phX7mI/edit?usp=sharing"",""พิจิตร!M63"")+IMPORTRANGE(""https://docs.google.com/spreadsheets/d/1JtRfZkJMHtEhI5RdRHxYUG4FIZHqKDpNyIuN7A1Q0_k/edit?usp=sharing"",""พิษณุโลก!M63"")+IMPORTRANGE(""https://docs.google.com/spreadsheets/d/1xlcVZWUNn6SuWm0c3"&amp;"07h32SiGkd9BaeQWlAktfD3KO8/edit?usp=sharing"",""เพชรบูรณ์!M63"")+IMPORTRANGE(""https://docs.google.com/spreadsheets/d/1lOVebEIsI9qjGXl6EX66luk7wiuP2tBaryw-wKvv4e0/edit?usp=sharing"",""แพร่!M63"")+IMPORTRANGE(""https://docs.google.com/spreadsheets/d/1dQrvX"&amp;"0vEcN7Gu0fnZ0B5S90AeR19zth4XlExFBeExMY/edit?usp=sharing"",""แม่ฮ่องสอน!M63"")+IMPORTRANGE(""https://docs.google.com/spreadsheets/d/1DY4XTNNwjluuxqdfdn6qvOSlMRrZqUtmYcZR0ttFiG4/edit?usp=sharing"",""ลำปาง!M63"")+IMPORTRANGE(""https://docs.google.com/spreads"&amp;"heets/d/1ICwG78r0OFT8biBlxnBF8r7she7gNSzOvJ958PWT09c/edit?usp=sharing"",""ลำพูน!M63"")+IMPORTRANGE(""https://docs.google.com/spreadsheets/d/1B0f2xJpZUC6Z0xXnqKlZtEPzsf6L84eP1r1Q15seqRM/edit?usp=sharing"",""สุโขทัย!M63"")+IMPORTRANGE(""https://docs.google."&amp;"com/spreadsheets/d/1v0b9pFQCsKUVExMei7AgY2yQkdeNQvtOssygGsXbiKo/edit?usp=sharing"",""อุตรดิตถ์!M63"")+IMPORTRANGE(""https://docs.google.com/spreadsheets/d/1UsNK1e-WWiCo2PvGqdNfdme4m17_Ezd3J69EeeiQPD0/edit?usp=sharing"",""อุทัยธานี!M63"")"),0)</f>
        <v>0</v>
      </c>
      <c r="N63" s="46">
        <f ca="1">IFERROR(__xludf.DUMMYFUNCTION("IMPORTRANGE(""https://docs.google.com/spreadsheets/d/1jTcq05yEiRwXcBMLjiodW9e4biSGYWAHcDj22rKWQ3s/edit?usp=sharing"",""กำแพงเพชร!N63"")+IMPORTRANGE(""https://docs.google.com/spreadsheets/d/1KS0zmDSZPk8KnTAbGN-Xk6MtX1YRZD0ldgdt20K4CRk/edit?usp=sharing"","""&amp;"เชียงราย!N63"")+IMPORTRANGE(""https://docs.google.com/spreadsheets/d/1rEDxBtusbi64tE0zunoIbsTVV16HeL0oJ6trHQeQ7K8/edit?usp=sharing"",""เชียงใหม่!N63"")+IMPORTRANGE(""https://docs.google.com/spreadsheets/d/1W6MnUbDkMi6xHnHko_XkFDO9kkuL6Wqyc-6OCDFjW9I/edit?"&amp;"usp=sharing"",""ตาก!N63"")+IMPORTRANGE(""https://docs.google.com/spreadsheets/d/1IQAWArduLkta9LpYo4a_ULsyqdta6-6aDDiwpUnQT6c/edit?usp=sharing"",""นครสวรรค์!N63"")+IMPORTRANGE(""https://docs.google.com/spreadsheets/d/10s13Sk5xrltsiR-Zkbmk5DwIaDIKO8XlbJAfqy"&amp;"T7Gvg/edit?usp=sharing"",""น่าน!N63"")+IMPORTRANGE(""https://docs.google.com/spreadsheets/d/1uu4nAn4Dbi1XREnLKKotUANlKXa7yCgRcgq8HEzQYW8/edit?usp=sharing"",""พะเยา!N63"")+IMPORTRANGE(""https://docs.google.com/spreadsheets/d/1xfJKIQxVOaPDIICqsflNlLu3JacTDk"&amp;"1FP9RH4phX7mI/edit?usp=sharing"",""พิจิตร!N63"")+IMPORTRANGE(""https://docs.google.com/spreadsheets/d/1JtRfZkJMHtEhI5RdRHxYUG4FIZHqKDpNyIuN7A1Q0_k/edit?usp=sharing"",""พิษณุโลก!N63"")+IMPORTRANGE(""https://docs.google.com/spreadsheets/d/1xlcVZWUNn6SuWm0c3"&amp;"07h32SiGkd9BaeQWlAktfD3KO8/edit?usp=sharing"",""เพชรบูรณ์!N63"")+IMPORTRANGE(""https://docs.google.com/spreadsheets/d/1lOVebEIsI9qjGXl6EX66luk7wiuP2tBaryw-wKvv4e0/edit?usp=sharing"",""แพร่!N63"")+IMPORTRANGE(""https://docs.google.com/spreadsheets/d/1dQrvX"&amp;"0vEcN7Gu0fnZ0B5S90AeR19zth4XlExFBeExMY/edit?usp=sharing"",""แม่ฮ่องสอน!N63"")+IMPORTRANGE(""https://docs.google.com/spreadsheets/d/1DY4XTNNwjluuxqdfdn6qvOSlMRrZqUtmYcZR0ttFiG4/edit?usp=sharing"",""ลำปาง!N63"")+IMPORTRANGE(""https://docs.google.com/spreads"&amp;"heets/d/1ICwG78r0OFT8biBlxnBF8r7she7gNSzOvJ958PWT09c/edit?usp=sharing"",""ลำพูน!N63"")+IMPORTRANGE(""https://docs.google.com/spreadsheets/d/1B0f2xJpZUC6Z0xXnqKlZtEPzsf6L84eP1r1Q15seqRM/edit?usp=sharing"",""สุโขทัย!N63"")+IMPORTRANGE(""https://docs.google."&amp;"com/spreadsheets/d/1v0b9pFQCsKUVExMei7AgY2yQkdeNQvtOssygGsXbiKo/edit?usp=sharing"",""อุตรดิตถ์!N63"")+IMPORTRANGE(""https://docs.google.com/spreadsheets/d/1UsNK1e-WWiCo2PvGqdNfdme4m17_Ezd3J69EeeiQPD0/edit?usp=sharing"",""อุทัยธานี!N63"")"),0)</f>
        <v>0</v>
      </c>
      <c r="O63" s="46">
        <f t="shared" ca="1" si="37"/>
        <v>0</v>
      </c>
      <c r="P63" s="46">
        <f t="shared" ca="1" si="38"/>
        <v>0</v>
      </c>
      <c r="Q63" s="48">
        <f ca="1">IFERROR(__xludf.DUMMYFUNCTION("IMPORTRANGE(""https://docs.google.com/spreadsheets/d/1jTcq05yEiRwXcBMLjiodW9e4biSGYWAHcDj22rKWQ3s/edit?usp=sharing"",""กำแพงเพชร!Q63"")+IMPORTRANGE(""https://docs.google.com/spreadsheets/d/1KS0zmDSZPk8KnTAbGN-Xk6MtX1YRZD0ldgdt20K4CRk/edit?usp=sharing"","""&amp;"เชียงราย!Q63"")+IMPORTRANGE(""https://docs.google.com/spreadsheets/d/1rEDxBtusbi64tE0zunoIbsTVV16HeL0oJ6trHQeQ7K8/edit?usp=sharing"",""เชียงใหม่!Q63"")+IMPORTRANGE(""https://docs.google.com/spreadsheets/d/1W6MnUbDkMi6xHnHko_XkFDO9kkuL6Wqyc-6OCDFjW9I/edit?"&amp;"usp=sharing"",""ตาก!Q63"")+IMPORTRANGE(""https://docs.google.com/spreadsheets/d/1IQAWArduLkta9LpYo4a_ULsyqdta6-6aDDiwpUnQT6c/edit?usp=sharing"",""นครสวรรค์!Q63"")+IMPORTRANGE(""https://docs.google.com/spreadsheets/d/10s13Sk5xrltsiR-Zkbmk5DwIaDIKO8XlbJAfqy"&amp;"T7Gvg/edit?usp=sharing"",""น่าน!Q63"")+IMPORTRANGE(""https://docs.google.com/spreadsheets/d/1uu4nAn4Dbi1XREnLKKotUANlKXa7yCgRcgq8HEzQYW8/edit?usp=sharing"",""พะเยา!Q63"")+IMPORTRANGE(""https://docs.google.com/spreadsheets/d/1xfJKIQxVOaPDIICqsflNlLu3JacTDk"&amp;"1FP9RH4phX7mI/edit?usp=sharing"",""พิจิตร!Q63"")+IMPORTRANGE(""https://docs.google.com/spreadsheets/d/1JtRfZkJMHtEhI5RdRHxYUG4FIZHqKDpNyIuN7A1Q0_k/edit?usp=sharing"",""พิษณุโลก!Q63"")+IMPORTRANGE(""https://docs.google.com/spreadsheets/d/1xlcVZWUNn6SuWm0c3"&amp;"07h32SiGkd9BaeQWlAktfD3KO8/edit?usp=sharing"",""เพชรบูรณ์!Q63"")+IMPORTRANGE(""https://docs.google.com/spreadsheets/d/1lOVebEIsI9qjGXl6EX66luk7wiuP2tBaryw-wKvv4e0/edit?usp=sharing"",""แพร่!Q63"")+IMPORTRANGE(""https://docs.google.com/spreadsheets/d/1dQrvX"&amp;"0vEcN7Gu0fnZ0B5S90AeR19zth4XlExFBeExMY/edit?usp=sharing"",""แม่ฮ่องสอน!Q63"")+IMPORTRANGE(""https://docs.google.com/spreadsheets/d/1DY4XTNNwjluuxqdfdn6qvOSlMRrZqUtmYcZR0ttFiG4/edit?usp=sharing"",""ลำปาง!Q63"")+IMPORTRANGE(""https://docs.google.com/spreads"&amp;"heets/d/1ICwG78r0OFT8biBlxnBF8r7she7gNSzOvJ958PWT09c/edit?usp=sharing"",""ลำพูน!Q63"")+IMPORTRANGE(""https://docs.google.com/spreadsheets/d/1B0f2xJpZUC6Z0xXnqKlZtEPzsf6L84eP1r1Q15seqRM/edit?usp=sharing"",""สุโขทัย!Q63"")+IMPORTRANGE(""https://docs.google."&amp;"com/spreadsheets/d/1v0b9pFQCsKUVExMei7AgY2yQkdeNQvtOssygGsXbiKo/edit?usp=sharing"",""อุตรดิตถ์!Q63"")+IMPORTRANGE(""https://docs.google.com/spreadsheets/d/1UsNK1e-WWiCo2PvGqdNfdme4m17_Ezd3J69EeeiQPD0/edit?usp=sharing"",""อุทัยธานี!Q63"")"),0)</f>
        <v>0</v>
      </c>
      <c r="R63" s="48">
        <f ca="1">IFERROR(__xludf.DUMMYFUNCTION("IMPORTRANGE(""https://docs.google.com/spreadsheets/d/1jTcq05yEiRwXcBMLjiodW9e4biSGYWAHcDj22rKWQ3s/edit?usp=sharing"",""กำแพงเพชร!R63"")+IMPORTRANGE(""https://docs.google.com/spreadsheets/d/1KS0zmDSZPk8KnTAbGN-Xk6MtX1YRZD0ldgdt20K4CRk/edit?usp=sharing"","""&amp;"เชียงราย!R63"")+IMPORTRANGE(""https://docs.google.com/spreadsheets/d/1rEDxBtusbi64tE0zunoIbsTVV16HeL0oJ6trHQeQ7K8/edit?usp=sharing"",""เชียงใหม่!R63"")+IMPORTRANGE(""https://docs.google.com/spreadsheets/d/1W6MnUbDkMi6xHnHko_XkFDO9kkuL6Wqyc-6OCDFjW9I/edit?"&amp;"usp=sharing"",""ตาก!R63"")+IMPORTRANGE(""https://docs.google.com/spreadsheets/d/1IQAWArduLkta9LpYo4a_ULsyqdta6-6aDDiwpUnQT6c/edit?usp=sharing"",""นครสวรรค์!R63"")+IMPORTRANGE(""https://docs.google.com/spreadsheets/d/10s13Sk5xrltsiR-Zkbmk5DwIaDIKO8XlbJAfqy"&amp;"T7Gvg/edit?usp=sharing"",""น่าน!R63"")+IMPORTRANGE(""https://docs.google.com/spreadsheets/d/1uu4nAn4Dbi1XREnLKKotUANlKXa7yCgRcgq8HEzQYW8/edit?usp=sharing"",""พะเยา!R63"")+IMPORTRANGE(""https://docs.google.com/spreadsheets/d/1xfJKIQxVOaPDIICqsflNlLu3JacTDk"&amp;"1FP9RH4phX7mI/edit?usp=sharing"",""พิจิตร!R63"")+IMPORTRANGE(""https://docs.google.com/spreadsheets/d/1JtRfZkJMHtEhI5RdRHxYUG4FIZHqKDpNyIuN7A1Q0_k/edit?usp=sharing"",""พิษณุโลก!R63"")+IMPORTRANGE(""https://docs.google.com/spreadsheets/d/1xlcVZWUNn6SuWm0c3"&amp;"07h32SiGkd9BaeQWlAktfD3KO8/edit?usp=sharing"",""เพชรบูรณ์!R63"")+IMPORTRANGE(""https://docs.google.com/spreadsheets/d/1lOVebEIsI9qjGXl6EX66luk7wiuP2tBaryw-wKvv4e0/edit?usp=sharing"",""แพร่!R63"")+IMPORTRANGE(""https://docs.google.com/spreadsheets/d/1dQrvX"&amp;"0vEcN7Gu0fnZ0B5S90AeR19zth4XlExFBeExMY/edit?usp=sharing"",""แม่ฮ่องสอน!R63"")+IMPORTRANGE(""https://docs.google.com/spreadsheets/d/1DY4XTNNwjluuxqdfdn6qvOSlMRrZqUtmYcZR0ttFiG4/edit?usp=sharing"",""ลำปาง!R63"")+IMPORTRANGE(""https://docs.google.com/spreads"&amp;"heets/d/1ICwG78r0OFT8biBlxnBF8r7she7gNSzOvJ958PWT09c/edit?usp=sharing"",""ลำพูน!R63"")+IMPORTRANGE(""https://docs.google.com/spreadsheets/d/1B0f2xJpZUC6Z0xXnqKlZtEPzsf6L84eP1r1Q15seqRM/edit?usp=sharing"",""สุโขทัย!R63"")+IMPORTRANGE(""https://docs.google."&amp;"com/spreadsheets/d/1v0b9pFQCsKUVExMei7AgY2yQkdeNQvtOssygGsXbiKo/edit?usp=sharing"",""อุตรดิตถ์!R63"")+IMPORTRANGE(""https://docs.google.com/spreadsheets/d/1UsNK1e-WWiCo2PvGqdNfdme4m17_Ezd3J69EeeiQPD0/edit?usp=sharing"",""อุทัยธานี!R63"")"),0)</f>
        <v>0</v>
      </c>
      <c r="S63" s="48">
        <f ca="1">IFERROR(__xludf.DUMMYFUNCTION("IMPORTRANGE(""https://docs.google.com/spreadsheets/d/1jTcq05yEiRwXcBMLjiodW9e4biSGYWAHcDj22rKWQ3s/edit?usp=sharing"",""กำแพงเพชร!S63"")+IMPORTRANGE(""https://docs.google.com/spreadsheets/d/1KS0zmDSZPk8KnTAbGN-Xk6MtX1YRZD0ldgdt20K4CRk/edit?usp=sharing"","""&amp;"เชียงราย!S63"")+IMPORTRANGE(""https://docs.google.com/spreadsheets/d/1rEDxBtusbi64tE0zunoIbsTVV16HeL0oJ6trHQeQ7K8/edit?usp=sharing"",""เชียงใหม่!S63"")+IMPORTRANGE(""https://docs.google.com/spreadsheets/d/1W6MnUbDkMi6xHnHko_XkFDO9kkuL6Wqyc-6OCDFjW9I/edit?"&amp;"usp=sharing"",""ตาก!S63"")+IMPORTRANGE(""https://docs.google.com/spreadsheets/d/1IQAWArduLkta9LpYo4a_ULsyqdta6-6aDDiwpUnQT6c/edit?usp=sharing"",""นครสวรรค์!S63"")+IMPORTRANGE(""https://docs.google.com/spreadsheets/d/10s13Sk5xrltsiR-Zkbmk5DwIaDIKO8XlbJAfqy"&amp;"T7Gvg/edit?usp=sharing"",""น่าน!S63"")+IMPORTRANGE(""https://docs.google.com/spreadsheets/d/1uu4nAn4Dbi1XREnLKKotUANlKXa7yCgRcgq8HEzQYW8/edit?usp=sharing"",""พะเยา!S63"")+IMPORTRANGE(""https://docs.google.com/spreadsheets/d/1xfJKIQxVOaPDIICqsflNlLu3JacTDk"&amp;"1FP9RH4phX7mI/edit?usp=sharing"",""พิจิตร!S63"")+IMPORTRANGE(""https://docs.google.com/spreadsheets/d/1JtRfZkJMHtEhI5RdRHxYUG4FIZHqKDpNyIuN7A1Q0_k/edit?usp=sharing"",""พิษณุโลก!S63"")+IMPORTRANGE(""https://docs.google.com/spreadsheets/d/1xlcVZWUNn6SuWm0c3"&amp;"07h32SiGkd9BaeQWlAktfD3KO8/edit?usp=sharing"",""เพชรบูรณ์!S63"")+IMPORTRANGE(""https://docs.google.com/spreadsheets/d/1lOVebEIsI9qjGXl6EX66luk7wiuP2tBaryw-wKvv4e0/edit?usp=sharing"",""แพร่!S63"")+IMPORTRANGE(""https://docs.google.com/spreadsheets/d/1dQrvX"&amp;"0vEcN7Gu0fnZ0B5S90AeR19zth4XlExFBeExMY/edit?usp=sharing"",""แม่ฮ่องสอน!S63"")+IMPORTRANGE(""https://docs.google.com/spreadsheets/d/1DY4XTNNwjluuxqdfdn6qvOSlMRrZqUtmYcZR0ttFiG4/edit?usp=sharing"",""ลำปาง!S63"")+IMPORTRANGE(""https://docs.google.com/spreads"&amp;"heets/d/1ICwG78r0OFT8biBlxnBF8r7she7gNSzOvJ958PWT09c/edit?usp=sharing"",""ลำพูน!S63"")+IMPORTRANGE(""https://docs.google.com/spreadsheets/d/1B0f2xJpZUC6Z0xXnqKlZtEPzsf6L84eP1r1Q15seqRM/edit?usp=sharing"",""สุโขทัย!S63"")+IMPORTRANGE(""https://docs.google."&amp;"com/spreadsheets/d/1v0b9pFQCsKUVExMei7AgY2yQkdeNQvtOssygGsXbiKo/edit?usp=sharing"",""อุตรดิตถ์!S63"")+IMPORTRANGE(""https://docs.google.com/spreadsheets/d/1UsNK1e-WWiCo2PvGqdNfdme4m17_Ezd3J69EeeiQPD0/edit?usp=sharing"",""อุทัยธานี!S63"")"),0)</f>
        <v>0</v>
      </c>
      <c r="T63" s="48">
        <f t="shared" ca="1" si="40"/>
        <v>0</v>
      </c>
      <c r="U63" s="48">
        <f t="shared" ca="1" si="41"/>
        <v>0</v>
      </c>
    </row>
    <row r="64" spans="1:21" ht="18.75" x14ac:dyDescent="0.25">
      <c r="A64" s="39"/>
      <c r="B64" s="40"/>
      <c r="C64" s="40"/>
      <c r="D64" s="40"/>
      <c r="E64" s="47" t="s">
        <v>21</v>
      </c>
      <c r="F64" s="40"/>
      <c r="G64" s="42"/>
      <c r="H64" s="43" t="s">
        <v>14</v>
      </c>
      <c r="I64" s="44"/>
      <c r="J64" s="44"/>
      <c r="K64" s="45"/>
      <c r="L64" s="46">
        <f ca="1">IFERROR(__xludf.DUMMYFUNCTION("IMPORTRANGE(""https://docs.google.com/spreadsheets/d/1jTcq05yEiRwXcBMLjiodW9e4biSGYWAHcDj22rKWQ3s/edit?usp=sharing"",""กำแพงเพชร!L64"")+IMPORTRANGE(""https://docs.google.com/spreadsheets/d/1KS0zmDSZPk8KnTAbGN-Xk6MtX1YRZD0ldgdt20K4CRk/edit?usp=sharing"","""&amp;"เชียงราย!L64"")+IMPORTRANGE(""https://docs.google.com/spreadsheets/d/1rEDxBtusbi64tE0zunoIbsTVV16HeL0oJ6trHQeQ7K8/edit?usp=sharing"",""เชียงใหม่!L64"")+IMPORTRANGE(""https://docs.google.com/spreadsheets/d/1W6MnUbDkMi6xHnHko_XkFDO9kkuL6Wqyc-6OCDFjW9I/edit?"&amp;"usp=sharing"",""ตาก!L64"")+IMPORTRANGE(""https://docs.google.com/spreadsheets/d/1IQAWArduLkta9LpYo4a_ULsyqdta6-6aDDiwpUnQT6c/edit?usp=sharing"",""นครสวรรค์!L64"")+IMPORTRANGE(""https://docs.google.com/spreadsheets/d/10s13Sk5xrltsiR-Zkbmk5DwIaDIKO8XlbJAfqy"&amp;"T7Gvg/edit?usp=sharing"",""น่าน!L64"")+IMPORTRANGE(""https://docs.google.com/spreadsheets/d/1uu4nAn4Dbi1XREnLKKotUANlKXa7yCgRcgq8HEzQYW8/edit?usp=sharing"",""พะเยา!L64"")+IMPORTRANGE(""https://docs.google.com/spreadsheets/d/1xfJKIQxVOaPDIICqsflNlLu3JacTDk"&amp;"1FP9RH4phX7mI/edit?usp=sharing"",""พิจิตร!L64"")+IMPORTRANGE(""https://docs.google.com/spreadsheets/d/1JtRfZkJMHtEhI5RdRHxYUG4FIZHqKDpNyIuN7A1Q0_k/edit?usp=sharing"",""พิษณุโลก!L64"")+IMPORTRANGE(""https://docs.google.com/spreadsheets/d/1xlcVZWUNn6SuWm0c3"&amp;"07h32SiGkd9BaeQWlAktfD3KO8/edit?usp=sharing"",""เพชรบูรณ์!L64"")+IMPORTRANGE(""https://docs.google.com/spreadsheets/d/1lOVebEIsI9qjGXl6EX66luk7wiuP2tBaryw-wKvv4e0/edit?usp=sharing"",""แพร่!L64"")+IMPORTRANGE(""https://docs.google.com/spreadsheets/d/1dQrvX"&amp;"0vEcN7Gu0fnZ0B5S90AeR19zth4XlExFBeExMY/edit?usp=sharing"",""แม่ฮ่องสอน!L64"")+IMPORTRANGE(""https://docs.google.com/spreadsheets/d/1DY4XTNNwjluuxqdfdn6qvOSlMRrZqUtmYcZR0ttFiG4/edit?usp=sharing"",""ลำปาง!L64"")+IMPORTRANGE(""https://docs.google.com/spreads"&amp;"heets/d/1ICwG78r0OFT8biBlxnBF8r7she7gNSzOvJ958PWT09c/edit?usp=sharing"",""ลำพูน!L64"")+IMPORTRANGE(""https://docs.google.com/spreadsheets/d/1B0f2xJpZUC6Z0xXnqKlZtEPzsf6L84eP1r1Q15seqRM/edit?usp=sharing"",""สุโขทัย!L64"")+IMPORTRANGE(""https://docs.google."&amp;"com/spreadsheets/d/1v0b9pFQCsKUVExMei7AgY2yQkdeNQvtOssygGsXbiKo/edit?usp=sharing"",""อุตรดิตถ์!L64"")+IMPORTRANGE(""https://docs.google.com/spreadsheets/d/1UsNK1e-WWiCo2PvGqdNfdme4m17_Ezd3J69EeeiQPD0/edit?usp=sharing"",""อุทัยธานี!L64"")"),12902100)</f>
        <v>12902100</v>
      </c>
      <c r="M64" s="46">
        <f ca="1">IFERROR(__xludf.DUMMYFUNCTION("IMPORTRANGE(""https://docs.google.com/spreadsheets/d/1jTcq05yEiRwXcBMLjiodW9e4biSGYWAHcDj22rKWQ3s/edit?usp=sharing"",""กำแพงเพชร!M64"")+IMPORTRANGE(""https://docs.google.com/spreadsheets/d/1KS0zmDSZPk8KnTAbGN-Xk6MtX1YRZD0ldgdt20K4CRk/edit?usp=sharing"","""&amp;"เชียงราย!M64"")+IMPORTRANGE(""https://docs.google.com/spreadsheets/d/1rEDxBtusbi64tE0zunoIbsTVV16HeL0oJ6trHQeQ7K8/edit?usp=sharing"",""เชียงใหม่!M64"")+IMPORTRANGE(""https://docs.google.com/spreadsheets/d/1W6MnUbDkMi6xHnHko_XkFDO9kkuL6Wqyc-6OCDFjW9I/edit?"&amp;"usp=sharing"",""ตาก!M64"")+IMPORTRANGE(""https://docs.google.com/spreadsheets/d/1IQAWArduLkta9LpYo4a_ULsyqdta6-6aDDiwpUnQT6c/edit?usp=sharing"",""นครสวรรค์!M64"")+IMPORTRANGE(""https://docs.google.com/spreadsheets/d/10s13Sk5xrltsiR-Zkbmk5DwIaDIKO8XlbJAfqy"&amp;"T7Gvg/edit?usp=sharing"",""น่าน!M64"")+IMPORTRANGE(""https://docs.google.com/spreadsheets/d/1uu4nAn4Dbi1XREnLKKotUANlKXa7yCgRcgq8HEzQYW8/edit?usp=sharing"",""พะเยา!M64"")+IMPORTRANGE(""https://docs.google.com/spreadsheets/d/1xfJKIQxVOaPDIICqsflNlLu3JacTDk"&amp;"1FP9RH4phX7mI/edit?usp=sharing"",""พิจิตร!M64"")+IMPORTRANGE(""https://docs.google.com/spreadsheets/d/1JtRfZkJMHtEhI5RdRHxYUG4FIZHqKDpNyIuN7A1Q0_k/edit?usp=sharing"",""พิษณุโลก!M64"")+IMPORTRANGE(""https://docs.google.com/spreadsheets/d/1xlcVZWUNn6SuWm0c3"&amp;"07h32SiGkd9BaeQWlAktfD3KO8/edit?usp=sharing"",""เพชรบูรณ์!M64"")+IMPORTRANGE(""https://docs.google.com/spreadsheets/d/1lOVebEIsI9qjGXl6EX66luk7wiuP2tBaryw-wKvv4e0/edit?usp=sharing"",""แพร่!M64"")+IMPORTRANGE(""https://docs.google.com/spreadsheets/d/1dQrvX"&amp;"0vEcN7Gu0fnZ0B5S90AeR19zth4XlExFBeExMY/edit?usp=sharing"",""แม่ฮ่องสอน!M64"")+IMPORTRANGE(""https://docs.google.com/spreadsheets/d/1DY4XTNNwjluuxqdfdn6qvOSlMRrZqUtmYcZR0ttFiG4/edit?usp=sharing"",""ลำปาง!M64"")+IMPORTRANGE(""https://docs.google.com/spreads"&amp;"heets/d/1ICwG78r0OFT8biBlxnBF8r7she7gNSzOvJ958PWT09c/edit?usp=sharing"",""ลำพูน!M64"")+IMPORTRANGE(""https://docs.google.com/spreadsheets/d/1B0f2xJpZUC6Z0xXnqKlZtEPzsf6L84eP1r1Q15seqRM/edit?usp=sharing"",""สุโขทัย!M64"")+IMPORTRANGE(""https://docs.google."&amp;"com/spreadsheets/d/1v0b9pFQCsKUVExMei7AgY2yQkdeNQvtOssygGsXbiKo/edit?usp=sharing"",""อุตรดิตถ์!M64"")+IMPORTRANGE(""https://docs.google.com/spreadsheets/d/1UsNK1e-WWiCo2PvGqdNfdme4m17_Ezd3J69EeeiQPD0/edit?usp=sharing"",""อุทัยธานี!M64"")"),13185640)</f>
        <v>13185640</v>
      </c>
      <c r="N64" s="46">
        <f ca="1">IFERROR(__xludf.DUMMYFUNCTION("IMPORTRANGE(""https://docs.google.com/spreadsheets/d/1jTcq05yEiRwXcBMLjiodW9e4biSGYWAHcDj22rKWQ3s/edit?usp=sharing"",""กำแพงเพชร!N64"")+IMPORTRANGE(""https://docs.google.com/spreadsheets/d/1KS0zmDSZPk8KnTAbGN-Xk6MtX1YRZD0ldgdt20K4CRk/edit?usp=sharing"","""&amp;"เชียงราย!N64"")+IMPORTRANGE(""https://docs.google.com/spreadsheets/d/1rEDxBtusbi64tE0zunoIbsTVV16HeL0oJ6trHQeQ7K8/edit?usp=sharing"",""เชียงใหม่!N64"")+IMPORTRANGE(""https://docs.google.com/spreadsheets/d/1W6MnUbDkMi6xHnHko_XkFDO9kkuL6Wqyc-6OCDFjW9I/edit?"&amp;"usp=sharing"",""ตาก!N64"")+IMPORTRANGE(""https://docs.google.com/spreadsheets/d/1IQAWArduLkta9LpYo4a_ULsyqdta6-6aDDiwpUnQT6c/edit?usp=sharing"",""นครสวรรค์!N64"")+IMPORTRANGE(""https://docs.google.com/spreadsheets/d/10s13Sk5xrltsiR-Zkbmk5DwIaDIKO8XlbJAfqy"&amp;"T7Gvg/edit?usp=sharing"",""น่าน!N64"")+IMPORTRANGE(""https://docs.google.com/spreadsheets/d/1uu4nAn4Dbi1XREnLKKotUANlKXa7yCgRcgq8HEzQYW8/edit?usp=sharing"",""พะเยา!N64"")+IMPORTRANGE(""https://docs.google.com/spreadsheets/d/1xfJKIQxVOaPDIICqsflNlLu3JacTDk"&amp;"1FP9RH4phX7mI/edit?usp=sharing"",""พิจิตร!N64"")+IMPORTRANGE(""https://docs.google.com/spreadsheets/d/1JtRfZkJMHtEhI5RdRHxYUG4FIZHqKDpNyIuN7A1Q0_k/edit?usp=sharing"",""พิษณุโลก!N64"")+IMPORTRANGE(""https://docs.google.com/spreadsheets/d/1xlcVZWUNn6SuWm0c3"&amp;"07h32SiGkd9BaeQWlAktfD3KO8/edit?usp=sharing"",""เพชรบูรณ์!N64"")+IMPORTRANGE(""https://docs.google.com/spreadsheets/d/1lOVebEIsI9qjGXl6EX66luk7wiuP2tBaryw-wKvv4e0/edit?usp=sharing"",""แพร่!N64"")+IMPORTRANGE(""https://docs.google.com/spreadsheets/d/1dQrvX"&amp;"0vEcN7Gu0fnZ0B5S90AeR19zth4XlExFBeExMY/edit?usp=sharing"",""แม่ฮ่องสอน!N64"")+IMPORTRANGE(""https://docs.google.com/spreadsheets/d/1DY4XTNNwjluuxqdfdn6qvOSlMRrZqUtmYcZR0ttFiG4/edit?usp=sharing"",""ลำปาง!N64"")+IMPORTRANGE(""https://docs.google.com/spreads"&amp;"heets/d/1ICwG78r0OFT8biBlxnBF8r7she7gNSzOvJ958PWT09c/edit?usp=sharing"",""ลำพูน!N64"")+IMPORTRANGE(""https://docs.google.com/spreadsheets/d/1B0f2xJpZUC6Z0xXnqKlZtEPzsf6L84eP1r1Q15seqRM/edit?usp=sharing"",""สุโขทัย!N64"")+IMPORTRANGE(""https://docs.google."&amp;"com/spreadsheets/d/1v0b9pFQCsKUVExMei7AgY2yQkdeNQvtOssygGsXbiKo/edit?usp=sharing"",""อุตรดิตถ์!N64"")+IMPORTRANGE(""https://docs.google.com/spreadsheets/d/1UsNK1e-WWiCo2PvGqdNfdme4m17_Ezd3J69EeeiQPD0/edit?usp=sharing"",""อุทัยธานี!N64"")"),8602444.95999999)</f>
        <v>8602444.9599999897</v>
      </c>
      <c r="O64" s="46">
        <f t="shared" ca="1" si="37"/>
        <v>66.674765813317123</v>
      </c>
      <c r="P64" s="46">
        <f t="shared" ca="1" si="38"/>
        <v>65.241011888690949</v>
      </c>
      <c r="Q64" s="46">
        <f ca="1">IFERROR(__xludf.DUMMYFUNCTION("IMPORTRANGE(""https://docs.google.com/spreadsheets/d/1jTcq05yEiRwXcBMLjiodW9e4biSGYWAHcDj22rKWQ3s/edit?usp=sharing"",""กำแพงเพชร!Q64"")+IMPORTRANGE(""https://docs.google.com/spreadsheets/d/1KS0zmDSZPk8KnTAbGN-Xk6MtX1YRZD0ldgdt20K4CRk/edit?usp=sharing"","""&amp;"เชียงราย!Q64"")+IMPORTRANGE(""https://docs.google.com/spreadsheets/d/1rEDxBtusbi64tE0zunoIbsTVV16HeL0oJ6trHQeQ7K8/edit?usp=sharing"",""เชียงใหม่!Q64"")+IMPORTRANGE(""https://docs.google.com/spreadsheets/d/1W6MnUbDkMi6xHnHko_XkFDO9kkuL6Wqyc-6OCDFjW9I/edit?"&amp;"usp=sharing"",""ตาก!Q64"")+IMPORTRANGE(""https://docs.google.com/spreadsheets/d/1IQAWArduLkta9LpYo4a_ULsyqdta6-6aDDiwpUnQT6c/edit?usp=sharing"",""นครสวรรค์!Q64"")+IMPORTRANGE(""https://docs.google.com/spreadsheets/d/10s13Sk5xrltsiR-Zkbmk5DwIaDIKO8XlbJAfqy"&amp;"T7Gvg/edit?usp=sharing"",""น่าน!Q64"")+IMPORTRANGE(""https://docs.google.com/spreadsheets/d/1uu4nAn4Dbi1XREnLKKotUANlKXa7yCgRcgq8HEzQYW8/edit?usp=sharing"",""พะเยา!Q64"")+IMPORTRANGE(""https://docs.google.com/spreadsheets/d/1xfJKIQxVOaPDIICqsflNlLu3JacTDk"&amp;"1FP9RH4phX7mI/edit?usp=sharing"",""พิจิตร!Q64"")+IMPORTRANGE(""https://docs.google.com/spreadsheets/d/1JtRfZkJMHtEhI5RdRHxYUG4FIZHqKDpNyIuN7A1Q0_k/edit?usp=sharing"",""พิษณุโลก!Q64"")+IMPORTRANGE(""https://docs.google.com/spreadsheets/d/1xlcVZWUNn6SuWm0c3"&amp;"07h32SiGkd9BaeQWlAktfD3KO8/edit?usp=sharing"",""เพชรบูรณ์!Q64"")+IMPORTRANGE(""https://docs.google.com/spreadsheets/d/1lOVebEIsI9qjGXl6EX66luk7wiuP2tBaryw-wKvv4e0/edit?usp=sharing"",""แพร่!Q64"")+IMPORTRANGE(""https://docs.google.com/spreadsheets/d/1dQrvX"&amp;"0vEcN7Gu0fnZ0B5S90AeR19zth4XlExFBeExMY/edit?usp=sharing"",""แม่ฮ่องสอน!Q64"")+IMPORTRANGE(""https://docs.google.com/spreadsheets/d/1DY4XTNNwjluuxqdfdn6qvOSlMRrZqUtmYcZR0ttFiG4/edit?usp=sharing"",""ลำปาง!Q64"")+IMPORTRANGE(""https://docs.google.com/spreads"&amp;"heets/d/1ICwG78r0OFT8biBlxnBF8r7she7gNSzOvJ958PWT09c/edit?usp=sharing"",""ลำพูน!Q64"")+IMPORTRANGE(""https://docs.google.com/spreadsheets/d/1B0f2xJpZUC6Z0xXnqKlZtEPzsf6L84eP1r1Q15seqRM/edit?usp=sharing"",""สุโขทัย!Q64"")+IMPORTRANGE(""https://docs.google."&amp;"com/spreadsheets/d/1v0b9pFQCsKUVExMei7AgY2yQkdeNQvtOssygGsXbiKo/edit?usp=sharing"",""อุตรดิตถ์!Q64"")+IMPORTRANGE(""https://docs.google.com/spreadsheets/d/1UsNK1e-WWiCo2PvGqdNfdme4m17_Ezd3J69EeeiQPD0/edit?usp=sharing"",""อุทัยธานี!Q64"")"),0)</f>
        <v>0</v>
      </c>
      <c r="R64" s="46">
        <f ca="1">IFERROR(__xludf.DUMMYFUNCTION("IMPORTRANGE(""https://docs.google.com/spreadsheets/d/1jTcq05yEiRwXcBMLjiodW9e4biSGYWAHcDj22rKWQ3s/edit?usp=sharing"",""กำแพงเพชร!R64"")+IMPORTRANGE(""https://docs.google.com/spreadsheets/d/1KS0zmDSZPk8KnTAbGN-Xk6MtX1YRZD0ldgdt20K4CRk/edit?usp=sharing"","""&amp;"เชียงราย!R64"")+IMPORTRANGE(""https://docs.google.com/spreadsheets/d/1rEDxBtusbi64tE0zunoIbsTVV16HeL0oJ6trHQeQ7K8/edit?usp=sharing"",""เชียงใหม่!R64"")+IMPORTRANGE(""https://docs.google.com/spreadsheets/d/1W6MnUbDkMi6xHnHko_XkFDO9kkuL6Wqyc-6OCDFjW9I/edit?"&amp;"usp=sharing"",""ตาก!R64"")+IMPORTRANGE(""https://docs.google.com/spreadsheets/d/1IQAWArduLkta9LpYo4a_ULsyqdta6-6aDDiwpUnQT6c/edit?usp=sharing"",""นครสวรรค์!R64"")+IMPORTRANGE(""https://docs.google.com/spreadsheets/d/10s13Sk5xrltsiR-Zkbmk5DwIaDIKO8XlbJAfqy"&amp;"T7Gvg/edit?usp=sharing"",""น่าน!R64"")+IMPORTRANGE(""https://docs.google.com/spreadsheets/d/1uu4nAn4Dbi1XREnLKKotUANlKXa7yCgRcgq8HEzQYW8/edit?usp=sharing"",""พะเยา!R64"")+IMPORTRANGE(""https://docs.google.com/spreadsheets/d/1xfJKIQxVOaPDIICqsflNlLu3JacTDk"&amp;"1FP9RH4phX7mI/edit?usp=sharing"",""พิจิตร!R64"")+IMPORTRANGE(""https://docs.google.com/spreadsheets/d/1JtRfZkJMHtEhI5RdRHxYUG4FIZHqKDpNyIuN7A1Q0_k/edit?usp=sharing"",""พิษณุโลก!R64"")+IMPORTRANGE(""https://docs.google.com/spreadsheets/d/1xlcVZWUNn6SuWm0c3"&amp;"07h32SiGkd9BaeQWlAktfD3KO8/edit?usp=sharing"",""เพชรบูรณ์!R64"")+IMPORTRANGE(""https://docs.google.com/spreadsheets/d/1lOVebEIsI9qjGXl6EX66luk7wiuP2tBaryw-wKvv4e0/edit?usp=sharing"",""แพร่!R64"")+IMPORTRANGE(""https://docs.google.com/spreadsheets/d/1dQrvX"&amp;"0vEcN7Gu0fnZ0B5S90AeR19zth4XlExFBeExMY/edit?usp=sharing"",""แม่ฮ่องสอน!R64"")+IMPORTRANGE(""https://docs.google.com/spreadsheets/d/1DY4XTNNwjluuxqdfdn6qvOSlMRrZqUtmYcZR0ttFiG4/edit?usp=sharing"",""ลำปาง!R64"")+IMPORTRANGE(""https://docs.google.com/spreads"&amp;"heets/d/1ICwG78r0OFT8biBlxnBF8r7she7gNSzOvJ958PWT09c/edit?usp=sharing"",""ลำพูน!R64"")+IMPORTRANGE(""https://docs.google.com/spreadsheets/d/1B0f2xJpZUC6Z0xXnqKlZtEPzsf6L84eP1r1Q15seqRM/edit?usp=sharing"",""สุโขทัย!R64"")+IMPORTRANGE(""https://docs.google."&amp;"com/spreadsheets/d/1v0b9pFQCsKUVExMei7AgY2yQkdeNQvtOssygGsXbiKo/edit?usp=sharing"",""อุตรดิตถ์!R64"")+IMPORTRANGE(""https://docs.google.com/spreadsheets/d/1UsNK1e-WWiCo2PvGqdNfdme4m17_Ezd3J69EeeiQPD0/edit?usp=sharing"",""อุทัยธานี!R64"")"),0)</f>
        <v>0</v>
      </c>
      <c r="S64" s="46">
        <f ca="1">IFERROR(__xludf.DUMMYFUNCTION("IMPORTRANGE(""https://docs.google.com/spreadsheets/d/1jTcq05yEiRwXcBMLjiodW9e4biSGYWAHcDj22rKWQ3s/edit?usp=sharing"",""กำแพงเพชร!S64"")+IMPORTRANGE(""https://docs.google.com/spreadsheets/d/1KS0zmDSZPk8KnTAbGN-Xk6MtX1YRZD0ldgdt20K4CRk/edit?usp=sharing"","""&amp;"เชียงราย!S64"")+IMPORTRANGE(""https://docs.google.com/spreadsheets/d/1rEDxBtusbi64tE0zunoIbsTVV16HeL0oJ6trHQeQ7K8/edit?usp=sharing"",""เชียงใหม่!S64"")+IMPORTRANGE(""https://docs.google.com/spreadsheets/d/1W6MnUbDkMi6xHnHko_XkFDO9kkuL6Wqyc-6OCDFjW9I/edit?"&amp;"usp=sharing"",""ตาก!S64"")+IMPORTRANGE(""https://docs.google.com/spreadsheets/d/1IQAWArduLkta9LpYo4a_ULsyqdta6-6aDDiwpUnQT6c/edit?usp=sharing"",""นครสวรรค์!S64"")+IMPORTRANGE(""https://docs.google.com/spreadsheets/d/10s13Sk5xrltsiR-Zkbmk5DwIaDIKO8XlbJAfqy"&amp;"T7Gvg/edit?usp=sharing"",""น่าน!S64"")+IMPORTRANGE(""https://docs.google.com/spreadsheets/d/1uu4nAn4Dbi1XREnLKKotUANlKXa7yCgRcgq8HEzQYW8/edit?usp=sharing"",""พะเยา!S64"")+IMPORTRANGE(""https://docs.google.com/spreadsheets/d/1xfJKIQxVOaPDIICqsflNlLu3JacTDk"&amp;"1FP9RH4phX7mI/edit?usp=sharing"",""พิจิตร!S64"")+IMPORTRANGE(""https://docs.google.com/spreadsheets/d/1JtRfZkJMHtEhI5RdRHxYUG4FIZHqKDpNyIuN7A1Q0_k/edit?usp=sharing"",""พิษณุโลก!S64"")+IMPORTRANGE(""https://docs.google.com/spreadsheets/d/1xlcVZWUNn6SuWm0c3"&amp;"07h32SiGkd9BaeQWlAktfD3KO8/edit?usp=sharing"",""เพชรบูรณ์!S64"")+IMPORTRANGE(""https://docs.google.com/spreadsheets/d/1lOVebEIsI9qjGXl6EX66luk7wiuP2tBaryw-wKvv4e0/edit?usp=sharing"",""แพร่!S64"")+IMPORTRANGE(""https://docs.google.com/spreadsheets/d/1dQrvX"&amp;"0vEcN7Gu0fnZ0B5S90AeR19zth4XlExFBeExMY/edit?usp=sharing"",""แม่ฮ่องสอน!S64"")+IMPORTRANGE(""https://docs.google.com/spreadsheets/d/1DY4XTNNwjluuxqdfdn6qvOSlMRrZqUtmYcZR0ttFiG4/edit?usp=sharing"",""ลำปาง!S64"")+IMPORTRANGE(""https://docs.google.com/spreads"&amp;"heets/d/1ICwG78r0OFT8biBlxnBF8r7she7gNSzOvJ958PWT09c/edit?usp=sharing"",""ลำพูน!S64"")+IMPORTRANGE(""https://docs.google.com/spreadsheets/d/1B0f2xJpZUC6Z0xXnqKlZtEPzsf6L84eP1r1Q15seqRM/edit?usp=sharing"",""สุโขทัย!S64"")+IMPORTRANGE(""https://docs.google."&amp;"com/spreadsheets/d/1v0b9pFQCsKUVExMei7AgY2yQkdeNQvtOssygGsXbiKo/edit?usp=sharing"",""อุตรดิตถ์!S64"")+IMPORTRANGE(""https://docs.google.com/spreadsheets/d/1UsNK1e-WWiCo2PvGqdNfdme4m17_Ezd3J69EeeiQPD0/edit?usp=sharing"",""อุทัยธานี!S64"")"),0)</f>
        <v>0</v>
      </c>
      <c r="T64" s="46">
        <f t="shared" ca="1" si="40"/>
        <v>0</v>
      </c>
      <c r="U64" s="46">
        <f t="shared" ca="1" si="41"/>
        <v>0</v>
      </c>
    </row>
    <row r="65" spans="1:21" ht="18.75" x14ac:dyDescent="0.25">
      <c r="A65" s="39"/>
      <c r="B65" s="40"/>
      <c r="C65" s="40"/>
      <c r="D65" s="41" t="s">
        <v>23</v>
      </c>
      <c r="E65" s="40"/>
      <c r="F65" s="40"/>
      <c r="G65" s="42"/>
      <c r="H65" s="43" t="s">
        <v>14</v>
      </c>
      <c r="I65" s="44"/>
      <c r="J65" s="44"/>
      <c r="K65" s="45"/>
      <c r="L65" s="46">
        <f t="shared" ref="L65:N65" ca="1" si="48">L66+L67</f>
        <v>28026600</v>
      </c>
      <c r="M65" s="46">
        <f t="shared" ca="1" si="48"/>
        <v>28026600</v>
      </c>
      <c r="N65" s="46">
        <f t="shared" ca="1" si="48"/>
        <v>58000</v>
      </c>
      <c r="O65" s="46">
        <f t="shared" ca="1" si="37"/>
        <v>0.20694625819756945</v>
      </c>
      <c r="P65" s="46">
        <f t="shared" ca="1" si="38"/>
        <v>0.20694625819756945</v>
      </c>
      <c r="Q65" s="46">
        <f t="shared" ref="Q65:S65" ca="1" si="49">Q66+Q67</f>
        <v>0</v>
      </c>
      <c r="R65" s="46">
        <f t="shared" ca="1" si="49"/>
        <v>0</v>
      </c>
      <c r="S65" s="46">
        <f t="shared" ca="1" si="49"/>
        <v>0</v>
      </c>
      <c r="T65" s="46">
        <f t="shared" ca="1" si="40"/>
        <v>0</v>
      </c>
      <c r="U65" s="46">
        <f t="shared" ca="1" si="41"/>
        <v>0</v>
      </c>
    </row>
    <row r="66" spans="1:21" ht="18.75" x14ac:dyDescent="0.25">
      <c r="A66" s="39"/>
      <c r="B66" s="40"/>
      <c r="C66" s="40"/>
      <c r="D66" s="40"/>
      <c r="E66" s="47" t="s">
        <v>20</v>
      </c>
      <c r="F66" s="40"/>
      <c r="G66" s="42"/>
      <c r="H66" s="43" t="s">
        <v>14</v>
      </c>
      <c r="I66" s="44"/>
      <c r="J66" s="44"/>
      <c r="K66" s="45"/>
      <c r="L66" s="46">
        <f ca="1">IFERROR(__xludf.DUMMYFUNCTION("IMPORTRANGE(""https://docs.google.com/spreadsheets/d/1jTcq05yEiRwXcBMLjiodW9e4biSGYWAHcDj22rKWQ3s/edit?usp=sharing"",""กำแพงเพชร!L66"")+IMPORTRANGE(""https://docs.google.com/spreadsheets/d/1KS0zmDSZPk8KnTAbGN-Xk6MtX1YRZD0ldgdt20K4CRk/edit?usp=sharing"","""&amp;"เชียงราย!L66"")+IMPORTRANGE(""https://docs.google.com/spreadsheets/d/1rEDxBtusbi64tE0zunoIbsTVV16HeL0oJ6trHQeQ7K8/edit?usp=sharing"",""เชียงใหม่!L66"")+IMPORTRANGE(""https://docs.google.com/spreadsheets/d/1W6MnUbDkMi6xHnHko_XkFDO9kkuL6Wqyc-6OCDFjW9I/edit?"&amp;"usp=sharing"",""ตาก!L66"")+IMPORTRANGE(""https://docs.google.com/spreadsheets/d/1IQAWArduLkta9LpYo4a_ULsyqdta6-6aDDiwpUnQT6c/edit?usp=sharing"",""นครสวรรค์!L66"")+IMPORTRANGE(""https://docs.google.com/spreadsheets/d/10s13Sk5xrltsiR-Zkbmk5DwIaDIKO8XlbJAfqy"&amp;"T7Gvg/edit?usp=sharing"",""น่าน!L66"")+IMPORTRANGE(""https://docs.google.com/spreadsheets/d/1uu4nAn4Dbi1XREnLKKotUANlKXa7yCgRcgq8HEzQYW8/edit?usp=sharing"",""พะเยา!L66"")+IMPORTRANGE(""https://docs.google.com/spreadsheets/d/1xfJKIQxVOaPDIICqsflNlLu3JacTDk"&amp;"1FP9RH4phX7mI/edit?usp=sharing"",""พิจิตร!L66"")+IMPORTRANGE(""https://docs.google.com/spreadsheets/d/1JtRfZkJMHtEhI5RdRHxYUG4FIZHqKDpNyIuN7A1Q0_k/edit?usp=sharing"",""พิษณุโลก!L66"")+IMPORTRANGE(""https://docs.google.com/spreadsheets/d/1xlcVZWUNn6SuWm0c3"&amp;"07h32SiGkd9BaeQWlAktfD3KO8/edit?usp=sharing"",""เพชรบูรณ์!L66"")+IMPORTRANGE(""https://docs.google.com/spreadsheets/d/1lOVebEIsI9qjGXl6EX66luk7wiuP2tBaryw-wKvv4e0/edit?usp=sharing"",""แพร่!L66"")+IMPORTRANGE(""https://docs.google.com/spreadsheets/d/1dQrvX"&amp;"0vEcN7Gu0fnZ0B5S90AeR19zth4XlExFBeExMY/edit?usp=sharing"",""แม่ฮ่องสอน!L66"")+IMPORTRANGE(""https://docs.google.com/spreadsheets/d/1DY4XTNNwjluuxqdfdn6qvOSlMRrZqUtmYcZR0ttFiG4/edit?usp=sharing"",""ลำปาง!L66"")+IMPORTRANGE(""https://docs.google.com/spreads"&amp;"heets/d/1ICwG78r0OFT8biBlxnBF8r7she7gNSzOvJ958PWT09c/edit?usp=sharing"",""ลำพูน!L66"")+IMPORTRANGE(""https://docs.google.com/spreadsheets/d/1B0f2xJpZUC6Z0xXnqKlZtEPzsf6L84eP1r1Q15seqRM/edit?usp=sharing"",""สุโขทัย!L66"")+IMPORTRANGE(""https://docs.google."&amp;"com/spreadsheets/d/1v0b9pFQCsKUVExMei7AgY2yQkdeNQvtOssygGsXbiKo/edit?usp=sharing"",""อุตรดิตถ์!L66"")+IMPORTRANGE(""https://docs.google.com/spreadsheets/d/1UsNK1e-WWiCo2PvGqdNfdme4m17_Ezd3J69EeeiQPD0/edit?usp=sharing"",""อุทัยธานี!L66"")"),0)</f>
        <v>0</v>
      </c>
      <c r="M66" s="46">
        <f ca="1">IFERROR(__xludf.DUMMYFUNCTION("IMPORTRANGE(""https://docs.google.com/spreadsheets/d/1jTcq05yEiRwXcBMLjiodW9e4biSGYWAHcDj22rKWQ3s/edit?usp=sharing"",""กำแพงเพชร!M66"")+IMPORTRANGE(""https://docs.google.com/spreadsheets/d/1KS0zmDSZPk8KnTAbGN-Xk6MtX1YRZD0ldgdt20K4CRk/edit?usp=sharing"","""&amp;"เชียงราย!M66"")+IMPORTRANGE(""https://docs.google.com/spreadsheets/d/1rEDxBtusbi64tE0zunoIbsTVV16HeL0oJ6trHQeQ7K8/edit?usp=sharing"",""เชียงใหม่!M66"")+IMPORTRANGE(""https://docs.google.com/spreadsheets/d/1W6MnUbDkMi6xHnHko_XkFDO9kkuL6Wqyc-6OCDFjW9I/edit?"&amp;"usp=sharing"",""ตาก!M66"")+IMPORTRANGE(""https://docs.google.com/spreadsheets/d/1IQAWArduLkta9LpYo4a_ULsyqdta6-6aDDiwpUnQT6c/edit?usp=sharing"",""นครสวรรค์!M66"")+IMPORTRANGE(""https://docs.google.com/spreadsheets/d/10s13Sk5xrltsiR-Zkbmk5DwIaDIKO8XlbJAfqy"&amp;"T7Gvg/edit?usp=sharing"",""น่าน!M66"")+IMPORTRANGE(""https://docs.google.com/spreadsheets/d/1uu4nAn4Dbi1XREnLKKotUANlKXa7yCgRcgq8HEzQYW8/edit?usp=sharing"",""พะเยา!M66"")+IMPORTRANGE(""https://docs.google.com/spreadsheets/d/1xfJKIQxVOaPDIICqsflNlLu3JacTDk"&amp;"1FP9RH4phX7mI/edit?usp=sharing"",""พิจิตร!M66"")+IMPORTRANGE(""https://docs.google.com/spreadsheets/d/1JtRfZkJMHtEhI5RdRHxYUG4FIZHqKDpNyIuN7A1Q0_k/edit?usp=sharing"",""พิษณุโลก!M66"")+IMPORTRANGE(""https://docs.google.com/spreadsheets/d/1xlcVZWUNn6SuWm0c3"&amp;"07h32SiGkd9BaeQWlAktfD3KO8/edit?usp=sharing"",""เพชรบูรณ์!M66"")+IMPORTRANGE(""https://docs.google.com/spreadsheets/d/1lOVebEIsI9qjGXl6EX66luk7wiuP2tBaryw-wKvv4e0/edit?usp=sharing"",""แพร่!M66"")+IMPORTRANGE(""https://docs.google.com/spreadsheets/d/1dQrvX"&amp;"0vEcN7Gu0fnZ0B5S90AeR19zth4XlExFBeExMY/edit?usp=sharing"",""แม่ฮ่องสอน!M66"")+IMPORTRANGE(""https://docs.google.com/spreadsheets/d/1DY4XTNNwjluuxqdfdn6qvOSlMRrZqUtmYcZR0ttFiG4/edit?usp=sharing"",""ลำปาง!M66"")+IMPORTRANGE(""https://docs.google.com/spreads"&amp;"heets/d/1ICwG78r0OFT8biBlxnBF8r7she7gNSzOvJ958PWT09c/edit?usp=sharing"",""ลำพูน!M66"")+IMPORTRANGE(""https://docs.google.com/spreadsheets/d/1B0f2xJpZUC6Z0xXnqKlZtEPzsf6L84eP1r1Q15seqRM/edit?usp=sharing"",""สุโขทัย!M66"")+IMPORTRANGE(""https://docs.google."&amp;"com/spreadsheets/d/1v0b9pFQCsKUVExMei7AgY2yQkdeNQvtOssygGsXbiKo/edit?usp=sharing"",""อุตรดิตถ์!M66"")+IMPORTRANGE(""https://docs.google.com/spreadsheets/d/1UsNK1e-WWiCo2PvGqdNfdme4m17_Ezd3J69EeeiQPD0/edit?usp=sharing"",""อุทัยธานี!M66"")"),0)</f>
        <v>0</v>
      </c>
      <c r="N66" s="46">
        <f ca="1">IFERROR(__xludf.DUMMYFUNCTION("IMPORTRANGE(""https://docs.google.com/spreadsheets/d/1jTcq05yEiRwXcBMLjiodW9e4biSGYWAHcDj22rKWQ3s/edit?usp=sharing"",""กำแพงเพชร!N66"")+IMPORTRANGE(""https://docs.google.com/spreadsheets/d/1KS0zmDSZPk8KnTAbGN-Xk6MtX1YRZD0ldgdt20K4CRk/edit?usp=sharing"","""&amp;"เชียงราย!N66"")+IMPORTRANGE(""https://docs.google.com/spreadsheets/d/1rEDxBtusbi64tE0zunoIbsTVV16HeL0oJ6trHQeQ7K8/edit?usp=sharing"",""เชียงใหม่!N66"")+IMPORTRANGE(""https://docs.google.com/spreadsheets/d/1W6MnUbDkMi6xHnHko_XkFDO9kkuL6Wqyc-6OCDFjW9I/edit?"&amp;"usp=sharing"",""ตาก!N66"")+IMPORTRANGE(""https://docs.google.com/spreadsheets/d/1IQAWArduLkta9LpYo4a_ULsyqdta6-6aDDiwpUnQT6c/edit?usp=sharing"",""นครสวรรค์!N66"")+IMPORTRANGE(""https://docs.google.com/spreadsheets/d/10s13Sk5xrltsiR-Zkbmk5DwIaDIKO8XlbJAfqy"&amp;"T7Gvg/edit?usp=sharing"",""น่าน!N66"")+IMPORTRANGE(""https://docs.google.com/spreadsheets/d/1uu4nAn4Dbi1XREnLKKotUANlKXa7yCgRcgq8HEzQYW8/edit?usp=sharing"",""พะเยา!N66"")+IMPORTRANGE(""https://docs.google.com/spreadsheets/d/1xfJKIQxVOaPDIICqsflNlLu3JacTDk"&amp;"1FP9RH4phX7mI/edit?usp=sharing"",""พิจิตร!N66"")+IMPORTRANGE(""https://docs.google.com/spreadsheets/d/1JtRfZkJMHtEhI5RdRHxYUG4FIZHqKDpNyIuN7A1Q0_k/edit?usp=sharing"",""พิษณุโลก!N66"")+IMPORTRANGE(""https://docs.google.com/spreadsheets/d/1xlcVZWUNn6SuWm0c3"&amp;"07h32SiGkd9BaeQWlAktfD3KO8/edit?usp=sharing"",""เพชรบูรณ์!N66"")+IMPORTRANGE(""https://docs.google.com/spreadsheets/d/1lOVebEIsI9qjGXl6EX66luk7wiuP2tBaryw-wKvv4e0/edit?usp=sharing"",""แพร่!N66"")+IMPORTRANGE(""https://docs.google.com/spreadsheets/d/1dQrvX"&amp;"0vEcN7Gu0fnZ0B5S90AeR19zth4XlExFBeExMY/edit?usp=sharing"",""แม่ฮ่องสอน!N66"")+IMPORTRANGE(""https://docs.google.com/spreadsheets/d/1DY4XTNNwjluuxqdfdn6qvOSlMRrZqUtmYcZR0ttFiG4/edit?usp=sharing"",""ลำปาง!N66"")+IMPORTRANGE(""https://docs.google.com/spreads"&amp;"heets/d/1ICwG78r0OFT8biBlxnBF8r7she7gNSzOvJ958PWT09c/edit?usp=sharing"",""ลำพูน!N66"")+IMPORTRANGE(""https://docs.google.com/spreadsheets/d/1B0f2xJpZUC6Z0xXnqKlZtEPzsf6L84eP1r1Q15seqRM/edit?usp=sharing"",""สุโขทัย!N66"")+IMPORTRANGE(""https://docs.google."&amp;"com/spreadsheets/d/1v0b9pFQCsKUVExMei7AgY2yQkdeNQvtOssygGsXbiKo/edit?usp=sharing"",""อุตรดิตถ์!N66"")+IMPORTRANGE(""https://docs.google.com/spreadsheets/d/1UsNK1e-WWiCo2PvGqdNfdme4m17_Ezd3J69EeeiQPD0/edit?usp=sharing"",""อุทัยธานี!N66"")"),0)</f>
        <v>0</v>
      </c>
      <c r="O66" s="46">
        <f t="shared" ca="1" si="37"/>
        <v>0</v>
      </c>
      <c r="P66" s="46">
        <f t="shared" ca="1" si="38"/>
        <v>0</v>
      </c>
      <c r="Q66" s="48">
        <f ca="1">IFERROR(__xludf.DUMMYFUNCTION("IMPORTRANGE(""https://docs.google.com/spreadsheets/d/1jTcq05yEiRwXcBMLjiodW9e4biSGYWAHcDj22rKWQ3s/edit?usp=sharing"",""กำแพงเพชร!Q66"")+IMPORTRANGE(""https://docs.google.com/spreadsheets/d/1KS0zmDSZPk8KnTAbGN-Xk6MtX1YRZD0ldgdt20K4CRk/edit?usp=sharing"","""&amp;"เชียงราย!Q66"")+IMPORTRANGE(""https://docs.google.com/spreadsheets/d/1rEDxBtusbi64tE0zunoIbsTVV16HeL0oJ6trHQeQ7K8/edit?usp=sharing"",""เชียงใหม่!Q66"")+IMPORTRANGE(""https://docs.google.com/spreadsheets/d/1W6MnUbDkMi6xHnHko_XkFDO9kkuL6Wqyc-6OCDFjW9I/edit?"&amp;"usp=sharing"",""ตาก!Q66"")+IMPORTRANGE(""https://docs.google.com/spreadsheets/d/1IQAWArduLkta9LpYo4a_ULsyqdta6-6aDDiwpUnQT6c/edit?usp=sharing"",""นครสวรรค์!Q66"")+IMPORTRANGE(""https://docs.google.com/spreadsheets/d/10s13Sk5xrltsiR-Zkbmk5DwIaDIKO8XlbJAfqy"&amp;"T7Gvg/edit?usp=sharing"",""น่าน!Q66"")+IMPORTRANGE(""https://docs.google.com/spreadsheets/d/1uu4nAn4Dbi1XREnLKKotUANlKXa7yCgRcgq8HEzQYW8/edit?usp=sharing"",""พะเยา!Q66"")+IMPORTRANGE(""https://docs.google.com/spreadsheets/d/1xfJKIQxVOaPDIICqsflNlLu3JacTDk"&amp;"1FP9RH4phX7mI/edit?usp=sharing"",""พิจิตร!Q66"")+IMPORTRANGE(""https://docs.google.com/spreadsheets/d/1JtRfZkJMHtEhI5RdRHxYUG4FIZHqKDpNyIuN7A1Q0_k/edit?usp=sharing"",""พิษณุโลก!Q66"")+IMPORTRANGE(""https://docs.google.com/spreadsheets/d/1xlcVZWUNn6SuWm0c3"&amp;"07h32SiGkd9BaeQWlAktfD3KO8/edit?usp=sharing"",""เพชรบูรณ์!Q66"")+IMPORTRANGE(""https://docs.google.com/spreadsheets/d/1lOVebEIsI9qjGXl6EX66luk7wiuP2tBaryw-wKvv4e0/edit?usp=sharing"",""แพร่!Q66"")+IMPORTRANGE(""https://docs.google.com/spreadsheets/d/1dQrvX"&amp;"0vEcN7Gu0fnZ0B5S90AeR19zth4XlExFBeExMY/edit?usp=sharing"",""แม่ฮ่องสอน!Q66"")+IMPORTRANGE(""https://docs.google.com/spreadsheets/d/1DY4XTNNwjluuxqdfdn6qvOSlMRrZqUtmYcZR0ttFiG4/edit?usp=sharing"",""ลำปาง!Q66"")+IMPORTRANGE(""https://docs.google.com/spreads"&amp;"heets/d/1ICwG78r0OFT8biBlxnBF8r7she7gNSzOvJ958PWT09c/edit?usp=sharing"",""ลำพูน!Q66"")+IMPORTRANGE(""https://docs.google.com/spreadsheets/d/1B0f2xJpZUC6Z0xXnqKlZtEPzsf6L84eP1r1Q15seqRM/edit?usp=sharing"",""สุโขทัย!Q66"")+IMPORTRANGE(""https://docs.google."&amp;"com/spreadsheets/d/1v0b9pFQCsKUVExMei7AgY2yQkdeNQvtOssygGsXbiKo/edit?usp=sharing"",""อุตรดิตถ์!Q66"")+IMPORTRANGE(""https://docs.google.com/spreadsheets/d/1UsNK1e-WWiCo2PvGqdNfdme4m17_Ezd3J69EeeiQPD0/edit?usp=sharing"",""อุทัยธานี!Q66"")"),0)</f>
        <v>0</v>
      </c>
      <c r="R66" s="48">
        <f ca="1">IFERROR(__xludf.DUMMYFUNCTION("IMPORTRANGE(""https://docs.google.com/spreadsheets/d/1jTcq05yEiRwXcBMLjiodW9e4biSGYWAHcDj22rKWQ3s/edit?usp=sharing"",""กำแพงเพชร!R66"")+IMPORTRANGE(""https://docs.google.com/spreadsheets/d/1KS0zmDSZPk8KnTAbGN-Xk6MtX1YRZD0ldgdt20K4CRk/edit?usp=sharing"","""&amp;"เชียงราย!R66"")+IMPORTRANGE(""https://docs.google.com/spreadsheets/d/1rEDxBtusbi64tE0zunoIbsTVV16HeL0oJ6trHQeQ7K8/edit?usp=sharing"",""เชียงใหม่!R66"")+IMPORTRANGE(""https://docs.google.com/spreadsheets/d/1W6MnUbDkMi6xHnHko_XkFDO9kkuL6Wqyc-6OCDFjW9I/edit?"&amp;"usp=sharing"",""ตาก!R66"")+IMPORTRANGE(""https://docs.google.com/spreadsheets/d/1IQAWArduLkta9LpYo4a_ULsyqdta6-6aDDiwpUnQT6c/edit?usp=sharing"",""นครสวรรค์!R66"")+IMPORTRANGE(""https://docs.google.com/spreadsheets/d/10s13Sk5xrltsiR-Zkbmk5DwIaDIKO8XlbJAfqy"&amp;"T7Gvg/edit?usp=sharing"",""น่าน!R66"")+IMPORTRANGE(""https://docs.google.com/spreadsheets/d/1uu4nAn4Dbi1XREnLKKotUANlKXa7yCgRcgq8HEzQYW8/edit?usp=sharing"",""พะเยา!R66"")+IMPORTRANGE(""https://docs.google.com/spreadsheets/d/1xfJKIQxVOaPDIICqsflNlLu3JacTDk"&amp;"1FP9RH4phX7mI/edit?usp=sharing"",""พิจิตร!R66"")+IMPORTRANGE(""https://docs.google.com/spreadsheets/d/1JtRfZkJMHtEhI5RdRHxYUG4FIZHqKDpNyIuN7A1Q0_k/edit?usp=sharing"",""พิษณุโลก!R66"")+IMPORTRANGE(""https://docs.google.com/spreadsheets/d/1xlcVZWUNn6SuWm0c3"&amp;"07h32SiGkd9BaeQWlAktfD3KO8/edit?usp=sharing"",""เพชรบูรณ์!R66"")+IMPORTRANGE(""https://docs.google.com/spreadsheets/d/1lOVebEIsI9qjGXl6EX66luk7wiuP2tBaryw-wKvv4e0/edit?usp=sharing"",""แพร่!R66"")+IMPORTRANGE(""https://docs.google.com/spreadsheets/d/1dQrvX"&amp;"0vEcN7Gu0fnZ0B5S90AeR19zth4XlExFBeExMY/edit?usp=sharing"",""แม่ฮ่องสอน!R66"")+IMPORTRANGE(""https://docs.google.com/spreadsheets/d/1DY4XTNNwjluuxqdfdn6qvOSlMRrZqUtmYcZR0ttFiG4/edit?usp=sharing"",""ลำปาง!R66"")+IMPORTRANGE(""https://docs.google.com/spreads"&amp;"heets/d/1ICwG78r0OFT8biBlxnBF8r7she7gNSzOvJ958PWT09c/edit?usp=sharing"",""ลำพูน!R66"")+IMPORTRANGE(""https://docs.google.com/spreadsheets/d/1B0f2xJpZUC6Z0xXnqKlZtEPzsf6L84eP1r1Q15seqRM/edit?usp=sharing"",""สุโขทัย!R66"")+IMPORTRANGE(""https://docs.google."&amp;"com/spreadsheets/d/1v0b9pFQCsKUVExMei7AgY2yQkdeNQvtOssygGsXbiKo/edit?usp=sharing"",""อุตรดิตถ์!R66"")+IMPORTRANGE(""https://docs.google.com/spreadsheets/d/1UsNK1e-WWiCo2PvGqdNfdme4m17_Ezd3J69EeeiQPD0/edit?usp=sharing"",""อุทัยธานี!R66"")"),0)</f>
        <v>0</v>
      </c>
      <c r="S66" s="48">
        <f ca="1">IFERROR(__xludf.DUMMYFUNCTION("IMPORTRANGE(""https://docs.google.com/spreadsheets/d/1jTcq05yEiRwXcBMLjiodW9e4biSGYWAHcDj22rKWQ3s/edit?usp=sharing"",""กำแพงเพชร!S66"")+IMPORTRANGE(""https://docs.google.com/spreadsheets/d/1KS0zmDSZPk8KnTAbGN-Xk6MtX1YRZD0ldgdt20K4CRk/edit?usp=sharing"","""&amp;"เชียงราย!S66"")+IMPORTRANGE(""https://docs.google.com/spreadsheets/d/1rEDxBtusbi64tE0zunoIbsTVV16HeL0oJ6trHQeQ7K8/edit?usp=sharing"",""เชียงใหม่!S66"")+IMPORTRANGE(""https://docs.google.com/spreadsheets/d/1W6MnUbDkMi6xHnHko_XkFDO9kkuL6Wqyc-6OCDFjW9I/edit?"&amp;"usp=sharing"",""ตาก!S66"")+IMPORTRANGE(""https://docs.google.com/spreadsheets/d/1IQAWArduLkta9LpYo4a_ULsyqdta6-6aDDiwpUnQT6c/edit?usp=sharing"",""นครสวรรค์!S66"")+IMPORTRANGE(""https://docs.google.com/spreadsheets/d/10s13Sk5xrltsiR-Zkbmk5DwIaDIKO8XlbJAfqy"&amp;"T7Gvg/edit?usp=sharing"",""น่าน!S66"")+IMPORTRANGE(""https://docs.google.com/spreadsheets/d/1uu4nAn4Dbi1XREnLKKotUANlKXa7yCgRcgq8HEzQYW8/edit?usp=sharing"",""พะเยา!S66"")+IMPORTRANGE(""https://docs.google.com/spreadsheets/d/1xfJKIQxVOaPDIICqsflNlLu3JacTDk"&amp;"1FP9RH4phX7mI/edit?usp=sharing"",""พิจิตร!S66"")+IMPORTRANGE(""https://docs.google.com/spreadsheets/d/1JtRfZkJMHtEhI5RdRHxYUG4FIZHqKDpNyIuN7A1Q0_k/edit?usp=sharing"",""พิษณุโลก!S66"")+IMPORTRANGE(""https://docs.google.com/spreadsheets/d/1xlcVZWUNn6SuWm0c3"&amp;"07h32SiGkd9BaeQWlAktfD3KO8/edit?usp=sharing"",""เพชรบูรณ์!S66"")+IMPORTRANGE(""https://docs.google.com/spreadsheets/d/1lOVebEIsI9qjGXl6EX66luk7wiuP2tBaryw-wKvv4e0/edit?usp=sharing"",""แพร่!S66"")+IMPORTRANGE(""https://docs.google.com/spreadsheets/d/1dQrvX"&amp;"0vEcN7Gu0fnZ0B5S90AeR19zth4XlExFBeExMY/edit?usp=sharing"",""แม่ฮ่องสอน!S66"")+IMPORTRANGE(""https://docs.google.com/spreadsheets/d/1DY4XTNNwjluuxqdfdn6qvOSlMRrZqUtmYcZR0ttFiG4/edit?usp=sharing"",""ลำปาง!S66"")+IMPORTRANGE(""https://docs.google.com/spreads"&amp;"heets/d/1ICwG78r0OFT8biBlxnBF8r7she7gNSzOvJ958PWT09c/edit?usp=sharing"",""ลำพูน!S66"")+IMPORTRANGE(""https://docs.google.com/spreadsheets/d/1B0f2xJpZUC6Z0xXnqKlZtEPzsf6L84eP1r1Q15seqRM/edit?usp=sharing"",""สุโขทัย!S66"")+IMPORTRANGE(""https://docs.google."&amp;"com/spreadsheets/d/1v0b9pFQCsKUVExMei7AgY2yQkdeNQvtOssygGsXbiKo/edit?usp=sharing"",""อุตรดิตถ์!S66"")+IMPORTRANGE(""https://docs.google.com/spreadsheets/d/1UsNK1e-WWiCo2PvGqdNfdme4m17_Ezd3J69EeeiQPD0/edit?usp=sharing"",""อุทัยธานี!S66"")"),0)</f>
        <v>0</v>
      </c>
      <c r="T66" s="48">
        <f t="shared" ca="1" si="40"/>
        <v>0</v>
      </c>
      <c r="U66" s="48">
        <f t="shared" ca="1" si="41"/>
        <v>0</v>
      </c>
    </row>
    <row r="67" spans="1:21" ht="18.75" x14ac:dyDescent="0.25">
      <c r="A67" s="50"/>
      <c r="B67" s="1"/>
      <c r="C67" s="1"/>
      <c r="D67" s="1"/>
      <c r="E67" s="51" t="s">
        <v>21</v>
      </c>
      <c r="F67" s="1"/>
      <c r="G67" s="52"/>
      <c r="H67" s="53" t="s">
        <v>14</v>
      </c>
      <c r="I67" s="54"/>
      <c r="J67" s="54"/>
      <c r="K67" s="3"/>
      <c r="L67" s="111">
        <f ca="1">IFERROR(__xludf.DUMMYFUNCTION("IMPORTRANGE(""https://docs.google.com/spreadsheets/d/1jTcq05yEiRwXcBMLjiodW9e4biSGYWAHcDj22rKWQ3s/edit?usp=sharing"",""กำแพงเพชร!L67"")+IMPORTRANGE(""https://docs.google.com/spreadsheets/d/1KS0zmDSZPk8KnTAbGN-Xk6MtX1YRZD0ldgdt20K4CRk/edit?usp=sharing"","""&amp;"เชียงราย!L67"")+IMPORTRANGE(""https://docs.google.com/spreadsheets/d/1rEDxBtusbi64tE0zunoIbsTVV16HeL0oJ6trHQeQ7K8/edit?usp=sharing"",""เชียงใหม่!L67"")+IMPORTRANGE(""https://docs.google.com/spreadsheets/d/1W6MnUbDkMi6xHnHko_XkFDO9kkuL6Wqyc-6OCDFjW9I/edit?"&amp;"usp=sharing"",""ตาก!L67"")+IMPORTRANGE(""https://docs.google.com/spreadsheets/d/1IQAWArduLkta9LpYo4a_ULsyqdta6-6aDDiwpUnQT6c/edit?usp=sharing"",""นครสวรรค์!L67"")+IMPORTRANGE(""https://docs.google.com/spreadsheets/d/10s13Sk5xrltsiR-Zkbmk5DwIaDIKO8XlbJAfqy"&amp;"T7Gvg/edit?usp=sharing"",""น่าน!L67"")+IMPORTRANGE(""https://docs.google.com/spreadsheets/d/1uu4nAn4Dbi1XREnLKKotUANlKXa7yCgRcgq8HEzQYW8/edit?usp=sharing"",""พะเยา!L67"")+IMPORTRANGE(""https://docs.google.com/spreadsheets/d/1xfJKIQxVOaPDIICqsflNlLu3JacTDk"&amp;"1FP9RH4phX7mI/edit?usp=sharing"",""พิจิตร!L67"")+IMPORTRANGE(""https://docs.google.com/spreadsheets/d/1JtRfZkJMHtEhI5RdRHxYUG4FIZHqKDpNyIuN7A1Q0_k/edit?usp=sharing"",""พิษณุโลก!L67"")+IMPORTRANGE(""https://docs.google.com/spreadsheets/d/1xlcVZWUNn6SuWm0c3"&amp;"07h32SiGkd9BaeQWlAktfD3KO8/edit?usp=sharing"",""เพชรบูรณ์!L67"")+IMPORTRANGE(""https://docs.google.com/spreadsheets/d/1lOVebEIsI9qjGXl6EX66luk7wiuP2tBaryw-wKvv4e0/edit?usp=sharing"",""แพร่!L67"")+IMPORTRANGE(""https://docs.google.com/spreadsheets/d/1dQrvX"&amp;"0vEcN7Gu0fnZ0B5S90AeR19zth4XlExFBeExMY/edit?usp=sharing"",""แม่ฮ่องสอน!L67"")+IMPORTRANGE(""https://docs.google.com/spreadsheets/d/1DY4XTNNwjluuxqdfdn6qvOSlMRrZqUtmYcZR0ttFiG4/edit?usp=sharing"",""ลำปาง!L67"")+IMPORTRANGE(""https://docs.google.com/spreads"&amp;"heets/d/1ICwG78r0OFT8biBlxnBF8r7she7gNSzOvJ958PWT09c/edit?usp=sharing"",""ลำพูน!L67"")+IMPORTRANGE(""https://docs.google.com/spreadsheets/d/1B0f2xJpZUC6Z0xXnqKlZtEPzsf6L84eP1r1Q15seqRM/edit?usp=sharing"",""สุโขทัย!L67"")+IMPORTRANGE(""https://docs.google."&amp;"com/spreadsheets/d/1v0b9pFQCsKUVExMei7AgY2yQkdeNQvtOssygGsXbiKo/edit?usp=sharing"",""อุตรดิตถ์!L67"")+IMPORTRANGE(""https://docs.google.com/spreadsheets/d/1UsNK1e-WWiCo2PvGqdNfdme4m17_Ezd3J69EeeiQPD0/edit?usp=sharing"",""อุทัยธานี!L67"")"),28026600)</f>
        <v>28026600</v>
      </c>
      <c r="M67" s="111">
        <f ca="1">IFERROR(__xludf.DUMMYFUNCTION("IMPORTRANGE(""https://docs.google.com/spreadsheets/d/1jTcq05yEiRwXcBMLjiodW9e4biSGYWAHcDj22rKWQ3s/edit?usp=sharing"",""กำแพงเพชร!M67"")+IMPORTRANGE(""https://docs.google.com/spreadsheets/d/1KS0zmDSZPk8KnTAbGN-Xk6MtX1YRZD0ldgdt20K4CRk/edit?usp=sharing"","""&amp;"เชียงราย!M67"")+IMPORTRANGE(""https://docs.google.com/spreadsheets/d/1rEDxBtusbi64tE0zunoIbsTVV16HeL0oJ6trHQeQ7K8/edit?usp=sharing"",""เชียงใหม่!M67"")+IMPORTRANGE(""https://docs.google.com/spreadsheets/d/1W6MnUbDkMi6xHnHko_XkFDO9kkuL6Wqyc-6OCDFjW9I/edit?"&amp;"usp=sharing"",""ตาก!M67"")+IMPORTRANGE(""https://docs.google.com/spreadsheets/d/1IQAWArduLkta9LpYo4a_ULsyqdta6-6aDDiwpUnQT6c/edit?usp=sharing"",""นครสวรรค์!M67"")+IMPORTRANGE(""https://docs.google.com/spreadsheets/d/10s13Sk5xrltsiR-Zkbmk5DwIaDIKO8XlbJAfqy"&amp;"T7Gvg/edit?usp=sharing"",""น่าน!M67"")+IMPORTRANGE(""https://docs.google.com/spreadsheets/d/1uu4nAn4Dbi1XREnLKKotUANlKXa7yCgRcgq8HEzQYW8/edit?usp=sharing"",""พะเยา!M67"")+IMPORTRANGE(""https://docs.google.com/spreadsheets/d/1xfJKIQxVOaPDIICqsflNlLu3JacTDk"&amp;"1FP9RH4phX7mI/edit?usp=sharing"",""พิจิตร!M67"")+IMPORTRANGE(""https://docs.google.com/spreadsheets/d/1JtRfZkJMHtEhI5RdRHxYUG4FIZHqKDpNyIuN7A1Q0_k/edit?usp=sharing"",""พิษณุโลก!M67"")+IMPORTRANGE(""https://docs.google.com/spreadsheets/d/1xlcVZWUNn6SuWm0c3"&amp;"07h32SiGkd9BaeQWlAktfD3KO8/edit?usp=sharing"",""เพชรบูรณ์!M67"")+IMPORTRANGE(""https://docs.google.com/spreadsheets/d/1lOVebEIsI9qjGXl6EX66luk7wiuP2tBaryw-wKvv4e0/edit?usp=sharing"",""แพร่!M67"")+IMPORTRANGE(""https://docs.google.com/spreadsheets/d/1dQrvX"&amp;"0vEcN7Gu0fnZ0B5S90AeR19zth4XlExFBeExMY/edit?usp=sharing"",""แม่ฮ่องสอน!M67"")+IMPORTRANGE(""https://docs.google.com/spreadsheets/d/1DY4XTNNwjluuxqdfdn6qvOSlMRrZqUtmYcZR0ttFiG4/edit?usp=sharing"",""ลำปาง!M67"")+IMPORTRANGE(""https://docs.google.com/spreads"&amp;"heets/d/1ICwG78r0OFT8biBlxnBF8r7she7gNSzOvJ958PWT09c/edit?usp=sharing"",""ลำพูน!M67"")+IMPORTRANGE(""https://docs.google.com/spreadsheets/d/1B0f2xJpZUC6Z0xXnqKlZtEPzsf6L84eP1r1Q15seqRM/edit?usp=sharing"",""สุโขทัย!M67"")+IMPORTRANGE(""https://docs.google."&amp;"com/spreadsheets/d/1v0b9pFQCsKUVExMei7AgY2yQkdeNQvtOssygGsXbiKo/edit?usp=sharing"",""อุตรดิตถ์!M67"")+IMPORTRANGE(""https://docs.google.com/spreadsheets/d/1UsNK1e-WWiCo2PvGqdNfdme4m17_Ezd3J69EeeiQPD0/edit?usp=sharing"",""อุทัยธานี!M67"")"),28026600)</f>
        <v>28026600</v>
      </c>
      <c r="N67" s="111">
        <f ca="1">IFERROR(__xludf.DUMMYFUNCTION("IMPORTRANGE(""https://docs.google.com/spreadsheets/d/1jTcq05yEiRwXcBMLjiodW9e4biSGYWAHcDj22rKWQ3s/edit?usp=sharing"",""กำแพงเพชร!N67"")+IMPORTRANGE(""https://docs.google.com/spreadsheets/d/1KS0zmDSZPk8KnTAbGN-Xk6MtX1YRZD0ldgdt20K4CRk/edit?usp=sharing"","""&amp;"เชียงราย!N67"")+IMPORTRANGE(""https://docs.google.com/spreadsheets/d/1rEDxBtusbi64tE0zunoIbsTVV16HeL0oJ6trHQeQ7K8/edit?usp=sharing"",""เชียงใหม่!N67"")+IMPORTRANGE(""https://docs.google.com/spreadsheets/d/1W6MnUbDkMi6xHnHko_XkFDO9kkuL6Wqyc-6OCDFjW9I/edit?"&amp;"usp=sharing"",""ตาก!N67"")+IMPORTRANGE(""https://docs.google.com/spreadsheets/d/1IQAWArduLkta9LpYo4a_ULsyqdta6-6aDDiwpUnQT6c/edit?usp=sharing"",""นครสวรรค์!N67"")+IMPORTRANGE(""https://docs.google.com/spreadsheets/d/10s13Sk5xrltsiR-Zkbmk5DwIaDIKO8XlbJAfqy"&amp;"T7Gvg/edit?usp=sharing"",""น่าน!N67"")+IMPORTRANGE(""https://docs.google.com/spreadsheets/d/1uu4nAn4Dbi1XREnLKKotUANlKXa7yCgRcgq8HEzQYW8/edit?usp=sharing"",""พะเยา!N67"")+IMPORTRANGE(""https://docs.google.com/spreadsheets/d/1xfJKIQxVOaPDIICqsflNlLu3JacTDk"&amp;"1FP9RH4phX7mI/edit?usp=sharing"",""พิจิตร!N67"")+IMPORTRANGE(""https://docs.google.com/spreadsheets/d/1JtRfZkJMHtEhI5RdRHxYUG4FIZHqKDpNyIuN7A1Q0_k/edit?usp=sharing"",""พิษณุโลก!N67"")+IMPORTRANGE(""https://docs.google.com/spreadsheets/d/1xlcVZWUNn6SuWm0c3"&amp;"07h32SiGkd9BaeQWlAktfD3KO8/edit?usp=sharing"",""เพชรบูรณ์!N67"")+IMPORTRANGE(""https://docs.google.com/spreadsheets/d/1lOVebEIsI9qjGXl6EX66luk7wiuP2tBaryw-wKvv4e0/edit?usp=sharing"",""แพร่!N67"")+IMPORTRANGE(""https://docs.google.com/spreadsheets/d/1dQrvX"&amp;"0vEcN7Gu0fnZ0B5S90AeR19zth4XlExFBeExMY/edit?usp=sharing"",""แม่ฮ่องสอน!N67"")+IMPORTRANGE(""https://docs.google.com/spreadsheets/d/1DY4XTNNwjluuxqdfdn6qvOSlMRrZqUtmYcZR0ttFiG4/edit?usp=sharing"",""ลำปาง!N67"")+IMPORTRANGE(""https://docs.google.com/spreads"&amp;"heets/d/1ICwG78r0OFT8biBlxnBF8r7she7gNSzOvJ958PWT09c/edit?usp=sharing"",""ลำพูน!N67"")+IMPORTRANGE(""https://docs.google.com/spreadsheets/d/1B0f2xJpZUC6Z0xXnqKlZtEPzsf6L84eP1r1Q15seqRM/edit?usp=sharing"",""สุโขทัย!N67"")+IMPORTRANGE(""https://docs.google."&amp;"com/spreadsheets/d/1v0b9pFQCsKUVExMei7AgY2yQkdeNQvtOssygGsXbiKo/edit?usp=sharing"",""อุตรดิตถ์!N67"")+IMPORTRANGE(""https://docs.google.com/spreadsheets/d/1UsNK1e-WWiCo2PvGqdNfdme4m17_Ezd3J69EeeiQPD0/edit?usp=sharing"",""อุทัยธานี!N67"")"),58000)</f>
        <v>58000</v>
      </c>
      <c r="O67" s="111">
        <f t="shared" ca="1" si="37"/>
        <v>0.20694625819756945</v>
      </c>
      <c r="P67" s="111">
        <f t="shared" ca="1" si="38"/>
        <v>0.20694625819756945</v>
      </c>
      <c r="Q67" s="111">
        <f ca="1">IFERROR(__xludf.DUMMYFUNCTION("IMPORTRANGE(""https://docs.google.com/spreadsheets/d/1jTcq05yEiRwXcBMLjiodW9e4biSGYWAHcDj22rKWQ3s/edit?usp=sharing"",""กำแพงเพชร!Q67"")+IMPORTRANGE(""https://docs.google.com/spreadsheets/d/1KS0zmDSZPk8KnTAbGN-Xk6MtX1YRZD0ldgdt20K4CRk/edit?usp=sharing"","""&amp;"เชียงราย!Q67"")+IMPORTRANGE(""https://docs.google.com/spreadsheets/d/1rEDxBtusbi64tE0zunoIbsTVV16HeL0oJ6trHQeQ7K8/edit?usp=sharing"",""เชียงใหม่!Q67"")+IMPORTRANGE(""https://docs.google.com/spreadsheets/d/1W6MnUbDkMi6xHnHko_XkFDO9kkuL6Wqyc-6OCDFjW9I/edit?"&amp;"usp=sharing"",""ตาก!Q67"")+IMPORTRANGE(""https://docs.google.com/spreadsheets/d/1IQAWArduLkta9LpYo4a_ULsyqdta6-6aDDiwpUnQT6c/edit?usp=sharing"",""นครสวรรค์!Q67"")+IMPORTRANGE(""https://docs.google.com/spreadsheets/d/10s13Sk5xrltsiR-Zkbmk5DwIaDIKO8XlbJAfqy"&amp;"T7Gvg/edit?usp=sharing"",""น่าน!Q67"")+IMPORTRANGE(""https://docs.google.com/spreadsheets/d/1uu4nAn4Dbi1XREnLKKotUANlKXa7yCgRcgq8HEzQYW8/edit?usp=sharing"",""พะเยา!Q67"")+IMPORTRANGE(""https://docs.google.com/spreadsheets/d/1xfJKIQxVOaPDIICqsflNlLu3JacTDk"&amp;"1FP9RH4phX7mI/edit?usp=sharing"",""พิจิตร!Q67"")+IMPORTRANGE(""https://docs.google.com/spreadsheets/d/1JtRfZkJMHtEhI5RdRHxYUG4FIZHqKDpNyIuN7A1Q0_k/edit?usp=sharing"",""พิษณุโลก!Q67"")+IMPORTRANGE(""https://docs.google.com/spreadsheets/d/1xlcVZWUNn6SuWm0c3"&amp;"07h32SiGkd9BaeQWlAktfD3KO8/edit?usp=sharing"",""เพชรบูรณ์!Q67"")+IMPORTRANGE(""https://docs.google.com/spreadsheets/d/1lOVebEIsI9qjGXl6EX66luk7wiuP2tBaryw-wKvv4e0/edit?usp=sharing"",""แพร่!Q67"")+IMPORTRANGE(""https://docs.google.com/spreadsheets/d/1dQrvX"&amp;"0vEcN7Gu0fnZ0B5S90AeR19zth4XlExFBeExMY/edit?usp=sharing"",""แม่ฮ่องสอน!Q67"")+IMPORTRANGE(""https://docs.google.com/spreadsheets/d/1DY4XTNNwjluuxqdfdn6qvOSlMRrZqUtmYcZR0ttFiG4/edit?usp=sharing"",""ลำปาง!Q67"")+IMPORTRANGE(""https://docs.google.com/spreads"&amp;"heets/d/1ICwG78r0OFT8biBlxnBF8r7she7gNSzOvJ958PWT09c/edit?usp=sharing"",""ลำพูน!Q67"")+IMPORTRANGE(""https://docs.google.com/spreadsheets/d/1B0f2xJpZUC6Z0xXnqKlZtEPzsf6L84eP1r1Q15seqRM/edit?usp=sharing"",""สุโขทัย!Q67"")+IMPORTRANGE(""https://docs.google."&amp;"com/spreadsheets/d/1v0b9pFQCsKUVExMei7AgY2yQkdeNQvtOssygGsXbiKo/edit?usp=sharing"",""อุตรดิตถ์!Q67"")+IMPORTRANGE(""https://docs.google.com/spreadsheets/d/1UsNK1e-WWiCo2PvGqdNfdme4m17_Ezd3J69EeeiQPD0/edit?usp=sharing"",""อุทัยธานี!Q67"")"),0)</f>
        <v>0</v>
      </c>
      <c r="R67" s="111">
        <f ca="1">IFERROR(__xludf.DUMMYFUNCTION("IMPORTRANGE(""https://docs.google.com/spreadsheets/d/1jTcq05yEiRwXcBMLjiodW9e4biSGYWAHcDj22rKWQ3s/edit?usp=sharing"",""กำแพงเพชร!R67"")+IMPORTRANGE(""https://docs.google.com/spreadsheets/d/1KS0zmDSZPk8KnTAbGN-Xk6MtX1YRZD0ldgdt20K4CRk/edit?usp=sharing"","""&amp;"เชียงราย!R67"")+IMPORTRANGE(""https://docs.google.com/spreadsheets/d/1rEDxBtusbi64tE0zunoIbsTVV16HeL0oJ6trHQeQ7K8/edit?usp=sharing"",""เชียงใหม่!R67"")+IMPORTRANGE(""https://docs.google.com/spreadsheets/d/1W6MnUbDkMi6xHnHko_XkFDO9kkuL6Wqyc-6OCDFjW9I/edit?"&amp;"usp=sharing"",""ตาก!R67"")+IMPORTRANGE(""https://docs.google.com/spreadsheets/d/1IQAWArduLkta9LpYo4a_ULsyqdta6-6aDDiwpUnQT6c/edit?usp=sharing"",""นครสวรรค์!R67"")+IMPORTRANGE(""https://docs.google.com/spreadsheets/d/10s13Sk5xrltsiR-Zkbmk5DwIaDIKO8XlbJAfqy"&amp;"T7Gvg/edit?usp=sharing"",""น่าน!R67"")+IMPORTRANGE(""https://docs.google.com/spreadsheets/d/1uu4nAn4Dbi1XREnLKKotUANlKXa7yCgRcgq8HEzQYW8/edit?usp=sharing"",""พะเยา!R67"")+IMPORTRANGE(""https://docs.google.com/spreadsheets/d/1xfJKIQxVOaPDIICqsflNlLu3JacTDk"&amp;"1FP9RH4phX7mI/edit?usp=sharing"",""พิจิตร!R67"")+IMPORTRANGE(""https://docs.google.com/spreadsheets/d/1JtRfZkJMHtEhI5RdRHxYUG4FIZHqKDpNyIuN7A1Q0_k/edit?usp=sharing"",""พิษณุโลก!R67"")+IMPORTRANGE(""https://docs.google.com/spreadsheets/d/1xlcVZWUNn6SuWm0c3"&amp;"07h32SiGkd9BaeQWlAktfD3KO8/edit?usp=sharing"",""เพชรบูรณ์!R67"")+IMPORTRANGE(""https://docs.google.com/spreadsheets/d/1lOVebEIsI9qjGXl6EX66luk7wiuP2tBaryw-wKvv4e0/edit?usp=sharing"",""แพร่!R67"")+IMPORTRANGE(""https://docs.google.com/spreadsheets/d/1dQrvX"&amp;"0vEcN7Gu0fnZ0B5S90AeR19zth4XlExFBeExMY/edit?usp=sharing"",""แม่ฮ่องสอน!R67"")+IMPORTRANGE(""https://docs.google.com/spreadsheets/d/1DY4XTNNwjluuxqdfdn6qvOSlMRrZqUtmYcZR0ttFiG4/edit?usp=sharing"",""ลำปาง!R67"")+IMPORTRANGE(""https://docs.google.com/spreads"&amp;"heets/d/1ICwG78r0OFT8biBlxnBF8r7she7gNSzOvJ958PWT09c/edit?usp=sharing"",""ลำพูน!R67"")+IMPORTRANGE(""https://docs.google.com/spreadsheets/d/1B0f2xJpZUC6Z0xXnqKlZtEPzsf6L84eP1r1Q15seqRM/edit?usp=sharing"",""สุโขทัย!R67"")+IMPORTRANGE(""https://docs.google."&amp;"com/spreadsheets/d/1v0b9pFQCsKUVExMei7AgY2yQkdeNQvtOssygGsXbiKo/edit?usp=sharing"",""อุตรดิตถ์!R67"")+IMPORTRANGE(""https://docs.google.com/spreadsheets/d/1UsNK1e-WWiCo2PvGqdNfdme4m17_Ezd3J69EeeiQPD0/edit?usp=sharing"",""อุทัยธานี!R67"")"),0)</f>
        <v>0</v>
      </c>
      <c r="S67" s="111">
        <f ca="1">IFERROR(__xludf.DUMMYFUNCTION("IMPORTRANGE(""https://docs.google.com/spreadsheets/d/1jTcq05yEiRwXcBMLjiodW9e4biSGYWAHcDj22rKWQ3s/edit?usp=sharing"",""กำแพงเพชร!S67"")+IMPORTRANGE(""https://docs.google.com/spreadsheets/d/1KS0zmDSZPk8KnTAbGN-Xk6MtX1YRZD0ldgdt20K4CRk/edit?usp=sharing"","""&amp;"เชียงราย!S67"")+IMPORTRANGE(""https://docs.google.com/spreadsheets/d/1rEDxBtusbi64tE0zunoIbsTVV16HeL0oJ6trHQeQ7K8/edit?usp=sharing"",""เชียงใหม่!S67"")+IMPORTRANGE(""https://docs.google.com/spreadsheets/d/1W6MnUbDkMi6xHnHko_XkFDO9kkuL6Wqyc-6OCDFjW9I/edit?"&amp;"usp=sharing"",""ตาก!S67"")+IMPORTRANGE(""https://docs.google.com/spreadsheets/d/1IQAWArduLkta9LpYo4a_ULsyqdta6-6aDDiwpUnQT6c/edit?usp=sharing"",""นครสวรรค์!S67"")+IMPORTRANGE(""https://docs.google.com/spreadsheets/d/10s13Sk5xrltsiR-Zkbmk5DwIaDIKO8XlbJAfqy"&amp;"T7Gvg/edit?usp=sharing"",""น่าน!S67"")+IMPORTRANGE(""https://docs.google.com/spreadsheets/d/1uu4nAn4Dbi1XREnLKKotUANlKXa7yCgRcgq8HEzQYW8/edit?usp=sharing"",""พะเยา!S67"")+IMPORTRANGE(""https://docs.google.com/spreadsheets/d/1xfJKIQxVOaPDIICqsflNlLu3JacTDk"&amp;"1FP9RH4phX7mI/edit?usp=sharing"",""พิจิตร!S67"")+IMPORTRANGE(""https://docs.google.com/spreadsheets/d/1JtRfZkJMHtEhI5RdRHxYUG4FIZHqKDpNyIuN7A1Q0_k/edit?usp=sharing"",""พิษณุโลก!S67"")+IMPORTRANGE(""https://docs.google.com/spreadsheets/d/1xlcVZWUNn6SuWm0c3"&amp;"07h32SiGkd9BaeQWlAktfD3KO8/edit?usp=sharing"",""เพชรบูรณ์!S67"")+IMPORTRANGE(""https://docs.google.com/spreadsheets/d/1lOVebEIsI9qjGXl6EX66luk7wiuP2tBaryw-wKvv4e0/edit?usp=sharing"",""แพร่!S67"")+IMPORTRANGE(""https://docs.google.com/spreadsheets/d/1dQrvX"&amp;"0vEcN7Gu0fnZ0B5S90AeR19zth4XlExFBeExMY/edit?usp=sharing"",""แม่ฮ่องสอน!S67"")+IMPORTRANGE(""https://docs.google.com/spreadsheets/d/1DY4XTNNwjluuxqdfdn6qvOSlMRrZqUtmYcZR0ttFiG4/edit?usp=sharing"",""ลำปาง!S67"")+IMPORTRANGE(""https://docs.google.com/spreads"&amp;"heets/d/1ICwG78r0OFT8biBlxnBF8r7she7gNSzOvJ958PWT09c/edit?usp=sharing"",""ลำพูน!S67"")+IMPORTRANGE(""https://docs.google.com/spreadsheets/d/1B0f2xJpZUC6Z0xXnqKlZtEPzsf6L84eP1r1Q15seqRM/edit?usp=sharing"",""สุโขทัย!S67"")+IMPORTRANGE(""https://docs.google."&amp;"com/spreadsheets/d/1v0b9pFQCsKUVExMei7AgY2yQkdeNQvtOssygGsXbiKo/edit?usp=sharing"",""อุตรดิตถ์!S67"")+IMPORTRANGE(""https://docs.google.com/spreadsheets/d/1UsNK1e-WWiCo2PvGqdNfdme4m17_Ezd3J69EeeiQPD0/edit?usp=sharing"",""อุทัยธานี!S67"")"),0)</f>
        <v>0</v>
      </c>
      <c r="T67" s="111">
        <f t="shared" ca="1" si="40"/>
        <v>0</v>
      </c>
      <c r="U67" s="111">
        <f t="shared" ca="1" si="41"/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8" t="s">
        <v>33</v>
      </c>
      <c r="C70" s="27"/>
      <c r="D70" s="125"/>
      <c r="E70" s="27"/>
      <c r="F70" s="27"/>
      <c r="G70" s="30"/>
      <c r="H70" s="126" t="s">
        <v>34</v>
      </c>
      <c r="I70" s="127">
        <f t="shared" ref="I70:J70" ca="1" si="50">I82</f>
        <v>16</v>
      </c>
      <c r="J70" s="127">
        <f t="shared" ca="1" si="50"/>
        <v>10</v>
      </c>
      <c r="K70" s="34">
        <f t="shared" ref="K70:K71" ca="1" si="51">IF(I70&gt;0,J70*100/I70,0)</f>
        <v>62.5</v>
      </c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1" ht="19.5" x14ac:dyDescent="0.3">
      <c r="A71" s="124"/>
      <c r="B71" s="27"/>
      <c r="C71" s="27"/>
      <c r="D71" s="125"/>
      <c r="E71" s="27"/>
      <c r="F71" s="27"/>
      <c r="G71" s="30"/>
      <c r="H71" s="126" t="s">
        <v>35</v>
      </c>
      <c r="I71" s="127">
        <f t="shared" ref="I71:J71" ca="1" si="52">I83</f>
        <v>791</v>
      </c>
      <c r="J71" s="127">
        <f t="shared" ca="1" si="52"/>
        <v>435</v>
      </c>
      <c r="K71" s="34">
        <f t="shared" ca="1" si="51"/>
        <v>54.993678887484194</v>
      </c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1:21" ht="19.5" x14ac:dyDescent="0.3">
      <c r="A72" s="128"/>
      <c r="B72" s="40"/>
      <c r="C72" s="129" t="s">
        <v>18</v>
      </c>
      <c r="D72" s="130" t="s">
        <v>19</v>
      </c>
      <c r="E72" s="40"/>
      <c r="F72" s="40"/>
      <c r="G72" s="42"/>
      <c r="H72" s="131" t="s">
        <v>14</v>
      </c>
      <c r="I72" s="44"/>
      <c r="J72" s="44"/>
      <c r="K72" s="45"/>
      <c r="L72" s="132">
        <f t="shared" ref="L72:N72" ca="1" si="53">L73+L74</f>
        <v>2660000</v>
      </c>
      <c r="M72" s="132">
        <f t="shared" ca="1" si="53"/>
        <v>2739132</v>
      </c>
      <c r="N72" s="132">
        <f t="shared" ca="1" si="53"/>
        <v>1983346.5799999901</v>
      </c>
      <c r="O72" s="132">
        <f t="shared" ref="O72:O80" ca="1" si="54">IF(L72&gt;0,N72*100/L72,0)</f>
        <v>74.561901503759032</v>
      </c>
      <c r="P72" s="132">
        <f t="shared" ref="P72:P80" ca="1" si="55">IF(M72&gt;0,N72*100/M72,0)</f>
        <v>72.40784963995857</v>
      </c>
      <c r="Q72" s="132">
        <f t="shared" ref="Q72:S72" ca="1" si="56">Q73+Q74</f>
        <v>9235733</v>
      </c>
      <c r="R72" s="132">
        <f t="shared" ca="1" si="56"/>
        <v>9235733</v>
      </c>
      <c r="S72" s="132">
        <f t="shared" ca="1" si="56"/>
        <v>1311968.5</v>
      </c>
      <c r="T72" s="132">
        <f t="shared" ref="T72:T80" ca="1" si="57">IF(Q72&gt;0,S72*100/Q72,0)</f>
        <v>14.205353272988727</v>
      </c>
      <c r="U72" s="132">
        <f t="shared" ref="U72:U80" ca="1" si="58">IF(R72&gt;0,S72*100/R72,0)</f>
        <v>14.205353272988727</v>
      </c>
    </row>
    <row r="73" spans="1:21" ht="18.75" x14ac:dyDescent="0.25">
      <c r="A73" s="128"/>
      <c r="B73" s="40"/>
      <c r="C73" s="40"/>
      <c r="D73" s="40"/>
      <c r="E73" s="47" t="s">
        <v>20</v>
      </c>
      <c r="F73" s="40"/>
      <c r="G73" s="42"/>
      <c r="H73" s="133" t="s">
        <v>14</v>
      </c>
      <c r="I73" s="44"/>
      <c r="J73" s="44"/>
      <c r="K73" s="45"/>
      <c r="L73" s="46">
        <f t="shared" ref="L73:N73" ca="1" si="59">L76+L79</f>
        <v>0</v>
      </c>
      <c r="M73" s="46">
        <f t="shared" ca="1" si="59"/>
        <v>0</v>
      </c>
      <c r="N73" s="46">
        <f t="shared" ca="1" si="59"/>
        <v>0</v>
      </c>
      <c r="O73" s="46">
        <f t="shared" ca="1" si="54"/>
        <v>0</v>
      </c>
      <c r="P73" s="46">
        <f t="shared" ca="1" si="55"/>
        <v>0</v>
      </c>
      <c r="Q73" s="48">
        <f t="shared" ref="Q73:S73" ca="1" si="60">Q76+Q79</f>
        <v>0</v>
      </c>
      <c r="R73" s="48">
        <f t="shared" ca="1" si="60"/>
        <v>0</v>
      </c>
      <c r="S73" s="48">
        <f t="shared" ca="1" si="60"/>
        <v>0</v>
      </c>
      <c r="T73" s="48">
        <f t="shared" ca="1" si="57"/>
        <v>0</v>
      </c>
      <c r="U73" s="48">
        <f t="shared" ca="1" si="58"/>
        <v>0</v>
      </c>
    </row>
    <row r="74" spans="1:21" ht="18.75" x14ac:dyDescent="0.25">
      <c r="A74" s="128"/>
      <c r="B74" s="40"/>
      <c r="C74" s="40"/>
      <c r="D74" s="40"/>
      <c r="E74" s="47" t="s">
        <v>21</v>
      </c>
      <c r="F74" s="40"/>
      <c r="G74" s="42"/>
      <c r="H74" s="133" t="s">
        <v>14</v>
      </c>
      <c r="I74" s="44"/>
      <c r="J74" s="44"/>
      <c r="K74" s="45"/>
      <c r="L74" s="46">
        <f t="shared" ref="L74:N74" ca="1" si="61">L77+L80</f>
        <v>2660000</v>
      </c>
      <c r="M74" s="46">
        <f t="shared" ca="1" si="61"/>
        <v>2739132</v>
      </c>
      <c r="N74" s="46">
        <f t="shared" ca="1" si="61"/>
        <v>1983346.5799999901</v>
      </c>
      <c r="O74" s="46">
        <f t="shared" ca="1" si="54"/>
        <v>74.561901503759032</v>
      </c>
      <c r="P74" s="46">
        <f t="shared" ca="1" si="55"/>
        <v>72.40784963995857</v>
      </c>
      <c r="Q74" s="46">
        <f t="shared" ref="Q74:S74" ca="1" si="62">Q77+Q80</f>
        <v>9235733</v>
      </c>
      <c r="R74" s="46">
        <f t="shared" ca="1" si="62"/>
        <v>9235733</v>
      </c>
      <c r="S74" s="46">
        <f t="shared" ca="1" si="62"/>
        <v>1311968.5</v>
      </c>
      <c r="T74" s="46">
        <f t="shared" ca="1" si="57"/>
        <v>14.205353272988727</v>
      </c>
      <c r="U74" s="46">
        <f t="shared" ca="1" si="58"/>
        <v>14.205353272988727</v>
      </c>
    </row>
    <row r="75" spans="1:21" ht="18.75" x14ac:dyDescent="0.25">
      <c r="A75" s="128"/>
      <c r="B75" s="40"/>
      <c r="C75" s="40"/>
      <c r="D75" s="41" t="s">
        <v>22</v>
      </c>
      <c r="E75" s="40"/>
      <c r="F75" s="40"/>
      <c r="G75" s="42"/>
      <c r="H75" s="134" t="s">
        <v>14</v>
      </c>
      <c r="I75" s="135"/>
      <c r="J75" s="135"/>
      <c r="K75" s="136"/>
      <c r="L75" s="46">
        <f t="shared" ref="L75:N75" ca="1" si="63">L76+L77</f>
        <v>2660000</v>
      </c>
      <c r="M75" s="46">
        <f t="shared" ca="1" si="63"/>
        <v>2739132</v>
      </c>
      <c r="N75" s="46">
        <f t="shared" ca="1" si="63"/>
        <v>1983346.5799999901</v>
      </c>
      <c r="O75" s="46">
        <f t="shared" ca="1" si="54"/>
        <v>74.561901503759032</v>
      </c>
      <c r="P75" s="46">
        <f t="shared" ca="1" si="55"/>
        <v>72.40784963995857</v>
      </c>
      <c r="Q75" s="46">
        <f t="shared" ref="Q75:S75" ca="1" si="64">Q76+Q77</f>
        <v>8103210</v>
      </c>
      <c r="R75" s="46">
        <f t="shared" ca="1" si="64"/>
        <v>8103210</v>
      </c>
      <c r="S75" s="46">
        <f t="shared" ca="1" si="64"/>
        <v>1013968.5</v>
      </c>
      <c r="T75" s="46">
        <f t="shared" ca="1" si="57"/>
        <v>12.51317070642375</v>
      </c>
      <c r="U75" s="46">
        <f t="shared" ca="1" si="58"/>
        <v>12.51317070642375</v>
      </c>
    </row>
    <row r="76" spans="1:21" ht="18.75" x14ac:dyDescent="0.25">
      <c r="A76" s="128"/>
      <c r="B76" s="40"/>
      <c r="C76" s="40"/>
      <c r="D76" s="40"/>
      <c r="E76" s="47" t="s">
        <v>36</v>
      </c>
      <c r="F76" s="40"/>
      <c r="G76" s="42"/>
      <c r="H76" s="134" t="s">
        <v>14</v>
      </c>
      <c r="I76" s="135"/>
      <c r="J76" s="135"/>
      <c r="K76" s="136"/>
      <c r="L76" s="46">
        <f ca="1">IFERROR(__xludf.DUMMYFUNCTION("IMPORTRANGE(""https://docs.google.com/spreadsheets/d/1jTcq05yEiRwXcBMLjiodW9e4biSGYWAHcDj22rKWQ3s/edit?usp=sharing"",""กำแพงเพชร!L76"")+IMPORTRANGE(""https://docs.google.com/spreadsheets/d/1KS0zmDSZPk8KnTAbGN-Xk6MtX1YRZD0ldgdt20K4CRk/edit?usp=sharing"","""&amp;"เชียงราย!L76"")+IMPORTRANGE(""https://docs.google.com/spreadsheets/d/1rEDxBtusbi64tE0zunoIbsTVV16HeL0oJ6trHQeQ7K8/edit?usp=sharing"",""เชียงใหม่!L76"")+IMPORTRANGE(""https://docs.google.com/spreadsheets/d/1W6MnUbDkMi6xHnHko_XkFDO9kkuL6Wqyc-6OCDFjW9I/edit?"&amp;"usp=sharing"",""ตาก!L76"")+IMPORTRANGE(""https://docs.google.com/spreadsheets/d/1IQAWArduLkta9LpYo4a_ULsyqdta6-6aDDiwpUnQT6c/edit?usp=sharing"",""นครสวรรค์!L76"")+IMPORTRANGE(""https://docs.google.com/spreadsheets/d/10s13Sk5xrltsiR-Zkbmk5DwIaDIKO8XlbJAfqy"&amp;"T7Gvg/edit?usp=sharing"",""น่าน!L76"")+IMPORTRANGE(""https://docs.google.com/spreadsheets/d/1uu4nAn4Dbi1XREnLKKotUANlKXa7yCgRcgq8HEzQYW8/edit?usp=sharing"",""พะเยา!L76"")+IMPORTRANGE(""https://docs.google.com/spreadsheets/d/1xfJKIQxVOaPDIICqsflNlLu3JacTDk"&amp;"1FP9RH4phX7mI/edit?usp=sharing"",""พิจิตร!L76"")+IMPORTRANGE(""https://docs.google.com/spreadsheets/d/1JtRfZkJMHtEhI5RdRHxYUG4FIZHqKDpNyIuN7A1Q0_k/edit?usp=sharing"",""พิษณุโลก!L76"")+IMPORTRANGE(""https://docs.google.com/spreadsheets/d/1xlcVZWUNn6SuWm0c3"&amp;"07h32SiGkd9BaeQWlAktfD3KO8/edit?usp=sharing"",""เพชรบูรณ์!L76"")+IMPORTRANGE(""https://docs.google.com/spreadsheets/d/1lOVebEIsI9qjGXl6EX66luk7wiuP2tBaryw-wKvv4e0/edit?usp=sharing"",""แพร่!L76"")+IMPORTRANGE(""https://docs.google.com/spreadsheets/d/1dQrvX"&amp;"0vEcN7Gu0fnZ0B5S90AeR19zth4XlExFBeExMY/edit?usp=sharing"",""แม่ฮ่องสอน!L76"")+IMPORTRANGE(""https://docs.google.com/spreadsheets/d/1DY4XTNNwjluuxqdfdn6qvOSlMRrZqUtmYcZR0ttFiG4/edit?usp=sharing"",""ลำปาง!L76"")+IMPORTRANGE(""https://docs.google.com/spreads"&amp;"heets/d/1ICwG78r0OFT8biBlxnBF8r7she7gNSzOvJ958PWT09c/edit?usp=sharing"",""ลำพูน!L76"")+IMPORTRANGE(""https://docs.google.com/spreadsheets/d/1B0f2xJpZUC6Z0xXnqKlZtEPzsf6L84eP1r1Q15seqRM/edit?usp=sharing"",""สุโขทัย!L76"")+IMPORTRANGE(""https://docs.google."&amp;"com/spreadsheets/d/1v0b9pFQCsKUVExMei7AgY2yQkdeNQvtOssygGsXbiKo/edit?usp=sharing"",""อุตรดิตถ์!L76"")+IMPORTRANGE(""https://docs.google.com/spreadsheets/d/1UsNK1e-WWiCo2PvGqdNfdme4m17_Ezd3J69EeeiQPD0/edit?usp=sharing"",""อุทัยธานี!L76"")"),0)</f>
        <v>0</v>
      </c>
      <c r="M76" s="46">
        <f ca="1">IFERROR(__xludf.DUMMYFUNCTION("IMPORTRANGE(""https://docs.google.com/spreadsheets/d/1jTcq05yEiRwXcBMLjiodW9e4biSGYWAHcDj22rKWQ3s/edit?usp=sharing"",""กำแพงเพชร!M76"")+IMPORTRANGE(""https://docs.google.com/spreadsheets/d/1KS0zmDSZPk8KnTAbGN-Xk6MtX1YRZD0ldgdt20K4CRk/edit?usp=sharing"","""&amp;"เชียงราย!M76"")+IMPORTRANGE(""https://docs.google.com/spreadsheets/d/1rEDxBtusbi64tE0zunoIbsTVV16HeL0oJ6trHQeQ7K8/edit?usp=sharing"",""เชียงใหม่!M76"")+IMPORTRANGE(""https://docs.google.com/spreadsheets/d/1W6MnUbDkMi6xHnHko_XkFDO9kkuL6Wqyc-6OCDFjW9I/edit?"&amp;"usp=sharing"",""ตาก!M76"")+IMPORTRANGE(""https://docs.google.com/spreadsheets/d/1IQAWArduLkta9LpYo4a_ULsyqdta6-6aDDiwpUnQT6c/edit?usp=sharing"",""นครสวรรค์!M76"")+IMPORTRANGE(""https://docs.google.com/spreadsheets/d/10s13Sk5xrltsiR-Zkbmk5DwIaDIKO8XlbJAfqy"&amp;"T7Gvg/edit?usp=sharing"",""น่าน!M76"")+IMPORTRANGE(""https://docs.google.com/spreadsheets/d/1uu4nAn4Dbi1XREnLKKotUANlKXa7yCgRcgq8HEzQYW8/edit?usp=sharing"",""พะเยา!M76"")+IMPORTRANGE(""https://docs.google.com/spreadsheets/d/1xfJKIQxVOaPDIICqsflNlLu3JacTDk"&amp;"1FP9RH4phX7mI/edit?usp=sharing"",""พิจิตร!M76"")+IMPORTRANGE(""https://docs.google.com/spreadsheets/d/1JtRfZkJMHtEhI5RdRHxYUG4FIZHqKDpNyIuN7A1Q0_k/edit?usp=sharing"",""พิษณุโลก!M76"")+IMPORTRANGE(""https://docs.google.com/spreadsheets/d/1xlcVZWUNn6SuWm0c3"&amp;"07h32SiGkd9BaeQWlAktfD3KO8/edit?usp=sharing"",""เพชรบูรณ์!M76"")+IMPORTRANGE(""https://docs.google.com/spreadsheets/d/1lOVebEIsI9qjGXl6EX66luk7wiuP2tBaryw-wKvv4e0/edit?usp=sharing"",""แพร่!M76"")+IMPORTRANGE(""https://docs.google.com/spreadsheets/d/1dQrvX"&amp;"0vEcN7Gu0fnZ0B5S90AeR19zth4XlExFBeExMY/edit?usp=sharing"",""แม่ฮ่องสอน!M76"")+IMPORTRANGE(""https://docs.google.com/spreadsheets/d/1DY4XTNNwjluuxqdfdn6qvOSlMRrZqUtmYcZR0ttFiG4/edit?usp=sharing"",""ลำปาง!M76"")+IMPORTRANGE(""https://docs.google.com/spreads"&amp;"heets/d/1ICwG78r0OFT8biBlxnBF8r7she7gNSzOvJ958PWT09c/edit?usp=sharing"",""ลำพูน!M76"")+IMPORTRANGE(""https://docs.google.com/spreadsheets/d/1B0f2xJpZUC6Z0xXnqKlZtEPzsf6L84eP1r1Q15seqRM/edit?usp=sharing"",""สุโขทัย!M76"")+IMPORTRANGE(""https://docs.google."&amp;"com/spreadsheets/d/1v0b9pFQCsKUVExMei7AgY2yQkdeNQvtOssygGsXbiKo/edit?usp=sharing"",""อุตรดิตถ์!M76"")+IMPORTRANGE(""https://docs.google.com/spreadsheets/d/1UsNK1e-WWiCo2PvGqdNfdme4m17_Ezd3J69EeeiQPD0/edit?usp=sharing"",""อุทัยธานี!M76"")"),0)</f>
        <v>0</v>
      </c>
      <c r="N76" s="46">
        <f ca="1">IFERROR(__xludf.DUMMYFUNCTION("IMPORTRANGE(""https://docs.google.com/spreadsheets/d/1jTcq05yEiRwXcBMLjiodW9e4biSGYWAHcDj22rKWQ3s/edit?usp=sharing"",""กำแพงเพชร!N76"")+IMPORTRANGE(""https://docs.google.com/spreadsheets/d/1KS0zmDSZPk8KnTAbGN-Xk6MtX1YRZD0ldgdt20K4CRk/edit?usp=sharing"","""&amp;"เชียงราย!N76"")+IMPORTRANGE(""https://docs.google.com/spreadsheets/d/1rEDxBtusbi64tE0zunoIbsTVV16HeL0oJ6trHQeQ7K8/edit?usp=sharing"",""เชียงใหม่!N76"")+IMPORTRANGE(""https://docs.google.com/spreadsheets/d/1W6MnUbDkMi6xHnHko_XkFDO9kkuL6Wqyc-6OCDFjW9I/edit?"&amp;"usp=sharing"",""ตาก!N76"")+IMPORTRANGE(""https://docs.google.com/spreadsheets/d/1IQAWArduLkta9LpYo4a_ULsyqdta6-6aDDiwpUnQT6c/edit?usp=sharing"",""นครสวรรค์!N76"")+IMPORTRANGE(""https://docs.google.com/spreadsheets/d/10s13Sk5xrltsiR-Zkbmk5DwIaDIKO8XlbJAfqy"&amp;"T7Gvg/edit?usp=sharing"",""น่าน!N76"")+IMPORTRANGE(""https://docs.google.com/spreadsheets/d/1uu4nAn4Dbi1XREnLKKotUANlKXa7yCgRcgq8HEzQYW8/edit?usp=sharing"",""พะเยา!N76"")+IMPORTRANGE(""https://docs.google.com/spreadsheets/d/1xfJKIQxVOaPDIICqsflNlLu3JacTDk"&amp;"1FP9RH4phX7mI/edit?usp=sharing"",""พิจิตร!N76"")+IMPORTRANGE(""https://docs.google.com/spreadsheets/d/1JtRfZkJMHtEhI5RdRHxYUG4FIZHqKDpNyIuN7A1Q0_k/edit?usp=sharing"",""พิษณุโลก!N76"")+IMPORTRANGE(""https://docs.google.com/spreadsheets/d/1xlcVZWUNn6SuWm0c3"&amp;"07h32SiGkd9BaeQWlAktfD3KO8/edit?usp=sharing"",""เพชรบูรณ์!N76"")+IMPORTRANGE(""https://docs.google.com/spreadsheets/d/1lOVebEIsI9qjGXl6EX66luk7wiuP2tBaryw-wKvv4e0/edit?usp=sharing"",""แพร่!N76"")+IMPORTRANGE(""https://docs.google.com/spreadsheets/d/1dQrvX"&amp;"0vEcN7Gu0fnZ0B5S90AeR19zth4XlExFBeExMY/edit?usp=sharing"",""แม่ฮ่องสอน!N76"")+IMPORTRANGE(""https://docs.google.com/spreadsheets/d/1DY4XTNNwjluuxqdfdn6qvOSlMRrZqUtmYcZR0ttFiG4/edit?usp=sharing"",""ลำปาง!N76"")+IMPORTRANGE(""https://docs.google.com/spreads"&amp;"heets/d/1ICwG78r0OFT8biBlxnBF8r7she7gNSzOvJ958PWT09c/edit?usp=sharing"",""ลำพูน!N76"")+IMPORTRANGE(""https://docs.google.com/spreadsheets/d/1B0f2xJpZUC6Z0xXnqKlZtEPzsf6L84eP1r1Q15seqRM/edit?usp=sharing"",""สุโขทัย!N76"")+IMPORTRANGE(""https://docs.google."&amp;"com/spreadsheets/d/1v0b9pFQCsKUVExMei7AgY2yQkdeNQvtOssygGsXbiKo/edit?usp=sharing"",""อุตรดิตถ์!N76"")+IMPORTRANGE(""https://docs.google.com/spreadsheets/d/1UsNK1e-WWiCo2PvGqdNfdme4m17_Ezd3J69EeeiQPD0/edit?usp=sharing"",""อุทัยธานี!N76"")"),0)</f>
        <v>0</v>
      </c>
      <c r="O76" s="46">
        <f t="shared" ca="1" si="54"/>
        <v>0</v>
      </c>
      <c r="P76" s="46">
        <f t="shared" ca="1" si="55"/>
        <v>0</v>
      </c>
      <c r="Q76" s="48">
        <f ca="1">IFERROR(__xludf.DUMMYFUNCTION("IMPORTRANGE(""https://docs.google.com/spreadsheets/d/1jTcq05yEiRwXcBMLjiodW9e4biSGYWAHcDj22rKWQ3s/edit?usp=sharing"",""กำแพงเพชร!Q76"")+IMPORTRANGE(""https://docs.google.com/spreadsheets/d/1KS0zmDSZPk8KnTAbGN-Xk6MtX1YRZD0ldgdt20K4CRk/edit?usp=sharing"","""&amp;"เชียงราย!Q76"")+IMPORTRANGE(""https://docs.google.com/spreadsheets/d/1rEDxBtusbi64tE0zunoIbsTVV16HeL0oJ6trHQeQ7K8/edit?usp=sharing"",""เชียงใหม่!Q76"")+IMPORTRANGE(""https://docs.google.com/spreadsheets/d/1W6MnUbDkMi6xHnHko_XkFDO9kkuL6Wqyc-6OCDFjW9I/edit?"&amp;"usp=sharing"",""ตาก!Q76"")+IMPORTRANGE(""https://docs.google.com/spreadsheets/d/1IQAWArduLkta9LpYo4a_ULsyqdta6-6aDDiwpUnQT6c/edit?usp=sharing"",""นครสวรรค์!Q76"")+IMPORTRANGE(""https://docs.google.com/spreadsheets/d/10s13Sk5xrltsiR-Zkbmk5DwIaDIKO8XlbJAfqy"&amp;"T7Gvg/edit?usp=sharing"",""น่าน!Q76"")+IMPORTRANGE(""https://docs.google.com/spreadsheets/d/1uu4nAn4Dbi1XREnLKKotUANlKXa7yCgRcgq8HEzQYW8/edit?usp=sharing"",""พะเยา!Q76"")+IMPORTRANGE(""https://docs.google.com/spreadsheets/d/1xfJKIQxVOaPDIICqsflNlLu3JacTDk"&amp;"1FP9RH4phX7mI/edit?usp=sharing"",""พิจิตร!Q76"")+IMPORTRANGE(""https://docs.google.com/spreadsheets/d/1JtRfZkJMHtEhI5RdRHxYUG4FIZHqKDpNyIuN7A1Q0_k/edit?usp=sharing"",""พิษณุโลก!Q76"")+IMPORTRANGE(""https://docs.google.com/spreadsheets/d/1xlcVZWUNn6SuWm0c3"&amp;"07h32SiGkd9BaeQWlAktfD3KO8/edit?usp=sharing"",""เพชรบูรณ์!Q76"")+IMPORTRANGE(""https://docs.google.com/spreadsheets/d/1lOVebEIsI9qjGXl6EX66luk7wiuP2tBaryw-wKvv4e0/edit?usp=sharing"",""แพร่!Q76"")+IMPORTRANGE(""https://docs.google.com/spreadsheets/d/1dQrvX"&amp;"0vEcN7Gu0fnZ0B5S90AeR19zth4XlExFBeExMY/edit?usp=sharing"",""แม่ฮ่องสอน!Q76"")+IMPORTRANGE(""https://docs.google.com/spreadsheets/d/1DY4XTNNwjluuxqdfdn6qvOSlMRrZqUtmYcZR0ttFiG4/edit?usp=sharing"",""ลำปาง!Q76"")+IMPORTRANGE(""https://docs.google.com/spreads"&amp;"heets/d/1ICwG78r0OFT8biBlxnBF8r7she7gNSzOvJ958PWT09c/edit?usp=sharing"",""ลำพูน!Q76"")+IMPORTRANGE(""https://docs.google.com/spreadsheets/d/1B0f2xJpZUC6Z0xXnqKlZtEPzsf6L84eP1r1Q15seqRM/edit?usp=sharing"",""สุโขทัย!Q76"")+IMPORTRANGE(""https://docs.google."&amp;"com/spreadsheets/d/1v0b9pFQCsKUVExMei7AgY2yQkdeNQvtOssygGsXbiKo/edit?usp=sharing"",""อุตรดิตถ์!Q76"")+IMPORTRANGE(""https://docs.google.com/spreadsheets/d/1UsNK1e-WWiCo2PvGqdNfdme4m17_Ezd3J69EeeiQPD0/edit?usp=sharing"",""อุทัยธานี!Q76"")"),0)</f>
        <v>0</v>
      </c>
      <c r="R76" s="48">
        <f ca="1">IFERROR(__xludf.DUMMYFUNCTION("IMPORTRANGE(""https://docs.google.com/spreadsheets/d/1jTcq05yEiRwXcBMLjiodW9e4biSGYWAHcDj22rKWQ3s/edit?usp=sharing"",""กำแพงเพชร!R76"")+IMPORTRANGE(""https://docs.google.com/spreadsheets/d/1KS0zmDSZPk8KnTAbGN-Xk6MtX1YRZD0ldgdt20K4CRk/edit?usp=sharing"","""&amp;"เชียงราย!R76"")+IMPORTRANGE(""https://docs.google.com/spreadsheets/d/1rEDxBtusbi64tE0zunoIbsTVV16HeL0oJ6trHQeQ7K8/edit?usp=sharing"",""เชียงใหม่!R76"")+IMPORTRANGE(""https://docs.google.com/spreadsheets/d/1W6MnUbDkMi6xHnHko_XkFDO9kkuL6Wqyc-6OCDFjW9I/edit?"&amp;"usp=sharing"",""ตาก!R76"")+IMPORTRANGE(""https://docs.google.com/spreadsheets/d/1IQAWArduLkta9LpYo4a_ULsyqdta6-6aDDiwpUnQT6c/edit?usp=sharing"",""นครสวรรค์!R76"")+IMPORTRANGE(""https://docs.google.com/spreadsheets/d/10s13Sk5xrltsiR-Zkbmk5DwIaDIKO8XlbJAfqy"&amp;"T7Gvg/edit?usp=sharing"",""น่าน!R76"")+IMPORTRANGE(""https://docs.google.com/spreadsheets/d/1uu4nAn4Dbi1XREnLKKotUANlKXa7yCgRcgq8HEzQYW8/edit?usp=sharing"",""พะเยา!R76"")+IMPORTRANGE(""https://docs.google.com/spreadsheets/d/1xfJKIQxVOaPDIICqsflNlLu3JacTDk"&amp;"1FP9RH4phX7mI/edit?usp=sharing"",""พิจิตร!R76"")+IMPORTRANGE(""https://docs.google.com/spreadsheets/d/1JtRfZkJMHtEhI5RdRHxYUG4FIZHqKDpNyIuN7A1Q0_k/edit?usp=sharing"",""พิษณุโลก!R76"")+IMPORTRANGE(""https://docs.google.com/spreadsheets/d/1xlcVZWUNn6SuWm0c3"&amp;"07h32SiGkd9BaeQWlAktfD3KO8/edit?usp=sharing"",""เพชรบูรณ์!R76"")+IMPORTRANGE(""https://docs.google.com/spreadsheets/d/1lOVebEIsI9qjGXl6EX66luk7wiuP2tBaryw-wKvv4e0/edit?usp=sharing"",""แพร่!R76"")+IMPORTRANGE(""https://docs.google.com/spreadsheets/d/1dQrvX"&amp;"0vEcN7Gu0fnZ0B5S90AeR19zth4XlExFBeExMY/edit?usp=sharing"",""แม่ฮ่องสอน!R76"")+IMPORTRANGE(""https://docs.google.com/spreadsheets/d/1DY4XTNNwjluuxqdfdn6qvOSlMRrZqUtmYcZR0ttFiG4/edit?usp=sharing"",""ลำปาง!R76"")+IMPORTRANGE(""https://docs.google.com/spreads"&amp;"heets/d/1ICwG78r0OFT8biBlxnBF8r7she7gNSzOvJ958PWT09c/edit?usp=sharing"",""ลำพูน!R76"")+IMPORTRANGE(""https://docs.google.com/spreadsheets/d/1B0f2xJpZUC6Z0xXnqKlZtEPzsf6L84eP1r1Q15seqRM/edit?usp=sharing"",""สุโขทัย!R76"")+IMPORTRANGE(""https://docs.google."&amp;"com/spreadsheets/d/1v0b9pFQCsKUVExMei7AgY2yQkdeNQvtOssygGsXbiKo/edit?usp=sharing"",""อุตรดิตถ์!R76"")+IMPORTRANGE(""https://docs.google.com/spreadsheets/d/1UsNK1e-WWiCo2PvGqdNfdme4m17_Ezd3J69EeeiQPD0/edit?usp=sharing"",""อุทัยธานี!R76"")"),0)</f>
        <v>0</v>
      </c>
      <c r="S76" s="48">
        <f ca="1">IFERROR(__xludf.DUMMYFUNCTION("IMPORTRANGE(""https://docs.google.com/spreadsheets/d/1jTcq05yEiRwXcBMLjiodW9e4biSGYWAHcDj22rKWQ3s/edit?usp=sharing"",""กำแพงเพชร!S76"")+IMPORTRANGE(""https://docs.google.com/spreadsheets/d/1KS0zmDSZPk8KnTAbGN-Xk6MtX1YRZD0ldgdt20K4CRk/edit?usp=sharing"","""&amp;"เชียงราย!S76"")+IMPORTRANGE(""https://docs.google.com/spreadsheets/d/1rEDxBtusbi64tE0zunoIbsTVV16HeL0oJ6trHQeQ7K8/edit?usp=sharing"",""เชียงใหม่!S76"")+IMPORTRANGE(""https://docs.google.com/spreadsheets/d/1W6MnUbDkMi6xHnHko_XkFDO9kkuL6Wqyc-6OCDFjW9I/edit?"&amp;"usp=sharing"",""ตาก!S76"")+IMPORTRANGE(""https://docs.google.com/spreadsheets/d/1IQAWArduLkta9LpYo4a_ULsyqdta6-6aDDiwpUnQT6c/edit?usp=sharing"",""นครสวรรค์!S76"")+IMPORTRANGE(""https://docs.google.com/spreadsheets/d/10s13Sk5xrltsiR-Zkbmk5DwIaDIKO8XlbJAfqy"&amp;"T7Gvg/edit?usp=sharing"",""น่าน!S76"")+IMPORTRANGE(""https://docs.google.com/spreadsheets/d/1uu4nAn4Dbi1XREnLKKotUANlKXa7yCgRcgq8HEzQYW8/edit?usp=sharing"",""พะเยา!S76"")+IMPORTRANGE(""https://docs.google.com/spreadsheets/d/1xfJKIQxVOaPDIICqsflNlLu3JacTDk"&amp;"1FP9RH4phX7mI/edit?usp=sharing"",""พิจิตร!S76"")+IMPORTRANGE(""https://docs.google.com/spreadsheets/d/1JtRfZkJMHtEhI5RdRHxYUG4FIZHqKDpNyIuN7A1Q0_k/edit?usp=sharing"",""พิษณุโลก!S76"")+IMPORTRANGE(""https://docs.google.com/spreadsheets/d/1xlcVZWUNn6SuWm0c3"&amp;"07h32SiGkd9BaeQWlAktfD3KO8/edit?usp=sharing"",""เพชรบูรณ์!S76"")+IMPORTRANGE(""https://docs.google.com/spreadsheets/d/1lOVebEIsI9qjGXl6EX66luk7wiuP2tBaryw-wKvv4e0/edit?usp=sharing"",""แพร่!S76"")+IMPORTRANGE(""https://docs.google.com/spreadsheets/d/1dQrvX"&amp;"0vEcN7Gu0fnZ0B5S90AeR19zth4XlExFBeExMY/edit?usp=sharing"",""แม่ฮ่องสอน!S76"")+IMPORTRANGE(""https://docs.google.com/spreadsheets/d/1DY4XTNNwjluuxqdfdn6qvOSlMRrZqUtmYcZR0ttFiG4/edit?usp=sharing"",""ลำปาง!S76"")+IMPORTRANGE(""https://docs.google.com/spreads"&amp;"heets/d/1ICwG78r0OFT8biBlxnBF8r7she7gNSzOvJ958PWT09c/edit?usp=sharing"",""ลำพูน!S76"")+IMPORTRANGE(""https://docs.google.com/spreadsheets/d/1B0f2xJpZUC6Z0xXnqKlZtEPzsf6L84eP1r1Q15seqRM/edit?usp=sharing"",""สุโขทัย!S76"")+IMPORTRANGE(""https://docs.google."&amp;"com/spreadsheets/d/1v0b9pFQCsKUVExMei7AgY2yQkdeNQvtOssygGsXbiKo/edit?usp=sharing"",""อุตรดิตถ์!S76"")+IMPORTRANGE(""https://docs.google.com/spreadsheets/d/1UsNK1e-WWiCo2PvGqdNfdme4m17_Ezd3J69EeeiQPD0/edit?usp=sharing"",""อุทัยธานี!S76"")"),0)</f>
        <v>0</v>
      </c>
      <c r="T76" s="48">
        <f t="shared" ca="1" si="57"/>
        <v>0</v>
      </c>
      <c r="U76" s="48">
        <f t="shared" ca="1" si="58"/>
        <v>0</v>
      </c>
    </row>
    <row r="77" spans="1:21" ht="18.75" x14ac:dyDescent="0.25">
      <c r="A77" s="128"/>
      <c r="B77" s="40"/>
      <c r="C77" s="40"/>
      <c r="D77" s="40"/>
      <c r="E77" s="47" t="s">
        <v>37</v>
      </c>
      <c r="F77" s="40"/>
      <c r="G77" s="42"/>
      <c r="H77" s="134" t="s">
        <v>14</v>
      </c>
      <c r="I77" s="135"/>
      <c r="J77" s="135"/>
      <c r="K77" s="136"/>
      <c r="L77" s="46">
        <f ca="1">IFERROR(__xludf.DUMMYFUNCTION("IMPORTRANGE(""https://docs.google.com/spreadsheets/d/1jTcq05yEiRwXcBMLjiodW9e4biSGYWAHcDj22rKWQ3s/edit?usp=sharing"",""กำแพงเพชร!L77"")+IMPORTRANGE(""https://docs.google.com/spreadsheets/d/1KS0zmDSZPk8KnTAbGN-Xk6MtX1YRZD0ldgdt20K4CRk/edit?usp=sharing"","""&amp;"เชียงราย!L77"")+IMPORTRANGE(""https://docs.google.com/spreadsheets/d/1rEDxBtusbi64tE0zunoIbsTVV16HeL0oJ6trHQeQ7K8/edit?usp=sharing"",""เชียงใหม่!L77"")+IMPORTRANGE(""https://docs.google.com/spreadsheets/d/1W6MnUbDkMi6xHnHko_XkFDO9kkuL6Wqyc-6OCDFjW9I/edit?"&amp;"usp=sharing"",""ตาก!L77"")+IMPORTRANGE(""https://docs.google.com/spreadsheets/d/1IQAWArduLkta9LpYo4a_ULsyqdta6-6aDDiwpUnQT6c/edit?usp=sharing"",""นครสวรรค์!L77"")+IMPORTRANGE(""https://docs.google.com/spreadsheets/d/10s13Sk5xrltsiR-Zkbmk5DwIaDIKO8XlbJAfqy"&amp;"T7Gvg/edit?usp=sharing"",""น่าน!L77"")+IMPORTRANGE(""https://docs.google.com/spreadsheets/d/1uu4nAn4Dbi1XREnLKKotUANlKXa7yCgRcgq8HEzQYW8/edit?usp=sharing"",""พะเยา!L77"")+IMPORTRANGE(""https://docs.google.com/spreadsheets/d/1xfJKIQxVOaPDIICqsflNlLu3JacTDk"&amp;"1FP9RH4phX7mI/edit?usp=sharing"",""พิจิตร!L77"")+IMPORTRANGE(""https://docs.google.com/spreadsheets/d/1JtRfZkJMHtEhI5RdRHxYUG4FIZHqKDpNyIuN7A1Q0_k/edit?usp=sharing"",""พิษณุโลก!L77"")+IMPORTRANGE(""https://docs.google.com/spreadsheets/d/1xlcVZWUNn6SuWm0c3"&amp;"07h32SiGkd9BaeQWlAktfD3KO8/edit?usp=sharing"",""เพชรบูรณ์!L77"")+IMPORTRANGE(""https://docs.google.com/spreadsheets/d/1lOVebEIsI9qjGXl6EX66luk7wiuP2tBaryw-wKvv4e0/edit?usp=sharing"",""แพร่!L77"")+IMPORTRANGE(""https://docs.google.com/spreadsheets/d/1dQrvX"&amp;"0vEcN7Gu0fnZ0B5S90AeR19zth4XlExFBeExMY/edit?usp=sharing"",""แม่ฮ่องสอน!L77"")+IMPORTRANGE(""https://docs.google.com/spreadsheets/d/1DY4XTNNwjluuxqdfdn6qvOSlMRrZqUtmYcZR0ttFiG4/edit?usp=sharing"",""ลำปาง!L77"")+IMPORTRANGE(""https://docs.google.com/spreads"&amp;"heets/d/1ICwG78r0OFT8biBlxnBF8r7she7gNSzOvJ958PWT09c/edit?usp=sharing"",""ลำพูน!L77"")+IMPORTRANGE(""https://docs.google.com/spreadsheets/d/1B0f2xJpZUC6Z0xXnqKlZtEPzsf6L84eP1r1Q15seqRM/edit?usp=sharing"",""สุโขทัย!L77"")+IMPORTRANGE(""https://docs.google."&amp;"com/spreadsheets/d/1v0b9pFQCsKUVExMei7AgY2yQkdeNQvtOssygGsXbiKo/edit?usp=sharing"",""อุตรดิตถ์!L77"")+IMPORTRANGE(""https://docs.google.com/spreadsheets/d/1UsNK1e-WWiCo2PvGqdNfdme4m17_Ezd3J69EeeiQPD0/edit?usp=sharing"",""อุทัยธานี!L77"")"),2660000)</f>
        <v>2660000</v>
      </c>
      <c r="M77" s="46">
        <f ca="1">IFERROR(__xludf.DUMMYFUNCTION("IMPORTRANGE(""https://docs.google.com/spreadsheets/d/1jTcq05yEiRwXcBMLjiodW9e4biSGYWAHcDj22rKWQ3s/edit?usp=sharing"",""กำแพงเพชร!M77"")+IMPORTRANGE(""https://docs.google.com/spreadsheets/d/1KS0zmDSZPk8KnTAbGN-Xk6MtX1YRZD0ldgdt20K4CRk/edit?usp=sharing"","""&amp;"เชียงราย!M77"")+IMPORTRANGE(""https://docs.google.com/spreadsheets/d/1rEDxBtusbi64tE0zunoIbsTVV16HeL0oJ6trHQeQ7K8/edit?usp=sharing"",""เชียงใหม่!M77"")+IMPORTRANGE(""https://docs.google.com/spreadsheets/d/1W6MnUbDkMi6xHnHko_XkFDO9kkuL6Wqyc-6OCDFjW9I/edit?"&amp;"usp=sharing"",""ตาก!M77"")+IMPORTRANGE(""https://docs.google.com/spreadsheets/d/1IQAWArduLkta9LpYo4a_ULsyqdta6-6aDDiwpUnQT6c/edit?usp=sharing"",""นครสวรรค์!M77"")+IMPORTRANGE(""https://docs.google.com/spreadsheets/d/10s13Sk5xrltsiR-Zkbmk5DwIaDIKO8XlbJAfqy"&amp;"T7Gvg/edit?usp=sharing"",""น่าน!M77"")+IMPORTRANGE(""https://docs.google.com/spreadsheets/d/1uu4nAn4Dbi1XREnLKKotUANlKXa7yCgRcgq8HEzQYW8/edit?usp=sharing"",""พะเยา!M77"")+IMPORTRANGE(""https://docs.google.com/spreadsheets/d/1xfJKIQxVOaPDIICqsflNlLu3JacTDk"&amp;"1FP9RH4phX7mI/edit?usp=sharing"",""พิจิตร!M77"")+IMPORTRANGE(""https://docs.google.com/spreadsheets/d/1JtRfZkJMHtEhI5RdRHxYUG4FIZHqKDpNyIuN7A1Q0_k/edit?usp=sharing"",""พิษณุโลก!M77"")+IMPORTRANGE(""https://docs.google.com/spreadsheets/d/1xlcVZWUNn6SuWm0c3"&amp;"07h32SiGkd9BaeQWlAktfD3KO8/edit?usp=sharing"",""เพชรบูรณ์!M77"")+IMPORTRANGE(""https://docs.google.com/spreadsheets/d/1lOVebEIsI9qjGXl6EX66luk7wiuP2tBaryw-wKvv4e0/edit?usp=sharing"",""แพร่!M77"")+IMPORTRANGE(""https://docs.google.com/spreadsheets/d/1dQrvX"&amp;"0vEcN7Gu0fnZ0B5S90AeR19zth4XlExFBeExMY/edit?usp=sharing"",""แม่ฮ่องสอน!M77"")+IMPORTRANGE(""https://docs.google.com/spreadsheets/d/1DY4XTNNwjluuxqdfdn6qvOSlMRrZqUtmYcZR0ttFiG4/edit?usp=sharing"",""ลำปาง!M77"")+IMPORTRANGE(""https://docs.google.com/spreads"&amp;"heets/d/1ICwG78r0OFT8biBlxnBF8r7she7gNSzOvJ958PWT09c/edit?usp=sharing"",""ลำพูน!M77"")+IMPORTRANGE(""https://docs.google.com/spreadsheets/d/1B0f2xJpZUC6Z0xXnqKlZtEPzsf6L84eP1r1Q15seqRM/edit?usp=sharing"",""สุโขทัย!M77"")+IMPORTRANGE(""https://docs.google."&amp;"com/spreadsheets/d/1v0b9pFQCsKUVExMei7AgY2yQkdeNQvtOssygGsXbiKo/edit?usp=sharing"",""อุตรดิตถ์!M77"")+IMPORTRANGE(""https://docs.google.com/spreadsheets/d/1UsNK1e-WWiCo2PvGqdNfdme4m17_Ezd3J69EeeiQPD0/edit?usp=sharing"",""อุทัยธานี!M77"")"),2739132)</f>
        <v>2739132</v>
      </c>
      <c r="N77" s="46">
        <f ca="1">IFERROR(__xludf.DUMMYFUNCTION("IMPORTRANGE(""https://docs.google.com/spreadsheets/d/1jTcq05yEiRwXcBMLjiodW9e4biSGYWAHcDj22rKWQ3s/edit?usp=sharing"",""กำแพงเพชร!N77"")+IMPORTRANGE(""https://docs.google.com/spreadsheets/d/1KS0zmDSZPk8KnTAbGN-Xk6MtX1YRZD0ldgdt20K4CRk/edit?usp=sharing"","""&amp;"เชียงราย!N77"")+IMPORTRANGE(""https://docs.google.com/spreadsheets/d/1rEDxBtusbi64tE0zunoIbsTVV16HeL0oJ6trHQeQ7K8/edit?usp=sharing"",""เชียงใหม่!N77"")+IMPORTRANGE(""https://docs.google.com/spreadsheets/d/1W6MnUbDkMi6xHnHko_XkFDO9kkuL6Wqyc-6OCDFjW9I/edit?"&amp;"usp=sharing"",""ตาก!N77"")+IMPORTRANGE(""https://docs.google.com/spreadsheets/d/1IQAWArduLkta9LpYo4a_ULsyqdta6-6aDDiwpUnQT6c/edit?usp=sharing"",""นครสวรรค์!N77"")+IMPORTRANGE(""https://docs.google.com/spreadsheets/d/10s13Sk5xrltsiR-Zkbmk5DwIaDIKO8XlbJAfqy"&amp;"T7Gvg/edit?usp=sharing"",""น่าน!N77"")+IMPORTRANGE(""https://docs.google.com/spreadsheets/d/1uu4nAn4Dbi1XREnLKKotUANlKXa7yCgRcgq8HEzQYW8/edit?usp=sharing"",""พะเยา!N77"")+IMPORTRANGE(""https://docs.google.com/spreadsheets/d/1xfJKIQxVOaPDIICqsflNlLu3JacTDk"&amp;"1FP9RH4phX7mI/edit?usp=sharing"",""พิจิตร!N77"")+IMPORTRANGE(""https://docs.google.com/spreadsheets/d/1JtRfZkJMHtEhI5RdRHxYUG4FIZHqKDpNyIuN7A1Q0_k/edit?usp=sharing"",""พิษณุโลก!N77"")+IMPORTRANGE(""https://docs.google.com/spreadsheets/d/1xlcVZWUNn6SuWm0c3"&amp;"07h32SiGkd9BaeQWlAktfD3KO8/edit?usp=sharing"",""เพชรบูรณ์!N77"")+IMPORTRANGE(""https://docs.google.com/spreadsheets/d/1lOVebEIsI9qjGXl6EX66luk7wiuP2tBaryw-wKvv4e0/edit?usp=sharing"",""แพร่!N77"")+IMPORTRANGE(""https://docs.google.com/spreadsheets/d/1dQrvX"&amp;"0vEcN7Gu0fnZ0B5S90AeR19zth4XlExFBeExMY/edit?usp=sharing"",""แม่ฮ่องสอน!N77"")+IMPORTRANGE(""https://docs.google.com/spreadsheets/d/1DY4XTNNwjluuxqdfdn6qvOSlMRrZqUtmYcZR0ttFiG4/edit?usp=sharing"",""ลำปาง!N77"")+IMPORTRANGE(""https://docs.google.com/spreads"&amp;"heets/d/1ICwG78r0OFT8biBlxnBF8r7she7gNSzOvJ958PWT09c/edit?usp=sharing"",""ลำพูน!N77"")+IMPORTRANGE(""https://docs.google.com/spreadsheets/d/1B0f2xJpZUC6Z0xXnqKlZtEPzsf6L84eP1r1Q15seqRM/edit?usp=sharing"",""สุโขทัย!N77"")+IMPORTRANGE(""https://docs.google."&amp;"com/spreadsheets/d/1v0b9pFQCsKUVExMei7AgY2yQkdeNQvtOssygGsXbiKo/edit?usp=sharing"",""อุตรดิตถ์!N77"")+IMPORTRANGE(""https://docs.google.com/spreadsheets/d/1UsNK1e-WWiCo2PvGqdNfdme4m17_Ezd3J69EeeiQPD0/edit?usp=sharing"",""อุทัยธานี!N77"")"),1983346.57999999)</f>
        <v>1983346.5799999901</v>
      </c>
      <c r="O77" s="46">
        <f t="shared" ca="1" si="54"/>
        <v>74.561901503759032</v>
      </c>
      <c r="P77" s="46">
        <f t="shared" ca="1" si="55"/>
        <v>72.40784963995857</v>
      </c>
      <c r="Q77" s="46">
        <f ca="1">IFERROR(__xludf.DUMMYFUNCTION("IMPORTRANGE(""https://docs.google.com/spreadsheets/d/1jTcq05yEiRwXcBMLjiodW9e4biSGYWAHcDj22rKWQ3s/edit?usp=sharing"",""กำแพงเพชร!Q77"")+IMPORTRANGE(""https://docs.google.com/spreadsheets/d/1KS0zmDSZPk8KnTAbGN-Xk6MtX1YRZD0ldgdt20K4CRk/edit?usp=sharing"","""&amp;"เชียงราย!Q77"")+IMPORTRANGE(""https://docs.google.com/spreadsheets/d/1rEDxBtusbi64tE0zunoIbsTVV16HeL0oJ6trHQeQ7K8/edit?usp=sharing"",""เชียงใหม่!Q77"")+IMPORTRANGE(""https://docs.google.com/spreadsheets/d/1W6MnUbDkMi6xHnHko_XkFDO9kkuL6Wqyc-6OCDFjW9I/edit?"&amp;"usp=sharing"",""ตาก!Q77"")+IMPORTRANGE(""https://docs.google.com/spreadsheets/d/1IQAWArduLkta9LpYo4a_ULsyqdta6-6aDDiwpUnQT6c/edit?usp=sharing"",""นครสวรรค์!Q77"")+IMPORTRANGE(""https://docs.google.com/spreadsheets/d/10s13Sk5xrltsiR-Zkbmk5DwIaDIKO8XlbJAfqy"&amp;"T7Gvg/edit?usp=sharing"",""น่าน!Q77"")+IMPORTRANGE(""https://docs.google.com/spreadsheets/d/1uu4nAn4Dbi1XREnLKKotUANlKXa7yCgRcgq8HEzQYW8/edit?usp=sharing"",""พะเยา!Q77"")+IMPORTRANGE(""https://docs.google.com/spreadsheets/d/1xfJKIQxVOaPDIICqsflNlLu3JacTDk"&amp;"1FP9RH4phX7mI/edit?usp=sharing"",""พิจิตร!Q77"")+IMPORTRANGE(""https://docs.google.com/spreadsheets/d/1JtRfZkJMHtEhI5RdRHxYUG4FIZHqKDpNyIuN7A1Q0_k/edit?usp=sharing"",""พิษณุโลก!Q77"")+IMPORTRANGE(""https://docs.google.com/spreadsheets/d/1xlcVZWUNn6SuWm0c3"&amp;"07h32SiGkd9BaeQWlAktfD3KO8/edit?usp=sharing"",""เพชรบูรณ์!Q77"")+IMPORTRANGE(""https://docs.google.com/spreadsheets/d/1lOVebEIsI9qjGXl6EX66luk7wiuP2tBaryw-wKvv4e0/edit?usp=sharing"",""แพร่!Q77"")+IMPORTRANGE(""https://docs.google.com/spreadsheets/d/1dQrvX"&amp;"0vEcN7Gu0fnZ0B5S90AeR19zth4XlExFBeExMY/edit?usp=sharing"",""แม่ฮ่องสอน!Q77"")+IMPORTRANGE(""https://docs.google.com/spreadsheets/d/1DY4XTNNwjluuxqdfdn6qvOSlMRrZqUtmYcZR0ttFiG4/edit?usp=sharing"",""ลำปาง!Q77"")+IMPORTRANGE(""https://docs.google.com/spreads"&amp;"heets/d/1ICwG78r0OFT8biBlxnBF8r7she7gNSzOvJ958PWT09c/edit?usp=sharing"",""ลำพูน!Q77"")+IMPORTRANGE(""https://docs.google.com/spreadsheets/d/1B0f2xJpZUC6Z0xXnqKlZtEPzsf6L84eP1r1Q15seqRM/edit?usp=sharing"",""สุโขทัย!Q77"")+IMPORTRANGE(""https://docs.google."&amp;"com/spreadsheets/d/1v0b9pFQCsKUVExMei7AgY2yQkdeNQvtOssygGsXbiKo/edit?usp=sharing"",""อุตรดิตถ์!Q77"")+IMPORTRANGE(""https://docs.google.com/spreadsheets/d/1UsNK1e-WWiCo2PvGqdNfdme4m17_Ezd3J69EeeiQPD0/edit?usp=sharing"",""อุทัยธานี!Q77"")"),8103210)</f>
        <v>8103210</v>
      </c>
      <c r="R77" s="46">
        <f ca="1">IFERROR(__xludf.DUMMYFUNCTION("IMPORTRANGE(""https://docs.google.com/spreadsheets/d/1jTcq05yEiRwXcBMLjiodW9e4biSGYWAHcDj22rKWQ3s/edit?usp=sharing"",""กำแพงเพชร!R77"")+IMPORTRANGE(""https://docs.google.com/spreadsheets/d/1KS0zmDSZPk8KnTAbGN-Xk6MtX1YRZD0ldgdt20K4CRk/edit?usp=sharing"","""&amp;"เชียงราย!R77"")+IMPORTRANGE(""https://docs.google.com/spreadsheets/d/1rEDxBtusbi64tE0zunoIbsTVV16HeL0oJ6trHQeQ7K8/edit?usp=sharing"",""เชียงใหม่!R77"")+IMPORTRANGE(""https://docs.google.com/spreadsheets/d/1W6MnUbDkMi6xHnHko_XkFDO9kkuL6Wqyc-6OCDFjW9I/edit?"&amp;"usp=sharing"",""ตาก!R77"")+IMPORTRANGE(""https://docs.google.com/spreadsheets/d/1IQAWArduLkta9LpYo4a_ULsyqdta6-6aDDiwpUnQT6c/edit?usp=sharing"",""นครสวรรค์!R77"")+IMPORTRANGE(""https://docs.google.com/spreadsheets/d/10s13Sk5xrltsiR-Zkbmk5DwIaDIKO8XlbJAfqy"&amp;"T7Gvg/edit?usp=sharing"",""น่าน!R77"")+IMPORTRANGE(""https://docs.google.com/spreadsheets/d/1uu4nAn4Dbi1XREnLKKotUANlKXa7yCgRcgq8HEzQYW8/edit?usp=sharing"",""พะเยา!R77"")+IMPORTRANGE(""https://docs.google.com/spreadsheets/d/1xfJKIQxVOaPDIICqsflNlLu3JacTDk"&amp;"1FP9RH4phX7mI/edit?usp=sharing"",""พิจิตร!R77"")+IMPORTRANGE(""https://docs.google.com/spreadsheets/d/1JtRfZkJMHtEhI5RdRHxYUG4FIZHqKDpNyIuN7A1Q0_k/edit?usp=sharing"",""พิษณุโลก!R77"")+IMPORTRANGE(""https://docs.google.com/spreadsheets/d/1xlcVZWUNn6SuWm0c3"&amp;"07h32SiGkd9BaeQWlAktfD3KO8/edit?usp=sharing"",""เพชรบูรณ์!R77"")+IMPORTRANGE(""https://docs.google.com/spreadsheets/d/1lOVebEIsI9qjGXl6EX66luk7wiuP2tBaryw-wKvv4e0/edit?usp=sharing"",""แพร่!R77"")+IMPORTRANGE(""https://docs.google.com/spreadsheets/d/1dQrvX"&amp;"0vEcN7Gu0fnZ0B5S90AeR19zth4XlExFBeExMY/edit?usp=sharing"",""แม่ฮ่องสอน!R77"")+IMPORTRANGE(""https://docs.google.com/spreadsheets/d/1DY4XTNNwjluuxqdfdn6qvOSlMRrZqUtmYcZR0ttFiG4/edit?usp=sharing"",""ลำปาง!R77"")+IMPORTRANGE(""https://docs.google.com/spreads"&amp;"heets/d/1ICwG78r0OFT8biBlxnBF8r7she7gNSzOvJ958PWT09c/edit?usp=sharing"",""ลำพูน!R77"")+IMPORTRANGE(""https://docs.google.com/spreadsheets/d/1B0f2xJpZUC6Z0xXnqKlZtEPzsf6L84eP1r1Q15seqRM/edit?usp=sharing"",""สุโขทัย!R77"")+IMPORTRANGE(""https://docs.google."&amp;"com/spreadsheets/d/1v0b9pFQCsKUVExMei7AgY2yQkdeNQvtOssygGsXbiKo/edit?usp=sharing"",""อุตรดิตถ์!R77"")+IMPORTRANGE(""https://docs.google.com/spreadsheets/d/1UsNK1e-WWiCo2PvGqdNfdme4m17_Ezd3J69EeeiQPD0/edit?usp=sharing"",""อุทัยธานี!R77"")"),8103210)</f>
        <v>8103210</v>
      </c>
      <c r="S77" s="46">
        <f ca="1">IFERROR(__xludf.DUMMYFUNCTION("IMPORTRANGE(""https://docs.google.com/spreadsheets/d/1jTcq05yEiRwXcBMLjiodW9e4biSGYWAHcDj22rKWQ3s/edit?usp=sharing"",""กำแพงเพชร!S77"")+IMPORTRANGE(""https://docs.google.com/spreadsheets/d/1KS0zmDSZPk8KnTAbGN-Xk6MtX1YRZD0ldgdt20K4CRk/edit?usp=sharing"","""&amp;"เชียงราย!S77"")+IMPORTRANGE(""https://docs.google.com/spreadsheets/d/1rEDxBtusbi64tE0zunoIbsTVV16HeL0oJ6trHQeQ7K8/edit?usp=sharing"",""เชียงใหม่!S77"")+IMPORTRANGE(""https://docs.google.com/spreadsheets/d/1W6MnUbDkMi6xHnHko_XkFDO9kkuL6Wqyc-6OCDFjW9I/edit?"&amp;"usp=sharing"",""ตาก!S77"")+IMPORTRANGE(""https://docs.google.com/spreadsheets/d/1IQAWArduLkta9LpYo4a_ULsyqdta6-6aDDiwpUnQT6c/edit?usp=sharing"",""นครสวรรค์!S77"")+IMPORTRANGE(""https://docs.google.com/spreadsheets/d/10s13Sk5xrltsiR-Zkbmk5DwIaDIKO8XlbJAfqy"&amp;"T7Gvg/edit?usp=sharing"",""น่าน!S77"")+IMPORTRANGE(""https://docs.google.com/spreadsheets/d/1uu4nAn4Dbi1XREnLKKotUANlKXa7yCgRcgq8HEzQYW8/edit?usp=sharing"",""พะเยา!S77"")+IMPORTRANGE(""https://docs.google.com/spreadsheets/d/1xfJKIQxVOaPDIICqsflNlLu3JacTDk"&amp;"1FP9RH4phX7mI/edit?usp=sharing"",""พิจิตร!S77"")+IMPORTRANGE(""https://docs.google.com/spreadsheets/d/1JtRfZkJMHtEhI5RdRHxYUG4FIZHqKDpNyIuN7A1Q0_k/edit?usp=sharing"",""พิษณุโลก!S77"")+IMPORTRANGE(""https://docs.google.com/spreadsheets/d/1xlcVZWUNn6SuWm0c3"&amp;"07h32SiGkd9BaeQWlAktfD3KO8/edit?usp=sharing"",""เพชรบูรณ์!S77"")+IMPORTRANGE(""https://docs.google.com/spreadsheets/d/1lOVebEIsI9qjGXl6EX66luk7wiuP2tBaryw-wKvv4e0/edit?usp=sharing"",""แพร่!S77"")+IMPORTRANGE(""https://docs.google.com/spreadsheets/d/1dQrvX"&amp;"0vEcN7Gu0fnZ0B5S90AeR19zth4XlExFBeExMY/edit?usp=sharing"",""แม่ฮ่องสอน!S77"")+IMPORTRANGE(""https://docs.google.com/spreadsheets/d/1DY4XTNNwjluuxqdfdn6qvOSlMRrZqUtmYcZR0ttFiG4/edit?usp=sharing"",""ลำปาง!S77"")+IMPORTRANGE(""https://docs.google.com/spreads"&amp;"heets/d/1ICwG78r0OFT8biBlxnBF8r7she7gNSzOvJ958PWT09c/edit?usp=sharing"",""ลำพูน!S77"")+IMPORTRANGE(""https://docs.google.com/spreadsheets/d/1B0f2xJpZUC6Z0xXnqKlZtEPzsf6L84eP1r1Q15seqRM/edit?usp=sharing"",""สุโขทัย!S77"")+IMPORTRANGE(""https://docs.google."&amp;"com/spreadsheets/d/1v0b9pFQCsKUVExMei7AgY2yQkdeNQvtOssygGsXbiKo/edit?usp=sharing"",""อุตรดิตถ์!S77"")+IMPORTRANGE(""https://docs.google.com/spreadsheets/d/1UsNK1e-WWiCo2PvGqdNfdme4m17_Ezd3J69EeeiQPD0/edit?usp=sharing"",""อุทัยธานี!S77"")"),1013968.5)</f>
        <v>1013968.5</v>
      </c>
      <c r="T77" s="46">
        <f t="shared" ca="1" si="57"/>
        <v>12.51317070642375</v>
      </c>
      <c r="U77" s="46">
        <f t="shared" ca="1" si="58"/>
        <v>12.51317070642375</v>
      </c>
    </row>
    <row r="78" spans="1:21" ht="18.75" x14ac:dyDescent="0.25">
      <c r="A78" s="128"/>
      <c r="B78" s="40"/>
      <c r="C78" s="40"/>
      <c r="D78" s="41" t="s">
        <v>23</v>
      </c>
      <c r="E78" s="40"/>
      <c r="F78" s="40"/>
      <c r="G78" s="42"/>
      <c r="H78" s="137" t="s">
        <v>14</v>
      </c>
      <c r="I78" s="135"/>
      <c r="J78" s="135"/>
      <c r="K78" s="136"/>
      <c r="L78" s="46">
        <f t="shared" ref="L78:N78" ca="1" si="65">L79+L80</f>
        <v>0</v>
      </c>
      <c r="M78" s="46">
        <f t="shared" ca="1" si="65"/>
        <v>0</v>
      </c>
      <c r="N78" s="46">
        <f t="shared" ca="1" si="65"/>
        <v>0</v>
      </c>
      <c r="O78" s="46">
        <f t="shared" ca="1" si="54"/>
        <v>0</v>
      </c>
      <c r="P78" s="46">
        <f t="shared" ca="1" si="55"/>
        <v>0</v>
      </c>
      <c r="Q78" s="46">
        <f t="shared" ref="Q78:S78" ca="1" si="66">Q79+Q80</f>
        <v>1132523</v>
      </c>
      <c r="R78" s="46">
        <f t="shared" ca="1" si="66"/>
        <v>1132523</v>
      </c>
      <c r="S78" s="46">
        <f t="shared" ca="1" si="66"/>
        <v>298000</v>
      </c>
      <c r="T78" s="46">
        <f t="shared" ca="1" si="57"/>
        <v>26.312931393004821</v>
      </c>
      <c r="U78" s="46">
        <f t="shared" ca="1" si="58"/>
        <v>26.312931393004821</v>
      </c>
    </row>
    <row r="79" spans="1:21" ht="18.75" x14ac:dyDescent="0.25">
      <c r="A79" s="128"/>
      <c r="B79" s="40"/>
      <c r="C79" s="40"/>
      <c r="D79" s="40"/>
      <c r="E79" s="47" t="s">
        <v>20</v>
      </c>
      <c r="F79" s="40"/>
      <c r="G79" s="42"/>
      <c r="H79" s="134" t="s">
        <v>14</v>
      </c>
      <c r="I79" s="135"/>
      <c r="J79" s="135"/>
      <c r="K79" s="136"/>
      <c r="L79" s="46">
        <f ca="1">IFERROR(__xludf.DUMMYFUNCTION("IMPORTRANGE(""https://docs.google.com/spreadsheets/d/1jTcq05yEiRwXcBMLjiodW9e4biSGYWAHcDj22rKWQ3s/edit?usp=sharing"",""กำแพงเพชร!L79"")+IMPORTRANGE(""https://docs.google.com/spreadsheets/d/1KS0zmDSZPk8KnTAbGN-Xk6MtX1YRZD0ldgdt20K4CRk/edit?usp=sharing"","""&amp;"เชียงราย!L79"")+IMPORTRANGE(""https://docs.google.com/spreadsheets/d/1rEDxBtusbi64tE0zunoIbsTVV16HeL0oJ6trHQeQ7K8/edit?usp=sharing"",""เชียงใหม่!L79"")+IMPORTRANGE(""https://docs.google.com/spreadsheets/d/1W6MnUbDkMi6xHnHko_XkFDO9kkuL6Wqyc-6OCDFjW9I/edit?"&amp;"usp=sharing"",""ตาก!L79"")+IMPORTRANGE(""https://docs.google.com/spreadsheets/d/1IQAWArduLkta9LpYo4a_ULsyqdta6-6aDDiwpUnQT6c/edit?usp=sharing"",""นครสวรรค์!L79"")+IMPORTRANGE(""https://docs.google.com/spreadsheets/d/10s13Sk5xrltsiR-Zkbmk5DwIaDIKO8XlbJAfqy"&amp;"T7Gvg/edit?usp=sharing"",""น่าน!L79"")+IMPORTRANGE(""https://docs.google.com/spreadsheets/d/1uu4nAn4Dbi1XREnLKKotUANlKXa7yCgRcgq8HEzQYW8/edit?usp=sharing"",""พะเยา!L79"")+IMPORTRANGE(""https://docs.google.com/spreadsheets/d/1xfJKIQxVOaPDIICqsflNlLu3JacTDk"&amp;"1FP9RH4phX7mI/edit?usp=sharing"",""พิจิตร!L79"")+IMPORTRANGE(""https://docs.google.com/spreadsheets/d/1JtRfZkJMHtEhI5RdRHxYUG4FIZHqKDpNyIuN7A1Q0_k/edit?usp=sharing"",""พิษณุโลก!L79"")+IMPORTRANGE(""https://docs.google.com/spreadsheets/d/1xlcVZWUNn6SuWm0c3"&amp;"07h32SiGkd9BaeQWlAktfD3KO8/edit?usp=sharing"",""เพชรบูรณ์!L79"")+IMPORTRANGE(""https://docs.google.com/spreadsheets/d/1lOVebEIsI9qjGXl6EX66luk7wiuP2tBaryw-wKvv4e0/edit?usp=sharing"",""แพร่!L79"")+IMPORTRANGE(""https://docs.google.com/spreadsheets/d/1dQrvX"&amp;"0vEcN7Gu0fnZ0B5S90AeR19zth4XlExFBeExMY/edit?usp=sharing"",""แม่ฮ่องสอน!L79"")+IMPORTRANGE(""https://docs.google.com/spreadsheets/d/1DY4XTNNwjluuxqdfdn6qvOSlMRrZqUtmYcZR0ttFiG4/edit?usp=sharing"",""ลำปาง!L79"")+IMPORTRANGE(""https://docs.google.com/spreads"&amp;"heets/d/1ICwG78r0OFT8biBlxnBF8r7she7gNSzOvJ958PWT09c/edit?usp=sharing"",""ลำพูน!L79"")+IMPORTRANGE(""https://docs.google.com/spreadsheets/d/1B0f2xJpZUC6Z0xXnqKlZtEPzsf6L84eP1r1Q15seqRM/edit?usp=sharing"",""สุโขทัย!L79"")+IMPORTRANGE(""https://docs.google."&amp;"com/spreadsheets/d/1v0b9pFQCsKUVExMei7AgY2yQkdeNQvtOssygGsXbiKo/edit?usp=sharing"",""อุตรดิตถ์!L79"")+IMPORTRANGE(""https://docs.google.com/spreadsheets/d/1UsNK1e-WWiCo2PvGqdNfdme4m17_Ezd3J69EeeiQPD0/edit?usp=sharing"",""อุทัยธานี!L79"")"),0)</f>
        <v>0</v>
      </c>
      <c r="M79" s="46">
        <f ca="1">IFERROR(__xludf.DUMMYFUNCTION("IMPORTRANGE(""https://docs.google.com/spreadsheets/d/1jTcq05yEiRwXcBMLjiodW9e4biSGYWAHcDj22rKWQ3s/edit?usp=sharing"",""กำแพงเพชร!M79"")+IMPORTRANGE(""https://docs.google.com/spreadsheets/d/1KS0zmDSZPk8KnTAbGN-Xk6MtX1YRZD0ldgdt20K4CRk/edit?usp=sharing"","""&amp;"เชียงราย!M79"")+IMPORTRANGE(""https://docs.google.com/spreadsheets/d/1rEDxBtusbi64tE0zunoIbsTVV16HeL0oJ6trHQeQ7K8/edit?usp=sharing"",""เชียงใหม่!M79"")+IMPORTRANGE(""https://docs.google.com/spreadsheets/d/1W6MnUbDkMi6xHnHko_XkFDO9kkuL6Wqyc-6OCDFjW9I/edit?"&amp;"usp=sharing"",""ตาก!M79"")+IMPORTRANGE(""https://docs.google.com/spreadsheets/d/1IQAWArduLkta9LpYo4a_ULsyqdta6-6aDDiwpUnQT6c/edit?usp=sharing"",""นครสวรรค์!M79"")+IMPORTRANGE(""https://docs.google.com/spreadsheets/d/10s13Sk5xrltsiR-Zkbmk5DwIaDIKO8XlbJAfqy"&amp;"T7Gvg/edit?usp=sharing"",""น่าน!M79"")+IMPORTRANGE(""https://docs.google.com/spreadsheets/d/1uu4nAn4Dbi1XREnLKKotUANlKXa7yCgRcgq8HEzQYW8/edit?usp=sharing"",""พะเยา!M79"")+IMPORTRANGE(""https://docs.google.com/spreadsheets/d/1xfJKIQxVOaPDIICqsflNlLu3JacTDk"&amp;"1FP9RH4phX7mI/edit?usp=sharing"",""พิจิตร!M79"")+IMPORTRANGE(""https://docs.google.com/spreadsheets/d/1JtRfZkJMHtEhI5RdRHxYUG4FIZHqKDpNyIuN7A1Q0_k/edit?usp=sharing"",""พิษณุโลก!M79"")+IMPORTRANGE(""https://docs.google.com/spreadsheets/d/1xlcVZWUNn6SuWm0c3"&amp;"07h32SiGkd9BaeQWlAktfD3KO8/edit?usp=sharing"",""เพชรบูรณ์!M79"")+IMPORTRANGE(""https://docs.google.com/spreadsheets/d/1lOVebEIsI9qjGXl6EX66luk7wiuP2tBaryw-wKvv4e0/edit?usp=sharing"",""แพร่!M79"")+IMPORTRANGE(""https://docs.google.com/spreadsheets/d/1dQrvX"&amp;"0vEcN7Gu0fnZ0B5S90AeR19zth4XlExFBeExMY/edit?usp=sharing"",""แม่ฮ่องสอน!M79"")+IMPORTRANGE(""https://docs.google.com/spreadsheets/d/1DY4XTNNwjluuxqdfdn6qvOSlMRrZqUtmYcZR0ttFiG4/edit?usp=sharing"",""ลำปาง!M79"")+IMPORTRANGE(""https://docs.google.com/spreads"&amp;"heets/d/1ICwG78r0OFT8biBlxnBF8r7she7gNSzOvJ958PWT09c/edit?usp=sharing"",""ลำพูน!M79"")+IMPORTRANGE(""https://docs.google.com/spreadsheets/d/1B0f2xJpZUC6Z0xXnqKlZtEPzsf6L84eP1r1Q15seqRM/edit?usp=sharing"",""สุโขทัย!M79"")+IMPORTRANGE(""https://docs.google."&amp;"com/spreadsheets/d/1v0b9pFQCsKUVExMei7AgY2yQkdeNQvtOssygGsXbiKo/edit?usp=sharing"",""อุตรดิตถ์!M79"")+IMPORTRANGE(""https://docs.google.com/spreadsheets/d/1UsNK1e-WWiCo2PvGqdNfdme4m17_Ezd3J69EeeiQPD0/edit?usp=sharing"",""อุทัยธานี!M79"")"),0)</f>
        <v>0</v>
      </c>
      <c r="N79" s="46">
        <f ca="1">IFERROR(__xludf.DUMMYFUNCTION("IMPORTRANGE(""https://docs.google.com/spreadsheets/d/1jTcq05yEiRwXcBMLjiodW9e4biSGYWAHcDj22rKWQ3s/edit?usp=sharing"",""กำแพงเพชร!N79"")+IMPORTRANGE(""https://docs.google.com/spreadsheets/d/1KS0zmDSZPk8KnTAbGN-Xk6MtX1YRZD0ldgdt20K4CRk/edit?usp=sharing"","""&amp;"เชียงราย!N79"")+IMPORTRANGE(""https://docs.google.com/spreadsheets/d/1rEDxBtusbi64tE0zunoIbsTVV16HeL0oJ6trHQeQ7K8/edit?usp=sharing"",""เชียงใหม่!N79"")+IMPORTRANGE(""https://docs.google.com/spreadsheets/d/1W6MnUbDkMi6xHnHko_XkFDO9kkuL6Wqyc-6OCDFjW9I/edit?"&amp;"usp=sharing"",""ตาก!N79"")+IMPORTRANGE(""https://docs.google.com/spreadsheets/d/1IQAWArduLkta9LpYo4a_ULsyqdta6-6aDDiwpUnQT6c/edit?usp=sharing"",""นครสวรรค์!N79"")+IMPORTRANGE(""https://docs.google.com/spreadsheets/d/10s13Sk5xrltsiR-Zkbmk5DwIaDIKO8XlbJAfqy"&amp;"T7Gvg/edit?usp=sharing"",""น่าน!N79"")+IMPORTRANGE(""https://docs.google.com/spreadsheets/d/1uu4nAn4Dbi1XREnLKKotUANlKXa7yCgRcgq8HEzQYW8/edit?usp=sharing"",""พะเยา!N79"")+IMPORTRANGE(""https://docs.google.com/spreadsheets/d/1xfJKIQxVOaPDIICqsflNlLu3JacTDk"&amp;"1FP9RH4phX7mI/edit?usp=sharing"",""พิจิตร!N79"")+IMPORTRANGE(""https://docs.google.com/spreadsheets/d/1JtRfZkJMHtEhI5RdRHxYUG4FIZHqKDpNyIuN7A1Q0_k/edit?usp=sharing"",""พิษณุโลก!N79"")+IMPORTRANGE(""https://docs.google.com/spreadsheets/d/1xlcVZWUNn6SuWm0c3"&amp;"07h32SiGkd9BaeQWlAktfD3KO8/edit?usp=sharing"",""เพชรบูรณ์!N79"")+IMPORTRANGE(""https://docs.google.com/spreadsheets/d/1lOVebEIsI9qjGXl6EX66luk7wiuP2tBaryw-wKvv4e0/edit?usp=sharing"",""แพร่!N79"")+IMPORTRANGE(""https://docs.google.com/spreadsheets/d/1dQrvX"&amp;"0vEcN7Gu0fnZ0B5S90AeR19zth4XlExFBeExMY/edit?usp=sharing"",""แม่ฮ่องสอน!N79"")+IMPORTRANGE(""https://docs.google.com/spreadsheets/d/1DY4XTNNwjluuxqdfdn6qvOSlMRrZqUtmYcZR0ttFiG4/edit?usp=sharing"",""ลำปาง!N79"")+IMPORTRANGE(""https://docs.google.com/spreads"&amp;"heets/d/1ICwG78r0OFT8biBlxnBF8r7she7gNSzOvJ958PWT09c/edit?usp=sharing"",""ลำพูน!N79"")+IMPORTRANGE(""https://docs.google.com/spreadsheets/d/1B0f2xJpZUC6Z0xXnqKlZtEPzsf6L84eP1r1Q15seqRM/edit?usp=sharing"",""สุโขทัย!N79"")+IMPORTRANGE(""https://docs.google."&amp;"com/spreadsheets/d/1v0b9pFQCsKUVExMei7AgY2yQkdeNQvtOssygGsXbiKo/edit?usp=sharing"",""อุตรดิตถ์!N79"")+IMPORTRANGE(""https://docs.google.com/spreadsheets/d/1UsNK1e-WWiCo2PvGqdNfdme4m17_Ezd3J69EeeiQPD0/edit?usp=sharing"",""อุทัยธานี!N79"")"),0)</f>
        <v>0</v>
      </c>
      <c r="O79" s="46">
        <f t="shared" ca="1" si="54"/>
        <v>0</v>
      </c>
      <c r="P79" s="46">
        <f t="shared" ca="1" si="55"/>
        <v>0</v>
      </c>
      <c r="Q79" s="48">
        <f ca="1">IFERROR(__xludf.DUMMYFUNCTION("IMPORTRANGE(""https://docs.google.com/spreadsheets/d/1jTcq05yEiRwXcBMLjiodW9e4biSGYWAHcDj22rKWQ3s/edit?usp=sharing"",""กำแพงเพชร!Q79"")+IMPORTRANGE(""https://docs.google.com/spreadsheets/d/1KS0zmDSZPk8KnTAbGN-Xk6MtX1YRZD0ldgdt20K4CRk/edit?usp=sharing"","""&amp;"เชียงราย!Q79"")+IMPORTRANGE(""https://docs.google.com/spreadsheets/d/1rEDxBtusbi64tE0zunoIbsTVV16HeL0oJ6trHQeQ7K8/edit?usp=sharing"",""เชียงใหม่!Q79"")+IMPORTRANGE(""https://docs.google.com/spreadsheets/d/1W6MnUbDkMi6xHnHko_XkFDO9kkuL6Wqyc-6OCDFjW9I/edit?"&amp;"usp=sharing"",""ตาก!Q79"")+IMPORTRANGE(""https://docs.google.com/spreadsheets/d/1IQAWArduLkta9LpYo4a_ULsyqdta6-6aDDiwpUnQT6c/edit?usp=sharing"",""นครสวรรค์!Q79"")+IMPORTRANGE(""https://docs.google.com/spreadsheets/d/10s13Sk5xrltsiR-Zkbmk5DwIaDIKO8XlbJAfqy"&amp;"T7Gvg/edit?usp=sharing"",""น่าน!Q79"")+IMPORTRANGE(""https://docs.google.com/spreadsheets/d/1uu4nAn4Dbi1XREnLKKotUANlKXa7yCgRcgq8HEzQYW8/edit?usp=sharing"",""พะเยา!Q79"")+IMPORTRANGE(""https://docs.google.com/spreadsheets/d/1xfJKIQxVOaPDIICqsflNlLu3JacTDk"&amp;"1FP9RH4phX7mI/edit?usp=sharing"",""พิจิตร!Q79"")+IMPORTRANGE(""https://docs.google.com/spreadsheets/d/1JtRfZkJMHtEhI5RdRHxYUG4FIZHqKDpNyIuN7A1Q0_k/edit?usp=sharing"",""พิษณุโลก!Q79"")+IMPORTRANGE(""https://docs.google.com/spreadsheets/d/1xlcVZWUNn6SuWm0c3"&amp;"07h32SiGkd9BaeQWlAktfD3KO8/edit?usp=sharing"",""เพชรบูรณ์!Q79"")+IMPORTRANGE(""https://docs.google.com/spreadsheets/d/1lOVebEIsI9qjGXl6EX66luk7wiuP2tBaryw-wKvv4e0/edit?usp=sharing"",""แพร่!Q79"")+IMPORTRANGE(""https://docs.google.com/spreadsheets/d/1dQrvX"&amp;"0vEcN7Gu0fnZ0B5S90AeR19zth4XlExFBeExMY/edit?usp=sharing"",""แม่ฮ่องสอน!Q79"")+IMPORTRANGE(""https://docs.google.com/spreadsheets/d/1DY4XTNNwjluuxqdfdn6qvOSlMRrZqUtmYcZR0ttFiG4/edit?usp=sharing"",""ลำปาง!Q79"")+IMPORTRANGE(""https://docs.google.com/spreads"&amp;"heets/d/1ICwG78r0OFT8biBlxnBF8r7she7gNSzOvJ958PWT09c/edit?usp=sharing"",""ลำพูน!Q79"")+IMPORTRANGE(""https://docs.google.com/spreadsheets/d/1B0f2xJpZUC6Z0xXnqKlZtEPzsf6L84eP1r1Q15seqRM/edit?usp=sharing"",""สุโขทัย!Q79"")+IMPORTRANGE(""https://docs.google."&amp;"com/spreadsheets/d/1v0b9pFQCsKUVExMei7AgY2yQkdeNQvtOssygGsXbiKo/edit?usp=sharing"",""อุตรดิตถ์!Q79"")+IMPORTRANGE(""https://docs.google.com/spreadsheets/d/1UsNK1e-WWiCo2PvGqdNfdme4m17_Ezd3J69EeeiQPD0/edit?usp=sharing"",""อุทัยธานี!Q79"")"),0)</f>
        <v>0</v>
      </c>
      <c r="R79" s="48">
        <f ca="1">IFERROR(__xludf.DUMMYFUNCTION("IMPORTRANGE(""https://docs.google.com/spreadsheets/d/1jTcq05yEiRwXcBMLjiodW9e4biSGYWAHcDj22rKWQ3s/edit?usp=sharing"",""กำแพงเพชร!R79"")+IMPORTRANGE(""https://docs.google.com/spreadsheets/d/1KS0zmDSZPk8KnTAbGN-Xk6MtX1YRZD0ldgdt20K4CRk/edit?usp=sharing"","""&amp;"เชียงราย!R79"")+IMPORTRANGE(""https://docs.google.com/spreadsheets/d/1rEDxBtusbi64tE0zunoIbsTVV16HeL0oJ6trHQeQ7K8/edit?usp=sharing"",""เชียงใหม่!R79"")+IMPORTRANGE(""https://docs.google.com/spreadsheets/d/1W6MnUbDkMi6xHnHko_XkFDO9kkuL6Wqyc-6OCDFjW9I/edit?"&amp;"usp=sharing"",""ตาก!R79"")+IMPORTRANGE(""https://docs.google.com/spreadsheets/d/1IQAWArduLkta9LpYo4a_ULsyqdta6-6aDDiwpUnQT6c/edit?usp=sharing"",""นครสวรรค์!R79"")+IMPORTRANGE(""https://docs.google.com/spreadsheets/d/10s13Sk5xrltsiR-Zkbmk5DwIaDIKO8XlbJAfqy"&amp;"T7Gvg/edit?usp=sharing"",""น่าน!R79"")+IMPORTRANGE(""https://docs.google.com/spreadsheets/d/1uu4nAn4Dbi1XREnLKKotUANlKXa7yCgRcgq8HEzQYW8/edit?usp=sharing"",""พะเยา!R79"")+IMPORTRANGE(""https://docs.google.com/spreadsheets/d/1xfJKIQxVOaPDIICqsflNlLu3JacTDk"&amp;"1FP9RH4phX7mI/edit?usp=sharing"",""พิจิตร!R79"")+IMPORTRANGE(""https://docs.google.com/spreadsheets/d/1JtRfZkJMHtEhI5RdRHxYUG4FIZHqKDpNyIuN7A1Q0_k/edit?usp=sharing"",""พิษณุโลก!R79"")+IMPORTRANGE(""https://docs.google.com/spreadsheets/d/1xlcVZWUNn6SuWm0c3"&amp;"07h32SiGkd9BaeQWlAktfD3KO8/edit?usp=sharing"",""เพชรบูรณ์!R79"")+IMPORTRANGE(""https://docs.google.com/spreadsheets/d/1lOVebEIsI9qjGXl6EX66luk7wiuP2tBaryw-wKvv4e0/edit?usp=sharing"",""แพร่!R79"")+IMPORTRANGE(""https://docs.google.com/spreadsheets/d/1dQrvX"&amp;"0vEcN7Gu0fnZ0B5S90AeR19zth4XlExFBeExMY/edit?usp=sharing"",""แม่ฮ่องสอน!R79"")+IMPORTRANGE(""https://docs.google.com/spreadsheets/d/1DY4XTNNwjluuxqdfdn6qvOSlMRrZqUtmYcZR0ttFiG4/edit?usp=sharing"",""ลำปาง!R79"")+IMPORTRANGE(""https://docs.google.com/spreads"&amp;"heets/d/1ICwG78r0OFT8biBlxnBF8r7she7gNSzOvJ958PWT09c/edit?usp=sharing"",""ลำพูน!R79"")+IMPORTRANGE(""https://docs.google.com/spreadsheets/d/1B0f2xJpZUC6Z0xXnqKlZtEPzsf6L84eP1r1Q15seqRM/edit?usp=sharing"",""สุโขทัย!R79"")+IMPORTRANGE(""https://docs.google."&amp;"com/spreadsheets/d/1v0b9pFQCsKUVExMei7AgY2yQkdeNQvtOssygGsXbiKo/edit?usp=sharing"",""อุตรดิตถ์!R79"")+IMPORTRANGE(""https://docs.google.com/spreadsheets/d/1UsNK1e-WWiCo2PvGqdNfdme4m17_Ezd3J69EeeiQPD0/edit?usp=sharing"",""อุทัยธานี!R79"")"),0)</f>
        <v>0</v>
      </c>
      <c r="S79" s="48">
        <f ca="1">IFERROR(__xludf.DUMMYFUNCTION("IMPORTRANGE(""https://docs.google.com/spreadsheets/d/1jTcq05yEiRwXcBMLjiodW9e4biSGYWAHcDj22rKWQ3s/edit?usp=sharing"",""กำแพงเพชร!S79"")+IMPORTRANGE(""https://docs.google.com/spreadsheets/d/1KS0zmDSZPk8KnTAbGN-Xk6MtX1YRZD0ldgdt20K4CRk/edit?usp=sharing"","""&amp;"เชียงราย!S79"")+IMPORTRANGE(""https://docs.google.com/spreadsheets/d/1rEDxBtusbi64tE0zunoIbsTVV16HeL0oJ6trHQeQ7K8/edit?usp=sharing"",""เชียงใหม่!S79"")+IMPORTRANGE(""https://docs.google.com/spreadsheets/d/1W6MnUbDkMi6xHnHko_XkFDO9kkuL6Wqyc-6OCDFjW9I/edit?"&amp;"usp=sharing"",""ตาก!S79"")+IMPORTRANGE(""https://docs.google.com/spreadsheets/d/1IQAWArduLkta9LpYo4a_ULsyqdta6-6aDDiwpUnQT6c/edit?usp=sharing"",""นครสวรรค์!S79"")+IMPORTRANGE(""https://docs.google.com/spreadsheets/d/10s13Sk5xrltsiR-Zkbmk5DwIaDIKO8XlbJAfqy"&amp;"T7Gvg/edit?usp=sharing"",""น่าน!S79"")+IMPORTRANGE(""https://docs.google.com/spreadsheets/d/1uu4nAn4Dbi1XREnLKKotUANlKXa7yCgRcgq8HEzQYW8/edit?usp=sharing"",""พะเยา!S79"")+IMPORTRANGE(""https://docs.google.com/spreadsheets/d/1xfJKIQxVOaPDIICqsflNlLu3JacTDk"&amp;"1FP9RH4phX7mI/edit?usp=sharing"",""พิจิตร!S79"")+IMPORTRANGE(""https://docs.google.com/spreadsheets/d/1JtRfZkJMHtEhI5RdRHxYUG4FIZHqKDpNyIuN7A1Q0_k/edit?usp=sharing"",""พิษณุโลก!S79"")+IMPORTRANGE(""https://docs.google.com/spreadsheets/d/1xlcVZWUNn6SuWm0c3"&amp;"07h32SiGkd9BaeQWlAktfD3KO8/edit?usp=sharing"",""เพชรบูรณ์!S79"")+IMPORTRANGE(""https://docs.google.com/spreadsheets/d/1lOVebEIsI9qjGXl6EX66luk7wiuP2tBaryw-wKvv4e0/edit?usp=sharing"",""แพร่!S79"")+IMPORTRANGE(""https://docs.google.com/spreadsheets/d/1dQrvX"&amp;"0vEcN7Gu0fnZ0B5S90AeR19zth4XlExFBeExMY/edit?usp=sharing"",""แม่ฮ่องสอน!S79"")+IMPORTRANGE(""https://docs.google.com/spreadsheets/d/1DY4XTNNwjluuxqdfdn6qvOSlMRrZqUtmYcZR0ttFiG4/edit?usp=sharing"",""ลำปาง!S79"")+IMPORTRANGE(""https://docs.google.com/spreads"&amp;"heets/d/1ICwG78r0OFT8biBlxnBF8r7she7gNSzOvJ958PWT09c/edit?usp=sharing"",""ลำพูน!S79"")+IMPORTRANGE(""https://docs.google.com/spreadsheets/d/1B0f2xJpZUC6Z0xXnqKlZtEPzsf6L84eP1r1Q15seqRM/edit?usp=sharing"",""สุโขทัย!S79"")+IMPORTRANGE(""https://docs.google."&amp;"com/spreadsheets/d/1v0b9pFQCsKUVExMei7AgY2yQkdeNQvtOssygGsXbiKo/edit?usp=sharing"",""อุตรดิตถ์!S79"")+IMPORTRANGE(""https://docs.google.com/spreadsheets/d/1UsNK1e-WWiCo2PvGqdNfdme4m17_Ezd3J69EeeiQPD0/edit?usp=sharing"",""อุทัยธานี!S79"")"),0)</f>
        <v>0</v>
      </c>
      <c r="T79" s="48">
        <f t="shared" ca="1" si="57"/>
        <v>0</v>
      </c>
      <c r="U79" s="48">
        <f t="shared" ca="1" si="58"/>
        <v>0</v>
      </c>
    </row>
    <row r="80" spans="1:21" ht="18.75" x14ac:dyDescent="0.25">
      <c r="A80" s="128"/>
      <c r="B80" s="40"/>
      <c r="C80" s="40"/>
      <c r="D80" s="40"/>
      <c r="E80" s="47" t="s">
        <v>21</v>
      </c>
      <c r="F80" s="40"/>
      <c r="G80" s="42"/>
      <c r="H80" s="137" t="s">
        <v>14</v>
      </c>
      <c r="I80" s="135"/>
      <c r="J80" s="135"/>
      <c r="K80" s="136"/>
      <c r="L80" s="46">
        <f ca="1">IFERROR(__xludf.DUMMYFUNCTION("IMPORTRANGE(""https://docs.google.com/spreadsheets/d/1jTcq05yEiRwXcBMLjiodW9e4biSGYWAHcDj22rKWQ3s/edit?usp=sharing"",""กำแพงเพชร!L80"")+IMPORTRANGE(""https://docs.google.com/spreadsheets/d/1KS0zmDSZPk8KnTAbGN-Xk6MtX1YRZD0ldgdt20K4CRk/edit?usp=sharing"","""&amp;"เชียงราย!L80"")+IMPORTRANGE(""https://docs.google.com/spreadsheets/d/1rEDxBtusbi64tE0zunoIbsTVV16HeL0oJ6trHQeQ7K8/edit?usp=sharing"",""เชียงใหม่!L80"")+IMPORTRANGE(""https://docs.google.com/spreadsheets/d/1W6MnUbDkMi6xHnHko_XkFDO9kkuL6Wqyc-6OCDFjW9I/edit?"&amp;"usp=sharing"",""ตาก!L80"")+IMPORTRANGE(""https://docs.google.com/spreadsheets/d/1IQAWArduLkta9LpYo4a_ULsyqdta6-6aDDiwpUnQT6c/edit?usp=sharing"",""นครสวรรค์!L80"")+IMPORTRANGE(""https://docs.google.com/spreadsheets/d/10s13Sk5xrltsiR-Zkbmk5DwIaDIKO8XlbJAfqy"&amp;"T7Gvg/edit?usp=sharing"",""น่าน!L80"")+IMPORTRANGE(""https://docs.google.com/spreadsheets/d/1uu4nAn4Dbi1XREnLKKotUANlKXa7yCgRcgq8HEzQYW8/edit?usp=sharing"",""พะเยา!L80"")+IMPORTRANGE(""https://docs.google.com/spreadsheets/d/1xfJKIQxVOaPDIICqsflNlLu3JacTDk"&amp;"1FP9RH4phX7mI/edit?usp=sharing"",""พิจิตร!L80"")+IMPORTRANGE(""https://docs.google.com/spreadsheets/d/1JtRfZkJMHtEhI5RdRHxYUG4FIZHqKDpNyIuN7A1Q0_k/edit?usp=sharing"",""พิษณุโลก!L80"")+IMPORTRANGE(""https://docs.google.com/spreadsheets/d/1xlcVZWUNn6SuWm0c3"&amp;"07h32SiGkd9BaeQWlAktfD3KO8/edit?usp=sharing"",""เพชรบูรณ์!L80"")+IMPORTRANGE(""https://docs.google.com/spreadsheets/d/1lOVebEIsI9qjGXl6EX66luk7wiuP2tBaryw-wKvv4e0/edit?usp=sharing"",""แพร่!L80"")+IMPORTRANGE(""https://docs.google.com/spreadsheets/d/1dQrvX"&amp;"0vEcN7Gu0fnZ0B5S90AeR19zth4XlExFBeExMY/edit?usp=sharing"",""แม่ฮ่องสอน!L80"")+IMPORTRANGE(""https://docs.google.com/spreadsheets/d/1DY4XTNNwjluuxqdfdn6qvOSlMRrZqUtmYcZR0ttFiG4/edit?usp=sharing"",""ลำปาง!L80"")+IMPORTRANGE(""https://docs.google.com/spreads"&amp;"heets/d/1ICwG78r0OFT8biBlxnBF8r7she7gNSzOvJ958PWT09c/edit?usp=sharing"",""ลำพูน!L80"")+IMPORTRANGE(""https://docs.google.com/spreadsheets/d/1B0f2xJpZUC6Z0xXnqKlZtEPzsf6L84eP1r1Q15seqRM/edit?usp=sharing"",""สุโขทัย!L80"")+IMPORTRANGE(""https://docs.google."&amp;"com/spreadsheets/d/1v0b9pFQCsKUVExMei7AgY2yQkdeNQvtOssygGsXbiKo/edit?usp=sharing"",""อุตรดิตถ์!L80"")+IMPORTRANGE(""https://docs.google.com/spreadsheets/d/1UsNK1e-WWiCo2PvGqdNfdme4m17_Ezd3J69EeeiQPD0/edit?usp=sharing"",""อุทัยธานี!L80"")"),0)</f>
        <v>0</v>
      </c>
      <c r="M80" s="46">
        <f ca="1">IFERROR(__xludf.DUMMYFUNCTION("IMPORTRANGE(""https://docs.google.com/spreadsheets/d/1jTcq05yEiRwXcBMLjiodW9e4biSGYWAHcDj22rKWQ3s/edit?usp=sharing"",""กำแพงเพชร!M80"")+IMPORTRANGE(""https://docs.google.com/spreadsheets/d/1KS0zmDSZPk8KnTAbGN-Xk6MtX1YRZD0ldgdt20K4CRk/edit?usp=sharing"","""&amp;"เชียงราย!M80"")+IMPORTRANGE(""https://docs.google.com/spreadsheets/d/1rEDxBtusbi64tE0zunoIbsTVV16HeL0oJ6trHQeQ7K8/edit?usp=sharing"",""เชียงใหม่!M80"")+IMPORTRANGE(""https://docs.google.com/spreadsheets/d/1W6MnUbDkMi6xHnHko_XkFDO9kkuL6Wqyc-6OCDFjW9I/edit?"&amp;"usp=sharing"",""ตาก!M80"")+IMPORTRANGE(""https://docs.google.com/spreadsheets/d/1IQAWArduLkta9LpYo4a_ULsyqdta6-6aDDiwpUnQT6c/edit?usp=sharing"",""นครสวรรค์!M80"")+IMPORTRANGE(""https://docs.google.com/spreadsheets/d/10s13Sk5xrltsiR-Zkbmk5DwIaDIKO8XlbJAfqy"&amp;"T7Gvg/edit?usp=sharing"",""น่าน!M80"")+IMPORTRANGE(""https://docs.google.com/spreadsheets/d/1uu4nAn4Dbi1XREnLKKotUANlKXa7yCgRcgq8HEzQYW8/edit?usp=sharing"",""พะเยา!M80"")+IMPORTRANGE(""https://docs.google.com/spreadsheets/d/1xfJKIQxVOaPDIICqsflNlLu3JacTDk"&amp;"1FP9RH4phX7mI/edit?usp=sharing"",""พิจิตร!M80"")+IMPORTRANGE(""https://docs.google.com/spreadsheets/d/1JtRfZkJMHtEhI5RdRHxYUG4FIZHqKDpNyIuN7A1Q0_k/edit?usp=sharing"",""พิษณุโลก!M80"")+IMPORTRANGE(""https://docs.google.com/spreadsheets/d/1xlcVZWUNn6SuWm0c3"&amp;"07h32SiGkd9BaeQWlAktfD3KO8/edit?usp=sharing"",""เพชรบูรณ์!M80"")+IMPORTRANGE(""https://docs.google.com/spreadsheets/d/1lOVebEIsI9qjGXl6EX66luk7wiuP2tBaryw-wKvv4e0/edit?usp=sharing"",""แพร่!M80"")+IMPORTRANGE(""https://docs.google.com/spreadsheets/d/1dQrvX"&amp;"0vEcN7Gu0fnZ0B5S90AeR19zth4XlExFBeExMY/edit?usp=sharing"",""แม่ฮ่องสอน!M80"")+IMPORTRANGE(""https://docs.google.com/spreadsheets/d/1DY4XTNNwjluuxqdfdn6qvOSlMRrZqUtmYcZR0ttFiG4/edit?usp=sharing"",""ลำปาง!M80"")+IMPORTRANGE(""https://docs.google.com/spreads"&amp;"heets/d/1ICwG78r0OFT8biBlxnBF8r7she7gNSzOvJ958PWT09c/edit?usp=sharing"",""ลำพูน!M80"")+IMPORTRANGE(""https://docs.google.com/spreadsheets/d/1B0f2xJpZUC6Z0xXnqKlZtEPzsf6L84eP1r1Q15seqRM/edit?usp=sharing"",""สุโขทัย!M80"")+IMPORTRANGE(""https://docs.google."&amp;"com/spreadsheets/d/1v0b9pFQCsKUVExMei7AgY2yQkdeNQvtOssygGsXbiKo/edit?usp=sharing"",""อุตรดิตถ์!M80"")+IMPORTRANGE(""https://docs.google.com/spreadsheets/d/1UsNK1e-WWiCo2PvGqdNfdme4m17_Ezd3J69EeeiQPD0/edit?usp=sharing"",""อุทัยธานี!M80"")"),0)</f>
        <v>0</v>
      </c>
      <c r="N80" s="46">
        <f ca="1">IFERROR(__xludf.DUMMYFUNCTION("IMPORTRANGE(""https://docs.google.com/spreadsheets/d/1jTcq05yEiRwXcBMLjiodW9e4biSGYWAHcDj22rKWQ3s/edit?usp=sharing"",""กำแพงเพชร!N80"")+IMPORTRANGE(""https://docs.google.com/spreadsheets/d/1KS0zmDSZPk8KnTAbGN-Xk6MtX1YRZD0ldgdt20K4CRk/edit?usp=sharing"","""&amp;"เชียงราย!N80"")+IMPORTRANGE(""https://docs.google.com/spreadsheets/d/1rEDxBtusbi64tE0zunoIbsTVV16HeL0oJ6trHQeQ7K8/edit?usp=sharing"",""เชียงใหม่!N80"")+IMPORTRANGE(""https://docs.google.com/spreadsheets/d/1W6MnUbDkMi6xHnHko_XkFDO9kkuL6Wqyc-6OCDFjW9I/edit?"&amp;"usp=sharing"",""ตาก!N80"")+IMPORTRANGE(""https://docs.google.com/spreadsheets/d/1IQAWArduLkta9LpYo4a_ULsyqdta6-6aDDiwpUnQT6c/edit?usp=sharing"",""นครสวรรค์!N80"")+IMPORTRANGE(""https://docs.google.com/spreadsheets/d/10s13Sk5xrltsiR-Zkbmk5DwIaDIKO8XlbJAfqy"&amp;"T7Gvg/edit?usp=sharing"",""น่าน!N80"")+IMPORTRANGE(""https://docs.google.com/spreadsheets/d/1uu4nAn4Dbi1XREnLKKotUANlKXa7yCgRcgq8HEzQYW8/edit?usp=sharing"",""พะเยา!N80"")+IMPORTRANGE(""https://docs.google.com/spreadsheets/d/1xfJKIQxVOaPDIICqsflNlLu3JacTDk"&amp;"1FP9RH4phX7mI/edit?usp=sharing"",""พิจิตร!N80"")+IMPORTRANGE(""https://docs.google.com/spreadsheets/d/1JtRfZkJMHtEhI5RdRHxYUG4FIZHqKDpNyIuN7A1Q0_k/edit?usp=sharing"",""พิษณุโลก!N80"")+IMPORTRANGE(""https://docs.google.com/spreadsheets/d/1xlcVZWUNn6SuWm0c3"&amp;"07h32SiGkd9BaeQWlAktfD3KO8/edit?usp=sharing"",""เพชรบูรณ์!N80"")+IMPORTRANGE(""https://docs.google.com/spreadsheets/d/1lOVebEIsI9qjGXl6EX66luk7wiuP2tBaryw-wKvv4e0/edit?usp=sharing"",""แพร่!N80"")+IMPORTRANGE(""https://docs.google.com/spreadsheets/d/1dQrvX"&amp;"0vEcN7Gu0fnZ0B5S90AeR19zth4XlExFBeExMY/edit?usp=sharing"",""แม่ฮ่องสอน!N80"")+IMPORTRANGE(""https://docs.google.com/spreadsheets/d/1DY4XTNNwjluuxqdfdn6qvOSlMRrZqUtmYcZR0ttFiG4/edit?usp=sharing"",""ลำปาง!N80"")+IMPORTRANGE(""https://docs.google.com/spreads"&amp;"heets/d/1ICwG78r0OFT8biBlxnBF8r7she7gNSzOvJ958PWT09c/edit?usp=sharing"",""ลำพูน!N80"")+IMPORTRANGE(""https://docs.google.com/spreadsheets/d/1B0f2xJpZUC6Z0xXnqKlZtEPzsf6L84eP1r1Q15seqRM/edit?usp=sharing"",""สุโขทัย!N80"")+IMPORTRANGE(""https://docs.google."&amp;"com/spreadsheets/d/1v0b9pFQCsKUVExMei7AgY2yQkdeNQvtOssygGsXbiKo/edit?usp=sharing"",""อุตรดิตถ์!N80"")+IMPORTRANGE(""https://docs.google.com/spreadsheets/d/1UsNK1e-WWiCo2PvGqdNfdme4m17_Ezd3J69EeeiQPD0/edit?usp=sharing"",""อุทัยธานี!N80"")"),0)</f>
        <v>0</v>
      </c>
      <c r="O80" s="46">
        <f t="shared" ca="1" si="54"/>
        <v>0</v>
      </c>
      <c r="P80" s="46">
        <f t="shared" ca="1" si="55"/>
        <v>0</v>
      </c>
      <c r="Q80" s="46">
        <f ca="1">IFERROR(__xludf.DUMMYFUNCTION("IMPORTRANGE(""https://docs.google.com/spreadsheets/d/1jTcq05yEiRwXcBMLjiodW9e4biSGYWAHcDj22rKWQ3s/edit?usp=sharing"",""กำแพงเพชร!Q80"")+IMPORTRANGE(""https://docs.google.com/spreadsheets/d/1KS0zmDSZPk8KnTAbGN-Xk6MtX1YRZD0ldgdt20K4CRk/edit?usp=sharing"","""&amp;"เชียงราย!Q80"")+IMPORTRANGE(""https://docs.google.com/spreadsheets/d/1rEDxBtusbi64tE0zunoIbsTVV16HeL0oJ6trHQeQ7K8/edit?usp=sharing"",""เชียงใหม่!Q80"")+IMPORTRANGE(""https://docs.google.com/spreadsheets/d/1W6MnUbDkMi6xHnHko_XkFDO9kkuL6Wqyc-6OCDFjW9I/edit?"&amp;"usp=sharing"",""ตาก!Q80"")+IMPORTRANGE(""https://docs.google.com/spreadsheets/d/1IQAWArduLkta9LpYo4a_ULsyqdta6-6aDDiwpUnQT6c/edit?usp=sharing"",""นครสวรรค์!Q80"")+IMPORTRANGE(""https://docs.google.com/spreadsheets/d/10s13Sk5xrltsiR-Zkbmk5DwIaDIKO8XlbJAfqy"&amp;"T7Gvg/edit?usp=sharing"",""น่าน!Q80"")+IMPORTRANGE(""https://docs.google.com/spreadsheets/d/1uu4nAn4Dbi1XREnLKKotUANlKXa7yCgRcgq8HEzQYW8/edit?usp=sharing"",""พะเยา!Q80"")+IMPORTRANGE(""https://docs.google.com/spreadsheets/d/1xfJKIQxVOaPDIICqsflNlLu3JacTDk"&amp;"1FP9RH4phX7mI/edit?usp=sharing"",""พิจิตร!Q80"")+IMPORTRANGE(""https://docs.google.com/spreadsheets/d/1JtRfZkJMHtEhI5RdRHxYUG4FIZHqKDpNyIuN7A1Q0_k/edit?usp=sharing"",""พิษณุโลก!Q80"")+IMPORTRANGE(""https://docs.google.com/spreadsheets/d/1xlcVZWUNn6SuWm0c3"&amp;"07h32SiGkd9BaeQWlAktfD3KO8/edit?usp=sharing"",""เพชรบูรณ์!Q80"")+IMPORTRANGE(""https://docs.google.com/spreadsheets/d/1lOVebEIsI9qjGXl6EX66luk7wiuP2tBaryw-wKvv4e0/edit?usp=sharing"",""แพร่!Q80"")+IMPORTRANGE(""https://docs.google.com/spreadsheets/d/1dQrvX"&amp;"0vEcN7Gu0fnZ0B5S90AeR19zth4XlExFBeExMY/edit?usp=sharing"",""แม่ฮ่องสอน!Q80"")+IMPORTRANGE(""https://docs.google.com/spreadsheets/d/1DY4XTNNwjluuxqdfdn6qvOSlMRrZqUtmYcZR0ttFiG4/edit?usp=sharing"",""ลำปาง!Q80"")+IMPORTRANGE(""https://docs.google.com/spreads"&amp;"heets/d/1ICwG78r0OFT8biBlxnBF8r7she7gNSzOvJ958PWT09c/edit?usp=sharing"",""ลำพูน!Q80"")+IMPORTRANGE(""https://docs.google.com/spreadsheets/d/1B0f2xJpZUC6Z0xXnqKlZtEPzsf6L84eP1r1Q15seqRM/edit?usp=sharing"",""สุโขทัย!Q80"")+IMPORTRANGE(""https://docs.google."&amp;"com/spreadsheets/d/1v0b9pFQCsKUVExMei7AgY2yQkdeNQvtOssygGsXbiKo/edit?usp=sharing"",""อุตรดิตถ์!Q80"")+IMPORTRANGE(""https://docs.google.com/spreadsheets/d/1UsNK1e-WWiCo2PvGqdNfdme4m17_Ezd3J69EeeiQPD0/edit?usp=sharing"",""อุทัยธานี!Q80"")"),1132523)</f>
        <v>1132523</v>
      </c>
      <c r="R80" s="46">
        <f ca="1">IFERROR(__xludf.DUMMYFUNCTION("IMPORTRANGE(""https://docs.google.com/spreadsheets/d/1jTcq05yEiRwXcBMLjiodW9e4biSGYWAHcDj22rKWQ3s/edit?usp=sharing"",""กำแพงเพชร!R80"")+IMPORTRANGE(""https://docs.google.com/spreadsheets/d/1KS0zmDSZPk8KnTAbGN-Xk6MtX1YRZD0ldgdt20K4CRk/edit?usp=sharing"","""&amp;"เชียงราย!R80"")+IMPORTRANGE(""https://docs.google.com/spreadsheets/d/1rEDxBtusbi64tE0zunoIbsTVV16HeL0oJ6trHQeQ7K8/edit?usp=sharing"",""เชียงใหม่!R80"")+IMPORTRANGE(""https://docs.google.com/spreadsheets/d/1W6MnUbDkMi6xHnHko_XkFDO9kkuL6Wqyc-6OCDFjW9I/edit?"&amp;"usp=sharing"",""ตาก!R80"")+IMPORTRANGE(""https://docs.google.com/spreadsheets/d/1IQAWArduLkta9LpYo4a_ULsyqdta6-6aDDiwpUnQT6c/edit?usp=sharing"",""นครสวรรค์!R80"")+IMPORTRANGE(""https://docs.google.com/spreadsheets/d/10s13Sk5xrltsiR-Zkbmk5DwIaDIKO8XlbJAfqy"&amp;"T7Gvg/edit?usp=sharing"",""น่าน!R80"")+IMPORTRANGE(""https://docs.google.com/spreadsheets/d/1uu4nAn4Dbi1XREnLKKotUANlKXa7yCgRcgq8HEzQYW8/edit?usp=sharing"",""พะเยา!R80"")+IMPORTRANGE(""https://docs.google.com/spreadsheets/d/1xfJKIQxVOaPDIICqsflNlLu3JacTDk"&amp;"1FP9RH4phX7mI/edit?usp=sharing"",""พิจิตร!R80"")+IMPORTRANGE(""https://docs.google.com/spreadsheets/d/1JtRfZkJMHtEhI5RdRHxYUG4FIZHqKDpNyIuN7A1Q0_k/edit?usp=sharing"",""พิษณุโลก!R80"")+IMPORTRANGE(""https://docs.google.com/spreadsheets/d/1xlcVZWUNn6SuWm0c3"&amp;"07h32SiGkd9BaeQWlAktfD3KO8/edit?usp=sharing"",""เพชรบูรณ์!R80"")+IMPORTRANGE(""https://docs.google.com/spreadsheets/d/1lOVebEIsI9qjGXl6EX66luk7wiuP2tBaryw-wKvv4e0/edit?usp=sharing"",""แพร่!R80"")+IMPORTRANGE(""https://docs.google.com/spreadsheets/d/1dQrvX"&amp;"0vEcN7Gu0fnZ0B5S90AeR19zth4XlExFBeExMY/edit?usp=sharing"",""แม่ฮ่องสอน!R80"")+IMPORTRANGE(""https://docs.google.com/spreadsheets/d/1DY4XTNNwjluuxqdfdn6qvOSlMRrZqUtmYcZR0ttFiG4/edit?usp=sharing"",""ลำปาง!R80"")+IMPORTRANGE(""https://docs.google.com/spreads"&amp;"heets/d/1ICwG78r0OFT8biBlxnBF8r7she7gNSzOvJ958PWT09c/edit?usp=sharing"",""ลำพูน!R80"")+IMPORTRANGE(""https://docs.google.com/spreadsheets/d/1B0f2xJpZUC6Z0xXnqKlZtEPzsf6L84eP1r1Q15seqRM/edit?usp=sharing"",""สุโขทัย!R80"")+IMPORTRANGE(""https://docs.google."&amp;"com/spreadsheets/d/1v0b9pFQCsKUVExMei7AgY2yQkdeNQvtOssygGsXbiKo/edit?usp=sharing"",""อุตรดิตถ์!R80"")+IMPORTRANGE(""https://docs.google.com/spreadsheets/d/1UsNK1e-WWiCo2PvGqdNfdme4m17_Ezd3J69EeeiQPD0/edit?usp=sharing"",""อุทัยธานี!R80"")"),1132523)</f>
        <v>1132523</v>
      </c>
      <c r="S80" s="46">
        <f ca="1">IFERROR(__xludf.DUMMYFUNCTION("IMPORTRANGE(""https://docs.google.com/spreadsheets/d/1jTcq05yEiRwXcBMLjiodW9e4biSGYWAHcDj22rKWQ3s/edit?usp=sharing"",""กำแพงเพชร!S80"")+IMPORTRANGE(""https://docs.google.com/spreadsheets/d/1KS0zmDSZPk8KnTAbGN-Xk6MtX1YRZD0ldgdt20K4CRk/edit?usp=sharing"","""&amp;"เชียงราย!S80"")+IMPORTRANGE(""https://docs.google.com/spreadsheets/d/1rEDxBtusbi64tE0zunoIbsTVV16HeL0oJ6trHQeQ7K8/edit?usp=sharing"",""เชียงใหม่!S80"")+IMPORTRANGE(""https://docs.google.com/spreadsheets/d/1W6MnUbDkMi6xHnHko_XkFDO9kkuL6Wqyc-6OCDFjW9I/edit?"&amp;"usp=sharing"",""ตาก!S80"")+IMPORTRANGE(""https://docs.google.com/spreadsheets/d/1IQAWArduLkta9LpYo4a_ULsyqdta6-6aDDiwpUnQT6c/edit?usp=sharing"",""นครสวรรค์!S80"")+IMPORTRANGE(""https://docs.google.com/spreadsheets/d/10s13Sk5xrltsiR-Zkbmk5DwIaDIKO8XlbJAfqy"&amp;"T7Gvg/edit?usp=sharing"",""น่าน!S80"")+IMPORTRANGE(""https://docs.google.com/spreadsheets/d/1uu4nAn4Dbi1XREnLKKotUANlKXa7yCgRcgq8HEzQYW8/edit?usp=sharing"",""พะเยา!S80"")+IMPORTRANGE(""https://docs.google.com/spreadsheets/d/1xfJKIQxVOaPDIICqsflNlLu3JacTDk"&amp;"1FP9RH4phX7mI/edit?usp=sharing"",""พิจิตร!S80"")+IMPORTRANGE(""https://docs.google.com/spreadsheets/d/1JtRfZkJMHtEhI5RdRHxYUG4FIZHqKDpNyIuN7A1Q0_k/edit?usp=sharing"",""พิษณุโลก!S80"")+IMPORTRANGE(""https://docs.google.com/spreadsheets/d/1xlcVZWUNn6SuWm0c3"&amp;"07h32SiGkd9BaeQWlAktfD3KO8/edit?usp=sharing"",""เพชรบูรณ์!S80"")+IMPORTRANGE(""https://docs.google.com/spreadsheets/d/1lOVebEIsI9qjGXl6EX66luk7wiuP2tBaryw-wKvv4e0/edit?usp=sharing"",""แพร่!S80"")+IMPORTRANGE(""https://docs.google.com/spreadsheets/d/1dQrvX"&amp;"0vEcN7Gu0fnZ0B5S90AeR19zth4XlExFBeExMY/edit?usp=sharing"",""แม่ฮ่องสอน!S80"")+IMPORTRANGE(""https://docs.google.com/spreadsheets/d/1DY4XTNNwjluuxqdfdn6qvOSlMRrZqUtmYcZR0ttFiG4/edit?usp=sharing"",""ลำปาง!S80"")+IMPORTRANGE(""https://docs.google.com/spreads"&amp;"heets/d/1ICwG78r0OFT8biBlxnBF8r7she7gNSzOvJ958PWT09c/edit?usp=sharing"",""ลำพูน!S80"")+IMPORTRANGE(""https://docs.google.com/spreadsheets/d/1B0f2xJpZUC6Z0xXnqKlZtEPzsf6L84eP1r1Q15seqRM/edit?usp=sharing"",""สุโขทัย!S80"")+IMPORTRANGE(""https://docs.google."&amp;"com/spreadsheets/d/1v0b9pFQCsKUVExMei7AgY2yQkdeNQvtOssygGsXbiKo/edit?usp=sharing"",""อุตรดิตถ์!S80"")+IMPORTRANGE(""https://docs.google.com/spreadsheets/d/1UsNK1e-WWiCo2PvGqdNfdme4m17_Ezd3J69EeeiQPD0/edit?usp=sharing"",""อุทัยธานี!S80"")"),298000)</f>
        <v>298000</v>
      </c>
      <c r="T80" s="46">
        <f t="shared" ca="1" si="57"/>
        <v>26.312931393004821</v>
      </c>
      <c r="U80" s="46">
        <f t="shared" ca="1" si="58"/>
        <v>26.312931393004821</v>
      </c>
    </row>
    <row r="81" spans="1:21" ht="19.5" x14ac:dyDescent="0.3">
      <c r="A81" s="138"/>
      <c r="B81" s="139"/>
      <c r="C81" s="129" t="s">
        <v>18</v>
      </c>
      <c r="D81" s="140" t="s">
        <v>38</v>
      </c>
      <c r="E81" s="141"/>
      <c r="F81" s="141"/>
      <c r="G81" s="142"/>
      <c r="H81" s="143"/>
      <c r="I81" s="135"/>
      <c r="J81" s="135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t="shared" ref="I82:J82" ca="1" si="67">I84+I86+I88</f>
        <v>16</v>
      </c>
      <c r="J82" s="147">
        <f t="shared" ca="1" si="67"/>
        <v>10</v>
      </c>
      <c r="K82" s="148">
        <f t="shared" ref="K82:K90" ca="1" si="68">IF(I82&gt;0,J82*100/I82,0)</f>
        <v>62.5</v>
      </c>
      <c r="L82" s="136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t="shared" ref="I83:J83" ca="1" si="69">I85+I87+I89</f>
        <v>791</v>
      </c>
      <c r="J83" s="147">
        <f t="shared" ca="1" si="69"/>
        <v>435</v>
      </c>
      <c r="K83" s="148">
        <f t="shared" ca="1" si="68"/>
        <v>54.993678887484194</v>
      </c>
      <c r="L83" s="136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jTcq05yEiRwXcBMLjiodW9e4biSGYWAHcDj22rKWQ3s/edit?usp=sharing"",""กำแพงเพชร!I84"")+IMPORTRANGE(""https://docs.google.com/spreadsheets/d/1KS0zmDSZPk8KnTAbGN-Xk6MtX1YRZD0ldgdt20K4CRk/edit?usp=sharing"","""&amp;"เชียงราย!I84"")+IMPORTRANGE(""https://docs.google.com/spreadsheets/d/1rEDxBtusbi64tE0zunoIbsTVV16HeL0oJ6trHQeQ7K8/edit?usp=sharing"",""เชียงใหม่!I84"")+IMPORTRANGE(""https://docs.google.com/spreadsheets/d/1W6MnUbDkMi6xHnHko_XkFDO9kkuL6Wqyc-6OCDFjW9I/edit?"&amp;"usp=sharing"",""ตาก!I84"")+IMPORTRANGE(""https://docs.google.com/spreadsheets/d/1IQAWArduLkta9LpYo4a_ULsyqdta6-6aDDiwpUnQT6c/edit?usp=sharing"",""นครสวรรค์!I84"")+IMPORTRANGE(""https://docs.google.com/spreadsheets/d/10s13Sk5xrltsiR-Zkbmk5DwIaDIKO8XlbJAfqy"&amp;"T7Gvg/edit?usp=sharing"",""น่าน!I84"")+IMPORTRANGE(""https://docs.google.com/spreadsheets/d/1uu4nAn4Dbi1XREnLKKotUANlKXa7yCgRcgq8HEzQYW8/edit?usp=sharing"",""พะเยา!I84"")+IMPORTRANGE(""https://docs.google.com/spreadsheets/d/1xfJKIQxVOaPDIICqsflNlLu3JacTDk"&amp;"1FP9RH4phX7mI/edit?usp=sharing"",""พิจิตร!I84"")+IMPORTRANGE(""https://docs.google.com/spreadsheets/d/1JtRfZkJMHtEhI5RdRHxYUG4FIZHqKDpNyIuN7A1Q0_k/edit?usp=sharing"",""พิษณุโลก!I84"")+IMPORTRANGE(""https://docs.google.com/spreadsheets/d/1xlcVZWUNn6SuWm0c3"&amp;"07h32SiGkd9BaeQWlAktfD3KO8/edit?usp=sharing"",""เพชรบูรณ์!I84"")+IMPORTRANGE(""https://docs.google.com/spreadsheets/d/1lOVebEIsI9qjGXl6EX66luk7wiuP2tBaryw-wKvv4e0/edit?usp=sharing"",""แพร่!I84"")+IMPORTRANGE(""https://docs.google.com/spreadsheets/d/1dQrvX"&amp;"0vEcN7Gu0fnZ0B5S90AeR19zth4XlExFBeExMY/edit?usp=sharing"",""แม่ฮ่องสอน!I84"")+IMPORTRANGE(""https://docs.google.com/spreadsheets/d/1DY4XTNNwjluuxqdfdn6qvOSlMRrZqUtmYcZR0ttFiG4/edit?usp=sharing"",""ลำปาง!I84"")+IMPORTRANGE(""https://docs.google.com/spreads"&amp;"heets/d/1ICwG78r0OFT8biBlxnBF8r7she7gNSzOvJ958PWT09c/edit?usp=sharing"",""ลำพูน!I84"")+IMPORTRANGE(""https://docs.google.com/spreadsheets/d/1B0f2xJpZUC6Z0xXnqKlZtEPzsf6L84eP1r1Q15seqRM/edit?usp=sharing"",""สุโขทัย!I84"")+IMPORTRANGE(""https://docs.google."&amp;"com/spreadsheets/d/1v0b9pFQCsKUVExMei7AgY2yQkdeNQvtOssygGsXbiKo/edit?usp=sharing"",""อุตรดิตถ์!I84"")+IMPORTRANGE(""https://docs.google.com/spreadsheets/d/1UsNK1e-WWiCo2PvGqdNfdme4m17_Ezd3J69EeeiQPD0/edit?usp=sharing"",""อุทัยธานี!I84"")"),8)</f>
        <v>8</v>
      </c>
      <c r="J84" s="151">
        <f ca="1">IFERROR(__xludf.DUMMYFUNCTION("IMPORTRANGE(""https://docs.google.com/spreadsheets/d/1jTcq05yEiRwXcBMLjiodW9e4biSGYWAHcDj22rKWQ3s/edit?usp=sharing"",""กำแพงเพชร!J84"")+IMPORTRANGE(""https://docs.google.com/spreadsheets/d/1KS0zmDSZPk8KnTAbGN-Xk6MtX1YRZD0ldgdt20K4CRk/edit?usp=sharing"","""&amp;"เชียงราย!J84"")+IMPORTRANGE(""https://docs.google.com/spreadsheets/d/1rEDxBtusbi64tE0zunoIbsTVV16HeL0oJ6trHQeQ7K8/edit?usp=sharing"",""เชียงใหม่!J84"")+IMPORTRANGE(""https://docs.google.com/spreadsheets/d/1W6MnUbDkMi6xHnHko_XkFDO9kkuL6Wqyc-6OCDFjW9I/edit?"&amp;"usp=sharing"",""ตาก!J84"")+IMPORTRANGE(""https://docs.google.com/spreadsheets/d/1IQAWArduLkta9LpYo4a_ULsyqdta6-6aDDiwpUnQT6c/edit?usp=sharing"",""นครสวรรค์!J84"")+IMPORTRANGE(""https://docs.google.com/spreadsheets/d/10s13Sk5xrltsiR-Zkbmk5DwIaDIKO8XlbJAfqy"&amp;"T7Gvg/edit?usp=sharing"",""น่าน!J84"")+IMPORTRANGE(""https://docs.google.com/spreadsheets/d/1uu4nAn4Dbi1XREnLKKotUANlKXa7yCgRcgq8HEzQYW8/edit?usp=sharing"",""พะเยา!J84"")+IMPORTRANGE(""https://docs.google.com/spreadsheets/d/1xfJKIQxVOaPDIICqsflNlLu3JacTDk"&amp;"1FP9RH4phX7mI/edit?usp=sharing"",""พิจิตร!J84"")+IMPORTRANGE(""https://docs.google.com/spreadsheets/d/1JtRfZkJMHtEhI5RdRHxYUG4FIZHqKDpNyIuN7A1Q0_k/edit?usp=sharing"",""พิษณุโลก!J84"")+IMPORTRANGE(""https://docs.google.com/spreadsheets/d/1xlcVZWUNn6SuWm0c3"&amp;"07h32SiGkd9BaeQWlAktfD3KO8/edit?usp=sharing"",""เพชรบูรณ์!J84"")+IMPORTRANGE(""https://docs.google.com/spreadsheets/d/1lOVebEIsI9qjGXl6EX66luk7wiuP2tBaryw-wKvv4e0/edit?usp=sharing"",""แพร่!J84"")+IMPORTRANGE(""https://docs.google.com/spreadsheets/d/1dQrvX"&amp;"0vEcN7Gu0fnZ0B5S90AeR19zth4XlExFBeExMY/edit?usp=sharing"",""แม่ฮ่องสอน!J84"")+IMPORTRANGE(""https://docs.google.com/spreadsheets/d/1DY4XTNNwjluuxqdfdn6qvOSlMRrZqUtmYcZR0ttFiG4/edit?usp=sharing"",""ลำปาง!J84"")+IMPORTRANGE(""https://docs.google.com/spreads"&amp;"heets/d/1ICwG78r0OFT8biBlxnBF8r7she7gNSzOvJ958PWT09c/edit?usp=sharing"",""ลำพูน!J84"")+IMPORTRANGE(""https://docs.google.com/spreadsheets/d/1B0f2xJpZUC6Z0xXnqKlZtEPzsf6L84eP1r1Q15seqRM/edit?usp=sharing"",""สุโขทัย!J84"")+IMPORTRANGE(""https://docs.google."&amp;"com/spreadsheets/d/1v0b9pFQCsKUVExMei7AgY2yQkdeNQvtOssygGsXbiKo/edit?usp=sharing"",""อุตรดิตถ์!J84"")+IMPORTRANGE(""https://docs.google.com/spreadsheets/d/1UsNK1e-WWiCo2PvGqdNfdme4m17_Ezd3J69EeeiQPD0/edit?usp=sharing"",""อุทัยธานี!J84"")"),5)</f>
        <v>5</v>
      </c>
      <c r="K84" s="152">
        <f t="shared" ca="1" si="68"/>
        <v>62.5</v>
      </c>
      <c r="L84" s="136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jTcq05yEiRwXcBMLjiodW9e4biSGYWAHcDj22rKWQ3s/edit?usp=sharing"",""กำแพงเพชร!I85"")+IMPORTRANGE(""https://docs.google.com/spreadsheets/d/1KS0zmDSZPk8KnTAbGN-Xk6MtX1YRZD0ldgdt20K4CRk/edit?usp=sharing"","""&amp;"เชียงราย!I85"")+IMPORTRANGE(""https://docs.google.com/spreadsheets/d/1rEDxBtusbi64tE0zunoIbsTVV16HeL0oJ6trHQeQ7K8/edit?usp=sharing"",""เชียงใหม่!I85"")+IMPORTRANGE(""https://docs.google.com/spreadsheets/d/1W6MnUbDkMi6xHnHko_XkFDO9kkuL6Wqyc-6OCDFjW9I/edit?"&amp;"usp=sharing"",""ตาก!I85"")+IMPORTRANGE(""https://docs.google.com/spreadsheets/d/1IQAWArduLkta9LpYo4a_ULsyqdta6-6aDDiwpUnQT6c/edit?usp=sharing"",""นครสวรรค์!I85"")+IMPORTRANGE(""https://docs.google.com/spreadsheets/d/10s13Sk5xrltsiR-Zkbmk5DwIaDIKO8XlbJAfqy"&amp;"T7Gvg/edit?usp=sharing"",""น่าน!I85"")+IMPORTRANGE(""https://docs.google.com/spreadsheets/d/1uu4nAn4Dbi1XREnLKKotUANlKXa7yCgRcgq8HEzQYW8/edit?usp=sharing"",""พะเยา!I85"")+IMPORTRANGE(""https://docs.google.com/spreadsheets/d/1xfJKIQxVOaPDIICqsflNlLu3JacTDk"&amp;"1FP9RH4phX7mI/edit?usp=sharing"",""พิจิตร!I85"")+IMPORTRANGE(""https://docs.google.com/spreadsheets/d/1JtRfZkJMHtEhI5RdRHxYUG4FIZHqKDpNyIuN7A1Q0_k/edit?usp=sharing"",""พิษณุโลก!I85"")+IMPORTRANGE(""https://docs.google.com/spreadsheets/d/1xlcVZWUNn6SuWm0c3"&amp;"07h32SiGkd9BaeQWlAktfD3KO8/edit?usp=sharing"",""เพชรบูรณ์!I85"")+IMPORTRANGE(""https://docs.google.com/spreadsheets/d/1lOVebEIsI9qjGXl6EX66luk7wiuP2tBaryw-wKvv4e0/edit?usp=sharing"",""แพร่!I85"")+IMPORTRANGE(""https://docs.google.com/spreadsheets/d/1dQrvX"&amp;"0vEcN7Gu0fnZ0B5S90AeR19zth4XlExFBeExMY/edit?usp=sharing"",""แม่ฮ่องสอน!I85"")+IMPORTRANGE(""https://docs.google.com/spreadsheets/d/1DY4XTNNwjluuxqdfdn6qvOSlMRrZqUtmYcZR0ttFiG4/edit?usp=sharing"",""ลำปาง!I85"")+IMPORTRANGE(""https://docs.google.com/spreads"&amp;"heets/d/1ICwG78r0OFT8biBlxnBF8r7she7gNSzOvJ958PWT09c/edit?usp=sharing"",""ลำพูน!I85"")+IMPORTRANGE(""https://docs.google.com/spreadsheets/d/1B0f2xJpZUC6Z0xXnqKlZtEPzsf6L84eP1r1Q15seqRM/edit?usp=sharing"",""สุโขทัย!I85"")+IMPORTRANGE(""https://docs.google."&amp;"com/spreadsheets/d/1v0b9pFQCsKUVExMei7AgY2yQkdeNQvtOssygGsXbiKo/edit?usp=sharing"",""อุตรดิตถ์!I85"")+IMPORTRANGE(""https://docs.google.com/spreadsheets/d/1UsNK1e-WWiCo2PvGqdNfdme4m17_Ezd3J69EeeiQPD0/edit?usp=sharing"",""อุทัยธานี!I85"")"),466)</f>
        <v>466</v>
      </c>
      <c r="J85" s="151">
        <f ca="1">IFERROR(__xludf.DUMMYFUNCTION("IMPORTRANGE(""https://docs.google.com/spreadsheets/d/1jTcq05yEiRwXcBMLjiodW9e4biSGYWAHcDj22rKWQ3s/edit?usp=sharing"",""กำแพงเพชร!J85"")+IMPORTRANGE(""https://docs.google.com/spreadsheets/d/1KS0zmDSZPk8KnTAbGN-Xk6MtX1YRZD0ldgdt20K4CRk/edit?usp=sharing"","""&amp;"เชียงราย!J85"")+IMPORTRANGE(""https://docs.google.com/spreadsheets/d/1rEDxBtusbi64tE0zunoIbsTVV16HeL0oJ6trHQeQ7K8/edit?usp=sharing"",""เชียงใหม่!J85"")+IMPORTRANGE(""https://docs.google.com/spreadsheets/d/1W6MnUbDkMi6xHnHko_XkFDO9kkuL6Wqyc-6OCDFjW9I/edit?"&amp;"usp=sharing"",""ตาก!J85"")+IMPORTRANGE(""https://docs.google.com/spreadsheets/d/1IQAWArduLkta9LpYo4a_ULsyqdta6-6aDDiwpUnQT6c/edit?usp=sharing"",""นครสวรรค์!J85"")+IMPORTRANGE(""https://docs.google.com/spreadsheets/d/10s13Sk5xrltsiR-Zkbmk5DwIaDIKO8XlbJAfqy"&amp;"T7Gvg/edit?usp=sharing"",""น่าน!J85"")+IMPORTRANGE(""https://docs.google.com/spreadsheets/d/1uu4nAn4Dbi1XREnLKKotUANlKXa7yCgRcgq8HEzQYW8/edit?usp=sharing"",""พะเยา!J85"")+IMPORTRANGE(""https://docs.google.com/spreadsheets/d/1xfJKIQxVOaPDIICqsflNlLu3JacTDk"&amp;"1FP9RH4phX7mI/edit?usp=sharing"",""พิจิตร!J85"")+IMPORTRANGE(""https://docs.google.com/spreadsheets/d/1JtRfZkJMHtEhI5RdRHxYUG4FIZHqKDpNyIuN7A1Q0_k/edit?usp=sharing"",""พิษณุโลก!J85"")+IMPORTRANGE(""https://docs.google.com/spreadsheets/d/1xlcVZWUNn6SuWm0c3"&amp;"07h32SiGkd9BaeQWlAktfD3KO8/edit?usp=sharing"",""เพชรบูรณ์!J85"")+IMPORTRANGE(""https://docs.google.com/spreadsheets/d/1lOVebEIsI9qjGXl6EX66luk7wiuP2tBaryw-wKvv4e0/edit?usp=sharing"",""แพร่!J85"")+IMPORTRANGE(""https://docs.google.com/spreadsheets/d/1dQrvX"&amp;"0vEcN7Gu0fnZ0B5S90AeR19zth4XlExFBeExMY/edit?usp=sharing"",""แม่ฮ่องสอน!J85"")+IMPORTRANGE(""https://docs.google.com/spreadsheets/d/1DY4XTNNwjluuxqdfdn6qvOSlMRrZqUtmYcZR0ttFiG4/edit?usp=sharing"",""ลำปาง!J85"")+IMPORTRANGE(""https://docs.google.com/spreads"&amp;"heets/d/1ICwG78r0OFT8biBlxnBF8r7she7gNSzOvJ958PWT09c/edit?usp=sharing"",""ลำพูน!J85"")+IMPORTRANGE(""https://docs.google.com/spreadsheets/d/1B0f2xJpZUC6Z0xXnqKlZtEPzsf6L84eP1r1Q15seqRM/edit?usp=sharing"",""สุโขทัย!J85"")+IMPORTRANGE(""https://docs.google."&amp;"com/spreadsheets/d/1v0b9pFQCsKUVExMei7AgY2yQkdeNQvtOssygGsXbiKo/edit?usp=sharing"",""อุตรดิตถ์!J85"")+IMPORTRANGE(""https://docs.google.com/spreadsheets/d/1UsNK1e-WWiCo2PvGqdNfdme4m17_Ezd3J69EeeiQPD0/edit?usp=sharing"",""อุทัยธานี!J85"")"),238)</f>
        <v>238</v>
      </c>
      <c r="K85" s="152">
        <f t="shared" ca="1" si="68"/>
        <v>51.072961373390555</v>
      </c>
      <c r="L85" s="136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jTcq05yEiRwXcBMLjiodW9e4biSGYWAHcDj22rKWQ3s/edit?usp=sharing"",""กำแพงเพชร!I86"")+IMPORTRANGE(""https://docs.google.com/spreadsheets/d/1KS0zmDSZPk8KnTAbGN-Xk6MtX1YRZD0ldgdt20K4CRk/edit?usp=sharing"","""&amp;"เชียงราย!I86"")+IMPORTRANGE(""https://docs.google.com/spreadsheets/d/1rEDxBtusbi64tE0zunoIbsTVV16HeL0oJ6trHQeQ7K8/edit?usp=sharing"",""เชียงใหม่!I86"")+IMPORTRANGE(""https://docs.google.com/spreadsheets/d/1W6MnUbDkMi6xHnHko_XkFDO9kkuL6Wqyc-6OCDFjW9I/edit?"&amp;"usp=sharing"",""ตาก!I86"")+IMPORTRANGE(""https://docs.google.com/spreadsheets/d/1IQAWArduLkta9LpYo4a_ULsyqdta6-6aDDiwpUnQT6c/edit?usp=sharing"",""นครสวรรค์!I86"")+IMPORTRANGE(""https://docs.google.com/spreadsheets/d/10s13Sk5xrltsiR-Zkbmk5DwIaDIKO8XlbJAfqy"&amp;"T7Gvg/edit?usp=sharing"",""น่าน!I86"")+IMPORTRANGE(""https://docs.google.com/spreadsheets/d/1uu4nAn4Dbi1XREnLKKotUANlKXa7yCgRcgq8HEzQYW8/edit?usp=sharing"",""พะเยา!I86"")+IMPORTRANGE(""https://docs.google.com/spreadsheets/d/1xfJKIQxVOaPDIICqsflNlLu3JacTDk"&amp;"1FP9RH4phX7mI/edit?usp=sharing"",""พิจิตร!I86"")+IMPORTRANGE(""https://docs.google.com/spreadsheets/d/1JtRfZkJMHtEhI5RdRHxYUG4FIZHqKDpNyIuN7A1Q0_k/edit?usp=sharing"",""พิษณุโลก!I86"")+IMPORTRANGE(""https://docs.google.com/spreadsheets/d/1xlcVZWUNn6SuWm0c3"&amp;"07h32SiGkd9BaeQWlAktfD3KO8/edit?usp=sharing"",""เพชรบูรณ์!I86"")+IMPORTRANGE(""https://docs.google.com/spreadsheets/d/1lOVebEIsI9qjGXl6EX66luk7wiuP2tBaryw-wKvv4e0/edit?usp=sharing"",""แพร่!I86"")+IMPORTRANGE(""https://docs.google.com/spreadsheets/d/1dQrvX"&amp;"0vEcN7Gu0fnZ0B5S90AeR19zth4XlExFBeExMY/edit?usp=sharing"",""แม่ฮ่องสอน!I86"")+IMPORTRANGE(""https://docs.google.com/spreadsheets/d/1DY4XTNNwjluuxqdfdn6qvOSlMRrZqUtmYcZR0ttFiG4/edit?usp=sharing"",""ลำปาง!I86"")+IMPORTRANGE(""https://docs.google.com/spreads"&amp;"heets/d/1ICwG78r0OFT8biBlxnBF8r7she7gNSzOvJ958PWT09c/edit?usp=sharing"",""ลำพูน!I86"")+IMPORTRANGE(""https://docs.google.com/spreadsheets/d/1B0f2xJpZUC6Z0xXnqKlZtEPzsf6L84eP1r1Q15seqRM/edit?usp=sharing"",""สุโขทัย!I86"")+IMPORTRANGE(""https://docs.google."&amp;"com/spreadsheets/d/1v0b9pFQCsKUVExMei7AgY2yQkdeNQvtOssygGsXbiKo/edit?usp=sharing"",""อุตรดิตถ์!I86"")+IMPORTRANGE(""https://docs.google.com/spreadsheets/d/1UsNK1e-WWiCo2PvGqdNfdme4m17_Ezd3J69EeeiQPD0/edit?usp=sharing"",""อุทัยธานี!I86"")"),4)</f>
        <v>4</v>
      </c>
      <c r="J86" s="151">
        <f ca="1">IFERROR(__xludf.DUMMYFUNCTION("IMPORTRANGE(""https://docs.google.com/spreadsheets/d/1jTcq05yEiRwXcBMLjiodW9e4biSGYWAHcDj22rKWQ3s/edit?usp=sharing"",""กำแพงเพชร!J86"")+IMPORTRANGE(""https://docs.google.com/spreadsheets/d/1KS0zmDSZPk8KnTAbGN-Xk6MtX1YRZD0ldgdt20K4CRk/edit?usp=sharing"","""&amp;"เชียงราย!J86"")+IMPORTRANGE(""https://docs.google.com/spreadsheets/d/1rEDxBtusbi64tE0zunoIbsTVV16HeL0oJ6trHQeQ7K8/edit?usp=sharing"",""เชียงใหม่!J86"")+IMPORTRANGE(""https://docs.google.com/spreadsheets/d/1W6MnUbDkMi6xHnHko_XkFDO9kkuL6Wqyc-6OCDFjW9I/edit?"&amp;"usp=sharing"",""ตาก!J86"")+IMPORTRANGE(""https://docs.google.com/spreadsheets/d/1IQAWArduLkta9LpYo4a_ULsyqdta6-6aDDiwpUnQT6c/edit?usp=sharing"",""นครสวรรค์!J86"")+IMPORTRANGE(""https://docs.google.com/spreadsheets/d/10s13Sk5xrltsiR-Zkbmk5DwIaDIKO8XlbJAfqy"&amp;"T7Gvg/edit?usp=sharing"",""น่าน!J86"")+IMPORTRANGE(""https://docs.google.com/spreadsheets/d/1uu4nAn4Dbi1XREnLKKotUANlKXa7yCgRcgq8HEzQYW8/edit?usp=sharing"",""พะเยา!J86"")+IMPORTRANGE(""https://docs.google.com/spreadsheets/d/1xfJKIQxVOaPDIICqsflNlLu3JacTDk"&amp;"1FP9RH4phX7mI/edit?usp=sharing"",""พิจิตร!J86"")+IMPORTRANGE(""https://docs.google.com/spreadsheets/d/1JtRfZkJMHtEhI5RdRHxYUG4FIZHqKDpNyIuN7A1Q0_k/edit?usp=sharing"",""พิษณุโลก!J86"")+IMPORTRANGE(""https://docs.google.com/spreadsheets/d/1xlcVZWUNn6SuWm0c3"&amp;"07h32SiGkd9BaeQWlAktfD3KO8/edit?usp=sharing"",""เพชรบูรณ์!J86"")+IMPORTRANGE(""https://docs.google.com/spreadsheets/d/1lOVebEIsI9qjGXl6EX66luk7wiuP2tBaryw-wKvv4e0/edit?usp=sharing"",""แพร่!J86"")+IMPORTRANGE(""https://docs.google.com/spreadsheets/d/1dQrvX"&amp;"0vEcN7Gu0fnZ0B5S90AeR19zth4XlExFBeExMY/edit?usp=sharing"",""แม่ฮ่องสอน!J86"")+IMPORTRANGE(""https://docs.google.com/spreadsheets/d/1DY4XTNNwjluuxqdfdn6qvOSlMRrZqUtmYcZR0ttFiG4/edit?usp=sharing"",""ลำปาง!J86"")+IMPORTRANGE(""https://docs.google.com/spreads"&amp;"heets/d/1ICwG78r0OFT8biBlxnBF8r7she7gNSzOvJ958PWT09c/edit?usp=sharing"",""ลำพูน!J86"")+IMPORTRANGE(""https://docs.google.com/spreadsheets/d/1B0f2xJpZUC6Z0xXnqKlZtEPzsf6L84eP1r1Q15seqRM/edit?usp=sharing"",""สุโขทัย!J86"")+IMPORTRANGE(""https://docs.google."&amp;"com/spreadsheets/d/1v0b9pFQCsKUVExMei7AgY2yQkdeNQvtOssygGsXbiKo/edit?usp=sharing"",""อุตรดิตถ์!J86"")+IMPORTRANGE(""https://docs.google.com/spreadsheets/d/1UsNK1e-WWiCo2PvGqdNfdme4m17_Ezd3J69EeeiQPD0/edit?usp=sharing"",""อุทัยธานี!J86"")"),1)</f>
        <v>1</v>
      </c>
      <c r="K86" s="152">
        <f t="shared" ca="1" si="68"/>
        <v>25</v>
      </c>
      <c r="L86" s="136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jTcq05yEiRwXcBMLjiodW9e4biSGYWAHcDj22rKWQ3s/edit?usp=sharing"",""กำแพงเพชร!I87"")+IMPORTRANGE(""https://docs.google.com/spreadsheets/d/1KS0zmDSZPk8KnTAbGN-Xk6MtX1YRZD0ldgdt20K4CRk/edit?usp=sharing"","""&amp;"เชียงราย!I87"")+IMPORTRANGE(""https://docs.google.com/spreadsheets/d/1rEDxBtusbi64tE0zunoIbsTVV16HeL0oJ6trHQeQ7K8/edit?usp=sharing"",""เชียงใหม่!I87"")+IMPORTRANGE(""https://docs.google.com/spreadsheets/d/1W6MnUbDkMi6xHnHko_XkFDO9kkuL6Wqyc-6OCDFjW9I/edit?"&amp;"usp=sharing"",""ตาก!I87"")+IMPORTRANGE(""https://docs.google.com/spreadsheets/d/1IQAWArduLkta9LpYo4a_ULsyqdta6-6aDDiwpUnQT6c/edit?usp=sharing"",""นครสวรรค์!I87"")+IMPORTRANGE(""https://docs.google.com/spreadsheets/d/10s13Sk5xrltsiR-Zkbmk5DwIaDIKO8XlbJAfqy"&amp;"T7Gvg/edit?usp=sharing"",""น่าน!I87"")+IMPORTRANGE(""https://docs.google.com/spreadsheets/d/1uu4nAn4Dbi1XREnLKKotUANlKXa7yCgRcgq8HEzQYW8/edit?usp=sharing"",""พะเยา!I87"")+IMPORTRANGE(""https://docs.google.com/spreadsheets/d/1xfJKIQxVOaPDIICqsflNlLu3JacTDk"&amp;"1FP9RH4phX7mI/edit?usp=sharing"",""พิจิตร!I87"")+IMPORTRANGE(""https://docs.google.com/spreadsheets/d/1JtRfZkJMHtEhI5RdRHxYUG4FIZHqKDpNyIuN7A1Q0_k/edit?usp=sharing"",""พิษณุโลก!I87"")+IMPORTRANGE(""https://docs.google.com/spreadsheets/d/1xlcVZWUNn6SuWm0c3"&amp;"07h32SiGkd9BaeQWlAktfD3KO8/edit?usp=sharing"",""เพชรบูรณ์!I87"")+IMPORTRANGE(""https://docs.google.com/spreadsheets/d/1lOVebEIsI9qjGXl6EX66luk7wiuP2tBaryw-wKvv4e0/edit?usp=sharing"",""แพร่!I87"")+IMPORTRANGE(""https://docs.google.com/spreadsheets/d/1dQrvX"&amp;"0vEcN7Gu0fnZ0B5S90AeR19zth4XlExFBeExMY/edit?usp=sharing"",""แม่ฮ่องสอน!I87"")+IMPORTRANGE(""https://docs.google.com/spreadsheets/d/1DY4XTNNwjluuxqdfdn6qvOSlMRrZqUtmYcZR0ttFiG4/edit?usp=sharing"",""ลำปาง!I87"")+IMPORTRANGE(""https://docs.google.com/spreads"&amp;"heets/d/1ICwG78r0OFT8biBlxnBF8r7she7gNSzOvJ958PWT09c/edit?usp=sharing"",""ลำพูน!I87"")+IMPORTRANGE(""https://docs.google.com/spreadsheets/d/1B0f2xJpZUC6Z0xXnqKlZtEPzsf6L84eP1r1Q15seqRM/edit?usp=sharing"",""สุโขทัย!I87"")+IMPORTRANGE(""https://docs.google."&amp;"com/spreadsheets/d/1v0b9pFQCsKUVExMei7AgY2yQkdeNQvtOssygGsXbiKo/edit?usp=sharing"",""อุตรดิตถ์!I87"")+IMPORTRANGE(""https://docs.google.com/spreadsheets/d/1UsNK1e-WWiCo2PvGqdNfdme4m17_Ezd3J69EeeiQPD0/edit?usp=sharing"",""อุทัยธานี!I87"")"),168)</f>
        <v>168</v>
      </c>
      <c r="J87" s="151">
        <f ca="1">IFERROR(__xludf.DUMMYFUNCTION("IMPORTRANGE(""https://docs.google.com/spreadsheets/d/1jTcq05yEiRwXcBMLjiodW9e4biSGYWAHcDj22rKWQ3s/edit?usp=sharing"",""กำแพงเพชร!J87"")+IMPORTRANGE(""https://docs.google.com/spreadsheets/d/1KS0zmDSZPk8KnTAbGN-Xk6MtX1YRZD0ldgdt20K4CRk/edit?usp=sharing"","""&amp;"เชียงราย!J87"")+IMPORTRANGE(""https://docs.google.com/spreadsheets/d/1rEDxBtusbi64tE0zunoIbsTVV16HeL0oJ6trHQeQ7K8/edit?usp=sharing"",""เชียงใหม่!J87"")+IMPORTRANGE(""https://docs.google.com/spreadsheets/d/1W6MnUbDkMi6xHnHko_XkFDO9kkuL6Wqyc-6OCDFjW9I/edit?"&amp;"usp=sharing"",""ตาก!J87"")+IMPORTRANGE(""https://docs.google.com/spreadsheets/d/1IQAWArduLkta9LpYo4a_ULsyqdta6-6aDDiwpUnQT6c/edit?usp=sharing"",""นครสวรรค์!J87"")+IMPORTRANGE(""https://docs.google.com/spreadsheets/d/10s13Sk5xrltsiR-Zkbmk5DwIaDIKO8XlbJAfqy"&amp;"T7Gvg/edit?usp=sharing"",""น่าน!J87"")+IMPORTRANGE(""https://docs.google.com/spreadsheets/d/1uu4nAn4Dbi1XREnLKKotUANlKXa7yCgRcgq8HEzQYW8/edit?usp=sharing"",""พะเยา!J87"")+IMPORTRANGE(""https://docs.google.com/spreadsheets/d/1xfJKIQxVOaPDIICqsflNlLu3JacTDk"&amp;"1FP9RH4phX7mI/edit?usp=sharing"",""พิจิตร!J87"")+IMPORTRANGE(""https://docs.google.com/spreadsheets/d/1JtRfZkJMHtEhI5RdRHxYUG4FIZHqKDpNyIuN7A1Q0_k/edit?usp=sharing"",""พิษณุโลก!J87"")+IMPORTRANGE(""https://docs.google.com/spreadsheets/d/1xlcVZWUNn6SuWm0c3"&amp;"07h32SiGkd9BaeQWlAktfD3KO8/edit?usp=sharing"",""เพชรบูรณ์!J87"")+IMPORTRANGE(""https://docs.google.com/spreadsheets/d/1lOVebEIsI9qjGXl6EX66luk7wiuP2tBaryw-wKvv4e0/edit?usp=sharing"",""แพร่!J87"")+IMPORTRANGE(""https://docs.google.com/spreadsheets/d/1dQrvX"&amp;"0vEcN7Gu0fnZ0B5S90AeR19zth4XlExFBeExMY/edit?usp=sharing"",""แม่ฮ่องสอน!J87"")+IMPORTRANGE(""https://docs.google.com/spreadsheets/d/1DY4XTNNwjluuxqdfdn6qvOSlMRrZqUtmYcZR0ttFiG4/edit?usp=sharing"",""ลำปาง!J87"")+IMPORTRANGE(""https://docs.google.com/spreads"&amp;"heets/d/1ICwG78r0OFT8biBlxnBF8r7she7gNSzOvJ958PWT09c/edit?usp=sharing"",""ลำพูน!J87"")+IMPORTRANGE(""https://docs.google.com/spreadsheets/d/1B0f2xJpZUC6Z0xXnqKlZtEPzsf6L84eP1r1Q15seqRM/edit?usp=sharing"",""สุโขทัย!J87"")+IMPORTRANGE(""https://docs.google."&amp;"com/spreadsheets/d/1v0b9pFQCsKUVExMei7AgY2yQkdeNQvtOssygGsXbiKo/edit?usp=sharing"",""อุตรดิตถ์!J87"")+IMPORTRANGE(""https://docs.google.com/spreadsheets/d/1UsNK1e-WWiCo2PvGqdNfdme4m17_Ezd3J69EeeiQPD0/edit?usp=sharing"",""อุทัยธานี!J87"")"),40)</f>
        <v>40</v>
      </c>
      <c r="K87" s="152">
        <f t="shared" ca="1" si="68"/>
        <v>23.80952380952381</v>
      </c>
      <c r="L87" s="136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jTcq05yEiRwXcBMLjiodW9e4biSGYWAHcDj22rKWQ3s/edit?usp=sharing"",""กำแพงเพชร!I88"")+IMPORTRANGE(""https://docs.google.com/spreadsheets/d/1KS0zmDSZPk8KnTAbGN-Xk6MtX1YRZD0ldgdt20K4CRk/edit?usp=sharing"","""&amp;"เชียงราย!I88"")+IMPORTRANGE(""https://docs.google.com/spreadsheets/d/1rEDxBtusbi64tE0zunoIbsTVV16HeL0oJ6trHQeQ7K8/edit?usp=sharing"",""เชียงใหม่!I88"")+IMPORTRANGE(""https://docs.google.com/spreadsheets/d/1W6MnUbDkMi6xHnHko_XkFDO9kkuL6Wqyc-6OCDFjW9I/edit?"&amp;"usp=sharing"",""ตาก!I88"")+IMPORTRANGE(""https://docs.google.com/spreadsheets/d/1IQAWArduLkta9LpYo4a_ULsyqdta6-6aDDiwpUnQT6c/edit?usp=sharing"",""นครสวรรค์!I88"")+IMPORTRANGE(""https://docs.google.com/spreadsheets/d/10s13Sk5xrltsiR-Zkbmk5DwIaDIKO8XlbJAfqy"&amp;"T7Gvg/edit?usp=sharing"",""น่าน!I88"")+IMPORTRANGE(""https://docs.google.com/spreadsheets/d/1uu4nAn4Dbi1XREnLKKotUANlKXa7yCgRcgq8HEzQYW8/edit?usp=sharing"",""พะเยา!I88"")+IMPORTRANGE(""https://docs.google.com/spreadsheets/d/1xfJKIQxVOaPDIICqsflNlLu3JacTDk"&amp;"1FP9RH4phX7mI/edit?usp=sharing"",""พิจิตร!I88"")+IMPORTRANGE(""https://docs.google.com/spreadsheets/d/1JtRfZkJMHtEhI5RdRHxYUG4FIZHqKDpNyIuN7A1Q0_k/edit?usp=sharing"",""พิษณุโลก!I88"")+IMPORTRANGE(""https://docs.google.com/spreadsheets/d/1xlcVZWUNn6SuWm0c3"&amp;"07h32SiGkd9BaeQWlAktfD3KO8/edit?usp=sharing"",""เพชรบูรณ์!I88"")+IMPORTRANGE(""https://docs.google.com/spreadsheets/d/1lOVebEIsI9qjGXl6EX66luk7wiuP2tBaryw-wKvv4e0/edit?usp=sharing"",""แพร่!I88"")+IMPORTRANGE(""https://docs.google.com/spreadsheets/d/1dQrvX"&amp;"0vEcN7Gu0fnZ0B5S90AeR19zth4XlExFBeExMY/edit?usp=sharing"",""แม่ฮ่องสอน!I88"")+IMPORTRANGE(""https://docs.google.com/spreadsheets/d/1DY4XTNNwjluuxqdfdn6qvOSlMRrZqUtmYcZR0ttFiG4/edit?usp=sharing"",""ลำปาง!I88"")+IMPORTRANGE(""https://docs.google.com/spreads"&amp;"heets/d/1ICwG78r0OFT8biBlxnBF8r7she7gNSzOvJ958PWT09c/edit?usp=sharing"",""ลำพูน!I88"")+IMPORTRANGE(""https://docs.google.com/spreadsheets/d/1B0f2xJpZUC6Z0xXnqKlZtEPzsf6L84eP1r1Q15seqRM/edit?usp=sharing"",""สุโขทัย!I88"")+IMPORTRANGE(""https://docs.google."&amp;"com/spreadsheets/d/1v0b9pFQCsKUVExMei7AgY2yQkdeNQvtOssygGsXbiKo/edit?usp=sharing"",""อุตรดิตถ์!I88"")+IMPORTRANGE(""https://docs.google.com/spreadsheets/d/1UsNK1e-WWiCo2PvGqdNfdme4m17_Ezd3J69EeeiQPD0/edit?usp=sharing"",""อุทัยธานี!I88"")"),4)</f>
        <v>4</v>
      </c>
      <c r="J88" s="151">
        <f ca="1">IFERROR(__xludf.DUMMYFUNCTION("IMPORTRANGE(""https://docs.google.com/spreadsheets/d/1jTcq05yEiRwXcBMLjiodW9e4biSGYWAHcDj22rKWQ3s/edit?usp=sharing"",""กำแพงเพชร!J88"")+IMPORTRANGE(""https://docs.google.com/spreadsheets/d/1KS0zmDSZPk8KnTAbGN-Xk6MtX1YRZD0ldgdt20K4CRk/edit?usp=sharing"","""&amp;"เชียงราย!J88"")+IMPORTRANGE(""https://docs.google.com/spreadsheets/d/1rEDxBtusbi64tE0zunoIbsTVV16HeL0oJ6trHQeQ7K8/edit?usp=sharing"",""เชียงใหม่!J88"")+IMPORTRANGE(""https://docs.google.com/spreadsheets/d/1W6MnUbDkMi6xHnHko_XkFDO9kkuL6Wqyc-6OCDFjW9I/edit?"&amp;"usp=sharing"",""ตาก!J88"")+IMPORTRANGE(""https://docs.google.com/spreadsheets/d/1IQAWArduLkta9LpYo4a_ULsyqdta6-6aDDiwpUnQT6c/edit?usp=sharing"",""นครสวรรค์!J88"")+IMPORTRANGE(""https://docs.google.com/spreadsheets/d/10s13Sk5xrltsiR-Zkbmk5DwIaDIKO8XlbJAfqy"&amp;"T7Gvg/edit?usp=sharing"",""น่าน!J88"")+IMPORTRANGE(""https://docs.google.com/spreadsheets/d/1uu4nAn4Dbi1XREnLKKotUANlKXa7yCgRcgq8HEzQYW8/edit?usp=sharing"",""พะเยา!J88"")+IMPORTRANGE(""https://docs.google.com/spreadsheets/d/1xfJKIQxVOaPDIICqsflNlLu3JacTDk"&amp;"1FP9RH4phX7mI/edit?usp=sharing"",""พิจิตร!J88"")+IMPORTRANGE(""https://docs.google.com/spreadsheets/d/1JtRfZkJMHtEhI5RdRHxYUG4FIZHqKDpNyIuN7A1Q0_k/edit?usp=sharing"",""พิษณุโลก!J88"")+IMPORTRANGE(""https://docs.google.com/spreadsheets/d/1xlcVZWUNn6SuWm0c3"&amp;"07h32SiGkd9BaeQWlAktfD3KO8/edit?usp=sharing"",""เพชรบูรณ์!J88"")+IMPORTRANGE(""https://docs.google.com/spreadsheets/d/1lOVebEIsI9qjGXl6EX66luk7wiuP2tBaryw-wKvv4e0/edit?usp=sharing"",""แพร่!J88"")+IMPORTRANGE(""https://docs.google.com/spreadsheets/d/1dQrvX"&amp;"0vEcN7Gu0fnZ0B5S90AeR19zth4XlExFBeExMY/edit?usp=sharing"",""แม่ฮ่องสอน!J88"")+IMPORTRANGE(""https://docs.google.com/spreadsheets/d/1DY4XTNNwjluuxqdfdn6qvOSlMRrZqUtmYcZR0ttFiG4/edit?usp=sharing"",""ลำปาง!J88"")+IMPORTRANGE(""https://docs.google.com/spreads"&amp;"heets/d/1ICwG78r0OFT8biBlxnBF8r7she7gNSzOvJ958PWT09c/edit?usp=sharing"",""ลำพูน!J88"")+IMPORTRANGE(""https://docs.google.com/spreadsheets/d/1B0f2xJpZUC6Z0xXnqKlZtEPzsf6L84eP1r1Q15seqRM/edit?usp=sharing"",""สุโขทัย!J88"")+IMPORTRANGE(""https://docs.google."&amp;"com/spreadsheets/d/1v0b9pFQCsKUVExMei7AgY2yQkdeNQvtOssygGsXbiKo/edit?usp=sharing"",""อุตรดิตถ์!J88"")+IMPORTRANGE(""https://docs.google.com/spreadsheets/d/1UsNK1e-WWiCo2PvGqdNfdme4m17_Ezd3J69EeeiQPD0/edit?usp=sharing"",""อุทัยธานี!J88"")"),4)</f>
        <v>4</v>
      </c>
      <c r="K88" s="152">
        <f t="shared" ca="1" si="68"/>
        <v>100</v>
      </c>
      <c r="L88" s="136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jTcq05yEiRwXcBMLjiodW9e4biSGYWAHcDj22rKWQ3s/edit?usp=sharing"",""กำแพงเพชร!I89"")+IMPORTRANGE(""https://docs.google.com/spreadsheets/d/1KS0zmDSZPk8KnTAbGN-Xk6MtX1YRZD0ldgdt20K4CRk/edit?usp=sharing"","""&amp;"เชียงราย!I89"")+IMPORTRANGE(""https://docs.google.com/spreadsheets/d/1rEDxBtusbi64tE0zunoIbsTVV16HeL0oJ6trHQeQ7K8/edit?usp=sharing"",""เชียงใหม่!I89"")+IMPORTRANGE(""https://docs.google.com/spreadsheets/d/1W6MnUbDkMi6xHnHko_XkFDO9kkuL6Wqyc-6OCDFjW9I/edit?"&amp;"usp=sharing"",""ตาก!I89"")+IMPORTRANGE(""https://docs.google.com/spreadsheets/d/1IQAWArduLkta9LpYo4a_ULsyqdta6-6aDDiwpUnQT6c/edit?usp=sharing"",""นครสวรรค์!I89"")+IMPORTRANGE(""https://docs.google.com/spreadsheets/d/10s13Sk5xrltsiR-Zkbmk5DwIaDIKO8XlbJAfqy"&amp;"T7Gvg/edit?usp=sharing"",""น่าน!I89"")+IMPORTRANGE(""https://docs.google.com/spreadsheets/d/1uu4nAn4Dbi1XREnLKKotUANlKXa7yCgRcgq8HEzQYW8/edit?usp=sharing"",""พะเยา!I89"")+IMPORTRANGE(""https://docs.google.com/spreadsheets/d/1xfJKIQxVOaPDIICqsflNlLu3JacTDk"&amp;"1FP9RH4phX7mI/edit?usp=sharing"",""พิจิตร!I89"")+IMPORTRANGE(""https://docs.google.com/spreadsheets/d/1JtRfZkJMHtEhI5RdRHxYUG4FIZHqKDpNyIuN7A1Q0_k/edit?usp=sharing"",""พิษณุโลก!I89"")+IMPORTRANGE(""https://docs.google.com/spreadsheets/d/1xlcVZWUNn6SuWm0c3"&amp;"07h32SiGkd9BaeQWlAktfD3KO8/edit?usp=sharing"",""เพชรบูรณ์!I89"")+IMPORTRANGE(""https://docs.google.com/spreadsheets/d/1lOVebEIsI9qjGXl6EX66luk7wiuP2tBaryw-wKvv4e0/edit?usp=sharing"",""แพร่!I89"")+IMPORTRANGE(""https://docs.google.com/spreadsheets/d/1dQrvX"&amp;"0vEcN7Gu0fnZ0B5S90AeR19zth4XlExFBeExMY/edit?usp=sharing"",""แม่ฮ่องสอน!I89"")+IMPORTRANGE(""https://docs.google.com/spreadsheets/d/1DY4XTNNwjluuxqdfdn6qvOSlMRrZqUtmYcZR0ttFiG4/edit?usp=sharing"",""ลำปาง!I89"")+IMPORTRANGE(""https://docs.google.com/spreads"&amp;"heets/d/1ICwG78r0OFT8biBlxnBF8r7she7gNSzOvJ958PWT09c/edit?usp=sharing"",""ลำพูน!I89"")+IMPORTRANGE(""https://docs.google.com/spreadsheets/d/1B0f2xJpZUC6Z0xXnqKlZtEPzsf6L84eP1r1Q15seqRM/edit?usp=sharing"",""สุโขทัย!I89"")+IMPORTRANGE(""https://docs.google."&amp;"com/spreadsheets/d/1v0b9pFQCsKUVExMei7AgY2yQkdeNQvtOssygGsXbiKo/edit?usp=sharing"",""อุตรดิตถ์!I89"")+IMPORTRANGE(""https://docs.google.com/spreadsheets/d/1UsNK1e-WWiCo2PvGqdNfdme4m17_Ezd3J69EeeiQPD0/edit?usp=sharing"",""อุทัยธานี!I89"")"),157)</f>
        <v>157</v>
      </c>
      <c r="J89" s="151">
        <f ca="1">IFERROR(__xludf.DUMMYFUNCTION("IMPORTRANGE(""https://docs.google.com/spreadsheets/d/1jTcq05yEiRwXcBMLjiodW9e4biSGYWAHcDj22rKWQ3s/edit?usp=sharing"",""กำแพงเพชร!J89"")+IMPORTRANGE(""https://docs.google.com/spreadsheets/d/1KS0zmDSZPk8KnTAbGN-Xk6MtX1YRZD0ldgdt20K4CRk/edit?usp=sharing"","""&amp;"เชียงราย!J89"")+IMPORTRANGE(""https://docs.google.com/spreadsheets/d/1rEDxBtusbi64tE0zunoIbsTVV16HeL0oJ6trHQeQ7K8/edit?usp=sharing"",""เชียงใหม่!J89"")+IMPORTRANGE(""https://docs.google.com/spreadsheets/d/1W6MnUbDkMi6xHnHko_XkFDO9kkuL6Wqyc-6OCDFjW9I/edit?"&amp;"usp=sharing"",""ตาก!J89"")+IMPORTRANGE(""https://docs.google.com/spreadsheets/d/1IQAWArduLkta9LpYo4a_ULsyqdta6-6aDDiwpUnQT6c/edit?usp=sharing"",""นครสวรรค์!J89"")+IMPORTRANGE(""https://docs.google.com/spreadsheets/d/10s13Sk5xrltsiR-Zkbmk5DwIaDIKO8XlbJAfqy"&amp;"T7Gvg/edit?usp=sharing"",""น่าน!J89"")+IMPORTRANGE(""https://docs.google.com/spreadsheets/d/1uu4nAn4Dbi1XREnLKKotUANlKXa7yCgRcgq8HEzQYW8/edit?usp=sharing"",""พะเยา!J89"")+IMPORTRANGE(""https://docs.google.com/spreadsheets/d/1xfJKIQxVOaPDIICqsflNlLu3JacTDk"&amp;"1FP9RH4phX7mI/edit?usp=sharing"",""พิจิตร!J89"")+IMPORTRANGE(""https://docs.google.com/spreadsheets/d/1JtRfZkJMHtEhI5RdRHxYUG4FIZHqKDpNyIuN7A1Q0_k/edit?usp=sharing"",""พิษณุโลก!J89"")+IMPORTRANGE(""https://docs.google.com/spreadsheets/d/1xlcVZWUNn6SuWm0c3"&amp;"07h32SiGkd9BaeQWlAktfD3KO8/edit?usp=sharing"",""เพชรบูรณ์!J89"")+IMPORTRANGE(""https://docs.google.com/spreadsheets/d/1lOVebEIsI9qjGXl6EX66luk7wiuP2tBaryw-wKvv4e0/edit?usp=sharing"",""แพร่!J89"")+IMPORTRANGE(""https://docs.google.com/spreadsheets/d/1dQrvX"&amp;"0vEcN7Gu0fnZ0B5S90AeR19zth4XlExFBeExMY/edit?usp=sharing"",""แม่ฮ่องสอน!J89"")+IMPORTRANGE(""https://docs.google.com/spreadsheets/d/1DY4XTNNwjluuxqdfdn6qvOSlMRrZqUtmYcZR0ttFiG4/edit?usp=sharing"",""ลำปาง!J89"")+IMPORTRANGE(""https://docs.google.com/spreads"&amp;"heets/d/1ICwG78r0OFT8biBlxnBF8r7she7gNSzOvJ958PWT09c/edit?usp=sharing"",""ลำพูน!J89"")+IMPORTRANGE(""https://docs.google.com/spreadsheets/d/1B0f2xJpZUC6Z0xXnqKlZtEPzsf6L84eP1r1Q15seqRM/edit?usp=sharing"",""สุโขทัย!J89"")+IMPORTRANGE(""https://docs.google."&amp;"com/spreadsheets/d/1v0b9pFQCsKUVExMei7AgY2yQkdeNQvtOssygGsXbiKo/edit?usp=sharing"",""อุตรดิตถ์!J89"")+IMPORTRANGE(""https://docs.google.com/spreadsheets/d/1UsNK1e-WWiCo2PvGqdNfdme4m17_Ezd3J69EeeiQPD0/edit?usp=sharing"",""อุทัยธานี!J89"")"),157)</f>
        <v>157</v>
      </c>
      <c r="K89" s="152">
        <f t="shared" ca="1" si="68"/>
        <v>100</v>
      </c>
      <c r="L89" s="136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3" t="s">
        <v>34</v>
      </c>
      <c r="I90" s="151">
        <f ca="1">IFERROR(__xludf.DUMMYFUNCTION("IMPORTRANGE(""https://docs.google.com/spreadsheets/d/1jTcq05yEiRwXcBMLjiodW9e4biSGYWAHcDj22rKWQ3s/edit?usp=sharing"",""กำแพงเพชร!I90"")+IMPORTRANGE(""https://docs.google.com/spreadsheets/d/1KS0zmDSZPk8KnTAbGN-Xk6MtX1YRZD0ldgdt20K4CRk/edit?usp=sharing"","""&amp;"เชียงราย!I90"")+IMPORTRANGE(""https://docs.google.com/spreadsheets/d/1rEDxBtusbi64tE0zunoIbsTVV16HeL0oJ6trHQeQ7K8/edit?usp=sharing"",""เชียงใหม่!I90"")+IMPORTRANGE(""https://docs.google.com/spreadsheets/d/1W6MnUbDkMi6xHnHko_XkFDO9kkuL6Wqyc-6OCDFjW9I/edit?"&amp;"usp=sharing"",""ตาก!I90"")+IMPORTRANGE(""https://docs.google.com/spreadsheets/d/1IQAWArduLkta9LpYo4a_ULsyqdta6-6aDDiwpUnQT6c/edit?usp=sharing"",""นครสวรรค์!I90"")+IMPORTRANGE(""https://docs.google.com/spreadsheets/d/10s13Sk5xrltsiR-Zkbmk5DwIaDIKO8XlbJAfqy"&amp;"T7Gvg/edit?usp=sharing"",""น่าน!I90"")+IMPORTRANGE(""https://docs.google.com/spreadsheets/d/1uu4nAn4Dbi1XREnLKKotUANlKXa7yCgRcgq8HEzQYW8/edit?usp=sharing"",""พะเยา!I90"")+IMPORTRANGE(""https://docs.google.com/spreadsheets/d/1xfJKIQxVOaPDIICqsflNlLu3JacTDk"&amp;"1FP9RH4phX7mI/edit?usp=sharing"",""พิจิตร!I90"")+IMPORTRANGE(""https://docs.google.com/spreadsheets/d/1JtRfZkJMHtEhI5RdRHxYUG4FIZHqKDpNyIuN7A1Q0_k/edit?usp=sharing"",""พิษณุโลก!I90"")+IMPORTRANGE(""https://docs.google.com/spreadsheets/d/1xlcVZWUNn6SuWm0c3"&amp;"07h32SiGkd9BaeQWlAktfD3KO8/edit?usp=sharing"",""เพชรบูรณ์!I90"")+IMPORTRANGE(""https://docs.google.com/spreadsheets/d/1lOVebEIsI9qjGXl6EX66luk7wiuP2tBaryw-wKvv4e0/edit?usp=sharing"",""แพร่!I90"")+IMPORTRANGE(""https://docs.google.com/spreadsheets/d/1dQrvX"&amp;"0vEcN7Gu0fnZ0B5S90AeR19zth4XlExFBeExMY/edit?usp=sharing"",""แม่ฮ่องสอน!I90"")+IMPORTRANGE(""https://docs.google.com/spreadsheets/d/1DY4XTNNwjluuxqdfdn6qvOSlMRrZqUtmYcZR0ttFiG4/edit?usp=sharing"",""ลำปาง!I90"")+IMPORTRANGE(""https://docs.google.com/spreads"&amp;"heets/d/1ICwG78r0OFT8biBlxnBF8r7she7gNSzOvJ958PWT09c/edit?usp=sharing"",""ลำพูน!I90"")+IMPORTRANGE(""https://docs.google.com/spreadsheets/d/1B0f2xJpZUC6Z0xXnqKlZtEPzsf6L84eP1r1Q15seqRM/edit?usp=sharing"",""สุโขทัย!I90"")+IMPORTRANGE(""https://docs.google."&amp;"com/spreadsheets/d/1v0b9pFQCsKUVExMei7AgY2yQkdeNQvtOssygGsXbiKo/edit?usp=sharing"",""อุตรดิตถ์!I90"")+IMPORTRANGE(""https://docs.google.com/spreadsheets/d/1UsNK1e-WWiCo2PvGqdNfdme4m17_Ezd3J69EeeiQPD0/edit?usp=sharing"",""อุทัยธานี!I90"")"),16)</f>
        <v>16</v>
      </c>
      <c r="J90" s="151">
        <f ca="1">IFERROR(__xludf.DUMMYFUNCTION("IMPORTRANGE(""https://docs.google.com/spreadsheets/d/1jTcq05yEiRwXcBMLjiodW9e4biSGYWAHcDj22rKWQ3s/edit?usp=sharing"",""กำแพงเพชร!J90"")+IMPORTRANGE(""https://docs.google.com/spreadsheets/d/1KS0zmDSZPk8KnTAbGN-Xk6MtX1YRZD0ldgdt20K4CRk/edit?usp=sharing"","""&amp;"เชียงราย!J90"")+IMPORTRANGE(""https://docs.google.com/spreadsheets/d/1rEDxBtusbi64tE0zunoIbsTVV16HeL0oJ6trHQeQ7K8/edit?usp=sharing"",""เชียงใหม่!J90"")+IMPORTRANGE(""https://docs.google.com/spreadsheets/d/1W6MnUbDkMi6xHnHko_XkFDO9kkuL6Wqyc-6OCDFjW9I/edit?"&amp;"usp=sharing"",""ตาก!J90"")+IMPORTRANGE(""https://docs.google.com/spreadsheets/d/1IQAWArduLkta9LpYo4a_ULsyqdta6-6aDDiwpUnQT6c/edit?usp=sharing"",""นครสวรรค์!J90"")+IMPORTRANGE(""https://docs.google.com/spreadsheets/d/10s13Sk5xrltsiR-Zkbmk5DwIaDIKO8XlbJAfqy"&amp;"T7Gvg/edit?usp=sharing"",""น่าน!J90"")+IMPORTRANGE(""https://docs.google.com/spreadsheets/d/1uu4nAn4Dbi1XREnLKKotUANlKXa7yCgRcgq8HEzQYW8/edit?usp=sharing"",""พะเยา!J90"")+IMPORTRANGE(""https://docs.google.com/spreadsheets/d/1xfJKIQxVOaPDIICqsflNlLu3JacTDk"&amp;"1FP9RH4phX7mI/edit?usp=sharing"",""พิจิตร!J90"")+IMPORTRANGE(""https://docs.google.com/spreadsheets/d/1JtRfZkJMHtEhI5RdRHxYUG4FIZHqKDpNyIuN7A1Q0_k/edit?usp=sharing"",""พิษณุโลก!J90"")+IMPORTRANGE(""https://docs.google.com/spreadsheets/d/1xlcVZWUNn6SuWm0c3"&amp;"07h32SiGkd9BaeQWlAktfD3KO8/edit?usp=sharing"",""เพชรบูรณ์!J90"")+IMPORTRANGE(""https://docs.google.com/spreadsheets/d/1lOVebEIsI9qjGXl6EX66luk7wiuP2tBaryw-wKvv4e0/edit?usp=sharing"",""แพร่!J90"")+IMPORTRANGE(""https://docs.google.com/spreadsheets/d/1dQrvX"&amp;"0vEcN7Gu0fnZ0B5S90AeR19zth4XlExFBeExMY/edit?usp=sharing"",""แม่ฮ่องสอน!J90"")+IMPORTRANGE(""https://docs.google.com/spreadsheets/d/1DY4XTNNwjluuxqdfdn6qvOSlMRrZqUtmYcZR0ttFiG4/edit?usp=sharing"",""ลำปาง!J90"")+IMPORTRANGE(""https://docs.google.com/spreads"&amp;"heets/d/1ICwG78r0OFT8biBlxnBF8r7she7gNSzOvJ958PWT09c/edit?usp=sharing"",""ลำพูน!J90"")+IMPORTRANGE(""https://docs.google.com/spreadsheets/d/1B0f2xJpZUC6Z0xXnqKlZtEPzsf6L84eP1r1Q15seqRM/edit?usp=sharing"",""สุโขทัย!J90"")+IMPORTRANGE(""https://docs.google."&amp;"com/spreadsheets/d/1v0b9pFQCsKUVExMei7AgY2yQkdeNQvtOssygGsXbiKo/edit?usp=sharing"",""อุตรดิตถ์!J90"")+IMPORTRANGE(""https://docs.google.com/spreadsheets/d/1UsNK1e-WWiCo2PvGqdNfdme4m17_Ezd3J69EeeiQPD0/edit?usp=sharing"",""อุทัยธานี!J90"")"),5)</f>
        <v>5</v>
      </c>
      <c r="K90" s="152">
        <f t="shared" ca="1" si="68"/>
        <v>31.25</v>
      </c>
      <c r="L90" s="136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54"/>
      <c r="I91" s="122"/>
      <c r="J91" s="122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8" t="s">
        <v>45</v>
      </c>
      <c r="C92" s="27"/>
      <c r="D92" s="125"/>
      <c r="E92" s="27"/>
      <c r="F92" s="27"/>
      <c r="G92" s="30"/>
      <c r="H92" s="155" t="s">
        <v>46</v>
      </c>
      <c r="I92" s="127">
        <f t="shared" ref="I92:J92" ca="1" si="70">I108</f>
        <v>390</v>
      </c>
      <c r="J92" s="127">
        <f t="shared" ca="1" si="70"/>
        <v>90</v>
      </c>
      <c r="K92" s="34">
        <f t="shared" ref="K92:K93" ca="1" si="71">IF(I92&gt;0,J92*100/I92,0)</f>
        <v>23.076923076923077</v>
      </c>
      <c r="L92" s="33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19.5" x14ac:dyDescent="0.3">
      <c r="A93" s="124"/>
      <c r="B93" s="27"/>
      <c r="C93" s="27"/>
      <c r="D93" s="125"/>
      <c r="E93" s="27"/>
      <c r="F93" s="27"/>
      <c r="G93" s="30"/>
      <c r="H93" s="155" t="s">
        <v>35</v>
      </c>
      <c r="I93" s="127">
        <f t="shared" ref="I93:J93" ca="1" si="72">I109</f>
        <v>130</v>
      </c>
      <c r="J93" s="127">
        <f t="shared" ca="1" si="72"/>
        <v>50</v>
      </c>
      <c r="K93" s="34">
        <f t="shared" ca="1" si="71"/>
        <v>38.46153846153846</v>
      </c>
      <c r="L93" s="33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19.5" x14ac:dyDescent="0.3">
      <c r="A94" s="128"/>
      <c r="B94" s="40"/>
      <c r="C94" s="129" t="s">
        <v>18</v>
      </c>
      <c r="D94" s="130" t="s">
        <v>19</v>
      </c>
      <c r="E94" s="40"/>
      <c r="F94" s="40"/>
      <c r="G94" s="42"/>
      <c r="H94" s="131" t="s">
        <v>14</v>
      </c>
      <c r="I94" s="44"/>
      <c r="J94" s="44"/>
      <c r="K94" s="45"/>
      <c r="L94" s="132">
        <f t="shared" ref="L94:N94" ca="1" si="73">L95+L96</f>
        <v>136300</v>
      </c>
      <c r="M94" s="132">
        <f t="shared" ca="1" si="73"/>
        <v>217000</v>
      </c>
      <c r="N94" s="132">
        <f t="shared" ca="1" si="73"/>
        <v>99917.9</v>
      </c>
      <c r="O94" s="132">
        <f t="shared" ref="O94:O102" ca="1" si="74">IF(L94&gt;0,N94*100/L94,0)</f>
        <v>73.307336757153337</v>
      </c>
      <c r="P94" s="132">
        <f t="shared" ref="P94:P102" ca="1" si="75">IF(M94&gt;0,N94*100/M94,0)</f>
        <v>46.045115207373271</v>
      </c>
      <c r="Q94" s="132">
        <f t="shared" ref="Q94:S94" ca="1" si="76">Q95+Q96</f>
        <v>942780</v>
      </c>
      <c r="R94" s="132">
        <f t="shared" ca="1" si="76"/>
        <v>942780</v>
      </c>
      <c r="S94" s="132">
        <f t="shared" ca="1" si="76"/>
        <v>289839.5</v>
      </c>
      <c r="T94" s="132">
        <f t="shared" ref="T94:T102" ca="1" si="77">IF(Q94&gt;0,S94*100/Q94,0)</f>
        <v>30.743068372260762</v>
      </c>
      <c r="U94" s="132">
        <f t="shared" ref="U94:U102" ca="1" si="78">IF(R94&gt;0,S94*100/R94,0)</f>
        <v>30.743068372260762</v>
      </c>
    </row>
    <row r="95" spans="1:21" ht="18.75" x14ac:dyDescent="0.25">
      <c r="A95" s="128"/>
      <c r="B95" s="40"/>
      <c r="C95" s="40"/>
      <c r="D95" s="40"/>
      <c r="E95" s="156" t="s">
        <v>20</v>
      </c>
      <c r="F95" s="40"/>
      <c r="G95" s="42"/>
      <c r="H95" s="157" t="s">
        <v>14</v>
      </c>
      <c r="I95" s="44"/>
      <c r="J95" s="44"/>
      <c r="K95" s="45"/>
      <c r="L95" s="48">
        <f t="shared" ref="L95:N95" ca="1" si="79">L98+L101</f>
        <v>0</v>
      </c>
      <c r="M95" s="48">
        <f t="shared" ca="1" si="79"/>
        <v>0</v>
      </c>
      <c r="N95" s="48">
        <f t="shared" ca="1" si="79"/>
        <v>0</v>
      </c>
      <c r="O95" s="48">
        <f t="shared" ca="1" si="74"/>
        <v>0</v>
      </c>
      <c r="P95" s="48">
        <f t="shared" ca="1" si="75"/>
        <v>0</v>
      </c>
      <c r="Q95" s="48">
        <f t="shared" ref="Q95:S95" ca="1" si="80">Q98+Q101</f>
        <v>0</v>
      </c>
      <c r="R95" s="48">
        <f t="shared" ca="1" si="80"/>
        <v>0</v>
      </c>
      <c r="S95" s="48">
        <f t="shared" ca="1" si="80"/>
        <v>0</v>
      </c>
      <c r="T95" s="48">
        <f t="shared" ca="1" si="77"/>
        <v>0</v>
      </c>
      <c r="U95" s="48">
        <f t="shared" ca="1" si="78"/>
        <v>0</v>
      </c>
    </row>
    <row r="96" spans="1:21" ht="18.75" x14ac:dyDescent="0.25">
      <c r="A96" s="128"/>
      <c r="B96" s="40"/>
      <c r="C96" s="40"/>
      <c r="D96" s="40"/>
      <c r="E96" s="47" t="s">
        <v>21</v>
      </c>
      <c r="F96" s="40"/>
      <c r="G96" s="42"/>
      <c r="H96" s="133" t="s">
        <v>14</v>
      </c>
      <c r="I96" s="44"/>
      <c r="J96" s="44"/>
      <c r="K96" s="45"/>
      <c r="L96" s="46">
        <f t="shared" ref="L96:N96" ca="1" si="81">L99+L102</f>
        <v>136300</v>
      </c>
      <c r="M96" s="46">
        <f t="shared" ca="1" si="81"/>
        <v>217000</v>
      </c>
      <c r="N96" s="46">
        <f t="shared" ca="1" si="81"/>
        <v>99917.9</v>
      </c>
      <c r="O96" s="46">
        <f t="shared" ca="1" si="74"/>
        <v>73.307336757153337</v>
      </c>
      <c r="P96" s="46">
        <f t="shared" ca="1" si="75"/>
        <v>46.045115207373271</v>
      </c>
      <c r="Q96" s="46">
        <f t="shared" ref="Q96:S96" ca="1" si="82">Q99+Q102</f>
        <v>942780</v>
      </c>
      <c r="R96" s="46">
        <f t="shared" ca="1" si="82"/>
        <v>942780</v>
      </c>
      <c r="S96" s="46">
        <f t="shared" ca="1" si="82"/>
        <v>289839.5</v>
      </c>
      <c r="T96" s="46">
        <f t="shared" ca="1" si="77"/>
        <v>30.743068372260762</v>
      </c>
      <c r="U96" s="46">
        <f t="shared" ca="1" si="78"/>
        <v>30.743068372260762</v>
      </c>
    </row>
    <row r="97" spans="1:21" ht="18.75" x14ac:dyDescent="0.25">
      <c r="A97" s="128"/>
      <c r="B97" s="158"/>
      <c r="C97" s="40"/>
      <c r="D97" s="41" t="s">
        <v>22</v>
      </c>
      <c r="E97" s="40"/>
      <c r="F97" s="40"/>
      <c r="G97" s="42"/>
      <c r="H97" s="134" t="s">
        <v>14</v>
      </c>
      <c r="I97" s="135"/>
      <c r="J97" s="135"/>
      <c r="K97" s="136"/>
      <c r="L97" s="46">
        <f t="shared" ref="L97:N97" ca="1" si="83">L98+L99</f>
        <v>136300</v>
      </c>
      <c r="M97" s="46">
        <f t="shared" ca="1" si="83"/>
        <v>217000</v>
      </c>
      <c r="N97" s="46">
        <f t="shared" ca="1" si="83"/>
        <v>99917.9</v>
      </c>
      <c r="O97" s="46">
        <f t="shared" ca="1" si="74"/>
        <v>73.307336757153337</v>
      </c>
      <c r="P97" s="46">
        <f t="shared" ca="1" si="75"/>
        <v>46.045115207373271</v>
      </c>
      <c r="Q97" s="46">
        <f t="shared" ref="Q97:S97" ca="1" si="84">Q98+Q99</f>
        <v>942780</v>
      </c>
      <c r="R97" s="46">
        <f t="shared" ca="1" si="84"/>
        <v>942780</v>
      </c>
      <c r="S97" s="46">
        <f t="shared" ca="1" si="84"/>
        <v>289839.5</v>
      </c>
      <c r="T97" s="46">
        <f t="shared" ca="1" si="77"/>
        <v>30.743068372260762</v>
      </c>
      <c r="U97" s="46">
        <f t="shared" ca="1" si="78"/>
        <v>30.743068372260762</v>
      </c>
    </row>
    <row r="98" spans="1:21" ht="18.75" x14ac:dyDescent="0.25">
      <c r="A98" s="128"/>
      <c r="B98" s="158"/>
      <c r="C98" s="158"/>
      <c r="D98" s="40"/>
      <c r="E98" s="156" t="s">
        <v>36</v>
      </c>
      <c r="F98" s="40"/>
      <c r="G98" s="42"/>
      <c r="H98" s="159" t="s">
        <v>14</v>
      </c>
      <c r="I98" s="135"/>
      <c r="J98" s="135"/>
      <c r="K98" s="136"/>
      <c r="L98" s="48">
        <f ca="1">IFERROR(__xludf.DUMMYFUNCTION("IMPORTRANGE(""https://docs.google.com/spreadsheets/d/1jTcq05yEiRwXcBMLjiodW9e4biSGYWAHcDj22rKWQ3s/edit?usp=sharing"",""กำแพงเพชร!L98"")+IMPORTRANGE(""https://docs.google.com/spreadsheets/d/1KS0zmDSZPk8KnTAbGN-Xk6MtX1YRZD0ldgdt20K4CRk/edit?usp=sharing"","""&amp;"เชียงราย!L98"")+IMPORTRANGE(""https://docs.google.com/spreadsheets/d/1rEDxBtusbi64tE0zunoIbsTVV16HeL0oJ6trHQeQ7K8/edit?usp=sharing"",""เชียงใหม่!L98"")+IMPORTRANGE(""https://docs.google.com/spreadsheets/d/1W6MnUbDkMi6xHnHko_XkFDO9kkuL6Wqyc-6OCDFjW9I/edit?"&amp;"usp=sharing"",""ตาก!L98"")+IMPORTRANGE(""https://docs.google.com/spreadsheets/d/1IQAWArduLkta9LpYo4a_ULsyqdta6-6aDDiwpUnQT6c/edit?usp=sharing"",""นครสวรรค์!L98"")+IMPORTRANGE(""https://docs.google.com/spreadsheets/d/10s13Sk5xrltsiR-Zkbmk5DwIaDIKO8XlbJAfqy"&amp;"T7Gvg/edit?usp=sharing"",""น่าน!L98"")+IMPORTRANGE(""https://docs.google.com/spreadsheets/d/1uu4nAn4Dbi1XREnLKKotUANlKXa7yCgRcgq8HEzQYW8/edit?usp=sharing"",""พะเยา!L98"")+IMPORTRANGE(""https://docs.google.com/spreadsheets/d/1xfJKIQxVOaPDIICqsflNlLu3JacTDk"&amp;"1FP9RH4phX7mI/edit?usp=sharing"",""พิจิตร!L98"")+IMPORTRANGE(""https://docs.google.com/spreadsheets/d/1JtRfZkJMHtEhI5RdRHxYUG4FIZHqKDpNyIuN7A1Q0_k/edit?usp=sharing"",""พิษณุโลก!L98"")+IMPORTRANGE(""https://docs.google.com/spreadsheets/d/1xlcVZWUNn6SuWm0c3"&amp;"07h32SiGkd9BaeQWlAktfD3KO8/edit?usp=sharing"",""เพชรบูรณ์!L98"")+IMPORTRANGE(""https://docs.google.com/spreadsheets/d/1lOVebEIsI9qjGXl6EX66luk7wiuP2tBaryw-wKvv4e0/edit?usp=sharing"",""แพร่!L98"")+IMPORTRANGE(""https://docs.google.com/spreadsheets/d/1dQrvX"&amp;"0vEcN7Gu0fnZ0B5S90AeR19zth4XlExFBeExMY/edit?usp=sharing"",""แม่ฮ่องสอน!L98"")+IMPORTRANGE(""https://docs.google.com/spreadsheets/d/1DY4XTNNwjluuxqdfdn6qvOSlMRrZqUtmYcZR0ttFiG4/edit?usp=sharing"",""ลำปาง!L98"")+IMPORTRANGE(""https://docs.google.com/spreads"&amp;"heets/d/1ICwG78r0OFT8biBlxnBF8r7she7gNSzOvJ958PWT09c/edit?usp=sharing"",""ลำพูน!L98"")+IMPORTRANGE(""https://docs.google.com/spreadsheets/d/1B0f2xJpZUC6Z0xXnqKlZtEPzsf6L84eP1r1Q15seqRM/edit?usp=sharing"",""สุโขทัย!L98"")+IMPORTRANGE(""https://docs.google."&amp;"com/spreadsheets/d/1v0b9pFQCsKUVExMei7AgY2yQkdeNQvtOssygGsXbiKo/edit?usp=sharing"",""อุตรดิตถ์!L98"")+IMPORTRANGE(""https://docs.google.com/spreadsheets/d/1UsNK1e-WWiCo2PvGqdNfdme4m17_Ezd3J69EeeiQPD0/edit?usp=sharing"",""อุทัยธานี!L98"")"),0)</f>
        <v>0</v>
      </c>
      <c r="M98" s="48">
        <f ca="1">IFERROR(__xludf.DUMMYFUNCTION("IMPORTRANGE(""https://docs.google.com/spreadsheets/d/1jTcq05yEiRwXcBMLjiodW9e4biSGYWAHcDj22rKWQ3s/edit?usp=sharing"",""กำแพงเพชร!M98"")+IMPORTRANGE(""https://docs.google.com/spreadsheets/d/1KS0zmDSZPk8KnTAbGN-Xk6MtX1YRZD0ldgdt20K4CRk/edit?usp=sharing"","""&amp;"เชียงราย!M98"")+IMPORTRANGE(""https://docs.google.com/spreadsheets/d/1rEDxBtusbi64tE0zunoIbsTVV16HeL0oJ6trHQeQ7K8/edit?usp=sharing"",""เชียงใหม่!M98"")+IMPORTRANGE(""https://docs.google.com/spreadsheets/d/1W6MnUbDkMi6xHnHko_XkFDO9kkuL6Wqyc-6OCDFjW9I/edit?"&amp;"usp=sharing"",""ตาก!M98"")+IMPORTRANGE(""https://docs.google.com/spreadsheets/d/1IQAWArduLkta9LpYo4a_ULsyqdta6-6aDDiwpUnQT6c/edit?usp=sharing"",""นครสวรรค์!M98"")+IMPORTRANGE(""https://docs.google.com/spreadsheets/d/10s13Sk5xrltsiR-Zkbmk5DwIaDIKO8XlbJAfqy"&amp;"T7Gvg/edit?usp=sharing"",""น่าน!M98"")+IMPORTRANGE(""https://docs.google.com/spreadsheets/d/1uu4nAn4Dbi1XREnLKKotUANlKXa7yCgRcgq8HEzQYW8/edit?usp=sharing"",""พะเยา!M98"")+IMPORTRANGE(""https://docs.google.com/spreadsheets/d/1xfJKIQxVOaPDIICqsflNlLu3JacTDk"&amp;"1FP9RH4phX7mI/edit?usp=sharing"",""พิจิตร!M98"")+IMPORTRANGE(""https://docs.google.com/spreadsheets/d/1JtRfZkJMHtEhI5RdRHxYUG4FIZHqKDpNyIuN7A1Q0_k/edit?usp=sharing"",""พิษณุโลก!M98"")+IMPORTRANGE(""https://docs.google.com/spreadsheets/d/1xlcVZWUNn6SuWm0c3"&amp;"07h32SiGkd9BaeQWlAktfD3KO8/edit?usp=sharing"",""เพชรบูรณ์!M98"")+IMPORTRANGE(""https://docs.google.com/spreadsheets/d/1lOVebEIsI9qjGXl6EX66luk7wiuP2tBaryw-wKvv4e0/edit?usp=sharing"",""แพร่!M98"")+IMPORTRANGE(""https://docs.google.com/spreadsheets/d/1dQrvX"&amp;"0vEcN7Gu0fnZ0B5S90AeR19zth4XlExFBeExMY/edit?usp=sharing"",""แม่ฮ่องสอน!M98"")+IMPORTRANGE(""https://docs.google.com/spreadsheets/d/1DY4XTNNwjluuxqdfdn6qvOSlMRrZqUtmYcZR0ttFiG4/edit?usp=sharing"",""ลำปาง!M98"")+IMPORTRANGE(""https://docs.google.com/spreads"&amp;"heets/d/1ICwG78r0OFT8biBlxnBF8r7she7gNSzOvJ958PWT09c/edit?usp=sharing"",""ลำพูน!M98"")+IMPORTRANGE(""https://docs.google.com/spreadsheets/d/1B0f2xJpZUC6Z0xXnqKlZtEPzsf6L84eP1r1Q15seqRM/edit?usp=sharing"",""สุโขทัย!M98"")+IMPORTRANGE(""https://docs.google."&amp;"com/spreadsheets/d/1v0b9pFQCsKUVExMei7AgY2yQkdeNQvtOssygGsXbiKo/edit?usp=sharing"",""อุตรดิตถ์!M98"")+IMPORTRANGE(""https://docs.google.com/spreadsheets/d/1UsNK1e-WWiCo2PvGqdNfdme4m17_Ezd3J69EeeiQPD0/edit?usp=sharing"",""อุทัยธานี!M98"")"),0)</f>
        <v>0</v>
      </c>
      <c r="N98" s="48">
        <f ca="1">IFERROR(__xludf.DUMMYFUNCTION("IMPORTRANGE(""https://docs.google.com/spreadsheets/d/1jTcq05yEiRwXcBMLjiodW9e4biSGYWAHcDj22rKWQ3s/edit?usp=sharing"",""กำแพงเพชร!N98"")+IMPORTRANGE(""https://docs.google.com/spreadsheets/d/1KS0zmDSZPk8KnTAbGN-Xk6MtX1YRZD0ldgdt20K4CRk/edit?usp=sharing"","""&amp;"เชียงราย!N98"")+IMPORTRANGE(""https://docs.google.com/spreadsheets/d/1rEDxBtusbi64tE0zunoIbsTVV16HeL0oJ6trHQeQ7K8/edit?usp=sharing"",""เชียงใหม่!N98"")+IMPORTRANGE(""https://docs.google.com/spreadsheets/d/1W6MnUbDkMi6xHnHko_XkFDO9kkuL6Wqyc-6OCDFjW9I/edit?"&amp;"usp=sharing"",""ตาก!N98"")+IMPORTRANGE(""https://docs.google.com/spreadsheets/d/1IQAWArduLkta9LpYo4a_ULsyqdta6-6aDDiwpUnQT6c/edit?usp=sharing"",""นครสวรรค์!N98"")+IMPORTRANGE(""https://docs.google.com/spreadsheets/d/10s13Sk5xrltsiR-Zkbmk5DwIaDIKO8XlbJAfqy"&amp;"T7Gvg/edit?usp=sharing"",""น่าน!N98"")+IMPORTRANGE(""https://docs.google.com/spreadsheets/d/1uu4nAn4Dbi1XREnLKKotUANlKXa7yCgRcgq8HEzQYW8/edit?usp=sharing"",""พะเยา!N98"")+IMPORTRANGE(""https://docs.google.com/spreadsheets/d/1xfJKIQxVOaPDIICqsflNlLu3JacTDk"&amp;"1FP9RH4phX7mI/edit?usp=sharing"",""พิจิตร!N98"")+IMPORTRANGE(""https://docs.google.com/spreadsheets/d/1JtRfZkJMHtEhI5RdRHxYUG4FIZHqKDpNyIuN7A1Q0_k/edit?usp=sharing"",""พิษณุโลก!N98"")+IMPORTRANGE(""https://docs.google.com/spreadsheets/d/1xlcVZWUNn6SuWm0c3"&amp;"07h32SiGkd9BaeQWlAktfD3KO8/edit?usp=sharing"",""เพชรบูรณ์!N98"")+IMPORTRANGE(""https://docs.google.com/spreadsheets/d/1lOVebEIsI9qjGXl6EX66luk7wiuP2tBaryw-wKvv4e0/edit?usp=sharing"",""แพร่!N98"")+IMPORTRANGE(""https://docs.google.com/spreadsheets/d/1dQrvX"&amp;"0vEcN7Gu0fnZ0B5S90AeR19zth4XlExFBeExMY/edit?usp=sharing"",""แม่ฮ่องสอน!N98"")+IMPORTRANGE(""https://docs.google.com/spreadsheets/d/1DY4XTNNwjluuxqdfdn6qvOSlMRrZqUtmYcZR0ttFiG4/edit?usp=sharing"",""ลำปาง!N98"")+IMPORTRANGE(""https://docs.google.com/spreads"&amp;"heets/d/1ICwG78r0OFT8biBlxnBF8r7she7gNSzOvJ958PWT09c/edit?usp=sharing"",""ลำพูน!N98"")+IMPORTRANGE(""https://docs.google.com/spreadsheets/d/1B0f2xJpZUC6Z0xXnqKlZtEPzsf6L84eP1r1Q15seqRM/edit?usp=sharing"",""สุโขทัย!N98"")+IMPORTRANGE(""https://docs.google."&amp;"com/spreadsheets/d/1v0b9pFQCsKUVExMei7AgY2yQkdeNQvtOssygGsXbiKo/edit?usp=sharing"",""อุตรดิตถ์!N98"")+IMPORTRANGE(""https://docs.google.com/spreadsheets/d/1UsNK1e-WWiCo2PvGqdNfdme4m17_Ezd3J69EeeiQPD0/edit?usp=sharing"",""อุทัยธานี!N98"")"),0)</f>
        <v>0</v>
      </c>
      <c r="O98" s="48">
        <f t="shared" ca="1" si="74"/>
        <v>0</v>
      </c>
      <c r="P98" s="48">
        <f t="shared" ca="1" si="75"/>
        <v>0</v>
      </c>
      <c r="Q98" s="48">
        <f ca="1">IFERROR(__xludf.DUMMYFUNCTION("IMPORTRANGE(""https://docs.google.com/spreadsheets/d/1jTcq05yEiRwXcBMLjiodW9e4biSGYWAHcDj22rKWQ3s/edit?usp=sharing"",""กำแพงเพชร!Q98"")+IMPORTRANGE(""https://docs.google.com/spreadsheets/d/1KS0zmDSZPk8KnTAbGN-Xk6MtX1YRZD0ldgdt20K4CRk/edit?usp=sharing"","""&amp;"เชียงราย!Q98"")+IMPORTRANGE(""https://docs.google.com/spreadsheets/d/1rEDxBtusbi64tE0zunoIbsTVV16HeL0oJ6trHQeQ7K8/edit?usp=sharing"",""เชียงใหม่!Q98"")+IMPORTRANGE(""https://docs.google.com/spreadsheets/d/1W6MnUbDkMi6xHnHko_XkFDO9kkuL6Wqyc-6OCDFjW9I/edit?"&amp;"usp=sharing"",""ตาก!Q98"")+IMPORTRANGE(""https://docs.google.com/spreadsheets/d/1IQAWArduLkta9LpYo4a_ULsyqdta6-6aDDiwpUnQT6c/edit?usp=sharing"",""นครสวรรค์!Q98"")+IMPORTRANGE(""https://docs.google.com/spreadsheets/d/10s13Sk5xrltsiR-Zkbmk5DwIaDIKO8XlbJAfqy"&amp;"T7Gvg/edit?usp=sharing"",""น่าน!Q98"")+IMPORTRANGE(""https://docs.google.com/spreadsheets/d/1uu4nAn4Dbi1XREnLKKotUANlKXa7yCgRcgq8HEzQYW8/edit?usp=sharing"",""พะเยา!Q98"")+IMPORTRANGE(""https://docs.google.com/spreadsheets/d/1xfJKIQxVOaPDIICqsflNlLu3JacTDk"&amp;"1FP9RH4phX7mI/edit?usp=sharing"",""พิจิตร!Q98"")+IMPORTRANGE(""https://docs.google.com/spreadsheets/d/1JtRfZkJMHtEhI5RdRHxYUG4FIZHqKDpNyIuN7A1Q0_k/edit?usp=sharing"",""พิษณุโลก!Q98"")+IMPORTRANGE(""https://docs.google.com/spreadsheets/d/1xlcVZWUNn6SuWm0c3"&amp;"07h32SiGkd9BaeQWlAktfD3KO8/edit?usp=sharing"",""เพชรบูรณ์!Q98"")+IMPORTRANGE(""https://docs.google.com/spreadsheets/d/1lOVebEIsI9qjGXl6EX66luk7wiuP2tBaryw-wKvv4e0/edit?usp=sharing"",""แพร่!Q98"")+IMPORTRANGE(""https://docs.google.com/spreadsheets/d/1dQrvX"&amp;"0vEcN7Gu0fnZ0B5S90AeR19zth4XlExFBeExMY/edit?usp=sharing"",""แม่ฮ่องสอน!Q98"")+IMPORTRANGE(""https://docs.google.com/spreadsheets/d/1DY4XTNNwjluuxqdfdn6qvOSlMRrZqUtmYcZR0ttFiG4/edit?usp=sharing"",""ลำปาง!Q98"")+IMPORTRANGE(""https://docs.google.com/spreads"&amp;"heets/d/1ICwG78r0OFT8biBlxnBF8r7she7gNSzOvJ958PWT09c/edit?usp=sharing"",""ลำพูน!Q98"")+IMPORTRANGE(""https://docs.google.com/spreadsheets/d/1B0f2xJpZUC6Z0xXnqKlZtEPzsf6L84eP1r1Q15seqRM/edit?usp=sharing"",""สุโขทัย!Q98"")+IMPORTRANGE(""https://docs.google."&amp;"com/spreadsheets/d/1v0b9pFQCsKUVExMei7AgY2yQkdeNQvtOssygGsXbiKo/edit?usp=sharing"",""อุตรดิตถ์!Q98"")+IMPORTRANGE(""https://docs.google.com/spreadsheets/d/1UsNK1e-WWiCo2PvGqdNfdme4m17_Ezd3J69EeeiQPD0/edit?usp=sharing"",""อุทัยธานี!Q98"")"),0)</f>
        <v>0</v>
      </c>
      <c r="R98" s="48">
        <f ca="1">IFERROR(__xludf.DUMMYFUNCTION("IMPORTRANGE(""https://docs.google.com/spreadsheets/d/1jTcq05yEiRwXcBMLjiodW9e4biSGYWAHcDj22rKWQ3s/edit?usp=sharing"",""กำแพงเพชร!R98"")+IMPORTRANGE(""https://docs.google.com/spreadsheets/d/1KS0zmDSZPk8KnTAbGN-Xk6MtX1YRZD0ldgdt20K4CRk/edit?usp=sharing"","""&amp;"เชียงราย!R98"")+IMPORTRANGE(""https://docs.google.com/spreadsheets/d/1rEDxBtusbi64tE0zunoIbsTVV16HeL0oJ6trHQeQ7K8/edit?usp=sharing"",""เชียงใหม่!R98"")+IMPORTRANGE(""https://docs.google.com/spreadsheets/d/1W6MnUbDkMi6xHnHko_XkFDO9kkuL6Wqyc-6OCDFjW9I/edit?"&amp;"usp=sharing"",""ตาก!R98"")+IMPORTRANGE(""https://docs.google.com/spreadsheets/d/1IQAWArduLkta9LpYo4a_ULsyqdta6-6aDDiwpUnQT6c/edit?usp=sharing"",""นครสวรรค์!R98"")+IMPORTRANGE(""https://docs.google.com/spreadsheets/d/10s13Sk5xrltsiR-Zkbmk5DwIaDIKO8XlbJAfqy"&amp;"T7Gvg/edit?usp=sharing"",""น่าน!R98"")+IMPORTRANGE(""https://docs.google.com/spreadsheets/d/1uu4nAn4Dbi1XREnLKKotUANlKXa7yCgRcgq8HEzQYW8/edit?usp=sharing"",""พะเยา!R98"")+IMPORTRANGE(""https://docs.google.com/spreadsheets/d/1xfJKIQxVOaPDIICqsflNlLu3JacTDk"&amp;"1FP9RH4phX7mI/edit?usp=sharing"",""พิจิตร!R98"")+IMPORTRANGE(""https://docs.google.com/spreadsheets/d/1JtRfZkJMHtEhI5RdRHxYUG4FIZHqKDpNyIuN7A1Q0_k/edit?usp=sharing"",""พิษณุโลก!R98"")+IMPORTRANGE(""https://docs.google.com/spreadsheets/d/1xlcVZWUNn6SuWm0c3"&amp;"07h32SiGkd9BaeQWlAktfD3KO8/edit?usp=sharing"",""เพชรบูรณ์!R98"")+IMPORTRANGE(""https://docs.google.com/spreadsheets/d/1lOVebEIsI9qjGXl6EX66luk7wiuP2tBaryw-wKvv4e0/edit?usp=sharing"",""แพร่!R98"")+IMPORTRANGE(""https://docs.google.com/spreadsheets/d/1dQrvX"&amp;"0vEcN7Gu0fnZ0B5S90AeR19zth4XlExFBeExMY/edit?usp=sharing"",""แม่ฮ่องสอน!R98"")+IMPORTRANGE(""https://docs.google.com/spreadsheets/d/1DY4XTNNwjluuxqdfdn6qvOSlMRrZqUtmYcZR0ttFiG4/edit?usp=sharing"",""ลำปาง!R98"")+IMPORTRANGE(""https://docs.google.com/spreads"&amp;"heets/d/1ICwG78r0OFT8biBlxnBF8r7she7gNSzOvJ958PWT09c/edit?usp=sharing"",""ลำพูน!R98"")+IMPORTRANGE(""https://docs.google.com/spreadsheets/d/1B0f2xJpZUC6Z0xXnqKlZtEPzsf6L84eP1r1Q15seqRM/edit?usp=sharing"",""สุโขทัย!R98"")+IMPORTRANGE(""https://docs.google."&amp;"com/spreadsheets/d/1v0b9pFQCsKUVExMei7AgY2yQkdeNQvtOssygGsXbiKo/edit?usp=sharing"",""อุตรดิตถ์!R98"")+IMPORTRANGE(""https://docs.google.com/spreadsheets/d/1UsNK1e-WWiCo2PvGqdNfdme4m17_Ezd3J69EeeiQPD0/edit?usp=sharing"",""อุทัยธานี!R98"")"),0)</f>
        <v>0</v>
      </c>
      <c r="S98" s="48">
        <f ca="1">IFERROR(__xludf.DUMMYFUNCTION("IMPORTRANGE(""https://docs.google.com/spreadsheets/d/1jTcq05yEiRwXcBMLjiodW9e4biSGYWAHcDj22rKWQ3s/edit?usp=sharing"",""กำแพงเพชร!S98"")+IMPORTRANGE(""https://docs.google.com/spreadsheets/d/1KS0zmDSZPk8KnTAbGN-Xk6MtX1YRZD0ldgdt20K4CRk/edit?usp=sharing"","""&amp;"เชียงราย!S98"")+IMPORTRANGE(""https://docs.google.com/spreadsheets/d/1rEDxBtusbi64tE0zunoIbsTVV16HeL0oJ6trHQeQ7K8/edit?usp=sharing"",""เชียงใหม่!S98"")+IMPORTRANGE(""https://docs.google.com/spreadsheets/d/1W6MnUbDkMi6xHnHko_XkFDO9kkuL6Wqyc-6OCDFjW9I/edit?"&amp;"usp=sharing"",""ตาก!S98"")+IMPORTRANGE(""https://docs.google.com/spreadsheets/d/1IQAWArduLkta9LpYo4a_ULsyqdta6-6aDDiwpUnQT6c/edit?usp=sharing"",""นครสวรรค์!S98"")+IMPORTRANGE(""https://docs.google.com/spreadsheets/d/10s13Sk5xrltsiR-Zkbmk5DwIaDIKO8XlbJAfqy"&amp;"T7Gvg/edit?usp=sharing"",""น่าน!S98"")+IMPORTRANGE(""https://docs.google.com/spreadsheets/d/1uu4nAn4Dbi1XREnLKKotUANlKXa7yCgRcgq8HEzQYW8/edit?usp=sharing"",""พะเยา!S98"")+IMPORTRANGE(""https://docs.google.com/spreadsheets/d/1xfJKIQxVOaPDIICqsflNlLu3JacTDk"&amp;"1FP9RH4phX7mI/edit?usp=sharing"",""พิจิตร!S98"")+IMPORTRANGE(""https://docs.google.com/spreadsheets/d/1JtRfZkJMHtEhI5RdRHxYUG4FIZHqKDpNyIuN7A1Q0_k/edit?usp=sharing"",""พิษณุโลก!S98"")+IMPORTRANGE(""https://docs.google.com/spreadsheets/d/1xlcVZWUNn6SuWm0c3"&amp;"07h32SiGkd9BaeQWlAktfD3KO8/edit?usp=sharing"",""เพชรบูรณ์!S98"")+IMPORTRANGE(""https://docs.google.com/spreadsheets/d/1lOVebEIsI9qjGXl6EX66luk7wiuP2tBaryw-wKvv4e0/edit?usp=sharing"",""แพร่!S98"")+IMPORTRANGE(""https://docs.google.com/spreadsheets/d/1dQrvX"&amp;"0vEcN7Gu0fnZ0B5S90AeR19zth4XlExFBeExMY/edit?usp=sharing"",""แม่ฮ่องสอน!S98"")+IMPORTRANGE(""https://docs.google.com/spreadsheets/d/1DY4XTNNwjluuxqdfdn6qvOSlMRrZqUtmYcZR0ttFiG4/edit?usp=sharing"",""ลำปาง!S98"")+IMPORTRANGE(""https://docs.google.com/spreads"&amp;"heets/d/1ICwG78r0OFT8biBlxnBF8r7she7gNSzOvJ958PWT09c/edit?usp=sharing"",""ลำพูน!S98"")+IMPORTRANGE(""https://docs.google.com/spreadsheets/d/1B0f2xJpZUC6Z0xXnqKlZtEPzsf6L84eP1r1Q15seqRM/edit?usp=sharing"",""สุโขทัย!S98"")+IMPORTRANGE(""https://docs.google."&amp;"com/spreadsheets/d/1v0b9pFQCsKUVExMei7AgY2yQkdeNQvtOssygGsXbiKo/edit?usp=sharing"",""อุตรดิตถ์!S98"")+IMPORTRANGE(""https://docs.google.com/spreadsheets/d/1UsNK1e-WWiCo2PvGqdNfdme4m17_Ezd3J69EeeiQPD0/edit?usp=sharing"",""อุทัยธานี!S98"")"),0)</f>
        <v>0</v>
      </c>
      <c r="T98" s="48">
        <f t="shared" ca="1" si="77"/>
        <v>0</v>
      </c>
      <c r="U98" s="48">
        <f t="shared" ca="1" si="78"/>
        <v>0</v>
      </c>
    </row>
    <row r="99" spans="1:21" ht="18.75" x14ac:dyDescent="0.25">
      <c r="A99" s="128"/>
      <c r="B99" s="158"/>
      <c r="C99" s="158"/>
      <c r="D99" s="40"/>
      <c r="E99" s="47" t="s">
        <v>37</v>
      </c>
      <c r="F99" s="40"/>
      <c r="G99" s="42"/>
      <c r="H99" s="134" t="s">
        <v>14</v>
      </c>
      <c r="I99" s="135"/>
      <c r="J99" s="135"/>
      <c r="K99" s="136"/>
      <c r="L99" s="46">
        <f ca="1">IFERROR(__xludf.DUMMYFUNCTION("IMPORTRANGE(""https://docs.google.com/spreadsheets/d/1jTcq05yEiRwXcBMLjiodW9e4biSGYWAHcDj22rKWQ3s/edit?usp=sharing"",""กำแพงเพชร!L99"")+IMPORTRANGE(""https://docs.google.com/spreadsheets/d/1KS0zmDSZPk8KnTAbGN-Xk6MtX1YRZD0ldgdt20K4CRk/edit?usp=sharing"","""&amp;"เชียงราย!L99"")+IMPORTRANGE(""https://docs.google.com/spreadsheets/d/1rEDxBtusbi64tE0zunoIbsTVV16HeL0oJ6trHQeQ7K8/edit?usp=sharing"",""เชียงใหม่!L99"")+IMPORTRANGE(""https://docs.google.com/spreadsheets/d/1W6MnUbDkMi6xHnHko_XkFDO9kkuL6Wqyc-6OCDFjW9I/edit?"&amp;"usp=sharing"",""ตาก!L99"")+IMPORTRANGE(""https://docs.google.com/spreadsheets/d/1IQAWArduLkta9LpYo4a_ULsyqdta6-6aDDiwpUnQT6c/edit?usp=sharing"",""นครสวรรค์!L99"")+IMPORTRANGE(""https://docs.google.com/spreadsheets/d/10s13Sk5xrltsiR-Zkbmk5DwIaDIKO8XlbJAfqy"&amp;"T7Gvg/edit?usp=sharing"",""น่าน!L99"")+IMPORTRANGE(""https://docs.google.com/spreadsheets/d/1uu4nAn4Dbi1XREnLKKotUANlKXa7yCgRcgq8HEzQYW8/edit?usp=sharing"",""พะเยา!L99"")+IMPORTRANGE(""https://docs.google.com/spreadsheets/d/1xfJKIQxVOaPDIICqsflNlLu3JacTDk"&amp;"1FP9RH4phX7mI/edit?usp=sharing"",""พิจิตร!L99"")+IMPORTRANGE(""https://docs.google.com/spreadsheets/d/1JtRfZkJMHtEhI5RdRHxYUG4FIZHqKDpNyIuN7A1Q0_k/edit?usp=sharing"",""พิษณุโลก!L99"")+IMPORTRANGE(""https://docs.google.com/spreadsheets/d/1xlcVZWUNn6SuWm0c3"&amp;"07h32SiGkd9BaeQWlAktfD3KO8/edit?usp=sharing"",""เพชรบูรณ์!L99"")+IMPORTRANGE(""https://docs.google.com/spreadsheets/d/1lOVebEIsI9qjGXl6EX66luk7wiuP2tBaryw-wKvv4e0/edit?usp=sharing"",""แพร่!L99"")+IMPORTRANGE(""https://docs.google.com/spreadsheets/d/1dQrvX"&amp;"0vEcN7Gu0fnZ0B5S90AeR19zth4XlExFBeExMY/edit?usp=sharing"",""แม่ฮ่องสอน!L99"")+IMPORTRANGE(""https://docs.google.com/spreadsheets/d/1DY4XTNNwjluuxqdfdn6qvOSlMRrZqUtmYcZR0ttFiG4/edit?usp=sharing"",""ลำปาง!L99"")+IMPORTRANGE(""https://docs.google.com/spreads"&amp;"heets/d/1ICwG78r0OFT8biBlxnBF8r7she7gNSzOvJ958PWT09c/edit?usp=sharing"",""ลำพูน!L99"")+IMPORTRANGE(""https://docs.google.com/spreadsheets/d/1B0f2xJpZUC6Z0xXnqKlZtEPzsf6L84eP1r1Q15seqRM/edit?usp=sharing"",""สุโขทัย!L99"")+IMPORTRANGE(""https://docs.google."&amp;"com/spreadsheets/d/1v0b9pFQCsKUVExMei7AgY2yQkdeNQvtOssygGsXbiKo/edit?usp=sharing"",""อุตรดิตถ์!L99"")+IMPORTRANGE(""https://docs.google.com/spreadsheets/d/1UsNK1e-WWiCo2PvGqdNfdme4m17_Ezd3J69EeeiQPD0/edit?usp=sharing"",""อุทัยธานี!L99"")"),136300)</f>
        <v>136300</v>
      </c>
      <c r="M99" s="46">
        <f ca="1">IFERROR(__xludf.DUMMYFUNCTION("IMPORTRANGE(""https://docs.google.com/spreadsheets/d/1jTcq05yEiRwXcBMLjiodW9e4biSGYWAHcDj22rKWQ3s/edit?usp=sharing"",""กำแพงเพชร!M99"")+IMPORTRANGE(""https://docs.google.com/spreadsheets/d/1KS0zmDSZPk8KnTAbGN-Xk6MtX1YRZD0ldgdt20K4CRk/edit?usp=sharing"","""&amp;"เชียงราย!M99"")+IMPORTRANGE(""https://docs.google.com/spreadsheets/d/1rEDxBtusbi64tE0zunoIbsTVV16HeL0oJ6trHQeQ7K8/edit?usp=sharing"",""เชียงใหม่!M99"")+IMPORTRANGE(""https://docs.google.com/spreadsheets/d/1W6MnUbDkMi6xHnHko_XkFDO9kkuL6Wqyc-6OCDFjW9I/edit?"&amp;"usp=sharing"",""ตาก!M99"")+IMPORTRANGE(""https://docs.google.com/spreadsheets/d/1IQAWArduLkta9LpYo4a_ULsyqdta6-6aDDiwpUnQT6c/edit?usp=sharing"",""นครสวรรค์!M99"")+IMPORTRANGE(""https://docs.google.com/spreadsheets/d/10s13Sk5xrltsiR-Zkbmk5DwIaDIKO8XlbJAfqy"&amp;"T7Gvg/edit?usp=sharing"",""น่าน!M99"")+IMPORTRANGE(""https://docs.google.com/spreadsheets/d/1uu4nAn4Dbi1XREnLKKotUANlKXa7yCgRcgq8HEzQYW8/edit?usp=sharing"",""พะเยา!M99"")+IMPORTRANGE(""https://docs.google.com/spreadsheets/d/1xfJKIQxVOaPDIICqsflNlLu3JacTDk"&amp;"1FP9RH4phX7mI/edit?usp=sharing"",""พิจิตร!M99"")+IMPORTRANGE(""https://docs.google.com/spreadsheets/d/1JtRfZkJMHtEhI5RdRHxYUG4FIZHqKDpNyIuN7A1Q0_k/edit?usp=sharing"",""พิษณุโลก!M99"")+IMPORTRANGE(""https://docs.google.com/spreadsheets/d/1xlcVZWUNn6SuWm0c3"&amp;"07h32SiGkd9BaeQWlAktfD3KO8/edit?usp=sharing"",""เพชรบูรณ์!M99"")+IMPORTRANGE(""https://docs.google.com/spreadsheets/d/1lOVebEIsI9qjGXl6EX66luk7wiuP2tBaryw-wKvv4e0/edit?usp=sharing"",""แพร่!M99"")+IMPORTRANGE(""https://docs.google.com/spreadsheets/d/1dQrvX"&amp;"0vEcN7Gu0fnZ0B5S90AeR19zth4XlExFBeExMY/edit?usp=sharing"",""แม่ฮ่องสอน!M99"")+IMPORTRANGE(""https://docs.google.com/spreadsheets/d/1DY4XTNNwjluuxqdfdn6qvOSlMRrZqUtmYcZR0ttFiG4/edit?usp=sharing"",""ลำปาง!M99"")+IMPORTRANGE(""https://docs.google.com/spreads"&amp;"heets/d/1ICwG78r0OFT8biBlxnBF8r7she7gNSzOvJ958PWT09c/edit?usp=sharing"",""ลำพูน!M99"")+IMPORTRANGE(""https://docs.google.com/spreadsheets/d/1B0f2xJpZUC6Z0xXnqKlZtEPzsf6L84eP1r1Q15seqRM/edit?usp=sharing"",""สุโขทัย!M99"")+IMPORTRANGE(""https://docs.google."&amp;"com/spreadsheets/d/1v0b9pFQCsKUVExMei7AgY2yQkdeNQvtOssygGsXbiKo/edit?usp=sharing"",""อุตรดิตถ์!M99"")+IMPORTRANGE(""https://docs.google.com/spreadsheets/d/1UsNK1e-WWiCo2PvGqdNfdme4m17_Ezd3J69EeeiQPD0/edit?usp=sharing"",""อุทัยธานี!M99"")"),217000)</f>
        <v>217000</v>
      </c>
      <c r="N99" s="46">
        <f ca="1">IFERROR(__xludf.DUMMYFUNCTION("IMPORTRANGE(""https://docs.google.com/spreadsheets/d/1jTcq05yEiRwXcBMLjiodW9e4biSGYWAHcDj22rKWQ3s/edit?usp=sharing"",""กำแพงเพชร!N99"")+IMPORTRANGE(""https://docs.google.com/spreadsheets/d/1KS0zmDSZPk8KnTAbGN-Xk6MtX1YRZD0ldgdt20K4CRk/edit?usp=sharing"","""&amp;"เชียงราย!N99"")+IMPORTRANGE(""https://docs.google.com/spreadsheets/d/1rEDxBtusbi64tE0zunoIbsTVV16HeL0oJ6trHQeQ7K8/edit?usp=sharing"",""เชียงใหม่!N99"")+IMPORTRANGE(""https://docs.google.com/spreadsheets/d/1W6MnUbDkMi6xHnHko_XkFDO9kkuL6Wqyc-6OCDFjW9I/edit?"&amp;"usp=sharing"",""ตาก!N99"")+IMPORTRANGE(""https://docs.google.com/spreadsheets/d/1IQAWArduLkta9LpYo4a_ULsyqdta6-6aDDiwpUnQT6c/edit?usp=sharing"",""นครสวรรค์!N99"")+IMPORTRANGE(""https://docs.google.com/spreadsheets/d/10s13Sk5xrltsiR-Zkbmk5DwIaDIKO8XlbJAfqy"&amp;"T7Gvg/edit?usp=sharing"",""น่าน!N99"")+IMPORTRANGE(""https://docs.google.com/spreadsheets/d/1uu4nAn4Dbi1XREnLKKotUANlKXa7yCgRcgq8HEzQYW8/edit?usp=sharing"",""พะเยา!N99"")+IMPORTRANGE(""https://docs.google.com/spreadsheets/d/1xfJKIQxVOaPDIICqsflNlLu3JacTDk"&amp;"1FP9RH4phX7mI/edit?usp=sharing"",""พิจิตร!N99"")+IMPORTRANGE(""https://docs.google.com/spreadsheets/d/1JtRfZkJMHtEhI5RdRHxYUG4FIZHqKDpNyIuN7A1Q0_k/edit?usp=sharing"",""พิษณุโลก!N99"")+IMPORTRANGE(""https://docs.google.com/spreadsheets/d/1xlcVZWUNn6SuWm0c3"&amp;"07h32SiGkd9BaeQWlAktfD3KO8/edit?usp=sharing"",""เพชรบูรณ์!N99"")+IMPORTRANGE(""https://docs.google.com/spreadsheets/d/1lOVebEIsI9qjGXl6EX66luk7wiuP2tBaryw-wKvv4e0/edit?usp=sharing"",""แพร่!N99"")+IMPORTRANGE(""https://docs.google.com/spreadsheets/d/1dQrvX"&amp;"0vEcN7Gu0fnZ0B5S90AeR19zth4XlExFBeExMY/edit?usp=sharing"",""แม่ฮ่องสอน!N99"")+IMPORTRANGE(""https://docs.google.com/spreadsheets/d/1DY4XTNNwjluuxqdfdn6qvOSlMRrZqUtmYcZR0ttFiG4/edit?usp=sharing"",""ลำปาง!N99"")+IMPORTRANGE(""https://docs.google.com/spreads"&amp;"heets/d/1ICwG78r0OFT8biBlxnBF8r7she7gNSzOvJ958PWT09c/edit?usp=sharing"",""ลำพูน!N99"")+IMPORTRANGE(""https://docs.google.com/spreadsheets/d/1B0f2xJpZUC6Z0xXnqKlZtEPzsf6L84eP1r1Q15seqRM/edit?usp=sharing"",""สุโขทัย!N99"")+IMPORTRANGE(""https://docs.google."&amp;"com/spreadsheets/d/1v0b9pFQCsKUVExMei7AgY2yQkdeNQvtOssygGsXbiKo/edit?usp=sharing"",""อุตรดิตถ์!N99"")+IMPORTRANGE(""https://docs.google.com/spreadsheets/d/1UsNK1e-WWiCo2PvGqdNfdme4m17_Ezd3J69EeeiQPD0/edit?usp=sharing"",""อุทัยธานี!N99"")"),99917.9)</f>
        <v>99917.9</v>
      </c>
      <c r="O99" s="46">
        <f t="shared" ca="1" si="74"/>
        <v>73.307336757153337</v>
      </c>
      <c r="P99" s="46">
        <f t="shared" ca="1" si="75"/>
        <v>46.045115207373271</v>
      </c>
      <c r="Q99" s="46">
        <f ca="1">IFERROR(__xludf.DUMMYFUNCTION("IMPORTRANGE(""https://docs.google.com/spreadsheets/d/1jTcq05yEiRwXcBMLjiodW9e4biSGYWAHcDj22rKWQ3s/edit?usp=sharing"",""กำแพงเพชร!Q99"")+IMPORTRANGE(""https://docs.google.com/spreadsheets/d/1KS0zmDSZPk8KnTAbGN-Xk6MtX1YRZD0ldgdt20K4CRk/edit?usp=sharing"","""&amp;"เชียงราย!Q99"")+IMPORTRANGE(""https://docs.google.com/spreadsheets/d/1rEDxBtusbi64tE0zunoIbsTVV16HeL0oJ6trHQeQ7K8/edit?usp=sharing"",""เชียงใหม่!Q99"")+IMPORTRANGE(""https://docs.google.com/spreadsheets/d/1W6MnUbDkMi6xHnHko_XkFDO9kkuL6Wqyc-6OCDFjW9I/edit?"&amp;"usp=sharing"",""ตาก!Q99"")+IMPORTRANGE(""https://docs.google.com/spreadsheets/d/1IQAWArduLkta9LpYo4a_ULsyqdta6-6aDDiwpUnQT6c/edit?usp=sharing"",""นครสวรรค์!Q99"")+IMPORTRANGE(""https://docs.google.com/spreadsheets/d/10s13Sk5xrltsiR-Zkbmk5DwIaDIKO8XlbJAfqy"&amp;"T7Gvg/edit?usp=sharing"",""น่าน!Q99"")+IMPORTRANGE(""https://docs.google.com/spreadsheets/d/1uu4nAn4Dbi1XREnLKKotUANlKXa7yCgRcgq8HEzQYW8/edit?usp=sharing"",""พะเยา!Q99"")+IMPORTRANGE(""https://docs.google.com/spreadsheets/d/1xfJKIQxVOaPDIICqsflNlLu3JacTDk"&amp;"1FP9RH4phX7mI/edit?usp=sharing"",""พิจิตร!Q99"")+IMPORTRANGE(""https://docs.google.com/spreadsheets/d/1JtRfZkJMHtEhI5RdRHxYUG4FIZHqKDpNyIuN7A1Q0_k/edit?usp=sharing"",""พิษณุโลก!Q99"")+IMPORTRANGE(""https://docs.google.com/spreadsheets/d/1xlcVZWUNn6SuWm0c3"&amp;"07h32SiGkd9BaeQWlAktfD3KO8/edit?usp=sharing"",""เพชรบูรณ์!Q99"")+IMPORTRANGE(""https://docs.google.com/spreadsheets/d/1lOVebEIsI9qjGXl6EX66luk7wiuP2tBaryw-wKvv4e0/edit?usp=sharing"",""แพร่!Q99"")+IMPORTRANGE(""https://docs.google.com/spreadsheets/d/1dQrvX"&amp;"0vEcN7Gu0fnZ0B5S90AeR19zth4XlExFBeExMY/edit?usp=sharing"",""แม่ฮ่องสอน!Q99"")+IMPORTRANGE(""https://docs.google.com/spreadsheets/d/1DY4XTNNwjluuxqdfdn6qvOSlMRrZqUtmYcZR0ttFiG4/edit?usp=sharing"",""ลำปาง!Q99"")+IMPORTRANGE(""https://docs.google.com/spreads"&amp;"heets/d/1ICwG78r0OFT8biBlxnBF8r7she7gNSzOvJ958PWT09c/edit?usp=sharing"",""ลำพูน!Q99"")+IMPORTRANGE(""https://docs.google.com/spreadsheets/d/1B0f2xJpZUC6Z0xXnqKlZtEPzsf6L84eP1r1Q15seqRM/edit?usp=sharing"",""สุโขทัย!Q99"")+IMPORTRANGE(""https://docs.google."&amp;"com/spreadsheets/d/1v0b9pFQCsKUVExMei7AgY2yQkdeNQvtOssygGsXbiKo/edit?usp=sharing"",""อุตรดิตถ์!Q99"")+IMPORTRANGE(""https://docs.google.com/spreadsheets/d/1UsNK1e-WWiCo2PvGqdNfdme4m17_Ezd3J69EeeiQPD0/edit?usp=sharing"",""อุทัยธานี!Q99"")"),942780)</f>
        <v>942780</v>
      </c>
      <c r="R99" s="46">
        <f ca="1">IFERROR(__xludf.DUMMYFUNCTION("IMPORTRANGE(""https://docs.google.com/spreadsheets/d/1jTcq05yEiRwXcBMLjiodW9e4biSGYWAHcDj22rKWQ3s/edit?usp=sharing"",""กำแพงเพชร!R99"")+IMPORTRANGE(""https://docs.google.com/spreadsheets/d/1KS0zmDSZPk8KnTAbGN-Xk6MtX1YRZD0ldgdt20K4CRk/edit?usp=sharing"","""&amp;"เชียงราย!R99"")+IMPORTRANGE(""https://docs.google.com/spreadsheets/d/1rEDxBtusbi64tE0zunoIbsTVV16HeL0oJ6trHQeQ7K8/edit?usp=sharing"",""เชียงใหม่!R99"")+IMPORTRANGE(""https://docs.google.com/spreadsheets/d/1W6MnUbDkMi6xHnHko_XkFDO9kkuL6Wqyc-6OCDFjW9I/edit?"&amp;"usp=sharing"",""ตาก!R99"")+IMPORTRANGE(""https://docs.google.com/spreadsheets/d/1IQAWArduLkta9LpYo4a_ULsyqdta6-6aDDiwpUnQT6c/edit?usp=sharing"",""นครสวรรค์!R99"")+IMPORTRANGE(""https://docs.google.com/spreadsheets/d/10s13Sk5xrltsiR-Zkbmk5DwIaDIKO8XlbJAfqy"&amp;"T7Gvg/edit?usp=sharing"",""น่าน!R99"")+IMPORTRANGE(""https://docs.google.com/spreadsheets/d/1uu4nAn4Dbi1XREnLKKotUANlKXa7yCgRcgq8HEzQYW8/edit?usp=sharing"",""พะเยา!R99"")+IMPORTRANGE(""https://docs.google.com/spreadsheets/d/1xfJKIQxVOaPDIICqsflNlLu3JacTDk"&amp;"1FP9RH4phX7mI/edit?usp=sharing"",""พิจิตร!R99"")+IMPORTRANGE(""https://docs.google.com/spreadsheets/d/1JtRfZkJMHtEhI5RdRHxYUG4FIZHqKDpNyIuN7A1Q0_k/edit?usp=sharing"",""พิษณุโลก!R99"")+IMPORTRANGE(""https://docs.google.com/spreadsheets/d/1xlcVZWUNn6SuWm0c3"&amp;"07h32SiGkd9BaeQWlAktfD3KO8/edit?usp=sharing"",""เพชรบูรณ์!R99"")+IMPORTRANGE(""https://docs.google.com/spreadsheets/d/1lOVebEIsI9qjGXl6EX66luk7wiuP2tBaryw-wKvv4e0/edit?usp=sharing"",""แพร่!R99"")+IMPORTRANGE(""https://docs.google.com/spreadsheets/d/1dQrvX"&amp;"0vEcN7Gu0fnZ0B5S90AeR19zth4XlExFBeExMY/edit?usp=sharing"",""แม่ฮ่องสอน!R99"")+IMPORTRANGE(""https://docs.google.com/spreadsheets/d/1DY4XTNNwjluuxqdfdn6qvOSlMRrZqUtmYcZR0ttFiG4/edit?usp=sharing"",""ลำปาง!R99"")+IMPORTRANGE(""https://docs.google.com/spreads"&amp;"heets/d/1ICwG78r0OFT8biBlxnBF8r7she7gNSzOvJ958PWT09c/edit?usp=sharing"",""ลำพูน!R99"")+IMPORTRANGE(""https://docs.google.com/spreadsheets/d/1B0f2xJpZUC6Z0xXnqKlZtEPzsf6L84eP1r1Q15seqRM/edit?usp=sharing"",""สุโขทัย!R99"")+IMPORTRANGE(""https://docs.google."&amp;"com/spreadsheets/d/1v0b9pFQCsKUVExMei7AgY2yQkdeNQvtOssygGsXbiKo/edit?usp=sharing"",""อุตรดิตถ์!R99"")+IMPORTRANGE(""https://docs.google.com/spreadsheets/d/1UsNK1e-WWiCo2PvGqdNfdme4m17_Ezd3J69EeeiQPD0/edit?usp=sharing"",""อุทัยธานี!R99"")"),942780)</f>
        <v>942780</v>
      </c>
      <c r="S99" s="46">
        <f ca="1">IFERROR(__xludf.DUMMYFUNCTION("IMPORTRANGE(""https://docs.google.com/spreadsheets/d/1jTcq05yEiRwXcBMLjiodW9e4biSGYWAHcDj22rKWQ3s/edit?usp=sharing"",""กำแพงเพชร!S99"")+IMPORTRANGE(""https://docs.google.com/spreadsheets/d/1KS0zmDSZPk8KnTAbGN-Xk6MtX1YRZD0ldgdt20K4CRk/edit?usp=sharing"","""&amp;"เชียงราย!S99"")+IMPORTRANGE(""https://docs.google.com/spreadsheets/d/1rEDxBtusbi64tE0zunoIbsTVV16HeL0oJ6trHQeQ7K8/edit?usp=sharing"",""เชียงใหม่!S99"")+IMPORTRANGE(""https://docs.google.com/spreadsheets/d/1W6MnUbDkMi6xHnHko_XkFDO9kkuL6Wqyc-6OCDFjW9I/edit?"&amp;"usp=sharing"",""ตาก!S99"")+IMPORTRANGE(""https://docs.google.com/spreadsheets/d/1IQAWArduLkta9LpYo4a_ULsyqdta6-6aDDiwpUnQT6c/edit?usp=sharing"",""นครสวรรค์!S99"")+IMPORTRANGE(""https://docs.google.com/spreadsheets/d/10s13Sk5xrltsiR-Zkbmk5DwIaDIKO8XlbJAfqy"&amp;"T7Gvg/edit?usp=sharing"",""น่าน!S99"")+IMPORTRANGE(""https://docs.google.com/spreadsheets/d/1uu4nAn4Dbi1XREnLKKotUANlKXa7yCgRcgq8HEzQYW8/edit?usp=sharing"",""พะเยา!S99"")+IMPORTRANGE(""https://docs.google.com/spreadsheets/d/1xfJKIQxVOaPDIICqsflNlLu3JacTDk"&amp;"1FP9RH4phX7mI/edit?usp=sharing"",""พิจิตร!S99"")+IMPORTRANGE(""https://docs.google.com/spreadsheets/d/1JtRfZkJMHtEhI5RdRHxYUG4FIZHqKDpNyIuN7A1Q0_k/edit?usp=sharing"",""พิษณุโลก!S99"")+IMPORTRANGE(""https://docs.google.com/spreadsheets/d/1xlcVZWUNn6SuWm0c3"&amp;"07h32SiGkd9BaeQWlAktfD3KO8/edit?usp=sharing"",""เพชรบูรณ์!S99"")+IMPORTRANGE(""https://docs.google.com/spreadsheets/d/1lOVebEIsI9qjGXl6EX66luk7wiuP2tBaryw-wKvv4e0/edit?usp=sharing"",""แพร่!S99"")+IMPORTRANGE(""https://docs.google.com/spreadsheets/d/1dQrvX"&amp;"0vEcN7Gu0fnZ0B5S90AeR19zth4XlExFBeExMY/edit?usp=sharing"",""แม่ฮ่องสอน!S99"")+IMPORTRANGE(""https://docs.google.com/spreadsheets/d/1DY4XTNNwjluuxqdfdn6qvOSlMRrZqUtmYcZR0ttFiG4/edit?usp=sharing"",""ลำปาง!S99"")+IMPORTRANGE(""https://docs.google.com/spreads"&amp;"heets/d/1ICwG78r0OFT8biBlxnBF8r7she7gNSzOvJ958PWT09c/edit?usp=sharing"",""ลำพูน!S99"")+IMPORTRANGE(""https://docs.google.com/spreadsheets/d/1B0f2xJpZUC6Z0xXnqKlZtEPzsf6L84eP1r1Q15seqRM/edit?usp=sharing"",""สุโขทัย!S99"")+IMPORTRANGE(""https://docs.google."&amp;"com/spreadsheets/d/1v0b9pFQCsKUVExMei7AgY2yQkdeNQvtOssygGsXbiKo/edit?usp=sharing"",""อุตรดิตถ์!S99"")+IMPORTRANGE(""https://docs.google.com/spreadsheets/d/1UsNK1e-WWiCo2PvGqdNfdme4m17_Ezd3J69EeeiQPD0/edit?usp=sharing"",""อุทัยธานี!S99"")"),289839.5)</f>
        <v>289839.5</v>
      </c>
      <c r="T99" s="46">
        <f t="shared" ca="1" si="77"/>
        <v>30.743068372260762</v>
      </c>
      <c r="U99" s="46">
        <f t="shared" ca="1" si="78"/>
        <v>30.743068372260762</v>
      </c>
    </row>
    <row r="100" spans="1:21" ht="18.75" x14ac:dyDescent="0.25">
      <c r="A100" s="128"/>
      <c r="B100" s="158"/>
      <c r="C100" s="158"/>
      <c r="D100" s="160" t="s">
        <v>23</v>
      </c>
      <c r="E100" s="40"/>
      <c r="F100" s="40"/>
      <c r="G100" s="42"/>
      <c r="H100" s="137" t="s">
        <v>14</v>
      </c>
      <c r="I100" s="135"/>
      <c r="J100" s="135"/>
      <c r="K100" s="136"/>
      <c r="L100" s="46">
        <f t="shared" ref="L100:N100" ca="1" si="85">L101+L102</f>
        <v>0</v>
      </c>
      <c r="M100" s="46">
        <f t="shared" ca="1" si="85"/>
        <v>0</v>
      </c>
      <c r="N100" s="46">
        <f t="shared" ca="1" si="85"/>
        <v>0</v>
      </c>
      <c r="O100" s="46">
        <f t="shared" ca="1" si="74"/>
        <v>0</v>
      </c>
      <c r="P100" s="46">
        <f t="shared" ca="1" si="75"/>
        <v>0</v>
      </c>
      <c r="Q100" s="46">
        <f t="shared" ref="Q100:S100" ca="1" si="86">Q101+Q102</f>
        <v>0</v>
      </c>
      <c r="R100" s="46">
        <f t="shared" ca="1" si="86"/>
        <v>0</v>
      </c>
      <c r="S100" s="46">
        <f t="shared" ca="1" si="86"/>
        <v>0</v>
      </c>
      <c r="T100" s="46">
        <f t="shared" ca="1" si="77"/>
        <v>0</v>
      </c>
      <c r="U100" s="46">
        <f t="shared" ca="1" si="78"/>
        <v>0</v>
      </c>
    </row>
    <row r="101" spans="1:21" ht="18.75" x14ac:dyDescent="0.25">
      <c r="A101" s="128"/>
      <c r="B101" s="158"/>
      <c r="C101" s="158"/>
      <c r="D101" s="40"/>
      <c r="E101" s="156" t="s">
        <v>20</v>
      </c>
      <c r="F101" s="40"/>
      <c r="G101" s="42"/>
      <c r="H101" s="159" t="s">
        <v>14</v>
      </c>
      <c r="I101" s="135"/>
      <c r="J101" s="135"/>
      <c r="K101" s="136"/>
      <c r="L101" s="48">
        <f ca="1">IFERROR(__xludf.DUMMYFUNCTION("IMPORTRANGE(""https://docs.google.com/spreadsheets/d/1jTcq05yEiRwXcBMLjiodW9e4biSGYWAHcDj22rKWQ3s/edit?usp=sharing"",""กำแพงเพชร!L101"")+IMPORTRANGE(""https://docs.google.com/spreadsheets/d/1KS0zmDSZPk8KnTAbGN-Xk6MtX1YRZD0ldgdt20K4CRk/edit?usp=sharing"","&amp;"""เชียงราย!L101"")+IMPORTRANGE(""https://docs.google.com/spreadsheets/d/1rEDxBtusbi64tE0zunoIbsTVV16HeL0oJ6trHQeQ7K8/edit?usp=sharing"",""เชียงใหม่!L101"")+IMPORTRANGE(""https://docs.google.com/spreadsheets/d/1W6MnUbDkMi6xHnHko_XkFDO9kkuL6Wqyc-6OCDFjW9I/e"&amp;"dit?usp=sharing"",""ตาก!L101"")+IMPORTRANGE(""https://docs.google.com/spreadsheets/d/1IQAWArduLkta9LpYo4a_ULsyqdta6-6aDDiwpUnQT6c/edit?usp=sharing"",""นครสวรรค์!L101"")+IMPORTRANGE(""https://docs.google.com/spreadsheets/d/10s13Sk5xrltsiR-Zkbmk5DwIaDIKO8Xl"&amp;"bJAfqyT7Gvg/edit?usp=sharing"",""น่าน!L101"")+IMPORTRANGE(""https://docs.google.com/spreadsheets/d/1uu4nAn4Dbi1XREnLKKotUANlKXa7yCgRcgq8HEzQYW8/edit?usp=sharing"",""พะเยา!L101"")+IMPORTRANGE(""https://docs.google.com/spreadsheets/d/1xfJKIQxVOaPDIICqsflNlL"&amp;"u3JacTDk1FP9RH4phX7mI/edit?usp=sharing"",""พิจิตร!L101"")+IMPORTRANGE(""https://docs.google.com/spreadsheets/d/1JtRfZkJMHtEhI5RdRHxYUG4FIZHqKDpNyIuN7A1Q0_k/edit?usp=sharing"",""พิษณุโลก!L101"")+IMPORTRANGE(""https://docs.google.com/spreadsheets/d/1xlcVZWU"&amp;"Nn6SuWm0c307h32SiGkd9BaeQWlAktfD3KO8/edit?usp=sharing"",""เพชรบูรณ์!L101"")+IMPORTRANGE(""https://docs.google.com/spreadsheets/d/1lOVebEIsI9qjGXl6EX66luk7wiuP2tBaryw-wKvv4e0/edit?usp=sharing"",""แพร่!L101"")+IMPORTRANGE(""https://docs.google.com/spreadshe"&amp;"ets/d/1dQrvX0vEcN7Gu0fnZ0B5S90AeR19zth4XlExFBeExMY/edit?usp=sharing"",""แม่ฮ่องสอน!L101"")+IMPORTRANGE(""https://docs.google.com/spreadsheets/d/1DY4XTNNwjluuxqdfdn6qvOSlMRrZqUtmYcZR0ttFiG4/edit?usp=sharing"",""ลำปาง!L101"")+IMPORTRANGE(""https://docs.goog"&amp;"le.com/spreadsheets/d/1ICwG78r0OFT8biBlxnBF8r7she7gNSzOvJ958PWT09c/edit?usp=sharing"",""ลำพูน!L101"")+IMPORTRANGE(""https://docs.google.com/spreadsheets/d/1B0f2xJpZUC6Z0xXnqKlZtEPzsf6L84eP1r1Q15seqRM/edit?usp=sharing"",""สุโขทัย!L101"")+IMPORTRANGE(""http"&amp;"s://docs.google.com/spreadsheets/d/1v0b9pFQCsKUVExMei7AgY2yQkdeNQvtOssygGsXbiKo/edit?usp=sharing"",""อุตรดิตถ์!L101"")+IMPORTRANGE(""https://docs.google.com/spreadsheets/d/1UsNK1e-WWiCo2PvGqdNfdme4m17_Ezd3J69EeeiQPD0/edit?usp=sharing"",""อุทัยธานี!L101"")"),0)</f>
        <v>0</v>
      </c>
      <c r="M101" s="48">
        <f ca="1">IFERROR(__xludf.DUMMYFUNCTION("IMPORTRANGE(""https://docs.google.com/spreadsheets/d/1jTcq05yEiRwXcBMLjiodW9e4biSGYWAHcDj22rKWQ3s/edit?usp=sharing"",""กำแพงเพชร!M101"")+IMPORTRANGE(""https://docs.google.com/spreadsheets/d/1KS0zmDSZPk8KnTAbGN-Xk6MtX1YRZD0ldgdt20K4CRk/edit?usp=sharing"","&amp;"""เชียงราย!M101"")+IMPORTRANGE(""https://docs.google.com/spreadsheets/d/1rEDxBtusbi64tE0zunoIbsTVV16HeL0oJ6trHQeQ7K8/edit?usp=sharing"",""เชียงใหม่!M101"")+IMPORTRANGE(""https://docs.google.com/spreadsheets/d/1W6MnUbDkMi6xHnHko_XkFDO9kkuL6Wqyc-6OCDFjW9I/e"&amp;"dit?usp=sharing"",""ตาก!M101"")+IMPORTRANGE(""https://docs.google.com/spreadsheets/d/1IQAWArduLkta9LpYo4a_ULsyqdta6-6aDDiwpUnQT6c/edit?usp=sharing"",""นครสวรรค์!M101"")+IMPORTRANGE(""https://docs.google.com/spreadsheets/d/10s13Sk5xrltsiR-Zkbmk5DwIaDIKO8Xl"&amp;"bJAfqyT7Gvg/edit?usp=sharing"",""น่าน!M101"")+IMPORTRANGE(""https://docs.google.com/spreadsheets/d/1uu4nAn4Dbi1XREnLKKotUANlKXa7yCgRcgq8HEzQYW8/edit?usp=sharing"",""พะเยา!M101"")+IMPORTRANGE(""https://docs.google.com/spreadsheets/d/1xfJKIQxVOaPDIICqsflNlL"&amp;"u3JacTDk1FP9RH4phX7mI/edit?usp=sharing"",""พิจิตร!M101"")+IMPORTRANGE(""https://docs.google.com/spreadsheets/d/1JtRfZkJMHtEhI5RdRHxYUG4FIZHqKDpNyIuN7A1Q0_k/edit?usp=sharing"",""พิษณุโลก!M101"")+IMPORTRANGE(""https://docs.google.com/spreadsheets/d/1xlcVZWU"&amp;"Nn6SuWm0c307h32SiGkd9BaeQWlAktfD3KO8/edit?usp=sharing"",""เพชรบูรณ์!M101"")+IMPORTRANGE(""https://docs.google.com/spreadsheets/d/1lOVebEIsI9qjGXl6EX66luk7wiuP2tBaryw-wKvv4e0/edit?usp=sharing"",""แพร่!M101"")+IMPORTRANGE(""https://docs.google.com/spreadshe"&amp;"ets/d/1dQrvX0vEcN7Gu0fnZ0B5S90AeR19zth4XlExFBeExMY/edit?usp=sharing"",""แม่ฮ่องสอน!M101"")+IMPORTRANGE(""https://docs.google.com/spreadsheets/d/1DY4XTNNwjluuxqdfdn6qvOSlMRrZqUtmYcZR0ttFiG4/edit?usp=sharing"",""ลำปาง!M101"")+IMPORTRANGE(""https://docs.goog"&amp;"le.com/spreadsheets/d/1ICwG78r0OFT8biBlxnBF8r7she7gNSzOvJ958PWT09c/edit?usp=sharing"",""ลำพูน!M101"")+IMPORTRANGE(""https://docs.google.com/spreadsheets/d/1B0f2xJpZUC6Z0xXnqKlZtEPzsf6L84eP1r1Q15seqRM/edit?usp=sharing"",""สุโขทัย!M101"")+IMPORTRANGE(""http"&amp;"s://docs.google.com/spreadsheets/d/1v0b9pFQCsKUVExMei7AgY2yQkdeNQvtOssygGsXbiKo/edit?usp=sharing"",""อุตรดิตถ์!M101"")+IMPORTRANGE(""https://docs.google.com/spreadsheets/d/1UsNK1e-WWiCo2PvGqdNfdme4m17_Ezd3J69EeeiQPD0/edit?usp=sharing"",""อุทัยธานี!M101"")"),0)</f>
        <v>0</v>
      </c>
      <c r="N101" s="48">
        <f ca="1">IFERROR(__xludf.DUMMYFUNCTION("IMPORTRANGE(""https://docs.google.com/spreadsheets/d/1jTcq05yEiRwXcBMLjiodW9e4biSGYWAHcDj22rKWQ3s/edit?usp=sharing"",""กำแพงเพชร!N101"")+IMPORTRANGE(""https://docs.google.com/spreadsheets/d/1KS0zmDSZPk8KnTAbGN-Xk6MtX1YRZD0ldgdt20K4CRk/edit?usp=sharing"","&amp;"""เชียงราย!N101"")+IMPORTRANGE(""https://docs.google.com/spreadsheets/d/1rEDxBtusbi64tE0zunoIbsTVV16HeL0oJ6trHQeQ7K8/edit?usp=sharing"",""เชียงใหม่!N101"")+IMPORTRANGE(""https://docs.google.com/spreadsheets/d/1W6MnUbDkMi6xHnHko_XkFDO9kkuL6Wqyc-6OCDFjW9I/e"&amp;"dit?usp=sharing"",""ตาก!N101"")+IMPORTRANGE(""https://docs.google.com/spreadsheets/d/1IQAWArduLkta9LpYo4a_ULsyqdta6-6aDDiwpUnQT6c/edit?usp=sharing"",""นครสวรรค์!N101"")+IMPORTRANGE(""https://docs.google.com/spreadsheets/d/10s13Sk5xrltsiR-Zkbmk5DwIaDIKO8Xl"&amp;"bJAfqyT7Gvg/edit?usp=sharing"",""น่าน!N101"")+IMPORTRANGE(""https://docs.google.com/spreadsheets/d/1uu4nAn4Dbi1XREnLKKotUANlKXa7yCgRcgq8HEzQYW8/edit?usp=sharing"",""พะเยา!N101"")+IMPORTRANGE(""https://docs.google.com/spreadsheets/d/1xfJKIQxVOaPDIICqsflNlL"&amp;"u3JacTDk1FP9RH4phX7mI/edit?usp=sharing"",""พิจิตร!N101"")+IMPORTRANGE(""https://docs.google.com/spreadsheets/d/1JtRfZkJMHtEhI5RdRHxYUG4FIZHqKDpNyIuN7A1Q0_k/edit?usp=sharing"",""พิษณุโลก!N101"")+IMPORTRANGE(""https://docs.google.com/spreadsheets/d/1xlcVZWU"&amp;"Nn6SuWm0c307h32SiGkd9BaeQWlAktfD3KO8/edit?usp=sharing"",""เพชรบูรณ์!N101"")+IMPORTRANGE(""https://docs.google.com/spreadsheets/d/1lOVebEIsI9qjGXl6EX66luk7wiuP2tBaryw-wKvv4e0/edit?usp=sharing"",""แพร่!N101"")+IMPORTRANGE(""https://docs.google.com/spreadshe"&amp;"ets/d/1dQrvX0vEcN7Gu0fnZ0B5S90AeR19zth4XlExFBeExMY/edit?usp=sharing"",""แม่ฮ่องสอน!N101"")+IMPORTRANGE(""https://docs.google.com/spreadsheets/d/1DY4XTNNwjluuxqdfdn6qvOSlMRrZqUtmYcZR0ttFiG4/edit?usp=sharing"",""ลำปาง!N101"")+IMPORTRANGE(""https://docs.goog"&amp;"le.com/spreadsheets/d/1ICwG78r0OFT8biBlxnBF8r7she7gNSzOvJ958PWT09c/edit?usp=sharing"",""ลำพูน!N101"")+IMPORTRANGE(""https://docs.google.com/spreadsheets/d/1B0f2xJpZUC6Z0xXnqKlZtEPzsf6L84eP1r1Q15seqRM/edit?usp=sharing"",""สุโขทัย!N101"")+IMPORTRANGE(""http"&amp;"s://docs.google.com/spreadsheets/d/1v0b9pFQCsKUVExMei7AgY2yQkdeNQvtOssygGsXbiKo/edit?usp=sharing"",""อุตรดิตถ์!N101"")+IMPORTRANGE(""https://docs.google.com/spreadsheets/d/1UsNK1e-WWiCo2PvGqdNfdme4m17_Ezd3J69EeeiQPD0/edit?usp=sharing"",""อุทัยธานี!N101"")"),0)</f>
        <v>0</v>
      </c>
      <c r="O101" s="48">
        <f t="shared" ca="1" si="74"/>
        <v>0</v>
      </c>
      <c r="P101" s="48">
        <f t="shared" ca="1" si="75"/>
        <v>0</v>
      </c>
      <c r="Q101" s="48">
        <f ca="1">IFERROR(__xludf.DUMMYFUNCTION("IMPORTRANGE(""https://docs.google.com/spreadsheets/d/1jTcq05yEiRwXcBMLjiodW9e4biSGYWAHcDj22rKWQ3s/edit?usp=sharing"",""กำแพงเพชร!Q101"")+IMPORTRANGE(""https://docs.google.com/spreadsheets/d/1KS0zmDSZPk8KnTAbGN-Xk6MtX1YRZD0ldgdt20K4CRk/edit?usp=sharing"","&amp;"""เชียงราย!Q101"")+IMPORTRANGE(""https://docs.google.com/spreadsheets/d/1rEDxBtusbi64tE0zunoIbsTVV16HeL0oJ6trHQeQ7K8/edit?usp=sharing"",""เชียงใหม่!Q101"")+IMPORTRANGE(""https://docs.google.com/spreadsheets/d/1W6MnUbDkMi6xHnHko_XkFDO9kkuL6Wqyc-6OCDFjW9I/e"&amp;"dit?usp=sharing"",""ตาก!Q101"")+IMPORTRANGE(""https://docs.google.com/spreadsheets/d/1IQAWArduLkta9LpYo4a_ULsyqdta6-6aDDiwpUnQT6c/edit?usp=sharing"",""นครสวรรค์!Q101"")+IMPORTRANGE(""https://docs.google.com/spreadsheets/d/10s13Sk5xrltsiR-Zkbmk5DwIaDIKO8Xl"&amp;"bJAfqyT7Gvg/edit?usp=sharing"",""น่าน!Q101"")+IMPORTRANGE(""https://docs.google.com/spreadsheets/d/1uu4nAn4Dbi1XREnLKKotUANlKXa7yCgRcgq8HEzQYW8/edit?usp=sharing"",""พะเยา!Q101"")+IMPORTRANGE(""https://docs.google.com/spreadsheets/d/1xfJKIQxVOaPDIICqsflNlL"&amp;"u3JacTDk1FP9RH4phX7mI/edit?usp=sharing"",""พิจิตร!Q101"")+IMPORTRANGE(""https://docs.google.com/spreadsheets/d/1JtRfZkJMHtEhI5RdRHxYUG4FIZHqKDpNyIuN7A1Q0_k/edit?usp=sharing"",""พิษณุโลก!Q101"")+IMPORTRANGE(""https://docs.google.com/spreadsheets/d/1xlcVZWU"&amp;"Nn6SuWm0c307h32SiGkd9BaeQWlAktfD3KO8/edit?usp=sharing"",""เพชรบูรณ์!Q101"")+IMPORTRANGE(""https://docs.google.com/spreadsheets/d/1lOVebEIsI9qjGXl6EX66luk7wiuP2tBaryw-wKvv4e0/edit?usp=sharing"",""แพร่!Q101"")+IMPORTRANGE(""https://docs.google.com/spreadshe"&amp;"ets/d/1dQrvX0vEcN7Gu0fnZ0B5S90AeR19zth4XlExFBeExMY/edit?usp=sharing"",""แม่ฮ่องสอน!Q101"")+IMPORTRANGE(""https://docs.google.com/spreadsheets/d/1DY4XTNNwjluuxqdfdn6qvOSlMRrZqUtmYcZR0ttFiG4/edit?usp=sharing"",""ลำปาง!Q101"")+IMPORTRANGE(""https://docs.goog"&amp;"le.com/spreadsheets/d/1ICwG78r0OFT8biBlxnBF8r7she7gNSzOvJ958PWT09c/edit?usp=sharing"",""ลำพูน!Q101"")+IMPORTRANGE(""https://docs.google.com/spreadsheets/d/1B0f2xJpZUC6Z0xXnqKlZtEPzsf6L84eP1r1Q15seqRM/edit?usp=sharing"",""สุโขทัย!Q101"")+IMPORTRANGE(""http"&amp;"s://docs.google.com/spreadsheets/d/1v0b9pFQCsKUVExMei7AgY2yQkdeNQvtOssygGsXbiKo/edit?usp=sharing"",""อุตรดิตถ์!Q101"")+IMPORTRANGE(""https://docs.google.com/spreadsheets/d/1UsNK1e-WWiCo2PvGqdNfdme4m17_Ezd3J69EeeiQPD0/edit?usp=sharing"",""อุทัยธานี!Q101"")"),0)</f>
        <v>0</v>
      </c>
      <c r="R101" s="48">
        <f ca="1">IFERROR(__xludf.DUMMYFUNCTION("IMPORTRANGE(""https://docs.google.com/spreadsheets/d/1jTcq05yEiRwXcBMLjiodW9e4biSGYWAHcDj22rKWQ3s/edit?usp=sharing"",""กำแพงเพชร!R101"")+IMPORTRANGE(""https://docs.google.com/spreadsheets/d/1KS0zmDSZPk8KnTAbGN-Xk6MtX1YRZD0ldgdt20K4CRk/edit?usp=sharing"","&amp;"""เชียงราย!R101"")+IMPORTRANGE(""https://docs.google.com/spreadsheets/d/1rEDxBtusbi64tE0zunoIbsTVV16HeL0oJ6trHQeQ7K8/edit?usp=sharing"",""เชียงใหม่!R101"")+IMPORTRANGE(""https://docs.google.com/spreadsheets/d/1W6MnUbDkMi6xHnHko_XkFDO9kkuL6Wqyc-6OCDFjW9I/e"&amp;"dit?usp=sharing"",""ตาก!R101"")+IMPORTRANGE(""https://docs.google.com/spreadsheets/d/1IQAWArduLkta9LpYo4a_ULsyqdta6-6aDDiwpUnQT6c/edit?usp=sharing"",""นครสวรรค์!R101"")+IMPORTRANGE(""https://docs.google.com/spreadsheets/d/10s13Sk5xrltsiR-Zkbmk5DwIaDIKO8Xl"&amp;"bJAfqyT7Gvg/edit?usp=sharing"",""น่าน!R101"")+IMPORTRANGE(""https://docs.google.com/spreadsheets/d/1uu4nAn4Dbi1XREnLKKotUANlKXa7yCgRcgq8HEzQYW8/edit?usp=sharing"",""พะเยา!R101"")+IMPORTRANGE(""https://docs.google.com/spreadsheets/d/1xfJKIQxVOaPDIICqsflNlL"&amp;"u3JacTDk1FP9RH4phX7mI/edit?usp=sharing"",""พิจิตร!R101"")+IMPORTRANGE(""https://docs.google.com/spreadsheets/d/1JtRfZkJMHtEhI5RdRHxYUG4FIZHqKDpNyIuN7A1Q0_k/edit?usp=sharing"",""พิษณุโลก!R101"")+IMPORTRANGE(""https://docs.google.com/spreadsheets/d/1xlcVZWU"&amp;"Nn6SuWm0c307h32SiGkd9BaeQWlAktfD3KO8/edit?usp=sharing"",""เพชรบูรณ์!R101"")+IMPORTRANGE(""https://docs.google.com/spreadsheets/d/1lOVebEIsI9qjGXl6EX66luk7wiuP2tBaryw-wKvv4e0/edit?usp=sharing"",""แพร่!R101"")+IMPORTRANGE(""https://docs.google.com/spreadshe"&amp;"ets/d/1dQrvX0vEcN7Gu0fnZ0B5S90AeR19zth4XlExFBeExMY/edit?usp=sharing"",""แม่ฮ่องสอน!R101"")+IMPORTRANGE(""https://docs.google.com/spreadsheets/d/1DY4XTNNwjluuxqdfdn6qvOSlMRrZqUtmYcZR0ttFiG4/edit?usp=sharing"",""ลำปาง!R101"")+IMPORTRANGE(""https://docs.goog"&amp;"le.com/spreadsheets/d/1ICwG78r0OFT8biBlxnBF8r7she7gNSzOvJ958PWT09c/edit?usp=sharing"",""ลำพูน!R101"")+IMPORTRANGE(""https://docs.google.com/spreadsheets/d/1B0f2xJpZUC6Z0xXnqKlZtEPzsf6L84eP1r1Q15seqRM/edit?usp=sharing"",""สุโขทัย!R101"")+IMPORTRANGE(""http"&amp;"s://docs.google.com/spreadsheets/d/1v0b9pFQCsKUVExMei7AgY2yQkdeNQvtOssygGsXbiKo/edit?usp=sharing"",""อุตรดิตถ์!R101"")+IMPORTRANGE(""https://docs.google.com/spreadsheets/d/1UsNK1e-WWiCo2PvGqdNfdme4m17_Ezd3J69EeeiQPD0/edit?usp=sharing"",""อุทัยธานี!R101"")"),0)</f>
        <v>0</v>
      </c>
      <c r="S101" s="48">
        <f ca="1">IFERROR(__xludf.DUMMYFUNCTION("IMPORTRANGE(""https://docs.google.com/spreadsheets/d/1jTcq05yEiRwXcBMLjiodW9e4biSGYWAHcDj22rKWQ3s/edit?usp=sharing"",""กำแพงเพชร!S101"")+IMPORTRANGE(""https://docs.google.com/spreadsheets/d/1KS0zmDSZPk8KnTAbGN-Xk6MtX1YRZD0ldgdt20K4CRk/edit?usp=sharing"","&amp;"""เชียงราย!S101"")+IMPORTRANGE(""https://docs.google.com/spreadsheets/d/1rEDxBtusbi64tE0zunoIbsTVV16HeL0oJ6trHQeQ7K8/edit?usp=sharing"",""เชียงใหม่!S101"")+IMPORTRANGE(""https://docs.google.com/spreadsheets/d/1W6MnUbDkMi6xHnHko_XkFDO9kkuL6Wqyc-6OCDFjW9I/e"&amp;"dit?usp=sharing"",""ตาก!S101"")+IMPORTRANGE(""https://docs.google.com/spreadsheets/d/1IQAWArduLkta9LpYo4a_ULsyqdta6-6aDDiwpUnQT6c/edit?usp=sharing"",""นครสวรรค์!S101"")+IMPORTRANGE(""https://docs.google.com/spreadsheets/d/10s13Sk5xrltsiR-Zkbmk5DwIaDIKO8Xl"&amp;"bJAfqyT7Gvg/edit?usp=sharing"",""น่าน!S101"")+IMPORTRANGE(""https://docs.google.com/spreadsheets/d/1uu4nAn4Dbi1XREnLKKotUANlKXa7yCgRcgq8HEzQYW8/edit?usp=sharing"",""พะเยา!S101"")+IMPORTRANGE(""https://docs.google.com/spreadsheets/d/1xfJKIQxVOaPDIICqsflNlL"&amp;"u3JacTDk1FP9RH4phX7mI/edit?usp=sharing"",""พิจิตร!S101"")+IMPORTRANGE(""https://docs.google.com/spreadsheets/d/1JtRfZkJMHtEhI5RdRHxYUG4FIZHqKDpNyIuN7A1Q0_k/edit?usp=sharing"",""พิษณุโลก!S101"")+IMPORTRANGE(""https://docs.google.com/spreadsheets/d/1xlcVZWU"&amp;"Nn6SuWm0c307h32SiGkd9BaeQWlAktfD3KO8/edit?usp=sharing"",""เพชรบูรณ์!S101"")+IMPORTRANGE(""https://docs.google.com/spreadsheets/d/1lOVebEIsI9qjGXl6EX66luk7wiuP2tBaryw-wKvv4e0/edit?usp=sharing"",""แพร่!S101"")+IMPORTRANGE(""https://docs.google.com/spreadshe"&amp;"ets/d/1dQrvX0vEcN7Gu0fnZ0B5S90AeR19zth4XlExFBeExMY/edit?usp=sharing"",""แม่ฮ่องสอน!S101"")+IMPORTRANGE(""https://docs.google.com/spreadsheets/d/1DY4XTNNwjluuxqdfdn6qvOSlMRrZqUtmYcZR0ttFiG4/edit?usp=sharing"",""ลำปาง!S101"")+IMPORTRANGE(""https://docs.goog"&amp;"le.com/spreadsheets/d/1ICwG78r0OFT8biBlxnBF8r7she7gNSzOvJ958PWT09c/edit?usp=sharing"",""ลำพูน!S101"")+IMPORTRANGE(""https://docs.google.com/spreadsheets/d/1B0f2xJpZUC6Z0xXnqKlZtEPzsf6L84eP1r1Q15seqRM/edit?usp=sharing"",""สุโขทัย!S101"")+IMPORTRANGE(""http"&amp;"s://docs.google.com/spreadsheets/d/1v0b9pFQCsKUVExMei7AgY2yQkdeNQvtOssygGsXbiKo/edit?usp=sharing"",""อุตรดิตถ์!S101"")+IMPORTRANGE(""https://docs.google.com/spreadsheets/d/1UsNK1e-WWiCo2PvGqdNfdme4m17_Ezd3J69EeeiQPD0/edit?usp=sharing"",""อุทัยธานี!S101"")"),0)</f>
        <v>0</v>
      </c>
      <c r="T101" s="48">
        <f t="shared" ca="1" si="77"/>
        <v>0</v>
      </c>
      <c r="U101" s="48">
        <f t="shared" ca="1" si="78"/>
        <v>0</v>
      </c>
    </row>
    <row r="102" spans="1:21" ht="18.75" x14ac:dyDescent="0.25">
      <c r="A102" s="128"/>
      <c r="B102" s="158"/>
      <c r="C102" s="158"/>
      <c r="D102" s="40"/>
      <c r="E102" s="47" t="s">
        <v>21</v>
      </c>
      <c r="F102" s="40"/>
      <c r="G102" s="42"/>
      <c r="H102" s="137" t="s">
        <v>14</v>
      </c>
      <c r="I102" s="135"/>
      <c r="J102" s="135"/>
      <c r="K102" s="136"/>
      <c r="L102" s="46">
        <f ca="1">IFERROR(__xludf.DUMMYFUNCTION("IMPORTRANGE(""https://docs.google.com/spreadsheets/d/1jTcq05yEiRwXcBMLjiodW9e4biSGYWAHcDj22rKWQ3s/edit?usp=sharing"",""กำแพงเพชร!L102"")+IMPORTRANGE(""https://docs.google.com/spreadsheets/d/1KS0zmDSZPk8KnTAbGN-Xk6MtX1YRZD0ldgdt20K4CRk/edit?usp=sharing"","&amp;"""เชียงราย!L102"")+IMPORTRANGE(""https://docs.google.com/spreadsheets/d/1rEDxBtusbi64tE0zunoIbsTVV16HeL0oJ6trHQeQ7K8/edit?usp=sharing"",""เชียงใหม่!L102"")+IMPORTRANGE(""https://docs.google.com/spreadsheets/d/1W6MnUbDkMi6xHnHko_XkFDO9kkuL6Wqyc-6OCDFjW9I/e"&amp;"dit?usp=sharing"",""ตาก!L102"")+IMPORTRANGE(""https://docs.google.com/spreadsheets/d/1IQAWArduLkta9LpYo4a_ULsyqdta6-6aDDiwpUnQT6c/edit?usp=sharing"",""นครสวรรค์!L102"")+IMPORTRANGE(""https://docs.google.com/spreadsheets/d/10s13Sk5xrltsiR-Zkbmk5DwIaDIKO8Xl"&amp;"bJAfqyT7Gvg/edit?usp=sharing"",""น่าน!L102"")+IMPORTRANGE(""https://docs.google.com/spreadsheets/d/1uu4nAn4Dbi1XREnLKKotUANlKXa7yCgRcgq8HEzQYW8/edit?usp=sharing"",""พะเยา!L102"")+IMPORTRANGE(""https://docs.google.com/spreadsheets/d/1xfJKIQxVOaPDIICqsflNlL"&amp;"u3JacTDk1FP9RH4phX7mI/edit?usp=sharing"",""พิจิตร!L102"")+IMPORTRANGE(""https://docs.google.com/spreadsheets/d/1JtRfZkJMHtEhI5RdRHxYUG4FIZHqKDpNyIuN7A1Q0_k/edit?usp=sharing"",""พิษณุโลก!L102"")+IMPORTRANGE(""https://docs.google.com/spreadsheets/d/1xlcVZWU"&amp;"Nn6SuWm0c307h32SiGkd9BaeQWlAktfD3KO8/edit?usp=sharing"",""เพชรบูรณ์!L102"")+IMPORTRANGE(""https://docs.google.com/spreadsheets/d/1lOVebEIsI9qjGXl6EX66luk7wiuP2tBaryw-wKvv4e0/edit?usp=sharing"",""แพร่!L102"")+IMPORTRANGE(""https://docs.google.com/spreadshe"&amp;"ets/d/1dQrvX0vEcN7Gu0fnZ0B5S90AeR19zth4XlExFBeExMY/edit?usp=sharing"",""แม่ฮ่องสอน!L102"")+IMPORTRANGE(""https://docs.google.com/spreadsheets/d/1DY4XTNNwjluuxqdfdn6qvOSlMRrZqUtmYcZR0ttFiG4/edit?usp=sharing"",""ลำปาง!L102"")+IMPORTRANGE(""https://docs.goog"&amp;"le.com/spreadsheets/d/1ICwG78r0OFT8biBlxnBF8r7she7gNSzOvJ958PWT09c/edit?usp=sharing"",""ลำพูน!L102"")+IMPORTRANGE(""https://docs.google.com/spreadsheets/d/1B0f2xJpZUC6Z0xXnqKlZtEPzsf6L84eP1r1Q15seqRM/edit?usp=sharing"",""สุโขทัย!L102"")+IMPORTRANGE(""http"&amp;"s://docs.google.com/spreadsheets/d/1v0b9pFQCsKUVExMei7AgY2yQkdeNQvtOssygGsXbiKo/edit?usp=sharing"",""อุตรดิตถ์!L102"")+IMPORTRANGE(""https://docs.google.com/spreadsheets/d/1UsNK1e-WWiCo2PvGqdNfdme4m17_Ezd3J69EeeiQPD0/edit?usp=sharing"",""อุทัยธานี!L102"")"),0)</f>
        <v>0</v>
      </c>
      <c r="M102" s="46">
        <f ca="1">IFERROR(__xludf.DUMMYFUNCTION("IMPORTRANGE(""https://docs.google.com/spreadsheets/d/1jTcq05yEiRwXcBMLjiodW9e4biSGYWAHcDj22rKWQ3s/edit?usp=sharing"",""กำแพงเพชร!M102"")+IMPORTRANGE(""https://docs.google.com/spreadsheets/d/1KS0zmDSZPk8KnTAbGN-Xk6MtX1YRZD0ldgdt20K4CRk/edit?usp=sharing"","&amp;"""เชียงราย!M102"")+IMPORTRANGE(""https://docs.google.com/spreadsheets/d/1rEDxBtusbi64tE0zunoIbsTVV16HeL0oJ6trHQeQ7K8/edit?usp=sharing"",""เชียงใหม่!M102"")+IMPORTRANGE(""https://docs.google.com/spreadsheets/d/1W6MnUbDkMi6xHnHko_XkFDO9kkuL6Wqyc-6OCDFjW9I/e"&amp;"dit?usp=sharing"",""ตาก!M102"")+IMPORTRANGE(""https://docs.google.com/spreadsheets/d/1IQAWArduLkta9LpYo4a_ULsyqdta6-6aDDiwpUnQT6c/edit?usp=sharing"",""นครสวรรค์!M102"")+IMPORTRANGE(""https://docs.google.com/spreadsheets/d/10s13Sk5xrltsiR-Zkbmk5DwIaDIKO8Xl"&amp;"bJAfqyT7Gvg/edit?usp=sharing"",""น่าน!M102"")+IMPORTRANGE(""https://docs.google.com/spreadsheets/d/1uu4nAn4Dbi1XREnLKKotUANlKXa7yCgRcgq8HEzQYW8/edit?usp=sharing"",""พะเยา!M102"")+IMPORTRANGE(""https://docs.google.com/spreadsheets/d/1xfJKIQxVOaPDIICqsflNlL"&amp;"u3JacTDk1FP9RH4phX7mI/edit?usp=sharing"",""พิจิตร!M102"")+IMPORTRANGE(""https://docs.google.com/spreadsheets/d/1JtRfZkJMHtEhI5RdRHxYUG4FIZHqKDpNyIuN7A1Q0_k/edit?usp=sharing"",""พิษณุโลก!M102"")+IMPORTRANGE(""https://docs.google.com/spreadsheets/d/1xlcVZWU"&amp;"Nn6SuWm0c307h32SiGkd9BaeQWlAktfD3KO8/edit?usp=sharing"",""เพชรบูรณ์!M102"")+IMPORTRANGE(""https://docs.google.com/spreadsheets/d/1lOVebEIsI9qjGXl6EX66luk7wiuP2tBaryw-wKvv4e0/edit?usp=sharing"",""แพร่!M102"")+IMPORTRANGE(""https://docs.google.com/spreadshe"&amp;"ets/d/1dQrvX0vEcN7Gu0fnZ0B5S90AeR19zth4XlExFBeExMY/edit?usp=sharing"",""แม่ฮ่องสอน!M102"")+IMPORTRANGE(""https://docs.google.com/spreadsheets/d/1DY4XTNNwjluuxqdfdn6qvOSlMRrZqUtmYcZR0ttFiG4/edit?usp=sharing"",""ลำปาง!M102"")+IMPORTRANGE(""https://docs.goog"&amp;"le.com/spreadsheets/d/1ICwG78r0OFT8biBlxnBF8r7she7gNSzOvJ958PWT09c/edit?usp=sharing"",""ลำพูน!M102"")+IMPORTRANGE(""https://docs.google.com/spreadsheets/d/1B0f2xJpZUC6Z0xXnqKlZtEPzsf6L84eP1r1Q15seqRM/edit?usp=sharing"",""สุโขทัย!M102"")+IMPORTRANGE(""http"&amp;"s://docs.google.com/spreadsheets/d/1v0b9pFQCsKUVExMei7AgY2yQkdeNQvtOssygGsXbiKo/edit?usp=sharing"",""อุตรดิตถ์!M102"")+IMPORTRANGE(""https://docs.google.com/spreadsheets/d/1UsNK1e-WWiCo2PvGqdNfdme4m17_Ezd3J69EeeiQPD0/edit?usp=sharing"",""อุทัยธานี!M102"")"),0)</f>
        <v>0</v>
      </c>
      <c r="N102" s="46">
        <f ca="1">IFERROR(__xludf.DUMMYFUNCTION("IMPORTRANGE(""https://docs.google.com/spreadsheets/d/1jTcq05yEiRwXcBMLjiodW9e4biSGYWAHcDj22rKWQ3s/edit?usp=sharing"",""กำแพงเพชร!N102"")+IMPORTRANGE(""https://docs.google.com/spreadsheets/d/1KS0zmDSZPk8KnTAbGN-Xk6MtX1YRZD0ldgdt20K4CRk/edit?usp=sharing"","&amp;"""เชียงราย!N102"")+IMPORTRANGE(""https://docs.google.com/spreadsheets/d/1rEDxBtusbi64tE0zunoIbsTVV16HeL0oJ6trHQeQ7K8/edit?usp=sharing"",""เชียงใหม่!N102"")+IMPORTRANGE(""https://docs.google.com/spreadsheets/d/1W6MnUbDkMi6xHnHko_XkFDO9kkuL6Wqyc-6OCDFjW9I/e"&amp;"dit?usp=sharing"",""ตาก!N102"")+IMPORTRANGE(""https://docs.google.com/spreadsheets/d/1IQAWArduLkta9LpYo4a_ULsyqdta6-6aDDiwpUnQT6c/edit?usp=sharing"",""นครสวรรค์!N102"")+IMPORTRANGE(""https://docs.google.com/spreadsheets/d/10s13Sk5xrltsiR-Zkbmk5DwIaDIKO8Xl"&amp;"bJAfqyT7Gvg/edit?usp=sharing"",""น่าน!N102"")+IMPORTRANGE(""https://docs.google.com/spreadsheets/d/1uu4nAn4Dbi1XREnLKKotUANlKXa7yCgRcgq8HEzQYW8/edit?usp=sharing"",""พะเยา!N102"")+IMPORTRANGE(""https://docs.google.com/spreadsheets/d/1xfJKIQxVOaPDIICqsflNlL"&amp;"u3JacTDk1FP9RH4phX7mI/edit?usp=sharing"",""พิจิตร!N102"")+IMPORTRANGE(""https://docs.google.com/spreadsheets/d/1JtRfZkJMHtEhI5RdRHxYUG4FIZHqKDpNyIuN7A1Q0_k/edit?usp=sharing"",""พิษณุโลก!N102"")+IMPORTRANGE(""https://docs.google.com/spreadsheets/d/1xlcVZWU"&amp;"Nn6SuWm0c307h32SiGkd9BaeQWlAktfD3KO8/edit?usp=sharing"",""เพชรบูรณ์!N102"")+IMPORTRANGE(""https://docs.google.com/spreadsheets/d/1lOVebEIsI9qjGXl6EX66luk7wiuP2tBaryw-wKvv4e0/edit?usp=sharing"",""แพร่!N102"")+IMPORTRANGE(""https://docs.google.com/spreadshe"&amp;"ets/d/1dQrvX0vEcN7Gu0fnZ0B5S90AeR19zth4XlExFBeExMY/edit?usp=sharing"",""แม่ฮ่องสอน!N102"")+IMPORTRANGE(""https://docs.google.com/spreadsheets/d/1DY4XTNNwjluuxqdfdn6qvOSlMRrZqUtmYcZR0ttFiG4/edit?usp=sharing"",""ลำปาง!N102"")+IMPORTRANGE(""https://docs.goog"&amp;"le.com/spreadsheets/d/1ICwG78r0OFT8biBlxnBF8r7she7gNSzOvJ958PWT09c/edit?usp=sharing"",""ลำพูน!N102"")+IMPORTRANGE(""https://docs.google.com/spreadsheets/d/1B0f2xJpZUC6Z0xXnqKlZtEPzsf6L84eP1r1Q15seqRM/edit?usp=sharing"",""สุโขทัย!N102"")+IMPORTRANGE(""http"&amp;"s://docs.google.com/spreadsheets/d/1v0b9pFQCsKUVExMei7AgY2yQkdeNQvtOssygGsXbiKo/edit?usp=sharing"",""อุตรดิตถ์!N102"")+IMPORTRANGE(""https://docs.google.com/spreadsheets/d/1UsNK1e-WWiCo2PvGqdNfdme4m17_Ezd3J69EeeiQPD0/edit?usp=sharing"",""อุทัยธานี!N102"")"),0)</f>
        <v>0</v>
      </c>
      <c r="O102" s="46">
        <f t="shared" ca="1" si="74"/>
        <v>0</v>
      </c>
      <c r="P102" s="46">
        <f t="shared" ca="1" si="75"/>
        <v>0</v>
      </c>
      <c r="Q102" s="46">
        <f ca="1">IFERROR(__xludf.DUMMYFUNCTION("IMPORTRANGE(""https://docs.google.com/spreadsheets/d/1jTcq05yEiRwXcBMLjiodW9e4biSGYWAHcDj22rKWQ3s/edit?usp=sharing"",""กำแพงเพชร!Q102"")+IMPORTRANGE(""https://docs.google.com/spreadsheets/d/1KS0zmDSZPk8KnTAbGN-Xk6MtX1YRZD0ldgdt20K4CRk/edit?usp=sharing"","&amp;"""เชียงราย!Q102"")+IMPORTRANGE(""https://docs.google.com/spreadsheets/d/1rEDxBtusbi64tE0zunoIbsTVV16HeL0oJ6trHQeQ7K8/edit?usp=sharing"",""เชียงใหม่!Q102"")+IMPORTRANGE(""https://docs.google.com/spreadsheets/d/1W6MnUbDkMi6xHnHko_XkFDO9kkuL6Wqyc-6OCDFjW9I/e"&amp;"dit?usp=sharing"",""ตาก!Q102"")+IMPORTRANGE(""https://docs.google.com/spreadsheets/d/1IQAWArduLkta9LpYo4a_ULsyqdta6-6aDDiwpUnQT6c/edit?usp=sharing"",""นครสวรรค์!Q102"")+IMPORTRANGE(""https://docs.google.com/spreadsheets/d/10s13Sk5xrltsiR-Zkbmk5DwIaDIKO8Xl"&amp;"bJAfqyT7Gvg/edit?usp=sharing"",""น่าน!Q102"")+IMPORTRANGE(""https://docs.google.com/spreadsheets/d/1uu4nAn4Dbi1XREnLKKotUANlKXa7yCgRcgq8HEzQYW8/edit?usp=sharing"",""พะเยา!Q102"")+IMPORTRANGE(""https://docs.google.com/spreadsheets/d/1xfJKIQxVOaPDIICqsflNlL"&amp;"u3JacTDk1FP9RH4phX7mI/edit?usp=sharing"",""พิจิตร!Q102"")+IMPORTRANGE(""https://docs.google.com/spreadsheets/d/1JtRfZkJMHtEhI5RdRHxYUG4FIZHqKDpNyIuN7A1Q0_k/edit?usp=sharing"",""พิษณุโลก!Q102"")+IMPORTRANGE(""https://docs.google.com/spreadsheets/d/1xlcVZWU"&amp;"Nn6SuWm0c307h32SiGkd9BaeQWlAktfD3KO8/edit?usp=sharing"",""เพชรบูรณ์!Q102"")+IMPORTRANGE(""https://docs.google.com/spreadsheets/d/1lOVebEIsI9qjGXl6EX66luk7wiuP2tBaryw-wKvv4e0/edit?usp=sharing"",""แพร่!Q102"")+IMPORTRANGE(""https://docs.google.com/spreadshe"&amp;"ets/d/1dQrvX0vEcN7Gu0fnZ0B5S90AeR19zth4XlExFBeExMY/edit?usp=sharing"",""แม่ฮ่องสอน!Q102"")+IMPORTRANGE(""https://docs.google.com/spreadsheets/d/1DY4XTNNwjluuxqdfdn6qvOSlMRrZqUtmYcZR0ttFiG4/edit?usp=sharing"",""ลำปาง!Q102"")+IMPORTRANGE(""https://docs.goog"&amp;"le.com/spreadsheets/d/1ICwG78r0OFT8biBlxnBF8r7she7gNSzOvJ958PWT09c/edit?usp=sharing"",""ลำพูน!Q102"")+IMPORTRANGE(""https://docs.google.com/spreadsheets/d/1B0f2xJpZUC6Z0xXnqKlZtEPzsf6L84eP1r1Q15seqRM/edit?usp=sharing"",""สุโขทัย!Q102"")+IMPORTRANGE(""http"&amp;"s://docs.google.com/spreadsheets/d/1v0b9pFQCsKUVExMei7AgY2yQkdeNQvtOssygGsXbiKo/edit?usp=sharing"",""อุตรดิตถ์!Q102"")+IMPORTRANGE(""https://docs.google.com/spreadsheets/d/1UsNK1e-WWiCo2PvGqdNfdme4m17_Ezd3J69EeeiQPD0/edit?usp=sharing"",""อุทัยธานี!Q102"")"),0)</f>
        <v>0</v>
      </c>
      <c r="R102" s="46">
        <f ca="1">IFERROR(__xludf.DUMMYFUNCTION("IMPORTRANGE(""https://docs.google.com/spreadsheets/d/1jTcq05yEiRwXcBMLjiodW9e4biSGYWAHcDj22rKWQ3s/edit?usp=sharing"",""กำแพงเพชร!R102"")+IMPORTRANGE(""https://docs.google.com/spreadsheets/d/1KS0zmDSZPk8KnTAbGN-Xk6MtX1YRZD0ldgdt20K4CRk/edit?usp=sharing"","&amp;"""เชียงราย!R102"")+IMPORTRANGE(""https://docs.google.com/spreadsheets/d/1rEDxBtusbi64tE0zunoIbsTVV16HeL0oJ6trHQeQ7K8/edit?usp=sharing"",""เชียงใหม่!R102"")+IMPORTRANGE(""https://docs.google.com/spreadsheets/d/1W6MnUbDkMi6xHnHko_XkFDO9kkuL6Wqyc-6OCDFjW9I/e"&amp;"dit?usp=sharing"",""ตาก!R102"")+IMPORTRANGE(""https://docs.google.com/spreadsheets/d/1IQAWArduLkta9LpYo4a_ULsyqdta6-6aDDiwpUnQT6c/edit?usp=sharing"",""นครสวรรค์!R102"")+IMPORTRANGE(""https://docs.google.com/spreadsheets/d/10s13Sk5xrltsiR-Zkbmk5DwIaDIKO8Xl"&amp;"bJAfqyT7Gvg/edit?usp=sharing"",""น่าน!R102"")+IMPORTRANGE(""https://docs.google.com/spreadsheets/d/1uu4nAn4Dbi1XREnLKKotUANlKXa7yCgRcgq8HEzQYW8/edit?usp=sharing"",""พะเยา!R102"")+IMPORTRANGE(""https://docs.google.com/spreadsheets/d/1xfJKIQxVOaPDIICqsflNlL"&amp;"u3JacTDk1FP9RH4phX7mI/edit?usp=sharing"",""พิจิตร!R102"")+IMPORTRANGE(""https://docs.google.com/spreadsheets/d/1JtRfZkJMHtEhI5RdRHxYUG4FIZHqKDpNyIuN7A1Q0_k/edit?usp=sharing"",""พิษณุโลก!R102"")+IMPORTRANGE(""https://docs.google.com/spreadsheets/d/1xlcVZWU"&amp;"Nn6SuWm0c307h32SiGkd9BaeQWlAktfD3KO8/edit?usp=sharing"",""เพชรบูรณ์!R102"")+IMPORTRANGE(""https://docs.google.com/spreadsheets/d/1lOVebEIsI9qjGXl6EX66luk7wiuP2tBaryw-wKvv4e0/edit?usp=sharing"",""แพร่!R102"")+IMPORTRANGE(""https://docs.google.com/spreadshe"&amp;"ets/d/1dQrvX0vEcN7Gu0fnZ0B5S90AeR19zth4XlExFBeExMY/edit?usp=sharing"",""แม่ฮ่องสอน!R102"")+IMPORTRANGE(""https://docs.google.com/spreadsheets/d/1DY4XTNNwjluuxqdfdn6qvOSlMRrZqUtmYcZR0ttFiG4/edit?usp=sharing"",""ลำปาง!R102"")+IMPORTRANGE(""https://docs.goog"&amp;"le.com/spreadsheets/d/1ICwG78r0OFT8biBlxnBF8r7she7gNSzOvJ958PWT09c/edit?usp=sharing"",""ลำพูน!R102"")+IMPORTRANGE(""https://docs.google.com/spreadsheets/d/1B0f2xJpZUC6Z0xXnqKlZtEPzsf6L84eP1r1Q15seqRM/edit?usp=sharing"",""สุโขทัย!R102"")+IMPORTRANGE(""http"&amp;"s://docs.google.com/spreadsheets/d/1v0b9pFQCsKUVExMei7AgY2yQkdeNQvtOssygGsXbiKo/edit?usp=sharing"",""อุตรดิตถ์!R102"")+IMPORTRANGE(""https://docs.google.com/spreadsheets/d/1UsNK1e-WWiCo2PvGqdNfdme4m17_Ezd3J69EeeiQPD0/edit?usp=sharing"",""อุทัยธานี!R102"")"),0)</f>
        <v>0</v>
      </c>
      <c r="S102" s="46">
        <f ca="1">IFERROR(__xludf.DUMMYFUNCTION("IMPORTRANGE(""https://docs.google.com/spreadsheets/d/1jTcq05yEiRwXcBMLjiodW9e4biSGYWAHcDj22rKWQ3s/edit?usp=sharing"",""กำแพงเพชร!S102"")+IMPORTRANGE(""https://docs.google.com/spreadsheets/d/1KS0zmDSZPk8KnTAbGN-Xk6MtX1YRZD0ldgdt20K4CRk/edit?usp=sharing"","&amp;"""เชียงราย!S102"")+IMPORTRANGE(""https://docs.google.com/spreadsheets/d/1rEDxBtusbi64tE0zunoIbsTVV16HeL0oJ6trHQeQ7K8/edit?usp=sharing"",""เชียงใหม่!S102"")+IMPORTRANGE(""https://docs.google.com/spreadsheets/d/1W6MnUbDkMi6xHnHko_XkFDO9kkuL6Wqyc-6OCDFjW9I/e"&amp;"dit?usp=sharing"",""ตาก!S102"")+IMPORTRANGE(""https://docs.google.com/spreadsheets/d/1IQAWArduLkta9LpYo4a_ULsyqdta6-6aDDiwpUnQT6c/edit?usp=sharing"",""นครสวรรค์!S102"")+IMPORTRANGE(""https://docs.google.com/spreadsheets/d/10s13Sk5xrltsiR-Zkbmk5DwIaDIKO8Xl"&amp;"bJAfqyT7Gvg/edit?usp=sharing"",""น่าน!S102"")+IMPORTRANGE(""https://docs.google.com/spreadsheets/d/1uu4nAn4Dbi1XREnLKKotUANlKXa7yCgRcgq8HEzQYW8/edit?usp=sharing"",""พะเยา!S102"")+IMPORTRANGE(""https://docs.google.com/spreadsheets/d/1xfJKIQxVOaPDIICqsflNlL"&amp;"u3JacTDk1FP9RH4phX7mI/edit?usp=sharing"",""พิจิตร!S102"")+IMPORTRANGE(""https://docs.google.com/spreadsheets/d/1JtRfZkJMHtEhI5RdRHxYUG4FIZHqKDpNyIuN7A1Q0_k/edit?usp=sharing"",""พิษณุโลก!S102"")+IMPORTRANGE(""https://docs.google.com/spreadsheets/d/1xlcVZWU"&amp;"Nn6SuWm0c307h32SiGkd9BaeQWlAktfD3KO8/edit?usp=sharing"",""เพชรบูรณ์!S102"")+IMPORTRANGE(""https://docs.google.com/spreadsheets/d/1lOVebEIsI9qjGXl6EX66luk7wiuP2tBaryw-wKvv4e0/edit?usp=sharing"",""แพร่!S102"")+IMPORTRANGE(""https://docs.google.com/spreadshe"&amp;"ets/d/1dQrvX0vEcN7Gu0fnZ0B5S90AeR19zth4XlExFBeExMY/edit?usp=sharing"",""แม่ฮ่องสอน!S102"")+IMPORTRANGE(""https://docs.google.com/spreadsheets/d/1DY4XTNNwjluuxqdfdn6qvOSlMRrZqUtmYcZR0ttFiG4/edit?usp=sharing"",""ลำปาง!S102"")+IMPORTRANGE(""https://docs.goog"&amp;"le.com/spreadsheets/d/1ICwG78r0OFT8biBlxnBF8r7she7gNSzOvJ958PWT09c/edit?usp=sharing"",""ลำพูน!S102"")+IMPORTRANGE(""https://docs.google.com/spreadsheets/d/1B0f2xJpZUC6Z0xXnqKlZtEPzsf6L84eP1r1Q15seqRM/edit?usp=sharing"",""สุโขทัย!S102"")+IMPORTRANGE(""http"&amp;"s://docs.google.com/spreadsheets/d/1v0b9pFQCsKUVExMei7AgY2yQkdeNQvtOssygGsXbiKo/edit?usp=sharing"",""อุตรดิตถ์!S102"")+IMPORTRANGE(""https://docs.google.com/spreadsheets/d/1UsNK1e-WWiCo2PvGqdNfdme4m17_Ezd3J69EeeiQPD0/edit?usp=sharing"",""อุทัยธานี!S102"")"),0)</f>
        <v>0</v>
      </c>
      <c r="T102" s="46">
        <f t="shared" ca="1" si="77"/>
        <v>0</v>
      </c>
      <c r="U102" s="46">
        <f t="shared" ca="1" si="78"/>
        <v>0</v>
      </c>
    </row>
    <row r="103" spans="1:21" ht="19.5" x14ac:dyDescent="0.3">
      <c r="A103" s="138"/>
      <c r="B103" s="139"/>
      <c r="C103" s="161" t="s">
        <v>18</v>
      </c>
      <c r="D103" s="140" t="s">
        <v>38</v>
      </c>
      <c r="E103" s="141"/>
      <c r="F103" s="141"/>
      <c r="G103" s="142"/>
      <c r="H103" s="143"/>
      <c r="I103" s="135"/>
      <c r="J103" s="44"/>
      <c r="K103" s="45"/>
      <c r="L103" s="45"/>
      <c r="M103" s="45"/>
      <c r="N103" s="45"/>
      <c r="O103" s="136"/>
      <c r="P103" s="136"/>
      <c r="Q103" s="45"/>
      <c r="R103" s="45"/>
      <c r="S103" s="45"/>
      <c r="T103" s="136"/>
      <c r="U103" s="136"/>
    </row>
    <row r="104" spans="1:21" ht="12.75" hidden="1" x14ac:dyDescent="0.2">
      <c r="A104" s="162"/>
      <c r="B104" s="163"/>
      <c r="C104" s="163"/>
      <c r="D104" s="18"/>
      <c r="E104" s="18"/>
      <c r="F104" s="18"/>
      <c r="G104" s="19"/>
      <c r="H104" s="19"/>
      <c r="I104" s="20"/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12.75" hidden="1" x14ac:dyDescent="0.2">
      <c r="A105" s="162"/>
      <c r="B105" s="163"/>
      <c r="C105" s="163"/>
      <c r="D105" s="18"/>
      <c r="E105" s="18"/>
      <c r="F105" s="18"/>
      <c r="G105" s="19"/>
      <c r="H105" s="19"/>
      <c r="I105" s="20"/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12.75" hidden="1" x14ac:dyDescent="0.2">
      <c r="A106" s="162"/>
      <c r="B106" s="163"/>
      <c r="C106" s="163"/>
      <c r="D106" s="163"/>
      <c r="E106" s="18"/>
      <c r="F106" s="18"/>
      <c r="G106" s="19"/>
      <c r="H106" s="19"/>
      <c r="I106" s="20"/>
      <c r="J106" s="20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19.5" x14ac:dyDescent="0.3">
      <c r="A107" s="138"/>
      <c r="B107" s="139"/>
      <c r="C107" s="139"/>
      <c r="D107" s="164" t="s">
        <v>47</v>
      </c>
      <c r="E107" s="165"/>
      <c r="F107" s="145"/>
      <c r="G107" s="143"/>
      <c r="H107" s="42"/>
      <c r="I107" s="44"/>
      <c r="J107" s="44"/>
      <c r="K107" s="45"/>
      <c r="L107" s="45"/>
      <c r="M107" s="45"/>
      <c r="N107" s="45"/>
      <c r="O107" s="136"/>
      <c r="P107" s="136"/>
      <c r="Q107" s="45"/>
      <c r="R107" s="45"/>
      <c r="S107" s="45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3" t="s">
        <v>46</v>
      </c>
      <c r="I108" s="166">
        <f ca="1">IFERROR(__xludf.DUMMYFUNCTION("IMPORTRANGE(""https://docs.google.com/spreadsheets/d/1jTcq05yEiRwXcBMLjiodW9e4biSGYWAHcDj22rKWQ3s/edit?usp=sharing"",""กำแพงเพชร!I108"")+IMPORTRANGE(""https://docs.google.com/spreadsheets/d/1KS0zmDSZPk8KnTAbGN-Xk6MtX1YRZD0ldgdt20K4CRk/edit?usp=sharing"","&amp;"""เชียงราย!I108"")+IMPORTRANGE(""https://docs.google.com/spreadsheets/d/1rEDxBtusbi64tE0zunoIbsTVV16HeL0oJ6trHQeQ7K8/edit?usp=sharing"",""เชียงใหม่!I108"")+IMPORTRANGE(""https://docs.google.com/spreadsheets/d/1W6MnUbDkMi6xHnHko_XkFDO9kkuL6Wqyc-6OCDFjW9I/e"&amp;"dit?usp=sharing"",""ตาก!I108"")+IMPORTRANGE(""https://docs.google.com/spreadsheets/d/1IQAWArduLkta9LpYo4a_ULsyqdta6-6aDDiwpUnQT6c/edit?usp=sharing"",""นครสวรรค์!I108"")+IMPORTRANGE(""https://docs.google.com/spreadsheets/d/10s13Sk5xrltsiR-Zkbmk5DwIaDIKO8Xl"&amp;"bJAfqyT7Gvg/edit?usp=sharing"",""น่าน!I108"")+IMPORTRANGE(""https://docs.google.com/spreadsheets/d/1uu4nAn4Dbi1XREnLKKotUANlKXa7yCgRcgq8HEzQYW8/edit?usp=sharing"",""พะเยา!I108"")+IMPORTRANGE(""https://docs.google.com/spreadsheets/d/1xfJKIQxVOaPDIICqsflNlL"&amp;"u3JacTDk1FP9RH4phX7mI/edit?usp=sharing"",""พิจิตร!I108"")+IMPORTRANGE(""https://docs.google.com/spreadsheets/d/1JtRfZkJMHtEhI5RdRHxYUG4FIZHqKDpNyIuN7A1Q0_k/edit?usp=sharing"",""พิษณุโลก!I108"")+IMPORTRANGE(""https://docs.google.com/spreadsheets/d/1xlcVZWU"&amp;"Nn6SuWm0c307h32SiGkd9BaeQWlAktfD3KO8/edit?usp=sharing"",""เพชรบูรณ์!I108"")+IMPORTRANGE(""https://docs.google.com/spreadsheets/d/1lOVebEIsI9qjGXl6EX66luk7wiuP2tBaryw-wKvv4e0/edit?usp=sharing"",""แพร่!I108"")+IMPORTRANGE(""https://docs.google.com/spreadshe"&amp;"ets/d/1dQrvX0vEcN7Gu0fnZ0B5S90AeR19zth4XlExFBeExMY/edit?usp=sharing"",""แม่ฮ่องสอน!I108"")+IMPORTRANGE(""https://docs.google.com/spreadsheets/d/1DY4XTNNwjluuxqdfdn6qvOSlMRrZqUtmYcZR0ttFiG4/edit?usp=sharing"",""ลำปาง!I108"")+IMPORTRANGE(""https://docs.goog"&amp;"le.com/spreadsheets/d/1ICwG78r0OFT8biBlxnBF8r7she7gNSzOvJ958PWT09c/edit?usp=sharing"",""ลำพูน!I108"")+IMPORTRANGE(""https://docs.google.com/spreadsheets/d/1B0f2xJpZUC6Z0xXnqKlZtEPzsf6L84eP1r1Q15seqRM/edit?usp=sharing"",""สุโขทัย!I108"")+IMPORTRANGE(""http"&amp;"s://docs.google.com/spreadsheets/d/1v0b9pFQCsKUVExMei7AgY2yQkdeNQvtOssygGsXbiKo/edit?usp=sharing"",""อุตรดิตถ์!I108"")+IMPORTRANGE(""https://docs.google.com/spreadsheets/d/1UsNK1e-WWiCo2PvGqdNfdme4m17_Ezd3J69EeeiQPD0/edit?usp=sharing"",""อุทัยธานี!I108"")"),390)</f>
        <v>390</v>
      </c>
      <c r="J108" s="167">
        <f ca="1">IFERROR(__xludf.DUMMYFUNCTION("IMPORTRANGE(""https://docs.google.com/spreadsheets/d/1jTcq05yEiRwXcBMLjiodW9e4biSGYWAHcDj22rKWQ3s/edit?usp=sharing"",""กำแพงเพชร!J108"")+IMPORTRANGE(""https://docs.google.com/spreadsheets/d/1KS0zmDSZPk8KnTAbGN-Xk6MtX1YRZD0ldgdt20K4CRk/edit?usp=sharing"","&amp;"""เชียงราย!J108"")+IMPORTRANGE(""https://docs.google.com/spreadsheets/d/1rEDxBtusbi64tE0zunoIbsTVV16HeL0oJ6trHQeQ7K8/edit?usp=sharing"",""เชียงใหม่!J108"")+IMPORTRANGE(""https://docs.google.com/spreadsheets/d/1W6MnUbDkMi6xHnHko_XkFDO9kkuL6Wqyc-6OCDFjW9I/e"&amp;"dit?usp=sharing"",""ตาก!J108"")+IMPORTRANGE(""https://docs.google.com/spreadsheets/d/1IQAWArduLkta9LpYo4a_ULsyqdta6-6aDDiwpUnQT6c/edit?usp=sharing"",""นครสวรรค์!J108"")+IMPORTRANGE(""https://docs.google.com/spreadsheets/d/10s13Sk5xrltsiR-Zkbmk5DwIaDIKO8Xl"&amp;"bJAfqyT7Gvg/edit?usp=sharing"",""น่าน!J108"")+IMPORTRANGE(""https://docs.google.com/spreadsheets/d/1uu4nAn4Dbi1XREnLKKotUANlKXa7yCgRcgq8HEzQYW8/edit?usp=sharing"",""พะเยา!J108"")+IMPORTRANGE(""https://docs.google.com/spreadsheets/d/1xfJKIQxVOaPDIICqsflNlL"&amp;"u3JacTDk1FP9RH4phX7mI/edit?usp=sharing"",""พิจิตร!J108"")+IMPORTRANGE(""https://docs.google.com/spreadsheets/d/1JtRfZkJMHtEhI5RdRHxYUG4FIZHqKDpNyIuN7A1Q0_k/edit?usp=sharing"",""พิษณุโลก!J108"")+IMPORTRANGE(""https://docs.google.com/spreadsheets/d/1xlcVZWU"&amp;"Nn6SuWm0c307h32SiGkd9BaeQWlAktfD3KO8/edit?usp=sharing"",""เพชรบูรณ์!J108"")+IMPORTRANGE(""https://docs.google.com/spreadsheets/d/1lOVebEIsI9qjGXl6EX66luk7wiuP2tBaryw-wKvv4e0/edit?usp=sharing"",""แพร่!J108"")+IMPORTRANGE(""https://docs.google.com/spreadshe"&amp;"ets/d/1dQrvX0vEcN7Gu0fnZ0B5S90AeR19zth4XlExFBeExMY/edit?usp=sharing"",""แม่ฮ่องสอน!J108"")+IMPORTRANGE(""https://docs.google.com/spreadsheets/d/1DY4XTNNwjluuxqdfdn6qvOSlMRrZqUtmYcZR0ttFiG4/edit?usp=sharing"",""ลำปาง!J108"")+IMPORTRANGE(""https://docs.goog"&amp;"le.com/spreadsheets/d/1ICwG78r0OFT8biBlxnBF8r7she7gNSzOvJ958PWT09c/edit?usp=sharing"",""ลำพูน!J108"")+IMPORTRANGE(""https://docs.google.com/spreadsheets/d/1B0f2xJpZUC6Z0xXnqKlZtEPzsf6L84eP1r1Q15seqRM/edit?usp=sharing"",""สุโขทัย!J108"")+IMPORTRANGE(""http"&amp;"s://docs.google.com/spreadsheets/d/1v0b9pFQCsKUVExMei7AgY2yQkdeNQvtOssygGsXbiKo/edit?usp=sharing"",""อุตรดิตถ์!J108"")+IMPORTRANGE(""https://docs.google.com/spreadsheets/d/1UsNK1e-WWiCo2PvGqdNfdme4m17_Ezd3J69EeeiQPD0/edit?usp=sharing"",""อุทัยธานี!J108"")"),90)</f>
        <v>90</v>
      </c>
      <c r="K108" s="46">
        <f t="shared" ref="K108:K109" ca="1" si="87">IF(I108&gt;0,J108*100/I108,0)</f>
        <v>23.076923076923077</v>
      </c>
      <c r="L108" s="45"/>
      <c r="M108" s="45"/>
      <c r="N108" s="45"/>
      <c r="O108" s="136"/>
      <c r="P108" s="136"/>
      <c r="Q108" s="45"/>
      <c r="R108" s="45"/>
      <c r="S108" s="45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3" t="s">
        <v>35</v>
      </c>
      <c r="I109" s="166">
        <f ca="1">IFERROR(__xludf.DUMMYFUNCTION("IMPORTRANGE(""https://docs.google.com/spreadsheets/d/1jTcq05yEiRwXcBMLjiodW9e4biSGYWAHcDj22rKWQ3s/edit?usp=sharing"",""กำแพงเพชร!I109"")+IMPORTRANGE(""https://docs.google.com/spreadsheets/d/1KS0zmDSZPk8KnTAbGN-Xk6MtX1YRZD0ldgdt20K4CRk/edit?usp=sharing"","&amp;"""เชียงราย!I109"")+IMPORTRANGE(""https://docs.google.com/spreadsheets/d/1rEDxBtusbi64tE0zunoIbsTVV16HeL0oJ6trHQeQ7K8/edit?usp=sharing"",""เชียงใหม่!I109"")+IMPORTRANGE(""https://docs.google.com/spreadsheets/d/1W6MnUbDkMi6xHnHko_XkFDO9kkuL6Wqyc-6OCDFjW9I/e"&amp;"dit?usp=sharing"",""ตาก!I109"")+IMPORTRANGE(""https://docs.google.com/spreadsheets/d/1IQAWArduLkta9LpYo4a_ULsyqdta6-6aDDiwpUnQT6c/edit?usp=sharing"",""นครสวรรค์!I109"")+IMPORTRANGE(""https://docs.google.com/spreadsheets/d/10s13Sk5xrltsiR-Zkbmk5DwIaDIKO8Xl"&amp;"bJAfqyT7Gvg/edit?usp=sharing"",""น่าน!I109"")+IMPORTRANGE(""https://docs.google.com/spreadsheets/d/1uu4nAn4Dbi1XREnLKKotUANlKXa7yCgRcgq8HEzQYW8/edit?usp=sharing"",""พะเยา!I109"")+IMPORTRANGE(""https://docs.google.com/spreadsheets/d/1xfJKIQxVOaPDIICqsflNlL"&amp;"u3JacTDk1FP9RH4phX7mI/edit?usp=sharing"",""พิจิตร!I109"")+IMPORTRANGE(""https://docs.google.com/spreadsheets/d/1JtRfZkJMHtEhI5RdRHxYUG4FIZHqKDpNyIuN7A1Q0_k/edit?usp=sharing"",""พิษณุโลก!I109"")+IMPORTRANGE(""https://docs.google.com/spreadsheets/d/1xlcVZWU"&amp;"Nn6SuWm0c307h32SiGkd9BaeQWlAktfD3KO8/edit?usp=sharing"",""เพชรบูรณ์!I109"")+IMPORTRANGE(""https://docs.google.com/spreadsheets/d/1lOVebEIsI9qjGXl6EX66luk7wiuP2tBaryw-wKvv4e0/edit?usp=sharing"",""แพร่!I109"")+IMPORTRANGE(""https://docs.google.com/spreadshe"&amp;"ets/d/1dQrvX0vEcN7Gu0fnZ0B5S90AeR19zth4XlExFBeExMY/edit?usp=sharing"",""แม่ฮ่องสอน!I109"")+IMPORTRANGE(""https://docs.google.com/spreadsheets/d/1DY4XTNNwjluuxqdfdn6qvOSlMRrZqUtmYcZR0ttFiG4/edit?usp=sharing"",""ลำปาง!I109"")+IMPORTRANGE(""https://docs.goog"&amp;"le.com/spreadsheets/d/1ICwG78r0OFT8biBlxnBF8r7she7gNSzOvJ958PWT09c/edit?usp=sharing"",""ลำพูน!I109"")+IMPORTRANGE(""https://docs.google.com/spreadsheets/d/1B0f2xJpZUC6Z0xXnqKlZtEPzsf6L84eP1r1Q15seqRM/edit?usp=sharing"",""สุโขทัย!I109"")+IMPORTRANGE(""http"&amp;"s://docs.google.com/spreadsheets/d/1v0b9pFQCsKUVExMei7AgY2yQkdeNQvtOssygGsXbiKo/edit?usp=sharing"",""อุตรดิตถ์!I109"")+IMPORTRANGE(""https://docs.google.com/spreadsheets/d/1UsNK1e-WWiCo2PvGqdNfdme4m17_Ezd3J69EeeiQPD0/edit?usp=sharing"",""อุทัยธานี!I109"")"),130)</f>
        <v>130</v>
      </c>
      <c r="J109" s="167">
        <f ca="1">IFERROR(__xludf.DUMMYFUNCTION("IMPORTRANGE(""https://docs.google.com/spreadsheets/d/1jTcq05yEiRwXcBMLjiodW9e4biSGYWAHcDj22rKWQ3s/edit?usp=sharing"",""กำแพงเพชร!J109"")+IMPORTRANGE(""https://docs.google.com/spreadsheets/d/1KS0zmDSZPk8KnTAbGN-Xk6MtX1YRZD0ldgdt20K4CRk/edit?usp=sharing"","&amp;"""เชียงราย!J109"")+IMPORTRANGE(""https://docs.google.com/spreadsheets/d/1rEDxBtusbi64tE0zunoIbsTVV16HeL0oJ6trHQeQ7K8/edit?usp=sharing"",""เชียงใหม่!J109"")+IMPORTRANGE(""https://docs.google.com/spreadsheets/d/1W6MnUbDkMi6xHnHko_XkFDO9kkuL6Wqyc-6OCDFjW9I/e"&amp;"dit?usp=sharing"",""ตาก!J109"")+IMPORTRANGE(""https://docs.google.com/spreadsheets/d/1IQAWArduLkta9LpYo4a_ULsyqdta6-6aDDiwpUnQT6c/edit?usp=sharing"",""นครสวรรค์!J109"")+IMPORTRANGE(""https://docs.google.com/spreadsheets/d/10s13Sk5xrltsiR-Zkbmk5DwIaDIKO8Xl"&amp;"bJAfqyT7Gvg/edit?usp=sharing"",""น่าน!J109"")+IMPORTRANGE(""https://docs.google.com/spreadsheets/d/1uu4nAn4Dbi1XREnLKKotUANlKXa7yCgRcgq8HEzQYW8/edit?usp=sharing"",""พะเยา!J109"")+IMPORTRANGE(""https://docs.google.com/spreadsheets/d/1xfJKIQxVOaPDIICqsflNlL"&amp;"u3JacTDk1FP9RH4phX7mI/edit?usp=sharing"",""พิจิตร!J109"")+IMPORTRANGE(""https://docs.google.com/spreadsheets/d/1JtRfZkJMHtEhI5RdRHxYUG4FIZHqKDpNyIuN7A1Q0_k/edit?usp=sharing"",""พิษณุโลก!J109"")+IMPORTRANGE(""https://docs.google.com/spreadsheets/d/1xlcVZWU"&amp;"Nn6SuWm0c307h32SiGkd9BaeQWlAktfD3KO8/edit?usp=sharing"",""เพชรบูรณ์!J109"")+IMPORTRANGE(""https://docs.google.com/spreadsheets/d/1lOVebEIsI9qjGXl6EX66luk7wiuP2tBaryw-wKvv4e0/edit?usp=sharing"",""แพร่!J109"")+IMPORTRANGE(""https://docs.google.com/spreadshe"&amp;"ets/d/1dQrvX0vEcN7Gu0fnZ0B5S90AeR19zth4XlExFBeExMY/edit?usp=sharing"",""แม่ฮ่องสอน!J109"")+IMPORTRANGE(""https://docs.google.com/spreadsheets/d/1DY4XTNNwjluuxqdfdn6qvOSlMRrZqUtmYcZR0ttFiG4/edit?usp=sharing"",""ลำปาง!J109"")+IMPORTRANGE(""https://docs.goog"&amp;"le.com/spreadsheets/d/1ICwG78r0OFT8biBlxnBF8r7she7gNSzOvJ958PWT09c/edit?usp=sharing"",""ลำพูน!J109"")+IMPORTRANGE(""https://docs.google.com/spreadsheets/d/1B0f2xJpZUC6Z0xXnqKlZtEPzsf6L84eP1r1Q15seqRM/edit?usp=sharing"",""สุโขทัย!J109"")+IMPORTRANGE(""http"&amp;"s://docs.google.com/spreadsheets/d/1v0b9pFQCsKUVExMei7AgY2yQkdeNQvtOssygGsXbiKo/edit?usp=sharing"",""อุตรดิตถ์!J109"")+IMPORTRANGE(""https://docs.google.com/spreadsheets/d/1UsNK1e-WWiCo2PvGqdNfdme4m17_Ezd3J69EeeiQPD0/edit?usp=sharing"",""อุทัยธานี!J109"")"),50)</f>
        <v>50</v>
      </c>
      <c r="K109" s="46">
        <f t="shared" ca="1" si="87"/>
        <v>38.46153846153846</v>
      </c>
      <c r="L109" s="45"/>
      <c r="M109" s="45"/>
      <c r="N109" s="45"/>
      <c r="O109" s="136"/>
      <c r="P109" s="136"/>
      <c r="Q109" s="45"/>
      <c r="R109" s="45"/>
      <c r="S109" s="45"/>
      <c r="T109" s="136"/>
      <c r="U109" s="136"/>
    </row>
    <row r="110" spans="1:21" ht="12.75" hidden="1" x14ac:dyDescent="0.2">
      <c r="A110" s="162"/>
      <c r="B110" s="163"/>
      <c r="C110" s="163"/>
      <c r="D110" s="18"/>
      <c r="E110" s="18"/>
      <c r="F110" s="18"/>
      <c r="G110" s="19"/>
      <c r="H110" s="19"/>
      <c r="I110" s="20"/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2.75" hidden="1" x14ac:dyDescent="0.2">
      <c r="A111" s="162"/>
      <c r="B111" s="163"/>
      <c r="C111" s="163"/>
      <c r="D111" s="18"/>
      <c r="E111" s="18"/>
      <c r="F111" s="18"/>
      <c r="G111" s="19"/>
      <c r="H111" s="19"/>
      <c r="I111" s="20"/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12.75" hidden="1" x14ac:dyDescent="0.2">
      <c r="A112" s="162"/>
      <c r="B112" s="163"/>
      <c r="C112" s="163"/>
      <c r="D112" s="163"/>
      <c r="E112" s="18"/>
      <c r="F112" s="18"/>
      <c r="G112" s="19"/>
      <c r="H112" s="19"/>
      <c r="I112" s="20"/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8.75" x14ac:dyDescent="0.25">
      <c r="A113" s="138"/>
      <c r="B113" s="139"/>
      <c r="C113" s="139"/>
      <c r="D113" s="149" t="s">
        <v>50</v>
      </c>
      <c r="E113" s="145"/>
      <c r="F113" s="145"/>
      <c r="G113" s="143"/>
      <c r="H113" s="150" t="s">
        <v>46</v>
      </c>
      <c r="I113" s="151">
        <f ca="1">IFERROR(__xludf.DUMMYFUNCTION("IMPORTRANGE(""https://docs.google.com/spreadsheets/d/1jTcq05yEiRwXcBMLjiodW9e4biSGYWAHcDj22rKWQ3s/edit?usp=sharing"",""กำแพงเพชร!I113"")+IMPORTRANGE(""https://docs.google.com/spreadsheets/d/1KS0zmDSZPk8KnTAbGN-Xk6MtX1YRZD0ldgdt20K4CRk/edit?usp=sharing"","&amp;"""เชียงราย!I113"")+IMPORTRANGE(""https://docs.google.com/spreadsheets/d/1rEDxBtusbi64tE0zunoIbsTVV16HeL0oJ6trHQeQ7K8/edit?usp=sharing"",""เชียงใหม่!I113"")+IMPORTRANGE(""https://docs.google.com/spreadsheets/d/1W6MnUbDkMi6xHnHko_XkFDO9kkuL6Wqyc-6OCDFjW9I/e"&amp;"dit?usp=sharing"",""ตาก!I113"")+IMPORTRANGE(""https://docs.google.com/spreadsheets/d/1IQAWArduLkta9LpYo4a_ULsyqdta6-6aDDiwpUnQT6c/edit?usp=sharing"",""นครสวรรค์!I113"")+IMPORTRANGE(""https://docs.google.com/spreadsheets/d/10s13Sk5xrltsiR-Zkbmk5DwIaDIKO8Xl"&amp;"bJAfqyT7Gvg/edit?usp=sharing"",""น่าน!I113"")+IMPORTRANGE(""https://docs.google.com/spreadsheets/d/1uu4nAn4Dbi1XREnLKKotUANlKXa7yCgRcgq8HEzQYW8/edit?usp=sharing"",""พะเยา!I113"")+IMPORTRANGE(""https://docs.google.com/spreadsheets/d/1xfJKIQxVOaPDIICqsflNlL"&amp;"u3JacTDk1FP9RH4phX7mI/edit?usp=sharing"",""พิจิตร!I113"")+IMPORTRANGE(""https://docs.google.com/spreadsheets/d/1JtRfZkJMHtEhI5RdRHxYUG4FIZHqKDpNyIuN7A1Q0_k/edit?usp=sharing"",""พิษณุโลก!I113"")+IMPORTRANGE(""https://docs.google.com/spreadsheets/d/1xlcVZWU"&amp;"Nn6SuWm0c307h32SiGkd9BaeQWlAktfD3KO8/edit?usp=sharing"",""เพชรบูรณ์!I113"")+IMPORTRANGE(""https://docs.google.com/spreadsheets/d/1lOVebEIsI9qjGXl6EX66luk7wiuP2tBaryw-wKvv4e0/edit?usp=sharing"",""แพร่!I113"")+IMPORTRANGE(""https://docs.google.com/spreadshe"&amp;"ets/d/1dQrvX0vEcN7Gu0fnZ0B5S90AeR19zth4XlExFBeExMY/edit?usp=sharing"",""แม่ฮ่องสอน!I113"")+IMPORTRANGE(""https://docs.google.com/spreadsheets/d/1DY4XTNNwjluuxqdfdn6qvOSlMRrZqUtmYcZR0ttFiG4/edit?usp=sharing"",""ลำปาง!I113"")+IMPORTRANGE(""https://docs.goog"&amp;"le.com/spreadsheets/d/1ICwG78r0OFT8biBlxnBF8r7she7gNSzOvJ958PWT09c/edit?usp=sharing"",""ลำพูน!I113"")+IMPORTRANGE(""https://docs.google.com/spreadsheets/d/1B0f2xJpZUC6Z0xXnqKlZtEPzsf6L84eP1r1Q15seqRM/edit?usp=sharing"",""สุโขทัย!I113"")+IMPORTRANGE(""http"&amp;"s://docs.google.com/spreadsheets/d/1v0b9pFQCsKUVExMei7AgY2yQkdeNQvtOssygGsXbiKo/edit?usp=sharing"",""อุตรดิตถ์!I113"")+IMPORTRANGE(""https://docs.google.com/spreadsheets/d/1UsNK1e-WWiCo2PvGqdNfdme4m17_Ezd3J69EeeiQPD0/edit?usp=sharing"",""อุทัยธานี!I113"")"),390)</f>
        <v>390</v>
      </c>
      <c r="J113" s="167">
        <f ca="1">IFERROR(__xludf.DUMMYFUNCTION("IMPORTRANGE(""https://docs.google.com/spreadsheets/d/1jTcq05yEiRwXcBMLjiodW9e4biSGYWAHcDj22rKWQ3s/edit?usp=sharing"",""กำแพงเพชร!J113"")+IMPORTRANGE(""https://docs.google.com/spreadsheets/d/1KS0zmDSZPk8KnTAbGN-Xk6MtX1YRZD0ldgdt20K4CRk/edit?usp=sharing"","&amp;"""เชียงราย!J113"")+IMPORTRANGE(""https://docs.google.com/spreadsheets/d/1rEDxBtusbi64tE0zunoIbsTVV16HeL0oJ6trHQeQ7K8/edit?usp=sharing"",""เชียงใหม่!J113"")+IMPORTRANGE(""https://docs.google.com/spreadsheets/d/1W6MnUbDkMi6xHnHko_XkFDO9kkuL6Wqyc-6OCDFjW9I/e"&amp;"dit?usp=sharing"",""ตาก!J113"")+IMPORTRANGE(""https://docs.google.com/spreadsheets/d/1IQAWArduLkta9LpYo4a_ULsyqdta6-6aDDiwpUnQT6c/edit?usp=sharing"",""นครสวรรค์!J113"")+IMPORTRANGE(""https://docs.google.com/spreadsheets/d/10s13Sk5xrltsiR-Zkbmk5DwIaDIKO8Xl"&amp;"bJAfqyT7Gvg/edit?usp=sharing"",""น่าน!J113"")+IMPORTRANGE(""https://docs.google.com/spreadsheets/d/1uu4nAn4Dbi1XREnLKKotUANlKXa7yCgRcgq8HEzQYW8/edit?usp=sharing"",""พะเยา!J113"")+IMPORTRANGE(""https://docs.google.com/spreadsheets/d/1xfJKIQxVOaPDIICqsflNlL"&amp;"u3JacTDk1FP9RH4phX7mI/edit?usp=sharing"",""พิจิตร!J113"")+IMPORTRANGE(""https://docs.google.com/spreadsheets/d/1JtRfZkJMHtEhI5RdRHxYUG4FIZHqKDpNyIuN7A1Q0_k/edit?usp=sharing"",""พิษณุโลก!J113"")+IMPORTRANGE(""https://docs.google.com/spreadsheets/d/1xlcVZWU"&amp;"Nn6SuWm0c307h32SiGkd9BaeQWlAktfD3KO8/edit?usp=sharing"",""เพชรบูรณ์!J113"")+IMPORTRANGE(""https://docs.google.com/spreadsheets/d/1lOVebEIsI9qjGXl6EX66luk7wiuP2tBaryw-wKvv4e0/edit?usp=sharing"",""แพร่!J113"")+IMPORTRANGE(""https://docs.google.com/spreadshe"&amp;"ets/d/1dQrvX0vEcN7Gu0fnZ0B5S90AeR19zth4XlExFBeExMY/edit?usp=sharing"",""แม่ฮ่องสอน!J113"")+IMPORTRANGE(""https://docs.google.com/spreadsheets/d/1DY4XTNNwjluuxqdfdn6qvOSlMRrZqUtmYcZR0ttFiG4/edit?usp=sharing"",""ลำปาง!J113"")+IMPORTRANGE(""https://docs.goog"&amp;"le.com/spreadsheets/d/1ICwG78r0OFT8biBlxnBF8r7she7gNSzOvJ958PWT09c/edit?usp=sharing"",""ลำพูน!J113"")+IMPORTRANGE(""https://docs.google.com/spreadsheets/d/1B0f2xJpZUC6Z0xXnqKlZtEPzsf6L84eP1r1Q15seqRM/edit?usp=sharing"",""สุโขทัย!J113"")+IMPORTRANGE(""http"&amp;"s://docs.google.com/spreadsheets/d/1v0b9pFQCsKUVExMei7AgY2yQkdeNQvtOssygGsXbiKo/edit?usp=sharing"",""อุตรดิตถ์!J113"")+IMPORTRANGE(""https://docs.google.com/spreadsheets/d/1UsNK1e-WWiCo2PvGqdNfdme4m17_Ezd3J69EeeiQPD0/edit?usp=sharing"",""อุทัยธานี!J113"")"),60)</f>
        <v>60</v>
      </c>
      <c r="K113" s="46">
        <f t="shared" ref="K113:K114" ca="1" si="88">IF(I113&gt;0,J113*100/I113,0)</f>
        <v>15.384615384615385</v>
      </c>
      <c r="L113" s="45"/>
      <c r="M113" s="45"/>
      <c r="N113" s="45"/>
      <c r="O113" s="136"/>
      <c r="P113" s="136"/>
      <c r="Q113" s="45"/>
      <c r="R113" s="45"/>
      <c r="S113" s="45"/>
      <c r="T113" s="136"/>
      <c r="U113" s="136"/>
    </row>
    <row r="114" spans="1:21" ht="18.75" x14ac:dyDescent="0.25">
      <c r="A114" s="138"/>
      <c r="B114" s="139"/>
      <c r="C114" s="139"/>
      <c r="D114" s="149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jTcq05yEiRwXcBMLjiodW9e4biSGYWAHcDj22rKWQ3s/edit?usp=sharing"",""กำแพงเพชร!I114"")+IMPORTRANGE(""https://docs.google.com/spreadsheets/d/1KS0zmDSZPk8KnTAbGN-Xk6MtX1YRZD0ldgdt20K4CRk/edit?usp=sharing"","&amp;"""เชียงราย!I114"")+IMPORTRANGE(""https://docs.google.com/spreadsheets/d/1rEDxBtusbi64tE0zunoIbsTVV16HeL0oJ6trHQeQ7K8/edit?usp=sharing"",""เชียงใหม่!I114"")+IMPORTRANGE(""https://docs.google.com/spreadsheets/d/1W6MnUbDkMi6xHnHko_XkFDO9kkuL6Wqyc-6OCDFjW9I/e"&amp;"dit?usp=sharing"",""ตาก!I114"")+IMPORTRANGE(""https://docs.google.com/spreadsheets/d/1IQAWArduLkta9LpYo4a_ULsyqdta6-6aDDiwpUnQT6c/edit?usp=sharing"",""นครสวรรค์!I114"")+IMPORTRANGE(""https://docs.google.com/spreadsheets/d/10s13Sk5xrltsiR-Zkbmk5DwIaDIKO8Xl"&amp;"bJAfqyT7Gvg/edit?usp=sharing"",""น่าน!I114"")+IMPORTRANGE(""https://docs.google.com/spreadsheets/d/1uu4nAn4Dbi1XREnLKKotUANlKXa7yCgRcgq8HEzQYW8/edit?usp=sharing"",""พะเยา!I114"")+IMPORTRANGE(""https://docs.google.com/spreadsheets/d/1xfJKIQxVOaPDIICqsflNlL"&amp;"u3JacTDk1FP9RH4phX7mI/edit?usp=sharing"",""พิจิตร!I114"")+IMPORTRANGE(""https://docs.google.com/spreadsheets/d/1JtRfZkJMHtEhI5RdRHxYUG4FIZHqKDpNyIuN7A1Q0_k/edit?usp=sharing"",""พิษณุโลก!I114"")+IMPORTRANGE(""https://docs.google.com/spreadsheets/d/1xlcVZWU"&amp;"Nn6SuWm0c307h32SiGkd9BaeQWlAktfD3KO8/edit?usp=sharing"",""เพชรบูรณ์!I114"")+IMPORTRANGE(""https://docs.google.com/spreadsheets/d/1lOVebEIsI9qjGXl6EX66luk7wiuP2tBaryw-wKvv4e0/edit?usp=sharing"",""แพร่!I114"")+IMPORTRANGE(""https://docs.google.com/spreadshe"&amp;"ets/d/1dQrvX0vEcN7Gu0fnZ0B5S90AeR19zth4XlExFBeExMY/edit?usp=sharing"",""แม่ฮ่องสอน!I114"")+IMPORTRANGE(""https://docs.google.com/spreadsheets/d/1DY4XTNNwjluuxqdfdn6qvOSlMRrZqUtmYcZR0ttFiG4/edit?usp=sharing"",""ลำปาง!I114"")+IMPORTRANGE(""https://docs.goog"&amp;"le.com/spreadsheets/d/1ICwG78r0OFT8biBlxnBF8r7she7gNSzOvJ958PWT09c/edit?usp=sharing"",""ลำพูน!I114"")+IMPORTRANGE(""https://docs.google.com/spreadsheets/d/1B0f2xJpZUC6Z0xXnqKlZtEPzsf6L84eP1r1Q15seqRM/edit?usp=sharing"",""สุโขทัย!I114"")+IMPORTRANGE(""http"&amp;"s://docs.google.com/spreadsheets/d/1v0b9pFQCsKUVExMei7AgY2yQkdeNQvtOssygGsXbiKo/edit?usp=sharing"",""อุตรดิตถ์!I114"")+IMPORTRANGE(""https://docs.google.com/spreadsheets/d/1UsNK1e-WWiCo2PvGqdNfdme4m17_Ezd3J69EeeiQPD0/edit?usp=sharing"",""อุทัยธานี!I114"")"),130)</f>
        <v>130</v>
      </c>
      <c r="J114" s="167">
        <f ca="1">IFERROR(__xludf.DUMMYFUNCTION("IMPORTRANGE(""https://docs.google.com/spreadsheets/d/1jTcq05yEiRwXcBMLjiodW9e4biSGYWAHcDj22rKWQ3s/edit?usp=sharing"",""กำแพงเพชร!J114"")+IMPORTRANGE(""https://docs.google.com/spreadsheets/d/1KS0zmDSZPk8KnTAbGN-Xk6MtX1YRZD0ldgdt20K4CRk/edit?usp=sharing"","&amp;"""เชียงราย!J114"")+IMPORTRANGE(""https://docs.google.com/spreadsheets/d/1rEDxBtusbi64tE0zunoIbsTVV16HeL0oJ6trHQeQ7K8/edit?usp=sharing"",""เชียงใหม่!J114"")+IMPORTRANGE(""https://docs.google.com/spreadsheets/d/1W6MnUbDkMi6xHnHko_XkFDO9kkuL6Wqyc-6OCDFjW9I/e"&amp;"dit?usp=sharing"",""ตาก!J114"")+IMPORTRANGE(""https://docs.google.com/spreadsheets/d/1IQAWArduLkta9LpYo4a_ULsyqdta6-6aDDiwpUnQT6c/edit?usp=sharing"",""นครสวรรค์!J114"")+IMPORTRANGE(""https://docs.google.com/spreadsheets/d/10s13Sk5xrltsiR-Zkbmk5DwIaDIKO8Xl"&amp;"bJAfqyT7Gvg/edit?usp=sharing"",""น่าน!J114"")+IMPORTRANGE(""https://docs.google.com/spreadsheets/d/1uu4nAn4Dbi1XREnLKKotUANlKXa7yCgRcgq8HEzQYW8/edit?usp=sharing"",""พะเยา!J114"")+IMPORTRANGE(""https://docs.google.com/spreadsheets/d/1xfJKIQxVOaPDIICqsflNlL"&amp;"u3JacTDk1FP9RH4phX7mI/edit?usp=sharing"",""พิจิตร!J114"")+IMPORTRANGE(""https://docs.google.com/spreadsheets/d/1JtRfZkJMHtEhI5RdRHxYUG4FIZHqKDpNyIuN7A1Q0_k/edit?usp=sharing"",""พิษณุโลก!J114"")+IMPORTRANGE(""https://docs.google.com/spreadsheets/d/1xlcVZWU"&amp;"Nn6SuWm0c307h32SiGkd9BaeQWlAktfD3KO8/edit?usp=sharing"",""เพชรบูรณ์!J114"")+IMPORTRANGE(""https://docs.google.com/spreadsheets/d/1lOVebEIsI9qjGXl6EX66luk7wiuP2tBaryw-wKvv4e0/edit?usp=sharing"",""แพร่!J114"")+IMPORTRANGE(""https://docs.google.com/spreadshe"&amp;"ets/d/1dQrvX0vEcN7Gu0fnZ0B5S90AeR19zth4XlExFBeExMY/edit?usp=sharing"",""แม่ฮ่องสอน!J114"")+IMPORTRANGE(""https://docs.google.com/spreadsheets/d/1DY4XTNNwjluuxqdfdn6qvOSlMRrZqUtmYcZR0ttFiG4/edit?usp=sharing"",""ลำปาง!J114"")+IMPORTRANGE(""https://docs.goog"&amp;"le.com/spreadsheets/d/1ICwG78r0OFT8biBlxnBF8r7she7gNSzOvJ958PWT09c/edit?usp=sharing"",""ลำพูน!J114"")+IMPORTRANGE(""https://docs.google.com/spreadsheets/d/1B0f2xJpZUC6Z0xXnqKlZtEPzsf6L84eP1r1Q15seqRM/edit?usp=sharing"",""สุโขทัย!J114"")+IMPORTRANGE(""http"&amp;"s://docs.google.com/spreadsheets/d/1v0b9pFQCsKUVExMei7AgY2yQkdeNQvtOssygGsXbiKo/edit?usp=sharing"",""อุตรดิตถ์!J114"")+IMPORTRANGE(""https://docs.google.com/spreadsheets/d/1UsNK1e-WWiCo2PvGqdNfdme4m17_Ezd3J69EeeiQPD0/edit?usp=sharing"",""อุทัยธานี!J114"")"),20)</f>
        <v>20</v>
      </c>
      <c r="K114" s="46">
        <f t="shared" ca="1" si="88"/>
        <v>15.384615384615385</v>
      </c>
      <c r="L114" s="45"/>
      <c r="M114" s="45"/>
      <c r="N114" s="45"/>
      <c r="O114" s="136"/>
      <c r="P114" s="136"/>
      <c r="Q114" s="45"/>
      <c r="R114" s="45"/>
      <c r="S114" s="45"/>
      <c r="T114" s="136"/>
      <c r="U114" s="136"/>
    </row>
    <row r="115" spans="1:21" ht="19.5" x14ac:dyDescent="0.3">
      <c r="A115" s="118" t="s">
        <v>51</v>
      </c>
      <c r="B115" s="120"/>
      <c r="C115" s="168"/>
      <c r="D115" s="119"/>
      <c r="E115" s="119"/>
      <c r="F115" s="119"/>
      <c r="G115" s="119"/>
      <c r="H115" s="120"/>
      <c r="I115" s="169"/>
      <c r="J115" s="169"/>
      <c r="K115" s="170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71" t="s">
        <v>52</v>
      </c>
      <c r="C116" s="172"/>
      <c r="D116" s="125"/>
      <c r="E116" s="27"/>
      <c r="F116" s="27"/>
      <c r="G116" s="30"/>
      <c r="H116" s="173" t="s">
        <v>35</v>
      </c>
      <c r="I116" s="127">
        <f t="shared" ref="I116:J116" ca="1" si="89">I127</f>
        <v>735</v>
      </c>
      <c r="J116" s="127">
        <f t="shared" ca="1" si="89"/>
        <v>715</v>
      </c>
      <c r="K116" s="34">
        <f ca="1">IF(I116&gt;0,J116*100/I116,0)</f>
        <v>97.278911564625844</v>
      </c>
      <c r="L116" s="33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ht="19.5" x14ac:dyDescent="0.3">
      <c r="A117" s="128"/>
      <c r="B117" s="158"/>
      <c r="C117" s="161" t="s">
        <v>18</v>
      </c>
      <c r="D117" s="130" t="s">
        <v>19</v>
      </c>
      <c r="E117" s="40"/>
      <c r="F117" s="40"/>
      <c r="G117" s="42"/>
      <c r="H117" s="131" t="s">
        <v>14</v>
      </c>
      <c r="I117" s="44"/>
      <c r="J117" s="44"/>
      <c r="K117" s="45"/>
      <c r="L117" s="132">
        <f t="shared" ref="L117:N117" ca="1" si="90">L118+L119</f>
        <v>0</v>
      </c>
      <c r="M117" s="132">
        <f t="shared" ca="1" si="90"/>
        <v>0</v>
      </c>
      <c r="N117" s="132">
        <f t="shared" ca="1" si="90"/>
        <v>0</v>
      </c>
      <c r="O117" s="132">
        <f t="shared" ref="O117:O125" ca="1" si="91">IF(L117&gt;0,N117*100/L117,0)</f>
        <v>0</v>
      </c>
      <c r="P117" s="132">
        <f t="shared" ref="P117:P125" ca="1" si="92">IF(M117&gt;0,N117*100/M117,0)</f>
        <v>0</v>
      </c>
      <c r="Q117" s="132">
        <f t="shared" ref="Q117:S117" ca="1" si="93">Q118+Q119</f>
        <v>6899960</v>
      </c>
      <c r="R117" s="132">
        <f t="shared" ca="1" si="93"/>
        <v>6899960</v>
      </c>
      <c r="S117" s="132">
        <f t="shared" ca="1" si="93"/>
        <v>2622077.11</v>
      </c>
      <c r="T117" s="132">
        <f t="shared" ref="T117:T125" ca="1" si="94">IF(Q117&gt;0,S117*100/Q117,0)</f>
        <v>38.001337833842513</v>
      </c>
      <c r="U117" s="132">
        <f t="shared" ref="U117:U125" ca="1" si="95">IF(R117&gt;0,S117*100/R117,0)</f>
        <v>38.001337833842513</v>
      </c>
    </row>
    <row r="118" spans="1:21" ht="18.75" x14ac:dyDescent="0.25">
      <c r="A118" s="128"/>
      <c r="B118" s="158"/>
      <c r="C118" s="158"/>
      <c r="D118" s="158"/>
      <c r="E118" s="156" t="s">
        <v>20</v>
      </c>
      <c r="F118" s="40"/>
      <c r="G118" s="42"/>
      <c r="H118" s="157" t="s">
        <v>14</v>
      </c>
      <c r="I118" s="44"/>
      <c r="J118" s="44"/>
      <c r="K118" s="45"/>
      <c r="L118" s="48">
        <f t="shared" ref="L118:N118" ca="1" si="96">L121+L124</f>
        <v>0</v>
      </c>
      <c r="M118" s="48">
        <f t="shared" ca="1" si="96"/>
        <v>0</v>
      </c>
      <c r="N118" s="48">
        <f t="shared" ca="1" si="96"/>
        <v>0</v>
      </c>
      <c r="O118" s="48">
        <f t="shared" ca="1" si="91"/>
        <v>0</v>
      </c>
      <c r="P118" s="48">
        <f t="shared" ca="1" si="92"/>
        <v>0</v>
      </c>
      <c r="Q118" s="48">
        <f t="shared" ref="Q118:S118" ca="1" si="97">Q121+Q124</f>
        <v>0</v>
      </c>
      <c r="R118" s="48">
        <f t="shared" ca="1" si="97"/>
        <v>0</v>
      </c>
      <c r="S118" s="48">
        <f t="shared" ca="1" si="97"/>
        <v>0</v>
      </c>
      <c r="T118" s="48">
        <f t="shared" ca="1" si="94"/>
        <v>0</v>
      </c>
      <c r="U118" s="48">
        <f t="shared" ca="1" si="95"/>
        <v>0</v>
      </c>
    </row>
    <row r="119" spans="1:21" ht="18.75" x14ac:dyDescent="0.25">
      <c r="A119" s="128"/>
      <c r="B119" s="158"/>
      <c r="C119" s="158"/>
      <c r="D119" s="158"/>
      <c r="E119" s="47" t="s">
        <v>21</v>
      </c>
      <c r="F119" s="40"/>
      <c r="G119" s="42"/>
      <c r="H119" s="133" t="s">
        <v>14</v>
      </c>
      <c r="I119" s="44"/>
      <c r="J119" s="44"/>
      <c r="K119" s="45"/>
      <c r="L119" s="46">
        <f t="shared" ref="L119:N119" ca="1" si="98">L122+L125</f>
        <v>0</v>
      </c>
      <c r="M119" s="46">
        <f t="shared" ca="1" si="98"/>
        <v>0</v>
      </c>
      <c r="N119" s="46">
        <f t="shared" ca="1" si="98"/>
        <v>0</v>
      </c>
      <c r="O119" s="46">
        <f t="shared" ca="1" si="91"/>
        <v>0</v>
      </c>
      <c r="P119" s="46">
        <f t="shared" ca="1" si="92"/>
        <v>0</v>
      </c>
      <c r="Q119" s="46">
        <f t="shared" ref="Q119:S119" ca="1" si="99">Q122+Q125</f>
        <v>6899960</v>
      </c>
      <c r="R119" s="46">
        <f t="shared" ca="1" si="99"/>
        <v>6899960</v>
      </c>
      <c r="S119" s="46">
        <f t="shared" ca="1" si="99"/>
        <v>2622077.11</v>
      </c>
      <c r="T119" s="46">
        <f t="shared" ca="1" si="94"/>
        <v>38.001337833842513</v>
      </c>
      <c r="U119" s="46">
        <f t="shared" ca="1" si="95"/>
        <v>38.001337833842513</v>
      </c>
    </row>
    <row r="120" spans="1:21" ht="18.75" x14ac:dyDescent="0.25">
      <c r="A120" s="128"/>
      <c r="B120" s="158"/>
      <c r="C120" s="174"/>
      <c r="D120" s="160" t="s">
        <v>22</v>
      </c>
      <c r="E120" s="40"/>
      <c r="F120" s="40"/>
      <c r="G120" s="42"/>
      <c r="H120" s="175" t="s">
        <v>14</v>
      </c>
      <c r="I120" s="44"/>
      <c r="J120" s="44"/>
      <c r="K120" s="45"/>
      <c r="L120" s="46">
        <f t="shared" ref="L120:N120" ca="1" si="100">L121+L122</f>
        <v>0</v>
      </c>
      <c r="M120" s="46">
        <f t="shared" ca="1" si="100"/>
        <v>0</v>
      </c>
      <c r="N120" s="46">
        <f t="shared" ca="1" si="100"/>
        <v>0</v>
      </c>
      <c r="O120" s="46">
        <f t="shared" ca="1" si="91"/>
        <v>0</v>
      </c>
      <c r="P120" s="46">
        <f t="shared" ca="1" si="92"/>
        <v>0</v>
      </c>
      <c r="Q120" s="46">
        <f t="shared" ref="Q120:S120" ca="1" si="101">Q121+Q122</f>
        <v>4578960</v>
      </c>
      <c r="R120" s="46">
        <f t="shared" ca="1" si="101"/>
        <v>4578960</v>
      </c>
      <c r="S120" s="46">
        <f t="shared" ca="1" si="101"/>
        <v>2622077.11</v>
      </c>
      <c r="T120" s="46">
        <f t="shared" ca="1" si="94"/>
        <v>57.263595008473537</v>
      </c>
      <c r="U120" s="46">
        <f t="shared" ca="1" si="95"/>
        <v>57.263595008473537</v>
      </c>
    </row>
    <row r="121" spans="1:21" ht="18.75" x14ac:dyDescent="0.25">
      <c r="A121" s="128"/>
      <c r="B121" s="158"/>
      <c r="C121" s="174"/>
      <c r="D121" s="158"/>
      <c r="E121" s="156" t="s">
        <v>36</v>
      </c>
      <c r="F121" s="40"/>
      <c r="G121" s="42"/>
      <c r="H121" s="176" t="s">
        <v>14</v>
      </c>
      <c r="I121" s="44"/>
      <c r="J121" s="44"/>
      <c r="K121" s="45"/>
      <c r="L121" s="48">
        <f ca="1">IFERROR(__xludf.DUMMYFUNCTION("IMPORTRANGE(""https://docs.google.com/spreadsheets/d/1jTcq05yEiRwXcBMLjiodW9e4biSGYWAHcDj22rKWQ3s/edit?usp=sharing"",""กำแพงเพชร!L121"")+IMPORTRANGE(""https://docs.google.com/spreadsheets/d/1KS0zmDSZPk8KnTAbGN-Xk6MtX1YRZD0ldgdt20K4CRk/edit?usp=sharing"","&amp;"""เชียงราย!L121"")+IMPORTRANGE(""https://docs.google.com/spreadsheets/d/1rEDxBtusbi64tE0zunoIbsTVV16HeL0oJ6trHQeQ7K8/edit?usp=sharing"",""เชียงใหม่!L121"")+IMPORTRANGE(""https://docs.google.com/spreadsheets/d/1W6MnUbDkMi6xHnHko_XkFDO9kkuL6Wqyc-6OCDFjW9I/e"&amp;"dit?usp=sharing"",""ตาก!L121"")+IMPORTRANGE(""https://docs.google.com/spreadsheets/d/1IQAWArduLkta9LpYo4a_ULsyqdta6-6aDDiwpUnQT6c/edit?usp=sharing"",""นครสวรรค์!L121"")+IMPORTRANGE(""https://docs.google.com/spreadsheets/d/10s13Sk5xrltsiR-Zkbmk5DwIaDIKO8Xl"&amp;"bJAfqyT7Gvg/edit?usp=sharing"",""น่าน!L121"")+IMPORTRANGE(""https://docs.google.com/spreadsheets/d/1uu4nAn4Dbi1XREnLKKotUANlKXa7yCgRcgq8HEzQYW8/edit?usp=sharing"",""พะเยา!L121"")+IMPORTRANGE(""https://docs.google.com/spreadsheets/d/1xfJKIQxVOaPDIICqsflNlL"&amp;"u3JacTDk1FP9RH4phX7mI/edit?usp=sharing"",""พิจิตร!L121"")+IMPORTRANGE(""https://docs.google.com/spreadsheets/d/1JtRfZkJMHtEhI5RdRHxYUG4FIZHqKDpNyIuN7A1Q0_k/edit?usp=sharing"",""พิษณุโลก!L121"")+IMPORTRANGE(""https://docs.google.com/spreadsheets/d/1xlcVZWU"&amp;"Nn6SuWm0c307h32SiGkd9BaeQWlAktfD3KO8/edit?usp=sharing"",""เพชรบูรณ์!L121"")+IMPORTRANGE(""https://docs.google.com/spreadsheets/d/1lOVebEIsI9qjGXl6EX66luk7wiuP2tBaryw-wKvv4e0/edit?usp=sharing"",""แพร่!L121"")+IMPORTRANGE(""https://docs.google.com/spreadshe"&amp;"ets/d/1dQrvX0vEcN7Gu0fnZ0B5S90AeR19zth4XlExFBeExMY/edit?usp=sharing"",""แม่ฮ่องสอน!L121"")+IMPORTRANGE(""https://docs.google.com/spreadsheets/d/1DY4XTNNwjluuxqdfdn6qvOSlMRrZqUtmYcZR0ttFiG4/edit?usp=sharing"",""ลำปาง!L121"")+IMPORTRANGE(""https://docs.goog"&amp;"le.com/spreadsheets/d/1ICwG78r0OFT8biBlxnBF8r7she7gNSzOvJ958PWT09c/edit?usp=sharing"",""ลำพูน!L121"")+IMPORTRANGE(""https://docs.google.com/spreadsheets/d/1B0f2xJpZUC6Z0xXnqKlZtEPzsf6L84eP1r1Q15seqRM/edit?usp=sharing"",""สุโขทัย!L121"")+IMPORTRANGE(""http"&amp;"s://docs.google.com/spreadsheets/d/1v0b9pFQCsKUVExMei7AgY2yQkdeNQvtOssygGsXbiKo/edit?usp=sharing"",""อุตรดิตถ์!L121"")+IMPORTRANGE(""https://docs.google.com/spreadsheets/d/1UsNK1e-WWiCo2PvGqdNfdme4m17_Ezd3J69EeeiQPD0/edit?usp=sharing"",""อุทัยธานี!L121"")"),0)</f>
        <v>0</v>
      </c>
      <c r="M121" s="48">
        <f ca="1">IFERROR(__xludf.DUMMYFUNCTION("IMPORTRANGE(""https://docs.google.com/spreadsheets/d/1jTcq05yEiRwXcBMLjiodW9e4biSGYWAHcDj22rKWQ3s/edit?usp=sharing"",""กำแพงเพชร!M121"")+IMPORTRANGE(""https://docs.google.com/spreadsheets/d/1KS0zmDSZPk8KnTAbGN-Xk6MtX1YRZD0ldgdt20K4CRk/edit?usp=sharing"","&amp;"""เชียงราย!M121"")+IMPORTRANGE(""https://docs.google.com/spreadsheets/d/1rEDxBtusbi64tE0zunoIbsTVV16HeL0oJ6trHQeQ7K8/edit?usp=sharing"",""เชียงใหม่!M121"")+IMPORTRANGE(""https://docs.google.com/spreadsheets/d/1W6MnUbDkMi6xHnHko_XkFDO9kkuL6Wqyc-6OCDFjW9I/e"&amp;"dit?usp=sharing"",""ตาก!M121"")+IMPORTRANGE(""https://docs.google.com/spreadsheets/d/1IQAWArduLkta9LpYo4a_ULsyqdta6-6aDDiwpUnQT6c/edit?usp=sharing"",""นครสวรรค์!M121"")+IMPORTRANGE(""https://docs.google.com/spreadsheets/d/10s13Sk5xrltsiR-Zkbmk5DwIaDIKO8Xl"&amp;"bJAfqyT7Gvg/edit?usp=sharing"",""น่าน!M121"")+IMPORTRANGE(""https://docs.google.com/spreadsheets/d/1uu4nAn4Dbi1XREnLKKotUANlKXa7yCgRcgq8HEzQYW8/edit?usp=sharing"",""พะเยา!M121"")+IMPORTRANGE(""https://docs.google.com/spreadsheets/d/1xfJKIQxVOaPDIICqsflNlL"&amp;"u3JacTDk1FP9RH4phX7mI/edit?usp=sharing"",""พิจิตร!M121"")+IMPORTRANGE(""https://docs.google.com/spreadsheets/d/1JtRfZkJMHtEhI5RdRHxYUG4FIZHqKDpNyIuN7A1Q0_k/edit?usp=sharing"",""พิษณุโลก!M121"")+IMPORTRANGE(""https://docs.google.com/spreadsheets/d/1xlcVZWU"&amp;"Nn6SuWm0c307h32SiGkd9BaeQWlAktfD3KO8/edit?usp=sharing"",""เพชรบูรณ์!M121"")+IMPORTRANGE(""https://docs.google.com/spreadsheets/d/1lOVebEIsI9qjGXl6EX66luk7wiuP2tBaryw-wKvv4e0/edit?usp=sharing"",""แพร่!M121"")+IMPORTRANGE(""https://docs.google.com/spreadshe"&amp;"ets/d/1dQrvX0vEcN7Gu0fnZ0B5S90AeR19zth4XlExFBeExMY/edit?usp=sharing"",""แม่ฮ่องสอน!M121"")+IMPORTRANGE(""https://docs.google.com/spreadsheets/d/1DY4XTNNwjluuxqdfdn6qvOSlMRrZqUtmYcZR0ttFiG4/edit?usp=sharing"",""ลำปาง!M121"")+IMPORTRANGE(""https://docs.goog"&amp;"le.com/spreadsheets/d/1ICwG78r0OFT8biBlxnBF8r7she7gNSzOvJ958PWT09c/edit?usp=sharing"",""ลำพูน!M121"")+IMPORTRANGE(""https://docs.google.com/spreadsheets/d/1B0f2xJpZUC6Z0xXnqKlZtEPzsf6L84eP1r1Q15seqRM/edit?usp=sharing"",""สุโขทัย!M121"")+IMPORTRANGE(""http"&amp;"s://docs.google.com/spreadsheets/d/1v0b9pFQCsKUVExMei7AgY2yQkdeNQvtOssygGsXbiKo/edit?usp=sharing"",""อุตรดิตถ์!M121"")+IMPORTRANGE(""https://docs.google.com/spreadsheets/d/1UsNK1e-WWiCo2PvGqdNfdme4m17_Ezd3J69EeeiQPD0/edit?usp=sharing"",""อุทัยธานี!M121"")"),0)</f>
        <v>0</v>
      </c>
      <c r="N121" s="48">
        <f ca="1">IFERROR(__xludf.DUMMYFUNCTION("IMPORTRANGE(""https://docs.google.com/spreadsheets/d/1jTcq05yEiRwXcBMLjiodW9e4biSGYWAHcDj22rKWQ3s/edit?usp=sharing"",""กำแพงเพชร!N121"")+IMPORTRANGE(""https://docs.google.com/spreadsheets/d/1KS0zmDSZPk8KnTAbGN-Xk6MtX1YRZD0ldgdt20K4CRk/edit?usp=sharing"","&amp;"""เชียงราย!N121"")+IMPORTRANGE(""https://docs.google.com/spreadsheets/d/1rEDxBtusbi64tE0zunoIbsTVV16HeL0oJ6trHQeQ7K8/edit?usp=sharing"",""เชียงใหม่!N121"")+IMPORTRANGE(""https://docs.google.com/spreadsheets/d/1W6MnUbDkMi6xHnHko_XkFDO9kkuL6Wqyc-6OCDFjW9I/e"&amp;"dit?usp=sharing"",""ตาก!N121"")+IMPORTRANGE(""https://docs.google.com/spreadsheets/d/1IQAWArduLkta9LpYo4a_ULsyqdta6-6aDDiwpUnQT6c/edit?usp=sharing"",""นครสวรรค์!N121"")+IMPORTRANGE(""https://docs.google.com/spreadsheets/d/10s13Sk5xrltsiR-Zkbmk5DwIaDIKO8Xl"&amp;"bJAfqyT7Gvg/edit?usp=sharing"",""น่าน!N121"")+IMPORTRANGE(""https://docs.google.com/spreadsheets/d/1uu4nAn4Dbi1XREnLKKotUANlKXa7yCgRcgq8HEzQYW8/edit?usp=sharing"",""พะเยา!N121"")+IMPORTRANGE(""https://docs.google.com/spreadsheets/d/1xfJKIQxVOaPDIICqsflNlL"&amp;"u3JacTDk1FP9RH4phX7mI/edit?usp=sharing"",""พิจิตร!N121"")+IMPORTRANGE(""https://docs.google.com/spreadsheets/d/1JtRfZkJMHtEhI5RdRHxYUG4FIZHqKDpNyIuN7A1Q0_k/edit?usp=sharing"",""พิษณุโลก!N121"")+IMPORTRANGE(""https://docs.google.com/spreadsheets/d/1xlcVZWU"&amp;"Nn6SuWm0c307h32SiGkd9BaeQWlAktfD3KO8/edit?usp=sharing"",""เพชรบูรณ์!N121"")+IMPORTRANGE(""https://docs.google.com/spreadsheets/d/1lOVebEIsI9qjGXl6EX66luk7wiuP2tBaryw-wKvv4e0/edit?usp=sharing"",""แพร่!N121"")+IMPORTRANGE(""https://docs.google.com/spreadshe"&amp;"ets/d/1dQrvX0vEcN7Gu0fnZ0B5S90AeR19zth4XlExFBeExMY/edit?usp=sharing"",""แม่ฮ่องสอน!N121"")+IMPORTRANGE(""https://docs.google.com/spreadsheets/d/1DY4XTNNwjluuxqdfdn6qvOSlMRrZqUtmYcZR0ttFiG4/edit?usp=sharing"",""ลำปาง!N121"")+IMPORTRANGE(""https://docs.goog"&amp;"le.com/spreadsheets/d/1ICwG78r0OFT8biBlxnBF8r7she7gNSzOvJ958PWT09c/edit?usp=sharing"",""ลำพูน!N121"")+IMPORTRANGE(""https://docs.google.com/spreadsheets/d/1B0f2xJpZUC6Z0xXnqKlZtEPzsf6L84eP1r1Q15seqRM/edit?usp=sharing"",""สุโขทัย!N121"")+IMPORTRANGE(""http"&amp;"s://docs.google.com/spreadsheets/d/1v0b9pFQCsKUVExMei7AgY2yQkdeNQvtOssygGsXbiKo/edit?usp=sharing"",""อุตรดิตถ์!N121"")+IMPORTRANGE(""https://docs.google.com/spreadsheets/d/1UsNK1e-WWiCo2PvGqdNfdme4m17_Ezd3J69EeeiQPD0/edit?usp=sharing"",""อุทัยธานี!N121"")"),0)</f>
        <v>0</v>
      </c>
      <c r="O121" s="48">
        <f t="shared" ca="1" si="91"/>
        <v>0</v>
      </c>
      <c r="P121" s="48">
        <f t="shared" ca="1" si="92"/>
        <v>0</v>
      </c>
      <c r="Q121" s="48">
        <f ca="1">IFERROR(__xludf.DUMMYFUNCTION("IMPORTRANGE(""https://docs.google.com/spreadsheets/d/1jTcq05yEiRwXcBMLjiodW9e4biSGYWAHcDj22rKWQ3s/edit?usp=sharing"",""กำแพงเพชร!Q121"")+IMPORTRANGE(""https://docs.google.com/spreadsheets/d/1KS0zmDSZPk8KnTAbGN-Xk6MtX1YRZD0ldgdt20K4CRk/edit?usp=sharing"","&amp;"""เชียงราย!Q121"")+IMPORTRANGE(""https://docs.google.com/spreadsheets/d/1rEDxBtusbi64tE0zunoIbsTVV16HeL0oJ6trHQeQ7K8/edit?usp=sharing"",""เชียงใหม่!Q121"")+IMPORTRANGE(""https://docs.google.com/spreadsheets/d/1W6MnUbDkMi6xHnHko_XkFDO9kkuL6Wqyc-6OCDFjW9I/e"&amp;"dit?usp=sharing"",""ตาก!Q121"")+IMPORTRANGE(""https://docs.google.com/spreadsheets/d/1IQAWArduLkta9LpYo4a_ULsyqdta6-6aDDiwpUnQT6c/edit?usp=sharing"",""นครสวรรค์!Q121"")+IMPORTRANGE(""https://docs.google.com/spreadsheets/d/10s13Sk5xrltsiR-Zkbmk5DwIaDIKO8Xl"&amp;"bJAfqyT7Gvg/edit?usp=sharing"",""น่าน!Q121"")+IMPORTRANGE(""https://docs.google.com/spreadsheets/d/1uu4nAn4Dbi1XREnLKKotUANlKXa7yCgRcgq8HEzQYW8/edit?usp=sharing"",""พะเยา!Q121"")+IMPORTRANGE(""https://docs.google.com/spreadsheets/d/1xfJKIQxVOaPDIICqsflNlL"&amp;"u3JacTDk1FP9RH4phX7mI/edit?usp=sharing"",""พิจิตร!Q121"")+IMPORTRANGE(""https://docs.google.com/spreadsheets/d/1JtRfZkJMHtEhI5RdRHxYUG4FIZHqKDpNyIuN7A1Q0_k/edit?usp=sharing"",""พิษณุโลก!Q121"")+IMPORTRANGE(""https://docs.google.com/spreadsheets/d/1xlcVZWU"&amp;"Nn6SuWm0c307h32SiGkd9BaeQWlAktfD3KO8/edit?usp=sharing"",""เพชรบูรณ์!Q121"")+IMPORTRANGE(""https://docs.google.com/spreadsheets/d/1lOVebEIsI9qjGXl6EX66luk7wiuP2tBaryw-wKvv4e0/edit?usp=sharing"",""แพร่!Q121"")+IMPORTRANGE(""https://docs.google.com/spreadshe"&amp;"ets/d/1dQrvX0vEcN7Gu0fnZ0B5S90AeR19zth4XlExFBeExMY/edit?usp=sharing"",""แม่ฮ่องสอน!Q121"")+IMPORTRANGE(""https://docs.google.com/spreadsheets/d/1DY4XTNNwjluuxqdfdn6qvOSlMRrZqUtmYcZR0ttFiG4/edit?usp=sharing"",""ลำปาง!Q121"")+IMPORTRANGE(""https://docs.goog"&amp;"le.com/spreadsheets/d/1ICwG78r0OFT8biBlxnBF8r7she7gNSzOvJ958PWT09c/edit?usp=sharing"",""ลำพูน!Q121"")+IMPORTRANGE(""https://docs.google.com/spreadsheets/d/1B0f2xJpZUC6Z0xXnqKlZtEPzsf6L84eP1r1Q15seqRM/edit?usp=sharing"",""สุโขทัย!Q121"")+IMPORTRANGE(""http"&amp;"s://docs.google.com/spreadsheets/d/1v0b9pFQCsKUVExMei7AgY2yQkdeNQvtOssygGsXbiKo/edit?usp=sharing"",""อุตรดิตถ์!Q121"")+IMPORTRANGE(""https://docs.google.com/spreadsheets/d/1UsNK1e-WWiCo2PvGqdNfdme4m17_Ezd3J69EeeiQPD0/edit?usp=sharing"",""อุทัยธานี!Q121"")"),0)</f>
        <v>0</v>
      </c>
      <c r="R121" s="48">
        <f ca="1">IFERROR(__xludf.DUMMYFUNCTION("IMPORTRANGE(""https://docs.google.com/spreadsheets/d/1jTcq05yEiRwXcBMLjiodW9e4biSGYWAHcDj22rKWQ3s/edit?usp=sharing"",""กำแพงเพชร!R121"")+IMPORTRANGE(""https://docs.google.com/spreadsheets/d/1KS0zmDSZPk8KnTAbGN-Xk6MtX1YRZD0ldgdt20K4CRk/edit?usp=sharing"","&amp;"""เชียงราย!R121"")+IMPORTRANGE(""https://docs.google.com/spreadsheets/d/1rEDxBtusbi64tE0zunoIbsTVV16HeL0oJ6trHQeQ7K8/edit?usp=sharing"",""เชียงใหม่!R121"")+IMPORTRANGE(""https://docs.google.com/spreadsheets/d/1W6MnUbDkMi6xHnHko_XkFDO9kkuL6Wqyc-6OCDFjW9I/e"&amp;"dit?usp=sharing"",""ตาก!R121"")+IMPORTRANGE(""https://docs.google.com/spreadsheets/d/1IQAWArduLkta9LpYo4a_ULsyqdta6-6aDDiwpUnQT6c/edit?usp=sharing"",""นครสวรรค์!R121"")+IMPORTRANGE(""https://docs.google.com/spreadsheets/d/10s13Sk5xrltsiR-Zkbmk5DwIaDIKO8Xl"&amp;"bJAfqyT7Gvg/edit?usp=sharing"",""น่าน!R121"")+IMPORTRANGE(""https://docs.google.com/spreadsheets/d/1uu4nAn4Dbi1XREnLKKotUANlKXa7yCgRcgq8HEzQYW8/edit?usp=sharing"",""พะเยา!R121"")+IMPORTRANGE(""https://docs.google.com/spreadsheets/d/1xfJKIQxVOaPDIICqsflNlL"&amp;"u3JacTDk1FP9RH4phX7mI/edit?usp=sharing"",""พิจิตร!R121"")+IMPORTRANGE(""https://docs.google.com/spreadsheets/d/1JtRfZkJMHtEhI5RdRHxYUG4FIZHqKDpNyIuN7A1Q0_k/edit?usp=sharing"",""พิษณุโลก!R121"")+IMPORTRANGE(""https://docs.google.com/spreadsheets/d/1xlcVZWU"&amp;"Nn6SuWm0c307h32SiGkd9BaeQWlAktfD3KO8/edit?usp=sharing"",""เพชรบูรณ์!R121"")+IMPORTRANGE(""https://docs.google.com/spreadsheets/d/1lOVebEIsI9qjGXl6EX66luk7wiuP2tBaryw-wKvv4e0/edit?usp=sharing"",""แพร่!R121"")+IMPORTRANGE(""https://docs.google.com/spreadshe"&amp;"ets/d/1dQrvX0vEcN7Gu0fnZ0B5S90AeR19zth4XlExFBeExMY/edit?usp=sharing"",""แม่ฮ่องสอน!R121"")+IMPORTRANGE(""https://docs.google.com/spreadsheets/d/1DY4XTNNwjluuxqdfdn6qvOSlMRrZqUtmYcZR0ttFiG4/edit?usp=sharing"",""ลำปาง!R121"")+IMPORTRANGE(""https://docs.goog"&amp;"le.com/spreadsheets/d/1ICwG78r0OFT8biBlxnBF8r7she7gNSzOvJ958PWT09c/edit?usp=sharing"",""ลำพูน!R121"")+IMPORTRANGE(""https://docs.google.com/spreadsheets/d/1B0f2xJpZUC6Z0xXnqKlZtEPzsf6L84eP1r1Q15seqRM/edit?usp=sharing"",""สุโขทัย!R121"")+IMPORTRANGE(""http"&amp;"s://docs.google.com/spreadsheets/d/1v0b9pFQCsKUVExMei7AgY2yQkdeNQvtOssygGsXbiKo/edit?usp=sharing"",""อุตรดิตถ์!R121"")+IMPORTRANGE(""https://docs.google.com/spreadsheets/d/1UsNK1e-WWiCo2PvGqdNfdme4m17_Ezd3J69EeeiQPD0/edit?usp=sharing"",""อุทัยธานี!R121"")"),0)</f>
        <v>0</v>
      </c>
      <c r="S121" s="48">
        <f ca="1">IFERROR(__xludf.DUMMYFUNCTION("IMPORTRANGE(""https://docs.google.com/spreadsheets/d/1jTcq05yEiRwXcBMLjiodW9e4biSGYWAHcDj22rKWQ3s/edit?usp=sharing"",""กำแพงเพชร!S121"")+IMPORTRANGE(""https://docs.google.com/spreadsheets/d/1KS0zmDSZPk8KnTAbGN-Xk6MtX1YRZD0ldgdt20K4CRk/edit?usp=sharing"","&amp;"""เชียงราย!S121"")+IMPORTRANGE(""https://docs.google.com/spreadsheets/d/1rEDxBtusbi64tE0zunoIbsTVV16HeL0oJ6trHQeQ7K8/edit?usp=sharing"",""เชียงใหม่!S121"")+IMPORTRANGE(""https://docs.google.com/spreadsheets/d/1W6MnUbDkMi6xHnHko_XkFDO9kkuL6Wqyc-6OCDFjW9I/e"&amp;"dit?usp=sharing"",""ตาก!S121"")+IMPORTRANGE(""https://docs.google.com/spreadsheets/d/1IQAWArduLkta9LpYo4a_ULsyqdta6-6aDDiwpUnQT6c/edit?usp=sharing"",""นครสวรรค์!S121"")+IMPORTRANGE(""https://docs.google.com/spreadsheets/d/10s13Sk5xrltsiR-Zkbmk5DwIaDIKO8Xl"&amp;"bJAfqyT7Gvg/edit?usp=sharing"",""น่าน!S121"")+IMPORTRANGE(""https://docs.google.com/spreadsheets/d/1uu4nAn4Dbi1XREnLKKotUANlKXa7yCgRcgq8HEzQYW8/edit?usp=sharing"",""พะเยา!S121"")+IMPORTRANGE(""https://docs.google.com/spreadsheets/d/1xfJKIQxVOaPDIICqsflNlL"&amp;"u3JacTDk1FP9RH4phX7mI/edit?usp=sharing"",""พิจิตร!S121"")+IMPORTRANGE(""https://docs.google.com/spreadsheets/d/1JtRfZkJMHtEhI5RdRHxYUG4FIZHqKDpNyIuN7A1Q0_k/edit?usp=sharing"",""พิษณุโลก!S121"")+IMPORTRANGE(""https://docs.google.com/spreadsheets/d/1xlcVZWU"&amp;"Nn6SuWm0c307h32SiGkd9BaeQWlAktfD3KO8/edit?usp=sharing"",""เพชรบูรณ์!S121"")+IMPORTRANGE(""https://docs.google.com/spreadsheets/d/1lOVebEIsI9qjGXl6EX66luk7wiuP2tBaryw-wKvv4e0/edit?usp=sharing"",""แพร่!S121"")+IMPORTRANGE(""https://docs.google.com/spreadshe"&amp;"ets/d/1dQrvX0vEcN7Gu0fnZ0B5S90AeR19zth4XlExFBeExMY/edit?usp=sharing"",""แม่ฮ่องสอน!S121"")+IMPORTRANGE(""https://docs.google.com/spreadsheets/d/1DY4XTNNwjluuxqdfdn6qvOSlMRrZqUtmYcZR0ttFiG4/edit?usp=sharing"",""ลำปาง!S121"")+IMPORTRANGE(""https://docs.goog"&amp;"le.com/spreadsheets/d/1ICwG78r0OFT8biBlxnBF8r7she7gNSzOvJ958PWT09c/edit?usp=sharing"",""ลำพูน!S121"")+IMPORTRANGE(""https://docs.google.com/spreadsheets/d/1B0f2xJpZUC6Z0xXnqKlZtEPzsf6L84eP1r1Q15seqRM/edit?usp=sharing"",""สุโขทัย!S121"")+IMPORTRANGE(""http"&amp;"s://docs.google.com/spreadsheets/d/1v0b9pFQCsKUVExMei7AgY2yQkdeNQvtOssygGsXbiKo/edit?usp=sharing"",""อุตรดิตถ์!S121"")+IMPORTRANGE(""https://docs.google.com/spreadsheets/d/1UsNK1e-WWiCo2PvGqdNfdme4m17_Ezd3J69EeeiQPD0/edit?usp=sharing"",""อุทัยธานี!S121"")"),0)</f>
        <v>0</v>
      </c>
      <c r="T121" s="48">
        <f t="shared" ca="1" si="94"/>
        <v>0</v>
      </c>
      <c r="U121" s="48">
        <f t="shared" ca="1" si="95"/>
        <v>0</v>
      </c>
    </row>
    <row r="122" spans="1:21" ht="18.75" x14ac:dyDescent="0.25">
      <c r="A122" s="128"/>
      <c r="B122" s="158"/>
      <c r="C122" s="174"/>
      <c r="D122" s="158"/>
      <c r="E122" s="47" t="s">
        <v>37</v>
      </c>
      <c r="F122" s="40"/>
      <c r="G122" s="42"/>
      <c r="H122" s="175" t="s">
        <v>14</v>
      </c>
      <c r="I122" s="44"/>
      <c r="J122" s="44"/>
      <c r="K122" s="45"/>
      <c r="L122" s="46">
        <f ca="1">IFERROR(__xludf.DUMMYFUNCTION("IMPORTRANGE(""https://docs.google.com/spreadsheets/d/1jTcq05yEiRwXcBMLjiodW9e4biSGYWAHcDj22rKWQ3s/edit?usp=sharing"",""กำแพงเพชร!L122"")+IMPORTRANGE(""https://docs.google.com/spreadsheets/d/1KS0zmDSZPk8KnTAbGN-Xk6MtX1YRZD0ldgdt20K4CRk/edit?usp=sharing"","&amp;"""เชียงราย!L122"")+IMPORTRANGE(""https://docs.google.com/spreadsheets/d/1rEDxBtusbi64tE0zunoIbsTVV16HeL0oJ6trHQeQ7K8/edit?usp=sharing"",""เชียงใหม่!L122"")+IMPORTRANGE(""https://docs.google.com/spreadsheets/d/1W6MnUbDkMi6xHnHko_XkFDO9kkuL6Wqyc-6OCDFjW9I/e"&amp;"dit?usp=sharing"",""ตาก!L122"")+IMPORTRANGE(""https://docs.google.com/spreadsheets/d/1IQAWArduLkta9LpYo4a_ULsyqdta6-6aDDiwpUnQT6c/edit?usp=sharing"",""นครสวรรค์!L122"")+IMPORTRANGE(""https://docs.google.com/spreadsheets/d/10s13Sk5xrltsiR-Zkbmk5DwIaDIKO8Xl"&amp;"bJAfqyT7Gvg/edit?usp=sharing"",""น่าน!L122"")+IMPORTRANGE(""https://docs.google.com/spreadsheets/d/1uu4nAn4Dbi1XREnLKKotUANlKXa7yCgRcgq8HEzQYW8/edit?usp=sharing"",""พะเยา!L122"")+IMPORTRANGE(""https://docs.google.com/spreadsheets/d/1xfJKIQxVOaPDIICqsflNlL"&amp;"u3JacTDk1FP9RH4phX7mI/edit?usp=sharing"",""พิจิตร!L122"")+IMPORTRANGE(""https://docs.google.com/spreadsheets/d/1JtRfZkJMHtEhI5RdRHxYUG4FIZHqKDpNyIuN7A1Q0_k/edit?usp=sharing"",""พิษณุโลก!L122"")+IMPORTRANGE(""https://docs.google.com/spreadsheets/d/1xlcVZWU"&amp;"Nn6SuWm0c307h32SiGkd9BaeQWlAktfD3KO8/edit?usp=sharing"",""เพชรบูรณ์!L122"")+IMPORTRANGE(""https://docs.google.com/spreadsheets/d/1lOVebEIsI9qjGXl6EX66luk7wiuP2tBaryw-wKvv4e0/edit?usp=sharing"",""แพร่!L122"")+IMPORTRANGE(""https://docs.google.com/spreadshe"&amp;"ets/d/1dQrvX0vEcN7Gu0fnZ0B5S90AeR19zth4XlExFBeExMY/edit?usp=sharing"",""แม่ฮ่องสอน!L122"")+IMPORTRANGE(""https://docs.google.com/spreadsheets/d/1DY4XTNNwjluuxqdfdn6qvOSlMRrZqUtmYcZR0ttFiG4/edit?usp=sharing"",""ลำปาง!L122"")+IMPORTRANGE(""https://docs.goog"&amp;"le.com/spreadsheets/d/1ICwG78r0OFT8biBlxnBF8r7she7gNSzOvJ958PWT09c/edit?usp=sharing"",""ลำพูน!L122"")+IMPORTRANGE(""https://docs.google.com/spreadsheets/d/1B0f2xJpZUC6Z0xXnqKlZtEPzsf6L84eP1r1Q15seqRM/edit?usp=sharing"",""สุโขทัย!L122"")+IMPORTRANGE(""http"&amp;"s://docs.google.com/spreadsheets/d/1v0b9pFQCsKUVExMei7AgY2yQkdeNQvtOssygGsXbiKo/edit?usp=sharing"",""อุตรดิตถ์!L122"")+IMPORTRANGE(""https://docs.google.com/spreadsheets/d/1UsNK1e-WWiCo2PvGqdNfdme4m17_Ezd3J69EeeiQPD0/edit?usp=sharing"",""อุทัยธานี!L122"")"),0)</f>
        <v>0</v>
      </c>
      <c r="M122" s="46">
        <f ca="1">IFERROR(__xludf.DUMMYFUNCTION("IMPORTRANGE(""https://docs.google.com/spreadsheets/d/1jTcq05yEiRwXcBMLjiodW9e4biSGYWAHcDj22rKWQ3s/edit?usp=sharing"",""กำแพงเพชร!M122"")+IMPORTRANGE(""https://docs.google.com/spreadsheets/d/1KS0zmDSZPk8KnTAbGN-Xk6MtX1YRZD0ldgdt20K4CRk/edit?usp=sharing"","&amp;"""เชียงราย!M122"")+IMPORTRANGE(""https://docs.google.com/spreadsheets/d/1rEDxBtusbi64tE0zunoIbsTVV16HeL0oJ6trHQeQ7K8/edit?usp=sharing"",""เชียงใหม่!M122"")+IMPORTRANGE(""https://docs.google.com/spreadsheets/d/1W6MnUbDkMi6xHnHko_XkFDO9kkuL6Wqyc-6OCDFjW9I/e"&amp;"dit?usp=sharing"",""ตาก!M122"")+IMPORTRANGE(""https://docs.google.com/spreadsheets/d/1IQAWArduLkta9LpYo4a_ULsyqdta6-6aDDiwpUnQT6c/edit?usp=sharing"",""นครสวรรค์!M122"")+IMPORTRANGE(""https://docs.google.com/spreadsheets/d/10s13Sk5xrltsiR-Zkbmk5DwIaDIKO8Xl"&amp;"bJAfqyT7Gvg/edit?usp=sharing"",""น่าน!M122"")+IMPORTRANGE(""https://docs.google.com/spreadsheets/d/1uu4nAn4Dbi1XREnLKKotUANlKXa7yCgRcgq8HEzQYW8/edit?usp=sharing"",""พะเยา!M122"")+IMPORTRANGE(""https://docs.google.com/spreadsheets/d/1xfJKIQxVOaPDIICqsflNlL"&amp;"u3JacTDk1FP9RH4phX7mI/edit?usp=sharing"",""พิจิตร!M122"")+IMPORTRANGE(""https://docs.google.com/spreadsheets/d/1JtRfZkJMHtEhI5RdRHxYUG4FIZHqKDpNyIuN7A1Q0_k/edit?usp=sharing"",""พิษณุโลก!M122"")+IMPORTRANGE(""https://docs.google.com/spreadsheets/d/1xlcVZWU"&amp;"Nn6SuWm0c307h32SiGkd9BaeQWlAktfD3KO8/edit?usp=sharing"",""เพชรบูรณ์!M122"")+IMPORTRANGE(""https://docs.google.com/spreadsheets/d/1lOVebEIsI9qjGXl6EX66luk7wiuP2tBaryw-wKvv4e0/edit?usp=sharing"",""แพร่!M122"")+IMPORTRANGE(""https://docs.google.com/spreadshe"&amp;"ets/d/1dQrvX0vEcN7Gu0fnZ0B5S90AeR19zth4XlExFBeExMY/edit?usp=sharing"",""แม่ฮ่องสอน!M122"")+IMPORTRANGE(""https://docs.google.com/spreadsheets/d/1DY4XTNNwjluuxqdfdn6qvOSlMRrZqUtmYcZR0ttFiG4/edit?usp=sharing"",""ลำปาง!M122"")+IMPORTRANGE(""https://docs.goog"&amp;"le.com/spreadsheets/d/1ICwG78r0OFT8biBlxnBF8r7she7gNSzOvJ958PWT09c/edit?usp=sharing"",""ลำพูน!M122"")+IMPORTRANGE(""https://docs.google.com/spreadsheets/d/1B0f2xJpZUC6Z0xXnqKlZtEPzsf6L84eP1r1Q15seqRM/edit?usp=sharing"",""สุโขทัย!M122"")+IMPORTRANGE(""http"&amp;"s://docs.google.com/spreadsheets/d/1v0b9pFQCsKUVExMei7AgY2yQkdeNQvtOssygGsXbiKo/edit?usp=sharing"",""อุตรดิตถ์!M122"")+IMPORTRANGE(""https://docs.google.com/spreadsheets/d/1UsNK1e-WWiCo2PvGqdNfdme4m17_Ezd3J69EeeiQPD0/edit?usp=sharing"",""อุทัยธานี!M122"")"),0)</f>
        <v>0</v>
      </c>
      <c r="N122" s="46">
        <f ca="1">IFERROR(__xludf.DUMMYFUNCTION("IMPORTRANGE(""https://docs.google.com/spreadsheets/d/1jTcq05yEiRwXcBMLjiodW9e4biSGYWAHcDj22rKWQ3s/edit?usp=sharing"",""กำแพงเพชร!N122"")+IMPORTRANGE(""https://docs.google.com/spreadsheets/d/1KS0zmDSZPk8KnTAbGN-Xk6MtX1YRZD0ldgdt20K4CRk/edit?usp=sharing"","&amp;"""เชียงราย!N122"")+IMPORTRANGE(""https://docs.google.com/spreadsheets/d/1rEDxBtusbi64tE0zunoIbsTVV16HeL0oJ6trHQeQ7K8/edit?usp=sharing"",""เชียงใหม่!N122"")+IMPORTRANGE(""https://docs.google.com/spreadsheets/d/1W6MnUbDkMi6xHnHko_XkFDO9kkuL6Wqyc-6OCDFjW9I/e"&amp;"dit?usp=sharing"",""ตาก!N122"")+IMPORTRANGE(""https://docs.google.com/spreadsheets/d/1IQAWArduLkta9LpYo4a_ULsyqdta6-6aDDiwpUnQT6c/edit?usp=sharing"",""นครสวรรค์!N122"")+IMPORTRANGE(""https://docs.google.com/spreadsheets/d/10s13Sk5xrltsiR-Zkbmk5DwIaDIKO8Xl"&amp;"bJAfqyT7Gvg/edit?usp=sharing"",""น่าน!N122"")+IMPORTRANGE(""https://docs.google.com/spreadsheets/d/1uu4nAn4Dbi1XREnLKKotUANlKXa7yCgRcgq8HEzQYW8/edit?usp=sharing"",""พะเยา!N122"")+IMPORTRANGE(""https://docs.google.com/spreadsheets/d/1xfJKIQxVOaPDIICqsflNlL"&amp;"u3JacTDk1FP9RH4phX7mI/edit?usp=sharing"",""พิจิตร!N122"")+IMPORTRANGE(""https://docs.google.com/spreadsheets/d/1JtRfZkJMHtEhI5RdRHxYUG4FIZHqKDpNyIuN7A1Q0_k/edit?usp=sharing"",""พิษณุโลก!N122"")+IMPORTRANGE(""https://docs.google.com/spreadsheets/d/1xlcVZWU"&amp;"Nn6SuWm0c307h32SiGkd9BaeQWlAktfD3KO8/edit?usp=sharing"",""เพชรบูรณ์!N122"")+IMPORTRANGE(""https://docs.google.com/spreadsheets/d/1lOVebEIsI9qjGXl6EX66luk7wiuP2tBaryw-wKvv4e0/edit?usp=sharing"",""แพร่!N122"")+IMPORTRANGE(""https://docs.google.com/spreadshe"&amp;"ets/d/1dQrvX0vEcN7Gu0fnZ0B5S90AeR19zth4XlExFBeExMY/edit?usp=sharing"",""แม่ฮ่องสอน!N122"")+IMPORTRANGE(""https://docs.google.com/spreadsheets/d/1DY4XTNNwjluuxqdfdn6qvOSlMRrZqUtmYcZR0ttFiG4/edit?usp=sharing"",""ลำปาง!N122"")+IMPORTRANGE(""https://docs.goog"&amp;"le.com/spreadsheets/d/1ICwG78r0OFT8biBlxnBF8r7she7gNSzOvJ958PWT09c/edit?usp=sharing"",""ลำพูน!N122"")+IMPORTRANGE(""https://docs.google.com/spreadsheets/d/1B0f2xJpZUC6Z0xXnqKlZtEPzsf6L84eP1r1Q15seqRM/edit?usp=sharing"",""สุโขทัย!N122"")+IMPORTRANGE(""http"&amp;"s://docs.google.com/spreadsheets/d/1v0b9pFQCsKUVExMei7AgY2yQkdeNQvtOssygGsXbiKo/edit?usp=sharing"",""อุตรดิตถ์!N122"")+IMPORTRANGE(""https://docs.google.com/spreadsheets/d/1UsNK1e-WWiCo2PvGqdNfdme4m17_Ezd3J69EeeiQPD0/edit?usp=sharing"",""อุทัยธานี!N122"")"),0)</f>
        <v>0</v>
      </c>
      <c r="O122" s="46">
        <f t="shared" ca="1" si="91"/>
        <v>0</v>
      </c>
      <c r="P122" s="46">
        <f t="shared" ca="1" si="92"/>
        <v>0</v>
      </c>
      <c r="Q122" s="46">
        <f ca="1">IFERROR(__xludf.DUMMYFUNCTION("IMPORTRANGE(""https://docs.google.com/spreadsheets/d/1jTcq05yEiRwXcBMLjiodW9e4biSGYWAHcDj22rKWQ3s/edit?usp=sharing"",""กำแพงเพชร!Q122"")+IMPORTRANGE(""https://docs.google.com/spreadsheets/d/1KS0zmDSZPk8KnTAbGN-Xk6MtX1YRZD0ldgdt20K4CRk/edit?usp=sharing"","&amp;"""เชียงราย!Q122"")+IMPORTRANGE(""https://docs.google.com/spreadsheets/d/1rEDxBtusbi64tE0zunoIbsTVV16HeL0oJ6trHQeQ7K8/edit?usp=sharing"",""เชียงใหม่!Q122"")+IMPORTRANGE(""https://docs.google.com/spreadsheets/d/1W6MnUbDkMi6xHnHko_XkFDO9kkuL6Wqyc-6OCDFjW9I/e"&amp;"dit?usp=sharing"",""ตาก!Q122"")+IMPORTRANGE(""https://docs.google.com/spreadsheets/d/1IQAWArduLkta9LpYo4a_ULsyqdta6-6aDDiwpUnQT6c/edit?usp=sharing"",""นครสวรรค์!Q122"")+IMPORTRANGE(""https://docs.google.com/spreadsheets/d/10s13Sk5xrltsiR-Zkbmk5DwIaDIKO8Xl"&amp;"bJAfqyT7Gvg/edit?usp=sharing"",""น่าน!Q122"")+IMPORTRANGE(""https://docs.google.com/spreadsheets/d/1uu4nAn4Dbi1XREnLKKotUANlKXa7yCgRcgq8HEzQYW8/edit?usp=sharing"",""พะเยา!Q122"")+IMPORTRANGE(""https://docs.google.com/spreadsheets/d/1xfJKIQxVOaPDIICqsflNlL"&amp;"u3JacTDk1FP9RH4phX7mI/edit?usp=sharing"",""พิจิตร!Q122"")+IMPORTRANGE(""https://docs.google.com/spreadsheets/d/1JtRfZkJMHtEhI5RdRHxYUG4FIZHqKDpNyIuN7A1Q0_k/edit?usp=sharing"",""พิษณุโลก!Q122"")+IMPORTRANGE(""https://docs.google.com/spreadsheets/d/1xlcVZWU"&amp;"Nn6SuWm0c307h32SiGkd9BaeQWlAktfD3KO8/edit?usp=sharing"",""เพชรบูรณ์!Q122"")+IMPORTRANGE(""https://docs.google.com/spreadsheets/d/1lOVebEIsI9qjGXl6EX66luk7wiuP2tBaryw-wKvv4e0/edit?usp=sharing"",""แพร่!Q122"")+IMPORTRANGE(""https://docs.google.com/spreadshe"&amp;"ets/d/1dQrvX0vEcN7Gu0fnZ0B5S90AeR19zth4XlExFBeExMY/edit?usp=sharing"",""แม่ฮ่องสอน!Q122"")+IMPORTRANGE(""https://docs.google.com/spreadsheets/d/1DY4XTNNwjluuxqdfdn6qvOSlMRrZqUtmYcZR0ttFiG4/edit?usp=sharing"",""ลำปาง!Q122"")+IMPORTRANGE(""https://docs.goog"&amp;"le.com/spreadsheets/d/1ICwG78r0OFT8biBlxnBF8r7she7gNSzOvJ958PWT09c/edit?usp=sharing"",""ลำพูน!Q122"")+IMPORTRANGE(""https://docs.google.com/spreadsheets/d/1B0f2xJpZUC6Z0xXnqKlZtEPzsf6L84eP1r1Q15seqRM/edit?usp=sharing"",""สุโขทัย!Q122"")+IMPORTRANGE(""http"&amp;"s://docs.google.com/spreadsheets/d/1v0b9pFQCsKUVExMei7AgY2yQkdeNQvtOssygGsXbiKo/edit?usp=sharing"",""อุตรดิตถ์!Q122"")+IMPORTRANGE(""https://docs.google.com/spreadsheets/d/1UsNK1e-WWiCo2PvGqdNfdme4m17_Ezd3J69EeeiQPD0/edit?usp=sharing"",""อุทัยธานี!Q122"")"),4578960)</f>
        <v>4578960</v>
      </c>
      <c r="R122" s="46">
        <f ca="1">IFERROR(__xludf.DUMMYFUNCTION("IMPORTRANGE(""https://docs.google.com/spreadsheets/d/1jTcq05yEiRwXcBMLjiodW9e4biSGYWAHcDj22rKWQ3s/edit?usp=sharing"",""กำแพงเพชร!R122"")+IMPORTRANGE(""https://docs.google.com/spreadsheets/d/1KS0zmDSZPk8KnTAbGN-Xk6MtX1YRZD0ldgdt20K4CRk/edit?usp=sharing"","&amp;"""เชียงราย!R122"")+IMPORTRANGE(""https://docs.google.com/spreadsheets/d/1rEDxBtusbi64tE0zunoIbsTVV16HeL0oJ6trHQeQ7K8/edit?usp=sharing"",""เชียงใหม่!R122"")+IMPORTRANGE(""https://docs.google.com/spreadsheets/d/1W6MnUbDkMi6xHnHko_XkFDO9kkuL6Wqyc-6OCDFjW9I/e"&amp;"dit?usp=sharing"",""ตาก!R122"")+IMPORTRANGE(""https://docs.google.com/spreadsheets/d/1IQAWArduLkta9LpYo4a_ULsyqdta6-6aDDiwpUnQT6c/edit?usp=sharing"",""นครสวรรค์!R122"")+IMPORTRANGE(""https://docs.google.com/spreadsheets/d/10s13Sk5xrltsiR-Zkbmk5DwIaDIKO8Xl"&amp;"bJAfqyT7Gvg/edit?usp=sharing"",""น่าน!R122"")+IMPORTRANGE(""https://docs.google.com/spreadsheets/d/1uu4nAn4Dbi1XREnLKKotUANlKXa7yCgRcgq8HEzQYW8/edit?usp=sharing"",""พะเยา!R122"")+IMPORTRANGE(""https://docs.google.com/spreadsheets/d/1xfJKIQxVOaPDIICqsflNlL"&amp;"u3JacTDk1FP9RH4phX7mI/edit?usp=sharing"",""พิจิตร!R122"")+IMPORTRANGE(""https://docs.google.com/spreadsheets/d/1JtRfZkJMHtEhI5RdRHxYUG4FIZHqKDpNyIuN7A1Q0_k/edit?usp=sharing"",""พิษณุโลก!R122"")+IMPORTRANGE(""https://docs.google.com/spreadsheets/d/1xlcVZWU"&amp;"Nn6SuWm0c307h32SiGkd9BaeQWlAktfD3KO8/edit?usp=sharing"",""เพชรบูรณ์!R122"")+IMPORTRANGE(""https://docs.google.com/spreadsheets/d/1lOVebEIsI9qjGXl6EX66luk7wiuP2tBaryw-wKvv4e0/edit?usp=sharing"",""แพร่!R122"")+IMPORTRANGE(""https://docs.google.com/spreadshe"&amp;"ets/d/1dQrvX0vEcN7Gu0fnZ0B5S90AeR19zth4XlExFBeExMY/edit?usp=sharing"",""แม่ฮ่องสอน!R122"")+IMPORTRANGE(""https://docs.google.com/spreadsheets/d/1DY4XTNNwjluuxqdfdn6qvOSlMRrZqUtmYcZR0ttFiG4/edit?usp=sharing"",""ลำปาง!R122"")+IMPORTRANGE(""https://docs.goog"&amp;"le.com/spreadsheets/d/1ICwG78r0OFT8biBlxnBF8r7she7gNSzOvJ958PWT09c/edit?usp=sharing"",""ลำพูน!R122"")+IMPORTRANGE(""https://docs.google.com/spreadsheets/d/1B0f2xJpZUC6Z0xXnqKlZtEPzsf6L84eP1r1Q15seqRM/edit?usp=sharing"",""สุโขทัย!R122"")+IMPORTRANGE(""http"&amp;"s://docs.google.com/spreadsheets/d/1v0b9pFQCsKUVExMei7AgY2yQkdeNQvtOssygGsXbiKo/edit?usp=sharing"",""อุตรดิตถ์!R122"")+IMPORTRANGE(""https://docs.google.com/spreadsheets/d/1UsNK1e-WWiCo2PvGqdNfdme4m17_Ezd3J69EeeiQPD0/edit?usp=sharing"",""อุทัยธานี!R122"")"),4578960)</f>
        <v>4578960</v>
      </c>
      <c r="S122" s="46">
        <f ca="1">IFERROR(__xludf.DUMMYFUNCTION("IMPORTRANGE(""https://docs.google.com/spreadsheets/d/1jTcq05yEiRwXcBMLjiodW9e4biSGYWAHcDj22rKWQ3s/edit?usp=sharing"",""กำแพงเพชร!S122"")+IMPORTRANGE(""https://docs.google.com/spreadsheets/d/1KS0zmDSZPk8KnTAbGN-Xk6MtX1YRZD0ldgdt20K4CRk/edit?usp=sharing"","&amp;"""เชียงราย!S122"")+IMPORTRANGE(""https://docs.google.com/spreadsheets/d/1rEDxBtusbi64tE0zunoIbsTVV16HeL0oJ6trHQeQ7K8/edit?usp=sharing"",""เชียงใหม่!S122"")+IMPORTRANGE(""https://docs.google.com/spreadsheets/d/1W6MnUbDkMi6xHnHko_XkFDO9kkuL6Wqyc-6OCDFjW9I/e"&amp;"dit?usp=sharing"",""ตาก!S122"")+IMPORTRANGE(""https://docs.google.com/spreadsheets/d/1IQAWArduLkta9LpYo4a_ULsyqdta6-6aDDiwpUnQT6c/edit?usp=sharing"",""นครสวรรค์!S122"")+IMPORTRANGE(""https://docs.google.com/spreadsheets/d/10s13Sk5xrltsiR-Zkbmk5DwIaDIKO8Xl"&amp;"bJAfqyT7Gvg/edit?usp=sharing"",""น่าน!S122"")+IMPORTRANGE(""https://docs.google.com/spreadsheets/d/1uu4nAn4Dbi1XREnLKKotUANlKXa7yCgRcgq8HEzQYW8/edit?usp=sharing"",""พะเยา!S122"")+IMPORTRANGE(""https://docs.google.com/spreadsheets/d/1xfJKIQxVOaPDIICqsflNlL"&amp;"u3JacTDk1FP9RH4phX7mI/edit?usp=sharing"",""พิจิตร!S122"")+IMPORTRANGE(""https://docs.google.com/spreadsheets/d/1JtRfZkJMHtEhI5RdRHxYUG4FIZHqKDpNyIuN7A1Q0_k/edit?usp=sharing"",""พิษณุโลก!S122"")+IMPORTRANGE(""https://docs.google.com/spreadsheets/d/1xlcVZWU"&amp;"Nn6SuWm0c307h32SiGkd9BaeQWlAktfD3KO8/edit?usp=sharing"",""เพชรบูรณ์!S122"")+IMPORTRANGE(""https://docs.google.com/spreadsheets/d/1lOVebEIsI9qjGXl6EX66luk7wiuP2tBaryw-wKvv4e0/edit?usp=sharing"",""แพร่!S122"")+IMPORTRANGE(""https://docs.google.com/spreadshe"&amp;"ets/d/1dQrvX0vEcN7Gu0fnZ0B5S90AeR19zth4XlExFBeExMY/edit?usp=sharing"",""แม่ฮ่องสอน!S122"")+IMPORTRANGE(""https://docs.google.com/spreadsheets/d/1DY4XTNNwjluuxqdfdn6qvOSlMRrZqUtmYcZR0ttFiG4/edit?usp=sharing"",""ลำปาง!S122"")+IMPORTRANGE(""https://docs.goog"&amp;"le.com/spreadsheets/d/1ICwG78r0OFT8biBlxnBF8r7she7gNSzOvJ958PWT09c/edit?usp=sharing"",""ลำพูน!S122"")+IMPORTRANGE(""https://docs.google.com/spreadsheets/d/1B0f2xJpZUC6Z0xXnqKlZtEPzsf6L84eP1r1Q15seqRM/edit?usp=sharing"",""สุโขทัย!S122"")+IMPORTRANGE(""http"&amp;"s://docs.google.com/spreadsheets/d/1v0b9pFQCsKUVExMei7AgY2yQkdeNQvtOssygGsXbiKo/edit?usp=sharing"",""อุตรดิตถ์!S122"")+IMPORTRANGE(""https://docs.google.com/spreadsheets/d/1UsNK1e-WWiCo2PvGqdNfdme4m17_Ezd3J69EeeiQPD0/edit?usp=sharing"",""อุทัยธานี!S122"")"),2622077.11)</f>
        <v>2622077.11</v>
      </c>
      <c r="T122" s="46">
        <f t="shared" ca="1" si="94"/>
        <v>57.263595008473537</v>
      </c>
      <c r="U122" s="46">
        <f t="shared" ca="1" si="95"/>
        <v>57.263595008473537</v>
      </c>
    </row>
    <row r="123" spans="1:21" ht="18.75" x14ac:dyDescent="0.25">
      <c r="A123" s="128"/>
      <c r="B123" s="40"/>
      <c r="C123" s="174"/>
      <c r="D123" s="160" t="s">
        <v>23</v>
      </c>
      <c r="E123" s="40"/>
      <c r="F123" s="40"/>
      <c r="G123" s="42"/>
      <c r="H123" s="133" t="s">
        <v>14</v>
      </c>
      <c r="I123" s="44"/>
      <c r="J123" s="44"/>
      <c r="K123" s="45"/>
      <c r="L123" s="46">
        <f t="shared" ref="L123:N123" ca="1" si="102">L124+L125</f>
        <v>0</v>
      </c>
      <c r="M123" s="46">
        <f t="shared" ca="1" si="102"/>
        <v>0</v>
      </c>
      <c r="N123" s="46">
        <f t="shared" ca="1" si="102"/>
        <v>0</v>
      </c>
      <c r="O123" s="46">
        <f t="shared" ca="1" si="91"/>
        <v>0</v>
      </c>
      <c r="P123" s="46">
        <f t="shared" ca="1" si="92"/>
        <v>0</v>
      </c>
      <c r="Q123" s="46">
        <f t="shared" ref="Q123:S123" ca="1" si="103">Q124+Q125</f>
        <v>2321000</v>
      </c>
      <c r="R123" s="46">
        <f t="shared" ca="1" si="103"/>
        <v>2321000</v>
      </c>
      <c r="S123" s="46">
        <f t="shared" ca="1" si="103"/>
        <v>0</v>
      </c>
      <c r="T123" s="46">
        <f t="shared" ca="1" si="94"/>
        <v>0</v>
      </c>
      <c r="U123" s="46">
        <f t="shared" ca="1" si="95"/>
        <v>0</v>
      </c>
    </row>
    <row r="124" spans="1:21" ht="18.75" x14ac:dyDescent="0.25">
      <c r="A124" s="128"/>
      <c r="B124" s="40"/>
      <c r="C124" s="174"/>
      <c r="D124" s="158"/>
      <c r="E124" s="156" t="s">
        <v>20</v>
      </c>
      <c r="F124" s="40"/>
      <c r="G124" s="42"/>
      <c r="H124" s="176" t="s">
        <v>14</v>
      </c>
      <c r="I124" s="44"/>
      <c r="J124" s="44"/>
      <c r="K124" s="45"/>
      <c r="L124" s="48">
        <f ca="1">IFERROR(__xludf.DUMMYFUNCTION("IMPORTRANGE(""https://docs.google.com/spreadsheets/d/1jTcq05yEiRwXcBMLjiodW9e4biSGYWAHcDj22rKWQ3s/edit?usp=sharing"",""กำแพงเพชร!L124"")+IMPORTRANGE(""https://docs.google.com/spreadsheets/d/1KS0zmDSZPk8KnTAbGN-Xk6MtX1YRZD0ldgdt20K4CRk/edit?usp=sharing"","&amp;"""เชียงราย!L124"")+IMPORTRANGE(""https://docs.google.com/spreadsheets/d/1rEDxBtusbi64tE0zunoIbsTVV16HeL0oJ6trHQeQ7K8/edit?usp=sharing"",""เชียงใหม่!L124"")+IMPORTRANGE(""https://docs.google.com/spreadsheets/d/1W6MnUbDkMi6xHnHko_XkFDO9kkuL6Wqyc-6OCDFjW9I/e"&amp;"dit?usp=sharing"",""ตาก!L124"")+IMPORTRANGE(""https://docs.google.com/spreadsheets/d/1IQAWArduLkta9LpYo4a_ULsyqdta6-6aDDiwpUnQT6c/edit?usp=sharing"",""นครสวรรค์!L124"")+IMPORTRANGE(""https://docs.google.com/spreadsheets/d/10s13Sk5xrltsiR-Zkbmk5DwIaDIKO8Xl"&amp;"bJAfqyT7Gvg/edit?usp=sharing"",""น่าน!L124"")+IMPORTRANGE(""https://docs.google.com/spreadsheets/d/1uu4nAn4Dbi1XREnLKKotUANlKXa7yCgRcgq8HEzQYW8/edit?usp=sharing"",""พะเยา!L124"")+IMPORTRANGE(""https://docs.google.com/spreadsheets/d/1xfJKIQxVOaPDIICqsflNlL"&amp;"u3JacTDk1FP9RH4phX7mI/edit?usp=sharing"",""พิจิตร!L124"")+IMPORTRANGE(""https://docs.google.com/spreadsheets/d/1JtRfZkJMHtEhI5RdRHxYUG4FIZHqKDpNyIuN7A1Q0_k/edit?usp=sharing"",""พิษณุโลก!L124"")+IMPORTRANGE(""https://docs.google.com/spreadsheets/d/1xlcVZWU"&amp;"Nn6SuWm0c307h32SiGkd9BaeQWlAktfD3KO8/edit?usp=sharing"",""เพชรบูรณ์!L124"")+IMPORTRANGE(""https://docs.google.com/spreadsheets/d/1lOVebEIsI9qjGXl6EX66luk7wiuP2tBaryw-wKvv4e0/edit?usp=sharing"",""แพร่!L124"")+IMPORTRANGE(""https://docs.google.com/spreadshe"&amp;"ets/d/1dQrvX0vEcN7Gu0fnZ0B5S90AeR19zth4XlExFBeExMY/edit?usp=sharing"",""แม่ฮ่องสอน!L124"")+IMPORTRANGE(""https://docs.google.com/spreadsheets/d/1DY4XTNNwjluuxqdfdn6qvOSlMRrZqUtmYcZR0ttFiG4/edit?usp=sharing"",""ลำปาง!L124"")+IMPORTRANGE(""https://docs.goog"&amp;"le.com/spreadsheets/d/1ICwG78r0OFT8biBlxnBF8r7she7gNSzOvJ958PWT09c/edit?usp=sharing"",""ลำพูน!L124"")+IMPORTRANGE(""https://docs.google.com/spreadsheets/d/1B0f2xJpZUC6Z0xXnqKlZtEPzsf6L84eP1r1Q15seqRM/edit?usp=sharing"",""สุโขทัย!L124"")+IMPORTRANGE(""http"&amp;"s://docs.google.com/spreadsheets/d/1v0b9pFQCsKUVExMei7AgY2yQkdeNQvtOssygGsXbiKo/edit?usp=sharing"",""อุตรดิตถ์!L124"")+IMPORTRANGE(""https://docs.google.com/spreadsheets/d/1UsNK1e-WWiCo2PvGqdNfdme4m17_Ezd3J69EeeiQPD0/edit?usp=sharing"",""อุทัยธานี!L124"")"),0)</f>
        <v>0</v>
      </c>
      <c r="M124" s="48">
        <f ca="1">IFERROR(__xludf.DUMMYFUNCTION("IMPORTRANGE(""https://docs.google.com/spreadsheets/d/1jTcq05yEiRwXcBMLjiodW9e4biSGYWAHcDj22rKWQ3s/edit?usp=sharing"",""กำแพงเพชร!M124"")+IMPORTRANGE(""https://docs.google.com/spreadsheets/d/1KS0zmDSZPk8KnTAbGN-Xk6MtX1YRZD0ldgdt20K4CRk/edit?usp=sharing"","&amp;"""เชียงราย!M124"")+IMPORTRANGE(""https://docs.google.com/spreadsheets/d/1rEDxBtusbi64tE0zunoIbsTVV16HeL0oJ6trHQeQ7K8/edit?usp=sharing"",""เชียงใหม่!M124"")+IMPORTRANGE(""https://docs.google.com/spreadsheets/d/1W6MnUbDkMi6xHnHko_XkFDO9kkuL6Wqyc-6OCDFjW9I/e"&amp;"dit?usp=sharing"",""ตาก!M124"")+IMPORTRANGE(""https://docs.google.com/spreadsheets/d/1IQAWArduLkta9LpYo4a_ULsyqdta6-6aDDiwpUnQT6c/edit?usp=sharing"",""นครสวรรค์!M124"")+IMPORTRANGE(""https://docs.google.com/spreadsheets/d/10s13Sk5xrltsiR-Zkbmk5DwIaDIKO8Xl"&amp;"bJAfqyT7Gvg/edit?usp=sharing"",""น่าน!M124"")+IMPORTRANGE(""https://docs.google.com/spreadsheets/d/1uu4nAn4Dbi1XREnLKKotUANlKXa7yCgRcgq8HEzQYW8/edit?usp=sharing"",""พะเยา!M124"")+IMPORTRANGE(""https://docs.google.com/spreadsheets/d/1xfJKIQxVOaPDIICqsflNlL"&amp;"u3JacTDk1FP9RH4phX7mI/edit?usp=sharing"",""พิจิตร!M124"")+IMPORTRANGE(""https://docs.google.com/spreadsheets/d/1JtRfZkJMHtEhI5RdRHxYUG4FIZHqKDpNyIuN7A1Q0_k/edit?usp=sharing"",""พิษณุโลก!M124"")+IMPORTRANGE(""https://docs.google.com/spreadsheets/d/1xlcVZWU"&amp;"Nn6SuWm0c307h32SiGkd9BaeQWlAktfD3KO8/edit?usp=sharing"",""เพชรบูรณ์!M124"")+IMPORTRANGE(""https://docs.google.com/spreadsheets/d/1lOVebEIsI9qjGXl6EX66luk7wiuP2tBaryw-wKvv4e0/edit?usp=sharing"",""แพร่!M124"")+IMPORTRANGE(""https://docs.google.com/spreadshe"&amp;"ets/d/1dQrvX0vEcN7Gu0fnZ0B5S90AeR19zth4XlExFBeExMY/edit?usp=sharing"",""แม่ฮ่องสอน!M124"")+IMPORTRANGE(""https://docs.google.com/spreadsheets/d/1DY4XTNNwjluuxqdfdn6qvOSlMRrZqUtmYcZR0ttFiG4/edit?usp=sharing"",""ลำปาง!M124"")+IMPORTRANGE(""https://docs.goog"&amp;"le.com/spreadsheets/d/1ICwG78r0OFT8biBlxnBF8r7she7gNSzOvJ958PWT09c/edit?usp=sharing"",""ลำพูน!M124"")+IMPORTRANGE(""https://docs.google.com/spreadsheets/d/1B0f2xJpZUC6Z0xXnqKlZtEPzsf6L84eP1r1Q15seqRM/edit?usp=sharing"",""สุโขทัย!M124"")+IMPORTRANGE(""http"&amp;"s://docs.google.com/spreadsheets/d/1v0b9pFQCsKUVExMei7AgY2yQkdeNQvtOssygGsXbiKo/edit?usp=sharing"",""อุตรดิตถ์!M124"")+IMPORTRANGE(""https://docs.google.com/spreadsheets/d/1UsNK1e-WWiCo2PvGqdNfdme4m17_Ezd3J69EeeiQPD0/edit?usp=sharing"",""อุทัยธานี!M124"")"),0)</f>
        <v>0</v>
      </c>
      <c r="N124" s="48">
        <f ca="1">IFERROR(__xludf.DUMMYFUNCTION("IMPORTRANGE(""https://docs.google.com/spreadsheets/d/1jTcq05yEiRwXcBMLjiodW9e4biSGYWAHcDj22rKWQ3s/edit?usp=sharing"",""กำแพงเพชร!N124"")+IMPORTRANGE(""https://docs.google.com/spreadsheets/d/1KS0zmDSZPk8KnTAbGN-Xk6MtX1YRZD0ldgdt20K4CRk/edit?usp=sharing"","&amp;"""เชียงราย!N124"")+IMPORTRANGE(""https://docs.google.com/spreadsheets/d/1rEDxBtusbi64tE0zunoIbsTVV16HeL0oJ6trHQeQ7K8/edit?usp=sharing"",""เชียงใหม่!N124"")+IMPORTRANGE(""https://docs.google.com/spreadsheets/d/1W6MnUbDkMi6xHnHko_XkFDO9kkuL6Wqyc-6OCDFjW9I/e"&amp;"dit?usp=sharing"",""ตาก!N124"")+IMPORTRANGE(""https://docs.google.com/spreadsheets/d/1IQAWArduLkta9LpYo4a_ULsyqdta6-6aDDiwpUnQT6c/edit?usp=sharing"",""นครสวรรค์!N124"")+IMPORTRANGE(""https://docs.google.com/spreadsheets/d/10s13Sk5xrltsiR-Zkbmk5DwIaDIKO8Xl"&amp;"bJAfqyT7Gvg/edit?usp=sharing"",""น่าน!N124"")+IMPORTRANGE(""https://docs.google.com/spreadsheets/d/1uu4nAn4Dbi1XREnLKKotUANlKXa7yCgRcgq8HEzQYW8/edit?usp=sharing"",""พะเยา!N124"")+IMPORTRANGE(""https://docs.google.com/spreadsheets/d/1xfJKIQxVOaPDIICqsflNlL"&amp;"u3JacTDk1FP9RH4phX7mI/edit?usp=sharing"",""พิจิตร!N124"")+IMPORTRANGE(""https://docs.google.com/spreadsheets/d/1JtRfZkJMHtEhI5RdRHxYUG4FIZHqKDpNyIuN7A1Q0_k/edit?usp=sharing"",""พิษณุโลก!N124"")+IMPORTRANGE(""https://docs.google.com/spreadsheets/d/1xlcVZWU"&amp;"Nn6SuWm0c307h32SiGkd9BaeQWlAktfD3KO8/edit?usp=sharing"",""เพชรบูรณ์!N124"")+IMPORTRANGE(""https://docs.google.com/spreadsheets/d/1lOVebEIsI9qjGXl6EX66luk7wiuP2tBaryw-wKvv4e0/edit?usp=sharing"",""แพร่!N124"")+IMPORTRANGE(""https://docs.google.com/spreadshe"&amp;"ets/d/1dQrvX0vEcN7Gu0fnZ0B5S90AeR19zth4XlExFBeExMY/edit?usp=sharing"",""แม่ฮ่องสอน!N124"")+IMPORTRANGE(""https://docs.google.com/spreadsheets/d/1DY4XTNNwjluuxqdfdn6qvOSlMRrZqUtmYcZR0ttFiG4/edit?usp=sharing"",""ลำปาง!N124"")+IMPORTRANGE(""https://docs.goog"&amp;"le.com/spreadsheets/d/1ICwG78r0OFT8biBlxnBF8r7she7gNSzOvJ958PWT09c/edit?usp=sharing"",""ลำพูน!N124"")+IMPORTRANGE(""https://docs.google.com/spreadsheets/d/1B0f2xJpZUC6Z0xXnqKlZtEPzsf6L84eP1r1Q15seqRM/edit?usp=sharing"",""สุโขทัย!N124"")+IMPORTRANGE(""http"&amp;"s://docs.google.com/spreadsheets/d/1v0b9pFQCsKUVExMei7AgY2yQkdeNQvtOssygGsXbiKo/edit?usp=sharing"",""อุตรดิตถ์!N124"")+IMPORTRANGE(""https://docs.google.com/spreadsheets/d/1UsNK1e-WWiCo2PvGqdNfdme4m17_Ezd3J69EeeiQPD0/edit?usp=sharing"",""อุทัยธานี!N124"")"),0)</f>
        <v>0</v>
      </c>
      <c r="O124" s="48">
        <f t="shared" ca="1" si="91"/>
        <v>0</v>
      </c>
      <c r="P124" s="48">
        <f t="shared" ca="1" si="92"/>
        <v>0</v>
      </c>
      <c r="Q124" s="48">
        <f ca="1">IFERROR(__xludf.DUMMYFUNCTION("IMPORTRANGE(""https://docs.google.com/spreadsheets/d/1jTcq05yEiRwXcBMLjiodW9e4biSGYWAHcDj22rKWQ3s/edit?usp=sharing"",""กำแพงเพชร!Q124"")+IMPORTRANGE(""https://docs.google.com/spreadsheets/d/1KS0zmDSZPk8KnTAbGN-Xk6MtX1YRZD0ldgdt20K4CRk/edit?usp=sharing"","&amp;"""เชียงราย!Q124"")+IMPORTRANGE(""https://docs.google.com/spreadsheets/d/1rEDxBtusbi64tE0zunoIbsTVV16HeL0oJ6trHQeQ7K8/edit?usp=sharing"",""เชียงใหม่!Q124"")+IMPORTRANGE(""https://docs.google.com/spreadsheets/d/1W6MnUbDkMi6xHnHko_XkFDO9kkuL6Wqyc-6OCDFjW9I/e"&amp;"dit?usp=sharing"",""ตาก!Q124"")+IMPORTRANGE(""https://docs.google.com/spreadsheets/d/1IQAWArduLkta9LpYo4a_ULsyqdta6-6aDDiwpUnQT6c/edit?usp=sharing"",""นครสวรรค์!Q124"")+IMPORTRANGE(""https://docs.google.com/spreadsheets/d/10s13Sk5xrltsiR-Zkbmk5DwIaDIKO8Xl"&amp;"bJAfqyT7Gvg/edit?usp=sharing"",""น่าน!Q124"")+IMPORTRANGE(""https://docs.google.com/spreadsheets/d/1uu4nAn4Dbi1XREnLKKotUANlKXa7yCgRcgq8HEzQYW8/edit?usp=sharing"",""พะเยา!Q124"")+IMPORTRANGE(""https://docs.google.com/spreadsheets/d/1xfJKIQxVOaPDIICqsflNlL"&amp;"u3JacTDk1FP9RH4phX7mI/edit?usp=sharing"",""พิจิตร!Q124"")+IMPORTRANGE(""https://docs.google.com/spreadsheets/d/1JtRfZkJMHtEhI5RdRHxYUG4FIZHqKDpNyIuN7A1Q0_k/edit?usp=sharing"",""พิษณุโลก!Q124"")+IMPORTRANGE(""https://docs.google.com/spreadsheets/d/1xlcVZWU"&amp;"Nn6SuWm0c307h32SiGkd9BaeQWlAktfD3KO8/edit?usp=sharing"",""เพชรบูรณ์!Q124"")+IMPORTRANGE(""https://docs.google.com/spreadsheets/d/1lOVebEIsI9qjGXl6EX66luk7wiuP2tBaryw-wKvv4e0/edit?usp=sharing"",""แพร่!Q124"")+IMPORTRANGE(""https://docs.google.com/spreadshe"&amp;"ets/d/1dQrvX0vEcN7Gu0fnZ0B5S90AeR19zth4XlExFBeExMY/edit?usp=sharing"",""แม่ฮ่องสอน!Q124"")+IMPORTRANGE(""https://docs.google.com/spreadsheets/d/1DY4XTNNwjluuxqdfdn6qvOSlMRrZqUtmYcZR0ttFiG4/edit?usp=sharing"",""ลำปาง!Q124"")+IMPORTRANGE(""https://docs.goog"&amp;"le.com/spreadsheets/d/1ICwG78r0OFT8biBlxnBF8r7she7gNSzOvJ958PWT09c/edit?usp=sharing"",""ลำพูน!Q124"")+IMPORTRANGE(""https://docs.google.com/spreadsheets/d/1B0f2xJpZUC6Z0xXnqKlZtEPzsf6L84eP1r1Q15seqRM/edit?usp=sharing"",""สุโขทัย!Q124"")+IMPORTRANGE(""http"&amp;"s://docs.google.com/spreadsheets/d/1v0b9pFQCsKUVExMei7AgY2yQkdeNQvtOssygGsXbiKo/edit?usp=sharing"",""อุตรดิตถ์!Q124"")+IMPORTRANGE(""https://docs.google.com/spreadsheets/d/1UsNK1e-WWiCo2PvGqdNfdme4m17_Ezd3J69EeeiQPD0/edit?usp=sharing"",""อุทัยธานี!Q124"")"),0)</f>
        <v>0</v>
      </c>
      <c r="R124" s="48">
        <f ca="1">IFERROR(__xludf.DUMMYFUNCTION("IMPORTRANGE(""https://docs.google.com/spreadsheets/d/1jTcq05yEiRwXcBMLjiodW9e4biSGYWAHcDj22rKWQ3s/edit?usp=sharing"",""กำแพงเพชร!R124"")+IMPORTRANGE(""https://docs.google.com/spreadsheets/d/1KS0zmDSZPk8KnTAbGN-Xk6MtX1YRZD0ldgdt20K4CRk/edit?usp=sharing"","&amp;"""เชียงราย!R124"")+IMPORTRANGE(""https://docs.google.com/spreadsheets/d/1rEDxBtusbi64tE0zunoIbsTVV16HeL0oJ6trHQeQ7K8/edit?usp=sharing"",""เชียงใหม่!R124"")+IMPORTRANGE(""https://docs.google.com/spreadsheets/d/1W6MnUbDkMi6xHnHko_XkFDO9kkuL6Wqyc-6OCDFjW9I/e"&amp;"dit?usp=sharing"",""ตาก!R124"")+IMPORTRANGE(""https://docs.google.com/spreadsheets/d/1IQAWArduLkta9LpYo4a_ULsyqdta6-6aDDiwpUnQT6c/edit?usp=sharing"",""นครสวรรค์!R124"")+IMPORTRANGE(""https://docs.google.com/spreadsheets/d/10s13Sk5xrltsiR-Zkbmk5DwIaDIKO8Xl"&amp;"bJAfqyT7Gvg/edit?usp=sharing"",""น่าน!R124"")+IMPORTRANGE(""https://docs.google.com/spreadsheets/d/1uu4nAn4Dbi1XREnLKKotUANlKXa7yCgRcgq8HEzQYW8/edit?usp=sharing"",""พะเยา!R124"")+IMPORTRANGE(""https://docs.google.com/spreadsheets/d/1xfJKIQxVOaPDIICqsflNlL"&amp;"u3JacTDk1FP9RH4phX7mI/edit?usp=sharing"",""พิจิตร!R124"")+IMPORTRANGE(""https://docs.google.com/spreadsheets/d/1JtRfZkJMHtEhI5RdRHxYUG4FIZHqKDpNyIuN7A1Q0_k/edit?usp=sharing"",""พิษณุโลก!R124"")+IMPORTRANGE(""https://docs.google.com/spreadsheets/d/1xlcVZWU"&amp;"Nn6SuWm0c307h32SiGkd9BaeQWlAktfD3KO8/edit?usp=sharing"",""เพชรบูรณ์!R124"")+IMPORTRANGE(""https://docs.google.com/spreadsheets/d/1lOVebEIsI9qjGXl6EX66luk7wiuP2tBaryw-wKvv4e0/edit?usp=sharing"",""แพร่!R124"")+IMPORTRANGE(""https://docs.google.com/spreadshe"&amp;"ets/d/1dQrvX0vEcN7Gu0fnZ0B5S90AeR19zth4XlExFBeExMY/edit?usp=sharing"",""แม่ฮ่องสอน!R124"")+IMPORTRANGE(""https://docs.google.com/spreadsheets/d/1DY4XTNNwjluuxqdfdn6qvOSlMRrZqUtmYcZR0ttFiG4/edit?usp=sharing"",""ลำปาง!R124"")+IMPORTRANGE(""https://docs.goog"&amp;"le.com/spreadsheets/d/1ICwG78r0OFT8biBlxnBF8r7she7gNSzOvJ958PWT09c/edit?usp=sharing"",""ลำพูน!R124"")+IMPORTRANGE(""https://docs.google.com/spreadsheets/d/1B0f2xJpZUC6Z0xXnqKlZtEPzsf6L84eP1r1Q15seqRM/edit?usp=sharing"",""สุโขทัย!R124"")+IMPORTRANGE(""http"&amp;"s://docs.google.com/spreadsheets/d/1v0b9pFQCsKUVExMei7AgY2yQkdeNQvtOssygGsXbiKo/edit?usp=sharing"",""อุตรดิตถ์!R124"")+IMPORTRANGE(""https://docs.google.com/spreadsheets/d/1UsNK1e-WWiCo2PvGqdNfdme4m17_Ezd3J69EeeiQPD0/edit?usp=sharing"",""อุทัยธานี!R124"")"),0)</f>
        <v>0</v>
      </c>
      <c r="S124" s="48">
        <f ca="1">IFERROR(__xludf.DUMMYFUNCTION("IMPORTRANGE(""https://docs.google.com/spreadsheets/d/1jTcq05yEiRwXcBMLjiodW9e4biSGYWAHcDj22rKWQ3s/edit?usp=sharing"",""กำแพงเพชร!S124"")+IMPORTRANGE(""https://docs.google.com/spreadsheets/d/1KS0zmDSZPk8KnTAbGN-Xk6MtX1YRZD0ldgdt20K4CRk/edit?usp=sharing"","&amp;"""เชียงราย!S124"")+IMPORTRANGE(""https://docs.google.com/spreadsheets/d/1rEDxBtusbi64tE0zunoIbsTVV16HeL0oJ6trHQeQ7K8/edit?usp=sharing"",""เชียงใหม่!S124"")+IMPORTRANGE(""https://docs.google.com/spreadsheets/d/1W6MnUbDkMi6xHnHko_XkFDO9kkuL6Wqyc-6OCDFjW9I/e"&amp;"dit?usp=sharing"",""ตาก!S124"")+IMPORTRANGE(""https://docs.google.com/spreadsheets/d/1IQAWArduLkta9LpYo4a_ULsyqdta6-6aDDiwpUnQT6c/edit?usp=sharing"",""นครสวรรค์!S124"")+IMPORTRANGE(""https://docs.google.com/spreadsheets/d/10s13Sk5xrltsiR-Zkbmk5DwIaDIKO8Xl"&amp;"bJAfqyT7Gvg/edit?usp=sharing"",""น่าน!S124"")+IMPORTRANGE(""https://docs.google.com/spreadsheets/d/1uu4nAn4Dbi1XREnLKKotUANlKXa7yCgRcgq8HEzQYW8/edit?usp=sharing"",""พะเยา!S124"")+IMPORTRANGE(""https://docs.google.com/spreadsheets/d/1xfJKIQxVOaPDIICqsflNlL"&amp;"u3JacTDk1FP9RH4phX7mI/edit?usp=sharing"",""พิจิตร!S124"")+IMPORTRANGE(""https://docs.google.com/spreadsheets/d/1JtRfZkJMHtEhI5RdRHxYUG4FIZHqKDpNyIuN7A1Q0_k/edit?usp=sharing"",""พิษณุโลก!S124"")+IMPORTRANGE(""https://docs.google.com/spreadsheets/d/1xlcVZWU"&amp;"Nn6SuWm0c307h32SiGkd9BaeQWlAktfD3KO8/edit?usp=sharing"",""เพชรบูรณ์!S124"")+IMPORTRANGE(""https://docs.google.com/spreadsheets/d/1lOVebEIsI9qjGXl6EX66luk7wiuP2tBaryw-wKvv4e0/edit?usp=sharing"",""แพร่!S124"")+IMPORTRANGE(""https://docs.google.com/spreadshe"&amp;"ets/d/1dQrvX0vEcN7Gu0fnZ0B5S90AeR19zth4XlExFBeExMY/edit?usp=sharing"",""แม่ฮ่องสอน!S124"")+IMPORTRANGE(""https://docs.google.com/spreadsheets/d/1DY4XTNNwjluuxqdfdn6qvOSlMRrZqUtmYcZR0ttFiG4/edit?usp=sharing"",""ลำปาง!S124"")+IMPORTRANGE(""https://docs.goog"&amp;"le.com/spreadsheets/d/1ICwG78r0OFT8biBlxnBF8r7she7gNSzOvJ958PWT09c/edit?usp=sharing"",""ลำพูน!S124"")+IMPORTRANGE(""https://docs.google.com/spreadsheets/d/1B0f2xJpZUC6Z0xXnqKlZtEPzsf6L84eP1r1Q15seqRM/edit?usp=sharing"",""สุโขทัย!S124"")+IMPORTRANGE(""http"&amp;"s://docs.google.com/spreadsheets/d/1v0b9pFQCsKUVExMei7AgY2yQkdeNQvtOssygGsXbiKo/edit?usp=sharing"",""อุตรดิตถ์!S124"")+IMPORTRANGE(""https://docs.google.com/spreadsheets/d/1UsNK1e-WWiCo2PvGqdNfdme4m17_Ezd3J69EeeiQPD0/edit?usp=sharing"",""อุทัยธานี!S124"")"),0)</f>
        <v>0</v>
      </c>
      <c r="T124" s="48">
        <f t="shared" ca="1" si="94"/>
        <v>0</v>
      </c>
      <c r="U124" s="48">
        <f t="shared" ca="1" si="95"/>
        <v>0</v>
      </c>
    </row>
    <row r="125" spans="1:21" ht="18.75" x14ac:dyDescent="0.25">
      <c r="A125" s="128"/>
      <c r="B125" s="40"/>
      <c r="C125" s="40"/>
      <c r="D125" s="40"/>
      <c r="E125" s="47" t="s">
        <v>21</v>
      </c>
      <c r="F125" s="40"/>
      <c r="G125" s="42"/>
      <c r="H125" s="133" t="s">
        <v>14</v>
      </c>
      <c r="I125" s="44"/>
      <c r="J125" s="44"/>
      <c r="K125" s="45"/>
      <c r="L125" s="46">
        <f ca="1">IFERROR(__xludf.DUMMYFUNCTION("IMPORTRANGE(""https://docs.google.com/spreadsheets/d/1jTcq05yEiRwXcBMLjiodW9e4biSGYWAHcDj22rKWQ3s/edit?usp=sharing"",""กำแพงเพชร!L125"")+IMPORTRANGE(""https://docs.google.com/spreadsheets/d/1KS0zmDSZPk8KnTAbGN-Xk6MtX1YRZD0ldgdt20K4CRk/edit?usp=sharing"","&amp;"""เชียงราย!L125"")+IMPORTRANGE(""https://docs.google.com/spreadsheets/d/1rEDxBtusbi64tE0zunoIbsTVV16HeL0oJ6trHQeQ7K8/edit?usp=sharing"",""เชียงใหม่!L125"")+IMPORTRANGE(""https://docs.google.com/spreadsheets/d/1W6MnUbDkMi6xHnHko_XkFDO9kkuL6Wqyc-6OCDFjW9I/e"&amp;"dit?usp=sharing"",""ตาก!L125"")+IMPORTRANGE(""https://docs.google.com/spreadsheets/d/1IQAWArduLkta9LpYo4a_ULsyqdta6-6aDDiwpUnQT6c/edit?usp=sharing"",""นครสวรรค์!L125"")+IMPORTRANGE(""https://docs.google.com/spreadsheets/d/10s13Sk5xrltsiR-Zkbmk5DwIaDIKO8Xl"&amp;"bJAfqyT7Gvg/edit?usp=sharing"",""น่าน!L125"")+IMPORTRANGE(""https://docs.google.com/spreadsheets/d/1uu4nAn4Dbi1XREnLKKotUANlKXa7yCgRcgq8HEzQYW8/edit?usp=sharing"",""พะเยา!L125"")+IMPORTRANGE(""https://docs.google.com/spreadsheets/d/1xfJKIQxVOaPDIICqsflNlL"&amp;"u3JacTDk1FP9RH4phX7mI/edit?usp=sharing"",""พิจิตร!L125"")+IMPORTRANGE(""https://docs.google.com/spreadsheets/d/1JtRfZkJMHtEhI5RdRHxYUG4FIZHqKDpNyIuN7A1Q0_k/edit?usp=sharing"",""พิษณุโลก!L125"")+IMPORTRANGE(""https://docs.google.com/spreadsheets/d/1xlcVZWU"&amp;"Nn6SuWm0c307h32SiGkd9BaeQWlAktfD3KO8/edit?usp=sharing"",""เพชรบูรณ์!L125"")+IMPORTRANGE(""https://docs.google.com/spreadsheets/d/1lOVebEIsI9qjGXl6EX66luk7wiuP2tBaryw-wKvv4e0/edit?usp=sharing"",""แพร่!L125"")+IMPORTRANGE(""https://docs.google.com/spreadshe"&amp;"ets/d/1dQrvX0vEcN7Gu0fnZ0B5S90AeR19zth4XlExFBeExMY/edit?usp=sharing"",""แม่ฮ่องสอน!L125"")+IMPORTRANGE(""https://docs.google.com/spreadsheets/d/1DY4XTNNwjluuxqdfdn6qvOSlMRrZqUtmYcZR0ttFiG4/edit?usp=sharing"",""ลำปาง!L125"")+IMPORTRANGE(""https://docs.goog"&amp;"le.com/spreadsheets/d/1ICwG78r0OFT8biBlxnBF8r7she7gNSzOvJ958PWT09c/edit?usp=sharing"",""ลำพูน!L125"")+IMPORTRANGE(""https://docs.google.com/spreadsheets/d/1B0f2xJpZUC6Z0xXnqKlZtEPzsf6L84eP1r1Q15seqRM/edit?usp=sharing"",""สุโขทัย!L125"")+IMPORTRANGE(""http"&amp;"s://docs.google.com/spreadsheets/d/1v0b9pFQCsKUVExMei7AgY2yQkdeNQvtOssygGsXbiKo/edit?usp=sharing"",""อุตรดิตถ์!L125"")+IMPORTRANGE(""https://docs.google.com/spreadsheets/d/1UsNK1e-WWiCo2PvGqdNfdme4m17_Ezd3J69EeeiQPD0/edit?usp=sharing"",""อุทัยธานี!L125"")"),0)</f>
        <v>0</v>
      </c>
      <c r="M125" s="46">
        <f ca="1">IFERROR(__xludf.DUMMYFUNCTION("IMPORTRANGE(""https://docs.google.com/spreadsheets/d/1jTcq05yEiRwXcBMLjiodW9e4biSGYWAHcDj22rKWQ3s/edit?usp=sharing"",""กำแพงเพชร!M125"")+IMPORTRANGE(""https://docs.google.com/spreadsheets/d/1KS0zmDSZPk8KnTAbGN-Xk6MtX1YRZD0ldgdt20K4CRk/edit?usp=sharing"","&amp;"""เชียงราย!M125"")+IMPORTRANGE(""https://docs.google.com/spreadsheets/d/1rEDxBtusbi64tE0zunoIbsTVV16HeL0oJ6trHQeQ7K8/edit?usp=sharing"",""เชียงใหม่!M125"")+IMPORTRANGE(""https://docs.google.com/spreadsheets/d/1W6MnUbDkMi6xHnHko_XkFDO9kkuL6Wqyc-6OCDFjW9I/e"&amp;"dit?usp=sharing"",""ตาก!M125"")+IMPORTRANGE(""https://docs.google.com/spreadsheets/d/1IQAWArduLkta9LpYo4a_ULsyqdta6-6aDDiwpUnQT6c/edit?usp=sharing"",""นครสวรรค์!M125"")+IMPORTRANGE(""https://docs.google.com/spreadsheets/d/10s13Sk5xrltsiR-Zkbmk5DwIaDIKO8Xl"&amp;"bJAfqyT7Gvg/edit?usp=sharing"",""น่าน!M125"")+IMPORTRANGE(""https://docs.google.com/spreadsheets/d/1uu4nAn4Dbi1XREnLKKotUANlKXa7yCgRcgq8HEzQYW8/edit?usp=sharing"",""พะเยา!M125"")+IMPORTRANGE(""https://docs.google.com/spreadsheets/d/1xfJKIQxVOaPDIICqsflNlL"&amp;"u3JacTDk1FP9RH4phX7mI/edit?usp=sharing"",""พิจิตร!M125"")+IMPORTRANGE(""https://docs.google.com/spreadsheets/d/1JtRfZkJMHtEhI5RdRHxYUG4FIZHqKDpNyIuN7A1Q0_k/edit?usp=sharing"",""พิษณุโลก!M125"")+IMPORTRANGE(""https://docs.google.com/spreadsheets/d/1xlcVZWU"&amp;"Nn6SuWm0c307h32SiGkd9BaeQWlAktfD3KO8/edit?usp=sharing"",""เพชรบูรณ์!M125"")+IMPORTRANGE(""https://docs.google.com/spreadsheets/d/1lOVebEIsI9qjGXl6EX66luk7wiuP2tBaryw-wKvv4e0/edit?usp=sharing"",""แพร่!M125"")+IMPORTRANGE(""https://docs.google.com/spreadshe"&amp;"ets/d/1dQrvX0vEcN7Gu0fnZ0B5S90AeR19zth4XlExFBeExMY/edit?usp=sharing"",""แม่ฮ่องสอน!M125"")+IMPORTRANGE(""https://docs.google.com/spreadsheets/d/1DY4XTNNwjluuxqdfdn6qvOSlMRrZqUtmYcZR0ttFiG4/edit?usp=sharing"",""ลำปาง!M125"")+IMPORTRANGE(""https://docs.goog"&amp;"le.com/spreadsheets/d/1ICwG78r0OFT8biBlxnBF8r7she7gNSzOvJ958PWT09c/edit?usp=sharing"",""ลำพูน!M125"")+IMPORTRANGE(""https://docs.google.com/spreadsheets/d/1B0f2xJpZUC6Z0xXnqKlZtEPzsf6L84eP1r1Q15seqRM/edit?usp=sharing"",""สุโขทัย!M125"")+IMPORTRANGE(""http"&amp;"s://docs.google.com/spreadsheets/d/1v0b9pFQCsKUVExMei7AgY2yQkdeNQvtOssygGsXbiKo/edit?usp=sharing"",""อุตรดิตถ์!M125"")+IMPORTRANGE(""https://docs.google.com/spreadsheets/d/1UsNK1e-WWiCo2PvGqdNfdme4m17_Ezd3J69EeeiQPD0/edit?usp=sharing"",""อุทัยธานี!M125"")"),0)</f>
        <v>0</v>
      </c>
      <c r="N125" s="46">
        <f ca="1">IFERROR(__xludf.DUMMYFUNCTION("IMPORTRANGE(""https://docs.google.com/spreadsheets/d/1jTcq05yEiRwXcBMLjiodW9e4biSGYWAHcDj22rKWQ3s/edit?usp=sharing"",""กำแพงเพชร!N125"")+IMPORTRANGE(""https://docs.google.com/spreadsheets/d/1KS0zmDSZPk8KnTAbGN-Xk6MtX1YRZD0ldgdt20K4CRk/edit?usp=sharing"","&amp;"""เชียงราย!N125"")+IMPORTRANGE(""https://docs.google.com/spreadsheets/d/1rEDxBtusbi64tE0zunoIbsTVV16HeL0oJ6trHQeQ7K8/edit?usp=sharing"",""เชียงใหม่!N125"")+IMPORTRANGE(""https://docs.google.com/spreadsheets/d/1W6MnUbDkMi6xHnHko_XkFDO9kkuL6Wqyc-6OCDFjW9I/e"&amp;"dit?usp=sharing"",""ตาก!N125"")+IMPORTRANGE(""https://docs.google.com/spreadsheets/d/1IQAWArduLkta9LpYo4a_ULsyqdta6-6aDDiwpUnQT6c/edit?usp=sharing"",""นครสวรรค์!N125"")+IMPORTRANGE(""https://docs.google.com/spreadsheets/d/10s13Sk5xrltsiR-Zkbmk5DwIaDIKO8Xl"&amp;"bJAfqyT7Gvg/edit?usp=sharing"",""น่าน!N125"")+IMPORTRANGE(""https://docs.google.com/spreadsheets/d/1uu4nAn4Dbi1XREnLKKotUANlKXa7yCgRcgq8HEzQYW8/edit?usp=sharing"",""พะเยา!N125"")+IMPORTRANGE(""https://docs.google.com/spreadsheets/d/1xfJKIQxVOaPDIICqsflNlL"&amp;"u3JacTDk1FP9RH4phX7mI/edit?usp=sharing"",""พิจิตร!N125"")+IMPORTRANGE(""https://docs.google.com/spreadsheets/d/1JtRfZkJMHtEhI5RdRHxYUG4FIZHqKDpNyIuN7A1Q0_k/edit?usp=sharing"",""พิษณุโลก!N125"")+IMPORTRANGE(""https://docs.google.com/spreadsheets/d/1xlcVZWU"&amp;"Nn6SuWm0c307h32SiGkd9BaeQWlAktfD3KO8/edit?usp=sharing"",""เพชรบูรณ์!N125"")+IMPORTRANGE(""https://docs.google.com/spreadsheets/d/1lOVebEIsI9qjGXl6EX66luk7wiuP2tBaryw-wKvv4e0/edit?usp=sharing"",""แพร่!N125"")+IMPORTRANGE(""https://docs.google.com/spreadshe"&amp;"ets/d/1dQrvX0vEcN7Gu0fnZ0B5S90AeR19zth4XlExFBeExMY/edit?usp=sharing"",""แม่ฮ่องสอน!N125"")+IMPORTRANGE(""https://docs.google.com/spreadsheets/d/1DY4XTNNwjluuxqdfdn6qvOSlMRrZqUtmYcZR0ttFiG4/edit?usp=sharing"",""ลำปาง!N125"")+IMPORTRANGE(""https://docs.goog"&amp;"le.com/spreadsheets/d/1ICwG78r0OFT8biBlxnBF8r7she7gNSzOvJ958PWT09c/edit?usp=sharing"",""ลำพูน!N125"")+IMPORTRANGE(""https://docs.google.com/spreadsheets/d/1B0f2xJpZUC6Z0xXnqKlZtEPzsf6L84eP1r1Q15seqRM/edit?usp=sharing"",""สุโขทัย!N125"")+IMPORTRANGE(""http"&amp;"s://docs.google.com/spreadsheets/d/1v0b9pFQCsKUVExMei7AgY2yQkdeNQvtOssygGsXbiKo/edit?usp=sharing"",""อุตรดิตถ์!N125"")+IMPORTRANGE(""https://docs.google.com/spreadsheets/d/1UsNK1e-WWiCo2PvGqdNfdme4m17_Ezd3J69EeeiQPD0/edit?usp=sharing"",""อุทัยธานี!N125"")"),0)</f>
        <v>0</v>
      </c>
      <c r="O125" s="46">
        <f t="shared" ca="1" si="91"/>
        <v>0</v>
      </c>
      <c r="P125" s="46">
        <f t="shared" ca="1" si="92"/>
        <v>0</v>
      </c>
      <c r="Q125" s="46">
        <f ca="1">IFERROR(__xludf.DUMMYFUNCTION("IMPORTRANGE(""https://docs.google.com/spreadsheets/d/1jTcq05yEiRwXcBMLjiodW9e4biSGYWAHcDj22rKWQ3s/edit?usp=sharing"",""กำแพงเพชร!Q125"")+IMPORTRANGE(""https://docs.google.com/spreadsheets/d/1KS0zmDSZPk8KnTAbGN-Xk6MtX1YRZD0ldgdt20K4CRk/edit?usp=sharing"","&amp;"""เชียงราย!Q125"")+IMPORTRANGE(""https://docs.google.com/spreadsheets/d/1rEDxBtusbi64tE0zunoIbsTVV16HeL0oJ6trHQeQ7K8/edit?usp=sharing"",""เชียงใหม่!Q125"")+IMPORTRANGE(""https://docs.google.com/spreadsheets/d/1W6MnUbDkMi6xHnHko_XkFDO9kkuL6Wqyc-6OCDFjW9I/e"&amp;"dit?usp=sharing"",""ตาก!Q125"")+IMPORTRANGE(""https://docs.google.com/spreadsheets/d/1IQAWArduLkta9LpYo4a_ULsyqdta6-6aDDiwpUnQT6c/edit?usp=sharing"",""นครสวรรค์!Q125"")+IMPORTRANGE(""https://docs.google.com/spreadsheets/d/10s13Sk5xrltsiR-Zkbmk5DwIaDIKO8Xl"&amp;"bJAfqyT7Gvg/edit?usp=sharing"",""น่าน!Q125"")+IMPORTRANGE(""https://docs.google.com/spreadsheets/d/1uu4nAn4Dbi1XREnLKKotUANlKXa7yCgRcgq8HEzQYW8/edit?usp=sharing"",""พะเยา!Q125"")+IMPORTRANGE(""https://docs.google.com/spreadsheets/d/1xfJKIQxVOaPDIICqsflNlL"&amp;"u3JacTDk1FP9RH4phX7mI/edit?usp=sharing"",""พิจิตร!Q125"")+IMPORTRANGE(""https://docs.google.com/spreadsheets/d/1JtRfZkJMHtEhI5RdRHxYUG4FIZHqKDpNyIuN7A1Q0_k/edit?usp=sharing"",""พิษณุโลก!Q125"")+IMPORTRANGE(""https://docs.google.com/spreadsheets/d/1xlcVZWU"&amp;"Nn6SuWm0c307h32SiGkd9BaeQWlAktfD3KO8/edit?usp=sharing"",""เพชรบูรณ์!Q125"")+IMPORTRANGE(""https://docs.google.com/spreadsheets/d/1lOVebEIsI9qjGXl6EX66luk7wiuP2tBaryw-wKvv4e0/edit?usp=sharing"",""แพร่!Q125"")+IMPORTRANGE(""https://docs.google.com/spreadshe"&amp;"ets/d/1dQrvX0vEcN7Gu0fnZ0B5S90AeR19zth4XlExFBeExMY/edit?usp=sharing"",""แม่ฮ่องสอน!Q125"")+IMPORTRANGE(""https://docs.google.com/spreadsheets/d/1DY4XTNNwjluuxqdfdn6qvOSlMRrZqUtmYcZR0ttFiG4/edit?usp=sharing"",""ลำปาง!Q125"")+IMPORTRANGE(""https://docs.goog"&amp;"le.com/spreadsheets/d/1ICwG78r0OFT8biBlxnBF8r7she7gNSzOvJ958PWT09c/edit?usp=sharing"",""ลำพูน!Q125"")+IMPORTRANGE(""https://docs.google.com/spreadsheets/d/1B0f2xJpZUC6Z0xXnqKlZtEPzsf6L84eP1r1Q15seqRM/edit?usp=sharing"",""สุโขทัย!Q125"")+IMPORTRANGE(""http"&amp;"s://docs.google.com/spreadsheets/d/1v0b9pFQCsKUVExMei7AgY2yQkdeNQvtOssygGsXbiKo/edit?usp=sharing"",""อุตรดิตถ์!Q125"")+IMPORTRANGE(""https://docs.google.com/spreadsheets/d/1UsNK1e-WWiCo2PvGqdNfdme4m17_Ezd3J69EeeiQPD0/edit?usp=sharing"",""อุทัยธานี!Q125"")"),2321000)</f>
        <v>2321000</v>
      </c>
      <c r="R125" s="46">
        <f ca="1">IFERROR(__xludf.DUMMYFUNCTION("IMPORTRANGE(""https://docs.google.com/spreadsheets/d/1jTcq05yEiRwXcBMLjiodW9e4biSGYWAHcDj22rKWQ3s/edit?usp=sharing"",""กำแพงเพชร!R125"")+IMPORTRANGE(""https://docs.google.com/spreadsheets/d/1KS0zmDSZPk8KnTAbGN-Xk6MtX1YRZD0ldgdt20K4CRk/edit?usp=sharing"","&amp;"""เชียงราย!R125"")+IMPORTRANGE(""https://docs.google.com/spreadsheets/d/1rEDxBtusbi64tE0zunoIbsTVV16HeL0oJ6trHQeQ7K8/edit?usp=sharing"",""เชียงใหม่!R125"")+IMPORTRANGE(""https://docs.google.com/spreadsheets/d/1W6MnUbDkMi6xHnHko_XkFDO9kkuL6Wqyc-6OCDFjW9I/e"&amp;"dit?usp=sharing"",""ตาก!R125"")+IMPORTRANGE(""https://docs.google.com/spreadsheets/d/1IQAWArduLkta9LpYo4a_ULsyqdta6-6aDDiwpUnQT6c/edit?usp=sharing"",""นครสวรรค์!R125"")+IMPORTRANGE(""https://docs.google.com/spreadsheets/d/10s13Sk5xrltsiR-Zkbmk5DwIaDIKO8Xl"&amp;"bJAfqyT7Gvg/edit?usp=sharing"",""น่าน!R125"")+IMPORTRANGE(""https://docs.google.com/spreadsheets/d/1uu4nAn4Dbi1XREnLKKotUANlKXa7yCgRcgq8HEzQYW8/edit?usp=sharing"",""พะเยา!R125"")+IMPORTRANGE(""https://docs.google.com/spreadsheets/d/1xfJKIQxVOaPDIICqsflNlL"&amp;"u3JacTDk1FP9RH4phX7mI/edit?usp=sharing"",""พิจิตร!R125"")+IMPORTRANGE(""https://docs.google.com/spreadsheets/d/1JtRfZkJMHtEhI5RdRHxYUG4FIZHqKDpNyIuN7A1Q0_k/edit?usp=sharing"",""พิษณุโลก!R125"")+IMPORTRANGE(""https://docs.google.com/spreadsheets/d/1xlcVZWU"&amp;"Nn6SuWm0c307h32SiGkd9BaeQWlAktfD3KO8/edit?usp=sharing"",""เพชรบูรณ์!R125"")+IMPORTRANGE(""https://docs.google.com/spreadsheets/d/1lOVebEIsI9qjGXl6EX66luk7wiuP2tBaryw-wKvv4e0/edit?usp=sharing"",""แพร่!R125"")+IMPORTRANGE(""https://docs.google.com/spreadshe"&amp;"ets/d/1dQrvX0vEcN7Gu0fnZ0B5S90AeR19zth4XlExFBeExMY/edit?usp=sharing"",""แม่ฮ่องสอน!R125"")+IMPORTRANGE(""https://docs.google.com/spreadsheets/d/1DY4XTNNwjluuxqdfdn6qvOSlMRrZqUtmYcZR0ttFiG4/edit?usp=sharing"",""ลำปาง!R125"")+IMPORTRANGE(""https://docs.goog"&amp;"le.com/spreadsheets/d/1ICwG78r0OFT8biBlxnBF8r7she7gNSzOvJ958PWT09c/edit?usp=sharing"",""ลำพูน!R125"")+IMPORTRANGE(""https://docs.google.com/spreadsheets/d/1B0f2xJpZUC6Z0xXnqKlZtEPzsf6L84eP1r1Q15seqRM/edit?usp=sharing"",""สุโขทัย!R125"")+IMPORTRANGE(""http"&amp;"s://docs.google.com/spreadsheets/d/1v0b9pFQCsKUVExMei7AgY2yQkdeNQvtOssygGsXbiKo/edit?usp=sharing"",""อุตรดิตถ์!R125"")+IMPORTRANGE(""https://docs.google.com/spreadsheets/d/1UsNK1e-WWiCo2PvGqdNfdme4m17_Ezd3J69EeeiQPD0/edit?usp=sharing"",""อุทัยธานี!R125"")"),2321000)</f>
        <v>2321000</v>
      </c>
      <c r="S125" s="46">
        <f ca="1">IFERROR(__xludf.DUMMYFUNCTION("IMPORTRANGE(""https://docs.google.com/spreadsheets/d/1jTcq05yEiRwXcBMLjiodW9e4biSGYWAHcDj22rKWQ3s/edit?usp=sharing"",""กำแพงเพชร!S125"")+IMPORTRANGE(""https://docs.google.com/spreadsheets/d/1KS0zmDSZPk8KnTAbGN-Xk6MtX1YRZD0ldgdt20K4CRk/edit?usp=sharing"","&amp;"""เชียงราย!S125"")+IMPORTRANGE(""https://docs.google.com/spreadsheets/d/1rEDxBtusbi64tE0zunoIbsTVV16HeL0oJ6trHQeQ7K8/edit?usp=sharing"",""เชียงใหม่!S125"")+IMPORTRANGE(""https://docs.google.com/spreadsheets/d/1W6MnUbDkMi6xHnHko_XkFDO9kkuL6Wqyc-6OCDFjW9I/e"&amp;"dit?usp=sharing"",""ตาก!S125"")+IMPORTRANGE(""https://docs.google.com/spreadsheets/d/1IQAWArduLkta9LpYo4a_ULsyqdta6-6aDDiwpUnQT6c/edit?usp=sharing"",""นครสวรรค์!S125"")+IMPORTRANGE(""https://docs.google.com/spreadsheets/d/10s13Sk5xrltsiR-Zkbmk5DwIaDIKO8Xl"&amp;"bJAfqyT7Gvg/edit?usp=sharing"",""น่าน!S125"")+IMPORTRANGE(""https://docs.google.com/spreadsheets/d/1uu4nAn4Dbi1XREnLKKotUANlKXa7yCgRcgq8HEzQYW8/edit?usp=sharing"",""พะเยา!S125"")+IMPORTRANGE(""https://docs.google.com/spreadsheets/d/1xfJKIQxVOaPDIICqsflNlL"&amp;"u3JacTDk1FP9RH4phX7mI/edit?usp=sharing"",""พิจิตร!S125"")+IMPORTRANGE(""https://docs.google.com/spreadsheets/d/1JtRfZkJMHtEhI5RdRHxYUG4FIZHqKDpNyIuN7A1Q0_k/edit?usp=sharing"",""พิษณุโลก!S125"")+IMPORTRANGE(""https://docs.google.com/spreadsheets/d/1xlcVZWU"&amp;"Nn6SuWm0c307h32SiGkd9BaeQWlAktfD3KO8/edit?usp=sharing"",""เพชรบูรณ์!S125"")+IMPORTRANGE(""https://docs.google.com/spreadsheets/d/1lOVebEIsI9qjGXl6EX66luk7wiuP2tBaryw-wKvv4e0/edit?usp=sharing"",""แพร่!S125"")+IMPORTRANGE(""https://docs.google.com/spreadshe"&amp;"ets/d/1dQrvX0vEcN7Gu0fnZ0B5S90AeR19zth4XlExFBeExMY/edit?usp=sharing"",""แม่ฮ่องสอน!S125"")+IMPORTRANGE(""https://docs.google.com/spreadsheets/d/1DY4XTNNwjluuxqdfdn6qvOSlMRrZqUtmYcZR0ttFiG4/edit?usp=sharing"",""ลำปาง!S125"")+IMPORTRANGE(""https://docs.goog"&amp;"le.com/spreadsheets/d/1ICwG78r0OFT8biBlxnBF8r7she7gNSzOvJ958PWT09c/edit?usp=sharing"",""ลำพูน!S125"")+IMPORTRANGE(""https://docs.google.com/spreadsheets/d/1B0f2xJpZUC6Z0xXnqKlZtEPzsf6L84eP1r1Q15seqRM/edit?usp=sharing"",""สุโขทัย!S125"")+IMPORTRANGE(""http"&amp;"s://docs.google.com/spreadsheets/d/1v0b9pFQCsKUVExMei7AgY2yQkdeNQvtOssygGsXbiKo/edit?usp=sharing"",""อุตรดิตถ์!S125"")+IMPORTRANGE(""https://docs.google.com/spreadsheets/d/1UsNK1e-WWiCo2PvGqdNfdme4m17_Ezd3J69EeeiQPD0/edit?usp=sharing"",""อุทัยธานี!S125"")"),0)</f>
        <v>0</v>
      </c>
      <c r="T125" s="46">
        <f t="shared" ca="1" si="94"/>
        <v>0</v>
      </c>
      <c r="U125" s="46">
        <f t="shared" ca="1" si="95"/>
        <v>0</v>
      </c>
    </row>
    <row r="126" spans="1:21" ht="19.5" x14ac:dyDescent="0.3">
      <c r="A126" s="138"/>
      <c r="B126" s="139"/>
      <c r="C126" s="177" t="s">
        <v>18</v>
      </c>
      <c r="D126" s="140" t="s">
        <v>38</v>
      </c>
      <c r="E126" s="141"/>
      <c r="F126" s="141"/>
      <c r="G126" s="142"/>
      <c r="H126" s="178"/>
      <c r="I126" s="44"/>
      <c r="J126" s="44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66">
        <f ca="1">IFERROR(__xludf.DUMMYFUNCTION("IMPORTRANGE(""https://docs.google.com/spreadsheets/d/1jTcq05yEiRwXcBMLjiodW9e4biSGYWAHcDj22rKWQ3s/edit?usp=sharing"",""กำแพงเพชร!I127"")+IMPORTRANGE(""https://docs.google.com/spreadsheets/d/1KS0zmDSZPk8KnTAbGN-Xk6MtX1YRZD0ldgdt20K4CRk/edit?usp=sharing"","&amp;"""เชียงราย!I127"")+IMPORTRANGE(""https://docs.google.com/spreadsheets/d/1rEDxBtusbi64tE0zunoIbsTVV16HeL0oJ6trHQeQ7K8/edit?usp=sharing"",""เชียงใหม่!I127"")+IMPORTRANGE(""https://docs.google.com/spreadsheets/d/1W6MnUbDkMi6xHnHko_XkFDO9kkuL6Wqyc-6OCDFjW9I/e"&amp;"dit?usp=sharing"",""ตาก!I127"")+IMPORTRANGE(""https://docs.google.com/spreadsheets/d/1IQAWArduLkta9LpYo4a_ULsyqdta6-6aDDiwpUnQT6c/edit?usp=sharing"",""นครสวรรค์!I127"")+IMPORTRANGE(""https://docs.google.com/spreadsheets/d/10s13Sk5xrltsiR-Zkbmk5DwIaDIKO8Xl"&amp;"bJAfqyT7Gvg/edit?usp=sharing"",""น่าน!I127"")+IMPORTRANGE(""https://docs.google.com/spreadsheets/d/1uu4nAn4Dbi1XREnLKKotUANlKXa7yCgRcgq8HEzQYW8/edit?usp=sharing"",""พะเยา!I127"")+IMPORTRANGE(""https://docs.google.com/spreadsheets/d/1xfJKIQxVOaPDIICqsflNlL"&amp;"u3JacTDk1FP9RH4phX7mI/edit?usp=sharing"",""พิจิตร!I127"")+IMPORTRANGE(""https://docs.google.com/spreadsheets/d/1JtRfZkJMHtEhI5RdRHxYUG4FIZHqKDpNyIuN7A1Q0_k/edit?usp=sharing"",""พิษณุโลก!I127"")+IMPORTRANGE(""https://docs.google.com/spreadsheets/d/1xlcVZWU"&amp;"Nn6SuWm0c307h32SiGkd9BaeQWlAktfD3KO8/edit?usp=sharing"",""เพชรบูรณ์!I127"")+IMPORTRANGE(""https://docs.google.com/spreadsheets/d/1lOVebEIsI9qjGXl6EX66luk7wiuP2tBaryw-wKvv4e0/edit?usp=sharing"",""แพร่!I127"")+IMPORTRANGE(""https://docs.google.com/spreadshe"&amp;"ets/d/1dQrvX0vEcN7Gu0fnZ0B5S90AeR19zth4XlExFBeExMY/edit?usp=sharing"",""แม่ฮ่องสอน!I127"")+IMPORTRANGE(""https://docs.google.com/spreadsheets/d/1DY4XTNNwjluuxqdfdn6qvOSlMRrZqUtmYcZR0ttFiG4/edit?usp=sharing"",""ลำปาง!I127"")+IMPORTRANGE(""https://docs.goog"&amp;"le.com/spreadsheets/d/1ICwG78r0OFT8biBlxnBF8r7she7gNSzOvJ958PWT09c/edit?usp=sharing"",""ลำพูน!I127"")+IMPORTRANGE(""https://docs.google.com/spreadsheets/d/1B0f2xJpZUC6Z0xXnqKlZtEPzsf6L84eP1r1Q15seqRM/edit?usp=sharing"",""สุโขทัย!I127"")+IMPORTRANGE(""http"&amp;"s://docs.google.com/spreadsheets/d/1v0b9pFQCsKUVExMei7AgY2yQkdeNQvtOssygGsXbiKo/edit?usp=sharing"",""อุตรดิตถ์!I127"")+IMPORTRANGE(""https://docs.google.com/spreadsheets/d/1UsNK1e-WWiCo2PvGqdNfdme4m17_Ezd3J69EeeiQPD0/edit?usp=sharing"",""อุทัยธานี!I127"")"),735)</f>
        <v>735</v>
      </c>
      <c r="J127" s="167">
        <f ca="1">IFERROR(__xludf.DUMMYFUNCTION("IMPORTRANGE(""https://docs.google.com/spreadsheets/d/1jTcq05yEiRwXcBMLjiodW9e4biSGYWAHcDj22rKWQ3s/edit?usp=sharing"",""กำแพงเพชร!J127"")+IMPORTRANGE(""https://docs.google.com/spreadsheets/d/1KS0zmDSZPk8KnTAbGN-Xk6MtX1YRZD0ldgdt20K4CRk/edit?usp=sharing"","&amp;"""เชียงราย!J127"")+IMPORTRANGE(""https://docs.google.com/spreadsheets/d/1rEDxBtusbi64tE0zunoIbsTVV16HeL0oJ6trHQeQ7K8/edit?usp=sharing"",""เชียงใหม่!J127"")+IMPORTRANGE(""https://docs.google.com/spreadsheets/d/1W6MnUbDkMi6xHnHko_XkFDO9kkuL6Wqyc-6OCDFjW9I/e"&amp;"dit?usp=sharing"",""ตาก!J127"")+IMPORTRANGE(""https://docs.google.com/spreadsheets/d/1IQAWArduLkta9LpYo4a_ULsyqdta6-6aDDiwpUnQT6c/edit?usp=sharing"",""นครสวรรค์!J127"")+IMPORTRANGE(""https://docs.google.com/spreadsheets/d/10s13Sk5xrltsiR-Zkbmk5DwIaDIKO8Xl"&amp;"bJAfqyT7Gvg/edit?usp=sharing"",""น่าน!J127"")+IMPORTRANGE(""https://docs.google.com/spreadsheets/d/1uu4nAn4Dbi1XREnLKKotUANlKXa7yCgRcgq8HEzQYW8/edit?usp=sharing"",""พะเยา!J127"")+IMPORTRANGE(""https://docs.google.com/spreadsheets/d/1xfJKIQxVOaPDIICqsflNlL"&amp;"u3JacTDk1FP9RH4phX7mI/edit?usp=sharing"",""พิจิตร!J127"")+IMPORTRANGE(""https://docs.google.com/spreadsheets/d/1JtRfZkJMHtEhI5RdRHxYUG4FIZHqKDpNyIuN7A1Q0_k/edit?usp=sharing"",""พิษณุโลก!J127"")+IMPORTRANGE(""https://docs.google.com/spreadsheets/d/1xlcVZWU"&amp;"Nn6SuWm0c307h32SiGkd9BaeQWlAktfD3KO8/edit?usp=sharing"",""เพชรบูรณ์!J127"")+IMPORTRANGE(""https://docs.google.com/spreadsheets/d/1lOVebEIsI9qjGXl6EX66luk7wiuP2tBaryw-wKvv4e0/edit?usp=sharing"",""แพร่!J127"")+IMPORTRANGE(""https://docs.google.com/spreadshe"&amp;"ets/d/1dQrvX0vEcN7Gu0fnZ0B5S90AeR19zth4XlExFBeExMY/edit?usp=sharing"",""แม่ฮ่องสอน!J127"")+IMPORTRANGE(""https://docs.google.com/spreadsheets/d/1DY4XTNNwjluuxqdfdn6qvOSlMRrZqUtmYcZR0ttFiG4/edit?usp=sharing"",""ลำปาง!J127"")+IMPORTRANGE(""https://docs.goog"&amp;"le.com/spreadsheets/d/1ICwG78r0OFT8biBlxnBF8r7she7gNSzOvJ958PWT09c/edit?usp=sharing"",""ลำพูน!J127"")+IMPORTRANGE(""https://docs.google.com/spreadsheets/d/1B0f2xJpZUC6Z0xXnqKlZtEPzsf6L84eP1r1Q15seqRM/edit?usp=sharing"",""สุโขทัย!J127"")+IMPORTRANGE(""http"&amp;"s://docs.google.com/spreadsheets/d/1v0b9pFQCsKUVExMei7AgY2yQkdeNQvtOssygGsXbiKo/edit?usp=sharing"",""อุตรดิตถ์!J127"")+IMPORTRANGE(""https://docs.google.com/spreadsheets/d/1UsNK1e-WWiCo2PvGqdNfdme4m17_Ezd3J69EeeiQPD0/edit?usp=sharing"",""อุทัยธานี!J127"")"),715)</f>
        <v>715</v>
      </c>
      <c r="K127" s="46">
        <f t="shared" ref="K127:K130" ca="1" si="104">IF(I127&gt;0,J127*100/I127,0)</f>
        <v>97.278911564625844</v>
      </c>
      <c r="L127" s="45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66">
        <f ca="1">IFERROR(__xludf.DUMMYFUNCTION("IMPORTRANGE(""https://docs.google.com/spreadsheets/d/1jTcq05yEiRwXcBMLjiodW9e4biSGYWAHcDj22rKWQ3s/edit?usp=sharing"",""กำแพงเพชร!I128"")+IMPORTRANGE(""https://docs.google.com/spreadsheets/d/1KS0zmDSZPk8KnTAbGN-Xk6MtX1YRZD0ldgdt20K4CRk/edit?usp=sharing"","&amp;"""เชียงราย!I128"")+IMPORTRANGE(""https://docs.google.com/spreadsheets/d/1rEDxBtusbi64tE0zunoIbsTVV16HeL0oJ6trHQeQ7K8/edit?usp=sharing"",""เชียงใหม่!I128"")+IMPORTRANGE(""https://docs.google.com/spreadsheets/d/1W6MnUbDkMi6xHnHko_XkFDO9kkuL6Wqyc-6OCDFjW9I/e"&amp;"dit?usp=sharing"",""ตาก!I128"")+IMPORTRANGE(""https://docs.google.com/spreadsheets/d/1IQAWArduLkta9LpYo4a_ULsyqdta6-6aDDiwpUnQT6c/edit?usp=sharing"",""นครสวรรค์!I128"")+IMPORTRANGE(""https://docs.google.com/spreadsheets/d/10s13Sk5xrltsiR-Zkbmk5DwIaDIKO8Xl"&amp;"bJAfqyT7Gvg/edit?usp=sharing"",""น่าน!I128"")+IMPORTRANGE(""https://docs.google.com/spreadsheets/d/1uu4nAn4Dbi1XREnLKKotUANlKXa7yCgRcgq8HEzQYW8/edit?usp=sharing"",""พะเยา!I128"")+IMPORTRANGE(""https://docs.google.com/spreadsheets/d/1xfJKIQxVOaPDIICqsflNlL"&amp;"u3JacTDk1FP9RH4phX7mI/edit?usp=sharing"",""พิจิตร!I128"")+IMPORTRANGE(""https://docs.google.com/spreadsheets/d/1JtRfZkJMHtEhI5RdRHxYUG4FIZHqKDpNyIuN7A1Q0_k/edit?usp=sharing"",""พิษณุโลก!I128"")+IMPORTRANGE(""https://docs.google.com/spreadsheets/d/1xlcVZWU"&amp;"Nn6SuWm0c307h32SiGkd9BaeQWlAktfD3KO8/edit?usp=sharing"",""เพชรบูรณ์!I128"")+IMPORTRANGE(""https://docs.google.com/spreadsheets/d/1lOVebEIsI9qjGXl6EX66luk7wiuP2tBaryw-wKvv4e0/edit?usp=sharing"",""แพร่!I128"")+IMPORTRANGE(""https://docs.google.com/spreadshe"&amp;"ets/d/1dQrvX0vEcN7Gu0fnZ0B5S90AeR19zth4XlExFBeExMY/edit?usp=sharing"",""แม่ฮ่องสอน!I128"")+IMPORTRANGE(""https://docs.google.com/spreadsheets/d/1DY4XTNNwjluuxqdfdn6qvOSlMRrZqUtmYcZR0ttFiG4/edit?usp=sharing"",""ลำปาง!I128"")+IMPORTRANGE(""https://docs.goog"&amp;"le.com/spreadsheets/d/1ICwG78r0OFT8biBlxnBF8r7she7gNSzOvJ958PWT09c/edit?usp=sharing"",""ลำพูน!I128"")+IMPORTRANGE(""https://docs.google.com/spreadsheets/d/1B0f2xJpZUC6Z0xXnqKlZtEPzsf6L84eP1r1Q15seqRM/edit?usp=sharing"",""สุโขทัย!I128"")+IMPORTRANGE(""http"&amp;"s://docs.google.com/spreadsheets/d/1v0b9pFQCsKUVExMei7AgY2yQkdeNQvtOssygGsXbiKo/edit?usp=sharing"",""อุตรดิตถ์!I128"")+IMPORTRANGE(""https://docs.google.com/spreadsheets/d/1UsNK1e-WWiCo2PvGqdNfdme4m17_Ezd3J69EeeiQPD0/edit?usp=sharing"",""อุทัยธานี!I128"")"),0)</f>
        <v>0</v>
      </c>
      <c r="J128" s="167">
        <f ca="1">IFERROR(__xludf.DUMMYFUNCTION("IMPORTRANGE(""https://docs.google.com/spreadsheets/d/1jTcq05yEiRwXcBMLjiodW9e4biSGYWAHcDj22rKWQ3s/edit?usp=sharing"",""กำแพงเพชร!J128"")+IMPORTRANGE(""https://docs.google.com/spreadsheets/d/1KS0zmDSZPk8KnTAbGN-Xk6MtX1YRZD0ldgdt20K4CRk/edit?usp=sharing"","&amp;"""เชียงราย!J128"")+IMPORTRANGE(""https://docs.google.com/spreadsheets/d/1rEDxBtusbi64tE0zunoIbsTVV16HeL0oJ6trHQeQ7K8/edit?usp=sharing"",""เชียงใหม่!J128"")+IMPORTRANGE(""https://docs.google.com/spreadsheets/d/1W6MnUbDkMi6xHnHko_XkFDO9kkuL6Wqyc-6OCDFjW9I/e"&amp;"dit?usp=sharing"",""ตาก!J128"")+IMPORTRANGE(""https://docs.google.com/spreadsheets/d/1IQAWArduLkta9LpYo4a_ULsyqdta6-6aDDiwpUnQT6c/edit?usp=sharing"",""นครสวรรค์!J128"")+IMPORTRANGE(""https://docs.google.com/spreadsheets/d/10s13Sk5xrltsiR-Zkbmk5DwIaDIKO8Xl"&amp;"bJAfqyT7Gvg/edit?usp=sharing"",""น่าน!J128"")+IMPORTRANGE(""https://docs.google.com/spreadsheets/d/1uu4nAn4Dbi1XREnLKKotUANlKXa7yCgRcgq8HEzQYW8/edit?usp=sharing"",""พะเยา!J128"")+IMPORTRANGE(""https://docs.google.com/spreadsheets/d/1xfJKIQxVOaPDIICqsflNlL"&amp;"u3JacTDk1FP9RH4phX7mI/edit?usp=sharing"",""พิจิตร!J128"")+IMPORTRANGE(""https://docs.google.com/spreadsheets/d/1JtRfZkJMHtEhI5RdRHxYUG4FIZHqKDpNyIuN7A1Q0_k/edit?usp=sharing"",""พิษณุโลก!J128"")+IMPORTRANGE(""https://docs.google.com/spreadsheets/d/1xlcVZWU"&amp;"Nn6SuWm0c307h32SiGkd9BaeQWlAktfD3KO8/edit?usp=sharing"",""เพชรบูรณ์!J128"")+IMPORTRANGE(""https://docs.google.com/spreadsheets/d/1lOVebEIsI9qjGXl6EX66luk7wiuP2tBaryw-wKvv4e0/edit?usp=sharing"",""แพร่!J128"")+IMPORTRANGE(""https://docs.google.com/spreadshe"&amp;"ets/d/1dQrvX0vEcN7Gu0fnZ0B5S90AeR19zth4XlExFBeExMY/edit?usp=sharing"",""แม่ฮ่องสอน!J128"")+IMPORTRANGE(""https://docs.google.com/spreadsheets/d/1DY4XTNNwjluuxqdfdn6qvOSlMRrZqUtmYcZR0ttFiG4/edit?usp=sharing"",""ลำปาง!J128"")+IMPORTRANGE(""https://docs.goog"&amp;"le.com/spreadsheets/d/1ICwG78r0OFT8biBlxnBF8r7she7gNSzOvJ958PWT09c/edit?usp=sharing"",""ลำพูน!J128"")+IMPORTRANGE(""https://docs.google.com/spreadsheets/d/1B0f2xJpZUC6Z0xXnqKlZtEPzsf6L84eP1r1Q15seqRM/edit?usp=sharing"",""สุโขทัย!J128"")+IMPORTRANGE(""http"&amp;"s://docs.google.com/spreadsheets/d/1v0b9pFQCsKUVExMei7AgY2yQkdeNQvtOssygGsXbiKo/edit?usp=sharing"",""อุตรดิตถ์!J128"")+IMPORTRANGE(""https://docs.google.com/spreadsheets/d/1UsNK1e-WWiCo2PvGqdNfdme4m17_Ezd3J69EeeiQPD0/edit?usp=sharing"",""อุทัยธานี!J128"")"),9)</f>
        <v>9</v>
      </c>
      <c r="K128" s="46">
        <f t="shared" ca="1" si="104"/>
        <v>0</v>
      </c>
      <c r="L128" s="45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66">
        <f ca="1">IFERROR(__xludf.DUMMYFUNCTION("IMPORTRANGE(""https://docs.google.com/spreadsheets/d/1jTcq05yEiRwXcBMLjiodW9e4biSGYWAHcDj22rKWQ3s/edit?usp=sharing"",""กำแพงเพชร!I129"")+IMPORTRANGE(""https://docs.google.com/spreadsheets/d/1KS0zmDSZPk8KnTAbGN-Xk6MtX1YRZD0ldgdt20K4CRk/edit?usp=sharing"","&amp;"""เชียงราย!I129"")+IMPORTRANGE(""https://docs.google.com/spreadsheets/d/1rEDxBtusbi64tE0zunoIbsTVV16HeL0oJ6trHQeQ7K8/edit?usp=sharing"",""เชียงใหม่!I129"")+IMPORTRANGE(""https://docs.google.com/spreadsheets/d/1W6MnUbDkMi6xHnHko_XkFDO9kkuL6Wqyc-6OCDFjW9I/e"&amp;"dit?usp=sharing"",""ตาก!I129"")+IMPORTRANGE(""https://docs.google.com/spreadsheets/d/1IQAWArduLkta9LpYo4a_ULsyqdta6-6aDDiwpUnQT6c/edit?usp=sharing"",""นครสวรรค์!I129"")+IMPORTRANGE(""https://docs.google.com/spreadsheets/d/10s13Sk5xrltsiR-Zkbmk5DwIaDIKO8Xl"&amp;"bJAfqyT7Gvg/edit?usp=sharing"",""น่าน!I129"")+IMPORTRANGE(""https://docs.google.com/spreadsheets/d/1uu4nAn4Dbi1XREnLKKotUANlKXa7yCgRcgq8HEzQYW8/edit?usp=sharing"",""พะเยา!I129"")+IMPORTRANGE(""https://docs.google.com/spreadsheets/d/1xfJKIQxVOaPDIICqsflNlL"&amp;"u3JacTDk1FP9RH4phX7mI/edit?usp=sharing"",""พิจิตร!I129"")+IMPORTRANGE(""https://docs.google.com/spreadsheets/d/1JtRfZkJMHtEhI5RdRHxYUG4FIZHqKDpNyIuN7A1Q0_k/edit?usp=sharing"",""พิษณุโลก!I129"")+IMPORTRANGE(""https://docs.google.com/spreadsheets/d/1xlcVZWU"&amp;"Nn6SuWm0c307h32SiGkd9BaeQWlAktfD3KO8/edit?usp=sharing"",""เพชรบูรณ์!I129"")+IMPORTRANGE(""https://docs.google.com/spreadsheets/d/1lOVebEIsI9qjGXl6EX66luk7wiuP2tBaryw-wKvv4e0/edit?usp=sharing"",""แพร่!I129"")+IMPORTRANGE(""https://docs.google.com/spreadshe"&amp;"ets/d/1dQrvX0vEcN7Gu0fnZ0B5S90AeR19zth4XlExFBeExMY/edit?usp=sharing"",""แม่ฮ่องสอน!I129"")+IMPORTRANGE(""https://docs.google.com/spreadsheets/d/1DY4XTNNwjluuxqdfdn6qvOSlMRrZqUtmYcZR0ttFiG4/edit?usp=sharing"",""ลำปาง!I129"")+IMPORTRANGE(""https://docs.goog"&amp;"le.com/spreadsheets/d/1ICwG78r0OFT8biBlxnBF8r7she7gNSzOvJ958PWT09c/edit?usp=sharing"",""ลำพูน!I129"")+IMPORTRANGE(""https://docs.google.com/spreadsheets/d/1B0f2xJpZUC6Z0xXnqKlZtEPzsf6L84eP1r1Q15seqRM/edit?usp=sharing"",""สุโขทัย!I129"")+IMPORTRANGE(""http"&amp;"s://docs.google.com/spreadsheets/d/1v0b9pFQCsKUVExMei7AgY2yQkdeNQvtOssygGsXbiKo/edit?usp=sharing"",""อุตรดิตถ์!I129"")+IMPORTRANGE(""https://docs.google.com/spreadsheets/d/1UsNK1e-WWiCo2PvGqdNfdme4m17_Ezd3J69EeeiQPD0/edit?usp=sharing"",""อุทัยธานี!I129"")"),365)</f>
        <v>365</v>
      </c>
      <c r="J129" s="167">
        <f ca="1">IFERROR(__xludf.DUMMYFUNCTION("IMPORTRANGE(""https://docs.google.com/spreadsheets/d/1jTcq05yEiRwXcBMLjiodW9e4biSGYWAHcDj22rKWQ3s/edit?usp=sharing"",""กำแพงเพชร!J129"")+IMPORTRANGE(""https://docs.google.com/spreadsheets/d/1KS0zmDSZPk8KnTAbGN-Xk6MtX1YRZD0ldgdt20K4CRk/edit?usp=sharing"","&amp;"""เชียงราย!J129"")+IMPORTRANGE(""https://docs.google.com/spreadsheets/d/1rEDxBtusbi64tE0zunoIbsTVV16HeL0oJ6trHQeQ7K8/edit?usp=sharing"",""เชียงใหม่!J129"")+IMPORTRANGE(""https://docs.google.com/spreadsheets/d/1W6MnUbDkMi6xHnHko_XkFDO9kkuL6Wqyc-6OCDFjW9I/e"&amp;"dit?usp=sharing"",""ตาก!J129"")+IMPORTRANGE(""https://docs.google.com/spreadsheets/d/1IQAWArduLkta9LpYo4a_ULsyqdta6-6aDDiwpUnQT6c/edit?usp=sharing"",""นครสวรรค์!J129"")+IMPORTRANGE(""https://docs.google.com/spreadsheets/d/10s13Sk5xrltsiR-Zkbmk5DwIaDIKO8Xl"&amp;"bJAfqyT7Gvg/edit?usp=sharing"",""น่าน!J129"")+IMPORTRANGE(""https://docs.google.com/spreadsheets/d/1uu4nAn4Dbi1XREnLKKotUANlKXa7yCgRcgq8HEzQYW8/edit?usp=sharing"",""พะเยา!J129"")+IMPORTRANGE(""https://docs.google.com/spreadsheets/d/1xfJKIQxVOaPDIICqsflNlL"&amp;"u3JacTDk1FP9RH4phX7mI/edit?usp=sharing"",""พิจิตร!J129"")+IMPORTRANGE(""https://docs.google.com/spreadsheets/d/1JtRfZkJMHtEhI5RdRHxYUG4FIZHqKDpNyIuN7A1Q0_k/edit?usp=sharing"",""พิษณุโลก!J129"")+IMPORTRANGE(""https://docs.google.com/spreadsheets/d/1xlcVZWU"&amp;"Nn6SuWm0c307h32SiGkd9BaeQWlAktfD3KO8/edit?usp=sharing"",""เพชรบูรณ์!J129"")+IMPORTRANGE(""https://docs.google.com/spreadsheets/d/1lOVebEIsI9qjGXl6EX66luk7wiuP2tBaryw-wKvv4e0/edit?usp=sharing"",""แพร่!J129"")+IMPORTRANGE(""https://docs.google.com/spreadshe"&amp;"ets/d/1dQrvX0vEcN7Gu0fnZ0B5S90AeR19zth4XlExFBeExMY/edit?usp=sharing"",""แม่ฮ่องสอน!J129"")+IMPORTRANGE(""https://docs.google.com/spreadsheets/d/1DY4XTNNwjluuxqdfdn6qvOSlMRrZqUtmYcZR0ttFiG4/edit?usp=sharing"",""ลำปาง!J129"")+IMPORTRANGE(""https://docs.goog"&amp;"le.com/spreadsheets/d/1ICwG78r0OFT8biBlxnBF8r7she7gNSzOvJ958PWT09c/edit?usp=sharing"",""ลำพูน!J129"")+IMPORTRANGE(""https://docs.google.com/spreadsheets/d/1B0f2xJpZUC6Z0xXnqKlZtEPzsf6L84eP1r1Q15seqRM/edit?usp=sharing"",""สุโขทัย!J129"")+IMPORTRANGE(""http"&amp;"s://docs.google.com/spreadsheets/d/1v0b9pFQCsKUVExMei7AgY2yQkdeNQvtOssygGsXbiKo/edit?usp=sharing"",""อุตรดิตถ์!J129"")+IMPORTRANGE(""https://docs.google.com/spreadsheets/d/1UsNK1e-WWiCo2PvGqdNfdme4m17_Ezd3J69EeeiQPD0/edit?usp=sharing"",""อุทัยธานี!J129"")"),285)</f>
        <v>285</v>
      </c>
      <c r="K129" s="46">
        <f t="shared" ca="1" si="104"/>
        <v>78.082191780821915</v>
      </c>
      <c r="L129" s="45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66">
        <f ca="1">IFERROR(__xludf.DUMMYFUNCTION("IMPORTRANGE(""https://docs.google.com/spreadsheets/d/1jTcq05yEiRwXcBMLjiodW9e4biSGYWAHcDj22rKWQ3s/edit?usp=sharing"",""กำแพงเพชร!I130"")+IMPORTRANGE(""https://docs.google.com/spreadsheets/d/1KS0zmDSZPk8KnTAbGN-Xk6MtX1YRZD0ldgdt20K4CRk/edit?usp=sharing"","&amp;"""เชียงราย!I130"")+IMPORTRANGE(""https://docs.google.com/spreadsheets/d/1rEDxBtusbi64tE0zunoIbsTVV16HeL0oJ6trHQeQ7K8/edit?usp=sharing"",""เชียงใหม่!I130"")+IMPORTRANGE(""https://docs.google.com/spreadsheets/d/1W6MnUbDkMi6xHnHko_XkFDO9kkuL6Wqyc-6OCDFjW9I/e"&amp;"dit?usp=sharing"",""ตาก!I130"")+IMPORTRANGE(""https://docs.google.com/spreadsheets/d/1IQAWArduLkta9LpYo4a_ULsyqdta6-6aDDiwpUnQT6c/edit?usp=sharing"",""นครสวรรค์!I130"")+IMPORTRANGE(""https://docs.google.com/spreadsheets/d/10s13Sk5xrltsiR-Zkbmk5DwIaDIKO8Xl"&amp;"bJAfqyT7Gvg/edit?usp=sharing"",""น่าน!I130"")+IMPORTRANGE(""https://docs.google.com/spreadsheets/d/1uu4nAn4Dbi1XREnLKKotUANlKXa7yCgRcgq8HEzQYW8/edit?usp=sharing"",""พะเยา!I130"")+IMPORTRANGE(""https://docs.google.com/spreadsheets/d/1xfJKIQxVOaPDIICqsflNlL"&amp;"u3JacTDk1FP9RH4phX7mI/edit?usp=sharing"",""พิจิตร!I130"")+IMPORTRANGE(""https://docs.google.com/spreadsheets/d/1JtRfZkJMHtEhI5RdRHxYUG4FIZHqKDpNyIuN7A1Q0_k/edit?usp=sharing"",""พิษณุโลก!I130"")+IMPORTRANGE(""https://docs.google.com/spreadsheets/d/1xlcVZWU"&amp;"Nn6SuWm0c307h32SiGkd9BaeQWlAktfD3KO8/edit?usp=sharing"",""เพชรบูรณ์!I130"")+IMPORTRANGE(""https://docs.google.com/spreadsheets/d/1lOVebEIsI9qjGXl6EX66luk7wiuP2tBaryw-wKvv4e0/edit?usp=sharing"",""แพร่!I130"")+IMPORTRANGE(""https://docs.google.com/spreadshe"&amp;"ets/d/1dQrvX0vEcN7Gu0fnZ0B5S90AeR19zth4XlExFBeExMY/edit?usp=sharing"",""แม่ฮ่องสอน!I130"")+IMPORTRANGE(""https://docs.google.com/spreadsheets/d/1DY4XTNNwjluuxqdfdn6qvOSlMRrZqUtmYcZR0ttFiG4/edit?usp=sharing"",""ลำปาง!I130"")+IMPORTRANGE(""https://docs.goog"&amp;"le.com/spreadsheets/d/1ICwG78r0OFT8biBlxnBF8r7she7gNSzOvJ958PWT09c/edit?usp=sharing"",""ลำพูน!I130"")+IMPORTRANGE(""https://docs.google.com/spreadsheets/d/1B0f2xJpZUC6Z0xXnqKlZtEPzsf6L84eP1r1Q15seqRM/edit?usp=sharing"",""สุโขทัย!I130"")+IMPORTRANGE(""http"&amp;"s://docs.google.com/spreadsheets/d/1v0b9pFQCsKUVExMei7AgY2yQkdeNQvtOssygGsXbiKo/edit?usp=sharing"",""อุตรดิตถ์!I130"")+IMPORTRANGE(""https://docs.google.com/spreadsheets/d/1UsNK1e-WWiCo2PvGqdNfdme4m17_Ezd3J69EeeiQPD0/edit?usp=sharing"",""อุทัยธานี!I130"")"),0)</f>
        <v>0</v>
      </c>
      <c r="J130" s="167">
        <f ca="1">IFERROR(__xludf.DUMMYFUNCTION("IMPORTRANGE(""https://docs.google.com/spreadsheets/d/1jTcq05yEiRwXcBMLjiodW9e4biSGYWAHcDj22rKWQ3s/edit?usp=sharing"",""กำแพงเพชร!J130"")+IMPORTRANGE(""https://docs.google.com/spreadsheets/d/1KS0zmDSZPk8KnTAbGN-Xk6MtX1YRZD0ldgdt20K4CRk/edit?usp=sharing"","&amp;"""เชียงราย!J130"")+IMPORTRANGE(""https://docs.google.com/spreadsheets/d/1rEDxBtusbi64tE0zunoIbsTVV16HeL0oJ6trHQeQ7K8/edit?usp=sharing"",""เชียงใหม่!J130"")+IMPORTRANGE(""https://docs.google.com/spreadsheets/d/1W6MnUbDkMi6xHnHko_XkFDO9kkuL6Wqyc-6OCDFjW9I/e"&amp;"dit?usp=sharing"",""ตาก!J130"")+IMPORTRANGE(""https://docs.google.com/spreadsheets/d/1IQAWArduLkta9LpYo4a_ULsyqdta6-6aDDiwpUnQT6c/edit?usp=sharing"",""นครสวรรค์!J130"")+IMPORTRANGE(""https://docs.google.com/spreadsheets/d/10s13Sk5xrltsiR-Zkbmk5DwIaDIKO8Xl"&amp;"bJAfqyT7Gvg/edit?usp=sharing"",""น่าน!J130"")+IMPORTRANGE(""https://docs.google.com/spreadsheets/d/1uu4nAn4Dbi1XREnLKKotUANlKXa7yCgRcgq8HEzQYW8/edit?usp=sharing"",""พะเยา!J130"")+IMPORTRANGE(""https://docs.google.com/spreadsheets/d/1xfJKIQxVOaPDIICqsflNlL"&amp;"u3JacTDk1FP9RH4phX7mI/edit?usp=sharing"",""พิจิตร!J130"")+IMPORTRANGE(""https://docs.google.com/spreadsheets/d/1JtRfZkJMHtEhI5RdRHxYUG4FIZHqKDpNyIuN7A1Q0_k/edit?usp=sharing"",""พิษณุโลก!J130"")+IMPORTRANGE(""https://docs.google.com/spreadsheets/d/1xlcVZWU"&amp;"Nn6SuWm0c307h32SiGkd9BaeQWlAktfD3KO8/edit?usp=sharing"",""เพชรบูรณ์!J130"")+IMPORTRANGE(""https://docs.google.com/spreadsheets/d/1lOVebEIsI9qjGXl6EX66luk7wiuP2tBaryw-wKvv4e0/edit?usp=sharing"",""แพร่!J130"")+IMPORTRANGE(""https://docs.google.com/spreadshe"&amp;"ets/d/1dQrvX0vEcN7Gu0fnZ0B5S90AeR19zth4XlExFBeExMY/edit?usp=sharing"",""แม่ฮ่องสอน!J130"")+IMPORTRANGE(""https://docs.google.com/spreadsheets/d/1DY4XTNNwjluuxqdfdn6qvOSlMRrZqUtmYcZR0ttFiG4/edit?usp=sharing"",""ลำปาง!J130"")+IMPORTRANGE(""https://docs.goog"&amp;"le.com/spreadsheets/d/1ICwG78r0OFT8biBlxnBF8r7she7gNSzOvJ958PWT09c/edit?usp=sharing"",""ลำพูน!J130"")+IMPORTRANGE(""https://docs.google.com/spreadsheets/d/1B0f2xJpZUC6Z0xXnqKlZtEPzsf6L84eP1r1Q15seqRM/edit?usp=sharing"",""สุโขทัย!J130"")+IMPORTRANGE(""http"&amp;"s://docs.google.com/spreadsheets/d/1v0b9pFQCsKUVExMei7AgY2yQkdeNQvtOssygGsXbiKo/edit?usp=sharing"",""อุตรดิตถ์!J130"")+IMPORTRANGE(""https://docs.google.com/spreadsheets/d/1UsNK1e-WWiCo2PvGqdNfdme4m17_Ezd3J69EeeiQPD0/edit?usp=sharing"",""อุทัยธานี!J130"")"),8)</f>
        <v>8</v>
      </c>
      <c r="K130" s="46">
        <f t="shared" ca="1" si="104"/>
        <v>0</v>
      </c>
      <c r="L130" s="45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ht="18.75" x14ac:dyDescent="0.25">
      <c r="A131" s="138"/>
      <c r="B131" s="139"/>
      <c r="C131" s="139"/>
      <c r="D131" s="179" t="s">
        <v>56</v>
      </c>
      <c r="E131" s="145"/>
      <c r="F131" s="145"/>
      <c r="G131" s="143"/>
      <c r="H131" s="157" t="s">
        <v>35</v>
      </c>
      <c r="I131" s="44"/>
      <c r="J131" s="44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ht="18.75" x14ac:dyDescent="0.25">
      <c r="A132" s="138"/>
      <c r="B132" s="139"/>
      <c r="C132" s="139"/>
      <c r="D132" s="179" t="s">
        <v>57</v>
      </c>
      <c r="E132" s="145"/>
      <c r="F132" s="145"/>
      <c r="G132" s="143"/>
      <c r="H132" s="180"/>
      <c r="I132" s="44"/>
      <c r="J132" s="44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</row>
    <row r="133" spans="1:21" ht="12.75" hidden="1" x14ac:dyDescent="0.2">
      <c r="A133" s="162"/>
      <c r="B133" s="163"/>
      <c r="C133" s="163"/>
      <c r="D133" s="18"/>
      <c r="E133" s="18"/>
      <c r="F133" s="18"/>
      <c r="G133" s="19"/>
      <c r="H133" s="181"/>
      <c r="I133" s="20"/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ht="19.5" x14ac:dyDescent="0.3">
      <c r="A134" s="118" t="s">
        <v>58</v>
      </c>
      <c r="B134" s="119"/>
      <c r="C134" s="168"/>
      <c r="D134" s="119"/>
      <c r="E134" s="119"/>
      <c r="F134" s="119"/>
      <c r="G134" s="119"/>
      <c r="H134" s="119"/>
      <c r="I134" s="169"/>
      <c r="J134" s="169"/>
      <c r="K134" s="170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8" t="s">
        <v>59</v>
      </c>
      <c r="C135" s="172"/>
      <c r="D135" s="125"/>
      <c r="E135" s="27"/>
      <c r="F135" s="27"/>
      <c r="G135" s="27"/>
      <c r="H135" s="27"/>
      <c r="I135" s="182"/>
      <c r="J135" s="32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1:21" ht="19.5" x14ac:dyDescent="0.3">
      <c r="A136" s="124"/>
      <c r="B136" s="27"/>
      <c r="C136" s="183" t="s">
        <v>60</v>
      </c>
      <c r="D136" s="125"/>
      <c r="E136" s="27"/>
      <c r="F136" s="27"/>
      <c r="G136" s="30"/>
      <c r="H136" s="126" t="s">
        <v>61</v>
      </c>
      <c r="I136" s="127">
        <f t="shared" ref="I136:J136" ca="1" si="105">I154</f>
        <v>15</v>
      </c>
      <c r="J136" s="127">
        <f t="shared" ca="1" si="105"/>
        <v>0</v>
      </c>
      <c r="K136" s="34">
        <f t="shared" ref="K136:K138" ca="1" si="106">IF(I136&gt;0,J136*100/I136,0)</f>
        <v>0</v>
      </c>
      <c r="L136" s="33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1:21" ht="19.5" x14ac:dyDescent="0.3">
      <c r="A137" s="124"/>
      <c r="B137" s="27"/>
      <c r="C137" s="183" t="s">
        <v>62</v>
      </c>
      <c r="D137" s="125"/>
      <c r="E137" s="27"/>
      <c r="F137" s="27"/>
      <c r="G137" s="30"/>
      <c r="H137" s="126" t="s">
        <v>35</v>
      </c>
      <c r="I137" s="127">
        <f t="shared" ref="I137:J137" ca="1" si="107">I152</f>
        <v>400</v>
      </c>
      <c r="J137" s="127">
        <f t="shared" ca="1" si="107"/>
        <v>234</v>
      </c>
      <c r="K137" s="34">
        <f t="shared" ca="1" si="106"/>
        <v>58.5</v>
      </c>
      <c r="L137" s="33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:21" ht="19.5" x14ac:dyDescent="0.3">
      <c r="A138" s="124"/>
      <c r="B138" s="27"/>
      <c r="C138" s="172"/>
      <c r="D138" s="125"/>
      <c r="E138" s="27"/>
      <c r="F138" s="27"/>
      <c r="G138" s="30"/>
      <c r="H138" s="126" t="s">
        <v>54</v>
      </c>
      <c r="I138" s="127">
        <f t="shared" ref="I138:J138" ca="1" si="108">I153</f>
        <v>40</v>
      </c>
      <c r="J138" s="127">
        <f t="shared" ca="1" si="108"/>
        <v>19</v>
      </c>
      <c r="K138" s="34">
        <f t="shared" ca="1" si="106"/>
        <v>47.5</v>
      </c>
      <c r="L138" s="33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1:21" ht="19.5" x14ac:dyDescent="0.3">
      <c r="A139" s="128"/>
      <c r="B139" s="40"/>
      <c r="C139" s="129" t="s">
        <v>18</v>
      </c>
      <c r="D139" s="130" t="s">
        <v>19</v>
      </c>
      <c r="E139" s="40"/>
      <c r="F139" s="40"/>
      <c r="G139" s="42"/>
      <c r="H139" s="131" t="s">
        <v>14</v>
      </c>
      <c r="I139" s="44"/>
      <c r="J139" s="44"/>
      <c r="K139" s="45"/>
      <c r="L139" s="132">
        <f t="shared" ref="L139:N139" ca="1" si="109">L140+L141</f>
        <v>1202200</v>
      </c>
      <c r="M139" s="132">
        <f t="shared" ca="1" si="109"/>
        <v>1147200</v>
      </c>
      <c r="N139" s="132">
        <f t="shared" ca="1" si="109"/>
        <v>758494.61</v>
      </c>
      <c r="O139" s="132">
        <f t="shared" ref="O139:O147" ca="1" si="110">IF(L139&gt;0,N139*100/L139,0)</f>
        <v>63.09221510563966</v>
      </c>
      <c r="P139" s="132">
        <f t="shared" ref="P139:P147" ca="1" si="111">IF(M139&gt;0,N139*100/M139,0)</f>
        <v>66.117033647140872</v>
      </c>
      <c r="Q139" s="132">
        <f t="shared" ref="Q139:S139" ca="1" si="112">Q140+Q141</f>
        <v>2451300</v>
      </c>
      <c r="R139" s="132">
        <f t="shared" ca="1" si="112"/>
        <v>0</v>
      </c>
      <c r="S139" s="132">
        <f t="shared" ca="1" si="112"/>
        <v>0</v>
      </c>
      <c r="T139" s="132">
        <f t="shared" ref="T139:T147" ca="1" si="113">IF(Q139&gt;0,S139*100/Q139,0)</f>
        <v>0</v>
      </c>
      <c r="U139" s="132">
        <f t="shared" ref="U139:U147" ca="1" si="114">IF(R139&gt;0,S139*100/R139,0)</f>
        <v>0</v>
      </c>
    </row>
    <row r="140" spans="1:21" ht="18.75" x14ac:dyDescent="0.25">
      <c r="A140" s="128"/>
      <c r="B140" s="40"/>
      <c r="C140" s="40"/>
      <c r="D140" s="40"/>
      <c r="E140" s="47" t="s">
        <v>20</v>
      </c>
      <c r="F140" s="40"/>
      <c r="G140" s="42"/>
      <c r="H140" s="133" t="s">
        <v>14</v>
      </c>
      <c r="I140" s="44"/>
      <c r="J140" s="44"/>
      <c r="K140" s="45"/>
      <c r="L140" s="46">
        <f t="shared" ref="L140:N140" ca="1" si="115">L143+L146</f>
        <v>0</v>
      </c>
      <c r="M140" s="46">
        <f t="shared" ca="1" si="115"/>
        <v>0</v>
      </c>
      <c r="N140" s="46">
        <f t="shared" ca="1" si="115"/>
        <v>0</v>
      </c>
      <c r="O140" s="46">
        <f t="shared" ca="1" si="110"/>
        <v>0</v>
      </c>
      <c r="P140" s="46">
        <f t="shared" ca="1" si="111"/>
        <v>0</v>
      </c>
      <c r="Q140" s="48">
        <f t="shared" ref="Q140:S140" ca="1" si="116">Q143+Q146</f>
        <v>0</v>
      </c>
      <c r="R140" s="48">
        <f t="shared" ca="1" si="116"/>
        <v>0</v>
      </c>
      <c r="S140" s="48">
        <f t="shared" ca="1" si="116"/>
        <v>0</v>
      </c>
      <c r="T140" s="48">
        <f t="shared" ca="1" si="113"/>
        <v>0</v>
      </c>
      <c r="U140" s="48">
        <f t="shared" ca="1" si="114"/>
        <v>0</v>
      </c>
    </row>
    <row r="141" spans="1:21" ht="18.75" x14ac:dyDescent="0.25">
      <c r="A141" s="128"/>
      <c r="B141" s="40"/>
      <c r="C141" s="40"/>
      <c r="D141" s="40"/>
      <c r="E141" s="47" t="s">
        <v>21</v>
      </c>
      <c r="F141" s="40"/>
      <c r="G141" s="42"/>
      <c r="H141" s="133" t="s">
        <v>14</v>
      </c>
      <c r="I141" s="44"/>
      <c r="J141" s="44"/>
      <c r="K141" s="45"/>
      <c r="L141" s="46">
        <f t="shared" ref="L141:N141" ca="1" si="117">L144+L147</f>
        <v>1202200</v>
      </c>
      <c r="M141" s="46">
        <f t="shared" ca="1" si="117"/>
        <v>1147200</v>
      </c>
      <c r="N141" s="46">
        <f t="shared" ca="1" si="117"/>
        <v>758494.61</v>
      </c>
      <c r="O141" s="46">
        <f t="shared" ca="1" si="110"/>
        <v>63.09221510563966</v>
      </c>
      <c r="P141" s="46">
        <f t="shared" ca="1" si="111"/>
        <v>66.117033647140872</v>
      </c>
      <c r="Q141" s="46">
        <f t="shared" ref="Q141:S141" ca="1" si="118">Q144+Q147</f>
        <v>2451300</v>
      </c>
      <c r="R141" s="46">
        <f t="shared" ca="1" si="118"/>
        <v>0</v>
      </c>
      <c r="S141" s="46">
        <f t="shared" ca="1" si="118"/>
        <v>0</v>
      </c>
      <c r="T141" s="46">
        <f t="shared" ca="1" si="113"/>
        <v>0</v>
      </c>
      <c r="U141" s="46">
        <f t="shared" ca="1" si="114"/>
        <v>0</v>
      </c>
    </row>
    <row r="142" spans="1:21" ht="18.75" x14ac:dyDescent="0.25">
      <c r="A142" s="128"/>
      <c r="B142" s="40"/>
      <c r="C142" s="40"/>
      <c r="D142" s="41" t="s">
        <v>22</v>
      </c>
      <c r="E142" s="40"/>
      <c r="F142" s="40"/>
      <c r="G142" s="42"/>
      <c r="H142" s="134" t="s">
        <v>14</v>
      </c>
      <c r="I142" s="135"/>
      <c r="J142" s="135"/>
      <c r="K142" s="136"/>
      <c r="L142" s="46">
        <f t="shared" ref="L142:N142" ca="1" si="119">L143+L144</f>
        <v>1202200</v>
      </c>
      <c r="M142" s="46">
        <f t="shared" ca="1" si="119"/>
        <v>1147200</v>
      </c>
      <c r="N142" s="46">
        <f t="shared" ca="1" si="119"/>
        <v>758494.61</v>
      </c>
      <c r="O142" s="46">
        <f t="shared" ca="1" si="110"/>
        <v>63.09221510563966</v>
      </c>
      <c r="P142" s="46">
        <f t="shared" ca="1" si="111"/>
        <v>66.117033647140872</v>
      </c>
      <c r="Q142" s="46">
        <f t="shared" ref="Q142:S142" ca="1" si="120">Q143+Q144</f>
        <v>2451300</v>
      </c>
      <c r="R142" s="46">
        <f t="shared" ca="1" si="120"/>
        <v>0</v>
      </c>
      <c r="S142" s="46">
        <f t="shared" ca="1" si="120"/>
        <v>0</v>
      </c>
      <c r="T142" s="46">
        <f t="shared" ca="1" si="113"/>
        <v>0</v>
      </c>
      <c r="U142" s="46">
        <f t="shared" ca="1" si="114"/>
        <v>0</v>
      </c>
    </row>
    <row r="143" spans="1:21" ht="18.75" x14ac:dyDescent="0.25">
      <c r="A143" s="128"/>
      <c r="B143" s="40"/>
      <c r="C143" s="40"/>
      <c r="D143" s="40"/>
      <c r="E143" s="47" t="s">
        <v>36</v>
      </c>
      <c r="F143" s="40"/>
      <c r="G143" s="42"/>
      <c r="H143" s="134" t="s">
        <v>14</v>
      </c>
      <c r="I143" s="135"/>
      <c r="J143" s="135"/>
      <c r="K143" s="136"/>
      <c r="L143" s="46">
        <f ca="1">IFERROR(__xludf.DUMMYFUNCTION("IMPORTRANGE(""https://docs.google.com/spreadsheets/d/1jTcq05yEiRwXcBMLjiodW9e4biSGYWAHcDj22rKWQ3s/edit?usp=sharing"",""กำแพงเพชร!L143"")+IMPORTRANGE(""https://docs.google.com/spreadsheets/d/1KS0zmDSZPk8KnTAbGN-Xk6MtX1YRZD0ldgdt20K4CRk/edit?usp=sharing"","&amp;"""เชียงราย!L143"")+IMPORTRANGE(""https://docs.google.com/spreadsheets/d/1rEDxBtusbi64tE0zunoIbsTVV16HeL0oJ6trHQeQ7K8/edit?usp=sharing"",""เชียงใหม่!L143"")+IMPORTRANGE(""https://docs.google.com/spreadsheets/d/1W6MnUbDkMi6xHnHko_XkFDO9kkuL6Wqyc-6OCDFjW9I/e"&amp;"dit?usp=sharing"",""ตาก!L143"")+IMPORTRANGE(""https://docs.google.com/spreadsheets/d/1IQAWArduLkta9LpYo4a_ULsyqdta6-6aDDiwpUnQT6c/edit?usp=sharing"",""นครสวรรค์!L143"")+IMPORTRANGE(""https://docs.google.com/spreadsheets/d/10s13Sk5xrltsiR-Zkbmk5DwIaDIKO8Xl"&amp;"bJAfqyT7Gvg/edit?usp=sharing"",""น่าน!L143"")+IMPORTRANGE(""https://docs.google.com/spreadsheets/d/1uu4nAn4Dbi1XREnLKKotUANlKXa7yCgRcgq8HEzQYW8/edit?usp=sharing"",""พะเยา!L143"")+IMPORTRANGE(""https://docs.google.com/spreadsheets/d/1xfJKIQxVOaPDIICqsflNlL"&amp;"u3JacTDk1FP9RH4phX7mI/edit?usp=sharing"",""พิจิตร!L143"")+IMPORTRANGE(""https://docs.google.com/spreadsheets/d/1JtRfZkJMHtEhI5RdRHxYUG4FIZHqKDpNyIuN7A1Q0_k/edit?usp=sharing"",""พิษณุโลก!L143"")+IMPORTRANGE(""https://docs.google.com/spreadsheets/d/1xlcVZWU"&amp;"Nn6SuWm0c307h32SiGkd9BaeQWlAktfD3KO8/edit?usp=sharing"",""เพชรบูรณ์!L143"")+IMPORTRANGE(""https://docs.google.com/spreadsheets/d/1lOVebEIsI9qjGXl6EX66luk7wiuP2tBaryw-wKvv4e0/edit?usp=sharing"",""แพร่!L143"")+IMPORTRANGE(""https://docs.google.com/spreadshe"&amp;"ets/d/1dQrvX0vEcN7Gu0fnZ0B5S90AeR19zth4XlExFBeExMY/edit?usp=sharing"",""แม่ฮ่องสอน!L143"")+IMPORTRANGE(""https://docs.google.com/spreadsheets/d/1DY4XTNNwjluuxqdfdn6qvOSlMRrZqUtmYcZR0ttFiG4/edit?usp=sharing"",""ลำปาง!L143"")+IMPORTRANGE(""https://docs.goog"&amp;"le.com/spreadsheets/d/1ICwG78r0OFT8biBlxnBF8r7she7gNSzOvJ958PWT09c/edit?usp=sharing"",""ลำพูน!L143"")+IMPORTRANGE(""https://docs.google.com/spreadsheets/d/1B0f2xJpZUC6Z0xXnqKlZtEPzsf6L84eP1r1Q15seqRM/edit?usp=sharing"",""สุโขทัย!L143"")+IMPORTRANGE(""http"&amp;"s://docs.google.com/spreadsheets/d/1v0b9pFQCsKUVExMei7AgY2yQkdeNQvtOssygGsXbiKo/edit?usp=sharing"",""อุตรดิตถ์!L143"")+IMPORTRANGE(""https://docs.google.com/spreadsheets/d/1UsNK1e-WWiCo2PvGqdNfdme4m17_Ezd3J69EeeiQPD0/edit?usp=sharing"",""อุทัยธานี!L143"")"),0)</f>
        <v>0</v>
      </c>
      <c r="M143" s="46">
        <f ca="1">IFERROR(__xludf.DUMMYFUNCTION("IMPORTRANGE(""https://docs.google.com/spreadsheets/d/1jTcq05yEiRwXcBMLjiodW9e4biSGYWAHcDj22rKWQ3s/edit?usp=sharing"",""กำแพงเพชร!M143"")+IMPORTRANGE(""https://docs.google.com/spreadsheets/d/1KS0zmDSZPk8KnTAbGN-Xk6MtX1YRZD0ldgdt20K4CRk/edit?usp=sharing"","&amp;"""เชียงราย!M143"")+IMPORTRANGE(""https://docs.google.com/spreadsheets/d/1rEDxBtusbi64tE0zunoIbsTVV16HeL0oJ6trHQeQ7K8/edit?usp=sharing"",""เชียงใหม่!M143"")+IMPORTRANGE(""https://docs.google.com/spreadsheets/d/1W6MnUbDkMi6xHnHko_XkFDO9kkuL6Wqyc-6OCDFjW9I/e"&amp;"dit?usp=sharing"",""ตาก!M143"")+IMPORTRANGE(""https://docs.google.com/spreadsheets/d/1IQAWArduLkta9LpYo4a_ULsyqdta6-6aDDiwpUnQT6c/edit?usp=sharing"",""นครสวรรค์!M143"")+IMPORTRANGE(""https://docs.google.com/spreadsheets/d/10s13Sk5xrltsiR-Zkbmk5DwIaDIKO8Xl"&amp;"bJAfqyT7Gvg/edit?usp=sharing"",""น่าน!M143"")+IMPORTRANGE(""https://docs.google.com/spreadsheets/d/1uu4nAn4Dbi1XREnLKKotUANlKXa7yCgRcgq8HEzQYW8/edit?usp=sharing"",""พะเยา!M143"")+IMPORTRANGE(""https://docs.google.com/spreadsheets/d/1xfJKIQxVOaPDIICqsflNlL"&amp;"u3JacTDk1FP9RH4phX7mI/edit?usp=sharing"",""พิจิตร!M143"")+IMPORTRANGE(""https://docs.google.com/spreadsheets/d/1JtRfZkJMHtEhI5RdRHxYUG4FIZHqKDpNyIuN7A1Q0_k/edit?usp=sharing"",""พิษณุโลก!M143"")+IMPORTRANGE(""https://docs.google.com/spreadsheets/d/1xlcVZWU"&amp;"Nn6SuWm0c307h32SiGkd9BaeQWlAktfD3KO8/edit?usp=sharing"",""เพชรบูรณ์!M143"")+IMPORTRANGE(""https://docs.google.com/spreadsheets/d/1lOVebEIsI9qjGXl6EX66luk7wiuP2tBaryw-wKvv4e0/edit?usp=sharing"",""แพร่!M143"")+IMPORTRANGE(""https://docs.google.com/spreadshe"&amp;"ets/d/1dQrvX0vEcN7Gu0fnZ0B5S90AeR19zth4XlExFBeExMY/edit?usp=sharing"",""แม่ฮ่องสอน!M143"")+IMPORTRANGE(""https://docs.google.com/spreadsheets/d/1DY4XTNNwjluuxqdfdn6qvOSlMRrZqUtmYcZR0ttFiG4/edit?usp=sharing"",""ลำปาง!M143"")+IMPORTRANGE(""https://docs.goog"&amp;"le.com/spreadsheets/d/1ICwG78r0OFT8biBlxnBF8r7she7gNSzOvJ958PWT09c/edit?usp=sharing"",""ลำพูน!M143"")+IMPORTRANGE(""https://docs.google.com/spreadsheets/d/1B0f2xJpZUC6Z0xXnqKlZtEPzsf6L84eP1r1Q15seqRM/edit?usp=sharing"",""สุโขทัย!M143"")+IMPORTRANGE(""http"&amp;"s://docs.google.com/spreadsheets/d/1v0b9pFQCsKUVExMei7AgY2yQkdeNQvtOssygGsXbiKo/edit?usp=sharing"",""อุตรดิตถ์!M143"")+IMPORTRANGE(""https://docs.google.com/spreadsheets/d/1UsNK1e-WWiCo2PvGqdNfdme4m17_Ezd3J69EeeiQPD0/edit?usp=sharing"",""อุทัยธานี!M143"")"),0)</f>
        <v>0</v>
      </c>
      <c r="N143" s="46">
        <f ca="1">IFERROR(__xludf.DUMMYFUNCTION("IMPORTRANGE(""https://docs.google.com/spreadsheets/d/1jTcq05yEiRwXcBMLjiodW9e4biSGYWAHcDj22rKWQ3s/edit?usp=sharing"",""กำแพงเพชร!N143"")+IMPORTRANGE(""https://docs.google.com/spreadsheets/d/1KS0zmDSZPk8KnTAbGN-Xk6MtX1YRZD0ldgdt20K4CRk/edit?usp=sharing"","&amp;"""เชียงราย!N143"")+IMPORTRANGE(""https://docs.google.com/spreadsheets/d/1rEDxBtusbi64tE0zunoIbsTVV16HeL0oJ6trHQeQ7K8/edit?usp=sharing"",""เชียงใหม่!N143"")+IMPORTRANGE(""https://docs.google.com/spreadsheets/d/1W6MnUbDkMi6xHnHko_XkFDO9kkuL6Wqyc-6OCDFjW9I/e"&amp;"dit?usp=sharing"",""ตาก!N143"")+IMPORTRANGE(""https://docs.google.com/spreadsheets/d/1IQAWArduLkta9LpYo4a_ULsyqdta6-6aDDiwpUnQT6c/edit?usp=sharing"",""นครสวรรค์!N143"")+IMPORTRANGE(""https://docs.google.com/spreadsheets/d/10s13Sk5xrltsiR-Zkbmk5DwIaDIKO8Xl"&amp;"bJAfqyT7Gvg/edit?usp=sharing"",""น่าน!N143"")+IMPORTRANGE(""https://docs.google.com/spreadsheets/d/1uu4nAn4Dbi1XREnLKKotUANlKXa7yCgRcgq8HEzQYW8/edit?usp=sharing"",""พะเยา!N143"")+IMPORTRANGE(""https://docs.google.com/spreadsheets/d/1xfJKIQxVOaPDIICqsflNlL"&amp;"u3JacTDk1FP9RH4phX7mI/edit?usp=sharing"",""พิจิตร!N143"")+IMPORTRANGE(""https://docs.google.com/spreadsheets/d/1JtRfZkJMHtEhI5RdRHxYUG4FIZHqKDpNyIuN7A1Q0_k/edit?usp=sharing"",""พิษณุโลก!N143"")+IMPORTRANGE(""https://docs.google.com/spreadsheets/d/1xlcVZWU"&amp;"Nn6SuWm0c307h32SiGkd9BaeQWlAktfD3KO8/edit?usp=sharing"",""เพชรบูรณ์!N143"")+IMPORTRANGE(""https://docs.google.com/spreadsheets/d/1lOVebEIsI9qjGXl6EX66luk7wiuP2tBaryw-wKvv4e0/edit?usp=sharing"",""แพร่!N143"")+IMPORTRANGE(""https://docs.google.com/spreadshe"&amp;"ets/d/1dQrvX0vEcN7Gu0fnZ0B5S90AeR19zth4XlExFBeExMY/edit?usp=sharing"",""แม่ฮ่องสอน!N143"")+IMPORTRANGE(""https://docs.google.com/spreadsheets/d/1DY4XTNNwjluuxqdfdn6qvOSlMRrZqUtmYcZR0ttFiG4/edit?usp=sharing"",""ลำปาง!N143"")+IMPORTRANGE(""https://docs.goog"&amp;"le.com/spreadsheets/d/1ICwG78r0OFT8biBlxnBF8r7she7gNSzOvJ958PWT09c/edit?usp=sharing"",""ลำพูน!N143"")+IMPORTRANGE(""https://docs.google.com/spreadsheets/d/1B0f2xJpZUC6Z0xXnqKlZtEPzsf6L84eP1r1Q15seqRM/edit?usp=sharing"",""สุโขทัย!N143"")+IMPORTRANGE(""http"&amp;"s://docs.google.com/spreadsheets/d/1v0b9pFQCsKUVExMei7AgY2yQkdeNQvtOssygGsXbiKo/edit?usp=sharing"",""อุตรดิตถ์!N143"")+IMPORTRANGE(""https://docs.google.com/spreadsheets/d/1UsNK1e-WWiCo2PvGqdNfdme4m17_Ezd3J69EeeiQPD0/edit?usp=sharing"",""อุทัยธานี!N143"")"),0)</f>
        <v>0</v>
      </c>
      <c r="O143" s="46">
        <f t="shared" ca="1" si="110"/>
        <v>0</v>
      </c>
      <c r="P143" s="46">
        <f t="shared" ca="1" si="111"/>
        <v>0</v>
      </c>
      <c r="Q143" s="48">
        <f ca="1">IFERROR(__xludf.DUMMYFUNCTION("IMPORTRANGE(""https://docs.google.com/spreadsheets/d/1jTcq05yEiRwXcBMLjiodW9e4biSGYWAHcDj22rKWQ3s/edit?usp=sharing"",""กำแพงเพชร!Q143"")+IMPORTRANGE(""https://docs.google.com/spreadsheets/d/1KS0zmDSZPk8KnTAbGN-Xk6MtX1YRZD0ldgdt20K4CRk/edit?usp=sharing"","&amp;"""เชียงราย!Q143"")+IMPORTRANGE(""https://docs.google.com/spreadsheets/d/1rEDxBtusbi64tE0zunoIbsTVV16HeL0oJ6trHQeQ7K8/edit?usp=sharing"",""เชียงใหม่!Q143"")+IMPORTRANGE(""https://docs.google.com/spreadsheets/d/1W6MnUbDkMi6xHnHko_XkFDO9kkuL6Wqyc-6OCDFjW9I/e"&amp;"dit?usp=sharing"",""ตาก!Q143"")+IMPORTRANGE(""https://docs.google.com/spreadsheets/d/1IQAWArduLkta9LpYo4a_ULsyqdta6-6aDDiwpUnQT6c/edit?usp=sharing"",""นครสวรรค์!Q143"")+IMPORTRANGE(""https://docs.google.com/spreadsheets/d/10s13Sk5xrltsiR-Zkbmk5DwIaDIKO8Xl"&amp;"bJAfqyT7Gvg/edit?usp=sharing"",""น่าน!Q143"")+IMPORTRANGE(""https://docs.google.com/spreadsheets/d/1uu4nAn4Dbi1XREnLKKotUANlKXa7yCgRcgq8HEzQYW8/edit?usp=sharing"",""พะเยา!Q143"")+IMPORTRANGE(""https://docs.google.com/spreadsheets/d/1xfJKIQxVOaPDIICqsflNlL"&amp;"u3JacTDk1FP9RH4phX7mI/edit?usp=sharing"",""พิจิตร!Q143"")+IMPORTRANGE(""https://docs.google.com/spreadsheets/d/1JtRfZkJMHtEhI5RdRHxYUG4FIZHqKDpNyIuN7A1Q0_k/edit?usp=sharing"",""พิษณุโลก!Q143"")+IMPORTRANGE(""https://docs.google.com/spreadsheets/d/1xlcVZWU"&amp;"Nn6SuWm0c307h32SiGkd9BaeQWlAktfD3KO8/edit?usp=sharing"",""เพชรบูรณ์!Q143"")+IMPORTRANGE(""https://docs.google.com/spreadsheets/d/1lOVebEIsI9qjGXl6EX66luk7wiuP2tBaryw-wKvv4e0/edit?usp=sharing"",""แพร่!Q143"")+IMPORTRANGE(""https://docs.google.com/spreadshe"&amp;"ets/d/1dQrvX0vEcN7Gu0fnZ0B5S90AeR19zth4XlExFBeExMY/edit?usp=sharing"",""แม่ฮ่องสอน!Q143"")+IMPORTRANGE(""https://docs.google.com/spreadsheets/d/1DY4XTNNwjluuxqdfdn6qvOSlMRrZqUtmYcZR0ttFiG4/edit?usp=sharing"",""ลำปาง!Q143"")+IMPORTRANGE(""https://docs.goog"&amp;"le.com/spreadsheets/d/1ICwG78r0OFT8biBlxnBF8r7she7gNSzOvJ958PWT09c/edit?usp=sharing"",""ลำพูน!Q143"")+IMPORTRANGE(""https://docs.google.com/spreadsheets/d/1B0f2xJpZUC6Z0xXnqKlZtEPzsf6L84eP1r1Q15seqRM/edit?usp=sharing"",""สุโขทัย!Q143"")+IMPORTRANGE(""http"&amp;"s://docs.google.com/spreadsheets/d/1v0b9pFQCsKUVExMei7AgY2yQkdeNQvtOssygGsXbiKo/edit?usp=sharing"",""อุตรดิตถ์!Q143"")+IMPORTRANGE(""https://docs.google.com/spreadsheets/d/1UsNK1e-WWiCo2PvGqdNfdme4m17_Ezd3J69EeeiQPD0/edit?usp=sharing"",""อุทัยธานี!Q143"")"),0)</f>
        <v>0</v>
      </c>
      <c r="R143" s="48">
        <f ca="1">IFERROR(__xludf.DUMMYFUNCTION("IMPORTRANGE(""https://docs.google.com/spreadsheets/d/1jTcq05yEiRwXcBMLjiodW9e4biSGYWAHcDj22rKWQ3s/edit?usp=sharing"",""กำแพงเพชร!R143"")+IMPORTRANGE(""https://docs.google.com/spreadsheets/d/1KS0zmDSZPk8KnTAbGN-Xk6MtX1YRZD0ldgdt20K4CRk/edit?usp=sharing"","&amp;"""เชียงราย!R143"")+IMPORTRANGE(""https://docs.google.com/spreadsheets/d/1rEDxBtusbi64tE0zunoIbsTVV16HeL0oJ6trHQeQ7K8/edit?usp=sharing"",""เชียงใหม่!R143"")+IMPORTRANGE(""https://docs.google.com/spreadsheets/d/1W6MnUbDkMi6xHnHko_XkFDO9kkuL6Wqyc-6OCDFjW9I/e"&amp;"dit?usp=sharing"",""ตาก!R143"")+IMPORTRANGE(""https://docs.google.com/spreadsheets/d/1IQAWArduLkta9LpYo4a_ULsyqdta6-6aDDiwpUnQT6c/edit?usp=sharing"",""นครสวรรค์!R143"")+IMPORTRANGE(""https://docs.google.com/spreadsheets/d/10s13Sk5xrltsiR-Zkbmk5DwIaDIKO8Xl"&amp;"bJAfqyT7Gvg/edit?usp=sharing"",""น่าน!R143"")+IMPORTRANGE(""https://docs.google.com/spreadsheets/d/1uu4nAn4Dbi1XREnLKKotUANlKXa7yCgRcgq8HEzQYW8/edit?usp=sharing"",""พะเยา!R143"")+IMPORTRANGE(""https://docs.google.com/spreadsheets/d/1xfJKIQxVOaPDIICqsflNlL"&amp;"u3JacTDk1FP9RH4phX7mI/edit?usp=sharing"",""พิจิตร!R143"")+IMPORTRANGE(""https://docs.google.com/spreadsheets/d/1JtRfZkJMHtEhI5RdRHxYUG4FIZHqKDpNyIuN7A1Q0_k/edit?usp=sharing"",""พิษณุโลก!R143"")+IMPORTRANGE(""https://docs.google.com/spreadsheets/d/1xlcVZWU"&amp;"Nn6SuWm0c307h32SiGkd9BaeQWlAktfD3KO8/edit?usp=sharing"",""เพชรบูรณ์!R143"")+IMPORTRANGE(""https://docs.google.com/spreadsheets/d/1lOVebEIsI9qjGXl6EX66luk7wiuP2tBaryw-wKvv4e0/edit?usp=sharing"",""แพร่!R143"")+IMPORTRANGE(""https://docs.google.com/spreadshe"&amp;"ets/d/1dQrvX0vEcN7Gu0fnZ0B5S90AeR19zth4XlExFBeExMY/edit?usp=sharing"",""แม่ฮ่องสอน!R143"")+IMPORTRANGE(""https://docs.google.com/spreadsheets/d/1DY4XTNNwjluuxqdfdn6qvOSlMRrZqUtmYcZR0ttFiG4/edit?usp=sharing"",""ลำปาง!R143"")+IMPORTRANGE(""https://docs.goog"&amp;"le.com/spreadsheets/d/1ICwG78r0OFT8biBlxnBF8r7she7gNSzOvJ958PWT09c/edit?usp=sharing"",""ลำพูน!R143"")+IMPORTRANGE(""https://docs.google.com/spreadsheets/d/1B0f2xJpZUC6Z0xXnqKlZtEPzsf6L84eP1r1Q15seqRM/edit?usp=sharing"",""สุโขทัย!R143"")+IMPORTRANGE(""http"&amp;"s://docs.google.com/spreadsheets/d/1v0b9pFQCsKUVExMei7AgY2yQkdeNQvtOssygGsXbiKo/edit?usp=sharing"",""อุตรดิตถ์!R143"")+IMPORTRANGE(""https://docs.google.com/spreadsheets/d/1UsNK1e-WWiCo2PvGqdNfdme4m17_Ezd3J69EeeiQPD0/edit?usp=sharing"",""อุทัยธานี!R143"")"),0)</f>
        <v>0</v>
      </c>
      <c r="S143" s="48">
        <f ca="1">IFERROR(__xludf.DUMMYFUNCTION("IMPORTRANGE(""https://docs.google.com/spreadsheets/d/1jTcq05yEiRwXcBMLjiodW9e4biSGYWAHcDj22rKWQ3s/edit?usp=sharing"",""กำแพงเพชร!S143"")+IMPORTRANGE(""https://docs.google.com/spreadsheets/d/1KS0zmDSZPk8KnTAbGN-Xk6MtX1YRZD0ldgdt20K4CRk/edit?usp=sharing"","&amp;"""เชียงราย!S143"")+IMPORTRANGE(""https://docs.google.com/spreadsheets/d/1rEDxBtusbi64tE0zunoIbsTVV16HeL0oJ6trHQeQ7K8/edit?usp=sharing"",""เชียงใหม่!S143"")+IMPORTRANGE(""https://docs.google.com/spreadsheets/d/1W6MnUbDkMi6xHnHko_XkFDO9kkuL6Wqyc-6OCDFjW9I/e"&amp;"dit?usp=sharing"",""ตาก!S143"")+IMPORTRANGE(""https://docs.google.com/spreadsheets/d/1IQAWArduLkta9LpYo4a_ULsyqdta6-6aDDiwpUnQT6c/edit?usp=sharing"",""นครสวรรค์!S143"")+IMPORTRANGE(""https://docs.google.com/spreadsheets/d/10s13Sk5xrltsiR-Zkbmk5DwIaDIKO8Xl"&amp;"bJAfqyT7Gvg/edit?usp=sharing"",""น่าน!S143"")+IMPORTRANGE(""https://docs.google.com/spreadsheets/d/1uu4nAn4Dbi1XREnLKKotUANlKXa7yCgRcgq8HEzQYW8/edit?usp=sharing"",""พะเยา!S143"")+IMPORTRANGE(""https://docs.google.com/spreadsheets/d/1xfJKIQxVOaPDIICqsflNlL"&amp;"u3JacTDk1FP9RH4phX7mI/edit?usp=sharing"",""พิจิตร!S143"")+IMPORTRANGE(""https://docs.google.com/spreadsheets/d/1JtRfZkJMHtEhI5RdRHxYUG4FIZHqKDpNyIuN7A1Q0_k/edit?usp=sharing"",""พิษณุโลก!S143"")+IMPORTRANGE(""https://docs.google.com/spreadsheets/d/1xlcVZWU"&amp;"Nn6SuWm0c307h32SiGkd9BaeQWlAktfD3KO8/edit?usp=sharing"",""เพชรบูรณ์!S143"")+IMPORTRANGE(""https://docs.google.com/spreadsheets/d/1lOVebEIsI9qjGXl6EX66luk7wiuP2tBaryw-wKvv4e0/edit?usp=sharing"",""แพร่!S143"")+IMPORTRANGE(""https://docs.google.com/spreadshe"&amp;"ets/d/1dQrvX0vEcN7Gu0fnZ0B5S90AeR19zth4XlExFBeExMY/edit?usp=sharing"",""แม่ฮ่องสอน!S143"")+IMPORTRANGE(""https://docs.google.com/spreadsheets/d/1DY4XTNNwjluuxqdfdn6qvOSlMRrZqUtmYcZR0ttFiG4/edit?usp=sharing"",""ลำปาง!S143"")+IMPORTRANGE(""https://docs.goog"&amp;"le.com/spreadsheets/d/1ICwG78r0OFT8biBlxnBF8r7she7gNSzOvJ958PWT09c/edit?usp=sharing"",""ลำพูน!S143"")+IMPORTRANGE(""https://docs.google.com/spreadsheets/d/1B0f2xJpZUC6Z0xXnqKlZtEPzsf6L84eP1r1Q15seqRM/edit?usp=sharing"",""สุโขทัย!S143"")+IMPORTRANGE(""http"&amp;"s://docs.google.com/spreadsheets/d/1v0b9pFQCsKUVExMei7AgY2yQkdeNQvtOssygGsXbiKo/edit?usp=sharing"",""อุตรดิตถ์!S143"")+IMPORTRANGE(""https://docs.google.com/spreadsheets/d/1UsNK1e-WWiCo2PvGqdNfdme4m17_Ezd3J69EeeiQPD0/edit?usp=sharing"",""อุทัยธานี!S143"")"),0)</f>
        <v>0</v>
      </c>
      <c r="T143" s="48">
        <f t="shared" ca="1" si="113"/>
        <v>0</v>
      </c>
      <c r="U143" s="48">
        <f t="shared" ca="1" si="114"/>
        <v>0</v>
      </c>
    </row>
    <row r="144" spans="1:21" ht="18.75" x14ac:dyDescent="0.25">
      <c r="A144" s="128"/>
      <c r="B144" s="40"/>
      <c r="C144" s="40"/>
      <c r="D144" s="40"/>
      <c r="E144" s="47" t="s">
        <v>37</v>
      </c>
      <c r="F144" s="40"/>
      <c r="G144" s="42"/>
      <c r="H144" s="134" t="s">
        <v>14</v>
      </c>
      <c r="I144" s="135"/>
      <c r="J144" s="135"/>
      <c r="K144" s="136"/>
      <c r="L144" s="46">
        <f ca="1">IFERROR(__xludf.DUMMYFUNCTION("IMPORTRANGE(""https://docs.google.com/spreadsheets/d/1jTcq05yEiRwXcBMLjiodW9e4biSGYWAHcDj22rKWQ3s/edit?usp=sharing"",""กำแพงเพชร!L144"")+IMPORTRANGE(""https://docs.google.com/spreadsheets/d/1KS0zmDSZPk8KnTAbGN-Xk6MtX1YRZD0ldgdt20K4CRk/edit?usp=sharing"","&amp;"""เชียงราย!L144"")+IMPORTRANGE(""https://docs.google.com/spreadsheets/d/1rEDxBtusbi64tE0zunoIbsTVV16HeL0oJ6trHQeQ7K8/edit?usp=sharing"",""เชียงใหม่!L144"")+IMPORTRANGE(""https://docs.google.com/spreadsheets/d/1W6MnUbDkMi6xHnHko_XkFDO9kkuL6Wqyc-6OCDFjW9I/e"&amp;"dit?usp=sharing"",""ตาก!L144"")+IMPORTRANGE(""https://docs.google.com/spreadsheets/d/1IQAWArduLkta9LpYo4a_ULsyqdta6-6aDDiwpUnQT6c/edit?usp=sharing"",""นครสวรรค์!L144"")+IMPORTRANGE(""https://docs.google.com/spreadsheets/d/10s13Sk5xrltsiR-Zkbmk5DwIaDIKO8Xl"&amp;"bJAfqyT7Gvg/edit?usp=sharing"",""น่าน!L144"")+IMPORTRANGE(""https://docs.google.com/spreadsheets/d/1uu4nAn4Dbi1XREnLKKotUANlKXa7yCgRcgq8HEzQYW8/edit?usp=sharing"",""พะเยา!L144"")+IMPORTRANGE(""https://docs.google.com/spreadsheets/d/1xfJKIQxVOaPDIICqsflNlL"&amp;"u3JacTDk1FP9RH4phX7mI/edit?usp=sharing"",""พิจิตร!L144"")+IMPORTRANGE(""https://docs.google.com/spreadsheets/d/1JtRfZkJMHtEhI5RdRHxYUG4FIZHqKDpNyIuN7A1Q0_k/edit?usp=sharing"",""พิษณุโลก!L144"")+IMPORTRANGE(""https://docs.google.com/spreadsheets/d/1xlcVZWU"&amp;"Nn6SuWm0c307h32SiGkd9BaeQWlAktfD3KO8/edit?usp=sharing"",""เพชรบูรณ์!L144"")+IMPORTRANGE(""https://docs.google.com/spreadsheets/d/1lOVebEIsI9qjGXl6EX66luk7wiuP2tBaryw-wKvv4e0/edit?usp=sharing"",""แพร่!L144"")+IMPORTRANGE(""https://docs.google.com/spreadshe"&amp;"ets/d/1dQrvX0vEcN7Gu0fnZ0B5S90AeR19zth4XlExFBeExMY/edit?usp=sharing"",""แม่ฮ่องสอน!L144"")+IMPORTRANGE(""https://docs.google.com/spreadsheets/d/1DY4XTNNwjluuxqdfdn6qvOSlMRrZqUtmYcZR0ttFiG4/edit?usp=sharing"",""ลำปาง!L144"")+IMPORTRANGE(""https://docs.goog"&amp;"le.com/spreadsheets/d/1ICwG78r0OFT8biBlxnBF8r7she7gNSzOvJ958PWT09c/edit?usp=sharing"",""ลำพูน!L144"")+IMPORTRANGE(""https://docs.google.com/spreadsheets/d/1B0f2xJpZUC6Z0xXnqKlZtEPzsf6L84eP1r1Q15seqRM/edit?usp=sharing"",""สุโขทัย!L144"")+IMPORTRANGE(""http"&amp;"s://docs.google.com/spreadsheets/d/1v0b9pFQCsKUVExMei7AgY2yQkdeNQvtOssygGsXbiKo/edit?usp=sharing"",""อุตรดิตถ์!L144"")+IMPORTRANGE(""https://docs.google.com/spreadsheets/d/1UsNK1e-WWiCo2PvGqdNfdme4m17_Ezd3J69EeeiQPD0/edit?usp=sharing"",""อุทัยธานี!L144"")"),1202200)</f>
        <v>1202200</v>
      </c>
      <c r="M144" s="46">
        <f ca="1">IFERROR(__xludf.DUMMYFUNCTION("IMPORTRANGE(""https://docs.google.com/spreadsheets/d/1jTcq05yEiRwXcBMLjiodW9e4biSGYWAHcDj22rKWQ3s/edit?usp=sharing"",""กำแพงเพชร!M144"")+IMPORTRANGE(""https://docs.google.com/spreadsheets/d/1KS0zmDSZPk8KnTAbGN-Xk6MtX1YRZD0ldgdt20K4CRk/edit?usp=sharing"","&amp;"""เชียงราย!M144"")+IMPORTRANGE(""https://docs.google.com/spreadsheets/d/1rEDxBtusbi64tE0zunoIbsTVV16HeL0oJ6trHQeQ7K8/edit?usp=sharing"",""เชียงใหม่!M144"")+IMPORTRANGE(""https://docs.google.com/spreadsheets/d/1W6MnUbDkMi6xHnHko_XkFDO9kkuL6Wqyc-6OCDFjW9I/e"&amp;"dit?usp=sharing"",""ตาก!M144"")+IMPORTRANGE(""https://docs.google.com/spreadsheets/d/1IQAWArduLkta9LpYo4a_ULsyqdta6-6aDDiwpUnQT6c/edit?usp=sharing"",""นครสวรรค์!M144"")+IMPORTRANGE(""https://docs.google.com/spreadsheets/d/10s13Sk5xrltsiR-Zkbmk5DwIaDIKO8Xl"&amp;"bJAfqyT7Gvg/edit?usp=sharing"",""น่าน!M144"")+IMPORTRANGE(""https://docs.google.com/spreadsheets/d/1uu4nAn4Dbi1XREnLKKotUANlKXa7yCgRcgq8HEzQYW8/edit?usp=sharing"",""พะเยา!M144"")+IMPORTRANGE(""https://docs.google.com/spreadsheets/d/1xfJKIQxVOaPDIICqsflNlL"&amp;"u3JacTDk1FP9RH4phX7mI/edit?usp=sharing"",""พิจิตร!M144"")+IMPORTRANGE(""https://docs.google.com/spreadsheets/d/1JtRfZkJMHtEhI5RdRHxYUG4FIZHqKDpNyIuN7A1Q0_k/edit?usp=sharing"",""พิษณุโลก!M144"")+IMPORTRANGE(""https://docs.google.com/spreadsheets/d/1xlcVZWU"&amp;"Nn6SuWm0c307h32SiGkd9BaeQWlAktfD3KO8/edit?usp=sharing"",""เพชรบูรณ์!M144"")+IMPORTRANGE(""https://docs.google.com/spreadsheets/d/1lOVebEIsI9qjGXl6EX66luk7wiuP2tBaryw-wKvv4e0/edit?usp=sharing"",""แพร่!M144"")+IMPORTRANGE(""https://docs.google.com/spreadshe"&amp;"ets/d/1dQrvX0vEcN7Gu0fnZ0B5S90AeR19zth4XlExFBeExMY/edit?usp=sharing"",""แม่ฮ่องสอน!M144"")+IMPORTRANGE(""https://docs.google.com/spreadsheets/d/1DY4XTNNwjluuxqdfdn6qvOSlMRrZqUtmYcZR0ttFiG4/edit?usp=sharing"",""ลำปาง!M144"")+IMPORTRANGE(""https://docs.goog"&amp;"le.com/spreadsheets/d/1ICwG78r0OFT8biBlxnBF8r7she7gNSzOvJ958PWT09c/edit?usp=sharing"",""ลำพูน!M144"")+IMPORTRANGE(""https://docs.google.com/spreadsheets/d/1B0f2xJpZUC6Z0xXnqKlZtEPzsf6L84eP1r1Q15seqRM/edit?usp=sharing"",""สุโขทัย!M144"")+IMPORTRANGE(""http"&amp;"s://docs.google.com/spreadsheets/d/1v0b9pFQCsKUVExMei7AgY2yQkdeNQvtOssygGsXbiKo/edit?usp=sharing"",""อุตรดิตถ์!M144"")+IMPORTRANGE(""https://docs.google.com/spreadsheets/d/1UsNK1e-WWiCo2PvGqdNfdme4m17_Ezd3J69EeeiQPD0/edit?usp=sharing"",""อุทัยธานี!M144"")"),1147200)</f>
        <v>1147200</v>
      </c>
      <c r="N144" s="46">
        <f ca="1">IFERROR(__xludf.DUMMYFUNCTION("IMPORTRANGE(""https://docs.google.com/spreadsheets/d/1jTcq05yEiRwXcBMLjiodW9e4biSGYWAHcDj22rKWQ3s/edit?usp=sharing"",""กำแพงเพชร!N144"")+IMPORTRANGE(""https://docs.google.com/spreadsheets/d/1KS0zmDSZPk8KnTAbGN-Xk6MtX1YRZD0ldgdt20K4CRk/edit?usp=sharing"","&amp;"""เชียงราย!N144"")+IMPORTRANGE(""https://docs.google.com/spreadsheets/d/1rEDxBtusbi64tE0zunoIbsTVV16HeL0oJ6trHQeQ7K8/edit?usp=sharing"",""เชียงใหม่!N144"")+IMPORTRANGE(""https://docs.google.com/spreadsheets/d/1W6MnUbDkMi6xHnHko_XkFDO9kkuL6Wqyc-6OCDFjW9I/e"&amp;"dit?usp=sharing"",""ตาก!N144"")+IMPORTRANGE(""https://docs.google.com/spreadsheets/d/1IQAWArduLkta9LpYo4a_ULsyqdta6-6aDDiwpUnQT6c/edit?usp=sharing"",""นครสวรรค์!N144"")+IMPORTRANGE(""https://docs.google.com/spreadsheets/d/10s13Sk5xrltsiR-Zkbmk5DwIaDIKO8Xl"&amp;"bJAfqyT7Gvg/edit?usp=sharing"",""น่าน!N144"")+IMPORTRANGE(""https://docs.google.com/spreadsheets/d/1uu4nAn4Dbi1XREnLKKotUANlKXa7yCgRcgq8HEzQYW8/edit?usp=sharing"",""พะเยา!N144"")+IMPORTRANGE(""https://docs.google.com/spreadsheets/d/1xfJKIQxVOaPDIICqsflNlL"&amp;"u3JacTDk1FP9RH4phX7mI/edit?usp=sharing"",""พิจิตร!N144"")+IMPORTRANGE(""https://docs.google.com/spreadsheets/d/1JtRfZkJMHtEhI5RdRHxYUG4FIZHqKDpNyIuN7A1Q0_k/edit?usp=sharing"",""พิษณุโลก!N144"")+IMPORTRANGE(""https://docs.google.com/spreadsheets/d/1xlcVZWU"&amp;"Nn6SuWm0c307h32SiGkd9BaeQWlAktfD3KO8/edit?usp=sharing"",""เพชรบูรณ์!N144"")+IMPORTRANGE(""https://docs.google.com/spreadsheets/d/1lOVebEIsI9qjGXl6EX66luk7wiuP2tBaryw-wKvv4e0/edit?usp=sharing"",""แพร่!N144"")+IMPORTRANGE(""https://docs.google.com/spreadshe"&amp;"ets/d/1dQrvX0vEcN7Gu0fnZ0B5S90AeR19zth4XlExFBeExMY/edit?usp=sharing"",""แม่ฮ่องสอน!N144"")+IMPORTRANGE(""https://docs.google.com/spreadsheets/d/1DY4XTNNwjluuxqdfdn6qvOSlMRrZqUtmYcZR0ttFiG4/edit?usp=sharing"",""ลำปาง!N144"")+IMPORTRANGE(""https://docs.goog"&amp;"le.com/spreadsheets/d/1ICwG78r0OFT8biBlxnBF8r7she7gNSzOvJ958PWT09c/edit?usp=sharing"",""ลำพูน!N144"")+IMPORTRANGE(""https://docs.google.com/spreadsheets/d/1B0f2xJpZUC6Z0xXnqKlZtEPzsf6L84eP1r1Q15seqRM/edit?usp=sharing"",""สุโขทัย!N144"")+IMPORTRANGE(""http"&amp;"s://docs.google.com/spreadsheets/d/1v0b9pFQCsKUVExMei7AgY2yQkdeNQvtOssygGsXbiKo/edit?usp=sharing"",""อุตรดิตถ์!N144"")+IMPORTRANGE(""https://docs.google.com/spreadsheets/d/1UsNK1e-WWiCo2PvGqdNfdme4m17_Ezd3J69EeeiQPD0/edit?usp=sharing"",""อุทัยธานี!N144"")"),758494.61)</f>
        <v>758494.61</v>
      </c>
      <c r="O144" s="46">
        <f t="shared" ca="1" si="110"/>
        <v>63.09221510563966</v>
      </c>
      <c r="P144" s="46">
        <f t="shared" ca="1" si="111"/>
        <v>66.117033647140872</v>
      </c>
      <c r="Q144" s="46">
        <f ca="1">IFERROR(__xludf.DUMMYFUNCTION("IMPORTRANGE(""https://docs.google.com/spreadsheets/d/1jTcq05yEiRwXcBMLjiodW9e4biSGYWAHcDj22rKWQ3s/edit?usp=sharing"",""กำแพงเพชร!Q144"")+IMPORTRANGE(""https://docs.google.com/spreadsheets/d/1KS0zmDSZPk8KnTAbGN-Xk6MtX1YRZD0ldgdt20K4CRk/edit?usp=sharing"","&amp;"""เชียงราย!Q144"")+IMPORTRANGE(""https://docs.google.com/spreadsheets/d/1rEDxBtusbi64tE0zunoIbsTVV16HeL0oJ6trHQeQ7K8/edit?usp=sharing"",""เชียงใหม่!Q144"")+IMPORTRANGE(""https://docs.google.com/spreadsheets/d/1W6MnUbDkMi6xHnHko_XkFDO9kkuL6Wqyc-6OCDFjW9I/e"&amp;"dit?usp=sharing"",""ตาก!Q144"")+IMPORTRANGE(""https://docs.google.com/spreadsheets/d/1IQAWArduLkta9LpYo4a_ULsyqdta6-6aDDiwpUnQT6c/edit?usp=sharing"",""นครสวรรค์!Q144"")+IMPORTRANGE(""https://docs.google.com/spreadsheets/d/10s13Sk5xrltsiR-Zkbmk5DwIaDIKO8Xl"&amp;"bJAfqyT7Gvg/edit?usp=sharing"",""น่าน!Q144"")+IMPORTRANGE(""https://docs.google.com/spreadsheets/d/1uu4nAn4Dbi1XREnLKKotUANlKXa7yCgRcgq8HEzQYW8/edit?usp=sharing"",""พะเยา!Q144"")+IMPORTRANGE(""https://docs.google.com/spreadsheets/d/1xfJKIQxVOaPDIICqsflNlL"&amp;"u3JacTDk1FP9RH4phX7mI/edit?usp=sharing"",""พิจิตร!Q144"")+IMPORTRANGE(""https://docs.google.com/spreadsheets/d/1JtRfZkJMHtEhI5RdRHxYUG4FIZHqKDpNyIuN7A1Q0_k/edit?usp=sharing"",""พิษณุโลก!Q144"")+IMPORTRANGE(""https://docs.google.com/spreadsheets/d/1xlcVZWU"&amp;"Nn6SuWm0c307h32SiGkd9BaeQWlAktfD3KO8/edit?usp=sharing"",""เพชรบูรณ์!Q144"")+IMPORTRANGE(""https://docs.google.com/spreadsheets/d/1lOVebEIsI9qjGXl6EX66luk7wiuP2tBaryw-wKvv4e0/edit?usp=sharing"",""แพร่!Q144"")+IMPORTRANGE(""https://docs.google.com/spreadshe"&amp;"ets/d/1dQrvX0vEcN7Gu0fnZ0B5S90AeR19zth4XlExFBeExMY/edit?usp=sharing"",""แม่ฮ่องสอน!Q144"")+IMPORTRANGE(""https://docs.google.com/spreadsheets/d/1DY4XTNNwjluuxqdfdn6qvOSlMRrZqUtmYcZR0ttFiG4/edit?usp=sharing"",""ลำปาง!Q144"")+IMPORTRANGE(""https://docs.goog"&amp;"le.com/spreadsheets/d/1ICwG78r0OFT8biBlxnBF8r7she7gNSzOvJ958PWT09c/edit?usp=sharing"",""ลำพูน!Q144"")+IMPORTRANGE(""https://docs.google.com/spreadsheets/d/1B0f2xJpZUC6Z0xXnqKlZtEPzsf6L84eP1r1Q15seqRM/edit?usp=sharing"",""สุโขทัย!Q144"")+IMPORTRANGE(""http"&amp;"s://docs.google.com/spreadsheets/d/1v0b9pFQCsKUVExMei7AgY2yQkdeNQvtOssygGsXbiKo/edit?usp=sharing"",""อุตรดิตถ์!Q144"")+IMPORTRANGE(""https://docs.google.com/spreadsheets/d/1UsNK1e-WWiCo2PvGqdNfdme4m17_Ezd3J69EeeiQPD0/edit?usp=sharing"",""อุทัยธานี!Q144"")"),2451300)</f>
        <v>2451300</v>
      </c>
      <c r="R144" s="46">
        <f ca="1">IFERROR(__xludf.DUMMYFUNCTION("IMPORTRANGE(""https://docs.google.com/spreadsheets/d/1jTcq05yEiRwXcBMLjiodW9e4biSGYWAHcDj22rKWQ3s/edit?usp=sharing"",""กำแพงเพชร!R144"")+IMPORTRANGE(""https://docs.google.com/spreadsheets/d/1KS0zmDSZPk8KnTAbGN-Xk6MtX1YRZD0ldgdt20K4CRk/edit?usp=sharing"","&amp;"""เชียงราย!R144"")+IMPORTRANGE(""https://docs.google.com/spreadsheets/d/1rEDxBtusbi64tE0zunoIbsTVV16HeL0oJ6trHQeQ7K8/edit?usp=sharing"",""เชียงใหม่!R144"")+IMPORTRANGE(""https://docs.google.com/spreadsheets/d/1W6MnUbDkMi6xHnHko_XkFDO9kkuL6Wqyc-6OCDFjW9I/e"&amp;"dit?usp=sharing"",""ตาก!R144"")+IMPORTRANGE(""https://docs.google.com/spreadsheets/d/1IQAWArduLkta9LpYo4a_ULsyqdta6-6aDDiwpUnQT6c/edit?usp=sharing"",""นครสวรรค์!R144"")+IMPORTRANGE(""https://docs.google.com/spreadsheets/d/10s13Sk5xrltsiR-Zkbmk5DwIaDIKO8Xl"&amp;"bJAfqyT7Gvg/edit?usp=sharing"",""น่าน!R144"")+IMPORTRANGE(""https://docs.google.com/spreadsheets/d/1uu4nAn4Dbi1XREnLKKotUANlKXa7yCgRcgq8HEzQYW8/edit?usp=sharing"",""พะเยา!R144"")+IMPORTRANGE(""https://docs.google.com/spreadsheets/d/1xfJKIQxVOaPDIICqsflNlL"&amp;"u3JacTDk1FP9RH4phX7mI/edit?usp=sharing"",""พิจิตร!R144"")+IMPORTRANGE(""https://docs.google.com/spreadsheets/d/1JtRfZkJMHtEhI5RdRHxYUG4FIZHqKDpNyIuN7A1Q0_k/edit?usp=sharing"",""พิษณุโลก!R144"")+IMPORTRANGE(""https://docs.google.com/spreadsheets/d/1xlcVZWU"&amp;"Nn6SuWm0c307h32SiGkd9BaeQWlAktfD3KO8/edit?usp=sharing"",""เพชรบูรณ์!R144"")+IMPORTRANGE(""https://docs.google.com/spreadsheets/d/1lOVebEIsI9qjGXl6EX66luk7wiuP2tBaryw-wKvv4e0/edit?usp=sharing"",""แพร่!R144"")+IMPORTRANGE(""https://docs.google.com/spreadshe"&amp;"ets/d/1dQrvX0vEcN7Gu0fnZ0B5S90AeR19zth4XlExFBeExMY/edit?usp=sharing"",""แม่ฮ่องสอน!R144"")+IMPORTRANGE(""https://docs.google.com/spreadsheets/d/1DY4XTNNwjluuxqdfdn6qvOSlMRrZqUtmYcZR0ttFiG4/edit?usp=sharing"",""ลำปาง!R144"")+IMPORTRANGE(""https://docs.goog"&amp;"le.com/spreadsheets/d/1ICwG78r0OFT8biBlxnBF8r7she7gNSzOvJ958PWT09c/edit?usp=sharing"",""ลำพูน!R144"")+IMPORTRANGE(""https://docs.google.com/spreadsheets/d/1B0f2xJpZUC6Z0xXnqKlZtEPzsf6L84eP1r1Q15seqRM/edit?usp=sharing"",""สุโขทัย!R144"")+IMPORTRANGE(""http"&amp;"s://docs.google.com/spreadsheets/d/1v0b9pFQCsKUVExMei7AgY2yQkdeNQvtOssygGsXbiKo/edit?usp=sharing"",""อุตรดิตถ์!R144"")+IMPORTRANGE(""https://docs.google.com/spreadsheets/d/1UsNK1e-WWiCo2PvGqdNfdme4m17_Ezd3J69EeeiQPD0/edit?usp=sharing"",""อุทัยธานี!R144"")"),0)</f>
        <v>0</v>
      </c>
      <c r="S144" s="46">
        <f ca="1">IFERROR(__xludf.DUMMYFUNCTION("IMPORTRANGE(""https://docs.google.com/spreadsheets/d/1jTcq05yEiRwXcBMLjiodW9e4biSGYWAHcDj22rKWQ3s/edit?usp=sharing"",""กำแพงเพชร!S144"")+IMPORTRANGE(""https://docs.google.com/spreadsheets/d/1KS0zmDSZPk8KnTAbGN-Xk6MtX1YRZD0ldgdt20K4CRk/edit?usp=sharing"","&amp;"""เชียงราย!S144"")+IMPORTRANGE(""https://docs.google.com/spreadsheets/d/1rEDxBtusbi64tE0zunoIbsTVV16HeL0oJ6trHQeQ7K8/edit?usp=sharing"",""เชียงใหม่!S144"")+IMPORTRANGE(""https://docs.google.com/spreadsheets/d/1W6MnUbDkMi6xHnHko_XkFDO9kkuL6Wqyc-6OCDFjW9I/e"&amp;"dit?usp=sharing"",""ตาก!S144"")+IMPORTRANGE(""https://docs.google.com/spreadsheets/d/1IQAWArduLkta9LpYo4a_ULsyqdta6-6aDDiwpUnQT6c/edit?usp=sharing"",""นครสวรรค์!S144"")+IMPORTRANGE(""https://docs.google.com/spreadsheets/d/10s13Sk5xrltsiR-Zkbmk5DwIaDIKO8Xl"&amp;"bJAfqyT7Gvg/edit?usp=sharing"",""น่าน!S144"")+IMPORTRANGE(""https://docs.google.com/spreadsheets/d/1uu4nAn4Dbi1XREnLKKotUANlKXa7yCgRcgq8HEzQYW8/edit?usp=sharing"",""พะเยา!S144"")+IMPORTRANGE(""https://docs.google.com/spreadsheets/d/1xfJKIQxVOaPDIICqsflNlL"&amp;"u3JacTDk1FP9RH4phX7mI/edit?usp=sharing"",""พิจิตร!S144"")+IMPORTRANGE(""https://docs.google.com/spreadsheets/d/1JtRfZkJMHtEhI5RdRHxYUG4FIZHqKDpNyIuN7A1Q0_k/edit?usp=sharing"",""พิษณุโลก!S144"")+IMPORTRANGE(""https://docs.google.com/spreadsheets/d/1xlcVZWU"&amp;"Nn6SuWm0c307h32SiGkd9BaeQWlAktfD3KO8/edit?usp=sharing"",""เพชรบูรณ์!S144"")+IMPORTRANGE(""https://docs.google.com/spreadsheets/d/1lOVebEIsI9qjGXl6EX66luk7wiuP2tBaryw-wKvv4e0/edit?usp=sharing"",""แพร่!S144"")+IMPORTRANGE(""https://docs.google.com/spreadshe"&amp;"ets/d/1dQrvX0vEcN7Gu0fnZ0B5S90AeR19zth4XlExFBeExMY/edit?usp=sharing"",""แม่ฮ่องสอน!S144"")+IMPORTRANGE(""https://docs.google.com/spreadsheets/d/1DY4XTNNwjluuxqdfdn6qvOSlMRrZqUtmYcZR0ttFiG4/edit?usp=sharing"",""ลำปาง!S144"")+IMPORTRANGE(""https://docs.goog"&amp;"le.com/spreadsheets/d/1ICwG78r0OFT8biBlxnBF8r7she7gNSzOvJ958PWT09c/edit?usp=sharing"",""ลำพูน!S144"")+IMPORTRANGE(""https://docs.google.com/spreadsheets/d/1B0f2xJpZUC6Z0xXnqKlZtEPzsf6L84eP1r1Q15seqRM/edit?usp=sharing"",""สุโขทัย!S144"")+IMPORTRANGE(""http"&amp;"s://docs.google.com/spreadsheets/d/1v0b9pFQCsKUVExMei7AgY2yQkdeNQvtOssygGsXbiKo/edit?usp=sharing"",""อุตรดิตถ์!S144"")+IMPORTRANGE(""https://docs.google.com/spreadsheets/d/1UsNK1e-WWiCo2PvGqdNfdme4m17_Ezd3J69EeeiQPD0/edit?usp=sharing"",""อุทัยธานี!S144"")"),0)</f>
        <v>0</v>
      </c>
      <c r="T144" s="46">
        <f t="shared" ca="1" si="113"/>
        <v>0</v>
      </c>
      <c r="U144" s="46">
        <f t="shared" ca="1" si="114"/>
        <v>0</v>
      </c>
    </row>
    <row r="145" spans="1:21" ht="18.75" x14ac:dyDescent="0.25">
      <c r="A145" s="128"/>
      <c r="B145" s="40"/>
      <c r="C145" s="40"/>
      <c r="D145" s="41" t="s">
        <v>23</v>
      </c>
      <c r="E145" s="40"/>
      <c r="F145" s="40"/>
      <c r="G145" s="42"/>
      <c r="H145" s="137" t="s">
        <v>14</v>
      </c>
      <c r="I145" s="135"/>
      <c r="J145" s="135"/>
      <c r="K145" s="136"/>
      <c r="L145" s="46">
        <f t="shared" ref="L145:N145" ca="1" si="121">L146+L147</f>
        <v>0</v>
      </c>
      <c r="M145" s="46">
        <f t="shared" ca="1" si="121"/>
        <v>0</v>
      </c>
      <c r="N145" s="46">
        <f t="shared" ca="1" si="121"/>
        <v>0</v>
      </c>
      <c r="O145" s="46">
        <f t="shared" ca="1" si="110"/>
        <v>0</v>
      </c>
      <c r="P145" s="46">
        <f t="shared" ca="1" si="111"/>
        <v>0</v>
      </c>
      <c r="Q145" s="46">
        <f t="shared" ref="Q145:S145" ca="1" si="122">Q146+Q147</f>
        <v>0</v>
      </c>
      <c r="R145" s="46">
        <f t="shared" ca="1" si="122"/>
        <v>0</v>
      </c>
      <c r="S145" s="46">
        <f t="shared" ca="1" si="122"/>
        <v>0</v>
      </c>
      <c r="T145" s="46">
        <f t="shared" ca="1" si="113"/>
        <v>0</v>
      </c>
      <c r="U145" s="46">
        <f t="shared" ca="1" si="114"/>
        <v>0</v>
      </c>
    </row>
    <row r="146" spans="1:21" ht="18.75" x14ac:dyDescent="0.25">
      <c r="A146" s="128"/>
      <c r="B146" s="40"/>
      <c r="C146" s="40"/>
      <c r="D146" s="40"/>
      <c r="E146" s="47" t="s">
        <v>20</v>
      </c>
      <c r="F146" s="40"/>
      <c r="G146" s="42"/>
      <c r="H146" s="134" t="s">
        <v>14</v>
      </c>
      <c r="I146" s="135"/>
      <c r="J146" s="135"/>
      <c r="K146" s="136"/>
      <c r="L146" s="46">
        <f ca="1">IFERROR(__xludf.DUMMYFUNCTION("IMPORTRANGE(""https://docs.google.com/spreadsheets/d/1jTcq05yEiRwXcBMLjiodW9e4biSGYWAHcDj22rKWQ3s/edit?usp=sharing"",""กำแพงเพชร!L146"")+IMPORTRANGE(""https://docs.google.com/spreadsheets/d/1KS0zmDSZPk8KnTAbGN-Xk6MtX1YRZD0ldgdt20K4CRk/edit?usp=sharing"","&amp;"""เชียงราย!L146"")+IMPORTRANGE(""https://docs.google.com/spreadsheets/d/1rEDxBtusbi64tE0zunoIbsTVV16HeL0oJ6trHQeQ7K8/edit?usp=sharing"",""เชียงใหม่!L146"")+IMPORTRANGE(""https://docs.google.com/spreadsheets/d/1W6MnUbDkMi6xHnHko_XkFDO9kkuL6Wqyc-6OCDFjW9I/e"&amp;"dit?usp=sharing"",""ตาก!L146"")+IMPORTRANGE(""https://docs.google.com/spreadsheets/d/1IQAWArduLkta9LpYo4a_ULsyqdta6-6aDDiwpUnQT6c/edit?usp=sharing"",""นครสวรรค์!L146"")+IMPORTRANGE(""https://docs.google.com/spreadsheets/d/10s13Sk5xrltsiR-Zkbmk5DwIaDIKO8Xl"&amp;"bJAfqyT7Gvg/edit?usp=sharing"",""น่าน!L146"")+IMPORTRANGE(""https://docs.google.com/spreadsheets/d/1uu4nAn4Dbi1XREnLKKotUANlKXa7yCgRcgq8HEzQYW8/edit?usp=sharing"",""พะเยา!L146"")+IMPORTRANGE(""https://docs.google.com/spreadsheets/d/1xfJKIQxVOaPDIICqsflNlL"&amp;"u3JacTDk1FP9RH4phX7mI/edit?usp=sharing"",""พิจิตร!L146"")+IMPORTRANGE(""https://docs.google.com/spreadsheets/d/1JtRfZkJMHtEhI5RdRHxYUG4FIZHqKDpNyIuN7A1Q0_k/edit?usp=sharing"",""พิษณุโลก!L146"")+IMPORTRANGE(""https://docs.google.com/spreadsheets/d/1xlcVZWU"&amp;"Nn6SuWm0c307h32SiGkd9BaeQWlAktfD3KO8/edit?usp=sharing"",""เพชรบูรณ์!L146"")+IMPORTRANGE(""https://docs.google.com/spreadsheets/d/1lOVebEIsI9qjGXl6EX66luk7wiuP2tBaryw-wKvv4e0/edit?usp=sharing"",""แพร่!L146"")+IMPORTRANGE(""https://docs.google.com/spreadshe"&amp;"ets/d/1dQrvX0vEcN7Gu0fnZ0B5S90AeR19zth4XlExFBeExMY/edit?usp=sharing"",""แม่ฮ่องสอน!L146"")+IMPORTRANGE(""https://docs.google.com/spreadsheets/d/1DY4XTNNwjluuxqdfdn6qvOSlMRrZqUtmYcZR0ttFiG4/edit?usp=sharing"",""ลำปาง!L146"")+IMPORTRANGE(""https://docs.goog"&amp;"le.com/spreadsheets/d/1ICwG78r0OFT8biBlxnBF8r7she7gNSzOvJ958PWT09c/edit?usp=sharing"",""ลำพูน!L146"")+IMPORTRANGE(""https://docs.google.com/spreadsheets/d/1B0f2xJpZUC6Z0xXnqKlZtEPzsf6L84eP1r1Q15seqRM/edit?usp=sharing"",""สุโขทัย!L146"")+IMPORTRANGE(""http"&amp;"s://docs.google.com/spreadsheets/d/1v0b9pFQCsKUVExMei7AgY2yQkdeNQvtOssygGsXbiKo/edit?usp=sharing"",""อุตรดิตถ์!L146"")+IMPORTRANGE(""https://docs.google.com/spreadsheets/d/1UsNK1e-WWiCo2PvGqdNfdme4m17_Ezd3J69EeeiQPD0/edit?usp=sharing"",""อุทัยธานี!L146"")"),0)</f>
        <v>0</v>
      </c>
      <c r="M146" s="46">
        <f ca="1">IFERROR(__xludf.DUMMYFUNCTION("IMPORTRANGE(""https://docs.google.com/spreadsheets/d/1jTcq05yEiRwXcBMLjiodW9e4biSGYWAHcDj22rKWQ3s/edit?usp=sharing"",""กำแพงเพชร!M146"")+IMPORTRANGE(""https://docs.google.com/spreadsheets/d/1KS0zmDSZPk8KnTAbGN-Xk6MtX1YRZD0ldgdt20K4CRk/edit?usp=sharing"","&amp;"""เชียงราย!M146"")+IMPORTRANGE(""https://docs.google.com/spreadsheets/d/1rEDxBtusbi64tE0zunoIbsTVV16HeL0oJ6trHQeQ7K8/edit?usp=sharing"",""เชียงใหม่!M146"")+IMPORTRANGE(""https://docs.google.com/spreadsheets/d/1W6MnUbDkMi6xHnHko_XkFDO9kkuL6Wqyc-6OCDFjW9I/e"&amp;"dit?usp=sharing"",""ตาก!M146"")+IMPORTRANGE(""https://docs.google.com/spreadsheets/d/1IQAWArduLkta9LpYo4a_ULsyqdta6-6aDDiwpUnQT6c/edit?usp=sharing"",""นครสวรรค์!M146"")+IMPORTRANGE(""https://docs.google.com/spreadsheets/d/10s13Sk5xrltsiR-Zkbmk5DwIaDIKO8Xl"&amp;"bJAfqyT7Gvg/edit?usp=sharing"",""น่าน!M146"")+IMPORTRANGE(""https://docs.google.com/spreadsheets/d/1uu4nAn4Dbi1XREnLKKotUANlKXa7yCgRcgq8HEzQYW8/edit?usp=sharing"",""พะเยา!M146"")+IMPORTRANGE(""https://docs.google.com/spreadsheets/d/1xfJKIQxVOaPDIICqsflNlL"&amp;"u3JacTDk1FP9RH4phX7mI/edit?usp=sharing"",""พิจิตร!M146"")+IMPORTRANGE(""https://docs.google.com/spreadsheets/d/1JtRfZkJMHtEhI5RdRHxYUG4FIZHqKDpNyIuN7A1Q0_k/edit?usp=sharing"",""พิษณุโลก!M146"")+IMPORTRANGE(""https://docs.google.com/spreadsheets/d/1xlcVZWU"&amp;"Nn6SuWm0c307h32SiGkd9BaeQWlAktfD3KO8/edit?usp=sharing"",""เพชรบูรณ์!M146"")+IMPORTRANGE(""https://docs.google.com/spreadsheets/d/1lOVebEIsI9qjGXl6EX66luk7wiuP2tBaryw-wKvv4e0/edit?usp=sharing"",""แพร่!M146"")+IMPORTRANGE(""https://docs.google.com/spreadshe"&amp;"ets/d/1dQrvX0vEcN7Gu0fnZ0B5S90AeR19zth4XlExFBeExMY/edit?usp=sharing"",""แม่ฮ่องสอน!M146"")+IMPORTRANGE(""https://docs.google.com/spreadsheets/d/1DY4XTNNwjluuxqdfdn6qvOSlMRrZqUtmYcZR0ttFiG4/edit?usp=sharing"",""ลำปาง!M146"")+IMPORTRANGE(""https://docs.goog"&amp;"le.com/spreadsheets/d/1ICwG78r0OFT8biBlxnBF8r7she7gNSzOvJ958PWT09c/edit?usp=sharing"",""ลำพูน!M146"")+IMPORTRANGE(""https://docs.google.com/spreadsheets/d/1B0f2xJpZUC6Z0xXnqKlZtEPzsf6L84eP1r1Q15seqRM/edit?usp=sharing"",""สุโขทัย!M146"")+IMPORTRANGE(""http"&amp;"s://docs.google.com/spreadsheets/d/1v0b9pFQCsKUVExMei7AgY2yQkdeNQvtOssygGsXbiKo/edit?usp=sharing"",""อุตรดิตถ์!M146"")+IMPORTRANGE(""https://docs.google.com/spreadsheets/d/1UsNK1e-WWiCo2PvGqdNfdme4m17_Ezd3J69EeeiQPD0/edit?usp=sharing"",""อุทัยธานี!M146"")"),0)</f>
        <v>0</v>
      </c>
      <c r="N146" s="46">
        <f ca="1">IFERROR(__xludf.DUMMYFUNCTION("IMPORTRANGE(""https://docs.google.com/spreadsheets/d/1jTcq05yEiRwXcBMLjiodW9e4biSGYWAHcDj22rKWQ3s/edit?usp=sharing"",""กำแพงเพชร!N146"")+IMPORTRANGE(""https://docs.google.com/spreadsheets/d/1KS0zmDSZPk8KnTAbGN-Xk6MtX1YRZD0ldgdt20K4CRk/edit?usp=sharing"","&amp;"""เชียงราย!N146"")+IMPORTRANGE(""https://docs.google.com/spreadsheets/d/1rEDxBtusbi64tE0zunoIbsTVV16HeL0oJ6trHQeQ7K8/edit?usp=sharing"",""เชียงใหม่!N146"")+IMPORTRANGE(""https://docs.google.com/spreadsheets/d/1W6MnUbDkMi6xHnHko_XkFDO9kkuL6Wqyc-6OCDFjW9I/e"&amp;"dit?usp=sharing"",""ตาก!N146"")+IMPORTRANGE(""https://docs.google.com/spreadsheets/d/1IQAWArduLkta9LpYo4a_ULsyqdta6-6aDDiwpUnQT6c/edit?usp=sharing"",""นครสวรรค์!N146"")+IMPORTRANGE(""https://docs.google.com/spreadsheets/d/10s13Sk5xrltsiR-Zkbmk5DwIaDIKO8Xl"&amp;"bJAfqyT7Gvg/edit?usp=sharing"",""น่าน!N146"")+IMPORTRANGE(""https://docs.google.com/spreadsheets/d/1uu4nAn4Dbi1XREnLKKotUANlKXa7yCgRcgq8HEzQYW8/edit?usp=sharing"",""พะเยา!N146"")+IMPORTRANGE(""https://docs.google.com/spreadsheets/d/1xfJKIQxVOaPDIICqsflNlL"&amp;"u3JacTDk1FP9RH4phX7mI/edit?usp=sharing"",""พิจิตร!N146"")+IMPORTRANGE(""https://docs.google.com/spreadsheets/d/1JtRfZkJMHtEhI5RdRHxYUG4FIZHqKDpNyIuN7A1Q0_k/edit?usp=sharing"",""พิษณุโลก!N146"")+IMPORTRANGE(""https://docs.google.com/spreadsheets/d/1xlcVZWU"&amp;"Nn6SuWm0c307h32SiGkd9BaeQWlAktfD3KO8/edit?usp=sharing"",""เพชรบูรณ์!N146"")+IMPORTRANGE(""https://docs.google.com/spreadsheets/d/1lOVebEIsI9qjGXl6EX66luk7wiuP2tBaryw-wKvv4e0/edit?usp=sharing"",""แพร่!N146"")+IMPORTRANGE(""https://docs.google.com/spreadshe"&amp;"ets/d/1dQrvX0vEcN7Gu0fnZ0B5S90AeR19zth4XlExFBeExMY/edit?usp=sharing"",""แม่ฮ่องสอน!N146"")+IMPORTRANGE(""https://docs.google.com/spreadsheets/d/1DY4XTNNwjluuxqdfdn6qvOSlMRrZqUtmYcZR0ttFiG4/edit?usp=sharing"",""ลำปาง!N146"")+IMPORTRANGE(""https://docs.goog"&amp;"le.com/spreadsheets/d/1ICwG78r0OFT8biBlxnBF8r7she7gNSzOvJ958PWT09c/edit?usp=sharing"",""ลำพูน!N146"")+IMPORTRANGE(""https://docs.google.com/spreadsheets/d/1B0f2xJpZUC6Z0xXnqKlZtEPzsf6L84eP1r1Q15seqRM/edit?usp=sharing"",""สุโขทัย!N146"")+IMPORTRANGE(""http"&amp;"s://docs.google.com/spreadsheets/d/1v0b9pFQCsKUVExMei7AgY2yQkdeNQvtOssygGsXbiKo/edit?usp=sharing"",""อุตรดิตถ์!N146"")+IMPORTRANGE(""https://docs.google.com/spreadsheets/d/1UsNK1e-WWiCo2PvGqdNfdme4m17_Ezd3J69EeeiQPD0/edit?usp=sharing"",""อุทัยธานี!N146"")"),0)</f>
        <v>0</v>
      </c>
      <c r="O146" s="46">
        <f t="shared" ca="1" si="110"/>
        <v>0</v>
      </c>
      <c r="P146" s="46">
        <f t="shared" ca="1" si="111"/>
        <v>0</v>
      </c>
      <c r="Q146" s="48">
        <f ca="1">IFERROR(__xludf.DUMMYFUNCTION("IMPORTRANGE(""https://docs.google.com/spreadsheets/d/1jTcq05yEiRwXcBMLjiodW9e4biSGYWAHcDj22rKWQ3s/edit?usp=sharing"",""กำแพงเพชร!Q146"")+IMPORTRANGE(""https://docs.google.com/spreadsheets/d/1KS0zmDSZPk8KnTAbGN-Xk6MtX1YRZD0ldgdt20K4CRk/edit?usp=sharing"","&amp;"""เชียงราย!Q146"")+IMPORTRANGE(""https://docs.google.com/spreadsheets/d/1rEDxBtusbi64tE0zunoIbsTVV16HeL0oJ6trHQeQ7K8/edit?usp=sharing"",""เชียงใหม่!Q146"")+IMPORTRANGE(""https://docs.google.com/spreadsheets/d/1W6MnUbDkMi6xHnHko_XkFDO9kkuL6Wqyc-6OCDFjW9I/e"&amp;"dit?usp=sharing"",""ตาก!Q146"")+IMPORTRANGE(""https://docs.google.com/spreadsheets/d/1IQAWArduLkta9LpYo4a_ULsyqdta6-6aDDiwpUnQT6c/edit?usp=sharing"",""นครสวรรค์!Q146"")+IMPORTRANGE(""https://docs.google.com/spreadsheets/d/10s13Sk5xrltsiR-Zkbmk5DwIaDIKO8Xl"&amp;"bJAfqyT7Gvg/edit?usp=sharing"",""น่าน!Q146"")+IMPORTRANGE(""https://docs.google.com/spreadsheets/d/1uu4nAn4Dbi1XREnLKKotUANlKXa7yCgRcgq8HEzQYW8/edit?usp=sharing"",""พะเยา!Q146"")+IMPORTRANGE(""https://docs.google.com/spreadsheets/d/1xfJKIQxVOaPDIICqsflNlL"&amp;"u3JacTDk1FP9RH4phX7mI/edit?usp=sharing"",""พิจิตร!Q146"")+IMPORTRANGE(""https://docs.google.com/spreadsheets/d/1JtRfZkJMHtEhI5RdRHxYUG4FIZHqKDpNyIuN7A1Q0_k/edit?usp=sharing"",""พิษณุโลก!Q146"")+IMPORTRANGE(""https://docs.google.com/spreadsheets/d/1xlcVZWU"&amp;"Nn6SuWm0c307h32SiGkd9BaeQWlAktfD3KO8/edit?usp=sharing"",""เพชรบูรณ์!Q146"")+IMPORTRANGE(""https://docs.google.com/spreadsheets/d/1lOVebEIsI9qjGXl6EX66luk7wiuP2tBaryw-wKvv4e0/edit?usp=sharing"",""แพร่!Q146"")+IMPORTRANGE(""https://docs.google.com/spreadshe"&amp;"ets/d/1dQrvX0vEcN7Gu0fnZ0B5S90AeR19zth4XlExFBeExMY/edit?usp=sharing"",""แม่ฮ่องสอน!Q146"")+IMPORTRANGE(""https://docs.google.com/spreadsheets/d/1DY4XTNNwjluuxqdfdn6qvOSlMRrZqUtmYcZR0ttFiG4/edit?usp=sharing"",""ลำปาง!Q146"")+IMPORTRANGE(""https://docs.goog"&amp;"le.com/spreadsheets/d/1ICwG78r0OFT8biBlxnBF8r7she7gNSzOvJ958PWT09c/edit?usp=sharing"",""ลำพูน!Q146"")+IMPORTRANGE(""https://docs.google.com/spreadsheets/d/1B0f2xJpZUC6Z0xXnqKlZtEPzsf6L84eP1r1Q15seqRM/edit?usp=sharing"",""สุโขทัย!Q146"")+IMPORTRANGE(""http"&amp;"s://docs.google.com/spreadsheets/d/1v0b9pFQCsKUVExMei7AgY2yQkdeNQvtOssygGsXbiKo/edit?usp=sharing"",""อุตรดิตถ์!Q146"")+IMPORTRANGE(""https://docs.google.com/spreadsheets/d/1UsNK1e-WWiCo2PvGqdNfdme4m17_Ezd3J69EeeiQPD0/edit?usp=sharing"",""อุทัยธานี!Q146"")"),0)</f>
        <v>0</v>
      </c>
      <c r="R146" s="48">
        <f ca="1">IFERROR(__xludf.DUMMYFUNCTION("IMPORTRANGE(""https://docs.google.com/spreadsheets/d/1jTcq05yEiRwXcBMLjiodW9e4biSGYWAHcDj22rKWQ3s/edit?usp=sharing"",""กำแพงเพชร!R146"")+IMPORTRANGE(""https://docs.google.com/spreadsheets/d/1KS0zmDSZPk8KnTAbGN-Xk6MtX1YRZD0ldgdt20K4CRk/edit?usp=sharing"","&amp;"""เชียงราย!R146"")+IMPORTRANGE(""https://docs.google.com/spreadsheets/d/1rEDxBtusbi64tE0zunoIbsTVV16HeL0oJ6trHQeQ7K8/edit?usp=sharing"",""เชียงใหม่!R146"")+IMPORTRANGE(""https://docs.google.com/spreadsheets/d/1W6MnUbDkMi6xHnHko_XkFDO9kkuL6Wqyc-6OCDFjW9I/e"&amp;"dit?usp=sharing"",""ตาก!R146"")+IMPORTRANGE(""https://docs.google.com/spreadsheets/d/1IQAWArduLkta9LpYo4a_ULsyqdta6-6aDDiwpUnQT6c/edit?usp=sharing"",""นครสวรรค์!R146"")+IMPORTRANGE(""https://docs.google.com/spreadsheets/d/10s13Sk5xrltsiR-Zkbmk5DwIaDIKO8Xl"&amp;"bJAfqyT7Gvg/edit?usp=sharing"",""น่าน!R146"")+IMPORTRANGE(""https://docs.google.com/spreadsheets/d/1uu4nAn4Dbi1XREnLKKotUANlKXa7yCgRcgq8HEzQYW8/edit?usp=sharing"",""พะเยา!R146"")+IMPORTRANGE(""https://docs.google.com/spreadsheets/d/1xfJKIQxVOaPDIICqsflNlL"&amp;"u3JacTDk1FP9RH4phX7mI/edit?usp=sharing"",""พิจิตร!R146"")+IMPORTRANGE(""https://docs.google.com/spreadsheets/d/1JtRfZkJMHtEhI5RdRHxYUG4FIZHqKDpNyIuN7A1Q0_k/edit?usp=sharing"",""พิษณุโลก!R146"")+IMPORTRANGE(""https://docs.google.com/spreadsheets/d/1xlcVZWU"&amp;"Nn6SuWm0c307h32SiGkd9BaeQWlAktfD3KO8/edit?usp=sharing"",""เพชรบูรณ์!R146"")+IMPORTRANGE(""https://docs.google.com/spreadsheets/d/1lOVebEIsI9qjGXl6EX66luk7wiuP2tBaryw-wKvv4e0/edit?usp=sharing"",""แพร่!R146"")+IMPORTRANGE(""https://docs.google.com/spreadshe"&amp;"ets/d/1dQrvX0vEcN7Gu0fnZ0B5S90AeR19zth4XlExFBeExMY/edit?usp=sharing"",""แม่ฮ่องสอน!R146"")+IMPORTRANGE(""https://docs.google.com/spreadsheets/d/1DY4XTNNwjluuxqdfdn6qvOSlMRrZqUtmYcZR0ttFiG4/edit?usp=sharing"",""ลำปาง!R146"")+IMPORTRANGE(""https://docs.goog"&amp;"le.com/spreadsheets/d/1ICwG78r0OFT8biBlxnBF8r7she7gNSzOvJ958PWT09c/edit?usp=sharing"",""ลำพูน!R146"")+IMPORTRANGE(""https://docs.google.com/spreadsheets/d/1B0f2xJpZUC6Z0xXnqKlZtEPzsf6L84eP1r1Q15seqRM/edit?usp=sharing"",""สุโขทัย!R146"")+IMPORTRANGE(""http"&amp;"s://docs.google.com/spreadsheets/d/1v0b9pFQCsKUVExMei7AgY2yQkdeNQvtOssygGsXbiKo/edit?usp=sharing"",""อุตรดิตถ์!R146"")+IMPORTRANGE(""https://docs.google.com/spreadsheets/d/1UsNK1e-WWiCo2PvGqdNfdme4m17_Ezd3J69EeeiQPD0/edit?usp=sharing"",""อุทัยธานี!R146"")"),0)</f>
        <v>0</v>
      </c>
      <c r="S146" s="48">
        <f ca="1">IFERROR(__xludf.DUMMYFUNCTION("IMPORTRANGE(""https://docs.google.com/spreadsheets/d/1jTcq05yEiRwXcBMLjiodW9e4biSGYWAHcDj22rKWQ3s/edit?usp=sharing"",""กำแพงเพชร!S146"")+IMPORTRANGE(""https://docs.google.com/spreadsheets/d/1KS0zmDSZPk8KnTAbGN-Xk6MtX1YRZD0ldgdt20K4CRk/edit?usp=sharing"","&amp;"""เชียงราย!S146"")+IMPORTRANGE(""https://docs.google.com/spreadsheets/d/1rEDxBtusbi64tE0zunoIbsTVV16HeL0oJ6trHQeQ7K8/edit?usp=sharing"",""เชียงใหม่!S146"")+IMPORTRANGE(""https://docs.google.com/spreadsheets/d/1W6MnUbDkMi6xHnHko_XkFDO9kkuL6Wqyc-6OCDFjW9I/e"&amp;"dit?usp=sharing"",""ตาก!S146"")+IMPORTRANGE(""https://docs.google.com/spreadsheets/d/1IQAWArduLkta9LpYo4a_ULsyqdta6-6aDDiwpUnQT6c/edit?usp=sharing"",""นครสวรรค์!S146"")+IMPORTRANGE(""https://docs.google.com/spreadsheets/d/10s13Sk5xrltsiR-Zkbmk5DwIaDIKO8Xl"&amp;"bJAfqyT7Gvg/edit?usp=sharing"",""น่าน!S146"")+IMPORTRANGE(""https://docs.google.com/spreadsheets/d/1uu4nAn4Dbi1XREnLKKotUANlKXa7yCgRcgq8HEzQYW8/edit?usp=sharing"",""พะเยา!S146"")+IMPORTRANGE(""https://docs.google.com/spreadsheets/d/1xfJKIQxVOaPDIICqsflNlL"&amp;"u3JacTDk1FP9RH4phX7mI/edit?usp=sharing"",""พิจิตร!S146"")+IMPORTRANGE(""https://docs.google.com/spreadsheets/d/1JtRfZkJMHtEhI5RdRHxYUG4FIZHqKDpNyIuN7A1Q0_k/edit?usp=sharing"",""พิษณุโลก!S146"")+IMPORTRANGE(""https://docs.google.com/spreadsheets/d/1xlcVZWU"&amp;"Nn6SuWm0c307h32SiGkd9BaeQWlAktfD3KO8/edit?usp=sharing"",""เพชรบูรณ์!S146"")+IMPORTRANGE(""https://docs.google.com/spreadsheets/d/1lOVebEIsI9qjGXl6EX66luk7wiuP2tBaryw-wKvv4e0/edit?usp=sharing"",""แพร่!S146"")+IMPORTRANGE(""https://docs.google.com/spreadshe"&amp;"ets/d/1dQrvX0vEcN7Gu0fnZ0B5S90AeR19zth4XlExFBeExMY/edit?usp=sharing"",""แม่ฮ่องสอน!S146"")+IMPORTRANGE(""https://docs.google.com/spreadsheets/d/1DY4XTNNwjluuxqdfdn6qvOSlMRrZqUtmYcZR0ttFiG4/edit?usp=sharing"",""ลำปาง!S146"")+IMPORTRANGE(""https://docs.goog"&amp;"le.com/spreadsheets/d/1ICwG78r0OFT8biBlxnBF8r7she7gNSzOvJ958PWT09c/edit?usp=sharing"",""ลำพูน!S146"")+IMPORTRANGE(""https://docs.google.com/spreadsheets/d/1B0f2xJpZUC6Z0xXnqKlZtEPzsf6L84eP1r1Q15seqRM/edit?usp=sharing"",""สุโขทัย!S146"")+IMPORTRANGE(""http"&amp;"s://docs.google.com/spreadsheets/d/1v0b9pFQCsKUVExMei7AgY2yQkdeNQvtOssygGsXbiKo/edit?usp=sharing"",""อุตรดิตถ์!S146"")+IMPORTRANGE(""https://docs.google.com/spreadsheets/d/1UsNK1e-WWiCo2PvGqdNfdme4m17_Ezd3J69EeeiQPD0/edit?usp=sharing"",""อุทัยธานี!S146"")"),0)</f>
        <v>0</v>
      </c>
      <c r="T146" s="48">
        <f t="shared" ca="1" si="113"/>
        <v>0</v>
      </c>
      <c r="U146" s="48">
        <f t="shared" ca="1" si="114"/>
        <v>0</v>
      </c>
    </row>
    <row r="147" spans="1:21" ht="18.75" x14ac:dyDescent="0.25">
      <c r="A147" s="128"/>
      <c r="B147" s="40"/>
      <c r="C147" s="40"/>
      <c r="D147" s="40"/>
      <c r="E147" s="47" t="s">
        <v>21</v>
      </c>
      <c r="F147" s="40"/>
      <c r="G147" s="42"/>
      <c r="H147" s="137" t="s">
        <v>14</v>
      </c>
      <c r="I147" s="135"/>
      <c r="J147" s="135"/>
      <c r="K147" s="136"/>
      <c r="L147" s="46">
        <f ca="1">IFERROR(__xludf.DUMMYFUNCTION("IMPORTRANGE(""https://docs.google.com/spreadsheets/d/1jTcq05yEiRwXcBMLjiodW9e4biSGYWAHcDj22rKWQ3s/edit?usp=sharing"",""กำแพงเพชร!L147"")+IMPORTRANGE(""https://docs.google.com/spreadsheets/d/1KS0zmDSZPk8KnTAbGN-Xk6MtX1YRZD0ldgdt20K4CRk/edit?usp=sharing"","&amp;"""เชียงราย!L147"")+IMPORTRANGE(""https://docs.google.com/spreadsheets/d/1rEDxBtusbi64tE0zunoIbsTVV16HeL0oJ6trHQeQ7K8/edit?usp=sharing"",""เชียงใหม่!L147"")+IMPORTRANGE(""https://docs.google.com/spreadsheets/d/1W6MnUbDkMi6xHnHko_XkFDO9kkuL6Wqyc-6OCDFjW9I/e"&amp;"dit?usp=sharing"",""ตาก!L147"")+IMPORTRANGE(""https://docs.google.com/spreadsheets/d/1IQAWArduLkta9LpYo4a_ULsyqdta6-6aDDiwpUnQT6c/edit?usp=sharing"",""นครสวรรค์!L147"")+IMPORTRANGE(""https://docs.google.com/spreadsheets/d/10s13Sk5xrltsiR-Zkbmk5DwIaDIKO8Xl"&amp;"bJAfqyT7Gvg/edit?usp=sharing"",""น่าน!L147"")+IMPORTRANGE(""https://docs.google.com/spreadsheets/d/1uu4nAn4Dbi1XREnLKKotUANlKXa7yCgRcgq8HEzQYW8/edit?usp=sharing"",""พะเยา!L147"")+IMPORTRANGE(""https://docs.google.com/spreadsheets/d/1xfJKIQxVOaPDIICqsflNlL"&amp;"u3JacTDk1FP9RH4phX7mI/edit?usp=sharing"",""พิจิตร!L147"")+IMPORTRANGE(""https://docs.google.com/spreadsheets/d/1JtRfZkJMHtEhI5RdRHxYUG4FIZHqKDpNyIuN7A1Q0_k/edit?usp=sharing"",""พิษณุโลก!L147"")+IMPORTRANGE(""https://docs.google.com/spreadsheets/d/1xlcVZWU"&amp;"Nn6SuWm0c307h32SiGkd9BaeQWlAktfD3KO8/edit?usp=sharing"",""เพชรบูรณ์!L147"")+IMPORTRANGE(""https://docs.google.com/spreadsheets/d/1lOVebEIsI9qjGXl6EX66luk7wiuP2tBaryw-wKvv4e0/edit?usp=sharing"",""แพร่!L147"")+IMPORTRANGE(""https://docs.google.com/spreadshe"&amp;"ets/d/1dQrvX0vEcN7Gu0fnZ0B5S90AeR19zth4XlExFBeExMY/edit?usp=sharing"",""แม่ฮ่องสอน!L147"")+IMPORTRANGE(""https://docs.google.com/spreadsheets/d/1DY4XTNNwjluuxqdfdn6qvOSlMRrZqUtmYcZR0ttFiG4/edit?usp=sharing"",""ลำปาง!L147"")+IMPORTRANGE(""https://docs.goog"&amp;"le.com/spreadsheets/d/1ICwG78r0OFT8biBlxnBF8r7she7gNSzOvJ958PWT09c/edit?usp=sharing"",""ลำพูน!L147"")+IMPORTRANGE(""https://docs.google.com/spreadsheets/d/1B0f2xJpZUC6Z0xXnqKlZtEPzsf6L84eP1r1Q15seqRM/edit?usp=sharing"",""สุโขทัย!L147"")+IMPORTRANGE(""http"&amp;"s://docs.google.com/spreadsheets/d/1v0b9pFQCsKUVExMei7AgY2yQkdeNQvtOssygGsXbiKo/edit?usp=sharing"",""อุตรดิตถ์!L147"")+IMPORTRANGE(""https://docs.google.com/spreadsheets/d/1UsNK1e-WWiCo2PvGqdNfdme4m17_Ezd3J69EeeiQPD0/edit?usp=sharing"",""อุทัยธานี!L147"")"),0)</f>
        <v>0</v>
      </c>
      <c r="M147" s="46">
        <f ca="1">IFERROR(__xludf.DUMMYFUNCTION("IMPORTRANGE(""https://docs.google.com/spreadsheets/d/1jTcq05yEiRwXcBMLjiodW9e4biSGYWAHcDj22rKWQ3s/edit?usp=sharing"",""กำแพงเพชร!M147"")+IMPORTRANGE(""https://docs.google.com/spreadsheets/d/1KS0zmDSZPk8KnTAbGN-Xk6MtX1YRZD0ldgdt20K4CRk/edit?usp=sharing"","&amp;"""เชียงราย!M147"")+IMPORTRANGE(""https://docs.google.com/spreadsheets/d/1rEDxBtusbi64tE0zunoIbsTVV16HeL0oJ6trHQeQ7K8/edit?usp=sharing"",""เชียงใหม่!M147"")+IMPORTRANGE(""https://docs.google.com/spreadsheets/d/1W6MnUbDkMi6xHnHko_XkFDO9kkuL6Wqyc-6OCDFjW9I/e"&amp;"dit?usp=sharing"",""ตาก!M147"")+IMPORTRANGE(""https://docs.google.com/spreadsheets/d/1IQAWArduLkta9LpYo4a_ULsyqdta6-6aDDiwpUnQT6c/edit?usp=sharing"",""นครสวรรค์!M147"")+IMPORTRANGE(""https://docs.google.com/spreadsheets/d/10s13Sk5xrltsiR-Zkbmk5DwIaDIKO8Xl"&amp;"bJAfqyT7Gvg/edit?usp=sharing"",""น่าน!M147"")+IMPORTRANGE(""https://docs.google.com/spreadsheets/d/1uu4nAn4Dbi1XREnLKKotUANlKXa7yCgRcgq8HEzQYW8/edit?usp=sharing"",""พะเยา!M147"")+IMPORTRANGE(""https://docs.google.com/spreadsheets/d/1xfJKIQxVOaPDIICqsflNlL"&amp;"u3JacTDk1FP9RH4phX7mI/edit?usp=sharing"",""พิจิตร!M147"")+IMPORTRANGE(""https://docs.google.com/spreadsheets/d/1JtRfZkJMHtEhI5RdRHxYUG4FIZHqKDpNyIuN7A1Q0_k/edit?usp=sharing"",""พิษณุโลก!M147"")+IMPORTRANGE(""https://docs.google.com/spreadsheets/d/1xlcVZWU"&amp;"Nn6SuWm0c307h32SiGkd9BaeQWlAktfD3KO8/edit?usp=sharing"",""เพชรบูรณ์!M147"")+IMPORTRANGE(""https://docs.google.com/spreadsheets/d/1lOVebEIsI9qjGXl6EX66luk7wiuP2tBaryw-wKvv4e0/edit?usp=sharing"",""แพร่!M147"")+IMPORTRANGE(""https://docs.google.com/spreadshe"&amp;"ets/d/1dQrvX0vEcN7Gu0fnZ0B5S90AeR19zth4XlExFBeExMY/edit?usp=sharing"",""แม่ฮ่องสอน!M147"")+IMPORTRANGE(""https://docs.google.com/spreadsheets/d/1DY4XTNNwjluuxqdfdn6qvOSlMRrZqUtmYcZR0ttFiG4/edit?usp=sharing"",""ลำปาง!M147"")+IMPORTRANGE(""https://docs.goog"&amp;"le.com/spreadsheets/d/1ICwG78r0OFT8biBlxnBF8r7she7gNSzOvJ958PWT09c/edit?usp=sharing"",""ลำพูน!M147"")+IMPORTRANGE(""https://docs.google.com/spreadsheets/d/1B0f2xJpZUC6Z0xXnqKlZtEPzsf6L84eP1r1Q15seqRM/edit?usp=sharing"",""สุโขทัย!M147"")+IMPORTRANGE(""http"&amp;"s://docs.google.com/spreadsheets/d/1v0b9pFQCsKUVExMei7AgY2yQkdeNQvtOssygGsXbiKo/edit?usp=sharing"",""อุตรดิตถ์!M147"")+IMPORTRANGE(""https://docs.google.com/spreadsheets/d/1UsNK1e-WWiCo2PvGqdNfdme4m17_Ezd3J69EeeiQPD0/edit?usp=sharing"",""อุทัยธานี!M147"")"),0)</f>
        <v>0</v>
      </c>
      <c r="N147" s="46">
        <f ca="1">IFERROR(__xludf.DUMMYFUNCTION("IMPORTRANGE(""https://docs.google.com/spreadsheets/d/1jTcq05yEiRwXcBMLjiodW9e4biSGYWAHcDj22rKWQ3s/edit?usp=sharing"",""กำแพงเพชร!N147"")+IMPORTRANGE(""https://docs.google.com/spreadsheets/d/1KS0zmDSZPk8KnTAbGN-Xk6MtX1YRZD0ldgdt20K4CRk/edit?usp=sharing"","&amp;"""เชียงราย!N147"")+IMPORTRANGE(""https://docs.google.com/spreadsheets/d/1rEDxBtusbi64tE0zunoIbsTVV16HeL0oJ6trHQeQ7K8/edit?usp=sharing"",""เชียงใหม่!N147"")+IMPORTRANGE(""https://docs.google.com/spreadsheets/d/1W6MnUbDkMi6xHnHko_XkFDO9kkuL6Wqyc-6OCDFjW9I/e"&amp;"dit?usp=sharing"",""ตาก!N147"")+IMPORTRANGE(""https://docs.google.com/spreadsheets/d/1IQAWArduLkta9LpYo4a_ULsyqdta6-6aDDiwpUnQT6c/edit?usp=sharing"",""นครสวรรค์!N147"")+IMPORTRANGE(""https://docs.google.com/spreadsheets/d/10s13Sk5xrltsiR-Zkbmk5DwIaDIKO8Xl"&amp;"bJAfqyT7Gvg/edit?usp=sharing"",""น่าน!N147"")+IMPORTRANGE(""https://docs.google.com/spreadsheets/d/1uu4nAn4Dbi1XREnLKKotUANlKXa7yCgRcgq8HEzQYW8/edit?usp=sharing"",""พะเยา!N147"")+IMPORTRANGE(""https://docs.google.com/spreadsheets/d/1xfJKIQxVOaPDIICqsflNlL"&amp;"u3JacTDk1FP9RH4phX7mI/edit?usp=sharing"",""พิจิตร!N147"")+IMPORTRANGE(""https://docs.google.com/spreadsheets/d/1JtRfZkJMHtEhI5RdRHxYUG4FIZHqKDpNyIuN7A1Q0_k/edit?usp=sharing"",""พิษณุโลก!N147"")+IMPORTRANGE(""https://docs.google.com/spreadsheets/d/1xlcVZWU"&amp;"Nn6SuWm0c307h32SiGkd9BaeQWlAktfD3KO8/edit?usp=sharing"",""เพชรบูรณ์!N147"")+IMPORTRANGE(""https://docs.google.com/spreadsheets/d/1lOVebEIsI9qjGXl6EX66luk7wiuP2tBaryw-wKvv4e0/edit?usp=sharing"",""แพร่!N147"")+IMPORTRANGE(""https://docs.google.com/spreadshe"&amp;"ets/d/1dQrvX0vEcN7Gu0fnZ0B5S90AeR19zth4XlExFBeExMY/edit?usp=sharing"",""แม่ฮ่องสอน!N147"")+IMPORTRANGE(""https://docs.google.com/spreadsheets/d/1DY4XTNNwjluuxqdfdn6qvOSlMRrZqUtmYcZR0ttFiG4/edit?usp=sharing"",""ลำปาง!N147"")+IMPORTRANGE(""https://docs.goog"&amp;"le.com/spreadsheets/d/1ICwG78r0OFT8biBlxnBF8r7she7gNSzOvJ958PWT09c/edit?usp=sharing"",""ลำพูน!N147"")+IMPORTRANGE(""https://docs.google.com/spreadsheets/d/1B0f2xJpZUC6Z0xXnqKlZtEPzsf6L84eP1r1Q15seqRM/edit?usp=sharing"",""สุโขทัย!N147"")+IMPORTRANGE(""http"&amp;"s://docs.google.com/spreadsheets/d/1v0b9pFQCsKUVExMei7AgY2yQkdeNQvtOssygGsXbiKo/edit?usp=sharing"",""อุตรดิตถ์!N147"")+IMPORTRANGE(""https://docs.google.com/spreadsheets/d/1UsNK1e-WWiCo2PvGqdNfdme4m17_Ezd3J69EeeiQPD0/edit?usp=sharing"",""อุทัยธานี!N147"")"),0)</f>
        <v>0</v>
      </c>
      <c r="O147" s="46">
        <f t="shared" ca="1" si="110"/>
        <v>0</v>
      </c>
      <c r="P147" s="46">
        <f t="shared" ca="1" si="111"/>
        <v>0</v>
      </c>
      <c r="Q147" s="46">
        <f ca="1">IFERROR(__xludf.DUMMYFUNCTION("IMPORTRANGE(""https://docs.google.com/spreadsheets/d/1jTcq05yEiRwXcBMLjiodW9e4biSGYWAHcDj22rKWQ3s/edit?usp=sharing"",""กำแพงเพชร!Q147"")+IMPORTRANGE(""https://docs.google.com/spreadsheets/d/1KS0zmDSZPk8KnTAbGN-Xk6MtX1YRZD0ldgdt20K4CRk/edit?usp=sharing"","&amp;"""เชียงราย!Q147"")+IMPORTRANGE(""https://docs.google.com/spreadsheets/d/1rEDxBtusbi64tE0zunoIbsTVV16HeL0oJ6trHQeQ7K8/edit?usp=sharing"",""เชียงใหม่!Q147"")+IMPORTRANGE(""https://docs.google.com/spreadsheets/d/1W6MnUbDkMi6xHnHko_XkFDO9kkuL6Wqyc-6OCDFjW9I/e"&amp;"dit?usp=sharing"",""ตาก!Q147"")+IMPORTRANGE(""https://docs.google.com/spreadsheets/d/1IQAWArduLkta9LpYo4a_ULsyqdta6-6aDDiwpUnQT6c/edit?usp=sharing"",""นครสวรรค์!Q147"")+IMPORTRANGE(""https://docs.google.com/spreadsheets/d/10s13Sk5xrltsiR-Zkbmk5DwIaDIKO8Xl"&amp;"bJAfqyT7Gvg/edit?usp=sharing"",""น่าน!Q147"")+IMPORTRANGE(""https://docs.google.com/spreadsheets/d/1uu4nAn4Dbi1XREnLKKotUANlKXa7yCgRcgq8HEzQYW8/edit?usp=sharing"",""พะเยา!Q147"")+IMPORTRANGE(""https://docs.google.com/spreadsheets/d/1xfJKIQxVOaPDIICqsflNlL"&amp;"u3JacTDk1FP9RH4phX7mI/edit?usp=sharing"",""พิจิตร!Q147"")+IMPORTRANGE(""https://docs.google.com/spreadsheets/d/1JtRfZkJMHtEhI5RdRHxYUG4FIZHqKDpNyIuN7A1Q0_k/edit?usp=sharing"",""พิษณุโลก!Q147"")+IMPORTRANGE(""https://docs.google.com/spreadsheets/d/1xlcVZWU"&amp;"Nn6SuWm0c307h32SiGkd9BaeQWlAktfD3KO8/edit?usp=sharing"",""เพชรบูรณ์!Q147"")+IMPORTRANGE(""https://docs.google.com/spreadsheets/d/1lOVebEIsI9qjGXl6EX66luk7wiuP2tBaryw-wKvv4e0/edit?usp=sharing"",""แพร่!Q147"")+IMPORTRANGE(""https://docs.google.com/spreadshe"&amp;"ets/d/1dQrvX0vEcN7Gu0fnZ0B5S90AeR19zth4XlExFBeExMY/edit?usp=sharing"",""แม่ฮ่องสอน!Q147"")+IMPORTRANGE(""https://docs.google.com/spreadsheets/d/1DY4XTNNwjluuxqdfdn6qvOSlMRrZqUtmYcZR0ttFiG4/edit?usp=sharing"",""ลำปาง!Q147"")+IMPORTRANGE(""https://docs.goog"&amp;"le.com/spreadsheets/d/1ICwG78r0OFT8biBlxnBF8r7she7gNSzOvJ958PWT09c/edit?usp=sharing"",""ลำพูน!Q147"")+IMPORTRANGE(""https://docs.google.com/spreadsheets/d/1B0f2xJpZUC6Z0xXnqKlZtEPzsf6L84eP1r1Q15seqRM/edit?usp=sharing"",""สุโขทัย!Q147"")+IMPORTRANGE(""http"&amp;"s://docs.google.com/spreadsheets/d/1v0b9pFQCsKUVExMei7AgY2yQkdeNQvtOssygGsXbiKo/edit?usp=sharing"",""อุตรดิตถ์!Q147"")+IMPORTRANGE(""https://docs.google.com/spreadsheets/d/1UsNK1e-WWiCo2PvGqdNfdme4m17_Ezd3J69EeeiQPD0/edit?usp=sharing"",""อุทัยธานี!Q147"")"),0)</f>
        <v>0</v>
      </c>
      <c r="R147" s="46">
        <f ca="1">IFERROR(__xludf.DUMMYFUNCTION("IMPORTRANGE(""https://docs.google.com/spreadsheets/d/1jTcq05yEiRwXcBMLjiodW9e4biSGYWAHcDj22rKWQ3s/edit?usp=sharing"",""กำแพงเพชร!R147"")+IMPORTRANGE(""https://docs.google.com/spreadsheets/d/1KS0zmDSZPk8KnTAbGN-Xk6MtX1YRZD0ldgdt20K4CRk/edit?usp=sharing"","&amp;"""เชียงราย!R147"")+IMPORTRANGE(""https://docs.google.com/spreadsheets/d/1rEDxBtusbi64tE0zunoIbsTVV16HeL0oJ6trHQeQ7K8/edit?usp=sharing"",""เชียงใหม่!R147"")+IMPORTRANGE(""https://docs.google.com/spreadsheets/d/1W6MnUbDkMi6xHnHko_XkFDO9kkuL6Wqyc-6OCDFjW9I/e"&amp;"dit?usp=sharing"",""ตาก!R147"")+IMPORTRANGE(""https://docs.google.com/spreadsheets/d/1IQAWArduLkta9LpYo4a_ULsyqdta6-6aDDiwpUnQT6c/edit?usp=sharing"",""นครสวรรค์!R147"")+IMPORTRANGE(""https://docs.google.com/spreadsheets/d/10s13Sk5xrltsiR-Zkbmk5DwIaDIKO8Xl"&amp;"bJAfqyT7Gvg/edit?usp=sharing"",""น่าน!R147"")+IMPORTRANGE(""https://docs.google.com/spreadsheets/d/1uu4nAn4Dbi1XREnLKKotUANlKXa7yCgRcgq8HEzQYW8/edit?usp=sharing"",""พะเยา!R147"")+IMPORTRANGE(""https://docs.google.com/spreadsheets/d/1xfJKIQxVOaPDIICqsflNlL"&amp;"u3JacTDk1FP9RH4phX7mI/edit?usp=sharing"",""พิจิตร!R147"")+IMPORTRANGE(""https://docs.google.com/spreadsheets/d/1JtRfZkJMHtEhI5RdRHxYUG4FIZHqKDpNyIuN7A1Q0_k/edit?usp=sharing"",""พิษณุโลก!R147"")+IMPORTRANGE(""https://docs.google.com/spreadsheets/d/1xlcVZWU"&amp;"Nn6SuWm0c307h32SiGkd9BaeQWlAktfD3KO8/edit?usp=sharing"",""เพชรบูรณ์!R147"")+IMPORTRANGE(""https://docs.google.com/spreadsheets/d/1lOVebEIsI9qjGXl6EX66luk7wiuP2tBaryw-wKvv4e0/edit?usp=sharing"",""แพร่!R147"")+IMPORTRANGE(""https://docs.google.com/spreadshe"&amp;"ets/d/1dQrvX0vEcN7Gu0fnZ0B5S90AeR19zth4XlExFBeExMY/edit?usp=sharing"",""แม่ฮ่องสอน!R147"")+IMPORTRANGE(""https://docs.google.com/spreadsheets/d/1DY4XTNNwjluuxqdfdn6qvOSlMRrZqUtmYcZR0ttFiG4/edit?usp=sharing"",""ลำปาง!R147"")+IMPORTRANGE(""https://docs.goog"&amp;"le.com/spreadsheets/d/1ICwG78r0OFT8biBlxnBF8r7she7gNSzOvJ958PWT09c/edit?usp=sharing"",""ลำพูน!R147"")+IMPORTRANGE(""https://docs.google.com/spreadsheets/d/1B0f2xJpZUC6Z0xXnqKlZtEPzsf6L84eP1r1Q15seqRM/edit?usp=sharing"",""สุโขทัย!R147"")+IMPORTRANGE(""http"&amp;"s://docs.google.com/spreadsheets/d/1v0b9pFQCsKUVExMei7AgY2yQkdeNQvtOssygGsXbiKo/edit?usp=sharing"",""อุตรดิตถ์!R147"")+IMPORTRANGE(""https://docs.google.com/spreadsheets/d/1UsNK1e-WWiCo2PvGqdNfdme4m17_Ezd3J69EeeiQPD0/edit?usp=sharing"",""อุทัยธานี!R147"")"),0)</f>
        <v>0</v>
      </c>
      <c r="S147" s="46">
        <f ca="1">IFERROR(__xludf.DUMMYFUNCTION("IMPORTRANGE(""https://docs.google.com/spreadsheets/d/1jTcq05yEiRwXcBMLjiodW9e4biSGYWAHcDj22rKWQ3s/edit?usp=sharing"",""กำแพงเพชร!S147"")+IMPORTRANGE(""https://docs.google.com/spreadsheets/d/1KS0zmDSZPk8KnTAbGN-Xk6MtX1YRZD0ldgdt20K4CRk/edit?usp=sharing"","&amp;"""เชียงราย!S147"")+IMPORTRANGE(""https://docs.google.com/spreadsheets/d/1rEDxBtusbi64tE0zunoIbsTVV16HeL0oJ6trHQeQ7K8/edit?usp=sharing"",""เชียงใหม่!S147"")+IMPORTRANGE(""https://docs.google.com/spreadsheets/d/1W6MnUbDkMi6xHnHko_XkFDO9kkuL6Wqyc-6OCDFjW9I/e"&amp;"dit?usp=sharing"",""ตาก!S147"")+IMPORTRANGE(""https://docs.google.com/spreadsheets/d/1IQAWArduLkta9LpYo4a_ULsyqdta6-6aDDiwpUnQT6c/edit?usp=sharing"",""นครสวรรค์!S147"")+IMPORTRANGE(""https://docs.google.com/spreadsheets/d/10s13Sk5xrltsiR-Zkbmk5DwIaDIKO8Xl"&amp;"bJAfqyT7Gvg/edit?usp=sharing"",""น่าน!S147"")+IMPORTRANGE(""https://docs.google.com/spreadsheets/d/1uu4nAn4Dbi1XREnLKKotUANlKXa7yCgRcgq8HEzQYW8/edit?usp=sharing"",""พะเยา!S147"")+IMPORTRANGE(""https://docs.google.com/spreadsheets/d/1xfJKIQxVOaPDIICqsflNlL"&amp;"u3JacTDk1FP9RH4phX7mI/edit?usp=sharing"",""พิจิตร!S147"")+IMPORTRANGE(""https://docs.google.com/spreadsheets/d/1JtRfZkJMHtEhI5RdRHxYUG4FIZHqKDpNyIuN7A1Q0_k/edit?usp=sharing"",""พิษณุโลก!S147"")+IMPORTRANGE(""https://docs.google.com/spreadsheets/d/1xlcVZWU"&amp;"Nn6SuWm0c307h32SiGkd9BaeQWlAktfD3KO8/edit?usp=sharing"",""เพชรบูรณ์!S147"")+IMPORTRANGE(""https://docs.google.com/spreadsheets/d/1lOVebEIsI9qjGXl6EX66luk7wiuP2tBaryw-wKvv4e0/edit?usp=sharing"",""แพร่!S147"")+IMPORTRANGE(""https://docs.google.com/spreadshe"&amp;"ets/d/1dQrvX0vEcN7Gu0fnZ0B5S90AeR19zth4XlExFBeExMY/edit?usp=sharing"",""แม่ฮ่องสอน!S147"")+IMPORTRANGE(""https://docs.google.com/spreadsheets/d/1DY4XTNNwjluuxqdfdn6qvOSlMRrZqUtmYcZR0ttFiG4/edit?usp=sharing"",""ลำปาง!S147"")+IMPORTRANGE(""https://docs.goog"&amp;"le.com/spreadsheets/d/1ICwG78r0OFT8biBlxnBF8r7she7gNSzOvJ958PWT09c/edit?usp=sharing"",""ลำพูน!S147"")+IMPORTRANGE(""https://docs.google.com/spreadsheets/d/1B0f2xJpZUC6Z0xXnqKlZtEPzsf6L84eP1r1Q15seqRM/edit?usp=sharing"",""สุโขทัย!S147"")+IMPORTRANGE(""http"&amp;"s://docs.google.com/spreadsheets/d/1v0b9pFQCsKUVExMei7AgY2yQkdeNQvtOssygGsXbiKo/edit?usp=sharing"",""อุตรดิตถ์!S147"")+IMPORTRANGE(""https://docs.google.com/spreadsheets/d/1UsNK1e-WWiCo2PvGqdNfdme4m17_Ezd3J69EeeiQPD0/edit?usp=sharing"",""อุทัยธานี!S147"")"),0)</f>
        <v>0</v>
      </c>
      <c r="T147" s="46">
        <f t="shared" ca="1" si="113"/>
        <v>0</v>
      </c>
      <c r="U147" s="46">
        <f t="shared" ca="1" si="114"/>
        <v>0</v>
      </c>
    </row>
    <row r="148" spans="1:21" ht="19.5" x14ac:dyDescent="0.3">
      <c r="A148" s="138"/>
      <c r="B148" s="139"/>
      <c r="C148" s="129" t="s">
        <v>18</v>
      </c>
      <c r="D148" s="140" t="s">
        <v>38</v>
      </c>
      <c r="E148" s="141"/>
      <c r="F148" s="141"/>
      <c r="G148" s="142"/>
      <c r="H148" s="178"/>
      <c r="I148" s="44"/>
      <c r="J148" s="44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1:21" ht="18.75" x14ac:dyDescent="0.25">
      <c r="A149" s="128"/>
      <c r="B149" s="40"/>
      <c r="C149" s="40"/>
      <c r="D149" s="47" t="s">
        <v>63</v>
      </c>
      <c r="E149" s="40"/>
      <c r="F149" s="40"/>
      <c r="G149" s="42"/>
      <c r="H149" s="178"/>
      <c r="I149" s="44"/>
      <c r="J149" s="166">
        <f ca="1">IFERROR(__xludf.DUMMYFUNCTION("IMPORTRANGE(""https://docs.google.com/spreadsheets/d/1jTcq05yEiRwXcBMLjiodW9e4biSGYWAHcDj22rKWQ3s/edit?usp=sharing"",""กำแพงเพชร!J149"")+IMPORTRANGE(""https://docs.google.com/spreadsheets/d/1KS0zmDSZPk8KnTAbGN-Xk6MtX1YRZD0ldgdt20K4CRk/edit?usp=sharing"","&amp;"""เชียงราย!J149"")+IMPORTRANGE(""https://docs.google.com/spreadsheets/d/1rEDxBtusbi64tE0zunoIbsTVV16HeL0oJ6trHQeQ7K8/edit?usp=sharing"",""เชียงใหม่!J149"")+IMPORTRANGE(""https://docs.google.com/spreadsheets/d/1W6MnUbDkMi6xHnHko_XkFDO9kkuL6Wqyc-6OCDFjW9I/e"&amp;"dit?usp=sharing"",""ตาก!J149"")+IMPORTRANGE(""https://docs.google.com/spreadsheets/d/1IQAWArduLkta9LpYo4a_ULsyqdta6-6aDDiwpUnQT6c/edit?usp=sharing"",""นครสวรรค์!J149"")+IMPORTRANGE(""https://docs.google.com/spreadsheets/d/10s13Sk5xrltsiR-Zkbmk5DwIaDIKO8Xl"&amp;"bJAfqyT7Gvg/edit?usp=sharing"",""น่าน!J149"")+IMPORTRANGE(""https://docs.google.com/spreadsheets/d/1uu4nAn4Dbi1XREnLKKotUANlKXa7yCgRcgq8HEzQYW8/edit?usp=sharing"",""พะเยา!J149"")+IMPORTRANGE(""https://docs.google.com/spreadsheets/d/1xfJKIQxVOaPDIICqsflNlL"&amp;"u3JacTDk1FP9RH4phX7mI/edit?usp=sharing"",""พิจิตร!J149"")+IMPORTRANGE(""https://docs.google.com/spreadsheets/d/1JtRfZkJMHtEhI5RdRHxYUG4FIZHqKDpNyIuN7A1Q0_k/edit?usp=sharing"",""พิษณุโลก!J149"")+IMPORTRANGE(""https://docs.google.com/spreadsheets/d/1xlcVZWU"&amp;"Nn6SuWm0c307h32SiGkd9BaeQWlAktfD3KO8/edit?usp=sharing"",""เพชรบูรณ์!J149"")+IMPORTRANGE(""https://docs.google.com/spreadsheets/d/1lOVebEIsI9qjGXl6EX66luk7wiuP2tBaryw-wKvv4e0/edit?usp=sharing"",""แพร่!J149"")+IMPORTRANGE(""https://docs.google.com/spreadshe"&amp;"ets/d/1dQrvX0vEcN7Gu0fnZ0B5S90AeR19zth4XlExFBeExMY/edit?usp=sharing"",""แม่ฮ่องสอน!J149"")+IMPORTRANGE(""https://docs.google.com/spreadsheets/d/1DY4XTNNwjluuxqdfdn6qvOSlMRrZqUtmYcZR0ttFiG4/edit?usp=sharing"",""ลำปาง!J149"")+IMPORTRANGE(""https://docs.goog"&amp;"le.com/spreadsheets/d/1ICwG78r0OFT8biBlxnBF8r7she7gNSzOvJ958PWT09c/edit?usp=sharing"",""ลำพูน!J149"")+IMPORTRANGE(""https://docs.google.com/spreadsheets/d/1B0f2xJpZUC6Z0xXnqKlZtEPzsf6L84eP1r1Q15seqRM/edit?usp=sharing"",""สุโขทัย!J149"")+IMPORTRANGE(""http"&amp;"s://docs.google.com/spreadsheets/d/1v0b9pFQCsKUVExMei7AgY2yQkdeNQvtOssygGsXbiKo/edit?usp=sharing"",""อุตรดิตถ์!J149"")+IMPORTRANGE(""https://docs.google.com/spreadsheets/d/1UsNK1e-WWiCo2PvGqdNfdme4m17_Ezd3J69EeeiQPD0/edit?usp=sharing"",""อุทัยธานี!J149"")"),1)</f>
        <v>1</v>
      </c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1:21" ht="19.5" x14ac:dyDescent="0.3">
      <c r="A150" s="128"/>
      <c r="B150" s="40"/>
      <c r="C150" s="40"/>
      <c r="D150" s="145"/>
      <c r="E150" s="129" t="s">
        <v>64</v>
      </c>
      <c r="F150" s="40"/>
      <c r="G150" s="42"/>
      <c r="H150" s="137" t="s">
        <v>35</v>
      </c>
      <c r="I150" s="166">
        <f ca="1">IFERROR(__xludf.DUMMYFUNCTION("IMPORTRANGE(""https://docs.google.com/spreadsheets/d/1jTcq05yEiRwXcBMLjiodW9e4biSGYWAHcDj22rKWQ3s/edit?usp=sharing"",""กำแพงเพชร!I150"")+IMPORTRANGE(""https://docs.google.com/spreadsheets/d/1KS0zmDSZPk8KnTAbGN-Xk6MtX1YRZD0ldgdt20K4CRk/edit?usp=sharing"","&amp;"""เชียงราย!I150"")+IMPORTRANGE(""https://docs.google.com/spreadsheets/d/1rEDxBtusbi64tE0zunoIbsTVV16HeL0oJ6trHQeQ7K8/edit?usp=sharing"",""เชียงใหม่!I150"")+IMPORTRANGE(""https://docs.google.com/spreadsheets/d/1W6MnUbDkMi6xHnHko_XkFDO9kkuL6Wqyc-6OCDFjW9I/e"&amp;"dit?usp=sharing"",""ตาก!I150"")+IMPORTRANGE(""https://docs.google.com/spreadsheets/d/1IQAWArduLkta9LpYo4a_ULsyqdta6-6aDDiwpUnQT6c/edit?usp=sharing"",""นครสวรรค์!I150"")+IMPORTRANGE(""https://docs.google.com/spreadsheets/d/10s13Sk5xrltsiR-Zkbmk5DwIaDIKO8Xl"&amp;"bJAfqyT7Gvg/edit?usp=sharing"",""น่าน!I150"")+IMPORTRANGE(""https://docs.google.com/spreadsheets/d/1uu4nAn4Dbi1XREnLKKotUANlKXa7yCgRcgq8HEzQYW8/edit?usp=sharing"",""พะเยา!I150"")+IMPORTRANGE(""https://docs.google.com/spreadsheets/d/1xfJKIQxVOaPDIICqsflNlL"&amp;"u3JacTDk1FP9RH4phX7mI/edit?usp=sharing"",""พิจิตร!I150"")+IMPORTRANGE(""https://docs.google.com/spreadsheets/d/1JtRfZkJMHtEhI5RdRHxYUG4FIZHqKDpNyIuN7A1Q0_k/edit?usp=sharing"",""พิษณุโลก!I150"")+IMPORTRANGE(""https://docs.google.com/spreadsheets/d/1xlcVZWU"&amp;"Nn6SuWm0c307h32SiGkd9BaeQWlAktfD3KO8/edit?usp=sharing"",""เพชรบูรณ์!I150"")+IMPORTRANGE(""https://docs.google.com/spreadsheets/d/1lOVebEIsI9qjGXl6EX66luk7wiuP2tBaryw-wKvv4e0/edit?usp=sharing"",""แพร่!I150"")+IMPORTRANGE(""https://docs.google.com/spreadshe"&amp;"ets/d/1dQrvX0vEcN7Gu0fnZ0B5S90AeR19zth4XlExFBeExMY/edit?usp=sharing"",""แม่ฮ่องสอน!I150"")+IMPORTRANGE(""https://docs.google.com/spreadsheets/d/1DY4XTNNwjluuxqdfdn6qvOSlMRrZqUtmYcZR0ttFiG4/edit?usp=sharing"",""ลำปาง!I150"")+IMPORTRANGE(""https://docs.goog"&amp;"le.com/spreadsheets/d/1ICwG78r0OFT8biBlxnBF8r7she7gNSzOvJ958PWT09c/edit?usp=sharing"",""ลำพูน!I150"")+IMPORTRANGE(""https://docs.google.com/spreadsheets/d/1B0f2xJpZUC6Z0xXnqKlZtEPzsf6L84eP1r1Q15seqRM/edit?usp=sharing"",""สุโขทัย!I150"")+IMPORTRANGE(""http"&amp;"s://docs.google.com/spreadsheets/d/1v0b9pFQCsKUVExMei7AgY2yQkdeNQvtOssygGsXbiKo/edit?usp=sharing"",""อุตรดิตถ์!I150"")+IMPORTRANGE(""https://docs.google.com/spreadsheets/d/1UsNK1e-WWiCo2PvGqdNfdme4m17_Ezd3J69EeeiQPD0/edit?usp=sharing"",""อุทัยธานี!I150"")"),150)</f>
        <v>150</v>
      </c>
      <c r="J150" s="166">
        <f ca="1">IFERROR(__xludf.DUMMYFUNCTION("IMPORTRANGE(""https://docs.google.com/spreadsheets/d/1jTcq05yEiRwXcBMLjiodW9e4biSGYWAHcDj22rKWQ3s/edit?usp=sharing"",""กำแพงเพชร!J150"")+IMPORTRANGE(""https://docs.google.com/spreadsheets/d/1KS0zmDSZPk8KnTAbGN-Xk6MtX1YRZD0ldgdt20K4CRk/edit?usp=sharing"","&amp;"""เชียงราย!J150"")+IMPORTRANGE(""https://docs.google.com/spreadsheets/d/1rEDxBtusbi64tE0zunoIbsTVV16HeL0oJ6trHQeQ7K8/edit?usp=sharing"",""เชียงใหม่!J150"")+IMPORTRANGE(""https://docs.google.com/spreadsheets/d/1W6MnUbDkMi6xHnHko_XkFDO9kkuL6Wqyc-6OCDFjW9I/e"&amp;"dit?usp=sharing"",""ตาก!J150"")+IMPORTRANGE(""https://docs.google.com/spreadsheets/d/1IQAWArduLkta9LpYo4a_ULsyqdta6-6aDDiwpUnQT6c/edit?usp=sharing"",""นครสวรรค์!J150"")+IMPORTRANGE(""https://docs.google.com/spreadsheets/d/10s13Sk5xrltsiR-Zkbmk5DwIaDIKO8Xl"&amp;"bJAfqyT7Gvg/edit?usp=sharing"",""น่าน!J150"")+IMPORTRANGE(""https://docs.google.com/spreadsheets/d/1uu4nAn4Dbi1XREnLKKotUANlKXa7yCgRcgq8HEzQYW8/edit?usp=sharing"",""พะเยา!J150"")+IMPORTRANGE(""https://docs.google.com/spreadsheets/d/1xfJKIQxVOaPDIICqsflNlL"&amp;"u3JacTDk1FP9RH4phX7mI/edit?usp=sharing"",""พิจิตร!J150"")+IMPORTRANGE(""https://docs.google.com/spreadsheets/d/1JtRfZkJMHtEhI5RdRHxYUG4FIZHqKDpNyIuN7A1Q0_k/edit?usp=sharing"",""พิษณุโลก!J150"")+IMPORTRANGE(""https://docs.google.com/spreadsheets/d/1xlcVZWU"&amp;"Nn6SuWm0c307h32SiGkd9BaeQWlAktfD3KO8/edit?usp=sharing"",""เพชรบูรณ์!J150"")+IMPORTRANGE(""https://docs.google.com/spreadsheets/d/1lOVebEIsI9qjGXl6EX66luk7wiuP2tBaryw-wKvv4e0/edit?usp=sharing"",""แพร่!J150"")+IMPORTRANGE(""https://docs.google.com/spreadshe"&amp;"ets/d/1dQrvX0vEcN7Gu0fnZ0B5S90AeR19zth4XlExFBeExMY/edit?usp=sharing"",""แม่ฮ่องสอน!J150"")+IMPORTRANGE(""https://docs.google.com/spreadsheets/d/1DY4XTNNwjluuxqdfdn6qvOSlMRrZqUtmYcZR0ttFiG4/edit?usp=sharing"",""ลำปาง!J150"")+IMPORTRANGE(""https://docs.goog"&amp;"le.com/spreadsheets/d/1ICwG78r0OFT8biBlxnBF8r7she7gNSzOvJ958PWT09c/edit?usp=sharing"",""ลำพูน!J150"")+IMPORTRANGE(""https://docs.google.com/spreadsheets/d/1B0f2xJpZUC6Z0xXnqKlZtEPzsf6L84eP1r1Q15seqRM/edit?usp=sharing"",""สุโขทัย!J150"")+IMPORTRANGE(""http"&amp;"s://docs.google.com/spreadsheets/d/1v0b9pFQCsKUVExMei7AgY2yQkdeNQvtOssygGsXbiKo/edit?usp=sharing"",""อุตรดิตถ์!J150"")+IMPORTRANGE(""https://docs.google.com/spreadsheets/d/1UsNK1e-WWiCo2PvGqdNfdme4m17_Ezd3J69EeeiQPD0/edit?usp=sharing"",""อุทัยธานี!J150"")"),74)</f>
        <v>74</v>
      </c>
      <c r="K150" s="46">
        <f t="shared" ref="K150:K154" ca="1" si="123">IF(I150&gt;0,J150*100/I150,0)</f>
        <v>49.333333333333336</v>
      </c>
      <c r="L150" s="45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1:21" ht="18.75" x14ac:dyDescent="0.25">
      <c r="A151" s="128"/>
      <c r="B151" s="40"/>
      <c r="C151" s="40"/>
      <c r="D151" s="145"/>
      <c r="E151" s="40"/>
      <c r="F151" s="40"/>
      <c r="G151" s="42"/>
      <c r="H151" s="137" t="s">
        <v>54</v>
      </c>
      <c r="I151" s="166">
        <f ca="1">IFERROR(__xludf.DUMMYFUNCTION("IMPORTRANGE(""https://docs.google.com/spreadsheets/d/1jTcq05yEiRwXcBMLjiodW9e4biSGYWAHcDj22rKWQ3s/edit?usp=sharing"",""กำแพงเพชร!I151"")+IMPORTRANGE(""https://docs.google.com/spreadsheets/d/1KS0zmDSZPk8KnTAbGN-Xk6MtX1YRZD0ldgdt20K4CRk/edit?usp=sharing"","&amp;"""เชียงราย!I151"")+IMPORTRANGE(""https://docs.google.com/spreadsheets/d/1rEDxBtusbi64tE0zunoIbsTVV16HeL0oJ6trHQeQ7K8/edit?usp=sharing"",""เชียงใหม่!I151"")+IMPORTRANGE(""https://docs.google.com/spreadsheets/d/1W6MnUbDkMi6xHnHko_XkFDO9kkuL6Wqyc-6OCDFjW9I/e"&amp;"dit?usp=sharing"",""ตาก!I151"")+IMPORTRANGE(""https://docs.google.com/spreadsheets/d/1IQAWArduLkta9LpYo4a_ULsyqdta6-6aDDiwpUnQT6c/edit?usp=sharing"",""นครสวรรค์!I151"")+IMPORTRANGE(""https://docs.google.com/spreadsheets/d/10s13Sk5xrltsiR-Zkbmk5DwIaDIKO8Xl"&amp;"bJAfqyT7Gvg/edit?usp=sharing"",""น่าน!I151"")+IMPORTRANGE(""https://docs.google.com/spreadsheets/d/1uu4nAn4Dbi1XREnLKKotUANlKXa7yCgRcgq8HEzQYW8/edit?usp=sharing"",""พะเยา!I151"")+IMPORTRANGE(""https://docs.google.com/spreadsheets/d/1xfJKIQxVOaPDIICqsflNlL"&amp;"u3JacTDk1FP9RH4phX7mI/edit?usp=sharing"",""พิจิตร!I151"")+IMPORTRANGE(""https://docs.google.com/spreadsheets/d/1JtRfZkJMHtEhI5RdRHxYUG4FIZHqKDpNyIuN7A1Q0_k/edit?usp=sharing"",""พิษณุโลก!I151"")+IMPORTRANGE(""https://docs.google.com/spreadsheets/d/1xlcVZWU"&amp;"Nn6SuWm0c307h32SiGkd9BaeQWlAktfD3KO8/edit?usp=sharing"",""เพชรบูรณ์!I151"")+IMPORTRANGE(""https://docs.google.com/spreadsheets/d/1lOVebEIsI9qjGXl6EX66luk7wiuP2tBaryw-wKvv4e0/edit?usp=sharing"",""แพร่!I151"")+IMPORTRANGE(""https://docs.google.com/spreadshe"&amp;"ets/d/1dQrvX0vEcN7Gu0fnZ0B5S90AeR19zth4XlExFBeExMY/edit?usp=sharing"",""แม่ฮ่องสอน!I151"")+IMPORTRANGE(""https://docs.google.com/spreadsheets/d/1DY4XTNNwjluuxqdfdn6qvOSlMRrZqUtmYcZR0ttFiG4/edit?usp=sharing"",""ลำปาง!I151"")+IMPORTRANGE(""https://docs.goog"&amp;"le.com/spreadsheets/d/1ICwG78r0OFT8biBlxnBF8r7she7gNSzOvJ958PWT09c/edit?usp=sharing"",""ลำพูน!I151"")+IMPORTRANGE(""https://docs.google.com/spreadsheets/d/1B0f2xJpZUC6Z0xXnqKlZtEPzsf6L84eP1r1Q15seqRM/edit?usp=sharing"",""สุโขทัย!I151"")+IMPORTRANGE(""http"&amp;"s://docs.google.com/spreadsheets/d/1v0b9pFQCsKUVExMei7AgY2yQkdeNQvtOssygGsXbiKo/edit?usp=sharing"",""อุตรดิตถ์!I151"")+IMPORTRANGE(""https://docs.google.com/spreadsheets/d/1UsNK1e-WWiCo2PvGqdNfdme4m17_Ezd3J69EeeiQPD0/edit?usp=sharing"",""อุทัยธานี!I151"")"),15)</f>
        <v>15</v>
      </c>
      <c r="J151" s="166">
        <f ca="1">IFERROR(__xludf.DUMMYFUNCTION("IMPORTRANGE(""https://docs.google.com/spreadsheets/d/1jTcq05yEiRwXcBMLjiodW9e4biSGYWAHcDj22rKWQ3s/edit?usp=sharing"",""กำแพงเพชร!J151"")+IMPORTRANGE(""https://docs.google.com/spreadsheets/d/1KS0zmDSZPk8KnTAbGN-Xk6MtX1YRZD0ldgdt20K4CRk/edit?usp=sharing"","&amp;"""เชียงราย!J151"")+IMPORTRANGE(""https://docs.google.com/spreadsheets/d/1rEDxBtusbi64tE0zunoIbsTVV16HeL0oJ6trHQeQ7K8/edit?usp=sharing"",""เชียงใหม่!J151"")+IMPORTRANGE(""https://docs.google.com/spreadsheets/d/1W6MnUbDkMi6xHnHko_XkFDO9kkuL6Wqyc-6OCDFjW9I/e"&amp;"dit?usp=sharing"",""ตาก!J151"")+IMPORTRANGE(""https://docs.google.com/spreadsheets/d/1IQAWArduLkta9LpYo4a_ULsyqdta6-6aDDiwpUnQT6c/edit?usp=sharing"",""นครสวรรค์!J151"")+IMPORTRANGE(""https://docs.google.com/spreadsheets/d/10s13Sk5xrltsiR-Zkbmk5DwIaDIKO8Xl"&amp;"bJAfqyT7Gvg/edit?usp=sharing"",""น่าน!J151"")+IMPORTRANGE(""https://docs.google.com/spreadsheets/d/1uu4nAn4Dbi1XREnLKKotUANlKXa7yCgRcgq8HEzQYW8/edit?usp=sharing"",""พะเยา!J151"")+IMPORTRANGE(""https://docs.google.com/spreadsheets/d/1xfJKIQxVOaPDIICqsflNlL"&amp;"u3JacTDk1FP9RH4phX7mI/edit?usp=sharing"",""พิจิตร!J151"")+IMPORTRANGE(""https://docs.google.com/spreadsheets/d/1JtRfZkJMHtEhI5RdRHxYUG4FIZHqKDpNyIuN7A1Q0_k/edit?usp=sharing"",""พิษณุโลก!J151"")+IMPORTRANGE(""https://docs.google.com/spreadsheets/d/1xlcVZWU"&amp;"Nn6SuWm0c307h32SiGkd9BaeQWlAktfD3KO8/edit?usp=sharing"",""เพชรบูรณ์!J151"")+IMPORTRANGE(""https://docs.google.com/spreadsheets/d/1lOVebEIsI9qjGXl6EX66luk7wiuP2tBaryw-wKvv4e0/edit?usp=sharing"",""แพร่!J151"")+IMPORTRANGE(""https://docs.google.com/spreadshe"&amp;"ets/d/1dQrvX0vEcN7Gu0fnZ0B5S90AeR19zth4XlExFBeExMY/edit?usp=sharing"",""แม่ฮ่องสอน!J151"")+IMPORTRANGE(""https://docs.google.com/spreadsheets/d/1DY4XTNNwjluuxqdfdn6qvOSlMRrZqUtmYcZR0ttFiG4/edit?usp=sharing"",""ลำปาง!J151"")+IMPORTRANGE(""https://docs.goog"&amp;"le.com/spreadsheets/d/1ICwG78r0OFT8biBlxnBF8r7she7gNSzOvJ958PWT09c/edit?usp=sharing"",""ลำพูน!J151"")+IMPORTRANGE(""https://docs.google.com/spreadsheets/d/1B0f2xJpZUC6Z0xXnqKlZtEPzsf6L84eP1r1Q15seqRM/edit?usp=sharing"",""สุโขทัย!J151"")+IMPORTRANGE(""http"&amp;"s://docs.google.com/spreadsheets/d/1v0b9pFQCsKUVExMei7AgY2yQkdeNQvtOssygGsXbiKo/edit?usp=sharing"",""อุตรดิตถ์!J151"")+IMPORTRANGE(""https://docs.google.com/spreadsheets/d/1UsNK1e-WWiCo2PvGqdNfdme4m17_Ezd3J69EeeiQPD0/edit?usp=sharing"",""อุทัยธานี!J151"")"),7)</f>
        <v>7</v>
      </c>
      <c r="K151" s="46">
        <f t="shared" ca="1" si="123"/>
        <v>46.666666666666664</v>
      </c>
      <c r="L151" s="45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1:21" ht="19.5" x14ac:dyDescent="0.3">
      <c r="A152" s="128"/>
      <c r="B152" s="40"/>
      <c r="C152" s="40"/>
      <c r="D152" s="145"/>
      <c r="E152" s="129" t="s">
        <v>65</v>
      </c>
      <c r="F152" s="40"/>
      <c r="G152" s="42"/>
      <c r="H152" s="137" t="s">
        <v>35</v>
      </c>
      <c r="I152" s="166">
        <f ca="1">IFERROR(__xludf.DUMMYFUNCTION("IMPORTRANGE(""https://docs.google.com/spreadsheets/d/1jTcq05yEiRwXcBMLjiodW9e4biSGYWAHcDj22rKWQ3s/edit?usp=sharing"",""กำแพงเพชร!I152"")+IMPORTRANGE(""https://docs.google.com/spreadsheets/d/1KS0zmDSZPk8KnTAbGN-Xk6MtX1YRZD0ldgdt20K4CRk/edit?usp=sharing"","&amp;"""เชียงราย!I152"")+IMPORTRANGE(""https://docs.google.com/spreadsheets/d/1rEDxBtusbi64tE0zunoIbsTVV16HeL0oJ6trHQeQ7K8/edit?usp=sharing"",""เชียงใหม่!I152"")+IMPORTRANGE(""https://docs.google.com/spreadsheets/d/1W6MnUbDkMi6xHnHko_XkFDO9kkuL6Wqyc-6OCDFjW9I/e"&amp;"dit?usp=sharing"",""ตาก!I152"")+IMPORTRANGE(""https://docs.google.com/spreadsheets/d/1IQAWArduLkta9LpYo4a_ULsyqdta6-6aDDiwpUnQT6c/edit?usp=sharing"",""นครสวรรค์!I152"")+IMPORTRANGE(""https://docs.google.com/spreadsheets/d/10s13Sk5xrltsiR-Zkbmk5DwIaDIKO8Xl"&amp;"bJAfqyT7Gvg/edit?usp=sharing"",""น่าน!I152"")+IMPORTRANGE(""https://docs.google.com/spreadsheets/d/1uu4nAn4Dbi1XREnLKKotUANlKXa7yCgRcgq8HEzQYW8/edit?usp=sharing"",""พะเยา!I152"")+IMPORTRANGE(""https://docs.google.com/spreadsheets/d/1xfJKIQxVOaPDIICqsflNlL"&amp;"u3JacTDk1FP9RH4phX7mI/edit?usp=sharing"",""พิจิตร!I152"")+IMPORTRANGE(""https://docs.google.com/spreadsheets/d/1JtRfZkJMHtEhI5RdRHxYUG4FIZHqKDpNyIuN7A1Q0_k/edit?usp=sharing"",""พิษณุโลก!I152"")+IMPORTRANGE(""https://docs.google.com/spreadsheets/d/1xlcVZWU"&amp;"Nn6SuWm0c307h32SiGkd9BaeQWlAktfD3KO8/edit?usp=sharing"",""เพชรบูรณ์!I152"")+IMPORTRANGE(""https://docs.google.com/spreadsheets/d/1lOVebEIsI9qjGXl6EX66luk7wiuP2tBaryw-wKvv4e0/edit?usp=sharing"",""แพร่!I152"")+IMPORTRANGE(""https://docs.google.com/spreadshe"&amp;"ets/d/1dQrvX0vEcN7Gu0fnZ0B5S90AeR19zth4XlExFBeExMY/edit?usp=sharing"",""แม่ฮ่องสอน!I152"")+IMPORTRANGE(""https://docs.google.com/spreadsheets/d/1DY4XTNNwjluuxqdfdn6qvOSlMRrZqUtmYcZR0ttFiG4/edit?usp=sharing"",""ลำปาง!I152"")+IMPORTRANGE(""https://docs.goog"&amp;"le.com/spreadsheets/d/1ICwG78r0OFT8biBlxnBF8r7she7gNSzOvJ958PWT09c/edit?usp=sharing"",""ลำพูน!I152"")+IMPORTRANGE(""https://docs.google.com/spreadsheets/d/1B0f2xJpZUC6Z0xXnqKlZtEPzsf6L84eP1r1Q15seqRM/edit?usp=sharing"",""สุโขทัย!I152"")+IMPORTRANGE(""http"&amp;"s://docs.google.com/spreadsheets/d/1v0b9pFQCsKUVExMei7AgY2yQkdeNQvtOssygGsXbiKo/edit?usp=sharing"",""อุตรดิตถ์!I152"")+IMPORTRANGE(""https://docs.google.com/spreadsheets/d/1UsNK1e-WWiCo2PvGqdNfdme4m17_Ezd3J69EeeiQPD0/edit?usp=sharing"",""อุทัยธานี!I152"")"),400)</f>
        <v>400</v>
      </c>
      <c r="J152" s="166">
        <f ca="1">IFERROR(__xludf.DUMMYFUNCTION("IMPORTRANGE(""https://docs.google.com/spreadsheets/d/1jTcq05yEiRwXcBMLjiodW9e4biSGYWAHcDj22rKWQ3s/edit?usp=sharing"",""กำแพงเพชร!J152"")+IMPORTRANGE(""https://docs.google.com/spreadsheets/d/1KS0zmDSZPk8KnTAbGN-Xk6MtX1YRZD0ldgdt20K4CRk/edit?usp=sharing"","&amp;"""เชียงราย!J152"")+IMPORTRANGE(""https://docs.google.com/spreadsheets/d/1rEDxBtusbi64tE0zunoIbsTVV16HeL0oJ6trHQeQ7K8/edit?usp=sharing"",""เชียงใหม่!J152"")+IMPORTRANGE(""https://docs.google.com/spreadsheets/d/1W6MnUbDkMi6xHnHko_XkFDO9kkuL6Wqyc-6OCDFjW9I/e"&amp;"dit?usp=sharing"",""ตาก!J152"")+IMPORTRANGE(""https://docs.google.com/spreadsheets/d/1IQAWArduLkta9LpYo4a_ULsyqdta6-6aDDiwpUnQT6c/edit?usp=sharing"",""นครสวรรค์!J152"")+IMPORTRANGE(""https://docs.google.com/spreadsheets/d/10s13Sk5xrltsiR-Zkbmk5DwIaDIKO8Xl"&amp;"bJAfqyT7Gvg/edit?usp=sharing"",""น่าน!J152"")+IMPORTRANGE(""https://docs.google.com/spreadsheets/d/1uu4nAn4Dbi1XREnLKKotUANlKXa7yCgRcgq8HEzQYW8/edit?usp=sharing"",""พะเยา!J152"")+IMPORTRANGE(""https://docs.google.com/spreadsheets/d/1xfJKIQxVOaPDIICqsflNlL"&amp;"u3JacTDk1FP9RH4phX7mI/edit?usp=sharing"",""พิจิตร!J152"")+IMPORTRANGE(""https://docs.google.com/spreadsheets/d/1JtRfZkJMHtEhI5RdRHxYUG4FIZHqKDpNyIuN7A1Q0_k/edit?usp=sharing"",""พิษณุโลก!J152"")+IMPORTRANGE(""https://docs.google.com/spreadsheets/d/1xlcVZWU"&amp;"Nn6SuWm0c307h32SiGkd9BaeQWlAktfD3KO8/edit?usp=sharing"",""เพชรบูรณ์!J152"")+IMPORTRANGE(""https://docs.google.com/spreadsheets/d/1lOVebEIsI9qjGXl6EX66luk7wiuP2tBaryw-wKvv4e0/edit?usp=sharing"",""แพร่!J152"")+IMPORTRANGE(""https://docs.google.com/spreadshe"&amp;"ets/d/1dQrvX0vEcN7Gu0fnZ0B5S90AeR19zth4XlExFBeExMY/edit?usp=sharing"",""แม่ฮ่องสอน!J152"")+IMPORTRANGE(""https://docs.google.com/spreadsheets/d/1DY4XTNNwjluuxqdfdn6qvOSlMRrZqUtmYcZR0ttFiG4/edit?usp=sharing"",""ลำปาง!J152"")+IMPORTRANGE(""https://docs.goog"&amp;"le.com/spreadsheets/d/1ICwG78r0OFT8biBlxnBF8r7she7gNSzOvJ958PWT09c/edit?usp=sharing"",""ลำพูน!J152"")+IMPORTRANGE(""https://docs.google.com/spreadsheets/d/1B0f2xJpZUC6Z0xXnqKlZtEPzsf6L84eP1r1Q15seqRM/edit?usp=sharing"",""สุโขทัย!J152"")+IMPORTRANGE(""http"&amp;"s://docs.google.com/spreadsheets/d/1v0b9pFQCsKUVExMei7AgY2yQkdeNQvtOssygGsXbiKo/edit?usp=sharing"",""อุตรดิตถ์!J152"")+IMPORTRANGE(""https://docs.google.com/spreadsheets/d/1UsNK1e-WWiCo2PvGqdNfdme4m17_Ezd3J69EeeiQPD0/edit?usp=sharing"",""อุทัยธานี!J152"")"),234)</f>
        <v>234</v>
      </c>
      <c r="K152" s="46">
        <f t="shared" ca="1" si="123"/>
        <v>58.5</v>
      </c>
      <c r="L152" s="45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1:21" ht="18.75" x14ac:dyDescent="0.25">
      <c r="A153" s="128"/>
      <c r="B153" s="40"/>
      <c r="C153" s="40"/>
      <c r="D153" s="40"/>
      <c r="E153" s="40"/>
      <c r="F153" s="40"/>
      <c r="G153" s="42"/>
      <c r="H153" s="137" t="s">
        <v>54</v>
      </c>
      <c r="I153" s="166">
        <f ca="1">IFERROR(__xludf.DUMMYFUNCTION("IMPORTRANGE(""https://docs.google.com/spreadsheets/d/1jTcq05yEiRwXcBMLjiodW9e4biSGYWAHcDj22rKWQ3s/edit?usp=sharing"",""กำแพงเพชร!I153"")+IMPORTRANGE(""https://docs.google.com/spreadsheets/d/1KS0zmDSZPk8KnTAbGN-Xk6MtX1YRZD0ldgdt20K4CRk/edit?usp=sharing"","&amp;"""เชียงราย!I153"")+IMPORTRANGE(""https://docs.google.com/spreadsheets/d/1rEDxBtusbi64tE0zunoIbsTVV16HeL0oJ6trHQeQ7K8/edit?usp=sharing"",""เชียงใหม่!I153"")+IMPORTRANGE(""https://docs.google.com/spreadsheets/d/1W6MnUbDkMi6xHnHko_XkFDO9kkuL6Wqyc-6OCDFjW9I/e"&amp;"dit?usp=sharing"",""ตาก!I153"")+IMPORTRANGE(""https://docs.google.com/spreadsheets/d/1IQAWArduLkta9LpYo4a_ULsyqdta6-6aDDiwpUnQT6c/edit?usp=sharing"",""นครสวรรค์!I153"")+IMPORTRANGE(""https://docs.google.com/spreadsheets/d/10s13Sk5xrltsiR-Zkbmk5DwIaDIKO8Xl"&amp;"bJAfqyT7Gvg/edit?usp=sharing"",""น่าน!I153"")+IMPORTRANGE(""https://docs.google.com/spreadsheets/d/1uu4nAn4Dbi1XREnLKKotUANlKXa7yCgRcgq8HEzQYW8/edit?usp=sharing"",""พะเยา!I153"")+IMPORTRANGE(""https://docs.google.com/spreadsheets/d/1xfJKIQxVOaPDIICqsflNlL"&amp;"u3JacTDk1FP9RH4phX7mI/edit?usp=sharing"",""พิจิตร!I153"")+IMPORTRANGE(""https://docs.google.com/spreadsheets/d/1JtRfZkJMHtEhI5RdRHxYUG4FIZHqKDpNyIuN7A1Q0_k/edit?usp=sharing"",""พิษณุโลก!I153"")+IMPORTRANGE(""https://docs.google.com/spreadsheets/d/1xlcVZWU"&amp;"Nn6SuWm0c307h32SiGkd9BaeQWlAktfD3KO8/edit?usp=sharing"",""เพชรบูรณ์!I153"")+IMPORTRANGE(""https://docs.google.com/spreadsheets/d/1lOVebEIsI9qjGXl6EX66luk7wiuP2tBaryw-wKvv4e0/edit?usp=sharing"",""แพร่!I153"")+IMPORTRANGE(""https://docs.google.com/spreadshe"&amp;"ets/d/1dQrvX0vEcN7Gu0fnZ0B5S90AeR19zth4XlExFBeExMY/edit?usp=sharing"",""แม่ฮ่องสอน!I153"")+IMPORTRANGE(""https://docs.google.com/spreadsheets/d/1DY4XTNNwjluuxqdfdn6qvOSlMRrZqUtmYcZR0ttFiG4/edit?usp=sharing"",""ลำปาง!I153"")+IMPORTRANGE(""https://docs.goog"&amp;"le.com/spreadsheets/d/1ICwG78r0OFT8biBlxnBF8r7she7gNSzOvJ958PWT09c/edit?usp=sharing"",""ลำพูน!I153"")+IMPORTRANGE(""https://docs.google.com/spreadsheets/d/1B0f2xJpZUC6Z0xXnqKlZtEPzsf6L84eP1r1Q15seqRM/edit?usp=sharing"",""สุโขทัย!I153"")+IMPORTRANGE(""http"&amp;"s://docs.google.com/spreadsheets/d/1v0b9pFQCsKUVExMei7AgY2yQkdeNQvtOssygGsXbiKo/edit?usp=sharing"",""อุตรดิตถ์!I153"")+IMPORTRANGE(""https://docs.google.com/spreadsheets/d/1UsNK1e-WWiCo2PvGqdNfdme4m17_Ezd3J69EeeiQPD0/edit?usp=sharing"",""อุทัยธานี!I153"")"),40)</f>
        <v>40</v>
      </c>
      <c r="J153" s="166">
        <f ca="1">IFERROR(__xludf.DUMMYFUNCTION("IMPORTRANGE(""https://docs.google.com/spreadsheets/d/1jTcq05yEiRwXcBMLjiodW9e4biSGYWAHcDj22rKWQ3s/edit?usp=sharing"",""กำแพงเพชร!J153"")+IMPORTRANGE(""https://docs.google.com/spreadsheets/d/1KS0zmDSZPk8KnTAbGN-Xk6MtX1YRZD0ldgdt20K4CRk/edit?usp=sharing"","&amp;"""เชียงราย!J153"")+IMPORTRANGE(""https://docs.google.com/spreadsheets/d/1rEDxBtusbi64tE0zunoIbsTVV16HeL0oJ6trHQeQ7K8/edit?usp=sharing"",""เชียงใหม่!J153"")+IMPORTRANGE(""https://docs.google.com/spreadsheets/d/1W6MnUbDkMi6xHnHko_XkFDO9kkuL6Wqyc-6OCDFjW9I/e"&amp;"dit?usp=sharing"",""ตาก!J153"")+IMPORTRANGE(""https://docs.google.com/spreadsheets/d/1IQAWArduLkta9LpYo4a_ULsyqdta6-6aDDiwpUnQT6c/edit?usp=sharing"",""นครสวรรค์!J153"")+IMPORTRANGE(""https://docs.google.com/spreadsheets/d/10s13Sk5xrltsiR-Zkbmk5DwIaDIKO8Xl"&amp;"bJAfqyT7Gvg/edit?usp=sharing"",""น่าน!J153"")+IMPORTRANGE(""https://docs.google.com/spreadsheets/d/1uu4nAn4Dbi1XREnLKKotUANlKXa7yCgRcgq8HEzQYW8/edit?usp=sharing"",""พะเยา!J153"")+IMPORTRANGE(""https://docs.google.com/spreadsheets/d/1xfJKIQxVOaPDIICqsflNlL"&amp;"u3JacTDk1FP9RH4phX7mI/edit?usp=sharing"",""พิจิตร!J153"")+IMPORTRANGE(""https://docs.google.com/spreadsheets/d/1JtRfZkJMHtEhI5RdRHxYUG4FIZHqKDpNyIuN7A1Q0_k/edit?usp=sharing"",""พิษณุโลก!J153"")+IMPORTRANGE(""https://docs.google.com/spreadsheets/d/1xlcVZWU"&amp;"Nn6SuWm0c307h32SiGkd9BaeQWlAktfD3KO8/edit?usp=sharing"",""เพชรบูรณ์!J153"")+IMPORTRANGE(""https://docs.google.com/spreadsheets/d/1lOVebEIsI9qjGXl6EX66luk7wiuP2tBaryw-wKvv4e0/edit?usp=sharing"",""แพร่!J153"")+IMPORTRANGE(""https://docs.google.com/spreadshe"&amp;"ets/d/1dQrvX0vEcN7Gu0fnZ0B5S90AeR19zth4XlExFBeExMY/edit?usp=sharing"",""แม่ฮ่องสอน!J153"")+IMPORTRANGE(""https://docs.google.com/spreadsheets/d/1DY4XTNNwjluuxqdfdn6qvOSlMRrZqUtmYcZR0ttFiG4/edit?usp=sharing"",""ลำปาง!J153"")+IMPORTRANGE(""https://docs.goog"&amp;"le.com/spreadsheets/d/1ICwG78r0OFT8biBlxnBF8r7she7gNSzOvJ958PWT09c/edit?usp=sharing"",""ลำพูน!J153"")+IMPORTRANGE(""https://docs.google.com/spreadsheets/d/1B0f2xJpZUC6Z0xXnqKlZtEPzsf6L84eP1r1Q15seqRM/edit?usp=sharing"",""สุโขทัย!J153"")+IMPORTRANGE(""http"&amp;"s://docs.google.com/spreadsheets/d/1v0b9pFQCsKUVExMei7AgY2yQkdeNQvtOssygGsXbiKo/edit?usp=sharing"",""อุตรดิตถ์!J153"")+IMPORTRANGE(""https://docs.google.com/spreadsheets/d/1UsNK1e-WWiCo2PvGqdNfdme4m17_Ezd3J69EeeiQPD0/edit?usp=sharing"",""อุทัยธานี!J153"")"),19)</f>
        <v>19</v>
      </c>
      <c r="K153" s="46">
        <f t="shared" ca="1" si="123"/>
        <v>47.5</v>
      </c>
      <c r="L153" s="45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1:21" ht="18.75" x14ac:dyDescent="0.25">
      <c r="A154" s="128"/>
      <c r="B154" s="40"/>
      <c r="C154" s="40"/>
      <c r="D154" s="47" t="s">
        <v>66</v>
      </c>
      <c r="E154" s="40"/>
      <c r="F154" s="40"/>
      <c r="G154" s="42"/>
      <c r="H154" s="137" t="s">
        <v>61</v>
      </c>
      <c r="I154" s="166">
        <f ca="1">IFERROR(__xludf.DUMMYFUNCTION("IMPORTRANGE(""https://docs.google.com/spreadsheets/d/1jTcq05yEiRwXcBMLjiodW9e4biSGYWAHcDj22rKWQ3s/edit?usp=sharing"",""กำแพงเพชร!I154"")+IMPORTRANGE(""https://docs.google.com/spreadsheets/d/1KS0zmDSZPk8KnTAbGN-Xk6MtX1YRZD0ldgdt20K4CRk/edit?usp=sharing"","&amp;"""เชียงราย!I154"")+IMPORTRANGE(""https://docs.google.com/spreadsheets/d/1rEDxBtusbi64tE0zunoIbsTVV16HeL0oJ6trHQeQ7K8/edit?usp=sharing"",""เชียงใหม่!I154"")+IMPORTRANGE(""https://docs.google.com/spreadsheets/d/1W6MnUbDkMi6xHnHko_XkFDO9kkuL6Wqyc-6OCDFjW9I/e"&amp;"dit?usp=sharing"",""ตาก!I154"")+IMPORTRANGE(""https://docs.google.com/spreadsheets/d/1IQAWArduLkta9LpYo4a_ULsyqdta6-6aDDiwpUnQT6c/edit?usp=sharing"",""นครสวรรค์!I154"")+IMPORTRANGE(""https://docs.google.com/spreadsheets/d/10s13Sk5xrltsiR-Zkbmk5DwIaDIKO8Xl"&amp;"bJAfqyT7Gvg/edit?usp=sharing"",""น่าน!I154"")+IMPORTRANGE(""https://docs.google.com/spreadsheets/d/1uu4nAn4Dbi1XREnLKKotUANlKXa7yCgRcgq8HEzQYW8/edit?usp=sharing"",""พะเยา!I154"")+IMPORTRANGE(""https://docs.google.com/spreadsheets/d/1xfJKIQxVOaPDIICqsflNlL"&amp;"u3JacTDk1FP9RH4phX7mI/edit?usp=sharing"",""พิจิตร!I154"")+IMPORTRANGE(""https://docs.google.com/spreadsheets/d/1JtRfZkJMHtEhI5RdRHxYUG4FIZHqKDpNyIuN7A1Q0_k/edit?usp=sharing"",""พิษณุโลก!I154"")+IMPORTRANGE(""https://docs.google.com/spreadsheets/d/1xlcVZWU"&amp;"Nn6SuWm0c307h32SiGkd9BaeQWlAktfD3KO8/edit?usp=sharing"",""เพชรบูรณ์!I154"")+IMPORTRANGE(""https://docs.google.com/spreadsheets/d/1lOVebEIsI9qjGXl6EX66luk7wiuP2tBaryw-wKvv4e0/edit?usp=sharing"",""แพร่!I154"")+IMPORTRANGE(""https://docs.google.com/spreadshe"&amp;"ets/d/1dQrvX0vEcN7Gu0fnZ0B5S90AeR19zth4XlExFBeExMY/edit?usp=sharing"",""แม่ฮ่องสอน!I154"")+IMPORTRANGE(""https://docs.google.com/spreadsheets/d/1DY4XTNNwjluuxqdfdn6qvOSlMRrZqUtmYcZR0ttFiG4/edit?usp=sharing"",""ลำปาง!I154"")+IMPORTRANGE(""https://docs.goog"&amp;"le.com/spreadsheets/d/1ICwG78r0OFT8biBlxnBF8r7she7gNSzOvJ958PWT09c/edit?usp=sharing"",""ลำพูน!I154"")+IMPORTRANGE(""https://docs.google.com/spreadsheets/d/1B0f2xJpZUC6Z0xXnqKlZtEPzsf6L84eP1r1Q15seqRM/edit?usp=sharing"",""สุโขทัย!I154"")+IMPORTRANGE(""http"&amp;"s://docs.google.com/spreadsheets/d/1v0b9pFQCsKUVExMei7AgY2yQkdeNQvtOssygGsXbiKo/edit?usp=sharing"",""อุตรดิตถ์!I154"")+IMPORTRANGE(""https://docs.google.com/spreadsheets/d/1UsNK1e-WWiCo2PvGqdNfdme4m17_Ezd3J69EeeiQPD0/edit?usp=sharing"",""อุทัยธานี!I154"")"),15)</f>
        <v>15</v>
      </c>
      <c r="J154" s="166">
        <f ca="1">IFERROR(__xludf.DUMMYFUNCTION("IMPORTRANGE(""https://docs.google.com/spreadsheets/d/1jTcq05yEiRwXcBMLjiodW9e4biSGYWAHcDj22rKWQ3s/edit?usp=sharing"",""กำแพงเพชร!J154"")+IMPORTRANGE(""https://docs.google.com/spreadsheets/d/1KS0zmDSZPk8KnTAbGN-Xk6MtX1YRZD0ldgdt20K4CRk/edit?usp=sharing"","&amp;"""เชียงราย!J154"")+IMPORTRANGE(""https://docs.google.com/spreadsheets/d/1rEDxBtusbi64tE0zunoIbsTVV16HeL0oJ6trHQeQ7K8/edit?usp=sharing"",""เชียงใหม่!J154"")+IMPORTRANGE(""https://docs.google.com/spreadsheets/d/1W6MnUbDkMi6xHnHko_XkFDO9kkuL6Wqyc-6OCDFjW9I/e"&amp;"dit?usp=sharing"",""ตาก!J154"")+IMPORTRANGE(""https://docs.google.com/spreadsheets/d/1IQAWArduLkta9LpYo4a_ULsyqdta6-6aDDiwpUnQT6c/edit?usp=sharing"",""นครสวรรค์!J154"")+IMPORTRANGE(""https://docs.google.com/spreadsheets/d/10s13Sk5xrltsiR-Zkbmk5DwIaDIKO8Xl"&amp;"bJAfqyT7Gvg/edit?usp=sharing"",""น่าน!J154"")+IMPORTRANGE(""https://docs.google.com/spreadsheets/d/1uu4nAn4Dbi1XREnLKKotUANlKXa7yCgRcgq8HEzQYW8/edit?usp=sharing"",""พะเยา!J154"")+IMPORTRANGE(""https://docs.google.com/spreadsheets/d/1xfJKIQxVOaPDIICqsflNlL"&amp;"u3JacTDk1FP9RH4phX7mI/edit?usp=sharing"",""พิจิตร!J154"")+IMPORTRANGE(""https://docs.google.com/spreadsheets/d/1JtRfZkJMHtEhI5RdRHxYUG4FIZHqKDpNyIuN7A1Q0_k/edit?usp=sharing"",""พิษณุโลก!J154"")+IMPORTRANGE(""https://docs.google.com/spreadsheets/d/1xlcVZWU"&amp;"Nn6SuWm0c307h32SiGkd9BaeQWlAktfD3KO8/edit?usp=sharing"",""เพชรบูรณ์!J154"")+IMPORTRANGE(""https://docs.google.com/spreadsheets/d/1lOVebEIsI9qjGXl6EX66luk7wiuP2tBaryw-wKvv4e0/edit?usp=sharing"",""แพร่!J154"")+IMPORTRANGE(""https://docs.google.com/spreadshe"&amp;"ets/d/1dQrvX0vEcN7Gu0fnZ0B5S90AeR19zth4XlExFBeExMY/edit?usp=sharing"",""แม่ฮ่องสอน!J154"")+IMPORTRANGE(""https://docs.google.com/spreadsheets/d/1DY4XTNNwjluuxqdfdn6qvOSlMRrZqUtmYcZR0ttFiG4/edit?usp=sharing"",""ลำปาง!J154"")+IMPORTRANGE(""https://docs.goog"&amp;"le.com/spreadsheets/d/1ICwG78r0OFT8biBlxnBF8r7she7gNSzOvJ958PWT09c/edit?usp=sharing"",""ลำพูน!J154"")+IMPORTRANGE(""https://docs.google.com/spreadsheets/d/1B0f2xJpZUC6Z0xXnqKlZtEPzsf6L84eP1r1Q15seqRM/edit?usp=sharing"",""สุโขทัย!J154"")+IMPORTRANGE(""http"&amp;"s://docs.google.com/spreadsheets/d/1v0b9pFQCsKUVExMei7AgY2yQkdeNQvtOssygGsXbiKo/edit?usp=sharing"",""อุตรดิตถ์!J154"")+IMPORTRANGE(""https://docs.google.com/spreadsheets/d/1UsNK1e-WWiCo2PvGqdNfdme4m17_Ezd3J69EeeiQPD0/edit?usp=sharing"",""อุทัยธานี!J154"")"),0)</f>
        <v>0</v>
      </c>
      <c r="K154" s="46">
        <f t="shared" ca="1" si="123"/>
        <v>0</v>
      </c>
      <c r="L154" s="45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1:21" ht="19.5" x14ac:dyDescent="0.3">
      <c r="A155" s="118" t="s">
        <v>67</v>
      </c>
      <c r="B155" s="119"/>
      <c r="C155" s="168"/>
      <c r="D155" s="119"/>
      <c r="E155" s="119"/>
      <c r="F155" s="119"/>
      <c r="G155" s="119"/>
      <c r="H155" s="119"/>
      <c r="I155" s="169"/>
      <c r="J155" s="169"/>
      <c r="K155" s="170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8" t="s">
        <v>68</v>
      </c>
      <c r="C156" s="27"/>
      <c r="D156" s="27"/>
      <c r="E156" s="27"/>
      <c r="F156" s="27"/>
      <c r="G156" s="30"/>
      <c r="H156" s="173" t="s">
        <v>35</v>
      </c>
      <c r="I156" s="127">
        <f ca="1">I167</f>
        <v>210</v>
      </c>
      <c r="J156" s="127">
        <f>J168</f>
        <v>0</v>
      </c>
      <c r="K156" s="34">
        <f ca="1">IF(I156&gt;0,J156*100/I156,0)</f>
        <v>0</v>
      </c>
      <c r="L156" s="33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1:21" ht="19.5" x14ac:dyDescent="0.3">
      <c r="A157" s="128"/>
      <c r="B157" s="40"/>
      <c r="C157" s="129" t="s">
        <v>18</v>
      </c>
      <c r="D157" s="130" t="s">
        <v>19</v>
      </c>
      <c r="E157" s="40"/>
      <c r="F157" s="40"/>
      <c r="G157" s="42"/>
      <c r="H157" s="131" t="s">
        <v>14</v>
      </c>
      <c r="I157" s="44"/>
      <c r="J157" s="44"/>
      <c r="K157" s="45"/>
      <c r="L157" s="132">
        <f t="shared" ref="L157:N157" ca="1" si="124">L158+L159</f>
        <v>167000</v>
      </c>
      <c r="M157" s="132">
        <f t="shared" ca="1" si="124"/>
        <v>177776</v>
      </c>
      <c r="N157" s="132">
        <f t="shared" ca="1" si="124"/>
        <v>53997.27</v>
      </c>
      <c r="O157" s="132">
        <f t="shared" ref="O157:O165" ca="1" si="125">IF(L157&gt;0,N157*100/L157,0)</f>
        <v>32.333694610778444</v>
      </c>
      <c r="P157" s="132">
        <f t="shared" ref="P157:P165" ca="1" si="126">IF(M157&gt;0,N157*100/M157,0)</f>
        <v>30.373768112681127</v>
      </c>
      <c r="Q157" s="132">
        <f t="shared" ref="Q157:S157" ca="1" si="127">Q158+Q159</f>
        <v>0</v>
      </c>
      <c r="R157" s="132">
        <f t="shared" ca="1" si="127"/>
        <v>0</v>
      </c>
      <c r="S157" s="132">
        <f t="shared" ca="1" si="127"/>
        <v>0</v>
      </c>
      <c r="T157" s="132">
        <f t="shared" ref="T157:T165" ca="1" si="128">IF(Q157&gt;0,S157*100/Q157,0)</f>
        <v>0</v>
      </c>
      <c r="U157" s="132">
        <f t="shared" ref="U157:U165" ca="1" si="129">IF(R157&gt;0,S157*100/R157,0)</f>
        <v>0</v>
      </c>
    </row>
    <row r="158" spans="1:21" ht="18.75" x14ac:dyDescent="0.25">
      <c r="A158" s="128"/>
      <c r="B158" s="40"/>
      <c r="C158" s="40"/>
      <c r="D158" s="40"/>
      <c r="E158" s="47" t="s">
        <v>20</v>
      </c>
      <c r="F158" s="40"/>
      <c r="G158" s="42"/>
      <c r="H158" s="133" t="s">
        <v>14</v>
      </c>
      <c r="I158" s="44"/>
      <c r="J158" s="44"/>
      <c r="K158" s="45"/>
      <c r="L158" s="46">
        <f t="shared" ref="L158:N158" ca="1" si="130">L161+L164</f>
        <v>0</v>
      </c>
      <c r="M158" s="46">
        <f t="shared" ca="1" si="130"/>
        <v>0</v>
      </c>
      <c r="N158" s="46">
        <f t="shared" ca="1" si="130"/>
        <v>0</v>
      </c>
      <c r="O158" s="46">
        <f t="shared" ca="1" si="125"/>
        <v>0</v>
      </c>
      <c r="P158" s="46">
        <f t="shared" ca="1" si="126"/>
        <v>0</v>
      </c>
      <c r="Q158" s="48">
        <f t="shared" ref="Q158:S158" ca="1" si="131">Q161+Q164</f>
        <v>0</v>
      </c>
      <c r="R158" s="48">
        <f t="shared" ca="1" si="131"/>
        <v>0</v>
      </c>
      <c r="S158" s="48">
        <f t="shared" ca="1" si="131"/>
        <v>0</v>
      </c>
      <c r="T158" s="48">
        <f t="shared" ca="1" si="128"/>
        <v>0</v>
      </c>
      <c r="U158" s="48">
        <f t="shared" ca="1" si="129"/>
        <v>0</v>
      </c>
    </row>
    <row r="159" spans="1:21" ht="18.75" x14ac:dyDescent="0.25">
      <c r="A159" s="128"/>
      <c r="B159" s="40"/>
      <c r="C159" s="40"/>
      <c r="D159" s="40"/>
      <c r="E159" s="47" t="s">
        <v>21</v>
      </c>
      <c r="F159" s="40"/>
      <c r="G159" s="42"/>
      <c r="H159" s="133" t="s">
        <v>14</v>
      </c>
      <c r="I159" s="44"/>
      <c r="J159" s="44"/>
      <c r="K159" s="45"/>
      <c r="L159" s="46">
        <f t="shared" ref="L159:N159" ca="1" si="132">L162+L165</f>
        <v>167000</v>
      </c>
      <c r="M159" s="46">
        <f t="shared" ca="1" si="132"/>
        <v>177776</v>
      </c>
      <c r="N159" s="46">
        <f t="shared" ca="1" si="132"/>
        <v>53997.27</v>
      </c>
      <c r="O159" s="46">
        <f t="shared" ca="1" si="125"/>
        <v>32.333694610778444</v>
      </c>
      <c r="P159" s="46">
        <f t="shared" ca="1" si="126"/>
        <v>30.373768112681127</v>
      </c>
      <c r="Q159" s="46">
        <f t="shared" ref="Q159:S159" ca="1" si="133">Q162+Q165</f>
        <v>0</v>
      </c>
      <c r="R159" s="46">
        <f t="shared" ca="1" si="133"/>
        <v>0</v>
      </c>
      <c r="S159" s="46">
        <f t="shared" ca="1" si="133"/>
        <v>0</v>
      </c>
      <c r="T159" s="46">
        <f t="shared" ca="1" si="128"/>
        <v>0</v>
      </c>
      <c r="U159" s="46">
        <f t="shared" ca="1" si="129"/>
        <v>0</v>
      </c>
    </row>
    <row r="160" spans="1:21" ht="18.75" x14ac:dyDescent="0.25">
      <c r="A160" s="128"/>
      <c r="B160" s="40"/>
      <c r="C160" s="40"/>
      <c r="D160" s="41" t="s">
        <v>22</v>
      </c>
      <c r="E160" s="40"/>
      <c r="F160" s="40"/>
      <c r="G160" s="42"/>
      <c r="H160" s="134" t="s">
        <v>14</v>
      </c>
      <c r="I160" s="135"/>
      <c r="J160" s="135"/>
      <c r="K160" s="136"/>
      <c r="L160" s="46">
        <f t="shared" ref="L160:N160" ca="1" si="134">L161+L162</f>
        <v>167000</v>
      </c>
      <c r="M160" s="46">
        <f t="shared" ca="1" si="134"/>
        <v>177776</v>
      </c>
      <c r="N160" s="46">
        <f t="shared" ca="1" si="134"/>
        <v>53997.27</v>
      </c>
      <c r="O160" s="46">
        <f t="shared" ca="1" si="125"/>
        <v>32.333694610778444</v>
      </c>
      <c r="P160" s="46">
        <f t="shared" ca="1" si="126"/>
        <v>30.373768112681127</v>
      </c>
      <c r="Q160" s="46">
        <f t="shared" ref="Q160:S160" ca="1" si="135">Q161+Q162</f>
        <v>0</v>
      </c>
      <c r="R160" s="46">
        <f t="shared" ca="1" si="135"/>
        <v>0</v>
      </c>
      <c r="S160" s="46">
        <f t="shared" ca="1" si="135"/>
        <v>0</v>
      </c>
      <c r="T160" s="46">
        <f t="shared" ca="1" si="128"/>
        <v>0</v>
      </c>
      <c r="U160" s="46">
        <f t="shared" ca="1" si="129"/>
        <v>0</v>
      </c>
    </row>
    <row r="161" spans="1:21" ht="18.75" x14ac:dyDescent="0.25">
      <c r="A161" s="128"/>
      <c r="B161" s="40"/>
      <c r="C161" s="40"/>
      <c r="D161" s="40"/>
      <c r="E161" s="47" t="s">
        <v>36</v>
      </c>
      <c r="F161" s="40"/>
      <c r="G161" s="42"/>
      <c r="H161" s="134" t="s">
        <v>14</v>
      </c>
      <c r="I161" s="135"/>
      <c r="J161" s="135"/>
      <c r="K161" s="136"/>
      <c r="L161" s="46">
        <f ca="1">IFERROR(__xludf.DUMMYFUNCTION("IMPORTRANGE(""https://docs.google.com/spreadsheets/d/1jTcq05yEiRwXcBMLjiodW9e4biSGYWAHcDj22rKWQ3s/edit?usp=sharing"",""กำแพงเพชร!L161"")+IMPORTRANGE(""https://docs.google.com/spreadsheets/d/1KS0zmDSZPk8KnTAbGN-Xk6MtX1YRZD0ldgdt20K4CRk/edit?usp=sharing"","&amp;"""เชียงราย!L161"")+IMPORTRANGE(""https://docs.google.com/spreadsheets/d/1rEDxBtusbi64tE0zunoIbsTVV16HeL0oJ6trHQeQ7K8/edit?usp=sharing"",""เชียงใหม่!L161"")+IMPORTRANGE(""https://docs.google.com/spreadsheets/d/1W6MnUbDkMi6xHnHko_XkFDO9kkuL6Wqyc-6OCDFjW9I/e"&amp;"dit?usp=sharing"",""ตาก!L161"")+IMPORTRANGE(""https://docs.google.com/spreadsheets/d/1IQAWArduLkta9LpYo4a_ULsyqdta6-6aDDiwpUnQT6c/edit?usp=sharing"",""นครสวรรค์!L161"")+IMPORTRANGE(""https://docs.google.com/spreadsheets/d/10s13Sk5xrltsiR-Zkbmk5DwIaDIKO8Xl"&amp;"bJAfqyT7Gvg/edit?usp=sharing"",""น่าน!L161"")+IMPORTRANGE(""https://docs.google.com/spreadsheets/d/1uu4nAn4Dbi1XREnLKKotUANlKXa7yCgRcgq8HEzQYW8/edit?usp=sharing"",""พะเยา!L161"")+IMPORTRANGE(""https://docs.google.com/spreadsheets/d/1xfJKIQxVOaPDIICqsflNlL"&amp;"u3JacTDk1FP9RH4phX7mI/edit?usp=sharing"",""พิจิตร!L161"")+IMPORTRANGE(""https://docs.google.com/spreadsheets/d/1JtRfZkJMHtEhI5RdRHxYUG4FIZHqKDpNyIuN7A1Q0_k/edit?usp=sharing"",""พิษณุโลก!L161"")+IMPORTRANGE(""https://docs.google.com/spreadsheets/d/1xlcVZWU"&amp;"Nn6SuWm0c307h32SiGkd9BaeQWlAktfD3KO8/edit?usp=sharing"",""เพชรบูรณ์!L161"")+IMPORTRANGE(""https://docs.google.com/spreadsheets/d/1lOVebEIsI9qjGXl6EX66luk7wiuP2tBaryw-wKvv4e0/edit?usp=sharing"",""แพร่!L161"")+IMPORTRANGE(""https://docs.google.com/spreadshe"&amp;"ets/d/1dQrvX0vEcN7Gu0fnZ0B5S90AeR19zth4XlExFBeExMY/edit?usp=sharing"",""แม่ฮ่องสอน!L161"")+IMPORTRANGE(""https://docs.google.com/spreadsheets/d/1DY4XTNNwjluuxqdfdn6qvOSlMRrZqUtmYcZR0ttFiG4/edit?usp=sharing"",""ลำปาง!L161"")+IMPORTRANGE(""https://docs.goog"&amp;"le.com/spreadsheets/d/1ICwG78r0OFT8biBlxnBF8r7she7gNSzOvJ958PWT09c/edit?usp=sharing"",""ลำพูน!L161"")+IMPORTRANGE(""https://docs.google.com/spreadsheets/d/1B0f2xJpZUC6Z0xXnqKlZtEPzsf6L84eP1r1Q15seqRM/edit?usp=sharing"",""สุโขทัย!L161"")+IMPORTRANGE(""http"&amp;"s://docs.google.com/spreadsheets/d/1v0b9pFQCsKUVExMei7AgY2yQkdeNQvtOssygGsXbiKo/edit?usp=sharing"",""อุตรดิตถ์!L161"")+IMPORTRANGE(""https://docs.google.com/spreadsheets/d/1UsNK1e-WWiCo2PvGqdNfdme4m17_Ezd3J69EeeiQPD0/edit?usp=sharing"",""อุทัยธานี!L161"")"),0)</f>
        <v>0</v>
      </c>
      <c r="M161" s="46">
        <f ca="1">IFERROR(__xludf.DUMMYFUNCTION("IMPORTRANGE(""https://docs.google.com/spreadsheets/d/1jTcq05yEiRwXcBMLjiodW9e4biSGYWAHcDj22rKWQ3s/edit?usp=sharing"",""กำแพงเพชร!M161"")+IMPORTRANGE(""https://docs.google.com/spreadsheets/d/1KS0zmDSZPk8KnTAbGN-Xk6MtX1YRZD0ldgdt20K4CRk/edit?usp=sharing"","&amp;"""เชียงราย!M161"")+IMPORTRANGE(""https://docs.google.com/spreadsheets/d/1rEDxBtusbi64tE0zunoIbsTVV16HeL0oJ6trHQeQ7K8/edit?usp=sharing"",""เชียงใหม่!M161"")+IMPORTRANGE(""https://docs.google.com/spreadsheets/d/1W6MnUbDkMi6xHnHko_XkFDO9kkuL6Wqyc-6OCDFjW9I/e"&amp;"dit?usp=sharing"",""ตาก!M161"")+IMPORTRANGE(""https://docs.google.com/spreadsheets/d/1IQAWArduLkta9LpYo4a_ULsyqdta6-6aDDiwpUnQT6c/edit?usp=sharing"",""นครสวรรค์!M161"")+IMPORTRANGE(""https://docs.google.com/spreadsheets/d/10s13Sk5xrltsiR-Zkbmk5DwIaDIKO8Xl"&amp;"bJAfqyT7Gvg/edit?usp=sharing"",""น่าน!M161"")+IMPORTRANGE(""https://docs.google.com/spreadsheets/d/1uu4nAn4Dbi1XREnLKKotUANlKXa7yCgRcgq8HEzQYW8/edit?usp=sharing"",""พะเยา!M161"")+IMPORTRANGE(""https://docs.google.com/spreadsheets/d/1xfJKIQxVOaPDIICqsflNlL"&amp;"u3JacTDk1FP9RH4phX7mI/edit?usp=sharing"",""พิจิตร!M161"")+IMPORTRANGE(""https://docs.google.com/spreadsheets/d/1JtRfZkJMHtEhI5RdRHxYUG4FIZHqKDpNyIuN7A1Q0_k/edit?usp=sharing"",""พิษณุโลก!M161"")+IMPORTRANGE(""https://docs.google.com/spreadsheets/d/1xlcVZWU"&amp;"Nn6SuWm0c307h32SiGkd9BaeQWlAktfD3KO8/edit?usp=sharing"",""เพชรบูรณ์!M161"")+IMPORTRANGE(""https://docs.google.com/spreadsheets/d/1lOVebEIsI9qjGXl6EX66luk7wiuP2tBaryw-wKvv4e0/edit?usp=sharing"",""แพร่!M161"")+IMPORTRANGE(""https://docs.google.com/spreadshe"&amp;"ets/d/1dQrvX0vEcN7Gu0fnZ0B5S90AeR19zth4XlExFBeExMY/edit?usp=sharing"",""แม่ฮ่องสอน!M161"")+IMPORTRANGE(""https://docs.google.com/spreadsheets/d/1DY4XTNNwjluuxqdfdn6qvOSlMRrZqUtmYcZR0ttFiG4/edit?usp=sharing"",""ลำปาง!M161"")+IMPORTRANGE(""https://docs.goog"&amp;"le.com/spreadsheets/d/1ICwG78r0OFT8biBlxnBF8r7she7gNSzOvJ958PWT09c/edit?usp=sharing"",""ลำพูน!M161"")+IMPORTRANGE(""https://docs.google.com/spreadsheets/d/1B0f2xJpZUC6Z0xXnqKlZtEPzsf6L84eP1r1Q15seqRM/edit?usp=sharing"",""สุโขทัย!M161"")+IMPORTRANGE(""http"&amp;"s://docs.google.com/spreadsheets/d/1v0b9pFQCsKUVExMei7AgY2yQkdeNQvtOssygGsXbiKo/edit?usp=sharing"",""อุตรดิตถ์!M161"")+IMPORTRANGE(""https://docs.google.com/spreadsheets/d/1UsNK1e-WWiCo2PvGqdNfdme4m17_Ezd3J69EeeiQPD0/edit?usp=sharing"",""อุทัยธานี!M161"")"),0)</f>
        <v>0</v>
      </c>
      <c r="N161" s="46">
        <f ca="1">IFERROR(__xludf.DUMMYFUNCTION("IMPORTRANGE(""https://docs.google.com/spreadsheets/d/1jTcq05yEiRwXcBMLjiodW9e4biSGYWAHcDj22rKWQ3s/edit?usp=sharing"",""กำแพงเพชร!N161"")+IMPORTRANGE(""https://docs.google.com/spreadsheets/d/1KS0zmDSZPk8KnTAbGN-Xk6MtX1YRZD0ldgdt20K4CRk/edit?usp=sharing"","&amp;"""เชียงราย!N161"")+IMPORTRANGE(""https://docs.google.com/spreadsheets/d/1rEDxBtusbi64tE0zunoIbsTVV16HeL0oJ6trHQeQ7K8/edit?usp=sharing"",""เชียงใหม่!N161"")+IMPORTRANGE(""https://docs.google.com/spreadsheets/d/1W6MnUbDkMi6xHnHko_XkFDO9kkuL6Wqyc-6OCDFjW9I/e"&amp;"dit?usp=sharing"",""ตาก!N161"")+IMPORTRANGE(""https://docs.google.com/spreadsheets/d/1IQAWArduLkta9LpYo4a_ULsyqdta6-6aDDiwpUnQT6c/edit?usp=sharing"",""นครสวรรค์!N161"")+IMPORTRANGE(""https://docs.google.com/spreadsheets/d/10s13Sk5xrltsiR-Zkbmk5DwIaDIKO8Xl"&amp;"bJAfqyT7Gvg/edit?usp=sharing"",""น่าน!N161"")+IMPORTRANGE(""https://docs.google.com/spreadsheets/d/1uu4nAn4Dbi1XREnLKKotUANlKXa7yCgRcgq8HEzQYW8/edit?usp=sharing"",""พะเยา!N161"")+IMPORTRANGE(""https://docs.google.com/spreadsheets/d/1xfJKIQxVOaPDIICqsflNlL"&amp;"u3JacTDk1FP9RH4phX7mI/edit?usp=sharing"",""พิจิตร!N161"")+IMPORTRANGE(""https://docs.google.com/spreadsheets/d/1JtRfZkJMHtEhI5RdRHxYUG4FIZHqKDpNyIuN7A1Q0_k/edit?usp=sharing"",""พิษณุโลก!N161"")+IMPORTRANGE(""https://docs.google.com/spreadsheets/d/1xlcVZWU"&amp;"Nn6SuWm0c307h32SiGkd9BaeQWlAktfD3KO8/edit?usp=sharing"",""เพชรบูรณ์!N161"")+IMPORTRANGE(""https://docs.google.com/spreadsheets/d/1lOVebEIsI9qjGXl6EX66luk7wiuP2tBaryw-wKvv4e0/edit?usp=sharing"",""แพร่!N161"")+IMPORTRANGE(""https://docs.google.com/spreadshe"&amp;"ets/d/1dQrvX0vEcN7Gu0fnZ0B5S90AeR19zth4XlExFBeExMY/edit?usp=sharing"",""แม่ฮ่องสอน!N161"")+IMPORTRANGE(""https://docs.google.com/spreadsheets/d/1DY4XTNNwjluuxqdfdn6qvOSlMRrZqUtmYcZR0ttFiG4/edit?usp=sharing"",""ลำปาง!N161"")+IMPORTRANGE(""https://docs.goog"&amp;"le.com/spreadsheets/d/1ICwG78r0OFT8biBlxnBF8r7she7gNSzOvJ958PWT09c/edit?usp=sharing"",""ลำพูน!N161"")+IMPORTRANGE(""https://docs.google.com/spreadsheets/d/1B0f2xJpZUC6Z0xXnqKlZtEPzsf6L84eP1r1Q15seqRM/edit?usp=sharing"",""สุโขทัย!N161"")+IMPORTRANGE(""http"&amp;"s://docs.google.com/spreadsheets/d/1v0b9pFQCsKUVExMei7AgY2yQkdeNQvtOssygGsXbiKo/edit?usp=sharing"",""อุตรดิตถ์!N161"")+IMPORTRANGE(""https://docs.google.com/spreadsheets/d/1UsNK1e-WWiCo2PvGqdNfdme4m17_Ezd3J69EeeiQPD0/edit?usp=sharing"",""อุทัยธานี!N161"")"),0)</f>
        <v>0</v>
      </c>
      <c r="O161" s="46">
        <f t="shared" ca="1" si="125"/>
        <v>0</v>
      </c>
      <c r="P161" s="46">
        <f t="shared" ca="1" si="126"/>
        <v>0</v>
      </c>
      <c r="Q161" s="48">
        <f ca="1">IFERROR(__xludf.DUMMYFUNCTION("IMPORTRANGE(""https://docs.google.com/spreadsheets/d/1jTcq05yEiRwXcBMLjiodW9e4biSGYWAHcDj22rKWQ3s/edit?usp=sharing"",""กำแพงเพชร!Q161"")+IMPORTRANGE(""https://docs.google.com/spreadsheets/d/1KS0zmDSZPk8KnTAbGN-Xk6MtX1YRZD0ldgdt20K4CRk/edit?usp=sharing"","&amp;"""เชียงราย!Q161"")+IMPORTRANGE(""https://docs.google.com/spreadsheets/d/1rEDxBtusbi64tE0zunoIbsTVV16HeL0oJ6trHQeQ7K8/edit?usp=sharing"",""เชียงใหม่!Q161"")+IMPORTRANGE(""https://docs.google.com/spreadsheets/d/1W6MnUbDkMi6xHnHko_XkFDO9kkuL6Wqyc-6OCDFjW9I/e"&amp;"dit?usp=sharing"",""ตาก!Q161"")+IMPORTRANGE(""https://docs.google.com/spreadsheets/d/1IQAWArduLkta9LpYo4a_ULsyqdta6-6aDDiwpUnQT6c/edit?usp=sharing"",""นครสวรรค์!Q161"")+IMPORTRANGE(""https://docs.google.com/spreadsheets/d/10s13Sk5xrltsiR-Zkbmk5DwIaDIKO8Xl"&amp;"bJAfqyT7Gvg/edit?usp=sharing"",""น่าน!Q161"")+IMPORTRANGE(""https://docs.google.com/spreadsheets/d/1uu4nAn4Dbi1XREnLKKotUANlKXa7yCgRcgq8HEzQYW8/edit?usp=sharing"",""พะเยา!Q161"")+IMPORTRANGE(""https://docs.google.com/spreadsheets/d/1xfJKIQxVOaPDIICqsflNlL"&amp;"u3JacTDk1FP9RH4phX7mI/edit?usp=sharing"",""พิจิตร!Q161"")+IMPORTRANGE(""https://docs.google.com/spreadsheets/d/1JtRfZkJMHtEhI5RdRHxYUG4FIZHqKDpNyIuN7A1Q0_k/edit?usp=sharing"",""พิษณุโลก!Q161"")+IMPORTRANGE(""https://docs.google.com/spreadsheets/d/1xlcVZWU"&amp;"Nn6SuWm0c307h32SiGkd9BaeQWlAktfD3KO8/edit?usp=sharing"",""เพชรบูรณ์!Q161"")+IMPORTRANGE(""https://docs.google.com/spreadsheets/d/1lOVebEIsI9qjGXl6EX66luk7wiuP2tBaryw-wKvv4e0/edit?usp=sharing"",""แพร่!Q161"")+IMPORTRANGE(""https://docs.google.com/spreadshe"&amp;"ets/d/1dQrvX0vEcN7Gu0fnZ0B5S90AeR19zth4XlExFBeExMY/edit?usp=sharing"",""แม่ฮ่องสอน!Q161"")+IMPORTRANGE(""https://docs.google.com/spreadsheets/d/1DY4XTNNwjluuxqdfdn6qvOSlMRrZqUtmYcZR0ttFiG4/edit?usp=sharing"",""ลำปาง!Q161"")+IMPORTRANGE(""https://docs.goog"&amp;"le.com/spreadsheets/d/1ICwG78r0OFT8biBlxnBF8r7she7gNSzOvJ958PWT09c/edit?usp=sharing"",""ลำพูน!Q161"")+IMPORTRANGE(""https://docs.google.com/spreadsheets/d/1B0f2xJpZUC6Z0xXnqKlZtEPzsf6L84eP1r1Q15seqRM/edit?usp=sharing"",""สุโขทัย!Q161"")+IMPORTRANGE(""http"&amp;"s://docs.google.com/spreadsheets/d/1v0b9pFQCsKUVExMei7AgY2yQkdeNQvtOssygGsXbiKo/edit?usp=sharing"",""อุตรดิตถ์!Q161"")+IMPORTRANGE(""https://docs.google.com/spreadsheets/d/1UsNK1e-WWiCo2PvGqdNfdme4m17_Ezd3J69EeeiQPD0/edit?usp=sharing"",""อุทัยธานี!Q161"")"),0)</f>
        <v>0</v>
      </c>
      <c r="R161" s="48">
        <f ca="1">IFERROR(__xludf.DUMMYFUNCTION("IMPORTRANGE(""https://docs.google.com/spreadsheets/d/1jTcq05yEiRwXcBMLjiodW9e4biSGYWAHcDj22rKWQ3s/edit?usp=sharing"",""กำแพงเพชร!R161"")+IMPORTRANGE(""https://docs.google.com/spreadsheets/d/1KS0zmDSZPk8KnTAbGN-Xk6MtX1YRZD0ldgdt20K4CRk/edit?usp=sharing"","&amp;"""เชียงราย!R161"")+IMPORTRANGE(""https://docs.google.com/spreadsheets/d/1rEDxBtusbi64tE0zunoIbsTVV16HeL0oJ6trHQeQ7K8/edit?usp=sharing"",""เชียงใหม่!R161"")+IMPORTRANGE(""https://docs.google.com/spreadsheets/d/1W6MnUbDkMi6xHnHko_XkFDO9kkuL6Wqyc-6OCDFjW9I/e"&amp;"dit?usp=sharing"",""ตาก!R161"")+IMPORTRANGE(""https://docs.google.com/spreadsheets/d/1IQAWArduLkta9LpYo4a_ULsyqdta6-6aDDiwpUnQT6c/edit?usp=sharing"",""นครสวรรค์!R161"")+IMPORTRANGE(""https://docs.google.com/spreadsheets/d/10s13Sk5xrltsiR-Zkbmk5DwIaDIKO8Xl"&amp;"bJAfqyT7Gvg/edit?usp=sharing"",""น่าน!R161"")+IMPORTRANGE(""https://docs.google.com/spreadsheets/d/1uu4nAn4Dbi1XREnLKKotUANlKXa7yCgRcgq8HEzQYW8/edit?usp=sharing"",""พะเยา!R161"")+IMPORTRANGE(""https://docs.google.com/spreadsheets/d/1xfJKIQxVOaPDIICqsflNlL"&amp;"u3JacTDk1FP9RH4phX7mI/edit?usp=sharing"",""พิจิตร!R161"")+IMPORTRANGE(""https://docs.google.com/spreadsheets/d/1JtRfZkJMHtEhI5RdRHxYUG4FIZHqKDpNyIuN7A1Q0_k/edit?usp=sharing"",""พิษณุโลก!R161"")+IMPORTRANGE(""https://docs.google.com/spreadsheets/d/1xlcVZWU"&amp;"Nn6SuWm0c307h32SiGkd9BaeQWlAktfD3KO8/edit?usp=sharing"",""เพชรบูรณ์!R161"")+IMPORTRANGE(""https://docs.google.com/spreadsheets/d/1lOVebEIsI9qjGXl6EX66luk7wiuP2tBaryw-wKvv4e0/edit?usp=sharing"",""แพร่!R161"")+IMPORTRANGE(""https://docs.google.com/spreadshe"&amp;"ets/d/1dQrvX0vEcN7Gu0fnZ0B5S90AeR19zth4XlExFBeExMY/edit?usp=sharing"",""แม่ฮ่องสอน!R161"")+IMPORTRANGE(""https://docs.google.com/spreadsheets/d/1DY4XTNNwjluuxqdfdn6qvOSlMRrZqUtmYcZR0ttFiG4/edit?usp=sharing"",""ลำปาง!R161"")+IMPORTRANGE(""https://docs.goog"&amp;"le.com/spreadsheets/d/1ICwG78r0OFT8biBlxnBF8r7she7gNSzOvJ958PWT09c/edit?usp=sharing"",""ลำพูน!R161"")+IMPORTRANGE(""https://docs.google.com/spreadsheets/d/1B0f2xJpZUC6Z0xXnqKlZtEPzsf6L84eP1r1Q15seqRM/edit?usp=sharing"",""สุโขทัย!R161"")+IMPORTRANGE(""http"&amp;"s://docs.google.com/spreadsheets/d/1v0b9pFQCsKUVExMei7AgY2yQkdeNQvtOssygGsXbiKo/edit?usp=sharing"",""อุตรดิตถ์!R161"")+IMPORTRANGE(""https://docs.google.com/spreadsheets/d/1UsNK1e-WWiCo2PvGqdNfdme4m17_Ezd3J69EeeiQPD0/edit?usp=sharing"",""อุทัยธานี!R161"")"),0)</f>
        <v>0</v>
      </c>
      <c r="S161" s="48">
        <f ca="1">IFERROR(__xludf.DUMMYFUNCTION("IMPORTRANGE(""https://docs.google.com/spreadsheets/d/1jTcq05yEiRwXcBMLjiodW9e4biSGYWAHcDj22rKWQ3s/edit?usp=sharing"",""กำแพงเพชร!S161"")+IMPORTRANGE(""https://docs.google.com/spreadsheets/d/1KS0zmDSZPk8KnTAbGN-Xk6MtX1YRZD0ldgdt20K4CRk/edit?usp=sharing"","&amp;"""เชียงราย!S161"")+IMPORTRANGE(""https://docs.google.com/spreadsheets/d/1rEDxBtusbi64tE0zunoIbsTVV16HeL0oJ6trHQeQ7K8/edit?usp=sharing"",""เชียงใหม่!S161"")+IMPORTRANGE(""https://docs.google.com/spreadsheets/d/1W6MnUbDkMi6xHnHko_XkFDO9kkuL6Wqyc-6OCDFjW9I/e"&amp;"dit?usp=sharing"",""ตาก!S161"")+IMPORTRANGE(""https://docs.google.com/spreadsheets/d/1IQAWArduLkta9LpYo4a_ULsyqdta6-6aDDiwpUnQT6c/edit?usp=sharing"",""นครสวรรค์!S161"")+IMPORTRANGE(""https://docs.google.com/spreadsheets/d/10s13Sk5xrltsiR-Zkbmk5DwIaDIKO8Xl"&amp;"bJAfqyT7Gvg/edit?usp=sharing"",""น่าน!S161"")+IMPORTRANGE(""https://docs.google.com/spreadsheets/d/1uu4nAn4Dbi1XREnLKKotUANlKXa7yCgRcgq8HEzQYW8/edit?usp=sharing"",""พะเยา!S161"")+IMPORTRANGE(""https://docs.google.com/spreadsheets/d/1xfJKIQxVOaPDIICqsflNlL"&amp;"u3JacTDk1FP9RH4phX7mI/edit?usp=sharing"",""พิจิตร!S161"")+IMPORTRANGE(""https://docs.google.com/spreadsheets/d/1JtRfZkJMHtEhI5RdRHxYUG4FIZHqKDpNyIuN7A1Q0_k/edit?usp=sharing"",""พิษณุโลก!S161"")+IMPORTRANGE(""https://docs.google.com/spreadsheets/d/1xlcVZWU"&amp;"Nn6SuWm0c307h32SiGkd9BaeQWlAktfD3KO8/edit?usp=sharing"",""เพชรบูรณ์!S161"")+IMPORTRANGE(""https://docs.google.com/spreadsheets/d/1lOVebEIsI9qjGXl6EX66luk7wiuP2tBaryw-wKvv4e0/edit?usp=sharing"",""แพร่!S161"")+IMPORTRANGE(""https://docs.google.com/spreadshe"&amp;"ets/d/1dQrvX0vEcN7Gu0fnZ0B5S90AeR19zth4XlExFBeExMY/edit?usp=sharing"",""แม่ฮ่องสอน!S161"")+IMPORTRANGE(""https://docs.google.com/spreadsheets/d/1DY4XTNNwjluuxqdfdn6qvOSlMRrZqUtmYcZR0ttFiG4/edit?usp=sharing"",""ลำปาง!S161"")+IMPORTRANGE(""https://docs.goog"&amp;"le.com/spreadsheets/d/1ICwG78r0OFT8biBlxnBF8r7she7gNSzOvJ958PWT09c/edit?usp=sharing"",""ลำพูน!S161"")+IMPORTRANGE(""https://docs.google.com/spreadsheets/d/1B0f2xJpZUC6Z0xXnqKlZtEPzsf6L84eP1r1Q15seqRM/edit?usp=sharing"",""สุโขทัย!S161"")+IMPORTRANGE(""http"&amp;"s://docs.google.com/spreadsheets/d/1v0b9pFQCsKUVExMei7AgY2yQkdeNQvtOssygGsXbiKo/edit?usp=sharing"",""อุตรดิตถ์!S161"")+IMPORTRANGE(""https://docs.google.com/spreadsheets/d/1UsNK1e-WWiCo2PvGqdNfdme4m17_Ezd3J69EeeiQPD0/edit?usp=sharing"",""อุทัยธานี!S161"")"),0)</f>
        <v>0</v>
      </c>
      <c r="T161" s="48">
        <f t="shared" ca="1" si="128"/>
        <v>0</v>
      </c>
      <c r="U161" s="48">
        <f t="shared" ca="1" si="129"/>
        <v>0</v>
      </c>
    </row>
    <row r="162" spans="1:21" ht="18.75" x14ac:dyDescent="0.25">
      <c r="A162" s="128"/>
      <c r="B162" s="40"/>
      <c r="C162" s="40"/>
      <c r="D162" s="40"/>
      <c r="E162" s="47" t="s">
        <v>37</v>
      </c>
      <c r="F162" s="40"/>
      <c r="G162" s="42"/>
      <c r="H162" s="134" t="s">
        <v>14</v>
      </c>
      <c r="I162" s="135"/>
      <c r="J162" s="135"/>
      <c r="K162" s="136"/>
      <c r="L162" s="46">
        <f ca="1">IFERROR(__xludf.DUMMYFUNCTION("IMPORTRANGE(""https://docs.google.com/spreadsheets/d/1jTcq05yEiRwXcBMLjiodW9e4biSGYWAHcDj22rKWQ3s/edit?usp=sharing"",""กำแพงเพชร!L162"")+IMPORTRANGE(""https://docs.google.com/spreadsheets/d/1KS0zmDSZPk8KnTAbGN-Xk6MtX1YRZD0ldgdt20K4CRk/edit?usp=sharing"","&amp;"""เชียงราย!L162"")+IMPORTRANGE(""https://docs.google.com/spreadsheets/d/1rEDxBtusbi64tE0zunoIbsTVV16HeL0oJ6trHQeQ7K8/edit?usp=sharing"",""เชียงใหม่!L162"")+IMPORTRANGE(""https://docs.google.com/spreadsheets/d/1W6MnUbDkMi6xHnHko_XkFDO9kkuL6Wqyc-6OCDFjW9I/e"&amp;"dit?usp=sharing"",""ตาก!L162"")+IMPORTRANGE(""https://docs.google.com/spreadsheets/d/1IQAWArduLkta9LpYo4a_ULsyqdta6-6aDDiwpUnQT6c/edit?usp=sharing"",""นครสวรรค์!L162"")+IMPORTRANGE(""https://docs.google.com/spreadsheets/d/10s13Sk5xrltsiR-Zkbmk5DwIaDIKO8Xl"&amp;"bJAfqyT7Gvg/edit?usp=sharing"",""น่าน!L162"")+IMPORTRANGE(""https://docs.google.com/spreadsheets/d/1uu4nAn4Dbi1XREnLKKotUANlKXa7yCgRcgq8HEzQYW8/edit?usp=sharing"",""พะเยา!L162"")+IMPORTRANGE(""https://docs.google.com/spreadsheets/d/1xfJKIQxVOaPDIICqsflNlL"&amp;"u3JacTDk1FP9RH4phX7mI/edit?usp=sharing"",""พิจิตร!L162"")+IMPORTRANGE(""https://docs.google.com/spreadsheets/d/1JtRfZkJMHtEhI5RdRHxYUG4FIZHqKDpNyIuN7A1Q0_k/edit?usp=sharing"",""พิษณุโลก!L162"")+IMPORTRANGE(""https://docs.google.com/spreadsheets/d/1xlcVZWU"&amp;"Nn6SuWm0c307h32SiGkd9BaeQWlAktfD3KO8/edit?usp=sharing"",""เพชรบูรณ์!L162"")+IMPORTRANGE(""https://docs.google.com/spreadsheets/d/1lOVebEIsI9qjGXl6EX66luk7wiuP2tBaryw-wKvv4e0/edit?usp=sharing"",""แพร่!L162"")+IMPORTRANGE(""https://docs.google.com/spreadshe"&amp;"ets/d/1dQrvX0vEcN7Gu0fnZ0B5S90AeR19zth4XlExFBeExMY/edit?usp=sharing"",""แม่ฮ่องสอน!L162"")+IMPORTRANGE(""https://docs.google.com/spreadsheets/d/1DY4XTNNwjluuxqdfdn6qvOSlMRrZqUtmYcZR0ttFiG4/edit?usp=sharing"",""ลำปาง!L162"")+IMPORTRANGE(""https://docs.goog"&amp;"le.com/spreadsheets/d/1ICwG78r0OFT8biBlxnBF8r7she7gNSzOvJ958PWT09c/edit?usp=sharing"",""ลำพูน!L162"")+IMPORTRANGE(""https://docs.google.com/spreadsheets/d/1B0f2xJpZUC6Z0xXnqKlZtEPzsf6L84eP1r1Q15seqRM/edit?usp=sharing"",""สุโขทัย!L162"")+IMPORTRANGE(""http"&amp;"s://docs.google.com/spreadsheets/d/1v0b9pFQCsKUVExMei7AgY2yQkdeNQvtOssygGsXbiKo/edit?usp=sharing"",""อุตรดิตถ์!L162"")+IMPORTRANGE(""https://docs.google.com/spreadsheets/d/1UsNK1e-WWiCo2PvGqdNfdme4m17_Ezd3J69EeeiQPD0/edit?usp=sharing"",""อุทัยธานี!L162"")"),167000)</f>
        <v>167000</v>
      </c>
      <c r="M162" s="46">
        <f ca="1">IFERROR(__xludf.DUMMYFUNCTION("IMPORTRANGE(""https://docs.google.com/spreadsheets/d/1jTcq05yEiRwXcBMLjiodW9e4biSGYWAHcDj22rKWQ3s/edit?usp=sharing"",""กำแพงเพชร!M162"")+IMPORTRANGE(""https://docs.google.com/spreadsheets/d/1KS0zmDSZPk8KnTAbGN-Xk6MtX1YRZD0ldgdt20K4CRk/edit?usp=sharing"","&amp;"""เชียงราย!M162"")+IMPORTRANGE(""https://docs.google.com/spreadsheets/d/1rEDxBtusbi64tE0zunoIbsTVV16HeL0oJ6trHQeQ7K8/edit?usp=sharing"",""เชียงใหม่!M162"")+IMPORTRANGE(""https://docs.google.com/spreadsheets/d/1W6MnUbDkMi6xHnHko_XkFDO9kkuL6Wqyc-6OCDFjW9I/e"&amp;"dit?usp=sharing"",""ตาก!M162"")+IMPORTRANGE(""https://docs.google.com/spreadsheets/d/1IQAWArduLkta9LpYo4a_ULsyqdta6-6aDDiwpUnQT6c/edit?usp=sharing"",""นครสวรรค์!M162"")+IMPORTRANGE(""https://docs.google.com/spreadsheets/d/10s13Sk5xrltsiR-Zkbmk5DwIaDIKO8Xl"&amp;"bJAfqyT7Gvg/edit?usp=sharing"",""น่าน!M162"")+IMPORTRANGE(""https://docs.google.com/spreadsheets/d/1uu4nAn4Dbi1XREnLKKotUANlKXa7yCgRcgq8HEzQYW8/edit?usp=sharing"",""พะเยา!M162"")+IMPORTRANGE(""https://docs.google.com/spreadsheets/d/1xfJKIQxVOaPDIICqsflNlL"&amp;"u3JacTDk1FP9RH4phX7mI/edit?usp=sharing"",""พิจิตร!M162"")+IMPORTRANGE(""https://docs.google.com/spreadsheets/d/1JtRfZkJMHtEhI5RdRHxYUG4FIZHqKDpNyIuN7A1Q0_k/edit?usp=sharing"",""พิษณุโลก!M162"")+IMPORTRANGE(""https://docs.google.com/spreadsheets/d/1xlcVZWU"&amp;"Nn6SuWm0c307h32SiGkd9BaeQWlAktfD3KO8/edit?usp=sharing"",""เพชรบูรณ์!M162"")+IMPORTRANGE(""https://docs.google.com/spreadsheets/d/1lOVebEIsI9qjGXl6EX66luk7wiuP2tBaryw-wKvv4e0/edit?usp=sharing"",""แพร่!M162"")+IMPORTRANGE(""https://docs.google.com/spreadshe"&amp;"ets/d/1dQrvX0vEcN7Gu0fnZ0B5S90AeR19zth4XlExFBeExMY/edit?usp=sharing"",""แม่ฮ่องสอน!M162"")+IMPORTRANGE(""https://docs.google.com/spreadsheets/d/1DY4XTNNwjluuxqdfdn6qvOSlMRrZqUtmYcZR0ttFiG4/edit?usp=sharing"",""ลำปาง!M162"")+IMPORTRANGE(""https://docs.goog"&amp;"le.com/spreadsheets/d/1ICwG78r0OFT8biBlxnBF8r7she7gNSzOvJ958PWT09c/edit?usp=sharing"",""ลำพูน!M162"")+IMPORTRANGE(""https://docs.google.com/spreadsheets/d/1B0f2xJpZUC6Z0xXnqKlZtEPzsf6L84eP1r1Q15seqRM/edit?usp=sharing"",""สุโขทัย!M162"")+IMPORTRANGE(""http"&amp;"s://docs.google.com/spreadsheets/d/1v0b9pFQCsKUVExMei7AgY2yQkdeNQvtOssygGsXbiKo/edit?usp=sharing"",""อุตรดิตถ์!M162"")+IMPORTRANGE(""https://docs.google.com/spreadsheets/d/1UsNK1e-WWiCo2PvGqdNfdme4m17_Ezd3J69EeeiQPD0/edit?usp=sharing"",""อุทัยธานี!M162"")"),177776)</f>
        <v>177776</v>
      </c>
      <c r="N162" s="46">
        <f ca="1">IFERROR(__xludf.DUMMYFUNCTION("IMPORTRANGE(""https://docs.google.com/spreadsheets/d/1jTcq05yEiRwXcBMLjiodW9e4biSGYWAHcDj22rKWQ3s/edit?usp=sharing"",""กำแพงเพชร!N162"")+IMPORTRANGE(""https://docs.google.com/spreadsheets/d/1KS0zmDSZPk8KnTAbGN-Xk6MtX1YRZD0ldgdt20K4CRk/edit?usp=sharing"","&amp;"""เชียงราย!N162"")+IMPORTRANGE(""https://docs.google.com/spreadsheets/d/1rEDxBtusbi64tE0zunoIbsTVV16HeL0oJ6trHQeQ7K8/edit?usp=sharing"",""เชียงใหม่!N162"")+IMPORTRANGE(""https://docs.google.com/spreadsheets/d/1W6MnUbDkMi6xHnHko_XkFDO9kkuL6Wqyc-6OCDFjW9I/e"&amp;"dit?usp=sharing"",""ตาก!N162"")+IMPORTRANGE(""https://docs.google.com/spreadsheets/d/1IQAWArduLkta9LpYo4a_ULsyqdta6-6aDDiwpUnQT6c/edit?usp=sharing"",""นครสวรรค์!N162"")+IMPORTRANGE(""https://docs.google.com/spreadsheets/d/10s13Sk5xrltsiR-Zkbmk5DwIaDIKO8Xl"&amp;"bJAfqyT7Gvg/edit?usp=sharing"",""น่าน!N162"")+IMPORTRANGE(""https://docs.google.com/spreadsheets/d/1uu4nAn4Dbi1XREnLKKotUANlKXa7yCgRcgq8HEzQYW8/edit?usp=sharing"",""พะเยา!N162"")+IMPORTRANGE(""https://docs.google.com/spreadsheets/d/1xfJKIQxVOaPDIICqsflNlL"&amp;"u3JacTDk1FP9RH4phX7mI/edit?usp=sharing"",""พิจิตร!N162"")+IMPORTRANGE(""https://docs.google.com/spreadsheets/d/1JtRfZkJMHtEhI5RdRHxYUG4FIZHqKDpNyIuN7A1Q0_k/edit?usp=sharing"",""พิษณุโลก!N162"")+IMPORTRANGE(""https://docs.google.com/spreadsheets/d/1xlcVZWU"&amp;"Nn6SuWm0c307h32SiGkd9BaeQWlAktfD3KO8/edit?usp=sharing"",""เพชรบูรณ์!N162"")+IMPORTRANGE(""https://docs.google.com/spreadsheets/d/1lOVebEIsI9qjGXl6EX66luk7wiuP2tBaryw-wKvv4e0/edit?usp=sharing"",""แพร่!N162"")+IMPORTRANGE(""https://docs.google.com/spreadshe"&amp;"ets/d/1dQrvX0vEcN7Gu0fnZ0B5S90AeR19zth4XlExFBeExMY/edit?usp=sharing"",""แม่ฮ่องสอน!N162"")+IMPORTRANGE(""https://docs.google.com/spreadsheets/d/1DY4XTNNwjluuxqdfdn6qvOSlMRrZqUtmYcZR0ttFiG4/edit?usp=sharing"",""ลำปาง!N162"")+IMPORTRANGE(""https://docs.goog"&amp;"le.com/spreadsheets/d/1ICwG78r0OFT8biBlxnBF8r7she7gNSzOvJ958PWT09c/edit?usp=sharing"",""ลำพูน!N162"")+IMPORTRANGE(""https://docs.google.com/spreadsheets/d/1B0f2xJpZUC6Z0xXnqKlZtEPzsf6L84eP1r1Q15seqRM/edit?usp=sharing"",""สุโขทัย!N162"")+IMPORTRANGE(""http"&amp;"s://docs.google.com/spreadsheets/d/1v0b9pFQCsKUVExMei7AgY2yQkdeNQvtOssygGsXbiKo/edit?usp=sharing"",""อุตรดิตถ์!N162"")+IMPORTRANGE(""https://docs.google.com/spreadsheets/d/1UsNK1e-WWiCo2PvGqdNfdme4m17_Ezd3J69EeeiQPD0/edit?usp=sharing"",""อุทัยธานี!N162"")"),53997.27)</f>
        <v>53997.27</v>
      </c>
      <c r="O162" s="46">
        <f t="shared" ca="1" si="125"/>
        <v>32.333694610778444</v>
      </c>
      <c r="P162" s="46">
        <f t="shared" ca="1" si="126"/>
        <v>30.373768112681127</v>
      </c>
      <c r="Q162" s="46">
        <f ca="1">IFERROR(__xludf.DUMMYFUNCTION("IMPORTRANGE(""https://docs.google.com/spreadsheets/d/1jTcq05yEiRwXcBMLjiodW9e4biSGYWAHcDj22rKWQ3s/edit?usp=sharing"",""กำแพงเพชร!Q162"")+IMPORTRANGE(""https://docs.google.com/spreadsheets/d/1KS0zmDSZPk8KnTAbGN-Xk6MtX1YRZD0ldgdt20K4CRk/edit?usp=sharing"","&amp;"""เชียงราย!Q162"")+IMPORTRANGE(""https://docs.google.com/spreadsheets/d/1rEDxBtusbi64tE0zunoIbsTVV16HeL0oJ6trHQeQ7K8/edit?usp=sharing"",""เชียงใหม่!Q162"")+IMPORTRANGE(""https://docs.google.com/spreadsheets/d/1W6MnUbDkMi6xHnHko_XkFDO9kkuL6Wqyc-6OCDFjW9I/e"&amp;"dit?usp=sharing"",""ตาก!Q162"")+IMPORTRANGE(""https://docs.google.com/spreadsheets/d/1IQAWArduLkta9LpYo4a_ULsyqdta6-6aDDiwpUnQT6c/edit?usp=sharing"",""นครสวรรค์!Q162"")+IMPORTRANGE(""https://docs.google.com/spreadsheets/d/10s13Sk5xrltsiR-Zkbmk5DwIaDIKO8Xl"&amp;"bJAfqyT7Gvg/edit?usp=sharing"",""น่าน!Q162"")+IMPORTRANGE(""https://docs.google.com/spreadsheets/d/1uu4nAn4Dbi1XREnLKKotUANlKXa7yCgRcgq8HEzQYW8/edit?usp=sharing"",""พะเยา!Q162"")+IMPORTRANGE(""https://docs.google.com/spreadsheets/d/1xfJKIQxVOaPDIICqsflNlL"&amp;"u3JacTDk1FP9RH4phX7mI/edit?usp=sharing"",""พิจิตร!Q162"")+IMPORTRANGE(""https://docs.google.com/spreadsheets/d/1JtRfZkJMHtEhI5RdRHxYUG4FIZHqKDpNyIuN7A1Q0_k/edit?usp=sharing"",""พิษณุโลก!Q162"")+IMPORTRANGE(""https://docs.google.com/spreadsheets/d/1xlcVZWU"&amp;"Nn6SuWm0c307h32SiGkd9BaeQWlAktfD3KO8/edit?usp=sharing"",""เพชรบูรณ์!Q162"")+IMPORTRANGE(""https://docs.google.com/spreadsheets/d/1lOVebEIsI9qjGXl6EX66luk7wiuP2tBaryw-wKvv4e0/edit?usp=sharing"",""แพร่!Q162"")+IMPORTRANGE(""https://docs.google.com/spreadshe"&amp;"ets/d/1dQrvX0vEcN7Gu0fnZ0B5S90AeR19zth4XlExFBeExMY/edit?usp=sharing"",""แม่ฮ่องสอน!Q162"")+IMPORTRANGE(""https://docs.google.com/spreadsheets/d/1DY4XTNNwjluuxqdfdn6qvOSlMRrZqUtmYcZR0ttFiG4/edit?usp=sharing"",""ลำปาง!Q162"")+IMPORTRANGE(""https://docs.goog"&amp;"le.com/spreadsheets/d/1ICwG78r0OFT8biBlxnBF8r7she7gNSzOvJ958PWT09c/edit?usp=sharing"",""ลำพูน!Q162"")+IMPORTRANGE(""https://docs.google.com/spreadsheets/d/1B0f2xJpZUC6Z0xXnqKlZtEPzsf6L84eP1r1Q15seqRM/edit?usp=sharing"",""สุโขทัย!Q162"")+IMPORTRANGE(""http"&amp;"s://docs.google.com/spreadsheets/d/1v0b9pFQCsKUVExMei7AgY2yQkdeNQvtOssygGsXbiKo/edit?usp=sharing"",""อุตรดิตถ์!Q162"")+IMPORTRANGE(""https://docs.google.com/spreadsheets/d/1UsNK1e-WWiCo2PvGqdNfdme4m17_Ezd3J69EeeiQPD0/edit?usp=sharing"",""อุทัยธานี!Q162"")"),0)</f>
        <v>0</v>
      </c>
      <c r="R162" s="46">
        <f ca="1">IFERROR(__xludf.DUMMYFUNCTION("IMPORTRANGE(""https://docs.google.com/spreadsheets/d/1jTcq05yEiRwXcBMLjiodW9e4biSGYWAHcDj22rKWQ3s/edit?usp=sharing"",""กำแพงเพชร!R162"")+IMPORTRANGE(""https://docs.google.com/spreadsheets/d/1KS0zmDSZPk8KnTAbGN-Xk6MtX1YRZD0ldgdt20K4CRk/edit?usp=sharing"","&amp;"""เชียงราย!R162"")+IMPORTRANGE(""https://docs.google.com/spreadsheets/d/1rEDxBtusbi64tE0zunoIbsTVV16HeL0oJ6trHQeQ7K8/edit?usp=sharing"",""เชียงใหม่!R162"")+IMPORTRANGE(""https://docs.google.com/spreadsheets/d/1W6MnUbDkMi6xHnHko_XkFDO9kkuL6Wqyc-6OCDFjW9I/e"&amp;"dit?usp=sharing"",""ตาก!R162"")+IMPORTRANGE(""https://docs.google.com/spreadsheets/d/1IQAWArduLkta9LpYo4a_ULsyqdta6-6aDDiwpUnQT6c/edit?usp=sharing"",""นครสวรรค์!R162"")+IMPORTRANGE(""https://docs.google.com/spreadsheets/d/10s13Sk5xrltsiR-Zkbmk5DwIaDIKO8Xl"&amp;"bJAfqyT7Gvg/edit?usp=sharing"",""น่าน!R162"")+IMPORTRANGE(""https://docs.google.com/spreadsheets/d/1uu4nAn4Dbi1XREnLKKotUANlKXa7yCgRcgq8HEzQYW8/edit?usp=sharing"",""พะเยา!R162"")+IMPORTRANGE(""https://docs.google.com/spreadsheets/d/1xfJKIQxVOaPDIICqsflNlL"&amp;"u3JacTDk1FP9RH4phX7mI/edit?usp=sharing"",""พิจิตร!R162"")+IMPORTRANGE(""https://docs.google.com/spreadsheets/d/1JtRfZkJMHtEhI5RdRHxYUG4FIZHqKDpNyIuN7A1Q0_k/edit?usp=sharing"",""พิษณุโลก!R162"")+IMPORTRANGE(""https://docs.google.com/spreadsheets/d/1xlcVZWU"&amp;"Nn6SuWm0c307h32SiGkd9BaeQWlAktfD3KO8/edit?usp=sharing"",""เพชรบูรณ์!R162"")+IMPORTRANGE(""https://docs.google.com/spreadsheets/d/1lOVebEIsI9qjGXl6EX66luk7wiuP2tBaryw-wKvv4e0/edit?usp=sharing"",""แพร่!R162"")+IMPORTRANGE(""https://docs.google.com/spreadshe"&amp;"ets/d/1dQrvX0vEcN7Gu0fnZ0B5S90AeR19zth4XlExFBeExMY/edit?usp=sharing"",""แม่ฮ่องสอน!R162"")+IMPORTRANGE(""https://docs.google.com/spreadsheets/d/1DY4XTNNwjluuxqdfdn6qvOSlMRrZqUtmYcZR0ttFiG4/edit?usp=sharing"",""ลำปาง!R162"")+IMPORTRANGE(""https://docs.goog"&amp;"le.com/spreadsheets/d/1ICwG78r0OFT8biBlxnBF8r7she7gNSzOvJ958PWT09c/edit?usp=sharing"",""ลำพูน!R162"")+IMPORTRANGE(""https://docs.google.com/spreadsheets/d/1B0f2xJpZUC6Z0xXnqKlZtEPzsf6L84eP1r1Q15seqRM/edit?usp=sharing"",""สุโขทัย!R162"")+IMPORTRANGE(""http"&amp;"s://docs.google.com/spreadsheets/d/1v0b9pFQCsKUVExMei7AgY2yQkdeNQvtOssygGsXbiKo/edit?usp=sharing"",""อุตรดิตถ์!R162"")+IMPORTRANGE(""https://docs.google.com/spreadsheets/d/1UsNK1e-WWiCo2PvGqdNfdme4m17_Ezd3J69EeeiQPD0/edit?usp=sharing"",""อุทัยธานี!R162"")"),0)</f>
        <v>0</v>
      </c>
      <c r="S162" s="46">
        <f ca="1">IFERROR(__xludf.DUMMYFUNCTION("IMPORTRANGE(""https://docs.google.com/spreadsheets/d/1jTcq05yEiRwXcBMLjiodW9e4biSGYWAHcDj22rKWQ3s/edit?usp=sharing"",""กำแพงเพชร!S162"")+IMPORTRANGE(""https://docs.google.com/spreadsheets/d/1KS0zmDSZPk8KnTAbGN-Xk6MtX1YRZD0ldgdt20K4CRk/edit?usp=sharing"","&amp;"""เชียงราย!S162"")+IMPORTRANGE(""https://docs.google.com/spreadsheets/d/1rEDxBtusbi64tE0zunoIbsTVV16HeL0oJ6trHQeQ7K8/edit?usp=sharing"",""เชียงใหม่!S162"")+IMPORTRANGE(""https://docs.google.com/spreadsheets/d/1W6MnUbDkMi6xHnHko_XkFDO9kkuL6Wqyc-6OCDFjW9I/e"&amp;"dit?usp=sharing"",""ตาก!S162"")+IMPORTRANGE(""https://docs.google.com/spreadsheets/d/1IQAWArduLkta9LpYo4a_ULsyqdta6-6aDDiwpUnQT6c/edit?usp=sharing"",""นครสวรรค์!S162"")+IMPORTRANGE(""https://docs.google.com/spreadsheets/d/10s13Sk5xrltsiR-Zkbmk5DwIaDIKO8Xl"&amp;"bJAfqyT7Gvg/edit?usp=sharing"",""น่าน!S162"")+IMPORTRANGE(""https://docs.google.com/spreadsheets/d/1uu4nAn4Dbi1XREnLKKotUANlKXa7yCgRcgq8HEzQYW8/edit?usp=sharing"",""พะเยา!S162"")+IMPORTRANGE(""https://docs.google.com/spreadsheets/d/1xfJKIQxVOaPDIICqsflNlL"&amp;"u3JacTDk1FP9RH4phX7mI/edit?usp=sharing"",""พิจิตร!S162"")+IMPORTRANGE(""https://docs.google.com/spreadsheets/d/1JtRfZkJMHtEhI5RdRHxYUG4FIZHqKDpNyIuN7A1Q0_k/edit?usp=sharing"",""พิษณุโลก!S162"")+IMPORTRANGE(""https://docs.google.com/spreadsheets/d/1xlcVZWU"&amp;"Nn6SuWm0c307h32SiGkd9BaeQWlAktfD3KO8/edit?usp=sharing"",""เพชรบูรณ์!S162"")+IMPORTRANGE(""https://docs.google.com/spreadsheets/d/1lOVebEIsI9qjGXl6EX66luk7wiuP2tBaryw-wKvv4e0/edit?usp=sharing"",""แพร่!S162"")+IMPORTRANGE(""https://docs.google.com/spreadshe"&amp;"ets/d/1dQrvX0vEcN7Gu0fnZ0B5S90AeR19zth4XlExFBeExMY/edit?usp=sharing"",""แม่ฮ่องสอน!S162"")+IMPORTRANGE(""https://docs.google.com/spreadsheets/d/1DY4XTNNwjluuxqdfdn6qvOSlMRrZqUtmYcZR0ttFiG4/edit?usp=sharing"",""ลำปาง!S162"")+IMPORTRANGE(""https://docs.goog"&amp;"le.com/spreadsheets/d/1ICwG78r0OFT8biBlxnBF8r7she7gNSzOvJ958PWT09c/edit?usp=sharing"",""ลำพูน!S162"")+IMPORTRANGE(""https://docs.google.com/spreadsheets/d/1B0f2xJpZUC6Z0xXnqKlZtEPzsf6L84eP1r1Q15seqRM/edit?usp=sharing"",""สุโขทัย!S162"")+IMPORTRANGE(""http"&amp;"s://docs.google.com/spreadsheets/d/1v0b9pFQCsKUVExMei7AgY2yQkdeNQvtOssygGsXbiKo/edit?usp=sharing"",""อุตรดิตถ์!S162"")+IMPORTRANGE(""https://docs.google.com/spreadsheets/d/1UsNK1e-WWiCo2PvGqdNfdme4m17_Ezd3J69EeeiQPD0/edit?usp=sharing"",""อุทัยธานี!S162"")"),0)</f>
        <v>0</v>
      </c>
      <c r="T162" s="46">
        <f t="shared" ca="1" si="128"/>
        <v>0</v>
      </c>
      <c r="U162" s="46">
        <f t="shared" ca="1" si="129"/>
        <v>0</v>
      </c>
    </row>
    <row r="163" spans="1:21" ht="18.75" x14ac:dyDescent="0.25">
      <c r="A163" s="128"/>
      <c r="B163" s="40"/>
      <c r="C163" s="40"/>
      <c r="D163" s="41" t="s">
        <v>23</v>
      </c>
      <c r="E163" s="40"/>
      <c r="F163" s="40"/>
      <c r="G163" s="42"/>
      <c r="H163" s="137" t="s">
        <v>14</v>
      </c>
      <c r="I163" s="135"/>
      <c r="J163" s="135"/>
      <c r="K163" s="136"/>
      <c r="L163" s="46">
        <f t="shared" ref="L163:N163" ca="1" si="136">L164+L165</f>
        <v>0</v>
      </c>
      <c r="M163" s="46">
        <f t="shared" ca="1" si="136"/>
        <v>0</v>
      </c>
      <c r="N163" s="46">
        <f t="shared" ca="1" si="136"/>
        <v>0</v>
      </c>
      <c r="O163" s="46">
        <f t="shared" ca="1" si="125"/>
        <v>0</v>
      </c>
      <c r="P163" s="46">
        <f t="shared" ca="1" si="126"/>
        <v>0</v>
      </c>
      <c r="Q163" s="46">
        <f t="shared" ref="Q163:S163" ca="1" si="137">Q164+Q165</f>
        <v>0</v>
      </c>
      <c r="R163" s="46">
        <f t="shared" ca="1" si="137"/>
        <v>0</v>
      </c>
      <c r="S163" s="46">
        <f t="shared" ca="1" si="137"/>
        <v>0</v>
      </c>
      <c r="T163" s="46">
        <f t="shared" ca="1" si="128"/>
        <v>0</v>
      </c>
      <c r="U163" s="46">
        <f t="shared" ca="1" si="129"/>
        <v>0</v>
      </c>
    </row>
    <row r="164" spans="1:21" ht="18.75" x14ac:dyDescent="0.25">
      <c r="A164" s="128"/>
      <c r="B164" s="40"/>
      <c r="C164" s="40"/>
      <c r="D164" s="40"/>
      <c r="E164" s="47" t="s">
        <v>20</v>
      </c>
      <c r="F164" s="40"/>
      <c r="G164" s="42"/>
      <c r="H164" s="134" t="s">
        <v>14</v>
      </c>
      <c r="I164" s="135"/>
      <c r="J164" s="135"/>
      <c r="K164" s="136"/>
      <c r="L164" s="46">
        <f ca="1">IFERROR(__xludf.DUMMYFUNCTION("IMPORTRANGE(""https://docs.google.com/spreadsheets/d/1jTcq05yEiRwXcBMLjiodW9e4biSGYWAHcDj22rKWQ3s/edit?usp=sharing"",""กำแพงเพชร!L164"")+IMPORTRANGE(""https://docs.google.com/spreadsheets/d/1KS0zmDSZPk8KnTAbGN-Xk6MtX1YRZD0ldgdt20K4CRk/edit?usp=sharing"","&amp;"""เชียงราย!L164"")+IMPORTRANGE(""https://docs.google.com/spreadsheets/d/1rEDxBtusbi64tE0zunoIbsTVV16HeL0oJ6trHQeQ7K8/edit?usp=sharing"",""เชียงใหม่!L164"")+IMPORTRANGE(""https://docs.google.com/spreadsheets/d/1W6MnUbDkMi6xHnHko_XkFDO9kkuL6Wqyc-6OCDFjW9I/e"&amp;"dit?usp=sharing"",""ตาก!L164"")+IMPORTRANGE(""https://docs.google.com/spreadsheets/d/1IQAWArduLkta9LpYo4a_ULsyqdta6-6aDDiwpUnQT6c/edit?usp=sharing"",""นครสวรรค์!L164"")+IMPORTRANGE(""https://docs.google.com/spreadsheets/d/10s13Sk5xrltsiR-Zkbmk5DwIaDIKO8Xl"&amp;"bJAfqyT7Gvg/edit?usp=sharing"",""น่าน!L164"")+IMPORTRANGE(""https://docs.google.com/spreadsheets/d/1uu4nAn4Dbi1XREnLKKotUANlKXa7yCgRcgq8HEzQYW8/edit?usp=sharing"",""พะเยา!L164"")+IMPORTRANGE(""https://docs.google.com/spreadsheets/d/1xfJKIQxVOaPDIICqsflNlL"&amp;"u3JacTDk1FP9RH4phX7mI/edit?usp=sharing"",""พิจิตร!L164"")+IMPORTRANGE(""https://docs.google.com/spreadsheets/d/1JtRfZkJMHtEhI5RdRHxYUG4FIZHqKDpNyIuN7A1Q0_k/edit?usp=sharing"",""พิษณุโลก!L164"")+IMPORTRANGE(""https://docs.google.com/spreadsheets/d/1xlcVZWU"&amp;"Nn6SuWm0c307h32SiGkd9BaeQWlAktfD3KO8/edit?usp=sharing"",""เพชรบูรณ์!L164"")+IMPORTRANGE(""https://docs.google.com/spreadsheets/d/1lOVebEIsI9qjGXl6EX66luk7wiuP2tBaryw-wKvv4e0/edit?usp=sharing"",""แพร่!L164"")+IMPORTRANGE(""https://docs.google.com/spreadshe"&amp;"ets/d/1dQrvX0vEcN7Gu0fnZ0B5S90AeR19zth4XlExFBeExMY/edit?usp=sharing"",""แม่ฮ่องสอน!L164"")+IMPORTRANGE(""https://docs.google.com/spreadsheets/d/1DY4XTNNwjluuxqdfdn6qvOSlMRrZqUtmYcZR0ttFiG4/edit?usp=sharing"",""ลำปาง!L164"")+IMPORTRANGE(""https://docs.goog"&amp;"le.com/spreadsheets/d/1ICwG78r0OFT8biBlxnBF8r7she7gNSzOvJ958PWT09c/edit?usp=sharing"",""ลำพูน!L164"")+IMPORTRANGE(""https://docs.google.com/spreadsheets/d/1B0f2xJpZUC6Z0xXnqKlZtEPzsf6L84eP1r1Q15seqRM/edit?usp=sharing"",""สุโขทัย!L164"")+IMPORTRANGE(""http"&amp;"s://docs.google.com/spreadsheets/d/1v0b9pFQCsKUVExMei7AgY2yQkdeNQvtOssygGsXbiKo/edit?usp=sharing"",""อุตรดิตถ์!L164"")+IMPORTRANGE(""https://docs.google.com/spreadsheets/d/1UsNK1e-WWiCo2PvGqdNfdme4m17_Ezd3J69EeeiQPD0/edit?usp=sharing"",""อุทัยธานี!L164"")"),0)</f>
        <v>0</v>
      </c>
      <c r="M164" s="46">
        <f ca="1">IFERROR(__xludf.DUMMYFUNCTION("IMPORTRANGE(""https://docs.google.com/spreadsheets/d/1jTcq05yEiRwXcBMLjiodW9e4biSGYWAHcDj22rKWQ3s/edit?usp=sharing"",""กำแพงเพชร!M164"")+IMPORTRANGE(""https://docs.google.com/spreadsheets/d/1KS0zmDSZPk8KnTAbGN-Xk6MtX1YRZD0ldgdt20K4CRk/edit?usp=sharing"","&amp;"""เชียงราย!M164"")+IMPORTRANGE(""https://docs.google.com/spreadsheets/d/1rEDxBtusbi64tE0zunoIbsTVV16HeL0oJ6trHQeQ7K8/edit?usp=sharing"",""เชียงใหม่!M164"")+IMPORTRANGE(""https://docs.google.com/spreadsheets/d/1W6MnUbDkMi6xHnHko_XkFDO9kkuL6Wqyc-6OCDFjW9I/e"&amp;"dit?usp=sharing"",""ตาก!M164"")+IMPORTRANGE(""https://docs.google.com/spreadsheets/d/1IQAWArduLkta9LpYo4a_ULsyqdta6-6aDDiwpUnQT6c/edit?usp=sharing"",""นครสวรรค์!M164"")+IMPORTRANGE(""https://docs.google.com/spreadsheets/d/10s13Sk5xrltsiR-Zkbmk5DwIaDIKO8Xl"&amp;"bJAfqyT7Gvg/edit?usp=sharing"",""น่าน!M164"")+IMPORTRANGE(""https://docs.google.com/spreadsheets/d/1uu4nAn4Dbi1XREnLKKotUANlKXa7yCgRcgq8HEzQYW8/edit?usp=sharing"",""พะเยา!M164"")+IMPORTRANGE(""https://docs.google.com/spreadsheets/d/1xfJKIQxVOaPDIICqsflNlL"&amp;"u3JacTDk1FP9RH4phX7mI/edit?usp=sharing"",""พิจิตร!M164"")+IMPORTRANGE(""https://docs.google.com/spreadsheets/d/1JtRfZkJMHtEhI5RdRHxYUG4FIZHqKDpNyIuN7A1Q0_k/edit?usp=sharing"",""พิษณุโลก!M164"")+IMPORTRANGE(""https://docs.google.com/spreadsheets/d/1xlcVZWU"&amp;"Nn6SuWm0c307h32SiGkd9BaeQWlAktfD3KO8/edit?usp=sharing"",""เพชรบูรณ์!M164"")+IMPORTRANGE(""https://docs.google.com/spreadsheets/d/1lOVebEIsI9qjGXl6EX66luk7wiuP2tBaryw-wKvv4e0/edit?usp=sharing"",""แพร่!M164"")+IMPORTRANGE(""https://docs.google.com/spreadshe"&amp;"ets/d/1dQrvX0vEcN7Gu0fnZ0B5S90AeR19zth4XlExFBeExMY/edit?usp=sharing"",""แม่ฮ่องสอน!M164"")+IMPORTRANGE(""https://docs.google.com/spreadsheets/d/1DY4XTNNwjluuxqdfdn6qvOSlMRrZqUtmYcZR0ttFiG4/edit?usp=sharing"",""ลำปาง!M164"")+IMPORTRANGE(""https://docs.goog"&amp;"le.com/spreadsheets/d/1ICwG78r0OFT8biBlxnBF8r7she7gNSzOvJ958PWT09c/edit?usp=sharing"",""ลำพูน!M164"")+IMPORTRANGE(""https://docs.google.com/spreadsheets/d/1B0f2xJpZUC6Z0xXnqKlZtEPzsf6L84eP1r1Q15seqRM/edit?usp=sharing"",""สุโขทัย!M164"")+IMPORTRANGE(""http"&amp;"s://docs.google.com/spreadsheets/d/1v0b9pFQCsKUVExMei7AgY2yQkdeNQvtOssygGsXbiKo/edit?usp=sharing"",""อุตรดิตถ์!M164"")+IMPORTRANGE(""https://docs.google.com/spreadsheets/d/1UsNK1e-WWiCo2PvGqdNfdme4m17_Ezd3J69EeeiQPD0/edit?usp=sharing"",""อุทัยธานี!M164"")"),0)</f>
        <v>0</v>
      </c>
      <c r="N164" s="46">
        <f ca="1">IFERROR(__xludf.DUMMYFUNCTION("IMPORTRANGE(""https://docs.google.com/spreadsheets/d/1jTcq05yEiRwXcBMLjiodW9e4biSGYWAHcDj22rKWQ3s/edit?usp=sharing"",""กำแพงเพชร!N164"")+IMPORTRANGE(""https://docs.google.com/spreadsheets/d/1KS0zmDSZPk8KnTAbGN-Xk6MtX1YRZD0ldgdt20K4CRk/edit?usp=sharing"","&amp;"""เชียงราย!N164"")+IMPORTRANGE(""https://docs.google.com/spreadsheets/d/1rEDxBtusbi64tE0zunoIbsTVV16HeL0oJ6trHQeQ7K8/edit?usp=sharing"",""เชียงใหม่!N164"")+IMPORTRANGE(""https://docs.google.com/spreadsheets/d/1W6MnUbDkMi6xHnHko_XkFDO9kkuL6Wqyc-6OCDFjW9I/e"&amp;"dit?usp=sharing"",""ตาก!N164"")+IMPORTRANGE(""https://docs.google.com/spreadsheets/d/1IQAWArduLkta9LpYo4a_ULsyqdta6-6aDDiwpUnQT6c/edit?usp=sharing"",""นครสวรรค์!N164"")+IMPORTRANGE(""https://docs.google.com/spreadsheets/d/10s13Sk5xrltsiR-Zkbmk5DwIaDIKO8Xl"&amp;"bJAfqyT7Gvg/edit?usp=sharing"",""น่าน!N164"")+IMPORTRANGE(""https://docs.google.com/spreadsheets/d/1uu4nAn4Dbi1XREnLKKotUANlKXa7yCgRcgq8HEzQYW8/edit?usp=sharing"",""พะเยา!N164"")+IMPORTRANGE(""https://docs.google.com/spreadsheets/d/1xfJKIQxVOaPDIICqsflNlL"&amp;"u3JacTDk1FP9RH4phX7mI/edit?usp=sharing"",""พิจิตร!N164"")+IMPORTRANGE(""https://docs.google.com/spreadsheets/d/1JtRfZkJMHtEhI5RdRHxYUG4FIZHqKDpNyIuN7A1Q0_k/edit?usp=sharing"",""พิษณุโลก!N164"")+IMPORTRANGE(""https://docs.google.com/spreadsheets/d/1xlcVZWU"&amp;"Nn6SuWm0c307h32SiGkd9BaeQWlAktfD3KO8/edit?usp=sharing"",""เพชรบูรณ์!N164"")+IMPORTRANGE(""https://docs.google.com/spreadsheets/d/1lOVebEIsI9qjGXl6EX66luk7wiuP2tBaryw-wKvv4e0/edit?usp=sharing"",""แพร่!N164"")+IMPORTRANGE(""https://docs.google.com/spreadshe"&amp;"ets/d/1dQrvX0vEcN7Gu0fnZ0B5S90AeR19zth4XlExFBeExMY/edit?usp=sharing"",""แม่ฮ่องสอน!N164"")+IMPORTRANGE(""https://docs.google.com/spreadsheets/d/1DY4XTNNwjluuxqdfdn6qvOSlMRrZqUtmYcZR0ttFiG4/edit?usp=sharing"",""ลำปาง!N164"")+IMPORTRANGE(""https://docs.goog"&amp;"le.com/spreadsheets/d/1ICwG78r0OFT8biBlxnBF8r7she7gNSzOvJ958PWT09c/edit?usp=sharing"",""ลำพูน!N164"")+IMPORTRANGE(""https://docs.google.com/spreadsheets/d/1B0f2xJpZUC6Z0xXnqKlZtEPzsf6L84eP1r1Q15seqRM/edit?usp=sharing"",""สุโขทัย!N164"")+IMPORTRANGE(""http"&amp;"s://docs.google.com/spreadsheets/d/1v0b9pFQCsKUVExMei7AgY2yQkdeNQvtOssygGsXbiKo/edit?usp=sharing"",""อุตรดิตถ์!N164"")+IMPORTRANGE(""https://docs.google.com/spreadsheets/d/1UsNK1e-WWiCo2PvGqdNfdme4m17_Ezd3J69EeeiQPD0/edit?usp=sharing"",""อุทัยธานี!N164"")"),0)</f>
        <v>0</v>
      </c>
      <c r="O164" s="46">
        <f t="shared" ca="1" si="125"/>
        <v>0</v>
      </c>
      <c r="P164" s="46">
        <f t="shared" ca="1" si="126"/>
        <v>0</v>
      </c>
      <c r="Q164" s="48">
        <f ca="1">IFERROR(__xludf.DUMMYFUNCTION("IMPORTRANGE(""https://docs.google.com/spreadsheets/d/1jTcq05yEiRwXcBMLjiodW9e4biSGYWAHcDj22rKWQ3s/edit?usp=sharing"",""กำแพงเพชร!Q164"")+IMPORTRANGE(""https://docs.google.com/spreadsheets/d/1KS0zmDSZPk8KnTAbGN-Xk6MtX1YRZD0ldgdt20K4CRk/edit?usp=sharing"","&amp;"""เชียงราย!Q164"")+IMPORTRANGE(""https://docs.google.com/spreadsheets/d/1rEDxBtusbi64tE0zunoIbsTVV16HeL0oJ6trHQeQ7K8/edit?usp=sharing"",""เชียงใหม่!Q164"")+IMPORTRANGE(""https://docs.google.com/spreadsheets/d/1W6MnUbDkMi6xHnHko_XkFDO9kkuL6Wqyc-6OCDFjW9I/e"&amp;"dit?usp=sharing"",""ตาก!Q164"")+IMPORTRANGE(""https://docs.google.com/spreadsheets/d/1IQAWArduLkta9LpYo4a_ULsyqdta6-6aDDiwpUnQT6c/edit?usp=sharing"",""นครสวรรค์!Q164"")+IMPORTRANGE(""https://docs.google.com/spreadsheets/d/10s13Sk5xrltsiR-Zkbmk5DwIaDIKO8Xl"&amp;"bJAfqyT7Gvg/edit?usp=sharing"",""น่าน!Q164"")+IMPORTRANGE(""https://docs.google.com/spreadsheets/d/1uu4nAn4Dbi1XREnLKKotUANlKXa7yCgRcgq8HEzQYW8/edit?usp=sharing"",""พะเยา!Q164"")+IMPORTRANGE(""https://docs.google.com/spreadsheets/d/1xfJKIQxVOaPDIICqsflNlL"&amp;"u3JacTDk1FP9RH4phX7mI/edit?usp=sharing"",""พิจิตร!Q164"")+IMPORTRANGE(""https://docs.google.com/spreadsheets/d/1JtRfZkJMHtEhI5RdRHxYUG4FIZHqKDpNyIuN7A1Q0_k/edit?usp=sharing"",""พิษณุโลก!Q164"")+IMPORTRANGE(""https://docs.google.com/spreadsheets/d/1xlcVZWU"&amp;"Nn6SuWm0c307h32SiGkd9BaeQWlAktfD3KO8/edit?usp=sharing"",""เพชรบูรณ์!Q164"")+IMPORTRANGE(""https://docs.google.com/spreadsheets/d/1lOVebEIsI9qjGXl6EX66luk7wiuP2tBaryw-wKvv4e0/edit?usp=sharing"",""แพร่!Q164"")+IMPORTRANGE(""https://docs.google.com/spreadshe"&amp;"ets/d/1dQrvX0vEcN7Gu0fnZ0B5S90AeR19zth4XlExFBeExMY/edit?usp=sharing"",""แม่ฮ่องสอน!Q164"")+IMPORTRANGE(""https://docs.google.com/spreadsheets/d/1DY4XTNNwjluuxqdfdn6qvOSlMRrZqUtmYcZR0ttFiG4/edit?usp=sharing"",""ลำปาง!Q164"")+IMPORTRANGE(""https://docs.goog"&amp;"le.com/spreadsheets/d/1ICwG78r0OFT8biBlxnBF8r7she7gNSzOvJ958PWT09c/edit?usp=sharing"",""ลำพูน!Q164"")+IMPORTRANGE(""https://docs.google.com/spreadsheets/d/1B0f2xJpZUC6Z0xXnqKlZtEPzsf6L84eP1r1Q15seqRM/edit?usp=sharing"",""สุโขทัย!Q164"")+IMPORTRANGE(""http"&amp;"s://docs.google.com/spreadsheets/d/1v0b9pFQCsKUVExMei7AgY2yQkdeNQvtOssygGsXbiKo/edit?usp=sharing"",""อุตรดิตถ์!Q164"")+IMPORTRANGE(""https://docs.google.com/spreadsheets/d/1UsNK1e-WWiCo2PvGqdNfdme4m17_Ezd3J69EeeiQPD0/edit?usp=sharing"",""อุทัยธานี!Q164"")"),0)</f>
        <v>0</v>
      </c>
      <c r="R164" s="48">
        <f ca="1">IFERROR(__xludf.DUMMYFUNCTION("IMPORTRANGE(""https://docs.google.com/spreadsheets/d/1jTcq05yEiRwXcBMLjiodW9e4biSGYWAHcDj22rKWQ3s/edit?usp=sharing"",""กำแพงเพชร!R164"")+IMPORTRANGE(""https://docs.google.com/spreadsheets/d/1KS0zmDSZPk8KnTAbGN-Xk6MtX1YRZD0ldgdt20K4CRk/edit?usp=sharing"","&amp;"""เชียงราย!R164"")+IMPORTRANGE(""https://docs.google.com/spreadsheets/d/1rEDxBtusbi64tE0zunoIbsTVV16HeL0oJ6trHQeQ7K8/edit?usp=sharing"",""เชียงใหม่!R164"")+IMPORTRANGE(""https://docs.google.com/spreadsheets/d/1W6MnUbDkMi6xHnHko_XkFDO9kkuL6Wqyc-6OCDFjW9I/e"&amp;"dit?usp=sharing"",""ตาก!R164"")+IMPORTRANGE(""https://docs.google.com/spreadsheets/d/1IQAWArduLkta9LpYo4a_ULsyqdta6-6aDDiwpUnQT6c/edit?usp=sharing"",""นครสวรรค์!R164"")+IMPORTRANGE(""https://docs.google.com/spreadsheets/d/10s13Sk5xrltsiR-Zkbmk5DwIaDIKO8Xl"&amp;"bJAfqyT7Gvg/edit?usp=sharing"",""น่าน!R164"")+IMPORTRANGE(""https://docs.google.com/spreadsheets/d/1uu4nAn4Dbi1XREnLKKotUANlKXa7yCgRcgq8HEzQYW8/edit?usp=sharing"",""พะเยา!R164"")+IMPORTRANGE(""https://docs.google.com/spreadsheets/d/1xfJKIQxVOaPDIICqsflNlL"&amp;"u3JacTDk1FP9RH4phX7mI/edit?usp=sharing"",""พิจิตร!R164"")+IMPORTRANGE(""https://docs.google.com/spreadsheets/d/1JtRfZkJMHtEhI5RdRHxYUG4FIZHqKDpNyIuN7A1Q0_k/edit?usp=sharing"",""พิษณุโลก!R164"")+IMPORTRANGE(""https://docs.google.com/spreadsheets/d/1xlcVZWU"&amp;"Nn6SuWm0c307h32SiGkd9BaeQWlAktfD3KO8/edit?usp=sharing"",""เพชรบูรณ์!R164"")+IMPORTRANGE(""https://docs.google.com/spreadsheets/d/1lOVebEIsI9qjGXl6EX66luk7wiuP2tBaryw-wKvv4e0/edit?usp=sharing"",""แพร่!R164"")+IMPORTRANGE(""https://docs.google.com/spreadshe"&amp;"ets/d/1dQrvX0vEcN7Gu0fnZ0B5S90AeR19zth4XlExFBeExMY/edit?usp=sharing"",""แม่ฮ่องสอน!R164"")+IMPORTRANGE(""https://docs.google.com/spreadsheets/d/1DY4XTNNwjluuxqdfdn6qvOSlMRrZqUtmYcZR0ttFiG4/edit?usp=sharing"",""ลำปาง!R164"")+IMPORTRANGE(""https://docs.goog"&amp;"le.com/spreadsheets/d/1ICwG78r0OFT8biBlxnBF8r7she7gNSzOvJ958PWT09c/edit?usp=sharing"",""ลำพูน!R164"")+IMPORTRANGE(""https://docs.google.com/spreadsheets/d/1B0f2xJpZUC6Z0xXnqKlZtEPzsf6L84eP1r1Q15seqRM/edit?usp=sharing"",""สุโขทัย!R164"")+IMPORTRANGE(""http"&amp;"s://docs.google.com/spreadsheets/d/1v0b9pFQCsKUVExMei7AgY2yQkdeNQvtOssygGsXbiKo/edit?usp=sharing"",""อุตรดิตถ์!R164"")+IMPORTRANGE(""https://docs.google.com/spreadsheets/d/1UsNK1e-WWiCo2PvGqdNfdme4m17_Ezd3J69EeeiQPD0/edit?usp=sharing"",""อุทัยธานี!R164"")"),0)</f>
        <v>0</v>
      </c>
      <c r="S164" s="48">
        <f ca="1">IFERROR(__xludf.DUMMYFUNCTION("IMPORTRANGE(""https://docs.google.com/spreadsheets/d/1jTcq05yEiRwXcBMLjiodW9e4biSGYWAHcDj22rKWQ3s/edit?usp=sharing"",""กำแพงเพชร!S164"")+IMPORTRANGE(""https://docs.google.com/spreadsheets/d/1KS0zmDSZPk8KnTAbGN-Xk6MtX1YRZD0ldgdt20K4CRk/edit?usp=sharing"","&amp;"""เชียงราย!S164"")+IMPORTRANGE(""https://docs.google.com/spreadsheets/d/1rEDxBtusbi64tE0zunoIbsTVV16HeL0oJ6trHQeQ7K8/edit?usp=sharing"",""เชียงใหม่!S164"")+IMPORTRANGE(""https://docs.google.com/spreadsheets/d/1W6MnUbDkMi6xHnHko_XkFDO9kkuL6Wqyc-6OCDFjW9I/e"&amp;"dit?usp=sharing"",""ตาก!S164"")+IMPORTRANGE(""https://docs.google.com/spreadsheets/d/1IQAWArduLkta9LpYo4a_ULsyqdta6-6aDDiwpUnQT6c/edit?usp=sharing"",""นครสวรรค์!S164"")+IMPORTRANGE(""https://docs.google.com/spreadsheets/d/10s13Sk5xrltsiR-Zkbmk5DwIaDIKO8Xl"&amp;"bJAfqyT7Gvg/edit?usp=sharing"",""น่าน!S164"")+IMPORTRANGE(""https://docs.google.com/spreadsheets/d/1uu4nAn4Dbi1XREnLKKotUANlKXa7yCgRcgq8HEzQYW8/edit?usp=sharing"",""พะเยา!S164"")+IMPORTRANGE(""https://docs.google.com/spreadsheets/d/1xfJKIQxVOaPDIICqsflNlL"&amp;"u3JacTDk1FP9RH4phX7mI/edit?usp=sharing"",""พิจิตร!S164"")+IMPORTRANGE(""https://docs.google.com/spreadsheets/d/1JtRfZkJMHtEhI5RdRHxYUG4FIZHqKDpNyIuN7A1Q0_k/edit?usp=sharing"",""พิษณุโลก!S164"")+IMPORTRANGE(""https://docs.google.com/spreadsheets/d/1xlcVZWU"&amp;"Nn6SuWm0c307h32SiGkd9BaeQWlAktfD3KO8/edit?usp=sharing"",""เพชรบูรณ์!S164"")+IMPORTRANGE(""https://docs.google.com/spreadsheets/d/1lOVebEIsI9qjGXl6EX66luk7wiuP2tBaryw-wKvv4e0/edit?usp=sharing"",""แพร่!S164"")+IMPORTRANGE(""https://docs.google.com/spreadshe"&amp;"ets/d/1dQrvX0vEcN7Gu0fnZ0B5S90AeR19zth4XlExFBeExMY/edit?usp=sharing"",""แม่ฮ่องสอน!S164"")+IMPORTRANGE(""https://docs.google.com/spreadsheets/d/1DY4XTNNwjluuxqdfdn6qvOSlMRrZqUtmYcZR0ttFiG4/edit?usp=sharing"",""ลำปาง!S164"")+IMPORTRANGE(""https://docs.goog"&amp;"le.com/spreadsheets/d/1ICwG78r0OFT8biBlxnBF8r7she7gNSzOvJ958PWT09c/edit?usp=sharing"",""ลำพูน!S164"")+IMPORTRANGE(""https://docs.google.com/spreadsheets/d/1B0f2xJpZUC6Z0xXnqKlZtEPzsf6L84eP1r1Q15seqRM/edit?usp=sharing"",""สุโขทัย!S164"")+IMPORTRANGE(""http"&amp;"s://docs.google.com/spreadsheets/d/1v0b9pFQCsKUVExMei7AgY2yQkdeNQvtOssygGsXbiKo/edit?usp=sharing"",""อุตรดิตถ์!S164"")+IMPORTRANGE(""https://docs.google.com/spreadsheets/d/1UsNK1e-WWiCo2PvGqdNfdme4m17_Ezd3J69EeeiQPD0/edit?usp=sharing"",""อุทัยธานี!S164"")"),0)</f>
        <v>0</v>
      </c>
      <c r="T164" s="48">
        <f t="shared" ca="1" si="128"/>
        <v>0</v>
      </c>
      <c r="U164" s="48">
        <f t="shared" ca="1" si="129"/>
        <v>0</v>
      </c>
    </row>
    <row r="165" spans="1:21" ht="18.75" x14ac:dyDescent="0.25">
      <c r="A165" s="128"/>
      <c r="B165" s="40"/>
      <c r="C165" s="40"/>
      <c r="D165" s="40"/>
      <c r="E165" s="47" t="s">
        <v>21</v>
      </c>
      <c r="F165" s="40"/>
      <c r="G165" s="42"/>
      <c r="H165" s="137" t="s">
        <v>14</v>
      </c>
      <c r="I165" s="135"/>
      <c r="J165" s="135"/>
      <c r="K165" s="136"/>
      <c r="L165" s="46">
        <f ca="1">IFERROR(__xludf.DUMMYFUNCTION("IMPORTRANGE(""https://docs.google.com/spreadsheets/d/1jTcq05yEiRwXcBMLjiodW9e4biSGYWAHcDj22rKWQ3s/edit?usp=sharing"",""กำแพงเพชร!L165"")+IMPORTRANGE(""https://docs.google.com/spreadsheets/d/1KS0zmDSZPk8KnTAbGN-Xk6MtX1YRZD0ldgdt20K4CRk/edit?usp=sharing"","&amp;"""เชียงราย!L165"")+IMPORTRANGE(""https://docs.google.com/spreadsheets/d/1rEDxBtusbi64tE0zunoIbsTVV16HeL0oJ6trHQeQ7K8/edit?usp=sharing"",""เชียงใหม่!L165"")+IMPORTRANGE(""https://docs.google.com/spreadsheets/d/1W6MnUbDkMi6xHnHko_XkFDO9kkuL6Wqyc-6OCDFjW9I/e"&amp;"dit?usp=sharing"",""ตาก!L165"")+IMPORTRANGE(""https://docs.google.com/spreadsheets/d/1IQAWArduLkta9LpYo4a_ULsyqdta6-6aDDiwpUnQT6c/edit?usp=sharing"",""นครสวรรค์!L165"")+IMPORTRANGE(""https://docs.google.com/spreadsheets/d/10s13Sk5xrltsiR-Zkbmk5DwIaDIKO8Xl"&amp;"bJAfqyT7Gvg/edit?usp=sharing"",""น่าน!L165"")+IMPORTRANGE(""https://docs.google.com/spreadsheets/d/1uu4nAn4Dbi1XREnLKKotUANlKXa7yCgRcgq8HEzQYW8/edit?usp=sharing"",""พะเยา!L165"")+IMPORTRANGE(""https://docs.google.com/spreadsheets/d/1xfJKIQxVOaPDIICqsflNlL"&amp;"u3JacTDk1FP9RH4phX7mI/edit?usp=sharing"",""พิจิตร!L165"")+IMPORTRANGE(""https://docs.google.com/spreadsheets/d/1JtRfZkJMHtEhI5RdRHxYUG4FIZHqKDpNyIuN7A1Q0_k/edit?usp=sharing"",""พิษณุโลก!L165"")+IMPORTRANGE(""https://docs.google.com/spreadsheets/d/1xlcVZWU"&amp;"Nn6SuWm0c307h32SiGkd9BaeQWlAktfD3KO8/edit?usp=sharing"",""เพชรบูรณ์!L165"")+IMPORTRANGE(""https://docs.google.com/spreadsheets/d/1lOVebEIsI9qjGXl6EX66luk7wiuP2tBaryw-wKvv4e0/edit?usp=sharing"",""แพร่!L165"")+IMPORTRANGE(""https://docs.google.com/spreadshe"&amp;"ets/d/1dQrvX0vEcN7Gu0fnZ0B5S90AeR19zth4XlExFBeExMY/edit?usp=sharing"",""แม่ฮ่องสอน!L165"")+IMPORTRANGE(""https://docs.google.com/spreadsheets/d/1DY4XTNNwjluuxqdfdn6qvOSlMRrZqUtmYcZR0ttFiG4/edit?usp=sharing"",""ลำปาง!L165"")+IMPORTRANGE(""https://docs.goog"&amp;"le.com/spreadsheets/d/1ICwG78r0OFT8biBlxnBF8r7she7gNSzOvJ958PWT09c/edit?usp=sharing"",""ลำพูน!L165"")+IMPORTRANGE(""https://docs.google.com/spreadsheets/d/1B0f2xJpZUC6Z0xXnqKlZtEPzsf6L84eP1r1Q15seqRM/edit?usp=sharing"",""สุโขทัย!L165"")+IMPORTRANGE(""http"&amp;"s://docs.google.com/spreadsheets/d/1v0b9pFQCsKUVExMei7AgY2yQkdeNQvtOssygGsXbiKo/edit?usp=sharing"",""อุตรดิตถ์!L165"")+IMPORTRANGE(""https://docs.google.com/spreadsheets/d/1UsNK1e-WWiCo2PvGqdNfdme4m17_Ezd3J69EeeiQPD0/edit?usp=sharing"",""อุทัยธานี!L165"")"),0)</f>
        <v>0</v>
      </c>
      <c r="M165" s="46">
        <f ca="1">IFERROR(__xludf.DUMMYFUNCTION("IMPORTRANGE(""https://docs.google.com/spreadsheets/d/1jTcq05yEiRwXcBMLjiodW9e4biSGYWAHcDj22rKWQ3s/edit?usp=sharing"",""กำแพงเพชร!M165"")+IMPORTRANGE(""https://docs.google.com/spreadsheets/d/1KS0zmDSZPk8KnTAbGN-Xk6MtX1YRZD0ldgdt20K4CRk/edit?usp=sharing"","&amp;"""เชียงราย!M165"")+IMPORTRANGE(""https://docs.google.com/spreadsheets/d/1rEDxBtusbi64tE0zunoIbsTVV16HeL0oJ6trHQeQ7K8/edit?usp=sharing"",""เชียงใหม่!M165"")+IMPORTRANGE(""https://docs.google.com/spreadsheets/d/1W6MnUbDkMi6xHnHko_XkFDO9kkuL6Wqyc-6OCDFjW9I/e"&amp;"dit?usp=sharing"",""ตาก!M165"")+IMPORTRANGE(""https://docs.google.com/spreadsheets/d/1IQAWArduLkta9LpYo4a_ULsyqdta6-6aDDiwpUnQT6c/edit?usp=sharing"",""นครสวรรค์!M165"")+IMPORTRANGE(""https://docs.google.com/spreadsheets/d/10s13Sk5xrltsiR-Zkbmk5DwIaDIKO8Xl"&amp;"bJAfqyT7Gvg/edit?usp=sharing"",""น่าน!M165"")+IMPORTRANGE(""https://docs.google.com/spreadsheets/d/1uu4nAn4Dbi1XREnLKKotUANlKXa7yCgRcgq8HEzQYW8/edit?usp=sharing"",""พะเยา!M165"")+IMPORTRANGE(""https://docs.google.com/spreadsheets/d/1xfJKIQxVOaPDIICqsflNlL"&amp;"u3JacTDk1FP9RH4phX7mI/edit?usp=sharing"",""พิจิตร!M165"")+IMPORTRANGE(""https://docs.google.com/spreadsheets/d/1JtRfZkJMHtEhI5RdRHxYUG4FIZHqKDpNyIuN7A1Q0_k/edit?usp=sharing"",""พิษณุโลก!M165"")+IMPORTRANGE(""https://docs.google.com/spreadsheets/d/1xlcVZWU"&amp;"Nn6SuWm0c307h32SiGkd9BaeQWlAktfD3KO8/edit?usp=sharing"",""เพชรบูรณ์!M165"")+IMPORTRANGE(""https://docs.google.com/spreadsheets/d/1lOVebEIsI9qjGXl6EX66luk7wiuP2tBaryw-wKvv4e0/edit?usp=sharing"",""แพร่!M165"")+IMPORTRANGE(""https://docs.google.com/spreadshe"&amp;"ets/d/1dQrvX0vEcN7Gu0fnZ0B5S90AeR19zth4XlExFBeExMY/edit?usp=sharing"",""แม่ฮ่องสอน!M165"")+IMPORTRANGE(""https://docs.google.com/spreadsheets/d/1DY4XTNNwjluuxqdfdn6qvOSlMRrZqUtmYcZR0ttFiG4/edit?usp=sharing"",""ลำปาง!M165"")+IMPORTRANGE(""https://docs.goog"&amp;"le.com/spreadsheets/d/1ICwG78r0OFT8biBlxnBF8r7she7gNSzOvJ958PWT09c/edit?usp=sharing"",""ลำพูน!M165"")+IMPORTRANGE(""https://docs.google.com/spreadsheets/d/1B0f2xJpZUC6Z0xXnqKlZtEPzsf6L84eP1r1Q15seqRM/edit?usp=sharing"",""สุโขทัย!M165"")+IMPORTRANGE(""http"&amp;"s://docs.google.com/spreadsheets/d/1v0b9pFQCsKUVExMei7AgY2yQkdeNQvtOssygGsXbiKo/edit?usp=sharing"",""อุตรดิตถ์!M165"")+IMPORTRANGE(""https://docs.google.com/spreadsheets/d/1UsNK1e-WWiCo2PvGqdNfdme4m17_Ezd3J69EeeiQPD0/edit?usp=sharing"",""อุทัยธานี!M165"")"),0)</f>
        <v>0</v>
      </c>
      <c r="N165" s="46">
        <f ca="1">IFERROR(__xludf.DUMMYFUNCTION("IMPORTRANGE(""https://docs.google.com/spreadsheets/d/1jTcq05yEiRwXcBMLjiodW9e4biSGYWAHcDj22rKWQ3s/edit?usp=sharing"",""กำแพงเพชร!N165"")+IMPORTRANGE(""https://docs.google.com/spreadsheets/d/1KS0zmDSZPk8KnTAbGN-Xk6MtX1YRZD0ldgdt20K4CRk/edit?usp=sharing"","&amp;"""เชียงราย!N165"")+IMPORTRANGE(""https://docs.google.com/spreadsheets/d/1rEDxBtusbi64tE0zunoIbsTVV16HeL0oJ6trHQeQ7K8/edit?usp=sharing"",""เชียงใหม่!N165"")+IMPORTRANGE(""https://docs.google.com/spreadsheets/d/1W6MnUbDkMi6xHnHko_XkFDO9kkuL6Wqyc-6OCDFjW9I/e"&amp;"dit?usp=sharing"",""ตาก!N165"")+IMPORTRANGE(""https://docs.google.com/spreadsheets/d/1IQAWArduLkta9LpYo4a_ULsyqdta6-6aDDiwpUnQT6c/edit?usp=sharing"",""นครสวรรค์!N165"")+IMPORTRANGE(""https://docs.google.com/spreadsheets/d/10s13Sk5xrltsiR-Zkbmk5DwIaDIKO8Xl"&amp;"bJAfqyT7Gvg/edit?usp=sharing"",""น่าน!N165"")+IMPORTRANGE(""https://docs.google.com/spreadsheets/d/1uu4nAn4Dbi1XREnLKKotUANlKXa7yCgRcgq8HEzQYW8/edit?usp=sharing"",""พะเยา!N165"")+IMPORTRANGE(""https://docs.google.com/spreadsheets/d/1xfJKIQxVOaPDIICqsflNlL"&amp;"u3JacTDk1FP9RH4phX7mI/edit?usp=sharing"",""พิจิตร!N165"")+IMPORTRANGE(""https://docs.google.com/spreadsheets/d/1JtRfZkJMHtEhI5RdRHxYUG4FIZHqKDpNyIuN7A1Q0_k/edit?usp=sharing"",""พิษณุโลก!N165"")+IMPORTRANGE(""https://docs.google.com/spreadsheets/d/1xlcVZWU"&amp;"Nn6SuWm0c307h32SiGkd9BaeQWlAktfD3KO8/edit?usp=sharing"",""เพชรบูรณ์!N165"")+IMPORTRANGE(""https://docs.google.com/spreadsheets/d/1lOVebEIsI9qjGXl6EX66luk7wiuP2tBaryw-wKvv4e0/edit?usp=sharing"",""แพร่!N165"")+IMPORTRANGE(""https://docs.google.com/spreadshe"&amp;"ets/d/1dQrvX0vEcN7Gu0fnZ0B5S90AeR19zth4XlExFBeExMY/edit?usp=sharing"",""แม่ฮ่องสอน!N165"")+IMPORTRANGE(""https://docs.google.com/spreadsheets/d/1DY4XTNNwjluuxqdfdn6qvOSlMRrZqUtmYcZR0ttFiG4/edit?usp=sharing"",""ลำปาง!N165"")+IMPORTRANGE(""https://docs.goog"&amp;"le.com/spreadsheets/d/1ICwG78r0OFT8biBlxnBF8r7she7gNSzOvJ958PWT09c/edit?usp=sharing"",""ลำพูน!N165"")+IMPORTRANGE(""https://docs.google.com/spreadsheets/d/1B0f2xJpZUC6Z0xXnqKlZtEPzsf6L84eP1r1Q15seqRM/edit?usp=sharing"",""สุโขทัย!N165"")+IMPORTRANGE(""http"&amp;"s://docs.google.com/spreadsheets/d/1v0b9pFQCsKUVExMei7AgY2yQkdeNQvtOssygGsXbiKo/edit?usp=sharing"",""อุตรดิตถ์!N165"")+IMPORTRANGE(""https://docs.google.com/spreadsheets/d/1UsNK1e-WWiCo2PvGqdNfdme4m17_Ezd3J69EeeiQPD0/edit?usp=sharing"",""อุทัยธานี!N165"")"),0)</f>
        <v>0</v>
      </c>
      <c r="O165" s="46">
        <f t="shared" ca="1" si="125"/>
        <v>0</v>
      </c>
      <c r="P165" s="46">
        <f t="shared" ca="1" si="126"/>
        <v>0</v>
      </c>
      <c r="Q165" s="46">
        <f ca="1">IFERROR(__xludf.DUMMYFUNCTION("IMPORTRANGE(""https://docs.google.com/spreadsheets/d/1jTcq05yEiRwXcBMLjiodW9e4biSGYWAHcDj22rKWQ3s/edit?usp=sharing"",""กำแพงเพชร!Q165"")+IMPORTRANGE(""https://docs.google.com/spreadsheets/d/1KS0zmDSZPk8KnTAbGN-Xk6MtX1YRZD0ldgdt20K4CRk/edit?usp=sharing"","&amp;"""เชียงราย!Q165"")+IMPORTRANGE(""https://docs.google.com/spreadsheets/d/1rEDxBtusbi64tE0zunoIbsTVV16HeL0oJ6trHQeQ7K8/edit?usp=sharing"",""เชียงใหม่!Q165"")+IMPORTRANGE(""https://docs.google.com/spreadsheets/d/1W6MnUbDkMi6xHnHko_XkFDO9kkuL6Wqyc-6OCDFjW9I/e"&amp;"dit?usp=sharing"",""ตาก!Q165"")+IMPORTRANGE(""https://docs.google.com/spreadsheets/d/1IQAWArduLkta9LpYo4a_ULsyqdta6-6aDDiwpUnQT6c/edit?usp=sharing"",""นครสวรรค์!Q165"")+IMPORTRANGE(""https://docs.google.com/spreadsheets/d/10s13Sk5xrltsiR-Zkbmk5DwIaDIKO8Xl"&amp;"bJAfqyT7Gvg/edit?usp=sharing"",""น่าน!Q165"")+IMPORTRANGE(""https://docs.google.com/spreadsheets/d/1uu4nAn4Dbi1XREnLKKotUANlKXa7yCgRcgq8HEzQYW8/edit?usp=sharing"",""พะเยา!Q165"")+IMPORTRANGE(""https://docs.google.com/spreadsheets/d/1xfJKIQxVOaPDIICqsflNlL"&amp;"u3JacTDk1FP9RH4phX7mI/edit?usp=sharing"",""พิจิตร!Q165"")+IMPORTRANGE(""https://docs.google.com/spreadsheets/d/1JtRfZkJMHtEhI5RdRHxYUG4FIZHqKDpNyIuN7A1Q0_k/edit?usp=sharing"",""พิษณุโลก!Q165"")+IMPORTRANGE(""https://docs.google.com/spreadsheets/d/1xlcVZWU"&amp;"Nn6SuWm0c307h32SiGkd9BaeQWlAktfD3KO8/edit?usp=sharing"",""เพชรบูรณ์!Q165"")+IMPORTRANGE(""https://docs.google.com/spreadsheets/d/1lOVebEIsI9qjGXl6EX66luk7wiuP2tBaryw-wKvv4e0/edit?usp=sharing"",""แพร่!Q165"")+IMPORTRANGE(""https://docs.google.com/spreadshe"&amp;"ets/d/1dQrvX0vEcN7Gu0fnZ0B5S90AeR19zth4XlExFBeExMY/edit?usp=sharing"",""แม่ฮ่องสอน!Q165"")+IMPORTRANGE(""https://docs.google.com/spreadsheets/d/1DY4XTNNwjluuxqdfdn6qvOSlMRrZqUtmYcZR0ttFiG4/edit?usp=sharing"",""ลำปาง!Q165"")+IMPORTRANGE(""https://docs.goog"&amp;"le.com/spreadsheets/d/1ICwG78r0OFT8biBlxnBF8r7she7gNSzOvJ958PWT09c/edit?usp=sharing"",""ลำพูน!Q165"")+IMPORTRANGE(""https://docs.google.com/spreadsheets/d/1B0f2xJpZUC6Z0xXnqKlZtEPzsf6L84eP1r1Q15seqRM/edit?usp=sharing"",""สุโขทัย!Q165"")+IMPORTRANGE(""http"&amp;"s://docs.google.com/spreadsheets/d/1v0b9pFQCsKUVExMei7AgY2yQkdeNQvtOssygGsXbiKo/edit?usp=sharing"",""อุตรดิตถ์!Q165"")+IMPORTRANGE(""https://docs.google.com/spreadsheets/d/1UsNK1e-WWiCo2PvGqdNfdme4m17_Ezd3J69EeeiQPD0/edit?usp=sharing"",""อุทัยธานี!Q165"")"),0)</f>
        <v>0</v>
      </c>
      <c r="R165" s="46">
        <f ca="1">IFERROR(__xludf.DUMMYFUNCTION("IMPORTRANGE(""https://docs.google.com/spreadsheets/d/1jTcq05yEiRwXcBMLjiodW9e4biSGYWAHcDj22rKWQ3s/edit?usp=sharing"",""กำแพงเพชร!R165"")+IMPORTRANGE(""https://docs.google.com/spreadsheets/d/1KS0zmDSZPk8KnTAbGN-Xk6MtX1YRZD0ldgdt20K4CRk/edit?usp=sharing"","&amp;"""เชียงราย!R165"")+IMPORTRANGE(""https://docs.google.com/spreadsheets/d/1rEDxBtusbi64tE0zunoIbsTVV16HeL0oJ6trHQeQ7K8/edit?usp=sharing"",""เชียงใหม่!R165"")+IMPORTRANGE(""https://docs.google.com/spreadsheets/d/1W6MnUbDkMi6xHnHko_XkFDO9kkuL6Wqyc-6OCDFjW9I/e"&amp;"dit?usp=sharing"",""ตาก!R165"")+IMPORTRANGE(""https://docs.google.com/spreadsheets/d/1IQAWArduLkta9LpYo4a_ULsyqdta6-6aDDiwpUnQT6c/edit?usp=sharing"",""นครสวรรค์!R165"")+IMPORTRANGE(""https://docs.google.com/spreadsheets/d/10s13Sk5xrltsiR-Zkbmk5DwIaDIKO8Xl"&amp;"bJAfqyT7Gvg/edit?usp=sharing"",""น่าน!R165"")+IMPORTRANGE(""https://docs.google.com/spreadsheets/d/1uu4nAn4Dbi1XREnLKKotUANlKXa7yCgRcgq8HEzQYW8/edit?usp=sharing"",""พะเยา!R165"")+IMPORTRANGE(""https://docs.google.com/spreadsheets/d/1xfJKIQxVOaPDIICqsflNlL"&amp;"u3JacTDk1FP9RH4phX7mI/edit?usp=sharing"",""พิจิตร!R165"")+IMPORTRANGE(""https://docs.google.com/spreadsheets/d/1JtRfZkJMHtEhI5RdRHxYUG4FIZHqKDpNyIuN7A1Q0_k/edit?usp=sharing"",""พิษณุโลก!R165"")+IMPORTRANGE(""https://docs.google.com/spreadsheets/d/1xlcVZWU"&amp;"Nn6SuWm0c307h32SiGkd9BaeQWlAktfD3KO8/edit?usp=sharing"",""เพชรบูรณ์!R165"")+IMPORTRANGE(""https://docs.google.com/spreadsheets/d/1lOVebEIsI9qjGXl6EX66luk7wiuP2tBaryw-wKvv4e0/edit?usp=sharing"",""แพร่!R165"")+IMPORTRANGE(""https://docs.google.com/spreadshe"&amp;"ets/d/1dQrvX0vEcN7Gu0fnZ0B5S90AeR19zth4XlExFBeExMY/edit?usp=sharing"",""แม่ฮ่องสอน!R165"")+IMPORTRANGE(""https://docs.google.com/spreadsheets/d/1DY4XTNNwjluuxqdfdn6qvOSlMRrZqUtmYcZR0ttFiG4/edit?usp=sharing"",""ลำปาง!R165"")+IMPORTRANGE(""https://docs.goog"&amp;"le.com/spreadsheets/d/1ICwG78r0OFT8biBlxnBF8r7she7gNSzOvJ958PWT09c/edit?usp=sharing"",""ลำพูน!R165"")+IMPORTRANGE(""https://docs.google.com/spreadsheets/d/1B0f2xJpZUC6Z0xXnqKlZtEPzsf6L84eP1r1Q15seqRM/edit?usp=sharing"",""สุโขทัย!R165"")+IMPORTRANGE(""http"&amp;"s://docs.google.com/spreadsheets/d/1v0b9pFQCsKUVExMei7AgY2yQkdeNQvtOssygGsXbiKo/edit?usp=sharing"",""อุตรดิตถ์!R165"")+IMPORTRANGE(""https://docs.google.com/spreadsheets/d/1UsNK1e-WWiCo2PvGqdNfdme4m17_Ezd3J69EeeiQPD0/edit?usp=sharing"",""อุทัยธานี!R165"")"),0)</f>
        <v>0</v>
      </c>
      <c r="S165" s="46">
        <f ca="1">IFERROR(__xludf.DUMMYFUNCTION("IMPORTRANGE(""https://docs.google.com/spreadsheets/d/1jTcq05yEiRwXcBMLjiodW9e4biSGYWAHcDj22rKWQ3s/edit?usp=sharing"",""กำแพงเพชร!S165"")+IMPORTRANGE(""https://docs.google.com/spreadsheets/d/1KS0zmDSZPk8KnTAbGN-Xk6MtX1YRZD0ldgdt20K4CRk/edit?usp=sharing"","&amp;"""เชียงราย!S165"")+IMPORTRANGE(""https://docs.google.com/spreadsheets/d/1rEDxBtusbi64tE0zunoIbsTVV16HeL0oJ6trHQeQ7K8/edit?usp=sharing"",""เชียงใหม่!S165"")+IMPORTRANGE(""https://docs.google.com/spreadsheets/d/1W6MnUbDkMi6xHnHko_XkFDO9kkuL6Wqyc-6OCDFjW9I/e"&amp;"dit?usp=sharing"",""ตาก!S165"")+IMPORTRANGE(""https://docs.google.com/spreadsheets/d/1IQAWArduLkta9LpYo4a_ULsyqdta6-6aDDiwpUnQT6c/edit?usp=sharing"",""นครสวรรค์!S165"")+IMPORTRANGE(""https://docs.google.com/spreadsheets/d/10s13Sk5xrltsiR-Zkbmk5DwIaDIKO8Xl"&amp;"bJAfqyT7Gvg/edit?usp=sharing"",""น่าน!S165"")+IMPORTRANGE(""https://docs.google.com/spreadsheets/d/1uu4nAn4Dbi1XREnLKKotUANlKXa7yCgRcgq8HEzQYW8/edit?usp=sharing"",""พะเยา!S165"")+IMPORTRANGE(""https://docs.google.com/spreadsheets/d/1xfJKIQxVOaPDIICqsflNlL"&amp;"u3JacTDk1FP9RH4phX7mI/edit?usp=sharing"",""พิจิตร!S165"")+IMPORTRANGE(""https://docs.google.com/spreadsheets/d/1JtRfZkJMHtEhI5RdRHxYUG4FIZHqKDpNyIuN7A1Q0_k/edit?usp=sharing"",""พิษณุโลก!S165"")+IMPORTRANGE(""https://docs.google.com/spreadsheets/d/1xlcVZWU"&amp;"Nn6SuWm0c307h32SiGkd9BaeQWlAktfD3KO8/edit?usp=sharing"",""เพชรบูรณ์!S165"")+IMPORTRANGE(""https://docs.google.com/spreadsheets/d/1lOVebEIsI9qjGXl6EX66luk7wiuP2tBaryw-wKvv4e0/edit?usp=sharing"",""แพร่!S165"")+IMPORTRANGE(""https://docs.google.com/spreadshe"&amp;"ets/d/1dQrvX0vEcN7Gu0fnZ0B5S90AeR19zth4XlExFBeExMY/edit?usp=sharing"",""แม่ฮ่องสอน!S165"")+IMPORTRANGE(""https://docs.google.com/spreadsheets/d/1DY4XTNNwjluuxqdfdn6qvOSlMRrZqUtmYcZR0ttFiG4/edit?usp=sharing"",""ลำปาง!S165"")+IMPORTRANGE(""https://docs.goog"&amp;"le.com/spreadsheets/d/1ICwG78r0OFT8biBlxnBF8r7she7gNSzOvJ958PWT09c/edit?usp=sharing"",""ลำพูน!S165"")+IMPORTRANGE(""https://docs.google.com/spreadsheets/d/1B0f2xJpZUC6Z0xXnqKlZtEPzsf6L84eP1r1Q15seqRM/edit?usp=sharing"",""สุโขทัย!S165"")+IMPORTRANGE(""http"&amp;"s://docs.google.com/spreadsheets/d/1v0b9pFQCsKUVExMei7AgY2yQkdeNQvtOssygGsXbiKo/edit?usp=sharing"",""อุตรดิตถ์!S165"")+IMPORTRANGE(""https://docs.google.com/spreadsheets/d/1UsNK1e-WWiCo2PvGqdNfdme4m17_Ezd3J69EeeiQPD0/edit?usp=sharing"",""อุทัยธานี!S165"")"),0)</f>
        <v>0</v>
      </c>
      <c r="T165" s="46">
        <f t="shared" ca="1" si="128"/>
        <v>0</v>
      </c>
      <c r="U165" s="46">
        <f t="shared" ca="1" si="129"/>
        <v>0</v>
      </c>
    </row>
    <row r="166" spans="1:21" ht="19.5" x14ac:dyDescent="0.3">
      <c r="A166" s="138"/>
      <c r="B166" s="139"/>
      <c r="C166" s="129" t="s">
        <v>18</v>
      </c>
      <c r="D166" s="140" t="s">
        <v>38</v>
      </c>
      <c r="E166" s="141"/>
      <c r="F166" s="141"/>
      <c r="G166" s="142"/>
      <c r="H166" s="178"/>
      <c r="I166" s="44"/>
      <c r="J166" s="44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</row>
    <row r="167" spans="1:21" ht="18.75" x14ac:dyDescent="0.25">
      <c r="A167" s="128"/>
      <c r="B167" s="40"/>
      <c r="C167" s="40"/>
      <c r="D167" s="47" t="s">
        <v>69</v>
      </c>
      <c r="E167" s="40"/>
      <c r="F167" s="40"/>
      <c r="G167" s="42"/>
      <c r="H167" s="137" t="s">
        <v>35</v>
      </c>
      <c r="I167" s="166">
        <f ca="1">IFERROR(__xludf.DUMMYFUNCTION("IMPORTRANGE(""https://docs.google.com/spreadsheets/d/1jTcq05yEiRwXcBMLjiodW9e4biSGYWAHcDj22rKWQ3s/edit?usp=sharing"",""กำแพงเพชร!I167"")+IMPORTRANGE(""https://docs.google.com/spreadsheets/d/1KS0zmDSZPk8KnTAbGN-Xk6MtX1YRZD0ldgdt20K4CRk/edit?usp=sharing"","&amp;"""เชียงราย!I167"")+IMPORTRANGE(""https://docs.google.com/spreadsheets/d/1rEDxBtusbi64tE0zunoIbsTVV16HeL0oJ6trHQeQ7K8/edit?usp=sharing"",""เชียงใหม่!I167"")+IMPORTRANGE(""https://docs.google.com/spreadsheets/d/1W6MnUbDkMi6xHnHko_XkFDO9kkuL6Wqyc-6OCDFjW9I/e"&amp;"dit?usp=sharing"",""ตาก!I167"")+IMPORTRANGE(""https://docs.google.com/spreadsheets/d/1IQAWArduLkta9LpYo4a_ULsyqdta6-6aDDiwpUnQT6c/edit?usp=sharing"",""นครสวรรค์!I167"")+IMPORTRANGE(""https://docs.google.com/spreadsheets/d/10s13Sk5xrltsiR-Zkbmk5DwIaDIKO8Xl"&amp;"bJAfqyT7Gvg/edit?usp=sharing"",""น่าน!I167"")+IMPORTRANGE(""https://docs.google.com/spreadsheets/d/1uu4nAn4Dbi1XREnLKKotUANlKXa7yCgRcgq8HEzQYW8/edit?usp=sharing"",""พะเยา!I167"")+IMPORTRANGE(""https://docs.google.com/spreadsheets/d/1xfJKIQxVOaPDIICqsflNlL"&amp;"u3JacTDk1FP9RH4phX7mI/edit?usp=sharing"",""พิจิตร!I167"")+IMPORTRANGE(""https://docs.google.com/spreadsheets/d/1JtRfZkJMHtEhI5RdRHxYUG4FIZHqKDpNyIuN7A1Q0_k/edit?usp=sharing"",""พิษณุโลก!I167"")+IMPORTRANGE(""https://docs.google.com/spreadsheets/d/1xlcVZWU"&amp;"Nn6SuWm0c307h32SiGkd9BaeQWlAktfD3KO8/edit?usp=sharing"",""เพชรบูรณ์!I167"")+IMPORTRANGE(""https://docs.google.com/spreadsheets/d/1lOVebEIsI9qjGXl6EX66luk7wiuP2tBaryw-wKvv4e0/edit?usp=sharing"",""แพร่!I167"")+IMPORTRANGE(""https://docs.google.com/spreadshe"&amp;"ets/d/1dQrvX0vEcN7Gu0fnZ0B5S90AeR19zth4XlExFBeExMY/edit?usp=sharing"",""แม่ฮ่องสอน!I167"")+IMPORTRANGE(""https://docs.google.com/spreadsheets/d/1DY4XTNNwjluuxqdfdn6qvOSlMRrZqUtmYcZR0ttFiG4/edit?usp=sharing"",""ลำปาง!I167"")+IMPORTRANGE(""https://docs.goog"&amp;"le.com/spreadsheets/d/1ICwG78r0OFT8biBlxnBF8r7she7gNSzOvJ958PWT09c/edit?usp=sharing"",""ลำพูน!I167"")+IMPORTRANGE(""https://docs.google.com/spreadsheets/d/1B0f2xJpZUC6Z0xXnqKlZtEPzsf6L84eP1r1Q15seqRM/edit?usp=sharing"",""สุโขทัย!I167"")+IMPORTRANGE(""http"&amp;"s://docs.google.com/spreadsheets/d/1v0b9pFQCsKUVExMei7AgY2yQkdeNQvtOssygGsXbiKo/edit?usp=sharing"",""อุตรดิตถ์!I167"")+IMPORTRANGE(""https://docs.google.com/spreadsheets/d/1UsNK1e-WWiCo2PvGqdNfdme4m17_Ezd3J69EeeiQPD0/edit?usp=sharing"",""อุทัยธานี!I167"")"),210)</f>
        <v>210</v>
      </c>
      <c r="J167" s="166">
        <f ca="1">IFERROR(__xludf.DUMMYFUNCTION("IMPORTRANGE(""https://docs.google.com/spreadsheets/d/1jTcq05yEiRwXcBMLjiodW9e4biSGYWAHcDj22rKWQ3s/edit?usp=sharing"",""กำแพงเพชร!J167"")+IMPORTRANGE(""https://docs.google.com/spreadsheets/d/1KS0zmDSZPk8KnTAbGN-Xk6MtX1YRZD0ldgdt20K4CRk/edit?usp=sharing"","&amp;"""เชียงราย!J167"")+IMPORTRANGE(""https://docs.google.com/spreadsheets/d/1rEDxBtusbi64tE0zunoIbsTVV16HeL0oJ6trHQeQ7K8/edit?usp=sharing"",""เชียงใหม่!J167"")+IMPORTRANGE(""https://docs.google.com/spreadsheets/d/1W6MnUbDkMi6xHnHko_XkFDO9kkuL6Wqyc-6OCDFjW9I/e"&amp;"dit?usp=sharing"",""ตาก!J167"")+IMPORTRANGE(""https://docs.google.com/spreadsheets/d/1IQAWArduLkta9LpYo4a_ULsyqdta6-6aDDiwpUnQT6c/edit?usp=sharing"",""นครสวรรค์!J167"")+IMPORTRANGE(""https://docs.google.com/spreadsheets/d/10s13Sk5xrltsiR-Zkbmk5DwIaDIKO8Xl"&amp;"bJAfqyT7Gvg/edit?usp=sharing"",""น่าน!J167"")+IMPORTRANGE(""https://docs.google.com/spreadsheets/d/1uu4nAn4Dbi1XREnLKKotUANlKXa7yCgRcgq8HEzQYW8/edit?usp=sharing"",""พะเยา!J167"")+IMPORTRANGE(""https://docs.google.com/spreadsheets/d/1xfJKIQxVOaPDIICqsflNlL"&amp;"u3JacTDk1FP9RH4phX7mI/edit?usp=sharing"",""พิจิตร!J167"")+IMPORTRANGE(""https://docs.google.com/spreadsheets/d/1JtRfZkJMHtEhI5RdRHxYUG4FIZHqKDpNyIuN7A1Q0_k/edit?usp=sharing"",""พิษณุโลก!J167"")+IMPORTRANGE(""https://docs.google.com/spreadsheets/d/1xlcVZWU"&amp;"Nn6SuWm0c307h32SiGkd9BaeQWlAktfD3KO8/edit?usp=sharing"",""เพชรบูรณ์!J167"")+IMPORTRANGE(""https://docs.google.com/spreadsheets/d/1lOVebEIsI9qjGXl6EX66luk7wiuP2tBaryw-wKvv4e0/edit?usp=sharing"",""แพร่!J167"")+IMPORTRANGE(""https://docs.google.com/spreadshe"&amp;"ets/d/1dQrvX0vEcN7Gu0fnZ0B5S90AeR19zth4XlExFBeExMY/edit?usp=sharing"",""แม่ฮ่องสอน!J167"")+IMPORTRANGE(""https://docs.google.com/spreadsheets/d/1DY4XTNNwjluuxqdfdn6qvOSlMRrZqUtmYcZR0ttFiG4/edit?usp=sharing"",""ลำปาง!J167"")+IMPORTRANGE(""https://docs.goog"&amp;"le.com/spreadsheets/d/1ICwG78r0OFT8biBlxnBF8r7she7gNSzOvJ958PWT09c/edit?usp=sharing"",""ลำพูน!J167"")+IMPORTRANGE(""https://docs.google.com/spreadsheets/d/1B0f2xJpZUC6Z0xXnqKlZtEPzsf6L84eP1r1Q15seqRM/edit?usp=sharing"",""สุโขทัย!J167"")+IMPORTRANGE(""http"&amp;"s://docs.google.com/spreadsheets/d/1v0b9pFQCsKUVExMei7AgY2yQkdeNQvtOssygGsXbiKo/edit?usp=sharing"",""อุตรดิตถ์!J167"")+IMPORTRANGE(""https://docs.google.com/spreadsheets/d/1UsNK1e-WWiCo2PvGqdNfdme4m17_Ezd3J69EeeiQPD0/edit?usp=sharing"",""อุทัยธานี!J167"")"),239)</f>
        <v>239</v>
      </c>
      <c r="K167" s="46">
        <f t="shared" ref="K167:K169" ca="1" si="138">IF(I167&gt;0,J167*100/I167,0)</f>
        <v>113.80952380952381</v>
      </c>
      <c r="L167" s="45"/>
      <c r="M167" s="45"/>
      <c r="N167" s="45"/>
      <c r="O167" s="45"/>
      <c r="P167" s="45"/>
      <c r="Q167" s="45"/>
      <c r="R167" s="45"/>
      <c r="S167" s="45"/>
      <c r="T167" s="45"/>
      <c r="U167" s="45"/>
    </row>
    <row r="168" spans="1:21" ht="18.75" x14ac:dyDescent="0.25">
      <c r="A168" s="128"/>
      <c r="B168" s="40"/>
      <c r="C168" s="40"/>
      <c r="D168" s="47" t="s">
        <v>70</v>
      </c>
      <c r="E168" s="40"/>
      <c r="F168" s="40"/>
      <c r="G168" s="42"/>
      <c r="H168" s="137" t="s">
        <v>35</v>
      </c>
      <c r="I168" s="166">
        <f t="shared" ref="I168:I169" ca="1" si="139">I167</f>
        <v>210</v>
      </c>
      <c r="J168" s="184">
        <v>0</v>
      </c>
      <c r="K168" s="46">
        <f t="shared" ca="1" si="138"/>
        <v>0</v>
      </c>
      <c r="L168" s="45"/>
      <c r="M168" s="45"/>
      <c r="N168" s="45"/>
      <c r="O168" s="45"/>
      <c r="P168" s="45"/>
      <c r="Q168" s="45"/>
      <c r="R168" s="45"/>
      <c r="S168" s="45"/>
      <c r="T168" s="45"/>
      <c r="U168" s="45"/>
    </row>
    <row r="169" spans="1:21" ht="18.75" x14ac:dyDescent="0.25">
      <c r="A169" s="185"/>
      <c r="B169" s="1"/>
      <c r="C169" s="1"/>
      <c r="D169" s="51" t="s">
        <v>71</v>
      </c>
      <c r="E169" s="1"/>
      <c r="F169" s="1"/>
      <c r="G169" s="52"/>
      <c r="H169" s="186" t="s">
        <v>35</v>
      </c>
      <c r="I169" s="187">
        <f t="shared" ca="1" si="139"/>
        <v>210</v>
      </c>
      <c r="J169" s="188">
        <v>0</v>
      </c>
      <c r="K169" s="111">
        <f t="shared" ca="1" si="138"/>
        <v>0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9.5" x14ac:dyDescent="0.3">
      <c r="A170" s="189" t="s">
        <v>72</v>
      </c>
      <c r="B170" s="190"/>
      <c r="C170" s="190"/>
      <c r="D170" s="190"/>
      <c r="E170" s="191"/>
      <c r="F170" s="191"/>
      <c r="G170" s="191"/>
      <c r="H170" s="191"/>
      <c r="I170" s="192"/>
      <c r="J170" s="192"/>
      <c r="K170" s="193"/>
      <c r="L170" s="193"/>
      <c r="M170" s="193"/>
      <c r="N170" s="193"/>
      <c r="O170" s="193"/>
      <c r="P170" s="194"/>
      <c r="Q170" s="193"/>
      <c r="R170" s="193"/>
      <c r="S170" s="193"/>
      <c r="T170" s="193"/>
      <c r="U170" s="194"/>
    </row>
    <row r="171" spans="1:21" ht="19.5" x14ac:dyDescent="0.3">
      <c r="A171" s="195" t="s">
        <v>73</v>
      </c>
      <c r="B171" s="196"/>
      <c r="C171" s="196"/>
      <c r="D171" s="197"/>
      <c r="E171" s="197"/>
      <c r="F171" s="197"/>
      <c r="G171" s="197"/>
      <c r="H171" s="198"/>
      <c r="I171" s="199"/>
      <c r="J171" s="199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</row>
    <row r="172" spans="1:21" ht="19.5" x14ac:dyDescent="0.3">
      <c r="A172" s="201"/>
      <c r="B172" s="202" t="s">
        <v>74</v>
      </c>
      <c r="C172" s="203"/>
      <c r="D172" s="141"/>
      <c r="E172" s="141"/>
      <c r="F172" s="141"/>
      <c r="G172" s="142"/>
      <c r="H172" s="204" t="s">
        <v>35</v>
      </c>
      <c r="I172" s="205">
        <f t="shared" ref="I172:J172" ca="1" si="140">I183+I184</f>
        <v>285</v>
      </c>
      <c r="J172" s="205">
        <f t="shared" ca="1" si="140"/>
        <v>119</v>
      </c>
      <c r="K172" s="206">
        <f ca="1">IF(I172&gt;0,J172*100/I172,0)</f>
        <v>41.754385964912281</v>
      </c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</row>
    <row r="173" spans="1:21" ht="19.5" x14ac:dyDescent="0.3">
      <c r="A173" s="128"/>
      <c r="B173" s="40"/>
      <c r="C173" s="129" t="s">
        <v>18</v>
      </c>
      <c r="D173" s="130" t="s">
        <v>19</v>
      </c>
      <c r="E173" s="40"/>
      <c r="F173" s="40"/>
      <c r="G173" s="42"/>
      <c r="H173" s="131" t="s">
        <v>14</v>
      </c>
      <c r="I173" s="44"/>
      <c r="J173" s="44"/>
      <c r="K173" s="45"/>
      <c r="L173" s="132">
        <f t="shared" ref="L173:N173" ca="1" si="141">L174+L175</f>
        <v>333030</v>
      </c>
      <c r="M173" s="132">
        <f t="shared" ca="1" si="141"/>
        <v>1794000</v>
      </c>
      <c r="N173" s="132">
        <f t="shared" ca="1" si="141"/>
        <v>1694917</v>
      </c>
      <c r="O173" s="132">
        <f t="shared" ref="O173:O181" ca="1" si="142">IF(L173&gt;0,N173*100/L173,0)</f>
        <v>508.93823379275142</v>
      </c>
      <c r="P173" s="132">
        <f t="shared" ref="P173:P181" ca="1" si="143">IF(M173&gt;0,N173*100/M173,0)</f>
        <v>94.476978818283172</v>
      </c>
      <c r="Q173" s="132">
        <f t="shared" ref="Q173:S173" ca="1" si="144">Q174+Q175</f>
        <v>0</v>
      </c>
      <c r="R173" s="132">
        <f t="shared" ca="1" si="144"/>
        <v>0</v>
      </c>
      <c r="S173" s="132">
        <f t="shared" ca="1" si="144"/>
        <v>0</v>
      </c>
      <c r="T173" s="132">
        <f t="shared" ref="T173:T181" ca="1" si="145">IF(Q173&gt;0,S173*100/Q173,0)</f>
        <v>0</v>
      </c>
      <c r="U173" s="132">
        <f t="shared" ref="U173:U181" ca="1" si="146">IF(R173&gt;0,S173*100/R173,0)</f>
        <v>0</v>
      </c>
    </row>
    <row r="174" spans="1:21" ht="18.75" x14ac:dyDescent="0.25">
      <c r="A174" s="128"/>
      <c r="B174" s="40"/>
      <c r="C174" s="40"/>
      <c r="D174" s="40"/>
      <c r="E174" s="47" t="s">
        <v>20</v>
      </c>
      <c r="F174" s="40"/>
      <c r="G174" s="42"/>
      <c r="H174" s="133" t="s">
        <v>14</v>
      </c>
      <c r="I174" s="44"/>
      <c r="J174" s="44"/>
      <c r="K174" s="45"/>
      <c r="L174" s="46">
        <f t="shared" ref="L174:N174" ca="1" si="147">L177+L180</f>
        <v>0</v>
      </c>
      <c r="M174" s="46">
        <f t="shared" ca="1" si="147"/>
        <v>0</v>
      </c>
      <c r="N174" s="46">
        <f t="shared" ca="1" si="147"/>
        <v>0</v>
      </c>
      <c r="O174" s="46">
        <f t="shared" ca="1" si="142"/>
        <v>0</v>
      </c>
      <c r="P174" s="46">
        <f t="shared" ca="1" si="143"/>
        <v>0</v>
      </c>
      <c r="Q174" s="48">
        <f t="shared" ref="Q174:S174" ca="1" si="148">Q177+Q180</f>
        <v>0</v>
      </c>
      <c r="R174" s="48">
        <f t="shared" ca="1" si="148"/>
        <v>0</v>
      </c>
      <c r="S174" s="48">
        <f t="shared" ca="1" si="148"/>
        <v>0</v>
      </c>
      <c r="T174" s="48">
        <f t="shared" ca="1" si="145"/>
        <v>0</v>
      </c>
      <c r="U174" s="48">
        <f t="shared" ca="1" si="146"/>
        <v>0</v>
      </c>
    </row>
    <row r="175" spans="1:21" ht="18.75" x14ac:dyDescent="0.25">
      <c r="A175" s="128"/>
      <c r="B175" s="40"/>
      <c r="C175" s="40"/>
      <c r="D175" s="40"/>
      <c r="E175" s="47" t="s">
        <v>21</v>
      </c>
      <c r="F175" s="40"/>
      <c r="G175" s="42"/>
      <c r="H175" s="133" t="s">
        <v>14</v>
      </c>
      <c r="I175" s="44"/>
      <c r="J175" s="44"/>
      <c r="K175" s="45"/>
      <c r="L175" s="46">
        <f t="shared" ref="L175:N175" ca="1" si="149">L178+L181</f>
        <v>333030</v>
      </c>
      <c r="M175" s="46">
        <f t="shared" ca="1" si="149"/>
        <v>1794000</v>
      </c>
      <c r="N175" s="46">
        <f t="shared" ca="1" si="149"/>
        <v>1694917</v>
      </c>
      <c r="O175" s="46">
        <f t="shared" ca="1" si="142"/>
        <v>508.93823379275142</v>
      </c>
      <c r="P175" s="46">
        <f t="shared" ca="1" si="143"/>
        <v>94.476978818283172</v>
      </c>
      <c r="Q175" s="46">
        <f t="shared" ref="Q175:S175" ca="1" si="150">Q178+Q181</f>
        <v>0</v>
      </c>
      <c r="R175" s="46">
        <f t="shared" ca="1" si="150"/>
        <v>0</v>
      </c>
      <c r="S175" s="46">
        <f t="shared" ca="1" si="150"/>
        <v>0</v>
      </c>
      <c r="T175" s="46">
        <f t="shared" ca="1" si="145"/>
        <v>0</v>
      </c>
      <c r="U175" s="46">
        <f t="shared" ca="1" si="146"/>
        <v>0</v>
      </c>
    </row>
    <row r="176" spans="1:21" ht="18.75" x14ac:dyDescent="0.25">
      <c r="A176" s="128"/>
      <c r="B176" s="40"/>
      <c r="C176" s="40"/>
      <c r="D176" s="41" t="s">
        <v>22</v>
      </c>
      <c r="E176" s="40"/>
      <c r="F176" s="40"/>
      <c r="G176" s="42"/>
      <c r="H176" s="134" t="s">
        <v>14</v>
      </c>
      <c r="I176" s="135"/>
      <c r="J176" s="135"/>
      <c r="K176" s="136"/>
      <c r="L176" s="46">
        <f t="shared" ref="L176:N176" ca="1" si="151">L177+L178</f>
        <v>333030</v>
      </c>
      <c r="M176" s="46">
        <f t="shared" ca="1" si="151"/>
        <v>1794000</v>
      </c>
      <c r="N176" s="46">
        <f t="shared" ca="1" si="151"/>
        <v>1694917</v>
      </c>
      <c r="O176" s="46">
        <f t="shared" ca="1" si="142"/>
        <v>508.93823379275142</v>
      </c>
      <c r="P176" s="46">
        <f t="shared" ca="1" si="143"/>
        <v>94.476978818283172</v>
      </c>
      <c r="Q176" s="46">
        <f t="shared" ref="Q176:S176" ca="1" si="152">Q177+Q178</f>
        <v>0</v>
      </c>
      <c r="R176" s="46">
        <f t="shared" ca="1" si="152"/>
        <v>0</v>
      </c>
      <c r="S176" s="46">
        <f t="shared" ca="1" si="152"/>
        <v>0</v>
      </c>
      <c r="T176" s="46">
        <f t="shared" ca="1" si="145"/>
        <v>0</v>
      </c>
      <c r="U176" s="46">
        <f t="shared" ca="1" si="146"/>
        <v>0</v>
      </c>
    </row>
    <row r="177" spans="1:21" ht="18.75" x14ac:dyDescent="0.25">
      <c r="A177" s="128"/>
      <c r="B177" s="40"/>
      <c r="C177" s="40"/>
      <c r="D177" s="40"/>
      <c r="E177" s="47" t="s">
        <v>36</v>
      </c>
      <c r="F177" s="40"/>
      <c r="G177" s="42"/>
      <c r="H177" s="134" t="s">
        <v>14</v>
      </c>
      <c r="I177" s="135"/>
      <c r="J177" s="135"/>
      <c r="K177" s="136"/>
      <c r="L177" s="46">
        <f ca="1">IFERROR(__xludf.DUMMYFUNCTION("IMPORTRANGE(""https://docs.google.com/spreadsheets/d/1jTcq05yEiRwXcBMLjiodW9e4biSGYWAHcDj22rKWQ3s/edit?usp=sharing"",""กำแพงเพชร!L177"")+IMPORTRANGE(""https://docs.google.com/spreadsheets/d/1KS0zmDSZPk8KnTAbGN-Xk6MtX1YRZD0ldgdt20K4CRk/edit?usp=sharing"","&amp;"""เชียงราย!L177"")+IMPORTRANGE(""https://docs.google.com/spreadsheets/d/1rEDxBtusbi64tE0zunoIbsTVV16HeL0oJ6trHQeQ7K8/edit?usp=sharing"",""เชียงใหม่!L177"")+IMPORTRANGE(""https://docs.google.com/spreadsheets/d/1W6MnUbDkMi6xHnHko_XkFDO9kkuL6Wqyc-6OCDFjW9I/e"&amp;"dit?usp=sharing"",""ตาก!L177"")+IMPORTRANGE(""https://docs.google.com/spreadsheets/d/1IQAWArduLkta9LpYo4a_ULsyqdta6-6aDDiwpUnQT6c/edit?usp=sharing"",""นครสวรรค์!L177"")+IMPORTRANGE(""https://docs.google.com/spreadsheets/d/10s13Sk5xrltsiR-Zkbmk5DwIaDIKO8Xl"&amp;"bJAfqyT7Gvg/edit?usp=sharing"",""น่าน!L177"")+IMPORTRANGE(""https://docs.google.com/spreadsheets/d/1uu4nAn4Dbi1XREnLKKotUANlKXa7yCgRcgq8HEzQYW8/edit?usp=sharing"",""พะเยา!L177"")+IMPORTRANGE(""https://docs.google.com/spreadsheets/d/1xfJKIQxVOaPDIICqsflNlL"&amp;"u3JacTDk1FP9RH4phX7mI/edit?usp=sharing"",""พิจิตร!L177"")+IMPORTRANGE(""https://docs.google.com/spreadsheets/d/1JtRfZkJMHtEhI5RdRHxYUG4FIZHqKDpNyIuN7A1Q0_k/edit?usp=sharing"",""พิษณุโลก!L177"")+IMPORTRANGE(""https://docs.google.com/spreadsheets/d/1xlcVZWU"&amp;"Nn6SuWm0c307h32SiGkd9BaeQWlAktfD3KO8/edit?usp=sharing"",""เพชรบูรณ์!L177"")+IMPORTRANGE(""https://docs.google.com/spreadsheets/d/1lOVebEIsI9qjGXl6EX66luk7wiuP2tBaryw-wKvv4e0/edit?usp=sharing"",""แพร่!L177"")+IMPORTRANGE(""https://docs.google.com/spreadshe"&amp;"ets/d/1dQrvX0vEcN7Gu0fnZ0B5S90AeR19zth4XlExFBeExMY/edit?usp=sharing"",""แม่ฮ่องสอน!L177"")+IMPORTRANGE(""https://docs.google.com/spreadsheets/d/1DY4XTNNwjluuxqdfdn6qvOSlMRrZqUtmYcZR0ttFiG4/edit?usp=sharing"",""ลำปาง!L177"")+IMPORTRANGE(""https://docs.goog"&amp;"le.com/spreadsheets/d/1ICwG78r0OFT8biBlxnBF8r7she7gNSzOvJ958PWT09c/edit?usp=sharing"",""ลำพูน!L177"")+IMPORTRANGE(""https://docs.google.com/spreadsheets/d/1B0f2xJpZUC6Z0xXnqKlZtEPzsf6L84eP1r1Q15seqRM/edit?usp=sharing"",""สุโขทัย!L177"")+IMPORTRANGE(""http"&amp;"s://docs.google.com/spreadsheets/d/1v0b9pFQCsKUVExMei7AgY2yQkdeNQvtOssygGsXbiKo/edit?usp=sharing"",""อุตรดิตถ์!L177"")+IMPORTRANGE(""https://docs.google.com/spreadsheets/d/1UsNK1e-WWiCo2PvGqdNfdme4m17_Ezd3J69EeeiQPD0/edit?usp=sharing"",""อุทัยธานี!L177"")"),0)</f>
        <v>0</v>
      </c>
      <c r="M177" s="46">
        <f ca="1">IFERROR(__xludf.DUMMYFUNCTION("IMPORTRANGE(""https://docs.google.com/spreadsheets/d/1jTcq05yEiRwXcBMLjiodW9e4biSGYWAHcDj22rKWQ3s/edit?usp=sharing"",""กำแพงเพชร!M177"")+IMPORTRANGE(""https://docs.google.com/spreadsheets/d/1KS0zmDSZPk8KnTAbGN-Xk6MtX1YRZD0ldgdt20K4CRk/edit?usp=sharing"","&amp;"""เชียงราย!M177"")+IMPORTRANGE(""https://docs.google.com/spreadsheets/d/1rEDxBtusbi64tE0zunoIbsTVV16HeL0oJ6trHQeQ7K8/edit?usp=sharing"",""เชียงใหม่!M177"")+IMPORTRANGE(""https://docs.google.com/spreadsheets/d/1W6MnUbDkMi6xHnHko_XkFDO9kkuL6Wqyc-6OCDFjW9I/e"&amp;"dit?usp=sharing"",""ตาก!M177"")+IMPORTRANGE(""https://docs.google.com/spreadsheets/d/1IQAWArduLkta9LpYo4a_ULsyqdta6-6aDDiwpUnQT6c/edit?usp=sharing"",""นครสวรรค์!M177"")+IMPORTRANGE(""https://docs.google.com/spreadsheets/d/10s13Sk5xrltsiR-Zkbmk5DwIaDIKO8Xl"&amp;"bJAfqyT7Gvg/edit?usp=sharing"",""น่าน!M177"")+IMPORTRANGE(""https://docs.google.com/spreadsheets/d/1uu4nAn4Dbi1XREnLKKotUANlKXa7yCgRcgq8HEzQYW8/edit?usp=sharing"",""พะเยา!M177"")+IMPORTRANGE(""https://docs.google.com/spreadsheets/d/1xfJKIQxVOaPDIICqsflNlL"&amp;"u3JacTDk1FP9RH4phX7mI/edit?usp=sharing"",""พิจิตร!M177"")+IMPORTRANGE(""https://docs.google.com/spreadsheets/d/1JtRfZkJMHtEhI5RdRHxYUG4FIZHqKDpNyIuN7A1Q0_k/edit?usp=sharing"",""พิษณุโลก!M177"")+IMPORTRANGE(""https://docs.google.com/spreadsheets/d/1xlcVZWU"&amp;"Nn6SuWm0c307h32SiGkd9BaeQWlAktfD3KO8/edit?usp=sharing"",""เพชรบูรณ์!M177"")+IMPORTRANGE(""https://docs.google.com/spreadsheets/d/1lOVebEIsI9qjGXl6EX66luk7wiuP2tBaryw-wKvv4e0/edit?usp=sharing"",""แพร่!M177"")+IMPORTRANGE(""https://docs.google.com/spreadshe"&amp;"ets/d/1dQrvX0vEcN7Gu0fnZ0B5S90AeR19zth4XlExFBeExMY/edit?usp=sharing"",""แม่ฮ่องสอน!M177"")+IMPORTRANGE(""https://docs.google.com/spreadsheets/d/1DY4XTNNwjluuxqdfdn6qvOSlMRrZqUtmYcZR0ttFiG4/edit?usp=sharing"",""ลำปาง!M177"")+IMPORTRANGE(""https://docs.goog"&amp;"le.com/spreadsheets/d/1ICwG78r0OFT8biBlxnBF8r7she7gNSzOvJ958PWT09c/edit?usp=sharing"",""ลำพูน!M177"")+IMPORTRANGE(""https://docs.google.com/spreadsheets/d/1B0f2xJpZUC6Z0xXnqKlZtEPzsf6L84eP1r1Q15seqRM/edit?usp=sharing"",""สุโขทัย!M177"")+IMPORTRANGE(""http"&amp;"s://docs.google.com/spreadsheets/d/1v0b9pFQCsKUVExMei7AgY2yQkdeNQvtOssygGsXbiKo/edit?usp=sharing"",""อุตรดิตถ์!M177"")+IMPORTRANGE(""https://docs.google.com/spreadsheets/d/1UsNK1e-WWiCo2PvGqdNfdme4m17_Ezd3J69EeeiQPD0/edit?usp=sharing"",""อุทัยธานี!M177"")"),0)</f>
        <v>0</v>
      </c>
      <c r="N177" s="46">
        <f ca="1">IFERROR(__xludf.DUMMYFUNCTION("IMPORTRANGE(""https://docs.google.com/spreadsheets/d/1jTcq05yEiRwXcBMLjiodW9e4biSGYWAHcDj22rKWQ3s/edit?usp=sharing"",""กำแพงเพชร!N177"")+IMPORTRANGE(""https://docs.google.com/spreadsheets/d/1KS0zmDSZPk8KnTAbGN-Xk6MtX1YRZD0ldgdt20K4CRk/edit?usp=sharing"","&amp;"""เชียงราย!N177"")+IMPORTRANGE(""https://docs.google.com/spreadsheets/d/1rEDxBtusbi64tE0zunoIbsTVV16HeL0oJ6trHQeQ7K8/edit?usp=sharing"",""เชียงใหม่!N177"")+IMPORTRANGE(""https://docs.google.com/spreadsheets/d/1W6MnUbDkMi6xHnHko_XkFDO9kkuL6Wqyc-6OCDFjW9I/e"&amp;"dit?usp=sharing"",""ตาก!N177"")+IMPORTRANGE(""https://docs.google.com/spreadsheets/d/1IQAWArduLkta9LpYo4a_ULsyqdta6-6aDDiwpUnQT6c/edit?usp=sharing"",""นครสวรรค์!N177"")+IMPORTRANGE(""https://docs.google.com/spreadsheets/d/10s13Sk5xrltsiR-Zkbmk5DwIaDIKO8Xl"&amp;"bJAfqyT7Gvg/edit?usp=sharing"",""น่าน!N177"")+IMPORTRANGE(""https://docs.google.com/spreadsheets/d/1uu4nAn4Dbi1XREnLKKotUANlKXa7yCgRcgq8HEzQYW8/edit?usp=sharing"",""พะเยา!N177"")+IMPORTRANGE(""https://docs.google.com/spreadsheets/d/1xfJKIQxVOaPDIICqsflNlL"&amp;"u3JacTDk1FP9RH4phX7mI/edit?usp=sharing"",""พิจิตร!N177"")+IMPORTRANGE(""https://docs.google.com/spreadsheets/d/1JtRfZkJMHtEhI5RdRHxYUG4FIZHqKDpNyIuN7A1Q0_k/edit?usp=sharing"",""พิษณุโลก!N177"")+IMPORTRANGE(""https://docs.google.com/spreadsheets/d/1xlcVZWU"&amp;"Nn6SuWm0c307h32SiGkd9BaeQWlAktfD3KO8/edit?usp=sharing"",""เพชรบูรณ์!N177"")+IMPORTRANGE(""https://docs.google.com/spreadsheets/d/1lOVebEIsI9qjGXl6EX66luk7wiuP2tBaryw-wKvv4e0/edit?usp=sharing"",""แพร่!N177"")+IMPORTRANGE(""https://docs.google.com/spreadshe"&amp;"ets/d/1dQrvX0vEcN7Gu0fnZ0B5S90AeR19zth4XlExFBeExMY/edit?usp=sharing"",""แม่ฮ่องสอน!N177"")+IMPORTRANGE(""https://docs.google.com/spreadsheets/d/1DY4XTNNwjluuxqdfdn6qvOSlMRrZqUtmYcZR0ttFiG4/edit?usp=sharing"",""ลำปาง!N177"")+IMPORTRANGE(""https://docs.goog"&amp;"le.com/spreadsheets/d/1ICwG78r0OFT8biBlxnBF8r7she7gNSzOvJ958PWT09c/edit?usp=sharing"",""ลำพูน!N177"")+IMPORTRANGE(""https://docs.google.com/spreadsheets/d/1B0f2xJpZUC6Z0xXnqKlZtEPzsf6L84eP1r1Q15seqRM/edit?usp=sharing"",""สุโขทัย!N177"")+IMPORTRANGE(""http"&amp;"s://docs.google.com/spreadsheets/d/1v0b9pFQCsKUVExMei7AgY2yQkdeNQvtOssygGsXbiKo/edit?usp=sharing"",""อุตรดิตถ์!N177"")+IMPORTRANGE(""https://docs.google.com/spreadsheets/d/1UsNK1e-WWiCo2PvGqdNfdme4m17_Ezd3J69EeeiQPD0/edit?usp=sharing"",""อุทัยธานี!N177"")"),0)</f>
        <v>0</v>
      </c>
      <c r="O177" s="46">
        <f t="shared" ca="1" si="142"/>
        <v>0</v>
      </c>
      <c r="P177" s="46">
        <f t="shared" ca="1" si="143"/>
        <v>0</v>
      </c>
      <c r="Q177" s="48">
        <f ca="1">IFERROR(__xludf.DUMMYFUNCTION("IMPORTRANGE(""https://docs.google.com/spreadsheets/d/1jTcq05yEiRwXcBMLjiodW9e4biSGYWAHcDj22rKWQ3s/edit?usp=sharing"",""กำแพงเพชร!Q177"")+IMPORTRANGE(""https://docs.google.com/spreadsheets/d/1KS0zmDSZPk8KnTAbGN-Xk6MtX1YRZD0ldgdt20K4CRk/edit?usp=sharing"","&amp;"""เชียงราย!Q177"")+IMPORTRANGE(""https://docs.google.com/spreadsheets/d/1rEDxBtusbi64tE0zunoIbsTVV16HeL0oJ6trHQeQ7K8/edit?usp=sharing"",""เชียงใหม่!Q177"")+IMPORTRANGE(""https://docs.google.com/spreadsheets/d/1W6MnUbDkMi6xHnHko_XkFDO9kkuL6Wqyc-6OCDFjW9I/e"&amp;"dit?usp=sharing"",""ตาก!Q177"")+IMPORTRANGE(""https://docs.google.com/spreadsheets/d/1IQAWArduLkta9LpYo4a_ULsyqdta6-6aDDiwpUnQT6c/edit?usp=sharing"",""นครสวรรค์!Q177"")+IMPORTRANGE(""https://docs.google.com/spreadsheets/d/10s13Sk5xrltsiR-Zkbmk5DwIaDIKO8Xl"&amp;"bJAfqyT7Gvg/edit?usp=sharing"",""น่าน!Q177"")+IMPORTRANGE(""https://docs.google.com/spreadsheets/d/1uu4nAn4Dbi1XREnLKKotUANlKXa7yCgRcgq8HEzQYW8/edit?usp=sharing"",""พะเยา!Q177"")+IMPORTRANGE(""https://docs.google.com/spreadsheets/d/1xfJKIQxVOaPDIICqsflNlL"&amp;"u3JacTDk1FP9RH4phX7mI/edit?usp=sharing"",""พิจิตร!Q177"")+IMPORTRANGE(""https://docs.google.com/spreadsheets/d/1JtRfZkJMHtEhI5RdRHxYUG4FIZHqKDpNyIuN7A1Q0_k/edit?usp=sharing"",""พิษณุโลก!Q177"")+IMPORTRANGE(""https://docs.google.com/spreadsheets/d/1xlcVZWU"&amp;"Nn6SuWm0c307h32SiGkd9BaeQWlAktfD3KO8/edit?usp=sharing"",""เพชรบูรณ์!Q177"")+IMPORTRANGE(""https://docs.google.com/spreadsheets/d/1lOVebEIsI9qjGXl6EX66luk7wiuP2tBaryw-wKvv4e0/edit?usp=sharing"",""แพร่!Q177"")+IMPORTRANGE(""https://docs.google.com/spreadshe"&amp;"ets/d/1dQrvX0vEcN7Gu0fnZ0B5S90AeR19zth4XlExFBeExMY/edit?usp=sharing"",""แม่ฮ่องสอน!Q177"")+IMPORTRANGE(""https://docs.google.com/spreadsheets/d/1DY4XTNNwjluuxqdfdn6qvOSlMRrZqUtmYcZR0ttFiG4/edit?usp=sharing"",""ลำปาง!Q177"")+IMPORTRANGE(""https://docs.goog"&amp;"le.com/spreadsheets/d/1ICwG78r0OFT8biBlxnBF8r7she7gNSzOvJ958PWT09c/edit?usp=sharing"",""ลำพูน!Q177"")+IMPORTRANGE(""https://docs.google.com/spreadsheets/d/1B0f2xJpZUC6Z0xXnqKlZtEPzsf6L84eP1r1Q15seqRM/edit?usp=sharing"",""สุโขทัย!Q177"")+IMPORTRANGE(""http"&amp;"s://docs.google.com/spreadsheets/d/1v0b9pFQCsKUVExMei7AgY2yQkdeNQvtOssygGsXbiKo/edit?usp=sharing"",""อุตรดิตถ์!Q177"")+IMPORTRANGE(""https://docs.google.com/spreadsheets/d/1UsNK1e-WWiCo2PvGqdNfdme4m17_Ezd3J69EeeiQPD0/edit?usp=sharing"",""อุทัยธานี!Q177"")"),0)</f>
        <v>0</v>
      </c>
      <c r="R177" s="48">
        <f ca="1">IFERROR(__xludf.DUMMYFUNCTION("IMPORTRANGE(""https://docs.google.com/spreadsheets/d/1jTcq05yEiRwXcBMLjiodW9e4biSGYWAHcDj22rKWQ3s/edit?usp=sharing"",""กำแพงเพชร!R177"")+IMPORTRANGE(""https://docs.google.com/spreadsheets/d/1KS0zmDSZPk8KnTAbGN-Xk6MtX1YRZD0ldgdt20K4CRk/edit?usp=sharing"","&amp;"""เชียงราย!R177"")+IMPORTRANGE(""https://docs.google.com/spreadsheets/d/1rEDxBtusbi64tE0zunoIbsTVV16HeL0oJ6trHQeQ7K8/edit?usp=sharing"",""เชียงใหม่!R177"")+IMPORTRANGE(""https://docs.google.com/spreadsheets/d/1W6MnUbDkMi6xHnHko_XkFDO9kkuL6Wqyc-6OCDFjW9I/e"&amp;"dit?usp=sharing"",""ตาก!R177"")+IMPORTRANGE(""https://docs.google.com/spreadsheets/d/1IQAWArduLkta9LpYo4a_ULsyqdta6-6aDDiwpUnQT6c/edit?usp=sharing"",""นครสวรรค์!R177"")+IMPORTRANGE(""https://docs.google.com/spreadsheets/d/10s13Sk5xrltsiR-Zkbmk5DwIaDIKO8Xl"&amp;"bJAfqyT7Gvg/edit?usp=sharing"",""น่าน!R177"")+IMPORTRANGE(""https://docs.google.com/spreadsheets/d/1uu4nAn4Dbi1XREnLKKotUANlKXa7yCgRcgq8HEzQYW8/edit?usp=sharing"",""พะเยา!R177"")+IMPORTRANGE(""https://docs.google.com/spreadsheets/d/1xfJKIQxVOaPDIICqsflNlL"&amp;"u3JacTDk1FP9RH4phX7mI/edit?usp=sharing"",""พิจิตร!R177"")+IMPORTRANGE(""https://docs.google.com/spreadsheets/d/1JtRfZkJMHtEhI5RdRHxYUG4FIZHqKDpNyIuN7A1Q0_k/edit?usp=sharing"",""พิษณุโลก!R177"")+IMPORTRANGE(""https://docs.google.com/spreadsheets/d/1xlcVZWU"&amp;"Nn6SuWm0c307h32SiGkd9BaeQWlAktfD3KO8/edit?usp=sharing"",""เพชรบูรณ์!R177"")+IMPORTRANGE(""https://docs.google.com/spreadsheets/d/1lOVebEIsI9qjGXl6EX66luk7wiuP2tBaryw-wKvv4e0/edit?usp=sharing"",""แพร่!R177"")+IMPORTRANGE(""https://docs.google.com/spreadshe"&amp;"ets/d/1dQrvX0vEcN7Gu0fnZ0B5S90AeR19zth4XlExFBeExMY/edit?usp=sharing"",""แม่ฮ่องสอน!R177"")+IMPORTRANGE(""https://docs.google.com/spreadsheets/d/1DY4XTNNwjluuxqdfdn6qvOSlMRrZqUtmYcZR0ttFiG4/edit?usp=sharing"",""ลำปาง!R177"")+IMPORTRANGE(""https://docs.goog"&amp;"le.com/spreadsheets/d/1ICwG78r0OFT8biBlxnBF8r7she7gNSzOvJ958PWT09c/edit?usp=sharing"",""ลำพูน!R177"")+IMPORTRANGE(""https://docs.google.com/spreadsheets/d/1B0f2xJpZUC6Z0xXnqKlZtEPzsf6L84eP1r1Q15seqRM/edit?usp=sharing"",""สุโขทัย!R177"")+IMPORTRANGE(""http"&amp;"s://docs.google.com/spreadsheets/d/1v0b9pFQCsKUVExMei7AgY2yQkdeNQvtOssygGsXbiKo/edit?usp=sharing"",""อุตรดิตถ์!R177"")+IMPORTRANGE(""https://docs.google.com/spreadsheets/d/1UsNK1e-WWiCo2PvGqdNfdme4m17_Ezd3J69EeeiQPD0/edit?usp=sharing"",""อุทัยธานี!R177"")"),0)</f>
        <v>0</v>
      </c>
      <c r="S177" s="48">
        <f ca="1">IFERROR(__xludf.DUMMYFUNCTION("IMPORTRANGE(""https://docs.google.com/spreadsheets/d/1jTcq05yEiRwXcBMLjiodW9e4biSGYWAHcDj22rKWQ3s/edit?usp=sharing"",""กำแพงเพชร!S177"")+IMPORTRANGE(""https://docs.google.com/spreadsheets/d/1KS0zmDSZPk8KnTAbGN-Xk6MtX1YRZD0ldgdt20K4CRk/edit?usp=sharing"","&amp;"""เชียงราย!S177"")+IMPORTRANGE(""https://docs.google.com/spreadsheets/d/1rEDxBtusbi64tE0zunoIbsTVV16HeL0oJ6trHQeQ7K8/edit?usp=sharing"",""เชียงใหม่!S177"")+IMPORTRANGE(""https://docs.google.com/spreadsheets/d/1W6MnUbDkMi6xHnHko_XkFDO9kkuL6Wqyc-6OCDFjW9I/e"&amp;"dit?usp=sharing"",""ตาก!S177"")+IMPORTRANGE(""https://docs.google.com/spreadsheets/d/1IQAWArduLkta9LpYo4a_ULsyqdta6-6aDDiwpUnQT6c/edit?usp=sharing"",""นครสวรรค์!S177"")+IMPORTRANGE(""https://docs.google.com/spreadsheets/d/10s13Sk5xrltsiR-Zkbmk5DwIaDIKO8Xl"&amp;"bJAfqyT7Gvg/edit?usp=sharing"",""น่าน!S177"")+IMPORTRANGE(""https://docs.google.com/spreadsheets/d/1uu4nAn4Dbi1XREnLKKotUANlKXa7yCgRcgq8HEzQYW8/edit?usp=sharing"",""พะเยา!S177"")+IMPORTRANGE(""https://docs.google.com/spreadsheets/d/1xfJKIQxVOaPDIICqsflNlL"&amp;"u3JacTDk1FP9RH4phX7mI/edit?usp=sharing"",""พิจิตร!S177"")+IMPORTRANGE(""https://docs.google.com/spreadsheets/d/1JtRfZkJMHtEhI5RdRHxYUG4FIZHqKDpNyIuN7A1Q0_k/edit?usp=sharing"",""พิษณุโลก!S177"")+IMPORTRANGE(""https://docs.google.com/spreadsheets/d/1xlcVZWU"&amp;"Nn6SuWm0c307h32SiGkd9BaeQWlAktfD3KO8/edit?usp=sharing"",""เพชรบูรณ์!S177"")+IMPORTRANGE(""https://docs.google.com/spreadsheets/d/1lOVebEIsI9qjGXl6EX66luk7wiuP2tBaryw-wKvv4e0/edit?usp=sharing"",""แพร่!S177"")+IMPORTRANGE(""https://docs.google.com/spreadshe"&amp;"ets/d/1dQrvX0vEcN7Gu0fnZ0B5S90AeR19zth4XlExFBeExMY/edit?usp=sharing"",""แม่ฮ่องสอน!S177"")+IMPORTRANGE(""https://docs.google.com/spreadsheets/d/1DY4XTNNwjluuxqdfdn6qvOSlMRrZqUtmYcZR0ttFiG4/edit?usp=sharing"",""ลำปาง!S177"")+IMPORTRANGE(""https://docs.goog"&amp;"le.com/spreadsheets/d/1ICwG78r0OFT8biBlxnBF8r7she7gNSzOvJ958PWT09c/edit?usp=sharing"",""ลำพูน!S177"")+IMPORTRANGE(""https://docs.google.com/spreadsheets/d/1B0f2xJpZUC6Z0xXnqKlZtEPzsf6L84eP1r1Q15seqRM/edit?usp=sharing"",""สุโขทัย!S177"")+IMPORTRANGE(""http"&amp;"s://docs.google.com/spreadsheets/d/1v0b9pFQCsKUVExMei7AgY2yQkdeNQvtOssygGsXbiKo/edit?usp=sharing"",""อุตรดิตถ์!S177"")+IMPORTRANGE(""https://docs.google.com/spreadsheets/d/1UsNK1e-WWiCo2PvGqdNfdme4m17_Ezd3J69EeeiQPD0/edit?usp=sharing"",""อุทัยธานี!S177"")"),0)</f>
        <v>0</v>
      </c>
      <c r="T177" s="48">
        <f t="shared" ca="1" si="145"/>
        <v>0</v>
      </c>
      <c r="U177" s="48">
        <f t="shared" ca="1" si="146"/>
        <v>0</v>
      </c>
    </row>
    <row r="178" spans="1:21" ht="18.75" x14ac:dyDescent="0.25">
      <c r="A178" s="128"/>
      <c r="B178" s="40"/>
      <c r="C178" s="40"/>
      <c r="D178" s="40"/>
      <c r="E178" s="47" t="s">
        <v>37</v>
      </c>
      <c r="F178" s="40"/>
      <c r="G178" s="42"/>
      <c r="H178" s="134" t="s">
        <v>14</v>
      </c>
      <c r="I178" s="135"/>
      <c r="J178" s="135"/>
      <c r="K178" s="136"/>
      <c r="L178" s="46">
        <f ca="1">IFERROR(__xludf.DUMMYFUNCTION("IMPORTRANGE(""https://docs.google.com/spreadsheets/d/1jTcq05yEiRwXcBMLjiodW9e4biSGYWAHcDj22rKWQ3s/edit?usp=sharing"",""กำแพงเพชร!L178"")+IMPORTRANGE(""https://docs.google.com/spreadsheets/d/1KS0zmDSZPk8KnTAbGN-Xk6MtX1YRZD0ldgdt20K4CRk/edit?usp=sharing"","&amp;"""เชียงราย!L178"")+IMPORTRANGE(""https://docs.google.com/spreadsheets/d/1rEDxBtusbi64tE0zunoIbsTVV16HeL0oJ6trHQeQ7K8/edit?usp=sharing"",""เชียงใหม่!L178"")+IMPORTRANGE(""https://docs.google.com/spreadsheets/d/1W6MnUbDkMi6xHnHko_XkFDO9kkuL6Wqyc-6OCDFjW9I/e"&amp;"dit?usp=sharing"",""ตาก!L178"")+IMPORTRANGE(""https://docs.google.com/spreadsheets/d/1IQAWArduLkta9LpYo4a_ULsyqdta6-6aDDiwpUnQT6c/edit?usp=sharing"",""นครสวรรค์!L178"")+IMPORTRANGE(""https://docs.google.com/spreadsheets/d/10s13Sk5xrltsiR-Zkbmk5DwIaDIKO8Xl"&amp;"bJAfqyT7Gvg/edit?usp=sharing"",""น่าน!L178"")+IMPORTRANGE(""https://docs.google.com/spreadsheets/d/1uu4nAn4Dbi1XREnLKKotUANlKXa7yCgRcgq8HEzQYW8/edit?usp=sharing"",""พะเยา!L178"")+IMPORTRANGE(""https://docs.google.com/spreadsheets/d/1xfJKIQxVOaPDIICqsflNlL"&amp;"u3JacTDk1FP9RH4phX7mI/edit?usp=sharing"",""พิจิตร!L178"")+IMPORTRANGE(""https://docs.google.com/spreadsheets/d/1JtRfZkJMHtEhI5RdRHxYUG4FIZHqKDpNyIuN7A1Q0_k/edit?usp=sharing"",""พิษณุโลก!L178"")+IMPORTRANGE(""https://docs.google.com/spreadsheets/d/1xlcVZWU"&amp;"Nn6SuWm0c307h32SiGkd9BaeQWlAktfD3KO8/edit?usp=sharing"",""เพชรบูรณ์!L178"")+IMPORTRANGE(""https://docs.google.com/spreadsheets/d/1lOVebEIsI9qjGXl6EX66luk7wiuP2tBaryw-wKvv4e0/edit?usp=sharing"",""แพร่!L178"")+IMPORTRANGE(""https://docs.google.com/spreadshe"&amp;"ets/d/1dQrvX0vEcN7Gu0fnZ0B5S90AeR19zth4XlExFBeExMY/edit?usp=sharing"",""แม่ฮ่องสอน!L178"")+IMPORTRANGE(""https://docs.google.com/spreadsheets/d/1DY4XTNNwjluuxqdfdn6qvOSlMRrZqUtmYcZR0ttFiG4/edit?usp=sharing"",""ลำปาง!L178"")+IMPORTRANGE(""https://docs.goog"&amp;"le.com/spreadsheets/d/1ICwG78r0OFT8biBlxnBF8r7she7gNSzOvJ958PWT09c/edit?usp=sharing"",""ลำพูน!L178"")+IMPORTRANGE(""https://docs.google.com/spreadsheets/d/1B0f2xJpZUC6Z0xXnqKlZtEPzsf6L84eP1r1Q15seqRM/edit?usp=sharing"",""สุโขทัย!L178"")+IMPORTRANGE(""http"&amp;"s://docs.google.com/spreadsheets/d/1v0b9pFQCsKUVExMei7AgY2yQkdeNQvtOssygGsXbiKo/edit?usp=sharing"",""อุตรดิตถ์!L178"")+IMPORTRANGE(""https://docs.google.com/spreadsheets/d/1UsNK1e-WWiCo2PvGqdNfdme4m17_Ezd3J69EeeiQPD0/edit?usp=sharing"",""อุทัยธานี!L178"")"),333030)</f>
        <v>333030</v>
      </c>
      <c r="M178" s="46">
        <f ca="1">IFERROR(__xludf.DUMMYFUNCTION("IMPORTRANGE(""https://docs.google.com/spreadsheets/d/1jTcq05yEiRwXcBMLjiodW9e4biSGYWAHcDj22rKWQ3s/edit?usp=sharing"",""กำแพงเพชร!M178"")+IMPORTRANGE(""https://docs.google.com/spreadsheets/d/1KS0zmDSZPk8KnTAbGN-Xk6MtX1YRZD0ldgdt20K4CRk/edit?usp=sharing"","&amp;"""เชียงราย!M178"")+IMPORTRANGE(""https://docs.google.com/spreadsheets/d/1rEDxBtusbi64tE0zunoIbsTVV16HeL0oJ6trHQeQ7K8/edit?usp=sharing"",""เชียงใหม่!M178"")+IMPORTRANGE(""https://docs.google.com/spreadsheets/d/1W6MnUbDkMi6xHnHko_XkFDO9kkuL6Wqyc-6OCDFjW9I/e"&amp;"dit?usp=sharing"",""ตาก!M178"")+IMPORTRANGE(""https://docs.google.com/spreadsheets/d/1IQAWArduLkta9LpYo4a_ULsyqdta6-6aDDiwpUnQT6c/edit?usp=sharing"",""นครสวรรค์!M178"")+IMPORTRANGE(""https://docs.google.com/spreadsheets/d/10s13Sk5xrltsiR-Zkbmk5DwIaDIKO8Xl"&amp;"bJAfqyT7Gvg/edit?usp=sharing"",""น่าน!M178"")+IMPORTRANGE(""https://docs.google.com/spreadsheets/d/1uu4nAn4Dbi1XREnLKKotUANlKXa7yCgRcgq8HEzQYW8/edit?usp=sharing"",""พะเยา!M178"")+IMPORTRANGE(""https://docs.google.com/spreadsheets/d/1xfJKIQxVOaPDIICqsflNlL"&amp;"u3JacTDk1FP9RH4phX7mI/edit?usp=sharing"",""พิจิตร!M178"")+IMPORTRANGE(""https://docs.google.com/spreadsheets/d/1JtRfZkJMHtEhI5RdRHxYUG4FIZHqKDpNyIuN7A1Q0_k/edit?usp=sharing"",""พิษณุโลก!M178"")+IMPORTRANGE(""https://docs.google.com/spreadsheets/d/1xlcVZWU"&amp;"Nn6SuWm0c307h32SiGkd9BaeQWlAktfD3KO8/edit?usp=sharing"",""เพชรบูรณ์!M178"")+IMPORTRANGE(""https://docs.google.com/spreadsheets/d/1lOVebEIsI9qjGXl6EX66luk7wiuP2tBaryw-wKvv4e0/edit?usp=sharing"",""แพร่!M178"")+IMPORTRANGE(""https://docs.google.com/spreadshe"&amp;"ets/d/1dQrvX0vEcN7Gu0fnZ0B5S90AeR19zth4XlExFBeExMY/edit?usp=sharing"",""แม่ฮ่องสอน!M178"")+IMPORTRANGE(""https://docs.google.com/spreadsheets/d/1DY4XTNNwjluuxqdfdn6qvOSlMRrZqUtmYcZR0ttFiG4/edit?usp=sharing"",""ลำปาง!M178"")+IMPORTRANGE(""https://docs.goog"&amp;"le.com/spreadsheets/d/1ICwG78r0OFT8biBlxnBF8r7she7gNSzOvJ958PWT09c/edit?usp=sharing"",""ลำพูน!M178"")+IMPORTRANGE(""https://docs.google.com/spreadsheets/d/1B0f2xJpZUC6Z0xXnqKlZtEPzsf6L84eP1r1Q15seqRM/edit?usp=sharing"",""สุโขทัย!M178"")+IMPORTRANGE(""http"&amp;"s://docs.google.com/spreadsheets/d/1v0b9pFQCsKUVExMei7AgY2yQkdeNQvtOssygGsXbiKo/edit?usp=sharing"",""อุตรดิตถ์!M178"")+IMPORTRANGE(""https://docs.google.com/spreadsheets/d/1UsNK1e-WWiCo2PvGqdNfdme4m17_Ezd3J69EeeiQPD0/edit?usp=sharing"",""อุทัยธานี!M178"")"),1794000)</f>
        <v>1794000</v>
      </c>
      <c r="N178" s="46">
        <f ca="1">IFERROR(__xludf.DUMMYFUNCTION("IMPORTRANGE(""https://docs.google.com/spreadsheets/d/1jTcq05yEiRwXcBMLjiodW9e4biSGYWAHcDj22rKWQ3s/edit?usp=sharing"",""กำแพงเพชร!N178"")+IMPORTRANGE(""https://docs.google.com/spreadsheets/d/1KS0zmDSZPk8KnTAbGN-Xk6MtX1YRZD0ldgdt20K4CRk/edit?usp=sharing"","&amp;"""เชียงราย!N178"")+IMPORTRANGE(""https://docs.google.com/spreadsheets/d/1rEDxBtusbi64tE0zunoIbsTVV16HeL0oJ6trHQeQ7K8/edit?usp=sharing"",""เชียงใหม่!N178"")+IMPORTRANGE(""https://docs.google.com/spreadsheets/d/1W6MnUbDkMi6xHnHko_XkFDO9kkuL6Wqyc-6OCDFjW9I/e"&amp;"dit?usp=sharing"",""ตาก!N178"")+IMPORTRANGE(""https://docs.google.com/spreadsheets/d/1IQAWArduLkta9LpYo4a_ULsyqdta6-6aDDiwpUnQT6c/edit?usp=sharing"",""นครสวรรค์!N178"")+IMPORTRANGE(""https://docs.google.com/spreadsheets/d/10s13Sk5xrltsiR-Zkbmk5DwIaDIKO8Xl"&amp;"bJAfqyT7Gvg/edit?usp=sharing"",""น่าน!N178"")+IMPORTRANGE(""https://docs.google.com/spreadsheets/d/1uu4nAn4Dbi1XREnLKKotUANlKXa7yCgRcgq8HEzQYW8/edit?usp=sharing"",""พะเยา!N178"")+IMPORTRANGE(""https://docs.google.com/spreadsheets/d/1xfJKIQxVOaPDIICqsflNlL"&amp;"u3JacTDk1FP9RH4phX7mI/edit?usp=sharing"",""พิจิตร!N178"")+IMPORTRANGE(""https://docs.google.com/spreadsheets/d/1JtRfZkJMHtEhI5RdRHxYUG4FIZHqKDpNyIuN7A1Q0_k/edit?usp=sharing"",""พิษณุโลก!N178"")+IMPORTRANGE(""https://docs.google.com/spreadsheets/d/1xlcVZWU"&amp;"Nn6SuWm0c307h32SiGkd9BaeQWlAktfD3KO8/edit?usp=sharing"",""เพชรบูรณ์!N178"")+IMPORTRANGE(""https://docs.google.com/spreadsheets/d/1lOVebEIsI9qjGXl6EX66luk7wiuP2tBaryw-wKvv4e0/edit?usp=sharing"",""แพร่!N178"")+IMPORTRANGE(""https://docs.google.com/spreadshe"&amp;"ets/d/1dQrvX0vEcN7Gu0fnZ0B5S90AeR19zth4XlExFBeExMY/edit?usp=sharing"",""แม่ฮ่องสอน!N178"")+IMPORTRANGE(""https://docs.google.com/spreadsheets/d/1DY4XTNNwjluuxqdfdn6qvOSlMRrZqUtmYcZR0ttFiG4/edit?usp=sharing"",""ลำปาง!N178"")+IMPORTRANGE(""https://docs.goog"&amp;"le.com/spreadsheets/d/1ICwG78r0OFT8biBlxnBF8r7she7gNSzOvJ958PWT09c/edit?usp=sharing"",""ลำพูน!N178"")+IMPORTRANGE(""https://docs.google.com/spreadsheets/d/1B0f2xJpZUC6Z0xXnqKlZtEPzsf6L84eP1r1Q15seqRM/edit?usp=sharing"",""สุโขทัย!N178"")+IMPORTRANGE(""http"&amp;"s://docs.google.com/spreadsheets/d/1v0b9pFQCsKUVExMei7AgY2yQkdeNQvtOssygGsXbiKo/edit?usp=sharing"",""อุตรดิตถ์!N178"")+IMPORTRANGE(""https://docs.google.com/spreadsheets/d/1UsNK1e-WWiCo2PvGqdNfdme4m17_Ezd3J69EeeiQPD0/edit?usp=sharing"",""อุทัยธานี!N178"")"),1694917)</f>
        <v>1694917</v>
      </c>
      <c r="O178" s="46">
        <f t="shared" ca="1" si="142"/>
        <v>508.93823379275142</v>
      </c>
      <c r="P178" s="46">
        <f t="shared" ca="1" si="143"/>
        <v>94.476978818283172</v>
      </c>
      <c r="Q178" s="46">
        <f ca="1">IFERROR(__xludf.DUMMYFUNCTION("IMPORTRANGE(""https://docs.google.com/spreadsheets/d/1jTcq05yEiRwXcBMLjiodW9e4biSGYWAHcDj22rKWQ3s/edit?usp=sharing"",""กำแพงเพชร!Q178"")+IMPORTRANGE(""https://docs.google.com/spreadsheets/d/1KS0zmDSZPk8KnTAbGN-Xk6MtX1YRZD0ldgdt20K4CRk/edit?usp=sharing"","&amp;"""เชียงราย!Q178"")+IMPORTRANGE(""https://docs.google.com/spreadsheets/d/1rEDxBtusbi64tE0zunoIbsTVV16HeL0oJ6trHQeQ7K8/edit?usp=sharing"",""เชียงใหม่!Q178"")+IMPORTRANGE(""https://docs.google.com/spreadsheets/d/1W6MnUbDkMi6xHnHko_XkFDO9kkuL6Wqyc-6OCDFjW9I/e"&amp;"dit?usp=sharing"",""ตาก!Q178"")+IMPORTRANGE(""https://docs.google.com/spreadsheets/d/1IQAWArduLkta9LpYo4a_ULsyqdta6-6aDDiwpUnQT6c/edit?usp=sharing"",""นครสวรรค์!Q178"")+IMPORTRANGE(""https://docs.google.com/spreadsheets/d/10s13Sk5xrltsiR-Zkbmk5DwIaDIKO8Xl"&amp;"bJAfqyT7Gvg/edit?usp=sharing"",""น่าน!Q178"")+IMPORTRANGE(""https://docs.google.com/spreadsheets/d/1uu4nAn4Dbi1XREnLKKotUANlKXa7yCgRcgq8HEzQYW8/edit?usp=sharing"",""พะเยา!Q178"")+IMPORTRANGE(""https://docs.google.com/spreadsheets/d/1xfJKIQxVOaPDIICqsflNlL"&amp;"u3JacTDk1FP9RH4phX7mI/edit?usp=sharing"",""พิจิตร!Q178"")+IMPORTRANGE(""https://docs.google.com/spreadsheets/d/1JtRfZkJMHtEhI5RdRHxYUG4FIZHqKDpNyIuN7A1Q0_k/edit?usp=sharing"",""พิษณุโลก!Q178"")+IMPORTRANGE(""https://docs.google.com/spreadsheets/d/1xlcVZWU"&amp;"Nn6SuWm0c307h32SiGkd9BaeQWlAktfD3KO8/edit?usp=sharing"",""เพชรบูรณ์!Q178"")+IMPORTRANGE(""https://docs.google.com/spreadsheets/d/1lOVebEIsI9qjGXl6EX66luk7wiuP2tBaryw-wKvv4e0/edit?usp=sharing"",""แพร่!Q178"")+IMPORTRANGE(""https://docs.google.com/spreadshe"&amp;"ets/d/1dQrvX0vEcN7Gu0fnZ0B5S90AeR19zth4XlExFBeExMY/edit?usp=sharing"",""แม่ฮ่องสอน!Q178"")+IMPORTRANGE(""https://docs.google.com/spreadsheets/d/1DY4XTNNwjluuxqdfdn6qvOSlMRrZqUtmYcZR0ttFiG4/edit?usp=sharing"",""ลำปาง!Q178"")+IMPORTRANGE(""https://docs.goog"&amp;"le.com/spreadsheets/d/1ICwG78r0OFT8biBlxnBF8r7she7gNSzOvJ958PWT09c/edit?usp=sharing"",""ลำพูน!Q178"")+IMPORTRANGE(""https://docs.google.com/spreadsheets/d/1B0f2xJpZUC6Z0xXnqKlZtEPzsf6L84eP1r1Q15seqRM/edit?usp=sharing"",""สุโขทัย!Q178"")+IMPORTRANGE(""http"&amp;"s://docs.google.com/spreadsheets/d/1v0b9pFQCsKUVExMei7AgY2yQkdeNQvtOssygGsXbiKo/edit?usp=sharing"",""อุตรดิตถ์!Q178"")+IMPORTRANGE(""https://docs.google.com/spreadsheets/d/1UsNK1e-WWiCo2PvGqdNfdme4m17_Ezd3J69EeeiQPD0/edit?usp=sharing"",""อุทัยธานี!Q178"")"),0)</f>
        <v>0</v>
      </c>
      <c r="R178" s="46">
        <f ca="1">IFERROR(__xludf.DUMMYFUNCTION("IMPORTRANGE(""https://docs.google.com/spreadsheets/d/1jTcq05yEiRwXcBMLjiodW9e4biSGYWAHcDj22rKWQ3s/edit?usp=sharing"",""กำแพงเพชร!R178"")+IMPORTRANGE(""https://docs.google.com/spreadsheets/d/1KS0zmDSZPk8KnTAbGN-Xk6MtX1YRZD0ldgdt20K4CRk/edit?usp=sharing"","&amp;"""เชียงราย!R178"")+IMPORTRANGE(""https://docs.google.com/spreadsheets/d/1rEDxBtusbi64tE0zunoIbsTVV16HeL0oJ6trHQeQ7K8/edit?usp=sharing"",""เชียงใหม่!R178"")+IMPORTRANGE(""https://docs.google.com/spreadsheets/d/1W6MnUbDkMi6xHnHko_XkFDO9kkuL6Wqyc-6OCDFjW9I/e"&amp;"dit?usp=sharing"",""ตาก!R178"")+IMPORTRANGE(""https://docs.google.com/spreadsheets/d/1IQAWArduLkta9LpYo4a_ULsyqdta6-6aDDiwpUnQT6c/edit?usp=sharing"",""นครสวรรค์!R178"")+IMPORTRANGE(""https://docs.google.com/spreadsheets/d/10s13Sk5xrltsiR-Zkbmk5DwIaDIKO8Xl"&amp;"bJAfqyT7Gvg/edit?usp=sharing"",""น่าน!R178"")+IMPORTRANGE(""https://docs.google.com/spreadsheets/d/1uu4nAn4Dbi1XREnLKKotUANlKXa7yCgRcgq8HEzQYW8/edit?usp=sharing"",""พะเยา!R178"")+IMPORTRANGE(""https://docs.google.com/spreadsheets/d/1xfJKIQxVOaPDIICqsflNlL"&amp;"u3JacTDk1FP9RH4phX7mI/edit?usp=sharing"",""พิจิตร!R178"")+IMPORTRANGE(""https://docs.google.com/spreadsheets/d/1JtRfZkJMHtEhI5RdRHxYUG4FIZHqKDpNyIuN7A1Q0_k/edit?usp=sharing"",""พิษณุโลก!R178"")+IMPORTRANGE(""https://docs.google.com/spreadsheets/d/1xlcVZWU"&amp;"Nn6SuWm0c307h32SiGkd9BaeQWlAktfD3KO8/edit?usp=sharing"",""เพชรบูรณ์!R178"")+IMPORTRANGE(""https://docs.google.com/spreadsheets/d/1lOVebEIsI9qjGXl6EX66luk7wiuP2tBaryw-wKvv4e0/edit?usp=sharing"",""แพร่!R178"")+IMPORTRANGE(""https://docs.google.com/spreadshe"&amp;"ets/d/1dQrvX0vEcN7Gu0fnZ0B5S90AeR19zth4XlExFBeExMY/edit?usp=sharing"",""แม่ฮ่องสอน!R178"")+IMPORTRANGE(""https://docs.google.com/spreadsheets/d/1DY4XTNNwjluuxqdfdn6qvOSlMRrZqUtmYcZR0ttFiG4/edit?usp=sharing"",""ลำปาง!R178"")+IMPORTRANGE(""https://docs.goog"&amp;"le.com/spreadsheets/d/1ICwG78r0OFT8biBlxnBF8r7she7gNSzOvJ958PWT09c/edit?usp=sharing"",""ลำพูน!R178"")+IMPORTRANGE(""https://docs.google.com/spreadsheets/d/1B0f2xJpZUC6Z0xXnqKlZtEPzsf6L84eP1r1Q15seqRM/edit?usp=sharing"",""สุโขทัย!R178"")+IMPORTRANGE(""http"&amp;"s://docs.google.com/spreadsheets/d/1v0b9pFQCsKUVExMei7AgY2yQkdeNQvtOssygGsXbiKo/edit?usp=sharing"",""อุตรดิตถ์!R178"")+IMPORTRANGE(""https://docs.google.com/spreadsheets/d/1UsNK1e-WWiCo2PvGqdNfdme4m17_Ezd3J69EeeiQPD0/edit?usp=sharing"",""อุทัยธานี!R178"")"),0)</f>
        <v>0</v>
      </c>
      <c r="S178" s="46">
        <f ca="1">IFERROR(__xludf.DUMMYFUNCTION("IMPORTRANGE(""https://docs.google.com/spreadsheets/d/1jTcq05yEiRwXcBMLjiodW9e4biSGYWAHcDj22rKWQ3s/edit?usp=sharing"",""กำแพงเพชร!S178"")+IMPORTRANGE(""https://docs.google.com/spreadsheets/d/1KS0zmDSZPk8KnTAbGN-Xk6MtX1YRZD0ldgdt20K4CRk/edit?usp=sharing"","&amp;"""เชียงราย!S178"")+IMPORTRANGE(""https://docs.google.com/spreadsheets/d/1rEDxBtusbi64tE0zunoIbsTVV16HeL0oJ6trHQeQ7K8/edit?usp=sharing"",""เชียงใหม่!S178"")+IMPORTRANGE(""https://docs.google.com/spreadsheets/d/1W6MnUbDkMi6xHnHko_XkFDO9kkuL6Wqyc-6OCDFjW9I/e"&amp;"dit?usp=sharing"",""ตาก!S178"")+IMPORTRANGE(""https://docs.google.com/spreadsheets/d/1IQAWArduLkta9LpYo4a_ULsyqdta6-6aDDiwpUnQT6c/edit?usp=sharing"",""นครสวรรค์!S178"")+IMPORTRANGE(""https://docs.google.com/spreadsheets/d/10s13Sk5xrltsiR-Zkbmk5DwIaDIKO8Xl"&amp;"bJAfqyT7Gvg/edit?usp=sharing"",""น่าน!S178"")+IMPORTRANGE(""https://docs.google.com/spreadsheets/d/1uu4nAn4Dbi1XREnLKKotUANlKXa7yCgRcgq8HEzQYW8/edit?usp=sharing"",""พะเยา!S178"")+IMPORTRANGE(""https://docs.google.com/spreadsheets/d/1xfJKIQxVOaPDIICqsflNlL"&amp;"u3JacTDk1FP9RH4phX7mI/edit?usp=sharing"",""พิจิตร!S178"")+IMPORTRANGE(""https://docs.google.com/spreadsheets/d/1JtRfZkJMHtEhI5RdRHxYUG4FIZHqKDpNyIuN7A1Q0_k/edit?usp=sharing"",""พิษณุโลก!S178"")+IMPORTRANGE(""https://docs.google.com/spreadsheets/d/1xlcVZWU"&amp;"Nn6SuWm0c307h32SiGkd9BaeQWlAktfD3KO8/edit?usp=sharing"",""เพชรบูรณ์!S178"")+IMPORTRANGE(""https://docs.google.com/spreadsheets/d/1lOVebEIsI9qjGXl6EX66luk7wiuP2tBaryw-wKvv4e0/edit?usp=sharing"",""แพร่!S178"")+IMPORTRANGE(""https://docs.google.com/spreadshe"&amp;"ets/d/1dQrvX0vEcN7Gu0fnZ0B5S90AeR19zth4XlExFBeExMY/edit?usp=sharing"",""แม่ฮ่องสอน!S178"")+IMPORTRANGE(""https://docs.google.com/spreadsheets/d/1DY4XTNNwjluuxqdfdn6qvOSlMRrZqUtmYcZR0ttFiG4/edit?usp=sharing"",""ลำปาง!S178"")+IMPORTRANGE(""https://docs.goog"&amp;"le.com/spreadsheets/d/1ICwG78r0OFT8biBlxnBF8r7she7gNSzOvJ958PWT09c/edit?usp=sharing"",""ลำพูน!S178"")+IMPORTRANGE(""https://docs.google.com/spreadsheets/d/1B0f2xJpZUC6Z0xXnqKlZtEPzsf6L84eP1r1Q15seqRM/edit?usp=sharing"",""สุโขทัย!S178"")+IMPORTRANGE(""http"&amp;"s://docs.google.com/spreadsheets/d/1v0b9pFQCsKUVExMei7AgY2yQkdeNQvtOssygGsXbiKo/edit?usp=sharing"",""อุตรดิตถ์!S178"")+IMPORTRANGE(""https://docs.google.com/spreadsheets/d/1UsNK1e-WWiCo2PvGqdNfdme4m17_Ezd3J69EeeiQPD0/edit?usp=sharing"",""อุทัยธานี!S178"")"),0)</f>
        <v>0</v>
      </c>
      <c r="T178" s="46">
        <f t="shared" ca="1" si="145"/>
        <v>0</v>
      </c>
      <c r="U178" s="46">
        <f t="shared" ca="1" si="146"/>
        <v>0</v>
      </c>
    </row>
    <row r="179" spans="1:21" ht="18.75" x14ac:dyDescent="0.25">
      <c r="A179" s="128"/>
      <c r="B179" s="40"/>
      <c r="C179" s="40"/>
      <c r="D179" s="41" t="s">
        <v>23</v>
      </c>
      <c r="E179" s="40"/>
      <c r="F179" s="40"/>
      <c r="G179" s="42"/>
      <c r="H179" s="137" t="s">
        <v>14</v>
      </c>
      <c r="I179" s="135"/>
      <c r="J179" s="135"/>
      <c r="K179" s="136"/>
      <c r="L179" s="46">
        <f t="shared" ref="L179:N179" ca="1" si="153">L180+L181</f>
        <v>0</v>
      </c>
      <c r="M179" s="46">
        <f t="shared" ca="1" si="153"/>
        <v>0</v>
      </c>
      <c r="N179" s="46">
        <f t="shared" ca="1" si="153"/>
        <v>0</v>
      </c>
      <c r="O179" s="46">
        <f t="shared" ca="1" si="142"/>
        <v>0</v>
      </c>
      <c r="P179" s="46">
        <f t="shared" ca="1" si="143"/>
        <v>0</v>
      </c>
      <c r="Q179" s="46">
        <f t="shared" ref="Q179:S179" ca="1" si="154">Q180+Q181</f>
        <v>0</v>
      </c>
      <c r="R179" s="46">
        <f t="shared" ca="1" si="154"/>
        <v>0</v>
      </c>
      <c r="S179" s="46">
        <f t="shared" ca="1" si="154"/>
        <v>0</v>
      </c>
      <c r="T179" s="46">
        <f t="shared" ca="1" si="145"/>
        <v>0</v>
      </c>
      <c r="U179" s="46">
        <f t="shared" ca="1" si="146"/>
        <v>0</v>
      </c>
    </row>
    <row r="180" spans="1:21" ht="18.75" x14ac:dyDescent="0.25">
      <c r="A180" s="128"/>
      <c r="B180" s="40"/>
      <c r="C180" s="40"/>
      <c r="D180" s="40"/>
      <c r="E180" s="47" t="s">
        <v>20</v>
      </c>
      <c r="F180" s="40"/>
      <c r="G180" s="42"/>
      <c r="H180" s="134" t="s">
        <v>14</v>
      </c>
      <c r="I180" s="135"/>
      <c r="J180" s="135"/>
      <c r="K180" s="136"/>
      <c r="L180" s="46">
        <f ca="1">IFERROR(__xludf.DUMMYFUNCTION("IMPORTRANGE(""https://docs.google.com/spreadsheets/d/1jTcq05yEiRwXcBMLjiodW9e4biSGYWAHcDj22rKWQ3s/edit?usp=sharing"",""กำแพงเพชร!L180"")+IMPORTRANGE(""https://docs.google.com/spreadsheets/d/1KS0zmDSZPk8KnTAbGN-Xk6MtX1YRZD0ldgdt20K4CRk/edit?usp=sharing"","&amp;"""เชียงราย!L180"")+IMPORTRANGE(""https://docs.google.com/spreadsheets/d/1rEDxBtusbi64tE0zunoIbsTVV16HeL0oJ6trHQeQ7K8/edit?usp=sharing"",""เชียงใหม่!L180"")+IMPORTRANGE(""https://docs.google.com/spreadsheets/d/1W6MnUbDkMi6xHnHko_XkFDO9kkuL6Wqyc-6OCDFjW9I/e"&amp;"dit?usp=sharing"",""ตาก!L180"")+IMPORTRANGE(""https://docs.google.com/spreadsheets/d/1IQAWArduLkta9LpYo4a_ULsyqdta6-6aDDiwpUnQT6c/edit?usp=sharing"",""นครสวรรค์!L180"")+IMPORTRANGE(""https://docs.google.com/spreadsheets/d/10s13Sk5xrltsiR-Zkbmk5DwIaDIKO8Xl"&amp;"bJAfqyT7Gvg/edit?usp=sharing"",""น่าน!L180"")+IMPORTRANGE(""https://docs.google.com/spreadsheets/d/1uu4nAn4Dbi1XREnLKKotUANlKXa7yCgRcgq8HEzQYW8/edit?usp=sharing"",""พะเยา!L180"")+IMPORTRANGE(""https://docs.google.com/spreadsheets/d/1xfJKIQxVOaPDIICqsflNlL"&amp;"u3JacTDk1FP9RH4phX7mI/edit?usp=sharing"",""พิจิตร!L180"")+IMPORTRANGE(""https://docs.google.com/spreadsheets/d/1JtRfZkJMHtEhI5RdRHxYUG4FIZHqKDpNyIuN7A1Q0_k/edit?usp=sharing"",""พิษณุโลก!L180"")+IMPORTRANGE(""https://docs.google.com/spreadsheets/d/1xlcVZWU"&amp;"Nn6SuWm0c307h32SiGkd9BaeQWlAktfD3KO8/edit?usp=sharing"",""เพชรบูรณ์!L180"")+IMPORTRANGE(""https://docs.google.com/spreadsheets/d/1lOVebEIsI9qjGXl6EX66luk7wiuP2tBaryw-wKvv4e0/edit?usp=sharing"",""แพร่!L180"")+IMPORTRANGE(""https://docs.google.com/spreadshe"&amp;"ets/d/1dQrvX0vEcN7Gu0fnZ0B5S90AeR19zth4XlExFBeExMY/edit?usp=sharing"",""แม่ฮ่องสอน!L180"")+IMPORTRANGE(""https://docs.google.com/spreadsheets/d/1DY4XTNNwjluuxqdfdn6qvOSlMRrZqUtmYcZR0ttFiG4/edit?usp=sharing"",""ลำปาง!L180"")+IMPORTRANGE(""https://docs.goog"&amp;"le.com/spreadsheets/d/1ICwG78r0OFT8biBlxnBF8r7she7gNSzOvJ958PWT09c/edit?usp=sharing"",""ลำพูน!L180"")+IMPORTRANGE(""https://docs.google.com/spreadsheets/d/1B0f2xJpZUC6Z0xXnqKlZtEPzsf6L84eP1r1Q15seqRM/edit?usp=sharing"",""สุโขทัย!L180"")+IMPORTRANGE(""http"&amp;"s://docs.google.com/spreadsheets/d/1v0b9pFQCsKUVExMei7AgY2yQkdeNQvtOssygGsXbiKo/edit?usp=sharing"",""อุตรดิตถ์!L180"")+IMPORTRANGE(""https://docs.google.com/spreadsheets/d/1UsNK1e-WWiCo2PvGqdNfdme4m17_Ezd3J69EeeiQPD0/edit?usp=sharing"",""อุทัยธานี!L180"")"),0)</f>
        <v>0</v>
      </c>
      <c r="M180" s="46">
        <f ca="1">IFERROR(__xludf.DUMMYFUNCTION("IMPORTRANGE(""https://docs.google.com/spreadsheets/d/1jTcq05yEiRwXcBMLjiodW9e4biSGYWAHcDj22rKWQ3s/edit?usp=sharing"",""กำแพงเพชร!M180"")+IMPORTRANGE(""https://docs.google.com/spreadsheets/d/1KS0zmDSZPk8KnTAbGN-Xk6MtX1YRZD0ldgdt20K4CRk/edit?usp=sharing"","&amp;"""เชียงราย!M180"")+IMPORTRANGE(""https://docs.google.com/spreadsheets/d/1rEDxBtusbi64tE0zunoIbsTVV16HeL0oJ6trHQeQ7K8/edit?usp=sharing"",""เชียงใหม่!M180"")+IMPORTRANGE(""https://docs.google.com/spreadsheets/d/1W6MnUbDkMi6xHnHko_XkFDO9kkuL6Wqyc-6OCDFjW9I/e"&amp;"dit?usp=sharing"",""ตาก!M180"")+IMPORTRANGE(""https://docs.google.com/spreadsheets/d/1IQAWArduLkta9LpYo4a_ULsyqdta6-6aDDiwpUnQT6c/edit?usp=sharing"",""นครสวรรค์!M180"")+IMPORTRANGE(""https://docs.google.com/spreadsheets/d/10s13Sk5xrltsiR-Zkbmk5DwIaDIKO8Xl"&amp;"bJAfqyT7Gvg/edit?usp=sharing"",""น่าน!M180"")+IMPORTRANGE(""https://docs.google.com/spreadsheets/d/1uu4nAn4Dbi1XREnLKKotUANlKXa7yCgRcgq8HEzQYW8/edit?usp=sharing"",""พะเยา!M180"")+IMPORTRANGE(""https://docs.google.com/spreadsheets/d/1xfJKIQxVOaPDIICqsflNlL"&amp;"u3JacTDk1FP9RH4phX7mI/edit?usp=sharing"",""พิจิตร!M180"")+IMPORTRANGE(""https://docs.google.com/spreadsheets/d/1JtRfZkJMHtEhI5RdRHxYUG4FIZHqKDpNyIuN7A1Q0_k/edit?usp=sharing"",""พิษณุโลก!M180"")+IMPORTRANGE(""https://docs.google.com/spreadsheets/d/1xlcVZWU"&amp;"Nn6SuWm0c307h32SiGkd9BaeQWlAktfD3KO8/edit?usp=sharing"",""เพชรบูรณ์!M180"")+IMPORTRANGE(""https://docs.google.com/spreadsheets/d/1lOVebEIsI9qjGXl6EX66luk7wiuP2tBaryw-wKvv4e0/edit?usp=sharing"",""แพร่!M180"")+IMPORTRANGE(""https://docs.google.com/spreadshe"&amp;"ets/d/1dQrvX0vEcN7Gu0fnZ0B5S90AeR19zth4XlExFBeExMY/edit?usp=sharing"",""แม่ฮ่องสอน!M180"")+IMPORTRANGE(""https://docs.google.com/spreadsheets/d/1DY4XTNNwjluuxqdfdn6qvOSlMRrZqUtmYcZR0ttFiG4/edit?usp=sharing"",""ลำปาง!M180"")+IMPORTRANGE(""https://docs.goog"&amp;"le.com/spreadsheets/d/1ICwG78r0OFT8biBlxnBF8r7she7gNSzOvJ958PWT09c/edit?usp=sharing"",""ลำพูน!M180"")+IMPORTRANGE(""https://docs.google.com/spreadsheets/d/1B0f2xJpZUC6Z0xXnqKlZtEPzsf6L84eP1r1Q15seqRM/edit?usp=sharing"",""สุโขทัย!M180"")+IMPORTRANGE(""http"&amp;"s://docs.google.com/spreadsheets/d/1v0b9pFQCsKUVExMei7AgY2yQkdeNQvtOssygGsXbiKo/edit?usp=sharing"",""อุตรดิตถ์!M180"")+IMPORTRANGE(""https://docs.google.com/spreadsheets/d/1UsNK1e-WWiCo2PvGqdNfdme4m17_Ezd3J69EeeiQPD0/edit?usp=sharing"",""อุทัยธานี!M180"")"),0)</f>
        <v>0</v>
      </c>
      <c r="N180" s="46">
        <f ca="1">IFERROR(__xludf.DUMMYFUNCTION("IMPORTRANGE(""https://docs.google.com/spreadsheets/d/1jTcq05yEiRwXcBMLjiodW9e4biSGYWAHcDj22rKWQ3s/edit?usp=sharing"",""กำแพงเพชร!N180"")+IMPORTRANGE(""https://docs.google.com/spreadsheets/d/1KS0zmDSZPk8KnTAbGN-Xk6MtX1YRZD0ldgdt20K4CRk/edit?usp=sharing"","&amp;"""เชียงราย!N180"")+IMPORTRANGE(""https://docs.google.com/spreadsheets/d/1rEDxBtusbi64tE0zunoIbsTVV16HeL0oJ6trHQeQ7K8/edit?usp=sharing"",""เชียงใหม่!N180"")+IMPORTRANGE(""https://docs.google.com/spreadsheets/d/1W6MnUbDkMi6xHnHko_XkFDO9kkuL6Wqyc-6OCDFjW9I/e"&amp;"dit?usp=sharing"",""ตาก!N180"")+IMPORTRANGE(""https://docs.google.com/spreadsheets/d/1IQAWArduLkta9LpYo4a_ULsyqdta6-6aDDiwpUnQT6c/edit?usp=sharing"",""นครสวรรค์!N180"")+IMPORTRANGE(""https://docs.google.com/spreadsheets/d/10s13Sk5xrltsiR-Zkbmk5DwIaDIKO8Xl"&amp;"bJAfqyT7Gvg/edit?usp=sharing"",""น่าน!N180"")+IMPORTRANGE(""https://docs.google.com/spreadsheets/d/1uu4nAn4Dbi1XREnLKKotUANlKXa7yCgRcgq8HEzQYW8/edit?usp=sharing"",""พะเยา!N180"")+IMPORTRANGE(""https://docs.google.com/spreadsheets/d/1xfJKIQxVOaPDIICqsflNlL"&amp;"u3JacTDk1FP9RH4phX7mI/edit?usp=sharing"",""พิจิตร!N180"")+IMPORTRANGE(""https://docs.google.com/spreadsheets/d/1JtRfZkJMHtEhI5RdRHxYUG4FIZHqKDpNyIuN7A1Q0_k/edit?usp=sharing"",""พิษณุโลก!N180"")+IMPORTRANGE(""https://docs.google.com/spreadsheets/d/1xlcVZWU"&amp;"Nn6SuWm0c307h32SiGkd9BaeQWlAktfD3KO8/edit?usp=sharing"",""เพชรบูรณ์!N180"")+IMPORTRANGE(""https://docs.google.com/spreadsheets/d/1lOVebEIsI9qjGXl6EX66luk7wiuP2tBaryw-wKvv4e0/edit?usp=sharing"",""แพร่!N180"")+IMPORTRANGE(""https://docs.google.com/spreadshe"&amp;"ets/d/1dQrvX0vEcN7Gu0fnZ0B5S90AeR19zth4XlExFBeExMY/edit?usp=sharing"",""แม่ฮ่องสอน!N180"")+IMPORTRANGE(""https://docs.google.com/spreadsheets/d/1DY4XTNNwjluuxqdfdn6qvOSlMRrZqUtmYcZR0ttFiG4/edit?usp=sharing"",""ลำปาง!N180"")+IMPORTRANGE(""https://docs.goog"&amp;"le.com/spreadsheets/d/1ICwG78r0OFT8biBlxnBF8r7she7gNSzOvJ958PWT09c/edit?usp=sharing"",""ลำพูน!N180"")+IMPORTRANGE(""https://docs.google.com/spreadsheets/d/1B0f2xJpZUC6Z0xXnqKlZtEPzsf6L84eP1r1Q15seqRM/edit?usp=sharing"",""สุโขทัย!N180"")+IMPORTRANGE(""http"&amp;"s://docs.google.com/spreadsheets/d/1v0b9pFQCsKUVExMei7AgY2yQkdeNQvtOssygGsXbiKo/edit?usp=sharing"",""อุตรดิตถ์!N180"")+IMPORTRANGE(""https://docs.google.com/spreadsheets/d/1UsNK1e-WWiCo2PvGqdNfdme4m17_Ezd3J69EeeiQPD0/edit?usp=sharing"",""อุทัยธานี!N180"")"),0)</f>
        <v>0</v>
      </c>
      <c r="O180" s="46">
        <f t="shared" ca="1" si="142"/>
        <v>0</v>
      </c>
      <c r="P180" s="46">
        <f t="shared" ca="1" si="143"/>
        <v>0</v>
      </c>
      <c r="Q180" s="48">
        <f ca="1">IFERROR(__xludf.DUMMYFUNCTION("IMPORTRANGE(""https://docs.google.com/spreadsheets/d/1jTcq05yEiRwXcBMLjiodW9e4biSGYWAHcDj22rKWQ3s/edit?usp=sharing"",""กำแพงเพชร!Q180"")+IMPORTRANGE(""https://docs.google.com/spreadsheets/d/1KS0zmDSZPk8KnTAbGN-Xk6MtX1YRZD0ldgdt20K4CRk/edit?usp=sharing"","&amp;"""เชียงราย!Q180"")+IMPORTRANGE(""https://docs.google.com/spreadsheets/d/1rEDxBtusbi64tE0zunoIbsTVV16HeL0oJ6trHQeQ7K8/edit?usp=sharing"",""เชียงใหม่!Q180"")+IMPORTRANGE(""https://docs.google.com/spreadsheets/d/1W6MnUbDkMi6xHnHko_XkFDO9kkuL6Wqyc-6OCDFjW9I/e"&amp;"dit?usp=sharing"",""ตาก!Q180"")+IMPORTRANGE(""https://docs.google.com/spreadsheets/d/1IQAWArduLkta9LpYo4a_ULsyqdta6-6aDDiwpUnQT6c/edit?usp=sharing"",""นครสวรรค์!Q180"")+IMPORTRANGE(""https://docs.google.com/spreadsheets/d/10s13Sk5xrltsiR-Zkbmk5DwIaDIKO8Xl"&amp;"bJAfqyT7Gvg/edit?usp=sharing"",""น่าน!Q180"")+IMPORTRANGE(""https://docs.google.com/spreadsheets/d/1uu4nAn4Dbi1XREnLKKotUANlKXa7yCgRcgq8HEzQYW8/edit?usp=sharing"",""พะเยา!Q180"")+IMPORTRANGE(""https://docs.google.com/spreadsheets/d/1xfJKIQxVOaPDIICqsflNlL"&amp;"u3JacTDk1FP9RH4phX7mI/edit?usp=sharing"",""พิจิตร!Q180"")+IMPORTRANGE(""https://docs.google.com/spreadsheets/d/1JtRfZkJMHtEhI5RdRHxYUG4FIZHqKDpNyIuN7A1Q0_k/edit?usp=sharing"",""พิษณุโลก!Q180"")+IMPORTRANGE(""https://docs.google.com/spreadsheets/d/1xlcVZWU"&amp;"Nn6SuWm0c307h32SiGkd9BaeQWlAktfD3KO8/edit?usp=sharing"",""เพชรบูรณ์!Q180"")+IMPORTRANGE(""https://docs.google.com/spreadsheets/d/1lOVebEIsI9qjGXl6EX66luk7wiuP2tBaryw-wKvv4e0/edit?usp=sharing"",""แพร่!Q180"")+IMPORTRANGE(""https://docs.google.com/spreadshe"&amp;"ets/d/1dQrvX0vEcN7Gu0fnZ0B5S90AeR19zth4XlExFBeExMY/edit?usp=sharing"",""แม่ฮ่องสอน!Q180"")+IMPORTRANGE(""https://docs.google.com/spreadsheets/d/1DY4XTNNwjluuxqdfdn6qvOSlMRrZqUtmYcZR0ttFiG4/edit?usp=sharing"",""ลำปาง!Q180"")+IMPORTRANGE(""https://docs.goog"&amp;"le.com/spreadsheets/d/1ICwG78r0OFT8biBlxnBF8r7she7gNSzOvJ958PWT09c/edit?usp=sharing"",""ลำพูน!Q180"")+IMPORTRANGE(""https://docs.google.com/spreadsheets/d/1B0f2xJpZUC6Z0xXnqKlZtEPzsf6L84eP1r1Q15seqRM/edit?usp=sharing"",""สุโขทัย!Q180"")+IMPORTRANGE(""http"&amp;"s://docs.google.com/spreadsheets/d/1v0b9pFQCsKUVExMei7AgY2yQkdeNQvtOssygGsXbiKo/edit?usp=sharing"",""อุตรดิตถ์!Q180"")+IMPORTRANGE(""https://docs.google.com/spreadsheets/d/1UsNK1e-WWiCo2PvGqdNfdme4m17_Ezd3J69EeeiQPD0/edit?usp=sharing"",""อุทัยธานี!Q180"")"),0)</f>
        <v>0</v>
      </c>
      <c r="R180" s="48">
        <f ca="1">IFERROR(__xludf.DUMMYFUNCTION("IMPORTRANGE(""https://docs.google.com/spreadsheets/d/1jTcq05yEiRwXcBMLjiodW9e4biSGYWAHcDj22rKWQ3s/edit?usp=sharing"",""กำแพงเพชร!R180"")+IMPORTRANGE(""https://docs.google.com/spreadsheets/d/1KS0zmDSZPk8KnTAbGN-Xk6MtX1YRZD0ldgdt20K4CRk/edit?usp=sharing"","&amp;"""เชียงราย!R180"")+IMPORTRANGE(""https://docs.google.com/spreadsheets/d/1rEDxBtusbi64tE0zunoIbsTVV16HeL0oJ6trHQeQ7K8/edit?usp=sharing"",""เชียงใหม่!R180"")+IMPORTRANGE(""https://docs.google.com/spreadsheets/d/1W6MnUbDkMi6xHnHko_XkFDO9kkuL6Wqyc-6OCDFjW9I/e"&amp;"dit?usp=sharing"",""ตาก!R180"")+IMPORTRANGE(""https://docs.google.com/spreadsheets/d/1IQAWArduLkta9LpYo4a_ULsyqdta6-6aDDiwpUnQT6c/edit?usp=sharing"",""นครสวรรค์!R180"")+IMPORTRANGE(""https://docs.google.com/spreadsheets/d/10s13Sk5xrltsiR-Zkbmk5DwIaDIKO8Xl"&amp;"bJAfqyT7Gvg/edit?usp=sharing"",""น่าน!R180"")+IMPORTRANGE(""https://docs.google.com/spreadsheets/d/1uu4nAn4Dbi1XREnLKKotUANlKXa7yCgRcgq8HEzQYW8/edit?usp=sharing"",""พะเยา!R180"")+IMPORTRANGE(""https://docs.google.com/spreadsheets/d/1xfJKIQxVOaPDIICqsflNlL"&amp;"u3JacTDk1FP9RH4phX7mI/edit?usp=sharing"",""พิจิตร!R180"")+IMPORTRANGE(""https://docs.google.com/spreadsheets/d/1JtRfZkJMHtEhI5RdRHxYUG4FIZHqKDpNyIuN7A1Q0_k/edit?usp=sharing"",""พิษณุโลก!R180"")+IMPORTRANGE(""https://docs.google.com/spreadsheets/d/1xlcVZWU"&amp;"Nn6SuWm0c307h32SiGkd9BaeQWlAktfD3KO8/edit?usp=sharing"",""เพชรบูรณ์!R180"")+IMPORTRANGE(""https://docs.google.com/spreadsheets/d/1lOVebEIsI9qjGXl6EX66luk7wiuP2tBaryw-wKvv4e0/edit?usp=sharing"",""แพร่!R180"")+IMPORTRANGE(""https://docs.google.com/spreadshe"&amp;"ets/d/1dQrvX0vEcN7Gu0fnZ0B5S90AeR19zth4XlExFBeExMY/edit?usp=sharing"",""แม่ฮ่องสอน!R180"")+IMPORTRANGE(""https://docs.google.com/spreadsheets/d/1DY4XTNNwjluuxqdfdn6qvOSlMRrZqUtmYcZR0ttFiG4/edit?usp=sharing"",""ลำปาง!R180"")+IMPORTRANGE(""https://docs.goog"&amp;"le.com/spreadsheets/d/1ICwG78r0OFT8biBlxnBF8r7she7gNSzOvJ958PWT09c/edit?usp=sharing"",""ลำพูน!R180"")+IMPORTRANGE(""https://docs.google.com/spreadsheets/d/1B0f2xJpZUC6Z0xXnqKlZtEPzsf6L84eP1r1Q15seqRM/edit?usp=sharing"",""สุโขทัย!R180"")+IMPORTRANGE(""http"&amp;"s://docs.google.com/spreadsheets/d/1v0b9pFQCsKUVExMei7AgY2yQkdeNQvtOssygGsXbiKo/edit?usp=sharing"",""อุตรดิตถ์!R180"")+IMPORTRANGE(""https://docs.google.com/spreadsheets/d/1UsNK1e-WWiCo2PvGqdNfdme4m17_Ezd3J69EeeiQPD0/edit?usp=sharing"",""อุทัยธานี!R180"")"),0)</f>
        <v>0</v>
      </c>
      <c r="S180" s="48">
        <f ca="1">IFERROR(__xludf.DUMMYFUNCTION("IMPORTRANGE(""https://docs.google.com/spreadsheets/d/1jTcq05yEiRwXcBMLjiodW9e4biSGYWAHcDj22rKWQ3s/edit?usp=sharing"",""กำแพงเพชร!S180"")+IMPORTRANGE(""https://docs.google.com/spreadsheets/d/1KS0zmDSZPk8KnTAbGN-Xk6MtX1YRZD0ldgdt20K4CRk/edit?usp=sharing"","&amp;"""เชียงราย!S180"")+IMPORTRANGE(""https://docs.google.com/spreadsheets/d/1rEDxBtusbi64tE0zunoIbsTVV16HeL0oJ6trHQeQ7K8/edit?usp=sharing"",""เชียงใหม่!S180"")+IMPORTRANGE(""https://docs.google.com/spreadsheets/d/1W6MnUbDkMi6xHnHko_XkFDO9kkuL6Wqyc-6OCDFjW9I/e"&amp;"dit?usp=sharing"",""ตาก!S180"")+IMPORTRANGE(""https://docs.google.com/spreadsheets/d/1IQAWArduLkta9LpYo4a_ULsyqdta6-6aDDiwpUnQT6c/edit?usp=sharing"",""นครสวรรค์!S180"")+IMPORTRANGE(""https://docs.google.com/spreadsheets/d/10s13Sk5xrltsiR-Zkbmk5DwIaDIKO8Xl"&amp;"bJAfqyT7Gvg/edit?usp=sharing"",""น่าน!S180"")+IMPORTRANGE(""https://docs.google.com/spreadsheets/d/1uu4nAn4Dbi1XREnLKKotUANlKXa7yCgRcgq8HEzQYW8/edit?usp=sharing"",""พะเยา!S180"")+IMPORTRANGE(""https://docs.google.com/spreadsheets/d/1xfJKIQxVOaPDIICqsflNlL"&amp;"u3JacTDk1FP9RH4phX7mI/edit?usp=sharing"",""พิจิตร!S180"")+IMPORTRANGE(""https://docs.google.com/spreadsheets/d/1JtRfZkJMHtEhI5RdRHxYUG4FIZHqKDpNyIuN7A1Q0_k/edit?usp=sharing"",""พิษณุโลก!S180"")+IMPORTRANGE(""https://docs.google.com/spreadsheets/d/1xlcVZWU"&amp;"Nn6SuWm0c307h32SiGkd9BaeQWlAktfD3KO8/edit?usp=sharing"",""เพชรบูรณ์!S180"")+IMPORTRANGE(""https://docs.google.com/spreadsheets/d/1lOVebEIsI9qjGXl6EX66luk7wiuP2tBaryw-wKvv4e0/edit?usp=sharing"",""แพร่!S180"")+IMPORTRANGE(""https://docs.google.com/spreadshe"&amp;"ets/d/1dQrvX0vEcN7Gu0fnZ0B5S90AeR19zth4XlExFBeExMY/edit?usp=sharing"",""แม่ฮ่องสอน!S180"")+IMPORTRANGE(""https://docs.google.com/spreadsheets/d/1DY4XTNNwjluuxqdfdn6qvOSlMRrZqUtmYcZR0ttFiG4/edit?usp=sharing"",""ลำปาง!S180"")+IMPORTRANGE(""https://docs.goog"&amp;"le.com/spreadsheets/d/1ICwG78r0OFT8biBlxnBF8r7she7gNSzOvJ958PWT09c/edit?usp=sharing"",""ลำพูน!S180"")+IMPORTRANGE(""https://docs.google.com/spreadsheets/d/1B0f2xJpZUC6Z0xXnqKlZtEPzsf6L84eP1r1Q15seqRM/edit?usp=sharing"",""สุโขทัย!S180"")+IMPORTRANGE(""http"&amp;"s://docs.google.com/spreadsheets/d/1v0b9pFQCsKUVExMei7AgY2yQkdeNQvtOssygGsXbiKo/edit?usp=sharing"",""อุตรดิตถ์!S180"")+IMPORTRANGE(""https://docs.google.com/spreadsheets/d/1UsNK1e-WWiCo2PvGqdNfdme4m17_Ezd3J69EeeiQPD0/edit?usp=sharing"",""อุทัยธานี!S180"")"),0)</f>
        <v>0</v>
      </c>
      <c r="T180" s="48">
        <f t="shared" ca="1" si="145"/>
        <v>0</v>
      </c>
      <c r="U180" s="48">
        <f t="shared" ca="1" si="146"/>
        <v>0</v>
      </c>
    </row>
    <row r="181" spans="1:21" ht="18.75" x14ac:dyDescent="0.25">
      <c r="A181" s="128"/>
      <c r="B181" s="40"/>
      <c r="C181" s="40"/>
      <c r="D181" s="40"/>
      <c r="E181" s="47" t="s">
        <v>21</v>
      </c>
      <c r="F181" s="40"/>
      <c r="G181" s="42"/>
      <c r="H181" s="137" t="s">
        <v>14</v>
      </c>
      <c r="I181" s="135"/>
      <c r="J181" s="135"/>
      <c r="K181" s="136"/>
      <c r="L181" s="46">
        <f ca="1">IFERROR(__xludf.DUMMYFUNCTION("IMPORTRANGE(""https://docs.google.com/spreadsheets/d/1jTcq05yEiRwXcBMLjiodW9e4biSGYWAHcDj22rKWQ3s/edit?usp=sharing"",""กำแพงเพชร!L181"")+IMPORTRANGE(""https://docs.google.com/spreadsheets/d/1KS0zmDSZPk8KnTAbGN-Xk6MtX1YRZD0ldgdt20K4CRk/edit?usp=sharing"","&amp;"""เชียงราย!L181"")+IMPORTRANGE(""https://docs.google.com/spreadsheets/d/1rEDxBtusbi64tE0zunoIbsTVV16HeL0oJ6trHQeQ7K8/edit?usp=sharing"",""เชียงใหม่!L181"")+IMPORTRANGE(""https://docs.google.com/spreadsheets/d/1W6MnUbDkMi6xHnHko_XkFDO9kkuL6Wqyc-6OCDFjW9I/e"&amp;"dit?usp=sharing"",""ตาก!L181"")+IMPORTRANGE(""https://docs.google.com/spreadsheets/d/1IQAWArduLkta9LpYo4a_ULsyqdta6-6aDDiwpUnQT6c/edit?usp=sharing"",""นครสวรรค์!L181"")+IMPORTRANGE(""https://docs.google.com/spreadsheets/d/10s13Sk5xrltsiR-Zkbmk5DwIaDIKO8Xl"&amp;"bJAfqyT7Gvg/edit?usp=sharing"",""น่าน!L181"")+IMPORTRANGE(""https://docs.google.com/spreadsheets/d/1uu4nAn4Dbi1XREnLKKotUANlKXa7yCgRcgq8HEzQYW8/edit?usp=sharing"",""พะเยา!L181"")+IMPORTRANGE(""https://docs.google.com/spreadsheets/d/1xfJKIQxVOaPDIICqsflNlL"&amp;"u3JacTDk1FP9RH4phX7mI/edit?usp=sharing"",""พิจิตร!L181"")+IMPORTRANGE(""https://docs.google.com/spreadsheets/d/1JtRfZkJMHtEhI5RdRHxYUG4FIZHqKDpNyIuN7A1Q0_k/edit?usp=sharing"",""พิษณุโลก!L181"")+IMPORTRANGE(""https://docs.google.com/spreadsheets/d/1xlcVZWU"&amp;"Nn6SuWm0c307h32SiGkd9BaeQWlAktfD3KO8/edit?usp=sharing"",""เพชรบูรณ์!L181"")+IMPORTRANGE(""https://docs.google.com/spreadsheets/d/1lOVebEIsI9qjGXl6EX66luk7wiuP2tBaryw-wKvv4e0/edit?usp=sharing"",""แพร่!L181"")+IMPORTRANGE(""https://docs.google.com/spreadshe"&amp;"ets/d/1dQrvX0vEcN7Gu0fnZ0B5S90AeR19zth4XlExFBeExMY/edit?usp=sharing"",""แม่ฮ่องสอน!L181"")+IMPORTRANGE(""https://docs.google.com/spreadsheets/d/1DY4XTNNwjluuxqdfdn6qvOSlMRrZqUtmYcZR0ttFiG4/edit?usp=sharing"",""ลำปาง!L181"")+IMPORTRANGE(""https://docs.goog"&amp;"le.com/spreadsheets/d/1ICwG78r0OFT8biBlxnBF8r7she7gNSzOvJ958PWT09c/edit?usp=sharing"",""ลำพูน!L181"")+IMPORTRANGE(""https://docs.google.com/spreadsheets/d/1B0f2xJpZUC6Z0xXnqKlZtEPzsf6L84eP1r1Q15seqRM/edit?usp=sharing"",""สุโขทัย!L181"")+IMPORTRANGE(""http"&amp;"s://docs.google.com/spreadsheets/d/1v0b9pFQCsKUVExMei7AgY2yQkdeNQvtOssygGsXbiKo/edit?usp=sharing"",""อุตรดิตถ์!L181"")+IMPORTRANGE(""https://docs.google.com/spreadsheets/d/1UsNK1e-WWiCo2PvGqdNfdme4m17_Ezd3J69EeeiQPD0/edit?usp=sharing"",""อุทัยธานี!L181"")"),0)</f>
        <v>0</v>
      </c>
      <c r="M181" s="46">
        <f ca="1">IFERROR(__xludf.DUMMYFUNCTION("IMPORTRANGE(""https://docs.google.com/spreadsheets/d/1jTcq05yEiRwXcBMLjiodW9e4biSGYWAHcDj22rKWQ3s/edit?usp=sharing"",""กำแพงเพชร!M181"")+IMPORTRANGE(""https://docs.google.com/spreadsheets/d/1KS0zmDSZPk8KnTAbGN-Xk6MtX1YRZD0ldgdt20K4CRk/edit?usp=sharing"","&amp;"""เชียงราย!M181"")+IMPORTRANGE(""https://docs.google.com/spreadsheets/d/1rEDxBtusbi64tE0zunoIbsTVV16HeL0oJ6trHQeQ7K8/edit?usp=sharing"",""เชียงใหม่!M181"")+IMPORTRANGE(""https://docs.google.com/spreadsheets/d/1W6MnUbDkMi6xHnHko_XkFDO9kkuL6Wqyc-6OCDFjW9I/e"&amp;"dit?usp=sharing"",""ตาก!M181"")+IMPORTRANGE(""https://docs.google.com/spreadsheets/d/1IQAWArduLkta9LpYo4a_ULsyqdta6-6aDDiwpUnQT6c/edit?usp=sharing"",""นครสวรรค์!M181"")+IMPORTRANGE(""https://docs.google.com/spreadsheets/d/10s13Sk5xrltsiR-Zkbmk5DwIaDIKO8Xl"&amp;"bJAfqyT7Gvg/edit?usp=sharing"",""น่าน!M181"")+IMPORTRANGE(""https://docs.google.com/spreadsheets/d/1uu4nAn4Dbi1XREnLKKotUANlKXa7yCgRcgq8HEzQYW8/edit?usp=sharing"",""พะเยา!M181"")+IMPORTRANGE(""https://docs.google.com/spreadsheets/d/1xfJKIQxVOaPDIICqsflNlL"&amp;"u3JacTDk1FP9RH4phX7mI/edit?usp=sharing"",""พิจิตร!M181"")+IMPORTRANGE(""https://docs.google.com/spreadsheets/d/1JtRfZkJMHtEhI5RdRHxYUG4FIZHqKDpNyIuN7A1Q0_k/edit?usp=sharing"",""พิษณุโลก!M181"")+IMPORTRANGE(""https://docs.google.com/spreadsheets/d/1xlcVZWU"&amp;"Nn6SuWm0c307h32SiGkd9BaeQWlAktfD3KO8/edit?usp=sharing"",""เพชรบูรณ์!M181"")+IMPORTRANGE(""https://docs.google.com/spreadsheets/d/1lOVebEIsI9qjGXl6EX66luk7wiuP2tBaryw-wKvv4e0/edit?usp=sharing"",""แพร่!M181"")+IMPORTRANGE(""https://docs.google.com/spreadshe"&amp;"ets/d/1dQrvX0vEcN7Gu0fnZ0B5S90AeR19zth4XlExFBeExMY/edit?usp=sharing"",""แม่ฮ่องสอน!M181"")+IMPORTRANGE(""https://docs.google.com/spreadsheets/d/1DY4XTNNwjluuxqdfdn6qvOSlMRrZqUtmYcZR0ttFiG4/edit?usp=sharing"",""ลำปาง!M181"")+IMPORTRANGE(""https://docs.goog"&amp;"le.com/spreadsheets/d/1ICwG78r0OFT8biBlxnBF8r7she7gNSzOvJ958PWT09c/edit?usp=sharing"",""ลำพูน!M181"")+IMPORTRANGE(""https://docs.google.com/spreadsheets/d/1B0f2xJpZUC6Z0xXnqKlZtEPzsf6L84eP1r1Q15seqRM/edit?usp=sharing"",""สุโขทัย!M181"")+IMPORTRANGE(""http"&amp;"s://docs.google.com/spreadsheets/d/1v0b9pFQCsKUVExMei7AgY2yQkdeNQvtOssygGsXbiKo/edit?usp=sharing"",""อุตรดิตถ์!M181"")+IMPORTRANGE(""https://docs.google.com/spreadsheets/d/1UsNK1e-WWiCo2PvGqdNfdme4m17_Ezd3J69EeeiQPD0/edit?usp=sharing"",""อุทัยธานี!M181"")"),0)</f>
        <v>0</v>
      </c>
      <c r="N181" s="46">
        <f ca="1">IFERROR(__xludf.DUMMYFUNCTION("IMPORTRANGE(""https://docs.google.com/spreadsheets/d/1jTcq05yEiRwXcBMLjiodW9e4biSGYWAHcDj22rKWQ3s/edit?usp=sharing"",""กำแพงเพชร!N181"")+IMPORTRANGE(""https://docs.google.com/spreadsheets/d/1KS0zmDSZPk8KnTAbGN-Xk6MtX1YRZD0ldgdt20K4CRk/edit?usp=sharing"","&amp;"""เชียงราย!N181"")+IMPORTRANGE(""https://docs.google.com/spreadsheets/d/1rEDxBtusbi64tE0zunoIbsTVV16HeL0oJ6trHQeQ7K8/edit?usp=sharing"",""เชียงใหม่!N181"")+IMPORTRANGE(""https://docs.google.com/spreadsheets/d/1W6MnUbDkMi6xHnHko_XkFDO9kkuL6Wqyc-6OCDFjW9I/e"&amp;"dit?usp=sharing"",""ตาก!N181"")+IMPORTRANGE(""https://docs.google.com/spreadsheets/d/1IQAWArduLkta9LpYo4a_ULsyqdta6-6aDDiwpUnQT6c/edit?usp=sharing"",""นครสวรรค์!N181"")+IMPORTRANGE(""https://docs.google.com/spreadsheets/d/10s13Sk5xrltsiR-Zkbmk5DwIaDIKO8Xl"&amp;"bJAfqyT7Gvg/edit?usp=sharing"",""น่าน!N181"")+IMPORTRANGE(""https://docs.google.com/spreadsheets/d/1uu4nAn4Dbi1XREnLKKotUANlKXa7yCgRcgq8HEzQYW8/edit?usp=sharing"",""พะเยา!N181"")+IMPORTRANGE(""https://docs.google.com/spreadsheets/d/1xfJKIQxVOaPDIICqsflNlL"&amp;"u3JacTDk1FP9RH4phX7mI/edit?usp=sharing"",""พิจิตร!N181"")+IMPORTRANGE(""https://docs.google.com/spreadsheets/d/1JtRfZkJMHtEhI5RdRHxYUG4FIZHqKDpNyIuN7A1Q0_k/edit?usp=sharing"",""พิษณุโลก!N181"")+IMPORTRANGE(""https://docs.google.com/spreadsheets/d/1xlcVZWU"&amp;"Nn6SuWm0c307h32SiGkd9BaeQWlAktfD3KO8/edit?usp=sharing"",""เพชรบูรณ์!N181"")+IMPORTRANGE(""https://docs.google.com/spreadsheets/d/1lOVebEIsI9qjGXl6EX66luk7wiuP2tBaryw-wKvv4e0/edit?usp=sharing"",""แพร่!N181"")+IMPORTRANGE(""https://docs.google.com/spreadshe"&amp;"ets/d/1dQrvX0vEcN7Gu0fnZ0B5S90AeR19zth4XlExFBeExMY/edit?usp=sharing"",""แม่ฮ่องสอน!N181"")+IMPORTRANGE(""https://docs.google.com/spreadsheets/d/1DY4XTNNwjluuxqdfdn6qvOSlMRrZqUtmYcZR0ttFiG4/edit?usp=sharing"",""ลำปาง!N181"")+IMPORTRANGE(""https://docs.goog"&amp;"le.com/spreadsheets/d/1ICwG78r0OFT8biBlxnBF8r7she7gNSzOvJ958PWT09c/edit?usp=sharing"",""ลำพูน!N181"")+IMPORTRANGE(""https://docs.google.com/spreadsheets/d/1B0f2xJpZUC6Z0xXnqKlZtEPzsf6L84eP1r1Q15seqRM/edit?usp=sharing"",""สุโขทัย!N181"")+IMPORTRANGE(""http"&amp;"s://docs.google.com/spreadsheets/d/1v0b9pFQCsKUVExMei7AgY2yQkdeNQvtOssygGsXbiKo/edit?usp=sharing"",""อุตรดิตถ์!N181"")+IMPORTRANGE(""https://docs.google.com/spreadsheets/d/1UsNK1e-WWiCo2PvGqdNfdme4m17_Ezd3J69EeeiQPD0/edit?usp=sharing"",""อุทัยธานี!N181"")"),0)</f>
        <v>0</v>
      </c>
      <c r="O181" s="46">
        <f t="shared" ca="1" si="142"/>
        <v>0</v>
      </c>
      <c r="P181" s="46">
        <f t="shared" ca="1" si="143"/>
        <v>0</v>
      </c>
      <c r="Q181" s="46">
        <f ca="1">IFERROR(__xludf.DUMMYFUNCTION("IMPORTRANGE(""https://docs.google.com/spreadsheets/d/1jTcq05yEiRwXcBMLjiodW9e4biSGYWAHcDj22rKWQ3s/edit?usp=sharing"",""กำแพงเพชร!Q181"")+IMPORTRANGE(""https://docs.google.com/spreadsheets/d/1KS0zmDSZPk8KnTAbGN-Xk6MtX1YRZD0ldgdt20K4CRk/edit?usp=sharing"","&amp;"""เชียงราย!Q181"")+IMPORTRANGE(""https://docs.google.com/spreadsheets/d/1rEDxBtusbi64tE0zunoIbsTVV16HeL0oJ6trHQeQ7K8/edit?usp=sharing"",""เชียงใหม่!Q181"")+IMPORTRANGE(""https://docs.google.com/spreadsheets/d/1W6MnUbDkMi6xHnHko_XkFDO9kkuL6Wqyc-6OCDFjW9I/e"&amp;"dit?usp=sharing"",""ตาก!Q181"")+IMPORTRANGE(""https://docs.google.com/spreadsheets/d/1IQAWArduLkta9LpYo4a_ULsyqdta6-6aDDiwpUnQT6c/edit?usp=sharing"",""นครสวรรค์!Q181"")+IMPORTRANGE(""https://docs.google.com/spreadsheets/d/10s13Sk5xrltsiR-Zkbmk5DwIaDIKO8Xl"&amp;"bJAfqyT7Gvg/edit?usp=sharing"",""น่าน!Q181"")+IMPORTRANGE(""https://docs.google.com/spreadsheets/d/1uu4nAn4Dbi1XREnLKKotUANlKXa7yCgRcgq8HEzQYW8/edit?usp=sharing"",""พะเยา!Q181"")+IMPORTRANGE(""https://docs.google.com/spreadsheets/d/1xfJKIQxVOaPDIICqsflNlL"&amp;"u3JacTDk1FP9RH4phX7mI/edit?usp=sharing"",""พิจิตร!Q181"")+IMPORTRANGE(""https://docs.google.com/spreadsheets/d/1JtRfZkJMHtEhI5RdRHxYUG4FIZHqKDpNyIuN7A1Q0_k/edit?usp=sharing"",""พิษณุโลก!Q181"")+IMPORTRANGE(""https://docs.google.com/spreadsheets/d/1xlcVZWU"&amp;"Nn6SuWm0c307h32SiGkd9BaeQWlAktfD3KO8/edit?usp=sharing"",""เพชรบูรณ์!Q181"")+IMPORTRANGE(""https://docs.google.com/spreadsheets/d/1lOVebEIsI9qjGXl6EX66luk7wiuP2tBaryw-wKvv4e0/edit?usp=sharing"",""แพร่!Q181"")+IMPORTRANGE(""https://docs.google.com/spreadshe"&amp;"ets/d/1dQrvX0vEcN7Gu0fnZ0B5S90AeR19zth4XlExFBeExMY/edit?usp=sharing"",""แม่ฮ่องสอน!Q181"")+IMPORTRANGE(""https://docs.google.com/spreadsheets/d/1DY4XTNNwjluuxqdfdn6qvOSlMRrZqUtmYcZR0ttFiG4/edit?usp=sharing"",""ลำปาง!Q181"")+IMPORTRANGE(""https://docs.goog"&amp;"le.com/spreadsheets/d/1ICwG78r0OFT8biBlxnBF8r7she7gNSzOvJ958PWT09c/edit?usp=sharing"",""ลำพูน!Q181"")+IMPORTRANGE(""https://docs.google.com/spreadsheets/d/1B0f2xJpZUC6Z0xXnqKlZtEPzsf6L84eP1r1Q15seqRM/edit?usp=sharing"",""สุโขทัย!Q181"")+IMPORTRANGE(""http"&amp;"s://docs.google.com/spreadsheets/d/1v0b9pFQCsKUVExMei7AgY2yQkdeNQvtOssygGsXbiKo/edit?usp=sharing"",""อุตรดิตถ์!Q181"")+IMPORTRANGE(""https://docs.google.com/spreadsheets/d/1UsNK1e-WWiCo2PvGqdNfdme4m17_Ezd3J69EeeiQPD0/edit?usp=sharing"",""อุทัยธานี!Q181"")"),0)</f>
        <v>0</v>
      </c>
      <c r="R181" s="46">
        <f ca="1">IFERROR(__xludf.DUMMYFUNCTION("IMPORTRANGE(""https://docs.google.com/spreadsheets/d/1jTcq05yEiRwXcBMLjiodW9e4biSGYWAHcDj22rKWQ3s/edit?usp=sharing"",""กำแพงเพชร!R181"")+IMPORTRANGE(""https://docs.google.com/spreadsheets/d/1KS0zmDSZPk8KnTAbGN-Xk6MtX1YRZD0ldgdt20K4CRk/edit?usp=sharing"","&amp;"""เชียงราย!R181"")+IMPORTRANGE(""https://docs.google.com/spreadsheets/d/1rEDxBtusbi64tE0zunoIbsTVV16HeL0oJ6trHQeQ7K8/edit?usp=sharing"",""เชียงใหม่!R181"")+IMPORTRANGE(""https://docs.google.com/spreadsheets/d/1W6MnUbDkMi6xHnHko_XkFDO9kkuL6Wqyc-6OCDFjW9I/e"&amp;"dit?usp=sharing"",""ตาก!R181"")+IMPORTRANGE(""https://docs.google.com/spreadsheets/d/1IQAWArduLkta9LpYo4a_ULsyqdta6-6aDDiwpUnQT6c/edit?usp=sharing"",""นครสวรรค์!R181"")+IMPORTRANGE(""https://docs.google.com/spreadsheets/d/10s13Sk5xrltsiR-Zkbmk5DwIaDIKO8Xl"&amp;"bJAfqyT7Gvg/edit?usp=sharing"",""น่าน!R181"")+IMPORTRANGE(""https://docs.google.com/spreadsheets/d/1uu4nAn4Dbi1XREnLKKotUANlKXa7yCgRcgq8HEzQYW8/edit?usp=sharing"",""พะเยา!R181"")+IMPORTRANGE(""https://docs.google.com/spreadsheets/d/1xfJKIQxVOaPDIICqsflNlL"&amp;"u3JacTDk1FP9RH4phX7mI/edit?usp=sharing"",""พิจิตร!R181"")+IMPORTRANGE(""https://docs.google.com/spreadsheets/d/1JtRfZkJMHtEhI5RdRHxYUG4FIZHqKDpNyIuN7A1Q0_k/edit?usp=sharing"",""พิษณุโลก!R181"")+IMPORTRANGE(""https://docs.google.com/spreadsheets/d/1xlcVZWU"&amp;"Nn6SuWm0c307h32SiGkd9BaeQWlAktfD3KO8/edit?usp=sharing"",""เพชรบูรณ์!R181"")+IMPORTRANGE(""https://docs.google.com/spreadsheets/d/1lOVebEIsI9qjGXl6EX66luk7wiuP2tBaryw-wKvv4e0/edit?usp=sharing"",""แพร่!R181"")+IMPORTRANGE(""https://docs.google.com/spreadshe"&amp;"ets/d/1dQrvX0vEcN7Gu0fnZ0B5S90AeR19zth4XlExFBeExMY/edit?usp=sharing"",""แม่ฮ่องสอน!R181"")+IMPORTRANGE(""https://docs.google.com/spreadsheets/d/1DY4XTNNwjluuxqdfdn6qvOSlMRrZqUtmYcZR0ttFiG4/edit?usp=sharing"",""ลำปาง!R181"")+IMPORTRANGE(""https://docs.goog"&amp;"le.com/spreadsheets/d/1ICwG78r0OFT8biBlxnBF8r7she7gNSzOvJ958PWT09c/edit?usp=sharing"",""ลำพูน!R181"")+IMPORTRANGE(""https://docs.google.com/spreadsheets/d/1B0f2xJpZUC6Z0xXnqKlZtEPzsf6L84eP1r1Q15seqRM/edit?usp=sharing"",""สุโขทัย!R181"")+IMPORTRANGE(""http"&amp;"s://docs.google.com/spreadsheets/d/1v0b9pFQCsKUVExMei7AgY2yQkdeNQvtOssygGsXbiKo/edit?usp=sharing"",""อุตรดิตถ์!R181"")+IMPORTRANGE(""https://docs.google.com/spreadsheets/d/1UsNK1e-WWiCo2PvGqdNfdme4m17_Ezd3J69EeeiQPD0/edit?usp=sharing"",""อุทัยธานี!R181"")"),0)</f>
        <v>0</v>
      </c>
      <c r="S181" s="46">
        <f ca="1">IFERROR(__xludf.DUMMYFUNCTION("IMPORTRANGE(""https://docs.google.com/spreadsheets/d/1jTcq05yEiRwXcBMLjiodW9e4biSGYWAHcDj22rKWQ3s/edit?usp=sharing"",""กำแพงเพชร!S181"")+IMPORTRANGE(""https://docs.google.com/spreadsheets/d/1KS0zmDSZPk8KnTAbGN-Xk6MtX1YRZD0ldgdt20K4CRk/edit?usp=sharing"","&amp;"""เชียงราย!S181"")+IMPORTRANGE(""https://docs.google.com/spreadsheets/d/1rEDxBtusbi64tE0zunoIbsTVV16HeL0oJ6trHQeQ7K8/edit?usp=sharing"",""เชียงใหม่!S181"")+IMPORTRANGE(""https://docs.google.com/spreadsheets/d/1W6MnUbDkMi6xHnHko_XkFDO9kkuL6Wqyc-6OCDFjW9I/e"&amp;"dit?usp=sharing"",""ตาก!S181"")+IMPORTRANGE(""https://docs.google.com/spreadsheets/d/1IQAWArduLkta9LpYo4a_ULsyqdta6-6aDDiwpUnQT6c/edit?usp=sharing"",""นครสวรรค์!S181"")+IMPORTRANGE(""https://docs.google.com/spreadsheets/d/10s13Sk5xrltsiR-Zkbmk5DwIaDIKO8Xl"&amp;"bJAfqyT7Gvg/edit?usp=sharing"",""น่าน!S181"")+IMPORTRANGE(""https://docs.google.com/spreadsheets/d/1uu4nAn4Dbi1XREnLKKotUANlKXa7yCgRcgq8HEzQYW8/edit?usp=sharing"",""พะเยา!S181"")+IMPORTRANGE(""https://docs.google.com/spreadsheets/d/1xfJKIQxVOaPDIICqsflNlL"&amp;"u3JacTDk1FP9RH4phX7mI/edit?usp=sharing"",""พิจิตร!S181"")+IMPORTRANGE(""https://docs.google.com/spreadsheets/d/1JtRfZkJMHtEhI5RdRHxYUG4FIZHqKDpNyIuN7A1Q0_k/edit?usp=sharing"",""พิษณุโลก!S181"")+IMPORTRANGE(""https://docs.google.com/spreadsheets/d/1xlcVZWU"&amp;"Nn6SuWm0c307h32SiGkd9BaeQWlAktfD3KO8/edit?usp=sharing"",""เพชรบูรณ์!S181"")+IMPORTRANGE(""https://docs.google.com/spreadsheets/d/1lOVebEIsI9qjGXl6EX66luk7wiuP2tBaryw-wKvv4e0/edit?usp=sharing"",""แพร่!S181"")+IMPORTRANGE(""https://docs.google.com/spreadshe"&amp;"ets/d/1dQrvX0vEcN7Gu0fnZ0B5S90AeR19zth4XlExFBeExMY/edit?usp=sharing"",""แม่ฮ่องสอน!S181"")+IMPORTRANGE(""https://docs.google.com/spreadsheets/d/1DY4XTNNwjluuxqdfdn6qvOSlMRrZqUtmYcZR0ttFiG4/edit?usp=sharing"",""ลำปาง!S181"")+IMPORTRANGE(""https://docs.goog"&amp;"le.com/spreadsheets/d/1ICwG78r0OFT8biBlxnBF8r7she7gNSzOvJ958PWT09c/edit?usp=sharing"",""ลำพูน!S181"")+IMPORTRANGE(""https://docs.google.com/spreadsheets/d/1B0f2xJpZUC6Z0xXnqKlZtEPzsf6L84eP1r1Q15seqRM/edit?usp=sharing"",""สุโขทัย!S181"")+IMPORTRANGE(""http"&amp;"s://docs.google.com/spreadsheets/d/1v0b9pFQCsKUVExMei7AgY2yQkdeNQvtOssygGsXbiKo/edit?usp=sharing"",""อุตรดิตถ์!S181"")+IMPORTRANGE(""https://docs.google.com/spreadsheets/d/1UsNK1e-WWiCo2PvGqdNfdme4m17_Ezd3J69EeeiQPD0/edit?usp=sharing"",""อุทัยธานี!S181"")"),0)</f>
        <v>0</v>
      </c>
      <c r="T181" s="46">
        <f t="shared" ca="1" si="145"/>
        <v>0</v>
      </c>
      <c r="U181" s="46">
        <f t="shared" ca="1" si="146"/>
        <v>0</v>
      </c>
    </row>
    <row r="182" spans="1:21" ht="19.5" x14ac:dyDescent="0.3">
      <c r="A182" s="138"/>
      <c r="B182" s="139"/>
      <c r="C182" s="129" t="s">
        <v>18</v>
      </c>
      <c r="D182" s="140" t="s">
        <v>38</v>
      </c>
      <c r="E182" s="141"/>
      <c r="F182" s="141"/>
      <c r="G182" s="142"/>
      <c r="H182" s="178"/>
      <c r="I182" s="44"/>
      <c r="J182" s="44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</row>
    <row r="183" spans="1:21" ht="18.75" x14ac:dyDescent="0.25">
      <c r="A183" s="208"/>
      <c r="B183" s="40"/>
      <c r="C183" s="158"/>
      <c r="D183" s="209" t="s">
        <v>75</v>
      </c>
      <c r="E183" s="40"/>
      <c r="F183" s="40"/>
      <c r="G183" s="42"/>
      <c r="H183" s="210" t="s">
        <v>35</v>
      </c>
      <c r="I183" s="166">
        <f ca="1">IFERROR(__xludf.DUMMYFUNCTION("IMPORTRANGE(""https://docs.google.com/spreadsheets/d/1jTcq05yEiRwXcBMLjiodW9e4biSGYWAHcDj22rKWQ3s/edit?usp=sharing"",""กำแพงเพชร!I183"")+IMPORTRANGE(""https://docs.google.com/spreadsheets/d/1KS0zmDSZPk8KnTAbGN-Xk6MtX1YRZD0ldgdt20K4CRk/edit?usp=sharing"","&amp;"""เชียงราย!I183"")+IMPORTRANGE(""https://docs.google.com/spreadsheets/d/1rEDxBtusbi64tE0zunoIbsTVV16HeL0oJ6trHQeQ7K8/edit?usp=sharing"",""เชียงใหม่!I183"")+IMPORTRANGE(""https://docs.google.com/spreadsheets/d/1W6MnUbDkMi6xHnHko_XkFDO9kkuL6Wqyc-6OCDFjW9I/e"&amp;"dit?usp=sharing"",""ตาก!I183"")+IMPORTRANGE(""https://docs.google.com/spreadsheets/d/1IQAWArduLkta9LpYo4a_ULsyqdta6-6aDDiwpUnQT6c/edit?usp=sharing"",""นครสวรรค์!I183"")+IMPORTRANGE(""https://docs.google.com/spreadsheets/d/10s13Sk5xrltsiR-Zkbmk5DwIaDIKO8Xl"&amp;"bJAfqyT7Gvg/edit?usp=sharing"",""น่าน!I183"")+IMPORTRANGE(""https://docs.google.com/spreadsheets/d/1uu4nAn4Dbi1XREnLKKotUANlKXa7yCgRcgq8HEzQYW8/edit?usp=sharing"",""พะเยา!I183"")+IMPORTRANGE(""https://docs.google.com/spreadsheets/d/1xfJKIQxVOaPDIICqsflNlL"&amp;"u3JacTDk1FP9RH4phX7mI/edit?usp=sharing"",""พิจิตร!I183"")+IMPORTRANGE(""https://docs.google.com/spreadsheets/d/1JtRfZkJMHtEhI5RdRHxYUG4FIZHqKDpNyIuN7A1Q0_k/edit?usp=sharing"",""พิษณุโลก!I183"")+IMPORTRANGE(""https://docs.google.com/spreadsheets/d/1xlcVZWU"&amp;"Nn6SuWm0c307h32SiGkd9BaeQWlAktfD3KO8/edit?usp=sharing"",""เพชรบูรณ์!I183"")+IMPORTRANGE(""https://docs.google.com/spreadsheets/d/1lOVebEIsI9qjGXl6EX66luk7wiuP2tBaryw-wKvv4e0/edit?usp=sharing"",""แพร่!I183"")+IMPORTRANGE(""https://docs.google.com/spreadshe"&amp;"ets/d/1dQrvX0vEcN7Gu0fnZ0B5S90AeR19zth4XlExFBeExMY/edit?usp=sharing"",""แม่ฮ่องสอน!I183"")+IMPORTRANGE(""https://docs.google.com/spreadsheets/d/1DY4XTNNwjluuxqdfdn6qvOSlMRrZqUtmYcZR0ttFiG4/edit?usp=sharing"",""ลำปาง!I183"")+IMPORTRANGE(""https://docs.goog"&amp;"le.com/spreadsheets/d/1ICwG78r0OFT8biBlxnBF8r7she7gNSzOvJ958PWT09c/edit?usp=sharing"",""ลำพูน!I183"")+IMPORTRANGE(""https://docs.google.com/spreadsheets/d/1B0f2xJpZUC6Z0xXnqKlZtEPzsf6L84eP1r1Q15seqRM/edit?usp=sharing"",""สุโขทัย!I183"")+IMPORTRANGE(""http"&amp;"s://docs.google.com/spreadsheets/d/1v0b9pFQCsKUVExMei7AgY2yQkdeNQvtOssygGsXbiKo/edit?usp=sharing"",""อุตรดิตถ์!I183"")+IMPORTRANGE(""https://docs.google.com/spreadsheets/d/1UsNK1e-WWiCo2PvGqdNfdme4m17_Ezd3J69EeeiQPD0/edit?usp=sharing"",""อุทัยธานี!I183"")"),215)</f>
        <v>215</v>
      </c>
      <c r="J183" s="166">
        <f ca="1">IFERROR(__xludf.DUMMYFUNCTION("IMPORTRANGE(""https://docs.google.com/spreadsheets/d/1jTcq05yEiRwXcBMLjiodW9e4biSGYWAHcDj22rKWQ3s/edit?usp=sharing"",""กำแพงเพชร!J183"")+IMPORTRANGE(""https://docs.google.com/spreadsheets/d/1KS0zmDSZPk8KnTAbGN-Xk6MtX1YRZD0ldgdt20K4CRk/edit?usp=sharing"","&amp;"""เชียงราย!J183"")+IMPORTRANGE(""https://docs.google.com/spreadsheets/d/1rEDxBtusbi64tE0zunoIbsTVV16HeL0oJ6trHQeQ7K8/edit?usp=sharing"",""เชียงใหม่!J183"")+IMPORTRANGE(""https://docs.google.com/spreadsheets/d/1W6MnUbDkMi6xHnHko_XkFDO9kkuL6Wqyc-6OCDFjW9I/e"&amp;"dit?usp=sharing"",""ตาก!J183"")+IMPORTRANGE(""https://docs.google.com/spreadsheets/d/1IQAWArduLkta9LpYo4a_ULsyqdta6-6aDDiwpUnQT6c/edit?usp=sharing"",""นครสวรรค์!J183"")+IMPORTRANGE(""https://docs.google.com/spreadsheets/d/10s13Sk5xrltsiR-Zkbmk5DwIaDIKO8Xl"&amp;"bJAfqyT7Gvg/edit?usp=sharing"",""น่าน!J183"")+IMPORTRANGE(""https://docs.google.com/spreadsheets/d/1uu4nAn4Dbi1XREnLKKotUANlKXa7yCgRcgq8HEzQYW8/edit?usp=sharing"",""พะเยา!J183"")+IMPORTRANGE(""https://docs.google.com/spreadsheets/d/1xfJKIQxVOaPDIICqsflNlL"&amp;"u3JacTDk1FP9RH4phX7mI/edit?usp=sharing"",""พิจิตร!J183"")+IMPORTRANGE(""https://docs.google.com/spreadsheets/d/1JtRfZkJMHtEhI5RdRHxYUG4FIZHqKDpNyIuN7A1Q0_k/edit?usp=sharing"",""พิษณุโลก!J183"")+IMPORTRANGE(""https://docs.google.com/spreadsheets/d/1xlcVZWU"&amp;"Nn6SuWm0c307h32SiGkd9BaeQWlAktfD3KO8/edit?usp=sharing"",""เพชรบูรณ์!J183"")+IMPORTRANGE(""https://docs.google.com/spreadsheets/d/1lOVebEIsI9qjGXl6EX66luk7wiuP2tBaryw-wKvv4e0/edit?usp=sharing"",""แพร่!J183"")+IMPORTRANGE(""https://docs.google.com/spreadshe"&amp;"ets/d/1dQrvX0vEcN7Gu0fnZ0B5S90AeR19zth4XlExFBeExMY/edit?usp=sharing"",""แม่ฮ่องสอน!J183"")+IMPORTRANGE(""https://docs.google.com/spreadsheets/d/1DY4XTNNwjluuxqdfdn6qvOSlMRrZqUtmYcZR0ttFiG4/edit?usp=sharing"",""ลำปาง!J183"")+IMPORTRANGE(""https://docs.goog"&amp;"le.com/spreadsheets/d/1ICwG78r0OFT8biBlxnBF8r7she7gNSzOvJ958PWT09c/edit?usp=sharing"",""ลำพูน!J183"")+IMPORTRANGE(""https://docs.google.com/spreadsheets/d/1B0f2xJpZUC6Z0xXnqKlZtEPzsf6L84eP1r1Q15seqRM/edit?usp=sharing"",""สุโขทัย!J183"")+IMPORTRANGE(""http"&amp;"s://docs.google.com/spreadsheets/d/1v0b9pFQCsKUVExMei7AgY2yQkdeNQvtOssygGsXbiKo/edit?usp=sharing"",""อุตรดิตถ์!J183"")+IMPORTRANGE(""https://docs.google.com/spreadsheets/d/1UsNK1e-WWiCo2PvGqdNfdme4m17_Ezd3J69EeeiQPD0/edit?usp=sharing"",""อุทัยธานี!J183"")"),119)</f>
        <v>119</v>
      </c>
      <c r="K183" s="46">
        <f t="shared" ref="K183:K185" ca="1" si="155">IF(I183&gt;0,J183*100/I183,0)</f>
        <v>55.348837209302324</v>
      </c>
      <c r="L183" s="45"/>
      <c r="M183" s="45"/>
      <c r="N183" s="45"/>
      <c r="O183" s="45"/>
      <c r="P183" s="45"/>
      <c r="Q183" s="45"/>
      <c r="R183" s="45"/>
      <c r="S183" s="45"/>
      <c r="T183" s="45"/>
      <c r="U183" s="45"/>
    </row>
    <row r="184" spans="1:21" ht="18.75" x14ac:dyDescent="0.25">
      <c r="A184" s="208"/>
      <c r="B184" s="158"/>
      <c r="C184" s="158"/>
      <c r="D184" s="209" t="s">
        <v>76</v>
      </c>
      <c r="E184" s="40"/>
      <c r="F184" s="40"/>
      <c r="G184" s="42"/>
      <c r="H184" s="210" t="s">
        <v>35</v>
      </c>
      <c r="I184" s="184">
        <v>70</v>
      </c>
      <c r="J184" s="184">
        <v>0</v>
      </c>
      <c r="K184" s="46">
        <f t="shared" si="155"/>
        <v>0</v>
      </c>
      <c r="L184" s="45"/>
      <c r="M184" s="45"/>
      <c r="N184" s="45"/>
      <c r="O184" s="45"/>
      <c r="P184" s="45"/>
      <c r="Q184" s="45"/>
      <c r="R184" s="45"/>
      <c r="S184" s="45"/>
      <c r="T184" s="45"/>
      <c r="U184" s="45"/>
    </row>
    <row r="185" spans="1:21" ht="19.5" x14ac:dyDescent="0.3">
      <c r="A185" s="201"/>
      <c r="B185" s="202" t="s">
        <v>77</v>
      </c>
      <c r="C185" s="203"/>
      <c r="D185" s="141"/>
      <c r="E185" s="141"/>
      <c r="F185" s="141"/>
      <c r="G185" s="142"/>
      <c r="H185" s="204" t="s">
        <v>35</v>
      </c>
      <c r="I185" s="205">
        <f t="shared" ref="I185:J185" ca="1" si="156">I230+I231</f>
        <v>0</v>
      </c>
      <c r="J185" s="205">
        <f t="shared" ca="1" si="156"/>
        <v>0</v>
      </c>
      <c r="K185" s="206">
        <f t="shared" ca="1" si="155"/>
        <v>0</v>
      </c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</row>
    <row r="186" spans="1:21" ht="19.5" x14ac:dyDescent="0.3">
      <c r="A186" s="128"/>
      <c r="B186" s="40"/>
      <c r="C186" s="129" t="s">
        <v>18</v>
      </c>
      <c r="D186" s="130" t="s">
        <v>19</v>
      </c>
      <c r="E186" s="40"/>
      <c r="F186" s="40"/>
      <c r="G186" s="42"/>
      <c r="H186" s="131" t="s">
        <v>14</v>
      </c>
      <c r="I186" s="44"/>
      <c r="J186" s="44"/>
      <c r="K186" s="45"/>
      <c r="L186" s="132">
        <f t="shared" ref="L186:N186" ca="1" si="157">L187+L188</f>
        <v>3915288</v>
      </c>
      <c r="M186" s="132">
        <f t="shared" ca="1" si="157"/>
        <v>3995448</v>
      </c>
      <c r="N186" s="132">
        <f t="shared" ca="1" si="157"/>
        <v>2194971.5699999998</v>
      </c>
      <c r="O186" s="132">
        <f t="shared" ref="O186:O194" ca="1" si="158">IF(L186&gt;0,N186*100/L186,0)</f>
        <v>56.061560988616918</v>
      </c>
      <c r="P186" s="132">
        <f t="shared" ref="P186:P194" ca="1" si="159">IF(M186&gt;0,N186*100/M186,0)</f>
        <v>54.936807336749212</v>
      </c>
      <c r="Q186" s="132">
        <f t="shared" ref="Q186:S186" ca="1" si="160">Q187+Q188</f>
        <v>1496500</v>
      </c>
      <c r="R186" s="132">
        <f t="shared" ca="1" si="160"/>
        <v>1492500</v>
      </c>
      <c r="S186" s="132">
        <f t="shared" ca="1" si="160"/>
        <v>658920</v>
      </c>
      <c r="T186" s="132">
        <f t="shared" ref="T186:T194" ca="1" si="161">IF(Q186&gt;0,S186*100/Q186,0)</f>
        <v>44.030738389575674</v>
      </c>
      <c r="U186" s="132">
        <f t="shared" ref="U186:U194" ca="1" si="162">IF(R186&gt;0,S186*100/R186,0)</f>
        <v>44.148743718592968</v>
      </c>
    </row>
    <row r="187" spans="1:21" ht="18.75" x14ac:dyDescent="0.25">
      <c r="A187" s="128"/>
      <c r="B187" s="40"/>
      <c r="C187" s="40"/>
      <c r="D187" s="40"/>
      <c r="E187" s="47" t="s">
        <v>20</v>
      </c>
      <c r="F187" s="40"/>
      <c r="G187" s="42"/>
      <c r="H187" s="133" t="s">
        <v>14</v>
      </c>
      <c r="I187" s="44"/>
      <c r="J187" s="44"/>
      <c r="K187" s="45"/>
      <c r="L187" s="46">
        <f t="shared" ref="L187:N187" ca="1" si="163">L190+L193</f>
        <v>0</v>
      </c>
      <c r="M187" s="46">
        <f t="shared" ca="1" si="163"/>
        <v>0</v>
      </c>
      <c r="N187" s="46">
        <f t="shared" ca="1" si="163"/>
        <v>0</v>
      </c>
      <c r="O187" s="46">
        <f t="shared" ca="1" si="158"/>
        <v>0</v>
      </c>
      <c r="P187" s="46">
        <f t="shared" ca="1" si="159"/>
        <v>0</v>
      </c>
      <c r="Q187" s="48">
        <f t="shared" ref="Q187:S187" ca="1" si="164">Q190+Q193</f>
        <v>0</v>
      </c>
      <c r="R187" s="48">
        <f t="shared" ca="1" si="164"/>
        <v>0</v>
      </c>
      <c r="S187" s="48">
        <f t="shared" ca="1" si="164"/>
        <v>0</v>
      </c>
      <c r="T187" s="48">
        <f t="shared" ca="1" si="161"/>
        <v>0</v>
      </c>
      <c r="U187" s="48">
        <f t="shared" ca="1" si="162"/>
        <v>0</v>
      </c>
    </row>
    <row r="188" spans="1:21" ht="18.75" x14ac:dyDescent="0.25">
      <c r="A188" s="128"/>
      <c r="B188" s="40"/>
      <c r="C188" s="40"/>
      <c r="D188" s="40"/>
      <c r="E188" s="47" t="s">
        <v>21</v>
      </c>
      <c r="F188" s="40"/>
      <c r="G188" s="42"/>
      <c r="H188" s="133" t="s">
        <v>14</v>
      </c>
      <c r="I188" s="44"/>
      <c r="J188" s="44"/>
      <c r="K188" s="45"/>
      <c r="L188" s="46">
        <f t="shared" ref="L188:N188" ca="1" si="165">L191+L194</f>
        <v>3915288</v>
      </c>
      <c r="M188" s="46">
        <f t="shared" ca="1" si="165"/>
        <v>3995448</v>
      </c>
      <c r="N188" s="46">
        <f t="shared" ca="1" si="165"/>
        <v>2194971.5699999998</v>
      </c>
      <c r="O188" s="46">
        <f t="shared" ca="1" si="158"/>
        <v>56.061560988616918</v>
      </c>
      <c r="P188" s="46">
        <f t="shared" ca="1" si="159"/>
        <v>54.936807336749212</v>
      </c>
      <c r="Q188" s="46">
        <f t="shared" ref="Q188:S188" ca="1" si="166">Q191+Q194</f>
        <v>1496500</v>
      </c>
      <c r="R188" s="46">
        <f t="shared" ca="1" si="166"/>
        <v>1492500</v>
      </c>
      <c r="S188" s="46">
        <f t="shared" ca="1" si="166"/>
        <v>658920</v>
      </c>
      <c r="T188" s="46">
        <f t="shared" ca="1" si="161"/>
        <v>44.030738389575674</v>
      </c>
      <c r="U188" s="46">
        <f t="shared" ca="1" si="162"/>
        <v>44.148743718592968</v>
      </c>
    </row>
    <row r="189" spans="1:21" ht="18.75" x14ac:dyDescent="0.25">
      <c r="A189" s="128"/>
      <c r="B189" s="40"/>
      <c r="C189" s="40"/>
      <c r="D189" s="41" t="s">
        <v>22</v>
      </c>
      <c r="E189" s="40"/>
      <c r="F189" s="40"/>
      <c r="G189" s="42"/>
      <c r="H189" s="134" t="s">
        <v>14</v>
      </c>
      <c r="I189" s="135"/>
      <c r="J189" s="135"/>
      <c r="K189" s="136"/>
      <c r="L189" s="46">
        <f t="shared" ref="L189:N189" ca="1" si="167">L190+L191</f>
        <v>3915288</v>
      </c>
      <c r="M189" s="46">
        <f t="shared" ca="1" si="167"/>
        <v>3995448</v>
      </c>
      <c r="N189" s="46">
        <f t="shared" ca="1" si="167"/>
        <v>2194971.5699999998</v>
      </c>
      <c r="O189" s="46">
        <f t="shared" ca="1" si="158"/>
        <v>56.061560988616918</v>
      </c>
      <c r="P189" s="46">
        <f t="shared" ca="1" si="159"/>
        <v>54.936807336749212</v>
      </c>
      <c r="Q189" s="46">
        <f t="shared" ref="Q189:S189" ca="1" si="168">Q190+Q191</f>
        <v>1496500</v>
      </c>
      <c r="R189" s="46">
        <f t="shared" ca="1" si="168"/>
        <v>1492500</v>
      </c>
      <c r="S189" s="46">
        <f t="shared" ca="1" si="168"/>
        <v>658920</v>
      </c>
      <c r="T189" s="46">
        <f t="shared" ca="1" si="161"/>
        <v>44.030738389575674</v>
      </c>
      <c r="U189" s="46">
        <f t="shared" ca="1" si="162"/>
        <v>44.148743718592968</v>
      </c>
    </row>
    <row r="190" spans="1:21" ht="18.75" x14ac:dyDescent="0.25">
      <c r="A190" s="128"/>
      <c r="B190" s="40"/>
      <c r="C190" s="40"/>
      <c r="D190" s="40"/>
      <c r="E190" s="47" t="s">
        <v>36</v>
      </c>
      <c r="F190" s="40"/>
      <c r="G190" s="42"/>
      <c r="H190" s="134" t="s">
        <v>14</v>
      </c>
      <c r="I190" s="135"/>
      <c r="J190" s="135"/>
      <c r="K190" s="136"/>
      <c r="L190" s="46">
        <f ca="1">IFERROR(__xludf.DUMMYFUNCTION("IMPORTRANGE(""https://docs.google.com/spreadsheets/d/1jTcq05yEiRwXcBMLjiodW9e4biSGYWAHcDj22rKWQ3s/edit?usp=sharing"",""กำแพงเพชร!L190"")+IMPORTRANGE(""https://docs.google.com/spreadsheets/d/1KS0zmDSZPk8KnTAbGN-Xk6MtX1YRZD0ldgdt20K4CRk/edit?usp=sharing"","&amp;"""เชียงราย!L190"")+IMPORTRANGE(""https://docs.google.com/spreadsheets/d/1rEDxBtusbi64tE0zunoIbsTVV16HeL0oJ6trHQeQ7K8/edit?usp=sharing"",""เชียงใหม่!L190"")+IMPORTRANGE(""https://docs.google.com/spreadsheets/d/1W6MnUbDkMi6xHnHko_XkFDO9kkuL6Wqyc-6OCDFjW9I/e"&amp;"dit?usp=sharing"",""ตาก!L190"")+IMPORTRANGE(""https://docs.google.com/spreadsheets/d/1IQAWArduLkta9LpYo4a_ULsyqdta6-6aDDiwpUnQT6c/edit?usp=sharing"",""นครสวรรค์!L190"")+IMPORTRANGE(""https://docs.google.com/spreadsheets/d/10s13Sk5xrltsiR-Zkbmk5DwIaDIKO8Xl"&amp;"bJAfqyT7Gvg/edit?usp=sharing"",""น่าน!L190"")+IMPORTRANGE(""https://docs.google.com/spreadsheets/d/1uu4nAn4Dbi1XREnLKKotUANlKXa7yCgRcgq8HEzQYW8/edit?usp=sharing"",""พะเยา!L190"")+IMPORTRANGE(""https://docs.google.com/spreadsheets/d/1xfJKIQxVOaPDIICqsflNlL"&amp;"u3JacTDk1FP9RH4phX7mI/edit?usp=sharing"",""พิจิตร!L190"")+IMPORTRANGE(""https://docs.google.com/spreadsheets/d/1JtRfZkJMHtEhI5RdRHxYUG4FIZHqKDpNyIuN7A1Q0_k/edit?usp=sharing"",""พิษณุโลก!L190"")+IMPORTRANGE(""https://docs.google.com/spreadsheets/d/1xlcVZWU"&amp;"Nn6SuWm0c307h32SiGkd9BaeQWlAktfD3KO8/edit?usp=sharing"",""เพชรบูรณ์!L190"")+IMPORTRANGE(""https://docs.google.com/spreadsheets/d/1lOVebEIsI9qjGXl6EX66luk7wiuP2tBaryw-wKvv4e0/edit?usp=sharing"",""แพร่!L190"")+IMPORTRANGE(""https://docs.google.com/spreadshe"&amp;"ets/d/1dQrvX0vEcN7Gu0fnZ0B5S90AeR19zth4XlExFBeExMY/edit?usp=sharing"",""แม่ฮ่องสอน!L190"")+IMPORTRANGE(""https://docs.google.com/spreadsheets/d/1DY4XTNNwjluuxqdfdn6qvOSlMRrZqUtmYcZR0ttFiG4/edit?usp=sharing"",""ลำปาง!L190"")+IMPORTRANGE(""https://docs.goog"&amp;"le.com/spreadsheets/d/1ICwG78r0OFT8biBlxnBF8r7she7gNSzOvJ958PWT09c/edit?usp=sharing"",""ลำพูน!L190"")+IMPORTRANGE(""https://docs.google.com/spreadsheets/d/1B0f2xJpZUC6Z0xXnqKlZtEPzsf6L84eP1r1Q15seqRM/edit?usp=sharing"",""สุโขทัย!L190"")+IMPORTRANGE(""http"&amp;"s://docs.google.com/spreadsheets/d/1v0b9pFQCsKUVExMei7AgY2yQkdeNQvtOssygGsXbiKo/edit?usp=sharing"",""อุตรดิตถ์!L190"")+IMPORTRANGE(""https://docs.google.com/spreadsheets/d/1UsNK1e-WWiCo2PvGqdNfdme4m17_Ezd3J69EeeiQPD0/edit?usp=sharing"",""อุทัยธานี!L190"")"),0)</f>
        <v>0</v>
      </c>
      <c r="M190" s="46">
        <f ca="1">IFERROR(__xludf.DUMMYFUNCTION("IMPORTRANGE(""https://docs.google.com/spreadsheets/d/1jTcq05yEiRwXcBMLjiodW9e4biSGYWAHcDj22rKWQ3s/edit?usp=sharing"",""กำแพงเพชร!M190"")+IMPORTRANGE(""https://docs.google.com/spreadsheets/d/1KS0zmDSZPk8KnTAbGN-Xk6MtX1YRZD0ldgdt20K4CRk/edit?usp=sharing"","&amp;"""เชียงราย!M190"")+IMPORTRANGE(""https://docs.google.com/spreadsheets/d/1rEDxBtusbi64tE0zunoIbsTVV16HeL0oJ6trHQeQ7K8/edit?usp=sharing"",""เชียงใหม่!M190"")+IMPORTRANGE(""https://docs.google.com/spreadsheets/d/1W6MnUbDkMi6xHnHko_XkFDO9kkuL6Wqyc-6OCDFjW9I/e"&amp;"dit?usp=sharing"",""ตาก!M190"")+IMPORTRANGE(""https://docs.google.com/spreadsheets/d/1IQAWArduLkta9LpYo4a_ULsyqdta6-6aDDiwpUnQT6c/edit?usp=sharing"",""นครสวรรค์!M190"")+IMPORTRANGE(""https://docs.google.com/spreadsheets/d/10s13Sk5xrltsiR-Zkbmk5DwIaDIKO8Xl"&amp;"bJAfqyT7Gvg/edit?usp=sharing"",""น่าน!M190"")+IMPORTRANGE(""https://docs.google.com/spreadsheets/d/1uu4nAn4Dbi1XREnLKKotUANlKXa7yCgRcgq8HEzQYW8/edit?usp=sharing"",""พะเยา!M190"")+IMPORTRANGE(""https://docs.google.com/spreadsheets/d/1xfJKIQxVOaPDIICqsflNlL"&amp;"u3JacTDk1FP9RH4phX7mI/edit?usp=sharing"",""พิจิตร!M190"")+IMPORTRANGE(""https://docs.google.com/spreadsheets/d/1JtRfZkJMHtEhI5RdRHxYUG4FIZHqKDpNyIuN7A1Q0_k/edit?usp=sharing"",""พิษณุโลก!M190"")+IMPORTRANGE(""https://docs.google.com/spreadsheets/d/1xlcVZWU"&amp;"Nn6SuWm0c307h32SiGkd9BaeQWlAktfD3KO8/edit?usp=sharing"",""เพชรบูรณ์!M190"")+IMPORTRANGE(""https://docs.google.com/spreadsheets/d/1lOVebEIsI9qjGXl6EX66luk7wiuP2tBaryw-wKvv4e0/edit?usp=sharing"",""แพร่!M190"")+IMPORTRANGE(""https://docs.google.com/spreadshe"&amp;"ets/d/1dQrvX0vEcN7Gu0fnZ0B5S90AeR19zth4XlExFBeExMY/edit?usp=sharing"",""แม่ฮ่องสอน!M190"")+IMPORTRANGE(""https://docs.google.com/spreadsheets/d/1DY4XTNNwjluuxqdfdn6qvOSlMRrZqUtmYcZR0ttFiG4/edit?usp=sharing"",""ลำปาง!M190"")+IMPORTRANGE(""https://docs.goog"&amp;"le.com/spreadsheets/d/1ICwG78r0OFT8biBlxnBF8r7she7gNSzOvJ958PWT09c/edit?usp=sharing"",""ลำพูน!M190"")+IMPORTRANGE(""https://docs.google.com/spreadsheets/d/1B0f2xJpZUC6Z0xXnqKlZtEPzsf6L84eP1r1Q15seqRM/edit?usp=sharing"",""สุโขทัย!M190"")+IMPORTRANGE(""http"&amp;"s://docs.google.com/spreadsheets/d/1v0b9pFQCsKUVExMei7AgY2yQkdeNQvtOssygGsXbiKo/edit?usp=sharing"",""อุตรดิตถ์!M190"")+IMPORTRANGE(""https://docs.google.com/spreadsheets/d/1UsNK1e-WWiCo2PvGqdNfdme4m17_Ezd3J69EeeiQPD0/edit?usp=sharing"",""อุทัยธานี!M190"")"),0)</f>
        <v>0</v>
      </c>
      <c r="N190" s="46">
        <f ca="1">IFERROR(__xludf.DUMMYFUNCTION("IMPORTRANGE(""https://docs.google.com/spreadsheets/d/1jTcq05yEiRwXcBMLjiodW9e4biSGYWAHcDj22rKWQ3s/edit?usp=sharing"",""กำแพงเพชร!N190"")+IMPORTRANGE(""https://docs.google.com/spreadsheets/d/1KS0zmDSZPk8KnTAbGN-Xk6MtX1YRZD0ldgdt20K4CRk/edit?usp=sharing"","&amp;"""เชียงราย!N190"")+IMPORTRANGE(""https://docs.google.com/spreadsheets/d/1rEDxBtusbi64tE0zunoIbsTVV16HeL0oJ6trHQeQ7K8/edit?usp=sharing"",""เชียงใหม่!N190"")+IMPORTRANGE(""https://docs.google.com/spreadsheets/d/1W6MnUbDkMi6xHnHko_XkFDO9kkuL6Wqyc-6OCDFjW9I/e"&amp;"dit?usp=sharing"",""ตาก!N190"")+IMPORTRANGE(""https://docs.google.com/spreadsheets/d/1IQAWArduLkta9LpYo4a_ULsyqdta6-6aDDiwpUnQT6c/edit?usp=sharing"",""นครสวรรค์!N190"")+IMPORTRANGE(""https://docs.google.com/spreadsheets/d/10s13Sk5xrltsiR-Zkbmk5DwIaDIKO8Xl"&amp;"bJAfqyT7Gvg/edit?usp=sharing"",""น่าน!N190"")+IMPORTRANGE(""https://docs.google.com/spreadsheets/d/1uu4nAn4Dbi1XREnLKKotUANlKXa7yCgRcgq8HEzQYW8/edit?usp=sharing"",""พะเยา!N190"")+IMPORTRANGE(""https://docs.google.com/spreadsheets/d/1xfJKIQxVOaPDIICqsflNlL"&amp;"u3JacTDk1FP9RH4phX7mI/edit?usp=sharing"",""พิจิตร!N190"")+IMPORTRANGE(""https://docs.google.com/spreadsheets/d/1JtRfZkJMHtEhI5RdRHxYUG4FIZHqKDpNyIuN7A1Q0_k/edit?usp=sharing"",""พิษณุโลก!N190"")+IMPORTRANGE(""https://docs.google.com/spreadsheets/d/1xlcVZWU"&amp;"Nn6SuWm0c307h32SiGkd9BaeQWlAktfD3KO8/edit?usp=sharing"",""เพชรบูรณ์!N190"")+IMPORTRANGE(""https://docs.google.com/spreadsheets/d/1lOVebEIsI9qjGXl6EX66luk7wiuP2tBaryw-wKvv4e0/edit?usp=sharing"",""แพร่!N190"")+IMPORTRANGE(""https://docs.google.com/spreadshe"&amp;"ets/d/1dQrvX0vEcN7Gu0fnZ0B5S90AeR19zth4XlExFBeExMY/edit?usp=sharing"",""แม่ฮ่องสอน!N190"")+IMPORTRANGE(""https://docs.google.com/spreadsheets/d/1DY4XTNNwjluuxqdfdn6qvOSlMRrZqUtmYcZR0ttFiG4/edit?usp=sharing"",""ลำปาง!N190"")+IMPORTRANGE(""https://docs.goog"&amp;"le.com/spreadsheets/d/1ICwG78r0OFT8biBlxnBF8r7she7gNSzOvJ958PWT09c/edit?usp=sharing"",""ลำพูน!N190"")+IMPORTRANGE(""https://docs.google.com/spreadsheets/d/1B0f2xJpZUC6Z0xXnqKlZtEPzsf6L84eP1r1Q15seqRM/edit?usp=sharing"",""สุโขทัย!N190"")+IMPORTRANGE(""http"&amp;"s://docs.google.com/spreadsheets/d/1v0b9pFQCsKUVExMei7AgY2yQkdeNQvtOssygGsXbiKo/edit?usp=sharing"",""อุตรดิตถ์!N190"")+IMPORTRANGE(""https://docs.google.com/spreadsheets/d/1UsNK1e-WWiCo2PvGqdNfdme4m17_Ezd3J69EeeiQPD0/edit?usp=sharing"",""อุทัยธานี!N190"")"),0)</f>
        <v>0</v>
      </c>
      <c r="O190" s="46">
        <f t="shared" ca="1" si="158"/>
        <v>0</v>
      </c>
      <c r="P190" s="46">
        <f t="shared" ca="1" si="159"/>
        <v>0</v>
      </c>
      <c r="Q190" s="48">
        <f ca="1">IFERROR(__xludf.DUMMYFUNCTION("IMPORTRANGE(""https://docs.google.com/spreadsheets/d/1jTcq05yEiRwXcBMLjiodW9e4biSGYWAHcDj22rKWQ3s/edit?usp=sharing"",""กำแพงเพชร!Q190"")+IMPORTRANGE(""https://docs.google.com/spreadsheets/d/1KS0zmDSZPk8KnTAbGN-Xk6MtX1YRZD0ldgdt20K4CRk/edit?usp=sharing"","&amp;"""เชียงราย!Q190"")+IMPORTRANGE(""https://docs.google.com/spreadsheets/d/1rEDxBtusbi64tE0zunoIbsTVV16HeL0oJ6trHQeQ7K8/edit?usp=sharing"",""เชียงใหม่!Q190"")+IMPORTRANGE(""https://docs.google.com/spreadsheets/d/1W6MnUbDkMi6xHnHko_XkFDO9kkuL6Wqyc-6OCDFjW9I/e"&amp;"dit?usp=sharing"",""ตาก!Q190"")+IMPORTRANGE(""https://docs.google.com/spreadsheets/d/1IQAWArduLkta9LpYo4a_ULsyqdta6-6aDDiwpUnQT6c/edit?usp=sharing"",""นครสวรรค์!Q190"")+IMPORTRANGE(""https://docs.google.com/spreadsheets/d/10s13Sk5xrltsiR-Zkbmk5DwIaDIKO8Xl"&amp;"bJAfqyT7Gvg/edit?usp=sharing"",""น่าน!Q190"")+IMPORTRANGE(""https://docs.google.com/spreadsheets/d/1uu4nAn4Dbi1XREnLKKotUANlKXa7yCgRcgq8HEzQYW8/edit?usp=sharing"",""พะเยา!Q190"")+IMPORTRANGE(""https://docs.google.com/spreadsheets/d/1xfJKIQxVOaPDIICqsflNlL"&amp;"u3JacTDk1FP9RH4phX7mI/edit?usp=sharing"",""พิจิตร!Q190"")+IMPORTRANGE(""https://docs.google.com/spreadsheets/d/1JtRfZkJMHtEhI5RdRHxYUG4FIZHqKDpNyIuN7A1Q0_k/edit?usp=sharing"",""พิษณุโลก!Q190"")+IMPORTRANGE(""https://docs.google.com/spreadsheets/d/1xlcVZWU"&amp;"Nn6SuWm0c307h32SiGkd9BaeQWlAktfD3KO8/edit?usp=sharing"",""เพชรบูรณ์!Q190"")+IMPORTRANGE(""https://docs.google.com/spreadsheets/d/1lOVebEIsI9qjGXl6EX66luk7wiuP2tBaryw-wKvv4e0/edit?usp=sharing"",""แพร่!Q190"")+IMPORTRANGE(""https://docs.google.com/spreadshe"&amp;"ets/d/1dQrvX0vEcN7Gu0fnZ0B5S90AeR19zth4XlExFBeExMY/edit?usp=sharing"",""แม่ฮ่องสอน!Q190"")+IMPORTRANGE(""https://docs.google.com/spreadsheets/d/1DY4XTNNwjluuxqdfdn6qvOSlMRrZqUtmYcZR0ttFiG4/edit?usp=sharing"",""ลำปาง!Q190"")+IMPORTRANGE(""https://docs.goog"&amp;"le.com/spreadsheets/d/1ICwG78r0OFT8biBlxnBF8r7she7gNSzOvJ958PWT09c/edit?usp=sharing"",""ลำพูน!Q190"")+IMPORTRANGE(""https://docs.google.com/spreadsheets/d/1B0f2xJpZUC6Z0xXnqKlZtEPzsf6L84eP1r1Q15seqRM/edit?usp=sharing"",""สุโขทัย!Q190"")+IMPORTRANGE(""http"&amp;"s://docs.google.com/spreadsheets/d/1v0b9pFQCsKUVExMei7AgY2yQkdeNQvtOssygGsXbiKo/edit?usp=sharing"",""อุตรดิตถ์!Q190"")+IMPORTRANGE(""https://docs.google.com/spreadsheets/d/1UsNK1e-WWiCo2PvGqdNfdme4m17_Ezd3J69EeeiQPD0/edit?usp=sharing"",""อุทัยธานี!Q190"")"),0)</f>
        <v>0</v>
      </c>
      <c r="R190" s="48">
        <f ca="1">IFERROR(__xludf.DUMMYFUNCTION("IMPORTRANGE(""https://docs.google.com/spreadsheets/d/1jTcq05yEiRwXcBMLjiodW9e4biSGYWAHcDj22rKWQ3s/edit?usp=sharing"",""กำแพงเพชร!R190"")+IMPORTRANGE(""https://docs.google.com/spreadsheets/d/1KS0zmDSZPk8KnTAbGN-Xk6MtX1YRZD0ldgdt20K4CRk/edit?usp=sharing"","&amp;"""เชียงราย!R190"")+IMPORTRANGE(""https://docs.google.com/spreadsheets/d/1rEDxBtusbi64tE0zunoIbsTVV16HeL0oJ6trHQeQ7K8/edit?usp=sharing"",""เชียงใหม่!R190"")+IMPORTRANGE(""https://docs.google.com/spreadsheets/d/1W6MnUbDkMi6xHnHko_XkFDO9kkuL6Wqyc-6OCDFjW9I/e"&amp;"dit?usp=sharing"",""ตาก!R190"")+IMPORTRANGE(""https://docs.google.com/spreadsheets/d/1IQAWArduLkta9LpYo4a_ULsyqdta6-6aDDiwpUnQT6c/edit?usp=sharing"",""นครสวรรค์!R190"")+IMPORTRANGE(""https://docs.google.com/spreadsheets/d/10s13Sk5xrltsiR-Zkbmk5DwIaDIKO8Xl"&amp;"bJAfqyT7Gvg/edit?usp=sharing"",""น่าน!R190"")+IMPORTRANGE(""https://docs.google.com/spreadsheets/d/1uu4nAn4Dbi1XREnLKKotUANlKXa7yCgRcgq8HEzQYW8/edit?usp=sharing"",""พะเยา!R190"")+IMPORTRANGE(""https://docs.google.com/spreadsheets/d/1xfJKIQxVOaPDIICqsflNlL"&amp;"u3JacTDk1FP9RH4phX7mI/edit?usp=sharing"",""พิจิตร!R190"")+IMPORTRANGE(""https://docs.google.com/spreadsheets/d/1JtRfZkJMHtEhI5RdRHxYUG4FIZHqKDpNyIuN7A1Q0_k/edit?usp=sharing"",""พิษณุโลก!R190"")+IMPORTRANGE(""https://docs.google.com/spreadsheets/d/1xlcVZWU"&amp;"Nn6SuWm0c307h32SiGkd9BaeQWlAktfD3KO8/edit?usp=sharing"",""เพชรบูรณ์!R190"")+IMPORTRANGE(""https://docs.google.com/spreadsheets/d/1lOVebEIsI9qjGXl6EX66luk7wiuP2tBaryw-wKvv4e0/edit?usp=sharing"",""แพร่!R190"")+IMPORTRANGE(""https://docs.google.com/spreadshe"&amp;"ets/d/1dQrvX0vEcN7Gu0fnZ0B5S90AeR19zth4XlExFBeExMY/edit?usp=sharing"",""แม่ฮ่องสอน!R190"")+IMPORTRANGE(""https://docs.google.com/spreadsheets/d/1DY4XTNNwjluuxqdfdn6qvOSlMRrZqUtmYcZR0ttFiG4/edit?usp=sharing"",""ลำปาง!R190"")+IMPORTRANGE(""https://docs.goog"&amp;"le.com/spreadsheets/d/1ICwG78r0OFT8biBlxnBF8r7she7gNSzOvJ958PWT09c/edit?usp=sharing"",""ลำพูน!R190"")+IMPORTRANGE(""https://docs.google.com/spreadsheets/d/1B0f2xJpZUC6Z0xXnqKlZtEPzsf6L84eP1r1Q15seqRM/edit?usp=sharing"",""สุโขทัย!R190"")+IMPORTRANGE(""http"&amp;"s://docs.google.com/spreadsheets/d/1v0b9pFQCsKUVExMei7AgY2yQkdeNQvtOssygGsXbiKo/edit?usp=sharing"",""อุตรดิตถ์!R190"")+IMPORTRANGE(""https://docs.google.com/spreadsheets/d/1UsNK1e-WWiCo2PvGqdNfdme4m17_Ezd3J69EeeiQPD0/edit?usp=sharing"",""อุทัยธานี!R190"")"),0)</f>
        <v>0</v>
      </c>
      <c r="S190" s="48">
        <f ca="1">IFERROR(__xludf.DUMMYFUNCTION("IMPORTRANGE(""https://docs.google.com/spreadsheets/d/1jTcq05yEiRwXcBMLjiodW9e4biSGYWAHcDj22rKWQ3s/edit?usp=sharing"",""กำแพงเพชร!S190"")+IMPORTRANGE(""https://docs.google.com/spreadsheets/d/1KS0zmDSZPk8KnTAbGN-Xk6MtX1YRZD0ldgdt20K4CRk/edit?usp=sharing"","&amp;"""เชียงราย!S190"")+IMPORTRANGE(""https://docs.google.com/spreadsheets/d/1rEDxBtusbi64tE0zunoIbsTVV16HeL0oJ6trHQeQ7K8/edit?usp=sharing"",""เชียงใหม่!S190"")+IMPORTRANGE(""https://docs.google.com/spreadsheets/d/1W6MnUbDkMi6xHnHko_XkFDO9kkuL6Wqyc-6OCDFjW9I/e"&amp;"dit?usp=sharing"",""ตาก!S190"")+IMPORTRANGE(""https://docs.google.com/spreadsheets/d/1IQAWArduLkta9LpYo4a_ULsyqdta6-6aDDiwpUnQT6c/edit?usp=sharing"",""นครสวรรค์!S190"")+IMPORTRANGE(""https://docs.google.com/spreadsheets/d/10s13Sk5xrltsiR-Zkbmk5DwIaDIKO8Xl"&amp;"bJAfqyT7Gvg/edit?usp=sharing"",""น่าน!S190"")+IMPORTRANGE(""https://docs.google.com/spreadsheets/d/1uu4nAn4Dbi1XREnLKKotUANlKXa7yCgRcgq8HEzQYW8/edit?usp=sharing"",""พะเยา!S190"")+IMPORTRANGE(""https://docs.google.com/spreadsheets/d/1xfJKIQxVOaPDIICqsflNlL"&amp;"u3JacTDk1FP9RH4phX7mI/edit?usp=sharing"",""พิจิตร!S190"")+IMPORTRANGE(""https://docs.google.com/spreadsheets/d/1JtRfZkJMHtEhI5RdRHxYUG4FIZHqKDpNyIuN7A1Q0_k/edit?usp=sharing"",""พิษณุโลก!S190"")+IMPORTRANGE(""https://docs.google.com/spreadsheets/d/1xlcVZWU"&amp;"Nn6SuWm0c307h32SiGkd9BaeQWlAktfD3KO8/edit?usp=sharing"",""เพชรบูรณ์!S190"")+IMPORTRANGE(""https://docs.google.com/spreadsheets/d/1lOVebEIsI9qjGXl6EX66luk7wiuP2tBaryw-wKvv4e0/edit?usp=sharing"",""แพร่!S190"")+IMPORTRANGE(""https://docs.google.com/spreadshe"&amp;"ets/d/1dQrvX0vEcN7Gu0fnZ0B5S90AeR19zth4XlExFBeExMY/edit?usp=sharing"",""แม่ฮ่องสอน!S190"")+IMPORTRANGE(""https://docs.google.com/spreadsheets/d/1DY4XTNNwjluuxqdfdn6qvOSlMRrZqUtmYcZR0ttFiG4/edit?usp=sharing"",""ลำปาง!S190"")+IMPORTRANGE(""https://docs.goog"&amp;"le.com/spreadsheets/d/1ICwG78r0OFT8biBlxnBF8r7she7gNSzOvJ958PWT09c/edit?usp=sharing"",""ลำพูน!S190"")+IMPORTRANGE(""https://docs.google.com/spreadsheets/d/1B0f2xJpZUC6Z0xXnqKlZtEPzsf6L84eP1r1Q15seqRM/edit?usp=sharing"",""สุโขทัย!S190"")+IMPORTRANGE(""http"&amp;"s://docs.google.com/spreadsheets/d/1v0b9pFQCsKUVExMei7AgY2yQkdeNQvtOssygGsXbiKo/edit?usp=sharing"",""อุตรดิตถ์!S190"")+IMPORTRANGE(""https://docs.google.com/spreadsheets/d/1UsNK1e-WWiCo2PvGqdNfdme4m17_Ezd3J69EeeiQPD0/edit?usp=sharing"",""อุทัยธานี!S190"")"),0)</f>
        <v>0</v>
      </c>
      <c r="T190" s="48">
        <f t="shared" ca="1" si="161"/>
        <v>0</v>
      </c>
      <c r="U190" s="48">
        <f t="shared" ca="1" si="162"/>
        <v>0</v>
      </c>
    </row>
    <row r="191" spans="1:21" ht="18.75" x14ac:dyDescent="0.25">
      <c r="A191" s="128"/>
      <c r="B191" s="40"/>
      <c r="C191" s="40"/>
      <c r="D191" s="40"/>
      <c r="E191" s="47" t="s">
        <v>37</v>
      </c>
      <c r="F191" s="40"/>
      <c r="G191" s="42"/>
      <c r="H191" s="134" t="s">
        <v>14</v>
      </c>
      <c r="I191" s="135"/>
      <c r="J191" s="135"/>
      <c r="K191" s="136"/>
      <c r="L191" s="46">
        <f ca="1">IFERROR(__xludf.DUMMYFUNCTION("IMPORTRANGE(""https://docs.google.com/spreadsheets/d/1jTcq05yEiRwXcBMLjiodW9e4biSGYWAHcDj22rKWQ3s/edit?usp=sharing"",""กำแพงเพชร!L191"")+IMPORTRANGE(""https://docs.google.com/spreadsheets/d/1KS0zmDSZPk8KnTAbGN-Xk6MtX1YRZD0ldgdt20K4CRk/edit?usp=sharing"","&amp;"""เชียงราย!L191"")+IMPORTRANGE(""https://docs.google.com/spreadsheets/d/1rEDxBtusbi64tE0zunoIbsTVV16HeL0oJ6trHQeQ7K8/edit?usp=sharing"",""เชียงใหม่!L191"")+IMPORTRANGE(""https://docs.google.com/spreadsheets/d/1W6MnUbDkMi6xHnHko_XkFDO9kkuL6Wqyc-6OCDFjW9I/e"&amp;"dit?usp=sharing"",""ตาก!L191"")+IMPORTRANGE(""https://docs.google.com/spreadsheets/d/1IQAWArduLkta9LpYo4a_ULsyqdta6-6aDDiwpUnQT6c/edit?usp=sharing"",""นครสวรรค์!L191"")+IMPORTRANGE(""https://docs.google.com/spreadsheets/d/10s13Sk5xrltsiR-Zkbmk5DwIaDIKO8Xl"&amp;"bJAfqyT7Gvg/edit?usp=sharing"",""น่าน!L191"")+IMPORTRANGE(""https://docs.google.com/spreadsheets/d/1uu4nAn4Dbi1XREnLKKotUANlKXa7yCgRcgq8HEzQYW8/edit?usp=sharing"",""พะเยา!L191"")+IMPORTRANGE(""https://docs.google.com/spreadsheets/d/1xfJKIQxVOaPDIICqsflNlL"&amp;"u3JacTDk1FP9RH4phX7mI/edit?usp=sharing"",""พิจิตร!L191"")+IMPORTRANGE(""https://docs.google.com/spreadsheets/d/1JtRfZkJMHtEhI5RdRHxYUG4FIZHqKDpNyIuN7A1Q0_k/edit?usp=sharing"",""พิษณุโลก!L191"")+IMPORTRANGE(""https://docs.google.com/spreadsheets/d/1xlcVZWU"&amp;"Nn6SuWm0c307h32SiGkd9BaeQWlAktfD3KO8/edit?usp=sharing"",""เพชรบูรณ์!L191"")+IMPORTRANGE(""https://docs.google.com/spreadsheets/d/1lOVebEIsI9qjGXl6EX66luk7wiuP2tBaryw-wKvv4e0/edit?usp=sharing"",""แพร่!L191"")+IMPORTRANGE(""https://docs.google.com/spreadshe"&amp;"ets/d/1dQrvX0vEcN7Gu0fnZ0B5S90AeR19zth4XlExFBeExMY/edit?usp=sharing"",""แม่ฮ่องสอน!L191"")+IMPORTRANGE(""https://docs.google.com/spreadsheets/d/1DY4XTNNwjluuxqdfdn6qvOSlMRrZqUtmYcZR0ttFiG4/edit?usp=sharing"",""ลำปาง!L191"")+IMPORTRANGE(""https://docs.goog"&amp;"le.com/spreadsheets/d/1ICwG78r0OFT8biBlxnBF8r7she7gNSzOvJ958PWT09c/edit?usp=sharing"",""ลำพูน!L191"")+IMPORTRANGE(""https://docs.google.com/spreadsheets/d/1B0f2xJpZUC6Z0xXnqKlZtEPzsf6L84eP1r1Q15seqRM/edit?usp=sharing"",""สุโขทัย!L191"")+IMPORTRANGE(""http"&amp;"s://docs.google.com/spreadsheets/d/1v0b9pFQCsKUVExMei7AgY2yQkdeNQvtOssygGsXbiKo/edit?usp=sharing"",""อุตรดิตถ์!L191"")+IMPORTRANGE(""https://docs.google.com/spreadsheets/d/1UsNK1e-WWiCo2PvGqdNfdme4m17_Ezd3J69EeeiQPD0/edit?usp=sharing"",""อุทัยธานี!L191"")"),3915288)</f>
        <v>3915288</v>
      </c>
      <c r="M191" s="46">
        <f ca="1">IFERROR(__xludf.DUMMYFUNCTION("IMPORTRANGE(""https://docs.google.com/spreadsheets/d/1jTcq05yEiRwXcBMLjiodW9e4biSGYWAHcDj22rKWQ3s/edit?usp=sharing"",""กำแพงเพชร!M191"")+IMPORTRANGE(""https://docs.google.com/spreadsheets/d/1KS0zmDSZPk8KnTAbGN-Xk6MtX1YRZD0ldgdt20K4CRk/edit?usp=sharing"","&amp;"""เชียงราย!M191"")+IMPORTRANGE(""https://docs.google.com/spreadsheets/d/1rEDxBtusbi64tE0zunoIbsTVV16HeL0oJ6trHQeQ7K8/edit?usp=sharing"",""เชียงใหม่!M191"")+IMPORTRANGE(""https://docs.google.com/spreadsheets/d/1W6MnUbDkMi6xHnHko_XkFDO9kkuL6Wqyc-6OCDFjW9I/e"&amp;"dit?usp=sharing"",""ตาก!M191"")+IMPORTRANGE(""https://docs.google.com/spreadsheets/d/1IQAWArduLkta9LpYo4a_ULsyqdta6-6aDDiwpUnQT6c/edit?usp=sharing"",""นครสวรรค์!M191"")+IMPORTRANGE(""https://docs.google.com/spreadsheets/d/10s13Sk5xrltsiR-Zkbmk5DwIaDIKO8Xl"&amp;"bJAfqyT7Gvg/edit?usp=sharing"",""น่าน!M191"")+IMPORTRANGE(""https://docs.google.com/spreadsheets/d/1uu4nAn4Dbi1XREnLKKotUANlKXa7yCgRcgq8HEzQYW8/edit?usp=sharing"",""พะเยา!M191"")+IMPORTRANGE(""https://docs.google.com/spreadsheets/d/1xfJKIQxVOaPDIICqsflNlL"&amp;"u3JacTDk1FP9RH4phX7mI/edit?usp=sharing"",""พิจิตร!M191"")+IMPORTRANGE(""https://docs.google.com/spreadsheets/d/1JtRfZkJMHtEhI5RdRHxYUG4FIZHqKDpNyIuN7A1Q0_k/edit?usp=sharing"",""พิษณุโลก!M191"")+IMPORTRANGE(""https://docs.google.com/spreadsheets/d/1xlcVZWU"&amp;"Nn6SuWm0c307h32SiGkd9BaeQWlAktfD3KO8/edit?usp=sharing"",""เพชรบูรณ์!M191"")+IMPORTRANGE(""https://docs.google.com/spreadsheets/d/1lOVebEIsI9qjGXl6EX66luk7wiuP2tBaryw-wKvv4e0/edit?usp=sharing"",""แพร่!M191"")+IMPORTRANGE(""https://docs.google.com/spreadshe"&amp;"ets/d/1dQrvX0vEcN7Gu0fnZ0B5S90AeR19zth4XlExFBeExMY/edit?usp=sharing"",""แม่ฮ่องสอน!M191"")+IMPORTRANGE(""https://docs.google.com/spreadsheets/d/1DY4XTNNwjluuxqdfdn6qvOSlMRrZqUtmYcZR0ttFiG4/edit?usp=sharing"",""ลำปาง!M191"")+IMPORTRANGE(""https://docs.goog"&amp;"le.com/spreadsheets/d/1ICwG78r0OFT8biBlxnBF8r7she7gNSzOvJ958PWT09c/edit?usp=sharing"",""ลำพูน!M191"")+IMPORTRANGE(""https://docs.google.com/spreadsheets/d/1B0f2xJpZUC6Z0xXnqKlZtEPzsf6L84eP1r1Q15seqRM/edit?usp=sharing"",""สุโขทัย!M191"")+IMPORTRANGE(""http"&amp;"s://docs.google.com/spreadsheets/d/1v0b9pFQCsKUVExMei7AgY2yQkdeNQvtOssygGsXbiKo/edit?usp=sharing"",""อุตรดิตถ์!M191"")+IMPORTRANGE(""https://docs.google.com/spreadsheets/d/1UsNK1e-WWiCo2PvGqdNfdme4m17_Ezd3J69EeeiQPD0/edit?usp=sharing"",""อุทัยธานี!M191"")"),3995448)</f>
        <v>3995448</v>
      </c>
      <c r="N191" s="46">
        <f ca="1">IFERROR(__xludf.DUMMYFUNCTION("IMPORTRANGE(""https://docs.google.com/spreadsheets/d/1jTcq05yEiRwXcBMLjiodW9e4biSGYWAHcDj22rKWQ3s/edit?usp=sharing"",""กำแพงเพชร!N191"")+IMPORTRANGE(""https://docs.google.com/spreadsheets/d/1KS0zmDSZPk8KnTAbGN-Xk6MtX1YRZD0ldgdt20K4CRk/edit?usp=sharing"","&amp;"""เชียงราย!N191"")+IMPORTRANGE(""https://docs.google.com/spreadsheets/d/1rEDxBtusbi64tE0zunoIbsTVV16HeL0oJ6trHQeQ7K8/edit?usp=sharing"",""เชียงใหม่!N191"")+IMPORTRANGE(""https://docs.google.com/spreadsheets/d/1W6MnUbDkMi6xHnHko_XkFDO9kkuL6Wqyc-6OCDFjW9I/e"&amp;"dit?usp=sharing"",""ตาก!N191"")+IMPORTRANGE(""https://docs.google.com/spreadsheets/d/1IQAWArduLkta9LpYo4a_ULsyqdta6-6aDDiwpUnQT6c/edit?usp=sharing"",""นครสวรรค์!N191"")+IMPORTRANGE(""https://docs.google.com/spreadsheets/d/10s13Sk5xrltsiR-Zkbmk5DwIaDIKO8Xl"&amp;"bJAfqyT7Gvg/edit?usp=sharing"",""น่าน!N191"")+IMPORTRANGE(""https://docs.google.com/spreadsheets/d/1uu4nAn4Dbi1XREnLKKotUANlKXa7yCgRcgq8HEzQYW8/edit?usp=sharing"",""พะเยา!N191"")+IMPORTRANGE(""https://docs.google.com/spreadsheets/d/1xfJKIQxVOaPDIICqsflNlL"&amp;"u3JacTDk1FP9RH4phX7mI/edit?usp=sharing"",""พิจิตร!N191"")+IMPORTRANGE(""https://docs.google.com/spreadsheets/d/1JtRfZkJMHtEhI5RdRHxYUG4FIZHqKDpNyIuN7A1Q0_k/edit?usp=sharing"",""พิษณุโลก!N191"")+IMPORTRANGE(""https://docs.google.com/spreadsheets/d/1xlcVZWU"&amp;"Nn6SuWm0c307h32SiGkd9BaeQWlAktfD3KO8/edit?usp=sharing"",""เพชรบูรณ์!N191"")+IMPORTRANGE(""https://docs.google.com/spreadsheets/d/1lOVebEIsI9qjGXl6EX66luk7wiuP2tBaryw-wKvv4e0/edit?usp=sharing"",""แพร่!N191"")+IMPORTRANGE(""https://docs.google.com/spreadshe"&amp;"ets/d/1dQrvX0vEcN7Gu0fnZ0B5S90AeR19zth4XlExFBeExMY/edit?usp=sharing"",""แม่ฮ่องสอน!N191"")+IMPORTRANGE(""https://docs.google.com/spreadsheets/d/1DY4XTNNwjluuxqdfdn6qvOSlMRrZqUtmYcZR0ttFiG4/edit?usp=sharing"",""ลำปาง!N191"")+IMPORTRANGE(""https://docs.goog"&amp;"le.com/spreadsheets/d/1ICwG78r0OFT8biBlxnBF8r7she7gNSzOvJ958PWT09c/edit?usp=sharing"",""ลำพูน!N191"")+IMPORTRANGE(""https://docs.google.com/spreadsheets/d/1B0f2xJpZUC6Z0xXnqKlZtEPzsf6L84eP1r1Q15seqRM/edit?usp=sharing"",""สุโขทัย!N191"")+IMPORTRANGE(""http"&amp;"s://docs.google.com/spreadsheets/d/1v0b9pFQCsKUVExMei7AgY2yQkdeNQvtOssygGsXbiKo/edit?usp=sharing"",""อุตรดิตถ์!N191"")+IMPORTRANGE(""https://docs.google.com/spreadsheets/d/1UsNK1e-WWiCo2PvGqdNfdme4m17_Ezd3J69EeeiQPD0/edit?usp=sharing"",""อุทัยธานี!N191"")"),2194971.57)</f>
        <v>2194971.5699999998</v>
      </c>
      <c r="O191" s="46">
        <f t="shared" ca="1" si="158"/>
        <v>56.061560988616918</v>
      </c>
      <c r="P191" s="46">
        <f t="shared" ca="1" si="159"/>
        <v>54.936807336749212</v>
      </c>
      <c r="Q191" s="46">
        <f ca="1">IFERROR(__xludf.DUMMYFUNCTION("IMPORTRANGE(""https://docs.google.com/spreadsheets/d/1jTcq05yEiRwXcBMLjiodW9e4biSGYWAHcDj22rKWQ3s/edit?usp=sharing"",""กำแพงเพชร!Q191"")+IMPORTRANGE(""https://docs.google.com/spreadsheets/d/1KS0zmDSZPk8KnTAbGN-Xk6MtX1YRZD0ldgdt20K4CRk/edit?usp=sharing"","&amp;"""เชียงราย!Q191"")+IMPORTRANGE(""https://docs.google.com/spreadsheets/d/1rEDxBtusbi64tE0zunoIbsTVV16HeL0oJ6trHQeQ7K8/edit?usp=sharing"",""เชียงใหม่!Q191"")+IMPORTRANGE(""https://docs.google.com/spreadsheets/d/1W6MnUbDkMi6xHnHko_XkFDO9kkuL6Wqyc-6OCDFjW9I/e"&amp;"dit?usp=sharing"",""ตาก!Q191"")+IMPORTRANGE(""https://docs.google.com/spreadsheets/d/1IQAWArduLkta9LpYo4a_ULsyqdta6-6aDDiwpUnQT6c/edit?usp=sharing"",""นครสวรรค์!Q191"")+IMPORTRANGE(""https://docs.google.com/spreadsheets/d/10s13Sk5xrltsiR-Zkbmk5DwIaDIKO8Xl"&amp;"bJAfqyT7Gvg/edit?usp=sharing"",""น่าน!Q191"")+IMPORTRANGE(""https://docs.google.com/spreadsheets/d/1uu4nAn4Dbi1XREnLKKotUANlKXa7yCgRcgq8HEzQYW8/edit?usp=sharing"",""พะเยา!Q191"")+IMPORTRANGE(""https://docs.google.com/spreadsheets/d/1xfJKIQxVOaPDIICqsflNlL"&amp;"u3JacTDk1FP9RH4phX7mI/edit?usp=sharing"",""พิจิตร!Q191"")+IMPORTRANGE(""https://docs.google.com/spreadsheets/d/1JtRfZkJMHtEhI5RdRHxYUG4FIZHqKDpNyIuN7A1Q0_k/edit?usp=sharing"",""พิษณุโลก!Q191"")+IMPORTRANGE(""https://docs.google.com/spreadsheets/d/1xlcVZWU"&amp;"Nn6SuWm0c307h32SiGkd9BaeQWlAktfD3KO8/edit?usp=sharing"",""เพชรบูรณ์!Q191"")+IMPORTRANGE(""https://docs.google.com/spreadsheets/d/1lOVebEIsI9qjGXl6EX66luk7wiuP2tBaryw-wKvv4e0/edit?usp=sharing"",""แพร่!Q191"")+IMPORTRANGE(""https://docs.google.com/spreadshe"&amp;"ets/d/1dQrvX0vEcN7Gu0fnZ0B5S90AeR19zth4XlExFBeExMY/edit?usp=sharing"",""แม่ฮ่องสอน!Q191"")+IMPORTRANGE(""https://docs.google.com/spreadsheets/d/1DY4XTNNwjluuxqdfdn6qvOSlMRrZqUtmYcZR0ttFiG4/edit?usp=sharing"",""ลำปาง!Q191"")+IMPORTRANGE(""https://docs.goog"&amp;"le.com/spreadsheets/d/1ICwG78r0OFT8biBlxnBF8r7she7gNSzOvJ958PWT09c/edit?usp=sharing"",""ลำพูน!Q191"")+IMPORTRANGE(""https://docs.google.com/spreadsheets/d/1B0f2xJpZUC6Z0xXnqKlZtEPzsf6L84eP1r1Q15seqRM/edit?usp=sharing"",""สุโขทัย!Q191"")+IMPORTRANGE(""http"&amp;"s://docs.google.com/spreadsheets/d/1v0b9pFQCsKUVExMei7AgY2yQkdeNQvtOssygGsXbiKo/edit?usp=sharing"",""อุตรดิตถ์!Q191"")+IMPORTRANGE(""https://docs.google.com/spreadsheets/d/1UsNK1e-WWiCo2PvGqdNfdme4m17_Ezd3J69EeeiQPD0/edit?usp=sharing"",""อุทัยธานี!Q191"")"),1496500)</f>
        <v>1496500</v>
      </c>
      <c r="R191" s="46">
        <f ca="1">IFERROR(__xludf.DUMMYFUNCTION("IMPORTRANGE(""https://docs.google.com/spreadsheets/d/1jTcq05yEiRwXcBMLjiodW9e4biSGYWAHcDj22rKWQ3s/edit?usp=sharing"",""กำแพงเพชร!R191"")+IMPORTRANGE(""https://docs.google.com/spreadsheets/d/1KS0zmDSZPk8KnTAbGN-Xk6MtX1YRZD0ldgdt20K4CRk/edit?usp=sharing"","&amp;"""เชียงราย!R191"")+IMPORTRANGE(""https://docs.google.com/spreadsheets/d/1rEDxBtusbi64tE0zunoIbsTVV16HeL0oJ6trHQeQ7K8/edit?usp=sharing"",""เชียงใหม่!R191"")+IMPORTRANGE(""https://docs.google.com/spreadsheets/d/1W6MnUbDkMi6xHnHko_XkFDO9kkuL6Wqyc-6OCDFjW9I/e"&amp;"dit?usp=sharing"",""ตาก!R191"")+IMPORTRANGE(""https://docs.google.com/spreadsheets/d/1IQAWArduLkta9LpYo4a_ULsyqdta6-6aDDiwpUnQT6c/edit?usp=sharing"",""นครสวรรค์!R191"")+IMPORTRANGE(""https://docs.google.com/spreadsheets/d/10s13Sk5xrltsiR-Zkbmk5DwIaDIKO8Xl"&amp;"bJAfqyT7Gvg/edit?usp=sharing"",""น่าน!R191"")+IMPORTRANGE(""https://docs.google.com/spreadsheets/d/1uu4nAn4Dbi1XREnLKKotUANlKXa7yCgRcgq8HEzQYW8/edit?usp=sharing"",""พะเยา!R191"")+IMPORTRANGE(""https://docs.google.com/spreadsheets/d/1xfJKIQxVOaPDIICqsflNlL"&amp;"u3JacTDk1FP9RH4phX7mI/edit?usp=sharing"",""พิจิตร!R191"")+IMPORTRANGE(""https://docs.google.com/spreadsheets/d/1JtRfZkJMHtEhI5RdRHxYUG4FIZHqKDpNyIuN7A1Q0_k/edit?usp=sharing"",""พิษณุโลก!R191"")+IMPORTRANGE(""https://docs.google.com/spreadsheets/d/1xlcVZWU"&amp;"Nn6SuWm0c307h32SiGkd9BaeQWlAktfD3KO8/edit?usp=sharing"",""เพชรบูรณ์!R191"")+IMPORTRANGE(""https://docs.google.com/spreadsheets/d/1lOVebEIsI9qjGXl6EX66luk7wiuP2tBaryw-wKvv4e0/edit?usp=sharing"",""แพร่!R191"")+IMPORTRANGE(""https://docs.google.com/spreadshe"&amp;"ets/d/1dQrvX0vEcN7Gu0fnZ0B5S90AeR19zth4XlExFBeExMY/edit?usp=sharing"",""แม่ฮ่องสอน!R191"")+IMPORTRANGE(""https://docs.google.com/spreadsheets/d/1DY4XTNNwjluuxqdfdn6qvOSlMRrZqUtmYcZR0ttFiG4/edit?usp=sharing"",""ลำปาง!R191"")+IMPORTRANGE(""https://docs.goog"&amp;"le.com/spreadsheets/d/1ICwG78r0OFT8biBlxnBF8r7she7gNSzOvJ958PWT09c/edit?usp=sharing"",""ลำพูน!R191"")+IMPORTRANGE(""https://docs.google.com/spreadsheets/d/1B0f2xJpZUC6Z0xXnqKlZtEPzsf6L84eP1r1Q15seqRM/edit?usp=sharing"",""สุโขทัย!R191"")+IMPORTRANGE(""http"&amp;"s://docs.google.com/spreadsheets/d/1v0b9pFQCsKUVExMei7AgY2yQkdeNQvtOssygGsXbiKo/edit?usp=sharing"",""อุตรดิตถ์!R191"")+IMPORTRANGE(""https://docs.google.com/spreadsheets/d/1UsNK1e-WWiCo2PvGqdNfdme4m17_Ezd3J69EeeiQPD0/edit?usp=sharing"",""อุทัยธานี!R191"")"),1492500)</f>
        <v>1492500</v>
      </c>
      <c r="S191" s="46">
        <f ca="1">IFERROR(__xludf.DUMMYFUNCTION("IMPORTRANGE(""https://docs.google.com/spreadsheets/d/1jTcq05yEiRwXcBMLjiodW9e4biSGYWAHcDj22rKWQ3s/edit?usp=sharing"",""กำแพงเพชร!S191"")+IMPORTRANGE(""https://docs.google.com/spreadsheets/d/1KS0zmDSZPk8KnTAbGN-Xk6MtX1YRZD0ldgdt20K4CRk/edit?usp=sharing"","&amp;"""เชียงราย!S191"")+IMPORTRANGE(""https://docs.google.com/spreadsheets/d/1rEDxBtusbi64tE0zunoIbsTVV16HeL0oJ6trHQeQ7K8/edit?usp=sharing"",""เชียงใหม่!S191"")+IMPORTRANGE(""https://docs.google.com/spreadsheets/d/1W6MnUbDkMi6xHnHko_XkFDO9kkuL6Wqyc-6OCDFjW9I/e"&amp;"dit?usp=sharing"",""ตาก!S191"")+IMPORTRANGE(""https://docs.google.com/spreadsheets/d/1IQAWArduLkta9LpYo4a_ULsyqdta6-6aDDiwpUnQT6c/edit?usp=sharing"",""นครสวรรค์!S191"")+IMPORTRANGE(""https://docs.google.com/spreadsheets/d/10s13Sk5xrltsiR-Zkbmk5DwIaDIKO8Xl"&amp;"bJAfqyT7Gvg/edit?usp=sharing"",""น่าน!S191"")+IMPORTRANGE(""https://docs.google.com/spreadsheets/d/1uu4nAn4Dbi1XREnLKKotUANlKXa7yCgRcgq8HEzQYW8/edit?usp=sharing"",""พะเยา!S191"")+IMPORTRANGE(""https://docs.google.com/spreadsheets/d/1xfJKIQxVOaPDIICqsflNlL"&amp;"u3JacTDk1FP9RH4phX7mI/edit?usp=sharing"",""พิจิตร!S191"")+IMPORTRANGE(""https://docs.google.com/spreadsheets/d/1JtRfZkJMHtEhI5RdRHxYUG4FIZHqKDpNyIuN7A1Q0_k/edit?usp=sharing"",""พิษณุโลก!S191"")+IMPORTRANGE(""https://docs.google.com/spreadsheets/d/1xlcVZWU"&amp;"Nn6SuWm0c307h32SiGkd9BaeQWlAktfD3KO8/edit?usp=sharing"",""เพชรบูรณ์!S191"")+IMPORTRANGE(""https://docs.google.com/spreadsheets/d/1lOVebEIsI9qjGXl6EX66luk7wiuP2tBaryw-wKvv4e0/edit?usp=sharing"",""แพร่!S191"")+IMPORTRANGE(""https://docs.google.com/spreadshe"&amp;"ets/d/1dQrvX0vEcN7Gu0fnZ0B5S90AeR19zth4XlExFBeExMY/edit?usp=sharing"",""แม่ฮ่องสอน!S191"")+IMPORTRANGE(""https://docs.google.com/spreadsheets/d/1DY4XTNNwjluuxqdfdn6qvOSlMRrZqUtmYcZR0ttFiG4/edit?usp=sharing"",""ลำปาง!S191"")+IMPORTRANGE(""https://docs.goog"&amp;"le.com/spreadsheets/d/1ICwG78r0OFT8biBlxnBF8r7she7gNSzOvJ958PWT09c/edit?usp=sharing"",""ลำพูน!S191"")+IMPORTRANGE(""https://docs.google.com/spreadsheets/d/1B0f2xJpZUC6Z0xXnqKlZtEPzsf6L84eP1r1Q15seqRM/edit?usp=sharing"",""สุโขทัย!S191"")+IMPORTRANGE(""http"&amp;"s://docs.google.com/spreadsheets/d/1v0b9pFQCsKUVExMei7AgY2yQkdeNQvtOssygGsXbiKo/edit?usp=sharing"",""อุตรดิตถ์!S191"")+IMPORTRANGE(""https://docs.google.com/spreadsheets/d/1UsNK1e-WWiCo2PvGqdNfdme4m17_Ezd3J69EeeiQPD0/edit?usp=sharing"",""อุทัยธานี!S191"")"),658920)</f>
        <v>658920</v>
      </c>
      <c r="T191" s="46">
        <f t="shared" ca="1" si="161"/>
        <v>44.030738389575674</v>
      </c>
      <c r="U191" s="46">
        <f t="shared" ca="1" si="162"/>
        <v>44.148743718592968</v>
      </c>
    </row>
    <row r="192" spans="1:21" ht="18.75" x14ac:dyDescent="0.25">
      <c r="A192" s="128"/>
      <c r="B192" s="40"/>
      <c r="C192" s="40"/>
      <c r="D192" s="41" t="s">
        <v>23</v>
      </c>
      <c r="E192" s="40"/>
      <c r="F192" s="40"/>
      <c r="G192" s="42"/>
      <c r="H192" s="137" t="s">
        <v>14</v>
      </c>
      <c r="I192" s="135"/>
      <c r="J192" s="135"/>
      <c r="K192" s="136"/>
      <c r="L192" s="46">
        <f t="shared" ref="L192:N192" ca="1" si="169">L193+L194</f>
        <v>0</v>
      </c>
      <c r="M192" s="46">
        <f t="shared" ca="1" si="169"/>
        <v>0</v>
      </c>
      <c r="N192" s="46">
        <f t="shared" ca="1" si="169"/>
        <v>0</v>
      </c>
      <c r="O192" s="46">
        <f t="shared" ca="1" si="158"/>
        <v>0</v>
      </c>
      <c r="P192" s="46">
        <f t="shared" ca="1" si="159"/>
        <v>0</v>
      </c>
      <c r="Q192" s="46">
        <f t="shared" ref="Q192:S192" ca="1" si="170">Q193+Q194</f>
        <v>0</v>
      </c>
      <c r="R192" s="46">
        <f t="shared" ca="1" si="170"/>
        <v>0</v>
      </c>
      <c r="S192" s="46">
        <f t="shared" ca="1" si="170"/>
        <v>0</v>
      </c>
      <c r="T192" s="46">
        <f t="shared" ca="1" si="161"/>
        <v>0</v>
      </c>
      <c r="U192" s="46">
        <f t="shared" ca="1" si="162"/>
        <v>0</v>
      </c>
    </row>
    <row r="193" spans="1:21" ht="18.75" x14ac:dyDescent="0.25">
      <c r="A193" s="128"/>
      <c r="B193" s="40"/>
      <c r="C193" s="40"/>
      <c r="D193" s="40"/>
      <c r="E193" s="47" t="s">
        <v>20</v>
      </c>
      <c r="F193" s="40"/>
      <c r="G193" s="42"/>
      <c r="H193" s="134" t="s">
        <v>14</v>
      </c>
      <c r="I193" s="135"/>
      <c r="J193" s="135"/>
      <c r="K193" s="136"/>
      <c r="L193" s="46">
        <f ca="1">IFERROR(__xludf.DUMMYFUNCTION("IMPORTRANGE(""https://docs.google.com/spreadsheets/d/1jTcq05yEiRwXcBMLjiodW9e4biSGYWAHcDj22rKWQ3s/edit?usp=sharing"",""กำแพงเพชร!L193"")+IMPORTRANGE(""https://docs.google.com/spreadsheets/d/1KS0zmDSZPk8KnTAbGN-Xk6MtX1YRZD0ldgdt20K4CRk/edit?usp=sharing"","&amp;"""เชียงราย!L193"")+IMPORTRANGE(""https://docs.google.com/spreadsheets/d/1rEDxBtusbi64tE0zunoIbsTVV16HeL0oJ6trHQeQ7K8/edit?usp=sharing"",""เชียงใหม่!L193"")+IMPORTRANGE(""https://docs.google.com/spreadsheets/d/1W6MnUbDkMi6xHnHko_XkFDO9kkuL6Wqyc-6OCDFjW9I/e"&amp;"dit?usp=sharing"",""ตาก!L193"")+IMPORTRANGE(""https://docs.google.com/spreadsheets/d/1IQAWArduLkta9LpYo4a_ULsyqdta6-6aDDiwpUnQT6c/edit?usp=sharing"",""นครสวรรค์!L193"")+IMPORTRANGE(""https://docs.google.com/spreadsheets/d/10s13Sk5xrltsiR-Zkbmk5DwIaDIKO8Xl"&amp;"bJAfqyT7Gvg/edit?usp=sharing"",""น่าน!L193"")+IMPORTRANGE(""https://docs.google.com/spreadsheets/d/1uu4nAn4Dbi1XREnLKKotUANlKXa7yCgRcgq8HEzQYW8/edit?usp=sharing"",""พะเยา!L193"")+IMPORTRANGE(""https://docs.google.com/spreadsheets/d/1xfJKIQxVOaPDIICqsflNlL"&amp;"u3JacTDk1FP9RH4phX7mI/edit?usp=sharing"",""พิจิตร!L193"")+IMPORTRANGE(""https://docs.google.com/spreadsheets/d/1JtRfZkJMHtEhI5RdRHxYUG4FIZHqKDpNyIuN7A1Q0_k/edit?usp=sharing"",""พิษณุโลก!L193"")+IMPORTRANGE(""https://docs.google.com/spreadsheets/d/1xlcVZWU"&amp;"Nn6SuWm0c307h32SiGkd9BaeQWlAktfD3KO8/edit?usp=sharing"",""เพชรบูรณ์!L193"")+IMPORTRANGE(""https://docs.google.com/spreadsheets/d/1lOVebEIsI9qjGXl6EX66luk7wiuP2tBaryw-wKvv4e0/edit?usp=sharing"",""แพร่!L193"")+IMPORTRANGE(""https://docs.google.com/spreadshe"&amp;"ets/d/1dQrvX0vEcN7Gu0fnZ0B5S90AeR19zth4XlExFBeExMY/edit?usp=sharing"",""แม่ฮ่องสอน!L193"")+IMPORTRANGE(""https://docs.google.com/spreadsheets/d/1DY4XTNNwjluuxqdfdn6qvOSlMRrZqUtmYcZR0ttFiG4/edit?usp=sharing"",""ลำปาง!L193"")+IMPORTRANGE(""https://docs.goog"&amp;"le.com/spreadsheets/d/1ICwG78r0OFT8biBlxnBF8r7she7gNSzOvJ958PWT09c/edit?usp=sharing"",""ลำพูน!L193"")+IMPORTRANGE(""https://docs.google.com/spreadsheets/d/1B0f2xJpZUC6Z0xXnqKlZtEPzsf6L84eP1r1Q15seqRM/edit?usp=sharing"",""สุโขทัย!L193"")+IMPORTRANGE(""http"&amp;"s://docs.google.com/spreadsheets/d/1v0b9pFQCsKUVExMei7AgY2yQkdeNQvtOssygGsXbiKo/edit?usp=sharing"",""อุตรดิตถ์!L193"")+IMPORTRANGE(""https://docs.google.com/spreadsheets/d/1UsNK1e-WWiCo2PvGqdNfdme4m17_Ezd3J69EeeiQPD0/edit?usp=sharing"",""อุทัยธานี!L193"")"),0)</f>
        <v>0</v>
      </c>
      <c r="M193" s="46">
        <f ca="1">IFERROR(__xludf.DUMMYFUNCTION("IMPORTRANGE(""https://docs.google.com/spreadsheets/d/1jTcq05yEiRwXcBMLjiodW9e4biSGYWAHcDj22rKWQ3s/edit?usp=sharing"",""กำแพงเพชร!M193"")+IMPORTRANGE(""https://docs.google.com/spreadsheets/d/1KS0zmDSZPk8KnTAbGN-Xk6MtX1YRZD0ldgdt20K4CRk/edit?usp=sharing"","&amp;"""เชียงราย!M193"")+IMPORTRANGE(""https://docs.google.com/spreadsheets/d/1rEDxBtusbi64tE0zunoIbsTVV16HeL0oJ6trHQeQ7K8/edit?usp=sharing"",""เชียงใหม่!M193"")+IMPORTRANGE(""https://docs.google.com/spreadsheets/d/1W6MnUbDkMi6xHnHko_XkFDO9kkuL6Wqyc-6OCDFjW9I/e"&amp;"dit?usp=sharing"",""ตาก!M193"")+IMPORTRANGE(""https://docs.google.com/spreadsheets/d/1IQAWArduLkta9LpYo4a_ULsyqdta6-6aDDiwpUnQT6c/edit?usp=sharing"",""นครสวรรค์!M193"")+IMPORTRANGE(""https://docs.google.com/spreadsheets/d/10s13Sk5xrltsiR-Zkbmk5DwIaDIKO8Xl"&amp;"bJAfqyT7Gvg/edit?usp=sharing"",""น่าน!M193"")+IMPORTRANGE(""https://docs.google.com/spreadsheets/d/1uu4nAn4Dbi1XREnLKKotUANlKXa7yCgRcgq8HEzQYW8/edit?usp=sharing"",""พะเยา!M193"")+IMPORTRANGE(""https://docs.google.com/spreadsheets/d/1xfJKIQxVOaPDIICqsflNlL"&amp;"u3JacTDk1FP9RH4phX7mI/edit?usp=sharing"",""พิจิตร!M193"")+IMPORTRANGE(""https://docs.google.com/spreadsheets/d/1JtRfZkJMHtEhI5RdRHxYUG4FIZHqKDpNyIuN7A1Q0_k/edit?usp=sharing"",""พิษณุโลก!M193"")+IMPORTRANGE(""https://docs.google.com/spreadsheets/d/1xlcVZWU"&amp;"Nn6SuWm0c307h32SiGkd9BaeQWlAktfD3KO8/edit?usp=sharing"",""เพชรบูรณ์!M193"")+IMPORTRANGE(""https://docs.google.com/spreadsheets/d/1lOVebEIsI9qjGXl6EX66luk7wiuP2tBaryw-wKvv4e0/edit?usp=sharing"",""แพร่!M193"")+IMPORTRANGE(""https://docs.google.com/spreadshe"&amp;"ets/d/1dQrvX0vEcN7Gu0fnZ0B5S90AeR19zth4XlExFBeExMY/edit?usp=sharing"",""แม่ฮ่องสอน!M193"")+IMPORTRANGE(""https://docs.google.com/spreadsheets/d/1DY4XTNNwjluuxqdfdn6qvOSlMRrZqUtmYcZR0ttFiG4/edit?usp=sharing"",""ลำปาง!M193"")+IMPORTRANGE(""https://docs.goog"&amp;"le.com/spreadsheets/d/1ICwG78r0OFT8biBlxnBF8r7she7gNSzOvJ958PWT09c/edit?usp=sharing"",""ลำพูน!M193"")+IMPORTRANGE(""https://docs.google.com/spreadsheets/d/1B0f2xJpZUC6Z0xXnqKlZtEPzsf6L84eP1r1Q15seqRM/edit?usp=sharing"",""สุโขทัย!M193"")+IMPORTRANGE(""http"&amp;"s://docs.google.com/spreadsheets/d/1v0b9pFQCsKUVExMei7AgY2yQkdeNQvtOssygGsXbiKo/edit?usp=sharing"",""อุตรดิตถ์!M193"")+IMPORTRANGE(""https://docs.google.com/spreadsheets/d/1UsNK1e-WWiCo2PvGqdNfdme4m17_Ezd3J69EeeiQPD0/edit?usp=sharing"",""อุทัยธานี!M193"")"),0)</f>
        <v>0</v>
      </c>
      <c r="N193" s="46">
        <f ca="1">IFERROR(__xludf.DUMMYFUNCTION("IMPORTRANGE(""https://docs.google.com/spreadsheets/d/1jTcq05yEiRwXcBMLjiodW9e4biSGYWAHcDj22rKWQ3s/edit?usp=sharing"",""กำแพงเพชร!N193"")+IMPORTRANGE(""https://docs.google.com/spreadsheets/d/1KS0zmDSZPk8KnTAbGN-Xk6MtX1YRZD0ldgdt20K4CRk/edit?usp=sharing"","&amp;"""เชียงราย!N193"")+IMPORTRANGE(""https://docs.google.com/spreadsheets/d/1rEDxBtusbi64tE0zunoIbsTVV16HeL0oJ6trHQeQ7K8/edit?usp=sharing"",""เชียงใหม่!N193"")+IMPORTRANGE(""https://docs.google.com/spreadsheets/d/1W6MnUbDkMi6xHnHko_XkFDO9kkuL6Wqyc-6OCDFjW9I/e"&amp;"dit?usp=sharing"",""ตาก!N193"")+IMPORTRANGE(""https://docs.google.com/spreadsheets/d/1IQAWArduLkta9LpYo4a_ULsyqdta6-6aDDiwpUnQT6c/edit?usp=sharing"",""นครสวรรค์!N193"")+IMPORTRANGE(""https://docs.google.com/spreadsheets/d/10s13Sk5xrltsiR-Zkbmk5DwIaDIKO8Xl"&amp;"bJAfqyT7Gvg/edit?usp=sharing"",""น่าน!N193"")+IMPORTRANGE(""https://docs.google.com/spreadsheets/d/1uu4nAn4Dbi1XREnLKKotUANlKXa7yCgRcgq8HEzQYW8/edit?usp=sharing"",""พะเยา!N193"")+IMPORTRANGE(""https://docs.google.com/spreadsheets/d/1xfJKIQxVOaPDIICqsflNlL"&amp;"u3JacTDk1FP9RH4phX7mI/edit?usp=sharing"",""พิจิตร!N193"")+IMPORTRANGE(""https://docs.google.com/spreadsheets/d/1JtRfZkJMHtEhI5RdRHxYUG4FIZHqKDpNyIuN7A1Q0_k/edit?usp=sharing"",""พิษณุโลก!N193"")+IMPORTRANGE(""https://docs.google.com/spreadsheets/d/1xlcVZWU"&amp;"Nn6SuWm0c307h32SiGkd9BaeQWlAktfD3KO8/edit?usp=sharing"",""เพชรบูรณ์!N193"")+IMPORTRANGE(""https://docs.google.com/spreadsheets/d/1lOVebEIsI9qjGXl6EX66luk7wiuP2tBaryw-wKvv4e0/edit?usp=sharing"",""แพร่!N193"")+IMPORTRANGE(""https://docs.google.com/spreadshe"&amp;"ets/d/1dQrvX0vEcN7Gu0fnZ0B5S90AeR19zth4XlExFBeExMY/edit?usp=sharing"",""แม่ฮ่องสอน!N193"")+IMPORTRANGE(""https://docs.google.com/spreadsheets/d/1DY4XTNNwjluuxqdfdn6qvOSlMRrZqUtmYcZR0ttFiG4/edit?usp=sharing"",""ลำปาง!N193"")+IMPORTRANGE(""https://docs.goog"&amp;"le.com/spreadsheets/d/1ICwG78r0OFT8biBlxnBF8r7she7gNSzOvJ958PWT09c/edit?usp=sharing"",""ลำพูน!N193"")+IMPORTRANGE(""https://docs.google.com/spreadsheets/d/1B0f2xJpZUC6Z0xXnqKlZtEPzsf6L84eP1r1Q15seqRM/edit?usp=sharing"",""สุโขทัย!N193"")+IMPORTRANGE(""http"&amp;"s://docs.google.com/spreadsheets/d/1v0b9pFQCsKUVExMei7AgY2yQkdeNQvtOssygGsXbiKo/edit?usp=sharing"",""อุตรดิตถ์!N193"")+IMPORTRANGE(""https://docs.google.com/spreadsheets/d/1UsNK1e-WWiCo2PvGqdNfdme4m17_Ezd3J69EeeiQPD0/edit?usp=sharing"",""อุทัยธานี!N193"")"),0)</f>
        <v>0</v>
      </c>
      <c r="O193" s="46">
        <f t="shared" ca="1" si="158"/>
        <v>0</v>
      </c>
      <c r="P193" s="46">
        <f t="shared" ca="1" si="159"/>
        <v>0</v>
      </c>
      <c r="Q193" s="48">
        <f ca="1">IFERROR(__xludf.DUMMYFUNCTION("IMPORTRANGE(""https://docs.google.com/spreadsheets/d/1jTcq05yEiRwXcBMLjiodW9e4biSGYWAHcDj22rKWQ3s/edit?usp=sharing"",""กำแพงเพชร!Q193"")+IMPORTRANGE(""https://docs.google.com/spreadsheets/d/1KS0zmDSZPk8KnTAbGN-Xk6MtX1YRZD0ldgdt20K4CRk/edit?usp=sharing"","&amp;"""เชียงราย!Q193"")+IMPORTRANGE(""https://docs.google.com/spreadsheets/d/1rEDxBtusbi64tE0zunoIbsTVV16HeL0oJ6trHQeQ7K8/edit?usp=sharing"",""เชียงใหม่!Q193"")+IMPORTRANGE(""https://docs.google.com/spreadsheets/d/1W6MnUbDkMi6xHnHko_XkFDO9kkuL6Wqyc-6OCDFjW9I/e"&amp;"dit?usp=sharing"",""ตาก!Q193"")+IMPORTRANGE(""https://docs.google.com/spreadsheets/d/1IQAWArduLkta9LpYo4a_ULsyqdta6-6aDDiwpUnQT6c/edit?usp=sharing"",""นครสวรรค์!Q193"")+IMPORTRANGE(""https://docs.google.com/spreadsheets/d/10s13Sk5xrltsiR-Zkbmk5DwIaDIKO8Xl"&amp;"bJAfqyT7Gvg/edit?usp=sharing"",""น่าน!Q193"")+IMPORTRANGE(""https://docs.google.com/spreadsheets/d/1uu4nAn4Dbi1XREnLKKotUANlKXa7yCgRcgq8HEzQYW8/edit?usp=sharing"",""พะเยา!Q193"")+IMPORTRANGE(""https://docs.google.com/spreadsheets/d/1xfJKIQxVOaPDIICqsflNlL"&amp;"u3JacTDk1FP9RH4phX7mI/edit?usp=sharing"",""พิจิตร!Q193"")+IMPORTRANGE(""https://docs.google.com/spreadsheets/d/1JtRfZkJMHtEhI5RdRHxYUG4FIZHqKDpNyIuN7A1Q0_k/edit?usp=sharing"",""พิษณุโลก!Q193"")+IMPORTRANGE(""https://docs.google.com/spreadsheets/d/1xlcVZWU"&amp;"Nn6SuWm0c307h32SiGkd9BaeQWlAktfD3KO8/edit?usp=sharing"",""เพชรบูรณ์!Q193"")+IMPORTRANGE(""https://docs.google.com/spreadsheets/d/1lOVebEIsI9qjGXl6EX66luk7wiuP2tBaryw-wKvv4e0/edit?usp=sharing"",""แพร่!Q193"")+IMPORTRANGE(""https://docs.google.com/spreadshe"&amp;"ets/d/1dQrvX0vEcN7Gu0fnZ0B5S90AeR19zth4XlExFBeExMY/edit?usp=sharing"",""แม่ฮ่องสอน!Q193"")+IMPORTRANGE(""https://docs.google.com/spreadsheets/d/1DY4XTNNwjluuxqdfdn6qvOSlMRrZqUtmYcZR0ttFiG4/edit?usp=sharing"",""ลำปาง!Q193"")+IMPORTRANGE(""https://docs.goog"&amp;"le.com/spreadsheets/d/1ICwG78r0OFT8biBlxnBF8r7she7gNSzOvJ958PWT09c/edit?usp=sharing"",""ลำพูน!Q193"")+IMPORTRANGE(""https://docs.google.com/spreadsheets/d/1B0f2xJpZUC6Z0xXnqKlZtEPzsf6L84eP1r1Q15seqRM/edit?usp=sharing"",""สุโขทัย!Q193"")+IMPORTRANGE(""http"&amp;"s://docs.google.com/spreadsheets/d/1v0b9pFQCsKUVExMei7AgY2yQkdeNQvtOssygGsXbiKo/edit?usp=sharing"",""อุตรดิตถ์!Q193"")+IMPORTRANGE(""https://docs.google.com/spreadsheets/d/1UsNK1e-WWiCo2PvGqdNfdme4m17_Ezd3J69EeeiQPD0/edit?usp=sharing"",""อุทัยธานี!Q193"")"),0)</f>
        <v>0</v>
      </c>
      <c r="R193" s="48">
        <f ca="1">IFERROR(__xludf.DUMMYFUNCTION("IMPORTRANGE(""https://docs.google.com/spreadsheets/d/1jTcq05yEiRwXcBMLjiodW9e4biSGYWAHcDj22rKWQ3s/edit?usp=sharing"",""กำแพงเพชร!R193"")+IMPORTRANGE(""https://docs.google.com/spreadsheets/d/1KS0zmDSZPk8KnTAbGN-Xk6MtX1YRZD0ldgdt20K4CRk/edit?usp=sharing"","&amp;"""เชียงราย!R193"")+IMPORTRANGE(""https://docs.google.com/spreadsheets/d/1rEDxBtusbi64tE0zunoIbsTVV16HeL0oJ6trHQeQ7K8/edit?usp=sharing"",""เชียงใหม่!R193"")+IMPORTRANGE(""https://docs.google.com/spreadsheets/d/1W6MnUbDkMi6xHnHko_XkFDO9kkuL6Wqyc-6OCDFjW9I/e"&amp;"dit?usp=sharing"",""ตาก!R193"")+IMPORTRANGE(""https://docs.google.com/spreadsheets/d/1IQAWArduLkta9LpYo4a_ULsyqdta6-6aDDiwpUnQT6c/edit?usp=sharing"",""นครสวรรค์!R193"")+IMPORTRANGE(""https://docs.google.com/spreadsheets/d/10s13Sk5xrltsiR-Zkbmk5DwIaDIKO8Xl"&amp;"bJAfqyT7Gvg/edit?usp=sharing"",""น่าน!R193"")+IMPORTRANGE(""https://docs.google.com/spreadsheets/d/1uu4nAn4Dbi1XREnLKKotUANlKXa7yCgRcgq8HEzQYW8/edit?usp=sharing"",""พะเยา!R193"")+IMPORTRANGE(""https://docs.google.com/spreadsheets/d/1xfJKIQxVOaPDIICqsflNlL"&amp;"u3JacTDk1FP9RH4phX7mI/edit?usp=sharing"",""พิจิตร!R193"")+IMPORTRANGE(""https://docs.google.com/spreadsheets/d/1JtRfZkJMHtEhI5RdRHxYUG4FIZHqKDpNyIuN7A1Q0_k/edit?usp=sharing"",""พิษณุโลก!R193"")+IMPORTRANGE(""https://docs.google.com/spreadsheets/d/1xlcVZWU"&amp;"Nn6SuWm0c307h32SiGkd9BaeQWlAktfD3KO8/edit?usp=sharing"",""เพชรบูรณ์!R193"")+IMPORTRANGE(""https://docs.google.com/spreadsheets/d/1lOVebEIsI9qjGXl6EX66luk7wiuP2tBaryw-wKvv4e0/edit?usp=sharing"",""แพร่!R193"")+IMPORTRANGE(""https://docs.google.com/spreadshe"&amp;"ets/d/1dQrvX0vEcN7Gu0fnZ0B5S90AeR19zth4XlExFBeExMY/edit?usp=sharing"",""แม่ฮ่องสอน!R193"")+IMPORTRANGE(""https://docs.google.com/spreadsheets/d/1DY4XTNNwjluuxqdfdn6qvOSlMRrZqUtmYcZR0ttFiG4/edit?usp=sharing"",""ลำปาง!R193"")+IMPORTRANGE(""https://docs.goog"&amp;"le.com/spreadsheets/d/1ICwG78r0OFT8biBlxnBF8r7she7gNSzOvJ958PWT09c/edit?usp=sharing"",""ลำพูน!R193"")+IMPORTRANGE(""https://docs.google.com/spreadsheets/d/1B0f2xJpZUC6Z0xXnqKlZtEPzsf6L84eP1r1Q15seqRM/edit?usp=sharing"",""สุโขทัย!R193"")+IMPORTRANGE(""http"&amp;"s://docs.google.com/spreadsheets/d/1v0b9pFQCsKUVExMei7AgY2yQkdeNQvtOssygGsXbiKo/edit?usp=sharing"",""อุตรดิตถ์!R193"")+IMPORTRANGE(""https://docs.google.com/spreadsheets/d/1UsNK1e-WWiCo2PvGqdNfdme4m17_Ezd3J69EeeiQPD0/edit?usp=sharing"",""อุทัยธานี!R193"")"),0)</f>
        <v>0</v>
      </c>
      <c r="S193" s="48">
        <f ca="1">IFERROR(__xludf.DUMMYFUNCTION("IMPORTRANGE(""https://docs.google.com/spreadsheets/d/1jTcq05yEiRwXcBMLjiodW9e4biSGYWAHcDj22rKWQ3s/edit?usp=sharing"",""กำแพงเพชร!S193"")+IMPORTRANGE(""https://docs.google.com/spreadsheets/d/1KS0zmDSZPk8KnTAbGN-Xk6MtX1YRZD0ldgdt20K4CRk/edit?usp=sharing"","&amp;"""เชียงราย!S193"")+IMPORTRANGE(""https://docs.google.com/spreadsheets/d/1rEDxBtusbi64tE0zunoIbsTVV16HeL0oJ6trHQeQ7K8/edit?usp=sharing"",""เชียงใหม่!S193"")+IMPORTRANGE(""https://docs.google.com/spreadsheets/d/1W6MnUbDkMi6xHnHko_XkFDO9kkuL6Wqyc-6OCDFjW9I/e"&amp;"dit?usp=sharing"",""ตาก!S193"")+IMPORTRANGE(""https://docs.google.com/spreadsheets/d/1IQAWArduLkta9LpYo4a_ULsyqdta6-6aDDiwpUnQT6c/edit?usp=sharing"",""นครสวรรค์!S193"")+IMPORTRANGE(""https://docs.google.com/spreadsheets/d/10s13Sk5xrltsiR-Zkbmk5DwIaDIKO8Xl"&amp;"bJAfqyT7Gvg/edit?usp=sharing"",""น่าน!S193"")+IMPORTRANGE(""https://docs.google.com/spreadsheets/d/1uu4nAn4Dbi1XREnLKKotUANlKXa7yCgRcgq8HEzQYW8/edit?usp=sharing"",""พะเยา!S193"")+IMPORTRANGE(""https://docs.google.com/spreadsheets/d/1xfJKIQxVOaPDIICqsflNlL"&amp;"u3JacTDk1FP9RH4phX7mI/edit?usp=sharing"",""พิจิตร!S193"")+IMPORTRANGE(""https://docs.google.com/spreadsheets/d/1JtRfZkJMHtEhI5RdRHxYUG4FIZHqKDpNyIuN7A1Q0_k/edit?usp=sharing"",""พิษณุโลก!S193"")+IMPORTRANGE(""https://docs.google.com/spreadsheets/d/1xlcVZWU"&amp;"Nn6SuWm0c307h32SiGkd9BaeQWlAktfD3KO8/edit?usp=sharing"",""เพชรบูรณ์!S193"")+IMPORTRANGE(""https://docs.google.com/spreadsheets/d/1lOVebEIsI9qjGXl6EX66luk7wiuP2tBaryw-wKvv4e0/edit?usp=sharing"",""แพร่!S193"")+IMPORTRANGE(""https://docs.google.com/spreadshe"&amp;"ets/d/1dQrvX0vEcN7Gu0fnZ0B5S90AeR19zth4XlExFBeExMY/edit?usp=sharing"",""แม่ฮ่องสอน!S193"")+IMPORTRANGE(""https://docs.google.com/spreadsheets/d/1DY4XTNNwjluuxqdfdn6qvOSlMRrZqUtmYcZR0ttFiG4/edit?usp=sharing"",""ลำปาง!S193"")+IMPORTRANGE(""https://docs.goog"&amp;"le.com/spreadsheets/d/1ICwG78r0OFT8biBlxnBF8r7she7gNSzOvJ958PWT09c/edit?usp=sharing"",""ลำพูน!S193"")+IMPORTRANGE(""https://docs.google.com/spreadsheets/d/1B0f2xJpZUC6Z0xXnqKlZtEPzsf6L84eP1r1Q15seqRM/edit?usp=sharing"",""สุโขทัย!S193"")+IMPORTRANGE(""http"&amp;"s://docs.google.com/spreadsheets/d/1v0b9pFQCsKUVExMei7AgY2yQkdeNQvtOssygGsXbiKo/edit?usp=sharing"",""อุตรดิตถ์!S193"")+IMPORTRANGE(""https://docs.google.com/spreadsheets/d/1UsNK1e-WWiCo2PvGqdNfdme4m17_Ezd3J69EeeiQPD0/edit?usp=sharing"",""อุทัยธานี!S193"")"),0)</f>
        <v>0</v>
      </c>
      <c r="T193" s="48">
        <f t="shared" ca="1" si="161"/>
        <v>0</v>
      </c>
      <c r="U193" s="48">
        <f t="shared" ca="1" si="162"/>
        <v>0</v>
      </c>
    </row>
    <row r="194" spans="1:21" ht="18.75" x14ac:dyDescent="0.25">
      <c r="A194" s="128"/>
      <c r="B194" s="40"/>
      <c r="C194" s="40"/>
      <c r="D194" s="40"/>
      <c r="E194" s="47" t="s">
        <v>21</v>
      </c>
      <c r="F194" s="40"/>
      <c r="G194" s="42"/>
      <c r="H194" s="137" t="s">
        <v>14</v>
      </c>
      <c r="I194" s="135"/>
      <c r="J194" s="135"/>
      <c r="K194" s="136"/>
      <c r="L194" s="46">
        <f ca="1">IFERROR(__xludf.DUMMYFUNCTION("IMPORTRANGE(""https://docs.google.com/spreadsheets/d/1jTcq05yEiRwXcBMLjiodW9e4biSGYWAHcDj22rKWQ3s/edit?usp=sharing"",""กำแพงเพชร!L194"")+IMPORTRANGE(""https://docs.google.com/spreadsheets/d/1KS0zmDSZPk8KnTAbGN-Xk6MtX1YRZD0ldgdt20K4CRk/edit?usp=sharing"","&amp;"""เชียงราย!L194"")+IMPORTRANGE(""https://docs.google.com/spreadsheets/d/1rEDxBtusbi64tE0zunoIbsTVV16HeL0oJ6trHQeQ7K8/edit?usp=sharing"",""เชียงใหม่!L194"")+IMPORTRANGE(""https://docs.google.com/spreadsheets/d/1W6MnUbDkMi6xHnHko_XkFDO9kkuL6Wqyc-6OCDFjW9I/e"&amp;"dit?usp=sharing"",""ตาก!L194"")+IMPORTRANGE(""https://docs.google.com/spreadsheets/d/1IQAWArduLkta9LpYo4a_ULsyqdta6-6aDDiwpUnQT6c/edit?usp=sharing"",""นครสวรรค์!L194"")+IMPORTRANGE(""https://docs.google.com/spreadsheets/d/10s13Sk5xrltsiR-Zkbmk5DwIaDIKO8Xl"&amp;"bJAfqyT7Gvg/edit?usp=sharing"",""น่าน!L194"")+IMPORTRANGE(""https://docs.google.com/spreadsheets/d/1uu4nAn4Dbi1XREnLKKotUANlKXa7yCgRcgq8HEzQYW8/edit?usp=sharing"",""พะเยา!L194"")+IMPORTRANGE(""https://docs.google.com/spreadsheets/d/1xfJKIQxVOaPDIICqsflNlL"&amp;"u3JacTDk1FP9RH4phX7mI/edit?usp=sharing"",""พิจิตร!L194"")+IMPORTRANGE(""https://docs.google.com/spreadsheets/d/1JtRfZkJMHtEhI5RdRHxYUG4FIZHqKDpNyIuN7A1Q0_k/edit?usp=sharing"",""พิษณุโลก!L194"")+IMPORTRANGE(""https://docs.google.com/spreadsheets/d/1xlcVZWU"&amp;"Nn6SuWm0c307h32SiGkd9BaeQWlAktfD3KO8/edit?usp=sharing"",""เพชรบูรณ์!L194"")+IMPORTRANGE(""https://docs.google.com/spreadsheets/d/1lOVebEIsI9qjGXl6EX66luk7wiuP2tBaryw-wKvv4e0/edit?usp=sharing"",""แพร่!L194"")+IMPORTRANGE(""https://docs.google.com/spreadshe"&amp;"ets/d/1dQrvX0vEcN7Gu0fnZ0B5S90AeR19zth4XlExFBeExMY/edit?usp=sharing"",""แม่ฮ่องสอน!L194"")+IMPORTRANGE(""https://docs.google.com/spreadsheets/d/1DY4XTNNwjluuxqdfdn6qvOSlMRrZqUtmYcZR0ttFiG4/edit?usp=sharing"",""ลำปาง!L194"")+IMPORTRANGE(""https://docs.goog"&amp;"le.com/spreadsheets/d/1ICwG78r0OFT8biBlxnBF8r7she7gNSzOvJ958PWT09c/edit?usp=sharing"",""ลำพูน!L194"")+IMPORTRANGE(""https://docs.google.com/spreadsheets/d/1B0f2xJpZUC6Z0xXnqKlZtEPzsf6L84eP1r1Q15seqRM/edit?usp=sharing"",""สุโขทัย!L194"")+IMPORTRANGE(""http"&amp;"s://docs.google.com/spreadsheets/d/1v0b9pFQCsKUVExMei7AgY2yQkdeNQvtOssygGsXbiKo/edit?usp=sharing"",""อุตรดิตถ์!L194"")+IMPORTRANGE(""https://docs.google.com/spreadsheets/d/1UsNK1e-WWiCo2PvGqdNfdme4m17_Ezd3J69EeeiQPD0/edit?usp=sharing"",""อุทัยธานี!L194"")"),0)</f>
        <v>0</v>
      </c>
      <c r="M194" s="46">
        <f ca="1">IFERROR(__xludf.DUMMYFUNCTION("IMPORTRANGE(""https://docs.google.com/spreadsheets/d/1jTcq05yEiRwXcBMLjiodW9e4biSGYWAHcDj22rKWQ3s/edit?usp=sharing"",""กำแพงเพชร!M194"")+IMPORTRANGE(""https://docs.google.com/spreadsheets/d/1KS0zmDSZPk8KnTAbGN-Xk6MtX1YRZD0ldgdt20K4CRk/edit?usp=sharing"","&amp;"""เชียงราย!M194"")+IMPORTRANGE(""https://docs.google.com/spreadsheets/d/1rEDxBtusbi64tE0zunoIbsTVV16HeL0oJ6trHQeQ7K8/edit?usp=sharing"",""เชียงใหม่!M194"")+IMPORTRANGE(""https://docs.google.com/spreadsheets/d/1W6MnUbDkMi6xHnHko_XkFDO9kkuL6Wqyc-6OCDFjW9I/e"&amp;"dit?usp=sharing"",""ตาก!M194"")+IMPORTRANGE(""https://docs.google.com/spreadsheets/d/1IQAWArduLkta9LpYo4a_ULsyqdta6-6aDDiwpUnQT6c/edit?usp=sharing"",""นครสวรรค์!M194"")+IMPORTRANGE(""https://docs.google.com/spreadsheets/d/10s13Sk5xrltsiR-Zkbmk5DwIaDIKO8Xl"&amp;"bJAfqyT7Gvg/edit?usp=sharing"",""น่าน!M194"")+IMPORTRANGE(""https://docs.google.com/spreadsheets/d/1uu4nAn4Dbi1XREnLKKotUANlKXa7yCgRcgq8HEzQYW8/edit?usp=sharing"",""พะเยา!M194"")+IMPORTRANGE(""https://docs.google.com/spreadsheets/d/1xfJKIQxVOaPDIICqsflNlL"&amp;"u3JacTDk1FP9RH4phX7mI/edit?usp=sharing"",""พิจิตร!M194"")+IMPORTRANGE(""https://docs.google.com/spreadsheets/d/1JtRfZkJMHtEhI5RdRHxYUG4FIZHqKDpNyIuN7A1Q0_k/edit?usp=sharing"",""พิษณุโลก!M194"")+IMPORTRANGE(""https://docs.google.com/spreadsheets/d/1xlcVZWU"&amp;"Nn6SuWm0c307h32SiGkd9BaeQWlAktfD3KO8/edit?usp=sharing"",""เพชรบูรณ์!M194"")+IMPORTRANGE(""https://docs.google.com/spreadsheets/d/1lOVebEIsI9qjGXl6EX66luk7wiuP2tBaryw-wKvv4e0/edit?usp=sharing"",""แพร่!M194"")+IMPORTRANGE(""https://docs.google.com/spreadshe"&amp;"ets/d/1dQrvX0vEcN7Gu0fnZ0B5S90AeR19zth4XlExFBeExMY/edit?usp=sharing"",""แม่ฮ่องสอน!M194"")+IMPORTRANGE(""https://docs.google.com/spreadsheets/d/1DY4XTNNwjluuxqdfdn6qvOSlMRrZqUtmYcZR0ttFiG4/edit?usp=sharing"",""ลำปาง!M194"")+IMPORTRANGE(""https://docs.goog"&amp;"le.com/spreadsheets/d/1ICwG78r0OFT8biBlxnBF8r7she7gNSzOvJ958PWT09c/edit?usp=sharing"",""ลำพูน!M194"")+IMPORTRANGE(""https://docs.google.com/spreadsheets/d/1B0f2xJpZUC6Z0xXnqKlZtEPzsf6L84eP1r1Q15seqRM/edit?usp=sharing"",""สุโขทัย!M194"")+IMPORTRANGE(""http"&amp;"s://docs.google.com/spreadsheets/d/1v0b9pFQCsKUVExMei7AgY2yQkdeNQvtOssygGsXbiKo/edit?usp=sharing"",""อุตรดิตถ์!M194"")+IMPORTRANGE(""https://docs.google.com/spreadsheets/d/1UsNK1e-WWiCo2PvGqdNfdme4m17_Ezd3J69EeeiQPD0/edit?usp=sharing"",""อุทัยธานี!M194"")"),0)</f>
        <v>0</v>
      </c>
      <c r="N194" s="46">
        <f ca="1">IFERROR(__xludf.DUMMYFUNCTION("IMPORTRANGE(""https://docs.google.com/spreadsheets/d/1jTcq05yEiRwXcBMLjiodW9e4biSGYWAHcDj22rKWQ3s/edit?usp=sharing"",""กำแพงเพชร!N194"")+IMPORTRANGE(""https://docs.google.com/spreadsheets/d/1KS0zmDSZPk8KnTAbGN-Xk6MtX1YRZD0ldgdt20K4CRk/edit?usp=sharing"","&amp;"""เชียงราย!N194"")+IMPORTRANGE(""https://docs.google.com/spreadsheets/d/1rEDxBtusbi64tE0zunoIbsTVV16HeL0oJ6trHQeQ7K8/edit?usp=sharing"",""เชียงใหม่!N194"")+IMPORTRANGE(""https://docs.google.com/spreadsheets/d/1W6MnUbDkMi6xHnHko_XkFDO9kkuL6Wqyc-6OCDFjW9I/e"&amp;"dit?usp=sharing"",""ตาก!N194"")+IMPORTRANGE(""https://docs.google.com/spreadsheets/d/1IQAWArduLkta9LpYo4a_ULsyqdta6-6aDDiwpUnQT6c/edit?usp=sharing"",""นครสวรรค์!N194"")+IMPORTRANGE(""https://docs.google.com/spreadsheets/d/10s13Sk5xrltsiR-Zkbmk5DwIaDIKO8Xl"&amp;"bJAfqyT7Gvg/edit?usp=sharing"",""น่าน!N194"")+IMPORTRANGE(""https://docs.google.com/spreadsheets/d/1uu4nAn4Dbi1XREnLKKotUANlKXa7yCgRcgq8HEzQYW8/edit?usp=sharing"",""พะเยา!N194"")+IMPORTRANGE(""https://docs.google.com/spreadsheets/d/1xfJKIQxVOaPDIICqsflNlL"&amp;"u3JacTDk1FP9RH4phX7mI/edit?usp=sharing"",""พิจิตร!N194"")+IMPORTRANGE(""https://docs.google.com/spreadsheets/d/1JtRfZkJMHtEhI5RdRHxYUG4FIZHqKDpNyIuN7A1Q0_k/edit?usp=sharing"",""พิษณุโลก!N194"")+IMPORTRANGE(""https://docs.google.com/spreadsheets/d/1xlcVZWU"&amp;"Nn6SuWm0c307h32SiGkd9BaeQWlAktfD3KO8/edit?usp=sharing"",""เพชรบูรณ์!N194"")+IMPORTRANGE(""https://docs.google.com/spreadsheets/d/1lOVebEIsI9qjGXl6EX66luk7wiuP2tBaryw-wKvv4e0/edit?usp=sharing"",""แพร่!N194"")+IMPORTRANGE(""https://docs.google.com/spreadshe"&amp;"ets/d/1dQrvX0vEcN7Gu0fnZ0B5S90AeR19zth4XlExFBeExMY/edit?usp=sharing"",""แม่ฮ่องสอน!N194"")+IMPORTRANGE(""https://docs.google.com/spreadsheets/d/1DY4XTNNwjluuxqdfdn6qvOSlMRrZqUtmYcZR0ttFiG4/edit?usp=sharing"",""ลำปาง!N194"")+IMPORTRANGE(""https://docs.goog"&amp;"le.com/spreadsheets/d/1ICwG78r0OFT8biBlxnBF8r7she7gNSzOvJ958PWT09c/edit?usp=sharing"",""ลำพูน!N194"")+IMPORTRANGE(""https://docs.google.com/spreadsheets/d/1B0f2xJpZUC6Z0xXnqKlZtEPzsf6L84eP1r1Q15seqRM/edit?usp=sharing"",""สุโขทัย!N194"")+IMPORTRANGE(""http"&amp;"s://docs.google.com/spreadsheets/d/1v0b9pFQCsKUVExMei7AgY2yQkdeNQvtOssygGsXbiKo/edit?usp=sharing"",""อุตรดิตถ์!N194"")+IMPORTRANGE(""https://docs.google.com/spreadsheets/d/1UsNK1e-WWiCo2PvGqdNfdme4m17_Ezd3J69EeeiQPD0/edit?usp=sharing"",""อุทัยธานี!N194"")"),0)</f>
        <v>0</v>
      </c>
      <c r="O194" s="46">
        <f t="shared" ca="1" si="158"/>
        <v>0</v>
      </c>
      <c r="P194" s="46">
        <f t="shared" ca="1" si="159"/>
        <v>0</v>
      </c>
      <c r="Q194" s="46">
        <f ca="1">IFERROR(__xludf.DUMMYFUNCTION("IMPORTRANGE(""https://docs.google.com/spreadsheets/d/1jTcq05yEiRwXcBMLjiodW9e4biSGYWAHcDj22rKWQ3s/edit?usp=sharing"",""กำแพงเพชร!Q194"")+IMPORTRANGE(""https://docs.google.com/spreadsheets/d/1KS0zmDSZPk8KnTAbGN-Xk6MtX1YRZD0ldgdt20K4CRk/edit?usp=sharing"","&amp;"""เชียงราย!Q194"")+IMPORTRANGE(""https://docs.google.com/spreadsheets/d/1rEDxBtusbi64tE0zunoIbsTVV16HeL0oJ6trHQeQ7K8/edit?usp=sharing"",""เชียงใหม่!Q194"")+IMPORTRANGE(""https://docs.google.com/spreadsheets/d/1W6MnUbDkMi6xHnHko_XkFDO9kkuL6Wqyc-6OCDFjW9I/e"&amp;"dit?usp=sharing"",""ตาก!Q194"")+IMPORTRANGE(""https://docs.google.com/spreadsheets/d/1IQAWArduLkta9LpYo4a_ULsyqdta6-6aDDiwpUnQT6c/edit?usp=sharing"",""นครสวรรค์!Q194"")+IMPORTRANGE(""https://docs.google.com/spreadsheets/d/10s13Sk5xrltsiR-Zkbmk5DwIaDIKO8Xl"&amp;"bJAfqyT7Gvg/edit?usp=sharing"",""น่าน!Q194"")+IMPORTRANGE(""https://docs.google.com/spreadsheets/d/1uu4nAn4Dbi1XREnLKKotUANlKXa7yCgRcgq8HEzQYW8/edit?usp=sharing"",""พะเยา!Q194"")+IMPORTRANGE(""https://docs.google.com/spreadsheets/d/1xfJKIQxVOaPDIICqsflNlL"&amp;"u3JacTDk1FP9RH4phX7mI/edit?usp=sharing"",""พิจิตร!Q194"")+IMPORTRANGE(""https://docs.google.com/spreadsheets/d/1JtRfZkJMHtEhI5RdRHxYUG4FIZHqKDpNyIuN7A1Q0_k/edit?usp=sharing"",""พิษณุโลก!Q194"")+IMPORTRANGE(""https://docs.google.com/spreadsheets/d/1xlcVZWU"&amp;"Nn6SuWm0c307h32SiGkd9BaeQWlAktfD3KO8/edit?usp=sharing"",""เพชรบูรณ์!Q194"")+IMPORTRANGE(""https://docs.google.com/spreadsheets/d/1lOVebEIsI9qjGXl6EX66luk7wiuP2tBaryw-wKvv4e0/edit?usp=sharing"",""แพร่!Q194"")+IMPORTRANGE(""https://docs.google.com/spreadshe"&amp;"ets/d/1dQrvX0vEcN7Gu0fnZ0B5S90AeR19zth4XlExFBeExMY/edit?usp=sharing"",""แม่ฮ่องสอน!Q194"")+IMPORTRANGE(""https://docs.google.com/spreadsheets/d/1DY4XTNNwjluuxqdfdn6qvOSlMRrZqUtmYcZR0ttFiG4/edit?usp=sharing"",""ลำปาง!Q194"")+IMPORTRANGE(""https://docs.goog"&amp;"le.com/spreadsheets/d/1ICwG78r0OFT8biBlxnBF8r7she7gNSzOvJ958PWT09c/edit?usp=sharing"",""ลำพูน!Q194"")+IMPORTRANGE(""https://docs.google.com/spreadsheets/d/1B0f2xJpZUC6Z0xXnqKlZtEPzsf6L84eP1r1Q15seqRM/edit?usp=sharing"",""สุโขทัย!Q194"")+IMPORTRANGE(""http"&amp;"s://docs.google.com/spreadsheets/d/1v0b9pFQCsKUVExMei7AgY2yQkdeNQvtOssygGsXbiKo/edit?usp=sharing"",""อุตรดิตถ์!Q194"")+IMPORTRANGE(""https://docs.google.com/spreadsheets/d/1UsNK1e-WWiCo2PvGqdNfdme4m17_Ezd3J69EeeiQPD0/edit?usp=sharing"",""อุทัยธานี!Q194"")"),0)</f>
        <v>0</v>
      </c>
      <c r="R194" s="46">
        <f ca="1">IFERROR(__xludf.DUMMYFUNCTION("IMPORTRANGE(""https://docs.google.com/spreadsheets/d/1jTcq05yEiRwXcBMLjiodW9e4biSGYWAHcDj22rKWQ3s/edit?usp=sharing"",""กำแพงเพชร!R194"")+IMPORTRANGE(""https://docs.google.com/spreadsheets/d/1KS0zmDSZPk8KnTAbGN-Xk6MtX1YRZD0ldgdt20K4CRk/edit?usp=sharing"","&amp;"""เชียงราย!R194"")+IMPORTRANGE(""https://docs.google.com/spreadsheets/d/1rEDxBtusbi64tE0zunoIbsTVV16HeL0oJ6trHQeQ7K8/edit?usp=sharing"",""เชียงใหม่!R194"")+IMPORTRANGE(""https://docs.google.com/spreadsheets/d/1W6MnUbDkMi6xHnHko_XkFDO9kkuL6Wqyc-6OCDFjW9I/e"&amp;"dit?usp=sharing"",""ตาก!R194"")+IMPORTRANGE(""https://docs.google.com/spreadsheets/d/1IQAWArduLkta9LpYo4a_ULsyqdta6-6aDDiwpUnQT6c/edit?usp=sharing"",""นครสวรรค์!R194"")+IMPORTRANGE(""https://docs.google.com/spreadsheets/d/10s13Sk5xrltsiR-Zkbmk5DwIaDIKO8Xl"&amp;"bJAfqyT7Gvg/edit?usp=sharing"",""น่าน!R194"")+IMPORTRANGE(""https://docs.google.com/spreadsheets/d/1uu4nAn4Dbi1XREnLKKotUANlKXa7yCgRcgq8HEzQYW8/edit?usp=sharing"",""พะเยา!R194"")+IMPORTRANGE(""https://docs.google.com/spreadsheets/d/1xfJKIQxVOaPDIICqsflNlL"&amp;"u3JacTDk1FP9RH4phX7mI/edit?usp=sharing"",""พิจิตร!R194"")+IMPORTRANGE(""https://docs.google.com/spreadsheets/d/1JtRfZkJMHtEhI5RdRHxYUG4FIZHqKDpNyIuN7A1Q0_k/edit?usp=sharing"",""พิษณุโลก!R194"")+IMPORTRANGE(""https://docs.google.com/spreadsheets/d/1xlcVZWU"&amp;"Nn6SuWm0c307h32SiGkd9BaeQWlAktfD3KO8/edit?usp=sharing"",""เพชรบูรณ์!R194"")+IMPORTRANGE(""https://docs.google.com/spreadsheets/d/1lOVebEIsI9qjGXl6EX66luk7wiuP2tBaryw-wKvv4e0/edit?usp=sharing"",""แพร่!R194"")+IMPORTRANGE(""https://docs.google.com/spreadshe"&amp;"ets/d/1dQrvX0vEcN7Gu0fnZ0B5S90AeR19zth4XlExFBeExMY/edit?usp=sharing"",""แม่ฮ่องสอน!R194"")+IMPORTRANGE(""https://docs.google.com/spreadsheets/d/1DY4XTNNwjluuxqdfdn6qvOSlMRrZqUtmYcZR0ttFiG4/edit?usp=sharing"",""ลำปาง!R194"")+IMPORTRANGE(""https://docs.goog"&amp;"le.com/spreadsheets/d/1ICwG78r0OFT8biBlxnBF8r7she7gNSzOvJ958PWT09c/edit?usp=sharing"",""ลำพูน!R194"")+IMPORTRANGE(""https://docs.google.com/spreadsheets/d/1B0f2xJpZUC6Z0xXnqKlZtEPzsf6L84eP1r1Q15seqRM/edit?usp=sharing"",""สุโขทัย!R194"")+IMPORTRANGE(""http"&amp;"s://docs.google.com/spreadsheets/d/1v0b9pFQCsKUVExMei7AgY2yQkdeNQvtOssygGsXbiKo/edit?usp=sharing"",""อุตรดิตถ์!R194"")+IMPORTRANGE(""https://docs.google.com/spreadsheets/d/1UsNK1e-WWiCo2PvGqdNfdme4m17_Ezd3J69EeeiQPD0/edit?usp=sharing"",""อุทัยธานี!R194"")"),0)</f>
        <v>0</v>
      </c>
      <c r="S194" s="46">
        <f ca="1">IFERROR(__xludf.DUMMYFUNCTION("IMPORTRANGE(""https://docs.google.com/spreadsheets/d/1jTcq05yEiRwXcBMLjiodW9e4biSGYWAHcDj22rKWQ3s/edit?usp=sharing"",""กำแพงเพชร!S194"")+IMPORTRANGE(""https://docs.google.com/spreadsheets/d/1KS0zmDSZPk8KnTAbGN-Xk6MtX1YRZD0ldgdt20K4CRk/edit?usp=sharing"","&amp;"""เชียงราย!S194"")+IMPORTRANGE(""https://docs.google.com/spreadsheets/d/1rEDxBtusbi64tE0zunoIbsTVV16HeL0oJ6trHQeQ7K8/edit?usp=sharing"",""เชียงใหม่!S194"")+IMPORTRANGE(""https://docs.google.com/spreadsheets/d/1W6MnUbDkMi6xHnHko_XkFDO9kkuL6Wqyc-6OCDFjW9I/e"&amp;"dit?usp=sharing"",""ตาก!S194"")+IMPORTRANGE(""https://docs.google.com/spreadsheets/d/1IQAWArduLkta9LpYo4a_ULsyqdta6-6aDDiwpUnQT6c/edit?usp=sharing"",""นครสวรรค์!S194"")+IMPORTRANGE(""https://docs.google.com/spreadsheets/d/10s13Sk5xrltsiR-Zkbmk5DwIaDIKO8Xl"&amp;"bJAfqyT7Gvg/edit?usp=sharing"",""น่าน!S194"")+IMPORTRANGE(""https://docs.google.com/spreadsheets/d/1uu4nAn4Dbi1XREnLKKotUANlKXa7yCgRcgq8HEzQYW8/edit?usp=sharing"",""พะเยา!S194"")+IMPORTRANGE(""https://docs.google.com/spreadsheets/d/1xfJKIQxVOaPDIICqsflNlL"&amp;"u3JacTDk1FP9RH4phX7mI/edit?usp=sharing"",""พิจิตร!S194"")+IMPORTRANGE(""https://docs.google.com/spreadsheets/d/1JtRfZkJMHtEhI5RdRHxYUG4FIZHqKDpNyIuN7A1Q0_k/edit?usp=sharing"",""พิษณุโลก!S194"")+IMPORTRANGE(""https://docs.google.com/spreadsheets/d/1xlcVZWU"&amp;"Nn6SuWm0c307h32SiGkd9BaeQWlAktfD3KO8/edit?usp=sharing"",""เพชรบูรณ์!S194"")+IMPORTRANGE(""https://docs.google.com/spreadsheets/d/1lOVebEIsI9qjGXl6EX66luk7wiuP2tBaryw-wKvv4e0/edit?usp=sharing"",""แพร่!S194"")+IMPORTRANGE(""https://docs.google.com/spreadshe"&amp;"ets/d/1dQrvX0vEcN7Gu0fnZ0B5S90AeR19zth4XlExFBeExMY/edit?usp=sharing"",""แม่ฮ่องสอน!S194"")+IMPORTRANGE(""https://docs.google.com/spreadsheets/d/1DY4XTNNwjluuxqdfdn6qvOSlMRrZqUtmYcZR0ttFiG4/edit?usp=sharing"",""ลำปาง!S194"")+IMPORTRANGE(""https://docs.goog"&amp;"le.com/spreadsheets/d/1ICwG78r0OFT8biBlxnBF8r7she7gNSzOvJ958PWT09c/edit?usp=sharing"",""ลำพูน!S194"")+IMPORTRANGE(""https://docs.google.com/spreadsheets/d/1B0f2xJpZUC6Z0xXnqKlZtEPzsf6L84eP1r1Q15seqRM/edit?usp=sharing"",""สุโขทัย!S194"")+IMPORTRANGE(""http"&amp;"s://docs.google.com/spreadsheets/d/1v0b9pFQCsKUVExMei7AgY2yQkdeNQvtOssygGsXbiKo/edit?usp=sharing"",""อุตรดิตถ์!S194"")+IMPORTRANGE(""https://docs.google.com/spreadsheets/d/1UsNK1e-WWiCo2PvGqdNfdme4m17_Ezd3J69EeeiQPD0/edit?usp=sharing"",""อุทัยธานี!S194"")"),0)</f>
        <v>0</v>
      </c>
      <c r="T194" s="46">
        <f t="shared" ca="1" si="161"/>
        <v>0</v>
      </c>
      <c r="U194" s="46">
        <f t="shared" ca="1" si="162"/>
        <v>0</v>
      </c>
    </row>
    <row r="195" spans="1:21" ht="19.5" x14ac:dyDescent="0.3">
      <c r="A195" s="211"/>
      <c r="B195" s="212"/>
      <c r="C195" s="213" t="s">
        <v>78</v>
      </c>
      <c r="D195" s="214"/>
      <c r="E195" s="214"/>
      <c r="F195" s="214"/>
      <c r="G195" s="215"/>
      <c r="H195" s="216" t="s">
        <v>79</v>
      </c>
      <c r="I195" s="217">
        <f t="shared" ref="I195:J195" ca="1" si="171">I198</f>
        <v>68</v>
      </c>
      <c r="J195" s="217">
        <f t="shared" ca="1" si="171"/>
        <v>34</v>
      </c>
      <c r="K195" s="218">
        <f ca="1">IF(I195&gt;0,J195*100/I195,0)</f>
        <v>50</v>
      </c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</row>
    <row r="196" spans="1:21" ht="19.5" x14ac:dyDescent="0.3">
      <c r="A196" s="128"/>
      <c r="B196" s="40"/>
      <c r="C196" s="129" t="s">
        <v>18</v>
      </c>
      <c r="D196" s="220" t="s">
        <v>19</v>
      </c>
      <c r="E196" s="40"/>
      <c r="F196" s="40"/>
      <c r="G196" s="42"/>
      <c r="H196" s="221" t="s">
        <v>14</v>
      </c>
      <c r="I196" s="44"/>
      <c r="J196" s="44"/>
      <c r="K196" s="45"/>
      <c r="L196" s="132">
        <f ca="1">IFERROR(__xludf.DUMMYFUNCTION("IMPORTRANGE(""https://docs.google.com/spreadsheets/d/1jTcq05yEiRwXcBMLjiodW9e4biSGYWAHcDj22rKWQ3s/edit?usp=sharing"",""กำแพงเพชร!L196"")+IMPORTRANGE(""https://docs.google.com/spreadsheets/d/1KS0zmDSZPk8KnTAbGN-Xk6MtX1YRZD0ldgdt20K4CRk/edit?usp=sharing"","&amp;"""เชียงราย!L196"")+IMPORTRANGE(""https://docs.google.com/spreadsheets/d/1rEDxBtusbi64tE0zunoIbsTVV16HeL0oJ6trHQeQ7K8/edit?usp=sharing"",""เชียงใหม่!L196"")+IMPORTRANGE(""https://docs.google.com/spreadsheets/d/1W6MnUbDkMi6xHnHko_XkFDO9kkuL6Wqyc-6OCDFjW9I/e"&amp;"dit?usp=sharing"",""ตาก!L196"")+IMPORTRANGE(""https://docs.google.com/spreadsheets/d/1IQAWArduLkta9LpYo4a_ULsyqdta6-6aDDiwpUnQT6c/edit?usp=sharing"",""นครสวรรค์!L196"")+IMPORTRANGE(""https://docs.google.com/spreadsheets/d/10s13Sk5xrltsiR-Zkbmk5DwIaDIKO8Xl"&amp;"bJAfqyT7Gvg/edit?usp=sharing"",""น่าน!L196"")+IMPORTRANGE(""https://docs.google.com/spreadsheets/d/1uu4nAn4Dbi1XREnLKKotUANlKXa7yCgRcgq8HEzQYW8/edit?usp=sharing"",""พะเยา!L196"")+IMPORTRANGE(""https://docs.google.com/spreadsheets/d/1xfJKIQxVOaPDIICqsflNlL"&amp;"u3JacTDk1FP9RH4phX7mI/edit?usp=sharing"",""พิจิตร!L196"")+IMPORTRANGE(""https://docs.google.com/spreadsheets/d/1JtRfZkJMHtEhI5RdRHxYUG4FIZHqKDpNyIuN7A1Q0_k/edit?usp=sharing"",""พิษณุโลก!L196"")+IMPORTRANGE(""https://docs.google.com/spreadsheets/d/1xlcVZWU"&amp;"Nn6SuWm0c307h32SiGkd9BaeQWlAktfD3KO8/edit?usp=sharing"",""เพชรบูรณ์!L196"")+IMPORTRANGE(""https://docs.google.com/spreadsheets/d/1lOVebEIsI9qjGXl6EX66luk7wiuP2tBaryw-wKvv4e0/edit?usp=sharing"",""แพร่!L196"")+IMPORTRANGE(""https://docs.google.com/spreadshe"&amp;"ets/d/1dQrvX0vEcN7Gu0fnZ0B5S90AeR19zth4XlExFBeExMY/edit?usp=sharing"",""แม่ฮ่องสอน!L196"")+IMPORTRANGE(""https://docs.google.com/spreadsheets/d/1DY4XTNNwjluuxqdfdn6qvOSlMRrZqUtmYcZR0ttFiG4/edit?usp=sharing"",""ลำปาง!L196"")+IMPORTRANGE(""https://docs.goog"&amp;"le.com/spreadsheets/d/1ICwG78r0OFT8biBlxnBF8r7she7gNSzOvJ958PWT09c/edit?usp=sharing"",""ลำพูน!L196"")+IMPORTRANGE(""https://docs.google.com/spreadsheets/d/1B0f2xJpZUC6Z0xXnqKlZtEPzsf6L84eP1r1Q15seqRM/edit?usp=sharing"",""สุโขทัย!L196"")+IMPORTRANGE(""http"&amp;"s://docs.google.com/spreadsheets/d/1v0b9pFQCsKUVExMei7AgY2yQkdeNQvtOssygGsXbiKo/edit?usp=sharing"",""อุตรดิตถ์!L196"")+IMPORTRANGE(""https://docs.google.com/spreadsheets/d/1UsNK1e-WWiCo2PvGqdNfdme4m17_Ezd3J69EeeiQPD0/edit?usp=sharing"",""อุทัยธานี!L196"")"),102000)</f>
        <v>102000</v>
      </c>
      <c r="M196" s="132">
        <f ca="1">IFERROR(__xludf.DUMMYFUNCTION("IMPORTRANGE(""https://docs.google.com/spreadsheets/d/1jTcq05yEiRwXcBMLjiodW9e4biSGYWAHcDj22rKWQ3s/edit?usp=sharing"",""กำแพงเพชร!M196"")+IMPORTRANGE(""https://docs.google.com/spreadsheets/d/1KS0zmDSZPk8KnTAbGN-Xk6MtX1YRZD0ldgdt20K4CRk/edit?usp=sharing"","&amp;"""เชียงราย!M196"")+IMPORTRANGE(""https://docs.google.com/spreadsheets/d/1rEDxBtusbi64tE0zunoIbsTVV16HeL0oJ6trHQeQ7K8/edit?usp=sharing"",""เชียงใหม่!M196"")+IMPORTRANGE(""https://docs.google.com/spreadsheets/d/1W6MnUbDkMi6xHnHko_XkFDO9kkuL6Wqyc-6OCDFjW9I/e"&amp;"dit?usp=sharing"",""ตาก!M196"")+IMPORTRANGE(""https://docs.google.com/spreadsheets/d/1IQAWArduLkta9LpYo4a_ULsyqdta6-6aDDiwpUnQT6c/edit?usp=sharing"",""นครสวรรค์!M196"")+IMPORTRANGE(""https://docs.google.com/spreadsheets/d/10s13Sk5xrltsiR-Zkbmk5DwIaDIKO8Xl"&amp;"bJAfqyT7Gvg/edit?usp=sharing"",""น่าน!M196"")+IMPORTRANGE(""https://docs.google.com/spreadsheets/d/1uu4nAn4Dbi1XREnLKKotUANlKXa7yCgRcgq8HEzQYW8/edit?usp=sharing"",""พะเยา!M196"")+IMPORTRANGE(""https://docs.google.com/spreadsheets/d/1xfJKIQxVOaPDIICqsflNlL"&amp;"u3JacTDk1FP9RH4phX7mI/edit?usp=sharing"",""พิจิตร!M196"")+IMPORTRANGE(""https://docs.google.com/spreadsheets/d/1JtRfZkJMHtEhI5RdRHxYUG4FIZHqKDpNyIuN7A1Q0_k/edit?usp=sharing"",""พิษณุโลก!M196"")+IMPORTRANGE(""https://docs.google.com/spreadsheets/d/1xlcVZWU"&amp;"Nn6SuWm0c307h32SiGkd9BaeQWlAktfD3KO8/edit?usp=sharing"",""เพชรบูรณ์!M196"")+IMPORTRANGE(""https://docs.google.com/spreadsheets/d/1lOVebEIsI9qjGXl6EX66luk7wiuP2tBaryw-wKvv4e0/edit?usp=sharing"",""แพร่!M196"")+IMPORTRANGE(""https://docs.google.com/spreadshe"&amp;"ets/d/1dQrvX0vEcN7Gu0fnZ0B5S90AeR19zth4XlExFBeExMY/edit?usp=sharing"",""แม่ฮ่องสอน!M196"")+IMPORTRANGE(""https://docs.google.com/spreadsheets/d/1DY4XTNNwjluuxqdfdn6qvOSlMRrZqUtmYcZR0ttFiG4/edit?usp=sharing"",""ลำปาง!M196"")+IMPORTRANGE(""https://docs.goog"&amp;"le.com/spreadsheets/d/1ICwG78r0OFT8biBlxnBF8r7she7gNSzOvJ958PWT09c/edit?usp=sharing"",""ลำพูน!M196"")+IMPORTRANGE(""https://docs.google.com/spreadsheets/d/1B0f2xJpZUC6Z0xXnqKlZtEPzsf6L84eP1r1Q15seqRM/edit?usp=sharing"",""สุโขทัย!M196"")+IMPORTRANGE(""http"&amp;"s://docs.google.com/spreadsheets/d/1v0b9pFQCsKUVExMei7AgY2yQkdeNQvtOssygGsXbiKo/edit?usp=sharing"",""อุตรดิตถ์!M196"")+IMPORTRANGE(""https://docs.google.com/spreadsheets/d/1UsNK1e-WWiCo2PvGqdNfdme4m17_Ezd3J69EeeiQPD0/edit?usp=sharing"",""อุทัยธานี!M196"")"),0)</f>
        <v>0</v>
      </c>
      <c r="N196" s="132">
        <f ca="1">IFERROR(__xludf.DUMMYFUNCTION("IMPORTRANGE(""https://docs.google.com/spreadsheets/d/1jTcq05yEiRwXcBMLjiodW9e4biSGYWAHcDj22rKWQ3s/edit?usp=sharing"",""กำแพงเพชร!N196"")+IMPORTRANGE(""https://docs.google.com/spreadsheets/d/1KS0zmDSZPk8KnTAbGN-Xk6MtX1YRZD0ldgdt20K4CRk/edit?usp=sharing"","&amp;"""เชียงราย!N196"")+IMPORTRANGE(""https://docs.google.com/spreadsheets/d/1rEDxBtusbi64tE0zunoIbsTVV16HeL0oJ6trHQeQ7K8/edit?usp=sharing"",""เชียงใหม่!N196"")+IMPORTRANGE(""https://docs.google.com/spreadsheets/d/1W6MnUbDkMi6xHnHko_XkFDO9kkuL6Wqyc-6OCDFjW9I/e"&amp;"dit?usp=sharing"",""ตาก!N196"")+IMPORTRANGE(""https://docs.google.com/spreadsheets/d/1IQAWArduLkta9LpYo4a_ULsyqdta6-6aDDiwpUnQT6c/edit?usp=sharing"",""นครสวรรค์!N196"")+IMPORTRANGE(""https://docs.google.com/spreadsheets/d/10s13Sk5xrltsiR-Zkbmk5DwIaDIKO8Xl"&amp;"bJAfqyT7Gvg/edit?usp=sharing"",""น่าน!N196"")+IMPORTRANGE(""https://docs.google.com/spreadsheets/d/1uu4nAn4Dbi1XREnLKKotUANlKXa7yCgRcgq8HEzQYW8/edit?usp=sharing"",""พะเยา!N196"")+IMPORTRANGE(""https://docs.google.com/spreadsheets/d/1xfJKIQxVOaPDIICqsflNlL"&amp;"u3JacTDk1FP9RH4phX7mI/edit?usp=sharing"",""พิจิตร!N196"")+IMPORTRANGE(""https://docs.google.com/spreadsheets/d/1JtRfZkJMHtEhI5RdRHxYUG4FIZHqKDpNyIuN7A1Q0_k/edit?usp=sharing"",""พิษณุโลก!N196"")+IMPORTRANGE(""https://docs.google.com/spreadsheets/d/1xlcVZWU"&amp;"Nn6SuWm0c307h32SiGkd9BaeQWlAktfD3KO8/edit?usp=sharing"",""เพชรบูรณ์!N196"")+IMPORTRANGE(""https://docs.google.com/spreadsheets/d/1lOVebEIsI9qjGXl6EX66luk7wiuP2tBaryw-wKvv4e0/edit?usp=sharing"",""แพร่!N196"")+IMPORTRANGE(""https://docs.google.com/spreadshe"&amp;"ets/d/1dQrvX0vEcN7Gu0fnZ0B5S90AeR19zth4XlExFBeExMY/edit?usp=sharing"",""แม่ฮ่องสอน!N196"")+IMPORTRANGE(""https://docs.google.com/spreadsheets/d/1DY4XTNNwjluuxqdfdn6qvOSlMRrZqUtmYcZR0ttFiG4/edit?usp=sharing"",""ลำปาง!N196"")+IMPORTRANGE(""https://docs.goog"&amp;"le.com/spreadsheets/d/1ICwG78r0OFT8biBlxnBF8r7she7gNSzOvJ958PWT09c/edit?usp=sharing"",""ลำพูน!N196"")+IMPORTRANGE(""https://docs.google.com/spreadsheets/d/1B0f2xJpZUC6Z0xXnqKlZtEPzsf6L84eP1r1Q15seqRM/edit?usp=sharing"",""สุโขทัย!N196"")+IMPORTRANGE(""http"&amp;"s://docs.google.com/spreadsheets/d/1v0b9pFQCsKUVExMei7AgY2yQkdeNQvtOssygGsXbiKo/edit?usp=sharing"",""อุตรดิตถ์!N196"")+IMPORTRANGE(""https://docs.google.com/spreadsheets/d/1UsNK1e-WWiCo2PvGqdNfdme4m17_Ezd3J69EeeiQPD0/edit?usp=sharing"",""อุทัยธานี!N196"")"),15100)</f>
        <v>15100</v>
      </c>
      <c r="O196" s="132">
        <f ca="1">IF(L196&gt;0,N196*100/L196,0)</f>
        <v>14.803921568627452</v>
      </c>
      <c r="P196" s="45"/>
      <c r="Q196" s="45">
        <f ca="1">IFERROR(__xludf.DUMMYFUNCTION("IMPORTRANGE(""https://docs.google.com/spreadsheets/d/1jTcq05yEiRwXcBMLjiodW9e4biSGYWAHcDj22rKWQ3s/edit?usp=sharing"",""กำแพงเพชร!Q196"")+IMPORTRANGE(""https://docs.google.com/spreadsheets/d/1KS0zmDSZPk8KnTAbGN-Xk6MtX1YRZD0ldgdt20K4CRk/edit?usp=sharing"","&amp;"""เชียงราย!Q196"")+IMPORTRANGE(""https://docs.google.com/spreadsheets/d/1rEDxBtusbi64tE0zunoIbsTVV16HeL0oJ6trHQeQ7K8/edit?usp=sharing"",""เชียงใหม่!Q196"")+IMPORTRANGE(""https://docs.google.com/spreadsheets/d/1W6MnUbDkMi6xHnHko_XkFDO9kkuL6Wqyc-6OCDFjW9I/e"&amp;"dit?usp=sharing"",""ตาก!Q196"")+IMPORTRANGE(""https://docs.google.com/spreadsheets/d/1IQAWArduLkta9LpYo4a_ULsyqdta6-6aDDiwpUnQT6c/edit?usp=sharing"",""นครสวรรค์!Q196"")+IMPORTRANGE(""https://docs.google.com/spreadsheets/d/10s13Sk5xrltsiR-Zkbmk5DwIaDIKO8Xl"&amp;"bJAfqyT7Gvg/edit?usp=sharing"",""น่าน!Q196"")+IMPORTRANGE(""https://docs.google.com/spreadsheets/d/1uu4nAn4Dbi1XREnLKKotUANlKXa7yCgRcgq8HEzQYW8/edit?usp=sharing"",""พะเยา!Q196"")+IMPORTRANGE(""https://docs.google.com/spreadsheets/d/1xfJKIQxVOaPDIICqsflNlL"&amp;"u3JacTDk1FP9RH4phX7mI/edit?usp=sharing"",""พิจิตร!Q196"")+IMPORTRANGE(""https://docs.google.com/spreadsheets/d/1JtRfZkJMHtEhI5RdRHxYUG4FIZHqKDpNyIuN7A1Q0_k/edit?usp=sharing"",""พิษณุโลก!Q196"")+IMPORTRANGE(""https://docs.google.com/spreadsheets/d/1xlcVZWU"&amp;"Nn6SuWm0c307h32SiGkd9BaeQWlAktfD3KO8/edit?usp=sharing"",""เพชรบูรณ์!Q196"")+IMPORTRANGE(""https://docs.google.com/spreadsheets/d/1lOVebEIsI9qjGXl6EX66luk7wiuP2tBaryw-wKvv4e0/edit?usp=sharing"",""แพร่!Q196"")+IMPORTRANGE(""https://docs.google.com/spreadshe"&amp;"ets/d/1dQrvX0vEcN7Gu0fnZ0B5S90AeR19zth4XlExFBeExMY/edit?usp=sharing"",""แม่ฮ่องสอน!Q196"")+IMPORTRANGE(""https://docs.google.com/spreadsheets/d/1DY4XTNNwjluuxqdfdn6qvOSlMRrZqUtmYcZR0ttFiG4/edit?usp=sharing"",""ลำปาง!Q196"")+IMPORTRANGE(""https://docs.goog"&amp;"le.com/spreadsheets/d/1ICwG78r0OFT8biBlxnBF8r7she7gNSzOvJ958PWT09c/edit?usp=sharing"",""ลำพูน!Q196"")+IMPORTRANGE(""https://docs.google.com/spreadsheets/d/1B0f2xJpZUC6Z0xXnqKlZtEPzsf6L84eP1r1Q15seqRM/edit?usp=sharing"",""สุโขทัย!Q196"")+IMPORTRANGE(""http"&amp;"s://docs.google.com/spreadsheets/d/1v0b9pFQCsKUVExMei7AgY2yQkdeNQvtOssygGsXbiKo/edit?usp=sharing"",""อุตรดิตถ์!Q196"")+IMPORTRANGE(""https://docs.google.com/spreadsheets/d/1UsNK1e-WWiCo2PvGqdNfdme4m17_Ezd3J69EeeiQPD0/edit?usp=sharing"",""อุทัยธานี!Q196"")"),0)</f>
        <v>0</v>
      </c>
      <c r="R196" s="45">
        <f ca="1">IFERROR(__xludf.DUMMYFUNCTION("IMPORTRANGE(""https://docs.google.com/spreadsheets/d/1jTcq05yEiRwXcBMLjiodW9e4biSGYWAHcDj22rKWQ3s/edit?usp=sharing"",""กำแพงเพชร!R196"")+IMPORTRANGE(""https://docs.google.com/spreadsheets/d/1KS0zmDSZPk8KnTAbGN-Xk6MtX1YRZD0ldgdt20K4CRk/edit?usp=sharing"","&amp;"""เชียงราย!R196"")+IMPORTRANGE(""https://docs.google.com/spreadsheets/d/1rEDxBtusbi64tE0zunoIbsTVV16HeL0oJ6trHQeQ7K8/edit?usp=sharing"",""เชียงใหม่!R196"")+IMPORTRANGE(""https://docs.google.com/spreadsheets/d/1W6MnUbDkMi6xHnHko_XkFDO9kkuL6Wqyc-6OCDFjW9I/e"&amp;"dit?usp=sharing"",""ตาก!R196"")+IMPORTRANGE(""https://docs.google.com/spreadsheets/d/1IQAWArduLkta9LpYo4a_ULsyqdta6-6aDDiwpUnQT6c/edit?usp=sharing"",""นครสวรรค์!R196"")+IMPORTRANGE(""https://docs.google.com/spreadsheets/d/10s13Sk5xrltsiR-Zkbmk5DwIaDIKO8Xl"&amp;"bJAfqyT7Gvg/edit?usp=sharing"",""น่าน!R196"")+IMPORTRANGE(""https://docs.google.com/spreadsheets/d/1uu4nAn4Dbi1XREnLKKotUANlKXa7yCgRcgq8HEzQYW8/edit?usp=sharing"",""พะเยา!R196"")+IMPORTRANGE(""https://docs.google.com/spreadsheets/d/1xfJKIQxVOaPDIICqsflNlL"&amp;"u3JacTDk1FP9RH4phX7mI/edit?usp=sharing"",""พิจิตร!R196"")+IMPORTRANGE(""https://docs.google.com/spreadsheets/d/1JtRfZkJMHtEhI5RdRHxYUG4FIZHqKDpNyIuN7A1Q0_k/edit?usp=sharing"",""พิษณุโลก!R196"")+IMPORTRANGE(""https://docs.google.com/spreadsheets/d/1xlcVZWU"&amp;"Nn6SuWm0c307h32SiGkd9BaeQWlAktfD3KO8/edit?usp=sharing"",""เพชรบูรณ์!R196"")+IMPORTRANGE(""https://docs.google.com/spreadsheets/d/1lOVebEIsI9qjGXl6EX66luk7wiuP2tBaryw-wKvv4e0/edit?usp=sharing"",""แพร่!R196"")+IMPORTRANGE(""https://docs.google.com/spreadshe"&amp;"ets/d/1dQrvX0vEcN7Gu0fnZ0B5S90AeR19zth4XlExFBeExMY/edit?usp=sharing"",""แม่ฮ่องสอน!R196"")+IMPORTRANGE(""https://docs.google.com/spreadsheets/d/1DY4XTNNwjluuxqdfdn6qvOSlMRrZqUtmYcZR0ttFiG4/edit?usp=sharing"",""ลำปาง!R196"")+IMPORTRANGE(""https://docs.goog"&amp;"le.com/spreadsheets/d/1ICwG78r0OFT8biBlxnBF8r7she7gNSzOvJ958PWT09c/edit?usp=sharing"",""ลำพูน!R196"")+IMPORTRANGE(""https://docs.google.com/spreadsheets/d/1B0f2xJpZUC6Z0xXnqKlZtEPzsf6L84eP1r1Q15seqRM/edit?usp=sharing"",""สุโขทัย!R196"")+IMPORTRANGE(""http"&amp;"s://docs.google.com/spreadsheets/d/1v0b9pFQCsKUVExMei7AgY2yQkdeNQvtOssygGsXbiKo/edit?usp=sharing"",""อุตรดิตถ์!R196"")+IMPORTRANGE(""https://docs.google.com/spreadsheets/d/1UsNK1e-WWiCo2PvGqdNfdme4m17_Ezd3J69EeeiQPD0/edit?usp=sharing"",""อุทัยธานี!R196"")"),0)</f>
        <v>0</v>
      </c>
      <c r="S196" s="45">
        <f ca="1">IFERROR(__xludf.DUMMYFUNCTION("IMPORTRANGE(""https://docs.google.com/spreadsheets/d/1jTcq05yEiRwXcBMLjiodW9e4biSGYWAHcDj22rKWQ3s/edit?usp=sharing"",""กำแพงเพชร!S196"")+IMPORTRANGE(""https://docs.google.com/spreadsheets/d/1KS0zmDSZPk8KnTAbGN-Xk6MtX1YRZD0ldgdt20K4CRk/edit?usp=sharing"","&amp;"""เชียงราย!S196"")+IMPORTRANGE(""https://docs.google.com/spreadsheets/d/1rEDxBtusbi64tE0zunoIbsTVV16HeL0oJ6trHQeQ7K8/edit?usp=sharing"",""เชียงใหม่!S196"")+IMPORTRANGE(""https://docs.google.com/spreadsheets/d/1W6MnUbDkMi6xHnHko_XkFDO9kkuL6Wqyc-6OCDFjW9I/e"&amp;"dit?usp=sharing"",""ตาก!S196"")+IMPORTRANGE(""https://docs.google.com/spreadsheets/d/1IQAWArduLkta9LpYo4a_ULsyqdta6-6aDDiwpUnQT6c/edit?usp=sharing"",""นครสวรรค์!S196"")+IMPORTRANGE(""https://docs.google.com/spreadsheets/d/10s13Sk5xrltsiR-Zkbmk5DwIaDIKO8Xl"&amp;"bJAfqyT7Gvg/edit?usp=sharing"",""น่าน!S196"")+IMPORTRANGE(""https://docs.google.com/spreadsheets/d/1uu4nAn4Dbi1XREnLKKotUANlKXa7yCgRcgq8HEzQYW8/edit?usp=sharing"",""พะเยา!S196"")+IMPORTRANGE(""https://docs.google.com/spreadsheets/d/1xfJKIQxVOaPDIICqsflNlL"&amp;"u3JacTDk1FP9RH4phX7mI/edit?usp=sharing"",""พิจิตร!S196"")+IMPORTRANGE(""https://docs.google.com/spreadsheets/d/1JtRfZkJMHtEhI5RdRHxYUG4FIZHqKDpNyIuN7A1Q0_k/edit?usp=sharing"",""พิษณุโลก!S196"")+IMPORTRANGE(""https://docs.google.com/spreadsheets/d/1xlcVZWU"&amp;"Nn6SuWm0c307h32SiGkd9BaeQWlAktfD3KO8/edit?usp=sharing"",""เพชรบูรณ์!S196"")+IMPORTRANGE(""https://docs.google.com/spreadsheets/d/1lOVebEIsI9qjGXl6EX66luk7wiuP2tBaryw-wKvv4e0/edit?usp=sharing"",""แพร่!S196"")+IMPORTRANGE(""https://docs.google.com/spreadshe"&amp;"ets/d/1dQrvX0vEcN7Gu0fnZ0B5S90AeR19zth4XlExFBeExMY/edit?usp=sharing"",""แม่ฮ่องสอน!S196"")+IMPORTRANGE(""https://docs.google.com/spreadsheets/d/1DY4XTNNwjluuxqdfdn6qvOSlMRrZqUtmYcZR0ttFiG4/edit?usp=sharing"",""ลำปาง!S196"")+IMPORTRANGE(""https://docs.goog"&amp;"le.com/spreadsheets/d/1ICwG78r0OFT8biBlxnBF8r7she7gNSzOvJ958PWT09c/edit?usp=sharing"",""ลำพูน!S196"")+IMPORTRANGE(""https://docs.google.com/spreadsheets/d/1B0f2xJpZUC6Z0xXnqKlZtEPzsf6L84eP1r1Q15seqRM/edit?usp=sharing"",""สุโขทัย!S196"")+IMPORTRANGE(""http"&amp;"s://docs.google.com/spreadsheets/d/1v0b9pFQCsKUVExMei7AgY2yQkdeNQvtOssygGsXbiKo/edit?usp=sharing"",""อุตรดิตถ์!S196"")+IMPORTRANGE(""https://docs.google.com/spreadsheets/d/1UsNK1e-WWiCo2PvGqdNfdme4m17_Ezd3J69EeeiQPD0/edit?usp=sharing"",""อุทัยธานี!S196"")"),0)</f>
        <v>0</v>
      </c>
      <c r="T196" s="45"/>
      <c r="U196" s="45"/>
    </row>
    <row r="197" spans="1:21" ht="19.5" x14ac:dyDescent="0.3">
      <c r="A197" s="138"/>
      <c r="B197" s="139"/>
      <c r="C197" s="129" t="s">
        <v>18</v>
      </c>
      <c r="D197" s="140" t="s">
        <v>38</v>
      </c>
      <c r="E197" s="141"/>
      <c r="F197" s="141"/>
      <c r="G197" s="142"/>
      <c r="H197" s="143"/>
      <c r="I197" s="44"/>
      <c r="J197" s="44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66">
        <f ca="1">IFERROR(__xludf.DUMMYFUNCTION("IMPORTRANGE(""https://docs.google.com/spreadsheets/d/1jTcq05yEiRwXcBMLjiodW9e4biSGYWAHcDj22rKWQ3s/edit?usp=sharing"",""กำแพงเพชร!I198"")+IMPORTRANGE(""https://docs.google.com/spreadsheets/d/1KS0zmDSZPk8KnTAbGN-Xk6MtX1YRZD0ldgdt20K4CRk/edit?usp=sharing"","&amp;"""เชียงราย!I198"")+IMPORTRANGE(""https://docs.google.com/spreadsheets/d/1rEDxBtusbi64tE0zunoIbsTVV16HeL0oJ6trHQeQ7K8/edit?usp=sharing"",""เชียงใหม่!I198"")+IMPORTRANGE(""https://docs.google.com/spreadsheets/d/1W6MnUbDkMi6xHnHko_XkFDO9kkuL6Wqyc-6OCDFjW9I/e"&amp;"dit?usp=sharing"",""ตาก!I198"")+IMPORTRANGE(""https://docs.google.com/spreadsheets/d/1IQAWArduLkta9LpYo4a_ULsyqdta6-6aDDiwpUnQT6c/edit?usp=sharing"",""นครสวรรค์!I198"")+IMPORTRANGE(""https://docs.google.com/spreadsheets/d/10s13Sk5xrltsiR-Zkbmk5DwIaDIKO8Xl"&amp;"bJAfqyT7Gvg/edit?usp=sharing"",""น่าน!I198"")+IMPORTRANGE(""https://docs.google.com/spreadsheets/d/1uu4nAn4Dbi1XREnLKKotUANlKXa7yCgRcgq8HEzQYW8/edit?usp=sharing"",""พะเยา!I198"")+IMPORTRANGE(""https://docs.google.com/spreadsheets/d/1xfJKIQxVOaPDIICqsflNlL"&amp;"u3JacTDk1FP9RH4phX7mI/edit?usp=sharing"",""พิจิตร!I198"")+IMPORTRANGE(""https://docs.google.com/spreadsheets/d/1JtRfZkJMHtEhI5RdRHxYUG4FIZHqKDpNyIuN7A1Q0_k/edit?usp=sharing"",""พิษณุโลก!I198"")+IMPORTRANGE(""https://docs.google.com/spreadsheets/d/1xlcVZWU"&amp;"Nn6SuWm0c307h32SiGkd9BaeQWlAktfD3KO8/edit?usp=sharing"",""เพชรบูรณ์!I198"")+IMPORTRANGE(""https://docs.google.com/spreadsheets/d/1lOVebEIsI9qjGXl6EX66luk7wiuP2tBaryw-wKvv4e0/edit?usp=sharing"",""แพร่!I198"")+IMPORTRANGE(""https://docs.google.com/spreadshe"&amp;"ets/d/1dQrvX0vEcN7Gu0fnZ0B5S90AeR19zth4XlExFBeExMY/edit?usp=sharing"",""แม่ฮ่องสอน!I198"")+IMPORTRANGE(""https://docs.google.com/spreadsheets/d/1DY4XTNNwjluuxqdfdn6qvOSlMRrZqUtmYcZR0ttFiG4/edit?usp=sharing"",""ลำปาง!I198"")+IMPORTRANGE(""https://docs.goog"&amp;"le.com/spreadsheets/d/1ICwG78r0OFT8biBlxnBF8r7she7gNSzOvJ958PWT09c/edit?usp=sharing"",""ลำพูน!I198"")+IMPORTRANGE(""https://docs.google.com/spreadsheets/d/1B0f2xJpZUC6Z0xXnqKlZtEPzsf6L84eP1r1Q15seqRM/edit?usp=sharing"",""สุโขทัย!I198"")+IMPORTRANGE(""http"&amp;"s://docs.google.com/spreadsheets/d/1v0b9pFQCsKUVExMei7AgY2yQkdeNQvtOssygGsXbiKo/edit?usp=sharing"",""อุตรดิตถ์!I198"")+IMPORTRANGE(""https://docs.google.com/spreadsheets/d/1UsNK1e-WWiCo2PvGqdNfdme4m17_Ezd3J69EeeiQPD0/edit?usp=sharing"",""อุทัยธานี!I198"")"),68)</f>
        <v>68</v>
      </c>
      <c r="J198" s="166">
        <f ca="1">IFERROR(__xludf.DUMMYFUNCTION("IMPORTRANGE(""https://docs.google.com/spreadsheets/d/1jTcq05yEiRwXcBMLjiodW9e4biSGYWAHcDj22rKWQ3s/edit?usp=sharing"",""กำแพงเพชร!J198"")+IMPORTRANGE(""https://docs.google.com/spreadsheets/d/1KS0zmDSZPk8KnTAbGN-Xk6MtX1YRZD0ldgdt20K4CRk/edit?usp=sharing"","&amp;"""เชียงราย!J198"")+IMPORTRANGE(""https://docs.google.com/spreadsheets/d/1rEDxBtusbi64tE0zunoIbsTVV16HeL0oJ6trHQeQ7K8/edit?usp=sharing"",""เชียงใหม่!J198"")+IMPORTRANGE(""https://docs.google.com/spreadsheets/d/1W6MnUbDkMi6xHnHko_XkFDO9kkuL6Wqyc-6OCDFjW9I/e"&amp;"dit?usp=sharing"",""ตาก!J198"")+IMPORTRANGE(""https://docs.google.com/spreadsheets/d/1IQAWArduLkta9LpYo4a_ULsyqdta6-6aDDiwpUnQT6c/edit?usp=sharing"",""นครสวรรค์!J198"")+IMPORTRANGE(""https://docs.google.com/spreadsheets/d/10s13Sk5xrltsiR-Zkbmk5DwIaDIKO8Xl"&amp;"bJAfqyT7Gvg/edit?usp=sharing"",""น่าน!J198"")+IMPORTRANGE(""https://docs.google.com/spreadsheets/d/1uu4nAn4Dbi1XREnLKKotUANlKXa7yCgRcgq8HEzQYW8/edit?usp=sharing"",""พะเยา!J198"")+IMPORTRANGE(""https://docs.google.com/spreadsheets/d/1xfJKIQxVOaPDIICqsflNlL"&amp;"u3JacTDk1FP9RH4phX7mI/edit?usp=sharing"",""พิจิตร!J198"")+IMPORTRANGE(""https://docs.google.com/spreadsheets/d/1JtRfZkJMHtEhI5RdRHxYUG4FIZHqKDpNyIuN7A1Q0_k/edit?usp=sharing"",""พิษณุโลก!J198"")+IMPORTRANGE(""https://docs.google.com/spreadsheets/d/1xlcVZWU"&amp;"Nn6SuWm0c307h32SiGkd9BaeQWlAktfD3KO8/edit?usp=sharing"",""เพชรบูรณ์!J198"")+IMPORTRANGE(""https://docs.google.com/spreadsheets/d/1lOVebEIsI9qjGXl6EX66luk7wiuP2tBaryw-wKvv4e0/edit?usp=sharing"",""แพร่!J198"")+IMPORTRANGE(""https://docs.google.com/spreadshe"&amp;"ets/d/1dQrvX0vEcN7Gu0fnZ0B5S90AeR19zth4XlExFBeExMY/edit?usp=sharing"",""แม่ฮ่องสอน!J198"")+IMPORTRANGE(""https://docs.google.com/spreadsheets/d/1DY4XTNNwjluuxqdfdn6qvOSlMRrZqUtmYcZR0ttFiG4/edit?usp=sharing"",""ลำปาง!J198"")+IMPORTRANGE(""https://docs.goog"&amp;"le.com/spreadsheets/d/1ICwG78r0OFT8biBlxnBF8r7she7gNSzOvJ958PWT09c/edit?usp=sharing"",""ลำพูน!J198"")+IMPORTRANGE(""https://docs.google.com/spreadsheets/d/1B0f2xJpZUC6Z0xXnqKlZtEPzsf6L84eP1r1Q15seqRM/edit?usp=sharing"",""สุโขทัย!J198"")+IMPORTRANGE(""http"&amp;"s://docs.google.com/spreadsheets/d/1v0b9pFQCsKUVExMei7AgY2yQkdeNQvtOssygGsXbiKo/edit?usp=sharing"",""อุตรดิตถ์!J198"")+IMPORTRANGE(""https://docs.google.com/spreadsheets/d/1UsNK1e-WWiCo2PvGqdNfdme4m17_Ezd3J69EeeiQPD0/edit?usp=sharing"",""อุทัยธานี!J198"")"),34)</f>
        <v>34</v>
      </c>
      <c r="K198" s="46">
        <f ca="1">IF(I198&gt;0,J198*100/I198,0)</f>
        <v>50</v>
      </c>
      <c r="L198" s="45"/>
      <c r="M198" s="45"/>
      <c r="N198" s="45"/>
      <c r="O198" s="45"/>
      <c r="P198" s="45"/>
      <c r="Q198" s="45"/>
      <c r="R198" s="45"/>
      <c r="S198" s="45"/>
      <c r="T198" s="45"/>
      <c r="U198" s="45"/>
    </row>
    <row r="199" spans="1:21" ht="19.5" x14ac:dyDescent="0.3">
      <c r="A199" s="138"/>
      <c r="B199" s="139"/>
      <c r="C199" s="139"/>
      <c r="D199" s="149" t="s">
        <v>81</v>
      </c>
      <c r="E199" s="145"/>
      <c r="F199" s="145"/>
      <c r="G199" s="143"/>
      <c r="H199" s="222" t="s">
        <v>35</v>
      </c>
      <c r="I199" s="44"/>
      <c r="J199" s="147">
        <f ca="1">J200+J201</f>
        <v>853</v>
      </c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0" t="s">
        <v>35</v>
      </c>
      <c r="I200" s="44"/>
      <c r="J200" s="166">
        <f ca="1">IFERROR(__xludf.DUMMYFUNCTION("IMPORTRANGE(""https://docs.google.com/spreadsheets/d/1jTcq05yEiRwXcBMLjiodW9e4biSGYWAHcDj22rKWQ3s/edit?usp=sharing"",""กำแพงเพชร!J200"")+IMPORTRANGE(""https://docs.google.com/spreadsheets/d/1KS0zmDSZPk8KnTAbGN-Xk6MtX1YRZD0ldgdt20K4CRk/edit?usp=sharing"","&amp;"""เชียงราย!J200"")+IMPORTRANGE(""https://docs.google.com/spreadsheets/d/1rEDxBtusbi64tE0zunoIbsTVV16HeL0oJ6trHQeQ7K8/edit?usp=sharing"",""เชียงใหม่!J200"")+IMPORTRANGE(""https://docs.google.com/spreadsheets/d/1W6MnUbDkMi6xHnHko_XkFDO9kkuL6Wqyc-6OCDFjW9I/e"&amp;"dit?usp=sharing"",""ตาก!J200"")+IMPORTRANGE(""https://docs.google.com/spreadsheets/d/1IQAWArduLkta9LpYo4a_ULsyqdta6-6aDDiwpUnQT6c/edit?usp=sharing"",""นครสวรรค์!J200"")+IMPORTRANGE(""https://docs.google.com/spreadsheets/d/10s13Sk5xrltsiR-Zkbmk5DwIaDIKO8Xl"&amp;"bJAfqyT7Gvg/edit?usp=sharing"",""น่าน!J200"")+IMPORTRANGE(""https://docs.google.com/spreadsheets/d/1uu4nAn4Dbi1XREnLKKotUANlKXa7yCgRcgq8HEzQYW8/edit?usp=sharing"",""พะเยา!J200"")+IMPORTRANGE(""https://docs.google.com/spreadsheets/d/1xfJKIQxVOaPDIICqsflNlL"&amp;"u3JacTDk1FP9RH4phX7mI/edit?usp=sharing"",""พิจิตร!J200"")+IMPORTRANGE(""https://docs.google.com/spreadsheets/d/1JtRfZkJMHtEhI5RdRHxYUG4FIZHqKDpNyIuN7A1Q0_k/edit?usp=sharing"",""พิษณุโลก!J200"")+IMPORTRANGE(""https://docs.google.com/spreadsheets/d/1xlcVZWU"&amp;"Nn6SuWm0c307h32SiGkd9BaeQWlAktfD3KO8/edit?usp=sharing"",""เพชรบูรณ์!J200"")+IMPORTRANGE(""https://docs.google.com/spreadsheets/d/1lOVebEIsI9qjGXl6EX66luk7wiuP2tBaryw-wKvv4e0/edit?usp=sharing"",""แพร่!J200"")+IMPORTRANGE(""https://docs.google.com/spreadshe"&amp;"ets/d/1dQrvX0vEcN7Gu0fnZ0B5S90AeR19zth4XlExFBeExMY/edit?usp=sharing"",""แม่ฮ่องสอน!J200"")+IMPORTRANGE(""https://docs.google.com/spreadsheets/d/1DY4XTNNwjluuxqdfdn6qvOSlMRrZqUtmYcZR0ttFiG4/edit?usp=sharing"",""ลำปาง!J200"")+IMPORTRANGE(""https://docs.goog"&amp;"le.com/spreadsheets/d/1ICwG78r0OFT8biBlxnBF8r7she7gNSzOvJ958PWT09c/edit?usp=sharing"",""ลำพูน!J200"")+IMPORTRANGE(""https://docs.google.com/spreadsheets/d/1B0f2xJpZUC6Z0xXnqKlZtEPzsf6L84eP1r1Q15seqRM/edit?usp=sharing"",""สุโขทัย!J200"")+IMPORTRANGE(""http"&amp;"s://docs.google.com/spreadsheets/d/1v0b9pFQCsKUVExMei7AgY2yQkdeNQvtOssygGsXbiKo/edit?usp=sharing"",""อุตรดิตถ์!J200"")+IMPORTRANGE(""https://docs.google.com/spreadsheets/d/1UsNK1e-WWiCo2PvGqdNfdme4m17_Ezd3J69EeeiQPD0/edit?usp=sharing"",""อุทัยธานี!J200"")"),803)</f>
        <v>803</v>
      </c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0" t="s">
        <v>35</v>
      </c>
      <c r="I201" s="44"/>
      <c r="J201" s="166">
        <f ca="1">IFERROR(__xludf.DUMMYFUNCTION("IMPORTRANGE(""https://docs.google.com/spreadsheets/d/1jTcq05yEiRwXcBMLjiodW9e4biSGYWAHcDj22rKWQ3s/edit?usp=sharing"",""กำแพงเพชร!J201"")+IMPORTRANGE(""https://docs.google.com/spreadsheets/d/1KS0zmDSZPk8KnTAbGN-Xk6MtX1YRZD0ldgdt20K4CRk/edit?usp=sharing"","&amp;"""เชียงราย!J201"")+IMPORTRANGE(""https://docs.google.com/spreadsheets/d/1rEDxBtusbi64tE0zunoIbsTVV16HeL0oJ6trHQeQ7K8/edit?usp=sharing"",""เชียงใหม่!J201"")+IMPORTRANGE(""https://docs.google.com/spreadsheets/d/1W6MnUbDkMi6xHnHko_XkFDO9kkuL6Wqyc-6OCDFjW9I/e"&amp;"dit?usp=sharing"",""ตาก!J201"")+IMPORTRANGE(""https://docs.google.com/spreadsheets/d/1IQAWArduLkta9LpYo4a_ULsyqdta6-6aDDiwpUnQT6c/edit?usp=sharing"",""นครสวรรค์!J201"")+IMPORTRANGE(""https://docs.google.com/spreadsheets/d/10s13Sk5xrltsiR-Zkbmk5DwIaDIKO8Xl"&amp;"bJAfqyT7Gvg/edit?usp=sharing"",""น่าน!J201"")+IMPORTRANGE(""https://docs.google.com/spreadsheets/d/1uu4nAn4Dbi1XREnLKKotUANlKXa7yCgRcgq8HEzQYW8/edit?usp=sharing"",""พะเยา!J201"")+IMPORTRANGE(""https://docs.google.com/spreadsheets/d/1xfJKIQxVOaPDIICqsflNlL"&amp;"u3JacTDk1FP9RH4phX7mI/edit?usp=sharing"",""พิจิตร!J201"")+IMPORTRANGE(""https://docs.google.com/spreadsheets/d/1JtRfZkJMHtEhI5RdRHxYUG4FIZHqKDpNyIuN7A1Q0_k/edit?usp=sharing"",""พิษณุโลก!J201"")+IMPORTRANGE(""https://docs.google.com/spreadsheets/d/1xlcVZWU"&amp;"Nn6SuWm0c307h32SiGkd9BaeQWlAktfD3KO8/edit?usp=sharing"",""เพชรบูรณ์!J201"")+IMPORTRANGE(""https://docs.google.com/spreadsheets/d/1lOVebEIsI9qjGXl6EX66luk7wiuP2tBaryw-wKvv4e0/edit?usp=sharing"",""แพร่!J201"")+IMPORTRANGE(""https://docs.google.com/spreadshe"&amp;"ets/d/1dQrvX0vEcN7Gu0fnZ0B5S90AeR19zth4XlExFBeExMY/edit?usp=sharing"",""แม่ฮ่องสอน!J201"")+IMPORTRANGE(""https://docs.google.com/spreadsheets/d/1DY4XTNNwjluuxqdfdn6qvOSlMRrZqUtmYcZR0ttFiG4/edit?usp=sharing"",""ลำปาง!J201"")+IMPORTRANGE(""https://docs.goog"&amp;"le.com/spreadsheets/d/1ICwG78r0OFT8biBlxnBF8r7she7gNSzOvJ958PWT09c/edit?usp=sharing"",""ลำพูน!J201"")+IMPORTRANGE(""https://docs.google.com/spreadsheets/d/1B0f2xJpZUC6Z0xXnqKlZtEPzsf6L84eP1r1Q15seqRM/edit?usp=sharing"",""สุโขทัย!J201"")+IMPORTRANGE(""http"&amp;"s://docs.google.com/spreadsheets/d/1v0b9pFQCsKUVExMei7AgY2yQkdeNQvtOssygGsXbiKo/edit?usp=sharing"",""อุตรดิตถ์!J201"")+IMPORTRANGE(""https://docs.google.com/spreadsheets/d/1UsNK1e-WWiCo2PvGqdNfdme4m17_Ezd3J69EeeiQPD0/edit?usp=sharing"",""อุทัยธานี!J201"")"),50)</f>
        <v>50</v>
      </c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</row>
    <row r="202" spans="1:21" ht="19.5" x14ac:dyDescent="0.3">
      <c r="A202" s="211"/>
      <c r="B202" s="212"/>
      <c r="C202" s="213" t="s">
        <v>84</v>
      </c>
      <c r="D202" s="214"/>
      <c r="E202" s="214"/>
      <c r="F202" s="214"/>
      <c r="G202" s="215"/>
      <c r="H202" s="223" t="s">
        <v>85</v>
      </c>
      <c r="I202" s="217">
        <f t="shared" ref="I202:J202" ca="1" si="172">I209</f>
        <v>53</v>
      </c>
      <c r="J202" s="217">
        <f t="shared" ca="1" si="172"/>
        <v>12</v>
      </c>
      <c r="K202" s="218">
        <f ca="1">IF(I202&gt;0,J202*100/I202,0)</f>
        <v>22.641509433962263</v>
      </c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</row>
    <row r="203" spans="1:21" ht="19.5" x14ac:dyDescent="0.3">
      <c r="A203" s="128"/>
      <c r="B203" s="40"/>
      <c r="C203" s="129" t="s">
        <v>18</v>
      </c>
      <c r="D203" s="220" t="s">
        <v>19</v>
      </c>
      <c r="E203" s="40"/>
      <c r="F203" s="40"/>
      <c r="G203" s="42"/>
      <c r="H203" s="221" t="s">
        <v>14</v>
      </c>
      <c r="I203" s="135"/>
      <c r="J203" s="135"/>
      <c r="K203" s="136"/>
      <c r="L203" s="132">
        <f t="shared" ref="L203:N203" ca="1" si="173">L204+L205+L206+L207</f>
        <v>281000</v>
      </c>
      <c r="M203" s="132">
        <f t="shared" ca="1" si="173"/>
        <v>0</v>
      </c>
      <c r="N203" s="132">
        <f t="shared" ca="1" si="173"/>
        <v>85574.88</v>
      </c>
      <c r="O203" s="132">
        <f ca="1">IF(L203&gt;0,N203*100/L203,0)</f>
        <v>30.453693950177936</v>
      </c>
      <c r="P203" s="45"/>
      <c r="Q203" s="46">
        <f t="shared" ref="Q203:S203" ca="1" si="174">Q204+Q205+Q206+Q207</f>
        <v>672000</v>
      </c>
      <c r="R203" s="46">
        <f t="shared" ca="1" si="174"/>
        <v>0</v>
      </c>
      <c r="S203" s="46">
        <f t="shared" ca="1" si="174"/>
        <v>0</v>
      </c>
      <c r="T203" s="46"/>
      <c r="U203" s="46"/>
    </row>
    <row r="204" spans="1:21" ht="18.75" x14ac:dyDescent="0.25">
      <c r="A204" s="128"/>
      <c r="B204" s="158"/>
      <c r="C204" s="40"/>
      <c r="D204" s="47" t="s">
        <v>86</v>
      </c>
      <c r="E204" s="40"/>
      <c r="F204" s="40"/>
      <c r="G204" s="42"/>
      <c r="H204" s="134" t="s">
        <v>14</v>
      </c>
      <c r="I204" s="135"/>
      <c r="J204" s="135"/>
      <c r="K204" s="136"/>
      <c r="L204" s="46">
        <f ca="1">IFERROR(__xludf.DUMMYFUNCTION("IMPORTRANGE(""https://docs.google.com/spreadsheets/d/1jTcq05yEiRwXcBMLjiodW9e4biSGYWAHcDj22rKWQ3s/edit?usp=sharing"",""กำแพงเพชร!L204"")+IMPORTRANGE(""https://docs.google.com/spreadsheets/d/1KS0zmDSZPk8KnTAbGN-Xk6MtX1YRZD0ldgdt20K4CRk/edit?usp=sharing"","&amp;"""เชียงราย!L204"")+IMPORTRANGE(""https://docs.google.com/spreadsheets/d/1rEDxBtusbi64tE0zunoIbsTVV16HeL0oJ6trHQeQ7K8/edit?usp=sharing"",""เชียงใหม่!L204"")+IMPORTRANGE(""https://docs.google.com/spreadsheets/d/1W6MnUbDkMi6xHnHko_XkFDO9kkuL6Wqyc-6OCDFjW9I/e"&amp;"dit?usp=sharing"",""ตาก!L204"")+IMPORTRANGE(""https://docs.google.com/spreadsheets/d/1IQAWArduLkta9LpYo4a_ULsyqdta6-6aDDiwpUnQT6c/edit?usp=sharing"",""นครสวรรค์!L204"")+IMPORTRANGE(""https://docs.google.com/spreadsheets/d/10s13Sk5xrltsiR-Zkbmk5DwIaDIKO8Xl"&amp;"bJAfqyT7Gvg/edit?usp=sharing"",""น่าน!L204"")+IMPORTRANGE(""https://docs.google.com/spreadsheets/d/1uu4nAn4Dbi1XREnLKKotUANlKXa7yCgRcgq8HEzQYW8/edit?usp=sharing"",""พะเยา!L204"")+IMPORTRANGE(""https://docs.google.com/spreadsheets/d/1xfJKIQxVOaPDIICqsflNlL"&amp;"u3JacTDk1FP9RH4phX7mI/edit?usp=sharing"",""พิจิตร!L204"")+IMPORTRANGE(""https://docs.google.com/spreadsheets/d/1JtRfZkJMHtEhI5RdRHxYUG4FIZHqKDpNyIuN7A1Q0_k/edit?usp=sharing"",""พิษณุโลก!L204"")+IMPORTRANGE(""https://docs.google.com/spreadsheets/d/1xlcVZWU"&amp;"Nn6SuWm0c307h32SiGkd9BaeQWlAktfD3KO8/edit?usp=sharing"",""เพชรบูรณ์!L204"")+IMPORTRANGE(""https://docs.google.com/spreadsheets/d/1lOVebEIsI9qjGXl6EX66luk7wiuP2tBaryw-wKvv4e0/edit?usp=sharing"",""แพร่!L204"")+IMPORTRANGE(""https://docs.google.com/spreadshe"&amp;"ets/d/1dQrvX0vEcN7Gu0fnZ0B5S90AeR19zth4XlExFBeExMY/edit?usp=sharing"",""แม่ฮ่องสอน!L204"")+IMPORTRANGE(""https://docs.google.com/spreadsheets/d/1DY4XTNNwjluuxqdfdn6qvOSlMRrZqUtmYcZR0ttFiG4/edit?usp=sharing"",""ลำปาง!L204"")+IMPORTRANGE(""https://docs.goog"&amp;"le.com/spreadsheets/d/1ICwG78r0OFT8biBlxnBF8r7she7gNSzOvJ958PWT09c/edit?usp=sharing"",""ลำพูน!L204"")+IMPORTRANGE(""https://docs.google.com/spreadsheets/d/1B0f2xJpZUC6Z0xXnqKlZtEPzsf6L84eP1r1Q15seqRM/edit?usp=sharing"",""สุโขทัย!L204"")+IMPORTRANGE(""http"&amp;"s://docs.google.com/spreadsheets/d/1v0b9pFQCsKUVExMei7AgY2yQkdeNQvtOssygGsXbiKo/edit?usp=sharing"",""อุตรดิตถ์!L204"")+IMPORTRANGE(""https://docs.google.com/spreadsheets/d/1UsNK1e-WWiCo2PvGqdNfdme4m17_Ezd3J69EeeiQPD0/edit?usp=sharing"",""อุทัยธานี!L204"")"),42000)</f>
        <v>42000</v>
      </c>
      <c r="M204" s="46">
        <f ca="1">IFERROR(__xludf.DUMMYFUNCTION("IMPORTRANGE(""https://docs.google.com/spreadsheets/d/1jTcq05yEiRwXcBMLjiodW9e4biSGYWAHcDj22rKWQ3s/edit?usp=sharing"",""กำแพงเพชร!M204"")+IMPORTRANGE(""https://docs.google.com/spreadsheets/d/1KS0zmDSZPk8KnTAbGN-Xk6MtX1YRZD0ldgdt20K4CRk/edit?usp=sharing"","&amp;"""เชียงราย!M204"")+IMPORTRANGE(""https://docs.google.com/spreadsheets/d/1rEDxBtusbi64tE0zunoIbsTVV16HeL0oJ6trHQeQ7K8/edit?usp=sharing"",""เชียงใหม่!M204"")+IMPORTRANGE(""https://docs.google.com/spreadsheets/d/1W6MnUbDkMi6xHnHko_XkFDO9kkuL6Wqyc-6OCDFjW9I/e"&amp;"dit?usp=sharing"",""ตาก!M204"")+IMPORTRANGE(""https://docs.google.com/spreadsheets/d/1IQAWArduLkta9LpYo4a_ULsyqdta6-6aDDiwpUnQT6c/edit?usp=sharing"",""นครสวรรค์!M204"")+IMPORTRANGE(""https://docs.google.com/spreadsheets/d/10s13Sk5xrltsiR-Zkbmk5DwIaDIKO8Xl"&amp;"bJAfqyT7Gvg/edit?usp=sharing"",""น่าน!M204"")+IMPORTRANGE(""https://docs.google.com/spreadsheets/d/1uu4nAn4Dbi1XREnLKKotUANlKXa7yCgRcgq8HEzQYW8/edit?usp=sharing"",""พะเยา!M204"")+IMPORTRANGE(""https://docs.google.com/spreadsheets/d/1xfJKIQxVOaPDIICqsflNlL"&amp;"u3JacTDk1FP9RH4phX7mI/edit?usp=sharing"",""พิจิตร!M204"")+IMPORTRANGE(""https://docs.google.com/spreadsheets/d/1JtRfZkJMHtEhI5RdRHxYUG4FIZHqKDpNyIuN7A1Q0_k/edit?usp=sharing"",""พิษณุโลก!M204"")+IMPORTRANGE(""https://docs.google.com/spreadsheets/d/1xlcVZWU"&amp;"Nn6SuWm0c307h32SiGkd9BaeQWlAktfD3KO8/edit?usp=sharing"",""เพชรบูรณ์!M204"")+IMPORTRANGE(""https://docs.google.com/spreadsheets/d/1lOVebEIsI9qjGXl6EX66luk7wiuP2tBaryw-wKvv4e0/edit?usp=sharing"",""แพร่!M204"")+IMPORTRANGE(""https://docs.google.com/spreadshe"&amp;"ets/d/1dQrvX0vEcN7Gu0fnZ0B5S90AeR19zth4XlExFBeExMY/edit?usp=sharing"",""แม่ฮ่องสอน!M204"")+IMPORTRANGE(""https://docs.google.com/spreadsheets/d/1DY4XTNNwjluuxqdfdn6qvOSlMRrZqUtmYcZR0ttFiG4/edit?usp=sharing"",""ลำปาง!M204"")+IMPORTRANGE(""https://docs.goog"&amp;"le.com/spreadsheets/d/1ICwG78r0OFT8biBlxnBF8r7she7gNSzOvJ958PWT09c/edit?usp=sharing"",""ลำพูน!M204"")+IMPORTRANGE(""https://docs.google.com/spreadsheets/d/1B0f2xJpZUC6Z0xXnqKlZtEPzsf6L84eP1r1Q15seqRM/edit?usp=sharing"",""สุโขทัย!M204"")+IMPORTRANGE(""http"&amp;"s://docs.google.com/spreadsheets/d/1v0b9pFQCsKUVExMei7AgY2yQkdeNQvtOssygGsXbiKo/edit?usp=sharing"",""อุตรดิตถ์!M204"")+IMPORTRANGE(""https://docs.google.com/spreadsheets/d/1UsNK1e-WWiCo2PvGqdNfdme4m17_Ezd3J69EeeiQPD0/edit?usp=sharing"",""อุทัยธานี!M204"")"),0)</f>
        <v>0</v>
      </c>
      <c r="N204" s="46">
        <f ca="1">IFERROR(__xludf.DUMMYFUNCTION("IMPORTRANGE(""https://docs.google.com/spreadsheets/d/1jTcq05yEiRwXcBMLjiodW9e4biSGYWAHcDj22rKWQ3s/edit?usp=sharing"",""กำแพงเพชร!N204"")+IMPORTRANGE(""https://docs.google.com/spreadsheets/d/1KS0zmDSZPk8KnTAbGN-Xk6MtX1YRZD0ldgdt20K4CRk/edit?usp=sharing"","&amp;"""เชียงราย!N204"")+IMPORTRANGE(""https://docs.google.com/spreadsheets/d/1rEDxBtusbi64tE0zunoIbsTVV16HeL0oJ6trHQeQ7K8/edit?usp=sharing"",""เชียงใหม่!N204"")+IMPORTRANGE(""https://docs.google.com/spreadsheets/d/1W6MnUbDkMi6xHnHko_XkFDO9kkuL6Wqyc-6OCDFjW9I/e"&amp;"dit?usp=sharing"",""ตาก!N204"")+IMPORTRANGE(""https://docs.google.com/spreadsheets/d/1IQAWArduLkta9LpYo4a_ULsyqdta6-6aDDiwpUnQT6c/edit?usp=sharing"",""นครสวรรค์!N204"")+IMPORTRANGE(""https://docs.google.com/spreadsheets/d/10s13Sk5xrltsiR-Zkbmk5DwIaDIKO8Xl"&amp;"bJAfqyT7Gvg/edit?usp=sharing"",""น่าน!N204"")+IMPORTRANGE(""https://docs.google.com/spreadsheets/d/1uu4nAn4Dbi1XREnLKKotUANlKXa7yCgRcgq8HEzQYW8/edit?usp=sharing"",""พะเยา!N204"")+IMPORTRANGE(""https://docs.google.com/spreadsheets/d/1xfJKIQxVOaPDIICqsflNlL"&amp;"u3JacTDk1FP9RH4phX7mI/edit?usp=sharing"",""พิจิตร!N204"")+IMPORTRANGE(""https://docs.google.com/spreadsheets/d/1JtRfZkJMHtEhI5RdRHxYUG4FIZHqKDpNyIuN7A1Q0_k/edit?usp=sharing"",""พิษณุโลก!N204"")+IMPORTRANGE(""https://docs.google.com/spreadsheets/d/1xlcVZWU"&amp;"Nn6SuWm0c307h32SiGkd9BaeQWlAktfD3KO8/edit?usp=sharing"",""เพชรบูรณ์!N204"")+IMPORTRANGE(""https://docs.google.com/spreadsheets/d/1lOVebEIsI9qjGXl6EX66luk7wiuP2tBaryw-wKvv4e0/edit?usp=sharing"",""แพร่!N204"")+IMPORTRANGE(""https://docs.google.com/spreadshe"&amp;"ets/d/1dQrvX0vEcN7Gu0fnZ0B5S90AeR19zth4XlExFBeExMY/edit?usp=sharing"",""แม่ฮ่องสอน!N204"")+IMPORTRANGE(""https://docs.google.com/spreadsheets/d/1DY4XTNNwjluuxqdfdn6qvOSlMRrZqUtmYcZR0ttFiG4/edit?usp=sharing"",""ลำปาง!N204"")+IMPORTRANGE(""https://docs.goog"&amp;"le.com/spreadsheets/d/1ICwG78r0OFT8biBlxnBF8r7she7gNSzOvJ958PWT09c/edit?usp=sharing"",""ลำพูน!N204"")+IMPORTRANGE(""https://docs.google.com/spreadsheets/d/1B0f2xJpZUC6Z0xXnqKlZtEPzsf6L84eP1r1Q15seqRM/edit?usp=sharing"",""สุโขทัย!N204"")+IMPORTRANGE(""http"&amp;"s://docs.google.com/spreadsheets/d/1v0b9pFQCsKUVExMei7AgY2yQkdeNQvtOssygGsXbiKo/edit?usp=sharing"",""อุตรดิตถ์!N204"")+IMPORTRANGE(""https://docs.google.com/spreadsheets/d/1UsNK1e-WWiCo2PvGqdNfdme4m17_Ezd3J69EeeiQPD0/edit?usp=sharing"",""อุทัยธานี!N204"")"),12574.88)</f>
        <v>12574.88</v>
      </c>
      <c r="O204" s="136"/>
      <c r="P204" s="45"/>
      <c r="Q204" s="46">
        <f ca="1">IFERROR(__xludf.DUMMYFUNCTION("IMPORTRANGE(""https://docs.google.com/spreadsheets/d/1jTcq05yEiRwXcBMLjiodW9e4biSGYWAHcDj22rKWQ3s/edit?usp=sharing"",""กำแพงเพชร!Q204"")+IMPORTRANGE(""https://docs.google.com/spreadsheets/d/1KS0zmDSZPk8KnTAbGN-Xk6MtX1YRZD0ldgdt20K4CRk/edit?usp=sharing"","&amp;"""เชียงราย!Q204"")+IMPORTRANGE(""https://docs.google.com/spreadsheets/d/1rEDxBtusbi64tE0zunoIbsTVV16HeL0oJ6trHQeQ7K8/edit?usp=sharing"",""เชียงใหม่!Q204"")+IMPORTRANGE(""https://docs.google.com/spreadsheets/d/1W6MnUbDkMi6xHnHko_XkFDO9kkuL6Wqyc-6OCDFjW9I/e"&amp;"dit?usp=sharing"",""ตาก!Q204"")+IMPORTRANGE(""https://docs.google.com/spreadsheets/d/1IQAWArduLkta9LpYo4a_ULsyqdta6-6aDDiwpUnQT6c/edit?usp=sharing"",""นครสวรรค์!Q204"")+IMPORTRANGE(""https://docs.google.com/spreadsheets/d/10s13Sk5xrltsiR-Zkbmk5DwIaDIKO8Xl"&amp;"bJAfqyT7Gvg/edit?usp=sharing"",""น่าน!Q204"")+IMPORTRANGE(""https://docs.google.com/spreadsheets/d/1uu4nAn4Dbi1XREnLKKotUANlKXa7yCgRcgq8HEzQYW8/edit?usp=sharing"",""พะเยา!Q204"")+IMPORTRANGE(""https://docs.google.com/spreadsheets/d/1xfJKIQxVOaPDIICqsflNlL"&amp;"u3JacTDk1FP9RH4phX7mI/edit?usp=sharing"",""พิจิตร!Q204"")+IMPORTRANGE(""https://docs.google.com/spreadsheets/d/1JtRfZkJMHtEhI5RdRHxYUG4FIZHqKDpNyIuN7A1Q0_k/edit?usp=sharing"",""พิษณุโลก!Q204"")+IMPORTRANGE(""https://docs.google.com/spreadsheets/d/1xlcVZWU"&amp;"Nn6SuWm0c307h32SiGkd9BaeQWlAktfD3KO8/edit?usp=sharing"",""เพชรบูรณ์!Q204"")+IMPORTRANGE(""https://docs.google.com/spreadsheets/d/1lOVebEIsI9qjGXl6EX66luk7wiuP2tBaryw-wKvv4e0/edit?usp=sharing"",""แพร่!Q204"")+IMPORTRANGE(""https://docs.google.com/spreadshe"&amp;"ets/d/1dQrvX0vEcN7Gu0fnZ0B5S90AeR19zth4XlExFBeExMY/edit?usp=sharing"",""แม่ฮ่องสอน!Q204"")+IMPORTRANGE(""https://docs.google.com/spreadsheets/d/1DY4XTNNwjluuxqdfdn6qvOSlMRrZqUtmYcZR0ttFiG4/edit?usp=sharing"",""ลำปาง!Q204"")+IMPORTRANGE(""https://docs.goog"&amp;"le.com/spreadsheets/d/1ICwG78r0OFT8biBlxnBF8r7she7gNSzOvJ958PWT09c/edit?usp=sharing"",""ลำพูน!Q204"")+IMPORTRANGE(""https://docs.google.com/spreadsheets/d/1B0f2xJpZUC6Z0xXnqKlZtEPzsf6L84eP1r1Q15seqRM/edit?usp=sharing"",""สุโขทัย!Q204"")+IMPORTRANGE(""http"&amp;"s://docs.google.com/spreadsheets/d/1v0b9pFQCsKUVExMei7AgY2yQkdeNQvtOssygGsXbiKo/edit?usp=sharing"",""อุตรดิตถ์!Q204"")+IMPORTRANGE(""https://docs.google.com/spreadsheets/d/1UsNK1e-WWiCo2PvGqdNfdme4m17_Ezd3J69EeeiQPD0/edit?usp=sharing"",""อุทัยธานี!Q204"")"),0)</f>
        <v>0</v>
      </c>
      <c r="R204" s="46">
        <f ca="1">IFERROR(__xludf.DUMMYFUNCTION("IMPORTRANGE(""https://docs.google.com/spreadsheets/d/1jTcq05yEiRwXcBMLjiodW9e4biSGYWAHcDj22rKWQ3s/edit?usp=sharing"",""กำแพงเพชร!R204"")+IMPORTRANGE(""https://docs.google.com/spreadsheets/d/1KS0zmDSZPk8KnTAbGN-Xk6MtX1YRZD0ldgdt20K4CRk/edit?usp=sharing"","&amp;"""เชียงราย!R204"")+IMPORTRANGE(""https://docs.google.com/spreadsheets/d/1rEDxBtusbi64tE0zunoIbsTVV16HeL0oJ6trHQeQ7K8/edit?usp=sharing"",""เชียงใหม่!R204"")+IMPORTRANGE(""https://docs.google.com/spreadsheets/d/1W6MnUbDkMi6xHnHko_XkFDO9kkuL6Wqyc-6OCDFjW9I/e"&amp;"dit?usp=sharing"",""ตาก!R204"")+IMPORTRANGE(""https://docs.google.com/spreadsheets/d/1IQAWArduLkta9LpYo4a_ULsyqdta6-6aDDiwpUnQT6c/edit?usp=sharing"",""นครสวรรค์!R204"")+IMPORTRANGE(""https://docs.google.com/spreadsheets/d/10s13Sk5xrltsiR-Zkbmk5DwIaDIKO8Xl"&amp;"bJAfqyT7Gvg/edit?usp=sharing"",""น่าน!R204"")+IMPORTRANGE(""https://docs.google.com/spreadsheets/d/1uu4nAn4Dbi1XREnLKKotUANlKXa7yCgRcgq8HEzQYW8/edit?usp=sharing"",""พะเยา!R204"")+IMPORTRANGE(""https://docs.google.com/spreadsheets/d/1xfJKIQxVOaPDIICqsflNlL"&amp;"u3JacTDk1FP9RH4phX7mI/edit?usp=sharing"",""พิจิตร!R204"")+IMPORTRANGE(""https://docs.google.com/spreadsheets/d/1JtRfZkJMHtEhI5RdRHxYUG4FIZHqKDpNyIuN7A1Q0_k/edit?usp=sharing"",""พิษณุโลก!R204"")+IMPORTRANGE(""https://docs.google.com/spreadsheets/d/1xlcVZWU"&amp;"Nn6SuWm0c307h32SiGkd9BaeQWlAktfD3KO8/edit?usp=sharing"",""เพชรบูรณ์!R204"")+IMPORTRANGE(""https://docs.google.com/spreadsheets/d/1lOVebEIsI9qjGXl6EX66luk7wiuP2tBaryw-wKvv4e0/edit?usp=sharing"",""แพร่!R204"")+IMPORTRANGE(""https://docs.google.com/spreadshe"&amp;"ets/d/1dQrvX0vEcN7Gu0fnZ0B5S90AeR19zth4XlExFBeExMY/edit?usp=sharing"",""แม่ฮ่องสอน!R204"")+IMPORTRANGE(""https://docs.google.com/spreadsheets/d/1DY4XTNNwjluuxqdfdn6qvOSlMRrZqUtmYcZR0ttFiG4/edit?usp=sharing"",""ลำปาง!R204"")+IMPORTRANGE(""https://docs.goog"&amp;"le.com/spreadsheets/d/1ICwG78r0OFT8biBlxnBF8r7she7gNSzOvJ958PWT09c/edit?usp=sharing"",""ลำพูน!R204"")+IMPORTRANGE(""https://docs.google.com/spreadsheets/d/1B0f2xJpZUC6Z0xXnqKlZtEPzsf6L84eP1r1Q15seqRM/edit?usp=sharing"",""สุโขทัย!R204"")+IMPORTRANGE(""http"&amp;"s://docs.google.com/spreadsheets/d/1v0b9pFQCsKUVExMei7AgY2yQkdeNQvtOssygGsXbiKo/edit?usp=sharing"",""อุตรดิตถ์!R204"")+IMPORTRANGE(""https://docs.google.com/spreadsheets/d/1UsNK1e-WWiCo2PvGqdNfdme4m17_Ezd3J69EeeiQPD0/edit?usp=sharing"",""อุทัยธานี!R204"")"),0)</f>
        <v>0</v>
      </c>
      <c r="S204" s="46">
        <f ca="1">IFERROR(__xludf.DUMMYFUNCTION("IMPORTRANGE(""https://docs.google.com/spreadsheets/d/1jTcq05yEiRwXcBMLjiodW9e4biSGYWAHcDj22rKWQ3s/edit?usp=sharing"",""กำแพงเพชร!S204"")+IMPORTRANGE(""https://docs.google.com/spreadsheets/d/1KS0zmDSZPk8KnTAbGN-Xk6MtX1YRZD0ldgdt20K4CRk/edit?usp=sharing"","&amp;"""เชียงราย!S204"")+IMPORTRANGE(""https://docs.google.com/spreadsheets/d/1rEDxBtusbi64tE0zunoIbsTVV16HeL0oJ6trHQeQ7K8/edit?usp=sharing"",""เชียงใหม่!S204"")+IMPORTRANGE(""https://docs.google.com/spreadsheets/d/1W6MnUbDkMi6xHnHko_XkFDO9kkuL6Wqyc-6OCDFjW9I/e"&amp;"dit?usp=sharing"",""ตาก!S204"")+IMPORTRANGE(""https://docs.google.com/spreadsheets/d/1IQAWArduLkta9LpYo4a_ULsyqdta6-6aDDiwpUnQT6c/edit?usp=sharing"",""นครสวรรค์!S204"")+IMPORTRANGE(""https://docs.google.com/spreadsheets/d/10s13Sk5xrltsiR-Zkbmk5DwIaDIKO8Xl"&amp;"bJAfqyT7Gvg/edit?usp=sharing"",""น่าน!S204"")+IMPORTRANGE(""https://docs.google.com/spreadsheets/d/1uu4nAn4Dbi1XREnLKKotUANlKXa7yCgRcgq8HEzQYW8/edit?usp=sharing"",""พะเยา!S204"")+IMPORTRANGE(""https://docs.google.com/spreadsheets/d/1xfJKIQxVOaPDIICqsflNlL"&amp;"u3JacTDk1FP9RH4phX7mI/edit?usp=sharing"",""พิจิตร!S204"")+IMPORTRANGE(""https://docs.google.com/spreadsheets/d/1JtRfZkJMHtEhI5RdRHxYUG4FIZHqKDpNyIuN7A1Q0_k/edit?usp=sharing"",""พิษณุโลก!S204"")+IMPORTRANGE(""https://docs.google.com/spreadsheets/d/1xlcVZWU"&amp;"Nn6SuWm0c307h32SiGkd9BaeQWlAktfD3KO8/edit?usp=sharing"",""เพชรบูรณ์!S204"")+IMPORTRANGE(""https://docs.google.com/spreadsheets/d/1lOVebEIsI9qjGXl6EX66luk7wiuP2tBaryw-wKvv4e0/edit?usp=sharing"",""แพร่!S204"")+IMPORTRANGE(""https://docs.google.com/spreadshe"&amp;"ets/d/1dQrvX0vEcN7Gu0fnZ0B5S90AeR19zth4XlExFBeExMY/edit?usp=sharing"",""แม่ฮ่องสอน!S204"")+IMPORTRANGE(""https://docs.google.com/spreadsheets/d/1DY4XTNNwjluuxqdfdn6qvOSlMRrZqUtmYcZR0ttFiG4/edit?usp=sharing"",""ลำปาง!S204"")+IMPORTRANGE(""https://docs.goog"&amp;"le.com/spreadsheets/d/1ICwG78r0OFT8biBlxnBF8r7she7gNSzOvJ958PWT09c/edit?usp=sharing"",""ลำพูน!S204"")+IMPORTRANGE(""https://docs.google.com/spreadsheets/d/1B0f2xJpZUC6Z0xXnqKlZtEPzsf6L84eP1r1Q15seqRM/edit?usp=sharing"",""สุโขทัย!S204"")+IMPORTRANGE(""http"&amp;"s://docs.google.com/spreadsheets/d/1v0b9pFQCsKUVExMei7AgY2yQkdeNQvtOssygGsXbiKo/edit?usp=sharing"",""อุตรดิตถ์!S204"")+IMPORTRANGE(""https://docs.google.com/spreadsheets/d/1UsNK1e-WWiCo2PvGqdNfdme4m17_Ezd3J69EeeiQPD0/edit?usp=sharing"",""อุทัยธานี!S204"")"),0)</f>
        <v>0</v>
      </c>
      <c r="T204" s="152"/>
      <c r="U204" s="46"/>
    </row>
    <row r="205" spans="1:21" ht="18.75" x14ac:dyDescent="0.25">
      <c r="A205" s="208"/>
      <c r="B205" s="158"/>
      <c r="C205" s="40"/>
      <c r="D205" s="47" t="s">
        <v>87</v>
      </c>
      <c r="E205" s="40"/>
      <c r="F205" s="40"/>
      <c r="G205" s="42"/>
      <c r="H205" s="43" t="s">
        <v>14</v>
      </c>
      <c r="I205" s="44"/>
      <c r="J205" s="44"/>
      <c r="K205" s="45"/>
      <c r="L205" s="224">
        <v>0</v>
      </c>
      <c r="M205" s="224">
        <v>0</v>
      </c>
      <c r="N205" s="224">
        <v>0</v>
      </c>
      <c r="O205" s="136"/>
      <c r="P205" s="45"/>
      <c r="Q205" s="46">
        <v>0</v>
      </c>
      <c r="R205" s="46">
        <v>0</v>
      </c>
      <c r="S205" s="46">
        <v>0</v>
      </c>
      <c r="T205" s="152"/>
      <c r="U205" s="46"/>
    </row>
    <row r="206" spans="1:21" ht="18.75" x14ac:dyDescent="0.25">
      <c r="A206" s="208"/>
      <c r="B206" s="158"/>
      <c r="C206" s="40"/>
      <c r="D206" s="47" t="s">
        <v>88</v>
      </c>
      <c r="E206" s="40"/>
      <c r="F206" s="40"/>
      <c r="G206" s="42"/>
      <c r="H206" s="43" t="s">
        <v>14</v>
      </c>
      <c r="I206" s="44"/>
      <c r="J206" s="44"/>
      <c r="K206" s="45"/>
      <c r="L206" s="46">
        <f ca="1">IFERROR(__xludf.DUMMYFUNCTION("IMPORTRANGE(""https://docs.google.com/spreadsheets/d/1jTcq05yEiRwXcBMLjiodW9e4biSGYWAHcDj22rKWQ3s/edit?usp=sharing"",""กำแพงเพชร!L206"")+IMPORTRANGE(""https://docs.google.com/spreadsheets/d/1KS0zmDSZPk8KnTAbGN-Xk6MtX1YRZD0ldgdt20K4CRk/edit?usp=sharing"","&amp;"""เชียงราย!L206"")+IMPORTRANGE(""https://docs.google.com/spreadsheets/d/1rEDxBtusbi64tE0zunoIbsTVV16HeL0oJ6trHQeQ7K8/edit?usp=sharing"",""เชียงใหม่!L206"")+IMPORTRANGE(""https://docs.google.com/spreadsheets/d/1W6MnUbDkMi6xHnHko_XkFDO9kkuL6Wqyc-6OCDFjW9I/e"&amp;"dit?usp=sharing"",""ตาก!L206"")+IMPORTRANGE(""https://docs.google.com/spreadsheets/d/1IQAWArduLkta9LpYo4a_ULsyqdta6-6aDDiwpUnQT6c/edit?usp=sharing"",""นครสวรรค์!L206"")+IMPORTRANGE(""https://docs.google.com/spreadsheets/d/10s13Sk5xrltsiR-Zkbmk5DwIaDIKO8Xl"&amp;"bJAfqyT7Gvg/edit?usp=sharing"",""น่าน!L206"")+IMPORTRANGE(""https://docs.google.com/spreadsheets/d/1uu4nAn4Dbi1XREnLKKotUANlKXa7yCgRcgq8HEzQYW8/edit?usp=sharing"",""พะเยา!L206"")+IMPORTRANGE(""https://docs.google.com/spreadsheets/d/1xfJKIQxVOaPDIICqsflNlL"&amp;"u3JacTDk1FP9RH4phX7mI/edit?usp=sharing"",""พิจิตร!L206"")+IMPORTRANGE(""https://docs.google.com/spreadsheets/d/1JtRfZkJMHtEhI5RdRHxYUG4FIZHqKDpNyIuN7A1Q0_k/edit?usp=sharing"",""พิษณุโลก!L206"")+IMPORTRANGE(""https://docs.google.com/spreadsheets/d/1xlcVZWU"&amp;"Nn6SuWm0c307h32SiGkd9BaeQWlAktfD3KO8/edit?usp=sharing"",""เพชรบูรณ์!L206"")+IMPORTRANGE(""https://docs.google.com/spreadsheets/d/1lOVebEIsI9qjGXl6EX66luk7wiuP2tBaryw-wKvv4e0/edit?usp=sharing"",""แพร่!L206"")+IMPORTRANGE(""https://docs.google.com/spreadshe"&amp;"ets/d/1dQrvX0vEcN7Gu0fnZ0B5S90AeR19zth4XlExFBeExMY/edit?usp=sharing"",""แม่ฮ่องสอน!L206"")+IMPORTRANGE(""https://docs.google.com/spreadsheets/d/1DY4XTNNwjluuxqdfdn6qvOSlMRrZqUtmYcZR0ttFiG4/edit?usp=sharing"",""ลำปาง!L206"")+IMPORTRANGE(""https://docs.goog"&amp;"le.com/spreadsheets/d/1ICwG78r0OFT8biBlxnBF8r7she7gNSzOvJ958PWT09c/edit?usp=sharing"",""ลำพูน!L206"")+IMPORTRANGE(""https://docs.google.com/spreadsheets/d/1B0f2xJpZUC6Z0xXnqKlZtEPzsf6L84eP1r1Q15seqRM/edit?usp=sharing"",""สุโขทัย!L206"")+IMPORTRANGE(""http"&amp;"s://docs.google.com/spreadsheets/d/1v0b9pFQCsKUVExMei7AgY2yQkdeNQvtOssygGsXbiKo/edit?usp=sharing"",""อุตรดิตถ์!L206"")+IMPORTRANGE(""https://docs.google.com/spreadsheets/d/1UsNK1e-WWiCo2PvGqdNfdme4m17_Ezd3J69EeeiQPD0/edit?usp=sharing"",""อุทัยธานี!L206"")"),40000)</f>
        <v>40000</v>
      </c>
      <c r="M206" s="46">
        <f ca="1">IFERROR(__xludf.DUMMYFUNCTION("IMPORTRANGE(""https://docs.google.com/spreadsheets/d/1jTcq05yEiRwXcBMLjiodW9e4biSGYWAHcDj22rKWQ3s/edit?usp=sharing"",""กำแพงเพชร!M206"")+IMPORTRANGE(""https://docs.google.com/spreadsheets/d/1KS0zmDSZPk8KnTAbGN-Xk6MtX1YRZD0ldgdt20K4CRk/edit?usp=sharing"","&amp;"""เชียงราย!M206"")+IMPORTRANGE(""https://docs.google.com/spreadsheets/d/1rEDxBtusbi64tE0zunoIbsTVV16HeL0oJ6trHQeQ7K8/edit?usp=sharing"",""เชียงใหม่!M206"")+IMPORTRANGE(""https://docs.google.com/spreadsheets/d/1W6MnUbDkMi6xHnHko_XkFDO9kkuL6Wqyc-6OCDFjW9I/e"&amp;"dit?usp=sharing"",""ตาก!M206"")+IMPORTRANGE(""https://docs.google.com/spreadsheets/d/1IQAWArduLkta9LpYo4a_ULsyqdta6-6aDDiwpUnQT6c/edit?usp=sharing"",""นครสวรรค์!M206"")+IMPORTRANGE(""https://docs.google.com/spreadsheets/d/10s13Sk5xrltsiR-Zkbmk5DwIaDIKO8Xl"&amp;"bJAfqyT7Gvg/edit?usp=sharing"",""น่าน!M206"")+IMPORTRANGE(""https://docs.google.com/spreadsheets/d/1uu4nAn4Dbi1XREnLKKotUANlKXa7yCgRcgq8HEzQYW8/edit?usp=sharing"",""พะเยา!M206"")+IMPORTRANGE(""https://docs.google.com/spreadsheets/d/1xfJKIQxVOaPDIICqsflNlL"&amp;"u3JacTDk1FP9RH4phX7mI/edit?usp=sharing"",""พิจิตร!M206"")+IMPORTRANGE(""https://docs.google.com/spreadsheets/d/1JtRfZkJMHtEhI5RdRHxYUG4FIZHqKDpNyIuN7A1Q0_k/edit?usp=sharing"",""พิษณุโลก!M206"")+IMPORTRANGE(""https://docs.google.com/spreadsheets/d/1xlcVZWU"&amp;"Nn6SuWm0c307h32SiGkd9BaeQWlAktfD3KO8/edit?usp=sharing"",""เพชรบูรณ์!M206"")+IMPORTRANGE(""https://docs.google.com/spreadsheets/d/1lOVebEIsI9qjGXl6EX66luk7wiuP2tBaryw-wKvv4e0/edit?usp=sharing"",""แพร่!M206"")+IMPORTRANGE(""https://docs.google.com/spreadshe"&amp;"ets/d/1dQrvX0vEcN7Gu0fnZ0B5S90AeR19zth4XlExFBeExMY/edit?usp=sharing"",""แม่ฮ่องสอน!M206"")+IMPORTRANGE(""https://docs.google.com/spreadsheets/d/1DY4XTNNwjluuxqdfdn6qvOSlMRrZqUtmYcZR0ttFiG4/edit?usp=sharing"",""ลำปาง!M206"")+IMPORTRANGE(""https://docs.goog"&amp;"le.com/spreadsheets/d/1ICwG78r0OFT8biBlxnBF8r7she7gNSzOvJ958PWT09c/edit?usp=sharing"",""ลำพูน!M206"")+IMPORTRANGE(""https://docs.google.com/spreadsheets/d/1B0f2xJpZUC6Z0xXnqKlZtEPzsf6L84eP1r1Q15seqRM/edit?usp=sharing"",""สุโขทัย!M206"")+IMPORTRANGE(""http"&amp;"s://docs.google.com/spreadsheets/d/1v0b9pFQCsKUVExMei7AgY2yQkdeNQvtOssygGsXbiKo/edit?usp=sharing"",""อุตรดิตถ์!M206"")+IMPORTRANGE(""https://docs.google.com/spreadsheets/d/1UsNK1e-WWiCo2PvGqdNfdme4m17_Ezd3J69EeeiQPD0/edit?usp=sharing"",""อุทัยธานี!M206"")"),0)</f>
        <v>0</v>
      </c>
      <c r="N206" s="46">
        <f ca="1">IFERROR(__xludf.DUMMYFUNCTION("IMPORTRANGE(""https://docs.google.com/spreadsheets/d/1jTcq05yEiRwXcBMLjiodW9e4biSGYWAHcDj22rKWQ3s/edit?usp=sharing"",""กำแพงเพชร!N206"")+IMPORTRANGE(""https://docs.google.com/spreadsheets/d/1KS0zmDSZPk8KnTAbGN-Xk6MtX1YRZD0ldgdt20K4CRk/edit?usp=sharing"","&amp;"""เชียงราย!N206"")+IMPORTRANGE(""https://docs.google.com/spreadsheets/d/1rEDxBtusbi64tE0zunoIbsTVV16HeL0oJ6trHQeQ7K8/edit?usp=sharing"",""เชียงใหม่!N206"")+IMPORTRANGE(""https://docs.google.com/spreadsheets/d/1W6MnUbDkMi6xHnHko_XkFDO9kkuL6Wqyc-6OCDFjW9I/e"&amp;"dit?usp=sharing"",""ตาก!N206"")+IMPORTRANGE(""https://docs.google.com/spreadsheets/d/1IQAWArduLkta9LpYo4a_ULsyqdta6-6aDDiwpUnQT6c/edit?usp=sharing"",""นครสวรรค์!N206"")+IMPORTRANGE(""https://docs.google.com/spreadsheets/d/10s13Sk5xrltsiR-Zkbmk5DwIaDIKO8Xl"&amp;"bJAfqyT7Gvg/edit?usp=sharing"",""น่าน!N206"")+IMPORTRANGE(""https://docs.google.com/spreadsheets/d/1uu4nAn4Dbi1XREnLKKotUANlKXa7yCgRcgq8HEzQYW8/edit?usp=sharing"",""พะเยา!N206"")+IMPORTRANGE(""https://docs.google.com/spreadsheets/d/1xfJKIQxVOaPDIICqsflNlL"&amp;"u3JacTDk1FP9RH4phX7mI/edit?usp=sharing"",""พิจิตร!N206"")+IMPORTRANGE(""https://docs.google.com/spreadsheets/d/1JtRfZkJMHtEhI5RdRHxYUG4FIZHqKDpNyIuN7A1Q0_k/edit?usp=sharing"",""พิษณุโลก!N206"")+IMPORTRANGE(""https://docs.google.com/spreadsheets/d/1xlcVZWU"&amp;"Nn6SuWm0c307h32SiGkd9BaeQWlAktfD3KO8/edit?usp=sharing"",""เพชรบูรณ์!N206"")+IMPORTRANGE(""https://docs.google.com/spreadsheets/d/1lOVebEIsI9qjGXl6EX66luk7wiuP2tBaryw-wKvv4e0/edit?usp=sharing"",""แพร่!N206"")+IMPORTRANGE(""https://docs.google.com/spreadshe"&amp;"ets/d/1dQrvX0vEcN7Gu0fnZ0B5S90AeR19zth4XlExFBeExMY/edit?usp=sharing"",""แม่ฮ่องสอน!N206"")+IMPORTRANGE(""https://docs.google.com/spreadsheets/d/1DY4XTNNwjluuxqdfdn6qvOSlMRrZqUtmYcZR0ttFiG4/edit?usp=sharing"",""ลำปาง!N206"")+IMPORTRANGE(""https://docs.goog"&amp;"le.com/spreadsheets/d/1ICwG78r0OFT8biBlxnBF8r7she7gNSzOvJ958PWT09c/edit?usp=sharing"",""ลำพูน!N206"")+IMPORTRANGE(""https://docs.google.com/spreadsheets/d/1B0f2xJpZUC6Z0xXnqKlZtEPzsf6L84eP1r1Q15seqRM/edit?usp=sharing"",""สุโขทัย!N206"")+IMPORTRANGE(""http"&amp;"s://docs.google.com/spreadsheets/d/1v0b9pFQCsKUVExMei7AgY2yQkdeNQvtOssygGsXbiKo/edit?usp=sharing"",""อุตรดิตถ์!N206"")+IMPORTRANGE(""https://docs.google.com/spreadsheets/d/1UsNK1e-WWiCo2PvGqdNfdme4m17_Ezd3J69EeeiQPD0/edit?usp=sharing"",""อุทัยธานี!N206"")"),32000)</f>
        <v>32000</v>
      </c>
      <c r="O206" s="136"/>
      <c r="P206" s="45"/>
      <c r="Q206" s="46">
        <f ca="1">IFERROR(__xludf.DUMMYFUNCTION("IMPORTRANGE(""https://docs.google.com/spreadsheets/d/1jTcq05yEiRwXcBMLjiodW9e4biSGYWAHcDj22rKWQ3s/edit?usp=sharing"",""กำแพงเพชร!Q206"")+IMPORTRANGE(""https://docs.google.com/spreadsheets/d/1KS0zmDSZPk8KnTAbGN-Xk6MtX1YRZD0ldgdt20K4CRk/edit?usp=sharing"","&amp;"""เชียงราย!Q206"")+IMPORTRANGE(""https://docs.google.com/spreadsheets/d/1rEDxBtusbi64tE0zunoIbsTVV16HeL0oJ6trHQeQ7K8/edit?usp=sharing"",""เชียงใหม่!Q206"")+IMPORTRANGE(""https://docs.google.com/spreadsheets/d/1W6MnUbDkMi6xHnHko_XkFDO9kkuL6Wqyc-6OCDFjW9I/e"&amp;"dit?usp=sharing"",""ตาก!Q206"")+IMPORTRANGE(""https://docs.google.com/spreadsheets/d/1IQAWArduLkta9LpYo4a_ULsyqdta6-6aDDiwpUnQT6c/edit?usp=sharing"",""นครสวรรค์!Q206"")+IMPORTRANGE(""https://docs.google.com/spreadsheets/d/10s13Sk5xrltsiR-Zkbmk5DwIaDIKO8Xl"&amp;"bJAfqyT7Gvg/edit?usp=sharing"",""น่าน!Q206"")+IMPORTRANGE(""https://docs.google.com/spreadsheets/d/1uu4nAn4Dbi1XREnLKKotUANlKXa7yCgRcgq8HEzQYW8/edit?usp=sharing"",""พะเยา!Q206"")+IMPORTRANGE(""https://docs.google.com/spreadsheets/d/1xfJKIQxVOaPDIICqsflNlL"&amp;"u3JacTDk1FP9RH4phX7mI/edit?usp=sharing"",""พิจิตร!Q206"")+IMPORTRANGE(""https://docs.google.com/spreadsheets/d/1JtRfZkJMHtEhI5RdRHxYUG4FIZHqKDpNyIuN7A1Q0_k/edit?usp=sharing"",""พิษณุโลก!Q206"")+IMPORTRANGE(""https://docs.google.com/spreadsheets/d/1xlcVZWU"&amp;"Nn6SuWm0c307h32SiGkd9BaeQWlAktfD3KO8/edit?usp=sharing"",""เพชรบูรณ์!Q206"")+IMPORTRANGE(""https://docs.google.com/spreadsheets/d/1lOVebEIsI9qjGXl6EX66luk7wiuP2tBaryw-wKvv4e0/edit?usp=sharing"",""แพร่!Q206"")+IMPORTRANGE(""https://docs.google.com/spreadshe"&amp;"ets/d/1dQrvX0vEcN7Gu0fnZ0B5S90AeR19zth4XlExFBeExMY/edit?usp=sharing"",""แม่ฮ่องสอน!Q206"")+IMPORTRANGE(""https://docs.google.com/spreadsheets/d/1DY4XTNNwjluuxqdfdn6qvOSlMRrZqUtmYcZR0ttFiG4/edit?usp=sharing"",""ลำปาง!Q206"")+IMPORTRANGE(""https://docs.goog"&amp;"le.com/spreadsheets/d/1ICwG78r0OFT8biBlxnBF8r7she7gNSzOvJ958PWT09c/edit?usp=sharing"",""ลำพูน!Q206"")+IMPORTRANGE(""https://docs.google.com/spreadsheets/d/1B0f2xJpZUC6Z0xXnqKlZtEPzsf6L84eP1r1Q15seqRM/edit?usp=sharing"",""สุโขทัย!Q206"")+IMPORTRANGE(""http"&amp;"s://docs.google.com/spreadsheets/d/1v0b9pFQCsKUVExMei7AgY2yQkdeNQvtOssygGsXbiKo/edit?usp=sharing"",""อุตรดิตถ์!Q206"")+IMPORTRANGE(""https://docs.google.com/spreadsheets/d/1UsNK1e-WWiCo2PvGqdNfdme4m17_Ezd3J69EeeiQPD0/edit?usp=sharing"",""อุทัยธานี!Q206"")"),672000)</f>
        <v>672000</v>
      </c>
      <c r="R206" s="46">
        <f ca="1">IFERROR(__xludf.DUMMYFUNCTION("IMPORTRANGE(""https://docs.google.com/spreadsheets/d/1jTcq05yEiRwXcBMLjiodW9e4biSGYWAHcDj22rKWQ3s/edit?usp=sharing"",""กำแพงเพชร!R206"")+IMPORTRANGE(""https://docs.google.com/spreadsheets/d/1KS0zmDSZPk8KnTAbGN-Xk6MtX1YRZD0ldgdt20K4CRk/edit?usp=sharing"","&amp;"""เชียงราย!R206"")+IMPORTRANGE(""https://docs.google.com/spreadsheets/d/1rEDxBtusbi64tE0zunoIbsTVV16HeL0oJ6trHQeQ7K8/edit?usp=sharing"",""เชียงใหม่!R206"")+IMPORTRANGE(""https://docs.google.com/spreadsheets/d/1W6MnUbDkMi6xHnHko_XkFDO9kkuL6Wqyc-6OCDFjW9I/e"&amp;"dit?usp=sharing"",""ตาก!R206"")+IMPORTRANGE(""https://docs.google.com/spreadsheets/d/1IQAWArduLkta9LpYo4a_ULsyqdta6-6aDDiwpUnQT6c/edit?usp=sharing"",""นครสวรรค์!R206"")+IMPORTRANGE(""https://docs.google.com/spreadsheets/d/10s13Sk5xrltsiR-Zkbmk5DwIaDIKO8Xl"&amp;"bJAfqyT7Gvg/edit?usp=sharing"",""น่าน!R206"")+IMPORTRANGE(""https://docs.google.com/spreadsheets/d/1uu4nAn4Dbi1XREnLKKotUANlKXa7yCgRcgq8HEzQYW8/edit?usp=sharing"",""พะเยา!R206"")+IMPORTRANGE(""https://docs.google.com/spreadsheets/d/1xfJKIQxVOaPDIICqsflNlL"&amp;"u3JacTDk1FP9RH4phX7mI/edit?usp=sharing"",""พิจิตร!R206"")+IMPORTRANGE(""https://docs.google.com/spreadsheets/d/1JtRfZkJMHtEhI5RdRHxYUG4FIZHqKDpNyIuN7A1Q0_k/edit?usp=sharing"",""พิษณุโลก!R206"")+IMPORTRANGE(""https://docs.google.com/spreadsheets/d/1xlcVZWU"&amp;"Nn6SuWm0c307h32SiGkd9BaeQWlAktfD3KO8/edit?usp=sharing"",""เพชรบูรณ์!R206"")+IMPORTRANGE(""https://docs.google.com/spreadsheets/d/1lOVebEIsI9qjGXl6EX66luk7wiuP2tBaryw-wKvv4e0/edit?usp=sharing"",""แพร่!R206"")+IMPORTRANGE(""https://docs.google.com/spreadshe"&amp;"ets/d/1dQrvX0vEcN7Gu0fnZ0B5S90AeR19zth4XlExFBeExMY/edit?usp=sharing"",""แม่ฮ่องสอน!R206"")+IMPORTRANGE(""https://docs.google.com/spreadsheets/d/1DY4XTNNwjluuxqdfdn6qvOSlMRrZqUtmYcZR0ttFiG4/edit?usp=sharing"",""ลำปาง!R206"")+IMPORTRANGE(""https://docs.goog"&amp;"le.com/spreadsheets/d/1ICwG78r0OFT8biBlxnBF8r7she7gNSzOvJ958PWT09c/edit?usp=sharing"",""ลำพูน!R206"")+IMPORTRANGE(""https://docs.google.com/spreadsheets/d/1B0f2xJpZUC6Z0xXnqKlZtEPzsf6L84eP1r1Q15seqRM/edit?usp=sharing"",""สุโขทัย!R206"")+IMPORTRANGE(""http"&amp;"s://docs.google.com/spreadsheets/d/1v0b9pFQCsKUVExMei7AgY2yQkdeNQvtOssygGsXbiKo/edit?usp=sharing"",""อุตรดิตถ์!R206"")+IMPORTRANGE(""https://docs.google.com/spreadsheets/d/1UsNK1e-WWiCo2PvGqdNfdme4m17_Ezd3J69EeeiQPD0/edit?usp=sharing"",""อุทัยธานี!R206"")"),0)</f>
        <v>0</v>
      </c>
      <c r="S206" s="46">
        <f ca="1">IFERROR(__xludf.DUMMYFUNCTION("IMPORTRANGE(""https://docs.google.com/spreadsheets/d/1jTcq05yEiRwXcBMLjiodW9e4biSGYWAHcDj22rKWQ3s/edit?usp=sharing"",""กำแพงเพชร!S206"")+IMPORTRANGE(""https://docs.google.com/spreadsheets/d/1KS0zmDSZPk8KnTAbGN-Xk6MtX1YRZD0ldgdt20K4CRk/edit?usp=sharing"","&amp;"""เชียงราย!S206"")+IMPORTRANGE(""https://docs.google.com/spreadsheets/d/1rEDxBtusbi64tE0zunoIbsTVV16HeL0oJ6trHQeQ7K8/edit?usp=sharing"",""เชียงใหม่!S206"")+IMPORTRANGE(""https://docs.google.com/spreadsheets/d/1W6MnUbDkMi6xHnHko_XkFDO9kkuL6Wqyc-6OCDFjW9I/e"&amp;"dit?usp=sharing"",""ตาก!S206"")+IMPORTRANGE(""https://docs.google.com/spreadsheets/d/1IQAWArduLkta9LpYo4a_ULsyqdta6-6aDDiwpUnQT6c/edit?usp=sharing"",""นครสวรรค์!S206"")+IMPORTRANGE(""https://docs.google.com/spreadsheets/d/10s13Sk5xrltsiR-Zkbmk5DwIaDIKO8Xl"&amp;"bJAfqyT7Gvg/edit?usp=sharing"",""น่าน!S206"")+IMPORTRANGE(""https://docs.google.com/spreadsheets/d/1uu4nAn4Dbi1XREnLKKotUANlKXa7yCgRcgq8HEzQYW8/edit?usp=sharing"",""พะเยา!S206"")+IMPORTRANGE(""https://docs.google.com/spreadsheets/d/1xfJKIQxVOaPDIICqsflNlL"&amp;"u3JacTDk1FP9RH4phX7mI/edit?usp=sharing"",""พิจิตร!S206"")+IMPORTRANGE(""https://docs.google.com/spreadsheets/d/1JtRfZkJMHtEhI5RdRHxYUG4FIZHqKDpNyIuN7A1Q0_k/edit?usp=sharing"",""พิษณุโลก!S206"")+IMPORTRANGE(""https://docs.google.com/spreadsheets/d/1xlcVZWU"&amp;"Nn6SuWm0c307h32SiGkd9BaeQWlAktfD3KO8/edit?usp=sharing"",""เพชรบูรณ์!S206"")+IMPORTRANGE(""https://docs.google.com/spreadsheets/d/1lOVebEIsI9qjGXl6EX66luk7wiuP2tBaryw-wKvv4e0/edit?usp=sharing"",""แพร่!S206"")+IMPORTRANGE(""https://docs.google.com/spreadshe"&amp;"ets/d/1dQrvX0vEcN7Gu0fnZ0B5S90AeR19zth4XlExFBeExMY/edit?usp=sharing"",""แม่ฮ่องสอน!S206"")+IMPORTRANGE(""https://docs.google.com/spreadsheets/d/1DY4XTNNwjluuxqdfdn6qvOSlMRrZqUtmYcZR0ttFiG4/edit?usp=sharing"",""ลำปาง!S206"")+IMPORTRANGE(""https://docs.goog"&amp;"le.com/spreadsheets/d/1ICwG78r0OFT8biBlxnBF8r7she7gNSzOvJ958PWT09c/edit?usp=sharing"",""ลำพูน!S206"")+IMPORTRANGE(""https://docs.google.com/spreadsheets/d/1B0f2xJpZUC6Z0xXnqKlZtEPzsf6L84eP1r1Q15seqRM/edit?usp=sharing"",""สุโขทัย!S206"")+IMPORTRANGE(""http"&amp;"s://docs.google.com/spreadsheets/d/1v0b9pFQCsKUVExMei7AgY2yQkdeNQvtOssygGsXbiKo/edit?usp=sharing"",""อุตรดิตถ์!S206"")+IMPORTRANGE(""https://docs.google.com/spreadsheets/d/1UsNK1e-WWiCo2PvGqdNfdme4m17_Ezd3J69EeeiQPD0/edit?usp=sharing"",""อุทัยธานี!S206"")"),0)</f>
        <v>0</v>
      </c>
      <c r="T206" s="152"/>
      <c r="U206" s="46"/>
    </row>
    <row r="207" spans="1:21" ht="18.75" x14ac:dyDescent="0.25">
      <c r="A207" s="208"/>
      <c r="B207" s="158"/>
      <c r="C207" s="40"/>
      <c r="D207" s="47" t="s">
        <v>89</v>
      </c>
      <c r="E207" s="40"/>
      <c r="F207" s="40"/>
      <c r="G207" s="42"/>
      <c r="H207" s="43" t="s">
        <v>14</v>
      </c>
      <c r="I207" s="44"/>
      <c r="J207" s="44"/>
      <c r="K207" s="45"/>
      <c r="L207" s="46">
        <f ca="1">IFERROR(__xludf.DUMMYFUNCTION("IMPORTRANGE(""https://docs.google.com/spreadsheets/d/1jTcq05yEiRwXcBMLjiodW9e4biSGYWAHcDj22rKWQ3s/edit?usp=sharing"",""กำแพงเพชร!L207"")+IMPORTRANGE(""https://docs.google.com/spreadsheets/d/1KS0zmDSZPk8KnTAbGN-Xk6MtX1YRZD0ldgdt20K4CRk/edit?usp=sharing"","&amp;"""เชียงราย!L207"")+IMPORTRANGE(""https://docs.google.com/spreadsheets/d/1rEDxBtusbi64tE0zunoIbsTVV16HeL0oJ6trHQeQ7K8/edit?usp=sharing"",""เชียงใหม่!L207"")+IMPORTRANGE(""https://docs.google.com/spreadsheets/d/1W6MnUbDkMi6xHnHko_XkFDO9kkuL6Wqyc-6OCDFjW9I/e"&amp;"dit?usp=sharing"",""ตาก!L207"")+IMPORTRANGE(""https://docs.google.com/spreadsheets/d/1IQAWArduLkta9LpYo4a_ULsyqdta6-6aDDiwpUnQT6c/edit?usp=sharing"",""นครสวรรค์!L207"")+IMPORTRANGE(""https://docs.google.com/spreadsheets/d/10s13Sk5xrltsiR-Zkbmk5DwIaDIKO8Xl"&amp;"bJAfqyT7Gvg/edit?usp=sharing"",""น่าน!L207"")+IMPORTRANGE(""https://docs.google.com/spreadsheets/d/1uu4nAn4Dbi1XREnLKKotUANlKXa7yCgRcgq8HEzQYW8/edit?usp=sharing"",""พะเยา!L207"")+IMPORTRANGE(""https://docs.google.com/spreadsheets/d/1xfJKIQxVOaPDIICqsflNlL"&amp;"u3JacTDk1FP9RH4phX7mI/edit?usp=sharing"",""พิจิตร!L207"")+IMPORTRANGE(""https://docs.google.com/spreadsheets/d/1JtRfZkJMHtEhI5RdRHxYUG4FIZHqKDpNyIuN7A1Q0_k/edit?usp=sharing"",""พิษณุโลก!L207"")+IMPORTRANGE(""https://docs.google.com/spreadsheets/d/1xlcVZWU"&amp;"Nn6SuWm0c307h32SiGkd9BaeQWlAktfD3KO8/edit?usp=sharing"",""เพชรบูรณ์!L207"")+IMPORTRANGE(""https://docs.google.com/spreadsheets/d/1lOVebEIsI9qjGXl6EX66luk7wiuP2tBaryw-wKvv4e0/edit?usp=sharing"",""แพร่!L207"")+IMPORTRANGE(""https://docs.google.com/spreadshe"&amp;"ets/d/1dQrvX0vEcN7Gu0fnZ0B5S90AeR19zth4XlExFBeExMY/edit?usp=sharing"",""แม่ฮ่องสอน!L207"")+IMPORTRANGE(""https://docs.google.com/spreadsheets/d/1DY4XTNNwjluuxqdfdn6qvOSlMRrZqUtmYcZR0ttFiG4/edit?usp=sharing"",""ลำปาง!L207"")+IMPORTRANGE(""https://docs.goog"&amp;"le.com/spreadsheets/d/1ICwG78r0OFT8biBlxnBF8r7she7gNSzOvJ958PWT09c/edit?usp=sharing"",""ลำพูน!L207"")+IMPORTRANGE(""https://docs.google.com/spreadsheets/d/1B0f2xJpZUC6Z0xXnqKlZtEPzsf6L84eP1r1Q15seqRM/edit?usp=sharing"",""สุโขทัย!L207"")+IMPORTRANGE(""http"&amp;"s://docs.google.com/spreadsheets/d/1v0b9pFQCsKUVExMei7AgY2yQkdeNQvtOssygGsXbiKo/edit?usp=sharing"",""อุตรดิตถ์!L207"")+IMPORTRANGE(""https://docs.google.com/spreadsheets/d/1UsNK1e-WWiCo2PvGqdNfdme4m17_Ezd3J69EeeiQPD0/edit?usp=sharing"",""อุทัยธานี!L207"")"),199000)</f>
        <v>199000</v>
      </c>
      <c r="M207" s="46">
        <f ca="1">IFERROR(__xludf.DUMMYFUNCTION("IMPORTRANGE(""https://docs.google.com/spreadsheets/d/1jTcq05yEiRwXcBMLjiodW9e4biSGYWAHcDj22rKWQ3s/edit?usp=sharing"",""กำแพงเพชร!M207"")+IMPORTRANGE(""https://docs.google.com/spreadsheets/d/1KS0zmDSZPk8KnTAbGN-Xk6MtX1YRZD0ldgdt20K4CRk/edit?usp=sharing"","&amp;"""เชียงราย!M207"")+IMPORTRANGE(""https://docs.google.com/spreadsheets/d/1rEDxBtusbi64tE0zunoIbsTVV16HeL0oJ6trHQeQ7K8/edit?usp=sharing"",""เชียงใหม่!M207"")+IMPORTRANGE(""https://docs.google.com/spreadsheets/d/1W6MnUbDkMi6xHnHko_XkFDO9kkuL6Wqyc-6OCDFjW9I/e"&amp;"dit?usp=sharing"",""ตาก!M207"")+IMPORTRANGE(""https://docs.google.com/spreadsheets/d/1IQAWArduLkta9LpYo4a_ULsyqdta6-6aDDiwpUnQT6c/edit?usp=sharing"",""นครสวรรค์!M207"")+IMPORTRANGE(""https://docs.google.com/spreadsheets/d/10s13Sk5xrltsiR-Zkbmk5DwIaDIKO8Xl"&amp;"bJAfqyT7Gvg/edit?usp=sharing"",""น่าน!M207"")+IMPORTRANGE(""https://docs.google.com/spreadsheets/d/1uu4nAn4Dbi1XREnLKKotUANlKXa7yCgRcgq8HEzQYW8/edit?usp=sharing"",""พะเยา!M207"")+IMPORTRANGE(""https://docs.google.com/spreadsheets/d/1xfJKIQxVOaPDIICqsflNlL"&amp;"u3JacTDk1FP9RH4phX7mI/edit?usp=sharing"",""พิจิตร!M207"")+IMPORTRANGE(""https://docs.google.com/spreadsheets/d/1JtRfZkJMHtEhI5RdRHxYUG4FIZHqKDpNyIuN7A1Q0_k/edit?usp=sharing"",""พิษณุโลก!M207"")+IMPORTRANGE(""https://docs.google.com/spreadsheets/d/1xlcVZWU"&amp;"Nn6SuWm0c307h32SiGkd9BaeQWlAktfD3KO8/edit?usp=sharing"",""เพชรบูรณ์!M207"")+IMPORTRANGE(""https://docs.google.com/spreadsheets/d/1lOVebEIsI9qjGXl6EX66luk7wiuP2tBaryw-wKvv4e0/edit?usp=sharing"",""แพร่!M207"")+IMPORTRANGE(""https://docs.google.com/spreadshe"&amp;"ets/d/1dQrvX0vEcN7Gu0fnZ0B5S90AeR19zth4XlExFBeExMY/edit?usp=sharing"",""แม่ฮ่องสอน!M207"")+IMPORTRANGE(""https://docs.google.com/spreadsheets/d/1DY4XTNNwjluuxqdfdn6qvOSlMRrZqUtmYcZR0ttFiG4/edit?usp=sharing"",""ลำปาง!M207"")+IMPORTRANGE(""https://docs.goog"&amp;"le.com/spreadsheets/d/1ICwG78r0OFT8biBlxnBF8r7she7gNSzOvJ958PWT09c/edit?usp=sharing"",""ลำพูน!M207"")+IMPORTRANGE(""https://docs.google.com/spreadsheets/d/1B0f2xJpZUC6Z0xXnqKlZtEPzsf6L84eP1r1Q15seqRM/edit?usp=sharing"",""สุโขทัย!M207"")+IMPORTRANGE(""http"&amp;"s://docs.google.com/spreadsheets/d/1v0b9pFQCsKUVExMei7AgY2yQkdeNQvtOssygGsXbiKo/edit?usp=sharing"",""อุตรดิตถ์!M207"")+IMPORTRANGE(""https://docs.google.com/spreadsheets/d/1UsNK1e-WWiCo2PvGqdNfdme4m17_Ezd3J69EeeiQPD0/edit?usp=sharing"",""อุทัยธานี!M207"")"),0)</f>
        <v>0</v>
      </c>
      <c r="N207" s="46">
        <f ca="1">IFERROR(__xludf.DUMMYFUNCTION("IMPORTRANGE(""https://docs.google.com/spreadsheets/d/1jTcq05yEiRwXcBMLjiodW9e4biSGYWAHcDj22rKWQ3s/edit?usp=sharing"",""กำแพงเพชร!N207"")+IMPORTRANGE(""https://docs.google.com/spreadsheets/d/1KS0zmDSZPk8KnTAbGN-Xk6MtX1YRZD0ldgdt20K4CRk/edit?usp=sharing"","&amp;"""เชียงราย!N207"")+IMPORTRANGE(""https://docs.google.com/spreadsheets/d/1rEDxBtusbi64tE0zunoIbsTVV16HeL0oJ6trHQeQ7K8/edit?usp=sharing"",""เชียงใหม่!N207"")+IMPORTRANGE(""https://docs.google.com/spreadsheets/d/1W6MnUbDkMi6xHnHko_XkFDO9kkuL6Wqyc-6OCDFjW9I/e"&amp;"dit?usp=sharing"",""ตาก!N207"")+IMPORTRANGE(""https://docs.google.com/spreadsheets/d/1IQAWArduLkta9LpYo4a_ULsyqdta6-6aDDiwpUnQT6c/edit?usp=sharing"",""นครสวรรค์!N207"")+IMPORTRANGE(""https://docs.google.com/spreadsheets/d/10s13Sk5xrltsiR-Zkbmk5DwIaDIKO8Xl"&amp;"bJAfqyT7Gvg/edit?usp=sharing"",""น่าน!N207"")+IMPORTRANGE(""https://docs.google.com/spreadsheets/d/1uu4nAn4Dbi1XREnLKKotUANlKXa7yCgRcgq8HEzQYW8/edit?usp=sharing"",""พะเยา!N207"")+IMPORTRANGE(""https://docs.google.com/spreadsheets/d/1xfJKIQxVOaPDIICqsflNlL"&amp;"u3JacTDk1FP9RH4phX7mI/edit?usp=sharing"",""พิจิตร!N207"")+IMPORTRANGE(""https://docs.google.com/spreadsheets/d/1JtRfZkJMHtEhI5RdRHxYUG4FIZHqKDpNyIuN7A1Q0_k/edit?usp=sharing"",""พิษณุโลก!N207"")+IMPORTRANGE(""https://docs.google.com/spreadsheets/d/1xlcVZWU"&amp;"Nn6SuWm0c307h32SiGkd9BaeQWlAktfD3KO8/edit?usp=sharing"",""เพชรบูรณ์!N207"")+IMPORTRANGE(""https://docs.google.com/spreadsheets/d/1lOVebEIsI9qjGXl6EX66luk7wiuP2tBaryw-wKvv4e0/edit?usp=sharing"",""แพร่!N207"")+IMPORTRANGE(""https://docs.google.com/spreadshe"&amp;"ets/d/1dQrvX0vEcN7Gu0fnZ0B5S90AeR19zth4XlExFBeExMY/edit?usp=sharing"",""แม่ฮ่องสอน!N207"")+IMPORTRANGE(""https://docs.google.com/spreadsheets/d/1DY4XTNNwjluuxqdfdn6qvOSlMRrZqUtmYcZR0ttFiG4/edit?usp=sharing"",""ลำปาง!N207"")+IMPORTRANGE(""https://docs.goog"&amp;"le.com/spreadsheets/d/1ICwG78r0OFT8biBlxnBF8r7she7gNSzOvJ958PWT09c/edit?usp=sharing"",""ลำพูน!N207"")+IMPORTRANGE(""https://docs.google.com/spreadsheets/d/1B0f2xJpZUC6Z0xXnqKlZtEPzsf6L84eP1r1Q15seqRM/edit?usp=sharing"",""สุโขทัย!N207"")+IMPORTRANGE(""http"&amp;"s://docs.google.com/spreadsheets/d/1v0b9pFQCsKUVExMei7AgY2yQkdeNQvtOssygGsXbiKo/edit?usp=sharing"",""อุตรดิตถ์!N207"")+IMPORTRANGE(""https://docs.google.com/spreadsheets/d/1UsNK1e-WWiCo2PvGqdNfdme4m17_Ezd3J69EeeiQPD0/edit?usp=sharing"",""อุทัยธานี!N207"")"),41000)</f>
        <v>41000</v>
      </c>
      <c r="O207" s="136"/>
      <c r="P207" s="45"/>
      <c r="Q207" s="46">
        <f ca="1">IFERROR(__xludf.DUMMYFUNCTION("IMPORTRANGE(""https://docs.google.com/spreadsheets/d/1jTcq05yEiRwXcBMLjiodW9e4biSGYWAHcDj22rKWQ3s/edit?usp=sharing"",""กำแพงเพชร!Q207"")+IMPORTRANGE(""https://docs.google.com/spreadsheets/d/1KS0zmDSZPk8KnTAbGN-Xk6MtX1YRZD0ldgdt20K4CRk/edit?usp=sharing"","&amp;"""เชียงราย!Q207"")+IMPORTRANGE(""https://docs.google.com/spreadsheets/d/1rEDxBtusbi64tE0zunoIbsTVV16HeL0oJ6trHQeQ7K8/edit?usp=sharing"",""เชียงใหม่!Q207"")+IMPORTRANGE(""https://docs.google.com/spreadsheets/d/1W6MnUbDkMi6xHnHko_XkFDO9kkuL6Wqyc-6OCDFjW9I/e"&amp;"dit?usp=sharing"",""ตาก!Q207"")+IMPORTRANGE(""https://docs.google.com/spreadsheets/d/1IQAWArduLkta9LpYo4a_ULsyqdta6-6aDDiwpUnQT6c/edit?usp=sharing"",""นครสวรรค์!Q207"")+IMPORTRANGE(""https://docs.google.com/spreadsheets/d/10s13Sk5xrltsiR-Zkbmk5DwIaDIKO8Xl"&amp;"bJAfqyT7Gvg/edit?usp=sharing"",""น่าน!Q207"")+IMPORTRANGE(""https://docs.google.com/spreadsheets/d/1uu4nAn4Dbi1XREnLKKotUANlKXa7yCgRcgq8HEzQYW8/edit?usp=sharing"",""พะเยา!Q207"")+IMPORTRANGE(""https://docs.google.com/spreadsheets/d/1xfJKIQxVOaPDIICqsflNlL"&amp;"u3JacTDk1FP9RH4phX7mI/edit?usp=sharing"",""พิจิตร!Q207"")+IMPORTRANGE(""https://docs.google.com/spreadsheets/d/1JtRfZkJMHtEhI5RdRHxYUG4FIZHqKDpNyIuN7A1Q0_k/edit?usp=sharing"",""พิษณุโลก!Q207"")+IMPORTRANGE(""https://docs.google.com/spreadsheets/d/1xlcVZWU"&amp;"Nn6SuWm0c307h32SiGkd9BaeQWlAktfD3KO8/edit?usp=sharing"",""เพชรบูรณ์!Q207"")+IMPORTRANGE(""https://docs.google.com/spreadsheets/d/1lOVebEIsI9qjGXl6EX66luk7wiuP2tBaryw-wKvv4e0/edit?usp=sharing"",""แพร่!Q207"")+IMPORTRANGE(""https://docs.google.com/spreadshe"&amp;"ets/d/1dQrvX0vEcN7Gu0fnZ0B5S90AeR19zth4XlExFBeExMY/edit?usp=sharing"",""แม่ฮ่องสอน!Q207"")+IMPORTRANGE(""https://docs.google.com/spreadsheets/d/1DY4XTNNwjluuxqdfdn6qvOSlMRrZqUtmYcZR0ttFiG4/edit?usp=sharing"",""ลำปาง!Q207"")+IMPORTRANGE(""https://docs.goog"&amp;"le.com/spreadsheets/d/1ICwG78r0OFT8biBlxnBF8r7she7gNSzOvJ958PWT09c/edit?usp=sharing"",""ลำพูน!Q207"")+IMPORTRANGE(""https://docs.google.com/spreadsheets/d/1B0f2xJpZUC6Z0xXnqKlZtEPzsf6L84eP1r1Q15seqRM/edit?usp=sharing"",""สุโขทัย!Q207"")+IMPORTRANGE(""http"&amp;"s://docs.google.com/spreadsheets/d/1v0b9pFQCsKUVExMei7AgY2yQkdeNQvtOssygGsXbiKo/edit?usp=sharing"",""อุตรดิตถ์!Q207"")+IMPORTRANGE(""https://docs.google.com/spreadsheets/d/1UsNK1e-WWiCo2PvGqdNfdme4m17_Ezd3J69EeeiQPD0/edit?usp=sharing"",""อุทัยธานี!Q207"")"),0)</f>
        <v>0</v>
      </c>
      <c r="R207" s="46">
        <f ca="1">IFERROR(__xludf.DUMMYFUNCTION("IMPORTRANGE(""https://docs.google.com/spreadsheets/d/1jTcq05yEiRwXcBMLjiodW9e4biSGYWAHcDj22rKWQ3s/edit?usp=sharing"",""กำแพงเพชร!R207"")+IMPORTRANGE(""https://docs.google.com/spreadsheets/d/1KS0zmDSZPk8KnTAbGN-Xk6MtX1YRZD0ldgdt20K4CRk/edit?usp=sharing"","&amp;"""เชียงราย!R207"")+IMPORTRANGE(""https://docs.google.com/spreadsheets/d/1rEDxBtusbi64tE0zunoIbsTVV16HeL0oJ6trHQeQ7K8/edit?usp=sharing"",""เชียงใหม่!R207"")+IMPORTRANGE(""https://docs.google.com/spreadsheets/d/1W6MnUbDkMi6xHnHko_XkFDO9kkuL6Wqyc-6OCDFjW9I/e"&amp;"dit?usp=sharing"",""ตาก!R207"")+IMPORTRANGE(""https://docs.google.com/spreadsheets/d/1IQAWArduLkta9LpYo4a_ULsyqdta6-6aDDiwpUnQT6c/edit?usp=sharing"",""นครสวรรค์!R207"")+IMPORTRANGE(""https://docs.google.com/spreadsheets/d/10s13Sk5xrltsiR-Zkbmk5DwIaDIKO8Xl"&amp;"bJAfqyT7Gvg/edit?usp=sharing"",""น่าน!R207"")+IMPORTRANGE(""https://docs.google.com/spreadsheets/d/1uu4nAn4Dbi1XREnLKKotUANlKXa7yCgRcgq8HEzQYW8/edit?usp=sharing"",""พะเยา!R207"")+IMPORTRANGE(""https://docs.google.com/spreadsheets/d/1xfJKIQxVOaPDIICqsflNlL"&amp;"u3JacTDk1FP9RH4phX7mI/edit?usp=sharing"",""พิจิตร!R207"")+IMPORTRANGE(""https://docs.google.com/spreadsheets/d/1JtRfZkJMHtEhI5RdRHxYUG4FIZHqKDpNyIuN7A1Q0_k/edit?usp=sharing"",""พิษณุโลก!R207"")+IMPORTRANGE(""https://docs.google.com/spreadsheets/d/1xlcVZWU"&amp;"Nn6SuWm0c307h32SiGkd9BaeQWlAktfD3KO8/edit?usp=sharing"",""เพชรบูรณ์!R207"")+IMPORTRANGE(""https://docs.google.com/spreadsheets/d/1lOVebEIsI9qjGXl6EX66luk7wiuP2tBaryw-wKvv4e0/edit?usp=sharing"",""แพร่!R207"")+IMPORTRANGE(""https://docs.google.com/spreadshe"&amp;"ets/d/1dQrvX0vEcN7Gu0fnZ0B5S90AeR19zth4XlExFBeExMY/edit?usp=sharing"",""แม่ฮ่องสอน!R207"")+IMPORTRANGE(""https://docs.google.com/spreadsheets/d/1DY4XTNNwjluuxqdfdn6qvOSlMRrZqUtmYcZR0ttFiG4/edit?usp=sharing"",""ลำปาง!R207"")+IMPORTRANGE(""https://docs.goog"&amp;"le.com/spreadsheets/d/1ICwG78r0OFT8biBlxnBF8r7she7gNSzOvJ958PWT09c/edit?usp=sharing"",""ลำพูน!R207"")+IMPORTRANGE(""https://docs.google.com/spreadsheets/d/1B0f2xJpZUC6Z0xXnqKlZtEPzsf6L84eP1r1Q15seqRM/edit?usp=sharing"",""สุโขทัย!R207"")+IMPORTRANGE(""http"&amp;"s://docs.google.com/spreadsheets/d/1v0b9pFQCsKUVExMei7AgY2yQkdeNQvtOssygGsXbiKo/edit?usp=sharing"",""อุตรดิตถ์!R207"")+IMPORTRANGE(""https://docs.google.com/spreadsheets/d/1UsNK1e-WWiCo2PvGqdNfdme4m17_Ezd3J69EeeiQPD0/edit?usp=sharing"",""อุทัยธานี!R207"")"),0)</f>
        <v>0</v>
      </c>
      <c r="S207" s="46">
        <f ca="1">IFERROR(__xludf.DUMMYFUNCTION("IMPORTRANGE(""https://docs.google.com/spreadsheets/d/1jTcq05yEiRwXcBMLjiodW9e4biSGYWAHcDj22rKWQ3s/edit?usp=sharing"",""กำแพงเพชร!S207"")+IMPORTRANGE(""https://docs.google.com/spreadsheets/d/1KS0zmDSZPk8KnTAbGN-Xk6MtX1YRZD0ldgdt20K4CRk/edit?usp=sharing"","&amp;"""เชียงราย!S207"")+IMPORTRANGE(""https://docs.google.com/spreadsheets/d/1rEDxBtusbi64tE0zunoIbsTVV16HeL0oJ6trHQeQ7K8/edit?usp=sharing"",""เชียงใหม่!S207"")+IMPORTRANGE(""https://docs.google.com/spreadsheets/d/1W6MnUbDkMi6xHnHko_XkFDO9kkuL6Wqyc-6OCDFjW9I/e"&amp;"dit?usp=sharing"",""ตาก!S207"")+IMPORTRANGE(""https://docs.google.com/spreadsheets/d/1IQAWArduLkta9LpYo4a_ULsyqdta6-6aDDiwpUnQT6c/edit?usp=sharing"",""นครสวรรค์!S207"")+IMPORTRANGE(""https://docs.google.com/spreadsheets/d/10s13Sk5xrltsiR-Zkbmk5DwIaDIKO8Xl"&amp;"bJAfqyT7Gvg/edit?usp=sharing"",""น่าน!S207"")+IMPORTRANGE(""https://docs.google.com/spreadsheets/d/1uu4nAn4Dbi1XREnLKKotUANlKXa7yCgRcgq8HEzQYW8/edit?usp=sharing"",""พะเยา!S207"")+IMPORTRANGE(""https://docs.google.com/spreadsheets/d/1xfJKIQxVOaPDIICqsflNlL"&amp;"u3JacTDk1FP9RH4phX7mI/edit?usp=sharing"",""พิจิตร!S207"")+IMPORTRANGE(""https://docs.google.com/spreadsheets/d/1JtRfZkJMHtEhI5RdRHxYUG4FIZHqKDpNyIuN7A1Q0_k/edit?usp=sharing"",""พิษณุโลก!S207"")+IMPORTRANGE(""https://docs.google.com/spreadsheets/d/1xlcVZWU"&amp;"Nn6SuWm0c307h32SiGkd9BaeQWlAktfD3KO8/edit?usp=sharing"",""เพชรบูรณ์!S207"")+IMPORTRANGE(""https://docs.google.com/spreadsheets/d/1lOVebEIsI9qjGXl6EX66luk7wiuP2tBaryw-wKvv4e0/edit?usp=sharing"",""แพร่!S207"")+IMPORTRANGE(""https://docs.google.com/spreadshe"&amp;"ets/d/1dQrvX0vEcN7Gu0fnZ0B5S90AeR19zth4XlExFBeExMY/edit?usp=sharing"",""แม่ฮ่องสอน!S207"")+IMPORTRANGE(""https://docs.google.com/spreadsheets/d/1DY4XTNNwjluuxqdfdn6qvOSlMRrZqUtmYcZR0ttFiG4/edit?usp=sharing"",""ลำปาง!S207"")+IMPORTRANGE(""https://docs.goog"&amp;"le.com/spreadsheets/d/1ICwG78r0OFT8biBlxnBF8r7she7gNSzOvJ958PWT09c/edit?usp=sharing"",""ลำพูน!S207"")+IMPORTRANGE(""https://docs.google.com/spreadsheets/d/1B0f2xJpZUC6Z0xXnqKlZtEPzsf6L84eP1r1Q15seqRM/edit?usp=sharing"",""สุโขทัย!S207"")+IMPORTRANGE(""http"&amp;"s://docs.google.com/spreadsheets/d/1v0b9pFQCsKUVExMei7AgY2yQkdeNQvtOssygGsXbiKo/edit?usp=sharing"",""อุตรดิตถ์!S207"")+IMPORTRANGE(""https://docs.google.com/spreadsheets/d/1UsNK1e-WWiCo2PvGqdNfdme4m17_Ezd3J69EeeiQPD0/edit?usp=sharing"",""อุทัยธานี!S207"")"),0)</f>
        <v>0</v>
      </c>
      <c r="T207" s="152"/>
      <c r="U207" s="46"/>
    </row>
    <row r="208" spans="1:21" ht="19.5" x14ac:dyDescent="0.3">
      <c r="A208" s="138"/>
      <c r="B208" s="139"/>
      <c r="C208" s="129" t="s">
        <v>18</v>
      </c>
      <c r="D208" s="140" t="s">
        <v>38</v>
      </c>
      <c r="E208" s="141"/>
      <c r="F208" s="141"/>
      <c r="G208" s="142"/>
      <c r="H208" s="143"/>
      <c r="I208" s="135"/>
      <c r="J208" s="135"/>
      <c r="K208" s="136"/>
      <c r="L208" s="136"/>
      <c r="M208" s="136"/>
      <c r="N208" s="136"/>
      <c r="O208" s="136"/>
      <c r="P208" s="136"/>
      <c r="Q208" s="152"/>
      <c r="R208" s="152"/>
      <c r="S208" s="152"/>
      <c r="T208" s="152"/>
      <c r="U208" s="152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25" t="s">
        <v>85</v>
      </c>
      <c r="I209" s="166">
        <f ca="1">IFERROR(__xludf.DUMMYFUNCTION("IMPORTRANGE(""https://docs.google.com/spreadsheets/d/1jTcq05yEiRwXcBMLjiodW9e4biSGYWAHcDj22rKWQ3s/edit?usp=sharing"",""กำแพงเพชร!I209"")+IMPORTRANGE(""https://docs.google.com/spreadsheets/d/1KS0zmDSZPk8KnTAbGN-Xk6MtX1YRZD0ldgdt20K4CRk/edit?usp=sharing"","&amp;"""เชียงราย!I209"")+IMPORTRANGE(""https://docs.google.com/spreadsheets/d/1rEDxBtusbi64tE0zunoIbsTVV16HeL0oJ6trHQeQ7K8/edit?usp=sharing"",""เชียงใหม่!I209"")+IMPORTRANGE(""https://docs.google.com/spreadsheets/d/1W6MnUbDkMi6xHnHko_XkFDO9kkuL6Wqyc-6OCDFjW9I/e"&amp;"dit?usp=sharing"",""ตาก!I209"")+IMPORTRANGE(""https://docs.google.com/spreadsheets/d/1IQAWArduLkta9LpYo4a_ULsyqdta6-6aDDiwpUnQT6c/edit?usp=sharing"",""นครสวรรค์!I209"")+IMPORTRANGE(""https://docs.google.com/spreadsheets/d/10s13Sk5xrltsiR-Zkbmk5DwIaDIKO8Xl"&amp;"bJAfqyT7Gvg/edit?usp=sharing"",""น่าน!I209"")+IMPORTRANGE(""https://docs.google.com/spreadsheets/d/1uu4nAn4Dbi1XREnLKKotUANlKXa7yCgRcgq8HEzQYW8/edit?usp=sharing"",""พะเยา!I209"")+IMPORTRANGE(""https://docs.google.com/spreadsheets/d/1xfJKIQxVOaPDIICqsflNlL"&amp;"u3JacTDk1FP9RH4phX7mI/edit?usp=sharing"",""พิจิตร!I209"")+IMPORTRANGE(""https://docs.google.com/spreadsheets/d/1JtRfZkJMHtEhI5RdRHxYUG4FIZHqKDpNyIuN7A1Q0_k/edit?usp=sharing"",""พิษณุโลก!I209"")+IMPORTRANGE(""https://docs.google.com/spreadsheets/d/1xlcVZWU"&amp;"Nn6SuWm0c307h32SiGkd9BaeQWlAktfD3KO8/edit?usp=sharing"",""เพชรบูรณ์!I209"")+IMPORTRANGE(""https://docs.google.com/spreadsheets/d/1lOVebEIsI9qjGXl6EX66luk7wiuP2tBaryw-wKvv4e0/edit?usp=sharing"",""แพร่!I209"")+IMPORTRANGE(""https://docs.google.com/spreadshe"&amp;"ets/d/1dQrvX0vEcN7Gu0fnZ0B5S90AeR19zth4XlExFBeExMY/edit?usp=sharing"",""แม่ฮ่องสอน!I209"")+IMPORTRANGE(""https://docs.google.com/spreadsheets/d/1DY4XTNNwjluuxqdfdn6qvOSlMRrZqUtmYcZR0ttFiG4/edit?usp=sharing"",""ลำปาง!I209"")+IMPORTRANGE(""https://docs.goog"&amp;"le.com/spreadsheets/d/1ICwG78r0OFT8biBlxnBF8r7she7gNSzOvJ958PWT09c/edit?usp=sharing"",""ลำพูน!I209"")+IMPORTRANGE(""https://docs.google.com/spreadsheets/d/1B0f2xJpZUC6Z0xXnqKlZtEPzsf6L84eP1r1Q15seqRM/edit?usp=sharing"",""สุโขทัย!I209"")+IMPORTRANGE(""http"&amp;"s://docs.google.com/spreadsheets/d/1v0b9pFQCsKUVExMei7AgY2yQkdeNQvtOssygGsXbiKo/edit?usp=sharing"",""อุตรดิตถ์!I209"")+IMPORTRANGE(""https://docs.google.com/spreadsheets/d/1UsNK1e-WWiCo2PvGqdNfdme4m17_Ezd3J69EeeiQPD0/edit?usp=sharing"",""อุทัยธานี!I209"")"),53)</f>
        <v>53</v>
      </c>
      <c r="J209" s="166">
        <f ca="1">IFERROR(__xludf.DUMMYFUNCTION("IMPORTRANGE(""https://docs.google.com/spreadsheets/d/1jTcq05yEiRwXcBMLjiodW9e4biSGYWAHcDj22rKWQ3s/edit?usp=sharing"",""กำแพงเพชร!J209"")+IMPORTRANGE(""https://docs.google.com/spreadsheets/d/1KS0zmDSZPk8KnTAbGN-Xk6MtX1YRZD0ldgdt20K4CRk/edit?usp=sharing"","&amp;"""เชียงราย!J209"")+IMPORTRANGE(""https://docs.google.com/spreadsheets/d/1rEDxBtusbi64tE0zunoIbsTVV16HeL0oJ6trHQeQ7K8/edit?usp=sharing"",""เชียงใหม่!J209"")+IMPORTRANGE(""https://docs.google.com/spreadsheets/d/1W6MnUbDkMi6xHnHko_XkFDO9kkuL6Wqyc-6OCDFjW9I/e"&amp;"dit?usp=sharing"",""ตาก!J209"")+IMPORTRANGE(""https://docs.google.com/spreadsheets/d/1IQAWArduLkta9LpYo4a_ULsyqdta6-6aDDiwpUnQT6c/edit?usp=sharing"",""นครสวรรค์!J209"")+IMPORTRANGE(""https://docs.google.com/spreadsheets/d/10s13Sk5xrltsiR-Zkbmk5DwIaDIKO8Xl"&amp;"bJAfqyT7Gvg/edit?usp=sharing"",""น่าน!J209"")+IMPORTRANGE(""https://docs.google.com/spreadsheets/d/1uu4nAn4Dbi1XREnLKKotUANlKXa7yCgRcgq8HEzQYW8/edit?usp=sharing"",""พะเยา!J209"")+IMPORTRANGE(""https://docs.google.com/spreadsheets/d/1xfJKIQxVOaPDIICqsflNlL"&amp;"u3JacTDk1FP9RH4phX7mI/edit?usp=sharing"",""พิจิตร!J209"")+IMPORTRANGE(""https://docs.google.com/spreadsheets/d/1JtRfZkJMHtEhI5RdRHxYUG4FIZHqKDpNyIuN7A1Q0_k/edit?usp=sharing"",""พิษณุโลก!J209"")+IMPORTRANGE(""https://docs.google.com/spreadsheets/d/1xlcVZWU"&amp;"Nn6SuWm0c307h32SiGkd9BaeQWlAktfD3KO8/edit?usp=sharing"",""เพชรบูรณ์!J209"")+IMPORTRANGE(""https://docs.google.com/spreadsheets/d/1lOVebEIsI9qjGXl6EX66luk7wiuP2tBaryw-wKvv4e0/edit?usp=sharing"",""แพร่!J209"")+IMPORTRANGE(""https://docs.google.com/spreadshe"&amp;"ets/d/1dQrvX0vEcN7Gu0fnZ0B5S90AeR19zth4XlExFBeExMY/edit?usp=sharing"",""แม่ฮ่องสอน!J209"")+IMPORTRANGE(""https://docs.google.com/spreadsheets/d/1DY4XTNNwjluuxqdfdn6qvOSlMRrZqUtmYcZR0ttFiG4/edit?usp=sharing"",""ลำปาง!J209"")+IMPORTRANGE(""https://docs.goog"&amp;"le.com/spreadsheets/d/1ICwG78r0OFT8biBlxnBF8r7she7gNSzOvJ958PWT09c/edit?usp=sharing"",""ลำพูน!J209"")+IMPORTRANGE(""https://docs.google.com/spreadsheets/d/1B0f2xJpZUC6Z0xXnqKlZtEPzsf6L84eP1r1Q15seqRM/edit?usp=sharing"",""สุโขทัย!J209"")+IMPORTRANGE(""http"&amp;"s://docs.google.com/spreadsheets/d/1v0b9pFQCsKUVExMei7AgY2yQkdeNQvtOssygGsXbiKo/edit?usp=sharing"",""อุตรดิตถ์!J209"")+IMPORTRANGE(""https://docs.google.com/spreadsheets/d/1UsNK1e-WWiCo2PvGqdNfdme4m17_Ezd3J69EeeiQPD0/edit?usp=sharing"",""อุทัยธานี!J209"")"),12)</f>
        <v>12</v>
      </c>
      <c r="K209" s="152">
        <f ca="1">IF(I209&gt;0,J209*100/I209,0)</f>
        <v>22.641509433962263</v>
      </c>
      <c r="L209" s="45"/>
      <c r="M209" s="45"/>
      <c r="N209" s="45"/>
      <c r="O209" s="45"/>
      <c r="P209" s="45"/>
      <c r="Q209" s="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4"/>
      <c r="J210" s="44"/>
      <c r="K210" s="136"/>
      <c r="L210" s="45"/>
      <c r="M210" s="45"/>
      <c r="N210" s="45"/>
      <c r="O210" s="45"/>
      <c r="P210" s="45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25" t="s">
        <v>85</v>
      </c>
      <c r="I211" s="184">
        <v>0</v>
      </c>
      <c r="J211" s="166">
        <f ca="1">IFERROR(__xludf.DUMMYFUNCTION("IMPORTRANGE(""https://docs.google.com/spreadsheets/d/1jTcq05yEiRwXcBMLjiodW9e4biSGYWAHcDj22rKWQ3s/edit?usp=sharing"",""กำแพงเพชร!J211"")+IMPORTRANGE(""https://docs.google.com/spreadsheets/d/1KS0zmDSZPk8KnTAbGN-Xk6MtX1YRZD0ldgdt20K4CRk/edit?usp=sharing"","&amp;"""เชียงราย!J211"")+IMPORTRANGE(""https://docs.google.com/spreadsheets/d/1rEDxBtusbi64tE0zunoIbsTVV16HeL0oJ6trHQeQ7K8/edit?usp=sharing"",""เชียงใหม่!J211"")+IMPORTRANGE(""https://docs.google.com/spreadsheets/d/1W6MnUbDkMi6xHnHko_XkFDO9kkuL6Wqyc-6OCDFjW9I/e"&amp;"dit?usp=sharing"",""ตาก!J211"")+IMPORTRANGE(""https://docs.google.com/spreadsheets/d/1IQAWArduLkta9LpYo4a_ULsyqdta6-6aDDiwpUnQT6c/edit?usp=sharing"",""นครสวรรค์!J211"")+IMPORTRANGE(""https://docs.google.com/spreadsheets/d/10s13Sk5xrltsiR-Zkbmk5DwIaDIKO8Xl"&amp;"bJAfqyT7Gvg/edit?usp=sharing"",""น่าน!J211"")+IMPORTRANGE(""https://docs.google.com/spreadsheets/d/1uu4nAn4Dbi1XREnLKKotUANlKXa7yCgRcgq8HEzQYW8/edit?usp=sharing"",""พะเยา!J211"")+IMPORTRANGE(""https://docs.google.com/spreadsheets/d/1xfJKIQxVOaPDIICqsflNlL"&amp;"u3JacTDk1FP9RH4phX7mI/edit?usp=sharing"",""พิจิตร!J211"")+IMPORTRANGE(""https://docs.google.com/spreadsheets/d/1JtRfZkJMHtEhI5RdRHxYUG4FIZHqKDpNyIuN7A1Q0_k/edit?usp=sharing"",""พิษณุโลก!J211"")+IMPORTRANGE(""https://docs.google.com/spreadsheets/d/1xlcVZWU"&amp;"Nn6SuWm0c307h32SiGkd9BaeQWlAktfD3KO8/edit?usp=sharing"",""เพชรบูรณ์!J211"")+IMPORTRANGE(""https://docs.google.com/spreadsheets/d/1lOVebEIsI9qjGXl6EX66luk7wiuP2tBaryw-wKvv4e0/edit?usp=sharing"",""แพร่!J211"")+IMPORTRANGE(""https://docs.google.com/spreadshe"&amp;"ets/d/1dQrvX0vEcN7Gu0fnZ0B5S90AeR19zth4XlExFBeExMY/edit?usp=sharing"",""แม่ฮ่องสอน!J211"")+IMPORTRANGE(""https://docs.google.com/spreadsheets/d/1DY4XTNNwjluuxqdfdn6qvOSlMRrZqUtmYcZR0ttFiG4/edit?usp=sharing"",""ลำปาง!J211"")+IMPORTRANGE(""https://docs.goog"&amp;"le.com/spreadsheets/d/1ICwG78r0OFT8biBlxnBF8r7she7gNSzOvJ958PWT09c/edit?usp=sharing"",""ลำพูน!J211"")+IMPORTRANGE(""https://docs.google.com/spreadsheets/d/1B0f2xJpZUC6Z0xXnqKlZtEPzsf6L84eP1r1Q15seqRM/edit?usp=sharing"",""สุโขทัย!J211"")+IMPORTRANGE(""http"&amp;"s://docs.google.com/spreadsheets/d/1v0b9pFQCsKUVExMei7AgY2yQkdeNQvtOssygGsXbiKo/edit?usp=sharing"",""อุตรดิตถ์!J211"")+IMPORTRANGE(""https://docs.google.com/spreadsheets/d/1UsNK1e-WWiCo2PvGqdNfdme4m17_Ezd3J69EeeiQPD0/edit?usp=sharing"",""อุทัยธานี!J211"")"),12)</f>
        <v>12</v>
      </c>
      <c r="K211" s="152">
        <f t="shared" ref="K211:K213" si="175">IF(I211&gt;0,J211*100/I211,0)</f>
        <v>0</v>
      </c>
      <c r="L211" s="45"/>
      <c r="M211" s="45"/>
      <c r="N211" s="45"/>
      <c r="O211" s="45"/>
      <c r="P211" s="45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84">
        <v>0</v>
      </c>
      <c r="J212" s="166">
        <f ca="1">IFERROR(__xludf.DUMMYFUNCTION("IMPORTRANGE(""https://docs.google.com/spreadsheets/d/1jTcq05yEiRwXcBMLjiodW9e4biSGYWAHcDj22rKWQ3s/edit?usp=sharing"",""กำแพงเพชร!J212"")+IMPORTRANGE(""https://docs.google.com/spreadsheets/d/1KS0zmDSZPk8KnTAbGN-Xk6MtX1YRZD0ldgdt20K4CRk/edit?usp=sharing"","&amp;"""เชียงราย!J212"")+IMPORTRANGE(""https://docs.google.com/spreadsheets/d/1rEDxBtusbi64tE0zunoIbsTVV16HeL0oJ6trHQeQ7K8/edit?usp=sharing"",""เชียงใหม่!J212"")+IMPORTRANGE(""https://docs.google.com/spreadsheets/d/1W6MnUbDkMi6xHnHko_XkFDO9kkuL6Wqyc-6OCDFjW9I/e"&amp;"dit?usp=sharing"",""ตาก!J212"")+IMPORTRANGE(""https://docs.google.com/spreadsheets/d/1IQAWArduLkta9LpYo4a_ULsyqdta6-6aDDiwpUnQT6c/edit?usp=sharing"",""นครสวรรค์!J212"")+IMPORTRANGE(""https://docs.google.com/spreadsheets/d/10s13Sk5xrltsiR-Zkbmk5DwIaDIKO8Xl"&amp;"bJAfqyT7Gvg/edit?usp=sharing"",""น่าน!J212"")+IMPORTRANGE(""https://docs.google.com/spreadsheets/d/1uu4nAn4Dbi1XREnLKKotUANlKXa7yCgRcgq8HEzQYW8/edit?usp=sharing"",""พะเยา!J212"")+IMPORTRANGE(""https://docs.google.com/spreadsheets/d/1xfJKIQxVOaPDIICqsflNlL"&amp;"u3JacTDk1FP9RH4phX7mI/edit?usp=sharing"",""พิจิตร!J212"")+IMPORTRANGE(""https://docs.google.com/spreadsheets/d/1JtRfZkJMHtEhI5RdRHxYUG4FIZHqKDpNyIuN7A1Q0_k/edit?usp=sharing"",""พิษณุโลก!J212"")+IMPORTRANGE(""https://docs.google.com/spreadsheets/d/1xlcVZWU"&amp;"Nn6SuWm0c307h32SiGkd9BaeQWlAktfD3KO8/edit?usp=sharing"",""เพชรบูรณ์!J212"")+IMPORTRANGE(""https://docs.google.com/spreadsheets/d/1lOVebEIsI9qjGXl6EX66luk7wiuP2tBaryw-wKvv4e0/edit?usp=sharing"",""แพร่!J212"")+IMPORTRANGE(""https://docs.google.com/spreadshe"&amp;"ets/d/1dQrvX0vEcN7Gu0fnZ0B5S90AeR19zth4XlExFBeExMY/edit?usp=sharing"",""แม่ฮ่องสอน!J212"")+IMPORTRANGE(""https://docs.google.com/spreadsheets/d/1DY4XTNNwjluuxqdfdn6qvOSlMRrZqUtmYcZR0ttFiG4/edit?usp=sharing"",""ลำปาง!J212"")+IMPORTRANGE(""https://docs.goog"&amp;"le.com/spreadsheets/d/1ICwG78r0OFT8biBlxnBF8r7she7gNSzOvJ958PWT09c/edit?usp=sharing"",""ลำพูน!J212"")+IMPORTRANGE(""https://docs.google.com/spreadsheets/d/1B0f2xJpZUC6Z0xXnqKlZtEPzsf6L84eP1r1Q15seqRM/edit?usp=sharing"",""สุโขทัย!J212"")+IMPORTRANGE(""http"&amp;"s://docs.google.com/spreadsheets/d/1v0b9pFQCsKUVExMei7AgY2yQkdeNQvtOssygGsXbiKo/edit?usp=sharing"",""อุตรดิตถ์!J212"")+IMPORTRANGE(""https://docs.google.com/spreadsheets/d/1UsNK1e-WWiCo2PvGqdNfdme4m17_Ezd3J69EeeiQPD0/edit?usp=sharing"",""อุทัยธานี!J212"")"),2)</f>
        <v>2</v>
      </c>
      <c r="K212" s="152">
        <f t="shared" si="175"/>
        <v>0</v>
      </c>
      <c r="L212" s="45"/>
      <c r="M212" s="45"/>
      <c r="N212" s="45"/>
      <c r="O212" s="45"/>
      <c r="P212" s="45"/>
      <c r="Q212" s="46"/>
      <c r="R212" s="46"/>
      <c r="S212" s="46"/>
      <c r="T212" s="46"/>
      <c r="U212" s="46"/>
    </row>
    <row r="213" spans="1:21" ht="19.5" x14ac:dyDescent="0.3">
      <c r="A213" s="211"/>
      <c r="B213" s="212"/>
      <c r="C213" s="213" t="s">
        <v>94</v>
      </c>
      <c r="D213" s="214"/>
      <c r="E213" s="214"/>
      <c r="F213" s="214"/>
      <c r="G213" s="215"/>
      <c r="H213" s="223" t="s">
        <v>85</v>
      </c>
      <c r="I213" s="217">
        <f t="shared" ref="I213:J213" ca="1" si="176">I220</f>
        <v>4</v>
      </c>
      <c r="J213" s="217">
        <f t="shared" ca="1" si="176"/>
        <v>0</v>
      </c>
      <c r="K213" s="218">
        <f t="shared" ca="1" si="175"/>
        <v>0</v>
      </c>
      <c r="L213" s="219"/>
      <c r="M213" s="219"/>
      <c r="N213" s="219"/>
      <c r="O213" s="219"/>
      <c r="P213" s="219"/>
      <c r="Q213" s="226"/>
      <c r="R213" s="226"/>
      <c r="S213" s="226"/>
      <c r="T213" s="226"/>
      <c r="U213" s="226"/>
    </row>
    <row r="214" spans="1:21" ht="19.5" x14ac:dyDescent="0.3">
      <c r="A214" s="128"/>
      <c r="B214" s="40"/>
      <c r="C214" s="129" t="s">
        <v>18</v>
      </c>
      <c r="D214" s="220" t="s">
        <v>19</v>
      </c>
      <c r="E214" s="40"/>
      <c r="F214" s="40"/>
      <c r="G214" s="42"/>
      <c r="H214" s="221" t="s">
        <v>14</v>
      </c>
      <c r="I214" s="135"/>
      <c r="J214" s="135"/>
      <c r="K214" s="136"/>
      <c r="L214" s="132">
        <f t="shared" ref="L214:N214" ca="1" si="177">L215+L216+L217</f>
        <v>24000</v>
      </c>
      <c r="M214" s="132">
        <f t="shared" ca="1" si="177"/>
        <v>0</v>
      </c>
      <c r="N214" s="132">
        <f t="shared" ca="1" si="177"/>
        <v>0</v>
      </c>
      <c r="O214" s="132">
        <f ca="1">IF(L214&gt;0,N214*100/L214,0)</f>
        <v>0</v>
      </c>
      <c r="P214" s="45"/>
      <c r="Q214" s="46">
        <f t="shared" ref="Q214:S214" ca="1" si="178">Q215+Q216+Q217</f>
        <v>198800</v>
      </c>
      <c r="R214" s="46">
        <f t="shared" ca="1" si="178"/>
        <v>0</v>
      </c>
      <c r="S214" s="46">
        <f t="shared" ca="1" si="178"/>
        <v>3896740</v>
      </c>
      <c r="T214" s="46"/>
      <c r="U214" s="46"/>
    </row>
    <row r="215" spans="1:21" ht="18.75" x14ac:dyDescent="0.25">
      <c r="A215" s="128"/>
      <c r="B215" s="158"/>
      <c r="C215" s="40"/>
      <c r="D215" s="47" t="s">
        <v>86</v>
      </c>
      <c r="E215" s="40"/>
      <c r="F215" s="40"/>
      <c r="G215" s="42"/>
      <c r="H215" s="134" t="s">
        <v>14</v>
      </c>
      <c r="I215" s="135"/>
      <c r="J215" s="135"/>
      <c r="K215" s="136"/>
      <c r="L215" s="46">
        <f ca="1">IFERROR(__xludf.DUMMYFUNCTION("IMPORTRANGE(""https://docs.google.com/spreadsheets/d/1jTcq05yEiRwXcBMLjiodW9e4biSGYWAHcDj22rKWQ3s/edit?usp=sharing"",""กำแพงเพชร!L215"")+IMPORTRANGE(""https://docs.google.com/spreadsheets/d/1KS0zmDSZPk8KnTAbGN-Xk6MtX1YRZD0ldgdt20K4CRk/edit?usp=sharing"","&amp;"""เชียงราย!L215"")+IMPORTRANGE(""https://docs.google.com/spreadsheets/d/1rEDxBtusbi64tE0zunoIbsTVV16HeL0oJ6trHQeQ7K8/edit?usp=sharing"",""เชียงใหม่!L215"")+IMPORTRANGE(""https://docs.google.com/spreadsheets/d/1W6MnUbDkMi6xHnHko_XkFDO9kkuL6Wqyc-6OCDFjW9I/e"&amp;"dit?usp=sharing"",""ตาก!L215"")+IMPORTRANGE(""https://docs.google.com/spreadsheets/d/1IQAWArduLkta9LpYo4a_ULsyqdta6-6aDDiwpUnQT6c/edit?usp=sharing"",""นครสวรรค์!L215"")+IMPORTRANGE(""https://docs.google.com/spreadsheets/d/10s13Sk5xrltsiR-Zkbmk5DwIaDIKO8Xl"&amp;"bJAfqyT7Gvg/edit?usp=sharing"",""น่าน!L215"")+IMPORTRANGE(""https://docs.google.com/spreadsheets/d/1uu4nAn4Dbi1XREnLKKotUANlKXa7yCgRcgq8HEzQYW8/edit?usp=sharing"",""พะเยา!L215"")+IMPORTRANGE(""https://docs.google.com/spreadsheets/d/1xfJKIQxVOaPDIICqsflNlL"&amp;"u3JacTDk1FP9RH4phX7mI/edit?usp=sharing"",""พิจิตร!L215"")+IMPORTRANGE(""https://docs.google.com/spreadsheets/d/1JtRfZkJMHtEhI5RdRHxYUG4FIZHqKDpNyIuN7A1Q0_k/edit?usp=sharing"",""พิษณุโลก!L215"")+IMPORTRANGE(""https://docs.google.com/spreadsheets/d/1xlcVZWU"&amp;"Nn6SuWm0c307h32SiGkd9BaeQWlAktfD3KO8/edit?usp=sharing"",""เพชรบูรณ์!L215"")+IMPORTRANGE(""https://docs.google.com/spreadsheets/d/1lOVebEIsI9qjGXl6EX66luk7wiuP2tBaryw-wKvv4e0/edit?usp=sharing"",""แพร่!L215"")+IMPORTRANGE(""https://docs.google.com/spreadshe"&amp;"ets/d/1dQrvX0vEcN7Gu0fnZ0B5S90AeR19zth4XlExFBeExMY/edit?usp=sharing"",""แม่ฮ่องสอน!L215"")+IMPORTRANGE(""https://docs.google.com/spreadsheets/d/1DY4XTNNwjluuxqdfdn6qvOSlMRrZqUtmYcZR0ttFiG4/edit?usp=sharing"",""ลำปาง!L215"")+IMPORTRANGE(""https://docs.goog"&amp;"le.com/spreadsheets/d/1ICwG78r0OFT8biBlxnBF8r7she7gNSzOvJ958PWT09c/edit?usp=sharing"",""ลำพูน!L215"")+IMPORTRANGE(""https://docs.google.com/spreadsheets/d/1B0f2xJpZUC6Z0xXnqKlZtEPzsf6L84eP1r1Q15seqRM/edit?usp=sharing"",""สุโขทัย!L215"")+IMPORTRANGE(""http"&amp;"s://docs.google.com/spreadsheets/d/1v0b9pFQCsKUVExMei7AgY2yQkdeNQvtOssygGsXbiKo/edit?usp=sharing"",""อุตรดิตถ์!L215"")+IMPORTRANGE(""https://docs.google.com/spreadsheets/d/1UsNK1e-WWiCo2PvGqdNfdme4m17_Ezd3J69EeeiQPD0/edit?usp=sharing"",""อุทัยธานี!L215"")"),4000)</f>
        <v>4000</v>
      </c>
      <c r="M215" s="46">
        <f ca="1">IFERROR(__xludf.DUMMYFUNCTION("IMPORTRANGE(""https://docs.google.com/spreadsheets/d/1jTcq05yEiRwXcBMLjiodW9e4biSGYWAHcDj22rKWQ3s/edit?usp=sharing"",""กำแพงเพชร!M215"")+IMPORTRANGE(""https://docs.google.com/spreadsheets/d/1KS0zmDSZPk8KnTAbGN-Xk6MtX1YRZD0ldgdt20K4CRk/edit?usp=sharing"","&amp;"""เชียงราย!M215"")+IMPORTRANGE(""https://docs.google.com/spreadsheets/d/1rEDxBtusbi64tE0zunoIbsTVV16HeL0oJ6trHQeQ7K8/edit?usp=sharing"",""เชียงใหม่!M215"")+IMPORTRANGE(""https://docs.google.com/spreadsheets/d/1W6MnUbDkMi6xHnHko_XkFDO9kkuL6Wqyc-6OCDFjW9I/e"&amp;"dit?usp=sharing"",""ตาก!M215"")+IMPORTRANGE(""https://docs.google.com/spreadsheets/d/1IQAWArduLkta9LpYo4a_ULsyqdta6-6aDDiwpUnQT6c/edit?usp=sharing"",""นครสวรรค์!M215"")+IMPORTRANGE(""https://docs.google.com/spreadsheets/d/10s13Sk5xrltsiR-Zkbmk5DwIaDIKO8Xl"&amp;"bJAfqyT7Gvg/edit?usp=sharing"",""น่าน!M215"")+IMPORTRANGE(""https://docs.google.com/spreadsheets/d/1uu4nAn4Dbi1XREnLKKotUANlKXa7yCgRcgq8HEzQYW8/edit?usp=sharing"",""พะเยา!M215"")+IMPORTRANGE(""https://docs.google.com/spreadsheets/d/1xfJKIQxVOaPDIICqsflNlL"&amp;"u3JacTDk1FP9RH4phX7mI/edit?usp=sharing"",""พิจิตร!M215"")+IMPORTRANGE(""https://docs.google.com/spreadsheets/d/1JtRfZkJMHtEhI5RdRHxYUG4FIZHqKDpNyIuN7A1Q0_k/edit?usp=sharing"",""พิษณุโลก!M215"")+IMPORTRANGE(""https://docs.google.com/spreadsheets/d/1xlcVZWU"&amp;"Nn6SuWm0c307h32SiGkd9BaeQWlAktfD3KO8/edit?usp=sharing"",""เพชรบูรณ์!M215"")+IMPORTRANGE(""https://docs.google.com/spreadsheets/d/1lOVebEIsI9qjGXl6EX66luk7wiuP2tBaryw-wKvv4e0/edit?usp=sharing"",""แพร่!M215"")+IMPORTRANGE(""https://docs.google.com/spreadshe"&amp;"ets/d/1dQrvX0vEcN7Gu0fnZ0B5S90AeR19zth4XlExFBeExMY/edit?usp=sharing"",""แม่ฮ่องสอน!M215"")+IMPORTRANGE(""https://docs.google.com/spreadsheets/d/1DY4XTNNwjluuxqdfdn6qvOSlMRrZqUtmYcZR0ttFiG4/edit?usp=sharing"",""ลำปาง!M215"")+IMPORTRANGE(""https://docs.goog"&amp;"le.com/spreadsheets/d/1ICwG78r0OFT8biBlxnBF8r7she7gNSzOvJ958PWT09c/edit?usp=sharing"",""ลำพูน!M215"")+IMPORTRANGE(""https://docs.google.com/spreadsheets/d/1B0f2xJpZUC6Z0xXnqKlZtEPzsf6L84eP1r1Q15seqRM/edit?usp=sharing"",""สุโขทัย!M215"")+IMPORTRANGE(""http"&amp;"s://docs.google.com/spreadsheets/d/1v0b9pFQCsKUVExMei7AgY2yQkdeNQvtOssygGsXbiKo/edit?usp=sharing"",""อุตรดิตถ์!M215"")+IMPORTRANGE(""https://docs.google.com/spreadsheets/d/1UsNK1e-WWiCo2PvGqdNfdme4m17_Ezd3J69EeeiQPD0/edit?usp=sharing"",""อุทัยธานี!M215"")"),0)</f>
        <v>0</v>
      </c>
      <c r="N215" s="46">
        <f ca="1">IFERROR(__xludf.DUMMYFUNCTION("IMPORTRANGE(""https://docs.google.com/spreadsheets/d/1jTcq05yEiRwXcBMLjiodW9e4biSGYWAHcDj22rKWQ3s/edit?usp=sharing"",""กำแพงเพชร!N215"")+IMPORTRANGE(""https://docs.google.com/spreadsheets/d/1KS0zmDSZPk8KnTAbGN-Xk6MtX1YRZD0ldgdt20K4CRk/edit?usp=sharing"","&amp;"""เชียงราย!N215"")+IMPORTRANGE(""https://docs.google.com/spreadsheets/d/1rEDxBtusbi64tE0zunoIbsTVV16HeL0oJ6trHQeQ7K8/edit?usp=sharing"",""เชียงใหม่!N215"")+IMPORTRANGE(""https://docs.google.com/spreadsheets/d/1W6MnUbDkMi6xHnHko_XkFDO9kkuL6Wqyc-6OCDFjW9I/e"&amp;"dit?usp=sharing"",""ตาก!N215"")+IMPORTRANGE(""https://docs.google.com/spreadsheets/d/1IQAWArduLkta9LpYo4a_ULsyqdta6-6aDDiwpUnQT6c/edit?usp=sharing"",""นครสวรรค์!N215"")+IMPORTRANGE(""https://docs.google.com/spreadsheets/d/10s13Sk5xrltsiR-Zkbmk5DwIaDIKO8Xl"&amp;"bJAfqyT7Gvg/edit?usp=sharing"",""น่าน!N215"")+IMPORTRANGE(""https://docs.google.com/spreadsheets/d/1uu4nAn4Dbi1XREnLKKotUANlKXa7yCgRcgq8HEzQYW8/edit?usp=sharing"",""พะเยา!N215"")+IMPORTRANGE(""https://docs.google.com/spreadsheets/d/1xfJKIQxVOaPDIICqsflNlL"&amp;"u3JacTDk1FP9RH4phX7mI/edit?usp=sharing"",""พิจิตร!N215"")+IMPORTRANGE(""https://docs.google.com/spreadsheets/d/1JtRfZkJMHtEhI5RdRHxYUG4FIZHqKDpNyIuN7A1Q0_k/edit?usp=sharing"",""พิษณุโลก!N215"")+IMPORTRANGE(""https://docs.google.com/spreadsheets/d/1xlcVZWU"&amp;"Nn6SuWm0c307h32SiGkd9BaeQWlAktfD3KO8/edit?usp=sharing"",""เพชรบูรณ์!N215"")+IMPORTRANGE(""https://docs.google.com/spreadsheets/d/1lOVebEIsI9qjGXl6EX66luk7wiuP2tBaryw-wKvv4e0/edit?usp=sharing"",""แพร่!N215"")+IMPORTRANGE(""https://docs.google.com/spreadshe"&amp;"ets/d/1dQrvX0vEcN7Gu0fnZ0B5S90AeR19zth4XlExFBeExMY/edit?usp=sharing"",""แม่ฮ่องสอน!N215"")+IMPORTRANGE(""https://docs.google.com/spreadsheets/d/1DY4XTNNwjluuxqdfdn6qvOSlMRrZqUtmYcZR0ttFiG4/edit?usp=sharing"",""ลำปาง!N215"")+IMPORTRANGE(""https://docs.goog"&amp;"le.com/spreadsheets/d/1ICwG78r0OFT8biBlxnBF8r7she7gNSzOvJ958PWT09c/edit?usp=sharing"",""ลำพูน!N215"")+IMPORTRANGE(""https://docs.google.com/spreadsheets/d/1B0f2xJpZUC6Z0xXnqKlZtEPzsf6L84eP1r1Q15seqRM/edit?usp=sharing"",""สุโขทัย!N215"")+IMPORTRANGE(""http"&amp;"s://docs.google.com/spreadsheets/d/1v0b9pFQCsKUVExMei7AgY2yQkdeNQvtOssygGsXbiKo/edit?usp=sharing"",""อุตรดิตถ์!N215"")+IMPORTRANGE(""https://docs.google.com/spreadsheets/d/1UsNK1e-WWiCo2PvGqdNfdme4m17_Ezd3J69EeeiQPD0/edit?usp=sharing"",""อุทัยธานี!N215"")"),0)</f>
        <v>0</v>
      </c>
      <c r="O215" s="136"/>
      <c r="P215" s="45"/>
      <c r="Q215" s="46">
        <f ca="1">IFERROR(__xludf.DUMMYFUNCTION("IMPORTRANGE(""https://docs.google.com/spreadsheets/d/1jTcq05yEiRwXcBMLjiodW9e4biSGYWAHcDj22rKWQ3s/edit?usp=sharing"",""กำแพงเพชร!Q215"")+IMPORTRANGE(""https://docs.google.com/spreadsheets/d/1KS0zmDSZPk8KnTAbGN-Xk6MtX1YRZD0ldgdt20K4CRk/edit?usp=sharing"","&amp;"""เชียงราย!Q215"")+IMPORTRANGE(""https://docs.google.com/spreadsheets/d/1rEDxBtusbi64tE0zunoIbsTVV16HeL0oJ6trHQeQ7K8/edit?usp=sharing"",""เชียงใหม่!Q215"")+IMPORTRANGE(""https://docs.google.com/spreadsheets/d/1W6MnUbDkMi6xHnHko_XkFDO9kkuL6Wqyc-6OCDFjW9I/e"&amp;"dit?usp=sharing"",""ตาก!Q215"")+IMPORTRANGE(""https://docs.google.com/spreadsheets/d/1IQAWArduLkta9LpYo4a_ULsyqdta6-6aDDiwpUnQT6c/edit?usp=sharing"",""นครสวรรค์!Q215"")+IMPORTRANGE(""https://docs.google.com/spreadsheets/d/10s13Sk5xrltsiR-Zkbmk5DwIaDIKO8Xl"&amp;"bJAfqyT7Gvg/edit?usp=sharing"",""น่าน!Q215"")+IMPORTRANGE(""https://docs.google.com/spreadsheets/d/1uu4nAn4Dbi1XREnLKKotUANlKXa7yCgRcgq8HEzQYW8/edit?usp=sharing"",""พะเยา!Q215"")+IMPORTRANGE(""https://docs.google.com/spreadsheets/d/1xfJKIQxVOaPDIICqsflNlL"&amp;"u3JacTDk1FP9RH4phX7mI/edit?usp=sharing"",""พิจิตร!Q215"")+IMPORTRANGE(""https://docs.google.com/spreadsheets/d/1JtRfZkJMHtEhI5RdRHxYUG4FIZHqKDpNyIuN7A1Q0_k/edit?usp=sharing"",""พิษณุโลก!Q215"")+IMPORTRANGE(""https://docs.google.com/spreadsheets/d/1xlcVZWU"&amp;"Nn6SuWm0c307h32SiGkd9BaeQWlAktfD3KO8/edit?usp=sharing"",""เพชรบูรณ์!Q215"")+IMPORTRANGE(""https://docs.google.com/spreadsheets/d/1lOVebEIsI9qjGXl6EX66luk7wiuP2tBaryw-wKvv4e0/edit?usp=sharing"",""แพร่!Q215"")+IMPORTRANGE(""https://docs.google.com/spreadshe"&amp;"ets/d/1dQrvX0vEcN7Gu0fnZ0B5S90AeR19zth4XlExFBeExMY/edit?usp=sharing"",""แม่ฮ่องสอน!Q215"")+IMPORTRANGE(""https://docs.google.com/spreadsheets/d/1DY4XTNNwjluuxqdfdn6qvOSlMRrZqUtmYcZR0ttFiG4/edit?usp=sharing"",""ลำปาง!Q215"")+IMPORTRANGE(""https://docs.goog"&amp;"le.com/spreadsheets/d/1ICwG78r0OFT8biBlxnBF8r7she7gNSzOvJ958PWT09c/edit?usp=sharing"",""ลำพูน!Q215"")+IMPORTRANGE(""https://docs.google.com/spreadsheets/d/1B0f2xJpZUC6Z0xXnqKlZtEPzsf6L84eP1r1Q15seqRM/edit?usp=sharing"",""สุโขทัย!Q215"")+IMPORTRANGE(""http"&amp;"s://docs.google.com/spreadsheets/d/1v0b9pFQCsKUVExMei7AgY2yQkdeNQvtOssygGsXbiKo/edit?usp=sharing"",""อุตรดิตถ์!Q215"")+IMPORTRANGE(""https://docs.google.com/spreadsheets/d/1UsNK1e-WWiCo2PvGqdNfdme4m17_Ezd3J69EeeiQPD0/edit?usp=sharing"",""อุทัยธานี!Q215"")"),0)</f>
        <v>0</v>
      </c>
      <c r="R215" s="46">
        <f ca="1">IFERROR(__xludf.DUMMYFUNCTION("IMPORTRANGE(""https://docs.google.com/spreadsheets/d/1jTcq05yEiRwXcBMLjiodW9e4biSGYWAHcDj22rKWQ3s/edit?usp=sharing"",""กำแพงเพชร!R215"")+IMPORTRANGE(""https://docs.google.com/spreadsheets/d/1KS0zmDSZPk8KnTAbGN-Xk6MtX1YRZD0ldgdt20K4CRk/edit?usp=sharing"","&amp;"""เชียงราย!R215"")+IMPORTRANGE(""https://docs.google.com/spreadsheets/d/1rEDxBtusbi64tE0zunoIbsTVV16HeL0oJ6trHQeQ7K8/edit?usp=sharing"",""เชียงใหม่!R215"")+IMPORTRANGE(""https://docs.google.com/spreadsheets/d/1W6MnUbDkMi6xHnHko_XkFDO9kkuL6Wqyc-6OCDFjW9I/e"&amp;"dit?usp=sharing"",""ตาก!R215"")+IMPORTRANGE(""https://docs.google.com/spreadsheets/d/1IQAWArduLkta9LpYo4a_ULsyqdta6-6aDDiwpUnQT6c/edit?usp=sharing"",""นครสวรรค์!R215"")+IMPORTRANGE(""https://docs.google.com/spreadsheets/d/10s13Sk5xrltsiR-Zkbmk5DwIaDIKO8Xl"&amp;"bJAfqyT7Gvg/edit?usp=sharing"",""น่าน!R215"")+IMPORTRANGE(""https://docs.google.com/spreadsheets/d/1uu4nAn4Dbi1XREnLKKotUANlKXa7yCgRcgq8HEzQYW8/edit?usp=sharing"",""พะเยา!R215"")+IMPORTRANGE(""https://docs.google.com/spreadsheets/d/1xfJKIQxVOaPDIICqsflNlL"&amp;"u3JacTDk1FP9RH4phX7mI/edit?usp=sharing"",""พิจิตร!R215"")+IMPORTRANGE(""https://docs.google.com/spreadsheets/d/1JtRfZkJMHtEhI5RdRHxYUG4FIZHqKDpNyIuN7A1Q0_k/edit?usp=sharing"",""พิษณุโลก!R215"")+IMPORTRANGE(""https://docs.google.com/spreadsheets/d/1xlcVZWU"&amp;"Nn6SuWm0c307h32SiGkd9BaeQWlAktfD3KO8/edit?usp=sharing"",""เพชรบูรณ์!R215"")+IMPORTRANGE(""https://docs.google.com/spreadsheets/d/1lOVebEIsI9qjGXl6EX66luk7wiuP2tBaryw-wKvv4e0/edit?usp=sharing"",""แพร่!R215"")+IMPORTRANGE(""https://docs.google.com/spreadshe"&amp;"ets/d/1dQrvX0vEcN7Gu0fnZ0B5S90AeR19zth4XlExFBeExMY/edit?usp=sharing"",""แม่ฮ่องสอน!R215"")+IMPORTRANGE(""https://docs.google.com/spreadsheets/d/1DY4XTNNwjluuxqdfdn6qvOSlMRrZqUtmYcZR0ttFiG4/edit?usp=sharing"",""ลำปาง!R215"")+IMPORTRANGE(""https://docs.goog"&amp;"le.com/spreadsheets/d/1ICwG78r0OFT8biBlxnBF8r7she7gNSzOvJ958PWT09c/edit?usp=sharing"",""ลำพูน!R215"")+IMPORTRANGE(""https://docs.google.com/spreadsheets/d/1B0f2xJpZUC6Z0xXnqKlZtEPzsf6L84eP1r1Q15seqRM/edit?usp=sharing"",""สุโขทัย!R215"")+IMPORTRANGE(""http"&amp;"s://docs.google.com/spreadsheets/d/1v0b9pFQCsKUVExMei7AgY2yQkdeNQvtOssygGsXbiKo/edit?usp=sharing"",""อุตรดิตถ์!R215"")+IMPORTRANGE(""https://docs.google.com/spreadsheets/d/1UsNK1e-WWiCo2PvGqdNfdme4m17_Ezd3J69EeeiQPD0/edit?usp=sharing"",""อุทัยธานี!R215"")"),0)</f>
        <v>0</v>
      </c>
      <c r="S215" s="46">
        <f ca="1">IFERROR(__xludf.DUMMYFUNCTION("IMPORTRANGE(""https://docs.google.com/spreadsheets/d/1jTcq05yEiRwXcBMLjiodW9e4biSGYWAHcDj22rKWQ3s/edit?usp=sharing"",""กำแพงเพชร!S215"")+IMPORTRANGE(""https://docs.google.com/spreadsheets/d/1KS0zmDSZPk8KnTAbGN-Xk6MtX1YRZD0ldgdt20K4CRk/edit?usp=sharing"","&amp;"""เชียงราย!S215"")+IMPORTRANGE(""https://docs.google.com/spreadsheets/d/1rEDxBtusbi64tE0zunoIbsTVV16HeL0oJ6trHQeQ7K8/edit?usp=sharing"",""เชียงใหม่!S215"")+IMPORTRANGE(""https://docs.google.com/spreadsheets/d/1W6MnUbDkMi6xHnHko_XkFDO9kkuL6Wqyc-6OCDFjW9I/e"&amp;"dit?usp=sharing"",""ตาก!S215"")+IMPORTRANGE(""https://docs.google.com/spreadsheets/d/1IQAWArduLkta9LpYo4a_ULsyqdta6-6aDDiwpUnQT6c/edit?usp=sharing"",""นครสวรรค์!S215"")+IMPORTRANGE(""https://docs.google.com/spreadsheets/d/10s13Sk5xrltsiR-Zkbmk5DwIaDIKO8Xl"&amp;"bJAfqyT7Gvg/edit?usp=sharing"",""น่าน!S215"")+IMPORTRANGE(""https://docs.google.com/spreadsheets/d/1uu4nAn4Dbi1XREnLKKotUANlKXa7yCgRcgq8HEzQYW8/edit?usp=sharing"",""พะเยา!S215"")+IMPORTRANGE(""https://docs.google.com/spreadsheets/d/1xfJKIQxVOaPDIICqsflNlL"&amp;"u3JacTDk1FP9RH4phX7mI/edit?usp=sharing"",""พิจิตร!S215"")+IMPORTRANGE(""https://docs.google.com/spreadsheets/d/1JtRfZkJMHtEhI5RdRHxYUG4FIZHqKDpNyIuN7A1Q0_k/edit?usp=sharing"",""พิษณุโลก!S215"")+IMPORTRANGE(""https://docs.google.com/spreadsheets/d/1xlcVZWU"&amp;"Nn6SuWm0c307h32SiGkd9BaeQWlAktfD3KO8/edit?usp=sharing"",""เพชรบูรณ์!S215"")+IMPORTRANGE(""https://docs.google.com/spreadsheets/d/1lOVebEIsI9qjGXl6EX66luk7wiuP2tBaryw-wKvv4e0/edit?usp=sharing"",""แพร่!S215"")+IMPORTRANGE(""https://docs.google.com/spreadshe"&amp;"ets/d/1dQrvX0vEcN7Gu0fnZ0B5S90AeR19zth4XlExFBeExMY/edit?usp=sharing"",""แม่ฮ่องสอน!S215"")+IMPORTRANGE(""https://docs.google.com/spreadsheets/d/1DY4XTNNwjluuxqdfdn6qvOSlMRrZqUtmYcZR0ttFiG4/edit?usp=sharing"",""ลำปาง!S215"")+IMPORTRANGE(""https://docs.goog"&amp;"le.com/spreadsheets/d/1ICwG78r0OFT8biBlxnBF8r7she7gNSzOvJ958PWT09c/edit?usp=sharing"",""ลำพูน!S215"")+IMPORTRANGE(""https://docs.google.com/spreadsheets/d/1B0f2xJpZUC6Z0xXnqKlZtEPzsf6L84eP1r1Q15seqRM/edit?usp=sharing"",""สุโขทัย!S215"")+IMPORTRANGE(""http"&amp;"s://docs.google.com/spreadsheets/d/1v0b9pFQCsKUVExMei7AgY2yQkdeNQvtOssygGsXbiKo/edit?usp=sharing"",""อุตรดิตถ์!S215"")+IMPORTRANGE(""https://docs.google.com/spreadsheets/d/1UsNK1e-WWiCo2PvGqdNfdme4m17_Ezd3J69EeeiQPD0/edit?usp=sharing"",""อุทัยธานี!S215"")"),0)</f>
        <v>0</v>
      </c>
      <c r="T215" s="152"/>
      <c r="U215" s="46"/>
    </row>
    <row r="216" spans="1:21" ht="18.75" x14ac:dyDescent="0.25">
      <c r="A216" s="208"/>
      <c r="B216" s="158"/>
      <c r="C216" s="158"/>
      <c r="D216" s="47" t="s">
        <v>95</v>
      </c>
      <c r="E216" s="40"/>
      <c r="F216" s="40"/>
      <c r="G216" s="42"/>
      <c r="H216" s="134" t="s">
        <v>14</v>
      </c>
      <c r="I216" s="44"/>
      <c r="J216" s="44"/>
      <c r="K216" s="45"/>
      <c r="L216" s="46">
        <f ca="1">IFERROR(__xludf.DUMMYFUNCTION("IMPORTRANGE(""https://docs.google.com/spreadsheets/d/1jTcq05yEiRwXcBMLjiodW9e4biSGYWAHcDj22rKWQ3s/edit?usp=sharing"",""กำแพงเพชร!L216"")+IMPORTRANGE(""https://docs.google.com/spreadsheets/d/1KS0zmDSZPk8KnTAbGN-Xk6MtX1YRZD0ldgdt20K4CRk/edit?usp=sharing"","&amp;"""เชียงราย!L216"")+IMPORTRANGE(""https://docs.google.com/spreadsheets/d/1rEDxBtusbi64tE0zunoIbsTVV16HeL0oJ6trHQeQ7K8/edit?usp=sharing"",""เชียงใหม่!L216"")+IMPORTRANGE(""https://docs.google.com/spreadsheets/d/1W6MnUbDkMi6xHnHko_XkFDO9kkuL6Wqyc-6OCDFjW9I/e"&amp;"dit?usp=sharing"",""ตาก!L216"")+IMPORTRANGE(""https://docs.google.com/spreadsheets/d/1IQAWArduLkta9LpYo4a_ULsyqdta6-6aDDiwpUnQT6c/edit?usp=sharing"",""นครสวรรค์!L216"")+IMPORTRANGE(""https://docs.google.com/spreadsheets/d/10s13Sk5xrltsiR-Zkbmk5DwIaDIKO8Xl"&amp;"bJAfqyT7Gvg/edit?usp=sharing"",""น่าน!L216"")+IMPORTRANGE(""https://docs.google.com/spreadsheets/d/1uu4nAn4Dbi1XREnLKKotUANlKXa7yCgRcgq8HEzQYW8/edit?usp=sharing"",""พะเยา!L216"")+IMPORTRANGE(""https://docs.google.com/spreadsheets/d/1xfJKIQxVOaPDIICqsflNlL"&amp;"u3JacTDk1FP9RH4phX7mI/edit?usp=sharing"",""พิจิตร!L216"")+IMPORTRANGE(""https://docs.google.com/spreadsheets/d/1JtRfZkJMHtEhI5RdRHxYUG4FIZHqKDpNyIuN7A1Q0_k/edit?usp=sharing"",""พิษณุโลก!L216"")+IMPORTRANGE(""https://docs.google.com/spreadsheets/d/1xlcVZWU"&amp;"Nn6SuWm0c307h32SiGkd9BaeQWlAktfD3KO8/edit?usp=sharing"",""เพชรบูรณ์!L216"")+IMPORTRANGE(""https://docs.google.com/spreadsheets/d/1lOVebEIsI9qjGXl6EX66luk7wiuP2tBaryw-wKvv4e0/edit?usp=sharing"",""แพร่!L216"")+IMPORTRANGE(""https://docs.google.com/spreadshe"&amp;"ets/d/1dQrvX0vEcN7Gu0fnZ0B5S90AeR19zth4XlExFBeExMY/edit?usp=sharing"",""แม่ฮ่องสอน!L216"")+IMPORTRANGE(""https://docs.google.com/spreadsheets/d/1DY4XTNNwjluuxqdfdn6qvOSlMRrZqUtmYcZR0ttFiG4/edit?usp=sharing"",""ลำปาง!L216"")+IMPORTRANGE(""https://docs.goog"&amp;"le.com/spreadsheets/d/1ICwG78r0OFT8biBlxnBF8r7she7gNSzOvJ958PWT09c/edit?usp=sharing"",""ลำพูน!L216"")+IMPORTRANGE(""https://docs.google.com/spreadsheets/d/1B0f2xJpZUC6Z0xXnqKlZtEPzsf6L84eP1r1Q15seqRM/edit?usp=sharing"",""สุโขทัย!L216"")+IMPORTRANGE(""http"&amp;"s://docs.google.com/spreadsheets/d/1v0b9pFQCsKUVExMei7AgY2yQkdeNQvtOssygGsXbiKo/edit?usp=sharing"",""อุตรดิตถ์!L216"")+IMPORTRANGE(""https://docs.google.com/spreadsheets/d/1UsNK1e-WWiCo2PvGqdNfdme4m17_Ezd3J69EeeiQPD0/edit?usp=sharing"",""อุทัยธานี!L216"")"),20000)</f>
        <v>20000</v>
      </c>
      <c r="M216" s="46">
        <f ca="1">IFERROR(__xludf.DUMMYFUNCTION("IMPORTRANGE(""https://docs.google.com/spreadsheets/d/1jTcq05yEiRwXcBMLjiodW9e4biSGYWAHcDj22rKWQ3s/edit?usp=sharing"",""กำแพงเพชร!M216"")+IMPORTRANGE(""https://docs.google.com/spreadsheets/d/1KS0zmDSZPk8KnTAbGN-Xk6MtX1YRZD0ldgdt20K4CRk/edit?usp=sharing"","&amp;"""เชียงราย!M216"")+IMPORTRANGE(""https://docs.google.com/spreadsheets/d/1rEDxBtusbi64tE0zunoIbsTVV16HeL0oJ6trHQeQ7K8/edit?usp=sharing"",""เชียงใหม่!M216"")+IMPORTRANGE(""https://docs.google.com/spreadsheets/d/1W6MnUbDkMi6xHnHko_XkFDO9kkuL6Wqyc-6OCDFjW9I/e"&amp;"dit?usp=sharing"",""ตาก!M216"")+IMPORTRANGE(""https://docs.google.com/spreadsheets/d/1IQAWArduLkta9LpYo4a_ULsyqdta6-6aDDiwpUnQT6c/edit?usp=sharing"",""นครสวรรค์!M216"")+IMPORTRANGE(""https://docs.google.com/spreadsheets/d/10s13Sk5xrltsiR-Zkbmk5DwIaDIKO8Xl"&amp;"bJAfqyT7Gvg/edit?usp=sharing"",""น่าน!M216"")+IMPORTRANGE(""https://docs.google.com/spreadsheets/d/1uu4nAn4Dbi1XREnLKKotUANlKXa7yCgRcgq8HEzQYW8/edit?usp=sharing"",""พะเยา!M216"")+IMPORTRANGE(""https://docs.google.com/spreadsheets/d/1xfJKIQxVOaPDIICqsflNlL"&amp;"u3JacTDk1FP9RH4phX7mI/edit?usp=sharing"",""พิจิตร!M216"")+IMPORTRANGE(""https://docs.google.com/spreadsheets/d/1JtRfZkJMHtEhI5RdRHxYUG4FIZHqKDpNyIuN7A1Q0_k/edit?usp=sharing"",""พิษณุโลก!M216"")+IMPORTRANGE(""https://docs.google.com/spreadsheets/d/1xlcVZWU"&amp;"Nn6SuWm0c307h32SiGkd9BaeQWlAktfD3KO8/edit?usp=sharing"",""เพชรบูรณ์!M216"")+IMPORTRANGE(""https://docs.google.com/spreadsheets/d/1lOVebEIsI9qjGXl6EX66luk7wiuP2tBaryw-wKvv4e0/edit?usp=sharing"",""แพร่!M216"")+IMPORTRANGE(""https://docs.google.com/spreadshe"&amp;"ets/d/1dQrvX0vEcN7Gu0fnZ0B5S90AeR19zth4XlExFBeExMY/edit?usp=sharing"",""แม่ฮ่องสอน!M216"")+IMPORTRANGE(""https://docs.google.com/spreadsheets/d/1DY4XTNNwjluuxqdfdn6qvOSlMRrZqUtmYcZR0ttFiG4/edit?usp=sharing"",""ลำปาง!M216"")+IMPORTRANGE(""https://docs.goog"&amp;"le.com/spreadsheets/d/1ICwG78r0OFT8biBlxnBF8r7she7gNSzOvJ958PWT09c/edit?usp=sharing"",""ลำพูน!M216"")+IMPORTRANGE(""https://docs.google.com/spreadsheets/d/1B0f2xJpZUC6Z0xXnqKlZtEPzsf6L84eP1r1Q15seqRM/edit?usp=sharing"",""สุโขทัย!M216"")+IMPORTRANGE(""http"&amp;"s://docs.google.com/spreadsheets/d/1v0b9pFQCsKUVExMei7AgY2yQkdeNQvtOssygGsXbiKo/edit?usp=sharing"",""อุตรดิตถ์!M216"")+IMPORTRANGE(""https://docs.google.com/spreadsheets/d/1UsNK1e-WWiCo2PvGqdNfdme4m17_Ezd3J69EeeiQPD0/edit?usp=sharing"",""อุทัยธานี!M216"")"),0)</f>
        <v>0</v>
      </c>
      <c r="N216" s="46">
        <f ca="1">IFERROR(__xludf.DUMMYFUNCTION("IMPORTRANGE(""https://docs.google.com/spreadsheets/d/1jTcq05yEiRwXcBMLjiodW9e4biSGYWAHcDj22rKWQ3s/edit?usp=sharing"",""กำแพงเพชร!N216"")+IMPORTRANGE(""https://docs.google.com/spreadsheets/d/1KS0zmDSZPk8KnTAbGN-Xk6MtX1YRZD0ldgdt20K4CRk/edit?usp=sharing"","&amp;"""เชียงราย!N216"")+IMPORTRANGE(""https://docs.google.com/spreadsheets/d/1rEDxBtusbi64tE0zunoIbsTVV16HeL0oJ6trHQeQ7K8/edit?usp=sharing"",""เชียงใหม่!N216"")+IMPORTRANGE(""https://docs.google.com/spreadsheets/d/1W6MnUbDkMi6xHnHko_XkFDO9kkuL6Wqyc-6OCDFjW9I/e"&amp;"dit?usp=sharing"",""ตาก!N216"")+IMPORTRANGE(""https://docs.google.com/spreadsheets/d/1IQAWArduLkta9LpYo4a_ULsyqdta6-6aDDiwpUnQT6c/edit?usp=sharing"",""นครสวรรค์!N216"")+IMPORTRANGE(""https://docs.google.com/spreadsheets/d/10s13Sk5xrltsiR-Zkbmk5DwIaDIKO8Xl"&amp;"bJAfqyT7Gvg/edit?usp=sharing"",""น่าน!N216"")+IMPORTRANGE(""https://docs.google.com/spreadsheets/d/1uu4nAn4Dbi1XREnLKKotUANlKXa7yCgRcgq8HEzQYW8/edit?usp=sharing"",""พะเยา!N216"")+IMPORTRANGE(""https://docs.google.com/spreadsheets/d/1xfJKIQxVOaPDIICqsflNlL"&amp;"u3JacTDk1FP9RH4phX7mI/edit?usp=sharing"",""พิจิตร!N216"")+IMPORTRANGE(""https://docs.google.com/spreadsheets/d/1JtRfZkJMHtEhI5RdRHxYUG4FIZHqKDpNyIuN7A1Q0_k/edit?usp=sharing"",""พิษณุโลก!N216"")+IMPORTRANGE(""https://docs.google.com/spreadsheets/d/1xlcVZWU"&amp;"Nn6SuWm0c307h32SiGkd9BaeQWlAktfD3KO8/edit?usp=sharing"",""เพชรบูรณ์!N216"")+IMPORTRANGE(""https://docs.google.com/spreadsheets/d/1lOVebEIsI9qjGXl6EX66luk7wiuP2tBaryw-wKvv4e0/edit?usp=sharing"",""แพร่!N216"")+IMPORTRANGE(""https://docs.google.com/spreadshe"&amp;"ets/d/1dQrvX0vEcN7Gu0fnZ0B5S90AeR19zth4XlExFBeExMY/edit?usp=sharing"",""แม่ฮ่องสอน!N216"")+IMPORTRANGE(""https://docs.google.com/spreadsheets/d/1DY4XTNNwjluuxqdfdn6qvOSlMRrZqUtmYcZR0ttFiG4/edit?usp=sharing"",""ลำปาง!N216"")+IMPORTRANGE(""https://docs.goog"&amp;"le.com/spreadsheets/d/1ICwG78r0OFT8biBlxnBF8r7she7gNSzOvJ958PWT09c/edit?usp=sharing"",""ลำพูน!N216"")+IMPORTRANGE(""https://docs.google.com/spreadsheets/d/1B0f2xJpZUC6Z0xXnqKlZtEPzsf6L84eP1r1Q15seqRM/edit?usp=sharing"",""สุโขทัย!N216"")+IMPORTRANGE(""http"&amp;"s://docs.google.com/spreadsheets/d/1v0b9pFQCsKUVExMei7AgY2yQkdeNQvtOssygGsXbiKo/edit?usp=sharing"",""อุตรดิตถ์!N216"")+IMPORTRANGE(""https://docs.google.com/spreadsheets/d/1UsNK1e-WWiCo2PvGqdNfdme4m17_Ezd3J69EeeiQPD0/edit?usp=sharing"",""อุทัยธานี!N216"")"),0)</f>
        <v>0</v>
      </c>
      <c r="O216" s="136"/>
      <c r="P216" s="45"/>
      <c r="Q216" s="46">
        <f ca="1">IFERROR(__xludf.DUMMYFUNCTION("IMPORTRANGE(""https://docs.google.com/spreadsheets/d/1jTcq05yEiRwXcBMLjiodW9e4biSGYWAHcDj22rKWQ3s/edit?usp=sharing"",""กำแพงเพชร!Q216"")+IMPORTRANGE(""https://docs.google.com/spreadsheets/d/1KS0zmDSZPk8KnTAbGN-Xk6MtX1YRZD0ldgdt20K4CRk/edit?usp=sharing"","&amp;"""เชียงราย!Q216"")+IMPORTRANGE(""https://docs.google.com/spreadsheets/d/1rEDxBtusbi64tE0zunoIbsTVV16HeL0oJ6trHQeQ7K8/edit?usp=sharing"",""เชียงใหม่!Q216"")+IMPORTRANGE(""https://docs.google.com/spreadsheets/d/1W6MnUbDkMi6xHnHko_XkFDO9kkuL6Wqyc-6OCDFjW9I/e"&amp;"dit?usp=sharing"",""ตาก!Q216"")+IMPORTRANGE(""https://docs.google.com/spreadsheets/d/1IQAWArduLkta9LpYo4a_ULsyqdta6-6aDDiwpUnQT6c/edit?usp=sharing"",""นครสวรรค์!Q216"")+IMPORTRANGE(""https://docs.google.com/spreadsheets/d/10s13Sk5xrltsiR-Zkbmk5DwIaDIKO8Xl"&amp;"bJAfqyT7Gvg/edit?usp=sharing"",""น่าน!Q216"")+IMPORTRANGE(""https://docs.google.com/spreadsheets/d/1uu4nAn4Dbi1XREnLKKotUANlKXa7yCgRcgq8HEzQYW8/edit?usp=sharing"",""พะเยา!Q216"")+IMPORTRANGE(""https://docs.google.com/spreadsheets/d/1xfJKIQxVOaPDIICqsflNlL"&amp;"u3JacTDk1FP9RH4phX7mI/edit?usp=sharing"",""พิจิตร!Q216"")+IMPORTRANGE(""https://docs.google.com/spreadsheets/d/1JtRfZkJMHtEhI5RdRHxYUG4FIZHqKDpNyIuN7A1Q0_k/edit?usp=sharing"",""พิษณุโลก!Q216"")+IMPORTRANGE(""https://docs.google.com/spreadsheets/d/1xlcVZWU"&amp;"Nn6SuWm0c307h32SiGkd9BaeQWlAktfD3KO8/edit?usp=sharing"",""เพชรบูรณ์!Q216"")+IMPORTRANGE(""https://docs.google.com/spreadsheets/d/1lOVebEIsI9qjGXl6EX66luk7wiuP2tBaryw-wKvv4e0/edit?usp=sharing"",""แพร่!Q216"")+IMPORTRANGE(""https://docs.google.com/spreadshe"&amp;"ets/d/1dQrvX0vEcN7Gu0fnZ0B5S90AeR19zth4XlExFBeExMY/edit?usp=sharing"",""แม่ฮ่องสอน!Q216"")+IMPORTRANGE(""https://docs.google.com/spreadsheets/d/1DY4XTNNwjluuxqdfdn6qvOSlMRrZqUtmYcZR0ttFiG4/edit?usp=sharing"",""ลำปาง!Q216"")+IMPORTRANGE(""https://docs.goog"&amp;"le.com/spreadsheets/d/1ICwG78r0OFT8biBlxnBF8r7she7gNSzOvJ958PWT09c/edit?usp=sharing"",""ลำพูน!Q216"")+IMPORTRANGE(""https://docs.google.com/spreadsheets/d/1B0f2xJpZUC6Z0xXnqKlZtEPzsf6L84eP1r1Q15seqRM/edit?usp=sharing"",""สุโขทัย!Q216"")+IMPORTRANGE(""http"&amp;"s://docs.google.com/spreadsheets/d/1v0b9pFQCsKUVExMei7AgY2yQkdeNQvtOssygGsXbiKo/edit?usp=sharing"",""อุตรดิตถ์!Q216"")+IMPORTRANGE(""https://docs.google.com/spreadsheets/d/1UsNK1e-WWiCo2PvGqdNfdme4m17_Ezd3J69EeeiQPD0/edit?usp=sharing"",""อุทัยธานี!Q216"")"),0)</f>
        <v>0</v>
      </c>
      <c r="R216" s="46">
        <f ca="1">IFERROR(__xludf.DUMMYFUNCTION("IMPORTRANGE(""https://docs.google.com/spreadsheets/d/1jTcq05yEiRwXcBMLjiodW9e4biSGYWAHcDj22rKWQ3s/edit?usp=sharing"",""กำแพงเพชร!R216"")+IMPORTRANGE(""https://docs.google.com/spreadsheets/d/1KS0zmDSZPk8KnTAbGN-Xk6MtX1YRZD0ldgdt20K4CRk/edit?usp=sharing"","&amp;"""เชียงราย!R216"")+IMPORTRANGE(""https://docs.google.com/spreadsheets/d/1rEDxBtusbi64tE0zunoIbsTVV16HeL0oJ6trHQeQ7K8/edit?usp=sharing"",""เชียงใหม่!R216"")+IMPORTRANGE(""https://docs.google.com/spreadsheets/d/1W6MnUbDkMi6xHnHko_XkFDO9kkuL6Wqyc-6OCDFjW9I/e"&amp;"dit?usp=sharing"",""ตาก!R216"")+IMPORTRANGE(""https://docs.google.com/spreadsheets/d/1IQAWArduLkta9LpYo4a_ULsyqdta6-6aDDiwpUnQT6c/edit?usp=sharing"",""นครสวรรค์!R216"")+IMPORTRANGE(""https://docs.google.com/spreadsheets/d/10s13Sk5xrltsiR-Zkbmk5DwIaDIKO8Xl"&amp;"bJAfqyT7Gvg/edit?usp=sharing"",""น่าน!R216"")+IMPORTRANGE(""https://docs.google.com/spreadsheets/d/1uu4nAn4Dbi1XREnLKKotUANlKXa7yCgRcgq8HEzQYW8/edit?usp=sharing"",""พะเยา!R216"")+IMPORTRANGE(""https://docs.google.com/spreadsheets/d/1xfJKIQxVOaPDIICqsflNlL"&amp;"u3JacTDk1FP9RH4phX7mI/edit?usp=sharing"",""พิจิตร!R216"")+IMPORTRANGE(""https://docs.google.com/spreadsheets/d/1JtRfZkJMHtEhI5RdRHxYUG4FIZHqKDpNyIuN7A1Q0_k/edit?usp=sharing"",""พิษณุโลก!R216"")+IMPORTRANGE(""https://docs.google.com/spreadsheets/d/1xlcVZWU"&amp;"Nn6SuWm0c307h32SiGkd9BaeQWlAktfD3KO8/edit?usp=sharing"",""เพชรบูรณ์!R216"")+IMPORTRANGE(""https://docs.google.com/spreadsheets/d/1lOVebEIsI9qjGXl6EX66luk7wiuP2tBaryw-wKvv4e0/edit?usp=sharing"",""แพร่!R216"")+IMPORTRANGE(""https://docs.google.com/spreadshe"&amp;"ets/d/1dQrvX0vEcN7Gu0fnZ0B5S90AeR19zth4XlExFBeExMY/edit?usp=sharing"",""แม่ฮ่องสอน!R216"")+IMPORTRANGE(""https://docs.google.com/spreadsheets/d/1DY4XTNNwjluuxqdfdn6qvOSlMRrZqUtmYcZR0ttFiG4/edit?usp=sharing"",""ลำปาง!R216"")+IMPORTRANGE(""https://docs.goog"&amp;"le.com/spreadsheets/d/1ICwG78r0OFT8biBlxnBF8r7she7gNSzOvJ958PWT09c/edit?usp=sharing"",""ลำพูน!R216"")+IMPORTRANGE(""https://docs.google.com/spreadsheets/d/1B0f2xJpZUC6Z0xXnqKlZtEPzsf6L84eP1r1Q15seqRM/edit?usp=sharing"",""สุโขทัย!R216"")+IMPORTRANGE(""http"&amp;"s://docs.google.com/spreadsheets/d/1v0b9pFQCsKUVExMei7AgY2yQkdeNQvtOssygGsXbiKo/edit?usp=sharing"",""อุตรดิตถ์!R216"")+IMPORTRANGE(""https://docs.google.com/spreadsheets/d/1UsNK1e-WWiCo2PvGqdNfdme4m17_Ezd3J69EeeiQPD0/edit?usp=sharing"",""อุทัยธานี!R216"")"),0)</f>
        <v>0</v>
      </c>
      <c r="S216" s="46">
        <f ca="1">IFERROR(__xludf.DUMMYFUNCTION("IMPORTRANGE(""https://docs.google.com/spreadsheets/d/1jTcq05yEiRwXcBMLjiodW9e4biSGYWAHcDj22rKWQ3s/edit?usp=sharing"",""กำแพงเพชร!S216"")+IMPORTRANGE(""https://docs.google.com/spreadsheets/d/1KS0zmDSZPk8KnTAbGN-Xk6MtX1YRZD0ldgdt20K4CRk/edit?usp=sharing"","&amp;"""เชียงราย!S216"")+IMPORTRANGE(""https://docs.google.com/spreadsheets/d/1rEDxBtusbi64tE0zunoIbsTVV16HeL0oJ6trHQeQ7K8/edit?usp=sharing"",""เชียงใหม่!S216"")+IMPORTRANGE(""https://docs.google.com/spreadsheets/d/1W6MnUbDkMi6xHnHko_XkFDO9kkuL6Wqyc-6OCDFjW9I/e"&amp;"dit?usp=sharing"",""ตาก!S216"")+IMPORTRANGE(""https://docs.google.com/spreadsheets/d/1IQAWArduLkta9LpYo4a_ULsyqdta6-6aDDiwpUnQT6c/edit?usp=sharing"",""นครสวรรค์!S216"")+IMPORTRANGE(""https://docs.google.com/spreadsheets/d/10s13Sk5xrltsiR-Zkbmk5DwIaDIKO8Xl"&amp;"bJAfqyT7Gvg/edit?usp=sharing"",""น่าน!S216"")+IMPORTRANGE(""https://docs.google.com/spreadsheets/d/1uu4nAn4Dbi1XREnLKKotUANlKXa7yCgRcgq8HEzQYW8/edit?usp=sharing"",""พะเยา!S216"")+IMPORTRANGE(""https://docs.google.com/spreadsheets/d/1xfJKIQxVOaPDIICqsflNlL"&amp;"u3JacTDk1FP9RH4phX7mI/edit?usp=sharing"",""พิจิตร!S216"")+IMPORTRANGE(""https://docs.google.com/spreadsheets/d/1JtRfZkJMHtEhI5RdRHxYUG4FIZHqKDpNyIuN7A1Q0_k/edit?usp=sharing"",""พิษณุโลก!S216"")+IMPORTRANGE(""https://docs.google.com/spreadsheets/d/1xlcVZWU"&amp;"Nn6SuWm0c307h32SiGkd9BaeQWlAktfD3KO8/edit?usp=sharing"",""เพชรบูรณ์!S216"")+IMPORTRANGE(""https://docs.google.com/spreadsheets/d/1lOVebEIsI9qjGXl6EX66luk7wiuP2tBaryw-wKvv4e0/edit?usp=sharing"",""แพร่!S216"")+IMPORTRANGE(""https://docs.google.com/spreadshe"&amp;"ets/d/1dQrvX0vEcN7Gu0fnZ0B5S90AeR19zth4XlExFBeExMY/edit?usp=sharing"",""แม่ฮ่องสอน!S216"")+IMPORTRANGE(""https://docs.google.com/spreadsheets/d/1DY4XTNNwjluuxqdfdn6qvOSlMRrZqUtmYcZR0ttFiG4/edit?usp=sharing"",""ลำปาง!S216"")+IMPORTRANGE(""https://docs.goog"&amp;"le.com/spreadsheets/d/1ICwG78r0OFT8biBlxnBF8r7she7gNSzOvJ958PWT09c/edit?usp=sharing"",""ลำพูน!S216"")+IMPORTRANGE(""https://docs.google.com/spreadsheets/d/1B0f2xJpZUC6Z0xXnqKlZtEPzsf6L84eP1r1Q15seqRM/edit?usp=sharing"",""สุโขทัย!S216"")+IMPORTRANGE(""http"&amp;"s://docs.google.com/spreadsheets/d/1v0b9pFQCsKUVExMei7AgY2yQkdeNQvtOssygGsXbiKo/edit?usp=sharing"",""อุตรดิตถ์!S216"")+IMPORTRANGE(""https://docs.google.com/spreadsheets/d/1UsNK1e-WWiCo2PvGqdNfdme4m17_Ezd3J69EeeiQPD0/edit?usp=sharing"",""อุทัยธานี!S216"")"),0)</f>
        <v>0</v>
      </c>
      <c r="T216" s="152"/>
      <c r="U216" s="46"/>
    </row>
    <row r="217" spans="1:21" ht="18.75" x14ac:dyDescent="0.25">
      <c r="A217" s="208"/>
      <c r="B217" s="158"/>
      <c r="C217" s="158"/>
      <c r="D217" s="47" t="s">
        <v>88</v>
      </c>
      <c r="E217" s="40"/>
      <c r="F217" s="40"/>
      <c r="G217" s="42"/>
      <c r="H217" s="134" t="s">
        <v>14</v>
      </c>
      <c r="I217" s="44"/>
      <c r="J217" s="44"/>
      <c r="K217" s="45"/>
      <c r="L217" s="46">
        <f ca="1">IFERROR(__xludf.DUMMYFUNCTION("IMPORTRANGE(""https://docs.google.com/spreadsheets/d/1jTcq05yEiRwXcBMLjiodW9e4biSGYWAHcDj22rKWQ3s/edit?usp=sharing"",""กำแพงเพชร!L217"")+IMPORTRANGE(""https://docs.google.com/spreadsheets/d/1KS0zmDSZPk8KnTAbGN-Xk6MtX1YRZD0ldgdt20K4CRk/edit?usp=sharing"","&amp;"""เชียงราย!L217"")+IMPORTRANGE(""https://docs.google.com/spreadsheets/d/1rEDxBtusbi64tE0zunoIbsTVV16HeL0oJ6trHQeQ7K8/edit?usp=sharing"",""เชียงใหม่!L217"")+IMPORTRANGE(""https://docs.google.com/spreadsheets/d/1W6MnUbDkMi6xHnHko_XkFDO9kkuL6Wqyc-6OCDFjW9I/e"&amp;"dit?usp=sharing"",""ตาก!L217"")+IMPORTRANGE(""https://docs.google.com/spreadsheets/d/1IQAWArduLkta9LpYo4a_ULsyqdta6-6aDDiwpUnQT6c/edit?usp=sharing"",""นครสวรรค์!L217"")+IMPORTRANGE(""https://docs.google.com/spreadsheets/d/10s13Sk5xrltsiR-Zkbmk5DwIaDIKO8Xl"&amp;"bJAfqyT7Gvg/edit?usp=sharing"",""น่าน!L217"")+IMPORTRANGE(""https://docs.google.com/spreadsheets/d/1uu4nAn4Dbi1XREnLKKotUANlKXa7yCgRcgq8HEzQYW8/edit?usp=sharing"",""พะเยา!L217"")+IMPORTRANGE(""https://docs.google.com/spreadsheets/d/1xfJKIQxVOaPDIICqsflNlL"&amp;"u3JacTDk1FP9RH4phX7mI/edit?usp=sharing"",""พิจิตร!L217"")+IMPORTRANGE(""https://docs.google.com/spreadsheets/d/1JtRfZkJMHtEhI5RdRHxYUG4FIZHqKDpNyIuN7A1Q0_k/edit?usp=sharing"",""พิษณุโลก!L217"")+IMPORTRANGE(""https://docs.google.com/spreadsheets/d/1xlcVZWU"&amp;"Nn6SuWm0c307h32SiGkd9BaeQWlAktfD3KO8/edit?usp=sharing"",""เพชรบูรณ์!L217"")+IMPORTRANGE(""https://docs.google.com/spreadsheets/d/1lOVebEIsI9qjGXl6EX66luk7wiuP2tBaryw-wKvv4e0/edit?usp=sharing"",""แพร่!L217"")+IMPORTRANGE(""https://docs.google.com/spreadshe"&amp;"ets/d/1dQrvX0vEcN7Gu0fnZ0B5S90AeR19zth4XlExFBeExMY/edit?usp=sharing"",""แม่ฮ่องสอน!L217"")+IMPORTRANGE(""https://docs.google.com/spreadsheets/d/1DY4XTNNwjluuxqdfdn6qvOSlMRrZqUtmYcZR0ttFiG4/edit?usp=sharing"",""ลำปาง!L217"")+IMPORTRANGE(""https://docs.goog"&amp;"le.com/spreadsheets/d/1ICwG78r0OFT8biBlxnBF8r7she7gNSzOvJ958PWT09c/edit?usp=sharing"",""ลำพูน!L217"")+IMPORTRANGE(""https://docs.google.com/spreadsheets/d/1B0f2xJpZUC6Z0xXnqKlZtEPzsf6L84eP1r1Q15seqRM/edit?usp=sharing"",""สุโขทัย!L217"")+IMPORTRANGE(""http"&amp;"s://docs.google.com/spreadsheets/d/1v0b9pFQCsKUVExMei7AgY2yQkdeNQvtOssygGsXbiKo/edit?usp=sharing"",""อุตรดิตถ์!L217"")+IMPORTRANGE(""https://docs.google.com/spreadsheets/d/1UsNK1e-WWiCo2PvGqdNfdme4m17_Ezd3J69EeeiQPD0/edit?usp=sharing"",""อุทัยธานี!L217"")"),0)</f>
        <v>0</v>
      </c>
      <c r="M217" s="46">
        <f ca="1">IFERROR(__xludf.DUMMYFUNCTION("IMPORTRANGE(""https://docs.google.com/spreadsheets/d/1jTcq05yEiRwXcBMLjiodW9e4biSGYWAHcDj22rKWQ3s/edit?usp=sharing"",""กำแพงเพชร!M217"")+IMPORTRANGE(""https://docs.google.com/spreadsheets/d/1KS0zmDSZPk8KnTAbGN-Xk6MtX1YRZD0ldgdt20K4CRk/edit?usp=sharing"","&amp;"""เชียงราย!M217"")+IMPORTRANGE(""https://docs.google.com/spreadsheets/d/1rEDxBtusbi64tE0zunoIbsTVV16HeL0oJ6trHQeQ7K8/edit?usp=sharing"",""เชียงใหม่!M217"")+IMPORTRANGE(""https://docs.google.com/spreadsheets/d/1W6MnUbDkMi6xHnHko_XkFDO9kkuL6Wqyc-6OCDFjW9I/e"&amp;"dit?usp=sharing"",""ตาก!M217"")+IMPORTRANGE(""https://docs.google.com/spreadsheets/d/1IQAWArduLkta9LpYo4a_ULsyqdta6-6aDDiwpUnQT6c/edit?usp=sharing"",""นครสวรรค์!M217"")+IMPORTRANGE(""https://docs.google.com/spreadsheets/d/10s13Sk5xrltsiR-Zkbmk5DwIaDIKO8Xl"&amp;"bJAfqyT7Gvg/edit?usp=sharing"",""น่าน!M217"")+IMPORTRANGE(""https://docs.google.com/spreadsheets/d/1uu4nAn4Dbi1XREnLKKotUANlKXa7yCgRcgq8HEzQYW8/edit?usp=sharing"",""พะเยา!M217"")+IMPORTRANGE(""https://docs.google.com/spreadsheets/d/1xfJKIQxVOaPDIICqsflNlL"&amp;"u3JacTDk1FP9RH4phX7mI/edit?usp=sharing"",""พิจิตร!M217"")+IMPORTRANGE(""https://docs.google.com/spreadsheets/d/1JtRfZkJMHtEhI5RdRHxYUG4FIZHqKDpNyIuN7A1Q0_k/edit?usp=sharing"",""พิษณุโลก!M217"")+IMPORTRANGE(""https://docs.google.com/spreadsheets/d/1xlcVZWU"&amp;"Nn6SuWm0c307h32SiGkd9BaeQWlAktfD3KO8/edit?usp=sharing"",""เพชรบูรณ์!M217"")+IMPORTRANGE(""https://docs.google.com/spreadsheets/d/1lOVebEIsI9qjGXl6EX66luk7wiuP2tBaryw-wKvv4e0/edit?usp=sharing"",""แพร่!M217"")+IMPORTRANGE(""https://docs.google.com/spreadshe"&amp;"ets/d/1dQrvX0vEcN7Gu0fnZ0B5S90AeR19zth4XlExFBeExMY/edit?usp=sharing"",""แม่ฮ่องสอน!M217"")+IMPORTRANGE(""https://docs.google.com/spreadsheets/d/1DY4XTNNwjluuxqdfdn6qvOSlMRrZqUtmYcZR0ttFiG4/edit?usp=sharing"",""ลำปาง!M217"")+IMPORTRANGE(""https://docs.goog"&amp;"le.com/spreadsheets/d/1ICwG78r0OFT8biBlxnBF8r7she7gNSzOvJ958PWT09c/edit?usp=sharing"",""ลำพูน!M217"")+IMPORTRANGE(""https://docs.google.com/spreadsheets/d/1B0f2xJpZUC6Z0xXnqKlZtEPzsf6L84eP1r1Q15seqRM/edit?usp=sharing"",""สุโขทัย!M217"")+IMPORTRANGE(""http"&amp;"s://docs.google.com/spreadsheets/d/1v0b9pFQCsKUVExMei7AgY2yQkdeNQvtOssygGsXbiKo/edit?usp=sharing"",""อุตรดิตถ์!M217"")+IMPORTRANGE(""https://docs.google.com/spreadsheets/d/1UsNK1e-WWiCo2PvGqdNfdme4m17_Ezd3J69EeeiQPD0/edit?usp=sharing"",""อุทัยธานี!M217"")"),0)</f>
        <v>0</v>
      </c>
      <c r="N217" s="46">
        <f ca="1">IFERROR(__xludf.DUMMYFUNCTION("IMPORTRANGE(""https://docs.google.com/spreadsheets/d/1jTcq05yEiRwXcBMLjiodW9e4biSGYWAHcDj22rKWQ3s/edit?usp=sharing"",""กำแพงเพชร!N217"")+IMPORTRANGE(""https://docs.google.com/spreadsheets/d/1KS0zmDSZPk8KnTAbGN-Xk6MtX1YRZD0ldgdt20K4CRk/edit?usp=sharing"","&amp;"""เชียงราย!N217"")+IMPORTRANGE(""https://docs.google.com/spreadsheets/d/1rEDxBtusbi64tE0zunoIbsTVV16HeL0oJ6trHQeQ7K8/edit?usp=sharing"",""เชียงใหม่!N217"")+IMPORTRANGE(""https://docs.google.com/spreadsheets/d/1W6MnUbDkMi6xHnHko_XkFDO9kkuL6Wqyc-6OCDFjW9I/e"&amp;"dit?usp=sharing"",""ตาก!N217"")+IMPORTRANGE(""https://docs.google.com/spreadsheets/d/1IQAWArduLkta9LpYo4a_ULsyqdta6-6aDDiwpUnQT6c/edit?usp=sharing"",""นครสวรรค์!N217"")+IMPORTRANGE(""https://docs.google.com/spreadsheets/d/10s13Sk5xrltsiR-Zkbmk5DwIaDIKO8Xl"&amp;"bJAfqyT7Gvg/edit?usp=sharing"",""น่าน!N217"")+IMPORTRANGE(""https://docs.google.com/spreadsheets/d/1uu4nAn4Dbi1XREnLKKotUANlKXa7yCgRcgq8HEzQYW8/edit?usp=sharing"",""พะเยา!N217"")+IMPORTRANGE(""https://docs.google.com/spreadsheets/d/1xfJKIQxVOaPDIICqsflNlL"&amp;"u3JacTDk1FP9RH4phX7mI/edit?usp=sharing"",""พิจิตร!N217"")+IMPORTRANGE(""https://docs.google.com/spreadsheets/d/1JtRfZkJMHtEhI5RdRHxYUG4FIZHqKDpNyIuN7A1Q0_k/edit?usp=sharing"",""พิษณุโลก!N217"")+IMPORTRANGE(""https://docs.google.com/spreadsheets/d/1xlcVZWU"&amp;"Nn6SuWm0c307h32SiGkd9BaeQWlAktfD3KO8/edit?usp=sharing"",""เพชรบูรณ์!N217"")+IMPORTRANGE(""https://docs.google.com/spreadsheets/d/1lOVebEIsI9qjGXl6EX66luk7wiuP2tBaryw-wKvv4e0/edit?usp=sharing"",""แพร่!N217"")+IMPORTRANGE(""https://docs.google.com/spreadshe"&amp;"ets/d/1dQrvX0vEcN7Gu0fnZ0B5S90AeR19zth4XlExFBeExMY/edit?usp=sharing"",""แม่ฮ่องสอน!N217"")+IMPORTRANGE(""https://docs.google.com/spreadsheets/d/1DY4XTNNwjluuxqdfdn6qvOSlMRrZqUtmYcZR0ttFiG4/edit?usp=sharing"",""ลำปาง!N217"")+IMPORTRANGE(""https://docs.goog"&amp;"le.com/spreadsheets/d/1ICwG78r0OFT8biBlxnBF8r7she7gNSzOvJ958PWT09c/edit?usp=sharing"",""ลำพูน!N217"")+IMPORTRANGE(""https://docs.google.com/spreadsheets/d/1B0f2xJpZUC6Z0xXnqKlZtEPzsf6L84eP1r1Q15seqRM/edit?usp=sharing"",""สุโขทัย!N217"")+IMPORTRANGE(""http"&amp;"s://docs.google.com/spreadsheets/d/1v0b9pFQCsKUVExMei7AgY2yQkdeNQvtOssygGsXbiKo/edit?usp=sharing"",""อุตรดิตถ์!N217"")+IMPORTRANGE(""https://docs.google.com/spreadsheets/d/1UsNK1e-WWiCo2PvGqdNfdme4m17_Ezd3J69EeeiQPD0/edit?usp=sharing"",""อุทัยธานี!N217"")"),0)</f>
        <v>0</v>
      </c>
      <c r="O217" s="136"/>
      <c r="P217" s="45"/>
      <c r="Q217" s="46">
        <f ca="1">IFERROR(__xludf.DUMMYFUNCTION("IMPORTRANGE(""https://docs.google.com/spreadsheets/d/1jTcq05yEiRwXcBMLjiodW9e4biSGYWAHcDj22rKWQ3s/edit?usp=sharing"",""กำแพงเพชร!Q217"")+IMPORTRANGE(""https://docs.google.com/spreadsheets/d/1KS0zmDSZPk8KnTAbGN-Xk6MtX1YRZD0ldgdt20K4CRk/edit?usp=sharing"","&amp;"""เชียงราย!Q217"")+IMPORTRANGE(""https://docs.google.com/spreadsheets/d/1rEDxBtusbi64tE0zunoIbsTVV16HeL0oJ6trHQeQ7K8/edit?usp=sharing"",""เชียงใหม่!Q217"")+IMPORTRANGE(""https://docs.google.com/spreadsheets/d/1W6MnUbDkMi6xHnHko_XkFDO9kkuL6Wqyc-6OCDFjW9I/e"&amp;"dit?usp=sharing"",""ตาก!Q217"")+IMPORTRANGE(""https://docs.google.com/spreadsheets/d/1IQAWArduLkta9LpYo4a_ULsyqdta6-6aDDiwpUnQT6c/edit?usp=sharing"",""นครสวรรค์!Q217"")+IMPORTRANGE(""https://docs.google.com/spreadsheets/d/10s13Sk5xrltsiR-Zkbmk5DwIaDIKO8Xl"&amp;"bJAfqyT7Gvg/edit?usp=sharing"",""น่าน!Q217"")+IMPORTRANGE(""https://docs.google.com/spreadsheets/d/1uu4nAn4Dbi1XREnLKKotUANlKXa7yCgRcgq8HEzQYW8/edit?usp=sharing"",""พะเยา!Q217"")+IMPORTRANGE(""https://docs.google.com/spreadsheets/d/1xfJKIQxVOaPDIICqsflNlL"&amp;"u3JacTDk1FP9RH4phX7mI/edit?usp=sharing"",""พิจิตร!Q217"")+IMPORTRANGE(""https://docs.google.com/spreadsheets/d/1JtRfZkJMHtEhI5RdRHxYUG4FIZHqKDpNyIuN7A1Q0_k/edit?usp=sharing"",""พิษณุโลก!Q217"")+IMPORTRANGE(""https://docs.google.com/spreadsheets/d/1xlcVZWU"&amp;"Nn6SuWm0c307h32SiGkd9BaeQWlAktfD3KO8/edit?usp=sharing"",""เพชรบูรณ์!Q217"")+IMPORTRANGE(""https://docs.google.com/spreadsheets/d/1lOVebEIsI9qjGXl6EX66luk7wiuP2tBaryw-wKvv4e0/edit?usp=sharing"",""แพร่!Q217"")+IMPORTRANGE(""https://docs.google.com/spreadshe"&amp;"ets/d/1dQrvX0vEcN7Gu0fnZ0B5S90AeR19zth4XlExFBeExMY/edit?usp=sharing"",""แม่ฮ่องสอน!Q217"")+IMPORTRANGE(""https://docs.google.com/spreadsheets/d/1DY4XTNNwjluuxqdfdn6qvOSlMRrZqUtmYcZR0ttFiG4/edit?usp=sharing"",""ลำปาง!Q217"")+IMPORTRANGE(""https://docs.goog"&amp;"le.com/spreadsheets/d/1ICwG78r0OFT8biBlxnBF8r7she7gNSzOvJ958PWT09c/edit?usp=sharing"",""ลำพูน!Q217"")+IMPORTRANGE(""https://docs.google.com/spreadsheets/d/1B0f2xJpZUC6Z0xXnqKlZtEPzsf6L84eP1r1Q15seqRM/edit?usp=sharing"",""สุโขทัย!Q217"")+IMPORTRANGE(""http"&amp;"s://docs.google.com/spreadsheets/d/1v0b9pFQCsKUVExMei7AgY2yQkdeNQvtOssygGsXbiKo/edit?usp=sharing"",""อุตรดิตถ์!Q217"")+IMPORTRANGE(""https://docs.google.com/spreadsheets/d/1UsNK1e-WWiCo2PvGqdNfdme4m17_Ezd3J69EeeiQPD0/edit?usp=sharing"",""อุทัยธานี!Q217"")"),198800)</f>
        <v>198800</v>
      </c>
      <c r="R217" s="46">
        <f ca="1">IFERROR(__xludf.DUMMYFUNCTION("IMPORTRANGE(""https://docs.google.com/spreadsheets/d/1jTcq05yEiRwXcBMLjiodW9e4biSGYWAHcDj22rKWQ3s/edit?usp=sharing"",""กำแพงเพชร!R217"")+IMPORTRANGE(""https://docs.google.com/spreadsheets/d/1KS0zmDSZPk8KnTAbGN-Xk6MtX1YRZD0ldgdt20K4CRk/edit?usp=sharing"","&amp;"""เชียงราย!R217"")+IMPORTRANGE(""https://docs.google.com/spreadsheets/d/1rEDxBtusbi64tE0zunoIbsTVV16HeL0oJ6trHQeQ7K8/edit?usp=sharing"",""เชียงใหม่!R217"")+IMPORTRANGE(""https://docs.google.com/spreadsheets/d/1W6MnUbDkMi6xHnHko_XkFDO9kkuL6Wqyc-6OCDFjW9I/e"&amp;"dit?usp=sharing"",""ตาก!R217"")+IMPORTRANGE(""https://docs.google.com/spreadsheets/d/1IQAWArduLkta9LpYo4a_ULsyqdta6-6aDDiwpUnQT6c/edit?usp=sharing"",""นครสวรรค์!R217"")+IMPORTRANGE(""https://docs.google.com/spreadsheets/d/10s13Sk5xrltsiR-Zkbmk5DwIaDIKO8Xl"&amp;"bJAfqyT7Gvg/edit?usp=sharing"",""น่าน!R217"")+IMPORTRANGE(""https://docs.google.com/spreadsheets/d/1uu4nAn4Dbi1XREnLKKotUANlKXa7yCgRcgq8HEzQYW8/edit?usp=sharing"",""พะเยา!R217"")+IMPORTRANGE(""https://docs.google.com/spreadsheets/d/1xfJKIQxVOaPDIICqsflNlL"&amp;"u3JacTDk1FP9RH4phX7mI/edit?usp=sharing"",""พิจิตร!R217"")+IMPORTRANGE(""https://docs.google.com/spreadsheets/d/1JtRfZkJMHtEhI5RdRHxYUG4FIZHqKDpNyIuN7A1Q0_k/edit?usp=sharing"",""พิษณุโลก!R217"")+IMPORTRANGE(""https://docs.google.com/spreadsheets/d/1xlcVZWU"&amp;"Nn6SuWm0c307h32SiGkd9BaeQWlAktfD3KO8/edit?usp=sharing"",""เพชรบูรณ์!R217"")+IMPORTRANGE(""https://docs.google.com/spreadsheets/d/1lOVebEIsI9qjGXl6EX66luk7wiuP2tBaryw-wKvv4e0/edit?usp=sharing"",""แพร่!R217"")+IMPORTRANGE(""https://docs.google.com/spreadshe"&amp;"ets/d/1dQrvX0vEcN7Gu0fnZ0B5S90AeR19zth4XlExFBeExMY/edit?usp=sharing"",""แม่ฮ่องสอน!R217"")+IMPORTRANGE(""https://docs.google.com/spreadsheets/d/1DY4XTNNwjluuxqdfdn6qvOSlMRrZqUtmYcZR0ttFiG4/edit?usp=sharing"",""ลำปาง!R217"")+IMPORTRANGE(""https://docs.goog"&amp;"le.com/spreadsheets/d/1ICwG78r0OFT8biBlxnBF8r7she7gNSzOvJ958PWT09c/edit?usp=sharing"",""ลำพูน!R217"")+IMPORTRANGE(""https://docs.google.com/spreadsheets/d/1B0f2xJpZUC6Z0xXnqKlZtEPzsf6L84eP1r1Q15seqRM/edit?usp=sharing"",""สุโขทัย!R217"")+IMPORTRANGE(""http"&amp;"s://docs.google.com/spreadsheets/d/1v0b9pFQCsKUVExMei7AgY2yQkdeNQvtOssygGsXbiKo/edit?usp=sharing"",""อุตรดิตถ์!R217"")+IMPORTRANGE(""https://docs.google.com/spreadsheets/d/1UsNK1e-WWiCo2PvGqdNfdme4m17_Ezd3J69EeeiQPD0/edit?usp=sharing"",""อุทัยธานี!R217"")"),0)</f>
        <v>0</v>
      </c>
      <c r="S217" s="46">
        <f ca="1">IFERROR(__xludf.DUMMYFUNCTION("IMPORTRANGE(""https://docs.google.com/spreadsheets/d/1jTcq05yEiRwXcBMLjiodW9e4biSGYWAHcDj22rKWQ3s/edit?usp=sharing"",""กำแพงเพชร!S217"")+IMPORTRANGE(""https://docs.google.com/spreadsheets/d/1KS0zmDSZPk8KnTAbGN-Xk6MtX1YRZD0ldgdt20K4CRk/edit?usp=sharing"","&amp;"""เชียงราย!S217"")+IMPORTRANGE(""https://docs.google.com/spreadsheets/d/1rEDxBtusbi64tE0zunoIbsTVV16HeL0oJ6trHQeQ7K8/edit?usp=sharing"",""เชียงใหม่!S217"")+IMPORTRANGE(""https://docs.google.com/spreadsheets/d/1W6MnUbDkMi6xHnHko_XkFDO9kkuL6Wqyc-6OCDFjW9I/e"&amp;"dit?usp=sharing"",""ตาก!S217"")+IMPORTRANGE(""https://docs.google.com/spreadsheets/d/1IQAWArduLkta9LpYo4a_ULsyqdta6-6aDDiwpUnQT6c/edit?usp=sharing"",""นครสวรรค์!S217"")+IMPORTRANGE(""https://docs.google.com/spreadsheets/d/10s13Sk5xrltsiR-Zkbmk5DwIaDIKO8Xl"&amp;"bJAfqyT7Gvg/edit?usp=sharing"",""น่าน!S217"")+IMPORTRANGE(""https://docs.google.com/spreadsheets/d/1uu4nAn4Dbi1XREnLKKotUANlKXa7yCgRcgq8HEzQYW8/edit?usp=sharing"",""พะเยา!S217"")+IMPORTRANGE(""https://docs.google.com/spreadsheets/d/1xfJKIQxVOaPDIICqsflNlL"&amp;"u3JacTDk1FP9RH4phX7mI/edit?usp=sharing"",""พิจิตร!S217"")+IMPORTRANGE(""https://docs.google.com/spreadsheets/d/1JtRfZkJMHtEhI5RdRHxYUG4FIZHqKDpNyIuN7A1Q0_k/edit?usp=sharing"",""พิษณุโลก!S217"")+IMPORTRANGE(""https://docs.google.com/spreadsheets/d/1xlcVZWU"&amp;"Nn6SuWm0c307h32SiGkd9BaeQWlAktfD3KO8/edit?usp=sharing"",""เพชรบูรณ์!S217"")+IMPORTRANGE(""https://docs.google.com/spreadsheets/d/1lOVebEIsI9qjGXl6EX66luk7wiuP2tBaryw-wKvv4e0/edit?usp=sharing"",""แพร่!S217"")+IMPORTRANGE(""https://docs.google.com/spreadshe"&amp;"ets/d/1dQrvX0vEcN7Gu0fnZ0B5S90AeR19zth4XlExFBeExMY/edit?usp=sharing"",""แม่ฮ่องสอน!S217"")+IMPORTRANGE(""https://docs.google.com/spreadsheets/d/1DY4XTNNwjluuxqdfdn6qvOSlMRrZqUtmYcZR0ttFiG4/edit?usp=sharing"",""ลำปาง!S217"")+IMPORTRANGE(""https://docs.goog"&amp;"le.com/spreadsheets/d/1ICwG78r0OFT8biBlxnBF8r7she7gNSzOvJ958PWT09c/edit?usp=sharing"",""ลำพูน!S217"")+IMPORTRANGE(""https://docs.google.com/spreadsheets/d/1B0f2xJpZUC6Z0xXnqKlZtEPzsf6L84eP1r1Q15seqRM/edit?usp=sharing"",""สุโขทัย!S217"")+IMPORTRANGE(""http"&amp;"s://docs.google.com/spreadsheets/d/1v0b9pFQCsKUVExMei7AgY2yQkdeNQvtOssygGsXbiKo/edit?usp=sharing"",""อุตรดิตถ์!S217"")+IMPORTRANGE(""https://docs.google.com/spreadsheets/d/1UsNK1e-WWiCo2PvGqdNfdme4m17_Ezd3J69EeeiQPD0/edit?usp=sharing"",""อุทัยธานี!S217"")"),3896740)</f>
        <v>3896740</v>
      </c>
      <c r="T217" s="152"/>
      <c r="U217" s="46"/>
    </row>
    <row r="218" spans="1:21" ht="19.5" x14ac:dyDescent="0.3">
      <c r="A218" s="138"/>
      <c r="B218" s="139"/>
      <c r="C218" s="161" t="s">
        <v>18</v>
      </c>
      <c r="D218" s="140" t="s">
        <v>38</v>
      </c>
      <c r="E218" s="141"/>
      <c r="F218" s="141"/>
      <c r="G218" s="142"/>
      <c r="H218" s="143"/>
      <c r="I218" s="135"/>
      <c r="J218" s="44"/>
      <c r="K218" s="45"/>
      <c r="L218" s="45"/>
      <c r="M218" s="45"/>
      <c r="N218" s="45"/>
      <c r="O218" s="136"/>
      <c r="P218" s="136"/>
      <c r="Q218" s="46"/>
      <c r="R218" s="46"/>
      <c r="S218" s="46"/>
      <c r="T218" s="152"/>
      <c r="U218" s="152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25" t="s">
        <v>85</v>
      </c>
      <c r="I219" s="166">
        <f ca="1">IFERROR(__xludf.DUMMYFUNCTION("IMPORTRANGE(""https://docs.google.com/spreadsheets/d/1jTcq05yEiRwXcBMLjiodW9e4biSGYWAHcDj22rKWQ3s/edit?usp=sharing"",""กำแพงเพชร!I219"")+IMPORTRANGE(""https://docs.google.com/spreadsheets/d/1KS0zmDSZPk8KnTAbGN-Xk6MtX1YRZD0ldgdt20K4CRk/edit?usp=sharing"","&amp;"""เชียงราย!I219"")+IMPORTRANGE(""https://docs.google.com/spreadsheets/d/1rEDxBtusbi64tE0zunoIbsTVV16HeL0oJ6trHQeQ7K8/edit?usp=sharing"",""เชียงใหม่!I219"")+IMPORTRANGE(""https://docs.google.com/spreadsheets/d/1W6MnUbDkMi6xHnHko_XkFDO9kkuL6Wqyc-6OCDFjW9I/e"&amp;"dit?usp=sharing"",""ตาก!I219"")+IMPORTRANGE(""https://docs.google.com/spreadsheets/d/1IQAWArduLkta9LpYo4a_ULsyqdta6-6aDDiwpUnQT6c/edit?usp=sharing"",""นครสวรรค์!I219"")+IMPORTRANGE(""https://docs.google.com/spreadsheets/d/10s13Sk5xrltsiR-Zkbmk5DwIaDIKO8Xl"&amp;"bJAfqyT7Gvg/edit?usp=sharing"",""น่าน!I219"")+IMPORTRANGE(""https://docs.google.com/spreadsheets/d/1uu4nAn4Dbi1XREnLKKotUANlKXa7yCgRcgq8HEzQYW8/edit?usp=sharing"",""พะเยา!I219"")+IMPORTRANGE(""https://docs.google.com/spreadsheets/d/1xfJKIQxVOaPDIICqsflNlL"&amp;"u3JacTDk1FP9RH4phX7mI/edit?usp=sharing"",""พิจิตร!I219"")+IMPORTRANGE(""https://docs.google.com/spreadsheets/d/1JtRfZkJMHtEhI5RdRHxYUG4FIZHqKDpNyIuN7A1Q0_k/edit?usp=sharing"",""พิษณุโลก!I219"")+IMPORTRANGE(""https://docs.google.com/spreadsheets/d/1xlcVZWU"&amp;"Nn6SuWm0c307h32SiGkd9BaeQWlAktfD3KO8/edit?usp=sharing"",""เพชรบูรณ์!I219"")+IMPORTRANGE(""https://docs.google.com/spreadsheets/d/1lOVebEIsI9qjGXl6EX66luk7wiuP2tBaryw-wKvv4e0/edit?usp=sharing"",""แพร่!I219"")+IMPORTRANGE(""https://docs.google.com/spreadshe"&amp;"ets/d/1dQrvX0vEcN7Gu0fnZ0B5S90AeR19zth4XlExFBeExMY/edit?usp=sharing"",""แม่ฮ่องสอน!I219"")+IMPORTRANGE(""https://docs.google.com/spreadsheets/d/1DY4XTNNwjluuxqdfdn6qvOSlMRrZqUtmYcZR0ttFiG4/edit?usp=sharing"",""ลำปาง!I219"")+IMPORTRANGE(""https://docs.goog"&amp;"le.com/spreadsheets/d/1ICwG78r0OFT8biBlxnBF8r7she7gNSzOvJ958PWT09c/edit?usp=sharing"",""ลำพูน!I219"")+IMPORTRANGE(""https://docs.google.com/spreadsheets/d/1B0f2xJpZUC6Z0xXnqKlZtEPzsf6L84eP1r1Q15seqRM/edit?usp=sharing"",""สุโขทัย!I219"")+IMPORTRANGE(""http"&amp;"s://docs.google.com/spreadsheets/d/1v0b9pFQCsKUVExMei7AgY2yQkdeNQvtOssygGsXbiKo/edit?usp=sharing"",""อุตรดิตถ์!I219"")+IMPORTRANGE(""https://docs.google.com/spreadsheets/d/1UsNK1e-WWiCo2PvGqdNfdme4m17_Ezd3J69EeeiQPD0/edit?usp=sharing"",""อุทัยธานี!I219"")"),4)</f>
        <v>4</v>
      </c>
      <c r="J219" s="166">
        <f ca="1">IFERROR(__xludf.DUMMYFUNCTION("IMPORTRANGE(""https://docs.google.com/spreadsheets/d/1jTcq05yEiRwXcBMLjiodW9e4biSGYWAHcDj22rKWQ3s/edit?usp=sharing"",""กำแพงเพชร!J219"")+IMPORTRANGE(""https://docs.google.com/spreadsheets/d/1KS0zmDSZPk8KnTAbGN-Xk6MtX1YRZD0ldgdt20K4CRk/edit?usp=sharing"","&amp;"""เชียงราย!J219"")+IMPORTRANGE(""https://docs.google.com/spreadsheets/d/1rEDxBtusbi64tE0zunoIbsTVV16HeL0oJ6trHQeQ7K8/edit?usp=sharing"",""เชียงใหม่!J219"")+IMPORTRANGE(""https://docs.google.com/spreadsheets/d/1W6MnUbDkMi6xHnHko_XkFDO9kkuL6Wqyc-6OCDFjW9I/e"&amp;"dit?usp=sharing"",""ตาก!J219"")+IMPORTRANGE(""https://docs.google.com/spreadsheets/d/1IQAWArduLkta9LpYo4a_ULsyqdta6-6aDDiwpUnQT6c/edit?usp=sharing"",""นครสวรรค์!J219"")+IMPORTRANGE(""https://docs.google.com/spreadsheets/d/10s13Sk5xrltsiR-Zkbmk5DwIaDIKO8Xl"&amp;"bJAfqyT7Gvg/edit?usp=sharing"",""น่าน!J219"")+IMPORTRANGE(""https://docs.google.com/spreadsheets/d/1uu4nAn4Dbi1XREnLKKotUANlKXa7yCgRcgq8HEzQYW8/edit?usp=sharing"",""พะเยา!J219"")+IMPORTRANGE(""https://docs.google.com/spreadsheets/d/1xfJKIQxVOaPDIICqsflNlL"&amp;"u3JacTDk1FP9RH4phX7mI/edit?usp=sharing"",""พิจิตร!J219"")+IMPORTRANGE(""https://docs.google.com/spreadsheets/d/1JtRfZkJMHtEhI5RdRHxYUG4FIZHqKDpNyIuN7A1Q0_k/edit?usp=sharing"",""พิษณุโลก!J219"")+IMPORTRANGE(""https://docs.google.com/spreadsheets/d/1xlcVZWU"&amp;"Nn6SuWm0c307h32SiGkd9BaeQWlAktfD3KO8/edit?usp=sharing"",""เพชรบูรณ์!J219"")+IMPORTRANGE(""https://docs.google.com/spreadsheets/d/1lOVebEIsI9qjGXl6EX66luk7wiuP2tBaryw-wKvv4e0/edit?usp=sharing"",""แพร่!J219"")+IMPORTRANGE(""https://docs.google.com/spreadshe"&amp;"ets/d/1dQrvX0vEcN7Gu0fnZ0B5S90AeR19zth4XlExFBeExMY/edit?usp=sharing"",""แม่ฮ่องสอน!J219"")+IMPORTRANGE(""https://docs.google.com/spreadsheets/d/1DY4XTNNwjluuxqdfdn6qvOSlMRrZqUtmYcZR0ttFiG4/edit?usp=sharing"",""ลำปาง!J219"")+IMPORTRANGE(""https://docs.goog"&amp;"le.com/spreadsheets/d/1ICwG78r0OFT8biBlxnBF8r7she7gNSzOvJ958PWT09c/edit?usp=sharing"",""ลำพูน!J219"")+IMPORTRANGE(""https://docs.google.com/spreadsheets/d/1B0f2xJpZUC6Z0xXnqKlZtEPzsf6L84eP1r1Q15seqRM/edit?usp=sharing"",""สุโขทัย!J219"")+IMPORTRANGE(""http"&amp;"s://docs.google.com/spreadsheets/d/1v0b9pFQCsKUVExMei7AgY2yQkdeNQvtOssygGsXbiKo/edit?usp=sharing"",""อุตรดิตถ์!J219"")+IMPORTRANGE(""https://docs.google.com/spreadsheets/d/1UsNK1e-WWiCo2PvGqdNfdme4m17_Ezd3J69EeeiQPD0/edit?usp=sharing"",""อุทัยธานี!J219"")"),0)</f>
        <v>0</v>
      </c>
      <c r="K219" s="46">
        <f t="shared" ref="K219:K221" ca="1" si="179">IF(I219&gt;0,J219*100/I219,0)</f>
        <v>0</v>
      </c>
      <c r="L219" s="45"/>
      <c r="M219" s="45"/>
      <c r="N219" s="45"/>
      <c r="O219" s="45"/>
      <c r="P219" s="45"/>
      <c r="Q219" s="46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25" t="s">
        <v>85</v>
      </c>
      <c r="I220" s="166">
        <f ca="1">IFERROR(__xludf.DUMMYFUNCTION("IMPORTRANGE(""https://docs.google.com/spreadsheets/d/1jTcq05yEiRwXcBMLjiodW9e4biSGYWAHcDj22rKWQ3s/edit?usp=sharing"",""กำแพงเพชร!I220"")+IMPORTRANGE(""https://docs.google.com/spreadsheets/d/1KS0zmDSZPk8KnTAbGN-Xk6MtX1YRZD0ldgdt20K4CRk/edit?usp=sharing"","&amp;"""เชียงราย!I220"")+IMPORTRANGE(""https://docs.google.com/spreadsheets/d/1rEDxBtusbi64tE0zunoIbsTVV16HeL0oJ6trHQeQ7K8/edit?usp=sharing"",""เชียงใหม่!I220"")+IMPORTRANGE(""https://docs.google.com/spreadsheets/d/1W6MnUbDkMi6xHnHko_XkFDO9kkuL6Wqyc-6OCDFjW9I/e"&amp;"dit?usp=sharing"",""ตาก!I220"")+IMPORTRANGE(""https://docs.google.com/spreadsheets/d/1IQAWArduLkta9LpYo4a_ULsyqdta6-6aDDiwpUnQT6c/edit?usp=sharing"",""นครสวรรค์!I220"")+IMPORTRANGE(""https://docs.google.com/spreadsheets/d/10s13Sk5xrltsiR-Zkbmk5DwIaDIKO8Xl"&amp;"bJAfqyT7Gvg/edit?usp=sharing"",""น่าน!I220"")+IMPORTRANGE(""https://docs.google.com/spreadsheets/d/1uu4nAn4Dbi1XREnLKKotUANlKXa7yCgRcgq8HEzQYW8/edit?usp=sharing"",""พะเยา!I220"")+IMPORTRANGE(""https://docs.google.com/spreadsheets/d/1xfJKIQxVOaPDIICqsflNlL"&amp;"u3JacTDk1FP9RH4phX7mI/edit?usp=sharing"",""พิจิตร!I220"")+IMPORTRANGE(""https://docs.google.com/spreadsheets/d/1JtRfZkJMHtEhI5RdRHxYUG4FIZHqKDpNyIuN7A1Q0_k/edit?usp=sharing"",""พิษณุโลก!I220"")+IMPORTRANGE(""https://docs.google.com/spreadsheets/d/1xlcVZWU"&amp;"Nn6SuWm0c307h32SiGkd9BaeQWlAktfD3KO8/edit?usp=sharing"",""เพชรบูรณ์!I220"")+IMPORTRANGE(""https://docs.google.com/spreadsheets/d/1lOVebEIsI9qjGXl6EX66luk7wiuP2tBaryw-wKvv4e0/edit?usp=sharing"",""แพร่!I220"")+IMPORTRANGE(""https://docs.google.com/spreadshe"&amp;"ets/d/1dQrvX0vEcN7Gu0fnZ0B5S90AeR19zth4XlExFBeExMY/edit?usp=sharing"",""แม่ฮ่องสอน!I220"")+IMPORTRANGE(""https://docs.google.com/spreadsheets/d/1DY4XTNNwjluuxqdfdn6qvOSlMRrZqUtmYcZR0ttFiG4/edit?usp=sharing"",""ลำปาง!I220"")+IMPORTRANGE(""https://docs.goog"&amp;"le.com/spreadsheets/d/1ICwG78r0OFT8biBlxnBF8r7she7gNSzOvJ958PWT09c/edit?usp=sharing"",""ลำพูน!I220"")+IMPORTRANGE(""https://docs.google.com/spreadsheets/d/1B0f2xJpZUC6Z0xXnqKlZtEPzsf6L84eP1r1Q15seqRM/edit?usp=sharing"",""สุโขทัย!I220"")+IMPORTRANGE(""http"&amp;"s://docs.google.com/spreadsheets/d/1v0b9pFQCsKUVExMei7AgY2yQkdeNQvtOssygGsXbiKo/edit?usp=sharing"",""อุตรดิตถ์!I220"")+IMPORTRANGE(""https://docs.google.com/spreadsheets/d/1UsNK1e-WWiCo2PvGqdNfdme4m17_Ezd3J69EeeiQPD0/edit?usp=sharing"",""อุทัยธานี!I220"")"),4)</f>
        <v>4</v>
      </c>
      <c r="J220" s="166">
        <f ca="1">IFERROR(__xludf.DUMMYFUNCTION("IMPORTRANGE(""https://docs.google.com/spreadsheets/d/1jTcq05yEiRwXcBMLjiodW9e4biSGYWAHcDj22rKWQ3s/edit?usp=sharing"",""กำแพงเพชร!J220"")+IMPORTRANGE(""https://docs.google.com/spreadsheets/d/1KS0zmDSZPk8KnTAbGN-Xk6MtX1YRZD0ldgdt20K4CRk/edit?usp=sharing"","&amp;"""เชียงราย!J220"")+IMPORTRANGE(""https://docs.google.com/spreadsheets/d/1rEDxBtusbi64tE0zunoIbsTVV16HeL0oJ6trHQeQ7K8/edit?usp=sharing"",""เชียงใหม่!J220"")+IMPORTRANGE(""https://docs.google.com/spreadsheets/d/1W6MnUbDkMi6xHnHko_XkFDO9kkuL6Wqyc-6OCDFjW9I/e"&amp;"dit?usp=sharing"",""ตาก!J220"")+IMPORTRANGE(""https://docs.google.com/spreadsheets/d/1IQAWArduLkta9LpYo4a_ULsyqdta6-6aDDiwpUnQT6c/edit?usp=sharing"",""นครสวรรค์!J220"")+IMPORTRANGE(""https://docs.google.com/spreadsheets/d/10s13Sk5xrltsiR-Zkbmk5DwIaDIKO8Xl"&amp;"bJAfqyT7Gvg/edit?usp=sharing"",""น่าน!J220"")+IMPORTRANGE(""https://docs.google.com/spreadsheets/d/1uu4nAn4Dbi1XREnLKKotUANlKXa7yCgRcgq8HEzQYW8/edit?usp=sharing"",""พะเยา!J220"")+IMPORTRANGE(""https://docs.google.com/spreadsheets/d/1xfJKIQxVOaPDIICqsflNlL"&amp;"u3JacTDk1FP9RH4phX7mI/edit?usp=sharing"",""พิจิตร!J220"")+IMPORTRANGE(""https://docs.google.com/spreadsheets/d/1JtRfZkJMHtEhI5RdRHxYUG4FIZHqKDpNyIuN7A1Q0_k/edit?usp=sharing"",""พิษณุโลก!J220"")+IMPORTRANGE(""https://docs.google.com/spreadsheets/d/1xlcVZWU"&amp;"Nn6SuWm0c307h32SiGkd9BaeQWlAktfD3KO8/edit?usp=sharing"",""เพชรบูรณ์!J220"")+IMPORTRANGE(""https://docs.google.com/spreadsheets/d/1lOVebEIsI9qjGXl6EX66luk7wiuP2tBaryw-wKvv4e0/edit?usp=sharing"",""แพร่!J220"")+IMPORTRANGE(""https://docs.google.com/spreadshe"&amp;"ets/d/1dQrvX0vEcN7Gu0fnZ0B5S90AeR19zth4XlExFBeExMY/edit?usp=sharing"",""แม่ฮ่องสอน!J220"")+IMPORTRANGE(""https://docs.google.com/spreadsheets/d/1DY4XTNNwjluuxqdfdn6qvOSlMRrZqUtmYcZR0ttFiG4/edit?usp=sharing"",""ลำปาง!J220"")+IMPORTRANGE(""https://docs.goog"&amp;"le.com/spreadsheets/d/1ICwG78r0OFT8biBlxnBF8r7she7gNSzOvJ958PWT09c/edit?usp=sharing"",""ลำพูน!J220"")+IMPORTRANGE(""https://docs.google.com/spreadsheets/d/1B0f2xJpZUC6Z0xXnqKlZtEPzsf6L84eP1r1Q15seqRM/edit?usp=sharing"",""สุโขทัย!J220"")+IMPORTRANGE(""http"&amp;"s://docs.google.com/spreadsheets/d/1v0b9pFQCsKUVExMei7AgY2yQkdeNQvtOssygGsXbiKo/edit?usp=sharing"",""อุตรดิตถ์!J220"")+IMPORTRANGE(""https://docs.google.com/spreadsheets/d/1UsNK1e-WWiCo2PvGqdNfdme4m17_Ezd3J69EeeiQPD0/edit?usp=sharing"",""อุทัยธานี!J220"")"),0)</f>
        <v>0</v>
      </c>
      <c r="K220" s="46">
        <f t="shared" ca="1" si="179"/>
        <v>0</v>
      </c>
      <c r="L220" s="45"/>
      <c r="M220" s="45"/>
      <c r="N220" s="45"/>
      <c r="O220" s="45"/>
      <c r="P220" s="45"/>
      <c r="Q220" s="46"/>
      <c r="R220" s="46"/>
      <c r="S220" s="46"/>
      <c r="T220" s="46"/>
      <c r="U220" s="46"/>
    </row>
    <row r="221" spans="1:21" ht="19.5" x14ac:dyDescent="0.3">
      <c r="A221" s="211"/>
      <c r="B221" s="212"/>
      <c r="C221" s="213" t="s">
        <v>98</v>
      </c>
      <c r="D221" s="214"/>
      <c r="E221" s="214"/>
      <c r="F221" s="214"/>
      <c r="G221" s="215"/>
      <c r="H221" s="216" t="s">
        <v>99</v>
      </c>
      <c r="I221" s="217">
        <f t="shared" ref="I221:J221" ca="1" si="180">I229</f>
        <v>1024000</v>
      </c>
      <c r="J221" s="217">
        <f t="shared" ca="1" si="180"/>
        <v>0</v>
      </c>
      <c r="K221" s="218">
        <f t="shared" ca="1" si="179"/>
        <v>0</v>
      </c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</row>
    <row r="222" spans="1:21" ht="19.5" x14ac:dyDescent="0.3">
      <c r="A222" s="128"/>
      <c r="B222" s="40"/>
      <c r="C222" s="129" t="s">
        <v>18</v>
      </c>
      <c r="D222" s="220" t="s">
        <v>19</v>
      </c>
      <c r="E222" s="40"/>
      <c r="F222" s="40"/>
      <c r="G222" s="42"/>
      <c r="H222" s="221" t="s">
        <v>14</v>
      </c>
      <c r="I222" s="135"/>
      <c r="J222" s="135"/>
      <c r="K222" s="136"/>
      <c r="L222" s="132">
        <f t="shared" ref="L222:N222" ca="1" si="181">L223+L224+L225</f>
        <v>154500</v>
      </c>
      <c r="M222" s="132">
        <f t="shared" ca="1" si="181"/>
        <v>0</v>
      </c>
      <c r="N222" s="132">
        <f t="shared" ca="1" si="181"/>
        <v>0</v>
      </c>
      <c r="O222" s="132">
        <f ca="1">IF(L222&gt;0,N222*100/L222,0)</f>
        <v>0</v>
      </c>
      <c r="P222" s="45"/>
      <c r="Q222" s="46">
        <f t="shared" ref="Q222:S222" ca="1" si="182">Q223+Q224+Q225</f>
        <v>0</v>
      </c>
      <c r="R222" s="46">
        <f t="shared" ca="1" si="182"/>
        <v>0</v>
      </c>
      <c r="S222" s="46">
        <f t="shared" ca="1" si="182"/>
        <v>0</v>
      </c>
      <c r="T222" s="46"/>
      <c r="U222" s="46"/>
    </row>
    <row r="223" spans="1:21" ht="18.75" x14ac:dyDescent="0.25">
      <c r="A223" s="128"/>
      <c r="B223" s="158"/>
      <c r="C223" s="40"/>
      <c r="D223" s="47" t="s">
        <v>86</v>
      </c>
      <c r="E223" s="40"/>
      <c r="F223" s="40"/>
      <c r="G223" s="42"/>
      <c r="H223" s="134" t="s">
        <v>14</v>
      </c>
      <c r="I223" s="135"/>
      <c r="J223" s="135"/>
      <c r="K223" s="136"/>
      <c r="L223" s="46">
        <f ca="1">IFERROR(__xludf.DUMMYFUNCTION("IMPORTRANGE(""https://docs.google.com/spreadsheets/d/1jTcq05yEiRwXcBMLjiodW9e4biSGYWAHcDj22rKWQ3s/edit?usp=sharing"",""กำแพงเพชร!L223"")+IMPORTRANGE(""https://docs.google.com/spreadsheets/d/1KS0zmDSZPk8KnTAbGN-Xk6MtX1YRZD0ldgdt20K4CRk/edit?usp=sharing"","&amp;"""เชียงราย!L223"")+IMPORTRANGE(""https://docs.google.com/spreadsheets/d/1rEDxBtusbi64tE0zunoIbsTVV16HeL0oJ6trHQeQ7K8/edit?usp=sharing"",""เชียงใหม่!L223"")+IMPORTRANGE(""https://docs.google.com/spreadsheets/d/1W6MnUbDkMi6xHnHko_XkFDO9kkuL6Wqyc-6OCDFjW9I/e"&amp;"dit?usp=sharing"",""ตาก!L223"")+IMPORTRANGE(""https://docs.google.com/spreadsheets/d/1IQAWArduLkta9LpYo4a_ULsyqdta6-6aDDiwpUnQT6c/edit?usp=sharing"",""นครสวรรค์!L223"")+IMPORTRANGE(""https://docs.google.com/spreadsheets/d/10s13Sk5xrltsiR-Zkbmk5DwIaDIKO8Xl"&amp;"bJAfqyT7Gvg/edit?usp=sharing"",""น่าน!L223"")+IMPORTRANGE(""https://docs.google.com/spreadsheets/d/1uu4nAn4Dbi1XREnLKKotUANlKXa7yCgRcgq8HEzQYW8/edit?usp=sharing"",""พะเยา!L223"")+IMPORTRANGE(""https://docs.google.com/spreadsheets/d/1xfJKIQxVOaPDIICqsflNlL"&amp;"u3JacTDk1FP9RH4phX7mI/edit?usp=sharing"",""พิจิตร!L223"")+IMPORTRANGE(""https://docs.google.com/spreadsheets/d/1JtRfZkJMHtEhI5RdRHxYUG4FIZHqKDpNyIuN7A1Q0_k/edit?usp=sharing"",""พิษณุโลก!L223"")+IMPORTRANGE(""https://docs.google.com/spreadsheets/d/1xlcVZWU"&amp;"Nn6SuWm0c307h32SiGkd9BaeQWlAktfD3KO8/edit?usp=sharing"",""เพชรบูรณ์!L223"")+IMPORTRANGE(""https://docs.google.com/spreadsheets/d/1lOVebEIsI9qjGXl6EX66luk7wiuP2tBaryw-wKvv4e0/edit?usp=sharing"",""แพร่!L223"")+IMPORTRANGE(""https://docs.google.com/spreadshe"&amp;"ets/d/1dQrvX0vEcN7Gu0fnZ0B5S90AeR19zth4XlExFBeExMY/edit?usp=sharing"",""แม่ฮ่องสอน!L223"")+IMPORTRANGE(""https://docs.google.com/spreadsheets/d/1DY4XTNNwjluuxqdfdn6qvOSlMRrZqUtmYcZR0ttFiG4/edit?usp=sharing"",""ลำปาง!L223"")+IMPORTRANGE(""https://docs.goog"&amp;"le.com/spreadsheets/d/1ICwG78r0OFT8biBlxnBF8r7she7gNSzOvJ958PWT09c/edit?usp=sharing"",""ลำพูน!L223"")+IMPORTRANGE(""https://docs.google.com/spreadsheets/d/1B0f2xJpZUC6Z0xXnqKlZtEPzsf6L84eP1r1Q15seqRM/edit?usp=sharing"",""สุโขทัย!L223"")+IMPORTRANGE(""http"&amp;"s://docs.google.com/spreadsheets/d/1v0b9pFQCsKUVExMei7AgY2yQkdeNQvtOssygGsXbiKo/edit?usp=sharing"",""อุตรดิตถ์!L223"")+IMPORTRANGE(""https://docs.google.com/spreadsheets/d/1UsNK1e-WWiCo2PvGqdNfdme4m17_Ezd3J69EeeiQPD0/edit?usp=sharing"",""อุทัยธานี!L223"")"),42500)</f>
        <v>42500</v>
      </c>
      <c r="M223" s="46">
        <f ca="1">IFERROR(__xludf.DUMMYFUNCTION("IMPORTRANGE(""https://docs.google.com/spreadsheets/d/1jTcq05yEiRwXcBMLjiodW9e4biSGYWAHcDj22rKWQ3s/edit?usp=sharing"",""กำแพงเพชร!M223"")+IMPORTRANGE(""https://docs.google.com/spreadsheets/d/1KS0zmDSZPk8KnTAbGN-Xk6MtX1YRZD0ldgdt20K4CRk/edit?usp=sharing"","&amp;"""เชียงราย!M223"")+IMPORTRANGE(""https://docs.google.com/spreadsheets/d/1rEDxBtusbi64tE0zunoIbsTVV16HeL0oJ6trHQeQ7K8/edit?usp=sharing"",""เชียงใหม่!M223"")+IMPORTRANGE(""https://docs.google.com/spreadsheets/d/1W6MnUbDkMi6xHnHko_XkFDO9kkuL6Wqyc-6OCDFjW9I/e"&amp;"dit?usp=sharing"",""ตาก!M223"")+IMPORTRANGE(""https://docs.google.com/spreadsheets/d/1IQAWArduLkta9LpYo4a_ULsyqdta6-6aDDiwpUnQT6c/edit?usp=sharing"",""นครสวรรค์!M223"")+IMPORTRANGE(""https://docs.google.com/spreadsheets/d/10s13Sk5xrltsiR-Zkbmk5DwIaDIKO8Xl"&amp;"bJAfqyT7Gvg/edit?usp=sharing"",""น่าน!M223"")+IMPORTRANGE(""https://docs.google.com/spreadsheets/d/1uu4nAn4Dbi1XREnLKKotUANlKXa7yCgRcgq8HEzQYW8/edit?usp=sharing"",""พะเยา!M223"")+IMPORTRANGE(""https://docs.google.com/spreadsheets/d/1xfJKIQxVOaPDIICqsflNlL"&amp;"u3JacTDk1FP9RH4phX7mI/edit?usp=sharing"",""พิจิตร!M223"")+IMPORTRANGE(""https://docs.google.com/spreadsheets/d/1JtRfZkJMHtEhI5RdRHxYUG4FIZHqKDpNyIuN7A1Q0_k/edit?usp=sharing"",""พิษณุโลก!M223"")+IMPORTRANGE(""https://docs.google.com/spreadsheets/d/1xlcVZWU"&amp;"Nn6SuWm0c307h32SiGkd9BaeQWlAktfD3KO8/edit?usp=sharing"",""เพชรบูรณ์!M223"")+IMPORTRANGE(""https://docs.google.com/spreadsheets/d/1lOVebEIsI9qjGXl6EX66luk7wiuP2tBaryw-wKvv4e0/edit?usp=sharing"",""แพร่!M223"")+IMPORTRANGE(""https://docs.google.com/spreadshe"&amp;"ets/d/1dQrvX0vEcN7Gu0fnZ0B5S90AeR19zth4XlExFBeExMY/edit?usp=sharing"",""แม่ฮ่องสอน!M223"")+IMPORTRANGE(""https://docs.google.com/spreadsheets/d/1DY4XTNNwjluuxqdfdn6qvOSlMRrZqUtmYcZR0ttFiG4/edit?usp=sharing"",""ลำปาง!M223"")+IMPORTRANGE(""https://docs.goog"&amp;"le.com/spreadsheets/d/1ICwG78r0OFT8biBlxnBF8r7she7gNSzOvJ958PWT09c/edit?usp=sharing"",""ลำพูน!M223"")+IMPORTRANGE(""https://docs.google.com/spreadsheets/d/1B0f2xJpZUC6Z0xXnqKlZtEPzsf6L84eP1r1Q15seqRM/edit?usp=sharing"",""สุโขทัย!M223"")+IMPORTRANGE(""http"&amp;"s://docs.google.com/spreadsheets/d/1v0b9pFQCsKUVExMei7AgY2yQkdeNQvtOssygGsXbiKo/edit?usp=sharing"",""อุตรดิตถ์!M223"")+IMPORTRANGE(""https://docs.google.com/spreadsheets/d/1UsNK1e-WWiCo2PvGqdNfdme4m17_Ezd3J69EeeiQPD0/edit?usp=sharing"",""อุทัยธานี!M223"")"),0)</f>
        <v>0</v>
      </c>
      <c r="N223" s="46">
        <f ca="1">IFERROR(__xludf.DUMMYFUNCTION("IMPORTRANGE(""https://docs.google.com/spreadsheets/d/1jTcq05yEiRwXcBMLjiodW9e4biSGYWAHcDj22rKWQ3s/edit?usp=sharing"",""กำแพงเพชร!N223"")+IMPORTRANGE(""https://docs.google.com/spreadsheets/d/1KS0zmDSZPk8KnTAbGN-Xk6MtX1YRZD0ldgdt20K4CRk/edit?usp=sharing"","&amp;"""เชียงราย!N223"")+IMPORTRANGE(""https://docs.google.com/spreadsheets/d/1rEDxBtusbi64tE0zunoIbsTVV16HeL0oJ6trHQeQ7K8/edit?usp=sharing"",""เชียงใหม่!N223"")+IMPORTRANGE(""https://docs.google.com/spreadsheets/d/1W6MnUbDkMi6xHnHko_XkFDO9kkuL6Wqyc-6OCDFjW9I/e"&amp;"dit?usp=sharing"",""ตาก!N223"")+IMPORTRANGE(""https://docs.google.com/spreadsheets/d/1IQAWArduLkta9LpYo4a_ULsyqdta6-6aDDiwpUnQT6c/edit?usp=sharing"",""นครสวรรค์!N223"")+IMPORTRANGE(""https://docs.google.com/spreadsheets/d/10s13Sk5xrltsiR-Zkbmk5DwIaDIKO8Xl"&amp;"bJAfqyT7Gvg/edit?usp=sharing"",""น่าน!N223"")+IMPORTRANGE(""https://docs.google.com/spreadsheets/d/1uu4nAn4Dbi1XREnLKKotUANlKXa7yCgRcgq8HEzQYW8/edit?usp=sharing"",""พะเยา!N223"")+IMPORTRANGE(""https://docs.google.com/spreadsheets/d/1xfJKIQxVOaPDIICqsflNlL"&amp;"u3JacTDk1FP9RH4phX7mI/edit?usp=sharing"",""พิจิตร!N223"")+IMPORTRANGE(""https://docs.google.com/spreadsheets/d/1JtRfZkJMHtEhI5RdRHxYUG4FIZHqKDpNyIuN7A1Q0_k/edit?usp=sharing"",""พิษณุโลก!N223"")+IMPORTRANGE(""https://docs.google.com/spreadsheets/d/1xlcVZWU"&amp;"Nn6SuWm0c307h32SiGkd9BaeQWlAktfD3KO8/edit?usp=sharing"",""เพชรบูรณ์!N223"")+IMPORTRANGE(""https://docs.google.com/spreadsheets/d/1lOVebEIsI9qjGXl6EX66luk7wiuP2tBaryw-wKvv4e0/edit?usp=sharing"",""แพร่!N223"")+IMPORTRANGE(""https://docs.google.com/spreadshe"&amp;"ets/d/1dQrvX0vEcN7Gu0fnZ0B5S90AeR19zth4XlExFBeExMY/edit?usp=sharing"",""แม่ฮ่องสอน!N223"")+IMPORTRANGE(""https://docs.google.com/spreadsheets/d/1DY4XTNNwjluuxqdfdn6qvOSlMRrZqUtmYcZR0ttFiG4/edit?usp=sharing"",""ลำปาง!N223"")+IMPORTRANGE(""https://docs.goog"&amp;"le.com/spreadsheets/d/1ICwG78r0OFT8biBlxnBF8r7she7gNSzOvJ958PWT09c/edit?usp=sharing"",""ลำพูน!N223"")+IMPORTRANGE(""https://docs.google.com/spreadsheets/d/1B0f2xJpZUC6Z0xXnqKlZtEPzsf6L84eP1r1Q15seqRM/edit?usp=sharing"",""สุโขทัย!N223"")+IMPORTRANGE(""http"&amp;"s://docs.google.com/spreadsheets/d/1v0b9pFQCsKUVExMei7AgY2yQkdeNQvtOssygGsXbiKo/edit?usp=sharing"",""อุตรดิตถ์!N223"")+IMPORTRANGE(""https://docs.google.com/spreadsheets/d/1UsNK1e-WWiCo2PvGqdNfdme4m17_Ezd3J69EeeiQPD0/edit?usp=sharing"",""อุทัยธานี!N223"")"),0)</f>
        <v>0</v>
      </c>
      <c r="O223" s="136"/>
      <c r="P223" s="45"/>
      <c r="Q223" s="46">
        <f ca="1">IFERROR(__xludf.DUMMYFUNCTION("IMPORTRANGE(""https://docs.google.com/spreadsheets/d/1jTcq05yEiRwXcBMLjiodW9e4biSGYWAHcDj22rKWQ3s/edit?usp=sharing"",""กำแพงเพชร!Q223"")+IMPORTRANGE(""https://docs.google.com/spreadsheets/d/1KS0zmDSZPk8KnTAbGN-Xk6MtX1YRZD0ldgdt20K4CRk/edit?usp=sharing"","&amp;"""เชียงราย!Q223"")+IMPORTRANGE(""https://docs.google.com/spreadsheets/d/1rEDxBtusbi64tE0zunoIbsTVV16HeL0oJ6trHQeQ7K8/edit?usp=sharing"",""เชียงใหม่!Q223"")+IMPORTRANGE(""https://docs.google.com/spreadsheets/d/1W6MnUbDkMi6xHnHko_XkFDO9kkuL6Wqyc-6OCDFjW9I/e"&amp;"dit?usp=sharing"",""ตาก!Q223"")+IMPORTRANGE(""https://docs.google.com/spreadsheets/d/1IQAWArduLkta9LpYo4a_ULsyqdta6-6aDDiwpUnQT6c/edit?usp=sharing"",""นครสวรรค์!Q223"")+IMPORTRANGE(""https://docs.google.com/spreadsheets/d/10s13Sk5xrltsiR-Zkbmk5DwIaDIKO8Xl"&amp;"bJAfqyT7Gvg/edit?usp=sharing"",""น่าน!Q223"")+IMPORTRANGE(""https://docs.google.com/spreadsheets/d/1uu4nAn4Dbi1XREnLKKotUANlKXa7yCgRcgq8HEzQYW8/edit?usp=sharing"",""พะเยา!Q223"")+IMPORTRANGE(""https://docs.google.com/spreadsheets/d/1xfJKIQxVOaPDIICqsflNlL"&amp;"u3JacTDk1FP9RH4phX7mI/edit?usp=sharing"",""พิจิตร!Q223"")+IMPORTRANGE(""https://docs.google.com/spreadsheets/d/1JtRfZkJMHtEhI5RdRHxYUG4FIZHqKDpNyIuN7A1Q0_k/edit?usp=sharing"",""พิษณุโลก!Q223"")+IMPORTRANGE(""https://docs.google.com/spreadsheets/d/1xlcVZWU"&amp;"Nn6SuWm0c307h32SiGkd9BaeQWlAktfD3KO8/edit?usp=sharing"",""เพชรบูรณ์!Q223"")+IMPORTRANGE(""https://docs.google.com/spreadsheets/d/1lOVebEIsI9qjGXl6EX66luk7wiuP2tBaryw-wKvv4e0/edit?usp=sharing"",""แพร่!Q223"")+IMPORTRANGE(""https://docs.google.com/spreadshe"&amp;"ets/d/1dQrvX0vEcN7Gu0fnZ0B5S90AeR19zth4XlExFBeExMY/edit?usp=sharing"",""แม่ฮ่องสอน!Q223"")+IMPORTRANGE(""https://docs.google.com/spreadsheets/d/1DY4XTNNwjluuxqdfdn6qvOSlMRrZqUtmYcZR0ttFiG4/edit?usp=sharing"",""ลำปาง!Q223"")+IMPORTRANGE(""https://docs.goog"&amp;"le.com/spreadsheets/d/1ICwG78r0OFT8biBlxnBF8r7she7gNSzOvJ958PWT09c/edit?usp=sharing"",""ลำพูน!Q223"")+IMPORTRANGE(""https://docs.google.com/spreadsheets/d/1B0f2xJpZUC6Z0xXnqKlZtEPzsf6L84eP1r1Q15seqRM/edit?usp=sharing"",""สุโขทัย!Q223"")+IMPORTRANGE(""http"&amp;"s://docs.google.com/spreadsheets/d/1v0b9pFQCsKUVExMei7AgY2yQkdeNQvtOssygGsXbiKo/edit?usp=sharing"",""อุตรดิตถ์!Q223"")+IMPORTRANGE(""https://docs.google.com/spreadsheets/d/1UsNK1e-WWiCo2PvGqdNfdme4m17_Ezd3J69EeeiQPD0/edit?usp=sharing"",""อุทัยธานี!Q223"")"),0)</f>
        <v>0</v>
      </c>
      <c r="R223" s="46">
        <f ca="1">IFERROR(__xludf.DUMMYFUNCTION("IMPORTRANGE(""https://docs.google.com/spreadsheets/d/1jTcq05yEiRwXcBMLjiodW9e4biSGYWAHcDj22rKWQ3s/edit?usp=sharing"",""กำแพงเพชร!R223"")+IMPORTRANGE(""https://docs.google.com/spreadsheets/d/1KS0zmDSZPk8KnTAbGN-Xk6MtX1YRZD0ldgdt20K4CRk/edit?usp=sharing"","&amp;"""เชียงราย!R223"")+IMPORTRANGE(""https://docs.google.com/spreadsheets/d/1rEDxBtusbi64tE0zunoIbsTVV16HeL0oJ6trHQeQ7K8/edit?usp=sharing"",""เชียงใหม่!R223"")+IMPORTRANGE(""https://docs.google.com/spreadsheets/d/1W6MnUbDkMi6xHnHko_XkFDO9kkuL6Wqyc-6OCDFjW9I/e"&amp;"dit?usp=sharing"",""ตาก!R223"")+IMPORTRANGE(""https://docs.google.com/spreadsheets/d/1IQAWArduLkta9LpYo4a_ULsyqdta6-6aDDiwpUnQT6c/edit?usp=sharing"",""นครสวรรค์!R223"")+IMPORTRANGE(""https://docs.google.com/spreadsheets/d/10s13Sk5xrltsiR-Zkbmk5DwIaDIKO8Xl"&amp;"bJAfqyT7Gvg/edit?usp=sharing"",""น่าน!R223"")+IMPORTRANGE(""https://docs.google.com/spreadsheets/d/1uu4nAn4Dbi1XREnLKKotUANlKXa7yCgRcgq8HEzQYW8/edit?usp=sharing"",""พะเยา!R223"")+IMPORTRANGE(""https://docs.google.com/spreadsheets/d/1xfJKIQxVOaPDIICqsflNlL"&amp;"u3JacTDk1FP9RH4phX7mI/edit?usp=sharing"",""พิจิตร!R223"")+IMPORTRANGE(""https://docs.google.com/spreadsheets/d/1JtRfZkJMHtEhI5RdRHxYUG4FIZHqKDpNyIuN7A1Q0_k/edit?usp=sharing"",""พิษณุโลก!R223"")+IMPORTRANGE(""https://docs.google.com/spreadsheets/d/1xlcVZWU"&amp;"Nn6SuWm0c307h32SiGkd9BaeQWlAktfD3KO8/edit?usp=sharing"",""เพชรบูรณ์!R223"")+IMPORTRANGE(""https://docs.google.com/spreadsheets/d/1lOVebEIsI9qjGXl6EX66luk7wiuP2tBaryw-wKvv4e0/edit?usp=sharing"",""แพร่!R223"")+IMPORTRANGE(""https://docs.google.com/spreadshe"&amp;"ets/d/1dQrvX0vEcN7Gu0fnZ0B5S90AeR19zth4XlExFBeExMY/edit?usp=sharing"",""แม่ฮ่องสอน!R223"")+IMPORTRANGE(""https://docs.google.com/spreadsheets/d/1DY4XTNNwjluuxqdfdn6qvOSlMRrZqUtmYcZR0ttFiG4/edit?usp=sharing"",""ลำปาง!R223"")+IMPORTRANGE(""https://docs.goog"&amp;"le.com/spreadsheets/d/1ICwG78r0OFT8biBlxnBF8r7she7gNSzOvJ958PWT09c/edit?usp=sharing"",""ลำพูน!R223"")+IMPORTRANGE(""https://docs.google.com/spreadsheets/d/1B0f2xJpZUC6Z0xXnqKlZtEPzsf6L84eP1r1Q15seqRM/edit?usp=sharing"",""สุโขทัย!R223"")+IMPORTRANGE(""http"&amp;"s://docs.google.com/spreadsheets/d/1v0b9pFQCsKUVExMei7AgY2yQkdeNQvtOssygGsXbiKo/edit?usp=sharing"",""อุตรดิตถ์!R223"")+IMPORTRANGE(""https://docs.google.com/spreadsheets/d/1UsNK1e-WWiCo2PvGqdNfdme4m17_Ezd3J69EeeiQPD0/edit?usp=sharing"",""อุทัยธานี!R223"")"),0)</f>
        <v>0</v>
      </c>
      <c r="S223" s="46">
        <f ca="1">IFERROR(__xludf.DUMMYFUNCTION("IMPORTRANGE(""https://docs.google.com/spreadsheets/d/1jTcq05yEiRwXcBMLjiodW9e4biSGYWAHcDj22rKWQ3s/edit?usp=sharing"",""กำแพงเพชร!S223"")+IMPORTRANGE(""https://docs.google.com/spreadsheets/d/1KS0zmDSZPk8KnTAbGN-Xk6MtX1YRZD0ldgdt20K4CRk/edit?usp=sharing"","&amp;"""เชียงราย!S223"")+IMPORTRANGE(""https://docs.google.com/spreadsheets/d/1rEDxBtusbi64tE0zunoIbsTVV16HeL0oJ6trHQeQ7K8/edit?usp=sharing"",""เชียงใหม่!S223"")+IMPORTRANGE(""https://docs.google.com/spreadsheets/d/1W6MnUbDkMi6xHnHko_XkFDO9kkuL6Wqyc-6OCDFjW9I/e"&amp;"dit?usp=sharing"",""ตาก!S223"")+IMPORTRANGE(""https://docs.google.com/spreadsheets/d/1IQAWArduLkta9LpYo4a_ULsyqdta6-6aDDiwpUnQT6c/edit?usp=sharing"",""นครสวรรค์!S223"")+IMPORTRANGE(""https://docs.google.com/spreadsheets/d/10s13Sk5xrltsiR-Zkbmk5DwIaDIKO8Xl"&amp;"bJAfqyT7Gvg/edit?usp=sharing"",""น่าน!S223"")+IMPORTRANGE(""https://docs.google.com/spreadsheets/d/1uu4nAn4Dbi1XREnLKKotUANlKXa7yCgRcgq8HEzQYW8/edit?usp=sharing"",""พะเยา!S223"")+IMPORTRANGE(""https://docs.google.com/spreadsheets/d/1xfJKIQxVOaPDIICqsflNlL"&amp;"u3JacTDk1FP9RH4phX7mI/edit?usp=sharing"",""พิจิตร!S223"")+IMPORTRANGE(""https://docs.google.com/spreadsheets/d/1JtRfZkJMHtEhI5RdRHxYUG4FIZHqKDpNyIuN7A1Q0_k/edit?usp=sharing"",""พิษณุโลก!S223"")+IMPORTRANGE(""https://docs.google.com/spreadsheets/d/1xlcVZWU"&amp;"Nn6SuWm0c307h32SiGkd9BaeQWlAktfD3KO8/edit?usp=sharing"",""เพชรบูรณ์!S223"")+IMPORTRANGE(""https://docs.google.com/spreadsheets/d/1lOVebEIsI9qjGXl6EX66luk7wiuP2tBaryw-wKvv4e0/edit?usp=sharing"",""แพร่!S223"")+IMPORTRANGE(""https://docs.google.com/spreadshe"&amp;"ets/d/1dQrvX0vEcN7Gu0fnZ0B5S90AeR19zth4XlExFBeExMY/edit?usp=sharing"",""แม่ฮ่องสอน!S223"")+IMPORTRANGE(""https://docs.google.com/spreadsheets/d/1DY4XTNNwjluuxqdfdn6qvOSlMRrZqUtmYcZR0ttFiG4/edit?usp=sharing"",""ลำปาง!S223"")+IMPORTRANGE(""https://docs.goog"&amp;"le.com/spreadsheets/d/1ICwG78r0OFT8biBlxnBF8r7she7gNSzOvJ958PWT09c/edit?usp=sharing"",""ลำพูน!S223"")+IMPORTRANGE(""https://docs.google.com/spreadsheets/d/1B0f2xJpZUC6Z0xXnqKlZtEPzsf6L84eP1r1Q15seqRM/edit?usp=sharing"",""สุโขทัย!S223"")+IMPORTRANGE(""http"&amp;"s://docs.google.com/spreadsheets/d/1v0b9pFQCsKUVExMei7AgY2yQkdeNQvtOssygGsXbiKo/edit?usp=sharing"",""อุตรดิตถ์!S223"")+IMPORTRANGE(""https://docs.google.com/spreadsheets/d/1UsNK1e-WWiCo2PvGqdNfdme4m17_Ezd3J69EeeiQPD0/edit?usp=sharing"",""อุทัยธานี!S223"")"),0)</f>
        <v>0</v>
      </c>
      <c r="T223" s="152"/>
      <c r="U223" s="46"/>
    </row>
    <row r="224" spans="1:21" ht="18.75" x14ac:dyDescent="0.25">
      <c r="A224" s="208"/>
      <c r="B224" s="158"/>
      <c r="C224" s="158"/>
      <c r="D224" s="47" t="s">
        <v>100</v>
      </c>
      <c r="E224" s="40"/>
      <c r="F224" s="40"/>
      <c r="G224" s="42"/>
      <c r="H224" s="134" t="s">
        <v>14</v>
      </c>
      <c r="I224" s="44"/>
      <c r="J224" s="44"/>
      <c r="K224" s="45"/>
      <c r="L224" s="46">
        <f ca="1">IFERROR(__xludf.DUMMYFUNCTION("IMPORTRANGE(""https://docs.google.com/spreadsheets/d/1jTcq05yEiRwXcBMLjiodW9e4biSGYWAHcDj22rKWQ3s/edit?usp=sharing"",""กำแพงเพชร!L224"")+IMPORTRANGE(""https://docs.google.com/spreadsheets/d/1KS0zmDSZPk8KnTAbGN-Xk6MtX1YRZD0ldgdt20K4CRk/edit?usp=sharing"","&amp;"""เชียงราย!L224"")+IMPORTRANGE(""https://docs.google.com/spreadsheets/d/1rEDxBtusbi64tE0zunoIbsTVV16HeL0oJ6trHQeQ7K8/edit?usp=sharing"",""เชียงใหม่!L224"")+IMPORTRANGE(""https://docs.google.com/spreadsheets/d/1W6MnUbDkMi6xHnHko_XkFDO9kkuL6Wqyc-6OCDFjW9I/e"&amp;"dit?usp=sharing"",""ตาก!L224"")+IMPORTRANGE(""https://docs.google.com/spreadsheets/d/1IQAWArduLkta9LpYo4a_ULsyqdta6-6aDDiwpUnQT6c/edit?usp=sharing"",""นครสวรรค์!L224"")+IMPORTRANGE(""https://docs.google.com/spreadsheets/d/10s13Sk5xrltsiR-Zkbmk5DwIaDIKO8Xl"&amp;"bJAfqyT7Gvg/edit?usp=sharing"",""น่าน!L224"")+IMPORTRANGE(""https://docs.google.com/spreadsheets/d/1uu4nAn4Dbi1XREnLKKotUANlKXa7yCgRcgq8HEzQYW8/edit?usp=sharing"",""พะเยา!L224"")+IMPORTRANGE(""https://docs.google.com/spreadsheets/d/1xfJKIQxVOaPDIICqsflNlL"&amp;"u3JacTDk1FP9RH4phX7mI/edit?usp=sharing"",""พิจิตร!L224"")+IMPORTRANGE(""https://docs.google.com/spreadsheets/d/1JtRfZkJMHtEhI5RdRHxYUG4FIZHqKDpNyIuN7A1Q0_k/edit?usp=sharing"",""พิษณุโลก!L224"")+IMPORTRANGE(""https://docs.google.com/spreadsheets/d/1xlcVZWU"&amp;"Nn6SuWm0c307h32SiGkd9BaeQWlAktfD3KO8/edit?usp=sharing"",""เพชรบูรณ์!L224"")+IMPORTRANGE(""https://docs.google.com/spreadsheets/d/1lOVebEIsI9qjGXl6EX66luk7wiuP2tBaryw-wKvv4e0/edit?usp=sharing"",""แพร่!L224"")+IMPORTRANGE(""https://docs.google.com/spreadshe"&amp;"ets/d/1dQrvX0vEcN7Gu0fnZ0B5S90AeR19zth4XlExFBeExMY/edit?usp=sharing"",""แม่ฮ่องสอน!L224"")+IMPORTRANGE(""https://docs.google.com/spreadsheets/d/1DY4XTNNwjluuxqdfdn6qvOSlMRrZqUtmYcZR0ttFiG4/edit?usp=sharing"",""ลำปาง!L224"")+IMPORTRANGE(""https://docs.goog"&amp;"le.com/spreadsheets/d/1ICwG78r0OFT8biBlxnBF8r7she7gNSzOvJ958PWT09c/edit?usp=sharing"",""ลำพูน!L224"")+IMPORTRANGE(""https://docs.google.com/spreadsheets/d/1B0f2xJpZUC6Z0xXnqKlZtEPzsf6L84eP1r1Q15seqRM/edit?usp=sharing"",""สุโขทัย!L224"")+IMPORTRANGE(""http"&amp;"s://docs.google.com/spreadsheets/d/1v0b9pFQCsKUVExMei7AgY2yQkdeNQvtOssygGsXbiKo/edit?usp=sharing"",""อุตรดิตถ์!L224"")+IMPORTRANGE(""https://docs.google.com/spreadsheets/d/1UsNK1e-WWiCo2PvGqdNfdme4m17_Ezd3J69EeeiQPD0/edit?usp=sharing"",""อุทัยธานี!L224"")"),112000)</f>
        <v>112000</v>
      </c>
      <c r="M224" s="46">
        <f ca="1">IFERROR(__xludf.DUMMYFUNCTION("IMPORTRANGE(""https://docs.google.com/spreadsheets/d/1jTcq05yEiRwXcBMLjiodW9e4biSGYWAHcDj22rKWQ3s/edit?usp=sharing"",""กำแพงเพชร!M224"")+IMPORTRANGE(""https://docs.google.com/spreadsheets/d/1KS0zmDSZPk8KnTAbGN-Xk6MtX1YRZD0ldgdt20K4CRk/edit?usp=sharing"","&amp;"""เชียงราย!M224"")+IMPORTRANGE(""https://docs.google.com/spreadsheets/d/1rEDxBtusbi64tE0zunoIbsTVV16HeL0oJ6trHQeQ7K8/edit?usp=sharing"",""เชียงใหม่!M224"")+IMPORTRANGE(""https://docs.google.com/spreadsheets/d/1W6MnUbDkMi6xHnHko_XkFDO9kkuL6Wqyc-6OCDFjW9I/e"&amp;"dit?usp=sharing"",""ตาก!M224"")+IMPORTRANGE(""https://docs.google.com/spreadsheets/d/1IQAWArduLkta9LpYo4a_ULsyqdta6-6aDDiwpUnQT6c/edit?usp=sharing"",""นครสวรรค์!M224"")+IMPORTRANGE(""https://docs.google.com/spreadsheets/d/10s13Sk5xrltsiR-Zkbmk5DwIaDIKO8Xl"&amp;"bJAfqyT7Gvg/edit?usp=sharing"",""น่าน!M224"")+IMPORTRANGE(""https://docs.google.com/spreadsheets/d/1uu4nAn4Dbi1XREnLKKotUANlKXa7yCgRcgq8HEzQYW8/edit?usp=sharing"",""พะเยา!M224"")+IMPORTRANGE(""https://docs.google.com/spreadsheets/d/1xfJKIQxVOaPDIICqsflNlL"&amp;"u3JacTDk1FP9RH4phX7mI/edit?usp=sharing"",""พิจิตร!M224"")+IMPORTRANGE(""https://docs.google.com/spreadsheets/d/1JtRfZkJMHtEhI5RdRHxYUG4FIZHqKDpNyIuN7A1Q0_k/edit?usp=sharing"",""พิษณุโลก!M224"")+IMPORTRANGE(""https://docs.google.com/spreadsheets/d/1xlcVZWU"&amp;"Nn6SuWm0c307h32SiGkd9BaeQWlAktfD3KO8/edit?usp=sharing"",""เพชรบูรณ์!M224"")+IMPORTRANGE(""https://docs.google.com/spreadsheets/d/1lOVebEIsI9qjGXl6EX66luk7wiuP2tBaryw-wKvv4e0/edit?usp=sharing"",""แพร่!M224"")+IMPORTRANGE(""https://docs.google.com/spreadshe"&amp;"ets/d/1dQrvX0vEcN7Gu0fnZ0B5S90AeR19zth4XlExFBeExMY/edit?usp=sharing"",""แม่ฮ่องสอน!M224"")+IMPORTRANGE(""https://docs.google.com/spreadsheets/d/1DY4XTNNwjluuxqdfdn6qvOSlMRrZqUtmYcZR0ttFiG4/edit?usp=sharing"",""ลำปาง!M224"")+IMPORTRANGE(""https://docs.goog"&amp;"le.com/spreadsheets/d/1ICwG78r0OFT8biBlxnBF8r7she7gNSzOvJ958PWT09c/edit?usp=sharing"",""ลำพูน!M224"")+IMPORTRANGE(""https://docs.google.com/spreadsheets/d/1B0f2xJpZUC6Z0xXnqKlZtEPzsf6L84eP1r1Q15seqRM/edit?usp=sharing"",""สุโขทัย!M224"")+IMPORTRANGE(""http"&amp;"s://docs.google.com/spreadsheets/d/1v0b9pFQCsKUVExMei7AgY2yQkdeNQvtOssygGsXbiKo/edit?usp=sharing"",""อุตรดิตถ์!M224"")+IMPORTRANGE(""https://docs.google.com/spreadsheets/d/1UsNK1e-WWiCo2PvGqdNfdme4m17_Ezd3J69EeeiQPD0/edit?usp=sharing"",""อุทัยธานี!M224"")"),0)</f>
        <v>0</v>
      </c>
      <c r="N224" s="46">
        <f ca="1">IFERROR(__xludf.DUMMYFUNCTION("IMPORTRANGE(""https://docs.google.com/spreadsheets/d/1jTcq05yEiRwXcBMLjiodW9e4biSGYWAHcDj22rKWQ3s/edit?usp=sharing"",""กำแพงเพชร!N224"")+IMPORTRANGE(""https://docs.google.com/spreadsheets/d/1KS0zmDSZPk8KnTAbGN-Xk6MtX1YRZD0ldgdt20K4CRk/edit?usp=sharing"","&amp;"""เชียงราย!N224"")+IMPORTRANGE(""https://docs.google.com/spreadsheets/d/1rEDxBtusbi64tE0zunoIbsTVV16HeL0oJ6trHQeQ7K8/edit?usp=sharing"",""เชียงใหม่!N224"")+IMPORTRANGE(""https://docs.google.com/spreadsheets/d/1W6MnUbDkMi6xHnHko_XkFDO9kkuL6Wqyc-6OCDFjW9I/e"&amp;"dit?usp=sharing"",""ตาก!N224"")+IMPORTRANGE(""https://docs.google.com/spreadsheets/d/1IQAWArduLkta9LpYo4a_ULsyqdta6-6aDDiwpUnQT6c/edit?usp=sharing"",""นครสวรรค์!N224"")+IMPORTRANGE(""https://docs.google.com/spreadsheets/d/10s13Sk5xrltsiR-Zkbmk5DwIaDIKO8Xl"&amp;"bJAfqyT7Gvg/edit?usp=sharing"",""น่าน!N224"")+IMPORTRANGE(""https://docs.google.com/spreadsheets/d/1uu4nAn4Dbi1XREnLKKotUANlKXa7yCgRcgq8HEzQYW8/edit?usp=sharing"",""พะเยา!N224"")+IMPORTRANGE(""https://docs.google.com/spreadsheets/d/1xfJKIQxVOaPDIICqsflNlL"&amp;"u3JacTDk1FP9RH4phX7mI/edit?usp=sharing"",""พิจิตร!N224"")+IMPORTRANGE(""https://docs.google.com/spreadsheets/d/1JtRfZkJMHtEhI5RdRHxYUG4FIZHqKDpNyIuN7A1Q0_k/edit?usp=sharing"",""พิษณุโลก!N224"")+IMPORTRANGE(""https://docs.google.com/spreadsheets/d/1xlcVZWU"&amp;"Nn6SuWm0c307h32SiGkd9BaeQWlAktfD3KO8/edit?usp=sharing"",""เพชรบูรณ์!N224"")+IMPORTRANGE(""https://docs.google.com/spreadsheets/d/1lOVebEIsI9qjGXl6EX66luk7wiuP2tBaryw-wKvv4e0/edit?usp=sharing"",""แพร่!N224"")+IMPORTRANGE(""https://docs.google.com/spreadshe"&amp;"ets/d/1dQrvX0vEcN7Gu0fnZ0B5S90AeR19zth4XlExFBeExMY/edit?usp=sharing"",""แม่ฮ่องสอน!N224"")+IMPORTRANGE(""https://docs.google.com/spreadsheets/d/1DY4XTNNwjluuxqdfdn6qvOSlMRrZqUtmYcZR0ttFiG4/edit?usp=sharing"",""ลำปาง!N224"")+IMPORTRANGE(""https://docs.goog"&amp;"le.com/spreadsheets/d/1ICwG78r0OFT8biBlxnBF8r7she7gNSzOvJ958PWT09c/edit?usp=sharing"",""ลำพูน!N224"")+IMPORTRANGE(""https://docs.google.com/spreadsheets/d/1B0f2xJpZUC6Z0xXnqKlZtEPzsf6L84eP1r1Q15seqRM/edit?usp=sharing"",""สุโขทัย!N224"")+IMPORTRANGE(""http"&amp;"s://docs.google.com/spreadsheets/d/1v0b9pFQCsKUVExMei7AgY2yQkdeNQvtOssygGsXbiKo/edit?usp=sharing"",""อุตรดิตถ์!N224"")+IMPORTRANGE(""https://docs.google.com/spreadsheets/d/1UsNK1e-WWiCo2PvGqdNfdme4m17_Ezd3J69EeeiQPD0/edit?usp=sharing"",""อุทัยธานี!N224"")"),0)</f>
        <v>0</v>
      </c>
      <c r="O224" s="136"/>
      <c r="P224" s="45"/>
      <c r="Q224" s="46">
        <f ca="1">IFERROR(__xludf.DUMMYFUNCTION("IMPORTRANGE(""https://docs.google.com/spreadsheets/d/1jTcq05yEiRwXcBMLjiodW9e4biSGYWAHcDj22rKWQ3s/edit?usp=sharing"",""กำแพงเพชร!Q224"")+IMPORTRANGE(""https://docs.google.com/spreadsheets/d/1KS0zmDSZPk8KnTAbGN-Xk6MtX1YRZD0ldgdt20K4CRk/edit?usp=sharing"","&amp;"""เชียงราย!Q224"")+IMPORTRANGE(""https://docs.google.com/spreadsheets/d/1rEDxBtusbi64tE0zunoIbsTVV16HeL0oJ6trHQeQ7K8/edit?usp=sharing"",""เชียงใหม่!Q224"")+IMPORTRANGE(""https://docs.google.com/spreadsheets/d/1W6MnUbDkMi6xHnHko_XkFDO9kkuL6Wqyc-6OCDFjW9I/e"&amp;"dit?usp=sharing"",""ตาก!Q224"")+IMPORTRANGE(""https://docs.google.com/spreadsheets/d/1IQAWArduLkta9LpYo4a_ULsyqdta6-6aDDiwpUnQT6c/edit?usp=sharing"",""นครสวรรค์!Q224"")+IMPORTRANGE(""https://docs.google.com/spreadsheets/d/10s13Sk5xrltsiR-Zkbmk5DwIaDIKO8Xl"&amp;"bJAfqyT7Gvg/edit?usp=sharing"",""น่าน!Q224"")+IMPORTRANGE(""https://docs.google.com/spreadsheets/d/1uu4nAn4Dbi1XREnLKKotUANlKXa7yCgRcgq8HEzQYW8/edit?usp=sharing"",""พะเยา!Q224"")+IMPORTRANGE(""https://docs.google.com/spreadsheets/d/1xfJKIQxVOaPDIICqsflNlL"&amp;"u3JacTDk1FP9RH4phX7mI/edit?usp=sharing"",""พิจิตร!Q224"")+IMPORTRANGE(""https://docs.google.com/spreadsheets/d/1JtRfZkJMHtEhI5RdRHxYUG4FIZHqKDpNyIuN7A1Q0_k/edit?usp=sharing"",""พิษณุโลก!Q224"")+IMPORTRANGE(""https://docs.google.com/spreadsheets/d/1xlcVZWU"&amp;"Nn6SuWm0c307h32SiGkd9BaeQWlAktfD3KO8/edit?usp=sharing"",""เพชรบูรณ์!Q224"")+IMPORTRANGE(""https://docs.google.com/spreadsheets/d/1lOVebEIsI9qjGXl6EX66luk7wiuP2tBaryw-wKvv4e0/edit?usp=sharing"",""แพร่!Q224"")+IMPORTRANGE(""https://docs.google.com/spreadshe"&amp;"ets/d/1dQrvX0vEcN7Gu0fnZ0B5S90AeR19zth4XlExFBeExMY/edit?usp=sharing"",""แม่ฮ่องสอน!Q224"")+IMPORTRANGE(""https://docs.google.com/spreadsheets/d/1DY4XTNNwjluuxqdfdn6qvOSlMRrZqUtmYcZR0ttFiG4/edit?usp=sharing"",""ลำปาง!Q224"")+IMPORTRANGE(""https://docs.goog"&amp;"le.com/spreadsheets/d/1ICwG78r0OFT8biBlxnBF8r7she7gNSzOvJ958PWT09c/edit?usp=sharing"",""ลำพูน!Q224"")+IMPORTRANGE(""https://docs.google.com/spreadsheets/d/1B0f2xJpZUC6Z0xXnqKlZtEPzsf6L84eP1r1Q15seqRM/edit?usp=sharing"",""สุโขทัย!Q224"")+IMPORTRANGE(""http"&amp;"s://docs.google.com/spreadsheets/d/1v0b9pFQCsKUVExMei7AgY2yQkdeNQvtOssygGsXbiKo/edit?usp=sharing"",""อุตรดิตถ์!Q224"")+IMPORTRANGE(""https://docs.google.com/spreadsheets/d/1UsNK1e-WWiCo2PvGqdNfdme4m17_Ezd3J69EeeiQPD0/edit?usp=sharing"",""อุทัยธานี!Q224"")"),0)</f>
        <v>0</v>
      </c>
      <c r="R224" s="46">
        <f ca="1">IFERROR(__xludf.DUMMYFUNCTION("IMPORTRANGE(""https://docs.google.com/spreadsheets/d/1jTcq05yEiRwXcBMLjiodW9e4biSGYWAHcDj22rKWQ3s/edit?usp=sharing"",""กำแพงเพชร!R224"")+IMPORTRANGE(""https://docs.google.com/spreadsheets/d/1KS0zmDSZPk8KnTAbGN-Xk6MtX1YRZD0ldgdt20K4CRk/edit?usp=sharing"","&amp;"""เชียงราย!R224"")+IMPORTRANGE(""https://docs.google.com/spreadsheets/d/1rEDxBtusbi64tE0zunoIbsTVV16HeL0oJ6trHQeQ7K8/edit?usp=sharing"",""เชียงใหม่!R224"")+IMPORTRANGE(""https://docs.google.com/spreadsheets/d/1W6MnUbDkMi6xHnHko_XkFDO9kkuL6Wqyc-6OCDFjW9I/e"&amp;"dit?usp=sharing"",""ตาก!R224"")+IMPORTRANGE(""https://docs.google.com/spreadsheets/d/1IQAWArduLkta9LpYo4a_ULsyqdta6-6aDDiwpUnQT6c/edit?usp=sharing"",""นครสวรรค์!R224"")+IMPORTRANGE(""https://docs.google.com/spreadsheets/d/10s13Sk5xrltsiR-Zkbmk5DwIaDIKO8Xl"&amp;"bJAfqyT7Gvg/edit?usp=sharing"",""น่าน!R224"")+IMPORTRANGE(""https://docs.google.com/spreadsheets/d/1uu4nAn4Dbi1XREnLKKotUANlKXa7yCgRcgq8HEzQYW8/edit?usp=sharing"",""พะเยา!R224"")+IMPORTRANGE(""https://docs.google.com/spreadsheets/d/1xfJKIQxVOaPDIICqsflNlL"&amp;"u3JacTDk1FP9RH4phX7mI/edit?usp=sharing"",""พิจิตร!R224"")+IMPORTRANGE(""https://docs.google.com/spreadsheets/d/1JtRfZkJMHtEhI5RdRHxYUG4FIZHqKDpNyIuN7A1Q0_k/edit?usp=sharing"",""พิษณุโลก!R224"")+IMPORTRANGE(""https://docs.google.com/spreadsheets/d/1xlcVZWU"&amp;"Nn6SuWm0c307h32SiGkd9BaeQWlAktfD3KO8/edit?usp=sharing"",""เพชรบูรณ์!R224"")+IMPORTRANGE(""https://docs.google.com/spreadsheets/d/1lOVebEIsI9qjGXl6EX66luk7wiuP2tBaryw-wKvv4e0/edit?usp=sharing"",""แพร่!R224"")+IMPORTRANGE(""https://docs.google.com/spreadshe"&amp;"ets/d/1dQrvX0vEcN7Gu0fnZ0B5S90AeR19zth4XlExFBeExMY/edit?usp=sharing"",""แม่ฮ่องสอน!R224"")+IMPORTRANGE(""https://docs.google.com/spreadsheets/d/1DY4XTNNwjluuxqdfdn6qvOSlMRrZqUtmYcZR0ttFiG4/edit?usp=sharing"",""ลำปาง!R224"")+IMPORTRANGE(""https://docs.goog"&amp;"le.com/spreadsheets/d/1ICwG78r0OFT8biBlxnBF8r7she7gNSzOvJ958PWT09c/edit?usp=sharing"",""ลำพูน!R224"")+IMPORTRANGE(""https://docs.google.com/spreadsheets/d/1B0f2xJpZUC6Z0xXnqKlZtEPzsf6L84eP1r1Q15seqRM/edit?usp=sharing"",""สุโขทัย!R224"")+IMPORTRANGE(""http"&amp;"s://docs.google.com/spreadsheets/d/1v0b9pFQCsKUVExMei7AgY2yQkdeNQvtOssygGsXbiKo/edit?usp=sharing"",""อุตรดิตถ์!R224"")+IMPORTRANGE(""https://docs.google.com/spreadsheets/d/1UsNK1e-WWiCo2PvGqdNfdme4m17_Ezd3J69EeeiQPD0/edit?usp=sharing"",""อุทัยธานี!R224"")"),0)</f>
        <v>0</v>
      </c>
      <c r="S224" s="46">
        <f ca="1">IFERROR(__xludf.DUMMYFUNCTION("IMPORTRANGE(""https://docs.google.com/spreadsheets/d/1jTcq05yEiRwXcBMLjiodW9e4biSGYWAHcDj22rKWQ3s/edit?usp=sharing"",""กำแพงเพชร!S224"")+IMPORTRANGE(""https://docs.google.com/spreadsheets/d/1KS0zmDSZPk8KnTAbGN-Xk6MtX1YRZD0ldgdt20K4CRk/edit?usp=sharing"","&amp;"""เชียงราย!S224"")+IMPORTRANGE(""https://docs.google.com/spreadsheets/d/1rEDxBtusbi64tE0zunoIbsTVV16HeL0oJ6trHQeQ7K8/edit?usp=sharing"",""เชียงใหม่!S224"")+IMPORTRANGE(""https://docs.google.com/spreadsheets/d/1W6MnUbDkMi6xHnHko_XkFDO9kkuL6Wqyc-6OCDFjW9I/e"&amp;"dit?usp=sharing"",""ตาก!S224"")+IMPORTRANGE(""https://docs.google.com/spreadsheets/d/1IQAWArduLkta9LpYo4a_ULsyqdta6-6aDDiwpUnQT6c/edit?usp=sharing"",""นครสวรรค์!S224"")+IMPORTRANGE(""https://docs.google.com/spreadsheets/d/10s13Sk5xrltsiR-Zkbmk5DwIaDIKO8Xl"&amp;"bJAfqyT7Gvg/edit?usp=sharing"",""น่าน!S224"")+IMPORTRANGE(""https://docs.google.com/spreadsheets/d/1uu4nAn4Dbi1XREnLKKotUANlKXa7yCgRcgq8HEzQYW8/edit?usp=sharing"",""พะเยา!S224"")+IMPORTRANGE(""https://docs.google.com/spreadsheets/d/1xfJKIQxVOaPDIICqsflNlL"&amp;"u3JacTDk1FP9RH4phX7mI/edit?usp=sharing"",""พิจิตร!S224"")+IMPORTRANGE(""https://docs.google.com/spreadsheets/d/1JtRfZkJMHtEhI5RdRHxYUG4FIZHqKDpNyIuN7A1Q0_k/edit?usp=sharing"",""พิษณุโลก!S224"")+IMPORTRANGE(""https://docs.google.com/spreadsheets/d/1xlcVZWU"&amp;"Nn6SuWm0c307h32SiGkd9BaeQWlAktfD3KO8/edit?usp=sharing"",""เพชรบูรณ์!S224"")+IMPORTRANGE(""https://docs.google.com/spreadsheets/d/1lOVebEIsI9qjGXl6EX66luk7wiuP2tBaryw-wKvv4e0/edit?usp=sharing"",""แพร่!S224"")+IMPORTRANGE(""https://docs.google.com/spreadshe"&amp;"ets/d/1dQrvX0vEcN7Gu0fnZ0B5S90AeR19zth4XlExFBeExMY/edit?usp=sharing"",""แม่ฮ่องสอน!S224"")+IMPORTRANGE(""https://docs.google.com/spreadsheets/d/1DY4XTNNwjluuxqdfdn6qvOSlMRrZqUtmYcZR0ttFiG4/edit?usp=sharing"",""ลำปาง!S224"")+IMPORTRANGE(""https://docs.goog"&amp;"le.com/spreadsheets/d/1ICwG78r0OFT8biBlxnBF8r7she7gNSzOvJ958PWT09c/edit?usp=sharing"",""ลำพูน!S224"")+IMPORTRANGE(""https://docs.google.com/spreadsheets/d/1B0f2xJpZUC6Z0xXnqKlZtEPzsf6L84eP1r1Q15seqRM/edit?usp=sharing"",""สุโขทัย!S224"")+IMPORTRANGE(""http"&amp;"s://docs.google.com/spreadsheets/d/1v0b9pFQCsKUVExMei7AgY2yQkdeNQvtOssygGsXbiKo/edit?usp=sharing"",""อุตรดิตถ์!S224"")+IMPORTRANGE(""https://docs.google.com/spreadsheets/d/1UsNK1e-WWiCo2PvGqdNfdme4m17_Ezd3J69EeeiQPD0/edit?usp=sharing"",""อุทัยธานี!S224"")"),0)</f>
        <v>0</v>
      </c>
      <c r="T224" s="152"/>
      <c r="U224" s="46"/>
    </row>
    <row r="225" spans="1:21" ht="18.75" hidden="1" x14ac:dyDescent="0.25">
      <c r="A225" s="227"/>
      <c r="B225" s="228"/>
      <c r="C225" s="228"/>
      <c r="D225" s="229"/>
      <c r="E225" s="229"/>
      <c r="F225" s="229"/>
      <c r="G225" s="230"/>
      <c r="H225" s="231"/>
      <c r="I225" s="232"/>
      <c r="J225" s="232"/>
      <c r="K225" s="233"/>
      <c r="L225" s="233"/>
      <c r="M225" s="233"/>
      <c r="N225" s="233"/>
      <c r="O225" s="233"/>
      <c r="P225" s="233"/>
      <c r="Q225" s="46"/>
      <c r="R225" s="46"/>
      <c r="S225" s="46"/>
      <c r="T225" s="152"/>
      <c r="U225" s="46"/>
    </row>
    <row r="226" spans="1:21" ht="19.5" x14ac:dyDescent="0.3">
      <c r="A226" s="138"/>
      <c r="B226" s="139"/>
      <c r="C226" s="161" t="s">
        <v>18</v>
      </c>
      <c r="D226" s="140" t="s">
        <v>38</v>
      </c>
      <c r="E226" s="141"/>
      <c r="F226" s="141"/>
      <c r="G226" s="142"/>
      <c r="H226" s="143"/>
      <c r="I226" s="135"/>
      <c r="J226" s="135"/>
      <c r="K226" s="136"/>
      <c r="L226" s="136"/>
      <c r="M226" s="136"/>
      <c r="N226" s="136"/>
      <c r="O226" s="136"/>
      <c r="P226" s="136"/>
      <c r="Q226" s="152"/>
      <c r="R226" s="152"/>
      <c r="S226" s="152"/>
      <c r="T226" s="152"/>
      <c r="U226" s="152"/>
    </row>
    <row r="227" spans="1:21" ht="18.75" x14ac:dyDescent="0.25">
      <c r="A227" s="138"/>
      <c r="B227" s="139"/>
      <c r="C227" s="139"/>
      <c r="D227" s="47" t="s">
        <v>101</v>
      </c>
      <c r="E227" s="145"/>
      <c r="F227" s="145"/>
      <c r="G227" s="143"/>
      <c r="H227" s="143"/>
      <c r="I227" s="44"/>
      <c r="J227" s="44"/>
      <c r="K227" s="136"/>
      <c r="L227" s="136"/>
      <c r="M227" s="136"/>
      <c r="N227" s="136"/>
      <c r="O227" s="136"/>
      <c r="P227" s="136"/>
      <c r="Q227" s="152"/>
      <c r="R227" s="152"/>
      <c r="S227" s="152"/>
      <c r="T227" s="152"/>
      <c r="U227" s="152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66">
        <f ca="1">IFERROR(__xludf.DUMMYFUNCTION("IMPORTRANGE(""https://docs.google.com/spreadsheets/d/1jTcq05yEiRwXcBMLjiodW9e4biSGYWAHcDj22rKWQ3s/edit?usp=sharing"",""กำแพงเพชร!I228"")+IMPORTRANGE(""https://docs.google.com/spreadsheets/d/1KS0zmDSZPk8KnTAbGN-Xk6MtX1YRZD0ldgdt20K4CRk/edit?usp=sharing"","&amp;"""เชียงราย!I228"")+IMPORTRANGE(""https://docs.google.com/spreadsheets/d/1rEDxBtusbi64tE0zunoIbsTVV16HeL0oJ6trHQeQ7K8/edit?usp=sharing"",""เชียงใหม่!I228"")+IMPORTRANGE(""https://docs.google.com/spreadsheets/d/1W6MnUbDkMi6xHnHko_XkFDO9kkuL6Wqyc-6OCDFjW9I/e"&amp;"dit?usp=sharing"",""ตาก!I228"")+IMPORTRANGE(""https://docs.google.com/spreadsheets/d/1IQAWArduLkta9LpYo4a_ULsyqdta6-6aDDiwpUnQT6c/edit?usp=sharing"",""นครสวรรค์!I228"")+IMPORTRANGE(""https://docs.google.com/spreadsheets/d/10s13Sk5xrltsiR-Zkbmk5DwIaDIKO8Xl"&amp;"bJAfqyT7Gvg/edit?usp=sharing"",""น่าน!I228"")+IMPORTRANGE(""https://docs.google.com/spreadsheets/d/1uu4nAn4Dbi1XREnLKKotUANlKXa7yCgRcgq8HEzQYW8/edit?usp=sharing"",""พะเยา!I228"")+IMPORTRANGE(""https://docs.google.com/spreadsheets/d/1xfJKIQxVOaPDIICqsflNlL"&amp;"u3JacTDk1FP9RH4phX7mI/edit?usp=sharing"",""พิจิตร!I228"")+IMPORTRANGE(""https://docs.google.com/spreadsheets/d/1JtRfZkJMHtEhI5RdRHxYUG4FIZHqKDpNyIuN7A1Q0_k/edit?usp=sharing"",""พิษณุโลก!I228"")+IMPORTRANGE(""https://docs.google.com/spreadsheets/d/1xlcVZWU"&amp;"Nn6SuWm0c307h32SiGkd9BaeQWlAktfD3KO8/edit?usp=sharing"",""เพชรบูรณ์!I228"")+IMPORTRANGE(""https://docs.google.com/spreadsheets/d/1lOVebEIsI9qjGXl6EX66luk7wiuP2tBaryw-wKvv4e0/edit?usp=sharing"",""แพร่!I228"")+IMPORTRANGE(""https://docs.google.com/spreadshe"&amp;"ets/d/1dQrvX0vEcN7Gu0fnZ0B5S90AeR19zth4XlExFBeExMY/edit?usp=sharing"",""แม่ฮ่องสอน!I228"")+IMPORTRANGE(""https://docs.google.com/spreadsheets/d/1DY4XTNNwjluuxqdfdn6qvOSlMRrZqUtmYcZR0ttFiG4/edit?usp=sharing"",""ลำปาง!I228"")+IMPORTRANGE(""https://docs.goog"&amp;"le.com/spreadsheets/d/1ICwG78r0OFT8biBlxnBF8r7she7gNSzOvJ958PWT09c/edit?usp=sharing"",""ลำพูน!I228"")+IMPORTRANGE(""https://docs.google.com/spreadsheets/d/1B0f2xJpZUC6Z0xXnqKlZtEPzsf6L84eP1r1Q15seqRM/edit?usp=sharing"",""สุโขทัย!I228"")+IMPORTRANGE(""http"&amp;"s://docs.google.com/spreadsheets/d/1v0b9pFQCsKUVExMei7AgY2yQkdeNQvtOssygGsXbiKo/edit?usp=sharing"",""อุตรดิตถ์!I228"")+IMPORTRANGE(""https://docs.google.com/spreadsheets/d/1UsNK1e-WWiCo2PvGqdNfdme4m17_Ezd3J69EeeiQPD0/edit?usp=sharing"",""อุทัยธานี!I228"")"),1024000)</f>
        <v>1024000</v>
      </c>
      <c r="J228" s="166">
        <f ca="1">IFERROR(__xludf.DUMMYFUNCTION("IMPORTRANGE(""https://docs.google.com/spreadsheets/d/1jTcq05yEiRwXcBMLjiodW9e4biSGYWAHcDj22rKWQ3s/edit?usp=sharing"",""กำแพงเพชร!J228"")+IMPORTRANGE(""https://docs.google.com/spreadsheets/d/1KS0zmDSZPk8KnTAbGN-Xk6MtX1YRZD0ldgdt20K4CRk/edit?usp=sharing"","&amp;"""เชียงราย!J228"")+IMPORTRANGE(""https://docs.google.com/spreadsheets/d/1rEDxBtusbi64tE0zunoIbsTVV16HeL0oJ6trHQeQ7K8/edit?usp=sharing"",""เชียงใหม่!J228"")+IMPORTRANGE(""https://docs.google.com/spreadsheets/d/1W6MnUbDkMi6xHnHko_XkFDO9kkuL6Wqyc-6OCDFjW9I/e"&amp;"dit?usp=sharing"",""ตาก!J228"")+IMPORTRANGE(""https://docs.google.com/spreadsheets/d/1IQAWArduLkta9LpYo4a_ULsyqdta6-6aDDiwpUnQT6c/edit?usp=sharing"",""นครสวรรค์!J228"")+IMPORTRANGE(""https://docs.google.com/spreadsheets/d/10s13Sk5xrltsiR-Zkbmk5DwIaDIKO8Xl"&amp;"bJAfqyT7Gvg/edit?usp=sharing"",""น่าน!J228"")+IMPORTRANGE(""https://docs.google.com/spreadsheets/d/1uu4nAn4Dbi1XREnLKKotUANlKXa7yCgRcgq8HEzQYW8/edit?usp=sharing"",""พะเยา!J228"")+IMPORTRANGE(""https://docs.google.com/spreadsheets/d/1xfJKIQxVOaPDIICqsflNlL"&amp;"u3JacTDk1FP9RH4phX7mI/edit?usp=sharing"",""พิจิตร!J228"")+IMPORTRANGE(""https://docs.google.com/spreadsheets/d/1JtRfZkJMHtEhI5RdRHxYUG4FIZHqKDpNyIuN7A1Q0_k/edit?usp=sharing"",""พิษณุโลก!J228"")+IMPORTRANGE(""https://docs.google.com/spreadsheets/d/1xlcVZWU"&amp;"Nn6SuWm0c307h32SiGkd9BaeQWlAktfD3KO8/edit?usp=sharing"",""เพชรบูรณ์!J228"")+IMPORTRANGE(""https://docs.google.com/spreadsheets/d/1lOVebEIsI9qjGXl6EX66luk7wiuP2tBaryw-wKvv4e0/edit?usp=sharing"",""แพร่!J228"")+IMPORTRANGE(""https://docs.google.com/spreadshe"&amp;"ets/d/1dQrvX0vEcN7Gu0fnZ0B5S90AeR19zth4XlExFBeExMY/edit?usp=sharing"",""แม่ฮ่องสอน!J228"")+IMPORTRANGE(""https://docs.google.com/spreadsheets/d/1DY4XTNNwjluuxqdfdn6qvOSlMRrZqUtmYcZR0ttFiG4/edit?usp=sharing"",""ลำปาง!J228"")+IMPORTRANGE(""https://docs.goog"&amp;"le.com/spreadsheets/d/1ICwG78r0OFT8biBlxnBF8r7she7gNSzOvJ958PWT09c/edit?usp=sharing"",""ลำพูน!J228"")+IMPORTRANGE(""https://docs.google.com/spreadsheets/d/1B0f2xJpZUC6Z0xXnqKlZtEPzsf6L84eP1r1Q15seqRM/edit?usp=sharing"",""สุโขทัย!J228"")+IMPORTRANGE(""http"&amp;"s://docs.google.com/spreadsheets/d/1v0b9pFQCsKUVExMei7AgY2yQkdeNQvtOssygGsXbiKo/edit?usp=sharing"",""อุตรดิตถ์!J228"")+IMPORTRANGE(""https://docs.google.com/spreadsheets/d/1UsNK1e-WWiCo2PvGqdNfdme4m17_Ezd3J69EeeiQPD0/edit?usp=sharing"",""อุทัยธานี!J228"")"),454000)</f>
        <v>454000</v>
      </c>
      <c r="K228" s="152">
        <f t="shared" ref="K228:K231" ca="1" si="183">IF(I228&gt;0,J228*100/I228,0)</f>
        <v>44.3359375</v>
      </c>
      <c r="L228" s="136"/>
      <c r="M228" s="136"/>
      <c r="N228" s="136"/>
      <c r="O228" s="136"/>
      <c r="P228" s="136"/>
      <c r="Q228" s="152"/>
      <c r="R228" s="152"/>
      <c r="S228" s="152"/>
      <c r="T228" s="152"/>
      <c r="U228" s="152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66">
        <f ca="1">IFERROR(__xludf.DUMMYFUNCTION("IMPORTRANGE(""https://docs.google.com/spreadsheets/d/1jTcq05yEiRwXcBMLjiodW9e4biSGYWAHcDj22rKWQ3s/edit?usp=sharing"",""กำแพงเพชร!I229"")+IMPORTRANGE(""https://docs.google.com/spreadsheets/d/1KS0zmDSZPk8KnTAbGN-Xk6MtX1YRZD0ldgdt20K4CRk/edit?usp=sharing"","&amp;"""เชียงราย!I229"")+IMPORTRANGE(""https://docs.google.com/spreadsheets/d/1rEDxBtusbi64tE0zunoIbsTVV16HeL0oJ6trHQeQ7K8/edit?usp=sharing"",""เชียงใหม่!I229"")+IMPORTRANGE(""https://docs.google.com/spreadsheets/d/1W6MnUbDkMi6xHnHko_XkFDO9kkuL6Wqyc-6OCDFjW9I/e"&amp;"dit?usp=sharing"",""ตาก!I229"")+IMPORTRANGE(""https://docs.google.com/spreadsheets/d/1IQAWArduLkta9LpYo4a_ULsyqdta6-6aDDiwpUnQT6c/edit?usp=sharing"",""นครสวรรค์!I229"")+IMPORTRANGE(""https://docs.google.com/spreadsheets/d/10s13Sk5xrltsiR-Zkbmk5DwIaDIKO8Xl"&amp;"bJAfqyT7Gvg/edit?usp=sharing"",""น่าน!I229"")+IMPORTRANGE(""https://docs.google.com/spreadsheets/d/1uu4nAn4Dbi1XREnLKKotUANlKXa7yCgRcgq8HEzQYW8/edit?usp=sharing"",""พะเยา!I229"")+IMPORTRANGE(""https://docs.google.com/spreadsheets/d/1xfJKIQxVOaPDIICqsflNlL"&amp;"u3JacTDk1FP9RH4phX7mI/edit?usp=sharing"",""พิจิตร!I229"")+IMPORTRANGE(""https://docs.google.com/spreadsheets/d/1JtRfZkJMHtEhI5RdRHxYUG4FIZHqKDpNyIuN7A1Q0_k/edit?usp=sharing"",""พิษณุโลก!I229"")+IMPORTRANGE(""https://docs.google.com/spreadsheets/d/1xlcVZWU"&amp;"Nn6SuWm0c307h32SiGkd9BaeQWlAktfD3KO8/edit?usp=sharing"",""เพชรบูรณ์!I229"")+IMPORTRANGE(""https://docs.google.com/spreadsheets/d/1lOVebEIsI9qjGXl6EX66luk7wiuP2tBaryw-wKvv4e0/edit?usp=sharing"",""แพร่!I229"")+IMPORTRANGE(""https://docs.google.com/spreadshe"&amp;"ets/d/1dQrvX0vEcN7Gu0fnZ0B5S90AeR19zth4XlExFBeExMY/edit?usp=sharing"",""แม่ฮ่องสอน!I229"")+IMPORTRANGE(""https://docs.google.com/spreadsheets/d/1DY4XTNNwjluuxqdfdn6qvOSlMRrZqUtmYcZR0ttFiG4/edit?usp=sharing"",""ลำปาง!I229"")+IMPORTRANGE(""https://docs.goog"&amp;"le.com/spreadsheets/d/1ICwG78r0OFT8biBlxnBF8r7she7gNSzOvJ958PWT09c/edit?usp=sharing"",""ลำพูน!I229"")+IMPORTRANGE(""https://docs.google.com/spreadsheets/d/1B0f2xJpZUC6Z0xXnqKlZtEPzsf6L84eP1r1Q15seqRM/edit?usp=sharing"",""สุโขทัย!I229"")+IMPORTRANGE(""http"&amp;"s://docs.google.com/spreadsheets/d/1v0b9pFQCsKUVExMei7AgY2yQkdeNQvtOssygGsXbiKo/edit?usp=sharing"",""อุตรดิตถ์!I229"")+IMPORTRANGE(""https://docs.google.com/spreadsheets/d/1UsNK1e-WWiCo2PvGqdNfdme4m17_Ezd3J69EeeiQPD0/edit?usp=sharing"",""อุทัยธานี!I229"")"),1024000)</f>
        <v>1024000</v>
      </c>
      <c r="J229" s="166">
        <f ca="1">IFERROR(__xludf.DUMMYFUNCTION("IMPORTRANGE(""https://docs.google.com/spreadsheets/d/1jTcq05yEiRwXcBMLjiodW9e4biSGYWAHcDj22rKWQ3s/edit?usp=sharing"",""กำแพงเพชร!J229"")+IMPORTRANGE(""https://docs.google.com/spreadsheets/d/1KS0zmDSZPk8KnTAbGN-Xk6MtX1YRZD0ldgdt20K4CRk/edit?usp=sharing"","&amp;"""เชียงราย!J229"")+IMPORTRANGE(""https://docs.google.com/spreadsheets/d/1rEDxBtusbi64tE0zunoIbsTVV16HeL0oJ6trHQeQ7K8/edit?usp=sharing"",""เชียงใหม่!J229"")+IMPORTRANGE(""https://docs.google.com/spreadsheets/d/1W6MnUbDkMi6xHnHko_XkFDO9kkuL6Wqyc-6OCDFjW9I/e"&amp;"dit?usp=sharing"",""ตาก!J229"")+IMPORTRANGE(""https://docs.google.com/spreadsheets/d/1IQAWArduLkta9LpYo4a_ULsyqdta6-6aDDiwpUnQT6c/edit?usp=sharing"",""นครสวรรค์!J229"")+IMPORTRANGE(""https://docs.google.com/spreadsheets/d/10s13Sk5xrltsiR-Zkbmk5DwIaDIKO8Xl"&amp;"bJAfqyT7Gvg/edit?usp=sharing"",""น่าน!J229"")+IMPORTRANGE(""https://docs.google.com/spreadsheets/d/1uu4nAn4Dbi1XREnLKKotUANlKXa7yCgRcgq8HEzQYW8/edit?usp=sharing"",""พะเยา!J229"")+IMPORTRANGE(""https://docs.google.com/spreadsheets/d/1xfJKIQxVOaPDIICqsflNlL"&amp;"u3JacTDk1FP9RH4phX7mI/edit?usp=sharing"",""พิจิตร!J229"")+IMPORTRANGE(""https://docs.google.com/spreadsheets/d/1JtRfZkJMHtEhI5RdRHxYUG4FIZHqKDpNyIuN7A1Q0_k/edit?usp=sharing"",""พิษณุโลก!J229"")+IMPORTRANGE(""https://docs.google.com/spreadsheets/d/1xlcVZWU"&amp;"Nn6SuWm0c307h32SiGkd9BaeQWlAktfD3KO8/edit?usp=sharing"",""เพชรบูรณ์!J229"")+IMPORTRANGE(""https://docs.google.com/spreadsheets/d/1lOVebEIsI9qjGXl6EX66luk7wiuP2tBaryw-wKvv4e0/edit?usp=sharing"",""แพร่!J229"")+IMPORTRANGE(""https://docs.google.com/spreadshe"&amp;"ets/d/1dQrvX0vEcN7Gu0fnZ0B5S90AeR19zth4XlExFBeExMY/edit?usp=sharing"",""แม่ฮ่องสอน!J229"")+IMPORTRANGE(""https://docs.google.com/spreadsheets/d/1DY4XTNNwjluuxqdfdn6qvOSlMRrZqUtmYcZR0ttFiG4/edit?usp=sharing"",""ลำปาง!J229"")+IMPORTRANGE(""https://docs.goog"&amp;"le.com/spreadsheets/d/1ICwG78r0OFT8biBlxnBF8r7she7gNSzOvJ958PWT09c/edit?usp=sharing"",""ลำพูน!J229"")+IMPORTRANGE(""https://docs.google.com/spreadsheets/d/1B0f2xJpZUC6Z0xXnqKlZtEPzsf6L84eP1r1Q15seqRM/edit?usp=sharing"",""สุโขทัย!J229"")+IMPORTRANGE(""http"&amp;"s://docs.google.com/spreadsheets/d/1v0b9pFQCsKUVExMei7AgY2yQkdeNQvtOssygGsXbiKo/edit?usp=sharing"",""อุตรดิตถ์!J229"")+IMPORTRANGE(""https://docs.google.com/spreadsheets/d/1UsNK1e-WWiCo2PvGqdNfdme4m17_Ezd3J69EeeiQPD0/edit?usp=sharing"",""อุทัยธานี!J229"")"),0)</f>
        <v>0</v>
      </c>
      <c r="K229" s="152">
        <f t="shared" ca="1" si="183"/>
        <v>0</v>
      </c>
      <c r="L229" s="45"/>
      <c r="M229" s="45"/>
      <c r="N229" s="45"/>
      <c r="O229" s="45"/>
      <c r="P229" s="45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7" t="s">
        <v>104</v>
      </c>
      <c r="E230" s="145"/>
      <c r="F230" s="145"/>
      <c r="G230" s="143"/>
      <c r="H230" s="150" t="s">
        <v>35</v>
      </c>
      <c r="I230" s="166">
        <f ca="1">IFERROR(__xludf.DUMMYFUNCTION("IMPORTRANGE(""https://docs.google.com/spreadsheets/d/1jTcq05yEiRwXcBMLjiodW9e4biSGYWAHcDj22rKWQ3s/edit?usp=sharing"",""กำแพงเพชร!I230"")+IMPORTRANGE(""https://docs.google.com/spreadsheets/d/1KS0zmDSZPk8KnTAbGN-Xk6MtX1YRZD0ldgdt20K4CRk/edit?usp=sharing"","&amp;"""เชียงราย!I230"")+IMPORTRANGE(""https://docs.google.com/spreadsheets/d/1rEDxBtusbi64tE0zunoIbsTVV16HeL0oJ6trHQeQ7K8/edit?usp=sharing"",""เชียงใหม่!I230"")+IMPORTRANGE(""https://docs.google.com/spreadsheets/d/1W6MnUbDkMi6xHnHko_XkFDO9kkuL6Wqyc-6OCDFjW9I/e"&amp;"dit?usp=sharing"",""ตาก!I230"")+IMPORTRANGE(""https://docs.google.com/spreadsheets/d/1IQAWArduLkta9LpYo4a_ULsyqdta6-6aDDiwpUnQT6c/edit?usp=sharing"",""นครสวรรค์!I230"")+IMPORTRANGE(""https://docs.google.com/spreadsheets/d/10s13Sk5xrltsiR-Zkbmk5DwIaDIKO8Xl"&amp;"bJAfqyT7Gvg/edit?usp=sharing"",""น่าน!I230"")+IMPORTRANGE(""https://docs.google.com/spreadsheets/d/1uu4nAn4Dbi1XREnLKKotUANlKXa7yCgRcgq8HEzQYW8/edit?usp=sharing"",""พะเยา!I230"")+IMPORTRANGE(""https://docs.google.com/spreadsheets/d/1xfJKIQxVOaPDIICqsflNlL"&amp;"u3JacTDk1FP9RH4phX7mI/edit?usp=sharing"",""พิจิตร!I230"")+IMPORTRANGE(""https://docs.google.com/spreadsheets/d/1JtRfZkJMHtEhI5RdRHxYUG4FIZHqKDpNyIuN7A1Q0_k/edit?usp=sharing"",""พิษณุโลก!I230"")+IMPORTRANGE(""https://docs.google.com/spreadsheets/d/1xlcVZWU"&amp;"Nn6SuWm0c307h32SiGkd9BaeQWlAktfD3KO8/edit?usp=sharing"",""เพชรบูรณ์!I230"")+IMPORTRANGE(""https://docs.google.com/spreadsheets/d/1lOVebEIsI9qjGXl6EX66luk7wiuP2tBaryw-wKvv4e0/edit?usp=sharing"",""แพร่!I230"")+IMPORTRANGE(""https://docs.google.com/spreadshe"&amp;"ets/d/1dQrvX0vEcN7Gu0fnZ0B5S90AeR19zth4XlExFBeExMY/edit?usp=sharing"",""แม่ฮ่องสอน!I230"")+IMPORTRANGE(""https://docs.google.com/spreadsheets/d/1DY4XTNNwjluuxqdfdn6qvOSlMRrZqUtmYcZR0ttFiG4/edit?usp=sharing"",""ลำปาง!I230"")+IMPORTRANGE(""https://docs.goog"&amp;"le.com/spreadsheets/d/1ICwG78r0OFT8biBlxnBF8r7she7gNSzOvJ958PWT09c/edit?usp=sharing"",""ลำพูน!I230"")+IMPORTRANGE(""https://docs.google.com/spreadsheets/d/1B0f2xJpZUC6Z0xXnqKlZtEPzsf6L84eP1r1Q15seqRM/edit?usp=sharing"",""สุโขทัย!I230"")+IMPORTRANGE(""http"&amp;"s://docs.google.com/spreadsheets/d/1v0b9pFQCsKUVExMei7AgY2yQkdeNQvtOssygGsXbiKo/edit?usp=sharing"",""อุตรดิตถ์!I230"")+IMPORTRANGE(""https://docs.google.com/spreadsheets/d/1UsNK1e-WWiCo2PvGqdNfdme4m17_Ezd3J69EeeiQPD0/edit?usp=sharing"",""อุทัยธานี!I230"")"),0)</f>
        <v>0</v>
      </c>
      <c r="J230" s="166">
        <f ca="1">IFERROR(__xludf.DUMMYFUNCTION("IMPORTRANGE(""https://docs.google.com/spreadsheets/d/1jTcq05yEiRwXcBMLjiodW9e4biSGYWAHcDj22rKWQ3s/edit?usp=sharing"",""กำแพงเพชร!J230"")+IMPORTRANGE(""https://docs.google.com/spreadsheets/d/1KS0zmDSZPk8KnTAbGN-Xk6MtX1YRZD0ldgdt20K4CRk/edit?usp=sharing"","&amp;"""เชียงราย!J230"")+IMPORTRANGE(""https://docs.google.com/spreadsheets/d/1rEDxBtusbi64tE0zunoIbsTVV16HeL0oJ6trHQeQ7K8/edit?usp=sharing"",""เชียงใหม่!J230"")+IMPORTRANGE(""https://docs.google.com/spreadsheets/d/1W6MnUbDkMi6xHnHko_XkFDO9kkuL6Wqyc-6OCDFjW9I/e"&amp;"dit?usp=sharing"",""ตาก!J230"")+IMPORTRANGE(""https://docs.google.com/spreadsheets/d/1IQAWArduLkta9LpYo4a_ULsyqdta6-6aDDiwpUnQT6c/edit?usp=sharing"",""นครสวรรค์!J230"")+IMPORTRANGE(""https://docs.google.com/spreadsheets/d/10s13Sk5xrltsiR-Zkbmk5DwIaDIKO8Xl"&amp;"bJAfqyT7Gvg/edit?usp=sharing"",""น่าน!J230"")+IMPORTRANGE(""https://docs.google.com/spreadsheets/d/1uu4nAn4Dbi1XREnLKKotUANlKXa7yCgRcgq8HEzQYW8/edit?usp=sharing"",""พะเยา!J230"")+IMPORTRANGE(""https://docs.google.com/spreadsheets/d/1xfJKIQxVOaPDIICqsflNlL"&amp;"u3JacTDk1FP9RH4phX7mI/edit?usp=sharing"",""พิจิตร!J230"")+IMPORTRANGE(""https://docs.google.com/spreadsheets/d/1JtRfZkJMHtEhI5RdRHxYUG4FIZHqKDpNyIuN7A1Q0_k/edit?usp=sharing"",""พิษณุโลก!J230"")+IMPORTRANGE(""https://docs.google.com/spreadsheets/d/1xlcVZWU"&amp;"Nn6SuWm0c307h32SiGkd9BaeQWlAktfD3KO8/edit?usp=sharing"",""เพชรบูรณ์!J230"")+IMPORTRANGE(""https://docs.google.com/spreadsheets/d/1lOVebEIsI9qjGXl6EX66luk7wiuP2tBaryw-wKvv4e0/edit?usp=sharing"",""แพร่!J230"")+IMPORTRANGE(""https://docs.google.com/spreadshe"&amp;"ets/d/1dQrvX0vEcN7Gu0fnZ0B5S90AeR19zth4XlExFBeExMY/edit?usp=sharing"",""แม่ฮ่องสอน!J230"")+IMPORTRANGE(""https://docs.google.com/spreadsheets/d/1DY4XTNNwjluuxqdfdn6qvOSlMRrZqUtmYcZR0ttFiG4/edit?usp=sharing"",""ลำปาง!J230"")+IMPORTRANGE(""https://docs.goog"&amp;"le.com/spreadsheets/d/1ICwG78r0OFT8biBlxnBF8r7she7gNSzOvJ958PWT09c/edit?usp=sharing"",""ลำพูน!J230"")+IMPORTRANGE(""https://docs.google.com/spreadsheets/d/1B0f2xJpZUC6Z0xXnqKlZtEPzsf6L84eP1r1Q15seqRM/edit?usp=sharing"",""สุโขทัย!J230"")+IMPORTRANGE(""http"&amp;"s://docs.google.com/spreadsheets/d/1v0b9pFQCsKUVExMei7AgY2yQkdeNQvtOssygGsXbiKo/edit?usp=sharing"",""อุตรดิตถ์!J230"")+IMPORTRANGE(""https://docs.google.com/spreadsheets/d/1UsNK1e-WWiCo2PvGqdNfdme4m17_Ezd3J69EeeiQPD0/edit?usp=sharing"",""อุทัยธานี!J230"")"),0)</f>
        <v>0</v>
      </c>
      <c r="K230" s="152">
        <f t="shared" ca="1" si="183"/>
        <v>0</v>
      </c>
      <c r="L230" s="45"/>
      <c r="M230" s="45"/>
      <c r="N230" s="45"/>
      <c r="O230" s="45"/>
      <c r="P230" s="45"/>
      <c r="Q230" s="46"/>
      <c r="R230" s="46"/>
      <c r="S230" s="46"/>
      <c r="T230" s="46"/>
      <c r="U230" s="46"/>
    </row>
    <row r="231" spans="1:21" ht="19.5" x14ac:dyDescent="0.3">
      <c r="A231" s="211"/>
      <c r="B231" s="212"/>
      <c r="C231" s="213" t="s">
        <v>105</v>
      </c>
      <c r="D231" s="214"/>
      <c r="E231" s="214"/>
      <c r="F231" s="214"/>
      <c r="G231" s="215"/>
      <c r="H231" s="216" t="s">
        <v>35</v>
      </c>
      <c r="I231" s="217">
        <f t="shared" ref="I231:J231" si="184">I242+I253</f>
        <v>0</v>
      </c>
      <c r="J231" s="217">
        <f t="shared" si="184"/>
        <v>0</v>
      </c>
      <c r="K231" s="218">
        <f t="shared" si="183"/>
        <v>0</v>
      </c>
      <c r="L231" s="219"/>
      <c r="M231" s="219"/>
      <c r="N231" s="219"/>
      <c r="O231" s="219"/>
      <c r="P231" s="219"/>
      <c r="Q231" s="226"/>
      <c r="R231" s="226"/>
      <c r="S231" s="226"/>
      <c r="T231" s="226"/>
      <c r="U231" s="226"/>
    </row>
    <row r="232" spans="1:21" ht="19.5" x14ac:dyDescent="0.3">
      <c r="A232" s="128"/>
      <c r="B232" s="40"/>
      <c r="C232" s="129" t="s">
        <v>18</v>
      </c>
      <c r="D232" s="130" t="s">
        <v>19</v>
      </c>
      <c r="E232" s="40"/>
      <c r="F232" s="40"/>
      <c r="G232" s="42"/>
      <c r="H232" s="221" t="s">
        <v>14</v>
      </c>
      <c r="I232" s="135"/>
      <c r="J232" s="135"/>
      <c r="K232" s="136"/>
      <c r="L232" s="132">
        <f t="shared" ref="L232:N232" ca="1" si="185">L233+L234+L235+L236</f>
        <v>1055800</v>
      </c>
      <c r="M232" s="132">
        <f t="shared" ca="1" si="185"/>
        <v>0</v>
      </c>
      <c r="N232" s="132">
        <f t="shared" ca="1" si="185"/>
        <v>654126.1</v>
      </c>
      <c r="O232" s="132">
        <f ca="1">IF(L232&gt;0,N232*100/L232,0)</f>
        <v>61.955493464671342</v>
      </c>
      <c r="P232" s="45"/>
      <c r="Q232" s="46">
        <f t="shared" ref="Q232:S232" ca="1" si="186">Q233+Q234+Q235+Q236</f>
        <v>0</v>
      </c>
      <c r="R232" s="46">
        <f t="shared" ca="1" si="186"/>
        <v>0</v>
      </c>
      <c r="S232" s="46">
        <f t="shared" ca="1" si="186"/>
        <v>0</v>
      </c>
      <c r="T232" s="46"/>
      <c r="U232" s="46"/>
    </row>
    <row r="233" spans="1:21" ht="18.75" x14ac:dyDescent="0.25">
      <c r="A233" s="128"/>
      <c r="B233" s="158"/>
      <c r="C233" s="40"/>
      <c r="D233" s="47" t="s">
        <v>86</v>
      </c>
      <c r="E233" s="40"/>
      <c r="F233" s="40"/>
      <c r="G233" s="42"/>
      <c r="H233" s="134" t="s">
        <v>14</v>
      </c>
      <c r="I233" s="135"/>
      <c r="J233" s="135"/>
      <c r="K233" s="136"/>
      <c r="L233" s="46">
        <f ca="1">IFERROR(__xludf.DUMMYFUNCTION("IMPORTRANGE(""https://docs.google.com/spreadsheets/d/1jTcq05yEiRwXcBMLjiodW9e4biSGYWAHcDj22rKWQ3s/edit?usp=sharing"",""กำแพงเพชร!L233"")+IMPORTRANGE(""https://docs.google.com/spreadsheets/d/1KS0zmDSZPk8KnTAbGN-Xk6MtX1YRZD0ldgdt20K4CRk/edit?usp=sharing"","&amp;"""เชียงราย!L233"")+IMPORTRANGE(""https://docs.google.com/spreadsheets/d/1rEDxBtusbi64tE0zunoIbsTVV16HeL0oJ6trHQeQ7K8/edit?usp=sharing"",""เชียงใหม่!L233"")+IMPORTRANGE(""https://docs.google.com/spreadsheets/d/1W6MnUbDkMi6xHnHko_XkFDO9kkuL6Wqyc-6OCDFjW9I/e"&amp;"dit?usp=sharing"",""ตาก!L233"")+IMPORTRANGE(""https://docs.google.com/spreadsheets/d/1IQAWArduLkta9LpYo4a_ULsyqdta6-6aDDiwpUnQT6c/edit?usp=sharing"",""นครสวรรค์!L233"")+IMPORTRANGE(""https://docs.google.com/spreadsheets/d/10s13Sk5xrltsiR-Zkbmk5DwIaDIKO8Xl"&amp;"bJAfqyT7Gvg/edit?usp=sharing"",""น่าน!L233"")+IMPORTRANGE(""https://docs.google.com/spreadsheets/d/1uu4nAn4Dbi1XREnLKKotUANlKXa7yCgRcgq8HEzQYW8/edit?usp=sharing"",""พะเยา!L233"")+IMPORTRANGE(""https://docs.google.com/spreadsheets/d/1xfJKIQxVOaPDIICqsflNlL"&amp;"u3JacTDk1FP9RH4phX7mI/edit?usp=sharing"",""พิจิตร!L233"")+IMPORTRANGE(""https://docs.google.com/spreadsheets/d/1JtRfZkJMHtEhI5RdRHxYUG4FIZHqKDpNyIuN7A1Q0_k/edit?usp=sharing"",""พิษณุโลก!L233"")+IMPORTRANGE(""https://docs.google.com/spreadsheets/d/1xlcVZWU"&amp;"Nn6SuWm0c307h32SiGkd9BaeQWlAktfD3KO8/edit?usp=sharing"",""เพชรบูรณ์!L233"")+IMPORTRANGE(""https://docs.google.com/spreadsheets/d/1lOVebEIsI9qjGXl6EX66luk7wiuP2tBaryw-wKvv4e0/edit?usp=sharing"",""แพร่!L233"")+IMPORTRANGE(""https://docs.google.com/spreadshe"&amp;"ets/d/1dQrvX0vEcN7Gu0fnZ0B5S90AeR19zth4XlExFBeExMY/edit?usp=sharing"",""แม่ฮ่องสอน!L233"")+IMPORTRANGE(""https://docs.google.com/spreadsheets/d/1DY4XTNNwjluuxqdfdn6qvOSlMRrZqUtmYcZR0ttFiG4/edit?usp=sharing"",""ลำปาง!L233"")+IMPORTRANGE(""https://docs.goog"&amp;"le.com/spreadsheets/d/1ICwG78r0OFT8biBlxnBF8r7she7gNSzOvJ958PWT09c/edit?usp=sharing"",""ลำพูน!L233"")+IMPORTRANGE(""https://docs.google.com/spreadsheets/d/1B0f2xJpZUC6Z0xXnqKlZtEPzsf6L84eP1r1Q15seqRM/edit?usp=sharing"",""สุโขทัย!L233"")+IMPORTRANGE(""http"&amp;"s://docs.google.com/spreadsheets/d/1v0b9pFQCsKUVExMei7AgY2yQkdeNQvtOssygGsXbiKo/edit?usp=sharing"",""อุตรดิตถ์!L233"")+IMPORTRANGE(""https://docs.google.com/spreadsheets/d/1UsNK1e-WWiCo2PvGqdNfdme4m17_Ezd3J69EeeiQPD0/edit?usp=sharing"",""อุทัยธานี!L233"")"),71000)</f>
        <v>71000</v>
      </c>
      <c r="M233" s="46">
        <f ca="1">IFERROR(__xludf.DUMMYFUNCTION("IMPORTRANGE(""https://docs.google.com/spreadsheets/d/1jTcq05yEiRwXcBMLjiodW9e4biSGYWAHcDj22rKWQ3s/edit?usp=sharing"",""กำแพงเพชร!M233"")+IMPORTRANGE(""https://docs.google.com/spreadsheets/d/1KS0zmDSZPk8KnTAbGN-Xk6MtX1YRZD0ldgdt20K4CRk/edit?usp=sharing"","&amp;"""เชียงราย!M233"")+IMPORTRANGE(""https://docs.google.com/spreadsheets/d/1rEDxBtusbi64tE0zunoIbsTVV16HeL0oJ6trHQeQ7K8/edit?usp=sharing"",""เชียงใหม่!M233"")+IMPORTRANGE(""https://docs.google.com/spreadsheets/d/1W6MnUbDkMi6xHnHko_XkFDO9kkuL6Wqyc-6OCDFjW9I/e"&amp;"dit?usp=sharing"",""ตาก!M233"")+IMPORTRANGE(""https://docs.google.com/spreadsheets/d/1IQAWArduLkta9LpYo4a_ULsyqdta6-6aDDiwpUnQT6c/edit?usp=sharing"",""นครสวรรค์!M233"")+IMPORTRANGE(""https://docs.google.com/spreadsheets/d/10s13Sk5xrltsiR-Zkbmk5DwIaDIKO8Xl"&amp;"bJAfqyT7Gvg/edit?usp=sharing"",""น่าน!M233"")+IMPORTRANGE(""https://docs.google.com/spreadsheets/d/1uu4nAn4Dbi1XREnLKKotUANlKXa7yCgRcgq8HEzQYW8/edit?usp=sharing"",""พะเยา!M233"")+IMPORTRANGE(""https://docs.google.com/spreadsheets/d/1xfJKIQxVOaPDIICqsflNlL"&amp;"u3JacTDk1FP9RH4phX7mI/edit?usp=sharing"",""พิจิตร!M233"")+IMPORTRANGE(""https://docs.google.com/spreadsheets/d/1JtRfZkJMHtEhI5RdRHxYUG4FIZHqKDpNyIuN7A1Q0_k/edit?usp=sharing"",""พิษณุโลก!M233"")+IMPORTRANGE(""https://docs.google.com/spreadsheets/d/1xlcVZWU"&amp;"Nn6SuWm0c307h32SiGkd9BaeQWlAktfD3KO8/edit?usp=sharing"",""เพชรบูรณ์!M233"")+IMPORTRANGE(""https://docs.google.com/spreadsheets/d/1lOVebEIsI9qjGXl6EX66luk7wiuP2tBaryw-wKvv4e0/edit?usp=sharing"",""แพร่!M233"")+IMPORTRANGE(""https://docs.google.com/spreadshe"&amp;"ets/d/1dQrvX0vEcN7Gu0fnZ0B5S90AeR19zth4XlExFBeExMY/edit?usp=sharing"",""แม่ฮ่องสอน!M233"")+IMPORTRANGE(""https://docs.google.com/spreadsheets/d/1DY4XTNNwjluuxqdfdn6qvOSlMRrZqUtmYcZR0ttFiG4/edit?usp=sharing"",""ลำปาง!M233"")+IMPORTRANGE(""https://docs.goog"&amp;"le.com/spreadsheets/d/1ICwG78r0OFT8biBlxnBF8r7she7gNSzOvJ958PWT09c/edit?usp=sharing"",""ลำพูน!M233"")+IMPORTRANGE(""https://docs.google.com/spreadsheets/d/1B0f2xJpZUC6Z0xXnqKlZtEPzsf6L84eP1r1Q15seqRM/edit?usp=sharing"",""สุโขทัย!M233"")+IMPORTRANGE(""http"&amp;"s://docs.google.com/spreadsheets/d/1v0b9pFQCsKUVExMei7AgY2yQkdeNQvtOssygGsXbiKo/edit?usp=sharing"",""อุตรดิตถ์!M233"")+IMPORTRANGE(""https://docs.google.com/spreadsheets/d/1UsNK1e-WWiCo2PvGqdNfdme4m17_Ezd3J69EeeiQPD0/edit?usp=sharing"",""อุทัยธานี!M233"")"),0)</f>
        <v>0</v>
      </c>
      <c r="N233" s="46">
        <f ca="1">IFERROR(__xludf.DUMMYFUNCTION("IMPORTRANGE(""https://docs.google.com/spreadsheets/d/1jTcq05yEiRwXcBMLjiodW9e4biSGYWAHcDj22rKWQ3s/edit?usp=sharing"",""กำแพงเพชร!N233"")+IMPORTRANGE(""https://docs.google.com/spreadsheets/d/1KS0zmDSZPk8KnTAbGN-Xk6MtX1YRZD0ldgdt20K4CRk/edit?usp=sharing"","&amp;"""เชียงราย!N233"")+IMPORTRANGE(""https://docs.google.com/spreadsheets/d/1rEDxBtusbi64tE0zunoIbsTVV16HeL0oJ6trHQeQ7K8/edit?usp=sharing"",""เชียงใหม่!N233"")+IMPORTRANGE(""https://docs.google.com/spreadsheets/d/1W6MnUbDkMi6xHnHko_XkFDO9kkuL6Wqyc-6OCDFjW9I/e"&amp;"dit?usp=sharing"",""ตาก!N233"")+IMPORTRANGE(""https://docs.google.com/spreadsheets/d/1IQAWArduLkta9LpYo4a_ULsyqdta6-6aDDiwpUnQT6c/edit?usp=sharing"",""นครสวรรค์!N233"")+IMPORTRANGE(""https://docs.google.com/spreadsheets/d/10s13Sk5xrltsiR-Zkbmk5DwIaDIKO8Xl"&amp;"bJAfqyT7Gvg/edit?usp=sharing"",""น่าน!N233"")+IMPORTRANGE(""https://docs.google.com/spreadsheets/d/1uu4nAn4Dbi1XREnLKKotUANlKXa7yCgRcgq8HEzQYW8/edit?usp=sharing"",""พะเยา!N233"")+IMPORTRANGE(""https://docs.google.com/spreadsheets/d/1xfJKIQxVOaPDIICqsflNlL"&amp;"u3JacTDk1FP9RH4phX7mI/edit?usp=sharing"",""พิจิตร!N233"")+IMPORTRANGE(""https://docs.google.com/spreadsheets/d/1JtRfZkJMHtEhI5RdRHxYUG4FIZHqKDpNyIuN7A1Q0_k/edit?usp=sharing"",""พิษณุโลก!N233"")+IMPORTRANGE(""https://docs.google.com/spreadsheets/d/1xlcVZWU"&amp;"Nn6SuWm0c307h32SiGkd9BaeQWlAktfD3KO8/edit?usp=sharing"",""เพชรบูรณ์!N233"")+IMPORTRANGE(""https://docs.google.com/spreadsheets/d/1lOVebEIsI9qjGXl6EX66luk7wiuP2tBaryw-wKvv4e0/edit?usp=sharing"",""แพร่!N233"")+IMPORTRANGE(""https://docs.google.com/spreadshe"&amp;"ets/d/1dQrvX0vEcN7Gu0fnZ0B5S90AeR19zth4XlExFBeExMY/edit?usp=sharing"",""แม่ฮ่องสอน!N233"")+IMPORTRANGE(""https://docs.google.com/spreadsheets/d/1DY4XTNNwjluuxqdfdn6qvOSlMRrZqUtmYcZR0ttFiG4/edit?usp=sharing"",""ลำปาง!N233"")+IMPORTRANGE(""https://docs.goog"&amp;"le.com/spreadsheets/d/1ICwG78r0OFT8biBlxnBF8r7she7gNSzOvJ958PWT09c/edit?usp=sharing"",""ลำพูน!N233"")+IMPORTRANGE(""https://docs.google.com/spreadsheets/d/1B0f2xJpZUC6Z0xXnqKlZtEPzsf6L84eP1r1Q15seqRM/edit?usp=sharing"",""สุโขทัย!N233"")+IMPORTRANGE(""http"&amp;"s://docs.google.com/spreadsheets/d/1v0b9pFQCsKUVExMei7AgY2yQkdeNQvtOssygGsXbiKo/edit?usp=sharing"",""อุตรดิตถ์!N233"")+IMPORTRANGE(""https://docs.google.com/spreadsheets/d/1UsNK1e-WWiCo2PvGqdNfdme4m17_Ezd3J69EeeiQPD0/edit?usp=sharing"",""อุทัยธานี!N233"")"),52650)</f>
        <v>52650</v>
      </c>
      <c r="O233" s="45"/>
      <c r="P233" s="45"/>
      <c r="Q233" s="46">
        <f ca="1">IFERROR(__xludf.DUMMYFUNCTION("IMPORTRANGE(""https://docs.google.com/spreadsheets/d/1jTcq05yEiRwXcBMLjiodW9e4biSGYWAHcDj22rKWQ3s/edit?usp=sharing"",""กำแพงเพชร!Q233"")+IMPORTRANGE(""https://docs.google.com/spreadsheets/d/1KS0zmDSZPk8KnTAbGN-Xk6MtX1YRZD0ldgdt20K4CRk/edit?usp=sharing"","&amp;"""เชียงราย!Q233"")+IMPORTRANGE(""https://docs.google.com/spreadsheets/d/1rEDxBtusbi64tE0zunoIbsTVV16HeL0oJ6trHQeQ7K8/edit?usp=sharing"",""เชียงใหม่!Q233"")+IMPORTRANGE(""https://docs.google.com/spreadsheets/d/1W6MnUbDkMi6xHnHko_XkFDO9kkuL6Wqyc-6OCDFjW9I/e"&amp;"dit?usp=sharing"",""ตาก!Q233"")+IMPORTRANGE(""https://docs.google.com/spreadsheets/d/1IQAWArduLkta9LpYo4a_ULsyqdta6-6aDDiwpUnQT6c/edit?usp=sharing"",""นครสวรรค์!Q233"")+IMPORTRANGE(""https://docs.google.com/spreadsheets/d/10s13Sk5xrltsiR-Zkbmk5DwIaDIKO8Xl"&amp;"bJAfqyT7Gvg/edit?usp=sharing"",""น่าน!Q233"")+IMPORTRANGE(""https://docs.google.com/spreadsheets/d/1uu4nAn4Dbi1XREnLKKotUANlKXa7yCgRcgq8HEzQYW8/edit?usp=sharing"",""พะเยา!Q233"")+IMPORTRANGE(""https://docs.google.com/spreadsheets/d/1xfJKIQxVOaPDIICqsflNlL"&amp;"u3JacTDk1FP9RH4phX7mI/edit?usp=sharing"",""พิจิตร!Q233"")+IMPORTRANGE(""https://docs.google.com/spreadsheets/d/1JtRfZkJMHtEhI5RdRHxYUG4FIZHqKDpNyIuN7A1Q0_k/edit?usp=sharing"",""พิษณุโลก!Q233"")+IMPORTRANGE(""https://docs.google.com/spreadsheets/d/1xlcVZWU"&amp;"Nn6SuWm0c307h32SiGkd9BaeQWlAktfD3KO8/edit?usp=sharing"",""เพชรบูรณ์!Q233"")+IMPORTRANGE(""https://docs.google.com/spreadsheets/d/1lOVebEIsI9qjGXl6EX66luk7wiuP2tBaryw-wKvv4e0/edit?usp=sharing"",""แพร่!Q233"")+IMPORTRANGE(""https://docs.google.com/spreadshe"&amp;"ets/d/1dQrvX0vEcN7Gu0fnZ0B5S90AeR19zth4XlExFBeExMY/edit?usp=sharing"",""แม่ฮ่องสอน!Q233"")+IMPORTRANGE(""https://docs.google.com/spreadsheets/d/1DY4XTNNwjluuxqdfdn6qvOSlMRrZqUtmYcZR0ttFiG4/edit?usp=sharing"",""ลำปาง!Q233"")+IMPORTRANGE(""https://docs.goog"&amp;"le.com/spreadsheets/d/1ICwG78r0OFT8biBlxnBF8r7she7gNSzOvJ958PWT09c/edit?usp=sharing"",""ลำพูน!Q233"")+IMPORTRANGE(""https://docs.google.com/spreadsheets/d/1B0f2xJpZUC6Z0xXnqKlZtEPzsf6L84eP1r1Q15seqRM/edit?usp=sharing"",""สุโขทัย!Q233"")+IMPORTRANGE(""http"&amp;"s://docs.google.com/spreadsheets/d/1v0b9pFQCsKUVExMei7AgY2yQkdeNQvtOssygGsXbiKo/edit?usp=sharing"",""อุตรดิตถ์!Q233"")+IMPORTRANGE(""https://docs.google.com/spreadsheets/d/1UsNK1e-WWiCo2PvGqdNfdme4m17_Ezd3J69EeeiQPD0/edit?usp=sharing"",""อุทัยธานี!Q233"")"),0)</f>
        <v>0</v>
      </c>
      <c r="R233" s="46">
        <f ca="1">IFERROR(__xludf.DUMMYFUNCTION("IMPORTRANGE(""https://docs.google.com/spreadsheets/d/1jTcq05yEiRwXcBMLjiodW9e4biSGYWAHcDj22rKWQ3s/edit?usp=sharing"",""กำแพงเพชร!R233"")+IMPORTRANGE(""https://docs.google.com/spreadsheets/d/1KS0zmDSZPk8KnTAbGN-Xk6MtX1YRZD0ldgdt20K4CRk/edit?usp=sharing"","&amp;"""เชียงราย!R233"")+IMPORTRANGE(""https://docs.google.com/spreadsheets/d/1rEDxBtusbi64tE0zunoIbsTVV16HeL0oJ6trHQeQ7K8/edit?usp=sharing"",""เชียงใหม่!R233"")+IMPORTRANGE(""https://docs.google.com/spreadsheets/d/1W6MnUbDkMi6xHnHko_XkFDO9kkuL6Wqyc-6OCDFjW9I/e"&amp;"dit?usp=sharing"",""ตาก!R233"")+IMPORTRANGE(""https://docs.google.com/spreadsheets/d/1IQAWArduLkta9LpYo4a_ULsyqdta6-6aDDiwpUnQT6c/edit?usp=sharing"",""นครสวรรค์!R233"")+IMPORTRANGE(""https://docs.google.com/spreadsheets/d/10s13Sk5xrltsiR-Zkbmk5DwIaDIKO8Xl"&amp;"bJAfqyT7Gvg/edit?usp=sharing"",""น่าน!R233"")+IMPORTRANGE(""https://docs.google.com/spreadsheets/d/1uu4nAn4Dbi1XREnLKKotUANlKXa7yCgRcgq8HEzQYW8/edit?usp=sharing"",""พะเยา!R233"")+IMPORTRANGE(""https://docs.google.com/spreadsheets/d/1xfJKIQxVOaPDIICqsflNlL"&amp;"u3JacTDk1FP9RH4phX7mI/edit?usp=sharing"",""พิจิตร!R233"")+IMPORTRANGE(""https://docs.google.com/spreadsheets/d/1JtRfZkJMHtEhI5RdRHxYUG4FIZHqKDpNyIuN7A1Q0_k/edit?usp=sharing"",""พิษณุโลก!R233"")+IMPORTRANGE(""https://docs.google.com/spreadsheets/d/1xlcVZWU"&amp;"Nn6SuWm0c307h32SiGkd9BaeQWlAktfD3KO8/edit?usp=sharing"",""เพชรบูรณ์!R233"")+IMPORTRANGE(""https://docs.google.com/spreadsheets/d/1lOVebEIsI9qjGXl6EX66luk7wiuP2tBaryw-wKvv4e0/edit?usp=sharing"",""แพร่!R233"")+IMPORTRANGE(""https://docs.google.com/spreadshe"&amp;"ets/d/1dQrvX0vEcN7Gu0fnZ0B5S90AeR19zth4XlExFBeExMY/edit?usp=sharing"",""แม่ฮ่องสอน!R233"")+IMPORTRANGE(""https://docs.google.com/spreadsheets/d/1DY4XTNNwjluuxqdfdn6qvOSlMRrZqUtmYcZR0ttFiG4/edit?usp=sharing"",""ลำปาง!R233"")+IMPORTRANGE(""https://docs.goog"&amp;"le.com/spreadsheets/d/1ICwG78r0OFT8biBlxnBF8r7she7gNSzOvJ958PWT09c/edit?usp=sharing"",""ลำพูน!R233"")+IMPORTRANGE(""https://docs.google.com/spreadsheets/d/1B0f2xJpZUC6Z0xXnqKlZtEPzsf6L84eP1r1Q15seqRM/edit?usp=sharing"",""สุโขทัย!R233"")+IMPORTRANGE(""http"&amp;"s://docs.google.com/spreadsheets/d/1v0b9pFQCsKUVExMei7AgY2yQkdeNQvtOssygGsXbiKo/edit?usp=sharing"",""อุตรดิตถ์!R233"")+IMPORTRANGE(""https://docs.google.com/spreadsheets/d/1UsNK1e-WWiCo2PvGqdNfdme4m17_Ezd3J69EeeiQPD0/edit?usp=sharing"",""อุทัยธานี!R233"")"),0)</f>
        <v>0</v>
      </c>
      <c r="S233" s="46">
        <f ca="1">IFERROR(__xludf.DUMMYFUNCTION("IMPORTRANGE(""https://docs.google.com/spreadsheets/d/1jTcq05yEiRwXcBMLjiodW9e4biSGYWAHcDj22rKWQ3s/edit?usp=sharing"",""กำแพงเพชร!S233"")+IMPORTRANGE(""https://docs.google.com/spreadsheets/d/1KS0zmDSZPk8KnTAbGN-Xk6MtX1YRZD0ldgdt20K4CRk/edit?usp=sharing"","&amp;"""เชียงราย!S233"")+IMPORTRANGE(""https://docs.google.com/spreadsheets/d/1rEDxBtusbi64tE0zunoIbsTVV16HeL0oJ6trHQeQ7K8/edit?usp=sharing"",""เชียงใหม่!S233"")+IMPORTRANGE(""https://docs.google.com/spreadsheets/d/1W6MnUbDkMi6xHnHko_XkFDO9kkuL6Wqyc-6OCDFjW9I/e"&amp;"dit?usp=sharing"",""ตาก!S233"")+IMPORTRANGE(""https://docs.google.com/spreadsheets/d/1IQAWArduLkta9LpYo4a_ULsyqdta6-6aDDiwpUnQT6c/edit?usp=sharing"",""นครสวรรค์!S233"")+IMPORTRANGE(""https://docs.google.com/spreadsheets/d/10s13Sk5xrltsiR-Zkbmk5DwIaDIKO8Xl"&amp;"bJAfqyT7Gvg/edit?usp=sharing"",""น่าน!S233"")+IMPORTRANGE(""https://docs.google.com/spreadsheets/d/1uu4nAn4Dbi1XREnLKKotUANlKXa7yCgRcgq8HEzQYW8/edit?usp=sharing"",""พะเยา!S233"")+IMPORTRANGE(""https://docs.google.com/spreadsheets/d/1xfJKIQxVOaPDIICqsflNlL"&amp;"u3JacTDk1FP9RH4phX7mI/edit?usp=sharing"",""พิจิตร!S233"")+IMPORTRANGE(""https://docs.google.com/spreadsheets/d/1JtRfZkJMHtEhI5RdRHxYUG4FIZHqKDpNyIuN7A1Q0_k/edit?usp=sharing"",""พิษณุโลก!S233"")+IMPORTRANGE(""https://docs.google.com/spreadsheets/d/1xlcVZWU"&amp;"Nn6SuWm0c307h32SiGkd9BaeQWlAktfD3KO8/edit?usp=sharing"",""เพชรบูรณ์!S233"")+IMPORTRANGE(""https://docs.google.com/spreadsheets/d/1lOVebEIsI9qjGXl6EX66luk7wiuP2tBaryw-wKvv4e0/edit?usp=sharing"",""แพร่!S233"")+IMPORTRANGE(""https://docs.google.com/spreadshe"&amp;"ets/d/1dQrvX0vEcN7Gu0fnZ0B5S90AeR19zth4XlExFBeExMY/edit?usp=sharing"",""แม่ฮ่องสอน!S233"")+IMPORTRANGE(""https://docs.google.com/spreadsheets/d/1DY4XTNNwjluuxqdfdn6qvOSlMRrZqUtmYcZR0ttFiG4/edit?usp=sharing"",""ลำปาง!S233"")+IMPORTRANGE(""https://docs.goog"&amp;"le.com/spreadsheets/d/1ICwG78r0OFT8biBlxnBF8r7she7gNSzOvJ958PWT09c/edit?usp=sharing"",""ลำพูน!S233"")+IMPORTRANGE(""https://docs.google.com/spreadsheets/d/1B0f2xJpZUC6Z0xXnqKlZtEPzsf6L84eP1r1Q15seqRM/edit?usp=sharing"",""สุโขทัย!S233"")+IMPORTRANGE(""http"&amp;"s://docs.google.com/spreadsheets/d/1v0b9pFQCsKUVExMei7AgY2yQkdeNQvtOssygGsXbiKo/edit?usp=sharing"",""อุตรดิตถ์!S233"")+IMPORTRANGE(""https://docs.google.com/spreadsheets/d/1UsNK1e-WWiCo2PvGqdNfdme4m17_Ezd3J69EeeiQPD0/edit?usp=sharing"",""อุทัยธานี!S233"")"),0)</f>
        <v>0</v>
      </c>
      <c r="T233" s="46"/>
      <c r="U233" s="46"/>
    </row>
    <row r="234" spans="1:21" ht="18.75" x14ac:dyDescent="0.25">
      <c r="A234" s="208"/>
      <c r="B234" s="158"/>
      <c r="C234" s="158"/>
      <c r="D234" s="47" t="s">
        <v>88</v>
      </c>
      <c r="E234" s="40"/>
      <c r="F234" s="40"/>
      <c r="G234" s="42"/>
      <c r="H234" s="134" t="s">
        <v>14</v>
      </c>
      <c r="I234" s="44"/>
      <c r="J234" s="44"/>
      <c r="K234" s="45"/>
      <c r="L234" s="46">
        <f ca="1">IFERROR(__xludf.DUMMYFUNCTION("IMPORTRANGE(""https://docs.google.com/spreadsheets/d/1jTcq05yEiRwXcBMLjiodW9e4biSGYWAHcDj22rKWQ3s/edit?usp=sharing"",""กำแพงเพชร!L234"")+IMPORTRANGE(""https://docs.google.com/spreadsheets/d/1KS0zmDSZPk8KnTAbGN-Xk6MtX1YRZD0ldgdt20K4CRk/edit?usp=sharing"","&amp;"""เชียงราย!L234"")+IMPORTRANGE(""https://docs.google.com/spreadsheets/d/1rEDxBtusbi64tE0zunoIbsTVV16HeL0oJ6trHQeQ7K8/edit?usp=sharing"",""เชียงใหม่!L234"")+IMPORTRANGE(""https://docs.google.com/spreadsheets/d/1W6MnUbDkMi6xHnHko_XkFDO9kkuL6Wqyc-6OCDFjW9I/e"&amp;"dit?usp=sharing"",""ตาก!L234"")+IMPORTRANGE(""https://docs.google.com/spreadsheets/d/1IQAWArduLkta9LpYo4a_ULsyqdta6-6aDDiwpUnQT6c/edit?usp=sharing"",""นครสวรรค์!L234"")+IMPORTRANGE(""https://docs.google.com/spreadsheets/d/10s13Sk5xrltsiR-Zkbmk5DwIaDIKO8Xl"&amp;"bJAfqyT7Gvg/edit?usp=sharing"",""น่าน!L234"")+IMPORTRANGE(""https://docs.google.com/spreadsheets/d/1uu4nAn4Dbi1XREnLKKotUANlKXa7yCgRcgq8HEzQYW8/edit?usp=sharing"",""พะเยา!L234"")+IMPORTRANGE(""https://docs.google.com/spreadsheets/d/1xfJKIQxVOaPDIICqsflNlL"&amp;"u3JacTDk1FP9RH4phX7mI/edit?usp=sharing"",""พิจิตร!L234"")+IMPORTRANGE(""https://docs.google.com/spreadsheets/d/1JtRfZkJMHtEhI5RdRHxYUG4FIZHqKDpNyIuN7A1Q0_k/edit?usp=sharing"",""พิษณุโลก!L234"")+IMPORTRANGE(""https://docs.google.com/spreadsheets/d/1xlcVZWU"&amp;"Nn6SuWm0c307h32SiGkd9BaeQWlAktfD3KO8/edit?usp=sharing"",""เพชรบูรณ์!L234"")+IMPORTRANGE(""https://docs.google.com/spreadsheets/d/1lOVebEIsI9qjGXl6EX66luk7wiuP2tBaryw-wKvv4e0/edit?usp=sharing"",""แพร่!L234"")+IMPORTRANGE(""https://docs.google.com/spreadshe"&amp;"ets/d/1dQrvX0vEcN7Gu0fnZ0B5S90AeR19zth4XlExFBeExMY/edit?usp=sharing"",""แม่ฮ่องสอน!L234"")+IMPORTRANGE(""https://docs.google.com/spreadsheets/d/1DY4XTNNwjluuxqdfdn6qvOSlMRrZqUtmYcZR0ttFiG4/edit?usp=sharing"",""ลำปาง!L234"")+IMPORTRANGE(""https://docs.goog"&amp;"le.com/spreadsheets/d/1ICwG78r0OFT8biBlxnBF8r7she7gNSzOvJ958PWT09c/edit?usp=sharing"",""ลำพูน!L234"")+IMPORTRANGE(""https://docs.google.com/spreadsheets/d/1B0f2xJpZUC6Z0xXnqKlZtEPzsf6L84eP1r1Q15seqRM/edit?usp=sharing"",""สุโขทัย!L234"")+IMPORTRANGE(""http"&amp;"s://docs.google.com/spreadsheets/d/1v0b9pFQCsKUVExMei7AgY2yQkdeNQvtOssygGsXbiKo/edit?usp=sharing"",""อุตรดิตถ์!L234"")+IMPORTRANGE(""https://docs.google.com/spreadsheets/d/1UsNK1e-WWiCo2PvGqdNfdme4m17_Ezd3J69EeeiQPD0/edit?usp=sharing"",""อุทัยธานี!L234"")"),615300)</f>
        <v>615300</v>
      </c>
      <c r="M234" s="46">
        <f ca="1">IFERROR(__xludf.DUMMYFUNCTION("IMPORTRANGE(""https://docs.google.com/spreadsheets/d/1jTcq05yEiRwXcBMLjiodW9e4biSGYWAHcDj22rKWQ3s/edit?usp=sharing"",""กำแพงเพชร!M234"")+IMPORTRANGE(""https://docs.google.com/spreadsheets/d/1KS0zmDSZPk8KnTAbGN-Xk6MtX1YRZD0ldgdt20K4CRk/edit?usp=sharing"","&amp;"""เชียงราย!M234"")+IMPORTRANGE(""https://docs.google.com/spreadsheets/d/1rEDxBtusbi64tE0zunoIbsTVV16HeL0oJ6trHQeQ7K8/edit?usp=sharing"",""เชียงใหม่!M234"")+IMPORTRANGE(""https://docs.google.com/spreadsheets/d/1W6MnUbDkMi6xHnHko_XkFDO9kkuL6Wqyc-6OCDFjW9I/e"&amp;"dit?usp=sharing"",""ตาก!M234"")+IMPORTRANGE(""https://docs.google.com/spreadsheets/d/1IQAWArduLkta9LpYo4a_ULsyqdta6-6aDDiwpUnQT6c/edit?usp=sharing"",""นครสวรรค์!M234"")+IMPORTRANGE(""https://docs.google.com/spreadsheets/d/10s13Sk5xrltsiR-Zkbmk5DwIaDIKO8Xl"&amp;"bJAfqyT7Gvg/edit?usp=sharing"",""น่าน!M234"")+IMPORTRANGE(""https://docs.google.com/spreadsheets/d/1uu4nAn4Dbi1XREnLKKotUANlKXa7yCgRcgq8HEzQYW8/edit?usp=sharing"",""พะเยา!M234"")+IMPORTRANGE(""https://docs.google.com/spreadsheets/d/1xfJKIQxVOaPDIICqsflNlL"&amp;"u3JacTDk1FP9RH4phX7mI/edit?usp=sharing"",""พิจิตร!M234"")+IMPORTRANGE(""https://docs.google.com/spreadsheets/d/1JtRfZkJMHtEhI5RdRHxYUG4FIZHqKDpNyIuN7A1Q0_k/edit?usp=sharing"",""พิษณุโลก!M234"")+IMPORTRANGE(""https://docs.google.com/spreadsheets/d/1xlcVZWU"&amp;"Nn6SuWm0c307h32SiGkd9BaeQWlAktfD3KO8/edit?usp=sharing"",""เพชรบูรณ์!M234"")+IMPORTRANGE(""https://docs.google.com/spreadsheets/d/1lOVebEIsI9qjGXl6EX66luk7wiuP2tBaryw-wKvv4e0/edit?usp=sharing"",""แพร่!M234"")+IMPORTRANGE(""https://docs.google.com/spreadshe"&amp;"ets/d/1dQrvX0vEcN7Gu0fnZ0B5S90AeR19zth4XlExFBeExMY/edit?usp=sharing"",""แม่ฮ่องสอน!M234"")+IMPORTRANGE(""https://docs.google.com/spreadsheets/d/1DY4XTNNwjluuxqdfdn6qvOSlMRrZqUtmYcZR0ttFiG4/edit?usp=sharing"",""ลำปาง!M234"")+IMPORTRANGE(""https://docs.goog"&amp;"le.com/spreadsheets/d/1ICwG78r0OFT8biBlxnBF8r7she7gNSzOvJ958PWT09c/edit?usp=sharing"",""ลำพูน!M234"")+IMPORTRANGE(""https://docs.google.com/spreadsheets/d/1B0f2xJpZUC6Z0xXnqKlZtEPzsf6L84eP1r1Q15seqRM/edit?usp=sharing"",""สุโขทัย!M234"")+IMPORTRANGE(""http"&amp;"s://docs.google.com/spreadsheets/d/1v0b9pFQCsKUVExMei7AgY2yQkdeNQvtOssygGsXbiKo/edit?usp=sharing"",""อุตรดิตถ์!M234"")+IMPORTRANGE(""https://docs.google.com/spreadsheets/d/1UsNK1e-WWiCo2PvGqdNfdme4m17_Ezd3J69EeeiQPD0/edit?usp=sharing"",""อุทัยธานี!M234"")"),0)</f>
        <v>0</v>
      </c>
      <c r="N234" s="46">
        <f ca="1">IFERROR(__xludf.DUMMYFUNCTION("IMPORTRANGE(""https://docs.google.com/spreadsheets/d/1jTcq05yEiRwXcBMLjiodW9e4biSGYWAHcDj22rKWQ3s/edit?usp=sharing"",""กำแพงเพชร!N234"")+IMPORTRANGE(""https://docs.google.com/spreadsheets/d/1KS0zmDSZPk8KnTAbGN-Xk6MtX1YRZD0ldgdt20K4CRk/edit?usp=sharing"","&amp;"""เชียงราย!N234"")+IMPORTRANGE(""https://docs.google.com/spreadsheets/d/1rEDxBtusbi64tE0zunoIbsTVV16HeL0oJ6trHQeQ7K8/edit?usp=sharing"",""เชียงใหม่!N234"")+IMPORTRANGE(""https://docs.google.com/spreadsheets/d/1W6MnUbDkMi6xHnHko_XkFDO9kkuL6Wqyc-6OCDFjW9I/e"&amp;"dit?usp=sharing"",""ตาก!N234"")+IMPORTRANGE(""https://docs.google.com/spreadsheets/d/1IQAWArduLkta9LpYo4a_ULsyqdta6-6aDDiwpUnQT6c/edit?usp=sharing"",""นครสวรรค์!N234"")+IMPORTRANGE(""https://docs.google.com/spreadsheets/d/10s13Sk5xrltsiR-Zkbmk5DwIaDIKO8Xl"&amp;"bJAfqyT7Gvg/edit?usp=sharing"",""น่าน!N234"")+IMPORTRANGE(""https://docs.google.com/spreadsheets/d/1uu4nAn4Dbi1XREnLKKotUANlKXa7yCgRcgq8HEzQYW8/edit?usp=sharing"",""พะเยา!N234"")+IMPORTRANGE(""https://docs.google.com/spreadsheets/d/1xfJKIQxVOaPDIICqsflNlL"&amp;"u3JacTDk1FP9RH4phX7mI/edit?usp=sharing"",""พิจิตร!N234"")+IMPORTRANGE(""https://docs.google.com/spreadsheets/d/1JtRfZkJMHtEhI5RdRHxYUG4FIZHqKDpNyIuN7A1Q0_k/edit?usp=sharing"",""พิษณุโลก!N234"")+IMPORTRANGE(""https://docs.google.com/spreadsheets/d/1xlcVZWU"&amp;"Nn6SuWm0c307h32SiGkd9BaeQWlAktfD3KO8/edit?usp=sharing"",""เพชรบูรณ์!N234"")+IMPORTRANGE(""https://docs.google.com/spreadsheets/d/1lOVebEIsI9qjGXl6EX66luk7wiuP2tBaryw-wKvv4e0/edit?usp=sharing"",""แพร่!N234"")+IMPORTRANGE(""https://docs.google.com/spreadshe"&amp;"ets/d/1dQrvX0vEcN7Gu0fnZ0B5S90AeR19zth4XlExFBeExMY/edit?usp=sharing"",""แม่ฮ่องสอน!N234"")+IMPORTRANGE(""https://docs.google.com/spreadsheets/d/1DY4XTNNwjluuxqdfdn6qvOSlMRrZqUtmYcZR0ttFiG4/edit?usp=sharing"",""ลำปาง!N234"")+IMPORTRANGE(""https://docs.goog"&amp;"le.com/spreadsheets/d/1ICwG78r0OFT8biBlxnBF8r7she7gNSzOvJ958PWT09c/edit?usp=sharing"",""ลำพูน!N234"")+IMPORTRANGE(""https://docs.google.com/spreadsheets/d/1B0f2xJpZUC6Z0xXnqKlZtEPzsf6L84eP1r1Q15seqRM/edit?usp=sharing"",""สุโขทัย!N234"")+IMPORTRANGE(""http"&amp;"s://docs.google.com/spreadsheets/d/1v0b9pFQCsKUVExMei7AgY2yQkdeNQvtOssygGsXbiKo/edit?usp=sharing"",""อุตรดิตถ์!N234"")+IMPORTRANGE(""https://docs.google.com/spreadsheets/d/1UsNK1e-WWiCo2PvGqdNfdme4m17_Ezd3J69EeeiQPD0/edit?usp=sharing"",""อุทัยธานี!N234"")"),488216.7)</f>
        <v>488216.7</v>
      </c>
      <c r="O234" s="45"/>
      <c r="P234" s="45"/>
      <c r="Q234" s="46">
        <f ca="1">IFERROR(__xludf.DUMMYFUNCTION("IMPORTRANGE(""https://docs.google.com/spreadsheets/d/1jTcq05yEiRwXcBMLjiodW9e4biSGYWAHcDj22rKWQ3s/edit?usp=sharing"",""กำแพงเพชร!Q234"")+IMPORTRANGE(""https://docs.google.com/spreadsheets/d/1KS0zmDSZPk8KnTAbGN-Xk6MtX1YRZD0ldgdt20K4CRk/edit?usp=sharing"","&amp;"""เชียงราย!Q234"")+IMPORTRANGE(""https://docs.google.com/spreadsheets/d/1rEDxBtusbi64tE0zunoIbsTVV16HeL0oJ6trHQeQ7K8/edit?usp=sharing"",""เชียงใหม่!Q234"")+IMPORTRANGE(""https://docs.google.com/spreadsheets/d/1W6MnUbDkMi6xHnHko_XkFDO9kkuL6Wqyc-6OCDFjW9I/e"&amp;"dit?usp=sharing"",""ตาก!Q234"")+IMPORTRANGE(""https://docs.google.com/spreadsheets/d/1IQAWArduLkta9LpYo4a_ULsyqdta6-6aDDiwpUnQT6c/edit?usp=sharing"",""นครสวรรค์!Q234"")+IMPORTRANGE(""https://docs.google.com/spreadsheets/d/10s13Sk5xrltsiR-Zkbmk5DwIaDIKO8Xl"&amp;"bJAfqyT7Gvg/edit?usp=sharing"",""น่าน!Q234"")+IMPORTRANGE(""https://docs.google.com/spreadsheets/d/1uu4nAn4Dbi1XREnLKKotUANlKXa7yCgRcgq8HEzQYW8/edit?usp=sharing"",""พะเยา!Q234"")+IMPORTRANGE(""https://docs.google.com/spreadsheets/d/1xfJKIQxVOaPDIICqsflNlL"&amp;"u3JacTDk1FP9RH4phX7mI/edit?usp=sharing"",""พิจิตร!Q234"")+IMPORTRANGE(""https://docs.google.com/spreadsheets/d/1JtRfZkJMHtEhI5RdRHxYUG4FIZHqKDpNyIuN7A1Q0_k/edit?usp=sharing"",""พิษณุโลก!Q234"")+IMPORTRANGE(""https://docs.google.com/spreadsheets/d/1xlcVZWU"&amp;"Nn6SuWm0c307h32SiGkd9BaeQWlAktfD3KO8/edit?usp=sharing"",""เพชรบูรณ์!Q234"")+IMPORTRANGE(""https://docs.google.com/spreadsheets/d/1lOVebEIsI9qjGXl6EX66luk7wiuP2tBaryw-wKvv4e0/edit?usp=sharing"",""แพร่!Q234"")+IMPORTRANGE(""https://docs.google.com/spreadshe"&amp;"ets/d/1dQrvX0vEcN7Gu0fnZ0B5S90AeR19zth4XlExFBeExMY/edit?usp=sharing"",""แม่ฮ่องสอน!Q234"")+IMPORTRANGE(""https://docs.google.com/spreadsheets/d/1DY4XTNNwjluuxqdfdn6qvOSlMRrZqUtmYcZR0ttFiG4/edit?usp=sharing"",""ลำปาง!Q234"")+IMPORTRANGE(""https://docs.goog"&amp;"le.com/spreadsheets/d/1ICwG78r0OFT8biBlxnBF8r7she7gNSzOvJ958PWT09c/edit?usp=sharing"",""ลำพูน!Q234"")+IMPORTRANGE(""https://docs.google.com/spreadsheets/d/1B0f2xJpZUC6Z0xXnqKlZtEPzsf6L84eP1r1Q15seqRM/edit?usp=sharing"",""สุโขทัย!Q234"")+IMPORTRANGE(""http"&amp;"s://docs.google.com/spreadsheets/d/1v0b9pFQCsKUVExMei7AgY2yQkdeNQvtOssygGsXbiKo/edit?usp=sharing"",""อุตรดิตถ์!Q234"")+IMPORTRANGE(""https://docs.google.com/spreadsheets/d/1UsNK1e-WWiCo2PvGqdNfdme4m17_Ezd3J69EeeiQPD0/edit?usp=sharing"",""อุทัยธานี!Q234"")"),0)</f>
        <v>0</v>
      </c>
      <c r="R234" s="46">
        <f ca="1">IFERROR(__xludf.DUMMYFUNCTION("IMPORTRANGE(""https://docs.google.com/spreadsheets/d/1jTcq05yEiRwXcBMLjiodW9e4biSGYWAHcDj22rKWQ3s/edit?usp=sharing"",""กำแพงเพชร!R234"")+IMPORTRANGE(""https://docs.google.com/spreadsheets/d/1KS0zmDSZPk8KnTAbGN-Xk6MtX1YRZD0ldgdt20K4CRk/edit?usp=sharing"","&amp;"""เชียงราย!R234"")+IMPORTRANGE(""https://docs.google.com/spreadsheets/d/1rEDxBtusbi64tE0zunoIbsTVV16HeL0oJ6trHQeQ7K8/edit?usp=sharing"",""เชียงใหม่!R234"")+IMPORTRANGE(""https://docs.google.com/spreadsheets/d/1W6MnUbDkMi6xHnHko_XkFDO9kkuL6Wqyc-6OCDFjW9I/e"&amp;"dit?usp=sharing"",""ตาก!R234"")+IMPORTRANGE(""https://docs.google.com/spreadsheets/d/1IQAWArduLkta9LpYo4a_ULsyqdta6-6aDDiwpUnQT6c/edit?usp=sharing"",""นครสวรรค์!R234"")+IMPORTRANGE(""https://docs.google.com/spreadsheets/d/10s13Sk5xrltsiR-Zkbmk5DwIaDIKO8Xl"&amp;"bJAfqyT7Gvg/edit?usp=sharing"",""น่าน!R234"")+IMPORTRANGE(""https://docs.google.com/spreadsheets/d/1uu4nAn4Dbi1XREnLKKotUANlKXa7yCgRcgq8HEzQYW8/edit?usp=sharing"",""พะเยา!R234"")+IMPORTRANGE(""https://docs.google.com/spreadsheets/d/1xfJKIQxVOaPDIICqsflNlL"&amp;"u3JacTDk1FP9RH4phX7mI/edit?usp=sharing"",""พิจิตร!R234"")+IMPORTRANGE(""https://docs.google.com/spreadsheets/d/1JtRfZkJMHtEhI5RdRHxYUG4FIZHqKDpNyIuN7A1Q0_k/edit?usp=sharing"",""พิษณุโลก!R234"")+IMPORTRANGE(""https://docs.google.com/spreadsheets/d/1xlcVZWU"&amp;"Nn6SuWm0c307h32SiGkd9BaeQWlAktfD3KO8/edit?usp=sharing"",""เพชรบูรณ์!R234"")+IMPORTRANGE(""https://docs.google.com/spreadsheets/d/1lOVebEIsI9qjGXl6EX66luk7wiuP2tBaryw-wKvv4e0/edit?usp=sharing"",""แพร่!R234"")+IMPORTRANGE(""https://docs.google.com/spreadshe"&amp;"ets/d/1dQrvX0vEcN7Gu0fnZ0B5S90AeR19zth4XlExFBeExMY/edit?usp=sharing"",""แม่ฮ่องสอน!R234"")+IMPORTRANGE(""https://docs.google.com/spreadsheets/d/1DY4XTNNwjluuxqdfdn6qvOSlMRrZqUtmYcZR0ttFiG4/edit?usp=sharing"",""ลำปาง!R234"")+IMPORTRANGE(""https://docs.goog"&amp;"le.com/spreadsheets/d/1ICwG78r0OFT8biBlxnBF8r7she7gNSzOvJ958PWT09c/edit?usp=sharing"",""ลำพูน!R234"")+IMPORTRANGE(""https://docs.google.com/spreadsheets/d/1B0f2xJpZUC6Z0xXnqKlZtEPzsf6L84eP1r1Q15seqRM/edit?usp=sharing"",""สุโขทัย!R234"")+IMPORTRANGE(""http"&amp;"s://docs.google.com/spreadsheets/d/1v0b9pFQCsKUVExMei7AgY2yQkdeNQvtOssygGsXbiKo/edit?usp=sharing"",""อุตรดิตถ์!R234"")+IMPORTRANGE(""https://docs.google.com/spreadsheets/d/1UsNK1e-WWiCo2PvGqdNfdme4m17_Ezd3J69EeeiQPD0/edit?usp=sharing"",""อุทัยธานี!R234"")"),0)</f>
        <v>0</v>
      </c>
      <c r="S234" s="46">
        <f ca="1">IFERROR(__xludf.DUMMYFUNCTION("IMPORTRANGE(""https://docs.google.com/spreadsheets/d/1jTcq05yEiRwXcBMLjiodW9e4biSGYWAHcDj22rKWQ3s/edit?usp=sharing"",""กำแพงเพชร!S234"")+IMPORTRANGE(""https://docs.google.com/spreadsheets/d/1KS0zmDSZPk8KnTAbGN-Xk6MtX1YRZD0ldgdt20K4CRk/edit?usp=sharing"","&amp;"""เชียงราย!S234"")+IMPORTRANGE(""https://docs.google.com/spreadsheets/d/1rEDxBtusbi64tE0zunoIbsTVV16HeL0oJ6trHQeQ7K8/edit?usp=sharing"",""เชียงใหม่!S234"")+IMPORTRANGE(""https://docs.google.com/spreadsheets/d/1W6MnUbDkMi6xHnHko_XkFDO9kkuL6Wqyc-6OCDFjW9I/e"&amp;"dit?usp=sharing"",""ตาก!S234"")+IMPORTRANGE(""https://docs.google.com/spreadsheets/d/1IQAWArduLkta9LpYo4a_ULsyqdta6-6aDDiwpUnQT6c/edit?usp=sharing"",""นครสวรรค์!S234"")+IMPORTRANGE(""https://docs.google.com/spreadsheets/d/10s13Sk5xrltsiR-Zkbmk5DwIaDIKO8Xl"&amp;"bJAfqyT7Gvg/edit?usp=sharing"",""น่าน!S234"")+IMPORTRANGE(""https://docs.google.com/spreadsheets/d/1uu4nAn4Dbi1XREnLKKotUANlKXa7yCgRcgq8HEzQYW8/edit?usp=sharing"",""พะเยา!S234"")+IMPORTRANGE(""https://docs.google.com/spreadsheets/d/1xfJKIQxVOaPDIICqsflNlL"&amp;"u3JacTDk1FP9RH4phX7mI/edit?usp=sharing"",""พิจิตร!S234"")+IMPORTRANGE(""https://docs.google.com/spreadsheets/d/1JtRfZkJMHtEhI5RdRHxYUG4FIZHqKDpNyIuN7A1Q0_k/edit?usp=sharing"",""พิษณุโลก!S234"")+IMPORTRANGE(""https://docs.google.com/spreadsheets/d/1xlcVZWU"&amp;"Nn6SuWm0c307h32SiGkd9BaeQWlAktfD3KO8/edit?usp=sharing"",""เพชรบูรณ์!S234"")+IMPORTRANGE(""https://docs.google.com/spreadsheets/d/1lOVebEIsI9qjGXl6EX66luk7wiuP2tBaryw-wKvv4e0/edit?usp=sharing"",""แพร่!S234"")+IMPORTRANGE(""https://docs.google.com/spreadshe"&amp;"ets/d/1dQrvX0vEcN7Gu0fnZ0B5S90AeR19zth4XlExFBeExMY/edit?usp=sharing"",""แม่ฮ่องสอน!S234"")+IMPORTRANGE(""https://docs.google.com/spreadsheets/d/1DY4XTNNwjluuxqdfdn6qvOSlMRrZqUtmYcZR0ttFiG4/edit?usp=sharing"",""ลำปาง!S234"")+IMPORTRANGE(""https://docs.goog"&amp;"le.com/spreadsheets/d/1ICwG78r0OFT8biBlxnBF8r7she7gNSzOvJ958PWT09c/edit?usp=sharing"",""ลำพูน!S234"")+IMPORTRANGE(""https://docs.google.com/spreadsheets/d/1B0f2xJpZUC6Z0xXnqKlZtEPzsf6L84eP1r1Q15seqRM/edit?usp=sharing"",""สุโขทัย!S234"")+IMPORTRANGE(""http"&amp;"s://docs.google.com/spreadsheets/d/1v0b9pFQCsKUVExMei7AgY2yQkdeNQvtOssygGsXbiKo/edit?usp=sharing"",""อุตรดิตถ์!S234"")+IMPORTRANGE(""https://docs.google.com/spreadsheets/d/1UsNK1e-WWiCo2PvGqdNfdme4m17_Ezd3J69EeeiQPD0/edit?usp=sharing"",""อุทัยธานี!S234"")"),0)</f>
        <v>0</v>
      </c>
      <c r="T234" s="46"/>
      <c r="U234" s="46"/>
    </row>
    <row r="235" spans="1:21" ht="18.75" x14ac:dyDescent="0.25">
      <c r="A235" s="208"/>
      <c r="B235" s="158"/>
      <c r="C235" s="158"/>
      <c r="D235" s="47" t="s">
        <v>106</v>
      </c>
      <c r="E235" s="40"/>
      <c r="F235" s="40"/>
      <c r="G235" s="42"/>
      <c r="H235" s="134" t="s">
        <v>14</v>
      </c>
      <c r="I235" s="44"/>
      <c r="J235" s="44"/>
      <c r="K235" s="45"/>
      <c r="L235" s="46">
        <f ca="1">IFERROR(__xludf.DUMMYFUNCTION("IMPORTRANGE(""https://docs.google.com/spreadsheets/d/1jTcq05yEiRwXcBMLjiodW9e4biSGYWAHcDj22rKWQ3s/edit?usp=sharing"",""กำแพงเพชร!L235"")+IMPORTRANGE(""https://docs.google.com/spreadsheets/d/1KS0zmDSZPk8KnTAbGN-Xk6MtX1YRZD0ldgdt20K4CRk/edit?usp=sharing"","&amp;"""เชียงราย!L235"")+IMPORTRANGE(""https://docs.google.com/spreadsheets/d/1rEDxBtusbi64tE0zunoIbsTVV16HeL0oJ6trHQeQ7K8/edit?usp=sharing"",""เชียงใหม่!L235"")+IMPORTRANGE(""https://docs.google.com/spreadsheets/d/1W6MnUbDkMi6xHnHko_XkFDO9kkuL6Wqyc-6OCDFjW9I/e"&amp;"dit?usp=sharing"",""ตาก!L235"")+IMPORTRANGE(""https://docs.google.com/spreadsheets/d/1IQAWArduLkta9LpYo4a_ULsyqdta6-6aDDiwpUnQT6c/edit?usp=sharing"",""นครสวรรค์!L235"")+IMPORTRANGE(""https://docs.google.com/spreadsheets/d/10s13Sk5xrltsiR-Zkbmk5DwIaDIKO8Xl"&amp;"bJAfqyT7Gvg/edit?usp=sharing"",""น่าน!L235"")+IMPORTRANGE(""https://docs.google.com/spreadsheets/d/1uu4nAn4Dbi1XREnLKKotUANlKXa7yCgRcgq8HEzQYW8/edit?usp=sharing"",""พะเยา!L235"")+IMPORTRANGE(""https://docs.google.com/spreadsheets/d/1xfJKIQxVOaPDIICqsflNlL"&amp;"u3JacTDk1FP9RH4phX7mI/edit?usp=sharing"",""พิจิตร!L235"")+IMPORTRANGE(""https://docs.google.com/spreadsheets/d/1JtRfZkJMHtEhI5RdRHxYUG4FIZHqKDpNyIuN7A1Q0_k/edit?usp=sharing"",""พิษณุโลก!L235"")+IMPORTRANGE(""https://docs.google.com/spreadsheets/d/1xlcVZWU"&amp;"Nn6SuWm0c307h32SiGkd9BaeQWlAktfD3KO8/edit?usp=sharing"",""เพชรบูรณ์!L235"")+IMPORTRANGE(""https://docs.google.com/spreadsheets/d/1lOVebEIsI9qjGXl6EX66luk7wiuP2tBaryw-wKvv4e0/edit?usp=sharing"",""แพร่!L235"")+IMPORTRANGE(""https://docs.google.com/spreadshe"&amp;"ets/d/1dQrvX0vEcN7Gu0fnZ0B5S90AeR19zth4XlExFBeExMY/edit?usp=sharing"",""แม่ฮ่องสอน!L235"")+IMPORTRANGE(""https://docs.google.com/spreadsheets/d/1DY4XTNNwjluuxqdfdn6qvOSlMRrZqUtmYcZR0ttFiG4/edit?usp=sharing"",""ลำปาง!L235"")+IMPORTRANGE(""https://docs.goog"&amp;"le.com/spreadsheets/d/1ICwG78r0OFT8biBlxnBF8r7she7gNSzOvJ958PWT09c/edit?usp=sharing"",""ลำพูน!L235"")+IMPORTRANGE(""https://docs.google.com/spreadsheets/d/1B0f2xJpZUC6Z0xXnqKlZtEPzsf6L84eP1r1Q15seqRM/edit?usp=sharing"",""สุโขทัย!L235"")+IMPORTRANGE(""http"&amp;"s://docs.google.com/spreadsheets/d/1v0b9pFQCsKUVExMei7AgY2yQkdeNQvtOssygGsXbiKo/edit?usp=sharing"",""อุตรดิตถ์!L235"")+IMPORTRANGE(""https://docs.google.com/spreadsheets/d/1UsNK1e-WWiCo2PvGqdNfdme4m17_Ezd3J69EeeiQPD0/edit?usp=sharing"",""อุทัยธานี!L235"")"),102500)</f>
        <v>102500</v>
      </c>
      <c r="M235" s="46">
        <f ca="1">IFERROR(__xludf.DUMMYFUNCTION("IMPORTRANGE(""https://docs.google.com/spreadsheets/d/1jTcq05yEiRwXcBMLjiodW9e4biSGYWAHcDj22rKWQ3s/edit?usp=sharing"",""กำแพงเพชร!M235"")+IMPORTRANGE(""https://docs.google.com/spreadsheets/d/1KS0zmDSZPk8KnTAbGN-Xk6MtX1YRZD0ldgdt20K4CRk/edit?usp=sharing"","&amp;"""เชียงราย!M235"")+IMPORTRANGE(""https://docs.google.com/spreadsheets/d/1rEDxBtusbi64tE0zunoIbsTVV16HeL0oJ6trHQeQ7K8/edit?usp=sharing"",""เชียงใหม่!M235"")+IMPORTRANGE(""https://docs.google.com/spreadsheets/d/1W6MnUbDkMi6xHnHko_XkFDO9kkuL6Wqyc-6OCDFjW9I/e"&amp;"dit?usp=sharing"",""ตาก!M235"")+IMPORTRANGE(""https://docs.google.com/spreadsheets/d/1IQAWArduLkta9LpYo4a_ULsyqdta6-6aDDiwpUnQT6c/edit?usp=sharing"",""นครสวรรค์!M235"")+IMPORTRANGE(""https://docs.google.com/spreadsheets/d/10s13Sk5xrltsiR-Zkbmk5DwIaDIKO8Xl"&amp;"bJAfqyT7Gvg/edit?usp=sharing"",""น่าน!M235"")+IMPORTRANGE(""https://docs.google.com/spreadsheets/d/1uu4nAn4Dbi1XREnLKKotUANlKXa7yCgRcgq8HEzQYW8/edit?usp=sharing"",""พะเยา!M235"")+IMPORTRANGE(""https://docs.google.com/spreadsheets/d/1xfJKIQxVOaPDIICqsflNlL"&amp;"u3JacTDk1FP9RH4phX7mI/edit?usp=sharing"",""พิจิตร!M235"")+IMPORTRANGE(""https://docs.google.com/spreadsheets/d/1JtRfZkJMHtEhI5RdRHxYUG4FIZHqKDpNyIuN7A1Q0_k/edit?usp=sharing"",""พิษณุโลก!M235"")+IMPORTRANGE(""https://docs.google.com/spreadsheets/d/1xlcVZWU"&amp;"Nn6SuWm0c307h32SiGkd9BaeQWlAktfD3KO8/edit?usp=sharing"",""เพชรบูรณ์!M235"")+IMPORTRANGE(""https://docs.google.com/spreadsheets/d/1lOVebEIsI9qjGXl6EX66luk7wiuP2tBaryw-wKvv4e0/edit?usp=sharing"",""แพร่!M235"")+IMPORTRANGE(""https://docs.google.com/spreadshe"&amp;"ets/d/1dQrvX0vEcN7Gu0fnZ0B5S90AeR19zth4XlExFBeExMY/edit?usp=sharing"",""แม่ฮ่องสอน!M235"")+IMPORTRANGE(""https://docs.google.com/spreadsheets/d/1DY4XTNNwjluuxqdfdn6qvOSlMRrZqUtmYcZR0ttFiG4/edit?usp=sharing"",""ลำปาง!M235"")+IMPORTRANGE(""https://docs.goog"&amp;"le.com/spreadsheets/d/1ICwG78r0OFT8biBlxnBF8r7she7gNSzOvJ958PWT09c/edit?usp=sharing"",""ลำพูน!M235"")+IMPORTRANGE(""https://docs.google.com/spreadsheets/d/1B0f2xJpZUC6Z0xXnqKlZtEPzsf6L84eP1r1Q15seqRM/edit?usp=sharing"",""สุโขทัย!M235"")+IMPORTRANGE(""http"&amp;"s://docs.google.com/spreadsheets/d/1v0b9pFQCsKUVExMei7AgY2yQkdeNQvtOssygGsXbiKo/edit?usp=sharing"",""อุตรดิตถ์!M235"")+IMPORTRANGE(""https://docs.google.com/spreadsheets/d/1UsNK1e-WWiCo2PvGqdNfdme4m17_Ezd3J69EeeiQPD0/edit?usp=sharing"",""อุทัยธานี!M235"")"),0)</f>
        <v>0</v>
      </c>
      <c r="N235" s="46">
        <f ca="1">IFERROR(__xludf.DUMMYFUNCTION("IMPORTRANGE(""https://docs.google.com/spreadsheets/d/1jTcq05yEiRwXcBMLjiodW9e4biSGYWAHcDj22rKWQ3s/edit?usp=sharing"",""กำแพงเพชร!N235"")+IMPORTRANGE(""https://docs.google.com/spreadsheets/d/1KS0zmDSZPk8KnTAbGN-Xk6MtX1YRZD0ldgdt20K4CRk/edit?usp=sharing"","&amp;"""เชียงราย!N235"")+IMPORTRANGE(""https://docs.google.com/spreadsheets/d/1rEDxBtusbi64tE0zunoIbsTVV16HeL0oJ6trHQeQ7K8/edit?usp=sharing"",""เชียงใหม่!N235"")+IMPORTRANGE(""https://docs.google.com/spreadsheets/d/1W6MnUbDkMi6xHnHko_XkFDO9kkuL6Wqyc-6OCDFjW9I/e"&amp;"dit?usp=sharing"",""ตาก!N235"")+IMPORTRANGE(""https://docs.google.com/spreadsheets/d/1IQAWArduLkta9LpYo4a_ULsyqdta6-6aDDiwpUnQT6c/edit?usp=sharing"",""นครสวรรค์!N235"")+IMPORTRANGE(""https://docs.google.com/spreadsheets/d/10s13Sk5xrltsiR-Zkbmk5DwIaDIKO8Xl"&amp;"bJAfqyT7Gvg/edit?usp=sharing"",""น่าน!N235"")+IMPORTRANGE(""https://docs.google.com/spreadsheets/d/1uu4nAn4Dbi1XREnLKKotUANlKXa7yCgRcgq8HEzQYW8/edit?usp=sharing"",""พะเยา!N235"")+IMPORTRANGE(""https://docs.google.com/spreadsheets/d/1xfJKIQxVOaPDIICqsflNlL"&amp;"u3JacTDk1FP9RH4phX7mI/edit?usp=sharing"",""พิจิตร!N235"")+IMPORTRANGE(""https://docs.google.com/spreadsheets/d/1JtRfZkJMHtEhI5RdRHxYUG4FIZHqKDpNyIuN7A1Q0_k/edit?usp=sharing"",""พิษณุโลก!N235"")+IMPORTRANGE(""https://docs.google.com/spreadsheets/d/1xlcVZWU"&amp;"Nn6SuWm0c307h32SiGkd9BaeQWlAktfD3KO8/edit?usp=sharing"",""เพชรบูรณ์!N235"")+IMPORTRANGE(""https://docs.google.com/spreadsheets/d/1lOVebEIsI9qjGXl6EX66luk7wiuP2tBaryw-wKvv4e0/edit?usp=sharing"",""แพร่!N235"")+IMPORTRANGE(""https://docs.google.com/spreadshe"&amp;"ets/d/1dQrvX0vEcN7Gu0fnZ0B5S90AeR19zth4XlExFBeExMY/edit?usp=sharing"",""แม่ฮ่องสอน!N235"")+IMPORTRANGE(""https://docs.google.com/spreadsheets/d/1DY4XTNNwjluuxqdfdn6qvOSlMRrZqUtmYcZR0ttFiG4/edit?usp=sharing"",""ลำปาง!N235"")+IMPORTRANGE(""https://docs.goog"&amp;"le.com/spreadsheets/d/1ICwG78r0OFT8biBlxnBF8r7she7gNSzOvJ958PWT09c/edit?usp=sharing"",""ลำพูน!N235"")+IMPORTRANGE(""https://docs.google.com/spreadsheets/d/1B0f2xJpZUC6Z0xXnqKlZtEPzsf6L84eP1r1Q15seqRM/edit?usp=sharing"",""สุโขทัย!N235"")+IMPORTRANGE(""http"&amp;"s://docs.google.com/spreadsheets/d/1v0b9pFQCsKUVExMei7AgY2yQkdeNQvtOssygGsXbiKo/edit?usp=sharing"",""อุตรดิตถ์!N235"")+IMPORTRANGE(""https://docs.google.com/spreadsheets/d/1UsNK1e-WWiCo2PvGqdNfdme4m17_Ezd3J69EeeiQPD0/edit?usp=sharing"",""อุทัยธานี!N235"")"),74445)</f>
        <v>74445</v>
      </c>
      <c r="O235" s="45"/>
      <c r="P235" s="45"/>
      <c r="Q235" s="46">
        <f ca="1">IFERROR(__xludf.DUMMYFUNCTION("IMPORTRANGE(""https://docs.google.com/spreadsheets/d/1jTcq05yEiRwXcBMLjiodW9e4biSGYWAHcDj22rKWQ3s/edit?usp=sharing"",""กำแพงเพชร!Q235"")+IMPORTRANGE(""https://docs.google.com/spreadsheets/d/1KS0zmDSZPk8KnTAbGN-Xk6MtX1YRZD0ldgdt20K4CRk/edit?usp=sharing"","&amp;"""เชียงราย!Q235"")+IMPORTRANGE(""https://docs.google.com/spreadsheets/d/1rEDxBtusbi64tE0zunoIbsTVV16HeL0oJ6trHQeQ7K8/edit?usp=sharing"",""เชียงใหม่!Q235"")+IMPORTRANGE(""https://docs.google.com/spreadsheets/d/1W6MnUbDkMi6xHnHko_XkFDO9kkuL6Wqyc-6OCDFjW9I/e"&amp;"dit?usp=sharing"",""ตาก!Q235"")+IMPORTRANGE(""https://docs.google.com/spreadsheets/d/1IQAWArduLkta9LpYo4a_ULsyqdta6-6aDDiwpUnQT6c/edit?usp=sharing"",""นครสวรรค์!Q235"")+IMPORTRANGE(""https://docs.google.com/spreadsheets/d/10s13Sk5xrltsiR-Zkbmk5DwIaDIKO8Xl"&amp;"bJAfqyT7Gvg/edit?usp=sharing"",""น่าน!Q235"")+IMPORTRANGE(""https://docs.google.com/spreadsheets/d/1uu4nAn4Dbi1XREnLKKotUANlKXa7yCgRcgq8HEzQYW8/edit?usp=sharing"",""พะเยา!Q235"")+IMPORTRANGE(""https://docs.google.com/spreadsheets/d/1xfJKIQxVOaPDIICqsflNlL"&amp;"u3JacTDk1FP9RH4phX7mI/edit?usp=sharing"",""พิจิตร!Q235"")+IMPORTRANGE(""https://docs.google.com/spreadsheets/d/1JtRfZkJMHtEhI5RdRHxYUG4FIZHqKDpNyIuN7A1Q0_k/edit?usp=sharing"",""พิษณุโลก!Q235"")+IMPORTRANGE(""https://docs.google.com/spreadsheets/d/1xlcVZWU"&amp;"Nn6SuWm0c307h32SiGkd9BaeQWlAktfD3KO8/edit?usp=sharing"",""เพชรบูรณ์!Q235"")+IMPORTRANGE(""https://docs.google.com/spreadsheets/d/1lOVebEIsI9qjGXl6EX66luk7wiuP2tBaryw-wKvv4e0/edit?usp=sharing"",""แพร่!Q235"")+IMPORTRANGE(""https://docs.google.com/spreadshe"&amp;"ets/d/1dQrvX0vEcN7Gu0fnZ0B5S90AeR19zth4XlExFBeExMY/edit?usp=sharing"",""แม่ฮ่องสอน!Q235"")+IMPORTRANGE(""https://docs.google.com/spreadsheets/d/1DY4XTNNwjluuxqdfdn6qvOSlMRrZqUtmYcZR0ttFiG4/edit?usp=sharing"",""ลำปาง!Q235"")+IMPORTRANGE(""https://docs.goog"&amp;"le.com/spreadsheets/d/1ICwG78r0OFT8biBlxnBF8r7she7gNSzOvJ958PWT09c/edit?usp=sharing"",""ลำพูน!Q235"")+IMPORTRANGE(""https://docs.google.com/spreadsheets/d/1B0f2xJpZUC6Z0xXnqKlZtEPzsf6L84eP1r1Q15seqRM/edit?usp=sharing"",""สุโขทัย!Q235"")+IMPORTRANGE(""http"&amp;"s://docs.google.com/spreadsheets/d/1v0b9pFQCsKUVExMei7AgY2yQkdeNQvtOssygGsXbiKo/edit?usp=sharing"",""อุตรดิตถ์!Q235"")+IMPORTRANGE(""https://docs.google.com/spreadsheets/d/1UsNK1e-WWiCo2PvGqdNfdme4m17_Ezd3J69EeeiQPD0/edit?usp=sharing"",""อุทัยธานี!Q235"")"),0)</f>
        <v>0</v>
      </c>
      <c r="R235" s="46">
        <f ca="1">IFERROR(__xludf.DUMMYFUNCTION("IMPORTRANGE(""https://docs.google.com/spreadsheets/d/1jTcq05yEiRwXcBMLjiodW9e4biSGYWAHcDj22rKWQ3s/edit?usp=sharing"",""กำแพงเพชร!R235"")+IMPORTRANGE(""https://docs.google.com/spreadsheets/d/1KS0zmDSZPk8KnTAbGN-Xk6MtX1YRZD0ldgdt20K4CRk/edit?usp=sharing"","&amp;"""เชียงราย!R235"")+IMPORTRANGE(""https://docs.google.com/spreadsheets/d/1rEDxBtusbi64tE0zunoIbsTVV16HeL0oJ6trHQeQ7K8/edit?usp=sharing"",""เชียงใหม่!R235"")+IMPORTRANGE(""https://docs.google.com/spreadsheets/d/1W6MnUbDkMi6xHnHko_XkFDO9kkuL6Wqyc-6OCDFjW9I/e"&amp;"dit?usp=sharing"",""ตาก!R235"")+IMPORTRANGE(""https://docs.google.com/spreadsheets/d/1IQAWArduLkta9LpYo4a_ULsyqdta6-6aDDiwpUnQT6c/edit?usp=sharing"",""นครสวรรค์!R235"")+IMPORTRANGE(""https://docs.google.com/spreadsheets/d/10s13Sk5xrltsiR-Zkbmk5DwIaDIKO8Xl"&amp;"bJAfqyT7Gvg/edit?usp=sharing"",""น่าน!R235"")+IMPORTRANGE(""https://docs.google.com/spreadsheets/d/1uu4nAn4Dbi1XREnLKKotUANlKXa7yCgRcgq8HEzQYW8/edit?usp=sharing"",""พะเยา!R235"")+IMPORTRANGE(""https://docs.google.com/spreadsheets/d/1xfJKIQxVOaPDIICqsflNlL"&amp;"u3JacTDk1FP9RH4phX7mI/edit?usp=sharing"",""พิจิตร!R235"")+IMPORTRANGE(""https://docs.google.com/spreadsheets/d/1JtRfZkJMHtEhI5RdRHxYUG4FIZHqKDpNyIuN7A1Q0_k/edit?usp=sharing"",""พิษณุโลก!R235"")+IMPORTRANGE(""https://docs.google.com/spreadsheets/d/1xlcVZWU"&amp;"Nn6SuWm0c307h32SiGkd9BaeQWlAktfD3KO8/edit?usp=sharing"",""เพชรบูรณ์!R235"")+IMPORTRANGE(""https://docs.google.com/spreadsheets/d/1lOVebEIsI9qjGXl6EX66luk7wiuP2tBaryw-wKvv4e0/edit?usp=sharing"",""แพร่!R235"")+IMPORTRANGE(""https://docs.google.com/spreadshe"&amp;"ets/d/1dQrvX0vEcN7Gu0fnZ0B5S90AeR19zth4XlExFBeExMY/edit?usp=sharing"",""แม่ฮ่องสอน!R235"")+IMPORTRANGE(""https://docs.google.com/spreadsheets/d/1DY4XTNNwjluuxqdfdn6qvOSlMRrZqUtmYcZR0ttFiG4/edit?usp=sharing"",""ลำปาง!R235"")+IMPORTRANGE(""https://docs.goog"&amp;"le.com/spreadsheets/d/1ICwG78r0OFT8biBlxnBF8r7she7gNSzOvJ958PWT09c/edit?usp=sharing"",""ลำพูน!R235"")+IMPORTRANGE(""https://docs.google.com/spreadsheets/d/1B0f2xJpZUC6Z0xXnqKlZtEPzsf6L84eP1r1Q15seqRM/edit?usp=sharing"",""สุโขทัย!R235"")+IMPORTRANGE(""http"&amp;"s://docs.google.com/spreadsheets/d/1v0b9pFQCsKUVExMei7AgY2yQkdeNQvtOssygGsXbiKo/edit?usp=sharing"",""อุตรดิตถ์!R235"")+IMPORTRANGE(""https://docs.google.com/spreadsheets/d/1UsNK1e-WWiCo2PvGqdNfdme4m17_Ezd3J69EeeiQPD0/edit?usp=sharing"",""อุทัยธานี!R235"")"),0)</f>
        <v>0</v>
      </c>
      <c r="S235" s="46">
        <f ca="1">IFERROR(__xludf.DUMMYFUNCTION("IMPORTRANGE(""https://docs.google.com/spreadsheets/d/1jTcq05yEiRwXcBMLjiodW9e4biSGYWAHcDj22rKWQ3s/edit?usp=sharing"",""กำแพงเพชร!S235"")+IMPORTRANGE(""https://docs.google.com/spreadsheets/d/1KS0zmDSZPk8KnTAbGN-Xk6MtX1YRZD0ldgdt20K4CRk/edit?usp=sharing"","&amp;"""เชียงราย!S235"")+IMPORTRANGE(""https://docs.google.com/spreadsheets/d/1rEDxBtusbi64tE0zunoIbsTVV16HeL0oJ6trHQeQ7K8/edit?usp=sharing"",""เชียงใหม่!S235"")+IMPORTRANGE(""https://docs.google.com/spreadsheets/d/1W6MnUbDkMi6xHnHko_XkFDO9kkuL6Wqyc-6OCDFjW9I/e"&amp;"dit?usp=sharing"",""ตาก!S235"")+IMPORTRANGE(""https://docs.google.com/spreadsheets/d/1IQAWArduLkta9LpYo4a_ULsyqdta6-6aDDiwpUnQT6c/edit?usp=sharing"",""นครสวรรค์!S235"")+IMPORTRANGE(""https://docs.google.com/spreadsheets/d/10s13Sk5xrltsiR-Zkbmk5DwIaDIKO8Xl"&amp;"bJAfqyT7Gvg/edit?usp=sharing"",""น่าน!S235"")+IMPORTRANGE(""https://docs.google.com/spreadsheets/d/1uu4nAn4Dbi1XREnLKKotUANlKXa7yCgRcgq8HEzQYW8/edit?usp=sharing"",""พะเยา!S235"")+IMPORTRANGE(""https://docs.google.com/spreadsheets/d/1xfJKIQxVOaPDIICqsflNlL"&amp;"u3JacTDk1FP9RH4phX7mI/edit?usp=sharing"",""พิจิตร!S235"")+IMPORTRANGE(""https://docs.google.com/spreadsheets/d/1JtRfZkJMHtEhI5RdRHxYUG4FIZHqKDpNyIuN7A1Q0_k/edit?usp=sharing"",""พิษณุโลก!S235"")+IMPORTRANGE(""https://docs.google.com/spreadsheets/d/1xlcVZWU"&amp;"Nn6SuWm0c307h32SiGkd9BaeQWlAktfD3KO8/edit?usp=sharing"",""เพชรบูรณ์!S235"")+IMPORTRANGE(""https://docs.google.com/spreadsheets/d/1lOVebEIsI9qjGXl6EX66luk7wiuP2tBaryw-wKvv4e0/edit?usp=sharing"",""แพร่!S235"")+IMPORTRANGE(""https://docs.google.com/spreadshe"&amp;"ets/d/1dQrvX0vEcN7Gu0fnZ0B5S90AeR19zth4XlExFBeExMY/edit?usp=sharing"",""แม่ฮ่องสอน!S235"")+IMPORTRANGE(""https://docs.google.com/spreadsheets/d/1DY4XTNNwjluuxqdfdn6qvOSlMRrZqUtmYcZR0ttFiG4/edit?usp=sharing"",""ลำปาง!S235"")+IMPORTRANGE(""https://docs.goog"&amp;"le.com/spreadsheets/d/1ICwG78r0OFT8biBlxnBF8r7she7gNSzOvJ958PWT09c/edit?usp=sharing"",""ลำพูน!S235"")+IMPORTRANGE(""https://docs.google.com/spreadsheets/d/1B0f2xJpZUC6Z0xXnqKlZtEPzsf6L84eP1r1Q15seqRM/edit?usp=sharing"",""สุโขทัย!S235"")+IMPORTRANGE(""http"&amp;"s://docs.google.com/spreadsheets/d/1v0b9pFQCsKUVExMei7AgY2yQkdeNQvtOssygGsXbiKo/edit?usp=sharing"",""อุตรดิตถ์!S235"")+IMPORTRANGE(""https://docs.google.com/spreadsheets/d/1UsNK1e-WWiCo2PvGqdNfdme4m17_Ezd3J69EeeiQPD0/edit?usp=sharing"",""อุทัยธานี!S235"")"),0)</f>
        <v>0</v>
      </c>
      <c r="T235" s="46"/>
      <c r="U235" s="46"/>
    </row>
    <row r="236" spans="1:21" ht="18.75" x14ac:dyDescent="0.25">
      <c r="A236" s="208"/>
      <c r="B236" s="158"/>
      <c r="C236" s="158"/>
      <c r="D236" s="47" t="s">
        <v>107</v>
      </c>
      <c r="E236" s="40"/>
      <c r="F236" s="40"/>
      <c r="G236" s="42"/>
      <c r="H236" s="134" t="s">
        <v>14</v>
      </c>
      <c r="I236" s="44"/>
      <c r="J236" s="44"/>
      <c r="K236" s="45"/>
      <c r="L236" s="46">
        <f ca="1">IFERROR(__xludf.DUMMYFUNCTION("IMPORTRANGE(""https://docs.google.com/spreadsheets/d/1jTcq05yEiRwXcBMLjiodW9e4biSGYWAHcDj22rKWQ3s/edit?usp=sharing"",""กำแพงเพชร!L236"")+IMPORTRANGE(""https://docs.google.com/spreadsheets/d/1KS0zmDSZPk8KnTAbGN-Xk6MtX1YRZD0ldgdt20K4CRk/edit?usp=sharing"","&amp;"""เชียงราย!L236"")+IMPORTRANGE(""https://docs.google.com/spreadsheets/d/1rEDxBtusbi64tE0zunoIbsTVV16HeL0oJ6trHQeQ7K8/edit?usp=sharing"",""เชียงใหม่!L236"")+IMPORTRANGE(""https://docs.google.com/spreadsheets/d/1W6MnUbDkMi6xHnHko_XkFDO9kkuL6Wqyc-6OCDFjW9I/e"&amp;"dit?usp=sharing"",""ตาก!L236"")+IMPORTRANGE(""https://docs.google.com/spreadsheets/d/1IQAWArduLkta9LpYo4a_ULsyqdta6-6aDDiwpUnQT6c/edit?usp=sharing"",""นครสวรรค์!L236"")+IMPORTRANGE(""https://docs.google.com/spreadsheets/d/10s13Sk5xrltsiR-Zkbmk5DwIaDIKO8Xl"&amp;"bJAfqyT7Gvg/edit?usp=sharing"",""น่าน!L236"")+IMPORTRANGE(""https://docs.google.com/spreadsheets/d/1uu4nAn4Dbi1XREnLKKotUANlKXa7yCgRcgq8HEzQYW8/edit?usp=sharing"",""พะเยา!L236"")+IMPORTRANGE(""https://docs.google.com/spreadsheets/d/1xfJKIQxVOaPDIICqsflNlL"&amp;"u3JacTDk1FP9RH4phX7mI/edit?usp=sharing"",""พิจิตร!L236"")+IMPORTRANGE(""https://docs.google.com/spreadsheets/d/1JtRfZkJMHtEhI5RdRHxYUG4FIZHqKDpNyIuN7A1Q0_k/edit?usp=sharing"",""พิษณุโลก!L236"")+IMPORTRANGE(""https://docs.google.com/spreadsheets/d/1xlcVZWU"&amp;"Nn6SuWm0c307h32SiGkd9BaeQWlAktfD3KO8/edit?usp=sharing"",""เพชรบูรณ์!L236"")+IMPORTRANGE(""https://docs.google.com/spreadsheets/d/1lOVebEIsI9qjGXl6EX66luk7wiuP2tBaryw-wKvv4e0/edit?usp=sharing"",""แพร่!L236"")+IMPORTRANGE(""https://docs.google.com/spreadshe"&amp;"ets/d/1dQrvX0vEcN7Gu0fnZ0B5S90AeR19zth4XlExFBeExMY/edit?usp=sharing"",""แม่ฮ่องสอน!L236"")+IMPORTRANGE(""https://docs.google.com/spreadsheets/d/1DY4XTNNwjluuxqdfdn6qvOSlMRrZqUtmYcZR0ttFiG4/edit?usp=sharing"",""ลำปาง!L236"")+IMPORTRANGE(""https://docs.goog"&amp;"le.com/spreadsheets/d/1ICwG78r0OFT8biBlxnBF8r7she7gNSzOvJ958PWT09c/edit?usp=sharing"",""ลำพูน!L236"")+IMPORTRANGE(""https://docs.google.com/spreadsheets/d/1B0f2xJpZUC6Z0xXnqKlZtEPzsf6L84eP1r1Q15seqRM/edit?usp=sharing"",""สุโขทัย!L236"")+IMPORTRANGE(""http"&amp;"s://docs.google.com/spreadsheets/d/1v0b9pFQCsKUVExMei7AgY2yQkdeNQvtOssygGsXbiKo/edit?usp=sharing"",""อุตรดิตถ์!L236"")+IMPORTRANGE(""https://docs.google.com/spreadsheets/d/1UsNK1e-WWiCo2PvGqdNfdme4m17_Ezd3J69EeeiQPD0/edit?usp=sharing"",""อุทัยธานี!L236"")"),267000)</f>
        <v>267000</v>
      </c>
      <c r="M236" s="46">
        <f ca="1">IFERROR(__xludf.DUMMYFUNCTION("IMPORTRANGE(""https://docs.google.com/spreadsheets/d/1jTcq05yEiRwXcBMLjiodW9e4biSGYWAHcDj22rKWQ3s/edit?usp=sharing"",""กำแพงเพชร!M236"")+IMPORTRANGE(""https://docs.google.com/spreadsheets/d/1KS0zmDSZPk8KnTAbGN-Xk6MtX1YRZD0ldgdt20K4CRk/edit?usp=sharing"","&amp;"""เชียงราย!M236"")+IMPORTRANGE(""https://docs.google.com/spreadsheets/d/1rEDxBtusbi64tE0zunoIbsTVV16HeL0oJ6trHQeQ7K8/edit?usp=sharing"",""เชียงใหม่!M236"")+IMPORTRANGE(""https://docs.google.com/spreadsheets/d/1W6MnUbDkMi6xHnHko_XkFDO9kkuL6Wqyc-6OCDFjW9I/e"&amp;"dit?usp=sharing"",""ตาก!M236"")+IMPORTRANGE(""https://docs.google.com/spreadsheets/d/1IQAWArduLkta9LpYo4a_ULsyqdta6-6aDDiwpUnQT6c/edit?usp=sharing"",""นครสวรรค์!M236"")+IMPORTRANGE(""https://docs.google.com/spreadsheets/d/10s13Sk5xrltsiR-Zkbmk5DwIaDIKO8Xl"&amp;"bJAfqyT7Gvg/edit?usp=sharing"",""น่าน!M236"")+IMPORTRANGE(""https://docs.google.com/spreadsheets/d/1uu4nAn4Dbi1XREnLKKotUANlKXa7yCgRcgq8HEzQYW8/edit?usp=sharing"",""พะเยา!M236"")+IMPORTRANGE(""https://docs.google.com/spreadsheets/d/1xfJKIQxVOaPDIICqsflNlL"&amp;"u3JacTDk1FP9RH4phX7mI/edit?usp=sharing"",""พิจิตร!M236"")+IMPORTRANGE(""https://docs.google.com/spreadsheets/d/1JtRfZkJMHtEhI5RdRHxYUG4FIZHqKDpNyIuN7A1Q0_k/edit?usp=sharing"",""พิษณุโลก!M236"")+IMPORTRANGE(""https://docs.google.com/spreadsheets/d/1xlcVZWU"&amp;"Nn6SuWm0c307h32SiGkd9BaeQWlAktfD3KO8/edit?usp=sharing"",""เพชรบูรณ์!M236"")+IMPORTRANGE(""https://docs.google.com/spreadsheets/d/1lOVebEIsI9qjGXl6EX66luk7wiuP2tBaryw-wKvv4e0/edit?usp=sharing"",""แพร่!M236"")+IMPORTRANGE(""https://docs.google.com/spreadshe"&amp;"ets/d/1dQrvX0vEcN7Gu0fnZ0B5S90AeR19zth4XlExFBeExMY/edit?usp=sharing"",""แม่ฮ่องสอน!M236"")+IMPORTRANGE(""https://docs.google.com/spreadsheets/d/1DY4XTNNwjluuxqdfdn6qvOSlMRrZqUtmYcZR0ttFiG4/edit?usp=sharing"",""ลำปาง!M236"")+IMPORTRANGE(""https://docs.goog"&amp;"le.com/spreadsheets/d/1ICwG78r0OFT8biBlxnBF8r7she7gNSzOvJ958PWT09c/edit?usp=sharing"",""ลำพูน!M236"")+IMPORTRANGE(""https://docs.google.com/spreadsheets/d/1B0f2xJpZUC6Z0xXnqKlZtEPzsf6L84eP1r1Q15seqRM/edit?usp=sharing"",""สุโขทัย!M236"")+IMPORTRANGE(""http"&amp;"s://docs.google.com/spreadsheets/d/1v0b9pFQCsKUVExMei7AgY2yQkdeNQvtOssygGsXbiKo/edit?usp=sharing"",""อุตรดิตถ์!M236"")+IMPORTRANGE(""https://docs.google.com/spreadsheets/d/1UsNK1e-WWiCo2PvGqdNfdme4m17_Ezd3J69EeeiQPD0/edit?usp=sharing"",""อุทัยธานี!M236"")"),0)</f>
        <v>0</v>
      </c>
      <c r="N236" s="46">
        <f ca="1">IFERROR(__xludf.DUMMYFUNCTION("IMPORTRANGE(""https://docs.google.com/spreadsheets/d/1jTcq05yEiRwXcBMLjiodW9e4biSGYWAHcDj22rKWQ3s/edit?usp=sharing"",""กำแพงเพชร!N236"")+IMPORTRANGE(""https://docs.google.com/spreadsheets/d/1KS0zmDSZPk8KnTAbGN-Xk6MtX1YRZD0ldgdt20K4CRk/edit?usp=sharing"","&amp;"""เชียงราย!N236"")+IMPORTRANGE(""https://docs.google.com/spreadsheets/d/1rEDxBtusbi64tE0zunoIbsTVV16HeL0oJ6trHQeQ7K8/edit?usp=sharing"",""เชียงใหม่!N236"")+IMPORTRANGE(""https://docs.google.com/spreadsheets/d/1W6MnUbDkMi6xHnHko_XkFDO9kkuL6Wqyc-6OCDFjW9I/e"&amp;"dit?usp=sharing"",""ตาก!N236"")+IMPORTRANGE(""https://docs.google.com/spreadsheets/d/1IQAWArduLkta9LpYo4a_ULsyqdta6-6aDDiwpUnQT6c/edit?usp=sharing"",""นครสวรรค์!N236"")+IMPORTRANGE(""https://docs.google.com/spreadsheets/d/10s13Sk5xrltsiR-Zkbmk5DwIaDIKO8Xl"&amp;"bJAfqyT7Gvg/edit?usp=sharing"",""น่าน!N236"")+IMPORTRANGE(""https://docs.google.com/spreadsheets/d/1uu4nAn4Dbi1XREnLKKotUANlKXa7yCgRcgq8HEzQYW8/edit?usp=sharing"",""พะเยา!N236"")+IMPORTRANGE(""https://docs.google.com/spreadsheets/d/1xfJKIQxVOaPDIICqsflNlL"&amp;"u3JacTDk1FP9RH4phX7mI/edit?usp=sharing"",""พิจิตร!N236"")+IMPORTRANGE(""https://docs.google.com/spreadsheets/d/1JtRfZkJMHtEhI5RdRHxYUG4FIZHqKDpNyIuN7A1Q0_k/edit?usp=sharing"",""พิษณุโลก!N236"")+IMPORTRANGE(""https://docs.google.com/spreadsheets/d/1xlcVZWU"&amp;"Nn6SuWm0c307h32SiGkd9BaeQWlAktfD3KO8/edit?usp=sharing"",""เพชรบูรณ์!N236"")+IMPORTRANGE(""https://docs.google.com/spreadsheets/d/1lOVebEIsI9qjGXl6EX66luk7wiuP2tBaryw-wKvv4e0/edit?usp=sharing"",""แพร่!N236"")+IMPORTRANGE(""https://docs.google.com/spreadshe"&amp;"ets/d/1dQrvX0vEcN7Gu0fnZ0B5S90AeR19zth4XlExFBeExMY/edit?usp=sharing"",""แม่ฮ่องสอน!N236"")+IMPORTRANGE(""https://docs.google.com/spreadsheets/d/1DY4XTNNwjluuxqdfdn6qvOSlMRrZqUtmYcZR0ttFiG4/edit?usp=sharing"",""ลำปาง!N236"")+IMPORTRANGE(""https://docs.goog"&amp;"le.com/spreadsheets/d/1ICwG78r0OFT8biBlxnBF8r7she7gNSzOvJ958PWT09c/edit?usp=sharing"",""ลำพูน!N236"")+IMPORTRANGE(""https://docs.google.com/spreadsheets/d/1B0f2xJpZUC6Z0xXnqKlZtEPzsf6L84eP1r1Q15seqRM/edit?usp=sharing"",""สุโขทัย!N236"")+IMPORTRANGE(""http"&amp;"s://docs.google.com/spreadsheets/d/1v0b9pFQCsKUVExMei7AgY2yQkdeNQvtOssygGsXbiKo/edit?usp=sharing"",""อุตรดิตถ์!N236"")+IMPORTRANGE(""https://docs.google.com/spreadsheets/d/1UsNK1e-WWiCo2PvGqdNfdme4m17_Ezd3J69EeeiQPD0/edit?usp=sharing"",""อุทัยธานี!N236"")"),38814.4)</f>
        <v>38814.400000000001</v>
      </c>
      <c r="O236" s="45"/>
      <c r="P236" s="45"/>
      <c r="Q236" s="46">
        <f ca="1">IFERROR(__xludf.DUMMYFUNCTION("IMPORTRANGE(""https://docs.google.com/spreadsheets/d/1jTcq05yEiRwXcBMLjiodW9e4biSGYWAHcDj22rKWQ3s/edit?usp=sharing"",""กำแพงเพชร!Q236"")+IMPORTRANGE(""https://docs.google.com/spreadsheets/d/1KS0zmDSZPk8KnTAbGN-Xk6MtX1YRZD0ldgdt20K4CRk/edit?usp=sharing"","&amp;"""เชียงราย!Q236"")+IMPORTRANGE(""https://docs.google.com/spreadsheets/d/1rEDxBtusbi64tE0zunoIbsTVV16HeL0oJ6trHQeQ7K8/edit?usp=sharing"",""เชียงใหม่!Q236"")+IMPORTRANGE(""https://docs.google.com/spreadsheets/d/1W6MnUbDkMi6xHnHko_XkFDO9kkuL6Wqyc-6OCDFjW9I/e"&amp;"dit?usp=sharing"",""ตาก!Q236"")+IMPORTRANGE(""https://docs.google.com/spreadsheets/d/1IQAWArduLkta9LpYo4a_ULsyqdta6-6aDDiwpUnQT6c/edit?usp=sharing"",""นครสวรรค์!Q236"")+IMPORTRANGE(""https://docs.google.com/spreadsheets/d/10s13Sk5xrltsiR-Zkbmk5DwIaDIKO8Xl"&amp;"bJAfqyT7Gvg/edit?usp=sharing"",""น่าน!Q236"")+IMPORTRANGE(""https://docs.google.com/spreadsheets/d/1uu4nAn4Dbi1XREnLKKotUANlKXa7yCgRcgq8HEzQYW8/edit?usp=sharing"",""พะเยา!Q236"")+IMPORTRANGE(""https://docs.google.com/spreadsheets/d/1xfJKIQxVOaPDIICqsflNlL"&amp;"u3JacTDk1FP9RH4phX7mI/edit?usp=sharing"",""พิจิตร!Q236"")+IMPORTRANGE(""https://docs.google.com/spreadsheets/d/1JtRfZkJMHtEhI5RdRHxYUG4FIZHqKDpNyIuN7A1Q0_k/edit?usp=sharing"",""พิษณุโลก!Q236"")+IMPORTRANGE(""https://docs.google.com/spreadsheets/d/1xlcVZWU"&amp;"Nn6SuWm0c307h32SiGkd9BaeQWlAktfD3KO8/edit?usp=sharing"",""เพชรบูรณ์!Q236"")+IMPORTRANGE(""https://docs.google.com/spreadsheets/d/1lOVebEIsI9qjGXl6EX66luk7wiuP2tBaryw-wKvv4e0/edit?usp=sharing"",""แพร่!Q236"")+IMPORTRANGE(""https://docs.google.com/spreadshe"&amp;"ets/d/1dQrvX0vEcN7Gu0fnZ0B5S90AeR19zth4XlExFBeExMY/edit?usp=sharing"",""แม่ฮ่องสอน!Q236"")+IMPORTRANGE(""https://docs.google.com/spreadsheets/d/1DY4XTNNwjluuxqdfdn6qvOSlMRrZqUtmYcZR0ttFiG4/edit?usp=sharing"",""ลำปาง!Q236"")+IMPORTRANGE(""https://docs.goog"&amp;"le.com/spreadsheets/d/1ICwG78r0OFT8biBlxnBF8r7she7gNSzOvJ958PWT09c/edit?usp=sharing"",""ลำพูน!Q236"")+IMPORTRANGE(""https://docs.google.com/spreadsheets/d/1B0f2xJpZUC6Z0xXnqKlZtEPzsf6L84eP1r1Q15seqRM/edit?usp=sharing"",""สุโขทัย!Q236"")+IMPORTRANGE(""http"&amp;"s://docs.google.com/spreadsheets/d/1v0b9pFQCsKUVExMei7AgY2yQkdeNQvtOssygGsXbiKo/edit?usp=sharing"",""อุตรดิตถ์!Q236"")+IMPORTRANGE(""https://docs.google.com/spreadsheets/d/1UsNK1e-WWiCo2PvGqdNfdme4m17_Ezd3J69EeeiQPD0/edit?usp=sharing"",""อุทัยธานี!Q236"")"),0)</f>
        <v>0</v>
      </c>
      <c r="R236" s="46">
        <f ca="1">IFERROR(__xludf.DUMMYFUNCTION("IMPORTRANGE(""https://docs.google.com/spreadsheets/d/1jTcq05yEiRwXcBMLjiodW9e4biSGYWAHcDj22rKWQ3s/edit?usp=sharing"",""กำแพงเพชร!R236"")+IMPORTRANGE(""https://docs.google.com/spreadsheets/d/1KS0zmDSZPk8KnTAbGN-Xk6MtX1YRZD0ldgdt20K4CRk/edit?usp=sharing"","&amp;"""เชียงราย!R236"")+IMPORTRANGE(""https://docs.google.com/spreadsheets/d/1rEDxBtusbi64tE0zunoIbsTVV16HeL0oJ6trHQeQ7K8/edit?usp=sharing"",""เชียงใหม่!R236"")+IMPORTRANGE(""https://docs.google.com/spreadsheets/d/1W6MnUbDkMi6xHnHko_XkFDO9kkuL6Wqyc-6OCDFjW9I/e"&amp;"dit?usp=sharing"",""ตาก!R236"")+IMPORTRANGE(""https://docs.google.com/spreadsheets/d/1IQAWArduLkta9LpYo4a_ULsyqdta6-6aDDiwpUnQT6c/edit?usp=sharing"",""นครสวรรค์!R236"")+IMPORTRANGE(""https://docs.google.com/spreadsheets/d/10s13Sk5xrltsiR-Zkbmk5DwIaDIKO8Xl"&amp;"bJAfqyT7Gvg/edit?usp=sharing"",""น่าน!R236"")+IMPORTRANGE(""https://docs.google.com/spreadsheets/d/1uu4nAn4Dbi1XREnLKKotUANlKXa7yCgRcgq8HEzQYW8/edit?usp=sharing"",""พะเยา!R236"")+IMPORTRANGE(""https://docs.google.com/spreadsheets/d/1xfJKIQxVOaPDIICqsflNlL"&amp;"u3JacTDk1FP9RH4phX7mI/edit?usp=sharing"",""พิจิตร!R236"")+IMPORTRANGE(""https://docs.google.com/spreadsheets/d/1JtRfZkJMHtEhI5RdRHxYUG4FIZHqKDpNyIuN7A1Q0_k/edit?usp=sharing"",""พิษณุโลก!R236"")+IMPORTRANGE(""https://docs.google.com/spreadsheets/d/1xlcVZWU"&amp;"Nn6SuWm0c307h32SiGkd9BaeQWlAktfD3KO8/edit?usp=sharing"",""เพชรบูรณ์!R236"")+IMPORTRANGE(""https://docs.google.com/spreadsheets/d/1lOVebEIsI9qjGXl6EX66luk7wiuP2tBaryw-wKvv4e0/edit?usp=sharing"",""แพร่!R236"")+IMPORTRANGE(""https://docs.google.com/spreadshe"&amp;"ets/d/1dQrvX0vEcN7Gu0fnZ0B5S90AeR19zth4XlExFBeExMY/edit?usp=sharing"",""แม่ฮ่องสอน!R236"")+IMPORTRANGE(""https://docs.google.com/spreadsheets/d/1DY4XTNNwjluuxqdfdn6qvOSlMRrZqUtmYcZR0ttFiG4/edit?usp=sharing"",""ลำปาง!R236"")+IMPORTRANGE(""https://docs.goog"&amp;"le.com/spreadsheets/d/1ICwG78r0OFT8biBlxnBF8r7she7gNSzOvJ958PWT09c/edit?usp=sharing"",""ลำพูน!R236"")+IMPORTRANGE(""https://docs.google.com/spreadsheets/d/1B0f2xJpZUC6Z0xXnqKlZtEPzsf6L84eP1r1Q15seqRM/edit?usp=sharing"",""สุโขทัย!R236"")+IMPORTRANGE(""http"&amp;"s://docs.google.com/spreadsheets/d/1v0b9pFQCsKUVExMei7AgY2yQkdeNQvtOssygGsXbiKo/edit?usp=sharing"",""อุตรดิตถ์!R236"")+IMPORTRANGE(""https://docs.google.com/spreadsheets/d/1UsNK1e-WWiCo2PvGqdNfdme4m17_Ezd3J69EeeiQPD0/edit?usp=sharing"",""อุทัยธานี!R236"")"),0)</f>
        <v>0</v>
      </c>
      <c r="S236" s="46">
        <f ca="1">IFERROR(__xludf.DUMMYFUNCTION("IMPORTRANGE(""https://docs.google.com/spreadsheets/d/1jTcq05yEiRwXcBMLjiodW9e4biSGYWAHcDj22rKWQ3s/edit?usp=sharing"",""กำแพงเพชร!S236"")+IMPORTRANGE(""https://docs.google.com/spreadsheets/d/1KS0zmDSZPk8KnTAbGN-Xk6MtX1YRZD0ldgdt20K4CRk/edit?usp=sharing"","&amp;"""เชียงราย!S236"")+IMPORTRANGE(""https://docs.google.com/spreadsheets/d/1rEDxBtusbi64tE0zunoIbsTVV16HeL0oJ6trHQeQ7K8/edit?usp=sharing"",""เชียงใหม่!S236"")+IMPORTRANGE(""https://docs.google.com/spreadsheets/d/1W6MnUbDkMi6xHnHko_XkFDO9kkuL6Wqyc-6OCDFjW9I/e"&amp;"dit?usp=sharing"",""ตาก!S236"")+IMPORTRANGE(""https://docs.google.com/spreadsheets/d/1IQAWArduLkta9LpYo4a_ULsyqdta6-6aDDiwpUnQT6c/edit?usp=sharing"",""นครสวรรค์!S236"")+IMPORTRANGE(""https://docs.google.com/spreadsheets/d/10s13Sk5xrltsiR-Zkbmk5DwIaDIKO8Xl"&amp;"bJAfqyT7Gvg/edit?usp=sharing"",""น่าน!S236"")+IMPORTRANGE(""https://docs.google.com/spreadsheets/d/1uu4nAn4Dbi1XREnLKKotUANlKXa7yCgRcgq8HEzQYW8/edit?usp=sharing"",""พะเยา!S236"")+IMPORTRANGE(""https://docs.google.com/spreadsheets/d/1xfJKIQxVOaPDIICqsflNlL"&amp;"u3JacTDk1FP9RH4phX7mI/edit?usp=sharing"",""พิจิตร!S236"")+IMPORTRANGE(""https://docs.google.com/spreadsheets/d/1JtRfZkJMHtEhI5RdRHxYUG4FIZHqKDpNyIuN7A1Q0_k/edit?usp=sharing"",""พิษณุโลก!S236"")+IMPORTRANGE(""https://docs.google.com/spreadsheets/d/1xlcVZWU"&amp;"Nn6SuWm0c307h32SiGkd9BaeQWlAktfD3KO8/edit?usp=sharing"",""เพชรบูรณ์!S236"")+IMPORTRANGE(""https://docs.google.com/spreadsheets/d/1lOVebEIsI9qjGXl6EX66luk7wiuP2tBaryw-wKvv4e0/edit?usp=sharing"",""แพร่!S236"")+IMPORTRANGE(""https://docs.google.com/spreadshe"&amp;"ets/d/1dQrvX0vEcN7Gu0fnZ0B5S90AeR19zth4XlExFBeExMY/edit?usp=sharing"",""แม่ฮ่องสอน!S236"")+IMPORTRANGE(""https://docs.google.com/spreadsheets/d/1DY4XTNNwjluuxqdfdn6qvOSlMRrZqUtmYcZR0ttFiG4/edit?usp=sharing"",""ลำปาง!S236"")+IMPORTRANGE(""https://docs.goog"&amp;"le.com/spreadsheets/d/1ICwG78r0OFT8biBlxnBF8r7she7gNSzOvJ958PWT09c/edit?usp=sharing"",""ลำพูน!S236"")+IMPORTRANGE(""https://docs.google.com/spreadsheets/d/1B0f2xJpZUC6Z0xXnqKlZtEPzsf6L84eP1r1Q15seqRM/edit?usp=sharing"",""สุโขทัย!S236"")+IMPORTRANGE(""http"&amp;"s://docs.google.com/spreadsheets/d/1v0b9pFQCsKUVExMei7AgY2yQkdeNQvtOssygGsXbiKo/edit?usp=sharing"",""อุตรดิตถ์!S236"")+IMPORTRANGE(""https://docs.google.com/spreadsheets/d/1UsNK1e-WWiCo2PvGqdNfdme4m17_Ezd3J69EeeiQPD0/edit?usp=sharing"",""อุทัยธานี!S236"")"),0)</f>
        <v>0</v>
      </c>
      <c r="T236" s="46"/>
      <c r="U236" s="46"/>
    </row>
    <row r="237" spans="1:21" ht="19.5" x14ac:dyDescent="0.3">
      <c r="A237" s="138"/>
      <c r="B237" s="139"/>
      <c r="C237" s="161" t="s">
        <v>18</v>
      </c>
      <c r="D237" s="140" t="s">
        <v>38</v>
      </c>
      <c r="E237" s="141"/>
      <c r="F237" s="141"/>
      <c r="G237" s="142"/>
      <c r="H237" s="143"/>
      <c r="I237" s="135"/>
      <c r="J237" s="44"/>
      <c r="K237" s="45"/>
      <c r="L237" s="45"/>
      <c r="M237" s="45"/>
      <c r="N237" s="45"/>
      <c r="O237" s="136"/>
      <c r="P237" s="136"/>
      <c r="Q237" s="46"/>
      <c r="R237" s="46"/>
      <c r="S237" s="46"/>
      <c r="T237" s="152"/>
      <c r="U237" s="152"/>
    </row>
    <row r="238" spans="1:21" ht="18.75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66">
        <f ca="1">IFERROR(__xludf.DUMMYFUNCTION("IMPORTRANGE(""https://docs.google.com/spreadsheets/d/1jTcq05yEiRwXcBMLjiodW9e4biSGYWAHcDj22rKWQ3s/edit?usp=sharing"",""กำแพงเพชร!I238"")+IMPORTRANGE(""https://docs.google.com/spreadsheets/d/1KS0zmDSZPk8KnTAbGN-Xk6MtX1YRZD0ldgdt20K4CRk/edit?usp=sharing"","&amp;"""เชียงราย!I238"")+IMPORTRANGE(""https://docs.google.com/spreadsheets/d/1rEDxBtusbi64tE0zunoIbsTVV16HeL0oJ6trHQeQ7K8/edit?usp=sharing"",""เชียงใหม่!I238"")+IMPORTRANGE(""https://docs.google.com/spreadsheets/d/1W6MnUbDkMi6xHnHko_XkFDO9kkuL6Wqyc-6OCDFjW9I/e"&amp;"dit?usp=sharing"",""ตาก!I238"")+IMPORTRANGE(""https://docs.google.com/spreadsheets/d/1IQAWArduLkta9LpYo4a_ULsyqdta6-6aDDiwpUnQT6c/edit?usp=sharing"",""นครสวรรค์!I238"")+IMPORTRANGE(""https://docs.google.com/spreadsheets/d/10s13Sk5xrltsiR-Zkbmk5DwIaDIKO8Xl"&amp;"bJAfqyT7Gvg/edit?usp=sharing"",""น่าน!I238"")+IMPORTRANGE(""https://docs.google.com/spreadsheets/d/1uu4nAn4Dbi1XREnLKKotUANlKXa7yCgRcgq8HEzQYW8/edit?usp=sharing"",""พะเยา!I238"")+IMPORTRANGE(""https://docs.google.com/spreadsheets/d/1xfJKIQxVOaPDIICqsflNlL"&amp;"u3JacTDk1FP9RH4phX7mI/edit?usp=sharing"",""พิจิตร!I238"")+IMPORTRANGE(""https://docs.google.com/spreadsheets/d/1JtRfZkJMHtEhI5RdRHxYUG4FIZHqKDpNyIuN7A1Q0_k/edit?usp=sharing"",""พิษณุโลก!I238"")+IMPORTRANGE(""https://docs.google.com/spreadsheets/d/1xlcVZWU"&amp;"Nn6SuWm0c307h32SiGkd9BaeQWlAktfD3KO8/edit?usp=sharing"",""เพชรบูรณ์!I238"")+IMPORTRANGE(""https://docs.google.com/spreadsheets/d/1lOVebEIsI9qjGXl6EX66luk7wiuP2tBaryw-wKvv4e0/edit?usp=sharing"",""แพร่!I238"")+IMPORTRANGE(""https://docs.google.com/spreadshe"&amp;"ets/d/1dQrvX0vEcN7Gu0fnZ0B5S90AeR19zth4XlExFBeExMY/edit?usp=sharing"",""แม่ฮ่องสอน!I238"")+IMPORTRANGE(""https://docs.google.com/spreadsheets/d/1DY4XTNNwjluuxqdfdn6qvOSlMRrZqUtmYcZR0ttFiG4/edit?usp=sharing"",""ลำปาง!I238"")+IMPORTRANGE(""https://docs.goog"&amp;"le.com/spreadsheets/d/1ICwG78r0OFT8biBlxnBF8r7she7gNSzOvJ958PWT09c/edit?usp=sharing"",""ลำพูน!I238"")+IMPORTRANGE(""https://docs.google.com/spreadsheets/d/1B0f2xJpZUC6Z0xXnqKlZtEPzsf6L84eP1r1Q15seqRM/edit?usp=sharing"",""สุโขทัย!I238"")+IMPORTRANGE(""http"&amp;"s://docs.google.com/spreadsheets/d/1v0b9pFQCsKUVExMei7AgY2yQkdeNQvtOssygGsXbiKo/edit?usp=sharing"",""อุตรดิตถ์!I238"")+IMPORTRANGE(""https://docs.google.com/spreadsheets/d/1UsNK1e-WWiCo2PvGqdNfdme4m17_Ezd3J69EeeiQPD0/edit?usp=sharing"",""อุทัยธานี!I238"")"),360)</f>
        <v>360</v>
      </c>
      <c r="J238" s="166">
        <f ca="1">IFERROR(__xludf.DUMMYFUNCTION("IMPORTRANGE(""https://docs.google.com/spreadsheets/d/1jTcq05yEiRwXcBMLjiodW9e4biSGYWAHcDj22rKWQ3s/edit?usp=sharing"",""กำแพงเพชร!J238"")+IMPORTRANGE(""https://docs.google.com/spreadsheets/d/1KS0zmDSZPk8KnTAbGN-Xk6MtX1YRZD0ldgdt20K4CRk/edit?usp=sharing"","&amp;"""เชียงราย!J238"")+IMPORTRANGE(""https://docs.google.com/spreadsheets/d/1rEDxBtusbi64tE0zunoIbsTVV16HeL0oJ6trHQeQ7K8/edit?usp=sharing"",""เชียงใหม่!J238"")+IMPORTRANGE(""https://docs.google.com/spreadsheets/d/1W6MnUbDkMi6xHnHko_XkFDO9kkuL6Wqyc-6OCDFjW9I/e"&amp;"dit?usp=sharing"",""ตาก!J238"")+IMPORTRANGE(""https://docs.google.com/spreadsheets/d/1IQAWArduLkta9LpYo4a_ULsyqdta6-6aDDiwpUnQT6c/edit?usp=sharing"",""นครสวรรค์!J238"")+IMPORTRANGE(""https://docs.google.com/spreadsheets/d/10s13Sk5xrltsiR-Zkbmk5DwIaDIKO8Xl"&amp;"bJAfqyT7Gvg/edit?usp=sharing"",""น่าน!J238"")+IMPORTRANGE(""https://docs.google.com/spreadsheets/d/1uu4nAn4Dbi1XREnLKKotUANlKXa7yCgRcgq8HEzQYW8/edit?usp=sharing"",""พะเยา!J238"")+IMPORTRANGE(""https://docs.google.com/spreadsheets/d/1xfJKIQxVOaPDIICqsflNlL"&amp;"u3JacTDk1FP9RH4phX7mI/edit?usp=sharing"",""พิจิตร!J238"")+IMPORTRANGE(""https://docs.google.com/spreadsheets/d/1JtRfZkJMHtEhI5RdRHxYUG4FIZHqKDpNyIuN7A1Q0_k/edit?usp=sharing"",""พิษณุโลก!J238"")+IMPORTRANGE(""https://docs.google.com/spreadsheets/d/1xlcVZWU"&amp;"Nn6SuWm0c307h32SiGkd9BaeQWlAktfD3KO8/edit?usp=sharing"",""เพชรบูรณ์!J238"")+IMPORTRANGE(""https://docs.google.com/spreadsheets/d/1lOVebEIsI9qjGXl6EX66luk7wiuP2tBaryw-wKvv4e0/edit?usp=sharing"",""แพร่!J238"")+IMPORTRANGE(""https://docs.google.com/spreadshe"&amp;"ets/d/1dQrvX0vEcN7Gu0fnZ0B5S90AeR19zth4XlExFBeExMY/edit?usp=sharing"",""แม่ฮ่องสอน!J238"")+IMPORTRANGE(""https://docs.google.com/spreadsheets/d/1DY4XTNNwjluuxqdfdn6qvOSlMRrZqUtmYcZR0ttFiG4/edit?usp=sharing"",""ลำปาง!J238"")+IMPORTRANGE(""https://docs.goog"&amp;"le.com/spreadsheets/d/1ICwG78r0OFT8biBlxnBF8r7she7gNSzOvJ958PWT09c/edit?usp=sharing"",""ลำพูน!J238"")+IMPORTRANGE(""https://docs.google.com/spreadsheets/d/1B0f2xJpZUC6Z0xXnqKlZtEPzsf6L84eP1r1Q15seqRM/edit?usp=sharing"",""สุโขทัย!J238"")+IMPORTRANGE(""http"&amp;"s://docs.google.com/spreadsheets/d/1v0b9pFQCsKUVExMei7AgY2yQkdeNQvtOssygGsXbiKo/edit?usp=sharing"",""อุตรดิตถ์!J238"")+IMPORTRANGE(""https://docs.google.com/spreadsheets/d/1UsNK1e-WWiCo2PvGqdNfdme4m17_Ezd3J69EeeiQPD0/edit?usp=sharing"",""อุทัยธานี!J238"")"),320)</f>
        <v>320</v>
      </c>
      <c r="K238" s="46">
        <f ca="1">IF(I238&gt;0,J238*100/I238,0)</f>
        <v>88.888888888888886</v>
      </c>
      <c r="L238" s="45"/>
      <c r="M238" s="45"/>
      <c r="N238" s="45"/>
      <c r="O238" s="45"/>
      <c r="P238" s="45"/>
      <c r="Q238" s="46"/>
      <c r="R238" s="46"/>
      <c r="S238" s="46"/>
      <c r="T238" s="46"/>
      <c r="U238" s="46"/>
    </row>
    <row r="239" spans="1:21" ht="18.75" x14ac:dyDescent="0.25">
      <c r="A239" s="138"/>
      <c r="B239" s="139"/>
      <c r="C239" s="139"/>
      <c r="D239" s="234" t="s">
        <v>43</v>
      </c>
      <c r="E239" s="145"/>
      <c r="F239" s="145"/>
      <c r="G239" s="143"/>
      <c r="H239" s="143"/>
      <c r="I239" s="44"/>
      <c r="J239" s="44"/>
      <c r="K239" s="45"/>
      <c r="L239" s="45"/>
      <c r="M239" s="45"/>
      <c r="N239" s="45"/>
      <c r="O239" s="136"/>
      <c r="P239" s="136"/>
      <c r="Q239" s="46"/>
      <c r="R239" s="46"/>
      <c r="S239" s="46"/>
      <c r="T239" s="152"/>
      <c r="U239" s="152"/>
    </row>
    <row r="240" spans="1:21" ht="18.75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84">
        <v>0</v>
      </c>
      <c r="J240" s="166">
        <f ca="1">IFERROR(__xludf.DUMMYFUNCTION("IMPORTRANGE(""https://docs.google.com/spreadsheets/d/1jTcq05yEiRwXcBMLjiodW9e4biSGYWAHcDj22rKWQ3s/edit?usp=sharing"",""กำแพงเพชร!J240"")+IMPORTRANGE(""https://docs.google.com/spreadsheets/d/1KS0zmDSZPk8KnTAbGN-Xk6MtX1YRZD0ldgdt20K4CRk/edit?usp=sharing"","&amp;"""เชียงราย!J240"")+IMPORTRANGE(""https://docs.google.com/spreadsheets/d/1rEDxBtusbi64tE0zunoIbsTVV16HeL0oJ6trHQeQ7K8/edit?usp=sharing"",""เชียงใหม่!J240"")+IMPORTRANGE(""https://docs.google.com/spreadsheets/d/1W6MnUbDkMi6xHnHko_XkFDO9kkuL6Wqyc-6OCDFjW9I/e"&amp;"dit?usp=sharing"",""ตาก!J240"")+IMPORTRANGE(""https://docs.google.com/spreadsheets/d/1IQAWArduLkta9LpYo4a_ULsyqdta6-6aDDiwpUnQT6c/edit?usp=sharing"",""นครสวรรค์!J240"")+IMPORTRANGE(""https://docs.google.com/spreadsheets/d/10s13Sk5xrltsiR-Zkbmk5DwIaDIKO8Xl"&amp;"bJAfqyT7Gvg/edit?usp=sharing"",""น่าน!J240"")+IMPORTRANGE(""https://docs.google.com/spreadsheets/d/1uu4nAn4Dbi1XREnLKKotUANlKXa7yCgRcgq8HEzQYW8/edit?usp=sharing"",""พะเยา!J240"")+IMPORTRANGE(""https://docs.google.com/spreadsheets/d/1xfJKIQxVOaPDIICqsflNlL"&amp;"u3JacTDk1FP9RH4phX7mI/edit?usp=sharing"",""พิจิตร!J240"")+IMPORTRANGE(""https://docs.google.com/spreadsheets/d/1JtRfZkJMHtEhI5RdRHxYUG4FIZHqKDpNyIuN7A1Q0_k/edit?usp=sharing"",""พิษณุโลก!J240"")+IMPORTRANGE(""https://docs.google.com/spreadsheets/d/1xlcVZWU"&amp;"Nn6SuWm0c307h32SiGkd9BaeQWlAktfD3KO8/edit?usp=sharing"",""เพชรบูรณ์!J240"")+IMPORTRANGE(""https://docs.google.com/spreadsheets/d/1lOVebEIsI9qjGXl6EX66luk7wiuP2tBaryw-wKvv4e0/edit?usp=sharing"",""แพร่!J240"")+IMPORTRANGE(""https://docs.google.com/spreadshe"&amp;"ets/d/1dQrvX0vEcN7Gu0fnZ0B5S90AeR19zth4XlExFBeExMY/edit?usp=sharing"",""แม่ฮ่องสอน!J240"")+IMPORTRANGE(""https://docs.google.com/spreadsheets/d/1DY4XTNNwjluuxqdfdn6qvOSlMRrZqUtmYcZR0ttFiG4/edit?usp=sharing"",""ลำปาง!J240"")+IMPORTRANGE(""https://docs.goog"&amp;"le.com/spreadsheets/d/1ICwG78r0OFT8biBlxnBF8r7she7gNSzOvJ958PWT09c/edit?usp=sharing"",""ลำพูน!J240"")+IMPORTRANGE(""https://docs.google.com/spreadsheets/d/1B0f2xJpZUC6Z0xXnqKlZtEPzsf6L84eP1r1Q15seqRM/edit?usp=sharing"",""สุโขทัย!J240"")+IMPORTRANGE(""http"&amp;"s://docs.google.com/spreadsheets/d/1v0b9pFQCsKUVExMei7AgY2yQkdeNQvtOssygGsXbiKo/edit?usp=sharing"",""อุตรดิตถ์!J240"")+IMPORTRANGE(""https://docs.google.com/spreadsheets/d/1UsNK1e-WWiCo2PvGqdNfdme4m17_Ezd3J69EeeiQPD0/edit?usp=sharing"",""อุทัยธานี!J240"")"),160)</f>
        <v>160</v>
      </c>
      <c r="K240" s="46">
        <f t="shared" ref="K240:K241" si="187">IF(I240&gt;0,J240*100/I240,0)</f>
        <v>0</v>
      </c>
      <c r="L240" s="45"/>
      <c r="M240" s="45"/>
      <c r="N240" s="45"/>
      <c r="O240" s="45"/>
      <c r="P240" s="45"/>
      <c r="Q240" s="46"/>
      <c r="R240" s="46"/>
      <c r="S240" s="46"/>
      <c r="T240" s="46"/>
      <c r="U240" s="46"/>
    </row>
    <row r="241" spans="1:21" ht="18.75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84">
        <v>0</v>
      </c>
      <c r="J241" s="166">
        <f ca="1">IFERROR(__xludf.DUMMYFUNCTION("IMPORTRANGE(""https://docs.google.com/spreadsheets/d/1jTcq05yEiRwXcBMLjiodW9e4biSGYWAHcDj22rKWQ3s/edit?usp=sharing"",""กำแพงเพชร!J241"")+IMPORTRANGE(""https://docs.google.com/spreadsheets/d/1KS0zmDSZPk8KnTAbGN-Xk6MtX1YRZD0ldgdt20K4CRk/edit?usp=sharing"","&amp;"""เชียงราย!J241"")+IMPORTRANGE(""https://docs.google.com/spreadsheets/d/1rEDxBtusbi64tE0zunoIbsTVV16HeL0oJ6trHQeQ7K8/edit?usp=sharing"",""เชียงใหม่!J241"")+IMPORTRANGE(""https://docs.google.com/spreadsheets/d/1W6MnUbDkMi6xHnHko_XkFDO9kkuL6Wqyc-6OCDFjW9I/e"&amp;"dit?usp=sharing"",""ตาก!J241"")+IMPORTRANGE(""https://docs.google.com/spreadsheets/d/1IQAWArduLkta9LpYo4a_ULsyqdta6-6aDDiwpUnQT6c/edit?usp=sharing"",""นครสวรรค์!J241"")+IMPORTRANGE(""https://docs.google.com/spreadsheets/d/10s13Sk5xrltsiR-Zkbmk5DwIaDIKO8Xl"&amp;"bJAfqyT7Gvg/edit?usp=sharing"",""น่าน!J241"")+IMPORTRANGE(""https://docs.google.com/spreadsheets/d/1uu4nAn4Dbi1XREnLKKotUANlKXa7yCgRcgq8HEzQYW8/edit?usp=sharing"",""พะเยา!J241"")+IMPORTRANGE(""https://docs.google.com/spreadsheets/d/1xfJKIQxVOaPDIICqsflNlL"&amp;"u3JacTDk1FP9RH4phX7mI/edit?usp=sharing"",""พิจิตร!J241"")+IMPORTRANGE(""https://docs.google.com/spreadsheets/d/1JtRfZkJMHtEhI5RdRHxYUG4FIZHqKDpNyIuN7A1Q0_k/edit?usp=sharing"",""พิษณุโลก!J241"")+IMPORTRANGE(""https://docs.google.com/spreadsheets/d/1xlcVZWU"&amp;"Nn6SuWm0c307h32SiGkd9BaeQWlAktfD3KO8/edit?usp=sharing"",""เพชรบูรณ์!J241"")+IMPORTRANGE(""https://docs.google.com/spreadsheets/d/1lOVebEIsI9qjGXl6EX66luk7wiuP2tBaryw-wKvv4e0/edit?usp=sharing"",""แพร่!J241"")+IMPORTRANGE(""https://docs.google.com/spreadshe"&amp;"ets/d/1dQrvX0vEcN7Gu0fnZ0B5S90AeR19zth4XlExFBeExMY/edit?usp=sharing"",""แม่ฮ่องสอน!J241"")+IMPORTRANGE(""https://docs.google.com/spreadsheets/d/1DY4XTNNwjluuxqdfdn6qvOSlMRrZqUtmYcZR0ttFiG4/edit?usp=sharing"",""ลำปาง!J241"")+IMPORTRANGE(""https://docs.goog"&amp;"le.com/spreadsheets/d/1ICwG78r0OFT8biBlxnBF8r7she7gNSzOvJ958PWT09c/edit?usp=sharing"",""ลำพูน!J241"")+IMPORTRANGE(""https://docs.google.com/spreadsheets/d/1B0f2xJpZUC6Z0xXnqKlZtEPzsf6L84eP1r1Q15seqRM/edit?usp=sharing"",""สุโขทัย!J241"")+IMPORTRANGE(""http"&amp;"s://docs.google.com/spreadsheets/d/1v0b9pFQCsKUVExMei7AgY2yQkdeNQvtOssygGsXbiKo/edit?usp=sharing"",""อุตรดิตถ์!J241"")+IMPORTRANGE(""https://docs.google.com/spreadsheets/d/1UsNK1e-WWiCo2PvGqdNfdme4m17_Ezd3J69EeeiQPD0/edit?usp=sharing"",""อุทัยธานี!J241"")"),1)</f>
        <v>1</v>
      </c>
      <c r="K241" s="46">
        <f t="shared" si="187"/>
        <v>0</v>
      </c>
      <c r="L241" s="45"/>
      <c r="M241" s="45"/>
      <c r="N241" s="45"/>
      <c r="O241" s="45"/>
      <c r="P241" s="45"/>
      <c r="Q241" s="46"/>
      <c r="R241" s="46"/>
      <c r="S241" s="46"/>
      <c r="T241" s="46"/>
      <c r="U241" s="46"/>
    </row>
    <row r="242" spans="1:21" ht="19.5" hidden="1" x14ac:dyDescent="0.3">
      <c r="A242" s="227"/>
      <c r="B242" s="228"/>
      <c r="C242" s="235" t="s">
        <v>111</v>
      </c>
      <c r="D242" s="229"/>
      <c r="E242" s="229"/>
      <c r="F242" s="229"/>
      <c r="G242" s="230"/>
      <c r="H242" s="236" t="s">
        <v>35</v>
      </c>
      <c r="I242" s="232"/>
      <c r="J242" s="232"/>
      <c r="K242" s="233"/>
      <c r="L242" s="233"/>
      <c r="M242" s="233"/>
      <c r="N242" s="233"/>
      <c r="O242" s="233"/>
      <c r="P242" s="233"/>
      <c r="Q242" s="219"/>
      <c r="R242" s="219"/>
      <c r="S242" s="219"/>
      <c r="T242" s="219"/>
      <c r="U242" s="219"/>
    </row>
    <row r="243" spans="1:21" ht="19.5" hidden="1" x14ac:dyDescent="0.3">
      <c r="A243" s="237"/>
      <c r="B243" s="229"/>
      <c r="C243" s="235" t="s">
        <v>18</v>
      </c>
      <c r="D243" s="238" t="s">
        <v>19</v>
      </c>
      <c r="E243" s="229"/>
      <c r="F243" s="229"/>
      <c r="G243" s="230"/>
      <c r="H243" s="239" t="s">
        <v>14</v>
      </c>
      <c r="I243" s="232"/>
      <c r="J243" s="232"/>
      <c r="K243" s="233"/>
      <c r="L243" s="233"/>
      <c r="M243" s="233"/>
      <c r="N243" s="233"/>
      <c r="O243" s="233"/>
      <c r="P243" s="233"/>
      <c r="Q243" s="45"/>
      <c r="R243" s="45"/>
      <c r="S243" s="45"/>
      <c r="T243" s="45"/>
      <c r="U243" s="45"/>
    </row>
    <row r="244" spans="1:21" ht="18.75" hidden="1" x14ac:dyDescent="0.25">
      <c r="A244" s="237"/>
      <c r="B244" s="228"/>
      <c r="C244" s="229"/>
      <c r="D244" s="240" t="s">
        <v>86</v>
      </c>
      <c r="E244" s="229"/>
      <c r="F244" s="229"/>
      <c r="G244" s="230"/>
      <c r="H244" s="241" t="s">
        <v>14</v>
      </c>
      <c r="I244" s="232"/>
      <c r="J244" s="232"/>
      <c r="K244" s="233"/>
      <c r="L244" s="233"/>
      <c r="M244" s="233"/>
      <c r="N244" s="233"/>
      <c r="O244" s="233"/>
      <c r="P244" s="233"/>
      <c r="Q244" s="45"/>
      <c r="R244" s="45"/>
      <c r="S244" s="45"/>
      <c r="T244" s="45"/>
      <c r="U244" s="45"/>
    </row>
    <row r="245" spans="1:21" ht="18.75" hidden="1" x14ac:dyDescent="0.25">
      <c r="A245" s="227"/>
      <c r="B245" s="228"/>
      <c r="C245" s="228"/>
      <c r="D245" s="240" t="s">
        <v>88</v>
      </c>
      <c r="E245" s="229"/>
      <c r="F245" s="229"/>
      <c r="G245" s="230"/>
      <c r="H245" s="241" t="s">
        <v>14</v>
      </c>
      <c r="I245" s="232"/>
      <c r="J245" s="232"/>
      <c r="K245" s="233"/>
      <c r="L245" s="233"/>
      <c r="M245" s="233"/>
      <c r="N245" s="233"/>
      <c r="O245" s="233"/>
      <c r="P245" s="233"/>
      <c r="Q245" s="45"/>
      <c r="R245" s="45"/>
      <c r="S245" s="45"/>
      <c r="T245" s="45"/>
      <c r="U245" s="45"/>
    </row>
    <row r="246" spans="1:21" ht="18.75" hidden="1" x14ac:dyDescent="0.25">
      <c r="A246" s="227"/>
      <c r="B246" s="228"/>
      <c r="C246" s="228"/>
      <c r="D246" s="240" t="s">
        <v>106</v>
      </c>
      <c r="E246" s="229"/>
      <c r="F246" s="229"/>
      <c r="G246" s="230"/>
      <c r="H246" s="241" t="s">
        <v>14</v>
      </c>
      <c r="I246" s="232"/>
      <c r="J246" s="232"/>
      <c r="K246" s="233"/>
      <c r="L246" s="233"/>
      <c r="M246" s="233"/>
      <c r="N246" s="233"/>
      <c r="O246" s="233"/>
      <c r="P246" s="233"/>
      <c r="Q246" s="45"/>
      <c r="R246" s="45"/>
      <c r="S246" s="45"/>
      <c r="T246" s="45"/>
      <c r="U246" s="45"/>
    </row>
    <row r="247" spans="1:21" ht="18.75" hidden="1" x14ac:dyDescent="0.25">
      <c r="A247" s="227"/>
      <c r="B247" s="228"/>
      <c r="C247" s="228"/>
      <c r="D247" s="240" t="s">
        <v>107</v>
      </c>
      <c r="E247" s="229"/>
      <c r="F247" s="229"/>
      <c r="G247" s="230"/>
      <c r="H247" s="241" t="s">
        <v>14</v>
      </c>
      <c r="I247" s="232"/>
      <c r="J247" s="232"/>
      <c r="K247" s="233"/>
      <c r="L247" s="233"/>
      <c r="M247" s="233"/>
      <c r="N247" s="233"/>
      <c r="O247" s="233"/>
      <c r="P247" s="233"/>
      <c r="Q247" s="45"/>
      <c r="R247" s="45"/>
      <c r="S247" s="45"/>
      <c r="T247" s="45"/>
      <c r="U247" s="45"/>
    </row>
    <row r="248" spans="1:21" ht="19.5" hidden="1" x14ac:dyDescent="0.3">
      <c r="A248" s="227"/>
      <c r="B248" s="228"/>
      <c r="C248" s="242" t="s">
        <v>18</v>
      </c>
      <c r="D248" s="243" t="s">
        <v>38</v>
      </c>
      <c r="E248" s="229"/>
      <c r="F248" s="229"/>
      <c r="G248" s="230"/>
      <c r="H248" s="230"/>
      <c r="I248" s="232"/>
      <c r="J248" s="232"/>
      <c r="K248" s="233"/>
      <c r="L248" s="233"/>
      <c r="M248" s="233"/>
      <c r="N248" s="233"/>
      <c r="O248" s="233"/>
      <c r="P248" s="233"/>
      <c r="Q248" s="45"/>
      <c r="R248" s="45"/>
      <c r="S248" s="45"/>
      <c r="T248" s="136"/>
      <c r="U248" s="136"/>
    </row>
    <row r="249" spans="1:21" ht="18.75" hidden="1" x14ac:dyDescent="0.25">
      <c r="A249" s="227"/>
      <c r="B249" s="228"/>
      <c r="C249" s="228"/>
      <c r="D249" s="240" t="s">
        <v>108</v>
      </c>
      <c r="E249" s="229"/>
      <c r="F249" s="229"/>
      <c r="G249" s="230"/>
      <c r="H249" s="244" t="s">
        <v>35</v>
      </c>
      <c r="I249" s="232"/>
      <c r="J249" s="232"/>
      <c r="K249" s="233"/>
      <c r="L249" s="233"/>
      <c r="M249" s="233"/>
      <c r="N249" s="233"/>
      <c r="O249" s="233"/>
      <c r="P249" s="233"/>
      <c r="Q249" s="45"/>
      <c r="R249" s="45"/>
      <c r="S249" s="45"/>
      <c r="T249" s="45"/>
      <c r="U249" s="45"/>
    </row>
    <row r="250" spans="1:21" ht="18.75" hidden="1" x14ac:dyDescent="0.25">
      <c r="A250" s="227"/>
      <c r="B250" s="228"/>
      <c r="C250" s="228"/>
      <c r="D250" s="245" t="s">
        <v>43</v>
      </c>
      <c r="E250" s="229"/>
      <c r="F250" s="229"/>
      <c r="G250" s="230"/>
      <c r="H250" s="230"/>
      <c r="I250" s="232"/>
      <c r="J250" s="232"/>
      <c r="K250" s="233"/>
      <c r="L250" s="233"/>
      <c r="M250" s="233"/>
      <c r="N250" s="233"/>
      <c r="O250" s="233"/>
      <c r="P250" s="233"/>
      <c r="Q250" s="45"/>
      <c r="R250" s="45"/>
      <c r="S250" s="45"/>
      <c r="T250" s="136"/>
      <c r="U250" s="136"/>
    </row>
    <row r="251" spans="1:21" ht="18.75" hidden="1" x14ac:dyDescent="0.25">
      <c r="A251" s="227"/>
      <c r="B251" s="228"/>
      <c r="C251" s="228"/>
      <c r="D251" s="228"/>
      <c r="E251" s="246" t="s">
        <v>109</v>
      </c>
      <c r="F251" s="229"/>
      <c r="G251" s="230"/>
      <c r="H251" s="244" t="s">
        <v>35</v>
      </c>
      <c r="I251" s="232"/>
      <c r="J251" s="232"/>
      <c r="K251" s="233"/>
      <c r="L251" s="233"/>
      <c r="M251" s="233"/>
      <c r="N251" s="233"/>
      <c r="O251" s="233"/>
      <c r="P251" s="233"/>
      <c r="Q251" s="45"/>
      <c r="R251" s="45"/>
      <c r="S251" s="45"/>
      <c r="T251" s="45"/>
      <c r="U251" s="45"/>
    </row>
    <row r="252" spans="1:21" ht="18.75" hidden="1" x14ac:dyDescent="0.25">
      <c r="A252" s="227"/>
      <c r="B252" s="228"/>
      <c r="C252" s="228"/>
      <c r="D252" s="228"/>
      <c r="E252" s="246" t="s">
        <v>110</v>
      </c>
      <c r="F252" s="229"/>
      <c r="G252" s="230"/>
      <c r="H252" s="244" t="s">
        <v>61</v>
      </c>
      <c r="I252" s="232"/>
      <c r="J252" s="232"/>
      <c r="K252" s="233"/>
      <c r="L252" s="233"/>
      <c r="M252" s="233"/>
      <c r="N252" s="233"/>
      <c r="O252" s="233"/>
      <c r="P252" s="233"/>
      <c r="Q252" s="45"/>
      <c r="R252" s="45"/>
      <c r="S252" s="45"/>
      <c r="T252" s="45"/>
      <c r="U252" s="45"/>
    </row>
    <row r="253" spans="1:21" ht="19.5" hidden="1" x14ac:dyDescent="0.3">
      <c r="A253" s="227"/>
      <c r="B253" s="228"/>
      <c r="C253" s="235" t="s">
        <v>112</v>
      </c>
      <c r="D253" s="229"/>
      <c r="E253" s="229"/>
      <c r="F253" s="229"/>
      <c r="G253" s="230"/>
      <c r="H253" s="236" t="s">
        <v>35</v>
      </c>
      <c r="I253" s="232"/>
      <c r="J253" s="232"/>
      <c r="K253" s="233"/>
      <c r="L253" s="233"/>
      <c r="M253" s="233"/>
      <c r="N253" s="233"/>
      <c r="O253" s="233"/>
      <c r="P253" s="233"/>
      <c r="Q253" s="219"/>
      <c r="R253" s="219"/>
      <c r="S253" s="219"/>
      <c r="T253" s="219"/>
      <c r="U253" s="219"/>
    </row>
    <row r="254" spans="1:21" ht="19.5" hidden="1" x14ac:dyDescent="0.3">
      <c r="A254" s="237"/>
      <c r="B254" s="229"/>
      <c r="C254" s="235" t="s">
        <v>18</v>
      </c>
      <c r="D254" s="243" t="s">
        <v>19</v>
      </c>
      <c r="E254" s="229"/>
      <c r="F254" s="229"/>
      <c r="G254" s="230"/>
      <c r="H254" s="239" t="s">
        <v>14</v>
      </c>
      <c r="I254" s="232"/>
      <c r="J254" s="232"/>
      <c r="K254" s="233"/>
      <c r="L254" s="233"/>
      <c r="M254" s="233"/>
      <c r="N254" s="233"/>
      <c r="O254" s="233"/>
      <c r="P254" s="233"/>
      <c r="Q254" s="45"/>
      <c r="R254" s="45"/>
      <c r="S254" s="45"/>
      <c r="T254" s="45"/>
      <c r="U254" s="45"/>
    </row>
    <row r="255" spans="1:21" ht="18.75" hidden="1" x14ac:dyDescent="0.25">
      <c r="A255" s="237"/>
      <c r="B255" s="228"/>
      <c r="C255" s="229"/>
      <c r="D255" s="240" t="s">
        <v>86</v>
      </c>
      <c r="E255" s="229"/>
      <c r="F255" s="229"/>
      <c r="G255" s="230"/>
      <c r="H255" s="241" t="s">
        <v>14</v>
      </c>
      <c r="I255" s="232"/>
      <c r="J255" s="232"/>
      <c r="K255" s="233"/>
      <c r="L255" s="233"/>
      <c r="M255" s="233"/>
      <c r="N255" s="233"/>
      <c r="O255" s="233"/>
      <c r="P255" s="233"/>
      <c r="Q255" s="45"/>
      <c r="R255" s="45"/>
      <c r="S255" s="45"/>
      <c r="T255" s="45"/>
      <c r="U255" s="45"/>
    </row>
    <row r="256" spans="1:21" ht="18.75" hidden="1" x14ac:dyDescent="0.25">
      <c r="A256" s="227"/>
      <c r="B256" s="228"/>
      <c r="C256" s="228"/>
      <c r="D256" s="240" t="s">
        <v>88</v>
      </c>
      <c r="E256" s="229"/>
      <c r="F256" s="229"/>
      <c r="G256" s="230"/>
      <c r="H256" s="241" t="s">
        <v>14</v>
      </c>
      <c r="I256" s="232"/>
      <c r="J256" s="232"/>
      <c r="K256" s="233"/>
      <c r="L256" s="233"/>
      <c r="M256" s="233"/>
      <c r="N256" s="233"/>
      <c r="O256" s="233"/>
      <c r="P256" s="233"/>
      <c r="Q256" s="45"/>
      <c r="R256" s="45"/>
      <c r="S256" s="45"/>
      <c r="T256" s="45"/>
      <c r="U256" s="45"/>
    </row>
    <row r="257" spans="1:21" ht="18.75" hidden="1" x14ac:dyDescent="0.25">
      <c r="A257" s="227"/>
      <c r="B257" s="228"/>
      <c r="C257" s="228"/>
      <c r="D257" s="240" t="s">
        <v>106</v>
      </c>
      <c r="E257" s="229"/>
      <c r="F257" s="229"/>
      <c r="G257" s="230"/>
      <c r="H257" s="241" t="s">
        <v>14</v>
      </c>
      <c r="I257" s="232"/>
      <c r="J257" s="232"/>
      <c r="K257" s="233"/>
      <c r="L257" s="233"/>
      <c r="M257" s="233"/>
      <c r="N257" s="233"/>
      <c r="O257" s="233"/>
      <c r="P257" s="233"/>
      <c r="Q257" s="45"/>
      <c r="R257" s="45"/>
      <c r="S257" s="45"/>
      <c r="T257" s="45"/>
      <c r="U257" s="45"/>
    </row>
    <row r="258" spans="1:21" ht="18.75" hidden="1" x14ac:dyDescent="0.25">
      <c r="A258" s="227"/>
      <c r="B258" s="228"/>
      <c r="C258" s="228"/>
      <c r="D258" s="240" t="s">
        <v>107</v>
      </c>
      <c r="E258" s="229"/>
      <c r="F258" s="229"/>
      <c r="G258" s="230"/>
      <c r="H258" s="241" t="s">
        <v>14</v>
      </c>
      <c r="I258" s="232"/>
      <c r="J258" s="232"/>
      <c r="K258" s="233"/>
      <c r="L258" s="233"/>
      <c r="M258" s="233"/>
      <c r="N258" s="233"/>
      <c r="O258" s="233"/>
      <c r="P258" s="233"/>
      <c r="Q258" s="45"/>
      <c r="R258" s="45"/>
      <c r="S258" s="45"/>
      <c r="T258" s="45"/>
      <c r="U258" s="45"/>
    </row>
    <row r="259" spans="1:21" ht="19.5" hidden="1" x14ac:dyDescent="0.3">
      <c r="A259" s="227"/>
      <c r="B259" s="228"/>
      <c r="C259" s="242" t="s">
        <v>18</v>
      </c>
      <c r="D259" s="243" t="s">
        <v>38</v>
      </c>
      <c r="E259" s="229"/>
      <c r="F259" s="229"/>
      <c r="G259" s="230"/>
      <c r="H259" s="230"/>
      <c r="I259" s="232"/>
      <c r="J259" s="232"/>
      <c r="K259" s="233"/>
      <c r="L259" s="233"/>
      <c r="M259" s="233"/>
      <c r="N259" s="233"/>
      <c r="O259" s="233"/>
      <c r="P259" s="233"/>
      <c r="Q259" s="45"/>
      <c r="R259" s="45"/>
      <c r="S259" s="45"/>
      <c r="T259" s="136"/>
      <c r="U259" s="136"/>
    </row>
    <row r="260" spans="1:21" ht="18.75" hidden="1" x14ac:dyDescent="0.25">
      <c r="A260" s="227"/>
      <c r="B260" s="228"/>
      <c r="C260" s="228"/>
      <c r="D260" s="240" t="s">
        <v>108</v>
      </c>
      <c r="E260" s="229"/>
      <c r="F260" s="229"/>
      <c r="G260" s="230"/>
      <c r="H260" s="244" t="s">
        <v>35</v>
      </c>
      <c r="I260" s="232"/>
      <c r="J260" s="232"/>
      <c r="K260" s="233"/>
      <c r="L260" s="233"/>
      <c r="M260" s="233"/>
      <c r="N260" s="233"/>
      <c r="O260" s="233"/>
      <c r="P260" s="233"/>
      <c r="Q260" s="45"/>
      <c r="R260" s="45"/>
      <c r="S260" s="45"/>
      <c r="T260" s="45"/>
      <c r="U260" s="45"/>
    </row>
    <row r="261" spans="1:21" ht="18.75" hidden="1" x14ac:dyDescent="0.25">
      <c r="A261" s="227"/>
      <c r="B261" s="228"/>
      <c r="C261" s="228"/>
      <c r="D261" s="245" t="s">
        <v>43</v>
      </c>
      <c r="E261" s="229"/>
      <c r="F261" s="229"/>
      <c r="G261" s="230"/>
      <c r="H261" s="230"/>
      <c r="I261" s="232"/>
      <c r="J261" s="232"/>
      <c r="K261" s="233"/>
      <c r="L261" s="233"/>
      <c r="M261" s="233"/>
      <c r="N261" s="233"/>
      <c r="O261" s="233"/>
      <c r="P261" s="233"/>
      <c r="Q261" s="45"/>
      <c r="R261" s="45"/>
      <c r="S261" s="45"/>
      <c r="T261" s="136"/>
      <c r="U261" s="136"/>
    </row>
    <row r="262" spans="1:21" ht="18.75" hidden="1" x14ac:dyDescent="0.25">
      <c r="A262" s="227"/>
      <c r="B262" s="228"/>
      <c r="C262" s="228"/>
      <c r="D262" s="228"/>
      <c r="E262" s="246" t="s">
        <v>109</v>
      </c>
      <c r="F262" s="229"/>
      <c r="G262" s="230"/>
      <c r="H262" s="244" t="s">
        <v>35</v>
      </c>
      <c r="I262" s="232"/>
      <c r="J262" s="232"/>
      <c r="K262" s="233"/>
      <c r="L262" s="233"/>
      <c r="M262" s="233"/>
      <c r="N262" s="233"/>
      <c r="O262" s="233"/>
      <c r="P262" s="233"/>
      <c r="Q262" s="45"/>
      <c r="R262" s="45"/>
      <c r="S262" s="45"/>
      <c r="T262" s="45"/>
      <c r="U262" s="45"/>
    </row>
    <row r="263" spans="1:21" ht="18.75" hidden="1" x14ac:dyDescent="0.25">
      <c r="A263" s="227"/>
      <c r="B263" s="228"/>
      <c r="C263" s="228"/>
      <c r="D263" s="228"/>
      <c r="E263" s="246" t="s">
        <v>110</v>
      </c>
      <c r="F263" s="229"/>
      <c r="G263" s="230"/>
      <c r="H263" s="244" t="s">
        <v>61</v>
      </c>
      <c r="I263" s="232"/>
      <c r="J263" s="232"/>
      <c r="K263" s="233"/>
      <c r="L263" s="233"/>
      <c r="M263" s="233"/>
      <c r="N263" s="233"/>
      <c r="O263" s="233"/>
      <c r="P263" s="233"/>
      <c r="Q263" s="45"/>
      <c r="R263" s="45"/>
      <c r="S263" s="45"/>
      <c r="T263" s="45"/>
      <c r="U263" s="45"/>
    </row>
    <row r="264" spans="1:21" ht="19.5" x14ac:dyDescent="0.3">
      <c r="A264" s="195" t="s">
        <v>113</v>
      </c>
      <c r="B264" s="196"/>
      <c r="C264" s="196"/>
      <c r="D264" s="197"/>
      <c r="E264" s="197"/>
      <c r="F264" s="197"/>
      <c r="G264" s="198"/>
      <c r="H264" s="198"/>
      <c r="I264" s="199"/>
      <c r="J264" s="199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</row>
    <row r="265" spans="1:21" ht="19.5" x14ac:dyDescent="0.3">
      <c r="A265" s="201"/>
      <c r="B265" s="202" t="s">
        <v>114</v>
      </c>
      <c r="C265" s="203"/>
      <c r="D265" s="141"/>
      <c r="E265" s="141"/>
      <c r="F265" s="141"/>
      <c r="G265" s="142"/>
      <c r="H265" s="204" t="s">
        <v>35</v>
      </c>
      <c r="I265" s="205">
        <f ca="1">IFERROR(__xludf.DUMMYFUNCTION("IMPORTRANGE(""https://docs.google.com/spreadsheets/d/1jTcq05yEiRwXcBMLjiodW9e4biSGYWAHcDj22rKWQ3s/edit?usp=sharing"",""กำแพงเพชร!I265"")+IMPORTRANGE(""https://docs.google.com/spreadsheets/d/1KS0zmDSZPk8KnTAbGN-Xk6MtX1YRZD0ldgdt20K4CRk/edit?usp=sharing"","&amp;"""เชียงราย!I265"")+IMPORTRANGE(""https://docs.google.com/spreadsheets/d/1rEDxBtusbi64tE0zunoIbsTVV16HeL0oJ6trHQeQ7K8/edit?usp=sharing"",""เชียงใหม่!I265"")+IMPORTRANGE(""https://docs.google.com/spreadsheets/d/1W6MnUbDkMi6xHnHko_XkFDO9kkuL6Wqyc-6OCDFjW9I/e"&amp;"dit?usp=sharing"",""ตาก!I265"")+IMPORTRANGE(""https://docs.google.com/spreadsheets/d/1IQAWArduLkta9LpYo4a_ULsyqdta6-6aDDiwpUnQT6c/edit?usp=sharing"",""นครสวรรค์!I265"")+IMPORTRANGE(""https://docs.google.com/spreadsheets/d/10s13Sk5xrltsiR-Zkbmk5DwIaDIKO8Xl"&amp;"bJAfqyT7Gvg/edit?usp=sharing"",""น่าน!I265"")+IMPORTRANGE(""https://docs.google.com/spreadsheets/d/1uu4nAn4Dbi1XREnLKKotUANlKXa7yCgRcgq8HEzQYW8/edit?usp=sharing"",""พะเยา!I265"")+IMPORTRANGE(""https://docs.google.com/spreadsheets/d/1xfJKIQxVOaPDIICqsflNlL"&amp;"u3JacTDk1FP9RH4phX7mI/edit?usp=sharing"",""พิจิตร!I265"")+IMPORTRANGE(""https://docs.google.com/spreadsheets/d/1JtRfZkJMHtEhI5RdRHxYUG4FIZHqKDpNyIuN7A1Q0_k/edit?usp=sharing"",""พิษณุโลก!I265"")+IMPORTRANGE(""https://docs.google.com/spreadsheets/d/1xlcVZWU"&amp;"Nn6SuWm0c307h32SiGkd9BaeQWlAktfD3KO8/edit?usp=sharing"",""เพชรบูรณ์!I265"")+IMPORTRANGE(""https://docs.google.com/spreadsheets/d/1lOVebEIsI9qjGXl6EX66luk7wiuP2tBaryw-wKvv4e0/edit?usp=sharing"",""แพร่!I265"")+IMPORTRANGE(""https://docs.google.com/spreadshe"&amp;"ets/d/1dQrvX0vEcN7Gu0fnZ0B5S90AeR19zth4XlExFBeExMY/edit?usp=sharing"",""แม่ฮ่องสอน!I265"")+IMPORTRANGE(""https://docs.google.com/spreadsheets/d/1DY4XTNNwjluuxqdfdn6qvOSlMRrZqUtmYcZR0ttFiG4/edit?usp=sharing"",""ลำปาง!I265"")+IMPORTRANGE(""https://docs.goog"&amp;"le.com/spreadsheets/d/1ICwG78r0OFT8biBlxnBF8r7she7gNSzOvJ958PWT09c/edit?usp=sharing"",""ลำพูน!I265"")+IMPORTRANGE(""https://docs.google.com/spreadsheets/d/1B0f2xJpZUC6Z0xXnqKlZtEPzsf6L84eP1r1Q15seqRM/edit?usp=sharing"",""สุโขทัย!I265"")+IMPORTRANGE(""http"&amp;"s://docs.google.com/spreadsheets/d/1v0b9pFQCsKUVExMei7AgY2yQkdeNQvtOssygGsXbiKo/edit?usp=sharing"",""อุตรดิตถ์!I265"")+IMPORTRANGE(""https://docs.google.com/spreadsheets/d/1UsNK1e-WWiCo2PvGqdNfdme4m17_Ezd3J69EeeiQPD0/edit?usp=sharing"",""อุทัยธานี!I265"")"),384)</f>
        <v>384</v>
      </c>
      <c r="J265" s="205">
        <f ca="1">IFERROR(__xludf.DUMMYFUNCTION("IMPORTRANGE(""https://docs.google.com/spreadsheets/d/1jTcq05yEiRwXcBMLjiodW9e4biSGYWAHcDj22rKWQ3s/edit?usp=sharing"",""กำแพงเพชร!J265"")+IMPORTRANGE(""https://docs.google.com/spreadsheets/d/1KS0zmDSZPk8KnTAbGN-Xk6MtX1YRZD0ldgdt20K4CRk/edit?usp=sharing"","&amp;"""เชียงราย!J265"")+IMPORTRANGE(""https://docs.google.com/spreadsheets/d/1rEDxBtusbi64tE0zunoIbsTVV16HeL0oJ6trHQeQ7K8/edit?usp=sharing"",""เชียงใหม่!J265"")+IMPORTRANGE(""https://docs.google.com/spreadsheets/d/1W6MnUbDkMi6xHnHko_XkFDO9kkuL6Wqyc-6OCDFjW9I/e"&amp;"dit?usp=sharing"",""ตาก!J265"")+IMPORTRANGE(""https://docs.google.com/spreadsheets/d/1IQAWArduLkta9LpYo4a_ULsyqdta6-6aDDiwpUnQT6c/edit?usp=sharing"",""นครสวรรค์!J265"")+IMPORTRANGE(""https://docs.google.com/spreadsheets/d/10s13Sk5xrltsiR-Zkbmk5DwIaDIKO8Xl"&amp;"bJAfqyT7Gvg/edit?usp=sharing"",""น่าน!J265"")+IMPORTRANGE(""https://docs.google.com/spreadsheets/d/1uu4nAn4Dbi1XREnLKKotUANlKXa7yCgRcgq8HEzQYW8/edit?usp=sharing"",""พะเยา!J265"")+IMPORTRANGE(""https://docs.google.com/spreadsheets/d/1xfJKIQxVOaPDIICqsflNlL"&amp;"u3JacTDk1FP9RH4phX7mI/edit?usp=sharing"",""พิจิตร!J265"")+IMPORTRANGE(""https://docs.google.com/spreadsheets/d/1JtRfZkJMHtEhI5RdRHxYUG4FIZHqKDpNyIuN7A1Q0_k/edit?usp=sharing"",""พิษณุโลก!J265"")+IMPORTRANGE(""https://docs.google.com/spreadsheets/d/1xlcVZWU"&amp;"Nn6SuWm0c307h32SiGkd9BaeQWlAktfD3KO8/edit?usp=sharing"",""เพชรบูรณ์!J265"")+IMPORTRANGE(""https://docs.google.com/spreadsheets/d/1lOVebEIsI9qjGXl6EX66luk7wiuP2tBaryw-wKvv4e0/edit?usp=sharing"",""แพร่!J265"")+IMPORTRANGE(""https://docs.google.com/spreadshe"&amp;"ets/d/1dQrvX0vEcN7Gu0fnZ0B5S90AeR19zth4XlExFBeExMY/edit?usp=sharing"",""แม่ฮ่องสอน!J265"")+IMPORTRANGE(""https://docs.google.com/spreadsheets/d/1DY4XTNNwjluuxqdfdn6qvOSlMRrZqUtmYcZR0ttFiG4/edit?usp=sharing"",""ลำปาง!J265"")+IMPORTRANGE(""https://docs.goog"&amp;"le.com/spreadsheets/d/1ICwG78r0OFT8biBlxnBF8r7she7gNSzOvJ958PWT09c/edit?usp=sharing"",""ลำพูน!J265"")+IMPORTRANGE(""https://docs.google.com/spreadsheets/d/1B0f2xJpZUC6Z0xXnqKlZtEPzsf6L84eP1r1Q15seqRM/edit?usp=sharing"",""สุโขทัย!J265"")+IMPORTRANGE(""http"&amp;"s://docs.google.com/spreadsheets/d/1v0b9pFQCsKUVExMei7AgY2yQkdeNQvtOssygGsXbiKo/edit?usp=sharing"",""อุตรดิตถ์!J265"")+IMPORTRANGE(""https://docs.google.com/spreadsheets/d/1UsNK1e-WWiCo2PvGqdNfdme4m17_Ezd3J69EeeiQPD0/edit?usp=sharing"",""อุทัยธานี!J265"")"),202)</f>
        <v>202</v>
      </c>
      <c r="K265" s="206">
        <f ca="1">IF(I265&gt;0,J265*100/I265,0)</f>
        <v>52.604166666666664</v>
      </c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</row>
    <row r="266" spans="1:21" ht="19.5" x14ac:dyDescent="0.3">
      <c r="A266" s="128"/>
      <c r="B266" s="40"/>
      <c r="C266" s="129" t="s">
        <v>18</v>
      </c>
      <c r="D266" s="130" t="s">
        <v>19</v>
      </c>
      <c r="E266" s="40"/>
      <c r="F266" s="40"/>
      <c r="G266" s="42"/>
      <c r="H266" s="131" t="s">
        <v>14</v>
      </c>
      <c r="I266" s="44"/>
      <c r="J266" s="44"/>
      <c r="K266" s="45"/>
      <c r="L266" s="132">
        <f t="shared" ref="L266:N266" ca="1" si="188">L267+L268</f>
        <v>85000</v>
      </c>
      <c r="M266" s="132">
        <f t="shared" ca="1" si="188"/>
        <v>85000</v>
      </c>
      <c r="N266" s="132">
        <f t="shared" ca="1" si="188"/>
        <v>30000</v>
      </c>
      <c r="O266" s="132">
        <f t="shared" ref="O266:O274" ca="1" si="189">IF(L266&gt;0,N266*100/L266,0)</f>
        <v>35.294117647058826</v>
      </c>
      <c r="P266" s="132">
        <f t="shared" ref="P266:P274" ca="1" si="190">IF(M266&gt;0,N266*100/M266,0)</f>
        <v>35.294117647058826</v>
      </c>
      <c r="Q266" s="132">
        <f t="shared" ref="Q266:S266" ca="1" si="191">Q267+Q268</f>
        <v>875120</v>
      </c>
      <c r="R266" s="132">
        <f t="shared" ca="1" si="191"/>
        <v>875120</v>
      </c>
      <c r="S266" s="132">
        <f t="shared" ca="1" si="191"/>
        <v>446421.5</v>
      </c>
      <c r="T266" s="132">
        <f t="shared" ref="T266:T274" ca="1" si="192">IF(Q266&gt;0,S266*100/Q266,0)</f>
        <v>51.012603985739098</v>
      </c>
      <c r="U266" s="132">
        <f t="shared" ref="U266:U274" ca="1" si="193">IF(R266&gt;0,S266*100/R266,0)</f>
        <v>51.012603985739098</v>
      </c>
    </row>
    <row r="267" spans="1:21" ht="18.75" x14ac:dyDescent="0.25">
      <c r="A267" s="128"/>
      <c r="B267" s="40"/>
      <c r="C267" s="40"/>
      <c r="D267" s="40"/>
      <c r="E267" s="47" t="s">
        <v>20</v>
      </c>
      <c r="F267" s="40"/>
      <c r="G267" s="42"/>
      <c r="H267" s="133" t="s">
        <v>14</v>
      </c>
      <c r="I267" s="44"/>
      <c r="J267" s="44"/>
      <c r="K267" s="45"/>
      <c r="L267" s="46">
        <f t="shared" ref="L267:N267" ca="1" si="194">L270+L273</f>
        <v>0</v>
      </c>
      <c r="M267" s="46">
        <f t="shared" ca="1" si="194"/>
        <v>0</v>
      </c>
      <c r="N267" s="46">
        <f t="shared" ca="1" si="194"/>
        <v>0</v>
      </c>
      <c r="O267" s="46">
        <f t="shared" ca="1" si="189"/>
        <v>0</v>
      </c>
      <c r="P267" s="46">
        <f t="shared" ca="1" si="190"/>
        <v>0</v>
      </c>
      <c r="Q267" s="48">
        <f t="shared" ref="Q267:S267" ca="1" si="195">Q270+Q273</f>
        <v>0</v>
      </c>
      <c r="R267" s="48">
        <f t="shared" ca="1" si="195"/>
        <v>0</v>
      </c>
      <c r="S267" s="48">
        <f t="shared" ca="1" si="195"/>
        <v>0</v>
      </c>
      <c r="T267" s="48">
        <f t="shared" ca="1" si="192"/>
        <v>0</v>
      </c>
      <c r="U267" s="48">
        <f t="shared" ca="1" si="193"/>
        <v>0</v>
      </c>
    </row>
    <row r="268" spans="1:21" ht="18.75" x14ac:dyDescent="0.25">
      <c r="A268" s="128"/>
      <c r="B268" s="40"/>
      <c r="C268" s="40"/>
      <c r="D268" s="40"/>
      <c r="E268" s="47" t="s">
        <v>21</v>
      </c>
      <c r="F268" s="40"/>
      <c r="G268" s="42"/>
      <c r="H268" s="133" t="s">
        <v>14</v>
      </c>
      <c r="I268" s="44"/>
      <c r="J268" s="44"/>
      <c r="K268" s="45"/>
      <c r="L268" s="46">
        <f t="shared" ref="L268:N268" ca="1" si="196">L271+L274</f>
        <v>85000</v>
      </c>
      <c r="M268" s="46">
        <f t="shared" ca="1" si="196"/>
        <v>85000</v>
      </c>
      <c r="N268" s="46">
        <f t="shared" ca="1" si="196"/>
        <v>30000</v>
      </c>
      <c r="O268" s="46">
        <f t="shared" ca="1" si="189"/>
        <v>35.294117647058826</v>
      </c>
      <c r="P268" s="46">
        <f t="shared" ca="1" si="190"/>
        <v>35.294117647058826</v>
      </c>
      <c r="Q268" s="46">
        <f t="shared" ref="Q268:S268" ca="1" si="197">Q271+Q274</f>
        <v>875120</v>
      </c>
      <c r="R268" s="46">
        <f t="shared" ca="1" si="197"/>
        <v>875120</v>
      </c>
      <c r="S268" s="46">
        <f t="shared" ca="1" si="197"/>
        <v>446421.5</v>
      </c>
      <c r="T268" s="46">
        <f t="shared" ca="1" si="192"/>
        <v>51.012603985739098</v>
      </c>
      <c r="U268" s="46">
        <f t="shared" ca="1" si="193"/>
        <v>51.012603985739098</v>
      </c>
    </row>
    <row r="269" spans="1:21" ht="18.75" x14ac:dyDescent="0.25">
      <c r="A269" s="128"/>
      <c r="B269" s="40"/>
      <c r="C269" s="40"/>
      <c r="D269" s="41" t="s">
        <v>22</v>
      </c>
      <c r="E269" s="40"/>
      <c r="F269" s="40"/>
      <c r="G269" s="42"/>
      <c r="H269" s="134" t="s">
        <v>14</v>
      </c>
      <c r="I269" s="135"/>
      <c r="J269" s="135"/>
      <c r="K269" s="136"/>
      <c r="L269" s="46">
        <f t="shared" ref="L269:N269" ca="1" si="198">L270+L271</f>
        <v>85000</v>
      </c>
      <c r="M269" s="46">
        <f t="shared" ca="1" si="198"/>
        <v>85000</v>
      </c>
      <c r="N269" s="46">
        <f t="shared" ca="1" si="198"/>
        <v>30000</v>
      </c>
      <c r="O269" s="46">
        <f t="shared" ca="1" si="189"/>
        <v>35.294117647058826</v>
      </c>
      <c r="P269" s="46">
        <f t="shared" ca="1" si="190"/>
        <v>35.294117647058826</v>
      </c>
      <c r="Q269" s="46">
        <f t="shared" ref="Q269:S269" ca="1" si="199">Q270+Q271</f>
        <v>875120</v>
      </c>
      <c r="R269" s="46">
        <f t="shared" ca="1" si="199"/>
        <v>875120</v>
      </c>
      <c r="S269" s="46">
        <f t="shared" ca="1" si="199"/>
        <v>446421.5</v>
      </c>
      <c r="T269" s="46">
        <f t="shared" ca="1" si="192"/>
        <v>51.012603985739098</v>
      </c>
      <c r="U269" s="46">
        <f t="shared" ca="1" si="193"/>
        <v>51.012603985739098</v>
      </c>
    </row>
    <row r="270" spans="1:21" ht="18.75" x14ac:dyDescent="0.25">
      <c r="A270" s="128"/>
      <c r="B270" s="40"/>
      <c r="C270" s="40"/>
      <c r="D270" s="40"/>
      <c r="E270" s="47" t="s">
        <v>36</v>
      </c>
      <c r="F270" s="40"/>
      <c r="G270" s="42"/>
      <c r="H270" s="134" t="s">
        <v>14</v>
      </c>
      <c r="I270" s="135"/>
      <c r="J270" s="135"/>
      <c r="K270" s="136"/>
      <c r="L270" s="46">
        <f ca="1">IFERROR(__xludf.DUMMYFUNCTION("IMPORTRANGE(""https://docs.google.com/spreadsheets/d/1jTcq05yEiRwXcBMLjiodW9e4biSGYWAHcDj22rKWQ3s/edit?usp=sharing"",""กำแพงเพชร!L270"")+IMPORTRANGE(""https://docs.google.com/spreadsheets/d/1KS0zmDSZPk8KnTAbGN-Xk6MtX1YRZD0ldgdt20K4CRk/edit?usp=sharing"","&amp;"""เชียงราย!L270"")+IMPORTRANGE(""https://docs.google.com/spreadsheets/d/1rEDxBtusbi64tE0zunoIbsTVV16HeL0oJ6trHQeQ7K8/edit?usp=sharing"",""เชียงใหม่!L270"")+IMPORTRANGE(""https://docs.google.com/spreadsheets/d/1W6MnUbDkMi6xHnHko_XkFDO9kkuL6Wqyc-6OCDFjW9I/e"&amp;"dit?usp=sharing"",""ตาก!L270"")+IMPORTRANGE(""https://docs.google.com/spreadsheets/d/1IQAWArduLkta9LpYo4a_ULsyqdta6-6aDDiwpUnQT6c/edit?usp=sharing"",""นครสวรรค์!L270"")+IMPORTRANGE(""https://docs.google.com/spreadsheets/d/10s13Sk5xrltsiR-Zkbmk5DwIaDIKO8Xl"&amp;"bJAfqyT7Gvg/edit?usp=sharing"",""น่าน!L270"")+IMPORTRANGE(""https://docs.google.com/spreadsheets/d/1uu4nAn4Dbi1XREnLKKotUANlKXa7yCgRcgq8HEzQYW8/edit?usp=sharing"",""พะเยา!L270"")+IMPORTRANGE(""https://docs.google.com/spreadsheets/d/1xfJKIQxVOaPDIICqsflNlL"&amp;"u3JacTDk1FP9RH4phX7mI/edit?usp=sharing"",""พิจิตร!L270"")+IMPORTRANGE(""https://docs.google.com/spreadsheets/d/1JtRfZkJMHtEhI5RdRHxYUG4FIZHqKDpNyIuN7A1Q0_k/edit?usp=sharing"",""พิษณุโลก!L270"")+IMPORTRANGE(""https://docs.google.com/spreadsheets/d/1xlcVZWU"&amp;"Nn6SuWm0c307h32SiGkd9BaeQWlAktfD3KO8/edit?usp=sharing"",""เพชรบูรณ์!L270"")+IMPORTRANGE(""https://docs.google.com/spreadsheets/d/1lOVebEIsI9qjGXl6EX66luk7wiuP2tBaryw-wKvv4e0/edit?usp=sharing"",""แพร่!L270"")+IMPORTRANGE(""https://docs.google.com/spreadshe"&amp;"ets/d/1dQrvX0vEcN7Gu0fnZ0B5S90AeR19zth4XlExFBeExMY/edit?usp=sharing"",""แม่ฮ่องสอน!L270"")+IMPORTRANGE(""https://docs.google.com/spreadsheets/d/1DY4XTNNwjluuxqdfdn6qvOSlMRrZqUtmYcZR0ttFiG4/edit?usp=sharing"",""ลำปาง!L270"")+IMPORTRANGE(""https://docs.goog"&amp;"le.com/spreadsheets/d/1ICwG78r0OFT8biBlxnBF8r7she7gNSzOvJ958PWT09c/edit?usp=sharing"",""ลำพูน!L270"")+IMPORTRANGE(""https://docs.google.com/spreadsheets/d/1B0f2xJpZUC6Z0xXnqKlZtEPzsf6L84eP1r1Q15seqRM/edit?usp=sharing"",""สุโขทัย!L270"")+IMPORTRANGE(""http"&amp;"s://docs.google.com/spreadsheets/d/1v0b9pFQCsKUVExMei7AgY2yQkdeNQvtOssygGsXbiKo/edit?usp=sharing"",""อุตรดิตถ์!L270"")+IMPORTRANGE(""https://docs.google.com/spreadsheets/d/1UsNK1e-WWiCo2PvGqdNfdme4m17_Ezd3J69EeeiQPD0/edit?usp=sharing"",""อุทัยธานี!L270"")"),0)</f>
        <v>0</v>
      </c>
      <c r="M270" s="46">
        <f ca="1">IFERROR(__xludf.DUMMYFUNCTION("IMPORTRANGE(""https://docs.google.com/spreadsheets/d/1jTcq05yEiRwXcBMLjiodW9e4biSGYWAHcDj22rKWQ3s/edit?usp=sharing"",""กำแพงเพชร!M270"")+IMPORTRANGE(""https://docs.google.com/spreadsheets/d/1KS0zmDSZPk8KnTAbGN-Xk6MtX1YRZD0ldgdt20K4CRk/edit?usp=sharing"","&amp;"""เชียงราย!M270"")+IMPORTRANGE(""https://docs.google.com/spreadsheets/d/1rEDxBtusbi64tE0zunoIbsTVV16HeL0oJ6trHQeQ7K8/edit?usp=sharing"",""เชียงใหม่!M270"")+IMPORTRANGE(""https://docs.google.com/spreadsheets/d/1W6MnUbDkMi6xHnHko_XkFDO9kkuL6Wqyc-6OCDFjW9I/e"&amp;"dit?usp=sharing"",""ตาก!M270"")+IMPORTRANGE(""https://docs.google.com/spreadsheets/d/1IQAWArduLkta9LpYo4a_ULsyqdta6-6aDDiwpUnQT6c/edit?usp=sharing"",""นครสวรรค์!M270"")+IMPORTRANGE(""https://docs.google.com/spreadsheets/d/10s13Sk5xrltsiR-Zkbmk5DwIaDIKO8Xl"&amp;"bJAfqyT7Gvg/edit?usp=sharing"",""น่าน!M270"")+IMPORTRANGE(""https://docs.google.com/spreadsheets/d/1uu4nAn4Dbi1XREnLKKotUANlKXa7yCgRcgq8HEzQYW8/edit?usp=sharing"",""พะเยา!M270"")+IMPORTRANGE(""https://docs.google.com/spreadsheets/d/1xfJKIQxVOaPDIICqsflNlL"&amp;"u3JacTDk1FP9RH4phX7mI/edit?usp=sharing"",""พิจิตร!M270"")+IMPORTRANGE(""https://docs.google.com/spreadsheets/d/1JtRfZkJMHtEhI5RdRHxYUG4FIZHqKDpNyIuN7A1Q0_k/edit?usp=sharing"",""พิษณุโลก!M270"")+IMPORTRANGE(""https://docs.google.com/spreadsheets/d/1xlcVZWU"&amp;"Nn6SuWm0c307h32SiGkd9BaeQWlAktfD3KO8/edit?usp=sharing"",""เพชรบูรณ์!M270"")+IMPORTRANGE(""https://docs.google.com/spreadsheets/d/1lOVebEIsI9qjGXl6EX66luk7wiuP2tBaryw-wKvv4e0/edit?usp=sharing"",""แพร่!M270"")+IMPORTRANGE(""https://docs.google.com/spreadshe"&amp;"ets/d/1dQrvX0vEcN7Gu0fnZ0B5S90AeR19zth4XlExFBeExMY/edit?usp=sharing"",""แม่ฮ่องสอน!M270"")+IMPORTRANGE(""https://docs.google.com/spreadsheets/d/1DY4XTNNwjluuxqdfdn6qvOSlMRrZqUtmYcZR0ttFiG4/edit?usp=sharing"",""ลำปาง!M270"")+IMPORTRANGE(""https://docs.goog"&amp;"le.com/spreadsheets/d/1ICwG78r0OFT8biBlxnBF8r7she7gNSzOvJ958PWT09c/edit?usp=sharing"",""ลำพูน!M270"")+IMPORTRANGE(""https://docs.google.com/spreadsheets/d/1B0f2xJpZUC6Z0xXnqKlZtEPzsf6L84eP1r1Q15seqRM/edit?usp=sharing"",""สุโขทัย!M270"")+IMPORTRANGE(""http"&amp;"s://docs.google.com/spreadsheets/d/1v0b9pFQCsKUVExMei7AgY2yQkdeNQvtOssygGsXbiKo/edit?usp=sharing"",""อุตรดิตถ์!M270"")+IMPORTRANGE(""https://docs.google.com/spreadsheets/d/1UsNK1e-WWiCo2PvGqdNfdme4m17_Ezd3J69EeeiQPD0/edit?usp=sharing"",""อุทัยธานี!M270"")"),0)</f>
        <v>0</v>
      </c>
      <c r="N270" s="46">
        <f ca="1">IFERROR(__xludf.DUMMYFUNCTION("IMPORTRANGE(""https://docs.google.com/spreadsheets/d/1jTcq05yEiRwXcBMLjiodW9e4biSGYWAHcDj22rKWQ3s/edit?usp=sharing"",""กำแพงเพชร!N270"")+IMPORTRANGE(""https://docs.google.com/spreadsheets/d/1KS0zmDSZPk8KnTAbGN-Xk6MtX1YRZD0ldgdt20K4CRk/edit?usp=sharing"","&amp;"""เชียงราย!N270"")+IMPORTRANGE(""https://docs.google.com/spreadsheets/d/1rEDxBtusbi64tE0zunoIbsTVV16HeL0oJ6trHQeQ7K8/edit?usp=sharing"",""เชียงใหม่!N270"")+IMPORTRANGE(""https://docs.google.com/spreadsheets/d/1W6MnUbDkMi6xHnHko_XkFDO9kkuL6Wqyc-6OCDFjW9I/e"&amp;"dit?usp=sharing"",""ตาก!N270"")+IMPORTRANGE(""https://docs.google.com/spreadsheets/d/1IQAWArduLkta9LpYo4a_ULsyqdta6-6aDDiwpUnQT6c/edit?usp=sharing"",""นครสวรรค์!N270"")+IMPORTRANGE(""https://docs.google.com/spreadsheets/d/10s13Sk5xrltsiR-Zkbmk5DwIaDIKO8Xl"&amp;"bJAfqyT7Gvg/edit?usp=sharing"",""น่าน!N270"")+IMPORTRANGE(""https://docs.google.com/spreadsheets/d/1uu4nAn4Dbi1XREnLKKotUANlKXa7yCgRcgq8HEzQYW8/edit?usp=sharing"",""พะเยา!N270"")+IMPORTRANGE(""https://docs.google.com/spreadsheets/d/1xfJKIQxVOaPDIICqsflNlL"&amp;"u3JacTDk1FP9RH4phX7mI/edit?usp=sharing"",""พิจิตร!N270"")+IMPORTRANGE(""https://docs.google.com/spreadsheets/d/1JtRfZkJMHtEhI5RdRHxYUG4FIZHqKDpNyIuN7A1Q0_k/edit?usp=sharing"",""พิษณุโลก!N270"")+IMPORTRANGE(""https://docs.google.com/spreadsheets/d/1xlcVZWU"&amp;"Nn6SuWm0c307h32SiGkd9BaeQWlAktfD3KO8/edit?usp=sharing"",""เพชรบูรณ์!N270"")+IMPORTRANGE(""https://docs.google.com/spreadsheets/d/1lOVebEIsI9qjGXl6EX66luk7wiuP2tBaryw-wKvv4e0/edit?usp=sharing"",""แพร่!N270"")+IMPORTRANGE(""https://docs.google.com/spreadshe"&amp;"ets/d/1dQrvX0vEcN7Gu0fnZ0B5S90AeR19zth4XlExFBeExMY/edit?usp=sharing"",""แม่ฮ่องสอน!N270"")+IMPORTRANGE(""https://docs.google.com/spreadsheets/d/1DY4XTNNwjluuxqdfdn6qvOSlMRrZqUtmYcZR0ttFiG4/edit?usp=sharing"",""ลำปาง!N270"")+IMPORTRANGE(""https://docs.goog"&amp;"le.com/spreadsheets/d/1ICwG78r0OFT8biBlxnBF8r7she7gNSzOvJ958PWT09c/edit?usp=sharing"",""ลำพูน!N270"")+IMPORTRANGE(""https://docs.google.com/spreadsheets/d/1B0f2xJpZUC6Z0xXnqKlZtEPzsf6L84eP1r1Q15seqRM/edit?usp=sharing"",""สุโขทัย!N270"")+IMPORTRANGE(""http"&amp;"s://docs.google.com/spreadsheets/d/1v0b9pFQCsKUVExMei7AgY2yQkdeNQvtOssygGsXbiKo/edit?usp=sharing"",""อุตรดิตถ์!N270"")+IMPORTRANGE(""https://docs.google.com/spreadsheets/d/1UsNK1e-WWiCo2PvGqdNfdme4m17_Ezd3J69EeeiQPD0/edit?usp=sharing"",""อุทัยธานี!N270"")"),0)</f>
        <v>0</v>
      </c>
      <c r="O270" s="46">
        <f t="shared" ca="1" si="189"/>
        <v>0</v>
      </c>
      <c r="P270" s="46">
        <f t="shared" ca="1" si="190"/>
        <v>0</v>
      </c>
      <c r="Q270" s="48">
        <f ca="1">IFERROR(__xludf.DUMMYFUNCTION("IMPORTRANGE(""https://docs.google.com/spreadsheets/d/1jTcq05yEiRwXcBMLjiodW9e4biSGYWAHcDj22rKWQ3s/edit?usp=sharing"",""กำแพงเพชร!Q270"")+IMPORTRANGE(""https://docs.google.com/spreadsheets/d/1KS0zmDSZPk8KnTAbGN-Xk6MtX1YRZD0ldgdt20K4CRk/edit?usp=sharing"","&amp;"""เชียงราย!Q270"")+IMPORTRANGE(""https://docs.google.com/spreadsheets/d/1rEDxBtusbi64tE0zunoIbsTVV16HeL0oJ6trHQeQ7K8/edit?usp=sharing"",""เชียงใหม่!Q270"")+IMPORTRANGE(""https://docs.google.com/spreadsheets/d/1W6MnUbDkMi6xHnHko_XkFDO9kkuL6Wqyc-6OCDFjW9I/e"&amp;"dit?usp=sharing"",""ตาก!Q270"")+IMPORTRANGE(""https://docs.google.com/spreadsheets/d/1IQAWArduLkta9LpYo4a_ULsyqdta6-6aDDiwpUnQT6c/edit?usp=sharing"",""นครสวรรค์!Q270"")+IMPORTRANGE(""https://docs.google.com/spreadsheets/d/10s13Sk5xrltsiR-Zkbmk5DwIaDIKO8Xl"&amp;"bJAfqyT7Gvg/edit?usp=sharing"",""น่าน!Q270"")+IMPORTRANGE(""https://docs.google.com/spreadsheets/d/1uu4nAn4Dbi1XREnLKKotUANlKXa7yCgRcgq8HEzQYW8/edit?usp=sharing"",""พะเยา!Q270"")+IMPORTRANGE(""https://docs.google.com/spreadsheets/d/1xfJKIQxVOaPDIICqsflNlL"&amp;"u3JacTDk1FP9RH4phX7mI/edit?usp=sharing"",""พิจิตร!Q270"")+IMPORTRANGE(""https://docs.google.com/spreadsheets/d/1JtRfZkJMHtEhI5RdRHxYUG4FIZHqKDpNyIuN7A1Q0_k/edit?usp=sharing"",""พิษณุโลก!Q270"")+IMPORTRANGE(""https://docs.google.com/spreadsheets/d/1xlcVZWU"&amp;"Nn6SuWm0c307h32SiGkd9BaeQWlAktfD3KO8/edit?usp=sharing"",""เพชรบูรณ์!Q270"")+IMPORTRANGE(""https://docs.google.com/spreadsheets/d/1lOVebEIsI9qjGXl6EX66luk7wiuP2tBaryw-wKvv4e0/edit?usp=sharing"",""แพร่!Q270"")+IMPORTRANGE(""https://docs.google.com/spreadshe"&amp;"ets/d/1dQrvX0vEcN7Gu0fnZ0B5S90AeR19zth4XlExFBeExMY/edit?usp=sharing"",""แม่ฮ่องสอน!Q270"")+IMPORTRANGE(""https://docs.google.com/spreadsheets/d/1DY4XTNNwjluuxqdfdn6qvOSlMRrZqUtmYcZR0ttFiG4/edit?usp=sharing"",""ลำปาง!Q270"")+IMPORTRANGE(""https://docs.goog"&amp;"le.com/spreadsheets/d/1ICwG78r0OFT8biBlxnBF8r7she7gNSzOvJ958PWT09c/edit?usp=sharing"",""ลำพูน!Q270"")+IMPORTRANGE(""https://docs.google.com/spreadsheets/d/1B0f2xJpZUC6Z0xXnqKlZtEPzsf6L84eP1r1Q15seqRM/edit?usp=sharing"",""สุโขทัย!Q270"")+IMPORTRANGE(""http"&amp;"s://docs.google.com/spreadsheets/d/1v0b9pFQCsKUVExMei7AgY2yQkdeNQvtOssygGsXbiKo/edit?usp=sharing"",""อุตรดิตถ์!Q270"")+IMPORTRANGE(""https://docs.google.com/spreadsheets/d/1UsNK1e-WWiCo2PvGqdNfdme4m17_Ezd3J69EeeiQPD0/edit?usp=sharing"",""อุทัยธานี!Q270"")"),0)</f>
        <v>0</v>
      </c>
      <c r="R270" s="48">
        <f ca="1">IFERROR(__xludf.DUMMYFUNCTION("IMPORTRANGE(""https://docs.google.com/spreadsheets/d/1jTcq05yEiRwXcBMLjiodW9e4biSGYWAHcDj22rKWQ3s/edit?usp=sharing"",""กำแพงเพชร!R270"")+IMPORTRANGE(""https://docs.google.com/spreadsheets/d/1KS0zmDSZPk8KnTAbGN-Xk6MtX1YRZD0ldgdt20K4CRk/edit?usp=sharing"","&amp;"""เชียงราย!R270"")+IMPORTRANGE(""https://docs.google.com/spreadsheets/d/1rEDxBtusbi64tE0zunoIbsTVV16HeL0oJ6trHQeQ7K8/edit?usp=sharing"",""เชียงใหม่!R270"")+IMPORTRANGE(""https://docs.google.com/spreadsheets/d/1W6MnUbDkMi6xHnHko_XkFDO9kkuL6Wqyc-6OCDFjW9I/e"&amp;"dit?usp=sharing"",""ตาก!R270"")+IMPORTRANGE(""https://docs.google.com/spreadsheets/d/1IQAWArduLkta9LpYo4a_ULsyqdta6-6aDDiwpUnQT6c/edit?usp=sharing"",""นครสวรรค์!R270"")+IMPORTRANGE(""https://docs.google.com/spreadsheets/d/10s13Sk5xrltsiR-Zkbmk5DwIaDIKO8Xl"&amp;"bJAfqyT7Gvg/edit?usp=sharing"",""น่าน!R270"")+IMPORTRANGE(""https://docs.google.com/spreadsheets/d/1uu4nAn4Dbi1XREnLKKotUANlKXa7yCgRcgq8HEzQYW8/edit?usp=sharing"",""พะเยา!R270"")+IMPORTRANGE(""https://docs.google.com/spreadsheets/d/1xfJKIQxVOaPDIICqsflNlL"&amp;"u3JacTDk1FP9RH4phX7mI/edit?usp=sharing"",""พิจิตร!R270"")+IMPORTRANGE(""https://docs.google.com/spreadsheets/d/1JtRfZkJMHtEhI5RdRHxYUG4FIZHqKDpNyIuN7A1Q0_k/edit?usp=sharing"",""พิษณุโลก!R270"")+IMPORTRANGE(""https://docs.google.com/spreadsheets/d/1xlcVZWU"&amp;"Nn6SuWm0c307h32SiGkd9BaeQWlAktfD3KO8/edit?usp=sharing"",""เพชรบูรณ์!R270"")+IMPORTRANGE(""https://docs.google.com/spreadsheets/d/1lOVebEIsI9qjGXl6EX66luk7wiuP2tBaryw-wKvv4e0/edit?usp=sharing"",""แพร่!R270"")+IMPORTRANGE(""https://docs.google.com/spreadshe"&amp;"ets/d/1dQrvX0vEcN7Gu0fnZ0B5S90AeR19zth4XlExFBeExMY/edit?usp=sharing"",""แม่ฮ่องสอน!R270"")+IMPORTRANGE(""https://docs.google.com/spreadsheets/d/1DY4XTNNwjluuxqdfdn6qvOSlMRrZqUtmYcZR0ttFiG4/edit?usp=sharing"",""ลำปาง!R270"")+IMPORTRANGE(""https://docs.goog"&amp;"le.com/spreadsheets/d/1ICwG78r0OFT8biBlxnBF8r7she7gNSzOvJ958PWT09c/edit?usp=sharing"",""ลำพูน!R270"")+IMPORTRANGE(""https://docs.google.com/spreadsheets/d/1B0f2xJpZUC6Z0xXnqKlZtEPzsf6L84eP1r1Q15seqRM/edit?usp=sharing"",""สุโขทัย!R270"")+IMPORTRANGE(""http"&amp;"s://docs.google.com/spreadsheets/d/1v0b9pFQCsKUVExMei7AgY2yQkdeNQvtOssygGsXbiKo/edit?usp=sharing"",""อุตรดิตถ์!R270"")+IMPORTRANGE(""https://docs.google.com/spreadsheets/d/1UsNK1e-WWiCo2PvGqdNfdme4m17_Ezd3J69EeeiQPD0/edit?usp=sharing"",""อุทัยธานี!R270"")"),0)</f>
        <v>0</v>
      </c>
      <c r="S270" s="48">
        <f ca="1">IFERROR(__xludf.DUMMYFUNCTION("IMPORTRANGE(""https://docs.google.com/spreadsheets/d/1jTcq05yEiRwXcBMLjiodW9e4biSGYWAHcDj22rKWQ3s/edit?usp=sharing"",""กำแพงเพชร!S270"")+IMPORTRANGE(""https://docs.google.com/spreadsheets/d/1KS0zmDSZPk8KnTAbGN-Xk6MtX1YRZD0ldgdt20K4CRk/edit?usp=sharing"","&amp;"""เชียงราย!S270"")+IMPORTRANGE(""https://docs.google.com/spreadsheets/d/1rEDxBtusbi64tE0zunoIbsTVV16HeL0oJ6trHQeQ7K8/edit?usp=sharing"",""เชียงใหม่!S270"")+IMPORTRANGE(""https://docs.google.com/spreadsheets/d/1W6MnUbDkMi6xHnHko_XkFDO9kkuL6Wqyc-6OCDFjW9I/e"&amp;"dit?usp=sharing"",""ตาก!S270"")+IMPORTRANGE(""https://docs.google.com/spreadsheets/d/1IQAWArduLkta9LpYo4a_ULsyqdta6-6aDDiwpUnQT6c/edit?usp=sharing"",""นครสวรรค์!S270"")+IMPORTRANGE(""https://docs.google.com/spreadsheets/d/10s13Sk5xrltsiR-Zkbmk5DwIaDIKO8Xl"&amp;"bJAfqyT7Gvg/edit?usp=sharing"",""น่าน!S270"")+IMPORTRANGE(""https://docs.google.com/spreadsheets/d/1uu4nAn4Dbi1XREnLKKotUANlKXa7yCgRcgq8HEzQYW8/edit?usp=sharing"",""พะเยา!S270"")+IMPORTRANGE(""https://docs.google.com/spreadsheets/d/1xfJKIQxVOaPDIICqsflNlL"&amp;"u3JacTDk1FP9RH4phX7mI/edit?usp=sharing"",""พิจิตร!S270"")+IMPORTRANGE(""https://docs.google.com/spreadsheets/d/1JtRfZkJMHtEhI5RdRHxYUG4FIZHqKDpNyIuN7A1Q0_k/edit?usp=sharing"",""พิษณุโลก!S270"")+IMPORTRANGE(""https://docs.google.com/spreadsheets/d/1xlcVZWU"&amp;"Nn6SuWm0c307h32SiGkd9BaeQWlAktfD3KO8/edit?usp=sharing"",""เพชรบูรณ์!S270"")+IMPORTRANGE(""https://docs.google.com/spreadsheets/d/1lOVebEIsI9qjGXl6EX66luk7wiuP2tBaryw-wKvv4e0/edit?usp=sharing"",""แพร่!S270"")+IMPORTRANGE(""https://docs.google.com/spreadshe"&amp;"ets/d/1dQrvX0vEcN7Gu0fnZ0B5S90AeR19zth4XlExFBeExMY/edit?usp=sharing"",""แม่ฮ่องสอน!S270"")+IMPORTRANGE(""https://docs.google.com/spreadsheets/d/1DY4XTNNwjluuxqdfdn6qvOSlMRrZqUtmYcZR0ttFiG4/edit?usp=sharing"",""ลำปาง!S270"")+IMPORTRANGE(""https://docs.goog"&amp;"le.com/spreadsheets/d/1ICwG78r0OFT8biBlxnBF8r7she7gNSzOvJ958PWT09c/edit?usp=sharing"",""ลำพูน!S270"")+IMPORTRANGE(""https://docs.google.com/spreadsheets/d/1B0f2xJpZUC6Z0xXnqKlZtEPzsf6L84eP1r1Q15seqRM/edit?usp=sharing"",""สุโขทัย!S270"")+IMPORTRANGE(""http"&amp;"s://docs.google.com/spreadsheets/d/1v0b9pFQCsKUVExMei7AgY2yQkdeNQvtOssygGsXbiKo/edit?usp=sharing"",""อุตรดิตถ์!S270"")+IMPORTRANGE(""https://docs.google.com/spreadsheets/d/1UsNK1e-WWiCo2PvGqdNfdme4m17_Ezd3J69EeeiQPD0/edit?usp=sharing"",""อุทัยธานี!S270"")"),0)</f>
        <v>0</v>
      </c>
      <c r="T270" s="48">
        <f t="shared" ca="1" si="192"/>
        <v>0</v>
      </c>
      <c r="U270" s="48">
        <f t="shared" ca="1" si="193"/>
        <v>0</v>
      </c>
    </row>
    <row r="271" spans="1:21" ht="18.75" x14ac:dyDescent="0.25">
      <c r="A271" s="128"/>
      <c r="B271" s="40"/>
      <c r="C271" s="40"/>
      <c r="D271" s="40"/>
      <c r="E271" s="47" t="s">
        <v>37</v>
      </c>
      <c r="F271" s="40"/>
      <c r="G271" s="42"/>
      <c r="H271" s="134" t="s">
        <v>14</v>
      </c>
      <c r="I271" s="135"/>
      <c r="J271" s="135"/>
      <c r="K271" s="136"/>
      <c r="L271" s="46">
        <f ca="1">IFERROR(__xludf.DUMMYFUNCTION("IMPORTRANGE(""https://docs.google.com/spreadsheets/d/1jTcq05yEiRwXcBMLjiodW9e4biSGYWAHcDj22rKWQ3s/edit?usp=sharing"",""กำแพงเพชร!L271"")+IMPORTRANGE(""https://docs.google.com/spreadsheets/d/1KS0zmDSZPk8KnTAbGN-Xk6MtX1YRZD0ldgdt20K4CRk/edit?usp=sharing"","&amp;"""เชียงราย!L271"")+IMPORTRANGE(""https://docs.google.com/spreadsheets/d/1rEDxBtusbi64tE0zunoIbsTVV16HeL0oJ6trHQeQ7K8/edit?usp=sharing"",""เชียงใหม่!L271"")+IMPORTRANGE(""https://docs.google.com/spreadsheets/d/1W6MnUbDkMi6xHnHko_XkFDO9kkuL6Wqyc-6OCDFjW9I/e"&amp;"dit?usp=sharing"",""ตาก!L271"")+IMPORTRANGE(""https://docs.google.com/spreadsheets/d/1IQAWArduLkta9LpYo4a_ULsyqdta6-6aDDiwpUnQT6c/edit?usp=sharing"",""นครสวรรค์!L271"")+IMPORTRANGE(""https://docs.google.com/spreadsheets/d/10s13Sk5xrltsiR-Zkbmk5DwIaDIKO8Xl"&amp;"bJAfqyT7Gvg/edit?usp=sharing"",""น่าน!L271"")+IMPORTRANGE(""https://docs.google.com/spreadsheets/d/1uu4nAn4Dbi1XREnLKKotUANlKXa7yCgRcgq8HEzQYW8/edit?usp=sharing"",""พะเยา!L271"")+IMPORTRANGE(""https://docs.google.com/spreadsheets/d/1xfJKIQxVOaPDIICqsflNlL"&amp;"u3JacTDk1FP9RH4phX7mI/edit?usp=sharing"",""พิจิตร!L271"")+IMPORTRANGE(""https://docs.google.com/spreadsheets/d/1JtRfZkJMHtEhI5RdRHxYUG4FIZHqKDpNyIuN7A1Q0_k/edit?usp=sharing"",""พิษณุโลก!L271"")+IMPORTRANGE(""https://docs.google.com/spreadsheets/d/1xlcVZWU"&amp;"Nn6SuWm0c307h32SiGkd9BaeQWlAktfD3KO8/edit?usp=sharing"",""เพชรบูรณ์!L271"")+IMPORTRANGE(""https://docs.google.com/spreadsheets/d/1lOVebEIsI9qjGXl6EX66luk7wiuP2tBaryw-wKvv4e0/edit?usp=sharing"",""แพร่!L271"")+IMPORTRANGE(""https://docs.google.com/spreadshe"&amp;"ets/d/1dQrvX0vEcN7Gu0fnZ0B5S90AeR19zth4XlExFBeExMY/edit?usp=sharing"",""แม่ฮ่องสอน!L271"")+IMPORTRANGE(""https://docs.google.com/spreadsheets/d/1DY4XTNNwjluuxqdfdn6qvOSlMRrZqUtmYcZR0ttFiG4/edit?usp=sharing"",""ลำปาง!L271"")+IMPORTRANGE(""https://docs.goog"&amp;"le.com/spreadsheets/d/1ICwG78r0OFT8biBlxnBF8r7she7gNSzOvJ958PWT09c/edit?usp=sharing"",""ลำพูน!L271"")+IMPORTRANGE(""https://docs.google.com/spreadsheets/d/1B0f2xJpZUC6Z0xXnqKlZtEPzsf6L84eP1r1Q15seqRM/edit?usp=sharing"",""สุโขทัย!L271"")+IMPORTRANGE(""http"&amp;"s://docs.google.com/spreadsheets/d/1v0b9pFQCsKUVExMei7AgY2yQkdeNQvtOssygGsXbiKo/edit?usp=sharing"",""อุตรดิตถ์!L271"")+IMPORTRANGE(""https://docs.google.com/spreadsheets/d/1UsNK1e-WWiCo2PvGqdNfdme4m17_Ezd3J69EeeiQPD0/edit?usp=sharing"",""อุทัยธานี!L271"")"),85000)</f>
        <v>85000</v>
      </c>
      <c r="M271" s="46">
        <f ca="1">IFERROR(__xludf.DUMMYFUNCTION("IMPORTRANGE(""https://docs.google.com/spreadsheets/d/1jTcq05yEiRwXcBMLjiodW9e4biSGYWAHcDj22rKWQ3s/edit?usp=sharing"",""กำแพงเพชร!M271"")+IMPORTRANGE(""https://docs.google.com/spreadsheets/d/1KS0zmDSZPk8KnTAbGN-Xk6MtX1YRZD0ldgdt20K4CRk/edit?usp=sharing"","&amp;"""เชียงราย!M271"")+IMPORTRANGE(""https://docs.google.com/spreadsheets/d/1rEDxBtusbi64tE0zunoIbsTVV16HeL0oJ6trHQeQ7K8/edit?usp=sharing"",""เชียงใหม่!M271"")+IMPORTRANGE(""https://docs.google.com/spreadsheets/d/1W6MnUbDkMi6xHnHko_XkFDO9kkuL6Wqyc-6OCDFjW9I/e"&amp;"dit?usp=sharing"",""ตาก!M271"")+IMPORTRANGE(""https://docs.google.com/spreadsheets/d/1IQAWArduLkta9LpYo4a_ULsyqdta6-6aDDiwpUnQT6c/edit?usp=sharing"",""นครสวรรค์!M271"")+IMPORTRANGE(""https://docs.google.com/spreadsheets/d/10s13Sk5xrltsiR-Zkbmk5DwIaDIKO8Xl"&amp;"bJAfqyT7Gvg/edit?usp=sharing"",""น่าน!M271"")+IMPORTRANGE(""https://docs.google.com/spreadsheets/d/1uu4nAn4Dbi1XREnLKKotUANlKXa7yCgRcgq8HEzQYW8/edit?usp=sharing"",""พะเยา!M271"")+IMPORTRANGE(""https://docs.google.com/spreadsheets/d/1xfJKIQxVOaPDIICqsflNlL"&amp;"u3JacTDk1FP9RH4phX7mI/edit?usp=sharing"",""พิจิตร!M271"")+IMPORTRANGE(""https://docs.google.com/spreadsheets/d/1JtRfZkJMHtEhI5RdRHxYUG4FIZHqKDpNyIuN7A1Q0_k/edit?usp=sharing"",""พิษณุโลก!M271"")+IMPORTRANGE(""https://docs.google.com/spreadsheets/d/1xlcVZWU"&amp;"Nn6SuWm0c307h32SiGkd9BaeQWlAktfD3KO8/edit?usp=sharing"",""เพชรบูรณ์!M271"")+IMPORTRANGE(""https://docs.google.com/spreadsheets/d/1lOVebEIsI9qjGXl6EX66luk7wiuP2tBaryw-wKvv4e0/edit?usp=sharing"",""แพร่!M271"")+IMPORTRANGE(""https://docs.google.com/spreadshe"&amp;"ets/d/1dQrvX0vEcN7Gu0fnZ0B5S90AeR19zth4XlExFBeExMY/edit?usp=sharing"",""แม่ฮ่องสอน!M271"")+IMPORTRANGE(""https://docs.google.com/spreadsheets/d/1DY4XTNNwjluuxqdfdn6qvOSlMRrZqUtmYcZR0ttFiG4/edit?usp=sharing"",""ลำปาง!M271"")+IMPORTRANGE(""https://docs.goog"&amp;"le.com/spreadsheets/d/1ICwG78r0OFT8biBlxnBF8r7she7gNSzOvJ958PWT09c/edit?usp=sharing"",""ลำพูน!M271"")+IMPORTRANGE(""https://docs.google.com/spreadsheets/d/1B0f2xJpZUC6Z0xXnqKlZtEPzsf6L84eP1r1Q15seqRM/edit?usp=sharing"",""สุโขทัย!M271"")+IMPORTRANGE(""http"&amp;"s://docs.google.com/spreadsheets/d/1v0b9pFQCsKUVExMei7AgY2yQkdeNQvtOssygGsXbiKo/edit?usp=sharing"",""อุตรดิตถ์!M271"")+IMPORTRANGE(""https://docs.google.com/spreadsheets/d/1UsNK1e-WWiCo2PvGqdNfdme4m17_Ezd3J69EeeiQPD0/edit?usp=sharing"",""อุทัยธานี!M271"")"),85000)</f>
        <v>85000</v>
      </c>
      <c r="N271" s="46">
        <f ca="1">IFERROR(__xludf.DUMMYFUNCTION("IMPORTRANGE(""https://docs.google.com/spreadsheets/d/1jTcq05yEiRwXcBMLjiodW9e4biSGYWAHcDj22rKWQ3s/edit?usp=sharing"",""กำแพงเพชร!N271"")+IMPORTRANGE(""https://docs.google.com/spreadsheets/d/1KS0zmDSZPk8KnTAbGN-Xk6MtX1YRZD0ldgdt20K4CRk/edit?usp=sharing"","&amp;"""เชียงราย!N271"")+IMPORTRANGE(""https://docs.google.com/spreadsheets/d/1rEDxBtusbi64tE0zunoIbsTVV16HeL0oJ6trHQeQ7K8/edit?usp=sharing"",""เชียงใหม่!N271"")+IMPORTRANGE(""https://docs.google.com/spreadsheets/d/1W6MnUbDkMi6xHnHko_XkFDO9kkuL6Wqyc-6OCDFjW9I/e"&amp;"dit?usp=sharing"",""ตาก!N271"")+IMPORTRANGE(""https://docs.google.com/spreadsheets/d/1IQAWArduLkta9LpYo4a_ULsyqdta6-6aDDiwpUnQT6c/edit?usp=sharing"",""นครสวรรค์!N271"")+IMPORTRANGE(""https://docs.google.com/spreadsheets/d/10s13Sk5xrltsiR-Zkbmk5DwIaDIKO8Xl"&amp;"bJAfqyT7Gvg/edit?usp=sharing"",""น่าน!N271"")+IMPORTRANGE(""https://docs.google.com/spreadsheets/d/1uu4nAn4Dbi1XREnLKKotUANlKXa7yCgRcgq8HEzQYW8/edit?usp=sharing"",""พะเยา!N271"")+IMPORTRANGE(""https://docs.google.com/spreadsheets/d/1xfJKIQxVOaPDIICqsflNlL"&amp;"u3JacTDk1FP9RH4phX7mI/edit?usp=sharing"",""พิจิตร!N271"")+IMPORTRANGE(""https://docs.google.com/spreadsheets/d/1JtRfZkJMHtEhI5RdRHxYUG4FIZHqKDpNyIuN7A1Q0_k/edit?usp=sharing"",""พิษณุโลก!N271"")+IMPORTRANGE(""https://docs.google.com/spreadsheets/d/1xlcVZWU"&amp;"Nn6SuWm0c307h32SiGkd9BaeQWlAktfD3KO8/edit?usp=sharing"",""เพชรบูรณ์!N271"")+IMPORTRANGE(""https://docs.google.com/spreadsheets/d/1lOVebEIsI9qjGXl6EX66luk7wiuP2tBaryw-wKvv4e0/edit?usp=sharing"",""แพร่!N271"")+IMPORTRANGE(""https://docs.google.com/spreadshe"&amp;"ets/d/1dQrvX0vEcN7Gu0fnZ0B5S90AeR19zth4XlExFBeExMY/edit?usp=sharing"",""แม่ฮ่องสอน!N271"")+IMPORTRANGE(""https://docs.google.com/spreadsheets/d/1DY4XTNNwjluuxqdfdn6qvOSlMRrZqUtmYcZR0ttFiG4/edit?usp=sharing"",""ลำปาง!N271"")+IMPORTRANGE(""https://docs.goog"&amp;"le.com/spreadsheets/d/1ICwG78r0OFT8biBlxnBF8r7she7gNSzOvJ958PWT09c/edit?usp=sharing"",""ลำพูน!N271"")+IMPORTRANGE(""https://docs.google.com/spreadsheets/d/1B0f2xJpZUC6Z0xXnqKlZtEPzsf6L84eP1r1Q15seqRM/edit?usp=sharing"",""สุโขทัย!N271"")+IMPORTRANGE(""http"&amp;"s://docs.google.com/spreadsheets/d/1v0b9pFQCsKUVExMei7AgY2yQkdeNQvtOssygGsXbiKo/edit?usp=sharing"",""อุตรดิตถ์!N271"")+IMPORTRANGE(""https://docs.google.com/spreadsheets/d/1UsNK1e-WWiCo2PvGqdNfdme4m17_Ezd3J69EeeiQPD0/edit?usp=sharing"",""อุทัยธานี!N271"")"),30000)</f>
        <v>30000</v>
      </c>
      <c r="O271" s="46">
        <f t="shared" ca="1" si="189"/>
        <v>35.294117647058826</v>
      </c>
      <c r="P271" s="46">
        <f t="shared" ca="1" si="190"/>
        <v>35.294117647058826</v>
      </c>
      <c r="Q271" s="46">
        <f ca="1">IFERROR(__xludf.DUMMYFUNCTION("IMPORTRANGE(""https://docs.google.com/spreadsheets/d/1jTcq05yEiRwXcBMLjiodW9e4biSGYWAHcDj22rKWQ3s/edit?usp=sharing"",""กำแพงเพชร!Q271"")+IMPORTRANGE(""https://docs.google.com/spreadsheets/d/1KS0zmDSZPk8KnTAbGN-Xk6MtX1YRZD0ldgdt20K4CRk/edit?usp=sharing"","&amp;"""เชียงราย!Q271"")+IMPORTRANGE(""https://docs.google.com/spreadsheets/d/1rEDxBtusbi64tE0zunoIbsTVV16HeL0oJ6trHQeQ7K8/edit?usp=sharing"",""เชียงใหม่!Q271"")+IMPORTRANGE(""https://docs.google.com/spreadsheets/d/1W6MnUbDkMi6xHnHko_XkFDO9kkuL6Wqyc-6OCDFjW9I/e"&amp;"dit?usp=sharing"",""ตาก!Q271"")+IMPORTRANGE(""https://docs.google.com/spreadsheets/d/1IQAWArduLkta9LpYo4a_ULsyqdta6-6aDDiwpUnQT6c/edit?usp=sharing"",""นครสวรรค์!Q271"")+IMPORTRANGE(""https://docs.google.com/spreadsheets/d/10s13Sk5xrltsiR-Zkbmk5DwIaDIKO8Xl"&amp;"bJAfqyT7Gvg/edit?usp=sharing"",""น่าน!Q271"")+IMPORTRANGE(""https://docs.google.com/spreadsheets/d/1uu4nAn4Dbi1XREnLKKotUANlKXa7yCgRcgq8HEzQYW8/edit?usp=sharing"",""พะเยา!Q271"")+IMPORTRANGE(""https://docs.google.com/spreadsheets/d/1xfJKIQxVOaPDIICqsflNlL"&amp;"u3JacTDk1FP9RH4phX7mI/edit?usp=sharing"",""พิจิตร!Q271"")+IMPORTRANGE(""https://docs.google.com/spreadsheets/d/1JtRfZkJMHtEhI5RdRHxYUG4FIZHqKDpNyIuN7A1Q0_k/edit?usp=sharing"",""พิษณุโลก!Q271"")+IMPORTRANGE(""https://docs.google.com/spreadsheets/d/1xlcVZWU"&amp;"Nn6SuWm0c307h32SiGkd9BaeQWlAktfD3KO8/edit?usp=sharing"",""เพชรบูรณ์!Q271"")+IMPORTRANGE(""https://docs.google.com/spreadsheets/d/1lOVebEIsI9qjGXl6EX66luk7wiuP2tBaryw-wKvv4e0/edit?usp=sharing"",""แพร่!Q271"")+IMPORTRANGE(""https://docs.google.com/spreadshe"&amp;"ets/d/1dQrvX0vEcN7Gu0fnZ0B5S90AeR19zth4XlExFBeExMY/edit?usp=sharing"",""แม่ฮ่องสอน!Q271"")+IMPORTRANGE(""https://docs.google.com/spreadsheets/d/1DY4XTNNwjluuxqdfdn6qvOSlMRrZqUtmYcZR0ttFiG4/edit?usp=sharing"",""ลำปาง!Q271"")+IMPORTRANGE(""https://docs.goog"&amp;"le.com/spreadsheets/d/1ICwG78r0OFT8biBlxnBF8r7she7gNSzOvJ958PWT09c/edit?usp=sharing"",""ลำพูน!Q271"")+IMPORTRANGE(""https://docs.google.com/spreadsheets/d/1B0f2xJpZUC6Z0xXnqKlZtEPzsf6L84eP1r1Q15seqRM/edit?usp=sharing"",""สุโขทัย!Q271"")+IMPORTRANGE(""http"&amp;"s://docs.google.com/spreadsheets/d/1v0b9pFQCsKUVExMei7AgY2yQkdeNQvtOssygGsXbiKo/edit?usp=sharing"",""อุตรดิตถ์!Q271"")+IMPORTRANGE(""https://docs.google.com/spreadsheets/d/1UsNK1e-WWiCo2PvGqdNfdme4m17_Ezd3J69EeeiQPD0/edit?usp=sharing"",""อุทัยธานี!Q271"")"),875120)</f>
        <v>875120</v>
      </c>
      <c r="R271" s="46">
        <f ca="1">IFERROR(__xludf.DUMMYFUNCTION("IMPORTRANGE(""https://docs.google.com/spreadsheets/d/1jTcq05yEiRwXcBMLjiodW9e4biSGYWAHcDj22rKWQ3s/edit?usp=sharing"",""กำแพงเพชร!R271"")+IMPORTRANGE(""https://docs.google.com/spreadsheets/d/1KS0zmDSZPk8KnTAbGN-Xk6MtX1YRZD0ldgdt20K4CRk/edit?usp=sharing"","&amp;"""เชียงราย!R271"")+IMPORTRANGE(""https://docs.google.com/spreadsheets/d/1rEDxBtusbi64tE0zunoIbsTVV16HeL0oJ6trHQeQ7K8/edit?usp=sharing"",""เชียงใหม่!R271"")+IMPORTRANGE(""https://docs.google.com/spreadsheets/d/1W6MnUbDkMi6xHnHko_XkFDO9kkuL6Wqyc-6OCDFjW9I/e"&amp;"dit?usp=sharing"",""ตาก!R271"")+IMPORTRANGE(""https://docs.google.com/spreadsheets/d/1IQAWArduLkta9LpYo4a_ULsyqdta6-6aDDiwpUnQT6c/edit?usp=sharing"",""นครสวรรค์!R271"")+IMPORTRANGE(""https://docs.google.com/spreadsheets/d/10s13Sk5xrltsiR-Zkbmk5DwIaDIKO8Xl"&amp;"bJAfqyT7Gvg/edit?usp=sharing"",""น่าน!R271"")+IMPORTRANGE(""https://docs.google.com/spreadsheets/d/1uu4nAn4Dbi1XREnLKKotUANlKXa7yCgRcgq8HEzQYW8/edit?usp=sharing"",""พะเยา!R271"")+IMPORTRANGE(""https://docs.google.com/spreadsheets/d/1xfJKIQxVOaPDIICqsflNlL"&amp;"u3JacTDk1FP9RH4phX7mI/edit?usp=sharing"",""พิจิตร!R271"")+IMPORTRANGE(""https://docs.google.com/spreadsheets/d/1JtRfZkJMHtEhI5RdRHxYUG4FIZHqKDpNyIuN7A1Q0_k/edit?usp=sharing"",""พิษณุโลก!R271"")+IMPORTRANGE(""https://docs.google.com/spreadsheets/d/1xlcVZWU"&amp;"Nn6SuWm0c307h32SiGkd9BaeQWlAktfD3KO8/edit?usp=sharing"",""เพชรบูรณ์!R271"")+IMPORTRANGE(""https://docs.google.com/spreadsheets/d/1lOVebEIsI9qjGXl6EX66luk7wiuP2tBaryw-wKvv4e0/edit?usp=sharing"",""แพร่!R271"")+IMPORTRANGE(""https://docs.google.com/spreadshe"&amp;"ets/d/1dQrvX0vEcN7Gu0fnZ0B5S90AeR19zth4XlExFBeExMY/edit?usp=sharing"",""แม่ฮ่องสอน!R271"")+IMPORTRANGE(""https://docs.google.com/spreadsheets/d/1DY4XTNNwjluuxqdfdn6qvOSlMRrZqUtmYcZR0ttFiG4/edit?usp=sharing"",""ลำปาง!R271"")+IMPORTRANGE(""https://docs.goog"&amp;"le.com/spreadsheets/d/1ICwG78r0OFT8biBlxnBF8r7she7gNSzOvJ958PWT09c/edit?usp=sharing"",""ลำพูน!R271"")+IMPORTRANGE(""https://docs.google.com/spreadsheets/d/1B0f2xJpZUC6Z0xXnqKlZtEPzsf6L84eP1r1Q15seqRM/edit?usp=sharing"",""สุโขทัย!R271"")+IMPORTRANGE(""http"&amp;"s://docs.google.com/spreadsheets/d/1v0b9pFQCsKUVExMei7AgY2yQkdeNQvtOssygGsXbiKo/edit?usp=sharing"",""อุตรดิตถ์!R271"")+IMPORTRANGE(""https://docs.google.com/spreadsheets/d/1UsNK1e-WWiCo2PvGqdNfdme4m17_Ezd3J69EeeiQPD0/edit?usp=sharing"",""อุทัยธานี!R271"")"),875120)</f>
        <v>875120</v>
      </c>
      <c r="S271" s="46">
        <f ca="1">IFERROR(__xludf.DUMMYFUNCTION("IMPORTRANGE(""https://docs.google.com/spreadsheets/d/1jTcq05yEiRwXcBMLjiodW9e4biSGYWAHcDj22rKWQ3s/edit?usp=sharing"",""กำแพงเพชร!S271"")+IMPORTRANGE(""https://docs.google.com/spreadsheets/d/1KS0zmDSZPk8KnTAbGN-Xk6MtX1YRZD0ldgdt20K4CRk/edit?usp=sharing"","&amp;"""เชียงราย!S271"")+IMPORTRANGE(""https://docs.google.com/spreadsheets/d/1rEDxBtusbi64tE0zunoIbsTVV16HeL0oJ6trHQeQ7K8/edit?usp=sharing"",""เชียงใหม่!S271"")+IMPORTRANGE(""https://docs.google.com/spreadsheets/d/1W6MnUbDkMi6xHnHko_XkFDO9kkuL6Wqyc-6OCDFjW9I/e"&amp;"dit?usp=sharing"",""ตาก!S271"")+IMPORTRANGE(""https://docs.google.com/spreadsheets/d/1IQAWArduLkta9LpYo4a_ULsyqdta6-6aDDiwpUnQT6c/edit?usp=sharing"",""นครสวรรค์!S271"")+IMPORTRANGE(""https://docs.google.com/spreadsheets/d/10s13Sk5xrltsiR-Zkbmk5DwIaDIKO8Xl"&amp;"bJAfqyT7Gvg/edit?usp=sharing"",""น่าน!S271"")+IMPORTRANGE(""https://docs.google.com/spreadsheets/d/1uu4nAn4Dbi1XREnLKKotUANlKXa7yCgRcgq8HEzQYW8/edit?usp=sharing"",""พะเยา!S271"")+IMPORTRANGE(""https://docs.google.com/spreadsheets/d/1xfJKIQxVOaPDIICqsflNlL"&amp;"u3JacTDk1FP9RH4phX7mI/edit?usp=sharing"",""พิจิตร!S271"")+IMPORTRANGE(""https://docs.google.com/spreadsheets/d/1JtRfZkJMHtEhI5RdRHxYUG4FIZHqKDpNyIuN7A1Q0_k/edit?usp=sharing"",""พิษณุโลก!S271"")+IMPORTRANGE(""https://docs.google.com/spreadsheets/d/1xlcVZWU"&amp;"Nn6SuWm0c307h32SiGkd9BaeQWlAktfD3KO8/edit?usp=sharing"",""เพชรบูรณ์!S271"")+IMPORTRANGE(""https://docs.google.com/spreadsheets/d/1lOVebEIsI9qjGXl6EX66luk7wiuP2tBaryw-wKvv4e0/edit?usp=sharing"",""แพร่!S271"")+IMPORTRANGE(""https://docs.google.com/spreadshe"&amp;"ets/d/1dQrvX0vEcN7Gu0fnZ0B5S90AeR19zth4XlExFBeExMY/edit?usp=sharing"",""แม่ฮ่องสอน!S271"")+IMPORTRANGE(""https://docs.google.com/spreadsheets/d/1DY4XTNNwjluuxqdfdn6qvOSlMRrZqUtmYcZR0ttFiG4/edit?usp=sharing"",""ลำปาง!S271"")+IMPORTRANGE(""https://docs.goog"&amp;"le.com/spreadsheets/d/1ICwG78r0OFT8biBlxnBF8r7she7gNSzOvJ958PWT09c/edit?usp=sharing"",""ลำพูน!S271"")+IMPORTRANGE(""https://docs.google.com/spreadsheets/d/1B0f2xJpZUC6Z0xXnqKlZtEPzsf6L84eP1r1Q15seqRM/edit?usp=sharing"",""สุโขทัย!S271"")+IMPORTRANGE(""http"&amp;"s://docs.google.com/spreadsheets/d/1v0b9pFQCsKUVExMei7AgY2yQkdeNQvtOssygGsXbiKo/edit?usp=sharing"",""อุตรดิตถ์!S271"")+IMPORTRANGE(""https://docs.google.com/spreadsheets/d/1UsNK1e-WWiCo2PvGqdNfdme4m17_Ezd3J69EeeiQPD0/edit?usp=sharing"",""อุทัยธานี!S271"")"),446421.5)</f>
        <v>446421.5</v>
      </c>
      <c r="T271" s="46">
        <f t="shared" ca="1" si="192"/>
        <v>51.012603985739098</v>
      </c>
      <c r="U271" s="46">
        <f t="shared" ca="1" si="193"/>
        <v>51.012603985739098</v>
      </c>
    </row>
    <row r="272" spans="1:21" ht="18.75" x14ac:dyDescent="0.25">
      <c r="A272" s="128"/>
      <c r="B272" s="40"/>
      <c r="C272" s="40"/>
      <c r="D272" s="41" t="s">
        <v>23</v>
      </c>
      <c r="E272" s="40"/>
      <c r="F272" s="40"/>
      <c r="G272" s="42"/>
      <c r="H272" s="137" t="s">
        <v>14</v>
      </c>
      <c r="I272" s="135"/>
      <c r="J272" s="135"/>
      <c r="K272" s="136"/>
      <c r="L272" s="46">
        <f t="shared" ref="L272:N272" ca="1" si="200">L273+L274</f>
        <v>0</v>
      </c>
      <c r="M272" s="46">
        <f t="shared" ca="1" si="200"/>
        <v>0</v>
      </c>
      <c r="N272" s="46">
        <f t="shared" ca="1" si="200"/>
        <v>0</v>
      </c>
      <c r="O272" s="46">
        <f t="shared" ca="1" si="189"/>
        <v>0</v>
      </c>
      <c r="P272" s="46">
        <f t="shared" ca="1" si="190"/>
        <v>0</v>
      </c>
      <c r="Q272" s="46">
        <f t="shared" ref="Q272:S272" ca="1" si="201">Q273+Q274</f>
        <v>0</v>
      </c>
      <c r="R272" s="46">
        <f t="shared" ca="1" si="201"/>
        <v>0</v>
      </c>
      <c r="S272" s="46">
        <f t="shared" ca="1" si="201"/>
        <v>0</v>
      </c>
      <c r="T272" s="46">
        <f t="shared" ca="1" si="192"/>
        <v>0</v>
      </c>
      <c r="U272" s="46">
        <f t="shared" ca="1" si="193"/>
        <v>0</v>
      </c>
    </row>
    <row r="273" spans="1:21" ht="18.75" x14ac:dyDescent="0.25">
      <c r="A273" s="128"/>
      <c r="B273" s="40"/>
      <c r="C273" s="40"/>
      <c r="D273" s="40"/>
      <c r="E273" s="47" t="s">
        <v>20</v>
      </c>
      <c r="F273" s="40"/>
      <c r="G273" s="42"/>
      <c r="H273" s="134" t="s">
        <v>14</v>
      </c>
      <c r="I273" s="135"/>
      <c r="J273" s="135"/>
      <c r="K273" s="136"/>
      <c r="L273" s="46">
        <f ca="1">IFERROR(__xludf.DUMMYFUNCTION("IMPORTRANGE(""https://docs.google.com/spreadsheets/d/1jTcq05yEiRwXcBMLjiodW9e4biSGYWAHcDj22rKWQ3s/edit?usp=sharing"",""กำแพงเพชร!L273"")+IMPORTRANGE(""https://docs.google.com/spreadsheets/d/1KS0zmDSZPk8KnTAbGN-Xk6MtX1YRZD0ldgdt20K4CRk/edit?usp=sharing"","&amp;"""เชียงราย!L273"")+IMPORTRANGE(""https://docs.google.com/spreadsheets/d/1rEDxBtusbi64tE0zunoIbsTVV16HeL0oJ6trHQeQ7K8/edit?usp=sharing"",""เชียงใหม่!L273"")+IMPORTRANGE(""https://docs.google.com/spreadsheets/d/1W6MnUbDkMi6xHnHko_XkFDO9kkuL6Wqyc-6OCDFjW9I/e"&amp;"dit?usp=sharing"",""ตาก!L273"")+IMPORTRANGE(""https://docs.google.com/spreadsheets/d/1IQAWArduLkta9LpYo4a_ULsyqdta6-6aDDiwpUnQT6c/edit?usp=sharing"",""นครสวรรค์!L273"")+IMPORTRANGE(""https://docs.google.com/spreadsheets/d/10s13Sk5xrltsiR-Zkbmk5DwIaDIKO8Xl"&amp;"bJAfqyT7Gvg/edit?usp=sharing"",""น่าน!L273"")+IMPORTRANGE(""https://docs.google.com/spreadsheets/d/1uu4nAn4Dbi1XREnLKKotUANlKXa7yCgRcgq8HEzQYW8/edit?usp=sharing"",""พะเยา!L273"")+IMPORTRANGE(""https://docs.google.com/spreadsheets/d/1xfJKIQxVOaPDIICqsflNlL"&amp;"u3JacTDk1FP9RH4phX7mI/edit?usp=sharing"",""พิจิตร!L273"")+IMPORTRANGE(""https://docs.google.com/spreadsheets/d/1JtRfZkJMHtEhI5RdRHxYUG4FIZHqKDpNyIuN7A1Q0_k/edit?usp=sharing"",""พิษณุโลก!L273"")+IMPORTRANGE(""https://docs.google.com/spreadsheets/d/1xlcVZWU"&amp;"Nn6SuWm0c307h32SiGkd9BaeQWlAktfD3KO8/edit?usp=sharing"",""เพชรบูรณ์!L273"")+IMPORTRANGE(""https://docs.google.com/spreadsheets/d/1lOVebEIsI9qjGXl6EX66luk7wiuP2tBaryw-wKvv4e0/edit?usp=sharing"",""แพร่!L273"")+IMPORTRANGE(""https://docs.google.com/spreadshe"&amp;"ets/d/1dQrvX0vEcN7Gu0fnZ0B5S90AeR19zth4XlExFBeExMY/edit?usp=sharing"",""แม่ฮ่องสอน!L273"")+IMPORTRANGE(""https://docs.google.com/spreadsheets/d/1DY4XTNNwjluuxqdfdn6qvOSlMRrZqUtmYcZR0ttFiG4/edit?usp=sharing"",""ลำปาง!L273"")+IMPORTRANGE(""https://docs.goog"&amp;"le.com/spreadsheets/d/1ICwG78r0OFT8biBlxnBF8r7she7gNSzOvJ958PWT09c/edit?usp=sharing"",""ลำพูน!L273"")+IMPORTRANGE(""https://docs.google.com/spreadsheets/d/1B0f2xJpZUC6Z0xXnqKlZtEPzsf6L84eP1r1Q15seqRM/edit?usp=sharing"",""สุโขทัย!L273"")+IMPORTRANGE(""http"&amp;"s://docs.google.com/spreadsheets/d/1v0b9pFQCsKUVExMei7AgY2yQkdeNQvtOssygGsXbiKo/edit?usp=sharing"",""อุตรดิตถ์!L273"")+IMPORTRANGE(""https://docs.google.com/spreadsheets/d/1UsNK1e-WWiCo2PvGqdNfdme4m17_Ezd3J69EeeiQPD0/edit?usp=sharing"",""อุทัยธานี!L273"")"),0)</f>
        <v>0</v>
      </c>
      <c r="M273" s="46">
        <f ca="1">IFERROR(__xludf.DUMMYFUNCTION("IMPORTRANGE(""https://docs.google.com/spreadsheets/d/1jTcq05yEiRwXcBMLjiodW9e4biSGYWAHcDj22rKWQ3s/edit?usp=sharing"",""กำแพงเพชร!M273"")+IMPORTRANGE(""https://docs.google.com/spreadsheets/d/1KS0zmDSZPk8KnTAbGN-Xk6MtX1YRZD0ldgdt20K4CRk/edit?usp=sharing"","&amp;"""เชียงราย!M273"")+IMPORTRANGE(""https://docs.google.com/spreadsheets/d/1rEDxBtusbi64tE0zunoIbsTVV16HeL0oJ6trHQeQ7K8/edit?usp=sharing"",""เชียงใหม่!M273"")+IMPORTRANGE(""https://docs.google.com/spreadsheets/d/1W6MnUbDkMi6xHnHko_XkFDO9kkuL6Wqyc-6OCDFjW9I/e"&amp;"dit?usp=sharing"",""ตาก!M273"")+IMPORTRANGE(""https://docs.google.com/spreadsheets/d/1IQAWArduLkta9LpYo4a_ULsyqdta6-6aDDiwpUnQT6c/edit?usp=sharing"",""นครสวรรค์!M273"")+IMPORTRANGE(""https://docs.google.com/spreadsheets/d/10s13Sk5xrltsiR-Zkbmk5DwIaDIKO8Xl"&amp;"bJAfqyT7Gvg/edit?usp=sharing"",""น่าน!M273"")+IMPORTRANGE(""https://docs.google.com/spreadsheets/d/1uu4nAn4Dbi1XREnLKKotUANlKXa7yCgRcgq8HEzQYW8/edit?usp=sharing"",""พะเยา!M273"")+IMPORTRANGE(""https://docs.google.com/spreadsheets/d/1xfJKIQxVOaPDIICqsflNlL"&amp;"u3JacTDk1FP9RH4phX7mI/edit?usp=sharing"",""พิจิตร!M273"")+IMPORTRANGE(""https://docs.google.com/spreadsheets/d/1JtRfZkJMHtEhI5RdRHxYUG4FIZHqKDpNyIuN7A1Q0_k/edit?usp=sharing"",""พิษณุโลก!M273"")+IMPORTRANGE(""https://docs.google.com/spreadsheets/d/1xlcVZWU"&amp;"Nn6SuWm0c307h32SiGkd9BaeQWlAktfD3KO8/edit?usp=sharing"",""เพชรบูรณ์!M273"")+IMPORTRANGE(""https://docs.google.com/spreadsheets/d/1lOVebEIsI9qjGXl6EX66luk7wiuP2tBaryw-wKvv4e0/edit?usp=sharing"",""แพร่!M273"")+IMPORTRANGE(""https://docs.google.com/spreadshe"&amp;"ets/d/1dQrvX0vEcN7Gu0fnZ0B5S90AeR19zth4XlExFBeExMY/edit?usp=sharing"",""แม่ฮ่องสอน!M273"")+IMPORTRANGE(""https://docs.google.com/spreadsheets/d/1DY4XTNNwjluuxqdfdn6qvOSlMRrZqUtmYcZR0ttFiG4/edit?usp=sharing"",""ลำปาง!M273"")+IMPORTRANGE(""https://docs.goog"&amp;"le.com/spreadsheets/d/1ICwG78r0OFT8biBlxnBF8r7she7gNSzOvJ958PWT09c/edit?usp=sharing"",""ลำพูน!M273"")+IMPORTRANGE(""https://docs.google.com/spreadsheets/d/1B0f2xJpZUC6Z0xXnqKlZtEPzsf6L84eP1r1Q15seqRM/edit?usp=sharing"",""สุโขทัย!M273"")+IMPORTRANGE(""http"&amp;"s://docs.google.com/spreadsheets/d/1v0b9pFQCsKUVExMei7AgY2yQkdeNQvtOssygGsXbiKo/edit?usp=sharing"",""อุตรดิตถ์!M273"")+IMPORTRANGE(""https://docs.google.com/spreadsheets/d/1UsNK1e-WWiCo2PvGqdNfdme4m17_Ezd3J69EeeiQPD0/edit?usp=sharing"",""อุทัยธานี!M273"")"),0)</f>
        <v>0</v>
      </c>
      <c r="N273" s="46">
        <f ca="1">IFERROR(__xludf.DUMMYFUNCTION("IMPORTRANGE(""https://docs.google.com/spreadsheets/d/1jTcq05yEiRwXcBMLjiodW9e4biSGYWAHcDj22rKWQ3s/edit?usp=sharing"",""กำแพงเพชร!N273"")+IMPORTRANGE(""https://docs.google.com/spreadsheets/d/1KS0zmDSZPk8KnTAbGN-Xk6MtX1YRZD0ldgdt20K4CRk/edit?usp=sharing"","&amp;"""เชียงราย!N273"")+IMPORTRANGE(""https://docs.google.com/spreadsheets/d/1rEDxBtusbi64tE0zunoIbsTVV16HeL0oJ6trHQeQ7K8/edit?usp=sharing"",""เชียงใหม่!N273"")+IMPORTRANGE(""https://docs.google.com/spreadsheets/d/1W6MnUbDkMi6xHnHko_XkFDO9kkuL6Wqyc-6OCDFjW9I/e"&amp;"dit?usp=sharing"",""ตาก!N273"")+IMPORTRANGE(""https://docs.google.com/spreadsheets/d/1IQAWArduLkta9LpYo4a_ULsyqdta6-6aDDiwpUnQT6c/edit?usp=sharing"",""นครสวรรค์!N273"")+IMPORTRANGE(""https://docs.google.com/spreadsheets/d/10s13Sk5xrltsiR-Zkbmk5DwIaDIKO8Xl"&amp;"bJAfqyT7Gvg/edit?usp=sharing"",""น่าน!N273"")+IMPORTRANGE(""https://docs.google.com/spreadsheets/d/1uu4nAn4Dbi1XREnLKKotUANlKXa7yCgRcgq8HEzQYW8/edit?usp=sharing"",""พะเยา!N273"")+IMPORTRANGE(""https://docs.google.com/spreadsheets/d/1xfJKIQxVOaPDIICqsflNlL"&amp;"u3JacTDk1FP9RH4phX7mI/edit?usp=sharing"",""พิจิตร!N273"")+IMPORTRANGE(""https://docs.google.com/spreadsheets/d/1JtRfZkJMHtEhI5RdRHxYUG4FIZHqKDpNyIuN7A1Q0_k/edit?usp=sharing"",""พิษณุโลก!N273"")+IMPORTRANGE(""https://docs.google.com/spreadsheets/d/1xlcVZWU"&amp;"Nn6SuWm0c307h32SiGkd9BaeQWlAktfD3KO8/edit?usp=sharing"",""เพชรบูรณ์!N273"")+IMPORTRANGE(""https://docs.google.com/spreadsheets/d/1lOVebEIsI9qjGXl6EX66luk7wiuP2tBaryw-wKvv4e0/edit?usp=sharing"",""แพร่!N273"")+IMPORTRANGE(""https://docs.google.com/spreadshe"&amp;"ets/d/1dQrvX0vEcN7Gu0fnZ0B5S90AeR19zth4XlExFBeExMY/edit?usp=sharing"",""แม่ฮ่องสอน!N273"")+IMPORTRANGE(""https://docs.google.com/spreadsheets/d/1DY4XTNNwjluuxqdfdn6qvOSlMRrZqUtmYcZR0ttFiG4/edit?usp=sharing"",""ลำปาง!N273"")+IMPORTRANGE(""https://docs.goog"&amp;"le.com/spreadsheets/d/1ICwG78r0OFT8biBlxnBF8r7she7gNSzOvJ958PWT09c/edit?usp=sharing"",""ลำพูน!N273"")+IMPORTRANGE(""https://docs.google.com/spreadsheets/d/1B0f2xJpZUC6Z0xXnqKlZtEPzsf6L84eP1r1Q15seqRM/edit?usp=sharing"",""สุโขทัย!N273"")+IMPORTRANGE(""http"&amp;"s://docs.google.com/spreadsheets/d/1v0b9pFQCsKUVExMei7AgY2yQkdeNQvtOssygGsXbiKo/edit?usp=sharing"",""อุตรดิตถ์!N273"")+IMPORTRANGE(""https://docs.google.com/spreadsheets/d/1UsNK1e-WWiCo2PvGqdNfdme4m17_Ezd3J69EeeiQPD0/edit?usp=sharing"",""อุทัยธานี!N273"")"),0)</f>
        <v>0</v>
      </c>
      <c r="O273" s="46">
        <f t="shared" ca="1" si="189"/>
        <v>0</v>
      </c>
      <c r="P273" s="46">
        <f t="shared" ca="1" si="190"/>
        <v>0</v>
      </c>
      <c r="Q273" s="48">
        <f ca="1">IFERROR(__xludf.DUMMYFUNCTION("IMPORTRANGE(""https://docs.google.com/spreadsheets/d/1jTcq05yEiRwXcBMLjiodW9e4biSGYWAHcDj22rKWQ3s/edit?usp=sharing"",""กำแพงเพชร!Q273"")+IMPORTRANGE(""https://docs.google.com/spreadsheets/d/1KS0zmDSZPk8KnTAbGN-Xk6MtX1YRZD0ldgdt20K4CRk/edit?usp=sharing"","&amp;"""เชียงราย!Q273"")+IMPORTRANGE(""https://docs.google.com/spreadsheets/d/1rEDxBtusbi64tE0zunoIbsTVV16HeL0oJ6trHQeQ7K8/edit?usp=sharing"",""เชียงใหม่!Q273"")+IMPORTRANGE(""https://docs.google.com/spreadsheets/d/1W6MnUbDkMi6xHnHko_XkFDO9kkuL6Wqyc-6OCDFjW9I/e"&amp;"dit?usp=sharing"",""ตาก!Q273"")+IMPORTRANGE(""https://docs.google.com/spreadsheets/d/1IQAWArduLkta9LpYo4a_ULsyqdta6-6aDDiwpUnQT6c/edit?usp=sharing"",""นครสวรรค์!Q273"")+IMPORTRANGE(""https://docs.google.com/spreadsheets/d/10s13Sk5xrltsiR-Zkbmk5DwIaDIKO8Xl"&amp;"bJAfqyT7Gvg/edit?usp=sharing"",""น่าน!Q273"")+IMPORTRANGE(""https://docs.google.com/spreadsheets/d/1uu4nAn4Dbi1XREnLKKotUANlKXa7yCgRcgq8HEzQYW8/edit?usp=sharing"",""พะเยา!Q273"")+IMPORTRANGE(""https://docs.google.com/spreadsheets/d/1xfJKIQxVOaPDIICqsflNlL"&amp;"u3JacTDk1FP9RH4phX7mI/edit?usp=sharing"",""พิจิตร!Q273"")+IMPORTRANGE(""https://docs.google.com/spreadsheets/d/1JtRfZkJMHtEhI5RdRHxYUG4FIZHqKDpNyIuN7A1Q0_k/edit?usp=sharing"",""พิษณุโลก!Q273"")+IMPORTRANGE(""https://docs.google.com/spreadsheets/d/1xlcVZWU"&amp;"Nn6SuWm0c307h32SiGkd9BaeQWlAktfD3KO8/edit?usp=sharing"",""เพชรบูรณ์!Q273"")+IMPORTRANGE(""https://docs.google.com/spreadsheets/d/1lOVebEIsI9qjGXl6EX66luk7wiuP2tBaryw-wKvv4e0/edit?usp=sharing"",""แพร่!Q273"")+IMPORTRANGE(""https://docs.google.com/spreadshe"&amp;"ets/d/1dQrvX0vEcN7Gu0fnZ0B5S90AeR19zth4XlExFBeExMY/edit?usp=sharing"",""แม่ฮ่องสอน!Q273"")+IMPORTRANGE(""https://docs.google.com/spreadsheets/d/1DY4XTNNwjluuxqdfdn6qvOSlMRrZqUtmYcZR0ttFiG4/edit?usp=sharing"",""ลำปาง!Q273"")+IMPORTRANGE(""https://docs.goog"&amp;"le.com/spreadsheets/d/1ICwG78r0OFT8biBlxnBF8r7she7gNSzOvJ958PWT09c/edit?usp=sharing"",""ลำพูน!Q273"")+IMPORTRANGE(""https://docs.google.com/spreadsheets/d/1B0f2xJpZUC6Z0xXnqKlZtEPzsf6L84eP1r1Q15seqRM/edit?usp=sharing"",""สุโขทัย!Q273"")+IMPORTRANGE(""http"&amp;"s://docs.google.com/spreadsheets/d/1v0b9pFQCsKUVExMei7AgY2yQkdeNQvtOssygGsXbiKo/edit?usp=sharing"",""อุตรดิตถ์!Q273"")+IMPORTRANGE(""https://docs.google.com/spreadsheets/d/1UsNK1e-WWiCo2PvGqdNfdme4m17_Ezd3J69EeeiQPD0/edit?usp=sharing"",""อุทัยธานี!Q273"")"),0)</f>
        <v>0</v>
      </c>
      <c r="R273" s="48">
        <f ca="1">IFERROR(__xludf.DUMMYFUNCTION("IMPORTRANGE(""https://docs.google.com/spreadsheets/d/1jTcq05yEiRwXcBMLjiodW9e4biSGYWAHcDj22rKWQ3s/edit?usp=sharing"",""กำแพงเพชร!R273"")+IMPORTRANGE(""https://docs.google.com/spreadsheets/d/1KS0zmDSZPk8KnTAbGN-Xk6MtX1YRZD0ldgdt20K4CRk/edit?usp=sharing"","&amp;"""เชียงราย!R273"")+IMPORTRANGE(""https://docs.google.com/spreadsheets/d/1rEDxBtusbi64tE0zunoIbsTVV16HeL0oJ6trHQeQ7K8/edit?usp=sharing"",""เชียงใหม่!R273"")+IMPORTRANGE(""https://docs.google.com/spreadsheets/d/1W6MnUbDkMi6xHnHko_XkFDO9kkuL6Wqyc-6OCDFjW9I/e"&amp;"dit?usp=sharing"",""ตาก!R273"")+IMPORTRANGE(""https://docs.google.com/spreadsheets/d/1IQAWArduLkta9LpYo4a_ULsyqdta6-6aDDiwpUnQT6c/edit?usp=sharing"",""นครสวรรค์!R273"")+IMPORTRANGE(""https://docs.google.com/spreadsheets/d/10s13Sk5xrltsiR-Zkbmk5DwIaDIKO8Xl"&amp;"bJAfqyT7Gvg/edit?usp=sharing"",""น่าน!R273"")+IMPORTRANGE(""https://docs.google.com/spreadsheets/d/1uu4nAn4Dbi1XREnLKKotUANlKXa7yCgRcgq8HEzQYW8/edit?usp=sharing"",""พะเยา!R273"")+IMPORTRANGE(""https://docs.google.com/spreadsheets/d/1xfJKIQxVOaPDIICqsflNlL"&amp;"u3JacTDk1FP9RH4phX7mI/edit?usp=sharing"",""พิจิตร!R273"")+IMPORTRANGE(""https://docs.google.com/spreadsheets/d/1JtRfZkJMHtEhI5RdRHxYUG4FIZHqKDpNyIuN7A1Q0_k/edit?usp=sharing"",""พิษณุโลก!R273"")+IMPORTRANGE(""https://docs.google.com/spreadsheets/d/1xlcVZWU"&amp;"Nn6SuWm0c307h32SiGkd9BaeQWlAktfD3KO8/edit?usp=sharing"",""เพชรบูรณ์!R273"")+IMPORTRANGE(""https://docs.google.com/spreadsheets/d/1lOVebEIsI9qjGXl6EX66luk7wiuP2tBaryw-wKvv4e0/edit?usp=sharing"",""แพร่!R273"")+IMPORTRANGE(""https://docs.google.com/spreadshe"&amp;"ets/d/1dQrvX0vEcN7Gu0fnZ0B5S90AeR19zth4XlExFBeExMY/edit?usp=sharing"",""แม่ฮ่องสอน!R273"")+IMPORTRANGE(""https://docs.google.com/spreadsheets/d/1DY4XTNNwjluuxqdfdn6qvOSlMRrZqUtmYcZR0ttFiG4/edit?usp=sharing"",""ลำปาง!R273"")+IMPORTRANGE(""https://docs.goog"&amp;"le.com/spreadsheets/d/1ICwG78r0OFT8biBlxnBF8r7she7gNSzOvJ958PWT09c/edit?usp=sharing"",""ลำพูน!R273"")+IMPORTRANGE(""https://docs.google.com/spreadsheets/d/1B0f2xJpZUC6Z0xXnqKlZtEPzsf6L84eP1r1Q15seqRM/edit?usp=sharing"",""สุโขทัย!R273"")+IMPORTRANGE(""http"&amp;"s://docs.google.com/spreadsheets/d/1v0b9pFQCsKUVExMei7AgY2yQkdeNQvtOssygGsXbiKo/edit?usp=sharing"",""อุตรดิตถ์!R273"")+IMPORTRANGE(""https://docs.google.com/spreadsheets/d/1UsNK1e-WWiCo2PvGqdNfdme4m17_Ezd3J69EeeiQPD0/edit?usp=sharing"",""อุทัยธานี!R273"")"),0)</f>
        <v>0</v>
      </c>
      <c r="S273" s="48">
        <f ca="1">IFERROR(__xludf.DUMMYFUNCTION("IMPORTRANGE(""https://docs.google.com/spreadsheets/d/1jTcq05yEiRwXcBMLjiodW9e4biSGYWAHcDj22rKWQ3s/edit?usp=sharing"",""กำแพงเพชร!S273"")+IMPORTRANGE(""https://docs.google.com/spreadsheets/d/1KS0zmDSZPk8KnTAbGN-Xk6MtX1YRZD0ldgdt20K4CRk/edit?usp=sharing"","&amp;"""เชียงราย!S273"")+IMPORTRANGE(""https://docs.google.com/spreadsheets/d/1rEDxBtusbi64tE0zunoIbsTVV16HeL0oJ6trHQeQ7K8/edit?usp=sharing"",""เชียงใหม่!S273"")+IMPORTRANGE(""https://docs.google.com/spreadsheets/d/1W6MnUbDkMi6xHnHko_XkFDO9kkuL6Wqyc-6OCDFjW9I/e"&amp;"dit?usp=sharing"",""ตาก!S273"")+IMPORTRANGE(""https://docs.google.com/spreadsheets/d/1IQAWArduLkta9LpYo4a_ULsyqdta6-6aDDiwpUnQT6c/edit?usp=sharing"",""นครสวรรค์!S273"")+IMPORTRANGE(""https://docs.google.com/spreadsheets/d/10s13Sk5xrltsiR-Zkbmk5DwIaDIKO8Xl"&amp;"bJAfqyT7Gvg/edit?usp=sharing"",""น่าน!S273"")+IMPORTRANGE(""https://docs.google.com/spreadsheets/d/1uu4nAn4Dbi1XREnLKKotUANlKXa7yCgRcgq8HEzQYW8/edit?usp=sharing"",""พะเยา!S273"")+IMPORTRANGE(""https://docs.google.com/spreadsheets/d/1xfJKIQxVOaPDIICqsflNlL"&amp;"u3JacTDk1FP9RH4phX7mI/edit?usp=sharing"",""พิจิตร!S273"")+IMPORTRANGE(""https://docs.google.com/spreadsheets/d/1JtRfZkJMHtEhI5RdRHxYUG4FIZHqKDpNyIuN7A1Q0_k/edit?usp=sharing"",""พิษณุโลก!S273"")+IMPORTRANGE(""https://docs.google.com/spreadsheets/d/1xlcVZWU"&amp;"Nn6SuWm0c307h32SiGkd9BaeQWlAktfD3KO8/edit?usp=sharing"",""เพชรบูรณ์!S273"")+IMPORTRANGE(""https://docs.google.com/spreadsheets/d/1lOVebEIsI9qjGXl6EX66luk7wiuP2tBaryw-wKvv4e0/edit?usp=sharing"",""แพร่!S273"")+IMPORTRANGE(""https://docs.google.com/spreadshe"&amp;"ets/d/1dQrvX0vEcN7Gu0fnZ0B5S90AeR19zth4XlExFBeExMY/edit?usp=sharing"",""แม่ฮ่องสอน!S273"")+IMPORTRANGE(""https://docs.google.com/spreadsheets/d/1DY4XTNNwjluuxqdfdn6qvOSlMRrZqUtmYcZR0ttFiG4/edit?usp=sharing"",""ลำปาง!S273"")+IMPORTRANGE(""https://docs.goog"&amp;"le.com/spreadsheets/d/1ICwG78r0OFT8biBlxnBF8r7she7gNSzOvJ958PWT09c/edit?usp=sharing"",""ลำพูน!S273"")+IMPORTRANGE(""https://docs.google.com/spreadsheets/d/1B0f2xJpZUC6Z0xXnqKlZtEPzsf6L84eP1r1Q15seqRM/edit?usp=sharing"",""สุโขทัย!S273"")+IMPORTRANGE(""http"&amp;"s://docs.google.com/spreadsheets/d/1v0b9pFQCsKUVExMei7AgY2yQkdeNQvtOssygGsXbiKo/edit?usp=sharing"",""อุตรดิตถ์!S273"")+IMPORTRANGE(""https://docs.google.com/spreadsheets/d/1UsNK1e-WWiCo2PvGqdNfdme4m17_Ezd3J69EeeiQPD0/edit?usp=sharing"",""อุทัยธานี!S273"")"),0)</f>
        <v>0</v>
      </c>
      <c r="T273" s="48">
        <f t="shared" ca="1" si="192"/>
        <v>0</v>
      </c>
      <c r="U273" s="48">
        <f t="shared" ca="1" si="193"/>
        <v>0</v>
      </c>
    </row>
    <row r="274" spans="1:21" ht="18.75" x14ac:dyDescent="0.25">
      <c r="A274" s="128"/>
      <c r="B274" s="40"/>
      <c r="C274" s="40"/>
      <c r="D274" s="40"/>
      <c r="E274" s="47" t="s">
        <v>21</v>
      </c>
      <c r="F274" s="40"/>
      <c r="G274" s="42"/>
      <c r="H274" s="137" t="s">
        <v>14</v>
      </c>
      <c r="I274" s="135"/>
      <c r="J274" s="135"/>
      <c r="K274" s="136"/>
      <c r="L274" s="46">
        <f ca="1">IFERROR(__xludf.DUMMYFUNCTION("IMPORTRANGE(""https://docs.google.com/spreadsheets/d/1jTcq05yEiRwXcBMLjiodW9e4biSGYWAHcDj22rKWQ3s/edit?usp=sharing"",""กำแพงเพชร!L274"")+IMPORTRANGE(""https://docs.google.com/spreadsheets/d/1KS0zmDSZPk8KnTAbGN-Xk6MtX1YRZD0ldgdt20K4CRk/edit?usp=sharing"","&amp;"""เชียงราย!L274"")+IMPORTRANGE(""https://docs.google.com/spreadsheets/d/1rEDxBtusbi64tE0zunoIbsTVV16HeL0oJ6trHQeQ7K8/edit?usp=sharing"",""เชียงใหม่!L274"")+IMPORTRANGE(""https://docs.google.com/spreadsheets/d/1W6MnUbDkMi6xHnHko_XkFDO9kkuL6Wqyc-6OCDFjW9I/e"&amp;"dit?usp=sharing"",""ตาก!L274"")+IMPORTRANGE(""https://docs.google.com/spreadsheets/d/1IQAWArduLkta9LpYo4a_ULsyqdta6-6aDDiwpUnQT6c/edit?usp=sharing"",""นครสวรรค์!L274"")+IMPORTRANGE(""https://docs.google.com/spreadsheets/d/10s13Sk5xrltsiR-Zkbmk5DwIaDIKO8Xl"&amp;"bJAfqyT7Gvg/edit?usp=sharing"",""น่าน!L274"")+IMPORTRANGE(""https://docs.google.com/spreadsheets/d/1uu4nAn4Dbi1XREnLKKotUANlKXa7yCgRcgq8HEzQYW8/edit?usp=sharing"",""พะเยา!L274"")+IMPORTRANGE(""https://docs.google.com/spreadsheets/d/1xfJKIQxVOaPDIICqsflNlL"&amp;"u3JacTDk1FP9RH4phX7mI/edit?usp=sharing"",""พิจิตร!L274"")+IMPORTRANGE(""https://docs.google.com/spreadsheets/d/1JtRfZkJMHtEhI5RdRHxYUG4FIZHqKDpNyIuN7A1Q0_k/edit?usp=sharing"",""พิษณุโลก!L274"")+IMPORTRANGE(""https://docs.google.com/spreadsheets/d/1xlcVZWU"&amp;"Nn6SuWm0c307h32SiGkd9BaeQWlAktfD3KO8/edit?usp=sharing"",""เพชรบูรณ์!L274"")+IMPORTRANGE(""https://docs.google.com/spreadsheets/d/1lOVebEIsI9qjGXl6EX66luk7wiuP2tBaryw-wKvv4e0/edit?usp=sharing"",""แพร่!L274"")+IMPORTRANGE(""https://docs.google.com/spreadshe"&amp;"ets/d/1dQrvX0vEcN7Gu0fnZ0B5S90AeR19zth4XlExFBeExMY/edit?usp=sharing"",""แม่ฮ่องสอน!L274"")+IMPORTRANGE(""https://docs.google.com/spreadsheets/d/1DY4XTNNwjluuxqdfdn6qvOSlMRrZqUtmYcZR0ttFiG4/edit?usp=sharing"",""ลำปาง!L274"")+IMPORTRANGE(""https://docs.goog"&amp;"le.com/spreadsheets/d/1ICwG78r0OFT8biBlxnBF8r7she7gNSzOvJ958PWT09c/edit?usp=sharing"",""ลำพูน!L274"")+IMPORTRANGE(""https://docs.google.com/spreadsheets/d/1B0f2xJpZUC6Z0xXnqKlZtEPzsf6L84eP1r1Q15seqRM/edit?usp=sharing"",""สุโขทัย!L274"")+IMPORTRANGE(""http"&amp;"s://docs.google.com/spreadsheets/d/1v0b9pFQCsKUVExMei7AgY2yQkdeNQvtOssygGsXbiKo/edit?usp=sharing"",""อุตรดิตถ์!L274"")+IMPORTRANGE(""https://docs.google.com/spreadsheets/d/1UsNK1e-WWiCo2PvGqdNfdme4m17_Ezd3J69EeeiQPD0/edit?usp=sharing"",""อุทัยธานี!L274"")"),0)</f>
        <v>0</v>
      </c>
      <c r="M274" s="46">
        <f ca="1">IFERROR(__xludf.DUMMYFUNCTION("IMPORTRANGE(""https://docs.google.com/spreadsheets/d/1jTcq05yEiRwXcBMLjiodW9e4biSGYWAHcDj22rKWQ3s/edit?usp=sharing"",""กำแพงเพชร!M274"")+IMPORTRANGE(""https://docs.google.com/spreadsheets/d/1KS0zmDSZPk8KnTAbGN-Xk6MtX1YRZD0ldgdt20K4CRk/edit?usp=sharing"","&amp;"""เชียงราย!M274"")+IMPORTRANGE(""https://docs.google.com/spreadsheets/d/1rEDxBtusbi64tE0zunoIbsTVV16HeL0oJ6trHQeQ7K8/edit?usp=sharing"",""เชียงใหม่!M274"")+IMPORTRANGE(""https://docs.google.com/spreadsheets/d/1W6MnUbDkMi6xHnHko_XkFDO9kkuL6Wqyc-6OCDFjW9I/e"&amp;"dit?usp=sharing"",""ตาก!M274"")+IMPORTRANGE(""https://docs.google.com/spreadsheets/d/1IQAWArduLkta9LpYo4a_ULsyqdta6-6aDDiwpUnQT6c/edit?usp=sharing"",""นครสวรรค์!M274"")+IMPORTRANGE(""https://docs.google.com/spreadsheets/d/10s13Sk5xrltsiR-Zkbmk5DwIaDIKO8Xl"&amp;"bJAfqyT7Gvg/edit?usp=sharing"",""น่าน!M274"")+IMPORTRANGE(""https://docs.google.com/spreadsheets/d/1uu4nAn4Dbi1XREnLKKotUANlKXa7yCgRcgq8HEzQYW8/edit?usp=sharing"",""พะเยา!M274"")+IMPORTRANGE(""https://docs.google.com/spreadsheets/d/1xfJKIQxVOaPDIICqsflNlL"&amp;"u3JacTDk1FP9RH4phX7mI/edit?usp=sharing"",""พิจิตร!M274"")+IMPORTRANGE(""https://docs.google.com/spreadsheets/d/1JtRfZkJMHtEhI5RdRHxYUG4FIZHqKDpNyIuN7A1Q0_k/edit?usp=sharing"",""พิษณุโลก!M274"")+IMPORTRANGE(""https://docs.google.com/spreadsheets/d/1xlcVZWU"&amp;"Nn6SuWm0c307h32SiGkd9BaeQWlAktfD3KO8/edit?usp=sharing"",""เพชรบูรณ์!M274"")+IMPORTRANGE(""https://docs.google.com/spreadsheets/d/1lOVebEIsI9qjGXl6EX66luk7wiuP2tBaryw-wKvv4e0/edit?usp=sharing"",""แพร่!M274"")+IMPORTRANGE(""https://docs.google.com/spreadshe"&amp;"ets/d/1dQrvX0vEcN7Gu0fnZ0B5S90AeR19zth4XlExFBeExMY/edit?usp=sharing"",""แม่ฮ่องสอน!M274"")+IMPORTRANGE(""https://docs.google.com/spreadsheets/d/1DY4XTNNwjluuxqdfdn6qvOSlMRrZqUtmYcZR0ttFiG4/edit?usp=sharing"",""ลำปาง!M274"")+IMPORTRANGE(""https://docs.goog"&amp;"le.com/spreadsheets/d/1ICwG78r0OFT8biBlxnBF8r7she7gNSzOvJ958PWT09c/edit?usp=sharing"",""ลำพูน!M274"")+IMPORTRANGE(""https://docs.google.com/spreadsheets/d/1B0f2xJpZUC6Z0xXnqKlZtEPzsf6L84eP1r1Q15seqRM/edit?usp=sharing"",""สุโขทัย!M274"")+IMPORTRANGE(""http"&amp;"s://docs.google.com/spreadsheets/d/1v0b9pFQCsKUVExMei7AgY2yQkdeNQvtOssygGsXbiKo/edit?usp=sharing"",""อุตรดิตถ์!M274"")+IMPORTRANGE(""https://docs.google.com/spreadsheets/d/1UsNK1e-WWiCo2PvGqdNfdme4m17_Ezd3J69EeeiQPD0/edit?usp=sharing"",""อุทัยธานี!M274"")"),0)</f>
        <v>0</v>
      </c>
      <c r="N274" s="46">
        <f ca="1">IFERROR(__xludf.DUMMYFUNCTION("IMPORTRANGE(""https://docs.google.com/spreadsheets/d/1jTcq05yEiRwXcBMLjiodW9e4biSGYWAHcDj22rKWQ3s/edit?usp=sharing"",""กำแพงเพชร!N274"")+IMPORTRANGE(""https://docs.google.com/spreadsheets/d/1KS0zmDSZPk8KnTAbGN-Xk6MtX1YRZD0ldgdt20K4CRk/edit?usp=sharing"","&amp;"""เชียงราย!N274"")+IMPORTRANGE(""https://docs.google.com/spreadsheets/d/1rEDxBtusbi64tE0zunoIbsTVV16HeL0oJ6trHQeQ7K8/edit?usp=sharing"",""เชียงใหม่!N274"")+IMPORTRANGE(""https://docs.google.com/spreadsheets/d/1W6MnUbDkMi6xHnHko_XkFDO9kkuL6Wqyc-6OCDFjW9I/e"&amp;"dit?usp=sharing"",""ตาก!N274"")+IMPORTRANGE(""https://docs.google.com/spreadsheets/d/1IQAWArduLkta9LpYo4a_ULsyqdta6-6aDDiwpUnQT6c/edit?usp=sharing"",""นครสวรรค์!N274"")+IMPORTRANGE(""https://docs.google.com/spreadsheets/d/10s13Sk5xrltsiR-Zkbmk5DwIaDIKO8Xl"&amp;"bJAfqyT7Gvg/edit?usp=sharing"",""น่าน!N274"")+IMPORTRANGE(""https://docs.google.com/spreadsheets/d/1uu4nAn4Dbi1XREnLKKotUANlKXa7yCgRcgq8HEzQYW8/edit?usp=sharing"",""พะเยา!N274"")+IMPORTRANGE(""https://docs.google.com/spreadsheets/d/1xfJKIQxVOaPDIICqsflNlL"&amp;"u3JacTDk1FP9RH4phX7mI/edit?usp=sharing"",""พิจิตร!N274"")+IMPORTRANGE(""https://docs.google.com/spreadsheets/d/1JtRfZkJMHtEhI5RdRHxYUG4FIZHqKDpNyIuN7A1Q0_k/edit?usp=sharing"",""พิษณุโลก!N274"")+IMPORTRANGE(""https://docs.google.com/spreadsheets/d/1xlcVZWU"&amp;"Nn6SuWm0c307h32SiGkd9BaeQWlAktfD3KO8/edit?usp=sharing"",""เพชรบูรณ์!N274"")+IMPORTRANGE(""https://docs.google.com/spreadsheets/d/1lOVebEIsI9qjGXl6EX66luk7wiuP2tBaryw-wKvv4e0/edit?usp=sharing"",""แพร่!N274"")+IMPORTRANGE(""https://docs.google.com/spreadshe"&amp;"ets/d/1dQrvX0vEcN7Gu0fnZ0B5S90AeR19zth4XlExFBeExMY/edit?usp=sharing"",""แม่ฮ่องสอน!N274"")+IMPORTRANGE(""https://docs.google.com/spreadsheets/d/1DY4XTNNwjluuxqdfdn6qvOSlMRrZqUtmYcZR0ttFiG4/edit?usp=sharing"",""ลำปาง!N274"")+IMPORTRANGE(""https://docs.goog"&amp;"le.com/spreadsheets/d/1ICwG78r0OFT8biBlxnBF8r7she7gNSzOvJ958PWT09c/edit?usp=sharing"",""ลำพูน!N274"")+IMPORTRANGE(""https://docs.google.com/spreadsheets/d/1B0f2xJpZUC6Z0xXnqKlZtEPzsf6L84eP1r1Q15seqRM/edit?usp=sharing"",""สุโขทัย!N274"")+IMPORTRANGE(""http"&amp;"s://docs.google.com/spreadsheets/d/1v0b9pFQCsKUVExMei7AgY2yQkdeNQvtOssygGsXbiKo/edit?usp=sharing"",""อุตรดิตถ์!N274"")+IMPORTRANGE(""https://docs.google.com/spreadsheets/d/1UsNK1e-WWiCo2PvGqdNfdme4m17_Ezd3J69EeeiQPD0/edit?usp=sharing"",""อุทัยธานี!N274"")"),0)</f>
        <v>0</v>
      </c>
      <c r="O274" s="46">
        <f t="shared" ca="1" si="189"/>
        <v>0</v>
      </c>
      <c r="P274" s="46">
        <f t="shared" ca="1" si="190"/>
        <v>0</v>
      </c>
      <c r="Q274" s="46">
        <f ca="1">IFERROR(__xludf.DUMMYFUNCTION("IMPORTRANGE(""https://docs.google.com/spreadsheets/d/1jTcq05yEiRwXcBMLjiodW9e4biSGYWAHcDj22rKWQ3s/edit?usp=sharing"",""กำแพงเพชร!Q274"")+IMPORTRANGE(""https://docs.google.com/spreadsheets/d/1KS0zmDSZPk8KnTAbGN-Xk6MtX1YRZD0ldgdt20K4CRk/edit?usp=sharing"","&amp;"""เชียงราย!Q274"")+IMPORTRANGE(""https://docs.google.com/spreadsheets/d/1rEDxBtusbi64tE0zunoIbsTVV16HeL0oJ6trHQeQ7K8/edit?usp=sharing"",""เชียงใหม่!Q274"")+IMPORTRANGE(""https://docs.google.com/spreadsheets/d/1W6MnUbDkMi6xHnHko_XkFDO9kkuL6Wqyc-6OCDFjW9I/e"&amp;"dit?usp=sharing"",""ตาก!Q274"")+IMPORTRANGE(""https://docs.google.com/spreadsheets/d/1IQAWArduLkta9LpYo4a_ULsyqdta6-6aDDiwpUnQT6c/edit?usp=sharing"",""นครสวรรค์!Q274"")+IMPORTRANGE(""https://docs.google.com/spreadsheets/d/10s13Sk5xrltsiR-Zkbmk5DwIaDIKO8Xl"&amp;"bJAfqyT7Gvg/edit?usp=sharing"",""น่าน!Q274"")+IMPORTRANGE(""https://docs.google.com/spreadsheets/d/1uu4nAn4Dbi1XREnLKKotUANlKXa7yCgRcgq8HEzQYW8/edit?usp=sharing"",""พะเยา!Q274"")+IMPORTRANGE(""https://docs.google.com/spreadsheets/d/1xfJKIQxVOaPDIICqsflNlL"&amp;"u3JacTDk1FP9RH4phX7mI/edit?usp=sharing"",""พิจิตร!Q274"")+IMPORTRANGE(""https://docs.google.com/spreadsheets/d/1JtRfZkJMHtEhI5RdRHxYUG4FIZHqKDpNyIuN7A1Q0_k/edit?usp=sharing"",""พิษณุโลก!Q274"")+IMPORTRANGE(""https://docs.google.com/spreadsheets/d/1xlcVZWU"&amp;"Nn6SuWm0c307h32SiGkd9BaeQWlAktfD3KO8/edit?usp=sharing"",""เพชรบูรณ์!Q274"")+IMPORTRANGE(""https://docs.google.com/spreadsheets/d/1lOVebEIsI9qjGXl6EX66luk7wiuP2tBaryw-wKvv4e0/edit?usp=sharing"",""แพร่!Q274"")+IMPORTRANGE(""https://docs.google.com/spreadshe"&amp;"ets/d/1dQrvX0vEcN7Gu0fnZ0B5S90AeR19zth4XlExFBeExMY/edit?usp=sharing"",""แม่ฮ่องสอน!Q274"")+IMPORTRANGE(""https://docs.google.com/spreadsheets/d/1DY4XTNNwjluuxqdfdn6qvOSlMRrZqUtmYcZR0ttFiG4/edit?usp=sharing"",""ลำปาง!Q274"")+IMPORTRANGE(""https://docs.goog"&amp;"le.com/spreadsheets/d/1ICwG78r0OFT8biBlxnBF8r7she7gNSzOvJ958PWT09c/edit?usp=sharing"",""ลำพูน!Q274"")+IMPORTRANGE(""https://docs.google.com/spreadsheets/d/1B0f2xJpZUC6Z0xXnqKlZtEPzsf6L84eP1r1Q15seqRM/edit?usp=sharing"",""สุโขทัย!Q274"")+IMPORTRANGE(""http"&amp;"s://docs.google.com/spreadsheets/d/1v0b9pFQCsKUVExMei7AgY2yQkdeNQvtOssygGsXbiKo/edit?usp=sharing"",""อุตรดิตถ์!Q274"")+IMPORTRANGE(""https://docs.google.com/spreadsheets/d/1UsNK1e-WWiCo2PvGqdNfdme4m17_Ezd3J69EeeiQPD0/edit?usp=sharing"",""อุทัยธานี!Q274"")"),0)</f>
        <v>0</v>
      </c>
      <c r="R274" s="46">
        <f ca="1">IFERROR(__xludf.DUMMYFUNCTION("IMPORTRANGE(""https://docs.google.com/spreadsheets/d/1jTcq05yEiRwXcBMLjiodW9e4biSGYWAHcDj22rKWQ3s/edit?usp=sharing"",""กำแพงเพชร!R274"")+IMPORTRANGE(""https://docs.google.com/spreadsheets/d/1KS0zmDSZPk8KnTAbGN-Xk6MtX1YRZD0ldgdt20K4CRk/edit?usp=sharing"","&amp;"""เชียงราย!R274"")+IMPORTRANGE(""https://docs.google.com/spreadsheets/d/1rEDxBtusbi64tE0zunoIbsTVV16HeL0oJ6trHQeQ7K8/edit?usp=sharing"",""เชียงใหม่!R274"")+IMPORTRANGE(""https://docs.google.com/spreadsheets/d/1W6MnUbDkMi6xHnHko_XkFDO9kkuL6Wqyc-6OCDFjW9I/e"&amp;"dit?usp=sharing"",""ตาก!R274"")+IMPORTRANGE(""https://docs.google.com/spreadsheets/d/1IQAWArduLkta9LpYo4a_ULsyqdta6-6aDDiwpUnQT6c/edit?usp=sharing"",""นครสวรรค์!R274"")+IMPORTRANGE(""https://docs.google.com/spreadsheets/d/10s13Sk5xrltsiR-Zkbmk5DwIaDIKO8Xl"&amp;"bJAfqyT7Gvg/edit?usp=sharing"",""น่าน!R274"")+IMPORTRANGE(""https://docs.google.com/spreadsheets/d/1uu4nAn4Dbi1XREnLKKotUANlKXa7yCgRcgq8HEzQYW8/edit?usp=sharing"",""พะเยา!R274"")+IMPORTRANGE(""https://docs.google.com/spreadsheets/d/1xfJKIQxVOaPDIICqsflNlL"&amp;"u3JacTDk1FP9RH4phX7mI/edit?usp=sharing"",""พิจิตร!R274"")+IMPORTRANGE(""https://docs.google.com/spreadsheets/d/1JtRfZkJMHtEhI5RdRHxYUG4FIZHqKDpNyIuN7A1Q0_k/edit?usp=sharing"",""พิษณุโลก!R274"")+IMPORTRANGE(""https://docs.google.com/spreadsheets/d/1xlcVZWU"&amp;"Nn6SuWm0c307h32SiGkd9BaeQWlAktfD3KO8/edit?usp=sharing"",""เพชรบูรณ์!R274"")+IMPORTRANGE(""https://docs.google.com/spreadsheets/d/1lOVebEIsI9qjGXl6EX66luk7wiuP2tBaryw-wKvv4e0/edit?usp=sharing"",""แพร่!R274"")+IMPORTRANGE(""https://docs.google.com/spreadshe"&amp;"ets/d/1dQrvX0vEcN7Gu0fnZ0B5S90AeR19zth4XlExFBeExMY/edit?usp=sharing"",""แม่ฮ่องสอน!R274"")+IMPORTRANGE(""https://docs.google.com/spreadsheets/d/1DY4XTNNwjluuxqdfdn6qvOSlMRrZqUtmYcZR0ttFiG4/edit?usp=sharing"",""ลำปาง!R274"")+IMPORTRANGE(""https://docs.goog"&amp;"le.com/spreadsheets/d/1ICwG78r0OFT8biBlxnBF8r7she7gNSzOvJ958PWT09c/edit?usp=sharing"",""ลำพูน!R274"")+IMPORTRANGE(""https://docs.google.com/spreadsheets/d/1B0f2xJpZUC6Z0xXnqKlZtEPzsf6L84eP1r1Q15seqRM/edit?usp=sharing"",""สุโขทัย!R274"")+IMPORTRANGE(""http"&amp;"s://docs.google.com/spreadsheets/d/1v0b9pFQCsKUVExMei7AgY2yQkdeNQvtOssygGsXbiKo/edit?usp=sharing"",""อุตรดิตถ์!R274"")+IMPORTRANGE(""https://docs.google.com/spreadsheets/d/1UsNK1e-WWiCo2PvGqdNfdme4m17_Ezd3J69EeeiQPD0/edit?usp=sharing"",""อุทัยธานี!R274"")"),0)</f>
        <v>0</v>
      </c>
      <c r="S274" s="46">
        <f ca="1">IFERROR(__xludf.DUMMYFUNCTION("IMPORTRANGE(""https://docs.google.com/spreadsheets/d/1jTcq05yEiRwXcBMLjiodW9e4biSGYWAHcDj22rKWQ3s/edit?usp=sharing"",""กำแพงเพชร!S274"")+IMPORTRANGE(""https://docs.google.com/spreadsheets/d/1KS0zmDSZPk8KnTAbGN-Xk6MtX1YRZD0ldgdt20K4CRk/edit?usp=sharing"","&amp;"""เชียงราย!S274"")+IMPORTRANGE(""https://docs.google.com/spreadsheets/d/1rEDxBtusbi64tE0zunoIbsTVV16HeL0oJ6trHQeQ7K8/edit?usp=sharing"",""เชียงใหม่!S274"")+IMPORTRANGE(""https://docs.google.com/spreadsheets/d/1W6MnUbDkMi6xHnHko_XkFDO9kkuL6Wqyc-6OCDFjW9I/e"&amp;"dit?usp=sharing"",""ตาก!S274"")+IMPORTRANGE(""https://docs.google.com/spreadsheets/d/1IQAWArduLkta9LpYo4a_ULsyqdta6-6aDDiwpUnQT6c/edit?usp=sharing"",""นครสวรรค์!S274"")+IMPORTRANGE(""https://docs.google.com/spreadsheets/d/10s13Sk5xrltsiR-Zkbmk5DwIaDIKO8Xl"&amp;"bJAfqyT7Gvg/edit?usp=sharing"",""น่าน!S274"")+IMPORTRANGE(""https://docs.google.com/spreadsheets/d/1uu4nAn4Dbi1XREnLKKotUANlKXa7yCgRcgq8HEzQYW8/edit?usp=sharing"",""พะเยา!S274"")+IMPORTRANGE(""https://docs.google.com/spreadsheets/d/1xfJKIQxVOaPDIICqsflNlL"&amp;"u3JacTDk1FP9RH4phX7mI/edit?usp=sharing"",""พิจิตร!S274"")+IMPORTRANGE(""https://docs.google.com/spreadsheets/d/1JtRfZkJMHtEhI5RdRHxYUG4FIZHqKDpNyIuN7A1Q0_k/edit?usp=sharing"",""พิษณุโลก!S274"")+IMPORTRANGE(""https://docs.google.com/spreadsheets/d/1xlcVZWU"&amp;"Nn6SuWm0c307h32SiGkd9BaeQWlAktfD3KO8/edit?usp=sharing"",""เพชรบูรณ์!S274"")+IMPORTRANGE(""https://docs.google.com/spreadsheets/d/1lOVebEIsI9qjGXl6EX66luk7wiuP2tBaryw-wKvv4e0/edit?usp=sharing"",""แพร่!S274"")+IMPORTRANGE(""https://docs.google.com/spreadshe"&amp;"ets/d/1dQrvX0vEcN7Gu0fnZ0B5S90AeR19zth4XlExFBeExMY/edit?usp=sharing"",""แม่ฮ่องสอน!S274"")+IMPORTRANGE(""https://docs.google.com/spreadsheets/d/1DY4XTNNwjluuxqdfdn6qvOSlMRrZqUtmYcZR0ttFiG4/edit?usp=sharing"",""ลำปาง!S274"")+IMPORTRANGE(""https://docs.goog"&amp;"le.com/spreadsheets/d/1ICwG78r0OFT8biBlxnBF8r7she7gNSzOvJ958PWT09c/edit?usp=sharing"",""ลำพูน!S274"")+IMPORTRANGE(""https://docs.google.com/spreadsheets/d/1B0f2xJpZUC6Z0xXnqKlZtEPzsf6L84eP1r1Q15seqRM/edit?usp=sharing"",""สุโขทัย!S274"")+IMPORTRANGE(""http"&amp;"s://docs.google.com/spreadsheets/d/1v0b9pFQCsKUVExMei7AgY2yQkdeNQvtOssygGsXbiKo/edit?usp=sharing"",""อุตรดิตถ์!S274"")+IMPORTRANGE(""https://docs.google.com/spreadsheets/d/1UsNK1e-WWiCo2PvGqdNfdme4m17_Ezd3J69EeeiQPD0/edit?usp=sharing"",""อุทัยธานี!S274"")"),0)</f>
        <v>0</v>
      </c>
      <c r="T274" s="46">
        <f t="shared" ca="1" si="192"/>
        <v>0</v>
      </c>
      <c r="U274" s="46">
        <f t="shared" ca="1" si="193"/>
        <v>0</v>
      </c>
    </row>
    <row r="275" spans="1:21" ht="19.5" x14ac:dyDescent="0.3">
      <c r="A275" s="138"/>
      <c r="B275" s="139"/>
      <c r="C275" s="47" t="s">
        <v>18</v>
      </c>
      <c r="D275" s="140" t="s">
        <v>38</v>
      </c>
      <c r="E275" s="141"/>
      <c r="F275" s="141"/>
      <c r="G275" s="142"/>
      <c r="H275" s="143"/>
      <c r="I275" s="135"/>
      <c r="J275" s="135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</row>
    <row r="276" spans="1:21" ht="18.75" x14ac:dyDescent="0.25">
      <c r="A276" s="247"/>
      <c r="B276" s="158"/>
      <c r="C276" s="158"/>
      <c r="D276" s="248" t="s">
        <v>115</v>
      </c>
      <c r="E276" s="40"/>
      <c r="F276" s="40"/>
      <c r="G276" s="42"/>
      <c r="H276" s="133" t="s">
        <v>35</v>
      </c>
      <c r="I276" s="166">
        <f ca="1">IFERROR(__xludf.DUMMYFUNCTION("IMPORTRANGE(""https://docs.google.com/spreadsheets/d/1jTcq05yEiRwXcBMLjiodW9e4biSGYWAHcDj22rKWQ3s/edit?usp=sharing"",""กำแพงเพชร!I276"")+IMPORTRANGE(""https://docs.google.com/spreadsheets/d/1KS0zmDSZPk8KnTAbGN-Xk6MtX1YRZD0ldgdt20K4CRk/edit?usp=sharing"","&amp;"""เชียงราย!I276"")+IMPORTRANGE(""https://docs.google.com/spreadsheets/d/1rEDxBtusbi64tE0zunoIbsTVV16HeL0oJ6trHQeQ7K8/edit?usp=sharing"",""เชียงใหม่!I276"")+IMPORTRANGE(""https://docs.google.com/spreadsheets/d/1W6MnUbDkMi6xHnHko_XkFDO9kkuL6Wqyc-6OCDFjW9I/e"&amp;"dit?usp=sharing"",""ตาก!I276"")+IMPORTRANGE(""https://docs.google.com/spreadsheets/d/1IQAWArduLkta9LpYo4a_ULsyqdta6-6aDDiwpUnQT6c/edit?usp=sharing"",""นครสวรรค์!I276"")+IMPORTRANGE(""https://docs.google.com/spreadsheets/d/10s13Sk5xrltsiR-Zkbmk5DwIaDIKO8Xl"&amp;"bJAfqyT7Gvg/edit?usp=sharing"",""น่าน!I276"")+IMPORTRANGE(""https://docs.google.com/spreadsheets/d/1uu4nAn4Dbi1XREnLKKotUANlKXa7yCgRcgq8HEzQYW8/edit?usp=sharing"",""พะเยา!I276"")+IMPORTRANGE(""https://docs.google.com/spreadsheets/d/1xfJKIQxVOaPDIICqsflNlL"&amp;"u3JacTDk1FP9RH4phX7mI/edit?usp=sharing"",""พิจิตร!I276"")+IMPORTRANGE(""https://docs.google.com/spreadsheets/d/1JtRfZkJMHtEhI5RdRHxYUG4FIZHqKDpNyIuN7A1Q0_k/edit?usp=sharing"",""พิษณุโลก!I276"")+IMPORTRANGE(""https://docs.google.com/spreadsheets/d/1xlcVZWU"&amp;"Nn6SuWm0c307h32SiGkd9BaeQWlAktfD3KO8/edit?usp=sharing"",""เพชรบูรณ์!I276"")+IMPORTRANGE(""https://docs.google.com/spreadsheets/d/1lOVebEIsI9qjGXl6EX66luk7wiuP2tBaryw-wKvv4e0/edit?usp=sharing"",""แพร่!I276"")+IMPORTRANGE(""https://docs.google.com/spreadshe"&amp;"ets/d/1dQrvX0vEcN7Gu0fnZ0B5S90AeR19zth4XlExFBeExMY/edit?usp=sharing"",""แม่ฮ่องสอน!I276"")+IMPORTRANGE(""https://docs.google.com/spreadsheets/d/1DY4XTNNwjluuxqdfdn6qvOSlMRrZqUtmYcZR0ttFiG4/edit?usp=sharing"",""ลำปาง!I276"")+IMPORTRANGE(""https://docs.goog"&amp;"le.com/spreadsheets/d/1ICwG78r0OFT8biBlxnBF8r7she7gNSzOvJ958PWT09c/edit?usp=sharing"",""ลำพูน!I276"")+IMPORTRANGE(""https://docs.google.com/spreadsheets/d/1B0f2xJpZUC6Z0xXnqKlZtEPzsf6L84eP1r1Q15seqRM/edit?usp=sharing"",""สุโขทัย!I276"")+IMPORTRANGE(""http"&amp;"s://docs.google.com/spreadsheets/d/1v0b9pFQCsKUVExMei7AgY2yQkdeNQvtOssygGsXbiKo/edit?usp=sharing"",""อุตรดิตถ์!I276"")+IMPORTRANGE(""https://docs.google.com/spreadsheets/d/1UsNK1e-WWiCo2PvGqdNfdme4m17_Ezd3J69EeeiQPD0/edit?usp=sharing"",""อุทัยธานี!I276"")"),384)</f>
        <v>384</v>
      </c>
      <c r="J276" s="166">
        <f ca="1">IFERROR(__xludf.DUMMYFUNCTION("IMPORTRANGE(""https://docs.google.com/spreadsheets/d/1jTcq05yEiRwXcBMLjiodW9e4biSGYWAHcDj22rKWQ3s/edit?usp=sharing"",""กำแพงเพชร!J276"")+IMPORTRANGE(""https://docs.google.com/spreadsheets/d/1KS0zmDSZPk8KnTAbGN-Xk6MtX1YRZD0ldgdt20K4CRk/edit?usp=sharing"","&amp;"""เชียงราย!J276"")+IMPORTRANGE(""https://docs.google.com/spreadsheets/d/1rEDxBtusbi64tE0zunoIbsTVV16HeL0oJ6trHQeQ7K8/edit?usp=sharing"",""เชียงใหม่!J276"")+IMPORTRANGE(""https://docs.google.com/spreadsheets/d/1W6MnUbDkMi6xHnHko_XkFDO9kkuL6Wqyc-6OCDFjW9I/e"&amp;"dit?usp=sharing"",""ตาก!J276"")+IMPORTRANGE(""https://docs.google.com/spreadsheets/d/1IQAWArduLkta9LpYo4a_ULsyqdta6-6aDDiwpUnQT6c/edit?usp=sharing"",""นครสวรรค์!J276"")+IMPORTRANGE(""https://docs.google.com/spreadsheets/d/10s13Sk5xrltsiR-Zkbmk5DwIaDIKO8Xl"&amp;"bJAfqyT7Gvg/edit?usp=sharing"",""น่าน!J276"")+IMPORTRANGE(""https://docs.google.com/spreadsheets/d/1uu4nAn4Dbi1XREnLKKotUANlKXa7yCgRcgq8HEzQYW8/edit?usp=sharing"",""พะเยา!J276"")+IMPORTRANGE(""https://docs.google.com/spreadsheets/d/1xfJKIQxVOaPDIICqsflNlL"&amp;"u3JacTDk1FP9RH4phX7mI/edit?usp=sharing"",""พิจิตร!J276"")+IMPORTRANGE(""https://docs.google.com/spreadsheets/d/1JtRfZkJMHtEhI5RdRHxYUG4FIZHqKDpNyIuN7A1Q0_k/edit?usp=sharing"",""พิษณุโลก!J276"")+IMPORTRANGE(""https://docs.google.com/spreadsheets/d/1xlcVZWU"&amp;"Nn6SuWm0c307h32SiGkd9BaeQWlAktfD3KO8/edit?usp=sharing"",""เพชรบูรณ์!J276"")+IMPORTRANGE(""https://docs.google.com/spreadsheets/d/1lOVebEIsI9qjGXl6EX66luk7wiuP2tBaryw-wKvv4e0/edit?usp=sharing"",""แพร่!J276"")+IMPORTRANGE(""https://docs.google.com/spreadshe"&amp;"ets/d/1dQrvX0vEcN7Gu0fnZ0B5S90AeR19zth4XlExFBeExMY/edit?usp=sharing"",""แม่ฮ่องสอน!J276"")+IMPORTRANGE(""https://docs.google.com/spreadsheets/d/1DY4XTNNwjluuxqdfdn6qvOSlMRrZqUtmYcZR0ttFiG4/edit?usp=sharing"",""ลำปาง!J276"")+IMPORTRANGE(""https://docs.goog"&amp;"le.com/spreadsheets/d/1ICwG78r0OFT8biBlxnBF8r7she7gNSzOvJ958PWT09c/edit?usp=sharing"",""ลำพูน!J276"")+IMPORTRANGE(""https://docs.google.com/spreadsheets/d/1B0f2xJpZUC6Z0xXnqKlZtEPzsf6L84eP1r1Q15seqRM/edit?usp=sharing"",""สุโขทัย!J276"")+IMPORTRANGE(""http"&amp;"s://docs.google.com/spreadsheets/d/1v0b9pFQCsKUVExMei7AgY2yQkdeNQvtOssygGsXbiKo/edit?usp=sharing"",""อุตรดิตถ์!J276"")+IMPORTRANGE(""https://docs.google.com/spreadsheets/d/1UsNK1e-WWiCo2PvGqdNfdme4m17_Ezd3J69EeeiQPD0/edit?usp=sharing"",""อุทัยธานี!J276"")"),202)</f>
        <v>202</v>
      </c>
      <c r="K276" s="46">
        <f ca="1">IF(I276&gt;0,J276*100/I276,0)</f>
        <v>52.604166666666664</v>
      </c>
      <c r="L276" s="45"/>
      <c r="M276" s="45"/>
      <c r="N276" s="45"/>
      <c r="O276" s="45"/>
      <c r="P276" s="45"/>
      <c r="Q276" s="45"/>
      <c r="R276" s="45"/>
      <c r="S276" s="45"/>
      <c r="T276" s="45"/>
      <c r="U276" s="45"/>
    </row>
    <row r="277" spans="1:21" ht="18.75" x14ac:dyDescent="0.25">
      <c r="A277" s="249"/>
      <c r="B277" s="250"/>
      <c r="C277" s="250"/>
      <c r="D277" s="251" t="s">
        <v>116</v>
      </c>
      <c r="E277" s="252"/>
      <c r="F277" s="252"/>
      <c r="G277" s="253"/>
      <c r="H277" s="53" t="s">
        <v>35</v>
      </c>
      <c r="I277" s="188">
        <v>0</v>
      </c>
      <c r="J277" s="188">
        <v>0</v>
      </c>
      <c r="K277" s="254">
        <v>0</v>
      </c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</row>
    <row r="278" spans="1:21" ht="19.5" x14ac:dyDescent="0.3">
      <c r="A278" s="256" t="s">
        <v>117</v>
      </c>
      <c r="B278" s="257"/>
      <c r="C278" s="257"/>
      <c r="D278" s="257"/>
      <c r="E278" s="258"/>
      <c r="F278" s="258"/>
      <c r="G278" s="258"/>
      <c r="H278" s="258"/>
      <c r="I278" s="259"/>
      <c r="J278" s="259"/>
      <c r="K278" s="260"/>
      <c r="L278" s="260"/>
      <c r="M278" s="260"/>
      <c r="N278" s="260"/>
      <c r="O278" s="260"/>
      <c r="P278" s="261"/>
      <c r="Q278" s="260"/>
      <c r="R278" s="260"/>
      <c r="S278" s="260"/>
      <c r="T278" s="260"/>
      <c r="U278" s="261"/>
    </row>
    <row r="279" spans="1:21" ht="19.5" x14ac:dyDescent="0.3">
      <c r="A279" s="262" t="s">
        <v>118</v>
      </c>
      <c r="B279" s="263"/>
      <c r="C279" s="264"/>
      <c r="D279" s="263"/>
      <c r="E279" s="263"/>
      <c r="F279" s="263"/>
      <c r="G279" s="263"/>
      <c r="H279" s="263"/>
      <c r="I279" s="265"/>
      <c r="J279" s="266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</row>
    <row r="280" spans="1:21" ht="19.5" x14ac:dyDescent="0.3">
      <c r="A280" s="268"/>
      <c r="B280" s="269" t="s">
        <v>119</v>
      </c>
      <c r="C280" s="270"/>
      <c r="D280" s="271"/>
      <c r="E280" s="270"/>
      <c r="F280" s="270"/>
      <c r="G280" s="272"/>
      <c r="H280" s="273" t="s">
        <v>35</v>
      </c>
      <c r="I280" s="274">
        <f t="shared" ref="I280:J280" ca="1" si="202">I293</f>
        <v>410</v>
      </c>
      <c r="J280" s="274">
        <f t="shared" ca="1" si="202"/>
        <v>402</v>
      </c>
      <c r="K280" s="275">
        <f t="shared" ref="K280:K281" ca="1" si="203">IF(I280&gt;0,J280*100/I280,0)</f>
        <v>98.048780487804876</v>
      </c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</row>
    <row r="281" spans="1:21" ht="19.5" x14ac:dyDescent="0.3">
      <c r="A281" s="268"/>
      <c r="B281" s="270"/>
      <c r="C281" s="270"/>
      <c r="D281" s="271"/>
      <c r="E281" s="270"/>
      <c r="F281" s="270"/>
      <c r="G281" s="272"/>
      <c r="H281" s="273" t="s">
        <v>46</v>
      </c>
      <c r="I281" s="274">
        <f t="shared" ref="I281:J281" ca="1" si="204">I292</f>
        <v>4100</v>
      </c>
      <c r="J281" s="274">
        <f t="shared" ca="1" si="204"/>
        <v>3900</v>
      </c>
      <c r="K281" s="275">
        <f t="shared" ca="1" si="203"/>
        <v>95.121951219512198</v>
      </c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</row>
    <row r="282" spans="1:21" ht="19.5" x14ac:dyDescent="0.3">
      <c r="A282" s="128"/>
      <c r="B282" s="40"/>
      <c r="C282" s="129" t="s">
        <v>18</v>
      </c>
      <c r="D282" s="130" t="s">
        <v>19</v>
      </c>
      <c r="E282" s="40"/>
      <c r="F282" s="40"/>
      <c r="G282" s="42"/>
      <c r="H282" s="131" t="s">
        <v>14</v>
      </c>
      <c r="I282" s="44"/>
      <c r="J282" s="44"/>
      <c r="K282" s="45"/>
      <c r="L282" s="132">
        <f t="shared" ref="L282:N282" ca="1" si="205">L283+L284</f>
        <v>2328140</v>
      </c>
      <c r="M282" s="132">
        <f t="shared" ca="1" si="205"/>
        <v>2328140</v>
      </c>
      <c r="N282" s="132">
        <f t="shared" ca="1" si="205"/>
        <v>1543411.64</v>
      </c>
      <c r="O282" s="132">
        <f t="shared" ref="O282:O290" ca="1" si="206">IF(L282&gt;0,N282*100/L282,0)</f>
        <v>66.293764120714386</v>
      </c>
      <c r="P282" s="132">
        <f t="shared" ref="P282:P290" ca="1" si="207">IF(M282&gt;0,N282*100/M282,0)</f>
        <v>66.293764120714386</v>
      </c>
      <c r="Q282" s="132">
        <f t="shared" ref="Q282:S282" ca="1" si="208">Q283+Q284</f>
        <v>0</v>
      </c>
      <c r="R282" s="132">
        <f t="shared" ca="1" si="208"/>
        <v>0</v>
      </c>
      <c r="S282" s="132">
        <f t="shared" ca="1" si="208"/>
        <v>0</v>
      </c>
      <c r="T282" s="132">
        <f t="shared" ref="T282:T290" ca="1" si="209">IF(Q282&gt;0,S282*100/Q282,0)</f>
        <v>0</v>
      </c>
      <c r="U282" s="132">
        <f t="shared" ref="U282:U290" ca="1" si="210">IF(R282&gt;0,S282*100/R282,0)</f>
        <v>0</v>
      </c>
    </row>
    <row r="283" spans="1:21" ht="18.75" x14ac:dyDescent="0.25">
      <c r="A283" s="128"/>
      <c r="B283" s="40"/>
      <c r="C283" s="40"/>
      <c r="D283" s="40"/>
      <c r="E283" s="47" t="s">
        <v>20</v>
      </c>
      <c r="F283" s="40"/>
      <c r="G283" s="42"/>
      <c r="H283" s="133" t="s">
        <v>14</v>
      </c>
      <c r="I283" s="44"/>
      <c r="J283" s="44"/>
      <c r="K283" s="45"/>
      <c r="L283" s="46">
        <f t="shared" ref="L283:N283" ca="1" si="211">L286+L289</f>
        <v>0</v>
      </c>
      <c r="M283" s="46">
        <f t="shared" ca="1" si="211"/>
        <v>0</v>
      </c>
      <c r="N283" s="46">
        <f t="shared" ca="1" si="211"/>
        <v>0</v>
      </c>
      <c r="O283" s="46">
        <f t="shared" ca="1" si="206"/>
        <v>0</v>
      </c>
      <c r="P283" s="46">
        <f t="shared" ca="1" si="207"/>
        <v>0</v>
      </c>
      <c r="Q283" s="48">
        <f t="shared" ref="Q283:S283" ca="1" si="212">Q286+Q289</f>
        <v>0</v>
      </c>
      <c r="R283" s="48">
        <f t="shared" ca="1" si="212"/>
        <v>0</v>
      </c>
      <c r="S283" s="48">
        <f t="shared" ca="1" si="212"/>
        <v>0</v>
      </c>
      <c r="T283" s="48">
        <f t="shared" ca="1" si="209"/>
        <v>0</v>
      </c>
      <c r="U283" s="48">
        <f t="shared" ca="1" si="210"/>
        <v>0</v>
      </c>
    </row>
    <row r="284" spans="1:21" ht="18.75" x14ac:dyDescent="0.25">
      <c r="A284" s="128"/>
      <c r="B284" s="40"/>
      <c r="C284" s="40"/>
      <c r="D284" s="40"/>
      <c r="E284" s="47" t="s">
        <v>21</v>
      </c>
      <c r="F284" s="40"/>
      <c r="G284" s="42"/>
      <c r="H284" s="133" t="s">
        <v>14</v>
      </c>
      <c r="I284" s="44"/>
      <c r="J284" s="44"/>
      <c r="K284" s="45"/>
      <c r="L284" s="46">
        <f t="shared" ref="L284:N284" ca="1" si="213">L287+L290</f>
        <v>2328140</v>
      </c>
      <c r="M284" s="46">
        <f t="shared" ca="1" si="213"/>
        <v>2328140</v>
      </c>
      <c r="N284" s="46">
        <f t="shared" ca="1" si="213"/>
        <v>1543411.64</v>
      </c>
      <c r="O284" s="46">
        <f t="shared" ca="1" si="206"/>
        <v>66.293764120714386</v>
      </c>
      <c r="P284" s="46">
        <f t="shared" ca="1" si="207"/>
        <v>66.293764120714386</v>
      </c>
      <c r="Q284" s="46">
        <f t="shared" ref="Q284:S284" ca="1" si="214">Q287+Q290</f>
        <v>0</v>
      </c>
      <c r="R284" s="46">
        <f t="shared" ca="1" si="214"/>
        <v>0</v>
      </c>
      <c r="S284" s="46">
        <f t="shared" ca="1" si="214"/>
        <v>0</v>
      </c>
      <c r="T284" s="46">
        <f t="shared" ca="1" si="209"/>
        <v>0</v>
      </c>
      <c r="U284" s="46">
        <f t="shared" ca="1" si="210"/>
        <v>0</v>
      </c>
    </row>
    <row r="285" spans="1:21" ht="18.75" x14ac:dyDescent="0.25">
      <c r="A285" s="128"/>
      <c r="B285" s="40"/>
      <c r="C285" s="40"/>
      <c r="D285" s="41" t="s">
        <v>22</v>
      </c>
      <c r="E285" s="40"/>
      <c r="F285" s="40"/>
      <c r="G285" s="42"/>
      <c r="H285" s="134" t="s">
        <v>14</v>
      </c>
      <c r="I285" s="135"/>
      <c r="J285" s="135"/>
      <c r="K285" s="136"/>
      <c r="L285" s="46">
        <f t="shared" ref="L285:N285" ca="1" si="215">L286+L287</f>
        <v>2328140</v>
      </c>
      <c r="M285" s="46">
        <f t="shared" ca="1" si="215"/>
        <v>2328140</v>
      </c>
      <c r="N285" s="46">
        <f t="shared" ca="1" si="215"/>
        <v>1543411.64</v>
      </c>
      <c r="O285" s="46">
        <f t="shared" ca="1" si="206"/>
        <v>66.293764120714386</v>
      </c>
      <c r="P285" s="46">
        <f t="shared" ca="1" si="207"/>
        <v>66.293764120714386</v>
      </c>
      <c r="Q285" s="46">
        <f t="shared" ref="Q285:S285" ca="1" si="216">Q286+Q287</f>
        <v>0</v>
      </c>
      <c r="R285" s="46">
        <f t="shared" ca="1" si="216"/>
        <v>0</v>
      </c>
      <c r="S285" s="46">
        <f t="shared" ca="1" si="216"/>
        <v>0</v>
      </c>
      <c r="T285" s="46">
        <f t="shared" ca="1" si="209"/>
        <v>0</v>
      </c>
      <c r="U285" s="46">
        <f t="shared" ca="1" si="210"/>
        <v>0</v>
      </c>
    </row>
    <row r="286" spans="1:21" ht="18.75" x14ac:dyDescent="0.25">
      <c r="A286" s="128"/>
      <c r="B286" s="40"/>
      <c r="C286" s="40"/>
      <c r="D286" s="40"/>
      <c r="E286" s="47" t="s">
        <v>36</v>
      </c>
      <c r="F286" s="40"/>
      <c r="G286" s="42"/>
      <c r="H286" s="134" t="s">
        <v>14</v>
      </c>
      <c r="I286" s="135"/>
      <c r="J286" s="135"/>
      <c r="K286" s="136"/>
      <c r="L286" s="46">
        <f ca="1">IFERROR(__xludf.DUMMYFUNCTION("IMPORTRANGE(""https://docs.google.com/spreadsheets/d/1jTcq05yEiRwXcBMLjiodW9e4biSGYWAHcDj22rKWQ3s/edit?usp=sharing"",""กำแพงเพชร!L286"")+IMPORTRANGE(""https://docs.google.com/spreadsheets/d/1KS0zmDSZPk8KnTAbGN-Xk6MtX1YRZD0ldgdt20K4CRk/edit?usp=sharing"","&amp;"""เชียงราย!L286"")+IMPORTRANGE(""https://docs.google.com/spreadsheets/d/1rEDxBtusbi64tE0zunoIbsTVV16HeL0oJ6trHQeQ7K8/edit?usp=sharing"",""เชียงใหม่!L286"")+IMPORTRANGE(""https://docs.google.com/spreadsheets/d/1W6MnUbDkMi6xHnHko_XkFDO9kkuL6Wqyc-6OCDFjW9I/e"&amp;"dit?usp=sharing"",""ตาก!L286"")+IMPORTRANGE(""https://docs.google.com/spreadsheets/d/1IQAWArduLkta9LpYo4a_ULsyqdta6-6aDDiwpUnQT6c/edit?usp=sharing"",""นครสวรรค์!L286"")+IMPORTRANGE(""https://docs.google.com/spreadsheets/d/10s13Sk5xrltsiR-Zkbmk5DwIaDIKO8Xl"&amp;"bJAfqyT7Gvg/edit?usp=sharing"",""น่าน!L286"")+IMPORTRANGE(""https://docs.google.com/spreadsheets/d/1uu4nAn4Dbi1XREnLKKotUANlKXa7yCgRcgq8HEzQYW8/edit?usp=sharing"",""พะเยา!L286"")+IMPORTRANGE(""https://docs.google.com/spreadsheets/d/1xfJKIQxVOaPDIICqsflNlL"&amp;"u3JacTDk1FP9RH4phX7mI/edit?usp=sharing"",""พิจิตร!L286"")+IMPORTRANGE(""https://docs.google.com/spreadsheets/d/1JtRfZkJMHtEhI5RdRHxYUG4FIZHqKDpNyIuN7A1Q0_k/edit?usp=sharing"",""พิษณุโลก!L286"")+IMPORTRANGE(""https://docs.google.com/spreadsheets/d/1xlcVZWU"&amp;"Nn6SuWm0c307h32SiGkd9BaeQWlAktfD3KO8/edit?usp=sharing"",""เพชรบูรณ์!L286"")+IMPORTRANGE(""https://docs.google.com/spreadsheets/d/1lOVebEIsI9qjGXl6EX66luk7wiuP2tBaryw-wKvv4e0/edit?usp=sharing"",""แพร่!L286"")+IMPORTRANGE(""https://docs.google.com/spreadshe"&amp;"ets/d/1dQrvX0vEcN7Gu0fnZ0B5S90AeR19zth4XlExFBeExMY/edit?usp=sharing"",""แม่ฮ่องสอน!L286"")+IMPORTRANGE(""https://docs.google.com/spreadsheets/d/1DY4XTNNwjluuxqdfdn6qvOSlMRrZqUtmYcZR0ttFiG4/edit?usp=sharing"",""ลำปาง!L286"")+IMPORTRANGE(""https://docs.goog"&amp;"le.com/spreadsheets/d/1ICwG78r0OFT8biBlxnBF8r7she7gNSzOvJ958PWT09c/edit?usp=sharing"",""ลำพูน!L286"")+IMPORTRANGE(""https://docs.google.com/spreadsheets/d/1B0f2xJpZUC6Z0xXnqKlZtEPzsf6L84eP1r1Q15seqRM/edit?usp=sharing"",""สุโขทัย!L286"")+IMPORTRANGE(""http"&amp;"s://docs.google.com/spreadsheets/d/1v0b9pFQCsKUVExMei7AgY2yQkdeNQvtOssygGsXbiKo/edit?usp=sharing"",""อุตรดิตถ์!L286"")+IMPORTRANGE(""https://docs.google.com/spreadsheets/d/1UsNK1e-WWiCo2PvGqdNfdme4m17_Ezd3J69EeeiQPD0/edit?usp=sharing"",""อุทัยธานี!L286"")"),0)</f>
        <v>0</v>
      </c>
      <c r="M286" s="46">
        <f ca="1">IFERROR(__xludf.DUMMYFUNCTION("IMPORTRANGE(""https://docs.google.com/spreadsheets/d/1jTcq05yEiRwXcBMLjiodW9e4biSGYWAHcDj22rKWQ3s/edit?usp=sharing"",""กำแพงเพชร!M286"")+IMPORTRANGE(""https://docs.google.com/spreadsheets/d/1KS0zmDSZPk8KnTAbGN-Xk6MtX1YRZD0ldgdt20K4CRk/edit?usp=sharing"","&amp;"""เชียงราย!M286"")+IMPORTRANGE(""https://docs.google.com/spreadsheets/d/1rEDxBtusbi64tE0zunoIbsTVV16HeL0oJ6trHQeQ7K8/edit?usp=sharing"",""เชียงใหม่!M286"")+IMPORTRANGE(""https://docs.google.com/spreadsheets/d/1W6MnUbDkMi6xHnHko_XkFDO9kkuL6Wqyc-6OCDFjW9I/e"&amp;"dit?usp=sharing"",""ตาก!M286"")+IMPORTRANGE(""https://docs.google.com/spreadsheets/d/1IQAWArduLkta9LpYo4a_ULsyqdta6-6aDDiwpUnQT6c/edit?usp=sharing"",""นครสวรรค์!M286"")+IMPORTRANGE(""https://docs.google.com/spreadsheets/d/10s13Sk5xrltsiR-Zkbmk5DwIaDIKO8Xl"&amp;"bJAfqyT7Gvg/edit?usp=sharing"",""น่าน!M286"")+IMPORTRANGE(""https://docs.google.com/spreadsheets/d/1uu4nAn4Dbi1XREnLKKotUANlKXa7yCgRcgq8HEzQYW8/edit?usp=sharing"",""พะเยา!M286"")+IMPORTRANGE(""https://docs.google.com/spreadsheets/d/1xfJKIQxVOaPDIICqsflNlL"&amp;"u3JacTDk1FP9RH4phX7mI/edit?usp=sharing"",""พิจิตร!M286"")+IMPORTRANGE(""https://docs.google.com/spreadsheets/d/1JtRfZkJMHtEhI5RdRHxYUG4FIZHqKDpNyIuN7A1Q0_k/edit?usp=sharing"",""พิษณุโลก!M286"")+IMPORTRANGE(""https://docs.google.com/spreadsheets/d/1xlcVZWU"&amp;"Nn6SuWm0c307h32SiGkd9BaeQWlAktfD3KO8/edit?usp=sharing"",""เพชรบูรณ์!M286"")+IMPORTRANGE(""https://docs.google.com/spreadsheets/d/1lOVebEIsI9qjGXl6EX66luk7wiuP2tBaryw-wKvv4e0/edit?usp=sharing"",""แพร่!M286"")+IMPORTRANGE(""https://docs.google.com/spreadshe"&amp;"ets/d/1dQrvX0vEcN7Gu0fnZ0B5S90AeR19zth4XlExFBeExMY/edit?usp=sharing"",""แม่ฮ่องสอน!M286"")+IMPORTRANGE(""https://docs.google.com/spreadsheets/d/1DY4XTNNwjluuxqdfdn6qvOSlMRrZqUtmYcZR0ttFiG4/edit?usp=sharing"",""ลำปาง!M286"")+IMPORTRANGE(""https://docs.goog"&amp;"le.com/spreadsheets/d/1ICwG78r0OFT8biBlxnBF8r7she7gNSzOvJ958PWT09c/edit?usp=sharing"",""ลำพูน!M286"")+IMPORTRANGE(""https://docs.google.com/spreadsheets/d/1B0f2xJpZUC6Z0xXnqKlZtEPzsf6L84eP1r1Q15seqRM/edit?usp=sharing"",""สุโขทัย!M286"")+IMPORTRANGE(""http"&amp;"s://docs.google.com/spreadsheets/d/1v0b9pFQCsKUVExMei7AgY2yQkdeNQvtOssygGsXbiKo/edit?usp=sharing"",""อุตรดิตถ์!M286"")+IMPORTRANGE(""https://docs.google.com/spreadsheets/d/1UsNK1e-WWiCo2PvGqdNfdme4m17_Ezd3J69EeeiQPD0/edit?usp=sharing"",""อุทัยธานี!M286"")"),0)</f>
        <v>0</v>
      </c>
      <c r="N286" s="46">
        <f ca="1">IFERROR(__xludf.DUMMYFUNCTION("IMPORTRANGE(""https://docs.google.com/spreadsheets/d/1jTcq05yEiRwXcBMLjiodW9e4biSGYWAHcDj22rKWQ3s/edit?usp=sharing"",""กำแพงเพชร!N286"")+IMPORTRANGE(""https://docs.google.com/spreadsheets/d/1KS0zmDSZPk8KnTAbGN-Xk6MtX1YRZD0ldgdt20K4CRk/edit?usp=sharing"","&amp;"""เชียงราย!N286"")+IMPORTRANGE(""https://docs.google.com/spreadsheets/d/1rEDxBtusbi64tE0zunoIbsTVV16HeL0oJ6trHQeQ7K8/edit?usp=sharing"",""เชียงใหม่!N286"")+IMPORTRANGE(""https://docs.google.com/spreadsheets/d/1W6MnUbDkMi6xHnHko_XkFDO9kkuL6Wqyc-6OCDFjW9I/e"&amp;"dit?usp=sharing"",""ตาก!N286"")+IMPORTRANGE(""https://docs.google.com/spreadsheets/d/1IQAWArduLkta9LpYo4a_ULsyqdta6-6aDDiwpUnQT6c/edit?usp=sharing"",""นครสวรรค์!N286"")+IMPORTRANGE(""https://docs.google.com/spreadsheets/d/10s13Sk5xrltsiR-Zkbmk5DwIaDIKO8Xl"&amp;"bJAfqyT7Gvg/edit?usp=sharing"",""น่าน!N286"")+IMPORTRANGE(""https://docs.google.com/spreadsheets/d/1uu4nAn4Dbi1XREnLKKotUANlKXa7yCgRcgq8HEzQYW8/edit?usp=sharing"",""พะเยา!N286"")+IMPORTRANGE(""https://docs.google.com/spreadsheets/d/1xfJKIQxVOaPDIICqsflNlL"&amp;"u3JacTDk1FP9RH4phX7mI/edit?usp=sharing"",""พิจิตร!N286"")+IMPORTRANGE(""https://docs.google.com/spreadsheets/d/1JtRfZkJMHtEhI5RdRHxYUG4FIZHqKDpNyIuN7A1Q0_k/edit?usp=sharing"",""พิษณุโลก!N286"")+IMPORTRANGE(""https://docs.google.com/spreadsheets/d/1xlcVZWU"&amp;"Nn6SuWm0c307h32SiGkd9BaeQWlAktfD3KO8/edit?usp=sharing"",""เพชรบูรณ์!N286"")+IMPORTRANGE(""https://docs.google.com/spreadsheets/d/1lOVebEIsI9qjGXl6EX66luk7wiuP2tBaryw-wKvv4e0/edit?usp=sharing"",""แพร่!N286"")+IMPORTRANGE(""https://docs.google.com/spreadshe"&amp;"ets/d/1dQrvX0vEcN7Gu0fnZ0B5S90AeR19zth4XlExFBeExMY/edit?usp=sharing"",""แม่ฮ่องสอน!N286"")+IMPORTRANGE(""https://docs.google.com/spreadsheets/d/1DY4XTNNwjluuxqdfdn6qvOSlMRrZqUtmYcZR0ttFiG4/edit?usp=sharing"",""ลำปาง!N286"")+IMPORTRANGE(""https://docs.goog"&amp;"le.com/spreadsheets/d/1ICwG78r0OFT8biBlxnBF8r7she7gNSzOvJ958PWT09c/edit?usp=sharing"",""ลำพูน!N286"")+IMPORTRANGE(""https://docs.google.com/spreadsheets/d/1B0f2xJpZUC6Z0xXnqKlZtEPzsf6L84eP1r1Q15seqRM/edit?usp=sharing"",""สุโขทัย!N286"")+IMPORTRANGE(""http"&amp;"s://docs.google.com/spreadsheets/d/1v0b9pFQCsKUVExMei7AgY2yQkdeNQvtOssygGsXbiKo/edit?usp=sharing"",""อุตรดิตถ์!N286"")+IMPORTRANGE(""https://docs.google.com/spreadsheets/d/1UsNK1e-WWiCo2PvGqdNfdme4m17_Ezd3J69EeeiQPD0/edit?usp=sharing"",""อุทัยธานี!N286"")"),0)</f>
        <v>0</v>
      </c>
      <c r="O286" s="46">
        <f t="shared" ca="1" si="206"/>
        <v>0</v>
      </c>
      <c r="P286" s="46">
        <f t="shared" ca="1" si="207"/>
        <v>0</v>
      </c>
      <c r="Q286" s="48">
        <f ca="1">IFERROR(__xludf.DUMMYFUNCTION("IMPORTRANGE(""https://docs.google.com/spreadsheets/d/1jTcq05yEiRwXcBMLjiodW9e4biSGYWAHcDj22rKWQ3s/edit?usp=sharing"",""กำแพงเพชร!Q286"")+IMPORTRANGE(""https://docs.google.com/spreadsheets/d/1KS0zmDSZPk8KnTAbGN-Xk6MtX1YRZD0ldgdt20K4CRk/edit?usp=sharing"","&amp;"""เชียงราย!Q286"")+IMPORTRANGE(""https://docs.google.com/spreadsheets/d/1rEDxBtusbi64tE0zunoIbsTVV16HeL0oJ6trHQeQ7K8/edit?usp=sharing"",""เชียงใหม่!Q286"")+IMPORTRANGE(""https://docs.google.com/spreadsheets/d/1W6MnUbDkMi6xHnHko_XkFDO9kkuL6Wqyc-6OCDFjW9I/e"&amp;"dit?usp=sharing"",""ตาก!Q286"")+IMPORTRANGE(""https://docs.google.com/spreadsheets/d/1IQAWArduLkta9LpYo4a_ULsyqdta6-6aDDiwpUnQT6c/edit?usp=sharing"",""นครสวรรค์!Q286"")+IMPORTRANGE(""https://docs.google.com/spreadsheets/d/10s13Sk5xrltsiR-Zkbmk5DwIaDIKO8Xl"&amp;"bJAfqyT7Gvg/edit?usp=sharing"",""น่าน!Q286"")+IMPORTRANGE(""https://docs.google.com/spreadsheets/d/1uu4nAn4Dbi1XREnLKKotUANlKXa7yCgRcgq8HEzQYW8/edit?usp=sharing"",""พะเยา!Q286"")+IMPORTRANGE(""https://docs.google.com/spreadsheets/d/1xfJKIQxVOaPDIICqsflNlL"&amp;"u3JacTDk1FP9RH4phX7mI/edit?usp=sharing"",""พิจิตร!Q286"")+IMPORTRANGE(""https://docs.google.com/spreadsheets/d/1JtRfZkJMHtEhI5RdRHxYUG4FIZHqKDpNyIuN7A1Q0_k/edit?usp=sharing"",""พิษณุโลก!Q286"")+IMPORTRANGE(""https://docs.google.com/spreadsheets/d/1xlcVZWU"&amp;"Nn6SuWm0c307h32SiGkd9BaeQWlAktfD3KO8/edit?usp=sharing"",""เพชรบูรณ์!Q286"")+IMPORTRANGE(""https://docs.google.com/spreadsheets/d/1lOVebEIsI9qjGXl6EX66luk7wiuP2tBaryw-wKvv4e0/edit?usp=sharing"",""แพร่!Q286"")+IMPORTRANGE(""https://docs.google.com/spreadshe"&amp;"ets/d/1dQrvX0vEcN7Gu0fnZ0B5S90AeR19zth4XlExFBeExMY/edit?usp=sharing"",""แม่ฮ่องสอน!Q286"")+IMPORTRANGE(""https://docs.google.com/spreadsheets/d/1DY4XTNNwjluuxqdfdn6qvOSlMRrZqUtmYcZR0ttFiG4/edit?usp=sharing"",""ลำปาง!Q286"")+IMPORTRANGE(""https://docs.goog"&amp;"le.com/spreadsheets/d/1ICwG78r0OFT8biBlxnBF8r7she7gNSzOvJ958PWT09c/edit?usp=sharing"",""ลำพูน!Q286"")+IMPORTRANGE(""https://docs.google.com/spreadsheets/d/1B0f2xJpZUC6Z0xXnqKlZtEPzsf6L84eP1r1Q15seqRM/edit?usp=sharing"",""สุโขทัย!Q286"")+IMPORTRANGE(""http"&amp;"s://docs.google.com/spreadsheets/d/1v0b9pFQCsKUVExMei7AgY2yQkdeNQvtOssygGsXbiKo/edit?usp=sharing"",""อุตรดิตถ์!Q286"")+IMPORTRANGE(""https://docs.google.com/spreadsheets/d/1UsNK1e-WWiCo2PvGqdNfdme4m17_Ezd3J69EeeiQPD0/edit?usp=sharing"",""อุทัยธานี!Q286"")"),0)</f>
        <v>0</v>
      </c>
      <c r="R286" s="48">
        <f ca="1">IFERROR(__xludf.DUMMYFUNCTION("IMPORTRANGE(""https://docs.google.com/spreadsheets/d/1jTcq05yEiRwXcBMLjiodW9e4biSGYWAHcDj22rKWQ3s/edit?usp=sharing"",""กำแพงเพชร!R286"")+IMPORTRANGE(""https://docs.google.com/spreadsheets/d/1KS0zmDSZPk8KnTAbGN-Xk6MtX1YRZD0ldgdt20K4CRk/edit?usp=sharing"","&amp;"""เชียงราย!R286"")+IMPORTRANGE(""https://docs.google.com/spreadsheets/d/1rEDxBtusbi64tE0zunoIbsTVV16HeL0oJ6trHQeQ7K8/edit?usp=sharing"",""เชียงใหม่!R286"")+IMPORTRANGE(""https://docs.google.com/spreadsheets/d/1W6MnUbDkMi6xHnHko_XkFDO9kkuL6Wqyc-6OCDFjW9I/e"&amp;"dit?usp=sharing"",""ตาก!R286"")+IMPORTRANGE(""https://docs.google.com/spreadsheets/d/1IQAWArduLkta9LpYo4a_ULsyqdta6-6aDDiwpUnQT6c/edit?usp=sharing"",""นครสวรรค์!R286"")+IMPORTRANGE(""https://docs.google.com/spreadsheets/d/10s13Sk5xrltsiR-Zkbmk5DwIaDIKO8Xl"&amp;"bJAfqyT7Gvg/edit?usp=sharing"",""น่าน!R286"")+IMPORTRANGE(""https://docs.google.com/spreadsheets/d/1uu4nAn4Dbi1XREnLKKotUANlKXa7yCgRcgq8HEzQYW8/edit?usp=sharing"",""พะเยา!R286"")+IMPORTRANGE(""https://docs.google.com/spreadsheets/d/1xfJKIQxVOaPDIICqsflNlL"&amp;"u3JacTDk1FP9RH4phX7mI/edit?usp=sharing"",""พิจิตร!R286"")+IMPORTRANGE(""https://docs.google.com/spreadsheets/d/1JtRfZkJMHtEhI5RdRHxYUG4FIZHqKDpNyIuN7A1Q0_k/edit?usp=sharing"",""พิษณุโลก!R286"")+IMPORTRANGE(""https://docs.google.com/spreadsheets/d/1xlcVZWU"&amp;"Nn6SuWm0c307h32SiGkd9BaeQWlAktfD3KO8/edit?usp=sharing"",""เพชรบูรณ์!R286"")+IMPORTRANGE(""https://docs.google.com/spreadsheets/d/1lOVebEIsI9qjGXl6EX66luk7wiuP2tBaryw-wKvv4e0/edit?usp=sharing"",""แพร่!R286"")+IMPORTRANGE(""https://docs.google.com/spreadshe"&amp;"ets/d/1dQrvX0vEcN7Gu0fnZ0B5S90AeR19zth4XlExFBeExMY/edit?usp=sharing"",""แม่ฮ่องสอน!R286"")+IMPORTRANGE(""https://docs.google.com/spreadsheets/d/1DY4XTNNwjluuxqdfdn6qvOSlMRrZqUtmYcZR0ttFiG4/edit?usp=sharing"",""ลำปาง!R286"")+IMPORTRANGE(""https://docs.goog"&amp;"le.com/spreadsheets/d/1ICwG78r0OFT8biBlxnBF8r7she7gNSzOvJ958PWT09c/edit?usp=sharing"",""ลำพูน!R286"")+IMPORTRANGE(""https://docs.google.com/spreadsheets/d/1B0f2xJpZUC6Z0xXnqKlZtEPzsf6L84eP1r1Q15seqRM/edit?usp=sharing"",""สุโขทัย!R286"")+IMPORTRANGE(""http"&amp;"s://docs.google.com/spreadsheets/d/1v0b9pFQCsKUVExMei7AgY2yQkdeNQvtOssygGsXbiKo/edit?usp=sharing"",""อุตรดิตถ์!R286"")+IMPORTRANGE(""https://docs.google.com/spreadsheets/d/1UsNK1e-WWiCo2PvGqdNfdme4m17_Ezd3J69EeeiQPD0/edit?usp=sharing"",""อุทัยธานี!R286"")"),0)</f>
        <v>0</v>
      </c>
      <c r="S286" s="48">
        <f ca="1">IFERROR(__xludf.DUMMYFUNCTION("IMPORTRANGE(""https://docs.google.com/spreadsheets/d/1jTcq05yEiRwXcBMLjiodW9e4biSGYWAHcDj22rKWQ3s/edit?usp=sharing"",""กำแพงเพชร!S286"")+IMPORTRANGE(""https://docs.google.com/spreadsheets/d/1KS0zmDSZPk8KnTAbGN-Xk6MtX1YRZD0ldgdt20K4CRk/edit?usp=sharing"","&amp;"""เชียงราย!S286"")+IMPORTRANGE(""https://docs.google.com/spreadsheets/d/1rEDxBtusbi64tE0zunoIbsTVV16HeL0oJ6trHQeQ7K8/edit?usp=sharing"",""เชียงใหม่!S286"")+IMPORTRANGE(""https://docs.google.com/spreadsheets/d/1W6MnUbDkMi6xHnHko_XkFDO9kkuL6Wqyc-6OCDFjW9I/e"&amp;"dit?usp=sharing"",""ตาก!S286"")+IMPORTRANGE(""https://docs.google.com/spreadsheets/d/1IQAWArduLkta9LpYo4a_ULsyqdta6-6aDDiwpUnQT6c/edit?usp=sharing"",""นครสวรรค์!S286"")+IMPORTRANGE(""https://docs.google.com/spreadsheets/d/10s13Sk5xrltsiR-Zkbmk5DwIaDIKO8Xl"&amp;"bJAfqyT7Gvg/edit?usp=sharing"",""น่าน!S286"")+IMPORTRANGE(""https://docs.google.com/spreadsheets/d/1uu4nAn4Dbi1XREnLKKotUANlKXa7yCgRcgq8HEzQYW8/edit?usp=sharing"",""พะเยา!S286"")+IMPORTRANGE(""https://docs.google.com/spreadsheets/d/1xfJKIQxVOaPDIICqsflNlL"&amp;"u3JacTDk1FP9RH4phX7mI/edit?usp=sharing"",""พิจิตร!S286"")+IMPORTRANGE(""https://docs.google.com/spreadsheets/d/1JtRfZkJMHtEhI5RdRHxYUG4FIZHqKDpNyIuN7A1Q0_k/edit?usp=sharing"",""พิษณุโลก!S286"")+IMPORTRANGE(""https://docs.google.com/spreadsheets/d/1xlcVZWU"&amp;"Nn6SuWm0c307h32SiGkd9BaeQWlAktfD3KO8/edit?usp=sharing"",""เพชรบูรณ์!S286"")+IMPORTRANGE(""https://docs.google.com/spreadsheets/d/1lOVebEIsI9qjGXl6EX66luk7wiuP2tBaryw-wKvv4e0/edit?usp=sharing"",""แพร่!S286"")+IMPORTRANGE(""https://docs.google.com/spreadshe"&amp;"ets/d/1dQrvX0vEcN7Gu0fnZ0B5S90AeR19zth4XlExFBeExMY/edit?usp=sharing"",""แม่ฮ่องสอน!S286"")+IMPORTRANGE(""https://docs.google.com/spreadsheets/d/1DY4XTNNwjluuxqdfdn6qvOSlMRrZqUtmYcZR0ttFiG4/edit?usp=sharing"",""ลำปาง!S286"")+IMPORTRANGE(""https://docs.goog"&amp;"le.com/spreadsheets/d/1ICwG78r0OFT8biBlxnBF8r7she7gNSzOvJ958PWT09c/edit?usp=sharing"",""ลำพูน!S286"")+IMPORTRANGE(""https://docs.google.com/spreadsheets/d/1B0f2xJpZUC6Z0xXnqKlZtEPzsf6L84eP1r1Q15seqRM/edit?usp=sharing"",""สุโขทัย!S286"")+IMPORTRANGE(""http"&amp;"s://docs.google.com/spreadsheets/d/1v0b9pFQCsKUVExMei7AgY2yQkdeNQvtOssygGsXbiKo/edit?usp=sharing"",""อุตรดิตถ์!S286"")+IMPORTRANGE(""https://docs.google.com/spreadsheets/d/1UsNK1e-WWiCo2PvGqdNfdme4m17_Ezd3J69EeeiQPD0/edit?usp=sharing"",""อุทัยธานี!S286"")"),0)</f>
        <v>0</v>
      </c>
      <c r="T286" s="48">
        <f t="shared" ca="1" si="209"/>
        <v>0</v>
      </c>
      <c r="U286" s="48">
        <f t="shared" ca="1" si="210"/>
        <v>0</v>
      </c>
    </row>
    <row r="287" spans="1:21" ht="18.75" x14ac:dyDescent="0.25">
      <c r="A287" s="128"/>
      <c r="B287" s="40"/>
      <c r="C287" s="40"/>
      <c r="D287" s="40"/>
      <c r="E287" s="47" t="s">
        <v>37</v>
      </c>
      <c r="F287" s="40"/>
      <c r="G287" s="42"/>
      <c r="H287" s="134" t="s">
        <v>14</v>
      </c>
      <c r="I287" s="135"/>
      <c r="J287" s="135"/>
      <c r="K287" s="136"/>
      <c r="L287" s="46">
        <f ca="1">IFERROR(__xludf.DUMMYFUNCTION("IMPORTRANGE(""https://docs.google.com/spreadsheets/d/1jTcq05yEiRwXcBMLjiodW9e4biSGYWAHcDj22rKWQ3s/edit?usp=sharing"",""กำแพงเพชร!L287"")+IMPORTRANGE(""https://docs.google.com/spreadsheets/d/1KS0zmDSZPk8KnTAbGN-Xk6MtX1YRZD0ldgdt20K4CRk/edit?usp=sharing"","&amp;"""เชียงราย!L287"")+IMPORTRANGE(""https://docs.google.com/spreadsheets/d/1rEDxBtusbi64tE0zunoIbsTVV16HeL0oJ6trHQeQ7K8/edit?usp=sharing"",""เชียงใหม่!L287"")+IMPORTRANGE(""https://docs.google.com/spreadsheets/d/1W6MnUbDkMi6xHnHko_XkFDO9kkuL6Wqyc-6OCDFjW9I/e"&amp;"dit?usp=sharing"",""ตาก!L287"")+IMPORTRANGE(""https://docs.google.com/spreadsheets/d/1IQAWArduLkta9LpYo4a_ULsyqdta6-6aDDiwpUnQT6c/edit?usp=sharing"",""นครสวรรค์!L287"")+IMPORTRANGE(""https://docs.google.com/spreadsheets/d/10s13Sk5xrltsiR-Zkbmk5DwIaDIKO8Xl"&amp;"bJAfqyT7Gvg/edit?usp=sharing"",""น่าน!L287"")+IMPORTRANGE(""https://docs.google.com/spreadsheets/d/1uu4nAn4Dbi1XREnLKKotUANlKXa7yCgRcgq8HEzQYW8/edit?usp=sharing"",""พะเยา!L287"")+IMPORTRANGE(""https://docs.google.com/spreadsheets/d/1xfJKIQxVOaPDIICqsflNlL"&amp;"u3JacTDk1FP9RH4phX7mI/edit?usp=sharing"",""พิจิตร!L287"")+IMPORTRANGE(""https://docs.google.com/spreadsheets/d/1JtRfZkJMHtEhI5RdRHxYUG4FIZHqKDpNyIuN7A1Q0_k/edit?usp=sharing"",""พิษณุโลก!L287"")+IMPORTRANGE(""https://docs.google.com/spreadsheets/d/1xlcVZWU"&amp;"Nn6SuWm0c307h32SiGkd9BaeQWlAktfD3KO8/edit?usp=sharing"",""เพชรบูรณ์!L287"")+IMPORTRANGE(""https://docs.google.com/spreadsheets/d/1lOVebEIsI9qjGXl6EX66luk7wiuP2tBaryw-wKvv4e0/edit?usp=sharing"",""แพร่!L287"")+IMPORTRANGE(""https://docs.google.com/spreadshe"&amp;"ets/d/1dQrvX0vEcN7Gu0fnZ0B5S90AeR19zth4XlExFBeExMY/edit?usp=sharing"",""แม่ฮ่องสอน!L287"")+IMPORTRANGE(""https://docs.google.com/spreadsheets/d/1DY4XTNNwjluuxqdfdn6qvOSlMRrZqUtmYcZR0ttFiG4/edit?usp=sharing"",""ลำปาง!L287"")+IMPORTRANGE(""https://docs.goog"&amp;"le.com/spreadsheets/d/1ICwG78r0OFT8biBlxnBF8r7she7gNSzOvJ958PWT09c/edit?usp=sharing"",""ลำพูน!L287"")+IMPORTRANGE(""https://docs.google.com/spreadsheets/d/1B0f2xJpZUC6Z0xXnqKlZtEPzsf6L84eP1r1Q15seqRM/edit?usp=sharing"",""สุโขทัย!L287"")+IMPORTRANGE(""http"&amp;"s://docs.google.com/spreadsheets/d/1v0b9pFQCsKUVExMei7AgY2yQkdeNQvtOssygGsXbiKo/edit?usp=sharing"",""อุตรดิตถ์!L287"")+IMPORTRANGE(""https://docs.google.com/spreadsheets/d/1UsNK1e-WWiCo2PvGqdNfdme4m17_Ezd3J69EeeiQPD0/edit?usp=sharing"",""อุทัยธานี!L287"")"),2328140)</f>
        <v>2328140</v>
      </c>
      <c r="M287" s="46">
        <f ca="1">IFERROR(__xludf.DUMMYFUNCTION("IMPORTRANGE(""https://docs.google.com/spreadsheets/d/1jTcq05yEiRwXcBMLjiodW9e4biSGYWAHcDj22rKWQ3s/edit?usp=sharing"",""กำแพงเพชร!M287"")+IMPORTRANGE(""https://docs.google.com/spreadsheets/d/1KS0zmDSZPk8KnTAbGN-Xk6MtX1YRZD0ldgdt20K4CRk/edit?usp=sharing"","&amp;"""เชียงราย!M287"")+IMPORTRANGE(""https://docs.google.com/spreadsheets/d/1rEDxBtusbi64tE0zunoIbsTVV16HeL0oJ6trHQeQ7K8/edit?usp=sharing"",""เชียงใหม่!M287"")+IMPORTRANGE(""https://docs.google.com/spreadsheets/d/1W6MnUbDkMi6xHnHko_XkFDO9kkuL6Wqyc-6OCDFjW9I/e"&amp;"dit?usp=sharing"",""ตาก!M287"")+IMPORTRANGE(""https://docs.google.com/spreadsheets/d/1IQAWArduLkta9LpYo4a_ULsyqdta6-6aDDiwpUnQT6c/edit?usp=sharing"",""นครสวรรค์!M287"")+IMPORTRANGE(""https://docs.google.com/spreadsheets/d/10s13Sk5xrltsiR-Zkbmk5DwIaDIKO8Xl"&amp;"bJAfqyT7Gvg/edit?usp=sharing"",""น่าน!M287"")+IMPORTRANGE(""https://docs.google.com/spreadsheets/d/1uu4nAn4Dbi1XREnLKKotUANlKXa7yCgRcgq8HEzQYW8/edit?usp=sharing"",""พะเยา!M287"")+IMPORTRANGE(""https://docs.google.com/spreadsheets/d/1xfJKIQxVOaPDIICqsflNlL"&amp;"u3JacTDk1FP9RH4phX7mI/edit?usp=sharing"",""พิจิตร!M287"")+IMPORTRANGE(""https://docs.google.com/spreadsheets/d/1JtRfZkJMHtEhI5RdRHxYUG4FIZHqKDpNyIuN7A1Q0_k/edit?usp=sharing"",""พิษณุโลก!M287"")+IMPORTRANGE(""https://docs.google.com/spreadsheets/d/1xlcVZWU"&amp;"Nn6SuWm0c307h32SiGkd9BaeQWlAktfD3KO8/edit?usp=sharing"",""เพชรบูรณ์!M287"")+IMPORTRANGE(""https://docs.google.com/spreadsheets/d/1lOVebEIsI9qjGXl6EX66luk7wiuP2tBaryw-wKvv4e0/edit?usp=sharing"",""แพร่!M287"")+IMPORTRANGE(""https://docs.google.com/spreadshe"&amp;"ets/d/1dQrvX0vEcN7Gu0fnZ0B5S90AeR19zth4XlExFBeExMY/edit?usp=sharing"",""แม่ฮ่องสอน!M287"")+IMPORTRANGE(""https://docs.google.com/spreadsheets/d/1DY4XTNNwjluuxqdfdn6qvOSlMRrZqUtmYcZR0ttFiG4/edit?usp=sharing"",""ลำปาง!M287"")+IMPORTRANGE(""https://docs.goog"&amp;"le.com/spreadsheets/d/1ICwG78r0OFT8biBlxnBF8r7she7gNSzOvJ958PWT09c/edit?usp=sharing"",""ลำพูน!M287"")+IMPORTRANGE(""https://docs.google.com/spreadsheets/d/1B0f2xJpZUC6Z0xXnqKlZtEPzsf6L84eP1r1Q15seqRM/edit?usp=sharing"",""สุโขทัย!M287"")+IMPORTRANGE(""http"&amp;"s://docs.google.com/spreadsheets/d/1v0b9pFQCsKUVExMei7AgY2yQkdeNQvtOssygGsXbiKo/edit?usp=sharing"",""อุตรดิตถ์!M287"")+IMPORTRANGE(""https://docs.google.com/spreadsheets/d/1UsNK1e-WWiCo2PvGqdNfdme4m17_Ezd3J69EeeiQPD0/edit?usp=sharing"",""อุทัยธานี!M287"")"),2328140)</f>
        <v>2328140</v>
      </c>
      <c r="N287" s="46">
        <f ca="1">IFERROR(__xludf.DUMMYFUNCTION("IMPORTRANGE(""https://docs.google.com/spreadsheets/d/1jTcq05yEiRwXcBMLjiodW9e4biSGYWAHcDj22rKWQ3s/edit?usp=sharing"",""กำแพงเพชร!N287"")+IMPORTRANGE(""https://docs.google.com/spreadsheets/d/1KS0zmDSZPk8KnTAbGN-Xk6MtX1YRZD0ldgdt20K4CRk/edit?usp=sharing"","&amp;"""เชียงราย!N287"")+IMPORTRANGE(""https://docs.google.com/spreadsheets/d/1rEDxBtusbi64tE0zunoIbsTVV16HeL0oJ6trHQeQ7K8/edit?usp=sharing"",""เชียงใหม่!N287"")+IMPORTRANGE(""https://docs.google.com/spreadsheets/d/1W6MnUbDkMi6xHnHko_XkFDO9kkuL6Wqyc-6OCDFjW9I/e"&amp;"dit?usp=sharing"",""ตาก!N287"")+IMPORTRANGE(""https://docs.google.com/spreadsheets/d/1IQAWArduLkta9LpYo4a_ULsyqdta6-6aDDiwpUnQT6c/edit?usp=sharing"",""นครสวรรค์!N287"")+IMPORTRANGE(""https://docs.google.com/spreadsheets/d/10s13Sk5xrltsiR-Zkbmk5DwIaDIKO8Xl"&amp;"bJAfqyT7Gvg/edit?usp=sharing"",""น่าน!N287"")+IMPORTRANGE(""https://docs.google.com/spreadsheets/d/1uu4nAn4Dbi1XREnLKKotUANlKXa7yCgRcgq8HEzQYW8/edit?usp=sharing"",""พะเยา!N287"")+IMPORTRANGE(""https://docs.google.com/spreadsheets/d/1xfJKIQxVOaPDIICqsflNlL"&amp;"u3JacTDk1FP9RH4phX7mI/edit?usp=sharing"",""พิจิตร!N287"")+IMPORTRANGE(""https://docs.google.com/spreadsheets/d/1JtRfZkJMHtEhI5RdRHxYUG4FIZHqKDpNyIuN7A1Q0_k/edit?usp=sharing"",""พิษณุโลก!N287"")+IMPORTRANGE(""https://docs.google.com/spreadsheets/d/1xlcVZWU"&amp;"Nn6SuWm0c307h32SiGkd9BaeQWlAktfD3KO8/edit?usp=sharing"",""เพชรบูรณ์!N287"")+IMPORTRANGE(""https://docs.google.com/spreadsheets/d/1lOVebEIsI9qjGXl6EX66luk7wiuP2tBaryw-wKvv4e0/edit?usp=sharing"",""แพร่!N287"")+IMPORTRANGE(""https://docs.google.com/spreadshe"&amp;"ets/d/1dQrvX0vEcN7Gu0fnZ0B5S90AeR19zth4XlExFBeExMY/edit?usp=sharing"",""แม่ฮ่องสอน!N287"")+IMPORTRANGE(""https://docs.google.com/spreadsheets/d/1DY4XTNNwjluuxqdfdn6qvOSlMRrZqUtmYcZR0ttFiG4/edit?usp=sharing"",""ลำปาง!N287"")+IMPORTRANGE(""https://docs.goog"&amp;"le.com/spreadsheets/d/1ICwG78r0OFT8biBlxnBF8r7she7gNSzOvJ958PWT09c/edit?usp=sharing"",""ลำพูน!N287"")+IMPORTRANGE(""https://docs.google.com/spreadsheets/d/1B0f2xJpZUC6Z0xXnqKlZtEPzsf6L84eP1r1Q15seqRM/edit?usp=sharing"",""สุโขทัย!N287"")+IMPORTRANGE(""http"&amp;"s://docs.google.com/spreadsheets/d/1v0b9pFQCsKUVExMei7AgY2yQkdeNQvtOssygGsXbiKo/edit?usp=sharing"",""อุตรดิตถ์!N287"")+IMPORTRANGE(""https://docs.google.com/spreadsheets/d/1UsNK1e-WWiCo2PvGqdNfdme4m17_Ezd3J69EeeiQPD0/edit?usp=sharing"",""อุทัยธานี!N287"")"),1543411.64)</f>
        <v>1543411.64</v>
      </c>
      <c r="O287" s="46">
        <f t="shared" ca="1" si="206"/>
        <v>66.293764120714386</v>
      </c>
      <c r="P287" s="46">
        <f t="shared" ca="1" si="207"/>
        <v>66.293764120714386</v>
      </c>
      <c r="Q287" s="46">
        <f ca="1">IFERROR(__xludf.DUMMYFUNCTION("IMPORTRANGE(""https://docs.google.com/spreadsheets/d/1jTcq05yEiRwXcBMLjiodW9e4biSGYWAHcDj22rKWQ3s/edit?usp=sharing"",""กำแพงเพชร!Q287"")+IMPORTRANGE(""https://docs.google.com/spreadsheets/d/1KS0zmDSZPk8KnTAbGN-Xk6MtX1YRZD0ldgdt20K4CRk/edit?usp=sharing"","&amp;"""เชียงราย!Q287"")+IMPORTRANGE(""https://docs.google.com/spreadsheets/d/1rEDxBtusbi64tE0zunoIbsTVV16HeL0oJ6trHQeQ7K8/edit?usp=sharing"",""เชียงใหม่!Q287"")+IMPORTRANGE(""https://docs.google.com/spreadsheets/d/1W6MnUbDkMi6xHnHko_XkFDO9kkuL6Wqyc-6OCDFjW9I/e"&amp;"dit?usp=sharing"",""ตาก!Q287"")+IMPORTRANGE(""https://docs.google.com/spreadsheets/d/1IQAWArduLkta9LpYo4a_ULsyqdta6-6aDDiwpUnQT6c/edit?usp=sharing"",""นครสวรรค์!Q287"")+IMPORTRANGE(""https://docs.google.com/spreadsheets/d/10s13Sk5xrltsiR-Zkbmk5DwIaDIKO8Xl"&amp;"bJAfqyT7Gvg/edit?usp=sharing"",""น่าน!Q287"")+IMPORTRANGE(""https://docs.google.com/spreadsheets/d/1uu4nAn4Dbi1XREnLKKotUANlKXa7yCgRcgq8HEzQYW8/edit?usp=sharing"",""พะเยา!Q287"")+IMPORTRANGE(""https://docs.google.com/spreadsheets/d/1xfJKIQxVOaPDIICqsflNlL"&amp;"u3JacTDk1FP9RH4phX7mI/edit?usp=sharing"",""พิจิตร!Q287"")+IMPORTRANGE(""https://docs.google.com/spreadsheets/d/1JtRfZkJMHtEhI5RdRHxYUG4FIZHqKDpNyIuN7A1Q0_k/edit?usp=sharing"",""พิษณุโลก!Q287"")+IMPORTRANGE(""https://docs.google.com/spreadsheets/d/1xlcVZWU"&amp;"Nn6SuWm0c307h32SiGkd9BaeQWlAktfD3KO8/edit?usp=sharing"",""เพชรบูรณ์!Q287"")+IMPORTRANGE(""https://docs.google.com/spreadsheets/d/1lOVebEIsI9qjGXl6EX66luk7wiuP2tBaryw-wKvv4e0/edit?usp=sharing"",""แพร่!Q287"")+IMPORTRANGE(""https://docs.google.com/spreadshe"&amp;"ets/d/1dQrvX0vEcN7Gu0fnZ0B5S90AeR19zth4XlExFBeExMY/edit?usp=sharing"",""แม่ฮ่องสอน!Q287"")+IMPORTRANGE(""https://docs.google.com/spreadsheets/d/1DY4XTNNwjluuxqdfdn6qvOSlMRrZqUtmYcZR0ttFiG4/edit?usp=sharing"",""ลำปาง!Q287"")+IMPORTRANGE(""https://docs.goog"&amp;"le.com/spreadsheets/d/1ICwG78r0OFT8biBlxnBF8r7she7gNSzOvJ958PWT09c/edit?usp=sharing"",""ลำพูน!Q287"")+IMPORTRANGE(""https://docs.google.com/spreadsheets/d/1B0f2xJpZUC6Z0xXnqKlZtEPzsf6L84eP1r1Q15seqRM/edit?usp=sharing"",""สุโขทัย!Q287"")+IMPORTRANGE(""http"&amp;"s://docs.google.com/spreadsheets/d/1v0b9pFQCsKUVExMei7AgY2yQkdeNQvtOssygGsXbiKo/edit?usp=sharing"",""อุตรดิตถ์!Q287"")+IMPORTRANGE(""https://docs.google.com/spreadsheets/d/1UsNK1e-WWiCo2PvGqdNfdme4m17_Ezd3J69EeeiQPD0/edit?usp=sharing"",""อุทัยธานี!Q287"")"),0)</f>
        <v>0</v>
      </c>
      <c r="R287" s="46">
        <f ca="1">IFERROR(__xludf.DUMMYFUNCTION("IMPORTRANGE(""https://docs.google.com/spreadsheets/d/1jTcq05yEiRwXcBMLjiodW9e4biSGYWAHcDj22rKWQ3s/edit?usp=sharing"",""กำแพงเพชร!R287"")+IMPORTRANGE(""https://docs.google.com/spreadsheets/d/1KS0zmDSZPk8KnTAbGN-Xk6MtX1YRZD0ldgdt20K4CRk/edit?usp=sharing"","&amp;"""เชียงราย!R287"")+IMPORTRANGE(""https://docs.google.com/spreadsheets/d/1rEDxBtusbi64tE0zunoIbsTVV16HeL0oJ6trHQeQ7K8/edit?usp=sharing"",""เชียงใหม่!R287"")+IMPORTRANGE(""https://docs.google.com/spreadsheets/d/1W6MnUbDkMi6xHnHko_XkFDO9kkuL6Wqyc-6OCDFjW9I/e"&amp;"dit?usp=sharing"",""ตาก!R287"")+IMPORTRANGE(""https://docs.google.com/spreadsheets/d/1IQAWArduLkta9LpYo4a_ULsyqdta6-6aDDiwpUnQT6c/edit?usp=sharing"",""นครสวรรค์!R287"")+IMPORTRANGE(""https://docs.google.com/spreadsheets/d/10s13Sk5xrltsiR-Zkbmk5DwIaDIKO8Xl"&amp;"bJAfqyT7Gvg/edit?usp=sharing"",""น่าน!R287"")+IMPORTRANGE(""https://docs.google.com/spreadsheets/d/1uu4nAn4Dbi1XREnLKKotUANlKXa7yCgRcgq8HEzQYW8/edit?usp=sharing"",""พะเยา!R287"")+IMPORTRANGE(""https://docs.google.com/spreadsheets/d/1xfJKIQxVOaPDIICqsflNlL"&amp;"u3JacTDk1FP9RH4phX7mI/edit?usp=sharing"",""พิจิตร!R287"")+IMPORTRANGE(""https://docs.google.com/spreadsheets/d/1JtRfZkJMHtEhI5RdRHxYUG4FIZHqKDpNyIuN7A1Q0_k/edit?usp=sharing"",""พิษณุโลก!R287"")+IMPORTRANGE(""https://docs.google.com/spreadsheets/d/1xlcVZWU"&amp;"Nn6SuWm0c307h32SiGkd9BaeQWlAktfD3KO8/edit?usp=sharing"",""เพชรบูรณ์!R287"")+IMPORTRANGE(""https://docs.google.com/spreadsheets/d/1lOVebEIsI9qjGXl6EX66luk7wiuP2tBaryw-wKvv4e0/edit?usp=sharing"",""แพร่!R287"")+IMPORTRANGE(""https://docs.google.com/spreadshe"&amp;"ets/d/1dQrvX0vEcN7Gu0fnZ0B5S90AeR19zth4XlExFBeExMY/edit?usp=sharing"",""แม่ฮ่องสอน!R287"")+IMPORTRANGE(""https://docs.google.com/spreadsheets/d/1DY4XTNNwjluuxqdfdn6qvOSlMRrZqUtmYcZR0ttFiG4/edit?usp=sharing"",""ลำปาง!R287"")+IMPORTRANGE(""https://docs.goog"&amp;"le.com/spreadsheets/d/1ICwG78r0OFT8biBlxnBF8r7she7gNSzOvJ958PWT09c/edit?usp=sharing"",""ลำพูน!R287"")+IMPORTRANGE(""https://docs.google.com/spreadsheets/d/1B0f2xJpZUC6Z0xXnqKlZtEPzsf6L84eP1r1Q15seqRM/edit?usp=sharing"",""สุโขทัย!R287"")+IMPORTRANGE(""http"&amp;"s://docs.google.com/spreadsheets/d/1v0b9pFQCsKUVExMei7AgY2yQkdeNQvtOssygGsXbiKo/edit?usp=sharing"",""อุตรดิตถ์!R287"")+IMPORTRANGE(""https://docs.google.com/spreadsheets/d/1UsNK1e-WWiCo2PvGqdNfdme4m17_Ezd3J69EeeiQPD0/edit?usp=sharing"",""อุทัยธานี!R287"")"),0)</f>
        <v>0</v>
      </c>
      <c r="S287" s="46">
        <f ca="1">IFERROR(__xludf.DUMMYFUNCTION("IMPORTRANGE(""https://docs.google.com/spreadsheets/d/1jTcq05yEiRwXcBMLjiodW9e4biSGYWAHcDj22rKWQ3s/edit?usp=sharing"",""กำแพงเพชร!S287"")+IMPORTRANGE(""https://docs.google.com/spreadsheets/d/1KS0zmDSZPk8KnTAbGN-Xk6MtX1YRZD0ldgdt20K4CRk/edit?usp=sharing"","&amp;"""เชียงราย!S287"")+IMPORTRANGE(""https://docs.google.com/spreadsheets/d/1rEDxBtusbi64tE0zunoIbsTVV16HeL0oJ6trHQeQ7K8/edit?usp=sharing"",""เชียงใหม่!S287"")+IMPORTRANGE(""https://docs.google.com/spreadsheets/d/1W6MnUbDkMi6xHnHko_XkFDO9kkuL6Wqyc-6OCDFjW9I/e"&amp;"dit?usp=sharing"",""ตาก!S287"")+IMPORTRANGE(""https://docs.google.com/spreadsheets/d/1IQAWArduLkta9LpYo4a_ULsyqdta6-6aDDiwpUnQT6c/edit?usp=sharing"",""นครสวรรค์!S287"")+IMPORTRANGE(""https://docs.google.com/spreadsheets/d/10s13Sk5xrltsiR-Zkbmk5DwIaDIKO8Xl"&amp;"bJAfqyT7Gvg/edit?usp=sharing"",""น่าน!S287"")+IMPORTRANGE(""https://docs.google.com/spreadsheets/d/1uu4nAn4Dbi1XREnLKKotUANlKXa7yCgRcgq8HEzQYW8/edit?usp=sharing"",""พะเยา!S287"")+IMPORTRANGE(""https://docs.google.com/spreadsheets/d/1xfJKIQxVOaPDIICqsflNlL"&amp;"u3JacTDk1FP9RH4phX7mI/edit?usp=sharing"",""พิจิตร!S287"")+IMPORTRANGE(""https://docs.google.com/spreadsheets/d/1JtRfZkJMHtEhI5RdRHxYUG4FIZHqKDpNyIuN7A1Q0_k/edit?usp=sharing"",""พิษณุโลก!S287"")+IMPORTRANGE(""https://docs.google.com/spreadsheets/d/1xlcVZWU"&amp;"Nn6SuWm0c307h32SiGkd9BaeQWlAktfD3KO8/edit?usp=sharing"",""เพชรบูรณ์!S287"")+IMPORTRANGE(""https://docs.google.com/spreadsheets/d/1lOVebEIsI9qjGXl6EX66luk7wiuP2tBaryw-wKvv4e0/edit?usp=sharing"",""แพร่!S287"")+IMPORTRANGE(""https://docs.google.com/spreadshe"&amp;"ets/d/1dQrvX0vEcN7Gu0fnZ0B5S90AeR19zth4XlExFBeExMY/edit?usp=sharing"",""แม่ฮ่องสอน!S287"")+IMPORTRANGE(""https://docs.google.com/spreadsheets/d/1DY4XTNNwjluuxqdfdn6qvOSlMRrZqUtmYcZR0ttFiG4/edit?usp=sharing"",""ลำปาง!S287"")+IMPORTRANGE(""https://docs.goog"&amp;"le.com/spreadsheets/d/1ICwG78r0OFT8biBlxnBF8r7she7gNSzOvJ958PWT09c/edit?usp=sharing"",""ลำพูน!S287"")+IMPORTRANGE(""https://docs.google.com/spreadsheets/d/1B0f2xJpZUC6Z0xXnqKlZtEPzsf6L84eP1r1Q15seqRM/edit?usp=sharing"",""สุโขทัย!S287"")+IMPORTRANGE(""http"&amp;"s://docs.google.com/spreadsheets/d/1v0b9pFQCsKUVExMei7AgY2yQkdeNQvtOssygGsXbiKo/edit?usp=sharing"",""อุตรดิตถ์!S287"")+IMPORTRANGE(""https://docs.google.com/spreadsheets/d/1UsNK1e-WWiCo2PvGqdNfdme4m17_Ezd3J69EeeiQPD0/edit?usp=sharing"",""อุทัยธานี!S287"")"),0)</f>
        <v>0</v>
      </c>
      <c r="T287" s="48">
        <f t="shared" ca="1" si="209"/>
        <v>0</v>
      </c>
      <c r="U287" s="48">
        <f t="shared" ca="1" si="210"/>
        <v>0</v>
      </c>
    </row>
    <row r="288" spans="1:21" ht="18.75" x14ac:dyDescent="0.25">
      <c r="A288" s="128"/>
      <c r="B288" s="40"/>
      <c r="C288" s="40"/>
      <c r="D288" s="41" t="s">
        <v>23</v>
      </c>
      <c r="E288" s="40"/>
      <c r="F288" s="40"/>
      <c r="G288" s="42"/>
      <c r="H288" s="137" t="s">
        <v>14</v>
      </c>
      <c r="I288" s="135"/>
      <c r="J288" s="135"/>
      <c r="K288" s="136"/>
      <c r="L288" s="46">
        <f t="shared" ref="L288:N288" ca="1" si="217">L289+L290</f>
        <v>0</v>
      </c>
      <c r="M288" s="46">
        <f t="shared" ca="1" si="217"/>
        <v>0</v>
      </c>
      <c r="N288" s="46">
        <f t="shared" ca="1" si="217"/>
        <v>0</v>
      </c>
      <c r="O288" s="46">
        <f t="shared" ca="1" si="206"/>
        <v>0</v>
      </c>
      <c r="P288" s="46">
        <f t="shared" ca="1" si="207"/>
        <v>0</v>
      </c>
      <c r="Q288" s="46">
        <f t="shared" ref="Q288:S288" ca="1" si="218">Q289+Q290</f>
        <v>0</v>
      </c>
      <c r="R288" s="46">
        <f t="shared" ca="1" si="218"/>
        <v>0</v>
      </c>
      <c r="S288" s="46">
        <f t="shared" ca="1" si="218"/>
        <v>0</v>
      </c>
      <c r="T288" s="46">
        <f t="shared" ca="1" si="209"/>
        <v>0</v>
      </c>
      <c r="U288" s="46">
        <f t="shared" ca="1" si="210"/>
        <v>0</v>
      </c>
    </row>
    <row r="289" spans="1:21" ht="18.75" x14ac:dyDescent="0.25">
      <c r="A289" s="128"/>
      <c r="B289" s="40"/>
      <c r="C289" s="40"/>
      <c r="D289" s="40"/>
      <c r="E289" s="47" t="s">
        <v>20</v>
      </c>
      <c r="F289" s="40"/>
      <c r="G289" s="42"/>
      <c r="H289" s="134" t="s">
        <v>14</v>
      </c>
      <c r="I289" s="135"/>
      <c r="J289" s="135"/>
      <c r="K289" s="136"/>
      <c r="L289" s="46">
        <f ca="1">IFERROR(__xludf.DUMMYFUNCTION("IMPORTRANGE(""https://docs.google.com/spreadsheets/d/1jTcq05yEiRwXcBMLjiodW9e4biSGYWAHcDj22rKWQ3s/edit?usp=sharing"",""กำแพงเพชร!L289"")+IMPORTRANGE(""https://docs.google.com/spreadsheets/d/1KS0zmDSZPk8KnTAbGN-Xk6MtX1YRZD0ldgdt20K4CRk/edit?usp=sharing"","&amp;"""เชียงราย!L289"")+IMPORTRANGE(""https://docs.google.com/spreadsheets/d/1rEDxBtusbi64tE0zunoIbsTVV16HeL0oJ6trHQeQ7K8/edit?usp=sharing"",""เชียงใหม่!L289"")+IMPORTRANGE(""https://docs.google.com/spreadsheets/d/1W6MnUbDkMi6xHnHko_XkFDO9kkuL6Wqyc-6OCDFjW9I/e"&amp;"dit?usp=sharing"",""ตาก!L289"")+IMPORTRANGE(""https://docs.google.com/spreadsheets/d/1IQAWArduLkta9LpYo4a_ULsyqdta6-6aDDiwpUnQT6c/edit?usp=sharing"",""นครสวรรค์!L289"")+IMPORTRANGE(""https://docs.google.com/spreadsheets/d/10s13Sk5xrltsiR-Zkbmk5DwIaDIKO8Xl"&amp;"bJAfqyT7Gvg/edit?usp=sharing"",""น่าน!L289"")+IMPORTRANGE(""https://docs.google.com/spreadsheets/d/1uu4nAn4Dbi1XREnLKKotUANlKXa7yCgRcgq8HEzQYW8/edit?usp=sharing"",""พะเยา!L289"")+IMPORTRANGE(""https://docs.google.com/spreadsheets/d/1xfJKIQxVOaPDIICqsflNlL"&amp;"u3JacTDk1FP9RH4phX7mI/edit?usp=sharing"",""พิจิตร!L289"")+IMPORTRANGE(""https://docs.google.com/spreadsheets/d/1JtRfZkJMHtEhI5RdRHxYUG4FIZHqKDpNyIuN7A1Q0_k/edit?usp=sharing"",""พิษณุโลก!L289"")+IMPORTRANGE(""https://docs.google.com/spreadsheets/d/1xlcVZWU"&amp;"Nn6SuWm0c307h32SiGkd9BaeQWlAktfD3KO8/edit?usp=sharing"",""เพชรบูรณ์!L289"")+IMPORTRANGE(""https://docs.google.com/spreadsheets/d/1lOVebEIsI9qjGXl6EX66luk7wiuP2tBaryw-wKvv4e0/edit?usp=sharing"",""แพร่!L289"")+IMPORTRANGE(""https://docs.google.com/spreadshe"&amp;"ets/d/1dQrvX0vEcN7Gu0fnZ0B5S90AeR19zth4XlExFBeExMY/edit?usp=sharing"",""แม่ฮ่องสอน!L289"")+IMPORTRANGE(""https://docs.google.com/spreadsheets/d/1DY4XTNNwjluuxqdfdn6qvOSlMRrZqUtmYcZR0ttFiG4/edit?usp=sharing"",""ลำปาง!L289"")+IMPORTRANGE(""https://docs.goog"&amp;"le.com/spreadsheets/d/1ICwG78r0OFT8biBlxnBF8r7she7gNSzOvJ958PWT09c/edit?usp=sharing"",""ลำพูน!L289"")+IMPORTRANGE(""https://docs.google.com/spreadsheets/d/1B0f2xJpZUC6Z0xXnqKlZtEPzsf6L84eP1r1Q15seqRM/edit?usp=sharing"",""สุโขทัย!L289"")+IMPORTRANGE(""http"&amp;"s://docs.google.com/spreadsheets/d/1v0b9pFQCsKUVExMei7AgY2yQkdeNQvtOssygGsXbiKo/edit?usp=sharing"",""อุตรดิตถ์!L289"")+IMPORTRANGE(""https://docs.google.com/spreadsheets/d/1UsNK1e-WWiCo2PvGqdNfdme4m17_Ezd3J69EeeiQPD0/edit?usp=sharing"",""อุทัยธานี!L289"")"),0)</f>
        <v>0</v>
      </c>
      <c r="M289" s="46">
        <f ca="1">IFERROR(__xludf.DUMMYFUNCTION("IMPORTRANGE(""https://docs.google.com/spreadsheets/d/1jTcq05yEiRwXcBMLjiodW9e4biSGYWAHcDj22rKWQ3s/edit?usp=sharing"",""กำแพงเพชร!M289"")+IMPORTRANGE(""https://docs.google.com/spreadsheets/d/1KS0zmDSZPk8KnTAbGN-Xk6MtX1YRZD0ldgdt20K4CRk/edit?usp=sharing"","&amp;"""เชียงราย!M289"")+IMPORTRANGE(""https://docs.google.com/spreadsheets/d/1rEDxBtusbi64tE0zunoIbsTVV16HeL0oJ6trHQeQ7K8/edit?usp=sharing"",""เชียงใหม่!M289"")+IMPORTRANGE(""https://docs.google.com/spreadsheets/d/1W6MnUbDkMi6xHnHko_XkFDO9kkuL6Wqyc-6OCDFjW9I/e"&amp;"dit?usp=sharing"",""ตาก!M289"")+IMPORTRANGE(""https://docs.google.com/spreadsheets/d/1IQAWArduLkta9LpYo4a_ULsyqdta6-6aDDiwpUnQT6c/edit?usp=sharing"",""นครสวรรค์!M289"")+IMPORTRANGE(""https://docs.google.com/spreadsheets/d/10s13Sk5xrltsiR-Zkbmk5DwIaDIKO8Xl"&amp;"bJAfqyT7Gvg/edit?usp=sharing"",""น่าน!M289"")+IMPORTRANGE(""https://docs.google.com/spreadsheets/d/1uu4nAn4Dbi1XREnLKKotUANlKXa7yCgRcgq8HEzQYW8/edit?usp=sharing"",""พะเยา!M289"")+IMPORTRANGE(""https://docs.google.com/spreadsheets/d/1xfJKIQxVOaPDIICqsflNlL"&amp;"u3JacTDk1FP9RH4phX7mI/edit?usp=sharing"",""พิจิตร!M289"")+IMPORTRANGE(""https://docs.google.com/spreadsheets/d/1JtRfZkJMHtEhI5RdRHxYUG4FIZHqKDpNyIuN7A1Q0_k/edit?usp=sharing"",""พิษณุโลก!M289"")+IMPORTRANGE(""https://docs.google.com/spreadsheets/d/1xlcVZWU"&amp;"Nn6SuWm0c307h32SiGkd9BaeQWlAktfD3KO8/edit?usp=sharing"",""เพชรบูรณ์!M289"")+IMPORTRANGE(""https://docs.google.com/spreadsheets/d/1lOVebEIsI9qjGXl6EX66luk7wiuP2tBaryw-wKvv4e0/edit?usp=sharing"",""แพร่!M289"")+IMPORTRANGE(""https://docs.google.com/spreadshe"&amp;"ets/d/1dQrvX0vEcN7Gu0fnZ0B5S90AeR19zth4XlExFBeExMY/edit?usp=sharing"",""แม่ฮ่องสอน!M289"")+IMPORTRANGE(""https://docs.google.com/spreadsheets/d/1DY4XTNNwjluuxqdfdn6qvOSlMRrZqUtmYcZR0ttFiG4/edit?usp=sharing"",""ลำปาง!M289"")+IMPORTRANGE(""https://docs.goog"&amp;"le.com/spreadsheets/d/1ICwG78r0OFT8biBlxnBF8r7she7gNSzOvJ958PWT09c/edit?usp=sharing"",""ลำพูน!M289"")+IMPORTRANGE(""https://docs.google.com/spreadsheets/d/1B0f2xJpZUC6Z0xXnqKlZtEPzsf6L84eP1r1Q15seqRM/edit?usp=sharing"",""สุโขทัย!M289"")+IMPORTRANGE(""http"&amp;"s://docs.google.com/spreadsheets/d/1v0b9pFQCsKUVExMei7AgY2yQkdeNQvtOssygGsXbiKo/edit?usp=sharing"",""อุตรดิตถ์!M289"")+IMPORTRANGE(""https://docs.google.com/spreadsheets/d/1UsNK1e-WWiCo2PvGqdNfdme4m17_Ezd3J69EeeiQPD0/edit?usp=sharing"",""อุทัยธานี!M289"")"),0)</f>
        <v>0</v>
      </c>
      <c r="N289" s="46">
        <f ca="1">IFERROR(__xludf.DUMMYFUNCTION("IMPORTRANGE(""https://docs.google.com/spreadsheets/d/1jTcq05yEiRwXcBMLjiodW9e4biSGYWAHcDj22rKWQ3s/edit?usp=sharing"",""กำแพงเพชร!N289"")+IMPORTRANGE(""https://docs.google.com/spreadsheets/d/1KS0zmDSZPk8KnTAbGN-Xk6MtX1YRZD0ldgdt20K4CRk/edit?usp=sharing"","&amp;"""เชียงราย!N289"")+IMPORTRANGE(""https://docs.google.com/spreadsheets/d/1rEDxBtusbi64tE0zunoIbsTVV16HeL0oJ6trHQeQ7K8/edit?usp=sharing"",""เชียงใหม่!N289"")+IMPORTRANGE(""https://docs.google.com/spreadsheets/d/1W6MnUbDkMi6xHnHko_XkFDO9kkuL6Wqyc-6OCDFjW9I/e"&amp;"dit?usp=sharing"",""ตาก!N289"")+IMPORTRANGE(""https://docs.google.com/spreadsheets/d/1IQAWArduLkta9LpYo4a_ULsyqdta6-6aDDiwpUnQT6c/edit?usp=sharing"",""นครสวรรค์!N289"")+IMPORTRANGE(""https://docs.google.com/spreadsheets/d/10s13Sk5xrltsiR-Zkbmk5DwIaDIKO8Xl"&amp;"bJAfqyT7Gvg/edit?usp=sharing"",""น่าน!N289"")+IMPORTRANGE(""https://docs.google.com/spreadsheets/d/1uu4nAn4Dbi1XREnLKKotUANlKXa7yCgRcgq8HEzQYW8/edit?usp=sharing"",""พะเยา!N289"")+IMPORTRANGE(""https://docs.google.com/spreadsheets/d/1xfJKIQxVOaPDIICqsflNlL"&amp;"u3JacTDk1FP9RH4phX7mI/edit?usp=sharing"",""พิจิตร!N289"")+IMPORTRANGE(""https://docs.google.com/spreadsheets/d/1JtRfZkJMHtEhI5RdRHxYUG4FIZHqKDpNyIuN7A1Q0_k/edit?usp=sharing"",""พิษณุโลก!N289"")+IMPORTRANGE(""https://docs.google.com/spreadsheets/d/1xlcVZWU"&amp;"Nn6SuWm0c307h32SiGkd9BaeQWlAktfD3KO8/edit?usp=sharing"",""เพชรบูรณ์!N289"")+IMPORTRANGE(""https://docs.google.com/spreadsheets/d/1lOVebEIsI9qjGXl6EX66luk7wiuP2tBaryw-wKvv4e0/edit?usp=sharing"",""แพร่!N289"")+IMPORTRANGE(""https://docs.google.com/spreadshe"&amp;"ets/d/1dQrvX0vEcN7Gu0fnZ0B5S90AeR19zth4XlExFBeExMY/edit?usp=sharing"",""แม่ฮ่องสอน!N289"")+IMPORTRANGE(""https://docs.google.com/spreadsheets/d/1DY4XTNNwjluuxqdfdn6qvOSlMRrZqUtmYcZR0ttFiG4/edit?usp=sharing"",""ลำปาง!N289"")+IMPORTRANGE(""https://docs.goog"&amp;"le.com/spreadsheets/d/1ICwG78r0OFT8biBlxnBF8r7she7gNSzOvJ958PWT09c/edit?usp=sharing"",""ลำพูน!N289"")+IMPORTRANGE(""https://docs.google.com/spreadsheets/d/1B0f2xJpZUC6Z0xXnqKlZtEPzsf6L84eP1r1Q15seqRM/edit?usp=sharing"",""สุโขทัย!N289"")+IMPORTRANGE(""http"&amp;"s://docs.google.com/spreadsheets/d/1v0b9pFQCsKUVExMei7AgY2yQkdeNQvtOssygGsXbiKo/edit?usp=sharing"",""อุตรดิตถ์!N289"")+IMPORTRANGE(""https://docs.google.com/spreadsheets/d/1UsNK1e-WWiCo2PvGqdNfdme4m17_Ezd3J69EeeiQPD0/edit?usp=sharing"",""อุทัยธานี!N289"")"),0)</f>
        <v>0</v>
      </c>
      <c r="O289" s="46">
        <f t="shared" ca="1" si="206"/>
        <v>0</v>
      </c>
      <c r="P289" s="46">
        <f t="shared" ca="1" si="207"/>
        <v>0</v>
      </c>
      <c r="Q289" s="48">
        <f ca="1">IFERROR(__xludf.DUMMYFUNCTION("IMPORTRANGE(""https://docs.google.com/spreadsheets/d/1jTcq05yEiRwXcBMLjiodW9e4biSGYWAHcDj22rKWQ3s/edit?usp=sharing"",""กำแพงเพชร!Q289"")+IMPORTRANGE(""https://docs.google.com/spreadsheets/d/1KS0zmDSZPk8KnTAbGN-Xk6MtX1YRZD0ldgdt20K4CRk/edit?usp=sharing"","&amp;"""เชียงราย!Q289"")+IMPORTRANGE(""https://docs.google.com/spreadsheets/d/1rEDxBtusbi64tE0zunoIbsTVV16HeL0oJ6trHQeQ7K8/edit?usp=sharing"",""เชียงใหม่!Q289"")+IMPORTRANGE(""https://docs.google.com/spreadsheets/d/1W6MnUbDkMi6xHnHko_XkFDO9kkuL6Wqyc-6OCDFjW9I/e"&amp;"dit?usp=sharing"",""ตาก!Q289"")+IMPORTRANGE(""https://docs.google.com/spreadsheets/d/1IQAWArduLkta9LpYo4a_ULsyqdta6-6aDDiwpUnQT6c/edit?usp=sharing"",""นครสวรรค์!Q289"")+IMPORTRANGE(""https://docs.google.com/spreadsheets/d/10s13Sk5xrltsiR-Zkbmk5DwIaDIKO8Xl"&amp;"bJAfqyT7Gvg/edit?usp=sharing"",""น่าน!Q289"")+IMPORTRANGE(""https://docs.google.com/spreadsheets/d/1uu4nAn4Dbi1XREnLKKotUANlKXa7yCgRcgq8HEzQYW8/edit?usp=sharing"",""พะเยา!Q289"")+IMPORTRANGE(""https://docs.google.com/spreadsheets/d/1xfJKIQxVOaPDIICqsflNlL"&amp;"u3JacTDk1FP9RH4phX7mI/edit?usp=sharing"",""พิจิตร!Q289"")+IMPORTRANGE(""https://docs.google.com/spreadsheets/d/1JtRfZkJMHtEhI5RdRHxYUG4FIZHqKDpNyIuN7A1Q0_k/edit?usp=sharing"",""พิษณุโลก!Q289"")+IMPORTRANGE(""https://docs.google.com/spreadsheets/d/1xlcVZWU"&amp;"Nn6SuWm0c307h32SiGkd9BaeQWlAktfD3KO8/edit?usp=sharing"",""เพชรบูรณ์!Q289"")+IMPORTRANGE(""https://docs.google.com/spreadsheets/d/1lOVebEIsI9qjGXl6EX66luk7wiuP2tBaryw-wKvv4e0/edit?usp=sharing"",""แพร่!Q289"")+IMPORTRANGE(""https://docs.google.com/spreadshe"&amp;"ets/d/1dQrvX0vEcN7Gu0fnZ0B5S90AeR19zth4XlExFBeExMY/edit?usp=sharing"",""แม่ฮ่องสอน!Q289"")+IMPORTRANGE(""https://docs.google.com/spreadsheets/d/1DY4XTNNwjluuxqdfdn6qvOSlMRrZqUtmYcZR0ttFiG4/edit?usp=sharing"",""ลำปาง!Q289"")+IMPORTRANGE(""https://docs.goog"&amp;"le.com/spreadsheets/d/1ICwG78r0OFT8biBlxnBF8r7she7gNSzOvJ958PWT09c/edit?usp=sharing"",""ลำพูน!Q289"")+IMPORTRANGE(""https://docs.google.com/spreadsheets/d/1B0f2xJpZUC6Z0xXnqKlZtEPzsf6L84eP1r1Q15seqRM/edit?usp=sharing"",""สุโขทัย!Q289"")+IMPORTRANGE(""http"&amp;"s://docs.google.com/spreadsheets/d/1v0b9pFQCsKUVExMei7AgY2yQkdeNQvtOssygGsXbiKo/edit?usp=sharing"",""อุตรดิตถ์!Q289"")+IMPORTRANGE(""https://docs.google.com/spreadsheets/d/1UsNK1e-WWiCo2PvGqdNfdme4m17_Ezd3J69EeeiQPD0/edit?usp=sharing"",""อุทัยธานี!Q289"")"),0)</f>
        <v>0</v>
      </c>
      <c r="R289" s="48">
        <f ca="1">IFERROR(__xludf.DUMMYFUNCTION("IMPORTRANGE(""https://docs.google.com/spreadsheets/d/1jTcq05yEiRwXcBMLjiodW9e4biSGYWAHcDj22rKWQ3s/edit?usp=sharing"",""กำแพงเพชร!R289"")+IMPORTRANGE(""https://docs.google.com/spreadsheets/d/1KS0zmDSZPk8KnTAbGN-Xk6MtX1YRZD0ldgdt20K4CRk/edit?usp=sharing"","&amp;"""เชียงราย!R289"")+IMPORTRANGE(""https://docs.google.com/spreadsheets/d/1rEDxBtusbi64tE0zunoIbsTVV16HeL0oJ6trHQeQ7K8/edit?usp=sharing"",""เชียงใหม่!R289"")+IMPORTRANGE(""https://docs.google.com/spreadsheets/d/1W6MnUbDkMi6xHnHko_XkFDO9kkuL6Wqyc-6OCDFjW9I/e"&amp;"dit?usp=sharing"",""ตาก!R289"")+IMPORTRANGE(""https://docs.google.com/spreadsheets/d/1IQAWArduLkta9LpYo4a_ULsyqdta6-6aDDiwpUnQT6c/edit?usp=sharing"",""นครสวรรค์!R289"")+IMPORTRANGE(""https://docs.google.com/spreadsheets/d/10s13Sk5xrltsiR-Zkbmk5DwIaDIKO8Xl"&amp;"bJAfqyT7Gvg/edit?usp=sharing"",""น่าน!R289"")+IMPORTRANGE(""https://docs.google.com/spreadsheets/d/1uu4nAn4Dbi1XREnLKKotUANlKXa7yCgRcgq8HEzQYW8/edit?usp=sharing"",""พะเยา!R289"")+IMPORTRANGE(""https://docs.google.com/spreadsheets/d/1xfJKIQxVOaPDIICqsflNlL"&amp;"u3JacTDk1FP9RH4phX7mI/edit?usp=sharing"",""พิจิตร!R289"")+IMPORTRANGE(""https://docs.google.com/spreadsheets/d/1JtRfZkJMHtEhI5RdRHxYUG4FIZHqKDpNyIuN7A1Q0_k/edit?usp=sharing"",""พิษณุโลก!R289"")+IMPORTRANGE(""https://docs.google.com/spreadsheets/d/1xlcVZWU"&amp;"Nn6SuWm0c307h32SiGkd9BaeQWlAktfD3KO8/edit?usp=sharing"",""เพชรบูรณ์!R289"")+IMPORTRANGE(""https://docs.google.com/spreadsheets/d/1lOVebEIsI9qjGXl6EX66luk7wiuP2tBaryw-wKvv4e0/edit?usp=sharing"",""แพร่!R289"")+IMPORTRANGE(""https://docs.google.com/spreadshe"&amp;"ets/d/1dQrvX0vEcN7Gu0fnZ0B5S90AeR19zth4XlExFBeExMY/edit?usp=sharing"",""แม่ฮ่องสอน!R289"")+IMPORTRANGE(""https://docs.google.com/spreadsheets/d/1DY4XTNNwjluuxqdfdn6qvOSlMRrZqUtmYcZR0ttFiG4/edit?usp=sharing"",""ลำปาง!R289"")+IMPORTRANGE(""https://docs.goog"&amp;"le.com/spreadsheets/d/1ICwG78r0OFT8biBlxnBF8r7she7gNSzOvJ958PWT09c/edit?usp=sharing"",""ลำพูน!R289"")+IMPORTRANGE(""https://docs.google.com/spreadsheets/d/1B0f2xJpZUC6Z0xXnqKlZtEPzsf6L84eP1r1Q15seqRM/edit?usp=sharing"",""สุโขทัย!R289"")+IMPORTRANGE(""http"&amp;"s://docs.google.com/spreadsheets/d/1v0b9pFQCsKUVExMei7AgY2yQkdeNQvtOssygGsXbiKo/edit?usp=sharing"",""อุตรดิตถ์!R289"")+IMPORTRANGE(""https://docs.google.com/spreadsheets/d/1UsNK1e-WWiCo2PvGqdNfdme4m17_Ezd3J69EeeiQPD0/edit?usp=sharing"",""อุทัยธานี!R289"")"),0)</f>
        <v>0</v>
      </c>
      <c r="S289" s="48">
        <f ca="1">IFERROR(__xludf.DUMMYFUNCTION("IMPORTRANGE(""https://docs.google.com/spreadsheets/d/1jTcq05yEiRwXcBMLjiodW9e4biSGYWAHcDj22rKWQ3s/edit?usp=sharing"",""กำแพงเพชร!S289"")+IMPORTRANGE(""https://docs.google.com/spreadsheets/d/1KS0zmDSZPk8KnTAbGN-Xk6MtX1YRZD0ldgdt20K4CRk/edit?usp=sharing"","&amp;"""เชียงราย!S289"")+IMPORTRANGE(""https://docs.google.com/spreadsheets/d/1rEDxBtusbi64tE0zunoIbsTVV16HeL0oJ6trHQeQ7K8/edit?usp=sharing"",""เชียงใหม่!S289"")+IMPORTRANGE(""https://docs.google.com/spreadsheets/d/1W6MnUbDkMi6xHnHko_XkFDO9kkuL6Wqyc-6OCDFjW9I/e"&amp;"dit?usp=sharing"",""ตาก!S289"")+IMPORTRANGE(""https://docs.google.com/spreadsheets/d/1IQAWArduLkta9LpYo4a_ULsyqdta6-6aDDiwpUnQT6c/edit?usp=sharing"",""นครสวรรค์!S289"")+IMPORTRANGE(""https://docs.google.com/spreadsheets/d/10s13Sk5xrltsiR-Zkbmk5DwIaDIKO8Xl"&amp;"bJAfqyT7Gvg/edit?usp=sharing"",""น่าน!S289"")+IMPORTRANGE(""https://docs.google.com/spreadsheets/d/1uu4nAn4Dbi1XREnLKKotUANlKXa7yCgRcgq8HEzQYW8/edit?usp=sharing"",""พะเยา!S289"")+IMPORTRANGE(""https://docs.google.com/spreadsheets/d/1xfJKIQxVOaPDIICqsflNlL"&amp;"u3JacTDk1FP9RH4phX7mI/edit?usp=sharing"",""พิจิตร!S289"")+IMPORTRANGE(""https://docs.google.com/spreadsheets/d/1JtRfZkJMHtEhI5RdRHxYUG4FIZHqKDpNyIuN7A1Q0_k/edit?usp=sharing"",""พิษณุโลก!S289"")+IMPORTRANGE(""https://docs.google.com/spreadsheets/d/1xlcVZWU"&amp;"Nn6SuWm0c307h32SiGkd9BaeQWlAktfD3KO8/edit?usp=sharing"",""เพชรบูรณ์!S289"")+IMPORTRANGE(""https://docs.google.com/spreadsheets/d/1lOVebEIsI9qjGXl6EX66luk7wiuP2tBaryw-wKvv4e0/edit?usp=sharing"",""แพร่!S289"")+IMPORTRANGE(""https://docs.google.com/spreadshe"&amp;"ets/d/1dQrvX0vEcN7Gu0fnZ0B5S90AeR19zth4XlExFBeExMY/edit?usp=sharing"",""แม่ฮ่องสอน!S289"")+IMPORTRANGE(""https://docs.google.com/spreadsheets/d/1DY4XTNNwjluuxqdfdn6qvOSlMRrZqUtmYcZR0ttFiG4/edit?usp=sharing"",""ลำปาง!S289"")+IMPORTRANGE(""https://docs.goog"&amp;"le.com/spreadsheets/d/1ICwG78r0OFT8biBlxnBF8r7she7gNSzOvJ958PWT09c/edit?usp=sharing"",""ลำพูน!S289"")+IMPORTRANGE(""https://docs.google.com/spreadsheets/d/1B0f2xJpZUC6Z0xXnqKlZtEPzsf6L84eP1r1Q15seqRM/edit?usp=sharing"",""สุโขทัย!S289"")+IMPORTRANGE(""http"&amp;"s://docs.google.com/spreadsheets/d/1v0b9pFQCsKUVExMei7AgY2yQkdeNQvtOssygGsXbiKo/edit?usp=sharing"",""อุตรดิตถ์!S289"")+IMPORTRANGE(""https://docs.google.com/spreadsheets/d/1UsNK1e-WWiCo2PvGqdNfdme4m17_Ezd3J69EeeiQPD0/edit?usp=sharing"",""อุทัยธานี!S289"")"),0)</f>
        <v>0</v>
      </c>
      <c r="T289" s="48">
        <f t="shared" ca="1" si="209"/>
        <v>0</v>
      </c>
      <c r="U289" s="48">
        <f t="shared" ca="1" si="210"/>
        <v>0</v>
      </c>
    </row>
    <row r="290" spans="1:21" ht="18.75" x14ac:dyDescent="0.25">
      <c r="A290" s="128"/>
      <c r="B290" s="40"/>
      <c r="C290" s="40"/>
      <c r="D290" s="40"/>
      <c r="E290" s="47" t="s">
        <v>21</v>
      </c>
      <c r="F290" s="40"/>
      <c r="G290" s="42"/>
      <c r="H290" s="137" t="s">
        <v>14</v>
      </c>
      <c r="I290" s="135"/>
      <c r="J290" s="135"/>
      <c r="K290" s="136"/>
      <c r="L290" s="46">
        <f ca="1">IFERROR(__xludf.DUMMYFUNCTION("IMPORTRANGE(""https://docs.google.com/spreadsheets/d/1jTcq05yEiRwXcBMLjiodW9e4biSGYWAHcDj22rKWQ3s/edit?usp=sharing"",""กำแพงเพชร!L290"")+IMPORTRANGE(""https://docs.google.com/spreadsheets/d/1KS0zmDSZPk8KnTAbGN-Xk6MtX1YRZD0ldgdt20K4CRk/edit?usp=sharing"","&amp;"""เชียงราย!L290"")+IMPORTRANGE(""https://docs.google.com/spreadsheets/d/1rEDxBtusbi64tE0zunoIbsTVV16HeL0oJ6trHQeQ7K8/edit?usp=sharing"",""เชียงใหม่!L290"")+IMPORTRANGE(""https://docs.google.com/spreadsheets/d/1W6MnUbDkMi6xHnHko_XkFDO9kkuL6Wqyc-6OCDFjW9I/e"&amp;"dit?usp=sharing"",""ตาก!L290"")+IMPORTRANGE(""https://docs.google.com/spreadsheets/d/1IQAWArduLkta9LpYo4a_ULsyqdta6-6aDDiwpUnQT6c/edit?usp=sharing"",""นครสวรรค์!L290"")+IMPORTRANGE(""https://docs.google.com/spreadsheets/d/10s13Sk5xrltsiR-Zkbmk5DwIaDIKO8Xl"&amp;"bJAfqyT7Gvg/edit?usp=sharing"",""น่าน!L290"")+IMPORTRANGE(""https://docs.google.com/spreadsheets/d/1uu4nAn4Dbi1XREnLKKotUANlKXa7yCgRcgq8HEzQYW8/edit?usp=sharing"",""พะเยา!L290"")+IMPORTRANGE(""https://docs.google.com/spreadsheets/d/1xfJKIQxVOaPDIICqsflNlL"&amp;"u3JacTDk1FP9RH4phX7mI/edit?usp=sharing"",""พิจิตร!L290"")+IMPORTRANGE(""https://docs.google.com/spreadsheets/d/1JtRfZkJMHtEhI5RdRHxYUG4FIZHqKDpNyIuN7A1Q0_k/edit?usp=sharing"",""พิษณุโลก!L290"")+IMPORTRANGE(""https://docs.google.com/spreadsheets/d/1xlcVZWU"&amp;"Nn6SuWm0c307h32SiGkd9BaeQWlAktfD3KO8/edit?usp=sharing"",""เพชรบูรณ์!L290"")+IMPORTRANGE(""https://docs.google.com/spreadsheets/d/1lOVebEIsI9qjGXl6EX66luk7wiuP2tBaryw-wKvv4e0/edit?usp=sharing"",""แพร่!L290"")+IMPORTRANGE(""https://docs.google.com/spreadshe"&amp;"ets/d/1dQrvX0vEcN7Gu0fnZ0B5S90AeR19zth4XlExFBeExMY/edit?usp=sharing"",""แม่ฮ่องสอน!L290"")+IMPORTRANGE(""https://docs.google.com/spreadsheets/d/1DY4XTNNwjluuxqdfdn6qvOSlMRrZqUtmYcZR0ttFiG4/edit?usp=sharing"",""ลำปาง!L290"")+IMPORTRANGE(""https://docs.goog"&amp;"le.com/spreadsheets/d/1ICwG78r0OFT8biBlxnBF8r7she7gNSzOvJ958PWT09c/edit?usp=sharing"",""ลำพูน!L290"")+IMPORTRANGE(""https://docs.google.com/spreadsheets/d/1B0f2xJpZUC6Z0xXnqKlZtEPzsf6L84eP1r1Q15seqRM/edit?usp=sharing"",""สุโขทัย!L290"")+IMPORTRANGE(""http"&amp;"s://docs.google.com/spreadsheets/d/1v0b9pFQCsKUVExMei7AgY2yQkdeNQvtOssygGsXbiKo/edit?usp=sharing"",""อุตรดิตถ์!L290"")+IMPORTRANGE(""https://docs.google.com/spreadsheets/d/1UsNK1e-WWiCo2PvGqdNfdme4m17_Ezd3J69EeeiQPD0/edit?usp=sharing"",""อุทัยธานี!L290"")"),0)</f>
        <v>0</v>
      </c>
      <c r="M290" s="46">
        <f ca="1">IFERROR(__xludf.DUMMYFUNCTION("IMPORTRANGE(""https://docs.google.com/spreadsheets/d/1jTcq05yEiRwXcBMLjiodW9e4biSGYWAHcDj22rKWQ3s/edit?usp=sharing"",""กำแพงเพชร!M290"")+IMPORTRANGE(""https://docs.google.com/spreadsheets/d/1KS0zmDSZPk8KnTAbGN-Xk6MtX1YRZD0ldgdt20K4CRk/edit?usp=sharing"","&amp;"""เชียงราย!M290"")+IMPORTRANGE(""https://docs.google.com/spreadsheets/d/1rEDxBtusbi64tE0zunoIbsTVV16HeL0oJ6trHQeQ7K8/edit?usp=sharing"",""เชียงใหม่!M290"")+IMPORTRANGE(""https://docs.google.com/spreadsheets/d/1W6MnUbDkMi6xHnHko_XkFDO9kkuL6Wqyc-6OCDFjW9I/e"&amp;"dit?usp=sharing"",""ตาก!M290"")+IMPORTRANGE(""https://docs.google.com/spreadsheets/d/1IQAWArduLkta9LpYo4a_ULsyqdta6-6aDDiwpUnQT6c/edit?usp=sharing"",""นครสวรรค์!M290"")+IMPORTRANGE(""https://docs.google.com/spreadsheets/d/10s13Sk5xrltsiR-Zkbmk5DwIaDIKO8Xl"&amp;"bJAfqyT7Gvg/edit?usp=sharing"",""น่าน!M290"")+IMPORTRANGE(""https://docs.google.com/spreadsheets/d/1uu4nAn4Dbi1XREnLKKotUANlKXa7yCgRcgq8HEzQYW8/edit?usp=sharing"",""พะเยา!M290"")+IMPORTRANGE(""https://docs.google.com/spreadsheets/d/1xfJKIQxVOaPDIICqsflNlL"&amp;"u3JacTDk1FP9RH4phX7mI/edit?usp=sharing"",""พิจิตร!M290"")+IMPORTRANGE(""https://docs.google.com/spreadsheets/d/1JtRfZkJMHtEhI5RdRHxYUG4FIZHqKDpNyIuN7A1Q0_k/edit?usp=sharing"",""พิษณุโลก!M290"")+IMPORTRANGE(""https://docs.google.com/spreadsheets/d/1xlcVZWU"&amp;"Nn6SuWm0c307h32SiGkd9BaeQWlAktfD3KO8/edit?usp=sharing"",""เพชรบูรณ์!M290"")+IMPORTRANGE(""https://docs.google.com/spreadsheets/d/1lOVebEIsI9qjGXl6EX66luk7wiuP2tBaryw-wKvv4e0/edit?usp=sharing"",""แพร่!M290"")+IMPORTRANGE(""https://docs.google.com/spreadshe"&amp;"ets/d/1dQrvX0vEcN7Gu0fnZ0B5S90AeR19zth4XlExFBeExMY/edit?usp=sharing"",""แม่ฮ่องสอน!M290"")+IMPORTRANGE(""https://docs.google.com/spreadsheets/d/1DY4XTNNwjluuxqdfdn6qvOSlMRrZqUtmYcZR0ttFiG4/edit?usp=sharing"",""ลำปาง!M290"")+IMPORTRANGE(""https://docs.goog"&amp;"le.com/spreadsheets/d/1ICwG78r0OFT8biBlxnBF8r7she7gNSzOvJ958PWT09c/edit?usp=sharing"",""ลำพูน!M290"")+IMPORTRANGE(""https://docs.google.com/spreadsheets/d/1B0f2xJpZUC6Z0xXnqKlZtEPzsf6L84eP1r1Q15seqRM/edit?usp=sharing"",""สุโขทัย!M290"")+IMPORTRANGE(""http"&amp;"s://docs.google.com/spreadsheets/d/1v0b9pFQCsKUVExMei7AgY2yQkdeNQvtOssygGsXbiKo/edit?usp=sharing"",""อุตรดิตถ์!M290"")+IMPORTRANGE(""https://docs.google.com/spreadsheets/d/1UsNK1e-WWiCo2PvGqdNfdme4m17_Ezd3J69EeeiQPD0/edit?usp=sharing"",""อุทัยธานี!M290"")"),0)</f>
        <v>0</v>
      </c>
      <c r="N290" s="46">
        <f ca="1">IFERROR(__xludf.DUMMYFUNCTION("IMPORTRANGE(""https://docs.google.com/spreadsheets/d/1jTcq05yEiRwXcBMLjiodW9e4biSGYWAHcDj22rKWQ3s/edit?usp=sharing"",""กำแพงเพชร!N290"")+IMPORTRANGE(""https://docs.google.com/spreadsheets/d/1KS0zmDSZPk8KnTAbGN-Xk6MtX1YRZD0ldgdt20K4CRk/edit?usp=sharing"","&amp;"""เชียงราย!N290"")+IMPORTRANGE(""https://docs.google.com/spreadsheets/d/1rEDxBtusbi64tE0zunoIbsTVV16HeL0oJ6trHQeQ7K8/edit?usp=sharing"",""เชียงใหม่!N290"")+IMPORTRANGE(""https://docs.google.com/spreadsheets/d/1W6MnUbDkMi6xHnHko_XkFDO9kkuL6Wqyc-6OCDFjW9I/e"&amp;"dit?usp=sharing"",""ตาก!N290"")+IMPORTRANGE(""https://docs.google.com/spreadsheets/d/1IQAWArduLkta9LpYo4a_ULsyqdta6-6aDDiwpUnQT6c/edit?usp=sharing"",""นครสวรรค์!N290"")+IMPORTRANGE(""https://docs.google.com/spreadsheets/d/10s13Sk5xrltsiR-Zkbmk5DwIaDIKO8Xl"&amp;"bJAfqyT7Gvg/edit?usp=sharing"",""น่าน!N290"")+IMPORTRANGE(""https://docs.google.com/spreadsheets/d/1uu4nAn4Dbi1XREnLKKotUANlKXa7yCgRcgq8HEzQYW8/edit?usp=sharing"",""พะเยา!N290"")+IMPORTRANGE(""https://docs.google.com/spreadsheets/d/1xfJKIQxVOaPDIICqsflNlL"&amp;"u3JacTDk1FP9RH4phX7mI/edit?usp=sharing"",""พิจิตร!N290"")+IMPORTRANGE(""https://docs.google.com/spreadsheets/d/1JtRfZkJMHtEhI5RdRHxYUG4FIZHqKDpNyIuN7A1Q0_k/edit?usp=sharing"",""พิษณุโลก!N290"")+IMPORTRANGE(""https://docs.google.com/spreadsheets/d/1xlcVZWU"&amp;"Nn6SuWm0c307h32SiGkd9BaeQWlAktfD3KO8/edit?usp=sharing"",""เพชรบูรณ์!N290"")+IMPORTRANGE(""https://docs.google.com/spreadsheets/d/1lOVebEIsI9qjGXl6EX66luk7wiuP2tBaryw-wKvv4e0/edit?usp=sharing"",""แพร่!N290"")+IMPORTRANGE(""https://docs.google.com/spreadshe"&amp;"ets/d/1dQrvX0vEcN7Gu0fnZ0B5S90AeR19zth4XlExFBeExMY/edit?usp=sharing"",""แม่ฮ่องสอน!N290"")+IMPORTRANGE(""https://docs.google.com/spreadsheets/d/1DY4XTNNwjluuxqdfdn6qvOSlMRrZqUtmYcZR0ttFiG4/edit?usp=sharing"",""ลำปาง!N290"")+IMPORTRANGE(""https://docs.goog"&amp;"le.com/spreadsheets/d/1ICwG78r0OFT8biBlxnBF8r7she7gNSzOvJ958PWT09c/edit?usp=sharing"",""ลำพูน!N290"")+IMPORTRANGE(""https://docs.google.com/spreadsheets/d/1B0f2xJpZUC6Z0xXnqKlZtEPzsf6L84eP1r1Q15seqRM/edit?usp=sharing"",""สุโขทัย!N290"")+IMPORTRANGE(""http"&amp;"s://docs.google.com/spreadsheets/d/1v0b9pFQCsKUVExMei7AgY2yQkdeNQvtOssygGsXbiKo/edit?usp=sharing"",""อุตรดิตถ์!N290"")+IMPORTRANGE(""https://docs.google.com/spreadsheets/d/1UsNK1e-WWiCo2PvGqdNfdme4m17_Ezd3J69EeeiQPD0/edit?usp=sharing"",""อุทัยธานี!N290"")"),0)</f>
        <v>0</v>
      </c>
      <c r="O290" s="46">
        <f t="shared" ca="1" si="206"/>
        <v>0</v>
      </c>
      <c r="P290" s="46">
        <f t="shared" ca="1" si="207"/>
        <v>0</v>
      </c>
      <c r="Q290" s="46">
        <f ca="1">IFERROR(__xludf.DUMMYFUNCTION("IMPORTRANGE(""https://docs.google.com/spreadsheets/d/1jTcq05yEiRwXcBMLjiodW9e4biSGYWAHcDj22rKWQ3s/edit?usp=sharing"",""กำแพงเพชร!Q290"")+IMPORTRANGE(""https://docs.google.com/spreadsheets/d/1KS0zmDSZPk8KnTAbGN-Xk6MtX1YRZD0ldgdt20K4CRk/edit?usp=sharing"","&amp;"""เชียงราย!Q290"")+IMPORTRANGE(""https://docs.google.com/spreadsheets/d/1rEDxBtusbi64tE0zunoIbsTVV16HeL0oJ6trHQeQ7K8/edit?usp=sharing"",""เชียงใหม่!Q290"")+IMPORTRANGE(""https://docs.google.com/spreadsheets/d/1W6MnUbDkMi6xHnHko_XkFDO9kkuL6Wqyc-6OCDFjW9I/e"&amp;"dit?usp=sharing"",""ตาก!Q290"")+IMPORTRANGE(""https://docs.google.com/spreadsheets/d/1IQAWArduLkta9LpYo4a_ULsyqdta6-6aDDiwpUnQT6c/edit?usp=sharing"",""นครสวรรค์!Q290"")+IMPORTRANGE(""https://docs.google.com/spreadsheets/d/10s13Sk5xrltsiR-Zkbmk5DwIaDIKO8Xl"&amp;"bJAfqyT7Gvg/edit?usp=sharing"",""น่าน!Q290"")+IMPORTRANGE(""https://docs.google.com/spreadsheets/d/1uu4nAn4Dbi1XREnLKKotUANlKXa7yCgRcgq8HEzQYW8/edit?usp=sharing"",""พะเยา!Q290"")+IMPORTRANGE(""https://docs.google.com/spreadsheets/d/1xfJKIQxVOaPDIICqsflNlL"&amp;"u3JacTDk1FP9RH4phX7mI/edit?usp=sharing"",""พิจิตร!Q290"")+IMPORTRANGE(""https://docs.google.com/spreadsheets/d/1JtRfZkJMHtEhI5RdRHxYUG4FIZHqKDpNyIuN7A1Q0_k/edit?usp=sharing"",""พิษณุโลก!Q290"")+IMPORTRANGE(""https://docs.google.com/spreadsheets/d/1xlcVZWU"&amp;"Nn6SuWm0c307h32SiGkd9BaeQWlAktfD3KO8/edit?usp=sharing"",""เพชรบูรณ์!Q290"")+IMPORTRANGE(""https://docs.google.com/spreadsheets/d/1lOVebEIsI9qjGXl6EX66luk7wiuP2tBaryw-wKvv4e0/edit?usp=sharing"",""แพร่!Q290"")+IMPORTRANGE(""https://docs.google.com/spreadshe"&amp;"ets/d/1dQrvX0vEcN7Gu0fnZ0B5S90AeR19zth4XlExFBeExMY/edit?usp=sharing"",""แม่ฮ่องสอน!Q290"")+IMPORTRANGE(""https://docs.google.com/spreadsheets/d/1DY4XTNNwjluuxqdfdn6qvOSlMRrZqUtmYcZR0ttFiG4/edit?usp=sharing"",""ลำปาง!Q290"")+IMPORTRANGE(""https://docs.goog"&amp;"le.com/spreadsheets/d/1ICwG78r0OFT8biBlxnBF8r7she7gNSzOvJ958PWT09c/edit?usp=sharing"",""ลำพูน!Q290"")+IMPORTRANGE(""https://docs.google.com/spreadsheets/d/1B0f2xJpZUC6Z0xXnqKlZtEPzsf6L84eP1r1Q15seqRM/edit?usp=sharing"",""สุโขทัย!Q290"")+IMPORTRANGE(""http"&amp;"s://docs.google.com/spreadsheets/d/1v0b9pFQCsKUVExMei7AgY2yQkdeNQvtOssygGsXbiKo/edit?usp=sharing"",""อุตรดิตถ์!Q290"")+IMPORTRANGE(""https://docs.google.com/spreadsheets/d/1UsNK1e-WWiCo2PvGqdNfdme4m17_Ezd3J69EeeiQPD0/edit?usp=sharing"",""อุทัยธานี!Q290"")"),0)</f>
        <v>0</v>
      </c>
      <c r="R290" s="46">
        <f ca="1">IFERROR(__xludf.DUMMYFUNCTION("IMPORTRANGE(""https://docs.google.com/spreadsheets/d/1jTcq05yEiRwXcBMLjiodW9e4biSGYWAHcDj22rKWQ3s/edit?usp=sharing"",""กำแพงเพชร!R290"")+IMPORTRANGE(""https://docs.google.com/spreadsheets/d/1KS0zmDSZPk8KnTAbGN-Xk6MtX1YRZD0ldgdt20K4CRk/edit?usp=sharing"","&amp;"""เชียงราย!R290"")+IMPORTRANGE(""https://docs.google.com/spreadsheets/d/1rEDxBtusbi64tE0zunoIbsTVV16HeL0oJ6trHQeQ7K8/edit?usp=sharing"",""เชียงใหม่!R290"")+IMPORTRANGE(""https://docs.google.com/spreadsheets/d/1W6MnUbDkMi6xHnHko_XkFDO9kkuL6Wqyc-6OCDFjW9I/e"&amp;"dit?usp=sharing"",""ตาก!R290"")+IMPORTRANGE(""https://docs.google.com/spreadsheets/d/1IQAWArduLkta9LpYo4a_ULsyqdta6-6aDDiwpUnQT6c/edit?usp=sharing"",""นครสวรรค์!R290"")+IMPORTRANGE(""https://docs.google.com/spreadsheets/d/10s13Sk5xrltsiR-Zkbmk5DwIaDIKO8Xl"&amp;"bJAfqyT7Gvg/edit?usp=sharing"",""น่าน!R290"")+IMPORTRANGE(""https://docs.google.com/spreadsheets/d/1uu4nAn4Dbi1XREnLKKotUANlKXa7yCgRcgq8HEzQYW8/edit?usp=sharing"",""พะเยา!R290"")+IMPORTRANGE(""https://docs.google.com/spreadsheets/d/1xfJKIQxVOaPDIICqsflNlL"&amp;"u3JacTDk1FP9RH4phX7mI/edit?usp=sharing"",""พิจิตร!R290"")+IMPORTRANGE(""https://docs.google.com/spreadsheets/d/1JtRfZkJMHtEhI5RdRHxYUG4FIZHqKDpNyIuN7A1Q0_k/edit?usp=sharing"",""พิษณุโลก!R290"")+IMPORTRANGE(""https://docs.google.com/spreadsheets/d/1xlcVZWU"&amp;"Nn6SuWm0c307h32SiGkd9BaeQWlAktfD3KO8/edit?usp=sharing"",""เพชรบูรณ์!R290"")+IMPORTRANGE(""https://docs.google.com/spreadsheets/d/1lOVebEIsI9qjGXl6EX66luk7wiuP2tBaryw-wKvv4e0/edit?usp=sharing"",""แพร่!R290"")+IMPORTRANGE(""https://docs.google.com/spreadshe"&amp;"ets/d/1dQrvX0vEcN7Gu0fnZ0B5S90AeR19zth4XlExFBeExMY/edit?usp=sharing"",""แม่ฮ่องสอน!R290"")+IMPORTRANGE(""https://docs.google.com/spreadsheets/d/1DY4XTNNwjluuxqdfdn6qvOSlMRrZqUtmYcZR0ttFiG4/edit?usp=sharing"",""ลำปาง!R290"")+IMPORTRANGE(""https://docs.goog"&amp;"le.com/spreadsheets/d/1ICwG78r0OFT8biBlxnBF8r7she7gNSzOvJ958PWT09c/edit?usp=sharing"",""ลำพูน!R290"")+IMPORTRANGE(""https://docs.google.com/spreadsheets/d/1B0f2xJpZUC6Z0xXnqKlZtEPzsf6L84eP1r1Q15seqRM/edit?usp=sharing"",""สุโขทัย!R290"")+IMPORTRANGE(""http"&amp;"s://docs.google.com/spreadsheets/d/1v0b9pFQCsKUVExMei7AgY2yQkdeNQvtOssygGsXbiKo/edit?usp=sharing"",""อุตรดิตถ์!R290"")+IMPORTRANGE(""https://docs.google.com/spreadsheets/d/1UsNK1e-WWiCo2PvGqdNfdme4m17_Ezd3J69EeeiQPD0/edit?usp=sharing"",""อุทัยธานี!R290"")"),0)</f>
        <v>0</v>
      </c>
      <c r="S290" s="46">
        <f ca="1">IFERROR(__xludf.DUMMYFUNCTION("IMPORTRANGE(""https://docs.google.com/spreadsheets/d/1jTcq05yEiRwXcBMLjiodW9e4biSGYWAHcDj22rKWQ3s/edit?usp=sharing"",""กำแพงเพชร!S290"")+IMPORTRANGE(""https://docs.google.com/spreadsheets/d/1KS0zmDSZPk8KnTAbGN-Xk6MtX1YRZD0ldgdt20K4CRk/edit?usp=sharing"","&amp;"""เชียงราย!S290"")+IMPORTRANGE(""https://docs.google.com/spreadsheets/d/1rEDxBtusbi64tE0zunoIbsTVV16HeL0oJ6trHQeQ7K8/edit?usp=sharing"",""เชียงใหม่!S290"")+IMPORTRANGE(""https://docs.google.com/spreadsheets/d/1W6MnUbDkMi6xHnHko_XkFDO9kkuL6Wqyc-6OCDFjW9I/e"&amp;"dit?usp=sharing"",""ตาก!S290"")+IMPORTRANGE(""https://docs.google.com/spreadsheets/d/1IQAWArduLkta9LpYo4a_ULsyqdta6-6aDDiwpUnQT6c/edit?usp=sharing"",""นครสวรรค์!S290"")+IMPORTRANGE(""https://docs.google.com/spreadsheets/d/10s13Sk5xrltsiR-Zkbmk5DwIaDIKO8Xl"&amp;"bJAfqyT7Gvg/edit?usp=sharing"",""น่าน!S290"")+IMPORTRANGE(""https://docs.google.com/spreadsheets/d/1uu4nAn4Dbi1XREnLKKotUANlKXa7yCgRcgq8HEzQYW8/edit?usp=sharing"",""พะเยา!S290"")+IMPORTRANGE(""https://docs.google.com/spreadsheets/d/1xfJKIQxVOaPDIICqsflNlL"&amp;"u3JacTDk1FP9RH4phX7mI/edit?usp=sharing"",""พิจิตร!S290"")+IMPORTRANGE(""https://docs.google.com/spreadsheets/d/1JtRfZkJMHtEhI5RdRHxYUG4FIZHqKDpNyIuN7A1Q0_k/edit?usp=sharing"",""พิษณุโลก!S290"")+IMPORTRANGE(""https://docs.google.com/spreadsheets/d/1xlcVZWU"&amp;"Nn6SuWm0c307h32SiGkd9BaeQWlAktfD3KO8/edit?usp=sharing"",""เพชรบูรณ์!S290"")+IMPORTRANGE(""https://docs.google.com/spreadsheets/d/1lOVebEIsI9qjGXl6EX66luk7wiuP2tBaryw-wKvv4e0/edit?usp=sharing"",""แพร่!S290"")+IMPORTRANGE(""https://docs.google.com/spreadshe"&amp;"ets/d/1dQrvX0vEcN7Gu0fnZ0B5S90AeR19zth4XlExFBeExMY/edit?usp=sharing"",""แม่ฮ่องสอน!S290"")+IMPORTRANGE(""https://docs.google.com/spreadsheets/d/1DY4XTNNwjluuxqdfdn6qvOSlMRrZqUtmYcZR0ttFiG4/edit?usp=sharing"",""ลำปาง!S290"")+IMPORTRANGE(""https://docs.goog"&amp;"le.com/spreadsheets/d/1ICwG78r0OFT8biBlxnBF8r7she7gNSzOvJ958PWT09c/edit?usp=sharing"",""ลำพูน!S290"")+IMPORTRANGE(""https://docs.google.com/spreadsheets/d/1B0f2xJpZUC6Z0xXnqKlZtEPzsf6L84eP1r1Q15seqRM/edit?usp=sharing"",""สุโขทัย!S290"")+IMPORTRANGE(""http"&amp;"s://docs.google.com/spreadsheets/d/1v0b9pFQCsKUVExMei7AgY2yQkdeNQvtOssygGsXbiKo/edit?usp=sharing"",""อุตรดิตถ์!S290"")+IMPORTRANGE(""https://docs.google.com/spreadsheets/d/1UsNK1e-WWiCo2PvGqdNfdme4m17_Ezd3J69EeeiQPD0/edit?usp=sharing"",""อุทัยธานี!S290"")"),0)</f>
        <v>0</v>
      </c>
      <c r="T290" s="46">
        <f t="shared" ca="1" si="209"/>
        <v>0</v>
      </c>
      <c r="U290" s="46">
        <f t="shared" ca="1" si="210"/>
        <v>0</v>
      </c>
    </row>
    <row r="291" spans="1:21" ht="19.5" x14ac:dyDescent="0.3">
      <c r="A291" s="138"/>
      <c r="B291" s="139"/>
      <c r="C291" s="129" t="s">
        <v>18</v>
      </c>
      <c r="D291" s="140" t="s">
        <v>38</v>
      </c>
      <c r="E291" s="141"/>
      <c r="F291" s="141"/>
      <c r="G291" s="142"/>
      <c r="H291" s="143"/>
      <c r="I291" s="135"/>
      <c r="J291" s="135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3" t="s">
        <v>46</v>
      </c>
      <c r="I292" s="166">
        <f ca="1">IFERROR(__xludf.DUMMYFUNCTION("IMPORTRANGE(""https://docs.google.com/spreadsheets/d/1jTcq05yEiRwXcBMLjiodW9e4biSGYWAHcDj22rKWQ3s/edit?usp=sharing"",""กำแพงเพชร!I292"")+IMPORTRANGE(""https://docs.google.com/spreadsheets/d/1KS0zmDSZPk8KnTAbGN-Xk6MtX1YRZD0ldgdt20K4CRk/edit?usp=sharing"","&amp;"""เชียงราย!I292"")+IMPORTRANGE(""https://docs.google.com/spreadsheets/d/1rEDxBtusbi64tE0zunoIbsTVV16HeL0oJ6trHQeQ7K8/edit?usp=sharing"",""เชียงใหม่!I292"")+IMPORTRANGE(""https://docs.google.com/spreadsheets/d/1W6MnUbDkMi6xHnHko_XkFDO9kkuL6Wqyc-6OCDFjW9I/e"&amp;"dit?usp=sharing"",""ตาก!I292"")+IMPORTRANGE(""https://docs.google.com/spreadsheets/d/1IQAWArduLkta9LpYo4a_ULsyqdta6-6aDDiwpUnQT6c/edit?usp=sharing"",""นครสวรรค์!I292"")+IMPORTRANGE(""https://docs.google.com/spreadsheets/d/10s13Sk5xrltsiR-Zkbmk5DwIaDIKO8Xl"&amp;"bJAfqyT7Gvg/edit?usp=sharing"",""น่าน!I292"")+IMPORTRANGE(""https://docs.google.com/spreadsheets/d/1uu4nAn4Dbi1XREnLKKotUANlKXa7yCgRcgq8HEzQYW8/edit?usp=sharing"",""พะเยา!I292"")+IMPORTRANGE(""https://docs.google.com/spreadsheets/d/1xfJKIQxVOaPDIICqsflNlL"&amp;"u3JacTDk1FP9RH4phX7mI/edit?usp=sharing"",""พิจิตร!I292"")+IMPORTRANGE(""https://docs.google.com/spreadsheets/d/1JtRfZkJMHtEhI5RdRHxYUG4FIZHqKDpNyIuN7A1Q0_k/edit?usp=sharing"",""พิษณุโลก!I292"")+IMPORTRANGE(""https://docs.google.com/spreadsheets/d/1xlcVZWU"&amp;"Nn6SuWm0c307h32SiGkd9BaeQWlAktfD3KO8/edit?usp=sharing"",""เพชรบูรณ์!I292"")+IMPORTRANGE(""https://docs.google.com/spreadsheets/d/1lOVebEIsI9qjGXl6EX66luk7wiuP2tBaryw-wKvv4e0/edit?usp=sharing"",""แพร่!I292"")+IMPORTRANGE(""https://docs.google.com/spreadshe"&amp;"ets/d/1dQrvX0vEcN7Gu0fnZ0B5S90AeR19zth4XlExFBeExMY/edit?usp=sharing"",""แม่ฮ่องสอน!I292"")+IMPORTRANGE(""https://docs.google.com/spreadsheets/d/1DY4XTNNwjluuxqdfdn6qvOSlMRrZqUtmYcZR0ttFiG4/edit?usp=sharing"",""ลำปาง!I292"")+IMPORTRANGE(""https://docs.goog"&amp;"le.com/spreadsheets/d/1ICwG78r0OFT8biBlxnBF8r7she7gNSzOvJ958PWT09c/edit?usp=sharing"",""ลำพูน!I292"")+IMPORTRANGE(""https://docs.google.com/spreadsheets/d/1B0f2xJpZUC6Z0xXnqKlZtEPzsf6L84eP1r1Q15seqRM/edit?usp=sharing"",""สุโขทัย!I292"")+IMPORTRANGE(""http"&amp;"s://docs.google.com/spreadsheets/d/1v0b9pFQCsKUVExMei7AgY2yQkdeNQvtOssygGsXbiKo/edit?usp=sharing"",""อุตรดิตถ์!I292"")+IMPORTRANGE(""https://docs.google.com/spreadsheets/d/1UsNK1e-WWiCo2PvGqdNfdme4m17_Ezd3J69EeeiQPD0/edit?usp=sharing"",""อุทัยธานี!I292"")"),4100)</f>
        <v>4100</v>
      </c>
      <c r="J292" s="166">
        <f ca="1">IFERROR(__xludf.DUMMYFUNCTION("IMPORTRANGE(""https://docs.google.com/spreadsheets/d/1jTcq05yEiRwXcBMLjiodW9e4biSGYWAHcDj22rKWQ3s/edit?usp=sharing"",""กำแพงเพชร!J292"")+IMPORTRANGE(""https://docs.google.com/spreadsheets/d/1KS0zmDSZPk8KnTAbGN-Xk6MtX1YRZD0ldgdt20K4CRk/edit?usp=sharing"","&amp;"""เชียงราย!J292"")+IMPORTRANGE(""https://docs.google.com/spreadsheets/d/1rEDxBtusbi64tE0zunoIbsTVV16HeL0oJ6trHQeQ7K8/edit?usp=sharing"",""เชียงใหม่!J292"")+IMPORTRANGE(""https://docs.google.com/spreadsheets/d/1W6MnUbDkMi6xHnHko_XkFDO9kkuL6Wqyc-6OCDFjW9I/e"&amp;"dit?usp=sharing"",""ตาก!J292"")+IMPORTRANGE(""https://docs.google.com/spreadsheets/d/1IQAWArduLkta9LpYo4a_ULsyqdta6-6aDDiwpUnQT6c/edit?usp=sharing"",""นครสวรรค์!J292"")+IMPORTRANGE(""https://docs.google.com/spreadsheets/d/10s13Sk5xrltsiR-Zkbmk5DwIaDIKO8Xl"&amp;"bJAfqyT7Gvg/edit?usp=sharing"",""น่าน!J292"")+IMPORTRANGE(""https://docs.google.com/spreadsheets/d/1uu4nAn4Dbi1XREnLKKotUANlKXa7yCgRcgq8HEzQYW8/edit?usp=sharing"",""พะเยา!J292"")+IMPORTRANGE(""https://docs.google.com/spreadsheets/d/1xfJKIQxVOaPDIICqsflNlL"&amp;"u3JacTDk1FP9RH4phX7mI/edit?usp=sharing"",""พิจิตร!J292"")+IMPORTRANGE(""https://docs.google.com/spreadsheets/d/1JtRfZkJMHtEhI5RdRHxYUG4FIZHqKDpNyIuN7A1Q0_k/edit?usp=sharing"",""พิษณุโลก!J292"")+IMPORTRANGE(""https://docs.google.com/spreadsheets/d/1xlcVZWU"&amp;"Nn6SuWm0c307h32SiGkd9BaeQWlAktfD3KO8/edit?usp=sharing"",""เพชรบูรณ์!J292"")+IMPORTRANGE(""https://docs.google.com/spreadsheets/d/1lOVebEIsI9qjGXl6EX66luk7wiuP2tBaryw-wKvv4e0/edit?usp=sharing"",""แพร่!J292"")+IMPORTRANGE(""https://docs.google.com/spreadshe"&amp;"ets/d/1dQrvX0vEcN7Gu0fnZ0B5S90AeR19zth4XlExFBeExMY/edit?usp=sharing"",""แม่ฮ่องสอน!J292"")+IMPORTRANGE(""https://docs.google.com/spreadsheets/d/1DY4XTNNwjluuxqdfdn6qvOSlMRrZqUtmYcZR0ttFiG4/edit?usp=sharing"",""ลำปาง!J292"")+IMPORTRANGE(""https://docs.goog"&amp;"le.com/spreadsheets/d/1ICwG78r0OFT8biBlxnBF8r7she7gNSzOvJ958PWT09c/edit?usp=sharing"",""ลำพูน!J292"")+IMPORTRANGE(""https://docs.google.com/spreadsheets/d/1B0f2xJpZUC6Z0xXnqKlZtEPzsf6L84eP1r1Q15seqRM/edit?usp=sharing"",""สุโขทัย!J292"")+IMPORTRANGE(""http"&amp;"s://docs.google.com/spreadsheets/d/1v0b9pFQCsKUVExMei7AgY2yQkdeNQvtOssygGsXbiKo/edit?usp=sharing"",""อุตรดิตถ์!J292"")+IMPORTRANGE(""https://docs.google.com/spreadsheets/d/1UsNK1e-WWiCo2PvGqdNfdme4m17_Ezd3J69EeeiQPD0/edit?usp=sharing"",""อุทัยธานี!J292"")"),3900)</f>
        <v>3900</v>
      </c>
      <c r="K292" s="152">
        <f t="shared" ref="K292:K293" ca="1" si="219">IF(I292&gt;0,J292*100/I292,0)</f>
        <v>95.121951219512198</v>
      </c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jTcq05yEiRwXcBMLjiodW9e4biSGYWAHcDj22rKWQ3s/edit?usp=sharing"",""กำแพงเพชร!I293"")+IMPORTRANGE(""https://docs.google.com/spreadsheets/d/1KS0zmDSZPk8KnTAbGN-Xk6MtX1YRZD0ldgdt20K4CRk/edit?usp=sharing"","&amp;"""เชียงราย!I293"")+IMPORTRANGE(""https://docs.google.com/spreadsheets/d/1rEDxBtusbi64tE0zunoIbsTVV16HeL0oJ6trHQeQ7K8/edit?usp=sharing"",""เชียงใหม่!I293"")+IMPORTRANGE(""https://docs.google.com/spreadsheets/d/1W6MnUbDkMi6xHnHko_XkFDO9kkuL6Wqyc-6OCDFjW9I/e"&amp;"dit?usp=sharing"",""ตาก!I293"")+IMPORTRANGE(""https://docs.google.com/spreadsheets/d/1IQAWArduLkta9LpYo4a_ULsyqdta6-6aDDiwpUnQT6c/edit?usp=sharing"",""นครสวรรค์!I293"")+IMPORTRANGE(""https://docs.google.com/spreadsheets/d/10s13Sk5xrltsiR-Zkbmk5DwIaDIKO8Xl"&amp;"bJAfqyT7Gvg/edit?usp=sharing"",""น่าน!I293"")+IMPORTRANGE(""https://docs.google.com/spreadsheets/d/1uu4nAn4Dbi1XREnLKKotUANlKXa7yCgRcgq8HEzQYW8/edit?usp=sharing"",""พะเยา!I293"")+IMPORTRANGE(""https://docs.google.com/spreadsheets/d/1xfJKIQxVOaPDIICqsflNlL"&amp;"u3JacTDk1FP9RH4phX7mI/edit?usp=sharing"",""พิจิตร!I293"")+IMPORTRANGE(""https://docs.google.com/spreadsheets/d/1JtRfZkJMHtEhI5RdRHxYUG4FIZHqKDpNyIuN7A1Q0_k/edit?usp=sharing"",""พิษณุโลก!I293"")+IMPORTRANGE(""https://docs.google.com/spreadsheets/d/1xlcVZWU"&amp;"Nn6SuWm0c307h32SiGkd9BaeQWlAktfD3KO8/edit?usp=sharing"",""เพชรบูรณ์!I293"")+IMPORTRANGE(""https://docs.google.com/spreadsheets/d/1lOVebEIsI9qjGXl6EX66luk7wiuP2tBaryw-wKvv4e0/edit?usp=sharing"",""แพร่!I293"")+IMPORTRANGE(""https://docs.google.com/spreadshe"&amp;"ets/d/1dQrvX0vEcN7Gu0fnZ0B5S90AeR19zth4XlExFBeExMY/edit?usp=sharing"",""แม่ฮ่องสอน!I293"")+IMPORTRANGE(""https://docs.google.com/spreadsheets/d/1DY4XTNNwjluuxqdfdn6qvOSlMRrZqUtmYcZR0ttFiG4/edit?usp=sharing"",""ลำปาง!I293"")+IMPORTRANGE(""https://docs.goog"&amp;"le.com/spreadsheets/d/1ICwG78r0OFT8biBlxnBF8r7she7gNSzOvJ958PWT09c/edit?usp=sharing"",""ลำพูน!I293"")+IMPORTRANGE(""https://docs.google.com/spreadsheets/d/1B0f2xJpZUC6Z0xXnqKlZtEPzsf6L84eP1r1Q15seqRM/edit?usp=sharing"",""สุโขทัย!I293"")+IMPORTRANGE(""http"&amp;"s://docs.google.com/spreadsheets/d/1v0b9pFQCsKUVExMei7AgY2yQkdeNQvtOssygGsXbiKo/edit?usp=sharing"",""อุตรดิตถ์!I293"")+IMPORTRANGE(""https://docs.google.com/spreadsheets/d/1UsNK1e-WWiCo2PvGqdNfdme4m17_Ezd3J69EeeiQPD0/edit?usp=sharing"",""อุทัยธานี!I293"")"),410)</f>
        <v>410</v>
      </c>
      <c r="J293" s="147">
        <f ca="1">IFERROR(__xludf.DUMMYFUNCTION("IMPORTRANGE(""https://docs.google.com/spreadsheets/d/1jTcq05yEiRwXcBMLjiodW9e4biSGYWAHcDj22rKWQ3s/edit?usp=sharing"",""กำแพงเพชร!J293"")+IMPORTRANGE(""https://docs.google.com/spreadsheets/d/1KS0zmDSZPk8KnTAbGN-Xk6MtX1YRZD0ldgdt20K4CRk/edit?usp=sharing"","&amp;"""เชียงราย!J293"")+IMPORTRANGE(""https://docs.google.com/spreadsheets/d/1rEDxBtusbi64tE0zunoIbsTVV16HeL0oJ6trHQeQ7K8/edit?usp=sharing"",""เชียงใหม่!J293"")+IMPORTRANGE(""https://docs.google.com/spreadsheets/d/1W6MnUbDkMi6xHnHko_XkFDO9kkuL6Wqyc-6OCDFjW9I/e"&amp;"dit?usp=sharing"",""ตาก!J293"")+IMPORTRANGE(""https://docs.google.com/spreadsheets/d/1IQAWArduLkta9LpYo4a_ULsyqdta6-6aDDiwpUnQT6c/edit?usp=sharing"",""นครสวรรค์!J293"")+IMPORTRANGE(""https://docs.google.com/spreadsheets/d/10s13Sk5xrltsiR-Zkbmk5DwIaDIKO8Xl"&amp;"bJAfqyT7Gvg/edit?usp=sharing"",""น่าน!J293"")+IMPORTRANGE(""https://docs.google.com/spreadsheets/d/1uu4nAn4Dbi1XREnLKKotUANlKXa7yCgRcgq8HEzQYW8/edit?usp=sharing"",""พะเยา!J293"")+IMPORTRANGE(""https://docs.google.com/spreadsheets/d/1xfJKIQxVOaPDIICqsflNlL"&amp;"u3JacTDk1FP9RH4phX7mI/edit?usp=sharing"",""พิจิตร!J293"")+IMPORTRANGE(""https://docs.google.com/spreadsheets/d/1JtRfZkJMHtEhI5RdRHxYUG4FIZHqKDpNyIuN7A1Q0_k/edit?usp=sharing"",""พิษณุโลก!J293"")+IMPORTRANGE(""https://docs.google.com/spreadsheets/d/1xlcVZWU"&amp;"Nn6SuWm0c307h32SiGkd9BaeQWlAktfD3KO8/edit?usp=sharing"",""เพชรบูรณ์!J293"")+IMPORTRANGE(""https://docs.google.com/spreadsheets/d/1lOVebEIsI9qjGXl6EX66luk7wiuP2tBaryw-wKvv4e0/edit?usp=sharing"",""แพร่!J293"")+IMPORTRANGE(""https://docs.google.com/spreadshe"&amp;"ets/d/1dQrvX0vEcN7Gu0fnZ0B5S90AeR19zth4XlExFBeExMY/edit?usp=sharing"",""แม่ฮ่องสอน!J293"")+IMPORTRANGE(""https://docs.google.com/spreadsheets/d/1DY4XTNNwjluuxqdfdn6qvOSlMRrZqUtmYcZR0ttFiG4/edit?usp=sharing"",""ลำปาง!J293"")+IMPORTRANGE(""https://docs.goog"&amp;"le.com/spreadsheets/d/1ICwG78r0OFT8biBlxnBF8r7she7gNSzOvJ958PWT09c/edit?usp=sharing"",""ลำพูน!J293"")+IMPORTRANGE(""https://docs.google.com/spreadsheets/d/1B0f2xJpZUC6Z0xXnqKlZtEPzsf6L84eP1r1Q15seqRM/edit?usp=sharing"",""สุโขทัย!J293"")+IMPORTRANGE(""http"&amp;"s://docs.google.com/spreadsheets/d/1v0b9pFQCsKUVExMei7AgY2yQkdeNQvtOssygGsXbiKo/edit?usp=sharing"",""อุตรดิตถ์!J293"")+IMPORTRANGE(""https://docs.google.com/spreadsheets/d/1UsNK1e-WWiCo2PvGqdNfdme4m17_Ezd3J69EeeiQPD0/edit?usp=sharing"",""อุทัยธานี!J293"")"),402)</f>
        <v>402</v>
      </c>
      <c r="K293" s="148">
        <f t="shared" ca="1" si="219"/>
        <v>98.048780487804876</v>
      </c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4" t="s">
        <v>122</v>
      </c>
      <c r="F294" s="145"/>
      <c r="G294" s="143"/>
      <c r="H294" s="143"/>
      <c r="I294" s="135"/>
      <c r="J294" s="135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jTcq05yEiRwXcBMLjiodW9e4biSGYWAHcDj22rKWQ3s/edit?usp=sharing"",""กำแพงเพชร!I295"")+IMPORTRANGE(""https://docs.google.com/spreadsheets/d/1KS0zmDSZPk8KnTAbGN-Xk6MtX1YRZD0ldgdt20K4CRk/edit?usp=sharing"","&amp;"""เชียงราย!I295"")+IMPORTRANGE(""https://docs.google.com/spreadsheets/d/1rEDxBtusbi64tE0zunoIbsTVV16HeL0oJ6trHQeQ7K8/edit?usp=sharing"",""เชียงใหม่!I295"")+IMPORTRANGE(""https://docs.google.com/spreadsheets/d/1W6MnUbDkMi6xHnHko_XkFDO9kkuL6Wqyc-6OCDFjW9I/e"&amp;"dit?usp=sharing"",""ตาก!I295"")+IMPORTRANGE(""https://docs.google.com/spreadsheets/d/1IQAWArduLkta9LpYo4a_ULsyqdta6-6aDDiwpUnQT6c/edit?usp=sharing"",""นครสวรรค์!I295"")+IMPORTRANGE(""https://docs.google.com/spreadsheets/d/10s13Sk5xrltsiR-Zkbmk5DwIaDIKO8Xl"&amp;"bJAfqyT7Gvg/edit?usp=sharing"",""น่าน!I295"")+IMPORTRANGE(""https://docs.google.com/spreadsheets/d/1uu4nAn4Dbi1XREnLKKotUANlKXa7yCgRcgq8HEzQYW8/edit?usp=sharing"",""พะเยา!I295"")+IMPORTRANGE(""https://docs.google.com/spreadsheets/d/1xfJKIQxVOaPDIICqsflNlL"&amp;"u3JacTDk1FP9RH4phX7mI/edit?usp=sharing"",""พิจิตร!I295"")+IMPORTRANGE(""https://docs.google.com/spreadsheets/d/1JtRfZkJMHtEhI5RdRHxYUG4FIZHqKDpNyIuN7A1Q0_k/edit?usp=sharing"",""พิษณุโลก!I295"")+IMPORTRANGE(""https://docs.google.com/spreadsheets/d/1xlcVZWU"&amp;"Nn6SuWm0c307h32SiGkd9BaeQWlAktfD3KO8/edit?usp=sharing"",""เพชรบูรณ์!I295"")+IMPORTRANGE(""https://docs.google.com/spreadsheets/d/1lOVebEIsI9qjGXl6EX66luk7wiuP2tBaryw-wKvv4e0/edit?usp=sharing"",""แพร่!I295"")+IMPORTRANGE(""https://docs.google.com/spreadshe"&amp;"ets/d/1dQrvX0vEcN7Gu0fnZ0B5S90AeR19zth4XlExFBeExMY/edit?usp=sharing"",""แม่ฮ่องสอน!I295"")+IMPORTRANGE(""https://docs.google.com/spreadsheets/d/1DY4XTNNwjluuxqdfdn6qvOSlMRrZqUtmYcZR0ttFiG4/edit?usp=sharing"",""ลำปาง!I295"")+IMPORTRANGE(""https://docs.goog"&amp;"le.com/spreadsheets/d/1ICwG78r0OFT8biBlxnBF8r7she7gNSzOvJ958PWT09c/edit?usp=sharing"",""ลำพูน!I295"")+IMPORTRANGE(""https://docs.google.com/spreadsheets/d/1B0f2xJpZUC6Z0xXnqKlZtEPzsf6L84eP1r1Q15seqRM/edit?usp=sharing"",""สุโขทัย!I295"")+IMPORTRANGE(""http"&amp;"s://docs.google.com/spreadsheets/d/1v0b9pFQCsKUVExMei7AgY2yQkdeNQvtOssygGsXbiKo/edit?usp=sharing"",""อุตรดิตถ์!I295"")+IMPORTRANGE(""https://docs.google.com/spreadsheets/d/1UsNK1e-WWiCo2PvGqdNfdme4m17_Ezd3J69EeeiQPD0/edit?usp=sharing"",""อุทัยธานี!I295"")"),410)</f>
        <v>410</v>
      </c>
      <c r="J295" s="151">
        <f ca="1">IFERROR(__xludf.DUMMYFUNCTION("IMPORTRANGE(""https://docs.google.com/spreadsheets/d/1jTcq05yEiRwXcBMLjiodW9e4biSGYWAHcDj22rKWQ3s/edit?usp=sharing"",""กำแพงเพชร!J295"")+IMPORTRANGE(""https://docs.google.com/spreadsheets/d/1KS0zmDSZPk8KnTAbGN-Xk6MtX1YRZD0ldgdt20K4CRk/edit?usp=sharing"","&amp;"""เชียงราย!J295"")+IMPORTRANGE(""https://docs.google.com/spreadsheets/d/1rEDxBtusbi64tE0zunoIbsTVV16HeL0oJ6trHQeQ7K8/edit?usp=sharing"",""เชียงใหม่!J295"")+IMPORTRANGE(""https://docs.google.com/spreadsheets/d/1W6MnUbDkMi6xHnHko_XkFDO9kkuL6Wqyc-6OCDFjW9I/e"&amp;"dit?usp=sharing"",""ตาก!J295"")+IMPORTRANGE(""https://docs.google.com/spreadsheets/d/1IQAWArduLkta9LpYo4a_ULsyqdta6-6aDDiwpUnQT6c/edit?usp=sharing"",""นครสวรรค์!J295"")+IMPORTRANGE(""https://docs.google.com/spreadsheets/d/10s13Sk5xrltsiR-Zkbmk5DwIaDIKO8Xl"&amp;"bJAfqyT7Gvg/edit?usp=sharing"",""น่าน!J295"")+IMPORTRANGE(""https://docs.google.com/spreadsheets/d/1uu4nAn4Dbi1XREnLKKotUANlKXa7yCgRcgq8HEzQYW8/edit?usp=sharing"",""พะเยา!J295"")+IMPORTRANGE(""https://docs.google.com/spreadsheets/d/1xfJKIQxVOaPDIICqsflNlL"&amp;"u3JacTDk1FP9RH4phX7mI/edit?usp=sharing"",""พิจิตร!J295"")+IMPORTRANGE(""https://docs.google.com/spreadsheets/d/1JtRfZkJMHtEhI5RdRHxYUG4FIZHqKDpNyIuN7A1Q0_k/edit?usp=sharing"",""พิษณุโลก!J295"")+IMPORTRANGE(""https://docs.google.com/spreadsheets/d/1xlcVZWU"&amp;"Nn6SuWm0c307h32SiGkd9BaeQWlAktfD3KO8/edit?usp=sharing"",""เพชรบูรณ์!J295"")+IMPORTRANGE(""https://docs.google.com/spreadsheets/d/1lOVebEIsI9qjGXl6EX66luk7wiuP2tBaryw-wKvv4e0/edit?usp=sharing"",""แพร่!J295"")+IMPORTRANGE(""https://docs.google.com/spreadshe"&amp;"ets/d/1dQrvX0vEcN7Gu0fnZ0B5S90AeR19zth4XlExFBeExMY/edit?usp=sharing"",""แม่ฮ่องสอน!J295"")+IMPORTRANGE(""https://docs.google.com/spreadsheets/d/1DY4XTNNwjluuxqdfdn6qvOSlMRrZqUtmYcZR0ttFiG4/edit?usp=sharing"",""ลำปาง!J295"")+IMPORTRANGE(""https://docs.goog"&amp;"le.com/spreadsheets/d/1ICwG78r0OFT8biBlxnBF8r7she7gNSzOvJ958PWT09c/edit?usp=sharing"",""ลำพูน!J295"")+IMPORTRANGE(""https://docs.google.com/spreadsheets/d/1B0f2xJpZUC6Z0xXnqKlZtEPzsf6L84eP1r1Q15seqRM/edit?usp=sharing"",""สุโขทัย!J295"")+IMPORTRANGE(""http"&amp;"s://docs.google.com/spreadsheets/d/1v0b9pFQCsKUVExMei7AgY2yQkdeNQvtOssygGsXbiKo/edit?usp=sharing"",""อุตรดิตถ์!J295"")+IMPORTRANGE(""https://docs.google.com/spreadsheets/d/1UsNK1e-WWiCo2PvGqdNfdme4m17_Ezd3J69EeeiQPD0/edit?usp=sharing"",""อุทัยธานี!J295"")"),413)</f>
        <v>413</v>
      </c>
      <c r="K295" s="152">
        <f t="shared" ref="K295:K296" ca="1" si="220">IF(I295&gt;0,J295*100/I295,0)</f>
        <v>100.73170731707317</v>
      </c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jTcq05yEiRwXcBMLjiodW9e4biSGYWAHcDj22rKWQ3s/edit?usp=sharing"",""กำแพงเพชร!I296"")+IMPORTRANGE(""https://docs.google.com/spreadsheets/d/1KS0zmDSZPk8KnTAbGN-Xk6MtX1YRZD0ldgdt20K4CRk/edit?usp=sharing"","&amp;"""เชียงราย!I296"")+IMPORTRANGE(""https://docs.google.com/spreadsheets/d/1rEDxBtusbi64tE0zunoIbsTVV16HeL0oJ6trHQeQ7K8/edit?usp=sharing"",""เชียงใหม่!I296"")+IMPORTRANGE(""https://docs.google.com/spreadsheets/d/1W6MnUbDkMi6xHnHko_XkFDO9kkuL6Wqyc-6OCDFjW9I/e"&amp;"dit?usp=sharing"",""ตาก!I296"")+IMPORTRANGE(""https://docs.google.com/spreadsheets/d/1IQAWArduLkta9LpYo4a_ULsyqdta6-6aDDiwpUnQT6c/edit?usp=sharing"",""นครสวรรค์!I296"")+IMPORTRANGE(""https://docs.google.com/spreadsheets/d/10s13Sk5xrltsiR-Zkbmk5DwIaDIKO8Xl"&amp;"bJAfqyT7Gvg/edit?usp=sharing"",""น่าน!I296"")+IMPORTRANGE(""https://docs.google.com/spreadsheets/d/1uu4nAn4Dbi1XREnLKKotUANlKXa7yCgRcgq8HEzQYW8/edit?usp=sharing"",""พะเยา!I296"")+IMPORTRANGE(""https://docs.google.com/spreadsheets/d/1xfJKIQxVOaPDIICqsflNlL"&amp;"u3JacTDk1FP9RH4phX7mI/edit?usp=sharing"",""พิจิตร!I296"")+IMPORTRANGE(""https://docs.google.com/spreadsheets/d/1JtRfZkJMHtEhI5RdRHxYUG4FIZHqKDpNyIuN7A1Q0_k/edit?usp=sharing"",""พิษณุโลก!I296"")+IMPORTRANGE(""https://docs.google.com/spreadsheets/d/1xlcVZWU"&amp;"Nn6SuWm0c307h32SiGkd9BaeQWlAktfD3KO8/edit?usp=sharing"",""เพชรบูรณ์!I296"")+IMPORTRANGE(""https://docs.google.com/spreadsheets/d/1lOVebEIsI9qjGXl6EX66luk7wiuP2tBaryw-wKvv4e0/edit?usp=sharing"",""แพร่!I296"")+IMPORTRANGE(""https://docs.google.com/spreadshe"&amp;"ets/d/1dQrvX0vEcN7Gu0fnZ0B5S90AeR19zth4XlExFBeExMY/edit?usp=sharing"",""แม่ฮ่องสอน!I296"")+IMPORTRANGE(""https://docs.google.com/spreadsheets/d/1DY4XTNNwjluuxqdfdn6qvOSlMRrZqUtmYcZR0ttFiG4/edit?usp=sharing"",""ลำปาง!I296"")+IMPORTRANGE(""https://docs.goog"&amp;"le.com/spreadsheets/d/1ICwG78r0OFT8biBlxnBF8r7she7gNSzOvJ958PWT09c/edit?usp=sharing"",""ลำพูน!I296"")+IMPORTRANGE(""https://docs.google.com/spreadsheets/d/1B0f2xJpZUC6Z0xXnqKlZtEPzsf6L84eP1r1Q15seqRM/edit?usp=sharing"",""สุโขทัย!I296"")+IMPORTRANGE(""http"&amp;"s://docs.google.com/spreadsheets/d/1v0b9pFQCsKUVExMei7AgY2yQkdeNQvtOssygGsXbiKo/edit?usp=sharing"",""อุตรดิตถ์!I296"")+IMPORTRANGE(""https://docs.google.com/spreadsheets/d/1UsNK1e-WWiCo2PvGqdNfdme4m17_Ezd3J69EeeiQPD0/edit?usp=sharing"",""อุทัยธานี!I296"")"),410)</f>
        <v>410</v>
      </c>
      <c r="J296" s="151">
        <f ca="1">IFERROR(__xludf.DUMMYFUNCTION("IMPORTRANGE(""https://docs.google.com/spreadsheets/d/1jTcq05yEiRwXcBMLjiodW9e4biSGYWAHcDj22rKWQ3s/edit?usp=sharing"",""กำแพงเพชร!J296"")+IMPORTRANGE(""https://docs.google.com/spreadsheets/d/1KS0zmDSZPk8KnTAbGN-Xk6MtX1YRZD0ldgdt20K4CRk/edit?usp=sharing"","&amp;"""เชียงราย!J296"")+IMPORTRANGE(""https://docs.google.com/spreadsheets/d/1rEDxBtusbi64tE0zunoIbsTVV16HeL0oJ6trHQeQ7K8/edit?usp=sharing"",""เชียงใหม่!J296"")+IMPORTRANGE(""https://docs.google.com/spreadsheets/d/1W6MnUbDkMi6xHnHko_XkFDO9kkuL6Wqyc-6OCDFjW9I/e"&amp;"dit?usp=sharing"",""ตาก!J296"")+IMPORTRANGE(""https://docs.google.com/spreadsheets/d/1IQAWArduLkta9LpYo4a_ULsyqdta6-6aDDiwpUnQT6c/edit?usp=sharing"",""นครสวรรค์!J296"")+IMPORTRANGE(""https://docs.google.com/spreadsheets/d/10s13Sk5xrltsiR-Zkbmk5DwIaDIKO8Xl"&amp;"bJAfqyT7Gvg/edit?usp=sharing"",""น่าน!J296"")+IMPORTRANGE(""https://docs.google.com/spreadsheets/d/1uu4nAn4Dbi1XREnLKKotUANlKXa7yCgRcgq8HEzQYW8/edit?usp=sharing"",""พะเยา!J296"")+IMPORTRANGE(""https://docs.google.com/spreadsheets/d/1xfJKIQxVOaPDIICqsflNlL"&amp;"u3JacTDk1FP9RH4phX7mI/edit?usp=sharing"",""พิจิตร!J296"")+IMPORTRANGE(""https://docs.google.com/spreadsheets/d/1JtRfZkJMHtEhI5RdRHxYUG4FIZHqKDpNyIuN7A1Q0_k/edit?usp=sharing"",""พิษณุโลก!J296"")+IMPORTRANGE(""https://docs.google.com/spreadsheets/d/1xlcVZWU"&amp;"Nn6SuWm0c307h32SiGkd9BaeQWlAktfD3KO8/edit?usp=sharing"",""เพชรบูรณ์!J296"")+IMPORTRANGE(""https://docs.google.com/spreadsheets/d/1lOVebEIsI9qjGXl6EX66luk7wiuP2tBaryw-wKvv4e0/edit?usp=sharing"",""แพร่!J296"")+IMPORTRANGE(""https://docs.google.com/spreadshe"&amp;"ets/d/1dQrvX0vEcN7Gu0fnZ0B5S90AeR19zth4XlExFBeExMY/edit?usp=sharing"",""แม่ฮ่องสอน!J296"")+IMPORTRANGE(""https://docs.google.com/spreadsheets/d/1DY4XTNNwjluuxqdfdn6qvOSlMRrZqUtmYcZR0ttFiG4/edit?usp=sharing"",""ลำปาง!J296"")+IMPORTRANGE(""https://docs.goog"&amp;"le.com/spreadsheets/d/1ICwG78r0OFT8biBlxnBF8r7she7gNSzOvJ958PWT09c/edit?usp=sharing"",""ลำพูน!J296"")+IMPORTRANGE(""https://docs.google.com/spreadsheets/d/1B0f2xJpZUC6Z0xXnqKlZtEPzsf6L84eP1r1Q15seqRM/edit?usp=sharing"",""สุโขทัย!J296"")+IMPORTRANGE(""http"&amp;"s://docs.google.com/spreadsheets/d/1v0b9pFQCsKUVExMei7AgY2yQkdeNQvtOssygGsXbiKo/edit?usp=sharing"",""อุตรดิตถ์!J296"")+IMPORTRANGE(""https://docs.google.com/spreadsheets/d/1UsNK1e-WWiCo2PvGqdNfdme4m17_Ezd3J69EeeiQPD0/edit?usp=sharing"",""อุทัยธานี!J296"")"),402)</f>
        <v>402</v>
      </c>
      <c r="K296" s="152">
        <f t="shared" ca="1" si="220"/>
        <v>98.048780487804876</v>
      </c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2"/>
      <c r="B297" s="163"/>
      <c r="C297" s="163"/>
      <c r="D297" s="18"/>
      <c r="E297" s="18"/>
      <c r="F297" s="18"/>
      <c r="G297" s="19"/>
      <c r="H297" s="19"/>
      <c r="I297" s="20"/>
      <c r="J297" s="20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12.75" hidden="1" x14ac:dyDescent="0.2">
      <c r="A298" s="162"/>
      <c r="B298" s="163"/>
      <c r="C298" s="163"/>
      <c r="D298" s="18"/>
      <c r="E298" s="18"/>
      <c r="F298" s="18"/>
      <c r="G298" s="19"/>
      <c r="H298" s="19"/>
      <c r="I298" s="20"/>
      <c r="J298" s="20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1:21" ht="12.75" hidden="1" x14ac:dyDescent="0.2">
      <c r="A299" s="277"/>
      <c r="B299" s="278"/>
      <c r="C299" s="278"/>
      <c r="D299" s="22"/>
      <c r="E299" s="22"/>
      <c r="F299" s="22"/>
      <c r="G299" s="14"/>
      <c r="H299" s="14"/>
      <c r="I299" s="15"/>
      <c r="J299" s="15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 ht="19.5" x14ac:dyDescent="0.3">
      <c r="A300" s="279" t="s">
        <v>125</v>
      </c>
      <c r="B300" s="280"/>
      <c r="C300" s="280"/>
      <c r="D300" s="280"/>
      <c r="E300" s="281"/>
      <c r="F300" s="281"/>
      <c r="G300" s="281"/>
      <c r="H300" s="281"/>
      <c r="I300" s="282"/>
      <c r="J300" s="282"/>
      <c r="K300" s="283"/>
      <c r="L300" s="283"/>
      <c r="M300" s="283"/>
      <c r="N300" s="283"/>
      <c r="O300" s="283"/>
      <c r="P300" s="284"/>
      <c r="Q300" s="283"/>
      <c r="R300" s="283"/>
      <c r="S300" s="283"/>
      <c r="T300" s="283"/>
      <c r="U300" s="284"/>
    </row>
    <row r="301" spans="1:21" ht="19.5" x14ac:dyDescent="0.3">
      <c r="A301" s="285" t="s">
        <v>126</v>
      </c>
      <c r="B301" s="286"/>
      <c r="C301" s="286"/>
      <c r="D301" s="287"/>
      <c r="E301" s="287"/>
      <c r="F301" s="287"/>
      <c r="G301" s="288"/>
      <c r="H301" s="288"/>
      <c r="I301" s="289"/>
      <c r="J301" s="289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</row>
    <row r="302" spans="1:21" ht="19.5" x14ac:dyDescent="0.3">
      <c r="A302" s="291"/>
      <c r="B302" s="292" t="s">
        <v>127</v>
      </c>
      <c r="C302" s="293"/>
      <c r="D302" s="293"/>
      <c r="E302" s="293"/>
      <c r="F302" s="293"/>
      <c r="G302" s="294"/>
      <c r="H302" s="295" t="s">
        <v>35</v>
      </c>
      <c r="I302" s="296">
        <f t="shared" ref="I302:J302" ca="1" si="221">I314</f>
        <v>435</v>
      </c>
      <c r="J302" s="296">
        <f t="shared" ca="1" si="221"/>
        <v>305</v>
      </c>
      <c r="K302" s="297">
        <f ca="1">IF(I302&gt;0,J302*100/I302,0)</f>
        <v>70.114942528735625</v>
      </c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</row>
    <row r="303" spans="1:21" ht="19.5" x14ac:dyDescent="0.3">
      <c r="A303" s="128"/>
      <c r="B303" s="40"/>
      <c r="C303" s="129" t="s">
        <v>18</v>
      </c>
      <c r="D303" s="130" t="s">
        <v>19</v>
      </c>
      <c r="E303" s="40"/>
      <c r="F303" s="40"/>
      <c r="G303" s="42"/>
      <c r="H303" s="131" t="s">
        <v>14</v>
      </c>
      <c r="I303" s="44"/>
      <c r="J303" s="44"/>
      <c r="K303" s="45"/>
      <c r="L303" s="132">
        <f t="shared" ref="L303:N303" ca="1" si="222">L304+L305</f>
        <v>2212000</v>
      </c>
      <c r="M303" s="132">
        <f t="shared" ca="1" si="222"/>
        <v>2012500</v>
      </c>
      <c r="N303" s="132">
        <f t="shared" ca="1" si="222"/>
        <v>1464975.81</v>
      </c>
      <c r="O303" s="132">
        <f t="shared" ref="O303:O311" ca="1" si="223">IF(L303&gt;0,N303*100/L303,0)</f>
        <v>66.228562839059677</v>
      </c>
      <c r="P303" s="132">
        <f t="shared" ref="P303:P311" ca="1" si="224">IF(M303&gt;0,N303*100/M303,0)</f>
        <v>72.793829068322978</v>
      </c>
      <c r="Q303" s="132">
        <f t="shared" ref="Q303:S303" ca="1" si="225">Q304+Q305</f>
        <v>3447352.04</v>
      </c>
      <c r="R303" s="132">
        <f t="shared" ca="1" si="225"/>
        <v>3447347</v>
      </c>
      <c r="S303" s="132">
        <f t="shared" ca="1" si="225"/>
        <v>405231</v>
      </c>
      <c r="T303" s="132">
        <f t="shared" ref="T303:T311" ca="1" si="226">IF(Q303&gt;0,S303*100/Q303,0)</f>
        <v>11.754848222579554</v>
      </c>
      <c r="U303" s="132">
        <f t="shared" ref="U303:U311" ca="1" si="227">IF(R303&gt;0,S303*100/R303,0)</f>
        <v>11.754865408094979</v>
      </c>
    </row>
    <row r="304" spans="1:21" ht="18.75" x14ac:dyDescent="0.25">
      <c r="A304" s="128"/>
      <c r="B304" s="40"/>
      <c r="C304" s="40"/>
      <c r="D304" s="40"/>
      <c r="E304" s="47" t="s">
        <v>20</v>
      </c>
      <c r="F304" s="40"/>
      <c r="G304" s="42"/>
      <c r="H304" s="133" t="s">
        <v>14</v>
      </c>
      <c r="I304" s="44"/>
      <c r="J304" s="44"/>
      <c r="K304" s="45"/>
      <c r="L304" s="46">
        <f t="shared" ref="L304:N304" ca="1" si="228">L307+L310</f>
        <v>0</v>
      </c>
      <c r="M304" s="46">
        <f t="shared" ca="1" si="228"/>
        <v>0</v>
      </c>
      <c r="N304" s="46">
        <f t="shared" ca="1" si="228"/>
        <v>0</v>
      </c>
      <c r="O304" s="46">
        <f t="shared" ca="1" si="223"/>
        <v>0</v>
      </c>
      <c r="P304" s="46">
        <f t="shared" ca="1" si="224"/>
        <v>0</v>
      </c>
      <c r="Q304" s="48">
        <f t="shared" ref="Q304:S304" ca="1" si="229">Q307+Q310</f>
        <v>0</v>
      </c>
      <c r="R304" s="48">
        <f t="shared" ca="1" si="229"/>
        <v>0</v>
      </c>
      <c r="S304" s="48">
        <f t="shared" ca="1" si="229"/>
        <v>0</v>
      </c>
      <c r="T304" s="48">
        <f t="shared" ca="1" si="226"/>
        <v>0</v>
      </c>
      <c r="U304" s="48">
        <f t="shared" ca="1" si="227"/>
        <v>0</v>
      </c>
    </row>
    <row r="305" spans="1:21" ht="18.75" x14ac:dyDescent="0.25">
      <c r="A305" s="128"/>
      <c r="B305" s="40"/>
      <c r="C305" s="40"/>
      <c r="D305" s="40"/>
      <c r="E305" s="47" t="s">
        <v>21</v>
      </c>
      <c r="F305" s="40"/>
      <c r="G305" s="42"/>
      <c r="H305" s="133" t="s">
        <v>14</v>
      </c>
      <c r="I305" s="44"/>
      <c r="J305" s="44"/>
      <c r="K305" s="45"/>
      <c r="L305" s="46">
        <f t="shared" ref="L305:N305" ca="1" si="230">L308+L311</f>
        <v>2212000</v>
      </c>
      <c r="M305" s="46">
        <f t="shared" ca="1" si="230"/>
        <v>2012500</v>
      </c>
      <c r="N305" s="46">
        <f t="shared" ca="1" si="230"/>
        <v>1464975.81</v>
      </c>
      <c r="O305" s="46">
        <f t="shared" ca="1" si="223"/>
        <v>66.228562839059677</v>
      </c>
      <c r="P305" s="46">
        <f t="shared" ca="1" si="224"/>
        <v>72.793829068322978</v>
      </c>
      <c r="Q305" s="46">
        <f t="shared" ref="Q305:S305" ca="1" si="231">Q308+Q311</f>
        <v>3447352.04</v>
      </c>
      <c r="R305" s="46">
        <f t="shared" ca="1" si="231"/>
        <v>3447347</v>
      </c>
      <c r="S305" s="46">
        <f t="shared" ca="1" si="231"/>
        <v>405231</v>
      </c>
      <c r="T305" s="46">
        <f t="shared" ca="1" si="226"/>
        <v>11.754848222579554</v>
      </c>
      <c r="U305" s="46">
        <f t="shared" ca="1" si="227"/>
        <v>11.754865408094979</v>
      </c>
    </row>
    <row r="306" spans="1:21" ht="18.75" x14ac:dyDescent="0.25">
      <c r="A306" s="128"/>
      <c r="B306" s="40"/>
      <c r="C306" s="40"/>
      <c r="D306" s="41" t="s">
        <v>22</v>
      </c>
      <c r="E306" s="40"/>
      <c r="F306" s="40"/>
      <c r="G306" s="42"/>
      <c r="H306" s="134" t="s">
        <v>14</v>
      </c>
      <c r="I306" s="135"/>
      <c r="J306" s="135"/>
      <c r="K306" s="136"/>
      <c r="L306" s="46">
        <f t="shared" ref="L306:N306" ca="1" si="232">L307+L308</f>
        <v>2212000</v>
      </c>
      <c r="M306" s="46">
        <f t="shared" ca="1" si="232"/>
        <v>2012500</v>
      </c>
      <c r="N306" s="46">
        <f t="shared" ca="1" si="232"/>
        <v>1464975.81</v>
      </c>
      <c r="O306" s="46">
        <f t="shared" ca="1" si="223"/>
        <v>66.228562839059677</v>
      </c>
      <c r="P306" s="46">
        <f t="shared" ca="1" si="224"/>
        <v>72.793829068322978</v>
      </c>
      <c r="Q306" s="46">
        <f t="shared" ref="Q306:S306" ca="1" si="233">Q307+Q308</f>
        <v>3447352.04</v>
      </c>
      <c r="R306" s="46">
        <f t="shared" ca="1" si="233"/>
        <v>3447347</v>
      </c>
      <c r="S306" s="46">
        <f t="shared" ca="1" si="233"/>
        <v>405231</v>
      </c>
      <c r="T306" s="46">
        <f t="shared" ca="1" si="226"/>
        <v>11.754848222579554</v>
      </c>
      <c r="U306" s="46">
        <f t="shared" ca="1" si="227"/>
        <v>11.754865408094979</v>
      </c>
    </row>
    <row r="307" spans="1:21" ht="18.75" x14ac:dyDescent="0.25">
      <c r="A307" s="128"/>
      <c r="B307" s="40"/>
      <c r="C307" s="40"/>
      <c r="D307" s="40"/>
      <c r="E307" s="47" t="s">
        <v>36</v>
      </c>
      <c r="F307" s="40"/>
      <c r="G307" s="42"/>
      <c r="H307" s="134" t="s">
        <v>14</v>
      </c>
      <c r="I307" s="135"/>
      <c r="J307" s="135"/>
      <c r="K307" s="136"/>
      <c r="L307" s="46">
        <f ca="1">IFERROR(__xludf.DUMMYFUNCTION("IMPORTRANGE(""https://docs.google.com/spreadsheets/d/1jTcq05yEiRwXcBMLjiodW9e4biSGYWAHcDj22rKWQ3s/edit?usp=sharing"",""กำแพงเพชร!L307"")+IMPORTRANGE(""https://docs.google.com/spreadsheets/d/1KS0zmDSZPk8KnTAbGN-Xk6MtX1YRZD0ldgdt20K4CRk/edit?usp=sharing"","&amp;"""เชียงราย!L307"")+IMPORTRANGE(""https://docs.google.com/spreadsheets/d/1rEDxBtusbi64tE0zunoIbsTVV16HeL0oJ6trHQeQ7K8/edit?usp=sharing"",""เชียงใหม่!L307"")+IMPORTRANGE(""https://docs.google.com/spreadsheets/d/1W6MnUbDkMi6xHnHko_XkFDO9kkuL6Wqyc-6OCDFjW9I/e"&amp;"dit?usp=sharing"",""ตาก!L307"")+IMPORTRANGE(""https://docs.google.com/spreadsheets/d/1IQAWArduLkta9LpYo4a_ULsyqdta6-6aDDiwpUnQT6c/edit?usp=sharing"",""นครสวรรค์!L307"")+IMPORTRANGE(""https://docs.google.com/spreadsheets/d/10s13Sk5xrltsiR-Zkbmk5DwIaDIKO8Xl"&amp;"bJAfqyT7Gvg/edit?usp=sharing"",""น่าน!L307"")+IMPORTRANGE(""https://docs.google.com/spreadsheets/d/1uu4nAn4Dbi1XREnLKKotUANlKXa7yCgRcgq8HEzQYW8/edit?usp=sharing"",""พะเยา!L307"")+IMPORTRANGE(""https://docs.google.com/spreadsheets/d/1xfJKIQxVOaPDIICqsflNlL"&amp;"u3JacTDk1FP9RH4phX7mI/edit?usp=sharing"",""พิจิตร!L307"")+IMPORTRANGE(""https://docs.google.com/spreadsheets/d/1JtRfZkJMHtEhI5RdRHxYUG4FIZHqKDpNyIuN7A1Q0_k/edit?usp=sharing"",""พิษณุโลก!L307"")+IMPORTRANGE(""https://docs.google.com/spreadsheets/d/1xlcVZWU"&amp;"Nn6SuWm0c307h32SiGkd9BaeQWlAktfD3KO8/edit?usp=sharing"",""เพชรบูรณ์!L307"")+IMPORTRANGE(""https://docs.google.com/spreadsheets/d/1lOVebEIsI9qjGXl6EX66luk7wiuP2tBaryw-wKvv4e0/edit?usp=sharing"",""แพร่!L307"")+IMPORTRANGE(""https://docs.google.com/spreadshe"&amp;"ets/d/1dQrvX0vEcN7Gu0fnZ0B5S90AeR19zth4XlExFBeExMY/edit?usp=sharing"",""แม่ฮ่องสอน!L307"")+IMPORTRANGE(""https://docs.google.com/spreadsheets/d/1DY4XTNNwjluuxqdfdn6qvOSlMRrZqUtmYcZR0ttFiG4/edit?usp=sharing"",""ลำปาง!L307"")+IMPORTRANGE(""https://docs.goog"&amp;"le.com/spreadsheets/d/1ICwG78r0OFT8biBlxnBF8r7she7gNSzOvJ958PWT09c/edit?usp=sharing"",""ลำพูน!L307"")+IMPORTRANGE(""https://docs.google.com/spreadsheets/d/1B0f2xJpZUC6Z0xXnqKlZtEPzsf6L84eP1r1Q15seqRM/edit?usp=sharing"",""สุโขทัย!L307"")+IMPORTRANGE(""http"&amp;"s://docs.google.com/spreadsheets/d/1v0b9pFQCsKUVExMei7AgY2yQkdeNQvtOssygGsXbiKo/edit?usp=sharing"",""อุตรดิตถ์!L307"")+IMPORTRANGE(""https://docs.google.com/spreadsheets/d/1UsNK1e-WWiCo2PvGqdNfdme4m17_Ezd3J69EeeiQPD0/edit?usp=sharing"",""อุทัยธานี!L307"")"),0)</f>
        <v>0</v>
      </c>
      <c r="M307" s="46">
        <f ca="1">IFERROR(__xludf.DUMMYFUNCTION("IMPORTRANGE(""https://docs.google.com/spreadsheets/d/1jTcq05yEiRwXcBMLjiodW9e4biSGYWAHcDj22rKWQ3s/edit?usp=sharing"",""กำแพงเพชร!M307"")+IMPORTRANGE(""https://docs.google.com/spreadsheets/d/1KS0zmDSZPk8KnTAbGN-Xk6MtX1YRZD0ldgdt20K4CRk/edit?usp=sharing"","&amp;"""เชียงราย!M307"")+IMPORTRANGE(""https://docs.google.com/spreadsheets/d/1rEDxBtusbi64tE0zunoIbsTVV16HeL0oJ6trHQeQ7K8/edit?usp=sharing"",""เชียงใหม่!M307"")+IMPORTRANGE(""https://docs.google.com/spreadsheets/d/1W6MnUbDkMi6xHnHko_XkFDO9kkuL6Wqyc-6OCDFjW9I/e"&amp;"dit?usp=sharing"",""ตาก!M307"")+IMPORTRANGE(""https://docs.google.com/spreadsheets/d/1IQAWArduLkta9LpYo4a_ULsyqdta6-6aDDiwpUnQT6c/edit?usp=sharing"",""นครสวรรค์!M307"")+IMPORTRANGE(""https://docs.google.com/spreadsheets/d/10s13Sk5xrltsiR-Zkbmk5DwIaDIKO8Xl"&amp;"bJAfqyT7Gvg/edit?usp=sharing"",""น่าน!M307"")+IMPORTRANGE(""https://docs.google.com/spreadsheets/d/1uu4nAn4Dbi1XREnLKKotUANlKXa7yCgRcgq8HEzQYW8/edit?usp=sharing"",""พะเยา!M307"")+IMPORTRANGE(""https://docs.google.com/spreadsheets/d/1xfJKIQxVOaPDIICqsflNlL"&amp;"u3JacTDk1FP9RH4phX7mI/edit?usp=sharing"",""พิจิตร!M307"")+IMPORTRANGE(""https://docs.google.com/spreadsheets/d/1JtRfZkJMHtEhI5RdRHxYUG4FIZHqKDpNyIuN7A1Q0_k/edit?usp=sharing"",""พิษณุโลก!M307"")+IMPORTRANGE(""https://docs.google.com/spreadsheets/d/1xlcVZWU"&amp;"Nn6SuWm0c307h32SiGkd9BaeQWlAktfD3KO8/edit?usp=sharing"",""เพชรบูรณ์!M307"")+IMPORTRANGE(""https://docs.google.com/spreadsheets/d/1lOVebEIsI9qjGXl6EX66luk7wiuP2tBaryw-wKvv4e0/edit?usp=sharing"",""แพร่!M307"")+IMPORTRANGE(""https://docs.google.com/spreadshe"&amp;"ets/d/1dQrvX0vEcN7Gu0fnZ0B5S90AeR19zth4XlExFBeExMY/edit?usp=sharing"",""แม่ฮ่องสอน!M307"")+IMPORTRANGE(""https://docs.google.com/spreadsheets/d/1DY4XTNNwjluuxqdfdn6qvOSlMRrZqUtmYcZR0ttFiG4/edit?usp=sharing"",""ลำปาง!M307"")+IMPORTRANGE(""https://docs.goog"&amp;"le.com/spreadsheets/d/1ICwG78r0OFT8biBlxnBF8r7she7gNSzOvJ958PWT09c/edit?usp=sharing"",""ลำพูน!M307"")+IMPORTRANGE(""https://docs.google.com/spreadsheets/d/1B0f2xJpZUC6Z0xXnqKlZtEPzsf6L84eP1r1Q15seqRM/edit?usp=sharing"",""สุโขทัย!M307"")+IMPORTRANGE(""http"&amp;"s://docs.google.com/spreadsheets/d/1v0b9pFQCsKUVExMei7AgY2yQkdeNQvtOssygGsXbiKo/edit?usp=sharing"",""อุตรดิตถ์!M307"")+IMPORTRANGE(""https://docs.google.com/spreadsheets/d/1UsNK1e-WWiCo2PvGqdNfdme4m17_Ezd3J69EeeiQPD0/edit?usp=sharing"",""อุทัยธานี!M307"")"),0)</f>
        <v>0</v>
      </c>
      <c r="N307" s="46">
        <f ca="1">IFERROR(__xludf.DUMMYFUNCTION("IMPORTRANGE(""https://docs.google.com/spreadsheets/d/1jTcq05yEiRwXcBMLjiodW9e4biSGYWAHcDj22rKWQ3s/edit?usp=sharing"",""กำแพงเพชร!N307"")+IMPORTRANGE(""https://docs.google.com/spreadsheets/d/1KS0zmDSZPk8KnTAbGN-Xk6MtX1YRZD0ldgdt20K4CRk/edit?usp=sharing"","&amp;"""เชียงราย!N307"")+IMPORTRANGE(""https://docs.google.com/spreadsheets/d/1rEDxBtusbi64tE0zunoIbsTVV16HeL0oJ6trHQeQ7K8/edit?usp=sharing"",""เชียงใหม่!N307"")+IMPORTRANGE(""https://docs.google.com/spreadsheets/d/1W6MnUbDkMi6xHnHko_XkFDO9kkuL6Wqyc-6OCDFjW9I/e"&amp;"dit?usp=sharing"",""ตาก!N307"")+IMPORTRANGE(""https://docs.google.com/spreadsheets/d/1IQAWArduLkta9LpYo4a_ULsyqdta6-6aDDiwpUnQT6c/edit?usp=sharing"",""นครสวรรค์!N307"")+IMPORTRANGE(""https://docs.google.com/spreadsheets/d/10s13Sk5xrltsiR-Zkbmk5DwIaDIKO8Xl"&amp;"bJAfqyT7Gvg/edit?usp=sharing"",""น่าน!N307"")+IMPORTRANGE(""https://docs.google.com/spreadsheets/d/1uu4nAn4Dbi1XREnLKKotUANlKXa7yCgRcgq8HEzQYW8/edit?usp=sharing"",""พะเยา!N307"")+IMPORTRANGE(""https://docs.google.com/spreadsheets/d/1xfJKIQxVOaPDIICqsflNlL"&amp;"u3JacTDk1FP9RH4phX7mI/edit?usp=sharing"",""พิจิตร!N307"")+IMPORTRANGE(""https://docs.google.com/spreadsheets/d/1JtRfZkJMHtEhI5RdRHxYUG4FIZHqKDpNyIuN7A1Q0_k/edit?usp=sharing"",""พิษณุโลก!N307"")+IMPORTRANGE(""https://docs.google.com/spreadsheets/d/1xlcVZWU"&amp;"Nn6SuWm0c307h32SiGkd9BaeQWlAktfD3KO8/edit?usp=sharing"",""เพชรบูรณ์!N307"")+IMPORTRANGE(""https://docs.google.com/spreadsheets/d/1lOVebEIsI9qjGXl6EX66luk7wiuP2tBaryw-wKvv4e0/edit?usp=sharing"",""แพร่!N307"")+IMPORTRANGE(""https://docs.google.com/spreadshe"&amp;"ets/d/1dQrvX0vEcN7Gu0fnZ0B5S90AeR19zth4XlExFBeExMY/edit?usp=sharing"",""แม่ฮ่องสอน!N307"")+IMPORTRANGE(""https://docs.google.com/spreadsheets/d/1DY4XTNNwjluuxqdfdn6qvOSlMRrZqUtmYcZR0ttFiG4/edit?usp=sharing"",""ลำปาง!N307"")+IMPORTRANGE(""https://docs.goog"&amp;"le.com/spreadsheets/d/1ICwG78r0OFT8biBlxnBF8r7she7gNSzOvJ958PWT09c/edit?usp=sharing"",""ลำพูน!N307"")+IMPORTRANGE(""https://docs.google.com/spreadsheets/d/1B0f2xJpZUC6Z0xXnqKlZtEPzsf6L84eP1r1Q15seqRM/edit?usp=sharing"",""สุโขทัย!N307"")+IMPORTRANGE(""http"&amp;"s://docs.google.com/spreadsheets/d/1v0b9pFQCsKUVExMei7AgY2yQkdeNQvtOssygGsXbiKo/edit?usp=sharing"",""อุตรดิตถ์!N307"")+IMPORTRANGE(""https://docs.google.com/spreadsheets/d/1UsNK1e-WWiCo2PvGqdNfdme4m17_Ezd3J69EeeiQPD0/edit?usp=sharing"",""อุทัยธานี!N307"")"),0)</f>
        <v>0</v>
      </c>
      <c r="O307" s="46">
        <f t="shared" ca="1" si="223"/>
        <v>0</v>
      </c>
      <c r="P307" s="46">
        <f t="shared" ca="1" si="224"/>
        <v>0</v>
      </c>
      <c r="Q307" s="48">
        <f ca="1">IFERROR(__xludf.DUMMYFUNCTION("IMPORTRANGE(""https://docs.google.com/spreadsheets/d/1jTcq05yEiRwXcBMLjiodW9e4biSGYWAHcDj22rKWQ3s/edit?usp=sharing"",""กำแพงเพชร!Q307"")+IMPORTRANGE(""https://docs.google.com/spreadsheets/d/1KS0zmDSZPk8KnTAbGN-Xk6MtX1YRZD0ldgdt20K4CRk/edit?usp=sharing"","&amp;"""เชียงราย!Q307"")+IMPORTRANGE(""https://docs.google.com/spreadsheets/d/1rEDxBtusbi64tE0zunoIbsTVV16HeL0oJ6trHQeQ7K8/edit?usp=sharing"",""เชียงใหม่!Q307"")+IMPORTRANGE(""https://docs.google.com/spreadsheets/d/1W6MnUbDkMi6xHnHko_XkFDO9kkuL6Wqyc-6OCDFjW9I/e"&amp;"dit?usp=sharing"",""ตาก!Q307"")+IMPORTRANGE(""https://docs.google.com/spreadsheets/d/1IQAWArduLkta9LpYo4a_ULsyqdta6-6aDDiwpUnQT6c/edit?usp=sharing"",""นครสวรรค์!Q307"")+IMPORTRANGE(""https://docs.google.com/spreadsheets/d/10s13Sk5xrltsiR-Zkbmk5DwIaDIKO8Xl"&amp;"bJAfqyT7Gvg/edit?usp=sharing"",""น่าน!Q307"")+IMPORTRANGE(""https://docs.google.com/spreadsheets/d/1uu4nAn4Dbi1XREnLKKotUANlKXa7yCgRcgq8HEzQYW8/edit?usp=sharing"",""พะเยา!Q307"")+IMPORTRANGE(""https://docs.google.com/spreadsheets/d/1xfJKIQxVOaPDIICqsflNlL"&amp;"u3JacTDk1FP9RH4phX7mI/edit?usp=sharing"",""พิจิตร!Q307"")+IMPORTRANGE(""https://docs.google.com/spreadsheets/d/1JtRfZkJMHtEhI5RdRHxYUG4FIZHqKDpNyIuN7A1Q0_k/edit?usp=sharing"",""พิษณุโลก!Q307"")+IMPORTRANGE(""https://docs.google.com/spreadsheets/d/1xlcVZWU"&amp;"Nn6SuWm0c307h32SiGkd9BaeQWlAktfD3KO8/edit?usp=sharing"",""เพชรบูรณ์!Q307"")+IMPORTRANGE(""https://docs.google.com/spreadsheets/d/1lOVebEIsI9qjGXl6EX66luk7wiuP2tBaryw-wKvv4e0/edit?usp=sharing"",""แพร่!Q307"")+IMPORTRANGE(""https://docs.google.com/spreadshe"&amp;"ets/d/1dQrvX0vEcN7Gu0fnZ0B5S90AeR19zth4XlExFBeExMY/edit?usp=sharing"",""แม่ฮ่องสอน!Q307"")+IMPORTRANGE(""https://docs.google.com/spreadsheets/d/1DY4XTNNwjluuxqdfdn6qvOSlMRrZqUtmYcZR0ttFiG4/edit?usp=sharing"",""ลำปาง!Q307"")+IMPORTRANGE(""https://docs.goog"&amp;"le.com/spreadsheets/d/1ICwG78r0OFT8biBlxnBF8r7she7gNSzOvJ958PWT09c/edit?usp=sharing"",""ลำพูน!Q307"")+IMPORTRANGE(""https://docs.google.com/spreadsheets/d/1B0f2xJpZUC6Z0xXnqKlZtEPzsf6L84eP1r1Q15seqRM/edit?usp=sharing"",""สุโขทัย!Q307"")+IMPORTRANGE(""http"&amp;"s://docs.google.com/spreadsheets/d/1v0b9pFQCsKUVExMei7AgY2yQkdeNQvtOssygGsXbiKo/edit?usp=sharing"",""อุตรดิตถ์!Q307"")+IMPORTRANGE(""https://docs.google.com/spreadsheets/d/1UsNK1e-WWiCo2PvGqdNfdme4m17_Ezd3J69EeeiQPD0/edit?usp=sharing"",""อุทัยธานี!Q307"")"),0)</f>
        <v>0</v>
      </c>
      <c r="R307" s="48">
        <f ca="1">IFERROR(__xludf.DUMMYFUNCTION("IMPORTRANGE(""https://docs.google.com/spreadsheets/d/1jTcq05yEiRwXcBMLjiodW9e4biSGYWAHcDj22rKWQ3s/edit?usp=sharing"",""กำแพงเพชร!R307"")+IMPORTRANGE(""https://docs.google.com/spreadsheets/d/1KS0zmDSZPk8KnTAbGN-Xk6MtX1YRZD0ldgdt20K4CRk/edit?usp=sharing"","&amp;"""เชียงราย!R307"")+IMPORTRANGE(""https://docs.google.com/spreadsheets/d/1rEDxBtusbi64tE0zunoIbsTVV16HeL0oJ6trHQeQ7K8/edit?usp=sharing"",""เชียงใหม่!R307"")+IMPORTRANGE(""https://docs.google.com/spreadsheets/d/1W6MnUbDkMi6xHnHko_XkFDO9kkuL6Wqyc-6OCDFjW9I/e"&amp;"dit?usp=sharing"",""ตาก!R307"")+IMPORTRANGE(""https://docs.google.com/spreadsheets/d/1IQAWArduLkta9LpYo4a_ULsyqdta6-6aDDiwpUnQT6c/edit?usp=sharing"",""นครสวรรค์!R307"")+IMPORTRANGE(""https://docs.google.com/spreadsheets/d/10s13Sk5xrltsiR-Zkbmk5DwIaDIKO8Xl"&amp;"bJAfqyT7Gvg/edit?usp=sharing"",""น่าน!R307"")+IMPORTRANGE(""https://docs.google.com/spreadsheets/d/1uu4nAn4Dbi1XREnLKKotUANlKXa7yCgRcgq8HEzQYW8/edit?usp=sharing"",""พะเยา!R307"")+IMPORTRANGE(""https://docs.google.com/spreadsheets/d/1xfJKIQxVOaPDIICqsflNlL"&amp;"u3JacTDk1FP9RH4phX7mI/edit?usp=sharing"",""พิจิตร!R307"")+IMPORTRANGE(""https://docs.google.com/spreadsheets/d/1JtRfZkJMHtEhI5RdRHxYUG4FIZHqKDpNyIuN7A1Q0_k/edit?usp=sharing"",""พิษณุโลก!R307"")+IMPORTRANGE(""https://docs.google.com/spreadsheets/d/1xlcVZWU"&amp;"Nn6SuWm0c307h32SiGkd9BaeQWlAktfD3KO8/edit?usp=sharing"",""เพชรบูรณ์!R307"")+IMPORTRANGE(""https://docs.google.com/spreadsheets/d/1lOVebEIsI9qjGXl6EX66luk7wiuP2tBaryw-wKvv4e0/edit?usp=sharing"",""แพร่!R307"")+IMPORTRANGE(""https://docs.google.com/spreadshe"&amp;"ets/d/1dQrvX0vEcN7Gu0fnZ0B5S90AeR19zth4XlExFBeExMY/edit?usp=sharing"",""แม่ฮ่องสอน!R307"")+IMPORTRANGE(""https://docs.google.com/spreadsheets/d/1DY4XTNNwjluuxqdfdn6qvOSlMRrZqUtmYcZR0ttFiG4/edit?usp=sharing"",""ลำปาง!R307"")+IMPORTRANGE(""https://docs.goog"&amp;"le.com/spreadsheets/d/1ICwG78r0OFT8biBlxnBF8r7she7gNSzOvJ958PWT09c/edit?usp=sharing"",""ลำพูน!R307"")+IMPORTRANGE(""https://docs.google.com/spreadsheets/d/1B0f2xJpZUC6Z0xXnqKlZtEPzsf6L84eP1r1Q15seqRM/edit?usp=sharing"",""สุโขทัย!R307"")+IMPORTRANGE(""http"&amp;"s://docs.google.com/spreadsheets/d/1v0b9pFQCsKUVExMei7AgY2yQkdeNQvtOssygGsXbiKo/edit?usp=sharing"",""อุตรดิตถ์!R307"")+IMPORTRANGE(""https://docs.google.com/spreadsheets/d/1UsNK1e-WWiCo2PvGqdNfdme4m17_Ezd3J69EeeiQPD0/edit?usp=sharing"",""อุทัยธานี!R307"")"),0)</f>
        <v>0</v>
      </c>
      <c r="S307" s="48">
        <f ca="1">IFERROR(__xludf.DUMMYFUNCTION("IMPORTRANGE(""https://docs.google.com/spreadsheets/d/1jTcq05yEiRwXcBMLjiodW9e4biSGYWAHcDj22rKWQ3s/edit?usp=sharing"",""กำแพงเพชร!S307"")+IMPORTRANGE(""https://docs.google.com/spreadsheets/d/1KS0zmDSZPk8KnTAbGN-Xk6MtX1YRZD0ldgdt20K4CRk/edit?usp=sharing"","&amp;"""เชียงราย!S307"")+IMPORTRANGE(""https://docs.google.com/spreadsheets/d/1rEDxBtusbi64tE0zunoIbsTVV16HeL0oJ6trHQeQ7K8/edit?usp=sharing"",""เชียงใหม่!S307"")+IMPORTRANGE(""https://docs.google.com/spreadsheets/d/1W6MnUbDkMi6xHnHko_XkFDO9kkuL6Wqyc-6OCDFjW9I/e"&amp;"dit?usp=sharing"",""ตาก!S307"")+IMPORTRANGE(""https://docs.google.com/spreadsheets/d/1IQAWArduLkta9LpYo4a_ULsyqdta6-6aDDiwpUnQT6c/edit?usp=sharing"",""นครสวรรค์!S307"")+IMPORTRANGE(""https://docs.google.com/spreadsheets/d/10s13Sk5xrltsiR-Zkbmk5DwIaDIKO8Xl"&amp;"bJAfqyT7Gvg/edit?usp=sharing"",""น่าน!S307"")+IMPORTRANGE(""https://docs.google.com/spreadsheets/d/1uu4nAn4Dbi1XREnLKKotUANlKXa7yCgRcgq8HEzQYW8/edit?usp=sharing"",""พะเยา!S307"")+IMPORTRANGE(""https://docs.google.com/spreadsheets/d/1xfJKIQxVOaPDIICqsflNlL"&amp;"u3JacTDk1FP9RH4phX7mI/edit?usp=sharing"",""พิจิตร!S307"")+IMPORTRANGE(""https://docs.google.com/spreadsheets/d/1JtRfZkJMHtEhI5RdRHxYUG4FIZHqKDpNyIuN7A1Q0_k/edit?usp=sharing"",""พิษณุโลก!S307"")+IMPORTRANGE(""https://docs.google.com/spreadsheets/d/1xlcVZWU"&amp;"Nn6SuWm0c307h32SiGkd9BaeQWlAktfD3KO8/edit?usp=sharing"",""เพชรบูรณ์!S307"")+IMPORTRANGE(""https://docs.google.com/spreadsheets/d/1lOVebEIsI9qjGXl6EX66luk7wiuP2tBaryw-wKvv4e0/edit?usp=sharing"",""แพร่!S307"")+IMPORTRANGE(""https://docs.google.com/spreadshe"&amp;"ets/d/1dQrvX0vEcN7Gu0fnZ0B5S90AeR19zth4XlExFBeExMY/edit?usp=sharing"",""แม่ฮ่องสอน!S307"")+IMPORTRANGE(""https://docs.google.com/spreadsheets/d/1DY4XTNNwjluuxqdfdn6qvOSlMRrZqUtmYcZR0ttFiG4/edit?usp=sharing"",""ลำปาง!S307"")+IMPORTRANGE(""https://docs.goog"&amp;"le.com/spreadsheets/d/1ICwG78r0OFT8biBlxnBF8r7she7gNSzOvJ958PWT09c/edit?usp=sharing"",""ลำพูน!S307"")+IMPORTRANGE(""https://docs.google.com/spreadsheets/d/1B0f2xJpZUC6Z0xXnqKlZtEPzsf6L84eP1r1Q15seqRM/edit?usp=sharing"",""สุโขทัย!S307"")+IMPORTRANGE(""http"&amp;"s://docs.google.com/spreadsheets/d/1v0b9pFQCsKUVExMei7AgY2yQkdeNQvtOssygGsXbiKo/edit?usp=sharing"",""อุตรดิตถ์!S307"")+IMPORTRANGE(""https://docs.google.com/spreadsheets/d/1UsNK1e-WWiCo2PvGqdNfdme4m17_Ezd3J69EeeiQPD0/edit?usp=sharing"",""อุทัยธานี!S307"")"),0)</f>
        <v>0</v>
      </c>
      <c r="T307" s="48">
        <f t="shared" ca="1" si="226"/>
        <v>0</v>
      </c>
      <c r="U307" s="48">
        <f t="shared" ca="1" si="227"/>
        <v>0</v>
      </c>
    </row>
    <row r="308" spans="1:21" ht="18.75" x14ac:dyDescent="0.25">
      <c r="A308" s="128"/>
      <c r="B308" s="40"/>
      <c r="C308" s="40"/>
      <c r="D308" s="40"/>
      <c r="E308" s="47" t="s">
        <v>37</v>
      </c>
      <c r="F308" s="40"/>
      <c r="G308" s="42"/>
      <c r="H308" s="134" t="s">
        <v>14</v>
      </c>
      <c r="I308" s="135"/>
      <c r="J308" s="135"/>
      <c r="K308" s="136"/>
      <c r="L308" s="46">
        <f ca="1">IFERROR(__xludf.DUMMYFUNCTION("IMPORTRANGE(""https://docs.google.com/spreadsheets/d/1jTcq05yEiRwXcBMLjiodW9e4biSGYWAHcDj22rKWQ3s/edit?usp=sharing"",""กำแพงเพชร!L308"")+IMPORTRANGE(""https://docs.google.com/spreadsheets/d/1KS0zmDSZPk8KnTAbGN-Xk6MtX1YRZD0ldgdt20K4CRk/edit?usp=sharing"","&amp;"""เชียงราย!L308"")+IMPORTRANGE(""https://docs.google.com/spreadsheets/d/1rEDxBtusbi64tE0zunoIbsTVV16HeL0oJ6trHQeQ7K8/edit?usp=sharing"",""เชียงใหม่!L308"")+IMPORTRANGE(""https://docs.google.com/spreadsheets/d/1W6MnUbDkMi6xHnHko_XkFDO9kkuL6Wqyc-6OCDFjW9I/e"&amp;"dit?usp=sharing"",""ตาก!L308"")+IMPORTRANGE(""https://docs.google.com/spreadsheets/d/1IQAWArduLkta9LpYo4a_ULsyqdta6-6aDDiwpUnQT6c/edit?usp=sharing"",""นครสวรรค์!L308"")+IMPORTRANGE(""https://docs.google.com/spreadsheets/d/10s13Sk5xrltsiR-Zkbmk5DwIaDIKO8Xl"&amp;"bJAfqyT7Gvg/edit?usp=sharing"",""น่าน!L308"")+IMPORTRANGE(""https://docs.google.com/spreadsheets/d/1uu4nAn4Dbi1XREnLKKotUANlKXa7yCgRcgq8HEzQYW8/edit?usp=sharing"",""พะเยา!L308"")+IMPORTRANGE(""https://docs.google.com/spreadsheets/d/1xfJKIQxVOaPDIICqsflNlL"&amp;"u3JacTDk1FP9RH4phX7mI/edit?usp=sharing"",""พิจิตร!L308"")+IMPORTRANGE(""https://docs.google.com/spreadsheets/d/1JtRfZkJMHtEhI5RdRHxYUG4FIZHqKDpNyIuN7A1Q0_k/edit?usp=sharing"",""พิษณุโลก!L308"")+IMPORTRANGE(""https://docs.google.com/spreadsheets/d/1xlcVZWU"&amp;"Nn6SuWm0c307h32SiGkd9BaeQWlAktfD3KO8/edit?usp=sharing"",""เพชรบูรณ์!L308"")+IMPORTRANGE(""https://docs.google.com/spreadsheets/d/1lOVebEIsI9qjGXl6EX66luk7wiuP2tBaryw-wKvv4e0/edit?usp=sharing"",""แพร่!L308"")+IMPORTRANGE(""https://docs.google.com/spreadshe"&amp;"ets/d/1dQrvX0vEcN7Gu0fnZ0B5S90AeR19zth4XlExFBeExMY/edit?usp=sharing"",""แม่ฮ่องสอน!L308"")+IMPORTRANGE(""https://docs.google.com/spreadsheets/d/1DY4XTNNwjluuxqdfdn6qvOSlMRrZqUtmYcZR0ttFiG4/edit?usp=sharing"",""ลำปาง!L308"")+IMPORTRANGE(""https://docs.goog"&amp;"le.com/spreadsheets/d/1ICwG78r0OFT8biBlxnBF8r7she7gNSzOvJ958PWT09c/edit?usp=sharing"",""ลำพูน!L308"")+IMPORTRANGE(""https://docs.google.com/spreadsheets/d/1B0f2xJpZUC6Z0xXnqKlZtEPzsf6L84eP1r1Q15seqRM/edit?usp=sharing"",""สุโขทัย!L308"")+IMPORTRANGE(""http"&amp;"s://docs.google.com/spreadsheets/d/1v0b9pFQCsKUVExMei7AgY2yQkdeNQvtOssygGsXbiKo/edit?usp=sharing"",""อุตรดิตถ์!L308"")+IMPORTRANGE(""https://docs.google.com/spreadsheets/d/1UsNK1e-WWiCo2PvGqdNfdme4m17_Ezd3J69EeeiQPD0/edit?usp=sharing"",""อุทัยธานี!L308"")"),2212000)</f>
        <v>2212000</v>
      </c>
      <c r="M308" s="46">
        <f ca="1">IFERROR(__xludf.DUMMYFUNCTION("IMPORTRANGE(""https://docs.google.com/spreadsheets/d/1jTcq05yEiRwXcBMLjiodW9e4biSGYWAHcDj22rKWQ3s/edit?usp=sharing"",""กำแพงเพชร!M308"")+IMPORTRANGE(""https://docs.google.com/spreadsheets/d/1KS0zmDSZPk8KnTAbGN-Xk6MtX1YRZD0ldgdt20K4CRk/edit?usp=sharing"","&amp;"""เชียงราย!M308"")+IMPORTRANGE(""https://docs.google.com/spreadsheets/d/1rEDxBtusbi64tE0zunoIbsTVV16HeL0oJ6trHQeQ7K8/edit?usp=sharing"",""เชียงใหม่!M308"")+IMPORTRANGE(""https://docs.google.com/spreadsheets/d/1W6MnUbDkMi6xHnHko_XkFDO9kkuL6Wqyc-6OCDFjW9I/e"&amp;"dit?usp=sharing"",""ตาก!M308"")+IMPORTRANGE(""https://docs.google.com/spreadsheets/d/1IQAWArduLkta9LpYo4a_ULsyqdta6-6aDDiwpUnQT6c/edit?usp=sharing"",""นครสวรรค์!M308"")+IMPORTRANGE(""https://docs.google.com/spreadsheets/d/10s13Sk5xrltsiR-Zkbmk5DwIaDIKO8Xl"&amp;"bJAfqyT7Gvg/edit?usp=sharing"",""น่าน!M308"")+IMPORTRANGE(""https://docs.google.com/spreadsheets/d/1uu4nAn4Dbi1XREnLKKotUANlKXa7yCgRcgq8HEzQYW8/edit?usp=sharing"",""พะเยา!M308"")+IMPORTRANGE(""https://docs.google.com/spreadsheets/d/1xfJKIQxVOaPDIICqsflNlL"&amp;"u3JacTDk1FP9RH4phX7mI/edit?usp=sharing"",""พิจิตร!M308"")+IMPORTRANGE(""https://docs.google.com/spreadsheets/d/1JtRfZkJMHtEhI5RdRHxYUG4FIZHqKDpNyIuN7A1Q0_k/edit?usp=sharing"",""พิษณุโลก!M308"")+IMPORTRANGE(""https://docs.google.com/spreadsheets/d/1xlcVZWU"&amp;"Nn6SuWm0c307h32SiGkd9BaeQWlAktfD3KO8/edit?usp=sharing"",""เพชรบูรณ์!M308"")+IMPORTRANGE(""https://docs.google.com/spreadsheets/d/1lOVebEIsI9qjGXl6EX66luk7wiuP2tBaryw-wKvv4e0/edit?usp=sharing"",""แพร่!M308"")+IMPORTRANGE(""https://docs.google.com/spreadshe"&amp;"ets/d/1dQrvX0vEcN7Gu0fnZ0B5S90AeR19zth4XlExFBeExMY/edit?usp=sharing"",""แม่ฮ่องสอน!M308"")+IMPORTRANGE(""https://docs.google.com/spreadsheets/d/1DY4XTNNwjluuxqdfdn6qvOSlMRrZqUtmYcZR0ttFiG4/edit?usp=sharing"",""ลำปาง!M308"")+IMPORTRANGE(""https://docs.goog"&amp;"le.com/spreadsheets/d/1ICwG78r0OFT8biBlxnBF8r7she7gNSzOvJ958PWT09c/edit?usp=sharing"",""ลำพูน!M308"")+IMPORTRANGE(""https://docs.google.com/spreadsheets/d/1B0f2xJpZUC6Z0xXnqKlZtEPzsf6L84eP1r1Q15seqRM/edit?usp=sharing"",""สุโขทัย!M308"")+IMPORTRANGE(""http"&amp;"s://docs.google.com/spreadsheets/d/1v0b9pFQCsKUVExMei7AgY2yQkdeNQvtOssygGsXbiKo/edit?usp=sharing"",""อุตรดิตถ์!M308"")+IMPORTRANGE(""https://docs.google.com/spreadsheets/d/1UsNK1e-WWiCo2PvGqdNfdme4m17_Ezd3J69EeeiQPD0/edit?usp=sharing"",""อุทัยธานี!M308"")"),2012500)</f>
        <v>2012500</v>
      </c>
      <c r="N308" s="46">
        <f ca="1">IFERROR(__xludf.DUMMYFUNCTION("IMPORTRANGE(""https://docs.google.com/spreadsheets/d/1jTcq05yEiRwXcBMLjiodW9e4biSGYWAHcDj22rKWQ3s/edit?usp=sharing"",""กำแพงเพชร!N308"")+IMPORTRANGE(""https://docs.google.com/spreadsheets/d/1KS0zmDSZPk8KnTAbGN-Xk6MtX1YRZD0ldgdt20K4CRk/edit?usp=sharing"","&amp;"""เชียงราย!N308"")+IMPORTRANGE(""https://docs.google.com/spreadsheets/d/1rEDxBtusbi64tE0zunoIbsTVV16HeL0oJ6trHQeQ7K8/edit?usp=sharing"",""เชียงใหม่!N308"")+IMPORTRANGE(""https://docs.google.com/spreadsheets/d/1W6MnUbDkMi6xHnHko_XkFDO9kkuL6Wqyc-6OCDFjW9I/e"&amp;"dit?usp=sharing"",""ตาก!N308"")+IMPORTRANGE(""https://docs.google.com/spreadsheets/d/1IQAWArduLkta9LpYo4a_ULsyqdta6-6aDDiwpUnQT6c/edit?usp=sharing"",""นครสวรรค์!N308"")+IMPORTRANGE(""https://docs.google.com/spreadsheets/d/10s13Sk5xrltsiR-Zkbmk5DwIaDIKO8Xl"&amp;"bJAfqyT7Gvg/edit?usp=sharing"",""น่าน!N308"")+IMPORTRANGE(""https://docs.google.com/spreadsheets/d/1uu4nAn4Dbi1XREnLKKotUANlKXa7yCgRcgq8HEzQYW8/edit?usp=sharing"",""พะเยา!N308"")+IMPORTRANGE(""https://docs.google.com/spreadsheets/d/1xfJKIQxVOaPDIICqsflNlL"&amp;"u3JacTDk1FP9RH4phX7mI/edit?usp=sharing"",""พิจิตร!N308"")+IMPORTRANGE(""https://docs.google.com/spreadsheets/d/1JtRfZkJMHtEhI5RdRHxYUG4FIZHqKDpNyIuN7A1Q0_k/edit?usp=sharing"",""พิษณุโลก!N308"")+IMPORTRANGE(""https://docs.google.com/spreadsheets/d/1xlcVZWU"&amp;"Nn6SuWm0c307h32SiGkd9BaeQWlAktfD3KO8/edit?usp=sharing"",""เพชรบูรณ์!N308"")+IMPORTRANGE(""https://docs.google.com/spreadsheets/d/1lOVebEIsI9qjGXl6EX66luk7wiuP2tBaryw-wKvv4e0/edit?usp=sharing"",""แพร่!N308"")+IMPORTRANGE(""https://docs.google.com/spreadshe"&amp;"ets/d/1dQrvX0vEcN7Gu0fnZ0B5S90AeR19zth4XlExFBeExMY/edit?usp=sharing"",""แม่ฮ่องสอน!N308"")+IMPORTRANGE(""https://docs.google.com/spreadsheets/d/1DY4XTNNwjluuxqdfdn6qvOSlMRrZqUtmYcZR0ttFiG4/edit?usp=sharing"",""ลำปาง!N308"")+IMPORTRANGE(""https://docs.goog"&amp;"le.com/spreadsheets/d/1ICwG78r0OFT8biBlxnBF8r7she7gNSzOvJ958PWT09c/edit?usp=sharing"",""ลำพูน!N308"")+IMPORTRANGE(""https://docs.google.com/spreadsheets/d/1B0f2xJpZUC6Z0xXnqKlZtEPzsf6L84eP1r1Q15seqRM/edit?usp=sharing"",""สุโขทัย!N308"")+IMPORTRANGE(""http"&amp;"s://docs.google.com/spreadsheets/d/1v0b9pFQCsKUVExMei7AgY2yQkdeNQvtOssygGsXbiKo/edit?usp=sharing"",""อุตรดิตถ์!N308"")+IMPORTRANGE(""https://docs.google.com/spreadsheets/d/1UsNK1e-WWiCo2PvGqdNfdme4m17_Ezd3J69EeeiQPD0/edit?usp=sharing"",""อุทัยธานี!N308"")"),1464975.81)</f>
        <v>1464975.81</v>
      </c>
      <c r="O308" s="46">
        <f t="shared" ca="1" si="223"/>
        <v>66.228562839059677</v>
      </c>
      <c r="P308" s="46">
        <f t="shared" ca="1" si="224"/>
        <v>72.793829068322978</v>
      </c>
      <c r="Q308" s="46">
        <f ca="1">IFERROR(__xludf.DUMMYFUNCTION("IMPORTRANGE(""https://docs.google.com/spreadsheets/d/1jTcq05yEiRwXcBMLjiodW9e4biSGYWAHcDj22rKWQ3s/edit?usp=sharing"",""กำแพงเพชร!Q308"")+IMPORTRANGE(""https://docs.google.com/spreadsheets/d/1KS0zmDSZPk8KnTAbGN-Xk6MtX1YRZD0ldgdt20K4CRk/edit?usp=sharing"","&amp;"""เชียงราย!Q308"")+IMPORTRANGE(""https://docs.google.com/spreadsheets/d/1rEDxBtusbi64tE0zunoIbsTVV16HeL0oJ6trHQeQ7K8/edit?usp=sharing"",""เชียงใหม่!Q308"")+IMPORTRANGE(""https://docs.google.com/spreadsheets/d/1W6MnUbDkMi6xHnHko_XkFDO9kkuL6Wqyc-6OCDFjW9I/e"&amp;"dit?usp=sharing"",""ตาก!Q308"")+IMPORTRANGE(""https://docs.google.com/spreadsheets/d/1IQAWArduLkta9LpYo4a_ULsyqdta6-6aDDiwpUnQT6c/edit?usp=sharing"",""นครสวรรค์!Q308"")+IMPORTRANGE(""https://docs.google.com/spreadsheets/d/10s13Sk5xrltsiR-Zkbmk5DwIaDIKO8Xl"&amp;"bJAfqyT7Gvg/edit?usp=sharing"",""น่าน!Q308"")+IMPORTRANGE(""https://docs.google.com/spreadsheets/d/1uu4nAn4Dbi1XREnLKKotUANlKXa7yCgRcgq8HEzQYW8/edit?usp=sharing"",""พะเยา!Q308"")+IMPORTRANGE(""https://docs.google.com/spreadsheets/d/1xfJKIQxVOaPDIICqsflNlL"&amp;"u3JacTDk1FP9RH4phX7mI/edit?usp=sharing"",""พิจิตร!Q308"")+IMPORTRANGE(""https://docs.google.com/spreadsheets/d/1JtRfZkJMHtEhI5RdRHxYUG4FIZHqKDpNyIuN7A1Q0_k/edit?usp=sharing"",""พิษณุโลก!Q308"")+IMPORTRANGE(""https://docs.google.com/spreadsheets/d/1xlcVZWU"&amp;"Nn6SuWm0c307h32SiGkd9BaeQWlAktfD3KO8/edit?usp=sharing"",""เพชรบูรณ์!Q308"")+IMPORTRANGE(""https://docs.google.com/spreadsheets/d/1lOVebEIsI9qjGXl6EX66luk7wiuP2tBaryw-wKvv4e0/edit?usp=sharing"",""แพร่!Q308"")+IMPORTRANGE(""https://docs.google.com/spreadshe"&amp;"ets/d/1dQrvX0vEcN7Gu0fnZ0B5S90AeR19zth4XlExFBeExMY/edit?usp=sharing"",""แม่ฮ่องสอน!Q308"")+IMPORTRANGE(""https://docs.google.com/spreadsheets/d/1DY4XTNNwjluuxqdfdn6qvOSlMRrZqUtmYcZR0ttFiG4/edit?usp=sharing"",""ลำปาง!Q308"")+IMPORTRANGE(""https://docs.goog"&amp;"le.com/spreadsheets/d/1ICwG78r0OFT8biBlxnBF8r7she7gNSzOvJ958PWT09c/edit?usp=sharing"",""ลำพูน!Q308"")+IMPORTRANGE(""https://docs.google.com/spreadsheets/d/1B0f2xJpZUC6Z0xXnqKlZtEPzsf6L84eP1r1Q15seqRM/edit?usp=sharing"",""สุโขทัย!Q308"")+IMPORTRANGE(""http"&amp;"s://docs.google.com/spreadsheets/d/1v0b9pFQCsKUVExMei7AgY2yQkdeNQvtOssygGsXbiKo/edit?usp=sharing"",""อุตรดิตถ์!Q308"")+IMPORTRANGE(""https://docs.google.com/spreadsheets/d/1UsNK1e-WWiCo2PvGqdNfdme4m17_Ezd3J69EeeiQPD0/edit?usp=sharing"",""อุทัยธานี!Q308"")"),3447352.04)</f>
        <v>3447352.04</v>
      </c>
      <c r="R308" s="46">
        <f ca="1">IFERROR(__xludf.DUMMYFUNCTION("IMPORTRANGE(""https://docs.google.com/spreadsheets/d/1jTcq05yEiRwXcBMLjiodW9e4biSGYWAHcDj22rKWQ3s/edit?usp=sharing"",""กำแพงเพชร!R308"")+IMPORTRANGE(""https://docs.google.com/spreadsheets/d/1KS0zmDSZPk8KnTAbGN-Xk6MtX1YRZD0ldgdt20K4CRk/edit?usp=sharing"","&amp;"""เชียงราย!R308"")+IMPORTRANGE(""https://docs.google.com/spreadsheets/d/1rEDxBtusbi64tE0zunoIbsTVV16HeL0oJ6trHQeQ7K8/edit?usp=sharing"",""เชียงใหม่!R308"")+IMPORTRANGE(""https://docs.google.com/spreadsheets/d/1W6MnUbDkMi6xHnHko_XkFDO9kkuL6Wqyc-6OCDFjW9I/e"&amp;"dit?usp=sharing"",""ตาก!R308"")+IMPORTRANGE(""https://docs.google.com/spreadsheets/d/1IQAWArduLkta9LpYo4a_ULsyqdta6-6aDDiwpUnQT6c/edit?usp=sharing"",""นครสวรรค์!R308"")+IMPORTRANGE(""https://docs.google.com/spreadsheets/d/10s13Sk5xrltsiR-Zkbmk5DwIaDIKO8Xl"&amp;"bJAfqyT7Gvg/edit?usp=sharing"",""น่าน!R308"")+IMPORTRANGE(""https://docs.google.com/spreadsheets/d/1uu4nAn4Dbi1XREnLKKotUANlKXa7yCgRcgq8HEzQYW8/edit?usp=sharing"",""พะเยา!R308"")+IMPORTRANGE(""https://docs.google.com/spreadsheets/d/1xfJKIQxVOaPDIICqsflNlL"&amp;"u3JacTDk1FP9RH4phX7mI/edit?usp=sharing"",""พิจิตร!R308"")+IMPORTRANGE(""https://docs.google.com/spreadsheets/d/1JtRfZkJMHtEhI5RdRHxYUG4FIZHqKDpNyIuN7A1Q0_k/edit?usp=sharing"",""พิษณุโลก!R308"")+IMPORTRANGE(""https://docs.google.com/spreadsheets/d/1xlcVZWU"&amp;"Nn6SuWm0c307h32SiGkd9BaeQWlAktfD3KO8/edit?usp=sharing"",""เพชรบูรณ์!R308"")+IMPORTRANGE(""https://docs.google.com/spreadsheets/d/1lOVebEIsI9qjGXl6EX66luk7wiuP2tBaryw-wKvv4e0/edit?usp=sharing"",""แพร่!R308"")+IMPORTRANGE(""https://docs.google.com/spreadshe"&amp;"ets/d/1dQrvX0vEcN7Gu0fnZ0B5S90AeR19zth4XlExFBeExMY/edit?usp=sharing"",""แม่ฮ่องสอน!R308"")+IMPORTRANGE(""https://docs.google.com/spreadsheets/d/1DY4XTNNwjluuxqdfdn6qvOSlMRrZqUtmYcZR0ttFiG4/edit?usp=sharing"",""ลำปาง!R308"")+IMPORTRANGE(""https://docs.goog"&amp;"le.com/spreadsheets/d/1ICwG78r0OFT8biBlxnBF8r7she7gNSzOvJ958PWT09c/edit?usp=sharing"",""ลำพูน!R308"")+IMPORTRANGE(""https://docs.google.com/spreadsheets/d/1B0f2xJpZUC6Z0xXnqKlZtEPzsf6L84eP1r1Q15seqRM/edit?usp=sharing"",""สุโขทัย!R308"")+IMPORTRANGE(""http"&amp;"s://docs.google.com/spreadsheets/d/1v0b9pFQCsKUVExMei7AgY2yQkdeNQvtOssygGsXbiKo/edit?usp=sharing"",""อุตรดิตถ์!R308"")+IMPORTRANGE(""https://docs.google.com/spreadsheets/d/1UsNK1e-WWiCo2PvGqdNfdme4m17_Ezd3J69EeeiQPD0/edit?usp=sharing"",""อุทัยธานี!R308"")"),3447347)</f>
        <v>3447347</v>
      </c>
      <c r="S308" s="46">
        <f ca="1">IFERROR(__xludf.DUMMYFUNCTION("IMPORTRANGE(""https://docs.google.com/spreadsheets/d/1jTcq05yEiRwXcBMLjiodW9e4biSGYWAHcDj22rKWQ3s/edit?usp=sharing"",""กำแพงเพชร!S308"")+IMPORTRANGE(""https://docs.google.com/spreadsheets/d/1KS0zmDSZPk8KnTAbGN-Xk6MtX1YRZD0ldgdt20K4CRk/edit?usp=sharing"","&amp;"""เชียงราย!S308"")+IMPORTRANGE(""https://docs.google.com/spreadsheets/d/1rEDxBtusbi64tE0zunoIbsTVV16HeL0oJ6trHQeQ7K8/edit?usp=sharing"",""เชียงใหม่!S308"")+IMPORTRANGE(""https://docs.google.com/spreadsheets/d/1W6MnUbDkMi6xHnHko_XkFDO9kkuL6Wqyc-6OCDFjW9I/e"&amp;"dit?usp=sharing"",""ตาก!S308"")+IMPORTRANGE(""https://docs.google.com/spreadsheets/d/1IQAWArduLkta9LpYo4a_ULsyqdta6-6aDDiwpUnQT6c/edit?usp=sharing"",""นครสวรรค์!S308"")+IMPORTRANGE(""https://docs.google.com/spreadsheets/d/10s13Sk5xrltsiR-Zkbmk5DwIaDIKO8Xl"&amp;"bJAfqyT7Gvg/edit?usp=sharing"",""น่าน!S308"")+IMPORTRANGE(""https://docs.google.com/spreadsheets/d/1uu4nAn4Dbi1XREnLKKotUANlKXa7yCgRcgq8HEzQYW8/edit?usp=sharing"",""พะเยา!S308"")+IMPORTRANGE(""https://docs.google.com/spreadsheets/d/1xfJKIQxVOaPDIICqsflNlL"&amp;"u3JacTDk1FP9RH4phX7mI/edit?usp=sharing"",""พิจิตร!S308"")+IMPORTRANGE(""https://docs.google.com/spreadsheets/d/1JtRfZkJMHtEhI5RdRHxYUG4FIZHqKDpNyIuN7A1Q0_k/edit?usp=sharing"",""พิษณุโลก!S308"")+IMPORTRANGE(""https://docs.google.com/spreadsheets/d/1xlcVZWU"&amp;"Nn6SuWm0c307h32SiGkd9BaeQWlAktfD3KO8/edit?usp=sharing"",""เพชรบูรณ์!S308"")+IMPORTRANGE(""https://docs.google.com/spreadsheets/d/1lOVebEIsI9qjGXl6EX66luk7wiuP2tBaryw-wKvv4e0/edit?usp=sharing"",""แพร่!S308"")+IMPORTRANGE(""https://docs.google.com/spreadshe"&amp;"ets/d/1dQrvX0vEcN7Gu0fnZ0B5S90AeR19zth4XlExFBeExMY/edit?usp=sharing"",""แม่ฮ่องสอน!S308"")+IMPORTRANGE(""https://docs.google.com/spreadsheets/d/1DY4XTNNwjluuxqdfdn6qvOSlMRrZqUtmYcZR0ttFiG4/edit?usp=sharing"",""ลำปาง!S308"")+IMPORTRANGE(""https://docs.goog"&amp;"le.com/spreadsheets/d/1ICwG78r0OFT8biBlxnBF8r7she7gNSzOvJ958PWT09c/edit?usp=sharing"",""ลำพูน!S308"")+IMPORTRANGE(""https://docs.google.com/spreadsheets/d/1B0f2xJpZUC6Z0xXnqKlZtEPzsf6L84eP1r1Q15seqRM/edit?usp=sharing"",""สุโขทัย!S308"")+IMPORTRANGE(""http"&amp;"s://docs.google.com/spreadsheets/d/1v0b9pFQCsKUVExMei7AgY2yQkdeNQvtOssygGsXbiKo/edit?usp=sharing"",""อุตรดิตถ์!S308"")+IMPORTRANGE(""https://docs.google.com/spreadsheets/d/1UsNK1e-WWiCo2PvGqdNfdme4m17_Ezd3J69EeeiQPD0/edit?usp=sharing"",""อุทัยธานี!S308"")"),405231)</f>
        <v>405231</v>
      </c>
      <c r="T308" s="46">
        <f t="shared" ca="1" si="226"/>
        <v>11.754848222579554</v>
      </c>
      <c r="U308" s="46">
        <f t="shared" ca="1" si="227"/>
        <v>11.754865408094979</v>
      </c>
    </row>
    <row r="309" spans="1:21" ht="18.75" x14ac:dyDescent="0.25">
      <c r="A309" s="128"/>
      <c r="B309" s="40"/>
      <c r="C309" s="40"/>
      <c r="D309" s="41" t="s">
        <v>23</v>
      </c>
      <c r="E309" s="40"/>
      <c r="F309" s="40"/>
      <c r="G309" s="42"/>
      <c r="H309" s="137" t="s">
        <v>14</v>
      </c>
      <c r="I309" s="135"/>
      <c r="J309" s="135"/>
      <c r="K309" s="136"/>
      <c r="L309" s="46">
        <f t="shared" ref="L309:N309" ca="1" si="234">L310+L311</f>
        <v>0</v>
      </c>
      <c r="M309" s="46">
        <f t="shared" ca="1" si="234"/>
        <v>0</v>
      </c>
      <c r="N309" s="46">
        <f t="shared" ca="1" si="234"/>
        <v>0</v>
      </c>
      <c r="O309" s="46">
        <f t="shared" ca="1" si="223"/>
        <v>0</v>
      </c>
      <c r="P309" s="46">
        <f t="shared" ca="1" si="224"/>
        <v>0</v>
      </c>
      <c r="Q309" s="46">
        <f t="shared" ref="Q309:S309" ca="1" si="235">Q310+Q311</f>
        <v>0</v>
      </c>
      <c r="R309" s="46">
        <f t="shared" ca="1" si="235"/>
        <v>0</v>
      </c>
      <c r="S309" s="46">
        <f t="shared" ca="1" si="235"/>
        <v>0</v>
      </c>
      <c r="T309" s="46">
        <f t="shared" ca="1" si="226"/>
        <v>0</v>
      </c>
      <c r="U309" s="46">
        <f t="shared" ca="1" si="227"/>
        <v>0</v>
      </c>
    </row>
    <row r="310" spans="1:21" ht="18.75" x14ac:dyDescent="0.25">
      <c r="A310" s="128"/>
      <c r="B310" s="40"/>
      <c r="C310" s="40"/>
      <c r="D310" s="40"/>
      <c r="E310" s="47" t="s">
        <v>20</v>
      </c>
      <c r="F310" s="40"/>
      <c r="G310" s="42"/>
      <c r="H310" s="134" t="s">
        <v>14</v>
      </c>
      <c r="I310" s="135"/>
      <c r="J310" s="135"/>
      <c r="K310" s="136"/>
      <c r="L310" s="46">
        <f ca="1">IFERROR(__xludf.DUMMYFUNCTION("IMPORTRANGE(""https://docs.google.com/spreadsheets/d/1jTcq05yEiRwXcBMLjiodW9e4biSGYWAHcDj22rKWQ3s/edit?usp=sharing"",""กำแพงเพชร!L310"")+IMPORTRANGE(""https://docs.google.com/spreadsheets/d/1KS0zmDSZPk8KnTAbGN-Xk6MtX1YRZD0ldgdt20K4CRk/edit?usp=sharing"","&amp;"""เชียงราย!L310"")+IMPORTRANGE(""https://docs.google.com/spreadsheets/d/1rEDxBtusbi64tE0zunoIbsTVV16HeL0oJ6trHQeQ7K8/edit?usp=sharing"",""เชียงใหม่!L310"")+IMPORTRANGE(""https://docs.google.com/spreadsheets/d/1W6MnUbDkMi6xHnHko_XkFDO9kkuL6Wqyc-6OCDFjW9I/e"&amp;"dit?usp=sharing"",""ตาก!L310"")+IMPORTRANGE(""https://docs.google.com/spreadsheets/d/1IQAWArduLkta9LpYo4a_ULsyqdta6-6aDDiwpUnQT6c/edit?usp=sharing"",""นครสวรรค์!L310"")+IMPORTRANGE(""https://docs.google.com/spreadsheets/d/10s13Sk5xrltsiR-Zkbmk5DwIaDIKO8Xl"&amp;"bJAfqyT7Gvg/edit?usp=sharing"",""น่าน!L310"")+IMPORTRANGE(""https://docs.google.com/spreadsheets/d/1uu4nAn4Dbi1XREnLKKotUANlKXa7yCgRcgq8HEzQYW8/edit?usp=sharing"",""พะเยา!L310"")+IMPORTRANGE(""https://docs.google.com/spreadsheets/d/1xfJKIQxVOaPDIICqsflNlL"&amp;"u3JacTDk1FP9RH4phX7mI/edit?usp=sharing"",""พิจิตร!L310"")+IMPORTRANGE(""https://docs.google.com/spreadsheets/d/1JtRfZkJMHtEhI5RdRHxYUG4FIZHqKDpNyIuN7A1Q0_k/edit?usp=sharing"",""พิษณุโลก!L310"")+IMPORTRANGE(""https://docs.google.com/spreadsheets/d/1xlcVZWU"&amp;"Nn6SuWm0c307h32SiGkd9BaeQWlAktfD3KO8/edit?usp=sharing"",""เพชรบูรณ์!L310"")+IMPORTRANGE(""https://docs.google.com/spreadsheets/d/1lOVebEIsI9qjGXl6EX66luk7wiuP2tBaryw-wKvv4e0/edit?usp=sharing"",""แพร่!L310"")+IMPORTRANGE(""https://docs.google.com/spreadshe"&amp;"ets/d/1dQrvX0vEcN7Gu0fnZ0B5S90AeR19zth4XlExFBeExMY/edit?usp=sharing"",""แม่ฮ่องสอน!L310"")+IMPORTRANGE(""https://docs.google.com/spreadsheets/d/1DY4XTNNwjluuxqdfdn6qvOSlMRrZqUtmYcZR0ttFiG4/edit?usp=sharing"",""ลำปาง!L310"")+IMPORTRANGE(""https://docs.goog"&amp;"le.com/spreadsheets/d/1ICwG78r0OFT8biBlxnBF8r7she7gNSzOvJ958PWT09c/edit?usp=sharing"",""ลำพูน!L310"")+IMPORTRANGE(""https://docs.google.com/spreadsheets/d/1B0f2xJpZUC6Z0xXnqKlZtEPzsf6L84eP1r1Q15seqRM/edit?usp=sharing"",""สุโขทัย!L310"")+IMPORTRANGE(""http"&amp;"s://docs.google.com/spreadsheets/d/1v0b9pFQCsKUVExMei7AgY2yQkdeNQvtOssygGsXbiKo/edit?usp=sharing"",""อุตรดิตถ์!L310"")+IMPORTRANGE(""https://docs.google.com/spreadsheets/d/1UsNK1e-WWiCo2PvGqdNfdme4m17_Ezd3J69EeeiQPD0/edit?usp=sharing"",""อุทัยธานี!L310"")"),0)</f>
        <v>0</v>
      </c>
      <c r="M310" s="46">
        <f ca="1">IFERROR(__xludf.DUMMYFUNCTION("IMPORTRANGE(""https://docs.google.com/spreadsheets/d/1jTcq05yEiRwXcBMLjiodW9e4biSGYWAHcDj22rKWQ3s/edit?usp=sharing"",""กำแพงเพชร!M310"")+IMPORTRANGE(""https://docs.google.com/spreadsheets/d/1KS0zmDSZPk8KnTAbGN-Xk6MtX1YRZD0ldgdt20K4CRk/edit?usp=sharing"","&amp;"""เชียงราย!M310"")+IMPORTRANGE(""https://docs.google.com/spreadsheets/d/1rEDxBtusbi64tE0zunoIbsTVV16HeL0oJ6trHQeQ7K8/edit?usp=sharing"",""เชียงใหม่!M310"")+IMPORTRANGE(""https://docs.google.com/spreadsheets/d/1W6MnUbDkMi6xHnHko_XkFDO9kkuL6Wqyc-6OCDFjW9I/e"&amp;"dit?usp=sharing"",""ตาก!M310"")+IMPORTRANGE(""https://docs.google.com/spreadsheets/d/1IQAWArduLkta9LpYo4a_ULsyqdta6-6aDDiwpUnQT6c/edit?usp=sharing"",""นครสวรรค์!M310"")+IMPORTRANGE(""https://docs.google.com/spreadsheets/d/10s13Sk5xrltsiR-Zkbmk5DwIaDIKO8Xl"&amp;"bJAfqyT7Gvg/edit?usp=sharing"",""น่าน!M310"")+IMPORTRANGE(""https://docs.google.com/spreadsheets/d/1uu4nAn4Dbi1XREnLKKotUANlKXa7yCgRcgq8HEzQYW8/edit?usp=sharing"",""พะเยา!M310"")+IMPORTRANGE(""https://docs.google.com/spreadsheets/d/1xfJKIQxVOaPDIICqsflNlL"&amp;"u3JacTDk1FP9RH4phX7mI/edit?usp=sharing"",""พิจิตร!M310"")+IMPORTRANGE(""https://docs.google.com/spreadsheets/d/1JtRfZkJMHtEhI5RdRHxYUG4FIZHqKDpNyIuN7A1Q0_k/edit?usp=sharing"",""พิษณุโลก!M310"")+IMPORTRANGE(""https://docs.google.com/spreadsheets/d/1xlcVZWU"&amp;"Nn6SuWm0c307h32SiGkd9BaeQWlAktfD3KO8/edit?usp=sharing"",""เพชรบูรณ์!M310"")+IMPORTRANGE(""https://docs.google.com/spreadsheets/d/1lOVebEIsI9qjGXl6EX66luk7wiuP2tBaryw-wKvv4e0/edit?usp=sharing"",""แพร่!M310"")+IMPORTRANGE(""https://docs.google.com/spreadshe"&amp;"ets/d/1dQrvX0vEcN7Gu0fnZ0B5S90AeR19zth4XlExFBeExMY/edit?usp=sharing"",""แม่ฮ่องสอน!M310"")+IMPORTRANGE(""https://docs.google.com/spreadsheets/d/1DY4XTNNwjluuxqdfdn6qvOSlMRrZqUtmYcZR0ttFiG4/edit?usp=sharing"",""ลำปาง!M310"")+IMPORTRANGE(""https://docs.goog"&amp;"le.com/spreadsheets/d/1ICwG78r0OFT8biBlxnBF8r7she7gNSzOvJ958PWT09c/edit?usp=sharing"",""ลำพูน!M310"")+IMPORTRANGE(""https://docs.google.com/spreadsheets/d/1B0f2xJpZUC6Z0xXnqKlZtEPzsf6L84eP1r1Q15seqRM/edit?usp=sharing"",""สุโขทัย!M310"")+IMPORTRANGE(""http"&amp;"s://docs.google.com/spreadsheets/d/1v0b9pFQCsKUVExMei7AgY2yQkdeNQvtOssygGsXbiKo/edit?usp=sharing"",""อุตรดิตถ์!M310"")+IMPORTRANGE(""https://docs.google.com/spreadsheets/d/1UsNK1e-WWiCo2PvGqdNfdme4m17_Ezd3J69EeeiQPD0/edit?usp=sharing"",""อุทัยธานี!M310"")"),0)</f>
        <v>0</v>
      </c>
      <c r="N310" s="46">
        <f ca="1">IFERROR(__xludf.DUMMYFUNCTION("IMPORTRANGE(""https://docs.google.com/spreadsheets/d/1jTcq05yEiRwXcBMLjiodW9e4biSGYWAHcDj22rKWQ3s/edit?usp=sharing"",""กำแพงเพชร!N310"")+IMPORTRANGE(""https://docs.google.com/spreadsheets/d/1KS0zmDSZPk8KnTAbGN-Xk6MtX1YRZD0ldgdt20K4CRk/edit?usp=sharing"","&amp;"""เชียงราย!N310"")+IMPORTRANGE(""https://docs.google.com/spreadsheets/d/1rEDxBtusbi64tE0zunoIbsTVV16HeL0oJ6trHQeQ7K8/edit?usp=sharing"",""เชียงใหม่!N310"")+IMPORTRANGE(""https://docs.google.com/spreadsheets/d/1W6MnUbDkMi6xHnHko_XkFDO9kkuL6Wqyc-6OCDFjW9I/e"&amp;"dit?usp=sharing"",""ตาก!N310"")+IMPORTRANGE(""https://docs.google.com/spreadsheets/d/1IQAWArduLkta9LpYo4a_ULsyqdta6-6aDDiwpUnQT6c/edit?usp=sharing"",""นครสวรรค์!N310"")+IMPORTRANGE(""https://docs.google.com/spreadsheets/d/10s13Sk5xrltsiR-Zkbmk5DwIaDIKO8Xl"&amp;"bJAfqyT7Gvg/edit?usp=sharing"",""น่าน!N310"")+IMPORTRANGE(""https://docs.google.com/spreadsheets/d/1uu4nAn4Dbi1XREnLKKotUANlKXa7yCgRcgq8HEzQYW8/edit?usp=sharing"",""พะเยา!N310"")+IMPORTRANGE(""https://docs.google.com/spreadsheets/d/1xfJKIQxVOaPDIICqsflNlL"&amp;"u3JacTDk1FP9RH4phX7mI/edit?usp=sharing"",""พิจิตร!N310"")+IMPORTRANGE(""https://docs.google.com/spreadsheets/d/1JtRfZkJMHtEhI5RdRHxYUG4FIZHqKDpNyIuN7A1Q0_k/edit?usp=sharing"",""พิษณุโลก!N310"")+IMPORTRANGE(""https://docs.google.com/spreadsheets/d/1xlcVZWU"&amp;"Nn6SuWm0c307h32SiGkd9BaeQWlAktfD3KO8/edit?usp=sharing"",""เพชรบูรณ์!N310"")+IMPORTRANGE(""https://docs.google.com/spreadsheets/d/1lOVebEIsI9qjGXl6EX66luk7wiuP2tBaryw-wKvv4e0/edit?usp=sharing"",""แพร่!N310"")+IMPORTRANGE(""https://docs.google.com/spreadshe"&amp;"ets/d/1dQrvX0vEcN7Gu0fnZ0B5S90AeR19zth4XlExFBeExMY/edit?usp=sharing"",""แม่ฮ่องสอน!N310"")+IMPORTRANGE(""https://docs.google.com/spreadsheets/d/1DY4XTNNwjluuxqdfdn6qvOSlMRrZqUtmYcZR0ttFiG4/edit?usp=sharing"",""ลำปาง!N310"")+IMPORTRANGE(""https://docs.goog"&amp;"le.com/spreadsheets/d/1ICwG78r0OFT8biBlxnBF8r7she7gNSzOvJ958PWT09c/edit?usp=sharing"",""ลำพูน!N310"")+IMPORTRANGE(""https://docs.google.com/spreadsheets/d/1B0f2xJpZUC6Z0xXnqKlZtEPzsf6L84eP1r1Q15seqRM/edit?usp=sharing"",""สุโขทัย!N310"")+IMPORTRANGE(""http"&amp;"s://docs.google.com/spreadsheets/d/1v0b9pFQCsKUVExMei7AgY2yQkdeNQvtOssygGsXbiKo/edit?usp=sharing"",""อุตรดิตถ์!N310"")+IMPORTRANGE(""https://docs.google.com/spreadsheets/d/1UsNK1e-WWiCo2PvGqdNfdme4m17_Ezd3J69EeeiQPD0/edit?usp=sharing"",""อุทัยธานี!N310"")"),0)</f>
        <v>0</v>
      </c>
      <c r="O310" s="46">
        <f t="shared" ca="1" si="223"/>
        <v>0</v>
      </c>
      <c r="P310" s="46">
        <f t="shared" ca="1" si="224"/>
        <v>0</v>
      </c>
      <c r="Q310" s="48">
        <f ca="1">IFERROR(__xludf.DUMMYFUNCTION("IMPORTRANGE(""https://docs.google.com/spreadsheets/d/1jTcq05yEiRwXcBMLjiodW9e4biSGYWAHcDj22rKWQ3s/edit?usp=sharing"",""กำแพงเพชร!Q310"")+IMPORTRANGE(""https://docs.google.com/spreadsheets/d/1KS0zmDSZPk8KnTAbGN-Xk6MtX1YRZD0ldgdt20K4CRk/edit?usp=sharing"","&amp;"""เชียงราย!Q310"")+IMPORTRANGE(""https://docs.google.com/spreadsheets/d/1rEDxBtusbi64tE0zunoIbsTVV16HeL0oJ6trHQeQ7K8/edit?usp=sharing"",""เชียงใหม่!Q310"")+IMPORTRANGE(""https://docs.google.com/spreadsheets/d/1W6MnUbDkMi6xHnHko_XkFDO9kkuL6Wqyc-6OCDFjW9I/e"&amp;"dit?usp=sharing"",""ตาก!Q310"")+IMPORTRANGE(""https://docs.google.com/spreadsheets/d/1IQAWArduLkta9LpYo4a_ULsyqdta6-6aDDiwpUnQT6c/edit?usp=sharing"",""นครสวรรค์!Q310"")+IMPORTRANGE(""https://docs.google.com/spreadsheets/d/10s13Sk5xrltsiR-Zkbmk5DwIaDIKO8Xl"&amp;"bJAfqyT7Gvg/edit?usp=sharing"",""น่าน!Q310"")+IMPORTRANGE(""https://docs.google.com/spreadsheets/d/1uu4nAn4Dbi1XREnLKKotUANlKXa7yCgRcgq8HEzQYW8/edit?usp=sharing"",""พะเยา!Q310"")+IMPORTRANGE(""https://docs.google.com/spreadsheets/d/1xfJKIQxVOaPDIICqsflNlL"&amp;"u3JacTDk1FP9RH4phX7mI/edit?usp=sharing"",""พิจิตร!Q310"")+IMPORTRANGE(""https://docs.google.com/spreadsheets/d/1JtRfZkJMHtEhI5RdRHxYUG4FIZHqKDpNyIuN7A1Q0_k/edit?usp=sharing"",""พิษณุโลก!Q310"")+IMPORTRANGE(""https://docs.google.com/spreadsheets/d/1xlcVZWU"&amp;"Nn6SuWm0c307h32SiGkd9BaeQWlAktfD3KO8/edit?usp=sharing"",""เพชรบูรณ์!Q310"")+IMPORTRANGE(""https://docs.google.com/spreadsheets/d/1lOVebEIsI9qjGXl6EX66luk7wiuP2tBaryw-wKvv4e0/edit?usp=sharing"",""แพร่!Q310"")+IMPORTRANGE(""https://docs.google.com/spreadshe"&amp;"ets/d/1dQrvX0vEcN7Gu0fnZ0B5S90AeR19zth4XlExFBeExMY/edit?usp=sharing"",""แม่ฮ่องสอน!Q310"")+IMPORTRANGE(""https://docs.google.com/spreadsheets/d/1DY4XTNNwjluuxqdfdn6qvOSlMRrZqUtmYcZR0ttFiG4/edit?usp=sharing"",""ลำปาง!Q310"")+IMPORTRANGE(""https://docs.goog"&amp;"le.com/spreadsheets/d/1ICwG78r0OFT8biBlxnBF8r7she7gNSzOvJ958PWT09c/edit?usp=sharing"",""ลำพูน!Q310"")+IMPORTRANGE(""https://docs.google.com/spreadsheets/d/1B0f2xJpZUC6Z0xXnqKlZtEPzsf6L84eP1r1Q15seqRM/edit?usp=sharing"",""สุโขทัย!Q310"")+IMPORTRANGE(""http"&amp;"s://docs.google.com/spreadsheets/d/1v0b9pFQCsKUVExMei7AgY2yQkdeNQvtOssygGsXbiKo/edit?usp=sharing"",""อุตรดิตถ์!Q310"")+IMPORTRANGE(""https://docs.google.com/spreadsheets/d/1UsNK1e-WWiCo2PvGqdNfdme4m17_Ezd3J69EeeiQPD0/edit?usp=sharing"",""อุทัยธานี!Q310"")"),0)</f>
        <v>0</v>
      </c>
      <c r="R310" s="48">
        <f ca="1">IFERROR(__xludf.DUMMYFUNCTION("IMPORTRANGE(""https://docs.google.com/spreadsheets/d/1jTcq05yEiRwXcBMLjiodW9e4biSGYWAHcDj22rKWQ3s/edit?usp=sharing"",""กำแพงเพชร!R310"")+IMPORTRANGE(""https://docs.google.com/spreadsheets/d/1KS0zmDSZPk8KnTAbGN-Xk6MtX1YRZD0ldgdt20K4CRk/edit?usp=sharing"","&amp;"""เชียงราย!R310"")+IMPORTRANGE(""https://docs.google.com/spreadsheets/d/1rEDxBtusbi64tE0zunoIbsTVV16HeL0oJ6trHQeQ7K8/edit?usp=sharing"",""เชียงใหม่!R310"")+IMPORTRANGE(""https://docs.google.com/spreadsheets/d/1W6MnUbDkMi6xHnHko_XkFDO9kkuL6Wqyc-6OCDFjW9I/e"&amp;"dit?usp=sharing"",""ตาก!R310"")+IMPORTRANGE(""https://docs.google.com/spreadsheets/d/1IQAWArduLkta9LpYo4a_ULsyqdta6-6aDDiwpUnQT6c/edit?usp=sharing"",""นครสวรรค์!R310"")+IMPORTRANGE(""https://docs.google.com/spreadsheets/d/10s13Sk5xrltsiR-Zkbmk5DwIaDIKO8Xl"&amp;"bJAfqyT7Gvg/edit?usp=sharing"",""น่าน!R310"")+IMPORTRANGE(""https://docs.google.com/spreadsheets/d/1uu4nAn4Dbi1XREnLKKotUANlKXa7yCgRcgq8HEzQYW8/edit?usp=sharing"",""พะเยา!R310"")+IMPORTRANGE(""https://docs.google.com/spreadsheets/d/1xfJKIQxVOaPDIICqsflNlL"&amp;"u3JacTDk1FP9RH4phX7mI/edit?usp=sharing"",""พิจิตร!R310"")+IMPORTRANGE(""https://docs.google.com/spreadsheets/d/1JtRfZkJMHtEhI5RdRHxYUG4FIZHqKDpNyIuN7A1Q0_k/edit?usp=sharing"",""พิษณุโลก!R310"")+IMPORTRANGE(""https://docs.google.com/spreadsheets/d/1xlcVZWU"&amp;"Nn6SuWm0c307h32SiGkd9BaeQWlAktfD3KO8/edit?usp=sharing"",""เพชรบูรณ์!R310"")+IMPORTRANGE(""https://docs.google.com/spreadsheets/d/1lOVebEIsI9qjGXl6EX66luk7wiuP2tBaryw-wKvv4e0/edit?usp=sharing"",""แพร่!R310"")+IMPORTRANGE(""https://docs.google.com/spreadshe"&amp;"ets/d/1dQrvX0vEcN7Gu0fnZ0B5S90AeR19zth4XlExFBeExMY/edit?usp=sharing"",""แม่ฮ่องสอน!R310"")+IMPORTRANGE(""https://docs.google.com/spreadsheets/d/1DY4XTNNwjluuxqdfdn6qvOSlMRrZqUtmYcZR0ttFiG4/edit?usp=sharing"",""ลำปาง!R310"")+IMPORTRANGE(""https://docs.goog"&amp;"le.com/spreadsheets/d/1ICwG78r0OFT8biBlxnBF8r7she7gNSzOvJ958PWT09c/edit?usp=sharing"",""ลำพูน!R310"")+IMPORTRANGE(""https://docs.google.com/spreadsheets/d/1B0f2xJpZUC6Z0xXnqKlZtEPzsf6L84eP1r1Q15seqRM/edit?usp=sharing"",""สุโขทัย!R310"")+IMPORTRANGE(""http"&amp;"s://docs.google.com/spreadsheets/d/1v0b9pFQCsKUVExMei7AgY2yQkdeNQvtOssygGsXbiKo/edit?usp=sharing"",""อุตรดิตถ์!R310"")+IMPORTRANGE(""https://docs.google.com/spreadsheets/d/1UsNK1e-WWiCo2PvGqdNfdme4m17_Ezd3J69EeeiQPD0/edit?usp=sharing"",""อุทัยธานี!R310"")"),0)</f>
        <v>0</v>
      </c>
      <c r="S310" s="48">
        <f ca="1">IFERROR(__xludf.DUMMYFUNCTION("IMPORTRANGE(""https://docs.google.com/spreadsheets/d/1jTcq05yEiRwXcBMLjiodW9e4biSGYWAHcDj22rKWQ3s/edit?usp=sharing"",""กำแพงเพชร!S310"")+IMPORTRANGE(""https://docs.google.com/spreadsheets/d/1KS0zmDSZPk8KnTAbGN-Xk6MtX1YRZD0ldgdt20K4CRk/edit?usp=sharing"","&amp;"""เชียงราย!S310"")+IMPORTRANGE(""https://docs.google.com/spreadsheets/d/1rEDxBtusbi64tE0zunoIbsTVV16HeL0oJ6trHQeQ7K8/edit?usp=sharing"",""เชียงใหม่!S310"")+IMPORTRANGE(""https://docs.google.com/spreadsheets/d/1W6MnUbDkMi6xHnHko_XkFDO9kkuL6Wqyc-6OCDFjW9I/e"&amp;"dit?usp=sharing"",""ตาก!S310"")+IMPORTRANGE(""https://docs.google.com/spreadsheets/d/1IQAWArduLkta9LpYo4a_ULsyqdta6-6aDDiwpUnQT6c/edit?usp=sharing"",""นครสวรรค์!S310"")+IMPORTRANGE(""https://docs.google.com/spreadsheets/d/10s13Sk5xrltsiR-Zkbmk5DwIaDIKO8Xl"&amp;"bJAfqyT7Gvg/edit?usp=sharing"",""น่าน!S310"")+IMPORTRANGE(""https://docs.google.com/spreadsheets/d/1uu4nAn4Dbi1XREnLKKotUANlKXa7yCgRcgq8HEzQYW8/edit?usp=sharing"",""พะเยา!S310"")+IMPORTRANGE(""https://docs.google.com/spreadsheets/d/1xfJKIQxVOaPDIICqsflNlL"&amp;"u3JacTDk1FP9RH4phX7mI/edit?usp=sharing"",""พิจิตร!S310"")+IMPORTRANGE(""https://docs.google.com/spreadsheets/d/1JtRfZkJMHtEhI5RdRHxYUG4FIZHqKDpNyIuN7A1Q0_k/edit?usp=sharing"",""พิษณุโลก!S310"")+IMPORTRANGE(""https://docs.google.com/spreadsheets/d/1xlcVZWU"&amp;"Nn6SuWm0c307h32SiGkd9BaeQWlAktfD3KO8/edit?usp=sharing"",""เพชรบูรณ์!S310"")+IMPORTRANGE(""https://docs.google.com/spreadsheets/d/1lOVebEIsI9qjGXl6EX66luk7wiuP2tBaryw-wKvv4e0/edit?usp=sharing"",""แพร่!S310"")+IMPORTRANGE(""https://docs.google.com/spreadshe"&amp;"ets/d/1dQrvX0vEcN7Gu0fnZ0B5S90AeR19zth4XlExFBeExMY/edit?usp=sharing"",""แม่ฮ่องสอน!S310"")+IMPORTRANGE(""https://docs.google.com/spreadsheets/d/1DY4XTNNwjluuxqdfdn6qvOSlMRrZqUtmYcZR0ttFiG4/edit?usp=sharing"",""ลำปาง!S310"")+IMPORTRANGE(""https://docs.goog"&amp;"le.com/spreadsheets/d/1ICwG78r0OFT8biBlxnBF8r7she7gNSzOvJ958PWT09c/edit?usp=sharing"",""ลำพูน!S310"")+IMPORTRANGE(""https://docs.google.com/spreadsheets/d/1B0f2xJpZUC6Z0xXnqKlZtEPzsf6L84eP1r1Q15seqRM/edit?usp=sharing"",""สุโขทัย!S310"")+IMPORTRANGE(""http"&amp;"s://docs.google.com/spreadsheets/d/1v0b9pFQCsKUVExMei7AgY2yQkdeNQvtOssygGsXbiKo/edit?usp=sharing"",""อุตรดิตถ์!S310"")+IMPORTRANGE(""https://docs.google.com/spreadsheets/d/1UsNK1e-WWiCo2PvGqdNfdme4m17_Ezd3J69EeeiQPD0/edit?usp=sharing"",""อุทัยธานี!S310"")"),0)</f>
        <v>0</v>
      </c>
      <c r="T310" s="48">
        <f t="shared" ca="1" si="226"/>
        <v>0</v>
      </c>
      <c r="U310" s="48">
        <f t="shared" ca="1" si="227"/>
        <v>0</v>
      </c>
    </row>
    <row r="311" spans="1:21" ht="18.75" x14ac:dyDescent="0.25">
      <c r="A311" s="128"/>
      <c r="B311" s="40"/>
      <c r="C311" s="40"/>
      <c r="D311" s="40"/>
      <c r="E311" s="47" t="s">
        <v>21</v>
      </c>
      <c r="F311" s="40"/>
      <c r="G311" s="42"/>
      <c r="H311" s="137" t="s">
        <v>14</v>
      </c>
      <c r="I311" s="135"/>
      <c r="J311" s="135"/>
      <c r="K311" s="136"/>
      <c r="L311" s="46">
        <f ca="1">IFERROR(__xludf.DUMMYFUNCTION("IMPORTRANGE(""https://docs.google.com/spreadsheets/d/1jTcq05yEiRwXcBMLjiodW9e4biSGYWAHcDj22rKWQ3s/edit?usp=sharing"",""กำแพงเพชร!L311"")+IMPORTRANGE(""https://docs.google.com/spreadsheets/d/1KS0zmDSZPk8KnTAbGN-Xk6MtX1YRZD0ldgdt20K4CRk/edit?usp=sharing"","&amp;"""เชียงราย!L311"")+IMPORTRANGE(""https://docs.google.com/spreadsheets/d/1rEDxBtusbi64tE0zunoIbsTVV16HeL0oJ6trHQeQ7K8/edit?usp=sharing"",""เชียงใหม่!L311"")+IMPORTRANGE(""https://docs.google.com/spreadsheets/d/1W6MnUbDkMi6xHnHko_XkFDO9kkuL6Wqyc-6OCDFjW9I/e"&amp;"dit?usp=sharing"",""ตาก!L311"")+IMPORTRANGE(""https://docs.google.com/spreadsheets/d/1IQAWArduLkta9LpYo4a_ULsyqdta6-6aDDiwpUnQT6c/edit?usp=sharing"",""นครสวรรค์!L311"")+IMPORTRANGE(""https://docs.google.com/spreadsheets/d/10s13Sk5xrltsiR-Zkbmk5DwIaDIKO8Xl"&amp;"bJAfqyT7Gvg/edit?usp=sharing"",""น่าน!L311"")+IMPORTRANGE(""https://docs.google.com/spreadsheets/d/1uu4nAn4Dbi1XREnLKKotUANlKXa7yCgRcgq8HEzQYW8/edit?usp=sharing"",""พะเยา!L311"")+IMPORTRANGE(""https://docs.google.com/spreadsheets/d/1xfJKIQxVOaPDIICqsflNlL"&amp;"u3JacTDk1FP9RH4phX7mI/edit?usp=sharing"",""พิจิตร!L311"")+IMPORTRANGE(""https://docs.google.com/spreadsheets/d/1JtRfZkJMHtEhI5RdRHxYUG4FIZHqKDpNyIuN7A1Q0_k/edit?usp=sharing"",""พิษณุโลก!L311"")+IMPORTRANGE(""https://docs.google.com/spreadsheets/d/1xlcVZWU"&amp;"Nn6SuWm0c307h32SiGkd9BaeQWlAktfD3KO8/edit?usp=sharing"",""เพชรบูรณ์!L311"")+IMPORTRANGE(""https://docs.google.com/spreadsheets/d/1lOVebEIsI9qjGXl6EX66luk7wiuP2tBaryw-wKvv4e0/edit?usp=sharing"",""แพร่!L311"")+IMPORTRANGE(""https://docs.google.com/spreadshe"&amp;"ets/d/1dQrvX0vEcN7Gu0fnZ0B5S90AeR19zth4XlExFBeExMY/edit?usp=sharing"",""แม่ฮ่องสอน!L311"")+IMPORTRANGE(""https://docs.google.com/spreadsheets/d/1DY4XTNNwjluuxqdfdn6qvOSlMRrZqUtmYcZR0ttFiG4/edit?usp=sharing"",""ลำปาง!L311"")+IMPORTRANGE(""https://docs.goog"&amp;"le.com/spreadsheets/d/1ICwG78r0OFT8biBlxnBF8r7she7gNSzOvJ958PWT09c/edit?usp=sharing"",""ลำพูน!L311"")+IMPORTRANGE(""https://docs.google.com/spreadsheets/d/1B0f2xJpZUC6Z0xXnqKlZtEPzsf6L84eP1r1Q15seqRM/edit?usp=sharing"",""สุโขทัย!L311"")+IMPORTRANGE(""http"&amp;"s://docs.google.com/spreadsheets/d/1v0b9pFQCsKUVExMei7AgY2yQkdeNQvtOssygGsXbiKo/edit?usp=sharing"",""อุตรดิตถ์!L311"")+IMPORTRANGE(""https://docs.google.com/spreadsheets/d/1UsNK1e-WWiCo2PvGqdNfdme4m17_Ezd3J69EeeiQPD0/edit?usp=sharing"",""อุทัยธานี!L311"")"),0)</f>
        <v>0</v>
      </c>
      <c r="M311" s="46">
        <f ca="1">IFERROR(__xludf.DUMMYFUNCTION("IMPORTRANGE(""https://docs.google.com/spreadsheets/d/1jTcq05yEiRwXcBMLjiodW9e4biSGYWAHcDj22rKWQ3s/edit?usp=sharing"",""กำแพงเพชร!M311"")+IMPORTRANGE(""https://docs.google.com/spreadsheets/d/1KS0zmDSZPk8KnTAbGN-Xk6MtX1YRZD0ldgdt20K4CRk/edit?usp=sharing"","&amp;"""เชียงราย!M311"")+IMPORTRANGE(""https://docs.google.com/spreadsheets/d/1rEDxBtusbi64tE0zunoIbsTVV16HeL0oJ6trHQeQ7K8/edit?usp=sharing"",""เชียงใหม่!M311"")+IMPORTRANGE(""https://docs.google.com/spreadsheets/d/1W6MnUbDkMi6xHnHko_XkFDO9kkuL6Wqyc-6OCDFjW9I/e"&amp;"dit?usp=sharing"",""ตาก!M311"")+IMPORTRANGE(""https://docs.google.com/spreadsheets/d/1IQAWArduLkta9LpYo4a_ULsyqdta6-6aDDiwpUnQT6c/edit?usp=sharing"",""นครสวรรค์!M311"")+IMPORTRANGE(""https://docs.google.com/spreadsheets/d/10s13Sk5xrltsiR-Zkbmk5DwIaDIKO8Xl"&amp;"bJAfqyT7Gvg/edit?usp=sharing"",""น่าน!M311"")+IMPORTRANGE(""https://docs.google.com/spreadsheets/d/1uu4nAn4Dbi1XREnLKKotUANlKXa7yCgRcgq8HEzQYW8/edit?usp=sharing"",""พะเยา!M311"")+IMPORTRANGE(""https://docs.google.com/spreadsheets/d/1xfJKIQxVOaPDIICqsflNlL"&amp;"u3JacTDk1FP9RH4phX7mI/edit?usp=sharing"",""พิจิตร!M311"")+IMPORTRANGE(""https://docs.google.com/spreadsheets/d/1JtRfZkJMHtEhI5RdRHxYUG4FIZHqKDpNyIuN7A1Q0_k/edit?usp=sharing"",""พิษณุโลก!M311"")+IMPORTRANGE(""https://docs.google.com/spreadsheets/d/1xlcVZWU"&amp;"Nn6SuWm0c307h32SiGkd9BaeQWlAktfD3KO8/edit?usp=sharing"",""เพชรบูรณ์!M311"")+IMPORTRANGE(""https://docs.google.com/spreadsheets/d/1lOVebEIsI9qjGXl6EX66luk7wiuP2tBaryw-wKvv4e0/edit?usp=sharing"",""แพร่!M311"")+IMPORTRANGE(""https://docs.google.com/spreadshe"&amp;"ets/d/1dQrvX0vEcN7Gu0fnZ0B5S90AeR19zth4XlExFBeExMY/edit?usp=sharing"",""แม่ฮ่องสอน!M311"")+IMPORTRANGE(""https://docs.google.com/spreadsheets/d/1DY4XTNNwjluuxqdfdn6qvOSlMRrZqUtmYcZR0ttFiG4/edit?usp=sharing"",""ลำปาง!M311"")+IMPORTRANGE(""https://docs.goog"&amp;"le.com/spreadsheets/d/1ICwG78r0OFT8biBlxnBF8r7she7gNSzOvJ958PWT09c/edit?usp=sharing"",""ลำพูน!M311"")+IMPORTRANGE(""https://docs.google.com/spreadsheets/d/1B0f2xJpZUC6Z0xXnqKlZtEPzsf6L84eP1r1Q15seqRM/edit?usp=sharing"",""สุโขทัย!M311"")+IMPORTRANGE(""http"&amp;"s://docs.google.com/spreadsheets/d/1v0b9pFQCsKUVExMei7AgY2yQkdeNQvtOssygGsXbiKo/edit?usp=sharing"",""อุตรดิตถ์!M311"")+IMPORTRANGE(""https://docs.google.com/spreadsheets/d/1UsNK1e-WWiCo2PvGqdNfdme4m17_Ezd3J69EeeiQPD0/edit?usp=sharing"",""อุทัยธานี!M311"")"),0)</f>
        <v>0</v>
      </c>
      <c r="N311" s="46">
        <f ca="1">IFERROR(__xludf.DUMMYFUNCTION("IMPORTRANGE(""https://docs.google.com/spreadsheets/d/1jTcq05yEiRwXcBMLjiodW9e4biSGYWAHcDj22rKWQ3s/edit?usp=sharing"",""กำแพงเพชร!N311"")+IMPORTRANGE(""https://docs.google.com/spreadsheets/d/1KS0zmDSZPk8KnTAbGN-Xk6MtX1YRZD0ldgdt20K4CRk/edit?usp=sharing"","&amp;"""เชียงราย!N311"")+IMPORTRANGE(""https://docs.google.com/spreadsheets/d/1rEDxBtusbi64tE0zunoIbsTVV16HeL0oJ6trHQeQ7K8/edit?usp=sharing"",""เชียงใหม่!N311"")+IMPORTRANGE(""https://docs.google.com/spreadsheets/d/1W6MnUbDkMi6xHnHko_XkFDO9kkuL6Wqyc-6OCDFjW9I/e"&amp;"dit?usp=sharing"",""ตาก!N311"")+IMPORTRANGE(""https://docs.google.com/spreadsheets/d/1IQAWArduLkta9LpYo4a_ULsyqdta6-6aDDiwpUnQT6c/edit?usp=sharing"",""นครสวรรค์!N311"")+IMPORTRANGE(""https://docs.google.com/spreadsheets/d/10s13Sk5xrltsiR-Zkbmk5DwIaDIKO8Xl"&amp;"bJAfqyT7Gvg/edit?usp=sharing"",""น่าน!N311"")+IMPORTRANGE(""https://docs.google.com/spreadsheets/d/1uu4nAn4Dbi1XREnLKKotUANlKXa7yCgRcgq8HEzQYW8/edit?usp=sharing"",""พะเยา!N311"")+IMPORTRANGE(""https://docs.google.com/spreadsheets/d/1xfJKIQxVOaPDIICqsflNlL"&amp;"u3JacTDk1FP9RH4phX7mI/edit?usp=sharing"",""พิจิตร!N311"")+IMPORTRANGE(""https://docs.google.com/spreadsheets/d/1JtRfZkJMHtEhI5RdRHxYUG4FIZHqKDpNyIuN7A1Q0_k/edit?usp=sharing"",""พิษณุโลก!N311"")+IMPORTRANGE(""https://docs.google.com/spreadsheets/d/1xlcVZWU"&amp;"Nn6SuWm0c307h32SiGkd9BaeQWlAktfD3KO8/edit?usp=sharing"",""เพชรบูรณ์!N311"")+IMPORTRANGE(""https://docs.google.com/spreadsheets/d/1lOVebEIsI9qjGXl6EX66luk7wiuP2tBaryw-wKvv4e0/edit?usp=sharing"",""แพร่!N311"")+IMPORTRANGE(""https://docs.google.com/spreadshe"&amp;"ets/d/1dQrvX0vEcN7Gu0fnZ0B5S90AeR19zth4XlExFBeExMY/edit?usp=sharing"",""แม่ฮ่องสอน!N311"")+IMPORTRANGE(""https://docs.google.com/spreadsheets/d/1DY4XTNNwjluuxqdfdn6qvOSlMRrZqUtmYcZR0ttFiG4/edit?usp=sharing"",""ลำปาง!N311"")+IMPORTRANGE(""https://docs.goog"&amp;"le.com/spreadsheets/d/1ICwG78r0OFT8biBlxnBF8r7she7gNSzOvJ958PWT09c/edit?usp=sharing"",""ลำพูน!N311"")+IMPORTRANGE(""https://docs.google.com/spreadsheets/d/1B0f2xJpZUC6Z0xXnqKlZtEPzsf6L84eP1r1Q15seqRM/edit?usp=sharing"",""สุโขทัย!N311"")+IMPORTRANGE(""http"&amp;"s://docs.google.com/spreadsheets/d/1v0b9pFQCsKUVExMei7AgY2yQkdeNQvtOssygGsXbiKo/edit?usp=sharing"",""อุตรดิตถ์!N311"")+IMPORTRANGE(""https://docs.google.com/spreadsheets/d/1UsNK1e-WWiCo2PvGqdNfdme4m17_Ezd3J69EeeiQPD0/edit?usp=sharing"",""อุทัยธานี!N311"")"),0)</f>
        <v>0</v>
      </c>
      <c r="O311" s="46">
        <f t="shared" ca="1" si="223"/>
        <v>0</v>
      </c>
      <c r="P311" s="46">
        <f t="shared" ca="1" si="224"/>
        <v>0</v>
      </c>
      <c r="Q311" s="46">
        <f ca="1">IFERROR(__xludf.DUMMYFUNCTION("IMPORTRANGE(""https://docs.google.com/spreadsheets/d/1jTcq05yEiRwXcBMLjiodW9e4biSGYWAHcDj22rKWQ3s/edit?usp=sharing"",""กำแพงเพชร!Q311"")+IMPORTRANGE(""https://docs.google.com/spreadsheets/d/1KS0zmDSZPk8KnTAbGN-Xk6MtX1YRZD0ldgdt20K4CRk/edit?usp=sharing"","&amp;"""เชียงราย!Q311"")+IMPORTRANGE(""https://docs.google.com/spreadsheets/d/1rEDxBtusbi64tE0zunoIbsTVV16HeL0oJ6trHQeQ7K8/edit?usp=sharing"",""เชียงใหม่!Q311"")+IMPORTRANGE(""https://docs.google.com/spreadsheets/d/1W6MnUbDkMi6xHnHko_XkFDO9kkuL6Wqyc-6OCDFjW9I/e"&amp;"dit?usp=sharing"",""ตาก!Q311"")+IMPORTRANGE(""https://docs.google.com/spreadsheets/d/1IQAWArduLkta9LpYo4a_ULsyqdta6-6aDDiwpUnQT6c/edit?usp=sharing"",""นครสวรรค์!Q311"")+IMPORTRANGE(""https://docs.google.com/spreadsheets/d/10s13Sk5xrltsiR-Zkbmk5DwIaDIKO8Xl"&amp;"bJAfqyT7Gvg/edit?usp=sharing"",""น่าน!Q311"")+IMPORTRANGE(""https://docs.google.com/spreadsheets/d/1uu4nAn4Dbi1XREnLKKotUANlKXa7yCgRcgq8HEzQYW8/edit?usp=sharing"",""พะเยา!Q311"")+IMPORTRANGE(""https://docs.google.com/spreadsheets/d/1xfJKIQxVOaPDIICqsflNlL"&amp;"u3JacTDk1FP9RH4phX7mI/edit?usp=sharing"",""พิจิตร!Q311"")+IMPORTRANGE(""https://docs.google.com/spreadsheets/d/1JtRfZkJMHtEhI5RdRHxYUG4FIZHqKDpNyIuN7A1Q0_k/edit?usp=sharing"",""พิษณุโลก!Q311"")+IMPORTRANGE(""https://docs.google.com/spreadsheets/d/1xlcVZWU"&amp;"Nn6SuWm0c307h32SiGkd9BaeQWlAktfD3KO8/edit?usp=sharing"",""เพชรบูรณ์!Q311"")+IMPORTRANGE(""https://docs.google.com/spreadsheets/d/1lOVebEIsI9qjGXl6EX66luk7wiuP2tBaryw-wKvv4e0/edit?usp=sharing"",""แพร่!Q311"")+IMPORTRANGE(""https://docs.google.com/spreadshe"&amp;"ets/d/1dQrvX0vEcN7Gu0fnZ0B5S90AeR19zth4XlExFBeExMY/edit?usp=sharing"",""แม่ฮ่องสอน!Q311"")+IMPORTRANGE(""https://docs.google.com/spreadsheets/d/1DY4XTNNwjluuxqdfdn6qvOSlMRrZqUtmYcZR0ttFiG4/edit?usp=sharing"",""ลำปาง!Q311"")+IMPORTRANGE(""https://docs.goog"&amp;"le.com/spreadsheets/d/1ICwG78r0OFT8biBlxnBF8r7she7gNSzOvJ958PWT09c/edit?usp=sharing"",""ลำพูน!Q311"")+IMPORTRANGE(""https://docs.google.com/spreadsheets/d/1B0f2xJpZUC6Z0xXnqKlZtEPzsf6L84eP1r1Q15seqRM/edit?usp=sharing"",""สุโขทัย!Q311"")+IMPORTRANGE(""http"&amp;"s://docs.google.com/spreadsheets/d/1v0b9pFQCsKUVExMei7AgY2yQkdeNQvtOssygGsXbiKo/edit?usp=sharing"",""อุตรดิตถ์!Q311"")+IMPORTRANGE(""https://docs.google.com/spreadsheets/d/1UsNK1e-WWiCo2PvGqdNfdme4m17_Ezd3J69EeeiQPD0/edit?usp=sharing"",""อุทัยธานี!Q311"")"),0)</f>
        <v>0</v>
      </c>
      <c r="R311" s="46">
        <f ca="1">IFERROR(__xludf.DUMMYFUNCTION("IMPORTRANGE(""https://docs.google.com/spreadsheets/d/1jTcq05yEiRwXcBMLjiodW9e4biSGYWAHcDj22rKWQ3s/edit?usp=sharing"",""กำแพงเพชร!R311"")+IMPORTRANGE(""https://docs.google.com/spreadsheets/d/1KS0zmDSZPk8KnTAbGN-Xk6MtX1YRZD0ldgdt20K4CRk/edit?usp=sharing"","&amp;"""เชียงราย!R311"")+IMPORTRANGE(""https://docs.google.com/spreadsheets/d/1rEDxBtusbi64tE0zunoIbsTVV16HeL0oJ6trHQeQ7K8/edit?usp=sharing"",""เชียงใหม่!R311"")+IMPORTRANGE(""https://docs.google.com/spreadsheets/d/1W6MnUbDkMi6xHnHko_XkFDO9kkuL6Wqyc-6OCDFjW9I/e"&amp;"dit?usp=sharing"",""ตาก!R311"")+IMPORTRANGE(""https://docs.google.com/spreadsheets/d/1IQAWArduLkta9LpYo4a_ULsyqdta6-6aDDiwpUnQT6c/edit?usp=sharing"",""นครสวรรค์!R311"")+IMPORTRANGE(""https://docs.google.com/spreadsheets/d/10s13Sk5xrltsiR-Zkbmk5DwIaDIKO8Xl"&amp;"bJAfqyT7Gvg/edit?usp=sharing"",""น่าน!R311"")+IMPORTRANGE(""https://docs.google.com/spreadsheets/d/1uu4nAn4Dbi1XREnLKKotUANlKXa7yCgRcgq8HEzQYW8/edit?usp=sharing"",""พะเยา!R311"")+IMPORTRANGE(""https://docs.google.com/spreadsheets/d/1xfJKIQxVOaPDIICqsflNlL"&amp;"u3JacTDk1FP9RH4phX7mI/edit?usp=sharing"",""พิจิตร!R311"")+IMPORTRANGE(""https://docs.google.com/spreadsheets/d/1JtRfZkJMHtEhI5RdRHxYUG4FIZHqKDpNyIuN7A1Q0_k/edit?usp=sharing"",""พิษณุโลก!R311"")+IMPORTRANGE(""https://docs.google.com/spreadsheets/d/1xlcVZWU"&amp;"Nn6SuWm0c307h32SiGkd9BaeQWlAktfD3KO8/edit?usp=sharing"",""เพชรบูรณ์!R311"")+IMPORTRANGE(""https://docs.google.com/spreadsheets/d/1lOVebEIsI9qjGXl6EX66luk7wiuP2tBaryw-wKvv4e0/edit?usp=sharing"",""แพร่!R311"")+IMPORTRANGE(""https://docs.google.com/spreadshe"&amp;"ets/d/1dQrvX0vEcN7Gu0fnZ0B5S90AeR19zth4XlExFBeExMY/edit?usp=sharing"",""แม่ฮ่องสอน!R311"")+IMPORTRANGE(""https://docs.google.com/spreadsheets/d/1DY4XTNNwjluuxqdfdn6qvOSlMRrZqUtmYcZR0ttFiG4/edit?usp=sharing"",""ลำปาง!R311"")+IMPORTRANGE(""https://docs.goog"&amp;"le.com/spreadsheets/d/1ICwG78r0OFT8biBlxnBF8r7she7gNSzOvJ958PWT09c/edit?usp=sharing"",""ลำพูน!R311"")+IMPORTRANGE(""https://docs.google.com/spreadsheets/d/1B0f2xJpZUC6Z0xXnqKlZtEPzsf6L84eP1r1Q15seqRM/edit?usp=sharing"",""สุโขทัย!R311"")+IMPORTRANGE(""http"&amp;"s://docs.google.com/spreadsheets/d/1v0b9pFQCsKUVExMei7AgY2yQkdeNQvtOssygGsXbiKo/edit?usp=sharing"",""อุตรดิตถ์!R311"")+IMPORTRANGE(""https://docs.google.com/spreadsheets/d/1UsNK1e-WWiCo2PvGqdNfdme4m17_Ezd3J69EeeiQPD0/edit?usp=sharing"",""อุทัยธานี!R311"")"),0)</f>
        <v>0</v>
      </c>
      <c r="S311" s="46">
        <f ca="1">IFERROR(__xludf.DUMMYFUNCTION("IMPORTRANGE(""https://docs.google.com/spreadsheets/d/1jTcq05yEiRwXcBMLjiodW9e4biSGYWAHcDj22rKWQ3s/edit?usp=sharing"",""กำแพงเพชร!S311"")+IMPORTRANGE(""https://docs.google.com/spreadsheets/d/1KS0zmDSZPk8KnTAbGN-Xk6MtX1YRZD0ldgdt20K4CRk/edit?usp=sharing"","&amp;"""เชียงราย!S311"")+IMPORTRANGE(""https://docs.google.com/spreadsheets/d/1rEDxBtusbi64tE0zunoIbsTVV16HeL0oJ6trHQeQ7K8/edit?usp=sharing"",""เชียงใหม่!S311"")+IMPORTRANGE(""https://docs.google.com/spreadsheets/d/1W6MnUbDkMi6xHnHko_XkFDO9kkuL6Wqyc-6OCDFjW9I/e"&amp;"dit?usp=sharing"",""ตาก!S311"")+IMPORTRANGE(""https://docs.google.com/spreadsheets/d/1IQAWArduLkta9LpYo4a_ULsyqdta6-6aDDiwpUnQT6c/edit?usp=sharing"",""นครสวรรค์!S311"")+IMPORTRANGE(""https://docs.google.com/spreadsheets/d/10s13Sk5xrltsiR-Zkbmk5DwIaDIKO8Xl"&amp;"bJAfqyT7Gvg/edit?usp=sharing"",""น่าน!S311"")+IMPORTRANGE(""https://docs.google.com/spreadsheets/d/1uu4nAn4Dbi1XREnLKKotUANlKXa7yCgRcgq8HEzQYW8/edit?usp=sharing"",""พะเยา!S311"")+IMPORTRANGE(""https://docs.google.com/spreadsheets/d/1xfJKIQxVOaPDIICqsflNlL"&amp;"u3JacTDk1FP9RH4phX7mI/edit?usp=sharing"",""พิจิตร!S311"")+IMPORTRANGE(""https://docs.google.com/spreadsheets/d/1JtRfZkJMHtEhI5RdRHxYUG4FIZHqKDpNyIuN7A1Q0_k/edit?usp=sharing"",""พิษณุโลก!S311"")+IMPORTRANGE(""https://docs.google.com/spreadsheets/d/1xlcVZWU"&amp;"Nn6SuWm0c307h32SiGkd9BaeQWlAktfD3KO8/edit?usp=sharing"",""เพชรบูรณ์!S311"")+IMPORTRANGE(""https://docs.google.com/spreadsheets/d/1lOVebEIsI9qjGXl6EX66luk7wiuP2tBaryw-wKvv4e0/edit?usp=sharing"",""แพร่!S311"")+IMPORTRANGE(""https://docs.google.com/spreadshe"&amp;"ets/d/1dQrvX0vEcN7Gu0fnZ0B5S90AeR19zth4XlExFBeExMY/edit?usp=sharing"",""แม่ฮ่องสอน!S311"")+IMPORTRANGE(""https://docs.google.com/spreadsheets/d/1DY4XTNNwjluuxqdfdn6qvOSlMRrZqUtmYcZR0ttFiG4/edit?usp=sharing"",""ลำปาง!S311"")+IMPORTRANGE(""https://docs.goog"&amp;"le.com/spreadsheets/d/1ICwG78r0OFT8biBlxnBF8r7she7gNSzOvJ958PWT09c/edit?usp=sharing"",""ลำพูน!S311"")+IMPORTRANGE(""https://docs.google.com/spreadsheets/d/1B0f2xJpZUC6Z0xXnqKlZtEPzsf6L84eP1r1Q15seqRM/edit?usp=sharing"",""สุโขทัย!S311"")+IMPORTRANGE(""http"&amp;"s://docs.google.com/spreadsheets/d/1v0b9pFQCsKUVExMei7AgY2yQkdeNQvtOssygGsXbiKo/edit?usp=sharing"",""อุตรดิตถ์!S311"")+IMPORTRANGE(""https://docs.google.com/spreadsheets/d/1UsNK1e-WWiCo2PvGqdNfdme4m17_Ezd3J69EeeiQPD0/edit?usp=sharing"",""อุทัยธานี!S311"")"),0)</f>
        <v>0</v>
      </c>
      <c r="T311" s="46">
        <f t="shared" ca="1" si="226"/>
        <v>0</v>
      </c>
      <c r="U311" s="46">
        <f t="shared" ca="1" si="227"/>
        <v>0</v>
      </c>
    </row>
    <row r="312" spans="1:21" ht="19.5" x14ac:dyDescent="0.3">
      <c r="A312" s="138"/>
      <c r="B312" s="139"/>
      <c r="C312" s="129" t="s">
        <v>18</v>
      </c>
      <c r="D312" s="140" t="s">
        <v>38</v>
      </c>
      <c r="E312" s="141"/>
      <c r="F312" s="141"/>
      <c r="G312" s="142"/>
      <c r="H312" s="143"/>
      <c r="I312" s="44"/>
      <c r="J312" s="44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</row>
    <row r="313" spans="1:21" ht="18.75" x14ac:dyDescent="0.25">
      <c r="A313" s="138"/>
      <c r="B313" s="139"/>
      <c r="C313" s="139"/>
      <c r="D313" s="149" t="s">
        <v>128</v>
      </c>
      <c r="E313" s="145"/>
      <c r="F313" s="145"/>
      <c r="G313" s="143"/>
      <c r="H313" s="143"/>
      <c r="I313" s="44"/>
      <c r="J313" s="166">
        <f ca="1">IFERROR(__xludf.DUMMYFUNCTION("IMPORTRANGE(""https://docs.google.com/spreadsheets/d/1jTcq05yEiRwXcBMLjiodW9e4biSGYWAHcDj22rKWQ3s/edit?usp=sharing"",""กำแพงเพชร!J313"")+IMPORTRANGE(""https://docs.google.com/spreadsheets/d/1KS0zmDSZPk8KnTAbGN-Xk6MtX1YRZD0ldgdt20K4CRk/edit?usp=sharing"","&amp;"""เชียงราย!J313"")+IMPORTRANGE(""https://docs.google.com/spreadsheets/d/1rEDxBtusbi64tE0zunoIbsTVV16HeL0oJ6trHQeQ7K8/edit?usp=sharing"",""เชียงใหม่!J313"")+IMPORTRANGE(""https://docs.google.com/spreadsheets/d/1W6MnUbDkMi6xHnHko_XkFDO9kkuL6Wqyc-6OCDFjW9I/e"&amp;"dit?usp=sharing"",""ตาก!J313"")+IMPORTRANGE(""https://docs.google.com/spreadsheets/d/1IQAWArduLkta9LpYo4a_ULsyqdta6-6aDDiwpUnQT6c/edit?usp=sharing"",""นครสวรรค์!J313"")+IMPORTRANGE(""https://docs.google.com/spreadsheets/d/10s13Sk5xrltsiR-Zkbmk5DwIaDIKO8Xl"&amp;"bJAfqyT7Gvg/edit?usp=sharing"",""น่าน!J313"")+IMPORTRANGE(""https://docs.google.com/spreadsheets/d/1uu4nAn4Dbi1XREnLKKotUANlKXa7yCgRcgq8HEzQYW8/edit?usp=sharing"",""พะเยา!J313"")+IMPORTRANGE(""https://docs.google.com/spreadsheets/d/1xfJKIQxVOaPDIICqsflNlL"&amp;"u3JacTDk1FP9RH4phX7mI/edit?usp=sharing"",""พิจิตร!J313"")+IMPORTRANGE(""https://docs.google.com/spreadsheets/d/1JtRfZkJMHtEhI5RdRHxYUG4FIZHqKDpNyIuN7A1Q0_k/edit?usp=sharing"",""พิษณุโลก!J313"")+IMPORTRANGE(""https://docs.google.com/spreadsheets/d/1xlcVZWU"&amp;"Nn6SuWm0c307h32SiGkd9BaeQWlAktfD3KO8/edit?usp=sharing"",""เพชรบูรณ์!J313"")+IMPORTRANGE(""https://docs.google.com/spreadsheets/d/1lOVebEIsI9qjGXl6EX66luk7wiuP2tBaryw-wKvv4e0/edit?usp=sharing"",""แพร่!J313"")+IMPORTRANGE(""https://docs.google.com/spreadshe"&amp;"ets/d/1dQrvX0vEcN7Gu0fnZ0B5S90AeR19zth4XlExFBeExMY/edit?usp=sharing"",""แม่ฮ่องสอน!J313"")+IMPORTRANGE(""https://docs.google.com/spreadsheets/d/1DY4XTNNwjluuxqdfdn6qvOSlMRrZqUtmYcZR0ttFiG4/edit?usp=sharing"",""ลำปาง!J313"")+IMPORTRANGE(""https://docs.goog"&amp;"le.com/spreadsheets/d/1ICwG78r0OFT8biBlxnBF8r7she7gNSzOvJ958PWT09c/edit?usp=sharing"",""ลำพูน!J313"")+IMPORTRANGE(""https://docs.google.com/spreadsheets/d/1B0f2xJpZUC6Z0xXnqKlZtEPzsf6L84eP1r1Q15seqRM/edit?usp=sharing"",""สุโขทัย!J313"")+IMPORTRANGE(""http"&amp;"s://docs.google.com/spreadsheets/d/1v0b9pFQCsKUVExMei7AgY2yQkdeNQvtOssygGsXbiKo/edit?usp=sharing"",""อุตรดิตถ์!J313"")+IMPORTRANGE(""https://docs.google.com/spreadsheets/d/1UsNK1e-WWiCo2PvGqdNfdme4m17_Ezd3J69EeeiQPD0/edit?usp=sharing"",""อุทัยธานี!J313"")"),0)</f>
        <v>0</v>
      </c>
      <c r="K313" s="45"/>
      <c r="L313" s="45"/>
      <c r="M313" s="45"/>
      <c r="N313" s="45"/>
      <c r="O313" s="45"/>
      <c r="P313" s="45"/>
      <c r="Q313" s="21"/>
      <c r="R313" s="21"/>
      <c r="S313" s="21"/>
      <c r="T313" s="21"/>
      <c r="U313" s="21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66">
        <f ca="1">IFERROR(__xludf.DUMMYFUNCTION("IMPORTRANGE(""https://docs.google.com/spreadsheets/d/1jTcq05yEiRwXcBMLjiodW9e4biSGYWAHcDj22rKWQ3s/edit?usp=sharing"",""กำแพงเพชร!I314"")+IMPORTRANGE(""https://docs.google.com/spreadsheets/d/1KS0zmDSZPk8KnTAbGN-Xk6MtX1YRZD0ldgdt20K4CRk/edit?usp=sharing"","&amp;"""เชียงราย!I314"")+IMPORTRANGE(""https://docs.google.com/spreadsheets/d/1rEDxBtusbi64tE0zunoIbsTVV16HeL0oJ6trHQeQ7K8/edit?usp=sharing"",""เชียงใหม่!I314"")+IMPORTRANGE(""https://docs.google.com/spreadsheets/d/1W6MnUbDkMi6xHnHko_XkFDO9kkuL6Wqyc-6OCDFjW9I/e"&amp;"dit?usp=sharing"",""ตาก!I314"")+IMPORTRANGE(""https://docs.google.com/spreadsheets/d/1IQAWArduLkta9LpYo4a_ULsyqdta6-6aDDiwpUnQT6c/edit?usp=sharing"",""นครสวรรค์!I314"")+IMPORTRANGE(""https://docs.google.com/spreadsheets/d/10s13Sk5xrltsiR-Zkbmk5DwIaDIKO8Xl"&amp;"bJAfqyT7Gvg/edit?usp=sharing"",""น่าน!I314"")+IMPORTRANGE(""https://docs.google.com/spreadsheets/d/1uu4nAn4Dbi1XREnLKKotUANlKXa7yCgRcgq8HEzQYW8/edit?usp=sharing"",""พะเยา!I314"")+IMPORTRANGE(""https://docs.google.com/spreadsheets/d/1xfJKIQxVOaPDIICqsflNlL"&amp;"u3JacTDk1FP9RH4phX7mI/edit?usp=sharing"",""พิจิตร!I314"")+IMPORTRANGE(""https://docs.google.com/spreadsheets/d/1JtRfZkJMHtEhI5RdRHxYUG4FIZHqKDpNyIuN7A1Q0_k/edit?usp=sharing"",""พิษณุโลก!I314"")+IMPORTRANGE(""https://docs.google.com/spreadsheets/d/1xlcVZWU"&amp;"Nn6SuWm0c307h32SiGkd9BaeQWlAktfD3KO8/edit?usp=sharing"",""เพชรบูรณ์!I314"")+IMPORTRANGE(""https://docs.google.com/spreadsheets/d/1lOVebEIsI9qjGXl6EX66luk7wiuP2tBaryw-wKvv4e0/edit?usp=sharing"",""แพร่!I314"")+IMPORTRANGE(""https://docs.google.com/spreadshe"&amp;"ets/d/1dQrvX0vEcN7Gu0fnZ0B5S90AeR19zth4XlExFBeExMY/edit?usp=sharing"",""แม่ฮ่องสอน!I314"")+IMPORTRANGE(""https://docs.google.com/spreadsheets/d/1DY4XTNNwjluuxqdfdn6qvOSlMRrZqUtmYcZR0ttFiG4/edit?usp=sharing"",""ลำปาง!I314"")+IMPORTRANGE(""https://docs.goog"&amp;"le.com/spreadsheets/d/1ICwG78r0OFT8biBlxnBF8r7she7gNSzOvJ958PWT09c/edit?usp=sharing"",""ลำพูน!I314"")+IMPORTRANGE(""https://docs.google.com/spreadsheets/d/1B0f2xJpZUC6Z0xXnqKlZtEPzsf6L84eP1r1Q15seqRM/edit?usp=sharing"",""สุโขทัย!I314"")+IMPORTRANGE(""http"&amp;"s://docs.google.com/spreadsheets/d/1v0b9pFQCsKUVExMei7AgY2yQkdeNQvtOssygGsXbiKo/edit?usp=sharing"",""อุตรดิตถ์!I314"")+IMPORTRANGE(""https://docs.google.com/spreadsheets/d/1UsNK1e-WWiCo2PvGqdNfdme4m17_Ezd3J69EeeiQPD0/edit?usp=sharing"",""อุทัยธานี!I314"")"),435)</f>
        <v>435</v>
      </c>
      <c r="J314" s="166">
        <f ca="1">IFERROR(__xludf.DUMMYFUNCTION("IMPORTRANGE(""https://docs.google.com/spreadsheets/d/1jTcq05yEiRwXcBMLjiodW9e4biSGYWAHcDj22rKWQ3s/edit?usp=sharing"",""กำแพงเพชร!J314"")+IMPORTRANGE(""https://docs.google.com/spreadsheets/d/1KS0zmDSZPk8KnTAbGN-Xk6MtX1YRZD0ldgdt20K4CRk/edit?usp=sharing"","&amp;"""เชียงราย!J314"")+IMPORTRANGE(""https://docs.google.com/spreadsheets/d/1rEDxBtusbi64tE0zunoIbsTVV16HeL0oJ6trHQeQ7K8/edit?usp=sharing"",""เชียงใหม่!J314"")+IMPORTRANGE(""https://docs.google.com/spreadsheets/d/1W6MnUbDkMi6xHnHko_XkFDO9kkuL6Wqyc-6OCDFjW9I/e"&amp;"dit?usp=sharing"",""ตาก!J314"")+IMPORTRANGE(""https://docs.google.com/spreadsheets/d/1IQAWArduLkta9LpYo4a_ULsyqdta6-6aDDiwpUnQT6c/edit?usp=sharing"",""นครสวรรค์!J314"")+IMPORTRANGE(""https://docs.google.com/spreadsheets/d/10s13Sk5xrltsiR-Zkbmk5DwIaDIKO8Xl"&amp;"bJAfqyT7Gvg/edit?usp=sharing"",""น่าน!J314"")+IMPORTRANGE(""https://docs.google.com/spreadsheets/d/1uu4nAn4Dbi1XREnLKKotUANlKXa7yCgRcgq8HEzQYW8/edit?usp=sharing"",""พะเยา!J314"")+IMPORTRANGE(""https://docs.google.com/spreadsheets/d/1xfJKIQxVOaPDIICqsflNlL"&amp;"u3JacTDk1FP9RH4phX7mI/edit?usp=sharing"",""พิจิตร!J314"")+IMPORTRANGE(""https://docs.google.com/spreadsheets/d/1JtRfZkJMHtEhI5RdRHxYUG4FIZHqKDpNyIuN7A1Q0_k/edit?usp=sharing"",""พิษณุโลก!J314"")+IMPORTRANGE(""https://docs.google.com/spreadsheets/d/1xlcVZWU"&amp;"Nn6SuWm0c307h32SiGkd9BaeQWlAktfD3KO8/edit?usp=sharing"",""เพชรบูรณ์!J314"")+IMPORTRANGE(""https://docs.google.com/spreadsheets/d/1lOVebEIsI9qjGXl6EX66luk7wiuP2tBaryw-wKvv4e0/edit?usp=sharing"",""แพร่!J314"")+IMPORTRANGE(""https://docs.google.com/spreadshe"&amp;"ets/d/1dQrvX0vEcN7Gu0fnZ0B5S90AeR19zth4XlExFBeExMY/edit?usp=sharing"",""แม่ฮ่องสอน!J314"")+IMPORTRANGE(""https://docs.google.com/spreadsheets/d/1DY4XTNNwjluuxqdfdn6qvOSlMRrZqUtmYcZR0ttFiG4/edit?usp=sharing"",""ลำปาง!J314"")+IMPORTRANGE(""https://docs.goog"&amp;"le.com/spreadsheets/d/1ICwG78r0OFT8biBlxnBF8r7she7gNSzOvJ958PWT09c/edit?usp=sharing"",""ลำพูน!J314"")+IMPORTRANGE(""https://docs.google.com/spreadsheets/d/1B0f2xJpZUC6Z0xXnqKlZtEPzsf6L84eP1r1Q15seqRM/edit?usp=sharing"",""สุโขทัย!J314"")+IMPORTRANGE(""http"&amp;"s://docs.google.com/spreadsheets/d/1v0b9pFQCsKUVExMei7AgY2yQkdeNQvtOssygGsXbiKo/edit?usp=sharing"",""อุตรดิตถ์!J314"")+IMPORTRANGE(""https://docs.google.com/spreadsheets/d/1UsNK1e-WWiCo2PvGqdNfdme4m17_Ezd3J69EeeiQPD0/edit?usp=sharing"",""อุทัยธานี!J314"")"),305)</f>
        <v>305</v>
      </c>
      <c r="K314" s="46">
        <f t="shared" ref="K314:K317" ca="1" si="236">IF(I314&gt;0,J314*100/I314,0)</f>
        <v>70.114942528735625</v>
      </c>
      <c r="L314" s="45"/>
      <c r="M314" s="45"/>
      <c r="N314" s="45"/>
      <c r="O314" s="45"/>
      <c r="P314" s="45"/>
      <c r="Q314" s="45"/>
      <c r="R314" s="45"/>
      <c r="S314" s="45"/>
      <c r="T314" s="45"/>
      <c r="U314" s="45"/>
    </row>
    <row r="315" spans="1:21" ht="18.75" x14ac:dyDescent="0.25">
      <c r="A315" s="138"/>
      <c r="B315" s="139"/>
      <c r="C315" s="139"/>
      <c r="D315" s="149" t="s">
        <v>129</v>
      </c>
      <c r="E315" s="145"/>
      <c r="F315" s="145"/>
      <c r="G315" s="143"/>
      <c r="H315" s="150" t="s">
        <v>35</v>
      </c>
      <c r="I315" s="166">
        <f ca="1">IFERROR(__xludf.DUMMYFUNCTION("IMPORTRANGE(""https://docs.google.com/spreadsheets/d/1jTcq05yEiRwXcBMLjiodW9e4biSGYWAHcDj22rKWQ3s/edit?usp=sharing"",""กำแพงเพชร!I315"")+IMPORTRANGE(""https://docs.google.com/spreadsheets/d/1KS0zmDSZPk8KnTAbGN-Xk6MtX1YRZD0ldgdt20K4CRk/edit?usp=sharing"","&amp;"""เชียงราย!I315"")+IMPORTRANGE(""https://docs.google.com/spreadsheets/d/1rEDxBtusbi64tE0zunoIbsTVV16HeL0oJ6trHQeQ7K8/edit?usp=sharing"",""เชียงใหม่!I315"")+IMPORTRANGE(""https://docs.google.com/spreadsheets/d/1W6MnUbDkMi6xHnHko_XkFDO9kkuL6Wqyc-6OCDFjW9I/e"&amp;"dit?usp=sharing"",""ตาก!I315"")+IMPORTRANGE(""https://docs.google.com/spreadsheets/d/1IQAWArduLkta9LpYo4a_ULsyqdta6-6aDDiwpUnQT6c/edit?usp=sharing"",""นครสวรรค์!I315"")+IMPORTRANGE(""https://docs.google.com/spreadsheets/d/10s13Sk5xrltsiR-Zkbmk5DwIaDIKO8Xl"&amp;"bJAfqyT7Gvg/edit?usp=sharing"",""น่าน!I315"")+IMPORTRANGE(""https://docs.google.com/spreadsheets/d/1uu4nAn4Dbi1XREnLKKotUANlKXa7yCgRcgq8HEzQYW8/edit?usp=sharing"",""พะเยา!I315"")+IMPORTRANGE(""https://docs.google.com/spreadsheets/d/1xfJKIQxVOaPDIICqsflNlL"&amp;"u3JacTDk1FP9RH4phX7mI/edit?usp=sharing"",""พิจิตร!I315"")+IMPORTRANGE(""https://docs.google.com/spreadsheets/d/1JtRfZkJMHtEhI5RdRHxYUG4FIZHqKDpNyIuN7A1Q0_k/edit?usp=sharing"",""พิษณุโลก!I315"")+IMPORTRANGE(""https://docs.google.com/spreadsheets/d/1xlcVZWU"&amp;"Nn6SuWm0c307h32SiGkd9BaeQWlAktfD3KO8/edit?usp=sharing"",""เพชรบูรณ์!I315"")+IMPORTRANGE(""https://docs.google.com/spreadsheets/d/1lOVebEIsI9qjGXl6EX66luk7wiuP2tBaryw-wKvv4e0/edit?usp=sharing"",""แพร่!I315"")+IMPORTRANGE(""https://docs.google.com/spreadshe"&amp;"ets/d/1dQrvX0vEcN7Gu0fnZ0B5S90AeR19zth4XlExFBeExMY/edit?usp=sharing"",""แม่ฮ่องสอน!I315"")+IMPORTRANGE(""https://docs.google.com/spreadsheets/d/1DY4XTNNwjluuxqdfdn6qvOSlMRrZqUtmYcZR0ttFiG4/edit?usp=sharing"",""ลำปาง!I315"")+IMPORTRANGE(""https://docs.goog"&amp;"le.com/spreadsheets/d/1ICwG78r0OFT8biBlxnBF8r7she7gNSzOvJ958PWT09c/edit?usp=sharing"",""ลำพูน!I315"")+IMPORTRANGE(""https://docs.google.com/spreadsheets/d/1B0f2xJpZUC6Z0xXnqKlZtEPzsf6L84eP1r1Q15seqRM/edit?usp=sharing"",""สุโขทัย!I315"")+IMPORTRANGE(""http"&amp;"s://docs.google.com/spreadsheets/d/1v0b9pFQCsKUVExMei7AgY2yQkdeNQvtOssygGsXbiKo/edit?usp=sharing"",""อุตรดิตถ์!I315"")+IMPORTRANGE(""https://docs.google.com/spreadsheets/d/1UsNK1e-WWiCo2PvGqdNfdme4m17_Ezd3J69EeeiQPD0/edit?usp=sharing"",""อุทัยธานี!I315"")"),0)</f>
        <v>0</v>
      </c>
      <c r="J315" s="166">
        <f ca="1">IFERROR(__xludf.DUMMYFUNCTION("IMPORTRANGE(""https://docs.google.com/spreadsheets/d/1jTcq05yEiRwXcBMLjiodW9e4biSGYWAHcDj22rKWQ3s/edit?usp=sharing"",""กำแพงเพชร!J315"")+IMPORTRANGE(""https://docs.google.com/spreadsheets/d/1KS0zmDSZPk8KnTAbGN-Xk6MtX1YRZD0ldgdt20K4CRk/edit?usp=sharing"","&amp;"""เชียงราย!J315"")+IMPORTRANGE(""https://docs.google.com/spreadsheets/d/1rEDxBtusbi64tE0zunoIbsTVV16HeL0oJ6trHQeQ7K8/edit?usp=sharing"",""เชียงใหม่!J315"")+IMPORTRANGE(""https://docs.google.com/spreadsheets/d/1W6MnUbDkMi6xHnHko_XkFDO9kkuL6Wqyc-6OCDFjW9I/e"&amp;"dit?usp=sharing"",""ตาก!J315"")+IMPORTRANGE(""https://docs.google.com/spreadsheets/d/1IQAWArduLkta9LpYo4a_ULsyqdta6-6aDDiwpUnQT6c/edit?usp=sharing"",""นครสวรรค์!J315"")+IMPORTRANGE(""https://docs.google.com/spreadsheets/d/10s13Sk5xrltsiR-Zkbmk5DwIaDIKO8Xl"&amp;"bJAfqyT7Gvg/edit?usp=sharing"",""น่าน!J315"")+IMPORTRANGE(""https://docs.google.com/spreadsheets/d/1uu4nAn4Dbi1XREnLKKotUANlKXa7yCgRcgq8HEzQYW8/edit?usp=sharing"",""พะเยา!J315"")+IMPORTRANGE(""https://docs.google.com/spreadsheets/d/1xfJKIQxVOaPDIICqsflNlL"&amp;"u3JacTDk1FP9RH4phX7mI/edit?usp=sharing"",""พิจิตร!J315"")+IMPORTRANGE(""https://docs.google.com/spreadsheets/d/1JtRfZkJMHtEhI5RdRHxYUG4FIZHqKDpNyIuN7A1Q0_k/edit?usp=sharing"",""พิษณุโลก!J315"")+IMPORTRANGE(""https://docs.google.com/spreadsheets/d/1xlcVZWU"&amp;"Nn6SuWm0c307h32SiGkd9BaeQWlAktfD3KO8/edit?usp=sharing"",""เพชรบูรณ์!J315"")+IMPORTRANGE(""https://docs.google.com/spreadsheets/d/1lOVebEIsI9qjGXl6EX66luk7wiuP2tBaryw-wKvv4e0/edit?usp=sharing"",""แพร่!J315"")+IMPORTRANGE(""https://docs.google.com/spreadshe"&amp;"ets/d/1dQrvX0vEcN7Gu0fnZ0B5S90AeR19zth4XlExFBeExMY/edit?usp=sharing"",""แม่ฮ่องสอน!J315"")+IMPORTRANGE(""https://docs.google.com/spreadsheets/d/1DY4XTNNwjluuxqdfdn6qvOSlMRrZqUtmYcZR0ttFiG4/edit?usp=sharing"",""ลำปาง!J315"")+IMPORTRANGE(""https://docs.goog"&amp;"le.com/spreadsheets/d/1ICwG78r0OFT8biBlxnBF8r7she7gNSzOvJ958PWT09c/edit?usp=sharing"",""ลำพูน!J315"")+IMPORTRANGE(""https://docs.google.com/spreadsheets/d/1B0f2xJpZUC6Z0xXnqKlZtEPzsf6L84eP1r1Q15seqRM/edit?usp=sharing"",""สุโขทัย!J315"")+IMPORTRANGE(""http"&amp;"s://docs.google.com/spreadsheets/d/1v0b9pFQCsKUVExMei7AgY2yQkdeNQvtOssygGsXbiKo/edit?usp=sharing"",""อุตรดิตถ์!J315"")+IMPORTRANGE(""https://docs.google.com/spreadsheets/d/1UsNK1e-WWiCo2PvGqdNfdme4m17_Ezd3J69EeeiQPD0/edit?usp=sharing"",""อุทัยธานี!J315"")"),0)</f>
        <v>0</v>
      </c>
      <c r="K315" s="46">
        <f t="shared" ca="1" si="236"/>
        <v>0</v>
      </c>
      <c r="L315" s="45"/>
      <c r="M315" s="45"/>
      <c r="N315" s="45"/>
      <c r="O315" s="45"/>
      <c r="P315" s="45"/>
      <c r="Q315" s="21"/>
      <c r="R315" s="21"/>
      <c r="S315" s="21"/>
      <c r="T315" s="21"/>
      <c r="U315" s="21"/>
    </row>
    <row r="316" spans="1:21" ht="18.75" x14ac:dyDescent="0.25">
      <c r="A316" s="138"/>
      <c r="B316" s="139"/>
      <c r="C316" s="139"/>
      <c r="D316" s="149" t="s">
        <v>50</v>
      </c>
      <c r="E316" s="145"/>
      <c r="F316" s="145"/>
      <c r="G316" s="143"/>
      <c r="H316" s="150" t="s">
        <v>35</v>
      </c>
      <c r="I316" s="166">
        <f ca="1">IFERROR(__xludf.DUMMYFUNCTION("IMPORTRANGE(""https://docs.google.com/spreadsheets/d/1jTcq05yEiRwXcBMLjiodW9e4biSGYWAHcDj22rKWQ3s/edit?usp=sharing"",""กำแพงเพชร!I316"")+IMPORTRANGE(""https://docs.google.com/spreadsheets/d/1KS0zmDSZPk8KnTAbGN-Xk6MtX1YRZD0ldgdt20K4CRk/edit?usp=sharing"","&amp;"""เชียงราย!I316"")+IMPORTRANGE(""https://docs.google.com/spreadsheets/d/1rEDxBtusbi64tE0zunoIbsTVV16HeL0oJ6trHQeQ7K8/edit?usp=sharing"",""เชียงใหม่!I316"")+IMPORTRANGE(""https://docs.google.com/spreadsheets/d/1W6MnUbDkMi6xHnHko_XkFDO9kkuL6Wqyc-6OCDFjW9I/e"&amp;"dit?usp=sharing"",""ตาก!I316"")+IMPORTRANGE(""https://docs.google.com/spreadsheets/d/1IQAWArduLkta9LpYo4a_ULsyqdta6-6aDDiwpUnQT6c/edit?usp=sharing"",""นครสวรรค์!I316"")+IMPORTRANGE(""https://docs.google.com/spreadsheets/d/10s13Sk5xrltsiR-Zkbmk5DwIaDIKO8Xl"&amp;"bJAfqyT7Gvg/edit?usp=sharing"",""น่าน!I316"")+IMPORTRANGE(""https://docs.google.com/spreadsheets/d/1uu4nAn4Dbi1XREnLKKotUANlKXa7yCgRcgq8HEzQYW8/edit?usp=sharing"",""พะเยา!I316"")+IMPORTRANGE(""https://docs.google.com/spreadsheets/d/1xfJKIQxVOaPDIICqsflNlL"&amp;"u3JacTDk1FP9RH4phX7mI/edit?usp=sharing"",""พิจิตร!I316"")+IMPORTRANGE(""https://docs.google.com/spreadsheets/d/1JtRfZkJMHtEhI5RdRHxYUG4FIZHqKDpNyIuN7A1Q0_k/edit?usp=sharing"",""พิษณุโลก!I316"")+IMPORTRANGE(""https://docs.google.com/spreadsheets/d/1xlcVZWU"&amp;"Nn6SuWm0c307h32SiGkd9BaeQWlAktfD3KO8/edit?usp=sharing"",""เพชรบูรณ์!I316"")+IMPORTRANGE(""https://docs.google.com/spreadsheets/d/1lOVebEIsI9qjGXl6EX66luk7wiuP2tBaryw-wKvv4e0/edit?usp=sharing"",""แพร่!I316"")+IMPORTRANGE(""https://docs.google.com/spreadshe"&amp;"ets/d/1dQrvX0vEcN7Gu0fnZ0B5S90AeR19zth4XlExFBeExMY/edit?usp=sharing"",""แม่ฮ่องสอน!I316"")+IMPORTRANGE(""https://docs.google.com/spreadsheets/d/1DY4XTNNwjluuxqdfdn6qvOSlMRrZqUtmYcZR0ttFiG4/edit?usp=sharing"",""ลำปาง!I316"")+IMPORTRANGE(""https://docs.goog"&amp;"le.com/spreadsheets/d/1ICwG78r0OFT8biBlxnBF8r7she7gNSzOvJ958PWT09c/edit?usp=sharing"",""ลำพูน!I316"")+IMPORTRANGE(""https://docs.google.com/spreadsheets/d/1B0f2xJpZUC6Z0xXnqKlZtEPzsf6L84eP1r1Q15seqRM/edit?usp=sharing"",""สุโขทัย!I316"")+IMPORTRANGE(""http"&amp;"s://docs.google.com/spreadsheets/d/1v0b9pFQCsKUVExMei7AgY2yQkdeNQvtOssygGsXbiKo/edit?usp=sharing"",""อุตรดิตถ์!I316"")+IMPORTRANGE(""https://docs.google.com/spreadsheets/d/1UsNK1e-WWiCo2PvGqdNfdme4m17_Ezd3J69EeeiQPD0/edit?usp=sharing"",""อุทัยธานี!I316"")"),0)</f>
        <v>0</v>
      </c>
      <c r="J316" s="166">
        <f ca="1">IFERROR(__xludf.DUMMYFUNCTION("IMPORTRANGE(""https://docs.google.com/spreadsheets/d/1jTcq05yEiRwXcBMLjiodW9e4biSGYWAHcDj22rKWQ3s/edit?usp=sharing"",""กำแพงเพชร!J316"")+IMPORTRANGE(""https://docs.google.com/spreadsheets/d/1KS0zmDSZPk8KnTAbGN-Xk6MtX1YRZD0ldgdt20K4CRk/edit?usp=sharing"","&amp;"""เชียงราย!J316"")+IMPORTRANGE(""https://docs.google.com/spreadsheets/d/1rEDxBtusbi64tE0zunoIbsTVV16HeL0oJ6trHQeQ7K8/edit?usp=sharing"",""เชียงใหม่!J316"")+IMPORTRANGE(""https://docs.google.com/spreadsheets/d/1W6MnUbDkMi6xHnHko_XkFDO9kkuL6Wqyc-6OCDFjW9I/e"&amp;"dit?usp=sharing"",""ตาก!J316"")+IMPORTRANGE(""https://docs.google.com/spreadsheets/d/1IQAWArduLkta9LpYo4a_ULsyqdta6-6aDDiwpUnQT6c/edit?usp=sharing"",""นครสวรรค์!J316"")+IMPORTRANGE(""https://docs.google.com/spreadsheets/d/10s13Sk5xrltsiR-Zkbmk5DwIaDIKO8Xl"&amp;"bJAfqyT7Gvg/edit?usp=sharing"",""น่าน!J316"")+IMPORTRANGE(""https://docs.google.com/spreadsheets/d/1uu4nAn4Dbi1XREnLKKotUANlKXa7yCgRcgq8HEzQYW8/edit?usp=sharing"",""พะเยา!J316"")+IMPORTRANGE(""https://docs.google.com/spreadsheets/d/1xfJKIQxVOaPDIICqsflNlL"&amp;"u3JacTDk1FP9RH4phX7mI/edit?usp=sharing"",""พิจิตร!J316"")+IMPORTRANGE(""https://docs.google.com/spreadsheets/d/1JtRfZkJMHtEhI5RdRHxYUG4FIZHqKDpNyIuN7A1Q0_k/edit?usp=sharing"",""พิษณุโลก!J316"")+IMPORTRANGE(""https://docs.google.com/spreadsheets/d/1xlcVZWU"&amp;"Nn6SuWm0c307h32SiGkd9BaeQWlAktfD3KO8/edit?usp=sharing"",""เพชรบูรณ์!J316"")+IMPORTRANGE(""https://docs.google.com/spreadsheets/d/1lOVebEIsI9qjGXl6EX66luk7wiuP2tBaryw-wKvv4e0/edit?usp=sharing"",""แพร่!J316"")+IMPORTRANGE(""https://docs.google.com/spreadshe"&amp;"ets/d/1dQrvX0vEcN7Gu0fnZ0B5S90AeR19zth4XlExFBeExMY/edit?usp=sharing"",""แม่ฮ่องสอน!J316"")+IMPORTRANGE(""https://docs.google.com/spreadsheets/d/1DY4XTNNwjluuxqdfdn6qvOSlMRrZqUtmYcZR0ttFiG4/edit?usp=sharing"",""ลำปาง!J316"")+IMPORTRANGE(""https://docs.goog"&amp;"le.com/spreadsheets/d/1ICwG78r0OFT8biBlxnBF8r7she7gNSzOvJ958PWT09c/edit?usp=sharing"",""ลำพูน!J316"")+IMPORTRANGE(""https://docs.google.com/spreadsheets/d/1B0f2xJpZUC6Z0xXnqKlZtEPzsf6L84eP1r1Q15seqRM/edit?usp=sharing"",""สุโขทัย!J316"")+IMPORTRANGE(""http"&amp;"s://docs.google.com/spreadsheets/d/1v0b9pFQCsKUVExMei7AgY2yQkdeNQvtOssygGsXbiKo/edit?usp=sharing"",""อุตรดิตถ์!J316"")+IMPORTRANGE(""https://docs.google.com/spreadsheets/d/1UsNK1e-WWiCo2PvGqdNfdme4m17_Ezd3J69EeeiQPD0/edit?usp=sharing"",""อุทัยธานี!J316"")"),0)</f>
        <v>0</v>
      </c>
      <c r="K316" s="46">
        <f t="shared" ca="1" si="236"/>
        <v>0</v>
      </c>
      <c r="L316" s="45"/>
      <c r="M316" s="45"/>
      <c r="N316" s="45"/>
      <c r="O316" s="45"/>
      <c r="P316" s="45"/>
      <c r="Q316" s="21"/>
      <c r="R316" s="21"/>
      <c r="S316" s="21"/>
      <c r="T316" s="21"/>
      <c r="U316" s="21"/>
    </row>
    <row r="317" spans="1:21" ht="18.75" x14ac:dyDescent="0.25">
      <c r="A317" s="208"/>
      <c r="B317" s="158"/>
      <c r="C317" s="158"/>
      <c r="D317" s="47" t="s">
        <v>130</v>
      </c>
      <c r="E317" s="40"/>
      <c r="F317" s="40"/>
      <c r="G317" s="42"/>
      <c r="H317" s="43" t="s">
        <v>35</v>
      </c>
      <c r="I317" s="166">
        <f ca="1">IFERROR(__xludf.DUMMYFUNCTION("IMPORTRANGE(""https://docs.google.com/spreadsheets/d/1jTcq05yEiRwXcBMLjiodW9e4biSGYWAHcDj22rKWQ3s/edit?usp=sharing"",""กำแพงเพชร!I317"")+IMPORTRANGE(""https://docs.google.com/spreadsheets/d/1KS0zmDSZPk8KnTAbGN-Xk6MtX1YRZD0ldgdt20K4CRk/edit?usp=sharing"","&amp;"""เชียงราย!I317"")+IMPORTRANGE(""https://docs.google.com/spreadsheets/d/1rEDxBtusbi64tE0zunoIbsTVV16HeL0oJ6trHQeQ7K8/edit?usp=sharing"",""เชียงใหม่!I317"")+IMPORTRANGE(""https://docs.google.com/spreadsheets/d/1W6MnUbDkMi6xHnHko_XkFDO9kkuL6Wqyc-6OCDFjW9I/e"&amp;"dit?usp=sharing"",""ตาก!I317"")+IMPORTRANGE(""https://docs.google.com/spreadsheets/d/1IQAWArduLkta9LpYo4a_ULsyqdta6-6aDDiwpUnQT6c/edit?usp=sharing"",""นครสวรรค์!I317"")+IMPORTRANGE(""https://docs.google.com/spreadsheets/d/10s13Sk5xrltsiR-Zkbmk5DwIaDIKO8Xl"&amp;"bJAfqyT7Gvg/edit?usp=sharing"",""น่าน!I317"")+IMPORTRANGE(""https://docs.google.com/spreadsheets/d/1uu4nAn4Dbi1XREnLKKotUANlKXa7yCgRcgq8HEzQYW8/edit?usp=sharing"",""พะเยา!I317"")+IMPORTRANGE(""https://docs.google.com/spreadsheets/d/1xfJKIQxVOaPDIICqsflNlL"&amp;"u3JacTDk1FP9RH4phX7mI/edit?usp=sharing"",""พิจิตร!I317"")+IMPORTRANGE(""https://docs.google.com/spreadsheets/d/1JtRfZkJMHtEhI5RdRHxYUG4FIZHqKDpNyIuN7A1Q0_k/edit?usp=sharing"",""พิษณุโลก!I317"")+IMPORTRANGE(""https://docs.google.com/spreadsheets/d/1xlcVZWU"&amp;"Nn6SuWm0c307h32SiGkd9BaeQWlAktfD3KO8/edit?usp=sharing"",""เพชรบูรณ์!I317"")+IMPORTRANGE(""https://docs.google.com/spreadsheets/d/1lOVebEIsI9qjGXl6EX66luk7wiuP2tBaryw-wKvv4e0/edit?usp=sharing"",""แพร่!I317"")+IMPORTRANGE(""https://docs.google.com/spreadshe"&amp;"ets/d/1dQrvX0vEcN7Gu0fnZ0B5S90AeR19zth4XlExFBeExMY/edit?usp=sharing"",""แม่ฮ่องสอน!I317"")+IMPORTRANGE(""https://docs.google.com/spreadsheets/d/1DY4XTNNwjluuxqdfdn6qvOSlMRrZqUtmYcZR0ttFiG4/edit?usp=sharing"",""ลำปาง!I317"")+IMPORTRANGE(""https://docs.goog"&amp;"le.com/spreadsheets/d/1ICwG78r0OFT8biBlxnBF8r7she7gNSzOvJ958PWT09c/edit?usp=sharing"",""ลำพูน!I317"")+IMPORTRANGE(""https://docs.google.com/spreadsheets/d/1B0f2xJpZUC6Z0xXnqKlZtEPzsf6L84eP1r1Q15seqRM/edit?usp=sharing"",""สุโขทัย!I317"")+IMPORTRANGE(""http"&amp;"s://docs.google.com/spreadsheets/d/1v0b9pFQCsKUVExMei7AgY2yQkdeNQvtOssygGsXbiKo/edit?usp=sharing"",""อุตรดิตถ์!I317"")+IMPORTRANGE(""https://docs.google.com/spreadsheets/d/1UsNK1e-WWiCo2PvGqdNfdme4m17_Ezd3J69EeeiQPD0/edit?usp=sharing"",""อุทัยธานี!I317"")"),0)</f>
        <v>0</v>
      </c>
      <c r="J317" s="166">
        <f ca="1">IFERROR(__xludf.DUMMYFUNCTION("IMPORTRANGE(""https://docs.google.com/spreadsheets/d/1jTcq05yEiRwXcBMLjiodW9e4biSGYWAHcDj22rKWQ3s/edit?usp=sharing"",""กำแพงเพชร!J317"")+IMPORTRANGE(""https://docs.google.com/spreadsheets/d/1KS0zmDSZPk8KnTAbGN-Xk6MtX1YRZD0ldgdt20K4CRk/edit?usp=sharing"","&amp;"""เชียงราย!J317"")+IMPORTRANGE(""https://docs.google.com/spreadsheets/d/1rEDxBtusbi64tE0zunoIbsTVV16HeL0oJ6trHQeQ7K8/edit?usp=sharing"",""เชียงใหม่!J317"")+IMPORTRANGE(""https://docs.google.com/spreadsheets/d/1W6MnUbDkMi6xHnHko_XkFDO9kkuL6Wqyc-6OCDFjW9I/e"&amp;"dit?usp=sharing"",""ตาก!J317"")+IMPORTRANGE(""https://docs.google.com/spreadsheets/d/1IQAWArduLkta9LpYo4a_ULsyqdta6-6aDDiwpUnQT6c/edit?usp=sharing"",""นครสวรรค์!J317"")+IMPORTRANGE(""https://docs.google.com/spreadsheets/d/10s13Sk5xrltsiR-Zkbmk5DwIaDIKO8Xl"&amp;"bJAfqyT7Gvg/edit?usp=sharing"",""น่าน!J317"")+IMPORTRANGE(""https://docs.google.com/spreadsheets/d/1uu4nAn4Dbi1XREnLKKotUANlKXa7yCgRcgq8HEzQYW8/edit?usp=sharing"",""พะเยา!J317"")+IMPORTRANGE(""https://docs.google.com/spreadsheets/d/1xfJKIQxVOaPDIICqsflNlL"&amp;"u3JacTDk1FP9RH4phX7mI/edit?usp=sharing"",""พิจิตร!J317"")+IMPORTRANGE(""https://docs.google.com/spreadsheets/d/1JtRfZkJMHtEhI5RdRHxYUG4FIZHqKDpNyIuN7A1Q0_k/edit?usp=sharing"",""พิษณุโลก!J317"")+IMPORTRANGE(""https://docs.google.com/spreadsheets/d/1xlcVZWU"&amp;"Nn6SuWm0c307h32SiGkd9BaeQWlAktfD3KO8/edit?usp=sharing"",""เพชรบูรณ์!J317"")+IMPORTRANGE(""https://docs.google.com/spreadsheets/d/1lOVebEIsI9qjGXl6EX66luk7wiuP2tBaryw-wKvv4e0/edit?usp=sharing"",""แพร่!J317"")+IMPORTRANGE(""https://docs.google.com/spreadshe"&amp;"ets/d/1dQrvX0vEcN7Gu0fnZ0B5S90AeR19zth4XlExFBeExMY/edit?usp=sharing"",""แม่ฮ่องสอน!J317"")+IMPORTRANGE(""https://docs.google.com/spreadsheets/d/1DY4XTNNwjluuxqdfdn6qvOSlMRrZqUtmYcZR0ttFiG4/edit?usp=sharing"",""ลำปาง!J317"")+IMPORTRANGE(""https://docs.goog"&amp;"le.com/spreadsheets/d/1ICwG78r0OFT8biBlxnBF8r7she7gNSzOvJ958PWT09c/edit?usp=sharing"",""ลำพูน!J317"")+IMPORTRANGE(""https://docs.google.com/spreadsheets/d/1B0f2xJpZUC6Z0xXnqKlZtEPzsf6L84eP1r1Q15seqRM/edit?usp=sharing"",""สุโขทัย!J317"")+IMPORTRANGE(""http"&amp;"s://docs.google.com/spreadsheets/d/1v0b9pFQCsKUVExMei7AgY2yQkdeNQvtOssygGsXbiKo/edit?usp=sharing"",""อุตรดิตถ์!J317"")+IMPORTRANGE(""https://docs.google.com/spreadsheets/d/1UsNK1e-WWiCo2PvGqdNfdme4m17_Ezd3J69EeeiQPD0/edit?usp=sharing"",""อุทัยธานี!J317"")"),0)</f>
        <v>0</v>
      </c>
      <c r="K317" s="46">
        <f t="shared" ca="1" si="236"/>
        <v>0</v>
      </c>
      <c r="L317" s="45"/>
      <c r="M317" s="45"/>
      <c r="N317" s="45"/>
      <c r="O317" s="45"/>
      <c r="P317" s="45"/>
      <c r="Q317" s="21"/>
      <c r="R317" s="21"/>
      <c r="S317" s="21"/>
      <c r="T317" s="21"/>
      <c r="U317" s="21"/>
    </row>
    <row r="318" spans="1:21" ht="19.5" x14ac:dyDescent="0.3">
      <c r="A318" s="285" t="s">
        <v>131</v>
      </c>
      <c r="B318" s="286"/>
      <c r="C318" s="286"/>
      <c r="D318" s="287"/>
      <c r="E318" s="286"/>
      <c r="F318" s="286"/>
      <c r="G318" s="286"/>
      <c r="H318" s="287"/>
      <c r="I318" s="289"/>
      <c r="J318" s="289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</row>
    <row r="319" spans="1:21" ht="19.5" x14ac:dyDescent="0.3">
      <c r="A319" s="299"/>
      <c r="B319" s="292" t="s">
        <v>132</v>
      </c>
      <c r="C319" s="300"/>
      <c r="D319" s="301"/>
      <c r="E319" s="293"/>
      <c r="F319" s="293"/>
      <c r="G319" s="294"/>
      <c r="H319" s="295" t="s">
        <v>133</v>
      </c>
      <c r="I319" s="296">
        <f t="shared" ref="I319:J319" ca="1" si="237">I330</f>
        <v>1</v>
      </c>
      <c r="J319" s="296">
        <f t="shared" ca="1" si="237"/>
        <v>1</v>
      </c>
      <c r="K319" s="297">
        <f ca="1">IF(I319&gt;0,J319*100/I319,0)</f>
        <v>100</v>
      </c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</row>
    <row r="320" spans="1:21" ht="19.5" x14ac:dyDescent="0.3">
      <c r="A320" s="128"/>
      <c r="B320" s="40"/>
      <c r="C320" s="129" t="s">
        <v>18</v>
      </c>
      <c r="D320" s="130" t="s">
        <v>19</v>
      </c>
      <c r="E320" s="40"/>
      <c r="F320" s="40"/>
      <c r="G320" s="42"/>
      <c r="H320" s="131" t="s">
        <v>14</v>
      </c>
      <c r="I320" s="44"/>
      <c r="J320" s="44"/>
      <c r="K320" s="45"/>
      <c r="L320" s="132">
        <f t="shared" ref="L320:N320" ca="1" si="238">L321+L322</f>
        <v>125000</v>
      </c>
      <c r="M320" s="132">
        <f t="shared" ca="1" si="238"/>
        <v>20000</v>
      </c>
      <c r="N320" s="132">
        <f t="shared" ca="1" si="238"/>
        <v>20000</v>
      </c>
      <c r="O320" s="132">
        <f t="shared" ref="O320:O328" ca="1" si="239">IF(L320&gt;0,N320*100/L320,0)</f>
        <v>16</v>
      </c>
      <c r="P320" s="132">
        <f t="shared" ref="P320:P328" ca="1" si="240">IF(M320&gt;0,N320*100/M320,0)</f>
        <v>100</v>
      </c>
      <c r="Q320" s="132">
        <f t="shared" ref="Q320:S320" ca="1" si="241">Q321+Q322</f>
        <v>0</v>
      </c>
      <c r="R320" s="132">
        <f t="shared" ca="1" si="241"/>
        <v>0</v>
      </c>
      <c r="S320" s="132">
        <f t="shared" ca="1" si="241"/>
        <v>0</v>
      </c>
      <c r="T320" s="132">
        <f t="shared" ref="T320:T328" ca="1" si="242">IF(Q320&gt;0,S320*100/Q320,0)</f>
        <v>0</v>
      </c>
      <c r="U320" s="132">
        <f t="shared" ref="U320:U328" ca="1" si="243">IF(R320&gt;0,S320*100/R320,0)</f>
        <v>0</v>
      </c>
    </row>
    <row r="321" spans="1:21" ht="18.75" x14ac:dyDescent="0.25">
      <c r="A321" s="128"/>
      <c r="B321" s="40"/>
      <c r="C321" s="40"/>
      <c r="D321" s="40"/>
      <c r="E321" s="47" t="s">
        <v>20</v>
      </c>
      <c r="F321" s="40"/>
      <c r="G321" s="42"/>
      <c r="H321" s="133" t="s">
        <v>14</v>
      </c>
      <c r="I321" s="44"/>
      <c r="J321" s="44"/>
      <c r="K321" s="45"/>
      <c r="L321" s="46">
        <f t="shared" ref="L321:N321" ca="1" si="244">L324+L327</f>
        <v>0</v>
      </c>
      <c r="M321" s="46">
        <f t="shared" ca="1" si="244"/>
        <v>0</v>
      </c>
      <c r="N321" s="46">
        <f t="shared" ca="1" si="244"/>
        <v>0</v>
      </c>
      <c r="O321" s="46">
        <f t="shared" ca="1" si="239"/>
        <v>0</v>
      </c>
      <c r="P321" s="46">
        <f t="shared" ca="1" si="240"/>
        <v>0</v>
      </c>
      <c r="Q321" s="48">
        <f t="shared" ref="Q321:S321" ca="1" si="245">Q324+Q327</f>
        <v>0</v>
      </c>
      <c r="R321" s="48">
        <f t="shared" ca="1" si="245"/>
        <v>0</v>
      </c>
      <c r="S321" s="48">
        <f t="shared" ca="1" si="245"/>
        <v>0</v>
      </c>
      <c r="T321" s="48">
        <f t="shared" ca="1" si="242"/>
        <v>0</v>
      </c>
      <c r="U321" s="48">
        <f t="shared" ca="1" si="243"/>
        <v>0</v>
      </c>
    </row>
    <row r="322" spans="1:21" ht="18.75" x14ac:dyDescent="0.25">
      <c r="A322" s="128"/>
      <c r="B322" s="40"/>
      <c r="C322" s="40"/>
      <c r="D322" s="40"/>
      <c r="E322" s="47" t="s">
        <v>21</v>
      </c>
      <c r="F322" s="40"/>
      <c r="G322" s="42"/>
      <c r="H322" s="133" t="s">
        <v>14</v>
      </c>
      <c r="I322" s="44"/>
      <c r="J322" s="44"/>
      <c r="K322" s="45"/>
      <c r="L322" s="46">
        <f t="shared" ref="L322:N322" ca="1" si="246">L325+L328</f>
        <v>125000</v>
      </c>
      <c r="M322" s="46">
        <f t="shared" ca="1" si="246"/>
        <v>20000</v>
      </c>
      <c r="N322" s="46">
        <f t="shared" ca="1" si="246"/>
        <v>20000</v>
      </c>
      <c r="O322" s="46">
        <f t="shared" ca="1" si="239"/>
        <v>16</v>
      </c>
      <c r="P322" s="46">
        <f t="shared" ca="1" si="240"/>
        <v>100</v>
      </c>
      <c r="Q322" s="46">
        <f t="shared" ref="Q322:S322" ca="1" si="247">Q325+Q328</f>
        <v>0</v>
      </c>
      <c r="R322" s="46">
        <f t="shared" ca="1" si="247"/>
        <v>0</v>
      </c>
      <c r="S322" s="46">
        <f t="shared" ca="1" si="247"/>
        <v>0</v>
      </c>
      <c r="T322" s="46">
        <f t="shared" ca="1" si="242"/>
        <v>0</v>
      </c>
      <c r="U322" s="46">
        <f t="shared" ca="1" si="243"/>
        <v>0</v>
      </c>
    </row>
    <row r="323" spans="1:21" ht="18.75" x14ac:dyDescent="0.25">
      <c r="A323" s="128"/>
      <c r="B323" s="40"/>
      <c r="C323" s="40"/>
      <c r="D323" s="41" t="s">
        <v>22</v>
      </c>
      <c r="E323" s="40"/>
      <c r="F323" s="40"/>
      <c r="G323" s="42"/>
      <c r="H323" s="134" t="s">
        <v>14</v>
      </c>
      <c r="I323" s="135"/>
      <c r="J323" s="135"/>
      <c r="K323" s="136"/>
      <c r="L323" s="46">
        <f t="shared" ref="L323:N323" ca="1" si="248">L324+L325</f>
        <v>125000</v>
      </c>
      <c r="M323" s="46">
        <f t="shared" ca="1" si="248"/>
        <v>20000</v>
      </c>
      <c r="N323" s="46">
        <f t="shared" ca="1" si="248"/>
        <v>20000</v>
      </c>
      <c r="O323" s="46">
        <f t="shared" ca="1" si="239"/>
        <v>16</v>
      </c>
      <c r="P323" s="46">
        <f t="shared" ca="1" si="240"/>
        <v>100</v>
      </c>
      <c r="Q323" s="46">
        <f t="shared" ref="Q323:S323" ca="1" si="249">Q324+Q325</f>
        <v>0</v>
      </c>
      <c r="R323" s="46">
        <f t="shared" ca="1" si="249"/>
        <v>0</v>
      </c>
      <c r="S323" s="46">
        <f t="shared" ca="1" si="249"/>
        <v>0</v>
      </c>
      <c r="T323" s="46">
        <f t="shared" ca="1" si="242"/>
        <v>0</v>
      </c>
      <c r="U323" s="46">
        <f t="shared" ca="1" si="243"/>
        <v>0</v>
      </c>
    </row>
    <row r="324" spans="1:21" ht="18.75" x14ac:dyDescent="0.25">
      <c r="A324" s="128"/>
      <c r="B324" s="40"/>
      <c r="C324" s="40"/>
      <c r="D324" s="40"/>
      <c r="E324" s="47" t="s">
        <v>36</v>
      </c>
      <c r="F324" s="40"/>
      <c r="G324" s="42"/>
      <c r="H324" s="134" t="s">
        <v>14</v>
      </c>
      <c r="I324" s="135"/>
      <c r="J324" s="135"/>
      <c r="K324" s="136"/>
      <c r="L324" s="46">
        <f ca="1">IFERROR(__xludf.DUMMYFUNCTION("IMPORTRANGE(""https://docs.google.com/spreadsheets/d/1jTcq05yEiRwXcBMLjiodW9e4biSGYWAHcDj22rKWQ3s/edit?usp=sharing"",""กำแพงเพชร!L324"")+IMPORTRANGE(""https://docs.google.com/spreadsheets/d/1KS0zmDSZPk8KnTAbGN-Xk6MtX1YRZD0ldgdt20K4CRk/edit?usp=sharing"","&amp;"""เชียงราย!L324"")+IMPORTRANGE(""https://docs.google.com/spreadsheets/d/1rEDxBtusbi64tE0zunoIbsTVV16HeL0oJ6trHQeQ7K8/edit?usp=sharing"",""เชียงใหม่!L324"")+IMPORTRANGE(""https://docs.google.com/spreadsheets/d/1W6MnUbDkMi6xHnHko_XkFDO9kkuL6Wqyc-6OCDFjW9I/e"&amp;"dit?usp=sharing"",""ตาก!L324"")+IMPORTRANGE(""https://docs.google.com/spreadsheets/d/1IQAWArduLkta9LpYo4a_ULsyqdta6-6aDDiwpUnQT6c/edit?usp=sharing"",""นครสวรรค์!L324"")+IMPORTRANGE(""https://docs.google.com/spreadsheets/d/10s13Sk5xrltsiR-Zkbmk5DwIaDIKO8Xl"&amp;"bJAfqyT7Gvg/edit?usp=sharing"",""น่าน!L324"")+IMPORTRANGE(""https://docs.google.com/spreadsheets/d/1uu4nAn4Dbi1XREnLKKotUANlKXa7yCgRcgq8HEzQYW8/edit?usp=sharing"",""พะเยา!L324"")+IMPORTRANGE(""https://docs.google.com/spreadsheets/d/1xfJKIQxVOaPDIICqsflNlL"&amp;"u3JacTDk1FP9RH4phX7mI/edit?usp=sharing"",""พิจิตร!L324"")+IMPORTRANGE(""https://docs.google.com/spreadsheets/d/1JtRfZkJMHtEhI5RdRHxYUG4FIZHqKDpNyIuN7A1Q0_k/edit?usp=sharing"",""พิษณุโลก!L324"")+IMPORTRANGE(""https://docs.google.com/spreadsheets/d/1xlcVZWU"&amp;"Nn6SuWm0c307h32SiGkd9BaeQWlAktfD3KO8/edit?usp=sharing"",""เพชรบูรณ์!L324"")+IMPORTRANGE(""https://docs.google.com/spreadsheets/d/1lOVebEIsI9qjGXl6EX66luk7wiuP2tBaryw-wKvv4e0/edit?usp=sharing"",""แพร่!L324"")+IMPORTRANGE(""https://docs.google.com/spreadshe"&amp;"ets/d/1dQrvX0vEcN7Gu0fnZ0B5S90AeR19zth4XlExFBeExMY/edit?usp=sharing"",""แม่ฮ่องสอน!L324"")+IMPORTRANGE(""https://docs.google.com/spreadsheets/d/1DY4XTNNwjluuxqdfdn6qvOSlMRrZqUtmYcZR0ttFiG4/edit?usp=sharing"",""ลำปาง!L324"")+IMPORTRANGE(""https://docs.goog"&amp;"le.com/spreadsheets/d/1ICwG78r0OFT8biBlxnBF8r7she7gNSzOvJ958PWT09c/edit?usp=sharing"",""ลำพูน!L324"")+IMPORTRANGE(""https://docs.google.com/spreadsheets/d/1B0f2xJpZUC6Z0xXnqKlZtEPzsf6L84eP1r1Q15seqRM/edit?usp=sharing"",""สุโขทัย!L324"")+IMPORTRANGE(""http"&amp;"s://docs.google.com/spreadsheets/d/1v0b9pFQCsKUVExMei7AgY2yQkdeNQvtOssygGsXbiKo/edit?usp=sharing"",""อุตรดิตถ์!L324"")+IMPORTRANGE(""https://docs.google.com/spreadsheets/d/1UsNK1e-WWiCo2PvGqdNfdme4m17_Ezd3J69EeeiQPD0/edit?usp=sharing"",""อุทัยธานี!L324"")"),0)</f>
        <v>0</v>
      </c>
      <c r="M324" s="46">
        <f ca="1">IFERROR(__xludf.DUMMYFUNCTION("IMPORTRANGE(""https://docs.google.com/spreadsheets/d/1jTcq05yEiRwXcBMLjiodW9e4biSGYWAHcDj22rKWQ3s/edit?usp=sharing"",""กำแพงเพชร!M324"")+IMPORTRANGE(""https://docs.google.com/spreadsheets/d/1KS0zmDSZPk8KnTAbGN-Xk6MtX1YRZD0ldgdt20K4CRk/edit?usp=sharing"","&amp;"""เชียงราย!M324"")+IMPORTRANGE(""https://docs.google.com/spreadsheets/d/1rEDxBtusbi64tE0zunoIbsTVV16HeL0oJ6trHQeQ7K8/edit?usp=sharing"",""เชียงใหม่!M324"")+IMPORTRANGE(""https://docs.google.com/spreadsheets/d/1W6MnUbDkMi6xHnHko_XkFDO9kkuL6Wqyc-6OCDFjW9I/e"&amp;"dit?usp=sharing"",""ตาก!M324"")+IMPORTRANGE(""https://docs.google.com/spreadsheets/d/1IQAWArduLkta9LpYo4a_ULsyqdta6-6aDDiwpUnQT6c/edit?usp=sharing"",""นครสวรรค์!M324"")+IMPORTRANGE(""https://docs.google.com/spreadsheets/d/10s13Sk5xrltsiR-Zkbmk5DwIaDIKO8Xl"&amp;"bJAfqyT7Gvg/edit?usp=sharing"",""น่าน!M324"")+IMPORTRANGE(""https://docs.google.com/spreadsheets/d/1uu4nAn4Dbi1XREnLKKotUANlKXa7yCgRcgq8HEzQYW8/edit?usp=sharing"",""พะเยา!M324"")+IMPORTRANGE(""https://docs.google.com/spreadsheets/d/1xfJKIQxVOaPDIICqsflNlL"&amp;"u3JacTDk1FP9RH4phX7mI/edit?usp=sharing"",""พิจิตร!M324"")+IMPORTRANGE(""https://docs.google.com/spreadsheets/d/1JtRfZkJMHtEhI5RdRHxYUG4FIZHqKDpNyIuN7A1Q0_k/edit?usp=sharing"",""พิษณุโลก!M324"")+IMPORTRANGE(""https://docs.google.com/spreadsheets/d/1xlcVZWU"&amp;"Nn6SuWm0c307h32SiGkd9BaeQWlAktfD3KO8/edit?usp=sharing"",""เพชรบูรณ์!M324"")+IMPORTRANGE(""https://docs.google.com/spreadsheets/d/1lOVebEIsI9qjGXl6EX66luk7wiuP2tBaryw-wKvv4e0/edit?usp=sharing"",""แพร่!M324"")+IMPORTRANGE(""https://docs.google.com/spreadshe"&amp;"ets/d/1dQrvX0vEcN7Gu0fnZ0B5S90AeR19zth4XlExFBeExMY/edit?usp=sharing"",""แม่ฮ่องสอน!M324"")+IMPORTRANGE(""https://docs.google.com/spreadsheets/d/1DY4XTNNwjluuxqdfdn6qvOSlMRrZqUtmYcZR0ttFiG4/edit?usp=sharing"",""ลำปาง!M324"")+IMPORTRANGE(""https://docs.goog"&amp;"le.com/spreadsheets/d/1ICwG78r0OFT8biBlxnBF8r7she7gNSzOvJ958PWT09c/edit?usp=sharing"",""ลำพูน!M324"")+IMPORTRANGE(""https://docs.google.com/spreadsheets/d/1B0f2xJpZUC6Z0xXnqKlZtEPzsf6L84eP1r1Q15seqRM/edit?usp=sharing"",""สุโขทัย!M324"")+IMPORTRANGE(""http"&amp;"s://docs.google.com/spreadsheets/d/1v0b9pFQCsKUVExMei7AgY2yQkdeNQvtOssygGsXbiKo/edit?usp=sharing"",""อุตรดิตถ์!M324"")+IMPORTRANGE(""https://docs.google.com/spreadsheets/d/1UsNK1e-WWiCo2PvGqdNfdme4m17_Ezd3J69EeeiQPD0/edit?usp=sharing"",""อุทัยธานี!M324"")"),0)</f>
        <v>0</v>
      </c>
      <c r="N324" s="46">
        <f ca="1">IFERROR(__xludf.DUMMYFUNCTION("IMPORTRANGE(""https://docs.google.com/spreadsheets/d/1jTcq05yEiRwXcBMLjiodW9e4biSGYWAHcDj22rKWQ3s/edit?usp=sharing"",""กำแพงเพชร!N324"")+IMPORTRANGE(""https://docs.google.com/spreadsheets/d/1KS0zmDSZPk8KnTAbGN-Xk6MtX1YRZD0ldgdt20K4CRk/edit?usp=sharing"","&amp;"""เชียงราย!N324"")+IMPORTRANGE(""https://docs.google.com/spreadsheets/d/1rEDxBtusbi64tE0zunoIbsTVV16HeL0oJ6trHQeQ7K8/edit?usp=sharing"",""เชียงใหม่!N324"")+IMPORTRANGE(""https://docs.google.com/spreadsheets/d/1W6MnUbDkMi6xHnHko_XkFDO9kkuL6Wqyc-6OCDFjW9I/e"&amp;"dit?usp=sharing"",""ตาก!N324"")+IMPORTRANGE(""https://docs.google.com/spreadsheets/d/1IQAWArduLkta9LpYo4a_ULsyqdta6-6aDDiwpUnQT6c/edit?usp=sharing"",""นครสวรรค์!N324"")+IMPORTRANGE(""https://docs.google.com/spreadsheets/d/10s13Sk5xrltsiR-Zkbmk5DwIaDIKO8Xl"&amp;"bJAfqyT7Gvg/edit?usp=sharing"",""น่าน!N324"")+IMPORTRANGE(""https://docs.google.com/spreadsheets/d/1uu4nAn4Dbi1XREnLKKotUANlKXa7yCgRcgq8HEzQYW8/edit?usp=sharing"",""พะเยา!N324"")+IMPORTRANGE(""https://docs.google.com/spreadsheets/d/1xfJKIQxVOaPDIICqsflNlL"&amp;"u3JacTDk1FP9RH4phX7mI/edit?usp=sharing"",""พิจิตร!N324"")+IMPORTRANGE(""https://docs.google.com/spreadsheets/d/1JtRfZkJMHtEhI5RdRHxYUG4FIZHqKDpNyIuN7A1Q0_k/edit?usp=sharing"",""พิษณุโลก!N324"")+IMPORTRANGE(""https://docs.google.com/spreadsheets/d/1xlcVZWU"&amp;"Nn6SuWm0c307h32SiGkd9BaeQWlAktfD3KO8/edit?usp=sharing"",""เพชรบูรณ์!N324"")+IMPORTRANGE(""https://docs.google.com/spreadsheets/d/1lOVebEIsI9qjGXl6EX66luk7wiuP2tBaryw-wKvv4e0/edit?usp=sharing"",""แพร่!N324"")+IMPORTRANGE(""https://docs.google.com/spreadshe"&amp;"ets/d/1dQrvX0vEcN7Gu0fnZ0B5S90AeR19zth4XlExFBeExMY/edit?usp=sharing"",""แม่ฮ่องสอน!N324"")+IMPORTRANGE(""https://docs.google.com/spreadsheets/d/1DY4XTNNwjluuxqdfdn6qvOSlMRrZqUtmYcZR0ttFiG4/edit?usp=sharing"",""ลำปาง!N324"")+IMPORTRANGE(""https://docs.goog"&amp;"le.com/spreadsheets/d/1ICwG78r0OFT8biBlxnBF8r7she7gNSzOvJ958PWT09c/edit?usp=sharing"",""ลำพูน!N324"")+IMPORTRANGE(""https://docs.google.com/spreadsheets/d/1B0f2xJpZUC6Z0xXnqKlZtEPzsf6L84eP1r1Q15seqRM/edit?usp=sharing"",""สุโขทัย!N324"")+IMPORTRANGE(""http"&amp;"s://docs.google.com/spreadsheets/d/1v0b9pFQCsKUVExMei7AgY2yQkdeNQvtOssygGsXbiKo/edit?usp=sharing"",""อุตรดิตถ์!N324"")+IMPORTRANGE(""https://docs.google.com/spreadsheets/d/1UsNK1e-WWiCo2PvGqdNfdme4m17_Ezd3J69EeeiQPD0/edit?usp=sharing"",""อุทัยธานี!N324"")"),0)</f>
        <v>0</v>
      </c>
      <c r="O324" s="46">
        <f t="shared" ca="1" si="239"/>
        <v>0</v>
      </c>
      <c r="P324" s="46">
        <f t="shared" ca="1" si="240"/>
        <v>0</v>
      </c>
      <c r="Q324" s="48">
        <f ca="1">IFERROR(__xludf.DUMMYFUNCTION("IMPORTRANGE(""https://docs.google.com/spreadsheets/d/1jTcq05yEiRwXcBMLjiodW9e4biSGYWAHcDj22rKWQ3s/edit?usp=sharing"",""กำแพงเพชร!Q324"")+IMPORTRANGE(""https://docs.google.com/spreadsheets/d/1KS0zmDSZPk8KnTAbGN-Xk6MtX1YRZD0ldgdt20K4CRk/edit?usp=sharing"","&amp;"""เชียงราย!Q324"")+IMPORTRANGE(""https://docs.google.com/spreadsheets/d/1rEDxBtusbi64tE0zunoIbsTVV16HeL0oJ6trHQeQ7K8/edit?usp=sharing"",""เชียงใหม่!Q324"")+IMPORTRANGE(""https://docs.google.com/spreadsheets/d/1W6MnUbDkMi6xHnHko_XkFDO9kkuL6Wqyc-6OCDFjW9I/e"&amp;"dit?usp=sharing"",""ตาก!Q324"")+IMPORTRANGE(""https://docs.google.com/spreadsheets/d/1IQAWArduLkta9LpYo4a_ULsyqdta6-6aDDiwpUnQT6c/edit?usp=sharing"",""นครสวรรค์!Q324"")+IMPORTRANGE(""https://docs.google.com/spreadsheets/d/10s13Sk5xrltsiR-Zkbmk5DwIaDIKO8Xl"&amp;"bJAfqyT7Gvg/edit?usp=sharing"",""น่าน!Q324"")+IMPORTRANGE(""https://docs.google.com/spreadsheets/d/1uu4nAn4Dbi1XREnLKKotUANlKXa7yCgRcgq8HEzQYW8/edit?usp=sharing"",""พะเยา!Q324"")+IMPORTRANGE(""https://docs.google.com/spreadsheets/d/1xfJKIQxVOaPDIICqsflNlL"&amp;"u3JacTDk1FP9RH4phX7mI/edit?usp=sharing"",""พิจิตร!Q324"")+IMPORTRANGE(""https://docs.google.com/spreadsheets/d/1JtRfZkJMHtEhI5RdRHxYUG4FIZHqKDpNyIuN7A1Q0_k/edit?usp=sharing"",""พิษณุโลก!Q324"")+IMPORTRANGE(""https://docs.google.com/spreadsheets/d/1xlcVZWU"&amp;"Nn6SuWm0c307h32SiGkd9BaeQWlAktfD3KO8/edit?usp=sharing"",""เพชรบูรณ์!Q324"")+IMPORTRANGE(""https://docs.google.com/spreadsheets/d/1lOVebEIsI9qjGXl6EX66luk7wiuP2tBaryw-wKvv4e0/edit?usp=sharing"",""แพร่!Q324"")+IMPORTRANGE(""https://docs.google.com/spreadshe"&amp;"ets/d/1dQrvX0vEcN7Gu0fnZ0B5S90AeR19zth4XlExFBeExMY/edit?usp=sharing"",""แม่ฮ่องสอน!Q324"")+IMPORTRANGE(""https://docs.google.com/spreadsheets/d/1DY4XTNNwjluuxqdfdn6qvOSlMRrZqUtmYcZR0ttFiG4/edit?usp=sharing"",""ลำปาง!Q324"")+IMPORTRANGE(""https://docs.goog"&amp;"le.com/spreadsheets/d/1ICwG78r0OFT8biBlxnBF8r7she7gNSzOvJ958PWT09c/edit?usp=sharing"",""ลำพูน!Q324"")+IMPORTRANGE(""https://docs.google.com/spreadsheets/d/1B0f2xJpZUC6Z0xXnqKlZtEPzsf6L84eP1r1Q15seqRM/edit?usp=sharing"",""สุโขทัย!Q324"")+IMPORTRANGE(""http"&amp;"s://docs.google.com/spreadsheets/d/1v0b9pFQCsKUVExMei7AgY2yQkdeNQvtOssygGsXbiKo/edit?usp=sharing"",""อุตรดิตถ์!Q324"")+IMPORTRANGE(""https://docs.google.com/spreadsheets/d/1UsNK1e-WWiCo2PvGqdNfdme4m17_Ezd3J69EeeiQPD0/edit?usp=sharing"",""อุทัยธานี!Q324"")"),0)</f>
        <v>0</v>
      </c>
      <c r="R324" s="48">
        <f ca="1">IFERROR(__xludf.DUMMYFUNCTION("IMPORTRANGE(""https://docs.google.com/spreadsheets/d/1jTcq05yEiRwXcBMLjiodW9e4biSGYWAHcDj22rKWQ3s/edit?usp=sharing"",""กำแพงเพชร!R324"")+IMPORTRANGE(""https://docs.google.com/spreadsheets/d/1KS0zmDSZPk8KnTAbGN-Xk6MtX1YRZD0ldgdt20K4CRk/edit?usp=sharing"","&amp;"""เชียงราย!R324"")+IMPORTRANGE(""https://docs.google.com/spreadsheets/d/1rEDxBtusbi64tE0zunoIbsTVV16HeL0oJ6trHQeQ7K8/edit?usp=sharing"",""เชียงใหม่!R324"")+IMPORTRANGE(""https://docs.google.com/spreadsheets/d/1W6MnUbDkMi6xHnHko_XkFDO9kkuL6Wqyc-6OCDFjW9I/e"&amp;"dit?usp=sharing"",""ตาก!R324"")+IMPORTRANGE(""https://docs.google.com/spreadsheets/d/1IQAWArduLkta9LpYo4a_ULsyqdta6-6aDDiwpUnQT6c/edit?usp=sharing"",""นครสวรรค์!R324"")+IMPORTRANGE(""https://docs.google.com/spreadsheets/d/10s13Sk5xrltsiR-Zkbmk5DwIaDIKO8Xl"&amp;"bJAfqyT7Gvg/edit?usp=sharing"",""น่าน!R324"")+IMPORTRANGE(""https://docs.google.com/spreadsheets/d/1uu4nAn4Dbi1XREnLKKotUANlKXa7yCgRcgq8HEzQYW8/edit?usp=sharing"",""พะเยา!R324"")+IMPORTRANGE(""https://docs.google.com/spreadsheets/d/1xfJKIQxVOaPDIICqsflNlL"&amp;"u3JacTDk1FP9RH4phX7mI/edit?usp=sharing"",""พิจิตร!R324"")+IMPORTRANGE(""https://docs.google.com/spreadsheets/d/1JtRfZkJMHtEhI5RdRHxYUG4FIZHqKDpNyIuN7A1Q0_k/edit?usp=sharing"",""พิษณุโลก!R324"")+IMPORTRANGE(""https://docs.google.com/spreadsheets/d/1xlcVZWU"&amp;"Nn6SuWm0c307h32SiGkd9BaeQWlAktfD3KO8/edit?usp=sharing"",""เพชรบูรณ์!R324"")+IMPORTRANGE(""https://docs.google.com/spreadsheets/d/1lOVebEIsI9qjGXl6EX66luk7wiuP2tBaryw-wKvv4e0/edit?usp=sharing"",""แพร่!R324"")+IMPORTRANGE(""https://docs.google.com/spreadshe"&amp;"ets/d/1dQrvX0vEcN7Gu0fnZ0B5S90AeR19zth4XlExFBeExMY/edit?usp=sharing"",""แม่ฮ่องสอน!R324"")+IMPORTRANGE(""https://docs.google.com/spreadsheets/d/1DY4XTNNwjluuxqdfdn6qvOSlMRrZqUtmYcZR0ttFiG4/edit?usp=sharing"",""ลำปาง!R324"")+IMPORTRANGE(""https://docs.goog"&amp;"le.com/spreadsheets/d/1ICwG78r0OFT8biBlxnBF8r7she7gNSzOvJ958PWT09c/edit?usp=sharing"",""ลำพูน!R324"")+IMPORTRANGE(""https://docs.google.com/spreadsheets/d/1B0f2xJpZUC6Z0xXnqKlZtEPzsf6L84eP1r1Q15seqRM/edit?usp=sharing"",""สุโขทัย!R324"")+IMPORTRANGE(""http"&amp;"s://docs.google.com/spreadsheets/d/1v0b9pFQCsKUVExMei7AgY2yQkdeNQvtOssygGsXbiKo/edit?usp=sharing"",""อุตรดิตถ์!R324"")+IMPORTRANGE(""https://docs.google.com/spreadsheets/d/1UsNK1e-WWiCo2PvGqdNfdme4m17_Ezd3J69EeeiQPD0/edit?usp=sharing"",""อุทัยธานี!R324"")"),0)</f>
        <v>0</v>
      </c>
      <c r="S324" s="48">
        <f ca="1">IFERROR(__xludf.DUMMYFUNCTION("IMPORTRANGE(""https://docs.google.com/spreadsheets/d/1jTcq05yEiRwXcBMLjiodW9e4biSGYWAHcDj22rKWQ3s/edit?usp=sharing"",""กำแพงเพชร!S324"")+IMPORTRANGE(""https://docs.google.com/spreadsheets/d/1KS0zmDSZPk8KnTAbGN-Xk6MtX1YRZD0ldgdt20K4CRk/edit?usp=sharing"","&amp;"""เชียงราย!S324"")+IMPORTRANGE(""https://docs.google.com/spreadsheets/d/1rEDxBtusbi64tE0zunoIbsTVV16HeL0oJ6trHQeQ7K8/edit?usp=sharing"",""เชียงใหม่!S324"")+IMPORTRANGE(""https://docs.google.com/spreadsheets/d/1W6MnUbDkMi6xHnHko_XkFDO9kkuL6Wqyc-6OCDFjW9I/e"&amp;"dit?usp=sharing"",""ตาก!S324"")+IMPORTRANGE(""https://docs.google.com/spreadsheets/d/1IQAWArduLkta9LpYo4a_ULsyqdta6-6aDDiwpUnQT6c/edit?usp=sharing"",""นครสวรรค์!S324"")+IMPORTRANGE(""https://docs.google.com/spreadsheets/d/10s13Sk5xrltsiR-Zkbmk5DwIaDIKO8Xl"&amp;"bJAfqyT7Gvg/edit?usp=sharing"",""น่าน!S324"")+IMPORTRANGE(""https://docs.google.com/spreadsheets/d/1uu4nAn4Dbi1XREnLKKotUANlKXa7yCgRcgq8HEzQYW8/edit?usp=sharing"",""พะเยา!S324"")+IMPORTRANGE(""https://docs.google.com/spreadsheets/d/1xfJKIQxVOaPDIICqsflNlL"&amp;"u3JacTDk1FP9RH4phX7mI/edit?usp=sharing"",""พิจิตร!S324"")+IMPORTRANGE(""https://docs.google.com/spreadsheets/d/1JtRfZkJMHtEhI5RdRHxYUG4FIZHqKDpNyIuN7A1Q0_k/edit?usp=sharing"",""พิษณุโลก!S324"")+IMPORTRANGE(""https://docs.google.com/spreadsheets/d/1xlcVZWU"&amp;"Nn6SuWm0c307h32SiGkd9BaeQWlAktfD3KO8/edit?usp=sharing"",""เพชรบูรณ์!S324"")+IMPORTRANGE(""https://docs.google.com/spreadsheets/d/1lOVebEIsI9qjGXl6EX66luk7wiuP2tBaryw-wKvv4e0/edit?usp=sharing"",""แพร่!S324"")+IMPORTRANGE(""https://docs.google.com/spreadshe"&amp;"ets/d/1dQrvX0vEcN7Gu0fnZ0B5S90AeR19zth4XlExFBeExMY/edit?usp=sharing"",""แม่ฮ่องสอน!S324"")+IMPORTRANGE(""https://docs.google.com/spreadsheets/d/1DY4XTNNwjluuxqdfdn6qvOSlMRrZqUtmYcZR0ttFiG4/edit?usp=sharing"",""ลำปาง!S324"")+IMPORTRANGE(""https://docs.goog"&amp;"le.com/spreadsheets/d/1ICwG78r0OFT8biBlxnBF8r7she7gNSzOvJ958PWT09c/edit?usp=sharing"",""ลำพูน!S324"")+IMPORTRANGE(""https://docs.google.com/spreadsheets/d/1B0f2xJpZUC6Z0xXnqKlZtEPzsf6L84eP1r1Q15seqRM/edit?usp=sharing"",""สุโขทัย!S324"")+IMPORTRANGE(""http"&amp;"s://docs.google.com/spreadsheets/d/1v0b9pFQCsKUVExMei7AgY2yQkdeNQvtOssygGsXbiKo/edit?usp=sharing"",""อุตรดิตถ์!S324"")+IMPORTRANGE(""https://docs.google.com/spreadsheets/d/1UsNK1e-WWiCo2PvGqdNfdme4m17_Ezd3J69EeeiQPD0/edit?usp=sharing"",""อุทัยธานี!S324"")"),0)</f>
        <v>0</v>
      </c>
      <c r="T324" s="48">
        <f t="shared" ca="1" si="242"/>
        <v>0</v>
      </c>
      <c r="U324" s="48">
        <f t="shared" ca="1" si="243"/>
        <v>0</v>
      </c>
    </row>
    <row r="325" spans="1:21" ht="18.75" x14ac:dyDescent="0.25">
      <c r="A325" s="128"/>
      <c r="B325" s="40"/>
      <c r="C325" s="40"/>
      <c r="D325" s="40"/>
      <c r="E325" s="47" t="s">
        <v>37</v>
      </c>
      <c r="F325" s="40"/>
      <c r="G325" s="42"/>
      <c r="H325" s="134" t="s">
        <v>14</v>
      </c>
      <c r="I325" s="135"/>
      <c r="J325" s="135"/>
      <c r="K325" s="136"/>
      <c r="L325" s="46">
        <f ca="1">IFERROR(__xludf.DUMMYFUNCTION("IMPORTRANGE(""https://docs.google.com/spreadsheets/d/1jTcq05yEiRwXcBMLjiodW9e4biSGYWAHcDj22rKWQ3s/edit?usp=sharing"",""กำแพงเพชร!L325"")+IMPORTRANGE(""https://docs.google.com/spreadsheets/d/1KS0zmDSZPk8KnTAbGN-Xk6MtX1YRZD0ldgdt20K4CRk/edit?usp=sharing"","&amp;"""เชียงราย!L325"")+IMPORTRANGE(""https://docs.google.com/spreadsheets/d/1rEDxBtusbi64tE0zunoIbsTVV16HeL0oJ6trHQeQ7K8/edit?usp=sharing"",""เชียงใหม่!L325"")+IMPORTRANGE(""https://docs.google.com/spreadsheets/d/1W6MnUbDkMi6xHnHko_XkFDO9kkuL6Wqyc-6OCDFjW9I/e"&amp;"dit?usp=sharing"",""ตาก!L325"")+IMPORTRANGE(""https://docs.google.com/spreadsheets/d/1IQAWArduLkta9LpYo4a_ULsyqdta6-6aDDiwpUnQT6c/edit?usp=sharing"",""นครสวรรค์!L325"")+IMPORTRANGE(""https://docs.google.com/spreadsheets/d/10s13Sk5xrltsiR-Zkbmk5DwIaDIKO8Xl"&amp;"bJAfqyT7Gvg/edit?usp=sharing"",""น่าน!L325"")+IMPORTRANGE(""https://docs.google.com/spreadsheets/d/1uu4nAn4Dbi1XREnLKKotUANlKXa7yCgRcgq8HEzQYW8/edit?usp=sharing"",""พะเยา!L325"")+IMPORTRANGE(""https://docs.google.com/spreadsheets/d/1xfJKIQxVOaPDIICqsflNlL"&amp;"u3JacTDk1FP9RH4phX7mI/edit?usp=sharing"",""พิจิตร!L325"")+IMPORTRANGE(""https://docs.google.com/spreadsheets/d/1JtRfZkJMHtEhI5RdRHxYUG4FIZHqKDpNyIuN7A1Q0_k/edit?usp=sharing"",""พิษณุโลก!L325"")+IMPORTRANGE(""https://docs.google.com/spreadsheets/d/1xlcVZWU"&amp;"Nn6SuWm0c307h32SiGkd9BaeQWlAktfD3KO8/edit?usp=sharing"",""เพชรบูรณ์!L325"")+IMPORTRANGE(""https://docs.google.com/spreadsheets/d/1lOVebEIsI9qjGXl6EX66luk7wiuP2tBaryw-wKvv4e0/edit?usp=sharing"",""แพร่!L325"")+IMPORTRANGE(""https://docs.google.com/spreadshe"&amp;"ets/d/1dQrvX0vEcN7Gu0fnZ0B5S90AeR19zth4XlExFBeExMY/edit?usp=sharing"",""แม่ฮ่องสอน!L325"")+IMPORTRANGE(""https://docs.google.com/spreadsheets/d/1DY4XTNNwjluuxqdfdn6qvOSlMRrZqUtmYcZR0ttFiG4/edit?usp=sharing"",""ลำปาง!L325"")+IMPORTRANGE(""https://docs.goog"&amp;"le.com/spreadsheets/d/1ICwG78r0OFT8biBlxnBF8r7she7gNSzOvJ958PWT09c/edit?usp=sharing"",""ลำพูน!L325"")+IMPORTRANGE(""https://docs.google.com/spreadsheets/d/1B0f2xJpZUC6Z0xXnqKlZtEPzsf6L84eP1r1Q15seqRM/edit?usp=sharing"",""สุโขทัย!L325"")+IMPORTRANGE(""http"&amp;"s://docs.google.com/spreadsheets/d/1v0b9pFQCsKUVExMei7AgY2yQkdeNQvtOssygGsXbiKo/edit?usp=sharing"",""อุตรดิตถ์!L325"")+IMPORTRANGE(""https://docs.google.com/spreadsheets/d/1UsNK1e-WWiCo2PvGqdNfdme4m17_Ezd3J69EeeiQPD0/edit?usp=sharing"",""อุทัยธานี!L325"")"),125000)</f>
        <v>125000</v>
      </c>
      <c r="M325" s="46">
        <f ca="1">IFERROR(__xludf.DUMMYFUNCTION("IMPORTRANGE(""https://docs.google.com/spreadsheets/d/1jTcq05yEiRwXcBMLjiodW9e4biSGYWAHcDj22rKWQ3s/edit?usp=sharing"",""กำแพงเพชร!M325"")+IMPORTRANGE(""https://docs.google.com/spreadsheets/d/1KS0zmDSZPk8KnTAbGN-Xk6MtX1YRZD0ldgdt20K4CRk/edit?usp=sharing"","&amp;"""เชียงราย!M325"")+IMPORTRANGE(""https://docs.google.com/spreadsheets/d/1rEDxBtusbi64tE0zunoIbsTVV16HeL0oJ6trHQeQ7K8/edit?usp=sharing"",""เชียงใหม่!M325"")+IMPORTRANGE(""https://docs.google.com/spreadsheets/d/1W6MnUbDkMi6xHnHko_XkFDO9kkuL6Wqyc-6OCDFjW9I/e"&amp;"dit?usp=sharing"",""ตาก!M325"")+IMPORTRANGE(""https://docs.google.com/spreadsheets/d/1IQAWArduLkta9LpYo4a_ULsyqdta6-6aDDiwpUnQT6c/edit?usp=sharing"",""นครสวรรค์!M325"")+IMPORTRANGE(""https://docs.google.com/spreadsheets/d/10s13Sk5xrltsiR-Zkbmk5DwIaDIKO8Xl"&amp;"bJAfqyT7Gvg/edit?usp=sharing"",""น่าน!M325"")+IMPORTRANGE(""https://docs.google.com/spreadsheets/d/1uu4nAn4Dbi1XREnLKKotUANlKXa7yCgRcgq8HEzQYW8/edit?usp=sharing"",""พะเยา!M325"")+IMPORTRANGE(""https://docs.google.com/spreadsheets/d/1xfJKIQxVOaPDIICqsflNlL"&amp;"u3JacTDk1FP9RH4phX7mI/edit?usp=sharing"",""พิจิตร!M325"")+IMPORTRANGE(""https://docs.google.com/spreadsheets/d/1JtRfZkJMHtEhI5RdRHxYUG4FIZHqKDpNyIuN7A1Q0_k/edit?usp=sharing"",""พิษณุโลก!M325"")+IMPORTRANGE(""https://docs.google.com/spreadsheets/d/1xlcVZWU"&amp;"Nn6SuWm0c307h32SiGkd9BaeQWlAktfD3KO8/edit?usp=sharing"",""เพชรบูรณ์!M325"")+IMPORTRANGE(""https://docs.google.com/spreadsheets/d/1lOVebEIsI9qjGXl6EX66luk7wiuP2tBaryw-wKvv4e0/edit?usp=sharing"",""แพร่!M325"")+IMPORTRANGE(""https://docs.google.com/spreadshe"&amp;"ets/d/1dQrvX0vEcN7Gu0fnZ0B5S90AeR19zth4XlExFBeExMY/edit?usp=sharing"",""แม่ฮ่องสอน!M325"")+IMPORTRANGE(""https://docs.google.com/spreadsheets/d/1DY4XTNNwjluuxqdfdn6qvOSlMRrZqUtmYcZR0ttFiG4/edit?usp=sharing"",""ลำปาง!M325"")+IMPORTRANGE(""https://docs.goog"&amp;"le.com/spreadsheets/d/1ICwG78r0OFT8biBlxnBF8r7she7gNSzOvJ958PWT09c/edit?usp=sharing"",""ลำพูน!M325"")+IMPORTRANGE(""https://docs.google.com/spreadsheets/d/1B0f2xJpZUC6Z0xXnqKlZtEPzsf6L84eP1r1Q15seqRM/edit?usp=sharing"",""สุโขทัย!M325"")+IMPORTRANGE(""http"&amp;"s://docs.google.com/spreadsheets/d/1v0b9pFQCsKUVExMei7AgY2yQkdeNQvtOssygGsXbiKo/edit?usp=sharing"",""อุตรดิตถ์!M325"")+IMPORTRANGE(""https://docs.google.com/spreadsheets/d/1UsNK1e-WWiCo2PvGqdNfdme4m17_Ezd3J69EeeiQPD0/edit?usp=sharing"",""อุทัยธานี!M325"")"),20000)</f>
        <v>20000</v>
      </c>
      <c r="N325" s="46">
        <f ca="1">IFERROR(__xludf.DUMMYFUNCTION("IMPORTRANGE(""https://docs.google.com/spreadsheets/d/1jTcq05yEiRwXcBMLjiodW9e4biSGYWAHcDj22rKWQ3s/edit?usp=sharing"",""กำแพงเพชร!N325"")+IMPORTRANGE(""https://docs.google.com/spreadsheets/d/1KS0zmDSZPk8KnTAbGN-Xk6MtX1YRZD0ldgdt20K4CRk/edit?usp=sharing"","&amp;"""เชียงราย!N325"")+IMPORTRANGE(""https://docs.google.com/spreadsheets/d/1rEDxBtusbi64tE0zunoIbsTVV16HeL0oJ6trHQeQ7K8/edit?usp=sharing"",""เชียงใหม่!N325"")+IMPORTRANGE(""https://docs.google.com/spreadsheets/d/1W6MnUbDkMi6xHnHko_XkFDO9kkuL6Wqyc-6OCDFjW9I/e"&amp;"dit?usp=sharing"",""ตาก!N325"")+IMPORTRANGE(""https://docs.google.com/spreadsheets/d/1IQAWArduLkta9LpYo4a_ULsyqdta6-6aDDiwpUnQT6c/edit?usp=sharing"",""นครสวรรค์!N325"")+IMPORTRANGE(""https://docs.google.com/spreadsheets/d/10s13Sk5xrltsiR-Zkbmk5DwIaDIKO8Xl"&amp;"bJAfqyT7Gvg/edit?usp=sharing"",""น่าน!N325"")+IMPORTRANGE(""https://docs.google.com/spreadsheets/d/1uu4nAn4Dbi1XREnLKKotUANlKXa7yCgRcgq8HEzQYW8/edit?usp=sharing"",""พะเยา!N325"")+IMPORTRANGE(""https://docs.google.com/spreadsheets/d/1xfJKIQxVOaPDIICqsflNlL"&amp;"u3JacTDk1FP9RH4phX7mI/edit?usp=sharing"",""พิจิตร!N325"")+IMPORTRANGE(""https://docs.google.com/spreadsheets/d/1JtRfZkJMHtEhI5RdRHxYUG4FIZHqKDpNyIuN7A1Q0_k/edit?usp=sharing"",""พิษณุโลก!N325"")+IMPORTRANGE(""https://docs.google.com/spreadsheets/d/1xlcVZWU"&amp;"Nn6SuWm0c307h32SiGkd9BaeQWlAktfD3KO8/edit?usp=sharing"",""เพชรบูรณ์!N325"")+IMPORTRANGE(""https://docs.google.com/spreadsheets/d/1lOVebEIsI9qjGXl6EX66luk7wiuP2tBaryw-wKvv4e0/edit?usp=sharing"",""แพร่!N325"")+IMPORTRANGE(""https://docs.google.com/spreadshe"&amp;"ets/d/1dQrvX0vEcN7Gu0fnZ0B5S90AeR19zth4XlExFBeExMY/edit?usp=sharing"",""แม่ฮ่องสอน!N325"")+IMPORTRANGE(""https://docs.google.com/spreadsheets/d/1DY4XTNNwjluuxqdfdn6qvOSlMRrZqUtmYcZR0ttFiG4/edit?usp=sharing"",""ลำปาง!N325"")+IMPORTRANGE(""https://docs.goog"&amp;"le.com/spreadsheets/d/1ICwG78r0OFT8biBlxnBF8r7she7gNSzOvJ958PWT09c/edit?usp=sharing"",""ลำพูน!N325"")+IMPORTRANGE(""https://docs.google.com/spreadsheets/d/1B0f2xJpZUC6Z0xXnqKlZtEPzsf6L84eP1r1Q15seqRM/edit?usp=sharing"",""สุโขทัย!N325"")+IMPORTRANGE(""http"&amp;"s://docs.google.com/spreadsheets/d/1v0b9pFQCsKUVExMei7AgY2yQkdeNQvtOssygGsXbiKo/edit?usp=sharing"",""อุตรดิตถ์!N325"")+IMPORTRANGE(""https://docs.google.com/spreadsheets/d/1UsNK1e-WWiCo2PvGqdNfdme4m17_Ezd3J69EeeiQPD0/edit?usp=sharing"",""อุทัยธานี!N325"")"),20000)</f>
        <v>20000</v>
      </c>
      <c r="O325" s="46">
        <f t="shared" ca="1" si="239"/>
        <v>16</v>
      </c>
      <c r="P325" s="46">
        <f t="shared" ca="1" si="240"/>
        <v>100</v>
      </c>
      <c r="Q325" s="46">
        <f ca="1">IFERROR(__xludf.DUMMYFUNCTION("IMPORTRANGE(""https://docs.google.com/spreadsheets/d/1jTcq05yEiRwXcBMLjiodW9e4biSGYWAHcDj22rKWQ3s/edit?usp=sharing"",""กำแพงเพชร!Q325"")+IMPORTRANGE(""https://docs.google.com/spreadsheets/d/1KS0zmDSZPk8KnTAbGN-Xk6MtX1YRZD0ldgdt20K4CRk/edit?usp=sharing"","&amp;"""เชียงราย!Q325"")+IMPORTRANGE(""https://docs.google.com/spreadsheets/d/1rEDxBtusbi64tE0zunoIbsTVV16HeL0oJ6trHQeQ7K8/edit?usp=sharing"",""เชียงใหม่!Q325"")+IMPORTRANGE(""https://docs.google.com/spreadsheets/d/1W6MnUbDkMi6xHnHko_XkFDO9kkuL6Wqyc-6OCDFjW9I/e"&amp;"dit?usp=sharing"",""ตาก!Q325"")+IMPORTRANGE(""https://docs.google.com/spreadsheets/d/1IQAWArduLkta9LpYo4a_ULsyqdta6-6aDDiwpUnQT6c/edit?usp=sharing"",""นครสวรรค์!Q325"")+IMPORTRANGE(""https://docs.google.com/spreadsheets/d/10s13Sk5xrltsiR-Zkbmk5DwIaDIKO8Xl"&amp;"bJAfqyT7Gvg/edit?usp=sharing"",""น่าน!Q325"")+IMPORTRANGE(""https://docs.google.com/spreadsheets/d/1uu4nAn4Dbi1XREnLKKotUANlKXa7yCgRcgq8HEzQYW8/edit?usp=sharing"",""พะเยา!Q325"")+IMPORTRANGE(""https://docs.google.com/spreadsheets/d/1xfJKIQxVOaPDIICqsflNlL"&amp;"u3JacTDk1FP9RH4phX7mI/edit?usp=sharing"",""พิจิตร!Q325"")+IMPORTRANGE(""https://docs.google.com/spreadsheets/d/1JtRfZkJMHtEhI5RdRHxYUG4FIZHqKDpNyIuN7A1Q0_k/edit?usp=sharing"",""พิษณุโลก!Q325"")+IMPORTRANGE(""https://docs.google.com/spreadsheets/d/1xlcVZWU"&amp;"Nn6SuWm0c307h32SiGkd9BaeQWlAktfD3KO8/edit?usp=sharing"",""เพชรบูรณ์!Q325"")+IMPORTRANGE(""https://docs.google.com/spreadsheets/d/1lOVebEIsI9qjGXl6EX66luk7wiuP2tBaryw-wKvv4e0/edit?usp=sharing"",""แพร่!Q325"")+IMPORTRANGE(""https://docs.google.com/spreadshe"&amp;"ets/d/1dQrvX0vEcN7Gu0fnZ0B5S90AeR19zth4XlExFBeExMY/edit?usp=sharing"",""แม่ฮ่องสอน!Q325"")+IMPORTRANGE(""https://docs.google.com/spreadsheets/d/1DY4XTNNwjluuxqdfdn6qvOSlMRrZqUtmYcZR0ttFiG4/edit?usp=sharing"",""ลำปาง!Q325"")+IMPORTRANGE(""https://docs.goog"&amp;"le.com/spreadsheets/d/1ICwG78r0OFT8biBlxnBF8r7she7gNSzOvJ958PWT09c/edit?usp=sharing"",""ลำพูน!Q325"")+IMPORTRANGE(""https://docs.google.com/spreadsheets/d/1B0f2xJpZUC6Z0xXnqKlZtEPzsf6L84eP1r1Q15seqRM/edit?usp=sharing"",""สุโขทัย!Q325"")+IMPORTRANGE(""http"&amp;"s://docs.google.com/spreadsheets/d/1v0b9pFQCsKUVExMei7AgY2yQkdeNQvtOssygGsXbiKo/edit?usp=sharing"",""อุตรดิตถ์!Q325"")+IMPORTRANGE(""https://docs.google.com/spreadsheets/d/1UsNK1e-WWiCo2PvGqdNfdme4m17_Ezd3J69EeeiQPD0/edit?usp=sharing"",""อุทัยธานี!Q325"")"),0)</f>
        <v>0</v>
      </c>
      <c r="R325" s="46">
        <f ca="1">IFERROR(__xludf.DUMMYFUNCTION("IMPORTRANGE(""https://docs.google.com/spreadsheets/d/1jTcq05yEiRwXcBMLjiodW9e4biSGYWAHcDj22rKWQ3s/edit?usp=sharing"",""กำแพงเพชร!R325"")+IMPORTRANGE(""https://docs.google.com/spreadsheets/d/1KS0zmDSZPk8KnTAbGN-Xk6MtX1YRZD0ldgdt20K4CRk/edit?usp=sharing"","&amp;"""เชียงราย!R325"")+IMPORTRANGE(""https://docs.google.com/spreadsheets/d/1rEDxBtusbi64tE0zunoIbsTVV16HeL0oJ6trHQeQ7K8/edit?usp=sharing"",""เชียงใหม่!R325"")+IMPORTRANGE(""https://docs.google.com/spreadsheets/d/1W6MnUbDkMi6xHnHko_XkFDO9kkuL6Wqyc-6OCDFjW9I/e"&amp;"dit?usp=sharing"",""ตาก!R325"")+IMPORTRANGE(""https://docs.google.com/spreadsheets/d/1IQAWArduLkta9LpYo4a_ULsyqdta6-6aDDiwpUnQT6c/edit?usp=sharing"",""นครสวรรค์!R325"")+IMPORTRANGE(""https://docs.google.com/spreadsheets/d/10s13Sk5xrltsiR-Zkbmk5DwIaDIKO8Xl"&amp;"bJAfqyT7Gvg/edit?usp=sharing"",""น่าน!R325"")+IMPORTRANGE(""https://docs.google.com/spreadsheets/d/1uu4nAn4Dbi1XREnLKKotUANlKXa7yCgRcgq8HEzQYW8/edit?usp=sharing"",""พะเยา!R325"")+IMPORTRANGE(""https://docs.google.com/spreadsheets/d/1xfJKIQxVOaPDIICqsflNlL"&amp;"u3JacTDk1FP9RH4phX7mI/edit?usp=sharing"",""พิจิตร!R325"")+IMPORTRANGE(""https://docs.google.com/spreadsheets/d/1JtRfZkJMHtEhI5RdRHxYUG4FIZHqKDpNyIuN7A1Q0_k/edit?usp=sharing"",""พิษณุโลก!R325"")+IMPORTRANGE(""https://docs.google.com/spreadsheets/d/1xlcVZWU"&amp;"Nn6SuWm0c307h32SiGkd9BaeQWlAktfD3KO8/edit?usp=sharing"",""เพชรบูรณ์!R325"")+IMPORTRANGE(""https://docs.google.com/spreadsheets/d/1lOVebEIsI9qjGXl6EX66luk7wiuP2tBaryw-wKvv4e0/edit?usp=sharing"",""แพร่!R325"")+IMPORTRANGE(""https://docs.google.com/spreadshe"&amp;"ets/d/1dQrvX0vEcN7Gu0fnZ0B5S90AeR19zth4XlExFBeExMY/edit?usp=sharing"",""แม่ฮ่องสอน!R325"")+IMPORTRANGE(""https://docs.google.com/spreadsheets/d/1DY4XTNNwjluuxqdfdn6qvOSlMRrZqUtmYcZR0ttFiG4/edit?usp=sharing"",""ลำปาง!R325"")+IMPORTRANGE(""https://docs.goog"&amp;"le.com/spreadsheets/d/1ICwG78r0OFT8biBlxnBF8r7she7gNSzOvJ958PWT09c/edit?usp=sharing"",""ลำพูน!R325"")+IMPORTRANGE(""https://docs.google.com/spreadsheets/d/1B0f2xJpZUC6Z0xXnqKlZtEPzsf6L84eP1r1Q15seqRM/edit?usp=sharing"",""สุโขทัย!R325"")+IMPORTRANGE(""http"&amp;"s://docs.google.com/spreadsheets/d/1v0b9pFQCsKUVExMei7AgY2yQkdeNQvtOssygGsXbiKo/edit?usp=sharing"",""อุตรดิตถ์!R325"")+IMPORTRANGE(""https://docs.google.com/spreadsheets/d/1UsNK1e-WWiCo2PvGqdNfdme4m17_Ezd3J69EeeiQPD0/edit?usp=sharing"",""อุทัยธานี!R325"")"),0)</f>
        <v>0</v>
      </c>
      <c r="S325" s="46">
        <f ca="1">IFERROR(__xludf.DUMMYFUNCTION("IMPORTRANGE(""https://docs.google.com/spreadsheets/d/1jTcq05yEiRwXcBMLjiodW9e4biSGYWAHcDj22rKWQ3s/edit?usp=sharing"",""กำแพงเพชร!S325"")+IMPORTRANGE(""https://docs.google.com/spreadsheets/d/1KS0zmDSZPk8KnTAbGN-Xk6MtX1YRZD0ldgdt20K4CRk/edit?usp=sharing"","&amp;"""เชียงราย!S325"")+IMPORTRANGE(""https://docs.google.com/spreadsheets/d/1rEDxBtusbi64tE0zunoIbsTVV16HeL0oJ6trHQeQ7K8/edit?usp=sharing"",""เชียงใหม่!S325"")+IMPORTRANGE(""https://docs.google.com/spreadsheets/d/1W6MnUbDkMi6xHnHko_XkFDO9kkuL6Wqyc-6OCDFjW9I/e"&amp;"dit?usp=sharing"",""ตาก!S325"")+IMPORTRANGE(""https://docs.google.com/spreadsheets/d/1IQAWArduLkta9LpYo4a_ULsyqdta6-6aDDiwpUnQT6c/edit?usp=sharing"",""นครสวรรค์!S325"")+IMPORTRANGE(""https://docs.google.com/spreadsheets/d/10s13Sk5xrltsiR-Zkbmk5DwIaDIKO8Xl"&amp;"bJAfqyT7Gvg/edit?usp=sharing"",""น่าน!S325"")+IMPORTRANGE(""https://docs.google.com/spreadsheets/d/1uu4nAn4Dbi1XREnLKKotUANlKXa7yCgRcgq8HEzQYW8/edit?usp=sharing"",""พะเยา!S325"")+IMPORTRANGE(""https://docs.google.com/spreadsheets/d/1xfJKIQxVOaPDIICqsflNlL"&amp;"u3JacTDk1FP9RH4phX7mI/edit?usp=sharing"",""พิจิตร!S325"")+IMPORTRANGE(""https://docs.google.com/spreadsheets/d/1JtRfZkJMHtEhI5RdRHxYUG4FIZHqKDpNyIuN7A1Q0_k/edit?usp=sharing"",""พิษณุโลก!S325"")+IMPORTRANGE(""https://docs.google.com/spreadsheets/d/1xlcVZWU"&amp;"Nn6SuWm0c307h32SiGkd9BaeQWlAktfD3KO8/edit?usp=sharing"",""เพชรบูรณ์!S325"")+IMPORTRANGE(""https://docs.google.com/spreadsheets/d/1lOVebEIsI9qjGXl6EX66luk7wiuP2tBaryw-wKvv4e0/edit?usp=sharing"",""แพร่!S325"")+IMPORTRANGE(""https://docs.google.com/spreadshe"&amp;"ets/d/1dQrvX0vEcN7Gu0fnZ0B5S90AeR19zth4XlExFBeExMY/edit?usp=sharing"",""แม่ฮ่องสอน!S325"")+IMPORTRANGE(""https://docs.google.com/spreadsheets/d/1DY4XTNNwjluuxqdfdn6qvOSlMRrZqUtmYcZR0ttFiG4/edit?usp=sharing"",""ลำปาง!S325"")+IMPORTRANGE(""https://docs.goog"&amp;"le.com/spreadsheets/d/1ICwG78r0OFT8biBlxnBF8r7she7gNSzOvJ958PWT09c/edit?usp=sharing"",""ลำพูน!S325"")+IMPORTRANGE(""https://docs.google.com/spreadsheets/d/1B0f2xJpZUC6Z0xXnqKlZtEPzsf6L84eP1r1Q15seqRM/edit?usp=sharing"",""สุโขทัย!S325"")+IMPORTRANGE(""http"&amp;"s://docs.google.com/spreadsheets/d/1v0b9pFQCsKUVExMei7AgY2yQkdeNQvtOssygGsXbiKo/edit?usp=sharing"",""อุตรดิตถ์!S325"")+IMPORTRANGE(""https://docs.google.com/spreadsheets/d/1UsNK1e-WWiCo2PvGqdNfdme4m17_Ezd3J69EeeiQPD0/edit?usp=sharing"",""อุทัยธานี!S325"")"),0)</f>
        <v>0</v>
      </c>
      <c r="T325" s="46">
        <f t="shared" ca="1" si="242"/>
        <v>0</v>
      </c>
      <c r="U325" s="46">
        <f t="shared" ca="1" si="243"/>
        <v>0</v>
      </c>
    </row>
    <row r="326" spans="1:21" ht="18.75" x14ac:dyDescent="0.25">
      <c r="A326" s="128"/>
      <c r="B326" s="40"/>
      <c r="C326" s="40"/>
      <c r="D326" s="41" t="s">
        <v>23</v>
      </c>
      <c r="E326" s="40"/>
      <c r="F326" s="40"/>
      <c r="G326" s="42"/>
      <c r="H326" s="137" t="s">
        <v>14</v>
      </c>
      <c r="I326" s="135"/>
      <c r="J326" s="135"/>
      <c r="K326" s="136"/>
      <c r="L326" s="46">
        <f t="shared" ref="L326:N326" ca="1" si="250">L327+L328</f>
        <v>0</v>
      </c>
      <c r="M326" s="46">
        <f t="shared" ca="1" si="250"/>
        <v>0</v>
      </c>
      <c r="N326" s="46">
        <f t="shared" ca="1" si="250"/>
        <v>0</v>
      </c>
      <c r="O326" s="46">
        <f t="shared" ca="1" si="239"/>
        <v>0</v>
      </c>
      <c r="P326" s="46">
        <f t="shared" ca="1" si="240"/>
        <v>0</v>
      </c>
      <c r="Q326" s="46">
        <f t="shared" ref="Q326:S326" ca="1" si="251">Q327+Q328</f>
        <v>0</v>
      </c>
      <c r="R326" s="46">
        <f t="shared" ca="1" si="251"/>
        <v>0</v>
      </c>
      <c r="S326" s="46">
        <f t="shared" ca="1" si="251"/>
        <v>0</v>
      </c>
      <c r="T326" s="46">
        <f t="shared" ca="1" si="242"/>
        <v>0</v>
      </c>
      <c r="U326" s="46">
        <f t="shared" ca="1" si="243"/>
        <v>0</v>
      </c>
    </row>
    <row r="327" spans="1:21" ht="18.75" x14ac:dyDescent="0.25">
      <c r="A327" s="128"/>
      <c r="B327" s="40"/>
      <c r="C327" s="40"/>
      <c r="D327" s="40"/>
      <c r="E327" s="47" t="s">
        <v>20</v>
      </c>
      <c r="F327" s="40"/>
      <c r="G327" s="42"/>
      <c r="H327" s="134" t="s">
        <v>14</v>
      </c>
      <c r="I327" s="135"/>
      <c r="J327" s="135"/>
      <c r="K327" s="136"/>
      <c r="L327" s="46">
        <f ca="1">IFERROR(__xludf.DUMMYFUNCTION("IMPORTRANGE(""https://docs.google.com/spreadsheets/d/1jTcq05yEiRwXcBMLjiodW9e4biSGYWAHcDj22rKWQ3s/edit?usp=sharing"",""กำแพงเพชร!L327"")+IMPORTRANGE(""https://docs.google.com/spreadsheets/d/1KS0zmDSZPk8KnTAbGN-Xk6MtX1YRZD0ldgdt20K4CRk/edit?usp=sharing"","&amp;"""เชียงราย!L327"")+IMPORTRANGE(""https://docs.google.com/spreadsheets/d/1rEDxBtusbi64tE0zunoIbsTVV16HeL0oJ6trHQeQ7K8/edit?usp=sharing"",""เชียงใหม่!L327"")+IMPORTRANGE(""https://docs.google.com/spreadsheets/d/1W6MnUbDkMi6xHnHko_XkFDO9kkuL6Wqyc-6OCDFjW9I/e"&amp;"dit?usp=sharing"",""ตาก!L327"")+IMPORTRANGE(""https://docs.google.com/spreadsheets/d/1IQAWArduLkta9LpYo4a_ULsyqdta6-6aDDiwpUnQT6c/edit?usp=sharing"",""นครสวรรค์!L327"")+IMPORTRANGE(""https://docs.google.com/spreadsheets/d/10s13Sk5xrltsiR-Zkbmk5DwIaDIKO8Xl"&amp;"bJAfqyT7Gvg/edit?usp=sharing"",""น่าน!L327"")+IMPORTRANGE(""https://docs.google.com/spreadsheets/d/1uu4nAn4Dbi1XREnLKKotUANlKXa7yCgRcgq8HEzQYW8/edit?usp=sharing"",""พะเยา!L327"")+IMPORTRANGE(""https://docs.google.com/spreadsheets/d/1xfJKIQxVOaPDIICqsflNlL"&amp;"u3JacTDk1FP9RH4phX7mI/edit?usp=sharing"",""พิจิตร!L327"")+IMPORTRANGE(""https://docs.google.com/spreadsheets/d/1JtRfZkJMHtEhI5RdRHxYUG4FIZHqKDpNyIuN7A1Q0_k/edit?usp=sharing"",""พิษณุโลก!L327"")+IMPORTRANGE(""https://docs.google.com/spreadsheets/d/1xlcVZWU"&amp;"Nn6SuWm0c307h32SiGkd9BaeQWlAktfD3KO8/edit?usp=sharing"",""เพชรบูรณ์!L327"")+IMPORTRANGE(""https://docs.google.com/spreadsheets/d/1lOVebEIsI9qjGXl6EX66luk7wiuP2tBaryw-wKvv4e0/edit?usp=sharing"",""แพร่!L327"")+IMPORTRANGE(""https://docs.google.com/spreadshe"&amp;"ets/d/1dQrvX0vEcN7Gu0fnZ0B5S90AeR19zth4XlExFBeExMY/edit?usp=sharing"",""แม่ฮ่องสอน!L327"")+IMPORTRANGE(""https://docs.google.com/spreadsheets/d/1DY4XTNNwjluuxqdfdn6qvOSlMRrZqUtmYcZR0ttFiG4/edit?usp=sharing"",""ลำปาง!L327"")+IMPORTRANGE(""https://docs.goog"&amp;"le.com/spreadsheets/d/1ICwG78r0OFT8biBlxnBF8r7she7gNSzOvJ958PWT09c/edit?usp=sharing"",""ลำพูน!L327"")+IMPORTRANGE(""https://docs.google.com/spreadsheets/d/1B0f2xJpZUC6Z0xXnqKlZtEPzsf6L84eP1r1Q15seqRM/edit?usp=sharing"",""สุโขทัย!L327"")+IMPORTRANGE(""http"&amp;"s://docs.google.com/spreadsheets/d/1v0b9pFQCsKUVExMei7AgY2yQkdeNQvtOssygGsXbiKo/edit?usp=sharing"",""อุตรดิตถ์!L327"")+IMPORTRANGE(""https://docs.google.com/spreadsheets/d/1UsNK1e-WWiCo2PvGqdNfdme4m17_Ezd3J69EeeiQPD0/edit?usp=sharing"",""อุทัยธานี!L327"")"),0)</f>
        <v>0</v>
      </c>
      <c r="M327" s="46">
        <f ca="1">IFERROR(__xludf.DUMMYFUNCTION("IMPORTRANGE(""https://docs.google.com/spreadsheets/d/1jTcq05yEiRwXcBMLjiodW9e4biSGYWAHcDj22rKWQ3s/edit?usp=sharing"",""กำแพงเพชร!M327"")+IMPORTRANGE(""https://docs.google.com/spreadsheets/d/1KS0zmDSZPk8KnTAbGN-Xk6MtX1YRZD0ldgdt20K4CRk/edit?usp=sharing"","&amp;"""เชียงราย!M327"")+IMPORTRANGE(""https://docs.google.com/spreadsheets/d/1rEDxBtusbi64tE0zunoIbsTVV16HeL0oJ6trHQeQ7K8/edit?usp=sharing"",""เชียงใหม่!M327"")+IMPORTRANGE(""https://docs.google.com/spreadsheets/d/1W6MnUbDkMi6xHnHko_XkFDO9kkuL6Wqyc-6OCDFjW9I/e"&amp;"dit?usp=sharing"",""ตาก!M327"")+IMPORTRANGE(""https://docs.google.com/spreadsheets/d/1IQAWArduLkta9LpYo4a_ULsyqdta6-6aDDiwpUnQT6c/edit?usp=sharing"",""นครสวรรค์!M327"")+IMPORTRANGE(""https://docs.google.com/spreadsheets/d/10s13Sk5xrltsiR-Zkbmk5DwIaDIKO8Xl"&amp;"bJAfqyT7Gvg/edit?usp=sharing"",""น่าน!M327"")+IMPORTRANGE(""https://docs.google.com/spreadsheets/d/1uu4nAn4Dbi1XREnLKKotUANlKXa7yCgRcgq8HEzQYW8/edit?usp=sharing"",""พะเยา!M327"")+IMPORTRANGE(""https://docs.google.com/spreadsheets/d/1xfJKIQxVOaPDIICqsflNlL"&amp;"u3JacTDk1FP9RH4phX7mI/edit?usp=sharing"",""พิจิตร!M327"")+IMPORTRANGE(""https://docs.google.com/spreadsheets/d/1JtRfZkJMHtEhI5RdRHxYUG4FIZHqKDpNyIuN7A1Q0_k/edit?usp=sharing"",""พิษณุโลก!M327"")+IMPORTRANGE(""https://docs.google.com/spreadsheets/d/1xlcVZWU"&amp;"Nn6SuWm0c307h32SiGkd9BaeQWlAktfD3KO8/edit?usp=sharing"",""เพชรบูรณ์!M327"")+IMPORTRANGE(""https://docs.google.com/spreadsheets/d/1lOVebEIsI9qjGXl6EX66luk7wiuP2tBaryw-wKvv4e0/edit?usp=sharing"",""แพร่!M327"")+IMPORTRANGE(""https://docs.google.com/spreadshe"&amp;"ets/d/1dQrvX0vEcN7Gu0fnZ0B5S90AeR19zth4XlExFBeExMY/edit?usp=sharing"",""แม่ฮ่องสอน!M327"")+IMPORTRANGE(""https://docs.google.com/spreadsheets/d/1DY4XTNNwjluuxqdfdn6qvOSlMRrZqUtmYcZR0ttFiG4/edit?usp=sharing"",""ลำปาง!M327"")+IMPORTRANGE(""https://docs.goog"&amp;"le.com/spreadsheets/d/1ICwG78r0OFT8biBlxnBF8r7she7gNSzOvJ958PWT09c/edit?usp=sharing"",""ลำพูน!M327"")+IMPORTRANGE(""https://docs.google.com/spreadsheets/d/1B0f2xJpZUC6Z0xXnqKlZtEPzsf6L84eP1r1Q15seqRM/edit?usp=sharing"",""สุโขทัย!M327"")+IMPORTRANGE(""http"&amp;"s://docs.google.com/spreadsheets/d/1v0b9pFQCsKUVExMei7AgY2yQkdeNQvtOssygGsXbiKo/edit?usp=sharing"",""อุตรดิตถ์!M327"")+IMPORTRANGE(""https://docs.google.com/spreadsheets/d/1UsNK1e-WWiCo2PvGqdNfdme4m17_Ezd3J69EeeiQPD0/edit?usp=sharing"",""อุทัยธานี!M327"")"),0)</f>
        <v>0</v>
      </c>
      <c r="N327" s="46">
        <f ca="1">IFERROR(__xludf.DUMMYFUNCTION("IMPORTRANGE(""https://docs.google.com/spreadsheets/d/1jTcq05yEiRwXcBMLjiodW9e4biSGYWAHcDj22rKWQ3s/edit?usp=sharing"",""กำแพงเพชร!N327"")+IMPORTRANGE(""https://docs.google.com/spreadsheets/d/1KS0zmDSZPk8KnTAbGN-Xk6MtX1YRZD0ldgdt20K4CRk/edit?usp=sharing"","&amp;"""เชียงราย!N327"")+IMPORTRANGE(""https://docs.google.com/spreadsheets/d/1rEDxBtusbi64tE0zunoIbsTVV16HeL0oJ6trHQeQ7K8/edit?usp=sharing"",""เชียงใหม่!N327"")+IMPORTRANGE(""https://docs.google.com/spreadsheets/d/1W6MnUbDkMi6xHnHko_XkFDO9kkuL6Wqyc-6OCDFjW9I/e"&amp;"dit?usp=sharing"",""ตาก!N327"")+IMPORTRANGE(""https://docs.google.com/spreadsheets/d/1IQAWArduLkta9LpYo4a_ULsyqdta6-6aDDiwpUnQT6c/edit?usp=sharing"",""นครสวรรค์!N327"")+IMPORTRANGE(""https://docs.google.com/spreadsheets/d/10s13Sk5xrltsiR-Zkbmk5DwIaDIKO8Xl"&amp;"bJAfqyT7Gvg/edit?usp=sharing"",""น่าน!N327"")+IMPORTRANGE(""https://docs.google.com/spreadsheets/d/1uu4nAn4Dbi1XREnLKKotUANlKXa7yCgRcgq8HEzQYW8/edit?usp=sharing"",""พะเยา!N327"")+IMPORTRANGE(""https://docs.google.com/spreadsheets/d/1xfJKIQxVOaPDIICqsflNlL"&amp;"u3JacTDk1FP9RH4phX7mI/edit?usp=sharing"",""พิจิตร!N327"")+IMPORTRANGE(""https://docs.google.com/spreadsheets/d/1JtRfZkJMHtEhI5RdRHxYUG4FIZHqKDpNyIuN7A1Q0_k/edit?usp=sharing"",""พิษณุโลก!N327"")+IMPORTRANGE(""https://docs.google.com/spreadsheets/d/1xlcVZWU"&amp;"Nn6SuWm0c307h32SiGkd9BaeQWlAktfD3KO8/edit?usp=sharing"",""เพชรบูรณ์!N327"")+IMPORTRANGE(""https://docs.google.com/spreadsheets/d/1lOVebEIsI9qjGXl6EX66luk7wiuP2tBaryw-wKvv4e0/edit?usp=sharing"",""แพร่!N327"")+IMPORTRANGE(""https://docs.google.com/spreadshe"&amp;"ets/d/1dQrvX0vEcN7Gu0fnZ0B5S90AeR19zth4XlExFBeExMY/edit?usp=sharing"",""แม่ฮ่องสอน!N327"")+IMPORTRANGE(""https://docs.google.com/spreadsheets/d/1DY4XTNNwjluuxqdfdn6qvOSlMRrZqUtmYcZR0ttFiG4/edit?usp=sharing"",""ลำปาง!N327"")+IMPORTRANGE(""https://docs.goog"&amp;"le.com/spreadsheets/d/1ICwG78r0OFT8biBlxnBF8r7she7gNSzOvJ958PWT09c/edit?usp=sharing"",""ลำพูน!N327"")+IMPORTRANGE(""https://docs.google.com/spreadsheets/d/1B0f2xJpZUC6Z0xXnqKlZtEPzsf6L84eP1r1Q15seqRM/edit?usp=sharing"",""สุโขทัย!N327"")+IMPORTRANGE(""http"&amp;"s://docs.google.com/spreadsheets/d/1v0b9pFQCsKUVExMei7AgY2yQkdeNQvtOssygGsXbiKo/edit?usp=sharing"",""อุตรดิตถ์!N327"")+IMPORTRANGE(""https://docs.google.com/spreadsheets/d/1UsNK1e-WWiCo2PvGqdNfdme4m17_Ezd3J69EeeiQPD0/edit?usp=sharing"",""อุทัยธานี!N327"")"),0)</f>
        <v>0</v>
      </c>
      <c r="O327" s="46">
        <f t="shared" ca="1" si="239"/>
        <v>0</v>
      </c>
      <c r="P327" s="46">
        <f t="shared" ca="1" si="240"/>
        <v>0</v>
      </c>
      <c r="Q327" s="48">
        <f ca="1">IFERROR(__xludf.DUMMYFUNCTION("IMPORTRANGE(""https://docs.google.com/spreadsheets/d/1jTcq05yEiRwXcBMLjiodW9e4biSGYWAHcDj22rKWQ3s/edit?usp=sharing"",""กำแพงเพชร!Q327"")+IMPORTRANGE(""https://docs.google.com/spreadsheets/d/1KS0zmDSZPk8KnTAbGN-Xk6MtX1YRZD0ldgdt20K4CRk/edit?usp=sharing"","&amp;"""เชียงราย!Q327"")+IMPORTRANGE(""https://docs.google.com/spreadsheets/d/1rEDxBtusbi64tE0zunoIbsTVV16HeL0oJ6trHQeQ7K8/edit?usp=sharing"",""เชียงใหม่!Q327"")+IMPORTRANGE(""https://docs.google.com/spreadsheets/d/1W6MnUbDkMi6xHnHko_XkFDO9kkuL6Wqyc-6OCDFjW9I/e"&amp;"dit?usp=sharing"",""ตาก!Q327"")+IMPORTRANGE(""https://docs.google.com/spreadsheets/d/1IQAWArduLkta9LpYo4a_ULsyqdta6-6aDDiwpUnQT6c/edit?usp=sharing"",""นครสวรรค์!Q327"")+IMPORTRANGE(""https://docs.google.com/spreadsheets/d/10s13Sk5xrltsiR-Zkbmk5DwIaDIKO8Xl"&amp;"bJAfqyT7Gvg/edit?usp=sharing"",""น่าน!Q327"")+IMPORTRANGE(""https://docs.google.com/spreadsheets/d/1uu4nAn4Dbi1XREnLKKotUANlKXa7yCgRcgq8HEzQYW8/edit?usp=sharing"",""พะเยา!Q327"")+IMPORTRANGE(""https://docs.google.com/spreadsheets/d/1xfJKIQxVOaPDIICqsflNlL"&amp;"u3JacTDk1FP9RH4phX7mI/edit?usp=sharing"",""พิจิตร!Q327"")+IMPORTRANGE(""https://docs.google.com/spreadsheets/d/1JtRfZkJMHtEhI5RdRHxYUG4FIZHqKDpNyIuN7A1Q0_k/edit?usp=sharing"",""พิษณุโลก!Q327"")+IMPORTRANGE(""https://docs.google.com/spreadsheets/d/1xlcVZWU"&amp;"Nn6SuWm0c307h32SiGkd9BaeQWlAktfD3KO8/edit?usp=sharing"",""เพชรบูรณ์!Q327"")+IMPORTRANGE(""https://docs.google.com/spreadsheets/d/1lOVebEIsI9qjGXl6EX66luk7wiuP2tBaryw-wKvv4e0/edit?usp=sharing"",""แพร่!Q327"")+IMPORTRANGE(""https://docs.google.com/spreadshe"&amp;"ets/d/1dQrvX0vEcN7Gu0fnZ0B5S90AeR19zth4XlExFBeExMY/edit?usp=sharing"",""แม่ฮ่องสอน!Q327"")+IMPORTRANGE(""https://docs.google.com/spreadsheets/d/1DY4XTNNwjluuxqdfdn6qvOSlMRrZqUtmYcZR0ttFiG4/edit?usp=sharing"",""ลำปาง!Q327"")+IMPORTRANGE(""https://docs.goog"&amp;"le.com/spreadsheets/d/1ICwG78r0OFT8biBlxnBF8r7she7gNSzOvJ958PWT09c/edit?usp=sharing"",""ลำพูน!Q327"")+IMPORTRANGE(""https://docs.google.com/spreadsheets/d/1B0f2xJpZUC6Z0xXnqKlZtEPzsf6L84eP1r1Q15seqRM/edit?usp=sharing"",""สุโขทัย!Q327"")+IMPORTRANGE(""http"&amp;"s://docs.google.com/spreadsheets/d/1v0b9pFQCsKUVExMei7AgY2yQkdeNQvtOssygGsXbiKo/edit?usp=sharing"",""อุตรดิตถ์!Q327"")+IMPORTRANGE(""https://docs.google.com/spreadsheets/d/1UsNK1e-WWiCo2PvGqdNfdme4m17_Ezd3J69EeeiQPD0/edit?usp=sharing"",""อุทัยธานี!Q327"")"),0)</f>
        <v>0</v>
      </c>
      <c r="R327" s="48">
        <f ca="1">IFERROR(__xludf.DUMMYFUNCTION("IMPORTRANGE(""https://docs.google.com/spreadsheets/d/1jTcq05yEiRwXcBMLjiodW9e4biSGYWAHcDj22rKWQ3s/edit?usp=sharing"",""กำแพงเพชร!R327"")+IMPORTRANGE(""https://docs.google.com/spreadsheets/d/1KS0zmDSZPk8KnTAbGN-Xk6MtX1YRZD0ldgdt20K4CRk/edit?usp=sharing"","&amp;"""เชียงราย!R327"")+IMPORTRANGE(""https://docs.google.com/spreadsheets/d/1rEDxBtusbi64tE0zunoIbsTVV16HeL0oJ6trHQeQ7K8/edit?usp=sharing"",""เชียงใหม่!R327"")+IMPORTRANGE(""https://docs.google.com/spreadsheets/d/1W6MnUbDkMi6xHnHko_XkFDO9kkuL6Wqyc-6OCDFjW9I/e"&amp;"dit?usp=sharing"",""ตาก!R327"")+IMPORTRANGE(""https://docs.google.com/spreadsheets/d/1IQAWArduLkta9LpYo4a_ULsyqdta6-6aDDiwpUnQT6c/edit?usp=sharing"",""นครสวรรค์!R327"")+IMPORTRANGE(""https://docs.google.com/spreadsheets/d/10s13Sk5xrltsiR-Zkbmk5DwIaDIKO8Xl"&amp;"bJAfqyT7Gvg/edit?usp=sharing"",""น่าน!R327"")+IMPORTRANGE(""https://docs.google.com/spreadsheets/d/1uu4nAn4Dbi1XREnLKKotUANlKXa7yCgRcgq8HEzQYW8/edit?usp=sharing"",""พะเยา!R327"")+IMPORTRANGE(""https://docs.google.com/spreadsheets/d/1xfJKIQxVOaPDIICqsflNlL"&amp;"u3JacTDk1FP9RH4phX7mI/edit?usp=sharing"",""พิจิตร!R327"")+IMPORTRANGE(""https://docs.google.com/spreadsheets/d/1JtRfZkJMHtEhI5RdRHxYUG4FIZHqKDpNyIuN7A1Q0_k/edit?usp=sharing"",""พิษณุโลก!R327"")+IMPORTRANGE(""https://docs.google.com/spreadsheets/d/1xlcVZWU"&amp;"Nn6SuWm0c307h32SiGkd9BaeQWlAktfD3KO8/edit?usp=sharing"",""เพชรบูรณ์!R327"")+IMPORTRANGE(""https://docs.google.com/spreadsheets/d/1lOVebEIsI9qjGXl6EX66luk7wiuP2tBaryw-wKvv4e0/edit?usp=sharing"",""แพร่!R327"")+IMPORTRANGE(""https://docs.google.com/spreadshe"&amp;"ets/d/1dQrvX0vEcN7Gu0fnZ0B5S90AeR19zth4XlExFBeExMY/edit?usp=sharing"",""แม่ฮ่องสอน!R327"")+IMPORTRANGE(""https://docs.google.com/spreadsheets/d/1DY4XTNNwjluuxqdfdn6qvOSlMRrZqUtmYcZR0ttFiG4/edit?usp=sharing"",""ลำปาง!R327"")+IMPORTRANGE(""https://docs.goog"&amp;"le.com/spreadsheets/d/1ICwG78r0OFT8biBlxnBF8r7she7gNSzOvJ958PWT09c/edit?usp=sharing"",""ลำพูน!R327"")+IMPORTRANGE(""https://docs.google.com/spreadsheets/d/1B0f2xJpZUC6Z0xXnqKlZtEPzsf6L84eP1r1Q15seqRM/edit?usp=sharing"",""สุโขทัย!R327"")+IMPORTRANGE(""http"&amp;"s://docs.google.com/spreadsheets/d/1v0b9pFQCsKUVExMei7AgY2yQkdeNQvtOssygGsXbiKo/edit?usp=sharing"",""อุตรดิตถ์!R327"")+IMPORTRANGE(""https://docs.google.com/spreadsheets/d/1UsNK1e-WWiCo2PvGqdNfdme4m17_Ezd3J69EeeiQPD0/edit?usp=sharing"",""อุทัยธานี!R327"")"),0)</f>
        <v>0</v>
      </c>
      <c r="S327" s="48">
        <f ca="1">IFERROR(__xludf.DUMMYFUNCTION("IMPORTRANGE(""https://docs.google.com/spreadsheets/d/1jTcq05yEiRwXcBMLjiodW9e4biSGYWAHcDj22rKWQ3s/edit?usp=sharing"",""กำแพงเพชร!S327"")+IMPORTRANGE(""https://docs.google.com/spreadsheets/d/1KS0zmDSZPk8KnTAbGN-Xk6MtX1YRZD0ldgdt20K4CRk/edit?usp=sharing"","&amp;"""เชียงราย!S327"")+IMPORTRANGE(""https://docs.google.com/spreadsheets/d/1rEDxBtusbi64tE0zunoIbsTVV16HeL0oJ6trHQeQ7K8/edit?usp=sharing"",""เชียงใหม่!S327"")+IMPORTRANGE(""https://docs.google.com/spreadsheets/d/1W6MnUbDkMi6xHnHko_XkFDO9kkuL6Wqyc-6OCDFjW9I/e"&amp;"dit?usp=sharing"",""ตาก!S327"")+IMPORTRANGE(""https://docs.google.com/spreadsheets/d/1IQAWArduLkta9LpYo4a_ULsyqdta6-6aDDiwpUnQT6c/edit?usp=sharing"",""นครสวรรค์!S327"")+IMPORTRANGE(""https://docs.google.com/spreadsheets/d/10s13Sk5xrltsiR-Zkbmk5DwIaDIKO8Xl"&amp;"bJAfqyT7Gvg/edit?usp=sharing"",""น่าน!S327"")+IMPORTRANGE(""https://docs.google.com/spreadsheets/d/1uu4nAn4Dbi1XREnLKKotUANlKXa7yCgRcgq8HEzQYW8/edit?usp=sharing"",""พะเยา!S327"")+IMPORTRANGE(""https://docs.google.com/spreadsheets/d/1xfJKIQxVOaPDIICqsflNlL"&amp;"u3JacTDk1FP9RH4phX7mI/edit?usp=sharing"",""พิจิตร!S327"")+IMPORTRANGE(""https://docs.google.com/spreadsheets/d/1JtRfZkJMHtEhI5RdRHxYUG4FIZHqKDpNyIuN7A1Q0_k/edit?usp=sharing"",""พิษณุโลก!S327"")+IMPORTRANGE(""https://docs.google.com/spreadsheets/d/1xlcVZWU"&amp;"Nn6SuWm0c307h32SiGkd9BaeQWlAktfD3KO8/edit?usp=sharing"",""เพชรบูรณ์!S327"")+IMPORTRANGE(""https://docs.google.com/spreadsheets/d/1lOVebEIsI9qjGXl6EX66luk7wiuP2tBaryw-wKvv4e0/edit?usp=sharing"",""แพร่!S327"")+IMPORTRANGE(""https://docs.google.com/spreadshe"&amp;"ets/d/1dQrvX0vEcN7Gu0fnZ0B5S90AeR19zth4XlExFBeExMY/edit?usp=sharing"",""แม่ฮ่องสอน!S327"")+IMPORTRANGE(""https://docs.google.com/spreadsheets/d/1DY4XTNNwjluuxqdfdn6qvOSlMRrZqUtmYcZR0ttFiG4/edit?usp=sharing"",""ลำปาง!S327"")+IMPORTRANGE(""https://docs.goog"&amp;"le.com/spreadsheets/d/1ICwG78r0OFT8biBlxnBF8r7she7gNSzOvJ958PWT09c/edit?usp=sharing"",""ลำพูน!S327"")+IMPORTRANGE(""https://docs.google.com/spreadsheets/d/1B0f2xJpZUC6Z0xXnqKlZtEPzsf6L84eP1r1Q15seqRM/edit?usp=sharing"",""สุโขทัย!S327"")+IMPORTRANGE(""http"&amp;"s://docs.google.com/spreadsheets/d/1v0b9pFQCsKUVExMei7AgY2yQkdeNQvtOssygGsXbiKo/edit?usp=sharing"",""อุตรดิตถ์!S327"")+IMPORTRANGE(""https://docs.google.com/spreadsheets/d/1UsNK1e-WWiCo2PvGqdNfdme4m17_Ezd3J69EeeiQPD0/edit?usp=sharing"",""อุทัยธานี!S327"")"),0)</f>
        <v>0</v>
      </c>
      <c r="T327" s="48">
        <f t="shared" ca="1" si="242"/>
        <v>0</v>
      </c>
      <c r="U327" s="48">
        <f t="shared" ca="1" si="243"/>
        <v>0</v>
      </c>
    </row>
    <row r="328" spans="1:21" ht="18.75" x14ac:dyDescent="0.25">
      <c r="A328" s="128"/>
      <c r="B328" s="40"/>
      <c r="C328" s="40"/>
      <c r="D328" s="40"/>
      <c r="E328" s="47" t="s">
        <v>21</v>
      </c>
      <c r="F328" s="40"/>
      <c r="G328" s="42"/>
      <c r="H328" s="137" t="s">
        <v>14</v>
      </c>
      <c r="I328" s="135"/>
      <c r="J328" s="135"/>
      <c r="K328" s="136"/>
      <c r="L328" s="46">
        <f ca="1">IFERROR(__xludf.DUMMYFUNCTION("IMPORTRANGE(""https://docs.google.com/spreadsheets/d/1jTcq05yEiRwXcBMLjiodW9e4biSGYWAHcDj22rKWQ3s/edit?usp=sharing"",""กำแพงเพชร!L328"")+IMPORTRANGE(""https://docs.google.com/spreadsheets/d/1KS0zmDSZPk8KnTAbGN-Xk6MtX1YRZD0ldgdt20K4CRk/edit?usp=sharing"","&amp;"""เชียงราย!L328"")+IMPORTRANGE(""https://docs.google.com/spreadsheets/d/1rEDxBtusbi64tE0zunoIbsTVV16HeL0oJ6trHQeQ7K8/edit?usp=sharing"",""เชียงใหม่!L328"")+IMPORTRANGE(""https://docs.google.com/spreadsheets/d/1W6MnUbDkMi6xHnHko_XkFDO9kkuL6Wqyc-6OCDFjW9I/e"&amp;"dit?usp=sharing"",""ตาก!L328"")+IMPORTRANGE(""https://docs.google.com/spreadsheets/d/1IQAWArduLkta9LpYo4a_ULsyqdta6-6aDDiwpUnQT6c/edit?usp=sharing"",""นครสวรรค์!L328"")+IMPORTRANGE(""https://docs.google.com/spreadsheets/d/10s13Sk5xrltsiR-Zkbmk5DwIaDIKO8Xl"&amp;"bJAfqyT7Gvg/edit?usp=sharing"",""น่าน!L328"")+IMPORTRANGE(""https://docs.google.com/spreadsheets/d/1uu4nAn4Dbi1XREnLKKotUANlKXa7yCgRcgq8HEzQYW8/edit?usp=sharing"",""พะเยา!L328"")+IMPORTRANGE(""https://docs.google.com/spreadsheets/d/1xfJKIQxVOaPDIICqsflNlL"&amp;"u3JacTDk1FP9RH4phX7mI/edit?usp=sharing"",""พิจิตร!L328"")+IMPORTRANGE(""https://docs.google.com/spreadsheets/d/1JtRfZkJMHtEhI5RdRHxYUG4FIZHqKDpNyIuN7A1Q0_k/edit?usp=sharing"",""พิษณุโลก!L328"")+IMPORTRANGE(""https://docs.google.com/spreadsheets/d/1xlcVZWU"&amp;"Nn6SuWm0c307h32SiGkd9BaeQWlAktfD3KO8/edit?usp=sharing"",""เพชรบูรณ์!L328"")+IMPORTRANGE(""https://docs.google.com/spreadsheets/d/1lOVebEIsI9qjGXl6EX66luk7wiuP2tBaryw-wKvv4e0/edit?usp=sharing"",""แพร่!L328"")+IMPORTRANGE(""https://docs.google.com/spreadshe"&amp;"ets/d/1dQrvX0vEcN7Gu0fnZ0B5S90AeR19zth4XlExFBeExMY/edit?usp=sharing"",""แม่ฮ่องสอน!L328"")+IMPORTRANGE(""https://docs.google.com/spreadsheets/d/1DY4XTNNwjluuxqdfdn6qvOSlMRrZqUtmYcZR0ttFiG4/edit?usp=sharing"",""ลำปาง!L328"")+IMPORTRANGE(""https://docs.goog"&amp;"le.com/spreadsheets/d/1ICwG78r0OFT8biBlxnBF8r7she7gNSzOvJ958PWT09c/edit?usp=sharing"",""ลำพูน!L328"")+IMPORTRANGE(""https://docs.google.com/spreadsheets/d/1B0f2xJpZUC6Z0xXnqKlZtEPzsf6L84eP1r1Q15seqRM/edit?usp=sharing"",""สุโขทัย!L328"")+IMPORTRANGE(""http"&amp;"s://docs.google.com/spreadsheets/d/1v0b9pFQCsKUVExMei7AgY2yQkdeNQvtOssygGsXbiKo/edit?usp=sharing"",""อุตรดิตถ์!L328"")+IMPORTRANGE(""https://docs.google.com/spreadsheets/d/1UsNK1e-WWiCo2PvGqdNfdme4m17_Ezd3J69EeeiQPD0/edit?usp=sharing"",""อุทัยธานี!L328"")"),0)</f>
        <v>0</v>
      </c>
      <c r="M328" s="46">
        <f ca="1">IFERROR(__xludf.DUMMYFUNCTION("IMPORTRANGE(""https://docs.google.com/spreadsheets/d/1jTcq05yEiRwXcBMLjiodW9e4biSGYWAHcDj22rKWQ3s/edit?usp=sharing"",""กำแพงเพชร!M328"")+IMPORTRANGE(""https://docs.google.com/spreadsheets/d/1KS0zmDSZPk8KnTAbGN-Xk6MtX1YRZD0ldgdt20K4CRk/edit?usp=sharing"","&amp;"""เชียงราย!M328"")+IMPORTRANGE(""https://docs.google.com/spreadsheets/d/1rEDxBtusbi64tE0zunoIbsTVV16HeL0oJ6trHQeQ7K8/edit?usp=sharing"",""เชียงใหม่!M328"")+IMPORTRANGE(""https://docs.google.com/spreadsheets/d/1W6MnUbDkMi6xHnHko_XkFDO9kkuL6Wqyc-6OCDFjW9I/e"&amp;"dit?usp=sharing"",""ตาก!M328"")+IMPORTRANGE(""https://docs.google.com/spreadsheets/d/1IQAWArduLkta9LpYo4a_ULsyqdta6-6aDDiwpUnQT6c/edit?usp=sharing"",""นครสวรรค์!M328"")+IMPORTRANGE(""https://docs.google.com/spreadsheets/d/10s13Sk5xrltsiR-Zkbmk5DwIaDIKO8Xl"&amp;"bJAfqyT7Gvg/edit?usp=sharing"",""น่าน!M328"")+IMPORTRANGE(""https://docs.google.com/spreadsheets/d/1uu4nAn4Dbi1XREnLKKotUANlKXa7yCgRcgq8HEzQYW8/edit?usp=sharing"",""พะเยา!M328"")+IMPORTRANGE(""https://docs.google.com/spreadsheets/d/1xfJKIQxVOaPDIICqsflNlL"&amp;"u3JacTDk1FP9RH4phX7mI/edit?usp=sharing"",""พิจิตร!M328"")+IMPORTRANGE(""https://docs.google.com/spreadsheets/d/1JtRfZkJMHtEhI5RdRHxYUG4FIZHqKDpNyIuN7A1Q0_k/edit?usp=sharing"",""พิษณุโลก!M328"")+IMPORTRANGE(""https://docs.google.com/spreadsheets/d/1xlcVZWU"&amp;"Nn6SuWm0c307h32SiGkd9BaeQWlAktfD3KO8/edit?usp=sharing"",""เพชรบูรณ์!M328"")+IMPORTRANGE(""https://docs.google.com/spreadsheets/d/1lOVebEIsI9qjGXl6EX66luk7wiuP2tBaryw-wKvv4e0/edit?usp=sharing"",""แพร่!M328"")+IMPORTRANGE(""https://docs.google.com/spreadshe"&amp;"ets/d/1dQrvX0vEcN7Gu0fnZ0B5S90AeR19zth4XlExFBeExMY/edit?usp=sharing"",""แม่ฮ่องสอน!M328"")+IMPORTRANGE(""https://docs.google.com/spreadsheets/d/1DY4XTNNwjluuxqdfdn6qvOSlMRrZqUtmYcZR0ttFiG4/edit?usp=sharing"",""ลำปาง!M328"")+IMPORTRANGE(""https://docs.goog"&amp;"le.com/spreadsheets/d/1ICwG78r0OFT8biBlxnBF8r7she7gNSzOvJ958PWT09c/edit?usp=sharing"",""ลำพูน!M328"")+IMPORTRANGE(""https://docs.google.com/spreadsheets/d/1B0f2xJpZUC6Z0xXnqKlZtEPzsf6L84eP1r1Q15seqRM/edit?usp=sharing"",""สุโขทัย!M328"")+IMPORTRANGE(""http"&amp;"s://docs.google.com/spreadsheets/d/1v0b9pFQCsKUVExMei7AgY2yQkdeNQvtOssygGsXbiKo/edit?usp=sharing"",""อุตรดิตถ์!M328"")+IMPORTRANGE(""https://docs.google.com/spreadsheets/d/1UsNK1e-WWiCo2PvGqdNfdme4m17_Ezd3J69EeeiQPD0/edit?usp=sharing"",""อุทัยธานี!M328"")"),0)</f>
        <v>0</v>
      </c>
      <c r="N328" s="46">
        <f ca="1">IFERROR(__xludf.DUMMYFUNCTION("IMPORTRANGE(""https://docs.google.com/spreadsheets/d/1jTcq05yEiRwXcBMLjiodW9e4biSGYWAHcDj22rKWQ3s/edit?usp=sharing"",""กำแพงเพชร!N328"")+IMPORTRANGE(""https://docs.google.com/spreadsheets/d/1KS0zmDSZPk8KnTAbGN-Xk6MtX1YRZD0ldgdt20K4CRk/edit?usp=sharing"","&amp;"""เชียงราย!N328"")+IMPORTRANGE(""https://docs.google.com/spreadsheets/d/1rEDxBtusbi64tE0zunoIbsTVV16HeL0oJ6trHQeQ7K8/edit?usp=sharing"",""เชียงใหม่!N328"")+IMPORTRANGE(""https://docs.google.com/spreadsheets/d/1W6MnUbDkMi6xHnHko_XkFDO9kkuL6Wqyc-6OCDFjW9I/e"&amp;"dit?usp=sharing"",""ตาก!N328"")+IMPORTRANGE(""https://docs.google.com/spreadsheets/d/1IQAWArduLkta9LpYo4a_ULsyqdta6-6aDDiwpUnQT6c/edit?usp=sharing"",""นครสวรรค์!N328"")+IMPORTRANGE(""https://docs.google.com/spreadsheets/d/10s13Sk5xrltsiR-Zkbmk5DwIaDIKO8Xl"&amp;"bJAfqyT7Gvg/edit?usp=sharing"",""น่าน!N328"")+IMPORTRANGE(""https://docs.google.com/spreadsheets/d/1uu4nAn4Dbi1XREnLKKotUANlKXa7yCgRcgq8HEzQYW8/edit?usp=sharing"",""พะเยา!N328"")+IMPORTRANGE(""https://docs.google.com/spreadsheets/d/1xfJKIQxVOaPDIICqsflNlL"&amp;"u3JacTDk1FP9RH4phX7mI/edit?usp=sharing"",""พิจิตร!N328"")+IMPORTRANGE(""https://docs.google.com/spreadsheets/d/1JtRfZkJMHtEhI5RdRHxYUG4FIZHqKDpNyIuN7A1Q0_k/edit?usp=sharing"",""พิษณุโลก!N328"")+IMPORTRANGE(""https://docs.google.com/spreadsheets/d/1xlcVZWU"&amp;"Nn6SuWm0c307h32SiGkd9BaeQWlAktfD3KO8/edit?usp=sharing"",""เพชรบูรณ์!N328"")+IMPORTRANGE(""https://docs.google.com/spreadsheets/d/1lOVebEIsI9qjGXl6EX66luk7wiuP2tBaryw-wKvv4e0/edit?usp=sharing"",""แพร่!N328"")+IMPORTRANGE(""https://docs.google.com/spreadshe"&amp;"ets/d/1dQrvX0vEcN7Gu0fnZ0B5S90AeR19zth4XlExFBeExMY/edit?usp=sharing"",""แม่ฮ่องสอน!N328"")+IMPORTRANGE(""https://docs.google.com/spreadsheets/d/1DY4XTNNwjluuxqdfdn6qvOSlMRrZqUtmYcZR0ttFiG4/edit?usp=sharing"",""ลำปาง!N328"")+IMPORTRANGE(""https://docs.goog"&amp;"le.com/spreadsheets/d/1ICwG78r0OFT8biBlxnBF8r7she7gNSzOvJ958PWT09c/edit?usp=sharing"",""ลำพูน!N328"")+IMPORTRANGE(""https://docs.google.com/spreadsheets/d/1B0f2xJpZUC6Z0xXnqKlZtEPzsf6L84eP1r1Q15seqRM/edit?usp=sharing"",""สุโขทัย!N328"")+IMPORTRANGE(""http"&amp;"s://docs.google.com/spreadsheets/d/1v0b9pFQCsKUVExMei7AgY2yQkdeNQvtOssygGsXbiKo/edit?usp=sharing"",""อุตรดิตถ์!N328"")+IMPORTRANGE(""https://docs.google.com/spreadsheets/d/1UsNK1e-WWiCo2PvGqdNfdme4m17_Ezd3J69EeeiQPD0/edit?usp=sharing"",""อุทัยธานี!N328"")"),0)</f>
        <v>0</v>
      </c>
      <c r="O328" s="46">
        <f t="shared" ca="1" si="239"/>
        <v>0</v>
      </c>
      <c r="P328" s="46">
        <f t="shared" ca="1" si="240"/>
        <v>0</v>
      </c>
      <c r="Q328" s="46">
        <f ca="1">IFERROR(__xludf.DUMMYFUNCTION("IMPORTRANGE(""https://docs.google.com/spreadsheets/d/1jTcq05yEiRwXcBMLjiodW9e4biSGYWAHcDj22rKWQ3s/edit?usp=sharing"",""กำแพงเพชร!Q328"")+IMPORTRANGE(""https://docs.google.com/spreadsheets/d/1KS0zmDSZPk8KnTAbGN-Xk6MtX1YRZD0ldgdt20K4CRk/edit?usp=sharing"","&amp;"""เชียงราย!Q328"")+IMPORTRANGE(""https://docs.google.com/spreadsheets/d/1rEDxBtusbi64tE0zunoIbsTVV16HeL0oJ6trHQeQ7K8/edit?usp=sharing"",""เชียงใหม่!Q328"")+IMPORTRANGE(""https://docs.google.com/spreadsheets/d/1W6MnUbDkMi6xHnHko_XkFDO9kkuL6Wqyc-6OCDFjW9I/e"&amp;"dit?usp=sharing"",""ตาก!Q328"")+IMPORTRANGE(""https://docs.google.com/spreadsheets/d/1IQAWArduLkta9LpYo4a_ULsyqdta6-6aDDiwpUnQT6c/edit?usp=sharing"",""นครสวรรค์!Q328"")+IMPORTRANGE(""https://docs.google.com/spreadsheets/d/10s13Sk5xrltsiR-Zkbmk5DwIaDIKO8Xl"&amp;"bJAfqyT7Gvg/edit?usp=sharing"",""น่าน!Q328"")+IMPORTRANGE(""https://docs.google.com/spreadsheets/d/1uu4nAn4Dbi1XREnLKKotUANlKXa7yCgRcgq8HEzQYW8/edit?usp=sharing"",""พะเยา!Q328"")+IMPORTRANGE(""https://docs.google.com/spreadsheets/d/1xfJKIQxVOaPDIICqsflNlL"&amp;"u3JacTDk1FP9RH4phX7mI/edit?usp=sharing"",""พิจิตร!Q328"")+IMPORTRANGE(""https://docs.google.com/spreadsheets/d/1JtRfZkJMHtEhI5RdRHxYUG4FIZHqKDpNyIuN7A1Q0_k/edit?usp=sharing"",""พิษณุโลก!Q328"")+IMPORTRANGE(""https://docs.google.com/spreadsheets/d/1xlcVZWU"&amp;"Nn6SuWm0c307h32SiGkd9BaeQWlAktfD3KO8/edit?usp=sharing"",""เพชรบูรณ์!Q328"")+IMPORTRANGE(""https://docs.google.com/spreadsheets/d/1lOVebEIsI9qjGXl6EX66luk7wiuP2tBaryw-wKvv4e0/edit?usp=sharing"",""แพร่!Q328"")+IMPORTRANGE(""https://docs.google.com/spreadshe"&amp;"ets/d/1dQrvX0vEcN7Gu0fnZ0B5S90AeR19zth4XlExFBeExMY/edit?usp=sharing"",""แม่ฮ่องสอน!Q328"")+IMPORTRANGE(""https://docs.google.com/spreadsheets/d/1DY4XTNNwjluuxqdfdn6qvOSlMRrZqUtmYcZR0ttFiG4/edit?usp=sharing"",""ลำปาง!Q328"")+IMPORTRANGE(""https://docs.goog"&amp;"le.com/spreadsheets/d/1ICwG78r0OFT8biBlxnBF8r7she7gNSzOvJ958PWT09c/edit?usp=sharing"",""ลำพูน!Q328"")+IMPORTRANGE(""https://docs.google.com/spreadsheets/d/1B0f2xJpZUC6Z0xXnqKlZtEPzsf6L84eP1r1Q15seqRM/edit?usp=sharing"",""สุโขทัย!Q328"")+IMPORTRANGE(""http"&amp;"s://docs.google.com/spreadsheets/d/1v0b9pFQCsKUVExMei7AgY2yQkdeNQvtOssygGsXbiKo/edit?usp=sharing"",""อุตรดิตถ์!Q328"")+IMPORTRANGE(""https://docs.google.com/spreadsheets/d/1UsNK1e-WWiCo2PvGqdNfdme4m17_Ezd3J69EeeiQPD0/edit?usp=sharing"",""อุทัยธานี!Q328"")"),0)</f>
        <v>0</v>
      </c>
      <c r="R328" s="46">
        <f ca="1">IFERROR(__xludf.DUMMYFUNCTION("IMPORTRANGE(""https://docs.google.com/spreadsheets/d/1jTcq05yEiRwXcBMLjiodW9e4biSGYWAHcDj22rKWQ3s/edit?usp=sharing"",""กำแพงเพชร!R328"")+IMPORTRANGE(""https://docs.google.com/spreadsheets/d/1KS0zmDSZPk8KnTAbGN-Xk6MtX1YRZD0ldgdt20K4CRk/edit?usp=sharing"","&amp;"""เชียงราย!R328"")+IMPORTRANGE(""https://docs.google.com/spreadsheets/d/1rEDxBtusbi64tE0zunoIbsTVV16HeL0oJ6trHQeQ7K8/edit?usp=sharing"",""เชียงใหม่!R328"")+IMPORTRANGE(""https://docs.google.com/spreadsheets/d/1W6MnUbDkMi6xHnHko_XkFDO9kkuL6Wqyc-6OCDFjW9I/e"&amp;"dit?usp=sharing"",""ตาก!R328"")+IMPORTRANGE(""https://docs.google.com/spreadsheets/d/1IQAWArduLkta9LpYo4a_ULsyqdta6-6aDDiwpUnQT6c/edit?usp=sharing"",""นครสวรรค์!R328"")+IMPORTRANGE(""https://docs.google.com/spreadsheets/d/10s13Sk5xrltsiR-Zkbmk5DwIaDIKO8Xl"&amp;"bJAfqyT7Gvg/edit?usp=sharing"",""น่าน!R328"")+IMPORTRANGE(""https://docs.google.com/spreadsheets/d/1uu4nAn4Dbi1XREnLKKotUANlKXa7yCgRcgq8HEzQYW8/edit?usp=sharing"",""พะเยา!R328"")+IMPORTRANGE(""https://docs.google.com/spreadsheets/d/1xfJKIQxVOaPDIICqsflNlL"&amp;"u3JacTDk1FP9RH4phX7mI/edit?usp=sharing"",""พิจิตร!R328"")+IMPORTRANGE(""https://docs.google.com/spreadsheets/d/1JtRfZkJMHtEhI5RdRHxYUG4FIZHqKDpNyIuN7A1Q0_k/edit?usp=sharing"",""พิษณุโลก!R328"")+IMPORTRANGE(""https://docs.google.com/spreadsheets/d/1xlcVZWU"&amp;"Nn6SuWm0c307h32SiGkd9BaeQWlAktfD3KO8/edit?usp=sharing"",""เพชรบูรณ์!R328"")+IMPORTRANGE(""https://docs.google.com/spreadsheets/d/1lOVebEIsI9qjGXl6EX66luk7wiuP2tBaryw-wKvv4e0/edit?usp=sharing"",""แพร่!R328"")+IMPORTRANGE(""https://docs.google.com/spreadshe"&amp;"ets/d/1dQrvX0vEcN7Gu0fnZ0B5S90AeR19zth4XlExFBeExMY/edit?usp=sharing"",""แม่ฮ่องสอน!R328"")+IMPORTRANGE(""https://docs.google.com/spreadsheets/d/1DY4XTNNwjluuxqdfdn6qvOSlMRrZqUtmYcZR0ttFiG4/edit?usp=sharing"",""ลำปาง!R328"")+IMPORTRANGE(""https://docs.goog"&amp;"le.com/spreadsheets/d/1ICwG78r0OFT8biBlxnBF8r7she7gNSzOvJ958PWT09c/edit?usp=sharing"",""ลำพูน!R328"")+IMPORTRANGE(""https://docs.google.com/spreadsheets/d/1B0f2xJpZUC6Z0xXnqKlZtEPzsf6L84eP1r1Q15seqRM/edit?usp=sharing"",""สุโขทัย!R328"")+IMPORTRANGE(""http"&amp;"s://docs.google.com/spreadsheets/d/1v0b9pFQCsKUVExMei7AgY2yQkdeNQvtOssygGsXbiKo/edit?usp=sharing"",""อุตรดิตถ์!R328"")+IMPORTRANGE(""https://docs.google.com/spreadsheets/d/1UsNK1e-WWiCo2PvGqdNfdme4m17_Ezd3J69EeeiQPD0/edit?usp=sharing"",""อุทัยธานี!R328"")"),0)</f>
        <v>0</v>
      </c>
      <c r="S328" s="46">
        <f ca="1">IFERROR(__xludf.DUMMYFUNCTION("IMPORTRANGE(""https://docs.google.com/spreadsheets/d/1jTcq05yEiRwXcBMLjiodW9e4biSGYWAHcDj22rKWQ3s/edit?usp=sharing"",""กำแพงเพชร!S328"")+IMPORTRANGE(""https://docs.google.com/spreadsheets/d/1KS0zmDSZPk8KnTAbGN-Xk6MtX1YRZD0ldgdt20K4CRk/edit?usp=sharing"","&amp;"""เชียงราย!S328"")+IMPORTRANGE(""https://docs.google.com/spreadsheets/d/1rEDxBtusbi64tE0zunoIbsTVV16HeL0oJ6trHQeQ7K8/edit?usp=sharing"",""เชียงใหม่!S328"")+IMPORTRANGE(""https://docs.google.com/spreadsheets/d/1W6MnUbDkMi6xHnHko_XkFDO9kkuL6Wqyc-6OCDFjW9I/e"&amp;"dit?usp=sharing"",""ตาก!S328"")+IMPORTRANGE(""https://docs.google.com/spreadsheets/d/1IQAWArduLkta9LpYo4a_ULsyqdta6-6aDDiwpUnQT6c/edit?usp=sharing"",""นครสวรรค์!S328"")+IMPORTRANGE(""https://docs.google.com/spreadsheets/d/10s13Sk5xrltsiR-Zkbmk5DwIaDIKO8Xl"&amp;"bJAfqyT7Gvg/edit?usp=sharing"",""น่าน!S328"")+IMPORTRANGE(""https://docs.google.com/spreadsheets/d/1uu4nAn4Dbi1XREnLKKotUANlKXa7yCgRcgq8HEzQYW8/edit?usp=sharing"",""พะเยา!S328"")+IMPORTRANGE(""https://docs.google.com/spreadsheets/d/1xfJKIQxVOaPDIICqsflNlL"&amp;"u3JacTDk1FP9RH4phX7mI/edit?usp=sharing"",""พิจิตร!S328"")+IMPORTRANGE(""https://docs.google.com/spreadsheets/d/1JtRfZkJMHtEhI5RdRHxYUG4FIZHqKDpNyIuN7A1Q0_k/edit?usp=sharing"",""พิษณุโลก!S328"")+IMPORTRANGE(""https://docs.google.com/spreadsheets/d/1xlcVZWU"&amp;"Nn6SuWm0c307h32SiGkd9BaeQWlAktfD3KO8/edit?usp=sharing"",""เพชรบูรณ์!S328"")+IMPORTRANGE(""https://docs.google.com/spreadsheets/d/1lOVebEIsI9qjGXl6EX66luk7wiuP2tBaryw-wKvv4e0/edit?usp=sharing"",""แพร่!S328"")+IMPORTRANGE(""https://docs.google.com/spreadshe"&amp;"ets/d/1dQrvX0vEcN7Gu0fnZ0B5S90AeR19zth4XlExFBeExMY/edit?usp=sharing"",""แม่ฮ่องสอน!S328"")+IMPORTRANGE(""https://docs.google.com/spreadsheets/d/1DY4XTNNwjluuxqdfdn6qvOSlMRrZqUtmYcZR0ttFiG4/edit?usp=sharing"",""ลำปาง!S328"")+IMPORTRANGE(""https://docs.goog"&amp;"le.com/spreadsheets/d/1ICwG78r0OFT8biBlxnBF8r7she7gNSzOvJ958PWT09c/edit?usp=sharing"",""ลำพูน!S328"")+IMPORTRANGE(""https://docs.google.com/spreadsheets/d/1B0f2xJpZUC6Z0xXnqKlZtEPzsf6L84eP1r1Q15seqRM/edit?usp=sharing"",""สุโขทัย!S328"")+IMPORTRANGE(""http"&amp;"s://docs.google.com/spreadsheets/d/1v0b9pFQCsKUVExMei7AgY2yQkdeNQvtOssygGsXbiKo/edit?usp=sharing"",""อุตรดิตถ์!S328"")+IMPORTRANGE(""https://docs.google.com/spreadsheets/d/1UsNK1e-WWiCo2PvGqdNfdme4m17_Ezd3J69EeeiQPD0/edit?usp=sharing"",""อุทัยธานี!S328"")"),0)</f>
        <v>0</v>
      </c>
      <c r="T328" s="46">
        <f t="shared" ca="1" si="242"/>
        <v>0</v>
      </c>
      <c r="U328" s="46">
        <f t="shared" ca="1" si="243"/>
        <v>0</v>
      </c>
    </row>
    <row r="329" spans="1:21" ht="19.5" x14ac:dyDescent="0.3">
      <c r="A329" s="138"/>
      <c r="B329" s="139"/>
      <c r="C329" s="129" t="s">
        <v>18</v>
      </c>
      <c r="D329" s="140" t="s">
        <v>38</v>
      </c>
      <c r="E329" s="141"/>
      <c r="F329" s="141"/>
      <c r="G329" s="142"/>
      <c r="H329" s="143"/>
      <c r="I329" s="135"/>
      <c r="J329" s="44"/>
      <c r="K329" s="45"/>
      <c r="L329" s="45"/>
      <c r="M329" s="45"/>
      <c r="N329" s="45"/>
      <c r="O329" s="136"/>
      <c r="P329" s="136"/>
      <c r="Q329" s="45"/>
      <c r="R329" s="45"/>
      <c r="S329" s="45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3" t="s">
        <v>133</v>
      </c>
      <c r="I330" s="166">
        <f ca="1">IFERROR(__xludf.DUMMYFUNCTION("IMPORTRANGE(""https://docs.google.com/spreadsheets/d/1jTcq05yEiRwXcBMLjiodW9e4biSGYWAHcDj22rKWQ3s/edit?usp=sharing"",""กำแพงเพชร!I330"")+IMPORTRANGE(""https://docs.google.com/spreadsheets/d/1KS0zmDSZPk8KnTAbGN-Xk6MtX1YRZD0ldgdt20K4CRk/edit?usp=sharing"","&amp;"""เชียงราย!I330"")+IMPORTRANGE(""https://docs.google.com/spreadsheets/d/1rEDxBtusbi64tE0zunoIbsTVV16HeL0oJ6trHQeQ7K8/edit?usp=sharing"",""เชียงใหม่!I330"")+IMPORTRANGE(""https://docs.google.com/spreadsheets/d/1W6MnUbDkMi6xHnHko_XkFDO9kkuL6Wqyc-6OCDFjW9I/e"&amp;"dit?usp=sharing"",""ตาก!I330"")+IMPORTRANGE(""https://docs.google.com/spreadsheets/d/1IQAWArduLkta9LpYo4a_ULsyqdta6-6aDDiwpUnQT6c/edit?usp=sharing"",""นครสวรรค์!I330"")+IMPORTRANGE(""https://docs.google.com/spreadsheets/d/10s13Sk5xrltsiR-Zkbmk5DwIaDIKO8Xl"&amp;"bJAfqyT7Gvg/edit?usp=sharing"",""น่าน!I330"")+IMPORTRANGE(""https://docs.google.com/spreadsheets/d/1uu4nAn4Dbi1XREnLKKotUANlKXa7yCgRcgq8HEzQYW8/edit?usp=sharing"",""พะเยา!I330"")+IMPORTRANGE(""https://docs.google.com/spreadsheets/d/1xfJKIQxVOaPDIICqsflNlL"&amp;"u3JacTDk1FP9RH4phX7mI/edit?usp=sharing"",""พิจิตร!I330"")+IMPORTRANGE(""https://docs.google.com/spreadsheets/d/1JtRfZkJMHtEhI5RdRHxYUG4FIZHqKDpNyIuN7A1Q0_k/edit?usp=sharing"",""พิษณุโลก!I330"")+IMPORTRANGE(""https://docs.google.com/spreadsheets/d/1xlcVZWU"&amp;"Nn6SuWm0c307h32SiGkd9BaeQWlAktfD3KO8/edit?usp=sharing"",""เพชรบูรณ์!I330"")+IMPORTRANGE(""https://docs.google.com/spreadsheets/d/1lOVebEIsI9qjGXl6EX66luk7wiuP2tBaryw-wKvv4e0/edit?usp=sharing"",""แพร่!I330"")+IMPORTRANGE(""https://docs.google.com/spreadshe"&amp;"ets/d/1dQrvX0vEcN7Gu0fnZ0B5S90AeR19zth4XlExFBeExMY/edit?usp=sharing"",""แม่ฮ่องสอน!I330"")+IMPORTRANGE(""https://docs.google.com/spreadsheets/d/1DY4XTNNwjluuxqdfdn6qvOSlMRrZqUtmYcZR0ttFiG4/edit?usp=sharing"",""ลำปาง!I330"")+IMPORTRANGE(""https://docs.goog"&amp;"le.com/spreadsheets/d/1ICwG78r0OFT8biBlxnBF8r7she7gNSzOvJ958PWT09c/edit?usp=sharing"",""ลำพูน!I330"")+IMPORTRANGE(""https://docs.google.com/spreadsheets/d/1B0f2xJpZUC6Z0xXnqKlZtEPzsf6L84eP1r1Q15seqRM/edit?usp=sharing"",""สุโขทัย!I330"")+IMPORTRANGE(""http"&amp;"s://docs.google.com/spreadsheets/d/1v0b9pFQCsKUVExMei7AgY2yQkdeNQvtOssygGsXbiKo/edit?usp=sharing"",""อุตรดิตถ์!I330"")+IMPORTRANGE(""https://docs.google.com/spreadsheets/d/1UsNK1e-WWiCo2PvGqdNfdme4m17_Ezd3J69EeeiQPD0/edit?usp=sharing"",""อุทัยธานี!I330"")"),1)</f>
        <v>1</v>
      </c>
      <c r="J330" s="166">
        <f ca="1">IFERROR(__xludf.DUMMYFUNCTION("IMPORTRANGE(""https://docs.google.com/spreadsheets/d/1jTcq05yEiRwXcBMLjiodW9e4biSGYWAHcDj22rKWQ3s/edit?usp=sharing"",""กำแพงเพชร!J330"")+IMPORTRANGE(""https://docs.google.com/spreadsheets/d/1KS0zmDSZPk8KnTAbGN-Xk6MtX1YRZD0ldgdt20K4CRk/edit?usp=sharing"","&amp;"""เชียงราย!J330"")+IMPORTRANGE(""https://docs.google.com/spreadsheets/d/1rEDxBtusbi64tE0zunoIbsTVV16HeL0oJ6trHQeQ7K8/edit?usp=sharing"",""เชียงใหม่!J330"")+IMPORTRANGE(""https://docs.google.com/spreadsheets/d/1W6MnUbDkMi6xHnHko_XkFDO9kkuL6Wqyc-6OCDFjW9I/e"&amp;"dit?usp=sharing"",""ตาก!J330"")+IMPORTRANGE(""https://docs.google.com/spreadsheets/d/1IQAWArduLkta9LpYo4a_ULsyqdta6-6aDDiwpUnQT6c/edit?usp=sharing"",""นครสวรรค์!J330"")+IMPORTRANGE(""https://docs.google.com/spreadsheets/d/10s13Sk5xrltsiR-Zkbmk5DwIaDIKO8Xl"&amp;"bJAfqyT7Gvg/edit?usp=sharing"",""น่าน!J330"")+IMPORTRANGE(""https://docs.google.com/spreadsheets/d/1uu4nAn4Dbi1XREnLKKotUANlKXa7yCgRcgq8HEzQYW8/edit?usp=sharing"",""พะเยา!J330"")+IMPORTRANGE(""https://docs.google.com/spreadsheets/d/1xfJKIQxVOaPDIICqsflNlL"&amp;"u3JacTDk1FP9RH4phX7mI/edit?usp=sharing"",""พิจิตร!J330"")+IMPORTRANGE(""https://docs.google.com/spreadsheets/d/1JtRfZkJMHtEhI5RdRHxYUG4FIZHqKDpNyIuN7A1Q0_k/edit?usp=sharing"",""พิษณุโลก!J330"")+IMPORTRANGE(""https://docs.google.com/spreadsheets/d/1xlcVZWU"&amp;"Nn6SuWm0c307h32SiGkd9BaeQWlAktfD3KO8/edit?usp=sharing"",""เพชรบูรณ์!J330"")+IMPORTRANGE(""https://docs.google.com/spreadsheets/d/1lOVebEIsI9qjGXl6EX66luk7wiuP2tBaryw-wKvv4e0/edit?usp=sharing"",""แพร่!J330"")+IMPORTRANGE(""https://docs.google.com/spreadshe"&amp;"ets/d/1dQrvX0vEcN7Gu0fnZ0B5S90AeR19zth4XlExFBeExMY/edit?usp=sharing"",""แม่ฮ่องสอน!J330"")+IMPORTRANGE(""https://docs.google.com/spreadsheets/d/1DY4XTNNwjluuxqdfdn6qvOSlMRrZqUtmYcZR0ttFiG4/edit?usp=sharing"",""ลำปาง!J330"")+IMPORTRANGE(""https://docs.goog"&amp;"le.com/spreadsheets/d/1ICwG78r0OFT8biBlxnBF8r7she7gNSzOvJ958PWT09c/edit?usp=sharing"",""ลำพูน!J330"")+IMPORTRANGE(""https://docs.google.com/spreadsheets/d/1B0f2xJpZUC6Z0xXnqKlZtEPzsf6L84eP1r1Q15seqRM/edit?usp=sharing"",""สุโขทัย!J330"")+IMPORTRANGE(""http"&amp;"s://docs.google.com/spreadsheets/d/1v0b9pFQCsKUVExMei7AgY2yQkdeNQvtOssygGsXbiKo/edit?usp=sharing"",""อุตรดิตถ์!J330"")+IMPORTRANGE(""https://docs.google.com/spreadsheets/d/1UsNK1e-WWiCo2PvGqdNfdme4m17_Ezd3J69EeeiQPD0/edit?usp=sharing"",""อุทัยธานี!J330"")"),1)</f>
        <v>1</v>
      </c>
      <c r="K330" s="46">
        <f ca="1">IF(I330&gt;0,J330*100/I330,0)</f>
        <v>100</v>
      </c>
      <c r="L330" s="45"/>
      <c r="M330" s="45"/>
      <c r="N330" s="45"/>
      <c r="O330" s="136"/>
      <c r="P330" s="136"/>
      <c r="Q330" s="45"/>
      <c r="R330" s="45"/>
      <c r="S330" s="45"/>
      <c r="T330" s="136"/>
      <c r="U330" s="136"/>
    </row>
    <row r="331" spans="1:21" ht="19.5" x14ac:dyDescent="0.3">
      <c r="A331" s="285" t="s">
        <v>135</v>
      </c>
      <c r="B331" s="286"/>
      <c r="C331" s="286"/>
      <c r="D331" s="287"/>
      <c r="E331" s="286"/>
      <c r="F331" s="286"/>
      <c r="G331" s="286"/>
      <c r="H331" s="287"/>
      <c r="I331" s="289"/>
      <c r="J331" s="289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</row>
    <row r="332" spans="1:21" ht="19.5" x14ac:dyDescent="0.3">
      <c r="A332" s="291"/>
      <c r="B332" s="292" t="s">
        <v>136</v>
      </c>
      <c r="C332" s="301"/>
      <c r="D332" s="293"/>
      <c r="E332" s="293"/>
      <c r="F332" s="293"/>
      <c r="G332" s="294"/>
      <c r="H332" s="295" t="s">
        <v>35</v>
      </c>
      <c r="I332" s="296">
        <f ca="1">I344</f>
        <v>31240</v>
      </c>
      <c r="J332" s="296">
        <f ca="1">J344+J347+J348+J349+J353</f>
        <v>108521</v>
      </c>
      <c r="K332" s="297">
        <f ca="1">IF(I332&gt;0,J332*100/I332,0)</f>
        <v>347.37836107554415</v>
      </c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</row>
    <row r="333" spans="1:21" ht="19.5" x14ac:dyDescent="0.3">
      <c r="A333" s="128"/>
      <c r="B333" s="40"/>
      <c r="C333" s="129" t="s">
        <v>18</v>
      </c>
      <c r="D333" s="130" t="s">
        <v>19</v>
      </c>
      <c r="E333" s="40"/>
      <c r="F333" s="40"/>
      <c r="G333" s="42"/>
      <c r="H333" s="131" t="s">
        <v>14</v>
      </c>
      <c r="I333" s="44"/>
      <c r="J333" s="44"/>
      <c r="K333" s="45"/>
      <c r="L333" s="132">
        <f t="shared" ref="L333:N333" ca="1" si="252">L334+L335</f>
        <v>3180000</v>
      </c>
      <c r="M333" s="132">
        <f t="shared" ca="1" si="252"/>
        <v>1946000</v>
      </c>
      <c r="N333" s="132">
        <f t="shared" ca="1" si="252"/>
        <v>1616740.1799999899</v>
      </c>
      <c r="O333" s="132">
        <f t="shared" ref="O333:O341" ca="1" si="253">IF(L333&gt;0,N333*100/L333,0)</f>
        <v>50.840886163521695</v>
      </c>
      <c r="P333" s="132">
        <f t="shared" ref="P333:P341" ca="1" si="254">IF(M333&gt;0,N333*100/M333,0)</f>
        <v>83.080173689619215</v>
      </c>
      <c r="Q333" s="132">
        <f t="shared" ref="Q333:S333" ca="1" si="255">Q334+Q335</f>
        <v>0</v>
      </c>
      <c r="R333" s="132">
        <f t="shared" ca="1" si="255"/>
        <v>0</v>
      </c>
      <c r="S333" s="132">
        <f t="shared" ca="1" si="255"/>
        <v>0</v>
      </c>
      <c r="T333" s="132">
        <f t="shared" ref="T333:T341" ca="1" si="256">IF(Q333&gt;0,S333*100/Q333,0)</f>
        <v>0</v>
      </c>
      <c r="U333" s="132">
        <f t="shared" ref="U333:U341" ca="1" si="257">IF(R333&gt;0,S333*100/R333,0)</f>
        <v>0</v>
      </c>
    </row>
    <row r="334" spans="1:21" ht="18.75" x14ac:dyDescent="0.25">
      <c r="A334" s="128"/>
      <c r="B334" s="40"/>
      <c r="C334" s="40"/>
      <c r="D334" s="40"/>
      <c r="E334" s="47" t="s">
        <v>20</v>
      </c>
      <c r="F334" s="40"/>
      <c r="G334" s="42"/>
      <c r="H334" s="133" t="s">
        <v>14</v>
      </c>
      <c r="I334" s="44"/>
      <c r="J334" s="44"/>
      <c r="K334" s="45"/>
      <c r="L334" s="46">
        <f t="shared" ref="L334:N334" ca="1" si="258">L337+L340</f>
        <v>0</v>
      </c>
      <c r="M334" s="46">
        <f t="shared" ca="1" si="258"/>
        <v>0</v>
      </c>
      <c r="N334" s="46">
        <f t="shared" ca="1" si="258"/>
        <v>0</v>
      </c>
      <c r="O334" s="46">
        <f t="shared" ca="1" si="253"/>
        <v>0</v>
      </c>
      <c r="P334" s="46">
        <f t="shared" ca="1" si="254"/>
        <v>0</v>
      </c>
      <c r="Q334" s="48">
        <f t="shared" ref="Q334:S334" ca="1" si="259">Q337+Q340</f>
        <v>0</v>
      </c>
      <c r="R334" s="48">
        <f t="shared" ca="1" si="259"/>
        <v>0</v>
      </c>
      <c r="S334" s="48">
        <f t="shared" ca="1" si="259"/>
        <v>0</v>
      </c>
      <c r="T334" s="48">
        <f t="shared" ca="1" si="256"/>
        <v>0</v>
      </c>
      <c r="U334" s="48">
        <f t="shared" ca="1" si="257"/>
        <v>0</v>
      </c>
    </row>
    <row r="335" spans="1:21" ht="18.75" x14ac:dyDescent="0.25">
      <c r="A335" s="128"/>
      <c r="B335" s="40"/>
      <c r="C335" s="40"/>
      <c r="D335" s="40"/>
      <c r="E335" s="47" t="s">
        <v>21</v>
      </c>
      <c r="F335" s="40"/>
      <c r="G335" s="42"/>
      <c r="H335" s="133" t="s">
        <v>14</v>
      </c>
      <c r="I335" s="44"/>
      <c r="J335" s="44"/>
      <c r="K335" s="45"/>
      <c r="L335" s="46">
        <f t="shared" ref="L335:N335" ca="1" si="260">L338+L341</f>
        <v>3180000</v>
      </c>
      <c r="M335" s="46">
        <f t="shared" ca="1" si="260"/>
        <v>1946000</v>
      </c>
      <c r="N335" s="46">
        <f t="shared" ca="1" si="260"/>
        <v>1616740.1799999899</v>
      </c>
      <c r="O335" s="46">
        <f t="shared" ca="1" si="253"/>
        <v>50.840886163521695</v>
      </c>
      <c r="P335" s="46">
        <f t="shared" ca="1" si="254"/>
        <v>83.080173689619215</v>
      </c>
      <c r="Q335" s="46">
        <f t="shared" ref="Q335:S335" ca="1" si="261">Q338+Q341</f>
        <v>0</v>
      </c>
      <c r="R335" s="46">
        <f t="shared" ca="1" si="261"/>
        <v>0</v>
      </c>
      <c r="S335" s="46">
        <f t="shared" ca="1" si="261"/>
        <v>0</v>
      </c>
      <c r="T335" s="46">
        <f t="shared" ca="1" si="256"/>
        <v>0</v>
      </c>
      <c r="U335" s="46">
        <f t="shared" ca="1" si="257"/>
        <v>0</v>
      </c>
    </row>
    <row r="336" spans="1:21" ht="18.75" x14ac:dyDescent="0.25">
      <c r="A336" s="128"/>
      <c r="B336" s="40"/>
      <c r="C336" s="40"/>
      <c r="D336" s="41" t="s">
        <v>22</v>
      </c>
      <c r="E336" s="40"/>
      <c r="F336" s="40"/>
      <c r="G336" s="42"/>
      <c r="H336" s="134" t="s">
        <v>14</v>
      </c>
      <c r="I336" s="135"/>
      <c r="J336" s="135"/>
      <c r="K336" s="136"/>
      <c r="L336" s="46">
        <f t="shared" ref="L336:N336" ca="1" si="262">L337+L338</f>
        <v>3180000</v>
      </c>
      <c r="M336" s="46">
        <f t="shared" ca="1" si="262"/>
        <v>1946000</v>
      </c>
      <c r="N336" s="46">
        <f t="shared" ca="1" si="262"/>
        <v>1616740.1799999899</v>
      </c>
      <c r="O336" s="46">
        <f t="shared" ca="1" si="253"/>
        <v>50.840886163521695</v>
      </c>
      <c r="P336" s="46">
        <f t="shared" ca="1" si="254"/>
        <v>83.080173689619215</v>
      </c>
      <c r="Q336" s="46">
        <f t="shared" ref="Q336:S336" ca="1" si="263">Q337+Q338</f>
        <v>0</v>
      </c>
      <c r="R336" s="46">
        <f t="shared" ca="1" si="263"/>
        <v>0</v>
      </c>
      <c r="S336" s="46">
        <f t="shared" ca="1" si="263"/>
        <v>0</v>
      </c>
      <c r="T336" s="46">
        <f t="shared" ca="1" si="256"/>
        <v>0</v>
      </c>
      <c r="U336" s="46">
        <f t="shared" ca="1" si="257"/>
        <v>0</v>
      </c>
    </row>
    <row r="337" spans="1:21" ht="18.75" x14ac:dyDescent="0.25">
      <c r="A337" s="128"/>
      <c r="B337" s="40"/>
      <c r="C337" s="40"/>
      <c r="D337" s="40"/>
      <c r="E337" s="47" t="s">
        <v>36</v>
      </c>
      <c r="F337" s="40"/>
      <c r="G337" s="42"/>
      <c r="H337" s="134" t="s">
        <v>14</v>
      </c>
      <c r="I337" s="135"/>
      <c r="J337" s="135"/>
      <c r="K337" s="136"/>
      <c r="L337" s="46">
        <f ca="1">IFERROR(__xludf.DUMMYFUNCTION("IMPORTRANGE(""https://docs.google.com/spreadsheets/d/1jTcq05yEiRwXcBMLjiodW9e4biSGYWAHcDj22rKWQ3s/edit?usp=sharing"",""กำแพงเพชร!L337"")+IMPORTRANGE(""https://docs.google.com/spreadsheets/d/1KS0zmDSZPk8KnTAbGN-Xk6MtX1YRZD0ldgdt20K4CRk/edit?usp=sharing"","&amp;"""เชียงราย!L337"")+IMPORTRANGE(""https://docs.google.com/spreadsheets/d/1rEDxBtusbi64tE0zunoIbsTVV16HeL0oJ6trHQeQ7K8/edit?usp=sharing"",""เชียงใหม่!L337"")+IMPORTRANGE(""https://docs.google.com/spreadsheets/d/1W6MnUbDkMi6xHnHko_XkFDO9kkuL6Wqyc-6OCDFjW9I/e"&amp;"dit?usp=sharing"",""ตาก!L337"")+IMPORTRANGE(""https://docs.google.com/spreadsheets/d/1IQAWArduLkta9LpYo4a_ULsyqdta6-6aDDiwpUnQT6c/edit?usp=sharing"",""นครสวรรค์!L337"")+IMPORTRANGE(""https://docs.google.com/spreadsheets/d/10s13Sk5xrltsiR-Zkbmk5DwIaDIKO8Xl"&amp;"bJAfqyT7Gvg/edit?usp=sharing"",""น่าน!L337"")+IMPORTRANGE(""https://docs.google.com/spreadsheets/d/1uu4nAn4Dbi1XREnLKKotUANlKXa7yCgRcgq8HEzQYW8/edit?usp=sharing"",""พะเยา!L337"")+IMPORTRANGE(""https://docs.google.com/spreadsheets/d/1xfJKIQxVOaPDIICqsflNlL"&amp;"u3JacTDk1FP9RH4phX7mI/edit?usp=sharing"",""พิจิตร!L337"")+IMPORTRANGE(""https://docs.google.com/spreadsheets/d/1JtRfZkJMHtEhI5RdRHxYUG4FIZHqKDpNyIuN7A1Q0_k/edit?usp=sharing"",""พิษณุโลก!L337"")+IMPORTRANGE(""https://docs.google.com/spreadsheets/d/1xlcVZWU"&amp;"Nn6SuWm0c307h32SiGkd9BaeQWlAktfD3KO8/edit?usp=sharing"",""เพชรบูรณ์!L337"")+IMPORTRANGE(""https://docs.google.com/spreadsheets/d/1lOVebEIsI9qjGXl6EX66luk7wiuP2tBaryw-wKvv4e0/edit?usp=sharing"",""แพร่!L337"")+IMPORTRANGE(""https://docs.google.com/spreadshe"&amp;"ets/d/1dQrvX0vEcN7Gu0fnZ0B5S90AeR19zth4XlExFBeExMY/edit?usp=sharing"",""แม่ฮ่องสอน!L337"")+IMPORTRANGE(""https://docs.google.com/spreadsheets/d/1DY4XTNNwjluuxqdfdn6qvOSlMRrZqUtmYcZR0ttFiG4/edit?usp=sharing"",""ลำปาง!L337"")+IMPORTRANGE(""https://docs.goog"&amp;"le.com/spreadsheets/d/1ICwG78r0OFT8biBlxnBF8r7she7gNSzOvJ958PWT09c/edit?usp=sharing"",""ลำพูน!L337"")+IMPORTRANGE(""https://docs.google.com/spreadsheets/d/1B0f2xJpZUC6Z0xXnqKlZtEPzsf6L84eP1r1Q15seqRM/edit?usp=sharing"",""สุโขทัย!L337"")+IMPORTRANGE(""http"&amp;"s://docs.google.com/spreadsheets/d/1v0b9pFQCsKUVExMei7AgY2yQkdeNQvtOssygGsXbiKo/edit?usp=sharing"",""อุตรดิตถ์!L337"")+IMPORTRANGE(""https://docs.google.com/spreadsheets/d/1UsNK1e-WWiCo2PvGqdNfdme4m17_Ezd3J69EeeiQPD0/edit?usp=sharing"",""อุทัยธานี!L337"")"),0)</f>
        <v>0</v>
      </c>
      <c r="M337" s="46">
        <f ca="1">IFERROR(__xludf.DUMMYFUNCTION("IMPORTRANGE(""https://docs.google.com/spreadsheets/d/1jTcq05yEiRwXcBMLjiodW9e4biSGYWAHcDj22rKWQ3s/edit?usp=sharing"",""กำแพงเพชร!M337"")+IMPORTRANGE(""https://docs.google.com/spreadsheets/d/1KS0zmDSZPk8KnTAbGN-Xk6MtX1YRZD0ldgdt20K4CRk/edit?usp=sharing"","&amp;"""เชียงราย!M337"")+IMPORTRANGE(""https://docs.google.com/spreadsheets/d/1rEDxBtusbi64tE0zunoIbsTVV16HeL0oJ6trHQeQ7K8/edit?usp=sharing"",""เชียงใหม่!M337"")+IMPORTRANGE(""https://docs.google.com/spreadsheets/d/1W6MnUbDkMi6xHnHko_XkFDO9kkuL6Wqyc-6OCDFjW9I/e"&amp;"dit?usp=sharing"",""ตาก!M337"")+IMPORTRANGE(""https://docs.google.com/spreadsheets/d/1IQAWArduLkta9LpYo4a_ULsyqdta6-6aDDiwpUnQT6c/edit?usp=sharing"",""นครสวรรค์!M337"")+IMPORTRANGE(""https://docs.google.com/spreadsheets/d/10s13Sk5xrltsiR-Zkbmk5DwIaDIKO8Xl"&amp;"bJAfqyT7Gvg/edit?usp=sharing"",""น่าน!M337"")+IMPORTRANGE(""https://docs.google.com/spreadsheets/d/1uu4nAn4Dbi1XREnLKKotUANlKXa7yCgRcgq8HEzQYW8/edit?usp=sharing"",""พะเยา!M337"")+IMPORTRANGE(""https://docs.google.com/spreadsheets/d/1xfJKIQxVOaPDIICqsflNlL"&amp;"u3JacTDk1FP9RH4phX7mI/edit?usp=sharing"",""พิจิตร!M337"")+IMPORTRANGE(""https://docs.google.com/spreadsheets/d/1JtRfZkJMHtEhI5RdRHxYUG4FIZHqKDpNyIuN7A1Q0_k/edit?usp=sharing"",""พิษณุโลก!M337"")+IMPORTRANGE(""https://docs.google.com/spreadsheets/d/1xlcVZWU"&amp;"Nn6SuWm0c307h32SiGkd9BaeQWlAktfD3KO8/edit?usp=sharing"",""เพชรบูรณ์!M337"")+IMPORTRANGE(""https://docs.google.com/spreadsheets/d/1lOVebEIsI9qjGXl6EX66luk7wiuP2tBaryw-wKvv4e0/edit?usp=sharing"",""แพร่!M337"")+IMPORTRANGE(""https://docs.google.com/spreadshe"&amp;"ets/d/1dQrvX0vEcN7Gu0fnZ0B5S90AeR19zth4XlExFBeExMY/edit?usp=sharing"",""แม่ฮ่องสอน!M337"")+IMPORTRANGE(""https://docs.google.com/spreadsheets/d/1DY4XTNNwjluuxqdfdn6qvOSlMRrZqUtmYcZR0ttFiG4/edit?usp=sharing"",""ลำปาง!M337"")+IMPORTRANGE(""https://docs.goog"&amp;"le.com/spreadsheets/d/1ICwG78r0OFT8biBlxnBF8r7she7gNSzOvJ958PWT09c/edit?usp=sharing"",""ลำพูน!M337"")+IMPORTRANGE(""https://docs.google.com/spreadsheets/d/1B0f2xJpZUC6Z0xXnqKlZtEPzsf6L84eP1r1Q15seqRM/edit?usp=sharing"",""สุโขทัย!M337"")+IMPORTRANGE(""http"&amp;"s://docs.google.com/spreadsheets/d/1v0b9pFQCsKUVExMei7AgY2yQkdeNQvtOssygGsXbiKo/edit?usp=sharing"",""อุตรดิตถ์!M337"")+IMPORTRANGE(""https://docs.google.com/spreadsheets/d/1UsNK1e-WWiCo2PvGqdNfdme4m17_Ezd3J69EeeiQPD0/edit?usp=sharing"",""อุทัยธานี!M337"")"),0)</f>
        <v>0</v>
      </c>
      <c r="N337" s="46">
        <f ca="1">IFERROR(__xludf.DUMMYFUNCTION("IMPORTRANGE(""https://docs.google.com/spreadsheets/d/1jTcq05yEiRwXcBMLjiodW9e4biSGYWAHcDj22rKWQ3s/edit?usp=sharing"",""กำแพงเพชร!N337"")+IMPORTRANGE(""https://docs.google.com/spreadsheets/d/1KS0zmDSZPk8KnTAbGN-Xk6MtX1YRZD0ldgdt20K4CRk/edit?usp=sharing"","&amp;"""เชียงราย!N337"")+IMPORTRANGE(""https://docs.google.com/spreadsheets/d/1rEDxBtusbi64tE0zunoIbsTVV16HeL0oJ6trHQeQ7K8/edit?usp=sharing"",""เชียงใหม่!N337"")+IMPORTRANGE(""https://docs.google.com/spreadsheets/d/1W6MnUbDkMi6xHnHko_XkFDO9kkuL6Wqyc-6OCDFjW9I/e"&amp;"dit?usp=sharing"",""ตาก!N337"")+IMPORTRANGE(""https://docs.google.com/spreadsheets/d/1IQAWArduLkta9LpYo4a_ULsyqdta6-6aDDiwpUnQT6c/edit?usp=sharing"",""นครสวรรค์!N337"")+IMPORTRANGE(""https://docs.google.com/spreadsheets/d/10s13Sk5xrltsiR-Zkbmk5DwIaDIKO8Xl"&amp;"bJAfqyT7Gvg/edit?usp=sharing"",""น่าน!N337"")+IMPORTRANGE(""https://docs.google.com/spreadsheets/d/1uu4nAn4Dbi1XREnLKKotUANlKXa7yCgRcgq8HEzQYW8/edit?usp=sharing"",""พะเยา!N337"")+IMPORTRANGE(""https://docs.google.com/spreadsheets/d/1xfJKIQxVOaPDIICqsflNlL"&amp;"u3JacTDk1FP9RH4phX7mI/edit?usp=sharing"",""พิจิตร!N337"")+IMPORTRANGE(""https://docs.google.com/spreadsheets/d/1JtRfZkJMHtEhI5RdRHxYUG4FIZHqKDpNyIuN7A1Q0_k/edit?usp=sharing"",""พิษณุโลก!N337"")+IMPORTRANGE(""https://docs.google.com/spreadsheets/d/1xlcVZWU"&amp;"Nn6SuWm0c307h32SiGkd9BaeQWlAktfD3KO8/edit?usp=sharing"",""เพชรบูรณ์!N337"")+IMPORTRANGE(""https://docs.google.com/spreadsheets/d/1lOVebEIsI9qjGXl6EX66luk7wiuP2tBaryw-wKvv4e0/edit?usp=sharing"",""แพร่!N337"")+IMPORTRANGE(""https://docs.google.com/spreadshe"&amp;"ets/d/1dQrvX0vEcN7Gu0fnZ0B5S90AeR19zth4XlExFBeExMY/edit?usp=sharing"",""แม่ฮ่องสอน!N337"")+IMPORTRANGE(""https://docs.google.com/spreadsheets/d/1DY4XTNNwjluuxqdfdn6qvOSlMRrZqUtmYcZR0ttFiG4/edit?usp=sharing"",""ลำปาง!N337"")+IMPORTRANGE(""https://docs.goog"&amp;"le.com/spreadsheets/d/1ICwG78r0OFT8biBlxnBF8r7she7gNSzOvJ958PWT09c/edit?usp=sharing"",""ลำพูน!N337"")+IMPORTRANGE(""https://docs.google.com/spreadsheets/d/1B0f2xJpZUC6Z0xXnqKlZtEPzsf6L84eP1r1Q15seqRM/edit?usp=sharing"",""สุโขทัย!N337"")+IMPORTRANGE(""http"&amp;"s://docs.google.com/spreadsheets/d/1v0b9pFQCsKUVExMei7AgY2yQkdeNQvtOssygGsXbiKo/edit?usp=sharing"",""อุตรดิตถ์!N337"")+IMPORTRANGE(""https://docs.google.com/spreadsheets/d/1UsNK1e-WWiCo2PvGqdNfdme4m17_Ezd3J69EeeiQPD0/edit?usp=sharing"",""อุทัยธานี!N337"")"),0)</f>
        <v>0</v>
      </c>
      <c r="O337" s="46">
        <f t="shared" ca="1" si="253"/>
        <v>0</v>
      </c>
      <c r="P337" s="46">
        <f t="shared" ca="1" si="254"/>
        <v>0</v>
      </c>
      <c r="Q337" s="48">
        <f ca="1">IFERROR(__xludf.DUMMYFUNCTION("IMPORTRANGE(""https://docs.google.com/spreadsheets/d/1jTcq05yEiRwXcBMLjiodW9e4biSGYWAHcDj22rKWQ3s/edit?usp=sharing"",""กำแพงเพชร!Q337"")+IMPORTRANGE(""https://docs.google.com/spreadsheets/d/1KS0zmDSZPk8KnTAbGN-Xk6MtX1YRZD0ldgdt20K4CRk/edit?usp=sharing"","&amp;"""เชียงราย!Q337"")+IMPORTRANGE(""https://docs.google.com/spreadsheets/d/1rEDxBtusbi64tE0zunoIbsTVV16HeL0oJ6trHQeQ7K8/edit?usp=sharing"",""เชียงใหม่!Q337"")+IMPORTRANGE(""https://docs.google.com/spreadsheets/d/1W6MnUbDkMi6xHnHko_XkFDO9kkuL6Wqyc-6OCDFjW9I/e"&amp;"dit?usp=sharing"",""ตาก!Q337"")+IMPORTRANGE(""https://docs.google.com/spreadsheets/d/1IQAWArduLkta9LpYo4a_ULsyqdta6-6aDDiwpUnQT6c/edit?usp=sharing"",""นครสวรรค์!Q337"")+IMPORTRANGE(""https://docs.google.com/spreadsheets/d/10s13Sk5xrltsiR-Zkbmk5DwIaDIKO8Xl"&amp;"bJAfqyT7Gvg/edit?usp=sharing"",""น่าน!Q337"")+IMPORTRANGE(""https://docs.google.com/spreadsheets/d/1uu4nAn4Dbi1XREnLKKotUANlKXa7yCgRcgq8HEzQYW8/edit?usp=sharing"",""พะเยา!Q337"")+IMPORTRANGE(""https://docs.google.com/spreadsheets/d/1xfJKIQxVOaPDIICqsflNlL"&amp;"u3JacTDk1FP9RH4phX7mI/edit?usp=sharing"",""พิจิตร!Q337"")+IMPORTRANGE(""https://docs.google.com/spreadsheets/d/1JtRfZkJMHtEhI5RdRHxYUG4FIZHqKDpNyIuN7A1Q0_k/edit?usp=sharing"",""พิษณุโลก!Q337"")+IMPORTRANGE(""https://docs.google.com/spreadsheets/d/1xlcVZWU"&amp;"Nn6SuWm0c307h32SiGkd9BaeQWlAktfD3KO8/edit?usp=sharing"",""เพชรบูรณ์!Q337"")+IMPORTRANGE(""https://docs.google.com/spreadsheets/d/1lOVebEIsI9qjGXl6EX66luk7wiuP2tBaryw-wKvv4e0/edit?usp=sharing"",""แพร่!Q337"")+IMPORTRANGE(""https://docs.google.com/spreadshe"&amp;"ets/d/1dQrvX0vEcN7Gu0fnZ0B5S90AeR19zth4XlExFBeExMY/edit?usp=sharing"",""แม่ฮ่องสอน!Q337"")+IMPORTRANGE(""https://docs.google.com/spreadsheets/d/1DY4XTNNwjluuxqdfdn6qvOSlMRrZqUtmYcZR0ttFiG4/edit?usp=sharing"",""ลำปาง!Q337"")+IMPORTRANGE(""https://docs.goog"&amp;"le.com/spreadsheets/d/1ICwG78r0OFT8biBlxnBF8r7she7gNSzOvJ958PWT09c/edit?usp=sharing"",""ลำพูน!Q337"")+IMPORTRANGE(""https://docs.google.com/spreadsheets/d/1B0f2xJpZUC6Z0xXnqKlZtEPzsf6L84eP1r1Q15seqRM/edit?usp=sharing"",""สุโขทัย!Q337"")+IMPORTRANGE(""http"&amp;"s://docs.google.com/spreadsheets/d/1v0b9pFQCsKUVExMei7AgY2yQkdeNQvtOssygGsXbiKo/edit?usp=sharing"",""อุตรดิตถ์!Q337"")+IMPORTRANGE(""https://docs.google.com/spreadsheets/d/1UsNK1e-WWiCo2PvGqdNfdme4m17_Ezd3J69EeeiQPD0/edit?usp=sharing"",""อุทัยธานี!Q337"")"),0)</f>
        <v>0</v>
      </c>
      <c r="R337" s="48">
        <f ca="1">IFERROR(__xludf.DUMMYFUNCTION("IMPORTRANGE(""https://docs.google.com/spreadsheets/d/1jTcq05yEiRwXcBMLjiodW9e4biSGYWAHcDj22rKWQ3s/edit?usp=sharing"",""กำแพงเพชร!R337"")+IMPORTRANGE(""https://docs.google.com/spreadsheets/d/1KS0zmDSZPk8KnTAbGN-Xk6MtX1YRZD0ldgdt20K4CRk/edit?usp=sharing"","&amp;"""เชียงราย!R337"")+IMPORTRANGE(""https://docs.google.com/spreadsheets/d/1rEDxBtusbi64tE0zunoIbsTVV16HeL0oJ6trHQeQ7K8/edit?usp=sharing"",""เชียงใหม่!R337"")+IMPORTRANGE(""https://docs.google.com/spreadsheets/d/1W6MnUbDkMi6xHnHko_XkFDO9kkuL6Wqyc-6OCDFjW9I/e"&amp;"dit?usp=sharing"",""ตาก!R337"")+IMPORTRANGE(""https://docs.google.com/spreadsheets/d/1IQAWArduLkta9LpYo4a_ULsyqdta6-6aDDiwpUnQT6c/edit?usp=sharing"",""นครสวรรค์!R337"")+IMPORTRANGE(""https://docs.google.com/spreadsheets/d/10s13Sk5xrltsiR-Zkbmk5DwIaDIKO8Xl"&amp;"bJAfqyT7Gvg/edit?usp=sharing"",""น่าน!R337"")+IMPORTRANGE(""https://docs.google.com/spreadsheets/d/1uu4nAn4Dbi1XREnLKKotUANlKXa7yCgRcgq8HEzQYW8/edit?usp=sharing"",""พะเยา!R337"")+IMPORTRANGE(""https://docs.google.com/spreadsheets/d/1xfJKIQxVOaPDIICqsflNlL"&amp;"u3JacTDk1FP9RH4phX7mI/edit?usp=sharing"",""พิจิตร!R337"")+IMPORTRANGE(""https://docs.google.com/spreadsheets/d/1JtRfZkJMHtEhI5RdRHxYUG4FIZHqKDpNyIuN7A1Q0_k/edit?usp=sharing"",""พิษณุโลก!R337"")+IMPORTRANGE(""https://docs.google.com/spreadsheets/d/1xlcVZWU"&amp;"Nn6SuWm0c307h32SiGkd9BaeQWlAktfD3KO8/edit?usp=sharing"",""เพชรบูรณ์!R337"")+IMPORTRANGE(""https://docs.google.com/spreadsheets/d/1lOVebEIsI9qjGXl6EX66luk7wiuP2tBaryw-wKvv4e0/edit?usp=sharing"",""แพร่!R337"")+IMPORTRANGE(""https://docs.google.com/spreadshe"&amp;"ets/d/1dQrvX0vEcN7Gu0fnZ0B5S90AeR19zth4XlExFBeExMY/edit?usp=sharing"",""แม่ฮ่องสอน!R337"")+IMPORTRANGE(""https://docs.google.com/spreadsheets/d/1DY4XTNNwjluuxqdfdn6qvOSlMRrZqUtmYcZR0ttFiG4/edit?usp=sharing"",""ลำปาง!R337"")+IMPORTRANGE(""https://docs.goog"&amp;"le.com/spreadsheets/d/1ICwG78r0OFT8biBlxnBF8r7she7gNSzOvJ958PWT09c/edit?usp=sharing"",""ลำพูน!R337"")+IMPORTRANGE(""https://docs.google.com/spreadsheets/d/1B0f2xJpZUC6Z0xXnqKlZtEPzsf6L84eP1r1Q15seqRM/edit?usp=sharing"",""สุโขทัย!R337"")+IMPORTRANGE(""http"&amp;"s://docs.google.com/spreadsheets/d/1v0b9pFQCsKUVExMei7AgY2yQkdeNQvtOssygGsXbiKo/edit?usp=sharing"",""อุตรดิตถ์!R337"")+IMPORTRANGE(""https://docs.google.com/spreadsheets/d/1UsNK1e-WWiCo2PvGqdNfdme4m17_Ezd3J69EeeiQPD0/edit?usp=sharing"",""อุทัยธานี!R337"")"),0)</f>
        <v>0</v>
      </c>
      <c r="S337" s="48">
        <f ca="1">IFERROR(__xludf.DUMMYFUNCTION("IMPORTRANGE(""https://docs.google.com/spreadsheets/d/1jTcq05yEiRwXcBMLjiodW9e4biSGYWAHcDj22rKWQ3s/edit?usp=sharing"",""กำแพงเพชร!S337"")+IMPORTRANGE(""https://docs.google.com/spreadsheets/d/1KS0zmDSZPk8KnTAbGN-Xk6MtX1YRZD0ldgdt20K4CRk/edit?usp=sharing"","&amp;"""เชียงราย!S337"")+IMPORTRANGE(""https://docs.google.com/spreadsheets/d/1rEDxBtusbi64tE0zunoIbsTVV16HeL0oJ6trHQeQ7K8/edit?usp=sharing"",""เชียงใหม่!S337"")+IMPORTRANGE(""https://docs.google.com/spreadsheets/d/1W6MnUbDkMi6xHnHko_XkFDO9kkuL6Wqyc-6OCDFjW9I/e"&amp;"dit?usp=sharing"",""ตาก!S337"")+IMPORTRANGE(""https://docs.google.com/spreadsheets/d/1IQAWArduLkta9LpYo4a_ULsyqdta6-6aDDiwpUnQT6c/edit?usp=sharing"",""นครสวรรค์!S337"")+IMPORTRANGE(""https://docs.google.com/spreadsheets/d/10s13Sk5xrltsiR-Zkbmk5DwIaDIKO8Xl"&amp;"bJAfqyT7Gvg/edit?usp=sharing"",""น่าน!S337"")+IMPORTRANGE(""https://docs.google.com/spreadsheets/d/1uu4nAn4Dbi1XREnLKKotUANlKXa7yCgRcgq8HEzQYW8/edit?usp=sharing"",""พะเยา!S337"")+IMPORTRANGE(""https://docs.google.com/spreadsheets/d/1xfJKIQxVOaPDIICqsflNlL"&amp;"u3JacTDk1FP9RH4phX7mI/edit?usp=sharing"",""พิจิตร!S337"")+IMPORTRANGE(""https://docs.google.com/spreadsheets/d/1JtRfZkJMHtEhI5RdRHxYUG4FIZHqKDpNyIuN7A1Q0_k/edit?usp=sharing"",""พิษณุโลก!S337"")+IMPORTRANGE(""https://docs.google.com/spreadsheets/d/1xlcVZWU"&amp;"Nn6SuWm0c307h32SiGkd9BaeQWlAktfD3KO8/edit?usp=sharing"",""เพชรบูรณ์!S337"")+IMPORTRANGE(""https://docs.google.com/spreadsheets/d/1lOVebEIsI9qjGXl6EX66luk7wiuP2tBaryw-wKvv4e0/edit?usp=sharing"",""แพร่!S337"")+IMPORTRANGE(""https://docs.google.com/spreadshe"&amp;"ets/d/1dQrvX0vEcN7Gu0fnZ0B5S90AeR19zth4XlExFBeExMY/edit?usp=sharing"",""แม่ฮ่องสอน!S337"")+IMPORTRANGE(""https://docs.google.com/spreadsheets/d/1DY4XTNNwjluuxqdfdn6qvOSlMRrZqUtmYcZR0ttFiG4/edit?usp=sharing"",""ลำปาง!S337"")+IMPORTRANGE(""https://docs.goog"&amp;"le.com/spreadsheets/d/1ICwG78r0OFT8biBlxnBF8r7she7gNSzOvJ958PWT09c/edit?usp=sharing"",""ลำพูน!S337"")+IMPORTRANGE(""https://docs.google.com/spreadsheets/d/1B0f2xJpZUC6Z0xXnqKlZtEPzsf6L84eP1r1Q15seqRM/edit?usp=sharing"",""สุโขทัย!S337"")+IMPORTRANGE(""http"&amp;"s://docs.google.com/spreadsheets/d/1v0b9pFQCsKUVExMei7AgY2yQkdeNQvtOssygGsXbiKo/edit?usp=sharing"",""อุตรดิตถ์!S337"")+IMPORTRANGE(""https://docs.google.com/spreadsheets/d/1UsNK1e-WWiCo2PvGqdNfdme4m17_Ezd3J69EeeiQPD0/edit?usp=sharing"",""อุทัยธานี!S337"")"),0)</f>
        <v>0</v>
      </c>
      <c r="T337" s="48">
        <f t="shared" ca="1" si="256"/>
        <v>0</v>
      </c>
      <c r="U337" s="48">
        <f t="shared" ca="1" si="257"/>
        <v>0</v>
      </c>
    </row>
    <row r="338" spans="1:21" ht="18.75" x14ac:dyDescent="0.25">
      <c r="A338" s="128"/>
      <c r="B338" s="40"/>
      <c r="C338" s="40"/>
      <c r="D338" s="40"/>
      <c r="E338" s="47" t="s">
        <v>37</v>
      </c>
      <c r="F338" s="40"/>
      <c r="G338" s="42"/>
      <c r="H338" s="134" t="s">
        <v>14</v>
      </c>
      <c r="I338" s="135"/>
      <c r="J338" s="135"/>
      <c r="K338" s="136"/>
      <c r="L338" s="46">
        <f ca="1">IFERROR(__xludf.DUMMYFUNCTION("IMPORTRANGE(""https://docs.google.com/spreadsheets/d/1jTcq05yEiRwXcBMLjiodW9e4biSGYWAHcDj22rKWQ3s/edit?usp=sharing"",""กำแพงเพชร!L338"")+IMPORTRANGE(""https://docs.google.com/spreadsheets/d/1KS0zmDSZPk8KnTAbGN-Xk6MtX1YRZD0ldgdt20K4CRk/edit?usp=sharing"","&amp;"""เชียงราย!L338"")+IMPORTRANGE(""https://docs.google.com/spreadsheets/d/1rEDxBtusbi64tE0zunoIbsTVV16HeL0oJ6trHQeQ7K8/edit?usp=sharing"",""เชียงใหม่!L338"")+IMPORTRANGE(""https://docs.google.com/spreadsheets/d/1W6MnUbDkMi6xHnHko_XkFDO9kkuL6Wqyc-6OCDFjW9I/e"&amp;"dit?usp=sharing"",""ตาก!L338"")+IMPORTRANGE(""https://docs.google.com/spreadsheets/d/1IQAWArduLkta9LpYo4a_ULsyqdta6-6aDDiwpUnQT6c/edit?usp=sharing"",""นครสวรรค์!L338"")+IMPORTRANGE(""https://docs.google.com/spreadsheets/d/10s13Sk5xrltsiR-Zkbmk5DwIaDIKO8Xl"&amp;"bJAfqyT7Gvg/edit?usp=sharing"",""น่าน!L338"")+IMPORTRANGE(""https://docs.google.com/spreadsheets/d/1uu4nAn4Dbi1XREnLKKotUANlKXa7yCgRcgq8HEzQYW8/edit?usp=sharing"",""พะเยา!L338"")+IMPORTRANGE(""https://docs.google.com/spreadsheets/d/1xfJKIQxVOaPDIICqsflNlL"&amp;"u3JacTDk1FP9RH4phX7mI/edit?usp=sharing"",""พิจิตร!L338"")+IMPORTRANGE(""https://docs.google.com/spreadsheets/d/1JtRfZkJMHtEhI5RdRHxYUG4FIZHqKDpNyIuN7A1Q0_k/edit?usp=sharing"",""พิษณุโลก!L338"")+IMPORTRANGE(""https://docs.google.com/spreadsheets/d/1xlcVZWU"&amp;"Nn6SuWm0c307h32SiGkd9BaeQWlAktfD3KO8/edit?usp=sharing"",""เพชรบูรณ์!L338"")+IMPORTRANGE(""https://docs.google.com/spreadsheets/d/1lOVebEIsI9qjGXl6EX66luk7wiuP2tBaryw-wKvv4e0/edit?usp=sharing"",""แพร่!L338"")+IMPORTRANGE(""https://docs.google.com/spreadshe"&amp;"ets/d/1dQrvX0vEcN7Gu0fnZ0B5S90AeR19zth4XlExFBeExMY/edit?usp=sharing"",""แม่ฮ่องสอน!L338"")+IMPORTRANGE(""https://docs.google.com/spreadsheets/d/1DY4XTNNwjluuxqdfdn6qvOSlMRrZqUtmYcZR0ttFiG4/edit?usp=sharing"",""ลำปาง!L338"")+IMPORTRANGE(""https://docs.goog"&amp;"le.com/spreadsheets/d/1ICwG78r0OFT8biBlxnBF8r7she7gNSzOvJ958PWT09c/edit?usp=sharing"",""ลำพูน!L338"")+IMPORTRANGE(""https://docs.google.com/spreadsheets/d/1B0f2xJpZUC6Z0xXnqKlZtEPzsf6L84eP1r1Q15seqRM/edit?usp=sharing"",""สุโขทัย!L338"")+IMPORTRANGE(""http"&amp;"s://docs.google.com/spreadsheets/d/1v0b9pFQCsKUVExMei7AgY2yQkdeNQvtOssygGsXbiKo/edit?usp=sharing"",""อุตรดิตถ์!L338"")+IMPORTRANGE(""https://docs.google.com/spreadsheets/d/1UsNK1e-WWiCo2PvGqdNfdme4m17_Ezd3J69EeeiQPD0/edit?usp=sharing"",""อุทัยธานี!L338"")"),3180000)</f>
        <v>3180000</v>
      </c>
      <c r="M338" s="46">
        <f ca="1">IFERROR(__xludf.DUMMYFUNCTION("IMPORTRANGE(""https://docs.google.com/spreadsheets/d/1jTcq05yEiRwXcBMLjiodW9e4biSGYWAHcDj22rKWQ3s/edit?usp=sharing"",""กำแพงเพชร!M338"")+IMPORTRANGE(""https://docs.google.com/spreadsheets/d/1KS0zmDSZPk8KnTAbGN-Xk6MtX1YRZD0ldgdt20K4CRk/edit?usp=sharing"","&amp;"""เชียงราย!M338"")+IMPORTRANGE(""https://docs.google.com/spreadsheets/d/1rEDxBtusbi64tE0zunoIbsTVV16HeL0oJ6trHQeQ7K8/edit?usp=sharing"",""เชียงใหม่!M338"")+IMPORTRANGE(""https://docs.google.com/spreadsheets/d/1W6MnUbDkMi6xHnHko_XkFDO9kkuL6Wqyc-6OCDFjW9I/e"&amp;"dit?usp=sharing"",""ตาก!M338"")+IMPORTRANGE(""https://docs.google.com/spreadsheets/d/1IQAWArduLkta9LpYo4a_ULsyqdta6-6aDDiwpUnQT6c/edit?usp=sharing"",""นครสวรรค์!M338"")+IMPORTRANGE(""https://docs.google.com/spreadsheets/d/10s13Sk5xrltsiR-Zkbmk5DwIaDIKO8Xl"&amp;"bJAfqyT7Gvg/edit?usp=sharing"",""น่าน!M338"")+IMPORTRANGE(""https://docs.google.com/spreadsheets/d/1uu4nAn4Dbi1XREnLKKotUANlKXa7yCgRcgq8HEzQYW8/edit?usp=sharing"",""พะเยา!M338"")+IMPORTRANGE(""https://docs.google.com/spreadsheets/d/1xfJKIQxVOaPDIICqsflNlL"&amp;"u3JacTDk1FP9RH4phX7mI/edit?usp=sharing"",""พิจิตร!M338"")+IMPORTRANGE(""https://docs.google.com/spreadsheets/d/1JtRfZkJMHtEhI5RdRHxYUG4FIZHqKDpNyIuN7A1Q0_k/edit?usp=sharing"",""พิษณุโลก!M338"")+IMPORTRANGE(""https://docs.google.com/spreadsheets/d/1xlcVZWU"&amp;"Nn6SuWm0c307h32SiGkd9BaeQWlAktfD3KO8/edit?usp=sharing"",""เพชรบูรณ์!M338"")+IMPORTRANGE(""https://docs.google.com/spreadsheets/d/1lOVebEIsI9qjGXl6EX66luk7wiuP2tBaryw-wKvv4e0/edit?usp=sharing"",""แพร่!M338"")+IMPORTRANGE(""https://docs.google.com/spreadshe"&amp;"ets/d/1dQrvX0vEcN7Gu0fnZ0B5S90AeR19zth4XlExFBeExMY/edit?usp=sharing"",""แม่ฮ่องสอน!M338"")+IMPORTRANGE(""https://docs.google.com/spreadsheets/d/1DY4XTNNwjluuxqdfdn6qvOSlMRrZqUtmYcZR0ttFiG4/edit?usp=sharing"",""ลำปาง!M338"")+IMPORTRANGE(""https://docs.goog"&amp;"le.com/spreadsheets/d/1ICwG78r0OFT8biBlxnBF8r7she7gNSzOvJ958PWT09c/edit?usp=sharing"",""ลำพูน!M338"")+IMPORTRANGE(""https://docs.google.com/spreadsheets/d/1B0f2xJpZUC6Z0xXnqKlZtEPzsf6L84eP1r1Q15seqRM/edit?usp=sharing"",""สุโขทัย!M338"")+IMPORTRANGE(""http"&amp;"s://docs.google.com/spreadsheets/d/1v0b9pFQCsKUVExMei7AgY2yQkdeNQvtOssygGsXbiKo/edit?usp=sharing"",""อุตรดิตถ์!M338"")+IMPORTRANGE(""https://docs.google.com/spreadsheets/d/1UsNK1e-WWiCo2PvGqdNfdme4m17_Ezd3J69EeeiQPD0/edit?usp=sharing"",""อุทัยธานี!M338"")"),1946000)</f>
        <v>1946000</v>
      </c>
      <c r="N338" s="46">
        <f ca="1">IFERROR(__xludf.DUMMYFUNCTION("IMPORTRANGE(""https://docs.google.com/spreadsheets/d/1jTcq05yEiRwXcBMLjiodW9e4biSGYWAHcDj22rKWQ3s/edit?usp=sharing"",""กำแพงเพชร!N338"")+IMPORTRANGE(""https://docs.google.com/spreadsheets/d/1KS0zmDSZPk8KnTAbGN-Xk6MtX1YRZD0ldgdt20K4CRk/edit?usp=sharing"","&amp;"""เชียงราย!N338"")+IMPORTRANGE(""https://docs.google.com/spreadsheets/d/1rEDxBtusbi64tE0zunoIbsTVV16HeL0oJ6trHQeQ7K8/edit?usp=sharing"",""เชียงใหม่!N338"")+IMPORTRANGE(""https://docs.google.com/spreadsheets/d/1W6MnUbDkMi6xHnHko_XkFDO9kkuL6Wqyc-6OCDFjW9I/e"&amp;"dit?usp=sharing"",""ตาก!N338"")+IMPORTRANGE(""https://docs.google.com/spreadsheets/d/1IQAWArduLkta9LpYo4a_ULsyqdta6-6aDDiwpUnQT6c/edit?usp=sharing"",""นครสวรรค์!N338"")+IMPORTRANGE(""https://docs.google.com/spreadsheets/d/10s13Sk5xrltsiR-Zkbmk5DwIaDIKO8Xl"&amp;"bJAfqyT7Gvg/edit?usp=sharing"",""น่าน!N338"")+IMPORTRANGE(""https://docs.google.com/spreadsheets/d/1uu4nAn4Dbi1XREnLKKotUANlKXa7yCgRcgq8HEzQYW8/edit?usp=sharing"",""พะเยา!N338"")+IMPORTRANGE(""https://docs.google.com/spreadsheets/d/1xfJKIQxVOaPDIICqsflNlL"&amp;"u3JacTDk1FP9RH4phX7mI/edit?usp=sharing"",""พิจิตร!N338"")+IMPORTRANGE(""https://docs.google.com/spreadsheets/d/1JtRfZkJMHtEhI5RdRHxYUG4FIZHqKDpNyIuN7A1Q0_k/edit?usp=sharing"",""พิษณุโลก!N338"")+IMPORTRANGE(""https://docs.google.com/spreadsheets/d/1xlcVZWU"&amp;"Nn6SuWm0c307h32SiGkd9BaeQWlAktfD3KO8/edit?usp=sharing"",""เพชรบูรณ์!N338"")+IMPORTRANGE(""https://docs.google.com/spreadsheets/d/1lOVebEIsI9qjGXl6EX66luk7wiuP2tBaryw-wKvv4e0/edit?usp=sharing"",""แพร่!N338"")+IMPORTRANGE(""https://docs.google.com/spreadshe"&amp;"ets/d/1dQrvX0vEcN7Gu0fnZ0B5S90AeR19zth4XlExFBeExMY/edit?usp=sharing"",""แม่ฮ่องสอน!N338"")+IMPORTRANGE(""https://docs.google.com/spreadsheets/d/1DY4XTNNwjluuxqdfdn6qvOSlMRrZqUtmYcZR0ttFiG4/edit?usp=sharing"",""ลำปาง!N338"")+IMPORTRANGE(""https://docs.goog"&amp;"le.com/spreadsheets/d/1ICwG78r0OFT8biBlxnBF8r7she7gNSzOvJ958PWT09c/edit?usp=sharing"",""ลำพูน!N338"")+IMPORTRANGE(""https://docs.google.com/spreadsheets/d/1B0f2xJpZUC6Z0xXnqKlZtEPzsf6L84eP1r1Q15seqRM/edit?usp=sharing"",""สุโขทัย!N338"")+IMPORTRANGE(""http"&amp;"s://docs.google.com/spreadsheets/d/1v0b9pFQCsKUVExMei7AgY2yQkdeNQvtOssygGsXbiKo/edit?usp=sharing"",""อุตรดิตถ์!N338"")+IMPORTRANGE(""https://docs.google.com/spreadsheets/d/1UsNK1e-WWiCo2PvGqdNfdme4m17_Ezd3J69EeeiQPD0/edit?usp=sharing"",""อุทัยธานี!N338"")"),1616740.17999999)</f>
        <v>1616740.1799999899</v>
      </c>
      <c r="O338" s="46">
        <f t="shared" ca="1" si="253"/>
        <v>50.840886163521695</v>
      </c>
      <c r="P338" s="46">
        <f t="shared" ca="1" si="254"/>
        <v>83.080173689619215</v>
      </c>
      <c r="Q338" s="46">
        <f ca="1">IFERROR(__xludf.DUMMYFUNCTION("IMPORTRANGE(""https://docs.google.com/spreadsheets/d/1jTcq05yEiRwXcBMLjiodW9e4biSGYWAHcDj22rKWQ3s/edit?usp=sharing"",""กำแพงเพชร!Q338"")+IMPORTRANGE(""https://docs.google.com/spreadsheets/d/1KS0zmDSZPk8KnTAbGN-Xk6MtX1YRZD0ldgdt20K4CRk/edit?usp=sharing"","&amp;"""เชียงราย!Q338"")+IMPORTRANGE(""https://docs.google.com/spreadsheets/d/1rEDxBtusbi64tE0zunoIbsTVV16HeL0oJ6trHQeQ7K8/edit?usp=sharing"",""เชียงใหม่!Q338"")+IMPORTRANGE(""https://docs.google.com/spreadsheets/d/1W6MnUbDkMi6xHnHko_XkFDO9kkuL6Wqyc-6OCDFjW9I/e"&amp;"dit?usp=sharing"",""ตาก!Q338"")+IMPORTRANGE(""https://docs.google.com/spreadsheets/d/1IQAWArduLkta9LpYo4a_ULsyqdta6-6aDDiwpUnQT6c/edit?usp=sharing"",""นครสวรรค์!Q338"")+IMPORTRANGE(""https://docs.google.com/spreadsheets/d/10s13Sk5xrltsiR-Zkbmk5DwIaDIKO8Xl"&amp;"bJAfqyT7Gvg/edit?usp=sharing"",""น่าน!Q338"")+IMPORTRANGE(""https://docs.google.com/spreadsheets/d/1uu4nAn4Dbi1XREnLKKotUANlKXa7yCgRcgq8HEzQYW8/edit?usp=sharing"",""พะเยา!Q338"")+IMPORTRANGE(""https://docs.google.com/spreadsheets/d/1xfJKIQxVOaPDIICqsflNlL"&amp;"u3JacTDk1FP9RH4phX7mI/edit?usp=sharing"",""พิจิตร!Q338"")+IMPORTRANGE(""https://docs.google.com/spreadsheets/d/1JtRfZkJMHtEhI5RdRHxYUG4FIZHqKDpNyIuN7A1Q0_k/edit?usp=sharing"",""พิษณุโลก!Q338"")+IMPORTRANGE(""https://docs.google.com/spreadsheets/d/1xlcVZWU"&amp;"Nn6SuWm0c307h32SiGkd9BaeQWlAktfD3KO8/edit?usp=sharing"",""เพชรบูรณ์!Q338"")+IMPORTRANGE(""https://docs.google.com/spreadsheets/d/1lOVebEIsI9qjGXl6EX66luk7wiuP2tBaryw-wKvv4e0/edit?usp=sharing"",""แพร่!Q338"")+IMPORTRANGE(""https://docs.google.com/spreadshe"&amp;"ets/d/1dQrvX0vEcN7Gu0fnZ0B5S90AeR19zth4XlExFBeExMY/edit?usp=sharing"",""แม่ฮ่องสอน!Q338"")+IMPORTRANGE(""https://docs.google.com/spreadsheets/d/1DY4XTNNwjluuxqdfdn6qvOSlMRrZqUtmYcZR0ttFiG4/edit?usp=sharing"",""ลำปาง!Q338"")+IMPORTRANGE(""https://docs.goog"&amp;"le.com/spreadsheets/d/1ICwG78r0OFT8biBlxnBF8r7she7gNSzOvJ958PWT09c/edit?usp=sharing"",""ลำพูน!Q338"")+IMPORTRANGE(""https://docs.google.com/spreadsheets/d/1B0f2xJpZUC6Z0xXnqKlZtEPzsf6L84eP1r1Q15seqRM/edit?usp=sharing"",""สุโขทัย!Q338"")+IMPORTRANGE(""http"&amp;"s://docs.google.com/spreadsheets/d/1v0b9pFQCsKUVExMei7AgY2yQkdeNQvtOssygGsXbiKo/edit?usp=sharing"",""อุตรดิตถ์!Q338"")+IMPORTRANGE(""https://docs.google.com/spreadsheets/d/1UsNK1e-WWiCo2PvGqdNfdme4m17_Ezd3J69EeeiQPD0/edit?usp=sharing"",""อุทัยธานี!Q338"")"),0)</f>
        <v>0</v>
      </c>
      <c r="R338" s="46">
        <f ca="1">IFERROR(__xludf.DUMMYFUNCTION("IMPORTRANGE(""https://docs.google.com/spreadsheets/d/1jTcq05yEiRwXcBMLjiodW9e4biSGYWAHcDj22rKWQ3s/edit?usp=sharing"",""กำแพงเพชร!R338"")+IMPORTRANGE(""https://docs.google.com/spreadsheets/d/1KS0zmDSZPk8KnTAbGN-Xk6MtX1YRZD0ldgdt20K4CRk/edit?usp=sharing"","&amp;"""เชียงราย!R338"")+IMPORTRANGE(""https://docs.google.com/spreadsheets/d/1rEDxBtusbi64tE0zunoIbsTVV16HeL0oJ6trHQeQ7K8/edit?usp=sharing"",""เชียงใหม่!R338"")+IMPORTRANGE(""https://docs.google.com/spreadsheets/d/1W6MnUbDkMi6xHnHko_XkFDO9kkuL6Wqyc-6OCDFjW9I/e"&amp;"dit?usp=sharing"",""ตาก!R338"")+IMPORTRANGE(""https://docs.google.com/spreadsheets/d/1IQAWArduLkta9LpYo4a_ULsyqdta6-6aDDiwpUnQT6c/edit?usp=sharing"",""นครสวรรค์!R338"")+IMPORTRANGE(""https://docs.google.com/spreadsheets/d/10s13Sk5xrltsiR-Zkbmk5DwIaDIKO8Xl"&amp;"bJAfqyT7Gvg/edit?usp=sharing"",""น่าน!R338"")+IMPORTRANGE(""https://docs.google.com/spreadsheets/d/1uu4nAn4Dbi1XREnLKKotUANlKXa7yCgRcgq8HEzQYW8/edit?usp=sharing"",""พะเยา!R338"")+IMPORTRANGE(""https://docs.google.com/spreadsheets/d/1xfJKIQxVOaPDIICqsflNlL"&amp;"u3JacTDk1FP9RH4phX7mI/edit?usp=sharing"",""พิจิตร!R338"")+IMPORTRANGE(""https://docs.google.com/spreadsheets/d/1JtRfZkJMHtEhI5RdRHxYUG4FIZHqKDpNyIuN7A1Q0_k/edit?usp=sharing"",""พิษณุโลก!R338"")+IMPORTRANGE(""https://docs.google.com/spreadsheets/d/1xlcVZWU"&amp;"Nn6SuWm0c307h32SiGkd9BaeQWlAktfD3KO8/edit?usp=sharing"",""เพชรบูรณ์!R338"")+IMPORTRANGE(""https://docs.google.com/spreadsheets/d/1lOVebEIsI9qjGXl6EX66luk7wiuP2tBaryw-wKvv4e0/edit?usp=sharing"",""แพร่!R338"")+IMPORTRANGE(""https://docs.google.com/spreadshe"&amp;"ets/d/1dQrvX0vEcN7Gu0fnZ0B5S90AeR19zth4XlExFBeExMY/edit?usp=sharing"",""แม่ฮ่องสอน!R338"")+IMPORTRANGE(""https://docs.google.com/spreadsheets/d/1DY4XTNNwjluuxqdfdn6qvOSlMRrZqUtmYcZR0ttFiG4/edit?usp=sharing"",""ลำปาง!R338"")+IMPORTRANGE(""https://docs.goog"&amp;"le.com/spreadsheets/d/1ICwG78r0OFT8biBlxnBF8r7she7gNSzOvJ958PWT09c/edit?usp=sharing"",""ลำพูน!R338"")+IMPORTRANGE(""https://docs.google.com/spreadsheets/d/1B0f2xJpZUC6Z0xXnqKlZtEPzsf6L84eP1r1Q15seqRM/edit?usp=sharing"",""สุโขทัย!R338"")+IMPORTRANGE(""http"&amp;"s://docs.google.com/spreadsheets/d/1v0b9pFQCsKUVExMei7AgY2yQkdeNQvtOssygGsXbiKo/edit?usp=sharing"",""อุตรดิตถ์!R338"")+IMPORTRANGE(""https://docs.google.com/spreadsheets/d/1UsNK1e-WWiCo2PvGqdNfdme4m17_Ezd3J69EeeiQPD0/edit?usp=sharing"",""อุทัยธานี!R338"")"),0)</f>
        <v>0</v>
      </c>
      <c r="S338" s="46">
        <f ca="1">IFERROR(__xludf.DUMMYFUNCTION("IMPORTRANGE(""https://docs.google.com/spreadsheets/d/1jTcq05yEiRwXcBMLjiodW9e4biSGYWAHcDj22rKWQ3s/edit?usp=sharing"",""กำแพงเพชร!S338"")+IMPORTRANGE(""https://docs.google.com/spreadsheets/d/1KS0zmDSZPk8KnTAbGN-Xk6MtX1YRZD0ldgdt20K4CRk/edit?usp=sharing"","&amp;"""เชียงราย!S338"")+IMPORTRANGE(""https://docs.google.com/spreadsheets/d/1rEDxBtusbi64tE0zunoIbsTVV16HeL0oJ6trHQeQ7K8/edit?usp=sharing"",""เชียงใหม่!S338"")+IMPORTRANGE(""https://docs.google.com/spreadsheets/d/1W6MnUbDkMi6xHnHko_XkFDO9kkuL6Wqyc-6OCDFjW9I/e"&amp;"dit?usp=sharing"",""ตาก!S338"")+IMPORTRANGE(""https://docs.google.com/spreadsheets/d/1IQAWArduLkta9LpYo4a_ULsyqdta6-6aDDiwpUnQT6c/edit?usp=sharing"",""นครสวรรค์!S338"")+IMPORTRANGE(""https://docs.google.com/spreadsheets/d/10s13Sk5xrltsiR-Zkbmk5DwIaDIKO8Xl"&amp;"bJAfqyT7Gvg/edit?usp=sharing"",""น่าน!S338"")+IMPORTRANGE(""https://docs.google.com/spreadsheets/d/1uu4nAn4Dbi1XREnLKKotUANlKXa7yCgRcgq8HEzQYW8/edit?usp=sharing"",""พะเยา!S338"")+IMPORTRANGE(""https://docs.google.com/spreadsheets/d/1xfJKIQxVOaPDIICqsflNlL"&amp;"u3JacTDk1FP9RH4phX7mI/edit?usp=sharing"",""พิจิตร!S338"")+IMPORTRANGE(""https://docs.google.com/spreadsheets/d/1JtRfZkJMHtEhI5RdRHxYUG4FIZHqKDpNyIuN7A1Q0_k/edit?usp=sharing"",""พิษณุโลก!S338"")+IMPORTRANGE(""https://docs.google.com/spreadsheets/d/1xlcVZWU"&amp;"Nn6SuWm0c307h32SiGkd9BaeQWlAktfD3KO8/edit?usp=sharing"",""เพชรบูรณ์!S338"")+IMPORTRANGE(""https://docs.google.com/spreadsheets/d/1lOVebEIsI9qjGXl6EX66luk7wiuP2tBaryw-wKvv4e0/edit?usp=sharing"",""แพร่!S338"")+IMPORTRANGE(""https://docs.google.com/spreadshe"&amp;"ets/d/1dQrvX0vEcN7Gu0fnZ0B5S90AeR19zth4XlExFBeExMY/edit?usp=sharing"",""แม่ฮ่องสอน!S338"")+IMPORTRANGE(""https://docs.google.com/spreadsheets/d/1DY4XTNNwjluuxqdfdn6qvOSlMRrZqUtmYcZR0ttFiG4/edit?usp=sharing"",""ลำปาง!S338"")+IMPORTRANGE(""https://docs.goog"&amp;"le.com/spreadsheets/d/1ICwG78r0OFT8biBlxnBF8r7she7gNSzOvJ958PWT09c/edit?usp=sharing"",""ลำพูน!S338"")+IMPORTRANGE(""https://docs.google.com/spreadsheets/d/1B0f2xJpZUC6Z0xXnqKlZtEPzsf6L84eP1r1Q15seqRM/edit?usp=sharing"",""สุโขทัย!S338"")+IMPORTRANGE(""http"&amp;"s://docs.google.com/spreadsheets/d/1v0b9pFQCsKUVExMei7AgY2yQkdeNQvtOssygGsXbiKo/edit?usp=sharing"",""อุตรดิตถ์!S338"")+IMPORTRANGE(""https://docs.google.com/spreadsheets/d/1UsNK1e-WWiCo2PvGqdNfdme4m17_Ezd3J69EeeiQPD0/edit?usp=sharing"",""อุทัยธานี!S338"")"),0)</f>
        <v>0</v>
      </c>
      <c r="T338" s="46">
        <f t="shared" ca="1" si="256"/>
        <v>0</v>
      </c>
      <c r="U338" s="46">
        <f t="shared" ca="1" si="257"/>
        <v>0</v>
      </c>
    </row>
    <row r="339" spans="1:21" ht="18.75" x14ac:dyDescent="0.25">
      <c r="A339" s="128"/>
      <c r="B339" s="40"/>
      <c r="C339" s="40"/>
      <c r="D339" s="41" t="s">
        <v>23</v>
      </c>
      <c r="E339" s="40"/>
      <c r="F339" s="40"/>
      <c r="G339" s="42"/>
      <c r="H339" s="137" t="s">
        <v>14</v>
      </c>
      <c r="I339" s="135"/>
      <c r="J339" s="135"/>
      <c r="K339" s="136"/>
      <c r="L339" s="46">
        <f t="shared" ref="L339:N339" ca="1" si="264">L340+L341</f>
        <v>0</v>
      </c>
      <c r="M339" s="46">
        <f t="shared" ca="1" si="264"/>
        <v>0</v>
      </c>
      <c r="N339" s="46">
        <f t="shared" ca="1" si="264"/>
        <v>0</v>
      </c>
      <c r="O339" s="46">
        <f t="shared" ca="1" si="253"/>
        <v>0</v>
      </c>
      <c r="P339" s="46">
        <f t="shared" ca="1" si="254"/>
        <v>0</v>
      </c>
      <c r="Q339" s="46">
        <f t="shared" ref="Q339:S339" ca="1" si="265">Q340+Q341</f>
        <v>0</v>
      </c>
      <c r="R339" s="46">
        <f t="shared" ca="1" si="265"/>
        <v>0</v>
      </c>
      <c r="S339" s="46">
        <f t="shared" ca="1" si="265"/>
        <v>0</v>
      </c>
      <c r="T339" s="46">
        <f t="shared" ca="1" si="256"/>
        <v>0</v>
      </c>
      <c r="U339" s="46">
        <f t="shared" ca="1" si="257"/>
        <v>0</v>
      </c>
    </row>
    <row r="340" spans="1:21" ht="18.75" x14ac:dyDescent="0.25">
      <c r="A340" s="128"/>
      <c r="B340" s="40"/>
      <c r="C340" s="40"/>
      <c r="D340" s="40"/>
      <c r="E340" s="47" t="s">
        <v>20</v>
      </c>
      <c r="F340" s="40"/>
      <c r="G340" s="42"/>
      <c r="H340" s="134" t="s">
        <v>14</v>
      </c>
      <c r="I340" s="135"/>
      <c r="J340" s="135"/>
      <c r="K340" s="136"/>
      <c r="L340" s="46">
        <f ca="1">IFERROR(__xludf.DUMMYFUNCTION("IMPORTRANGE(""https://docs.google.com/spreadsheets/d/1jTcq05yEiRwXcBMLjiodW9e4biSGYWAHcDj22rKWQ3s/edit?usp=sharing"",""กำแพงเพชร!L340"")+IMPORTRANGE(""https://docs.google.com/spreadsheets/d/1KS0zmDSZPk8KnTAbGN-Xk6MtX1YRZD0ldgdt20K4CRk/edit?usp=sharing"","&amp;"""เชียงราย!L340"")+IMPORTRANGE(""https://docs.google.com/spreadsheets/d/1rEDxBtusbi64tE0zunoIbsTVV16HeL0oJ6trHQeQ7K8/edit?usp=sharing"",""เชียงใหม่!L340"")+IMPORTRANGE(""https://docs.google.com/spreadsheets/d/1W6MnUbDkMi6xHnHko_XkFDO9kkuL6Wqyc-6OCDFjW9I/e"&amp;"dit?usp=sharing"",""ตาก!L340"")+IMPORTRANGE(""https://docs.google.com/spreadsheets/d/1IQAWArduLkta9LpYo4a_ULsyqdta6-6aDDiwpUnQT6c/edit?usp=sharing"",""นครสวรรค์!L340"")+IMPORTRANGE(""https://docs.google.com/spreadsheets/d/10s13Sk5xrltsiR-Zkbmk5DwIaDIKO8Xl"&amp;"bJAfqyT7Gvg/edit?usp=sharing"",""น่าน!L340"")+IMPORTRANGE(""https://docs.google.com/spreadsheets/d/1uu4nAn4Dbi1XREnLKKotUANlKXa7yCgRcgq8HEzQYW8/edit?usp=sharing"",""พะเยา!L340"")+IMPORTRANGE(""https://docs.google.com/spreadsheets/d/1xfJKIQxVOaPDIICqsflNlL"&amp;"u3JacTDk1FP9RH4phX7mI/edit?usp=sharing"",""พิจิตร!L340"")+IMPORTRANGE(""https://docs.google.com/spreadsheets/d/1JtRfZkJMHtEhI5RdRHxYUG4FIZHqKDpNyIuN7A1Q0_k/edit?usp=sharing"",""พิษณุโลก!L340"")+IMPORTRANGE(""https://docs.google.com/spreadsheets/d/1xlcVZWU"&amp;"Nn6SuWm0c307h32SiGkd9BaeQWlAktfD3KO8/edit?usp=sharing"",""เพชรบูรณ์!L340"")+IMPORTRANGE(""https://docs.google.com/spreadsheets/d/1lOVebEIsI9qjGXl6EX66luk7wiuP2tBaryw-wKvv4e0/edit?usp=sharing"",""แพร่!L340"")+IMPORTRANGE(""https://docs.google.com/spreadshe"&amp;"ets/d/1dQrvX0vEcN7Gu0fnZ0B5S90AeR19zth4XlExFBeExMY/edit?usp=sharing"",""แม่ฮ่องสอน!L340"")+IMPORTRANGE(""https://docs.google.com/spreadsheets/d/1DY4XTNNwjluuxqdfdn6qvOSlMRrZqUtmYcZR0ttFiG4/edit?usp=sharing"",""ลำปาง!L340"")+IMPORTRANGE(""https://docs.goog"&amp;"le.com/spreadsheets/d/1ICwG78r0OFT8biBlxnBF8r7she7gNSzOvJ958PWT09c/edit?usp=sharing"",""ลำพูน!L340"")+IMPORTRANGE(""https://docs.google.com/spreadsheets/d/1B0f2xJpZUC6Z0xXnqKlZtEPzsf6L84eP1r1Q15seqRM/edit?usp=sharing"",""สุโขทัย!L340"")+IMPORTRANGE(""http"&amp;"s://docs.google.com/spreadsheets/d/1v0b9pFQCsKUVExMei7AgY2yQkdeNQvtOssygGsXbiKo/edit?usp=sharing"",""อุตรดิตถ์!L340"")+IMPORTRANGE(""https://docs.google.com/spreadsheets/d/1UsNK1e-WWiCo2PvGqdNfdme4m17_Ezd3J69EeeiQPD0/edit?usp=sharing"",""อุทัยธานี!L340"")"),0)</f>
        <v>0</v>
      </c>
      <c r="M340" s="46">
        <f ca="1">IFERROR(__xludf.DUMMYFUNCTION("IMPORTRANGE(""https://docs.google.com/spreadsheets/d/1jTcq05yEiRwXcBMLjiodW9e4biSGYWAHcDj22rKWQ3s/edit?usp=sharing"",""กำแพงเพชร!M340"")+IMPORTRANGE(""https://docs.google.com/spreadsheets/d/1KS0zmDSZPk8KnTAbGN-Xk6MtX1YRZD0ldgdt20K4CRk/edit?usp=sharing"","&amp;"""เชียงราย!M340"")+IMPORTRANGE(""https://docs.google.com/spreadsheets/d/1rEDxBtusbi64tE0zunoIbsTVV16HeL0oJ6trHQeQ7K8/edit?usp=sharing"",""เชียงใหม่!M340"")+IMPORTRANGE(""https://docs.google.com/spreadsheets/d/1W6MnUbDkMi6xHnHko_XkFDO9kkuL6Wqyc-6OCDFjW9I/e"&amp;"dit?usp=sharing"",""ตาก!M340"")+IMPORTRANGE(""https://docs.google.com/spreadsheets/d/1IQAWArduLkta9LpYo4a_ULsyqdta6-6aDDiwpUnQT6c/edit?usp=sharing"",""นครสวรรค์!M340"")+IMPORTRANGE(""https://docs.google.com/spreadsheets/d/10s13Sk5xrltsiR-Zkbmk5DwIaDIKO8Xl"&amp;"bJAfqyT7Gvg/edit?usp=sharing"",""น่าน!M340"")+IMPORTRANGE(""https://docs.google.com/spreadsheets/d/1uu4nAn4Dbi1XREnLKKotUANlKXa7yCgRcgq8HEzQYW8/edit?usp=sharing"",""พะเยา!M340"")+IMPORTRANGE(""https://docs.google.com/spreadsheets/d/1xfJKIQxVOaPDIICqsflNlL"&amp;"u3JacTDk1FP9RH4phX7mI/edit?usp=sharing"",""พิจิตร!M340"")+IMPORTRANGE(""https://docs.google.com/spreadsheets/d/1JtRfZkJMHtEhI5RdRHxYUG4FIZHqKDpNyIuN7A1Q0_k/edit?usp=sharing"",""พิษณุโลก!M340"")+IMPORTRANGE(""https://docs.google.com/spreadsheets/d/1xlcVZWU"&amp;"Nn6SuWm0c307h32SiGkd9BaeQWlAktfD3KO8/edit?usp=sharing"",""เพชรบูรณ์!M340"")+IMPORTRANGE(""https://docs.google.com/spreadsheets/d/1lOVebEIsI9qjGXl6EX66luk7wiuP2tBaryw-wKvv4e0/edit?usp=sharing"",""แพร่!M340"")+IMPORTRANGE(""https://docs.google.com/spreadshe"&amp;"ets/d/1dQrvX0vEcN7Gu0fnZ0B5S90AeR19zth4XlExFBeExMY/edit?usp=sharing"",""แม่ฮ่องสอน!M340"")+IMPORTRANGE(""https://docs.google.com/spreadsheets/d/1DY4XTNNwjluuxqdfdn6qvOSlMRrZqUtmYcZR0ttFiG4/edit?usp=sharing"",""ลำปาง!M340"")+IMPORTRANGE(""https://docs.goog"&amp;"le.com/spreadsheets/d/1ICwG78r0OFT8biBlxnBF8r7she7gNSzOvJ958PWT09c/edit?usp=sharing"",""ลำพูน!M340"")+IMPORTRANGE(""https://docs.google.com/spreadsheets/d/1B0f2xJpZUC6Z0xXnqKlZtEPzsf6L84eP1r1Q15seqRM/edit?usp=sharing"",""สุโขทัย!M340"")+IMPORTRANGE(""http"&amp;"s://docs.google.com/spreadsheets/d/1v0b9pFQCsKUVExMei7AgY2yQkdeNQvtOssygGsXbiKo/edit?usp=sharing"",""อุตรดิตถ์!M340"")+IMPORTRANGE(""https://docs.google.com/spreadsheets/d/1UsNK1e-WWiCo2PvGqdNfdme4m17_Ezd3J69EeeiQPD0/edit?usp=sharing"",""อุทัยธานี!M340"")"),0)</f>
        <v>0</v>
      </c>
      <c r="N340" s="46">
        <f ca="1">IFERROR(__xludf.DUMMYFUNCTION("IMPORTRANGE(""https://docs.google.com/spreadsheets/d/1jTcq05yEiRwXcBMLjiodW9e4biSGYWAHcDj22rKWQ3s/edit?usp=sharing"",""กำแพงเพชร!N340"")+IMPORTRANGE(""https://docs.google.com/spreadsheets/d/1KS0zmDSZPk8KnTAbGN-Xk6MtX1YRZD0ldgdt20K4CRk/edit?usp=sharing"","&amp;"""เชียงราย!N340"")+IMPORTRANGE(""https://docs.google.com/spreadsheets/d/1rEDxBtusbi64tE0zunoIbsTVV16HeL0oJ6trHQeQ7K8/edit?usp=sharing"",""เชียงใหม่!N340"")+IMPORTRANGE(""https://docs.google.com/spreadsheets/d/1W6MnUbDkMi6xHnHko_XkFDO9kkuL6Wqyc-6OCDFjW9I/e"&amp;"dit?usp=sharing"",""ตาก!N340"")+IMPORTRANGE(""https://docs.google.com/spreadsheets/d/1IQAWArduLkta9LpYo4a_ULsyqdta6-6aDDiwpUnQT6c/edit?usp=sharing"",""นครสวรรค์!N340"")+IMPORTRANGE(""https://docs.google.com/spreadsheets/d/10s13Sk5xrltsiR-Zkbmk5DwIaDIKO8Xl"&amp;"bJAfqyT7Gvg/edit?usp=sharing"",""น่าน!N340"")+IMPORTRANGE(""https://docs.google.com/spreadsheets/d/1uu4nAn4Dbi1XREnLKKotUANlKXa7yCgRcgq8HEzQYW8/edit?usp=sharing"",""พะเยา!N340"")+IMPORTRANGE(""https://docs.google.com/spreadsheets/d/1xfJKIQxVOaPDIICqsflNlL"&amp;"u3JacTDk1FP9RH4phX7mI/edit?usp=sharing"",""พิจิตร!N340"")+IMPORTRANGE(""https://docs.google.com/spreadsheets/d/1JtRfZkJMHtEhI5RdRHxYUG4FIZHqKDpNyIuN7A1Q0_k/edit?usp=sharing"",""พิษณุโลก!N340"")+IMPORTRANGE(""https://docs.google.com/spreadsheets/d/1xlcVZWU"&amp;"Nn6SuWm0c307h32SiGkd9BaeQWlAktfD3KO8/edit?usp=sharing"",""เพชรบูรณ์!N340"")+IMPORTRANGE(""https://docs.google.com/spreadsheets/d/1lOVebEIsI9qjGXl6EX66luk7wiuP2tBaryw-wKvv4e0/edit?usp=sharing"",""แพร่!N340"")+IMPORTRANGE(""https://docs.google.com/spreadshe"&amp;"ets/d/1dQrvX0vEcN7Gu0fnZ0B5S90AeR19zth4XlExFBeExMY/edit?usp=sharing"",""แม่ฮ่องสอน!N340"")+IMPORTRANGE(""https://docs.google.com/spreadsheets/d/1DY4XTNNwjluuxqdfdn6qvOSlMRrZqUtmYcZR0ttFiG4/edit?usp=sharing"",""ลำปาง!N340"")+IMPORTRANGE(""https://docs.goog"&amp;"le.com/spreadsheets/d/1ICwG78r0OFT8biBlxnBF8r7she7gNSzOvJ958PWT09c/edit?usp=sharing"",""ลำพูน!N340"")+IMPORTRANGE(""https://docs.google.com/spreadsheets/d/1B0f2xJpZUC6Z0xXnqKlZtEPzsf6L84eP1r1Q15seqRM/edit?usp=sharing"",""สุโขทัย!N340"")+IMPORTRANGE(""http"&amp;"s://docs.google.com/spreadsheets/d/1v0b9pFQCsKUVExMei7AgY2yQkdeNQvtOssygGsXbiKo/edit?usp=sharing"",""อุตรดิตถ์!N340"")+IMPORTRANGE(""https://docs.google.com/spreadsheets/d/1UsNK1e-WWiCo2PvGqdNfdme4m17_Ezd3J69EeeiQPD0/edit?usp=sharing"",""อุทัยธานี!N340"")"),0)</f>
        <v>0</v>
      </c>
      <c r="O340" s="46">
        <f t="shared" ca="1" si="253"/>
        <v>0</v>
      </c>
      <c r="P340" s="46">
        <f t="shared" ca="1" si="254"/>
        <v>0</v>
      </c>
      <c r="Q340" s="48">
        <f ca="1">IFERROR(__xludf.DUMMYFUNCTION("IMPORTRANGE(""https://docs.google.com/spreadsheets/d/1jTcq05yEiRwXcBMLjiodW9e4biSGYWAHcDj22rKWQ3s/edit?usp=sharing"",""กำแพงเพชร!Q340"")+IMPORTRANGE(""https://docs.google.com/spreadsheets/d/1KS0zmDSZPk8KnTAbGN-Xk6MtX1YRZD0ldgdt20K4CRk/edit?usp=sharing"","&amp;"""เชียงราย!Q340"")+IMPORTRANGE(""https://docs.google.com/spreadsheets/d/1rEDxBtusbi64tE0zunoIbsTVV16HeL0oJ6trHQeQ7K8/edit?usp=sharing"",""เชียงใหม่!Q340"")+IMPORTRANGE(""https://docs.google.com/spreadsheets/d/1W6MnUbDkMi6xHnHko_XkFDO9kkuL6Wqyc-6OCDFjW9I/e"&amp;"dit?usp=sharing"",""ตาก!Q340"")+IMPORTRANGE(""https://docs.google.com/spreadsheets/d/1IQAWArduLkta9LpYo4a_ULsyqdta6-6aDDiwpUnQT6c/edit?usp=sharing"",""นครสวรรค์!Q340"")+IMPORTRANGE(""https://docs.google.com/spreadsheets/d/10s13Sk5xrltsiR-Zkbmk5DwIaDIKO8Xl"&amp;"bJAfqyT7Gvg/edit?usp=sharing"",""น่าน!Q340"")+IMPORTRANGE(""https://docs.google.com/spreadsheets/d/1uu4nAn4Dbi1XREnLKKotUANlKXa7yCgRcgq8HEzQYW8/edit?usp=sharing"",""พะเยา!Q340"")+IMPORTRANGE(""https://docs.google.com/spreadsheets/d/1xfJKIQxVOaPDIICqsflNlL"&amp;"u3JacTDk1FP9RH4phX7mI/edit?usp=sharing"",""พิจิตร!Q340"")+IMPORTRANGE(""https://docs.google.com/spreadsheets/d/1JtRfZkJMHtEhI5RdRHxYUG4FIZHqKDpNyIuN7A1Q0_k/edit?usp=sharing"",""พิษณุโลก!Q340"")+IMPORTRANGE(""https://docs.google.com/spreadsheets/d/1xlcVZWU"&amp;"Nn6SuWm0c307h32SiGkd9BaeQWlAktfD3KO8/edit?usp=sharing"",""เพชรบูรณ์!Q340"")+IMPORTRANGE(""https://docs.google.com/spreadsheets/d/1lOVebEIsI9qjGXl6EX66luk7wiuP2tBaryw-wKvv4e0/edit?usp=sharing"",""แพร่!Q340"")+IMPORTRANGE(""https://docs.google.com/spreadshe"&amp;"ets/d/1dQrvX0vEcN7Gu0fnZ0B5S90AeR19zth4XlExFBeExMY/edit?usp=sharing"",""แม่ฮ่องสอน!Q340"")+IMPORTRANGE(""https://docs.google.com/spreadsheets/d/1DY4XTNNwjluuxqdfdn6qvOSlMRrZqUtmYcZR0ttFiG4/edit?usp=sharing"",""ลำปาง!Q340"")+IMPORTRANGE(""https://docs.goog"&amp;"le.com/spreadsheets/d/1ICwG78r0OFT8biBlxnBF8r7she7gNSzOvJ958PWT09c/edit?usp=sharing"",""ลำพูน!Q340"")+IMPORTRANGE(""https://docs.google.com/spreadsheets/d/1B0f2xJpZUC6Z0xXnqKlZtEPzsf6L84eP1r1Q15seqRM/edit?usp=sharing"",""สุโขทัย!Q340"")+IMPORTRANGE(""http"&amp;"s://docs.google.com/spreadsheets/d/1v0b9pFQCsKUVExMei7AgY2yQkdeNQvtOssygGsXbiKo/edit?usp=sharing"",""อุตรดิตถ์!Q340"")+IMPORTRANGE(""https://docs.google.com/spreadsheets/d/1UsNK1e-WWiCo2PvGqdNfdme4m17_Ezd3J69EeeiQPD0/edit?usp=sharing"",""อุทัยธานี!Q340"")"),0)</f>
        <v>0</v>
      </c>
      <c r="R340" s="48">
        <f ca="1">IFERROR(__xludf.DUMMYFUNCTION("IMPORTRANGE(""https://docs.google.com/spreadsheets/d/1jTcq05yEiRwXcBMLjiodW9e4biSGYWAHcDj22rKWQ3s/edit?usp=sharing"",""กำแพงเพชร!R340"")+IMPORTRANGE(""https://docs.google.com/spreadsheets/d/1KS0zmDSZPk8KnTAbGN-Xk6MtX1YRZD0ldgdt20K4CRk/edit?usp=sharing"","&amp;"""เชียงราย!R340"")+IMPORTRANGE(""https://docs.google.com/spreadsheets/d/1rEDxBtusbi64tE0zunoIbsTVV16HeL0oJ6trHQeQ7K8/edit?usp=sharing"",""เชียงใหม่!R340"")+IMPORTRANGE(""https://docs.google.com/spreadsheets/d/1W6MnUbDkMi6xHnHko_XkFDO9kkuL6Wqyc-6OCDFjW9I/e"&amp;"dit?usp=sharing"",""ตาก!R340"")+IMPORTRANGE(""https://docs.google.com/spreadsheets/d/1IQAWArduLkta9LpYo4a_ULsyqdta6-6aDDiwpUnQT6c/edit?usp=sharing"",""นครสวรรค์!R340"")+IMPORTRANGE(""https://docs.google.com/spreadsheets/d/10s13Sk5xrltsiR-Zkbmk5DwIaDIKO8Xl"&amp;"bJAfqyT7Gvg/edit?usp=sharing"",""น่าน!R340"")+IMPORTRANGE(""https://docs.google.com/spreadsheets/d/1uu4nAn4Dbi1XREnLKKotUANlKXa7yCgRcgq8HEzQYW8/edit?usp=sharing"",""พะเยา!R340"")+IMPORTRANGE(""https://docs.google.com/spreadsheets/d/1xfJKIQxVOaPDIICqsflNlL"&amp;"u3JacTDk1FP9RH4phX7mI/edit?usp=sharing"",""พิจิตร!R340"")+IMPORTRANGE(""https://docs.google.com/spreadsheets/d/1JtRfZkJMHtEhI5RdRHxYUG4FIZHqKDpNyIuN7A1Q0_k/edit?usp=sharing"",""พิษณุโลก!R340"")+IMPORTRANGE(""https://docs.google.com/spreadsheets/d/1xlcVZWU"&amp;"Nn6SuWm0c307h32SiGkd9BaeQWlAktfD3KO8/edit?usp=sharing"",""เพชรบูรณ์!R340"")+IMPORTRANGE(""https://docs.google.com/spreadsheets/d/1lOVebEIsI9qjGXl6EX66luk7wiuP2tBaryw-wKvv4e0/edit?usp=sharing"",""แพร่!R340"")+IMPORTRANGE(""https://docs.google.com/spreadshe"&amp;"ets/d/1dQrvX0vEcN7Gu0fnZ0B5S90AeR19zth4XlExFBeExMY/edit?usp=sharing"",""แม่ฮ่องสอน!R340"")+IMPORTRANGE(""https://docs.google.com/spreadsheets/d/1DY4XTNNwjluuxqdfdn6qvOSlMRrZqUtmYcZR0ttFiG4/edit?usp=sharing"",""ลำปาง!R340"")+IMPORTRANGE(""https://docs.goog"&amp;"le.com/spreadsheets/d/1ICwG78r0OFT8biBlxnBF8r7she7gNSzOvJ958PWT09c/edit?usp=sharing"",""ลำพูน!R340"")+IMPORTRANGE(""https://docs.google.com/spreadsheets/d/1B0f2xJpZUC6Z0xXnqKlZtEPzsf6L84eP1r1Q15seqRM/edit?usp=sharing"",""สุโขทัย!R340"")+IMPORTRANGE(""http"&amp;"s://docs.google.com/spreadsheets/d/1v0b9pFQCsKUVExMei7AgY2yQkdeNQvtOssygGsXbiKo/edit?usp=sharing"",""อุตรดิตถ์!R340"")+IMPORTRANGE(""https://docs.google.com/spreadsheets/d/1UsNK1e-WWiCo2PvGqdNfdme4m17_Ezd3J69EeeiQPD0/edit?usp=sharing"",""อุทัยธานี!R340"")"),0)</f>
        <v>0</v>
      </c>
      <c r="S340" s="48">
        <f ca="1">IFERROR(__xludf.DUMMYFUNCTION("IMPORTRANGE(""https://docs.google.com/spreadsheets/d/1jTcq05yEiRwXcBMLjiodW9e4biSGYWAHcDj22rKWQ3s/edit?usp=sharing"",""กำแพงเพชร!S340"")+IMPORTRANGE(""https://docs.google.com/spreadsheets/d/1KS0zmDSZPk8KnTAbGN-Xk6MtX1YRZD0ldgdt20K4CRk/edit?usp=sharing"","&amp;"""เชียงราย!S340"")+IMPORTRANGE(""https://docs.google.com/spreadsheets/d/1rEDxBtusbi64tE0zunoIbsTVV16HeL0oJ6trHQeQ7K8/edit?usp=sharing"",""เชียงใหม่!S340"")+IMPORTRANGE(""https://docs.google.com/spreadsheets/d/1W6MnUbDkMi6xHnHko_XkFDO9kkuL6Wqyc-6OCDFjW9I/e"&amp;"dit?usp=sharing"",""ตาก!S340"")+IMPORTRANGE(""https://docs.google.com/spreadsheets/d/1IQAWArduLkta9LpYo4a_ULsyqdta6-6aDDiwpUnQT6c/edit?usp=sharing"",""นครสวรรค์!S340"")+IMPORTRANGE(""https://docs.google.com/spreadsheets/d/10s13Sk5xrltsiR-Zkbmk5DwIaDIKO8Xl"&amp;"bJAfqyT7Gvg/edit?usp=sharing"",""น่าน!S340"")+IMPORTRANGE(""https://docs.google.com/spreadsheets/d/1uu4nAn4Dbi1XREnLKKotUANlKXa7yCgRcgq8HEzQYW8/edit?usp=sharing"",""พะเยา!S340"")+IMPORTRANGE(""https://docs.google.com/spreadsheets/d/1xfJKIQxVOaPDIICqsflNlL"&amp;"u3JacTDk1FP9RH4phX7mI/edit?usp=sharing"",""พิจิตร!S340"")+IMPORTRANGE(""https://docs.google.com/spreadsheets/d/1JtRfZkJMHtEhI5RdRHxYUG4FIZHqKDpNyIuN7A1Q0_k/edit?usp=sharing"",""พิษณุโลก!S340"")+IMPORTRANGE(""https://docs.google.com/spreadsheets/d/1xlcVZWU"&amp;"Nn6SuWm0c307h32SiGkd9BaeQWlAktfD3KO8/edit?usp=sharing"",""เพชรบูรณ์!S340"")+IMPORTRANGE(""https://docs.google.com/spreadsheets/d/1lOVebEIsI9qjGXl6EX66luk7wiuP2tBaryw-wKvv4e0/edit?usp=sharing"",""แพร่!S340"")+IMPORTRANGE(""https://docs.google.com/spreadshe"&amp;"ets/d/1dQrvX0vEcN7Gu0fnZ0B5S90AeR19zth4XlExFBeExMY/edit?usp=sharing"",""แม่ฮ่องสอน!S340"")+IMPORTRANGE(""https://docs.google.com/spreadsheets/d/1DY4XTNNwjluuxqdfdn6qvOSlMRrZqUtmYcZR0ttFiG4/edit?usp=sharing"",""ลำปาง!S340"")+IMPORTRANGE(""https://docs.goog"&amp;"le.com/spreadsheets/d/1ICwG78r0OFT8biBlxnBF8r7she7gNSzOvJ958PWT09c/edit?usp=sharing"",""ลำพูน!S340"")+IMPORTRANGE(""https://docs.google.com/spreadsheets/d/1B0f2xJpZUC6Z0xXnqKlZtEPzsf6L84eP1r1Q15seqRM/edit?usp=sharing"",""สุโขทัย!S340"")+IMPORTRANGE(""http"&amp;"s://docs.google.com/spreadsheets/d/1v0b9pFQCsKUVExMei7AgY2yQkdeNQvtOssygGsXbiKo/edit?usp=sharing"",""อุตรดิตถ์!S340"")+IMPORTRANGE(""https://docs.google.com/spreadsheets/d/1UsNK1e-WWiCo2PvGqdNfdme4m17_Ezd3J69EeeiQPD0/edit?usp=sharing"",""อุทัยธานี!S340"")"),0)</f>
        <v>0</v>
      </c>
      <c r="T340" s="48">
        <f t="shared" ca="1" si="256"/>
        <v>0</v>
      </c>
      <c r="U340" s="48">
        <f t="shared" ca="1" si="257"/>
        <v>0</v>
      </c>
    </row>
    <row r="341" spans="1:21" ht="18.75" x14ac:dyDescent="0.25">
      <c r="A341" s="128"/>
      <c r="B341" s="40"/>
      <c r="C341" s="40"/>
      <c r="D341" s="40"/>
      <c r="E341" s="47" t="s">
        <v>21</v>
      </c>
      <c r="F341" s="40"/>
      <c r="G341" s="42"/>
      <c r="H341" s="137" t="s">
        <v>14</v>
      </c>
      <c r="I341" s="135"/>
      <c r="J341" s="135"/>
      <c r="K341" s="136"/>
      <c r="L341" s="46">
        <f ca="1">IFERROR(__xludf.DUMMYFUNCTION("IMPORTRANGE(""https://docs.google.com/spreadsheets/d/1jTcq05yEiRwXcBMLjiodW9e4biSGYWAHcDj22rKWQ3s/edit?usp=sharing"",""กำแพงเพชร!L341"")+IMPORTRANGE(""https://docs.google.com/spreadsheets/d/1KS0zmDSZPk8KnTAbGN-Xk6MtX1YRZD0ldgdt20K4CRk/edit?usp=sharing"","&amp;"""เชียงราย!L341"")+IMPORTRANGE(""https://docs.google.com/spreadsheets/d/1rEDxBtusbi64tE0zunoIbsTVV16HeL0oJ6trHQeQ7K8/edit?usp=sharing"",""เชียงใหม่!L341"")+IMPORTRANGE(""https://docs.google.com/spreadsheets/d/1W6MnUbDkMi6xHnHko_XkFDO9kkuL6Wqyc-6OCDFjW9I/e"&amp;"dit?usp=sharing"",""ตาก!L341"")+IMPORTRANGE(""https://docs.google.com/spreadsheets/d/1IQAWArduLkta9LpYo4a_ULsyqdta6-6aDDiwpUnQT6c/edit?usp=sharing"",""นครสวรรค์!L341"")+IMPORTRANGE(""https://docs.google.com/spreadsheets/d/10s13Sk5xrltsiR-Zkbmk5DwIaDIKO8Xl"&amp;"bJAfqyT7Gvg/edit?usp=sharing"",""น่าน!L341"")+IMPORTRANGE(""https://docs.google.com/spreadsheets/d/1uu4nAn4Dbi1XREnLKKotUANlKXa7yCgRcgq8HEzQYW8/edit?usp=sharing"",""พะเยา!L341"")+IMPORTRANGE(""https://docs.google.com/spreadsheets/d/1xfJKIQxVOaPDIICqsflNlL"&amp;"u3JacTDk1FP9RH4phX7mI/edit?usp=sharing"",""พิจิตร!L341"")+IMPORTRANGE(""https://docs.google.com/spreadsheets/d/1JtRfZkJMHtEhI5RdRHxYUG4FIZHqKDpNyIuN7A1Q0_k/edit?usp=sharing"",""พิษณุโลก!L341"")+IMPORTRANGE(""https://docs.google.com/spreadsheets/d/1xlcVZWU"&amp;"Nn6SuWm0c307h32SiGkd9BaeQWlAktfD3KO8/edit?usp=sharing"",""เพชรบูรณ์!L341"")+IMPORTRANGE(""https://docs.google.com/spreadsheets/d/1lOVebEIsI9qjGXl6EX66luk7wiuP2tBaryw-wKvv4e0/edit?usp=sharing"",""แพร่!L341"")+IMPORTRANGE(""https://docs.google.com/spreadshe"&amp;"ets/d/1dQrvX0vEcN7Gu0fnZ0B5S90AeR19zth4XlExFBeExMY/edit?usp=sharing"",""แม่ฮ่องสอน!L341"")+IMPORTRANGE(""https://docs.google.com/spreadsheets/d/1DY4XTNNwjluuxqdfdn6qvOSlMRrZqUtmYcZR0ttFiG4/edit?usp=sharing"",""ลำปาง!L341"")+IMPORTRANGE(""https://docs.goog"&amp;"le.com/spreadsheets/d/1ICwG78r0OFT8biBlxnBF8r7she7gNSzOvJ958PWT09c/edit?usp=sharing"",""ลำพูน!L341"")+IMPORTRANGE(""https://docs.google.com/spreadsheets/d/1B0f2xJpZUC6Z0xXnqKlZtEPzsf6L84eP1r1Q15seqRM/edit?usp=sharing"",""สุโขทัย!L341"")+IMPORTRANGE(""http"&amp;"s://docs.google.com/spreadsheets/d/1v0b9pFQCsKUVExMei7AgY2yQkdeNQvtOssygGsXbiKo/edit?usp=sharing"",""อุตรดิตถ์!L341"")+IMPORTRANGE(""https://docs.google.com/spreadsheets/d/1UsNK1e-WWiCo2PvGqdNfdme4m17_Ezd3J69EeeiQPD0/edit?usp=sharing"",""อุทัยธานี!L341"")"),0)</f>
        <v>0</v>
      </c>
      <c r="M341" s="46">
        <f ca="1">IFERROR(__xludf.DUMMYFUNCTION("IMPORTRANGE(""https://docs.google.com/spreadsheets/d/1jTcq05yEiRwXcBMLjiodW9e4biSGYWAHcDj22rKWQ3s/edit?usp=sharing"",""กำแพงเพชร!M341"")+IMPORTRANGE(""https://docs.google.com/spreadsheets/d/1KS0zmDSZPk8KnTAbGN-Xk6MtX1YRZD0ldgdt20K4CRk/edit?usp=sharing"","&amp;"""เชียงราย!M341"")+IMPORTRANGE(""https://docs.google.com/spreadsheets/d/1rEDxBtusbi64tE0zunoIbsTVV16HeL0oJ6trHQeQ7K8/edit?usp=sharing"",""เชียงใหม่!M341"")+IMPORTRANGE(""https://docs.google.com/spreadsheets/d/1W6MnUbDkMi6xHnHko_XkFDO9kkuL6Wqyc-6OCDFjW9I/e"&amp;"dit?usp=sharing"",""ตาก!M341"")+IMPORTRANGE(""https://docs.google.com/spreadsheets/d/1IQAWArduLkta9LpYo4a_ULsyqdta6-6aDDiwpUnQT6c/edit?usp=sharing"",""นครสวรรค์!M341"")+IMPORTRANGE(""https://docs.google.com/spreadsheets/d/10s13Sk5xrltsiR-Zkbmk5DwIaDIKO8Xl"&amp;"bJAfqyT7Gvg/edit?usp=sharing"",""น่าน!M341"")+IMPORTRANGE(""https://docs.google.com/spreadsheets/d/1uu4nAn4Dbi1XREnLKKotUANlKXa7yCgRcgq8HEzQYW8/edit?usp=sharing"",""พะเยา!M341"")+IMPORTRANGE(""https://docs.google.com/spreadsheets/d/1xfJKIQxVOaPDIICqsflNlL"&amp;"u3JacTDk1FP9RH4phX7mI/edit?usp=sharing"",""พิจิตร!M341"")+IMPORTRANGE(""https://docs.google.com/spreadsheets/d/1JtRfZkJMHtEhI5RdRHxYUG4FIZHqKDpNyIuN7A1Q0_k/edit?usp=sharing"",""พิษณุโลก!M341"")+IMPORTRANGE(""https://docs.google.com/spreadsheets/d/1xlcVZWU"&amp;"Nn6SuWm0c307h32SiGkd9BaeQWlAktfD3KO8/edit?usp=sharing"",""เพชรบูรณ์!M341"")+IMPORTRANGE(""https://docs.google.com/spreadsheets/d/1lOVebEIsI9qjGXl6EX66luk7wiuP2tBaryw-wKvv4e0/edit?usp=sharing"",""แพร่!M341"")+IMPORTRANGE(""https://docs.google.com/spreadshe"&amp;"ets/d/1dQrvX0vEcN7Gu0fnZ0B5S90AeR19zth4XlExFBeExMY/edit?usp=sharing"",""แม่ฮ่องสอน!M341"")+IMPORTRANGE(""https://docs.google.com/spreadsheets/d/1DY4XTNNwjluuxqdfdn6qvOSlMRrZqUtmYcZR0ttFiG4/edit?usp=sharing"",""ลำปาง!M341"")+IMPORTRANGE(""https://docs.goog"&amp;"le.com/spreadsheets/d/1ICwG78r0OFT8biBlxnBF8r7she7gNSzOvJ958PWT09c/edit?usp=sharing"",""ลำพูน!M341"")+IMPORTRANGE(""https://docs.google.com/spreadsheets/d/1B0f2xJpZUC6Z0xXnqKlZtEPzsf6L84eP1r1Q15seqRM/edit?usp=sharing"",""สุโขทัย!M341"")+IMPORTRANGE(""http"&amp;"s://docs.google.com/spreadsheets/d/1v0b9pFQCsKUVExMei7AgY2yQkdeNQvtOssygGsXbiKo/edit?usp=sharing"",""อุตรดิตถ์!M341"")+IMPORTRANGE(""https://docs.google.com/spreadsheets/d/1UsNK1e-WWiCo2PvGqdNfdme4m17_Ezd3J69EeeiQPD0/edit?usp=sharing"",""อุทัยธานี!M341"")"),0)</f>
        <v>0</v>
      </c>
      <c r="N341" s="46">
        <f ca="1">IFERROR(__xludf.DUMMYFUNCTION("IMPORTRANGE(""https://docs.google.com/spreadsheets/d/1jTcq05yEiRwXcBMLjiodW9e4biSGYWAHcDj22rKWQ3s/edit?usp=sharing"",""กำแพงเพชร!N341"")+IMPORTRANGE(""https://docs.google.com/spreadsheets/d/1KS0zmDSZPk8KnTAbGN-Xk6MtX1YRZD0ldgdt20K4CRk/edit?usp=sharing"","&amp;"""เชียงราย!N341"")+IMPORTRANGE(""https://docs.google.com/spreadsheets/d/1rEDxBtusbi64tE0zunoIbsTVV16HeL0oJ6trHQeQ7K8/edit?usp=sharing"",""เชียงใหม่!N341"")+IMPORTRANGE(""https://docs.google.com/spreadsheets/d/1W6MnUbDkMi6xHnHko_XkFDO9kkuL6Wqyc-6OCDFjW9I/e"&amp;"dit?usp=sharing"",""ตาก!N341"")+IMPORTRANGE(""https://docs.google.com/spreadsheets/d/1IQAWArduLkta9LpYo4a_ULsyqdta6-6aDDiwpUnQT6c/edit?usp=sharing"",""นครสวรรค์!N341"")+IMPORTRANGE(""https://docs.google.com/spreadsheets/d/10s13Sk5xrltsiR-Zkbmk5DwIaDIKO8Xl"&amp;"bJAfqyT7Gvg/edit?usp=sharing"",""น่าน!N341"")+IMPORTRANGE(""https://docs.google.com/spreadsheets/d/1uu4nAn4Dbi1XREnLKKotUANlKXa7yCgRcgq8HEzQYW8/edit?usp=sharing"",""พะเยา!N341"")+IMPORTRANGE(""https://docs.google.com/spreadsheets/d/1xfJKIQxVOaPDIICqsflNlL"&amp;"u3JacTDk1FP9RH4phX7mI/edit?usp=sharing"",""พิจิตร!N341"")+IMPORTRANGE(""https://docs.google.com/spreadsheets/d/1JtRfZkJMHtEhI5RdRHxYUG4FIZHqKDpNyIuN7A1Q0_k/edit?usp=sharing"",""พิษณุโลก!N341"")+IMPORTRANGE(""https://docs.google.com/spreadsheets/d/1xlcVZWU"&amp;"Nn6SuWm0c307h32SiGkd9BaeQWlAktfD3KO8/edit?usp=sharing"",""เพชรบูรณ์!N341"")+IMPORTRANGE(""https://docs.google.com/spreadsheets/d/1lOVebEIsI9qjGXl6EX66luk7wiuP2tBaryw-wKvv4e0/edit?usp=sharing"",""แพร่!N341"")+IMPORTRANGE(""https://docs.google.com/spreadshe"&amp;"ets/d/1dQrvX0vEcN7Gu0fnZ0B5S90AeR19zth4XlExFBeExMY/edit?usp=sharing"",""แม่ฮ่องสอน!N341"")+IMPORTRANGE(""https://docs.google.com/spreadsheets/d/1DY4XTNNwjluuxqdfdn6qvOSlMRrZqUtmYcZR0ttFiG4/edit?usp=sharing"",""ลำปาง!N341"")+IMPORTRANGE(""https://docs.goog"&amp;"le.com/spreadsheets/d/1ICwG78r0OFT8biBlxnBF8r7she7gNSzOvJ958PWT09c/edit?usp=sharing"",""ลำพูน!N341"")+IMPORTRANGE(""https://docs.google.com/spreadsheets/d/1B0f2xJpZUC6Z0xXnqKlZtEPzsf6L84eP1r1Q15seqRM/edit?usp=sharing"",""สุโขทัย!N341"")+IMPORTRANGE(""http"&amp;"s://docs.google.com/spreadsheets/d/1v0b9pFQCsKUVExMei7AgY2yQkdeNQvtOssygGsXbiKo/edit?usp=sharing"",""อุตรดิตถ์!N341"")+IMPORTRANGE(""https://docs.google.com/spreadsheets/d/1UsNK1e-WWiCo2PvGqdNfdme4m17_Ezd3J69EeeiQPD0/edit?usp=sharing"",""อุทัยธานี!N341"")"),0)</f>
        <v>0</v>
      </c>
      <c r="O341" s="46">
        <f t="shared" ca="1" si="253"/>
        <v>0</v>
      </c>
      <c r="P341" s="46">
        <f t="shared" ca="1" si="254"/>
        <v>0</v>
      </c>
      <c r="Q341" s="46">
        <f ca="1">IFERROR(__xludf.DUMMYFUNCTION("IMPORTRANGE(""https://docs.google.com/spreadsheets/d/1jTcq05yEiRwXcBMLjiodW9e4biSGYWAHcDj22rKWQ3s/edit?usp=sharing"",""กำแพงเพชร!Q341"")+IMPORTRANGE(""https://docs.google.com/spreadsheets/d/1KS0zmDSZPk8KnTAbGN-Xk6MtX1YRZD0ldgdt20K4CRk/edit?usp=sharing"","&amp;"""เชียงราย!Q341"")+IMPORTRANGE(""https://docs.google.com/spreadsheets/d/1rEDxBtusbi64tE0zunoIbsTVV16HeL0oJ6trHQeQ7K8/edit?usp=sharing"",""เชียงใหม่!Q341"")+IMPORTRANGE(""https://docs.google.com/spreadsheets/d/1W6MnUbDkMi6xHnHko_XkFDO9kkuL6Wqyc-6OCDFjW9I/e"&amp;"dit?usp=sharing"",""ตาก!Q341"")+IMPORTRANGE(""https://docs.google.com/spreadsheets/d/1IQAWArduLkta9LpYo4a_ULsyqdta6-6aDDiwpUnQT6c/edit?usp=sharing"",""นครสวรรค์!Q341"")+IMPORTRANGE(""https://docs.google.com/spreadsheets/d/10s13Sk5xrltsiR-Zkbmk5DwIaDIKO8Xl"&amp;"bJAfqyT7Gvg/edit?usp=sharing"",""น่าน!Q341"")+IMPORTRANGE(""https://docs.google.com/spreadsheets/d/1uu4nAn4Dbi1XREnLKKotUANlKXa7yCgRcgq8HEzQYW8/edit?usp=sharing"",""พะเยา!Q341"")+IMPORTRANGE(""https://docs.google.com/spreadsheets/d/1xfJKIQxVOaPDIICqsflNlL"&amp;"u3JacTDk1FP9RH4phX7mI/edit?usp=sharing"",""พิจิตร!Q341"")+IMPORTRANGE(""https://docs.google.com/spreadsheets/d/1JtRfZkJMHtEhI5RdRHxYUG4FIZHqKDpNyIuN7A1Q0_k/edit?usp=sharing"",""พิษณุโลก!Q341"")+IMPORTRANGE(""https://docs.google.com/spreadsheets/d/1xlcVZWU"&amp;"Nn6SuWm0c307h32SiGkd9BaeQWlAktfD3KO8/edit?usp=sharing"",""เพชรบูรณ์!Q341"")+IMPORTRANGE(""https://docs.google.com/spreadsheets/d/1lOVebEIsI9qjGXl6EX66luk7wiuP2tBaryw-wKvv4e0/edit?usp=sharing"",""แพร่!Q341"")+IMPORTRANGE(""https://docs.google.com/spreadshe"&amp;"ets/d/1dQrvX0vEcN7Gu0fnZ0B5S90AeR19zth4XlExFBeExMY/edit?usp=sharing"",""แม่ฮ่องสอน!Q341"")+IMPORTRANGE(""https://docs.google.com/spreadsheets/d/1DY4XTNNwjluuxqdfdn6qvOSlMRrZqUtmYcZR0ttFiG4/edit?usp=sharing"",""ลำปาง!Q341"")+IMPORTRANGE(""https://docs.goog"&amp;"le.com/spreadsheets/d/1ICwG78r0OFT8biBlxnBF8r7she7gNSzOvJ958PWT09c/edit?usp=sharing"",""ลำพูน!Q341"")+IMPORTRANGE(""https://docs.google.com/spreadsheets/d/1B0f2xJpZUC6Z0xXnqKlZtEPzsf6L84eP1r1Q15seqRM/edit?usp=sharing"",""สุโขทัย!Q341"")+IMPORTRANGE(""http"&amp;"s://docs.google.com/spreadsheets/d/1v0b9pFQCsKUVExMei7AgY2yQkdeNQvtOssygGsXbiKo/edit?usp=sharing"",""อุตรดิตถ์!Q341"")+IMPORTRANGE(""https://docs.google.com/spreadsheets/d/1UsNK1e-WWiCo2PvGqdNfdme4m17_Ezd3J69EeeiQPD0/edit?usp=sharing"",""อุทัยธานี!Q341"")"),0)</f>
        <v>0</v>
      </c>
      <c r="R341" s="46">
        <f ca="1">IFERROR(__xludf.DUMMYFUNCTION("IMPORTRANGE(""https://docs.google.com/spreadsheets/d/1jTcq05yEiRwXcBMLjiodW9e4biSGYWAHcDj22rKWQ3s/edit?usp=sharing"",""กำแพงเพชร!R341"")+IMPORTRANGE(""https://docs.google.com/spreadsheets/d/1KS0zmDSZPk8KnTAbGN-Xk6MtX1YRZD0ldgdt20K4CRk/edit?usp=sharing"","&amp;"""เชียงราย!R341"")+IMPORTRANGE(""https://docs.google.com/spreadsheets/d/1rEDxBtusbi64tE0zunoIbsTVV16HeL0oJ6trHQeQ7K8/edit?usp=sharing"",""เชียงใหม่!R341"")+IMPORTRANGE(""https://docs.google.com/spreadsheets/d/1W6MnUbDkMi6xHnHko_XkFDO9kkuL6Wqyc-6OCDFjW9I/e"&amp;"dit?usp=sharing"",""ตาก!R341"")+IMPORTRANGE(""https://docs.google.com/spreadsheets/d/1IQAWArduLkta9LpYo4a_ULsyqdta6-6aDDiwpUnQT6c/edit?usp=sharing"",""นครสวรรค์!R341"")+IMPORTRANGE(""https://docs.google.com/spreadsheets/d/10s13Sk5xrltsiR-Zkbmk5DwIaDIKO8Xl"&amp;"bJAfqyT7Gvg/edit?usp=sharing"",""น่าน!R341"")+IMPORTRANGE(""https://docs.google.com/spreadsheets/d/1uu4nAn4Dbi1XREnLKKotUANlKXa7yCgRcgq8HEzQYW8/edit?usp=sharing"",""พะเยา!R341"")+IMPORTRANGE(""https://docs.google.com/spreadsheets/d/1xfJKIQxVOaPDIICqsflNlL"&amp;"u3JacTDk1FP9RH4phX7mI/edit?usp=sharing"",""พิจิตร!R341"")+IMPORTRANGE(""https://docs.google.com/spreadsheets/d/1JtRfZkJMHtEhI5RdRHxYUG4FIZHqKDpNyIuN7A1Q0_k/edit?usp=sharing"",""พิษณุโลก!R341"")+IMPORTRANGE(""https://docs.google.com/spreadsheets/d/1xlcVZWU"&amp;"Nn6SuWm0c307h32SiGkd9BaeQWlAktfD3KO8/edit?usp=sharing"",""เพชรบูรณ์!R341"")+IMPORTRANGE(""https://docs.google.com/spreadsheets/d/1lOVebEIsI9qjGXl6EX66luk7wiuP2tBaryw-wKvv4e0/edit?usp=sharing"",""แพร่!R341"")+IMPORTRANGE(""https://docs.google.com/spreadshe"&amp;"ets/d/1dQrvX0vEcN7Gu0fnZ0B5S90AeR19zth4XlExFBeExMY/edit?usp=sharing"",""แม่ฮ่องสอน!R341"")+IMPORTRANGE(""https://docs.google.com/spreadsheets/d/1DY4XTNNwjluuxqdfdn6qvOSlMRrZqUtmYcZR0ttFiG4/edit?usp=sharing"",""ลำปาง!R341"")+IMPORTRANGE(""https://docs.goog"&amp;"le.com/spreadsheets/d/1ICwG78r0OFT8biBlxnBF8r7she7gNSzOvJ958PWT09c/edit?usp=sharing"",""ลำพูน!R341"")+IMPORTRANGE(""https://docs.google.com/spreadsheets/d/1B0f2xJpZUC6Z0xXnqKlZtEPzsf6L84eP1r1Q15seqRM/edit?usp=sharing"",""สุโขทัย!R341"")+IMPORTRANGE(""http"&amp;"s://docs.google.com/spreadsheets/d/1v0b9pFQCsKUVExMei7AgY2yQkdeNQvtOssygGsXbiKo/edit?usp=sharing"",""อุตรดิตถ์!R341"")+IMPORTRANGE(""https://docs.google.com/spreadsheets/d/1UsNK1e-WWiCo2PvGqdNfdme4m17_Ezd3J69EeeiQPD0/edit?usp=sharing"",""อุทัยธานี!R341"")"),0)</f>
        <v>0</v>
      </c>
      <c r="S341" s="46">
        <f ca="1">IFERROR(__xludf.DUMMYFUNCTION("IMPORTRANGE(""https://docs.google.com/spreadsheets/d/1jTcq05yEiRwXcBMLjiodW9e4biSGYWAHcDj22rKWQ3s/edit?usp=sharing"",""กำแพงเพชร!S341"")+IMPORTRANGE(""https://docs.google.com/spreadsheets/d/1KS0zmDSZPk8KnTAbGN-Xk6MtX1YRZD0ldgdt20K4CRk/edit?usp=sharing"","&amp;"""เชียงราย!S341"")+IMPORTRANGE(""https://docs.google.com/spreadsheets/d/1rEDxBtusbi64tE0zunoIbsTVV16HeL0oJ6trHQeQ7K8/edit?usp=sharing"",""เชียงใหม่!S341"")+IMPORTRANGE(""https://docs.google.com/spreadsheets/d/1W6MnUbDkMi6xHnHko_XkFDO9kkuL6Wqyc-6OCDFjW9I/e"&amp;"dit?usp=sharing"",""ตาก!S341"")+IMPORTRANGE(""https://docs.google.com/spreadsheets/d/1IQAWArduLkta9LpYo4a_ULsyqdta6-6aDDiwpUnQT6c/edit?usp=sharing"",""นครสวรรค์!S341"")+IMPORTRANGE(""https://docs.google.com/spreadsheets/d/10s13Sk5xrltsiR-Zkbmk5DwIaDIKO8Xl"&amp;"bJAfqyT7Gvg/edit?usp=sharing"",""น่าน!S341"")+IMPORTRANGE(""https://docs.google.com/spreadsheets/d/1uu4nAn4Dbi1XREnLKKotUANlKXa7yCgRcgq8HEzQYW8/edit?usp=sharing"",""พะเยา!S341"")+IMPORTRANGE(""https://docs.google.com/spreadsheets/d/1xfJKIQxVOaPDIICqsflNlL"&amp;"u3JacTDk1FP9RH4phX7mI/edit?usp=sharing"",""พิจิตร!S341"")+IMPORTRANGE(""https://docs.google.com/spreadsheets/d/1JtRfZkJMHtEhI5RdRHxYUG4FIZHqKDpNyIuN7A1Q0_k/edit?usp=sharing"",""พิษณุโลก!S341"")+IMPORTRANGE(""https://docs.google.com/spreadsheets/d/1xlcVZWU"&amp;"Nn6SuWm0c307h32SiGkd9BaeQWlAktfD3KO8/edit?usp=sharing"",""เพชรบูรณ์!S341"")+IMPORTRANGE(""https://docs.google.com/spreadsheets/d/1lOVebEIsI9qjGXl6EX66luk7wiuP2tBaryw-wKvv4e0/edit?usp=sharing"",""แพร่!S341"")+IMPORTRANGE(""https://docs.google.com/spreadshe"&amp;"ets/d/1dQrvX0vEcN7Gu0fnZ0B5S90AeR19zth4XlExFBeExMY/edit?usp=sharing"",""แม่ฮ่องสอน!S341"")+IMPORTRANGE(""https://docs.google.com/spreadsheets/d/1DY4XTNNwjluuxqdfdn6qvOSlMRrZqUtmYcZR0ttFiG4/edit?usp=sharing"",""ลำปาง!S341"")+IMPORTRANGE(""https://docs.goog"&amp;"le.com/spreadsheets/d/1ICwG78r0OFT8biBlxnBF8r7she7gNSzOvJ958PWT09c/edit?usp=sharing"",""ลำพูน!S341"")+IMPORTRANGE(""https://docs.google.com/spreadsheets/d/1B0f2xJpZUC6Z0xXnqKlZtEPzsf6L84eP1r1Q15seqRM/edit?usp=sharing"",""สุโขทัย!S341"")+IMPORTRANGE(""http"&amp;"s://docs.google.com/spreadsheets/d/1v0b9pFQCsKUVExMei7AgY2yQkdeNQvtOssygGsXbiKo/edit?usp=sharing"",""อุตรดิตถ์!S341"")+IMPORTRANGE(""https://docs.google.com/spreadsheets/d/1UsNK1e-WWiCo2PvGqdNfdme4m17_Ezd3J69EeeiQPD0/edit?usp=sharing"",""อุทัยธานี!S341"")"),0)</f>
        <v>0</v>
      </c>
      <c r="T341" s="46">
        <f t="shared" ca="1" si="256"/>
        <v>0</v>
      </c>
      <c r="U341" s="46">
        <f t="shared" ca="1" si="257"/>
        <v>0</v>
      </c>
    </row>
    <row r="342" spans="1:21" ht="19.5" x14ac:dyDescent="0.3">
      <c r="A342" s="138"/>
      <c r="B342" s="139"/>
      <c r="C342" s="129" t="s">
        <v>18</v>
      </c>
      <c r="D342" s="202" t="s">
        <v>38</v>
      </c>
      <c r="E342" s="141"/>
      <c r="F342" s="141"/>
      <c r="G342" s="142"/>
      <c r="H342" s="42"/>
      <c r="I342" s="44"/>
      <c r="J342" s="44"/>
      <c r="K342" s="45"/>
      <c r="L342" s="45"/>
      <c r="M342" s="45"/>
      <c r="N342" s="45"/>
      <c r="O342" s="136"/>
      <c r="P342" s="136"/>
      <c r="Q342" s="45"/>
      <c r="R342" s="45"/>
      <c r="S342" s="45"/>
      <c r="T342" s="136"/>
      <c r="U342" s="136"/>
    </row>
    <row r="343" spans="1:21" ht="19.5" x14ac:dyDescent="0.3">
      <c r="A343" s="211"/>
      <c r="B343" s="214"/>
      <c r="C343" s="212"/>
      <c r="D343" s="214"/>
      <c r="E343" s="302" t="s">
        <v>137</v>
      </c>
      <c r="F343" s="214"/>
      <c r="G343" s="215"/>
      <c r="H343" s="216" t="s">
        <v>35</v>
      </c>
      <c r="I343" s="303">
        <v>0</v>
      </c>
      <c r="J343" s="217">
        <f ca="1">J344+J347+J348+J349</f>
        <v>42852</v>
      </c>
      <c r="K343" s="304">
        <v>0</v>
      </c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</row>
    <row r="344" spans="1:21" ht="18.75" x14ac:dyDescent="0.25">
      <c r="A344" s="208"/>
      <c r="B344" s="40"/>
      <c r="C344" s="158"/>
      <c r="D344" s="145"/>
      <c r="E344" s="149" t="s">
        <v>138</v>
      </c>
      <c r="F344" s="40"/>
      <c r="G344" s="42"/>
      <c r="H344" s="210" t="s">
        <v>35</v>
      </c>
      <c r="I344" s="166">
        <f ca="1">IFERROR(__xludf.DUMMYFUNCTION("IMPORTRANGE(""https://docs.google.com/spreadsheets/d/1jTcq05yEiRwXcBMLjiodW9e4biSGYWAHcDj22rKWQ3s/edit?usp=sharing"",""กำแพงเพชร!I344"")+IMPORTRANGE(""https://docs.google.com/spreadsheets/d/1KS0zmDSZPk8KnTAbGN-Xk6MtX1YRZD0ldgdt20K4CRk/edit?usp=sharing"","&amp;"""เชียงราย!I344"")+IMPORTRANGE(""https://docs.google.com/spreadsheets/d/1rEDxBtusbi64tE0zunoIbsTVV16HeL0oJ6trHQeQ7K8/edit?usp=sharing"",""เชียงใหม่!I344"")+IMPORTRANGE(""https://docs.google.com/spreadsheets/d/1W6MnUbDkMi6xHnHko_XkFDO9kkuL6Wqyc-6OCDFjW9I/e"&amp;"dit?usp=sharing"",""ตาก!I344"")+IMPORTRANGE(""https://docs.google.com/spreadsheets/d/1IQAWArduLkta9LpYo4a_ULsyqdta6-6aDDiwpUnQT6c/edit?usp=sharing"",""นครสวรรค์!I344"")+IMPORTRANGE(""https://docs.google.com/spreadsheets/d/10s13Sk5xrltsiR-Zkbmk5DwIaDIKO8Xl"&amp;"bJAfqyT7Gvg/edit?usp=sharing"",""น่าน!I344"")+IMPORTRANGE(""https://docs.google.com/spreadsheets/d/1uu4nAn4Dbi1XREnLKKotUANlKXa7yCgRcgq8HEzQYW8/edit?usp=sharing"",""พะเยา!I344"")+IMPORTRANGE(""https://docs.google.com/spreadsheets/d/1xfJKIQxVOaPDIICqsflNlL"&amp;"u3JacTDk1FP9RH4phX7mI/edit?usp=sharing"",""พิจิตร!I344"")+IMPORTRANGE(""https://docs.google.com/spreadsheets/d/1JtRfZkJMHtEhI5RdRHxYUG4FIZHqKDpNyIuN7A1Q0_k/edit?usp=sharing"",""พิษณุโลก!I344"")+IMPORTRANGE(""https://docs.google.com/spreadsheets/d/1xlcVZWU"&amp;"Nn6SuWm0c307h32SiGkd9BaeQWlAktfD3KO8/edit?usp=sharing"",""เพชรบูรณ์!I344"")+IMPORTRANGE(""https://docs.google.com/spreadsheets/d/1lOVebEIsI9qjGXl6EX66luk7wiuP2tBaryw-wKvv4e0/edit?usp=sharing"",""แพร่!I344"")+IMPORTRANGE(""https://docs.google.com/spreadshe"&amp;"ets/d/1dQrvX0vEcN7Gu0fnZ0B5S90AeR19zth4XlExFBeExMY/edit?usp=sharing"",""แม่ฮ่องสอน!I344"")+IMPORTRANGE(""https://docs.google.com/spreadsheets/d/1DY4XTNNwjluuxqdfdn6qvOSlMRrZqUtmYcZR0ttFiG4/edit?usp=sharing"",""ลำปาง!I344"")+IMPORTRANGE(""https://docs.goog"&amp;"le.com/spreadsheets/d/1ICwG78r0OFT8biBlxnBF8r7she7gNSzOvJ958PWT09c/edit?usp=sharing"",""ลำพูน!I344"")+IMPORTRANGE(""https://docs.google.com/spreadsheets/d/1B0f2xJpZUC6Z0xXnqKlZtEPzsf6L84eP1r1Q15seqRM/edit?usp=sharing"",""สุโขทัย!I344"")+IMPORTRANGE(""http"&amp;"s://docs.google.com/spreadsheets/d/1v0b9pFQCsKUVExMei7AgY2yQkdeNQvtOssygGsXbiKo/edit?usp=sharing"",""อุตรดิตถ์!I344"")+IMPORTRANGE(""https://docs.google.com/spreadsheets/d/1UsNK1e-WWiCo2PvGqdNfdme4m17_Ezd3J69EeeiQPD0/edit?usp=sharing"",""อุทัยธานี!I344"")"),31240)</f>
        <v>31240</v>
      </c>
      <c r="J344" s="166">
        <f ca="1">IFERROR(__xludf.DUMMYFUNCTION("IMPORTRANGE(""https://docs.google.com/spreadsheets/d/1jTcq05yEiRwXcBMLjiodW9e4biSGYWAHcDj22rKWQ3s/edit?usp=sharing"",""กำแพงเพชร!J344"")+IMPORTRANGE(""https://docs.google.com/spreadsheets/d/1KS0zmDSZPk8KnTAbGN-Xk6MtX1YRZD0ldgdt20K4CRk/edit?usp=sharing"","&amp;"""เชียงราย!J344"")+IMPORTRANGE(""https://docs.google.com/spreadsheets/d/1rEDxBtusbi64tE0zunoIbsTVV16HeL0oJ6trHQeQ7K8/edit?usp=sharing"",""เชียงใหม่!J344"")+IMPORTRANGE(""https://docs.google.com/spreadsheets/d/1W6MnUbDkMi6xHnHko_XkFDO9kkuL6Wqyc-6OCDFjW9I/e"&amp;"dit?usp=sharing"",""ตาก!J344"")+IMPORTRANGE(""https://docs.google.com/spreadsheets/d/1IQAWArduLkta9LpYo4a_ULsyqdta6-6aDDiwpUnQT6c/edit?usp=sharing"",""นครสวรรค์!J344"")+IMPORTRANGE(""https://docs.google.com/spreadsheets/d/10s13Sk5xrltsiR-Zkbmk5DwIaDIKO8Xl"&amp;"bJAfqyT7Gvg/edit?usp=sharing"",""น่าน!J344"")+IMPORTRANGE(""https://docs.google.com/spreadsheets/d/1uu4nAn4Dbi1XREnLKKotUANlKXa7yCgRcgq8HEzQYW8/edit?usp=sharing"",""พะเยา!J344"")+IMPORTRANGE(""https://docs.google.com/spreadsheets/d/1xfJKIQxVOaPDIICqsflNlL"&amp;"u3JacTDk1FP9RH4phX7mI/edit?usp=sharing"",""พิจิตร!J344"")+IMPORTRANGE(""https://docs.google.com/spreadsheets/d/1JtRfZkJMHtEhI5RdRHxYUG4FIZHqKDpNyIuN7A1Q0_k/edit?usp=sharing"",""พิษณุโลก!J344"")+IMPORTRANGE(""https://docs.google.com/spreadsheets/d/1xlcVZWU"&amp;"Nn6SuWm0c307h32SiGkd9BaeQWlAktfD3KO8/edit?usp=sharing"",""เพชรบูรณ์!J344"")+IMPORTRANGE(""https://docs.google.com/spreadsheets/d/1lOVebEIsI9qjGXl6EX66luk7wiuP2tBaryw-wKvv4e0/edit?usp=sharing"",""แพร่!J344"")+IMPORTRANGE(""https://docs.google.com/spreadshe"&amp;"ets/d/1dQrvX0vEcN7Gu0fnZ0B5S90AeR19zth4XlExFBeExMY/edit?usp=sharing"",""แม่ฮ่องสอน!J344"")+IMPORTRANGE(""https://docs.google.com/spreadsheets/d/1DY4XTNNwjluuxqdfdn6qvOSlMRrZqUtmYcZR0ttFiG4/edit?usp=sharing"",""ลำปาง!J344"")+IMPORTRANGE(""https://docs.goog"&amp;"le.com/spreadsheets/d/1ICwG78r0OFT8biBlxnBF8r7she7gNSzOvJ958PWT09c/edit?usp=sharing"",""ลำพูน!J344"")+IMPORTRANGE(""https://docs.google.com/spreadsheets/d/1B0f2xJpZUC6Z0xXnqKlZtEPzsf6L84eP1r1Q15seqRM/edit?usp=sharing"",""สุโขทัย!J344"")+IMPORTRANGE(""http"&amp;"s://docs.google.com/spreadsheets/d/1v0b9pFQCsKUVExMei7AgY2yQkdeNQvtOssygGsXbiKo/edit?usp=sharing"",""อุตรดิตถ์!J344"")+IMPORTRANGE(""https://docs.google.com/spreadsheets/d/1UsNK1e-WWiCo2PvGqdNfdme4m17_Ezd3J69EeeiQPD0/edit?usp=sharing"",""อุทัยธานี!J344"")"),41134)</f>
        <v>41134</v>
      </c>
      <c r="K344" s="46">
        <f ca="1">IF(I344&gt;0,J344*100/I344,0)</f>
        <v>131.67093469910373</v>
      </c>
      <c r="L344" s="45"/>
      <c r="M344" s="45"/>
      <c r="N344" s="45"/>
      <c r="O344" s="45"/>
      <c r="P344" s="45"/>
      <c r="Q344" s="45"/>
      <c r="R344" s="45"/>
      <c r="S344" s="45"/>
      <c r="T344" s="45"/>
      <c r="U344" s="45"/>
    </row>
    <row r="345" spans="1:21" ht="18.75" x14ac:dyDescent="0.25">
      <c r="A345" s="208"/>
      <c r="B345" s="40"/>
      <c r="C345" s="158"/>
      <c r="D345" s="145"/>
      <c r="E345" s="149" t="s">
        <v>139</v>
      </c>
      <c r="F345" s="40"/>
      <c r="G345" s="42"/>
      <c r="H345" s="180"/>
      <c r="I345" s="44"/>
      <c r="J345" s="44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</row>
    <row r="346" spans="1:21" ht="18.75" x14ac:dyDescent="0.25">
      <c r="A346" s="208"/>
      <c r="B346" s="40"/>
      <c r="C346" s="158"/>
      <c r="D346" s="145"/>
      <c r="E346" s="145"/>
      <c r="F346" s="149" t="s">
        <v>140</v>
      </c>
      <c r="G346" s="42"/>
      <c r="H346" s="175" t="s">
        <v>141</v>
      </c>
      <c r="I346" s="166">
        <f ca="1">IFERROR(__xludf.DUMMYFUNCTION("IMPORTRANGE(""https://docs.google.com/spreadsheets/d/1jTcq05yEiRwXcBMLjiodW9e4biSGYWAHcDj22rKWQ3s/edit?usp=sharing"",""กำแพงเพชร!I346"")+IMPORTRANGE(""https://docs.google.com/spreadsheets/d/1KS0zmDSZPk8KnTAbGN-Xk6MtX1YRZD0ldgdt20K4CRk/edit?usp=sharing"","&amp;"""เชียงราย!I346"")+IMPORTRANGE(""https://docs.google.com/spreadsheets/d/1rEDxBtusbi64tE0zunoIbsTVV16HeL0oJ6trHQeQ7K8/edit?usp=sharing"",""เชียงใหม่!I346"")+IMPORTRANGE(""https://docs.google.com/spreadsheets/d/1W6MnUbDkMi6xHnHko_XkFDO9kkuL6Wqyc-6OCDFjW9I/e"&amp;"dit?usp=sharing"",""ตาก!I346"")+IMPORTRANGE(""https://docs.google.com/spreadsheets/d/1IQAWArduLkta9LpYo4a_ULsyqdta6-6aDDiwpUnQT6c/edit?usp=sharing"",""นครสวรรค์!I346"")+IMPORTRANGE(""https://docs.google.com/spreadsheets/d/10s13Sk5xrltsiR-Zkbmk5DwIaDIKO8Xl"&amp;"bJAfqyT7Gvg/edit?usp=sharing"",""น่าน!I346"")+IMPORTRANGE(""https://docs.google.com/spreadsheets/d/1uu4nAn4Dbi1XREnLKKotUANlKXa7yCgRcgq8HEzQYW8/edit?usp=sharing"",""พะเยา!I346"")+IMPORTRANGE(""https://docs.google.com/spreadsheets/d/1xfJKIQxVOaPDIICqsflNlL"&amp;"u3JacTDk1FP9RH4phX7mI/edit?usp=sharing"",""พิจิตร!I346"")+IMPORTRANGE(""https://docs.google.com/spreadsheets/d/1JtRfZkJMHtEhI5RdRHxYUG4FIZHqKDpNyIuN7A1Q0_k/edit?usp=sharing"",""พิษณุโลก!I346"")+IMPORTRANGE(""https://docs.google.com/spreadsheets/d/1xlcVZWU"&amp;"Nn6SuWm0c307h32SiGkd9BaeQWlAktfD3KO8/edit?usp=sharing"",""เพชรบูรณ์!I346"")+IMPORTRANGE(""https://docs.google.com/spreadsheets/d/1lOVebEIsI9qjGXl6EX66luk7wiuP2tBaryw-wKvv4e0/edit?usp=sharing"",""แพร่!I346"")+IMPORTRANGE(""https://docs.google.com/spreadshe"&amp;"ets/d/1dQrvX0vEcN7Gu0fnZ0B5S90AeR19zth4XlExFBeExMY/edit?usp=sharing"",""แม่ฮ่องสอน!I346"")+IMPORTRANGE(""https://docs.google.com/spreadsheets/d/1DY4XTNNwjluuxqdfdn6qvOSlMRrZqUtmYcZR0ttFiG4/edit?usp=sharing"",""ลำปาง!I346"")+IMPORTRANGE(""https://docs.goog"&amp;"le.com/spreadsheets/d/1ICwG78r0OFT8biBlxnBF8r7she7gNSzOvJ958PWT09c/edit?usp=sharing"",""ลำพูน!I346"")+IMPORTRANGE(""https://docs.google.com/spreadsheets/d/1B0f2xJpZUC6Z0xXnqKlZtEPzsf6L84eP1r1Q15seqRM/edit?usp=sharing"",""สุโขทัย!I346"")+IMPORTRANGE(""http"&amp;"s://docs.google.com/spreadsheets/d/1v0b9pFQCsKUVExMei7AgY2yQkdeNQvtOssygGsXbiKo/edit?usp=sharing"",""อุตรดิตถ์!I346"")+IMPORTRANGE(""https://docs.google.com/spreadsheets/d/1UsNK1e-WWiCo2PvGqdNfdme4m17_Ezd3J69EeeiQPD0/edit?usp=sharing"",""อุทัยธานี!I346"")"),73)</f>
        <v>73</v>
      </c>
      <c r="J346" s="166">
        <f ca="1">IFERROR(__xludf.DUMMYFUNCTION("IMPORTRANGE(""https://docs.google.com/spreadsheets/d/1jTcq05yEiRwXcBMLjiodW9e4biSGYWAHcDj22rKWQ3s/edit?usp=sharing"",""กำแพงเพชร!J346"")+IMPORTRANGE(""https://docs.google.com/spreadsheets/d/1KS0zmDSZPk8KnTAbGN-Xk6MtX1YRZD0ldgdt20K4CRk/edit?usp=sharing"","&amp;"""เชียงราย!J346"")+IMPORTRANGE(""https://docs.google.com/spreadsheets/d/1rEDxBtusbi64tE0zunoIbsTVV16HeL0oJ6trHQeQ7K8/edit?usp=sharing"",""เชียงใหม่!J346"")+IMPORTRANGE(""https://docs.google.com/spreadsheets/d/1W6MnUbDkMi6xHnHko_XkFDO9kkuL6Wqyc-6OCDFjW9I/e"&amp;"dit?usp=sharing"",""ตาก!J346"")+IMPORTRANGE(""https://docs.google.com/spreadsheets/d/1IQAWArduLkta9LpYo4a_ULsyqdta6-6aDDiwpUnQT6c/edit?usp=sharing"",""นครสวรรค์!J346"")+IMPORTRANGE(""https://docs.google.com/spreadsheets/d/10s13Sk5xrltsiR-Zkbmk5DwIaDIKO8Xl"&amp;"bJAfqyT7Gvg/edit?usp=sharing"",""น่าน!J346"")+IMPORTRANGE(""https://docs.google.com/spreadsheets/d/1uu4nAn4Dbi1XREnLKKotUANlKXa7yCgRcgq8HEzQYW8/edit?usp=sharing"",""พะเยา!J346"")+IMPORTRANGE(""https://docs.google.com/spreadsheets/d/1xfJKIQxVOaPDIICqsflNlL"&amp;"u3JacTDk1FP9RH4phX7mI/edit?usp=sharing"",""พิจิตร!J346"")+IMPORTRANGE(""https://docs.google.com/spreadsheets/d/1JtRfZkJMHtEhI5RdRHxYUG4FIZHqKDpNyIuN7A1Q0_k/edit?usp=sharing"",""พิษณุโลก!J346"")+IMPORTRANGE(""https://docs.google.com/spreadsheets/d/1xlcVZWU"&amp;"Nn6SuWm0c307h32SiGkd9BaeQWlAktfD3KO8/edit?usp=sharing"",""เพชรบูรณ์!J346"")+IMPORTRANGE(""https://docs.google.com/spreadsheets/d/1lOVebEIsI9qjGXl6EX66luk7wiuP2tBaryw-wKvv4e0/edit?usp=sharing"",""แพร่!J346"")+IMPORTRANGE(""https://docs.google.com/spreadshe"&amp;"ets/d/1dQrvX0vEcN7Gu0fnZ0B5S90AeR19zth4XlExFBeExMY/edit?usp=sharing"",""แม่ฮ่องสอน!J346"")+IMPORTRANGE(""https://docs.google.com/spreadsheets/d/1DY4XTNNwjluuxqdfdn6qvOSlMRrZqUtmYcZR0ttFiG4/edit?usp=sharing"",""ลำปาง!J346"")+IMPORTRANGE(""https://docs.goog"&amp;"le.com/spreadsheets/d/1ICwG78r0OFT8biBlxnBF8r7she7gNSzOvJ958PWT09c/edit?usp=sharing"",""ลำพูน!J346"")+IMPORTRANGE(""https://docs.google.com/spreadsheets/d/1B0f2xJpZUC6Z0xXnqKlZtEPzsf6L84eP1r1Q15seqRM/edit?usp=sharing"",""สุโขทัย!J346"")+IMPORTRANGE(""http"&amp;"s://docs.google.com/spreadsheets/d/1v0b9pFQCsKUVExMei7AgY2yQkdeNQvtOssygGsXbiKo/edit?usp=sharing"",""อุตรดิตถ์!J346"")+IMPORTRANGE(""https://docs.google.com/spreadsheets/d/1UsNK1e-WWiCo2PvGqdNfdme4m17_Ezd3J69EeeiQPD0/edit?usp=sharing"",""อุทัยธานี!J346"")"),59)</f>
        <v>59</v>
      </c>
      <c r="K346" s="46">
        <f ca="1">IF(I346&gt;0,J346*100/I346,0)</f>
        <v>80.821917808219183</v>
      </c>
      <c r="L346" s="45"/>
      <c r="M346" s="45"/>
      <c r="N346" s="45"/>
      <c r="O346" s="45"/>
      <c r="P346" s="45"/>
      <c r="Q346" s="45"/>
      <c r="R346" s="45"/>
      <c r="S346" s="45"/>
      <c r="T346" s="45"/>
      <c r="U346" s="45"/>
    </row>
    <row r="347" spans="1:21" ht="18.75" x14ac:dyDescent="0.25">
      <c r="A347" s="208"/>
      <c r="B347" s="40"/>
      <c r="C347" s="158"/>
      <c r="D347" s="145"/>
      <c r="E347" s="145"/>
      <c r="F347" s="149" t="s">
        <v>142</v>
      </c>
      <c r="G347" s="42"/>
      <c r="H347" s="175" t="s">
        <v>35</v>
      </c>
      <c r="I347" s="44"/>
      <c r="J347" s="166">
        <f ca="1">IFERROR(__xludf.DUMMYFUNCTION("IMPORTRANGE(""https://docs.google.com/spreadsheets/d/1jTcq05yEiRwXcBMLjiodW9e4biSGYWAHcDj22rKWQ3s/edit?usp=sharing"",""กำแพงเพชร!J347"")+IMPORTRANGE(""https://docs.google.com/spreadsheets/d/1KS0zmDSZPk8KnTAbGN-Xk6MtX1YRZD0ldgdt20K4CRk/edit?usp=sharing"","&amp;"""เชียงราย!J347"")+IMPORTRANGE(""https://docs.google.com/spreadsheets/d/1rEDxBtusbi64tE0zunoIbsTVV16HeL0oJ6trHQeQ7K8/edit?usp=sharing"",""เชียงใหม่!J347"")+IMPORTRANGE(""https://docs.google.com/spreadsheets/d/1W6MnUbDkMi6xHnHko_XkFDO9kkuL6Wqyc-6OCDFjW9I/e"&amp;"dit?usp=sharing"",""ตาก!J347"")+IMPORTRANGE(""https://docs.google.com/spreadsheets/d/1IQAWArduLkta9LpYo4a_ULsyqdta6-6aDDiwpUnQT6c/edit?usp=sharing"",""นครสวรรค์!J347"")+IMPORTRANGE(""https://docs.google.com/spreadsheets/d/10s13Sk5xrltsiR-Zkbmk5DwIaDIKO8Xl"&amp;"bJAfqyT7Gvg/edit?usp=sharing"",""น่าน!J347"")+IMPORTRANGE(""https://docs.google.com/spreadsheets/d/1uu4nAn4Dbi1XREnLKKotUANlKXa7yCgRcgq8HEzQYW8/edit?usp=sharing"",""พะเยา!J347"")+IMPORTRANGE(""https://docs.google.com/spreadsheets/d/1xfJKIQxVOaPDIICqsflNlL"&amp;"u3JacTDk1FP9RH4phX7mI/edit?usp=sharing"",""พิจิตร!J347"")+IMPORTRANGE(""https://docs.google.com/spreadsheets/d/1JtRfZkJMHtEhI5RdRHxYUG4FIZHqKDpNyIuN7A1Q0_k/edit?usp=sharing"",""พิษณุโลก!J347"")+IMPORTRANGE(""https://docs.google.com/spreadsheets/d/1xlcVZWU"&amp;"Nn6SuWm0c307h32SiGkd9BaeQWlAktfD3KO8/edit?usp=sharing"",""เพชรบูรณ์!J347"")+IMPORTRANGE(""https://docs.google.com/spreadsheets/d/1lOVebEIsI9qjGXl6EX66luk7wiuP2tBaryw-wKvv4e0/edit?usp=sharing"",""แพร่!J347"")+IMPORTRANGE(""https://docs.google.com/spreadshe"&amp;"ets/d/1dQrvX0vEcN7Gu0fnZ0B5S90AeR19zth4XlExFBeExMY/edit?usp=sharing"",""แม่ฮ่องสอน!J347"")+IMPORTRANGE(""https://docs.google.com/spreadsheets/d/1DY4XTNNwjluuxqdfdn6qvOSlMRrZqUtmYcZR0ttFiG4/edit?usp=sharing"",""ลำปาง!J347"")+IMPORTRANGE(""https://docs.goog"&amp;"le.com/spreadsheets/d/1ICwG78r0OFT8biBlxnBF8r7she7gNSzOvJ958PWT09c/edit?usp=sharing"",""ลำพูน!J347"")+IMPORTRANGE(""https://docs.google.com/spreadsheets/d/1B0f2xJpZUC6Z0xXnqKlZtEPzsf6L84eP1r1Q15seqRM/edit?usp=sharing"",""สุโขทัย!J347"")+IMPORTRANGE(""http"&amp;"s://docs.google.com/spreadsheets/d/1v0b9pFQCsKUVExMei7AgY2yQkdeNQvtOssygGsXbiKo/edit?usp=sharing"",""อุตรดิตถ์!J347"")+IMPORTRANGE(""https://docs.google.com/spreadsheets/d/1UsNK1e-WWiCo2PvGqdNfdme4m17_Ezd3J69EeeiQPD0/edit?usp=sharing"",""อุทัยธานี!J347"")"),1226)</f>
        <v>1226</v>
      </c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</row>
    <row r="348" spans="1:21" ht="18.75" x14ac:dyDescent="0.25">
      <c r="A348" s="208"/>
      <c r="B348" s="40"/>
      <c r="C348" s="158"/>
      <c r="D348" s="145"/>
      <c r="E348" s="149" t="s">
        <v>143</v>
      </c>
      <c r="F348" s="145"/>
      <c r="G348" s="42"/>
      <c r="H348" s="175" t="s">
        <v>35</v>
      </c>
      <c r="I348" s="44"/>
      <c r="J348" s="166">
        <f ca="1">IFERROR(__xludf.DUMMYFUNCTION("IMPORTRANGE(""https://docs.google.com/spreadsheets/d/1jTcq05yEiRwXcBMLjiodW9e4biSGYWAHcDj22rKWQ3s/edit?usp=sharing"",""กำแพงเพชร!J348"")+IMPORTRANGE(""https://docs.google.com/spreadsheets/d/1KS0zmDSZPk8KnTAbGN-Xk6MtX1YRZD0ldgdt20K4CRk/edit?usp=sharing"","&amp;"""เชียงราย!J348"")+IMPORTRANGE(""https://docs.google.com/spreadsheets/d/1rEDxBtusbi64tE0zunoIbsTVV16HeL0oJ6trHQeQ7K8/edit?usp=sharing"",""เชียงใหม่!J348"")+IMPORTRANGE(""https://docs.google.com/spreadsheets/d/1W6MnUbDkMi6xHnHko_XkFDO9kkuL6Wqyc-6OCDFjW9I/e"&amp;"dit?usp=sharing"",""ตาก!J348"")+IMPORTRANGE(""https://docs.google.com/spreadsheets/d/1IQAWArduLkta9LpYo4a_ULsyqdta6-6aDDiwpUnQT6c/edit?usp=sharing"",""นครสวรรค์!J348"")+IMPORTRANGE(""https://docs.google.com/spreadsheets/d/10s13Sk5xrltsiR-Zkbmk5DwIaDIKO8Xl"&amp;"bJAfqyT7Gvg/edit?usp=sharing"",""น่าน!J348"")+IMPORTRANGE(""https://docs.google.com/spreadsheets/d/1uu4nAn4Dbi1XREnLKKotUANlKXa7yCgRcgq8HEzQYW8/edit?usp=sharing"",""พะเยา!J348"")+IMPORTRANGE(""https://docs.google.com/spreadsheets/d/1xfJKIQxVOaPDIICqsflNlL"&amp;"u3JacTDk1FP9RH4phX7mI/edit?usp=sharing"",""พิจิตร!J348"")+IMPORTRANGE(""https://docs.google.com/spreadsheets/d/1JtRfZkJMHtEhI5RdRHxYUG4FIZHqKDpNyIuN7A1Q0_k/edit?usp=sharing"",""พิษณุโลก!J348"")+IMPORTRANGE(""https://docs.google.com/spreadsheets/d/1xlcVZWU"&amp;"Nn6SuWm0c307h32SiGkd9BaeQWlAktfD3KO8/edit?usp=sharing"",""เพชรบูรณ์!J348"")+IMPORTRANGE(""https://docs.google.com/spreadsheets/d/1lOVebEIsI9qjGXl6EX66luk7wiuP2tBaryw-wKvv4e0/edit?usp=sharing"",""แพร่!J348"")+IMPORTRANGE(""https://docs.google.com/spreadshe"&amp;"ets/d/1dQrvX0vEcN7Gu0fnZ0B5S90AeR19zth4XlExFBeExMY/edit?usp=sharing"",""แม่ฮ่องสอน!J348"")+IMPORTRANGE(""https://docs.google.com/spreadsheets/d/1DY4XTNNwjluuxqdfdn6qvOSlMRrZqUtmYcZR0ttFiG4/edit?usp=sharing"",""ลำปาง!J348"")+IMPORTRANGE(""https://docs.goog"&amp;"le.com/spreadsheets/d/1ICwG78r0OFT8biBlxnBF8r7she7gNSzOvJ958PWT09c/edit?usp=sharing"",""ลำพูน!J348"")+IMPORTRANGE(""https://docs.google.com/spreadsheets/d/1B0f2xJpZUC6Z0xXnqKlZtEPzsf6L84eP1r1Q15seqRM/edit?usp=sharing"",""สุโขทัย!J348"")+IMPORTRANGE(""http"&amp;"s://docs.google.com/spreadsheets/d/1v0b9pFQCsKUVExMei7AgY2yQkdeNQvtOssygGsXbiKo/edit?usp=sharing"",""อุตรดิตถ์!J348"")+IMPORTRANGE(""https://docs.google.com/spreadsheets/d/1UsNK1e-WWiCo2PvGqdNfdme4m17_Ezd3J69EeeiQPD0/edit?usp=sharing"",""อุทัยธานี!J348"")"),361)</f>
        <v>361</v>
      </c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</row>
    <row r="349" spans="1:21" ht="18.75" x14ac:dyDescent="0.25">
      <c r="A349" s="208"/>
      <c r="B349" s="40"/>
      <c r="C349" s="158"/>
      <c r="D349" s="139"/>
      <c r="E349" s="149" t="s">
        <v>144</v>
      </c>
      <c r="F349" s="145"/>
      <c r="G349" s="42"/>
      <c r="H349" s="175" t="s">
        <v>35</v>
      </c>
      <c r="I349" s="44"/>
      <c r="J349" s="166">
        <f ca="1">IFERROR(__xludf.DUMMYFUNCTION("IMPORTRANGE(""https://docs.google.com/spreadsheets/d/1jTcq05yEiRwXcBMLjiodW9e4biSGYWAHcDj22rKWQ3s/edit?usp=sharing"",""กำแพงเพชร!J349"")+IMPORTRANGE(""https://docs.google.com/spreadsheets/d/1KS0zmDSZPk8KnTAbGN-Xk6MtX1YRZD0ldgdt20K4CRk/edit?usp=sharing"","&amp;"""เชียงราย!J349"")+IMPORTRANGE(""https://docs.google.com/spreadsheets/d/1rEDxBtusbi64tE0zunoIbsTVV16HeL0oJ6trHQeQ7K8/edit?usp=sharing"",""เชียงใหม่!J349"")+IMPORTRANGE(""https://docs.google.com/spreadsheets/d/1W6MnUbDkMi6xHnHko_XkFDO9kkuL6Wqyc-6OCDFjW9I/e"&amp;"dit?usp=sharing"",""ตาก!J349"")+IMPORTRANGE(""https://docs.google.com/spreadsheets/d/1IQAWArduLkta9LpYo4a_ULsyqdta6-6aDDiwpUnQT6c/edit?usp=sharing"",""นครสวรรค์!J349"")+IMPORTRANGE(""https://docs.google.com/spreadsheets/d/10s13Sk5xrltsiR-Zkbmk5DwIaDIKO8Xl"&amp;"bJAfqyT7Gvg/edit?usp=sharing"",""น่าน!J349"")+IMPORTRANGE(""https://docs.google.com/spreadsheets/d/1uu4nAn4Dbi1XREnLKKotUANlKXa7yCgRcgq8HEzQYW8/edit?usp=sharing"",""พะเยา!J349"")+IMPORTRANGE(""https://docs.google.com/spreadsheets/d/1xfJKIQxVOaPDIICqsflNlL"&amp;"u3JacTDk1FP9RH4phX7mI/edit?usp=sharing"",""พิจิตร!J349"")+IMPORTRANGE(""https://docs.google.com/spreadsheets/d/1JtRfZkJMHtEhI5RdRHxYUG4FIZHqKDpNyIuN7A1Q0_k/edit?usp=sharing"",""พิษณุโลก!J349"")+IMPORTRANGE(""https://docs.google.com/spreadsheets/d/1xlcVZWU"&amp;"Nn6SuWm0c307h32SiGkd9BaeQWlAktfD3KO8/edit?usp=sharing"",""เพชรบูรณ์!J349"")+IMPORTRANGE(""https://docs.google.com/spreadsheets/d/1lOVebEIsI9qjGXl6EX66luk7wiuP2tBaryw-wKvv4e0/edit?usp=sharing"",""แพร่!J349"")+IMPORTRANGE(""https://docs.google.com/spreadshe"&amp;"ets/d/1dQrvX0vEcN7Gu0fnZ0B5S90AeR19zth4XlExFBeExMY/edit?usp=sharing"",""แม่ฮ่องสอน!J349"")+IMPORTRANGE(""https://docs.google.com/spreadsheets/d/1DY4XTNNwjluuxqdfdn6qvOSlMRrZqUtmYcZR0ttFiG4/edit?usp=sharing"",""ลำปาง!J349"")+IMPORTRANGE(""https://docs.goog"&amp;"le.com/spreadsheets/d/1ICwG78r0OFT8biBlxnBF8r7she7gNSzOvJ958PWT09c/edit?usp=sharing"",""ลำพูน!J349"")+IMPORTRANGE(""https://docs.google.com/spreadsheets/d/1B0f2xJpZUC6Z0xXnqKlZtEPzsf6L84eP1r1Q15seqRM/edit?usp=sharing"",""สุโขทัย!J349"")+IMPORTRANGE(""http"&amp;"s://docs.google.com/spreadsheets/d/1v0b9pFQCsKUVExMei7AgY2yQkdeNQvtOssygGsXbiKo/edit?usp=sharing"",""อุตรดิตถ์!J349"")+IMPORTRANGE(""https://docs.google.com/spreadsheets/d/1UsNK1e-WWiCo2PvGqdNfdme4m17_Ezd3J69EeeiQPD0/edit?usp=sharing"",""อุทัยธานี!J349"")"),131)</f>
        <v>131</v>
      </c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</row>
    <row r="350" spans="1:21" ht="16.5" x14ac:dyDescent="0.25">
      <c r="A350" s="158"/>
      <c r="B350" s="40"/>
      <c r="C350" s="158"/>
      <c r="D350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0"/>
      <c r="F350" s="40"/>
      <c r="G350" s="42"/>
      <c r="H350" s="180"/>
      <c r="I350" s="44"/>
      <c r="J350" s="44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</row>
    <row r="351" spans="1:21" ht="19.5" x14ac:dyDescent="0.3">
      <c r="A351" s="211"/>
      <c r="B351" s="214"/>
      <c r="C351" s="212"/>
      <c r="D351" s="214"/>
      <c r="E351" s="306" t="s">
        <v>145</v>
      </c>
      <c r="F351" s="214"/>
      <c r="G351" s="215"/>
      <c r="H351" s="216" t="s">
        <v>35</v>
      </c>
      <c r="I351" s="303">
        <v>0</v>
      </c>
      <c r="J351" s="217">
        <f ca="1">J352+J353</f>
        <v>95550</v>
      </c>
      <c r="K351" s="304">
        <v>0</v>
      </c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</row>
    <row r="352" spans="1:21" ht="18.75" x14ac:dyDescent="0.25">
      <c r="A352" s="158"/>
      <c r="B352" s="40"/>
      <c r="C352" s="158"/>
      <c r="D352" s="145"/>
      <c r="E352" s="149" t="s">
        <v>146</v>
      </c>
      <c r="F352" s="40"/>
      <c r="G352" s="42"/>
      <c r="H352" s="133" t="s">
        <v>35</v>
      </c>
      <c r="I352" s="44"/>
      <c r="J352" s="166">
        <f ca="1">IFERROR(__xludf.DUMMYFUNCTION("IMPORTRANGE(""https://docs.google.com/spreadsheets/d/1jTcq05yEiRwXcBMLjiodW9e4biSGYWAHcDj22rKWQ3s/edit?usp=sharing"",""กำแพงเพชร!J352"")+IMPORTRANGE(""https://docs.google.com/spreadsheets/d/1KS0zmDSZPk8KnTAbGN-Xk6MtX1YRZD0ldgdt20K4CRk/edit?usp=sharing"","&amp;"""เชียงราย!J352"")+IMPORTRANGE(""https://docs.google.com/spreadsheets/d/1rEDxBtusbi64tE0zunoIbsTVV16HeL0oJ6trHQeQ7K8/edit?usp=sharing"",""เชียงใหม่!J352"")+IMPORTRANGE(""https://docs.google.com/spreadsheets/d/1W6MnUbDkMi6xHnHko_XkFDO9kkuL6Wqyc-6OCDFjW9I/e"&amp;"dit?usp=sharing"",""ตาก!J352"")+IMPORTRANGE(""https://docs.google.com/spreadsheets/d/1IQAWArduLkta9LpYo4a_ULsyqdta6-6aDDiwpUnQT6c/edit?usp=sharing"",""นครสวรรค์!J352"")+IMPORTRANGE(""https://docs.google.com/spreadsheets/d/10s13Sk5xrltsiR-Zkbmk5DwIaDIKO8Xl"&amp;"bJAfqyT7Gvg/edit?usp=sharing"",""น่าน!J352"")+IMPORTRANGE(""https://docs.google.com/spreadsheets/d/1uu4nAn4Dbi1XREnLKKotUANlKXa7yCgRcgq8HEzQYW8/edit?usp=sharing"",""พะเยา!J352"")+IMPORTRANGE(""https://docs.google.com/spreadsheets/d/1xfJKIQxVOaPDIICqsflNlL"&amp;"u3JacTDk1FP9RH4phX7mI/edit?usp=sharing"",""พิจิตร!J352"")+IMPORTRANGE(""https://docs.google.com/spreadsheets/d/1JtRfZkJMHtEhI5RdRHxYUG4FIZHqKDpNyIuN7A1Q0_k/edit?usp=sharing"",""พิษณุโลก!J352"")+IMPORTRANGE(""https://docs.google.com/spreadsheets/d/1xlcVZWU"&amp;"Nn6SuWm0c307h32SiGkd9BaeQWlAktfD3KO8/edit?usp=sharing"",""เพชรบูรณ์!J352"")+IMPORTRANGE(""https://docs.google.com/spreadsheets/d/1lOVebEIsI9qjGXl6EX66luk7wiuP2tBaryw-wKvv4e0/edit?usp=sharing"",""แพร่!J352"")+IMPORTRANGE(""https://docs.google.com/spreadshe"&amp;"ets/d/1dQrvX0vEcN7Gu0fnZ0B5S90AeR19zth4XlExFBeExMY/edit?usp=sharing"",""แม่ฮ่องสอน!J352"")+IMPORTRANGE(""https://docs.google.com/spreadsheets/d/1DY4XTNNwjluuxqdfdn6qvOSlMRrZqUtmYcZR0ttFiG4/edit?usp=sharing"",""ลำปาง!J352"")+IMPORTRANGE(""https://docs.goog"&amp;"le.com/spreadsheets/d/1ICwG78r0OFT8biBlxnBF8r7she7gNSzOvJ958PWT09c/edit?usp=sharing"",""ลำพูน!J352"")+IMPORTRANGE(""https://docs.google.com/spreadsheets/d/1B0f2xJpZUC6Z0xXnqKlZtEPzsf6L84eP1r1Q15seqRM/edit?usp=sharing"",""สุโขทัย!J352"")+IMPORTRANGE(""http"&amp;"s://docs.google.com/spreadsheets/d/1v0b9pFQCsKUVExMei7AgY2yQkdeNQvtOssygGsXbiKo/edit?usp=sharing"",""อุตรดิตถ์!J352"")+IMPORTRANGE(""https://docs.google.com/spreadsheets/d/1UsNK1e-WWiCo2PvGqdNfdme4m17_Ezd3J69EeeiQPD0/edit?usp=sharing"",""อุทัยธานี!J352"")"),29881)</f>
        <v>29881</v>
      </c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</row>
    <row r="353" spans="1:21" ht="18.75" x14ac:dyDescent="0.25">
      <c r="A353" s="158"/>
      <c r="B353" s="40"/>
      <c r="C353" s="158"/>
      <c r="D353" s="145"/>
      <c r="E353" s="149" t="s">
        <v>147</v>
      </c>
      <c r="F353" s="40"/>
      <c r="G353" s="42"/>
      <c r="H353" s="133" t="s">
        <v>35</v>
      </c>
      <c r="I353" s="44"/>
      <c r="J353" s="166">
        <f ca="1">IFERROR(__xludf.DUMMYFUNCTION("IMPORTRANGE(""https://docs.google.com/spreadsheets/d/1jTcq05yEiRwXcBMLjiodW9e4biSGYWAHcDj22rKWQ3s/edit?usp=sharing"",""กำแพงเพชร!J353"")+IMPORTRANGE(""https://docs.google.com/spreadsheets/d/1KS0zmDSZPk8KnTAbGN-Xk6MtX1YRZD0ldgdt20K4CRk/edit?usp=sharing"","&amp;"""เชียงราย!J353"")+IMPORTRANGE(""https://docs.google.com/spreadsheets/d/1rEDxBtusbi64tE0zunoIbsTVV16HeL0oJ6trHQeQ7K8/edit?usp=sharing"",""เชียงใหม่!J353"")+IMPORTRANGE(""https://docs.google.com/spreadsheets/d/1W6MnUbDkMi6xHnHko_XkFDO9kkuL6Wqyc-6OCDFjW9I/e"&amp;"dit?usp=sharing"",""ตาก!J353"")+IMPORTRANGE(""https://docs.google.com/spreadsheets/d/1IQAWArduLkta9LpYo4a_ULsyqdta6-6aDDiwpUnQT6c/edit?usp=sharing"",""นครสวรรค์!J353"")+IMPORTRANGE(""https://docs.google.com/spreadsheets/d/10s13Sk5xrltsiR-Zkbmk5DwIaDIKO8Xl"&amp;"bJAfqyT7Gvg/edit?usp=sharing"",""น่าน!J353"")+IMPORTRANGE(""https://docs.google.com/spreadsheets/d/1uu4nAn4Dbi1XREnLKKotUANlKXa7yCgRcgq8HEzQYW8/edit?usp=sharing"",""พะเยา!J353"")+IMPORTRANGE(""https://docs.google.com/spreadsheets/d/1xfJKIQxVOaPDIICqsflNlL"&amp;"u3JacTDk1FP9RH4phX7mI/edit?usp=sharing"",""พิจิตร!J353"")+IMPORTRANGE(""https://docs.google.com/spreadsheets/d/1JtRfZkJMHtEhI5RdRHxYUG4FIZHqKDpNyIuN7A1Q0_k/edit?usp=sharing"",""พิษณุโลก!J353"")+IMPORTRANGE(""https://docs.google.com/spreadsheets/d/1xlcVZWU"&amp;"Nn6SuWm0c307h32SiGkd9BaeQWlAktfD3KO8/edit?usp=sharing"",""เพชรบูรณ์!J353"")+IMPORTRANGE(""https://docs.google.com/spreadsheets/d/1lOVebEIsI9qjGXl6EX66luk7wiuP2tBaryw-wKvv4e0/edit?usp=sharing"",""แพร่!J353"")+IMPORTRANGE(""https://docs.google.com/spreadshe"&amp;"ets/d/1dQrvX0vEcN7Gu0fnZ0B5S90AeR19zth4XlExFBeExMY/edit?usp=sharing"",""แม่ฮ่องสอน!J353"")+IMPORTRANGE(""https://docs.google.com/spreadsheets/d/1DY4XTNNwjluuxqdfdn6qvOSlMRrZqUtmYcZR0ttFiG4/edit?usp=sharing"",""ลำปาง!J353"")+IMPORTRANGE(""https://docs.goog"&amp;"le.com/spreadsheets/d/1ICwG78r0OFT8biBlxnBF8r7she7gNSzOvJ958PWT09c/edit?usp=sharing"",""ลำพูน!J353"")+IMPORTRANGE(""https://docs.google.com/spreadsheets/d/1B0f2xJpZUC6Z0xXnqKlZtEPzsf6L84eP1r1Q15seqRM/edit?usp=sharing"",""สุโขทัย!J353"")+IMPORTRANGE(""http"&amp;"s://docs.google.com/spreadsheets/d/1v0b9pFQCsKUVExMei7AgY2yQkdeNQvtOssygGsXbiKo/edit?usp=sharing"",""อุตรดิตถ์!J353"")+IMPORTRANGE(""https://docs.google.com/spreadsheets/d/1UsNK1e-WWiCo2PvGqdNfdme4m17_Ezd3J69EeeiQPD0/edit?usp=sharing"",""อุทัยธานี!J353"")"),65669)</f>
        <v>65669</v>
      </c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</row>
    <row r="354" spans="1:21" ht="16.5" x14ac:dyDescent="0.25">
      <c r="A354" s="158"/>
      <c r="B354" s="40"/>
      <c r="C354" s="158"/>
      <c r="D354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0"/>
      <c r="F354" s="40"/>
      <c r="G354" s="42"/>
      <c r="H354" s="180"/>
      <c r="I354" s="44"/>
      <c r="J354" s="44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</row>
    <row r="355" spans="1:21" ht="19.5" x14ac:dyDescent="0.3">
      <c r="A355" s="291"/>
      <c r="B355" s="292" t="s">
        <v>148</v>
      </c>
      <c r="C355" s="301"/>
      <c r="D355" s="293"/>
      <c r="E355" s="293"/>
      <c r="F355" s="293"/>
      <c r="G355" s="294"/>
      <c r="H355" s="294"/>
      <c r="I355" s="307"/>
      <c r="J355" s="307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</row>
    <row r="356" spans="1:21" ht="19.5" x14ac:dyDescent="0.3">
      <c r="A356" s="128"/>
      <c r="B356" s="40"/>
      <c r="C356" s="129" t="s">
        <v>18</v>
      </c>
      <c r="D356" s="130" t="s">
        <v>19</v>
      </c>
      <c r="E356" s="40"/>
      <c r="F356" s="40"/>
      <c r="G356" s="42"/>
      <c r="H356" s="131" t="s">
        <v>14</v>
      </c>
      <c r="I356" s="44"/>
      <c r="J356" s="44"/>
      <c r="K356" s="45"/>
      <c r="L356" s="132">
        <f t="shared" ref="L356:N356" ca="1" si="266">L357+L358</f>
        <v>11718970</v>
      </c>
      <c r="M356" s="132">
        <f t="shared" ca="1" si="266"/>
        <v>10529180</v>
      </c>
      <c r="N356" s="132">
        <f t="shared" ca="1" si="266"/>
        <v>6457111.6500000004</v>
      </c>
      <c r="O356" s="132">
        <f t="shared" ref="O356:O364" ca="1" si="267">IF(L356&gt;0,N356*100/L356,0)</f>
        <v>55.099651675872536</v>
      </c>
      <c r="P356" s="132">
        <f t="shared" ref="P356:P364" ca="1" si="268">IF(M356&gt;0,N356*100/M356,0)</f>
        <v>61.325873904710527</v>
      </c>
      <c r="Q356" s="132">
        <f t="shared" ref="Q356:S356" ca="1" si="269">Q357+Q358</f>
        <v>0</v>
      </c>
      <c r="R356" s="132">
        <f t="shared" ca="1" si="269"/>
        <v>0</v>
      </c>
      <c r="S356" s="132">
        <f t="shared" ca="1" si="269"/>
        <v>0</v>
      </c>
      <c r="T356" s="132">
        <f t="shared" ref="T356:T364" ca="1" si="270">IF(Q356&gt;0,S356*100/Q356,0)</f>
        <v>0</v>
      </c>
      <c r="U356" s="132">
        <f t="shared" ref="U356:U364" ca="1" si="271">IF(R356&gt;0,S356*100/R356,0)</f>
        <v>0</v>
      </c>
    </row>
    <row r="357" spans="1:21" ht="18.75" x14ac:dyDescent="0.25">
      <c r="A357" s="128"/>
      <c r="B357" s="40"/>
      <c r="C357" s="40"/>
      <c r="D357" s="40"/>
      <c r="E357" s="47" t="s">
        <v>20</v>
      </c>
      <c r="F357" s="40"/>
      <c r="G357" s="42"/>
      <c r="H357" s="133" t="s">
        <v>14</v>
      </c>
      <c r="I357" s="44"/>
      <c r="J357" s="44"/>
      <c r="K357" s="45"/>
      <c r="L357" s="46">
        <f t="shared" ref="L357:N357" ca="1" si="272">L360+L363</f>
        <v>0</v>
      </c>
      <c r="M357" s="46">
        <f t="shared" ca="1" si="272"/>
        <v>0</v>
      </c>
      <c r="N357" s="46">
        <f t="shared" ca="1" si="272"/>
        <v>0</v>
      </c>
      <c r="O357" s="46">
        <f t="shared" ca="1" si="267"/>
        <v>0</v>
      </c>
      <c r="P357" s="46">
        <f t="shared" ca="1" si="268"/>
        <v>0</v>
      </c>
      <c r="Q357" s="48">
        <f t="shared" ref="Q357:S357" ca="1" si="273">Q360+Q363</f>
        <v>0</v>
      </c>
      <c r="R357" s="48">
        <f t="shared" ca="1" si="273"/>
        <v>0</v>
      </c>
      <c r="S357" s="48">
        <f t="shared" ca="1" si="273"/>
        <v>0</v>
      </c>
      <c r="T357" s="48">
        <f t="shared" ca="1" si="270"/>
        <v>0</v>
      </c>
      <c r="U357" s="48">
        <f t="shared" ca="1" si="271"/>
        <v>0</v>
      </c>
    </row>
    <row r="358" spans="1:21" ht="18.75" x14ac:dyDescent="0.25">
      <c r="A358" s="128"/>
      <c r="B358" s="40"/>
      <c r="C358" s="40"/>
      <c r="D358" s="40"/>
      <c r="E358" s="47" t="s">
        <v>21</v>
      </c>
      <c r="F358" s="40"/>
      <c r="G358" s="42"/>
      <c r="H358" s="133" t="s">
        <v>14</v>
      </c>
      <c r="I358" s="44"/>
      <c r="J358" s="44"/>
      <c r="K358" s="45"/>
      <c r="L358" s="46">
        <f t="shared" ref="L358:N358" ca="1" si="274">L361+L364</f>
        <v>11718970</v>
      </c>
      <c r="M358" s="46">
        <f t="shared" ca="1" si="274"/>
        <v>10529180</v>
      </c>
      <c r="N358" s="46">
        <f t="shared" ca="1" si="274"/>
        <v>6457111.6500000004</v>
      </c>
      <c r="O358" s="46">
        <f t="shared" ca="1" si="267"/>
        <v>55.099651675872536</v>
      </c>
      <c r="P358" s="46">
        <f t="shared" ca="1" si="268"/>
        <v>61.325873904710527</v>
      </c>
      <c r="Q358" s="46">
        <f t="shared" ref="Q358:S358" ca="1" si="275">Q361+Q364</f>
        <v>0</v>
      </c>
      <c r="R358" s="46">
        <f t="shared" ca="1" si="275"/>
        <v>0</v>
      </c>
      <c r="S358" s="46">
        <f t="shared" ca="1" si="275"/>
        <v>0</v>
      </c>
      <c r="T358" s="46">
        <f t="shared" ca="1" si="270"/>
        <v>0</v>
      </c>
      <c r="U358" s="46">
        <f t="shared" ca="1" si="271"/>
        <v>0</v>
      </c>
    </row>
    <row r="359" spans="1:21" ht="18.75" x14ac:dyDescent="0.25">
      <c r="A359" s="128"/>
      <c r="B359" s="40"/>
      <c r="C359" s="40"/>
      <c r="D359" s="41" t="s">
        <v>22</v>
      </c>
      <c r="E359" s="40"/>
      <c r="F359" s="40"/>
      <c r="G359" s="42"/>
      <c r="H359" s="134" t="s">
        <v>14</v>
      </c>
      <c r="I359" s="135"/>
      <c r="J359" s="135"/>
      <c r="K359" s="136"/>
      <c r="L359" s="46">
        <f t="shared" ref="L359:N359" ca="1" si="276">L360+L361</f>
        <v>11718970</v>
      </c>
      <c r="M359" s="46">
        <f t="shared" ca="1" si="276"/>
        <v>10529180</v>
      </c>
      <c r="N359" s="46">
        <f t="shared" ca="1" si="276"/>
        <v>6457111.6500000004</v>
      </c>
      <c r="O359" s="46">
        <f t="shared" ca="1" si="267"/>
        <v>55.099651675872536</v>
      </c>
      <c r="P359" s="46">
        <f t="shared" ca="1" si="268"/>
        <v>61.325873904710527</v>
      </c>
      <c r="Q359" s="46">
        <f t="shared" ref="Q359:S359" ca="1" si="277">Q360+Q361</f>
        <v>0</v>
      </c>
      <c r="R359" s="46">
        <f t="shared" ca="1" si="277"/>
        <v>0</v>
      </c>
      <c r="S359" s="46">
        <f t="shared" ca="1" si="277"/>
        <v>0</v>
      </c>
      <c r="T359" s="46">
        <f t="shared" ca="1" si="270"/>
        <v>0</v>
      </c>
      <c r="U359" s="46">
        <f t="shared" ca="1" si="271"/>
        <v>0</v>
      </c>
    </row>
    <row r="360" spans="1:21" ht="18.75" x14ac:dyDescent="0.25">
      <c r="A360" s="128"/>
      <c r="B360" s="40"/>
      <c r="C360" s="40"/>
      <c r="D360" s="40"/>
      <c r="E360" s="47" t="s">
        <v>36</v>
      </c>
      <c r="F360" s="40"/>
      <c r="G360" s="42"/>
      <c r="H360" s="134" t="s">
        <v>14</v>
      </c>
      <c r="I360" s="135"/>
      <c r="J360" s="135"/>
      <c r="K360" s="136"/>
      <c r="L360" s="46">
        <f ca="1">IFERROR(__xludf.DUMMYFUNCTION("IMPORTRANGE(""https://docs.google.com/spreadsheets/d/1jTcq05yEiRwXcBMLjiodW9e4biSGYWAHcDj22rKWQ3s/edit?usp=sharing"",""กำแพงเพชร!L360"")+IMPORTRANGE(""https://docs.google.com/spreadsheets/d/1KS0zmDSZPk8KnTAbGN-Xk6MtX1YRZD0ldgdt20K4CRk/edit?usp=sharing"","&amp;"""เชียงราย!L360"")+IMPORTRANGE(""https://docs.google.com/spreadsheets/d/1rEDxBtusbi64tE0zunoIbsTVV16HeL0oJ6trHQeQ7K8/edit?usp=sharing"",""เชียงใหม่!L360"")+IMPORTRANGE(""https://docs.google.com/spreadsheets/d/1W6MnUbDkMi6xHnHko_XkFDO9kkuL6Wqyc-6OCDFjW9I/e"&amp;"dit?usp=sharing"",""ตาก!L360"")+IMPORTRANGE(""https://docs.google.com/spreadsheets/d/1IQAWArduLkta9LpYo4a_ULsyqdta6-6aDDiwpUnQT6c/edit?usp=sharing"",""นครสวรรค์!L360"")+IMPORTRANGE(""https://docs.google.com/spreadsheets/d/10s13Sk5xrltsiR-Zkbmk5DwIaDIKO8Xl"&amp;"bJAfqyT7Gvg/edit?usp=sharing"",""น่าน!L360"")+IMPORTRANGE(""https://docs.google.com/spreadsheets/d/1uu4nAn4Dbi1XREnLKKotUANlKXa7yCgRcgq8HEzQYW8/edit?usp=sharing"",""พะเยา!L360"")+IMPORTRANGE(""https://docs.google.com/spreadsheets/d/1xfJKIQxVOaPDIICqsflNlL"&amp;"u3JacTDk1FP9RH4phX7mI/edit?usp=sharing"",""พิจิตร!L360"")+IMPORTRANGE(""https://docs.google.com/spreadsheets/d/1JtRfZkJMHtEhI5RdRHxYUG4FIZHqKDpNyIuN7A1Q0_k/edit?usp=sharing"",""พิษณุโลก!L360"")+IMPORTRANGE(""https://docs.google.com/spreadsheets/d/1xlcVZWU"&amp;"Nn6SuWm0c307h32SiGkd9BaeQWlAktfD3KO8/edit?usp=sharing"",""เพชรบูรณ์!L360"")+IMPORTRANGE(""https://docs.google.com/spreadsheets/d/1lOVebEIsI9qjGXl6EX66luk7wiuP2tBaryw-wKvv4e0/edit?usp=sharing"",""แพร่!L360"")+IMPORTRANGE(""https://docs.google.com/spreadshe"&amp;"ets/d/1dQrvX0vEcN7Gu0fnZ0B5S90AeR19zth4XlExFBeExMY/edit?usp=sharing"",""แม่ฮ่องสอน!L360"")+IMPORTRANGE(""https://docs.google.com/spreadsheets/d/1DY4XTNNwjluuxqdfdn6qvOSlMRrZqUtmYcZR0ttFiG4/edit?usp=sharing"",""ลำปาง!L360"")+IMPORTRANGE(""https://docs.goog"&amp;"le.com/spreadsheets/d/1ICwG78r0OFT8biBlxnBF8r7she7gNSzOvJ958PWT09c/edit?usp=sharing"",""ลำพูน!L360"")+IMPORTRANGE(""https://docs.google.com/spreadsheets/d/1B0f2xJpZUC6Z0xXnqKlZtEPzsf6L84eP1r1Q15seqRM/edit?usp=sharing"",""สุโขทัย!L360"")+IMPORTRANGE(""http"&amp;"s://docs.google.com/spreadsheets/d/1v0b9pFQCsKUVExMei7AgY2yQkdeNQvtOssygGsXbiKo/edit?usp=sharing"",""อุตรดิตถ์!L360"")+IMPORTRANGE(""https://docs.google.com/spreadsheets/d/1UsNK1e-WWiCo2PvGqdNfdme4m17_Ezd3J69EeeiQPD0/edit?usp=sharing"",""อุทัยธานี!L360"")"),0)</f>
        <v>0</v>
      </c>
      <c r="M360" s="46">
        <f ca="1">IFERROR(__xludf.DUMMYFUNCTION("IMPORTRANGE(""https://docs.google.com/spreadsheets/d/1jTcq05yEiRwXcBMLjiodW9e4biSGYWAHcDj22rKWQ3s/edit?usp=sharing"",""กำแพงเพชร!M360"")+IMPORTRANGE(""https://docs.google.com/spreadsheets/d/1KS0zmDSZPk8KnTAbGN-Xk6MtX1YRZD0ldgdt20K4CRk/edit?usp=sharing"","&amp;"""เชียงราย!M360"")+IMPORTRANGE(""https://docs.google.com/spreadsheets/d/1rEDxBtusbi64tE0zunoIbsTVV16HeL0oJ6trHQeQ7K8/edit?usp=sharing"",""เชียงใหม่!M360"")+IMPORTRANGE(""https://docs.google.com/spreadsheets/d/1W6MnUbDkMi6xHnHko_XkFDO9kkuL6Wqyc-6OCDFjW9I/e"&amp;"dit?usp=sharing"",""ตาก!M360"")+IMPORTRANGE(""https://docs.google.com/spreadsheets/d/1IQAWArduLkta9LpYo4a_ULsyqdta6-6aDDiwpUnQT6c/edit?usp=sharing"",""นครสวรรค์!M360"")+IMPORTRANGE(""https://docs.google.com/spreadsheets/d/10s13Sk5xrltsiR-Zkbmk5DwIaDIKO8Xl"&amp;"bJAfqyT7Gvg/edit?usp=sharing"",""น่าน!M360"")+IMPORTRANGE(""https://docs.google.com/spreadsheets/d/1uu4nAn4Dbi1XREnLKKotUANlKXa7yCgRcgq8HEzQYW8/edit?usp=sharing"",""พะเยา!M360"")+IMPORTRANGE(""https://docs.google.com/spreadsheets/d/1xfJKIQxVOaPDIICqsflNlL"&amp;"u3JacTDk1FP9RH4phX7mI/edit?usp=sharing"",""พิจิตร!M360"")+IMPORTRANGE(""https://docs.google.com/spreadsheets/d/1JtRfZkJMHtEhI5RdRHxYUG4FIZHqKDpNyIuN7A1Q0_k/edit?usp=sharing"",""พิษณุโลก!M360"")+IMPORTRANGE(""https://docs.google.com/spreadsheets/d/1xlcVZWU"&amp;"Nn6SuWm0c307h32SiGkd9BaeQWlAktfD3KO8/edit?usp=sharing"",""เพชรบูรณ์!M360"")+IMPORTRANGE(""https://docs.google.com/spreadsheets/d/1lOVebEIsI9qjGXl6EX66luk7wiuP2tBaryw-wKvv4e0/edit?usp=sharing"",""แพร่!M360"")+IMPORTRANGE(""https://docs.google.com/spreadshe"&amp;"ets/d/1dQrvX0vEcN7Gu0fnZ0B5S90AeR19zth4XlExFBeExMY/edit?usp=sharing"",""แม่ฮ่องสอน!M360"")+IMPORTRANGE(""https://docs.google.com/spreadsheets/d/1DY4XTNNwjluuxqdfdn6qvOSlMRrZqUtmYcZR0ttFiG4/edit?usp=sharing"",""ลำปาง!M360"")+IMPORTRANGE(""https://docs.goog"&amp;"le.com/spreadsheets/d/1ICwG78r0OFT8biBlxnBF8r7she7gNSzOvJ958PWT09c/edit?usp=sharing"",""ลำพูน!M360"")+IMPORTRANGE(""https://docs.google.com/spreadsheets/d/1B0f2xJpZUC6Z0xXnqKlZtEPzsf6L84eP1r1Q15seqRM/edit?usp=sharing"",""สุโขทัย!M360"")+IMPORTRANGE(""http"&amp;"s://docs.google.com/spreadsheets/d/1v0b9pFQCsKUVExMei7AgY2yQkdeNQvtOssygGsXbiKo/edit?usp=sharing"",""อุตรดิตถ์!M360"")+IMPORTRANGE(""https://docs.google.com/spreadsheets/d/1UsNK1e-WWiCo2PvGqdNfdme4m17_Ezd3J69EeeiQPD0/edit?usp=sharing"",""อุทัยธานี!M360"")"),0)</f>
        <v>0</v>
      </c>
      <c r="N360" s="46">
        <f ca="1">IFERROR(__xludf.DUMMYFUNCTION("IMPORTRANGE(""https://docs.google.com/spreadsheets/d/1jTcq05yEiRwXcBMLjiodW9e4biSGYWAHcDj22rKWQ3s/edit?usp=sharing"",""กำแพงเพชร!N360"")+IMPORTRANGE(""https://docs.google.com/spreadsheets/d/1KS0zmDSZPk8KnTAbGN-Xk6MtX1YRZD0ldgdt20K4CRk/edit?usp=sharing"","&amp;"""เชียงราย!N360"")+IMPORTRANGE(""https://docs.google.com/spreadsheets/d/1rEDxBtusbi64tE0zunoIbsTVV16HeL0oJ6trHQeQ7K8/edit?usp=sharing"",""เชียงใหม่!N360"")+IMPORTRANGE(""https://docs.google.com/spreadsheets/d/1W6MnUbDkMi6xHnHko_XkFDO9kkuL6Wqyc-6OCDFjW9I/e"&amp;"dit?usp=sharing"",""ตาก!N360"")+IMPORTRANGE(""https://docs.google.com/spreadsheets/d/1IQAWArduLkta9LpYo4a_ULsyqdta6-6aDDiwpUnQT6c/edit?usp=sharing"",""นครสวรรค์!N360"")+IMPORTRANGE(""https://docs.google.com/spreadsheets/d/10s13Sk5xrltsiR-Zkbmk5DwIaDIKO8Xl"&amp;"bJAfqyT7Gvg/edit?usp=sharing"",""น่าน!N360"")+IMPORTRANGE(""https://docs.google.com/spreadsheets/d/1uu4nAn4Dbi1XREnLKKotUANlKXa7yCgRcgq8HEzQYW8/edit?usp=sharing"",""พะเยา!N360"")+IMPORTRANGE(""https://docs.google.com/spreadsheets/d/1xfJKIQxVOaPDIICqsflNlL"&amp;"u3JacTDk1FP9RH4phX7mI/edit?usp=sharing"",""พิจิตร!N360"")+IMPORTRANGE(""https://docs.google.com/spreadsheets/d/1JtRfZkJMHtEhI5RdRHxYUG4FIZHqKDpNyIuN7A1Q0_k/edit?usp=sharing"",""พิษณุโลก!N360"")+IMPORTRANGE(""https://docs.google.com/spreadsheets/d/1xlcVZWU"&amp;"Nn6SuWm0c307h32SiGkd9BaeQWlAktfD3KO8/edit?usp=sharing"",""เพชรบูรณ์!N360"")+IMPORTRANGE(""https://docs.google.com/spreadsheets/d/1lOVebEIsI9qjGXl6EX66luk7wiuP2tBaryw-wKvv4e0/edit?usp=sharing"",""แพร่!N360"")+IMPORTRANGE(""https://docs.google.com/spreadshe"&amp;"ets/d/1dQrvX0vEcN7Gu0fnZ0B5S90AeR19zth4XlExFBeExMY/edit?usp=sharing"",""แม่ฮ่องสอน!N360"")+IMPORTRANGE(""https://docs.google.com/spreadsheets/d/1DY4XTNNwjluuxqdfdn6qvOSlMRrZqUtmYcZR0ttFiG4/edit?usp=sharing"",""ลำปาง!N360"")+IMPORTRANGE(""https://docs.goog"&amp;"le.com/spreadsheets/d/1ICwG78r0OFT8biBlxnBF8r7she7gNSzOvJ958PWT09c/edit?usp=sharing"",""ลำพูน!N360"")+IMPORTRANGE(""https://docs.google.com/spreadsheets/d/1B0f2xJpZUC6Z0xXnqKlZtEPzsf6L84eP1r1Q15seqRM/edit?usp=sharing"",""สุโขทัย!N360"")+IMPORTRANGE(""http"&amp;"s://docs.google.com/spreadsheets/d/1v0b9pFQCsKUVExMei7AgY2yQkdeNQvtOssygGsXbiKo/edit?usp=sharing"",""อุตรดิตถ์!N360"")+IMPORTRANGE(""https://docs.google.com/spreadsheets/d/1UsNK1e-WWiCo2PvGqdNfdme4m17_Ezd3J69EeeiQPD0/edit?usp=sharing"",""อุทัยธานี!N360"")"),0)</f>
        <v>0</v>
      </c>
      <c r="O360" s="46">
        <f t="shared" ca="1" si="267"/>
        <v>0</v>
      </c>
      <c r="P360" s="46">
        <f t="shared" ca="1" si="268"/>
        <v>0</v>
      </c>
      <c r="Q360" s="48">
        <f ca="1">IFERROR(__xludf.DUMMYFUNCTION("IMPORTRANGE(""https://docs.google.com/spreadsheets/d/1jTcq05yEiRwXcBMLjiodW9e4biSGYWAHcDj22rKWQ3s/edit?usp=sharing"",""กำแพงเพชร!Q360"")+IMPORTRANGE(""https://docs.google.com/spreadsheets/d/1KS0zmDSZPk8KnTAbGN-Xk6MtX1YRZD0ldgdt20K4CRk/edit?usp=sharing"","&amp;"""เชียงราย!Q360"")+IMPORTRANGE(""https://docs.google.com/spreadsheets/d/1rEDxBtusbi64tE0zunoIbsTVV16HeL0oJ6trHQeQ7K8/edit?usp=sharing"",""เชียงใหม่!Q360"")+IMPORTRANGE(""https://docs.google.com/spreadsheets/d/1W6MnUbDkMi6xHnHko_XkFDO9kkuL6Wqyc-6OCDFjW9I/e"&amp;"dit?usp=sharing"",""ตาก!Q360"")+IMPORTRANGE(""https://docs.google.com/spreadsheets/d/1IQAWArduLkta9LpYo4a_ULsyqdta6-6aDDiwpUnQT6c/edit?usp=sharing"",""นครสวรรค์!Q360"")+IMPORTRANGE(""https://docs.google.com/spreadsheets/d/10s13Sk5xrltsiR-Zkbmk5DwIaDIKO8Xl"&amp;"bJAfqyT7Gvg/edit?usp=sharing"",""น่าน!Q360"")+IMPORTRANGE(""https://docs.google.com/spreadsheets/d/1uu4nAn4Dbi1XREnLKKotUANlKXa7yCgRcgq8HEzQYW8/edit?usp=sharing"",""พะเยา!Q360"")+IMPORTRANGE(""https://docs.google.com/spreadsheets/d/1xfJKIQxVOaPDIICqsflNlL"&amp;"u3JacTDk1FP9RH4phX7mI/edit?usp=sharing"",""พิจิตร!Q360"")+IMPORTRANGE(""https://docs.google.com/spreadsheets/d/1JtRfZkJMHtEhI5RdRHxYUG4FIZHqKDpNyIuN7A1Q0_k/edit?usp=sharing"",""พิษณุโลก!Q360"")+IMPORTRANGE(""https://docs.google.com/spreadsheets/d/1xlcVZWU"&amp;"Nn6SuWm0c307h32SiGkd9BaeQWlAktfD3KO8/edit?usp=sharing"",""เพชรบูรณ์!Q360"")+IMPORTRANGE(""https://docs.google.com/spreadsheets/d/1lOVebEIsI9qjGXl6EX66luk7wiuP2tBaryw-wKvv4e0/edit?usp=sharing"",""แพร่!Q360"")+IMPORTRANGE(""https://docs.google.com/spreadshe"&amp;"ets/d/1dQrvX0vEcN7Gu0fnZ0B5S90AeR19zth4XlExFBeExMY/edit?usp=sharing"",""แม่ฮ่องสอน!Q360"")+IMPORTRANGE(""https://docs.google.com/spreadsheets/d/1DY4XTNNwjluuxqdfdn6qvOSlMRrZqUtmYcZR0ttFiG4/edit?usp=sharing"",""ลำปาง!Q360"")+IMPORTRANGE(""https://docs.goog"&amp;"le.com/spreadsheets/d/1ICwG78r0OFT8biBlxnBF8r7she7gNSzOvJ958PWT09c/edit?usp=sharing"",""ลำพูน!Q360"")+IMPORTRANGE(""https://docs.google.com/spreadsheets/d/1B0f2xJpZUC6Z0xXnqKlZtEPzsf6L84eP1r1Q15seqRM/edit?usp=sharing"",""สุโขทัย!Q360"")+IMPORTRANGE(""http"&amp;"s://docs.google.com/spreadsheets/d/1v0b9pFQCsKUVExMei7AgY2yQkdeNQvtOssygGsXbiKo/edit?usp=sharing"",""อุตรดิตถ์!Q360"")+IMPORTRANGE(""https://docs.google.com/spreadsheets/d/1UsNK1e-WWiCo2PvGqdNfdme4m17_Ezd3J69EeeiQPD0/edit?usp=sharing"",""อุทัยธานี!Q360"")"),0)</f>
        <v>0</v>
      </c>
      <c r="R360" s="48">
        <f ca="1">IFERROR(__xludf.DUMMYFUNCTION("IMPORTRANGE(""https://docs.google.com/spreadsheets/d/1jTcq05yEiRwXcBMLjiodW9e4biSGYWAHcDj22rKWQ3s/edit?usp=sharing"",""กำแพงเพชร!R360"")+IMPORTRANGE(""https://docs.google.com/spreadsheets/d/1KS0zmDSZPk8KnTAbGN-Xk6MtX1YRZD0ldgdt20K4CRk/edit?usp=sharing"","&amp;"""เชียงราย!R360"")+IMPORTRANGE(""https://docs.google.com/spreadsheets/d/1rEDxBtusbi64tE0zunoIbsTVV16HeL0oJ6trHQeQ7K8/edit?usp=sharing"",""เชียงใหม่!R360"")+IMPORTRANGE(""https://docs.google.com/spreadsheets/d/1W6MnUbDkMi6xHnHko_XkFDO9kkuL6Wqyc-6OCDFjW9I/e"&amp;"dit?usp=sharing"",""ตาก!R360"")+IMPORTRANGE(""https://docs.google.com/spreadsheets/d/1IQAWArduLkta9LpYo4a_ULsyqdta6-6aDDiwpUnQT6c/edit?usp=sharing"",""นครสวรรค์!R360"")+IMPORTRANGE(""https://docs.google.com/spreadsheets/d/10s13Sk5xrltsiR-Zkbmk5DwIaDIKO8Xl"&amp;"bJAfqyT7Gvg/edit?usp=sharing"",""น่าน!R360"")+IMPORTRANGE(""https://docs.google.com/spreadsheets/d/1uu4nAn4Dbi1XREnLKKotUANlKXa7yCgRcgq8HEzQYW8/edit?usp=sharing"",""พะเยา!R360"")+IMPORTRANGE(""https://docs.google.com/spreadsheets/d/1xfJKIQxVOaPDIICqsflNlL"&amp;"u3JacTDk1FP9RH4phX7mI/edit?usp=sharing"",""พิจิตร!R360"")+IMPORTRANGE(""https://docs.google.com/spreadsheets/d/1JtRfZkJMHtEhI5RdRHxYUG4FIZHqKDpNyIuN7A1Q0_k/edit?usp=sharing"",""พิษณุโลก!R360"")+IMPORTRANGE(""https://docs.google.com/spreadsheets/d/1xlcVZWU"&amp;"Nn6SuWm0c307h32SiGkd9BaeQWlAktfD3KO8/edit?usp=sharing"",""เพชรบูรณ์!R360"")+IMPORTRANGE(""https://docs.google.com/spreadsheets/d/1lOVebEIsI9qjGXl6EX66luk7wiuP2tBaryw-wKvv4e0/edit?usp=sharing"",""แพร่!R360"")+IMPORTRANGE(""https://docs.google.com/spreadshe"&amp;"ets/d/1dQrvX0vEcN7Gu0fnZ0B5S90AeR19zth4XlExFBeExMY/edit?usp=sharing"",""แม่ฮ่องสอน!R360"")+IMPORTRANGE(""https://docs.google.com/spreadsheets/d/1DY4XTNNwjluuxqdfdn6qvOSlMRrZqUtmYcZR0ttFiG4/edit?usp=sharing"",""ลำปาง!R360"")+IMPORTRANGE(""https://docs.goog"&amp;"le.com/spreadsheets/d/1ICwG78r0OFT8biBlxnBF8r7she7gNSzOvJ958PWT09c/edit?usp=sharing"",""ลำพูน!R360"")+IMPORTRANGE(""https://docs.google.com/spreadsheets/d/1B0f2xJpZUC6Z0xXnqKlZtEPzsf6L84eP1r1Q15seqRM/edit?usp=sharing"",""สุโขทัย!R360"")+IMPORTRANGE(""http"&amp;"s://docs.google.com/spreadsheets/d/1v0b9pFQCsKUVExMei7AgY2yQkdeNQvtOssygGsXbiKo/edit?usp=sharing"",""อุตรดิตถ์!R360"")+IMPORTRANGE(""https://docs.google.com/spreadsheets/d/1UsNK1e-WWiCo2PvGqdNfdme4m17_Ezd3J69EeeiQPD0/edit?usp=sharing"",""อุทัยธานี!R360"")"),0)</f>
        <v>0</v>
      </c>
      <c r="S360" s="48">
        <f ca="1">IFERROR(__xludf.DUMMYFUNCTION("IMPORTRANGE(""https://docs.google.com/spreadsheets/d/1jTcq05yEiRwXcBMLjiodW9e4biSGYWAHcDj22rKWQ3s/edit?usp=sharing"",""กำแพงเพชร!S360"")+IMPORTRANGE(""https://docs.google.com/spreadsheets/d/1KS0zmDSZPk8KnTAbGN-Xk6MtX1YRZD0ldgdt20K4CRk/edit?usp=sharing"","&amp;"""เชียงราย!S360"")+IMPORTRANGE(""https://docs.google.com/spreadsheets/d/1rEDxBtusbi64tE0zunoIbsTVV16HeL0oJ6trHQeQ7K8/edit?usp=sharing"",""เชียงใหม่!S360"")+IMPORTRANGE(""https://docs.google.com/spreadsheets/d/1W6MnUbDkMi6xHnHko_XkFDO9kkuL6Wqyc-6OCDFjW9I/e"&amp;"dit?usp=sharing"",""ตาก!S360"")+IMPORTRANGE(""https://docs.google.com/spreadsheets/d/1IQAWArduLkta9LpYo4a_ULsyqdta6-6aDDiwpUnQT6c/edit?usp=sharing"",""นครสวรรค์!S360"")+IMPORTRANGE(""https://docs.google.com/spreadsheets/d/10s13Sk5xrltsiR-Zkbmk5DwIaDIKO8Xl"&amp;"bJAfqyT7Gvg/edit?usp=sharing"",""น่าน!S360"")+IMPORTRANGE(""https://docs.google.com/spreadsheets/d/1uu4nAn4Dbi1XREnLKKotUANlKXa7yCgRcgq8HEzQYW8/edit?usp=sharing"",""พะเยา!S360"")+IMPORTRANGE(""https://docs.google.com/spreadsheets/d/1xfJKIQxVOaPDIICqsflNlL"&amp;"u3JacTDk1FP9RH4phX7mI/edit?usp=sharing"",""พิจิตร!S360"")+IMPORTRANGE(""https://docs.google.com/spreadsheets/d/1JtRfZkJMHtEhI5RdRHxYUG4FIZHqKDpNyIuN7A1Q0_k/edit?usp=sharing"",""พิษณุโลก!S360"")+IMPORTRANGE(""https://docs.google.com/spreadsheets/d/1xlcVZWU"&amp;"Nn6SuWm0c307h32SiGkd9BaeQWlAktfD3KO8/edit?usp=sharing"",""เพชรบูรณ์!S360"")+IMPORTRANGE(""https://docs.google.com/spreadsheets/d/1lOVebEIsI9qjGXl6EX66luk7wiuP2tBaryw-wKvv4e0/edit?usp=sharing"",""แพร่!S360"")+IMPORTRANGE(""https://docs.google.com/spreadshe"&amp;"ets/d/1dQrvX0vEcN7Gu0fnZ0B5S90AeR19zth4XlExFBeExMY/edit?usp=sharing"",""แม่ฮ่องสอน!S360"")+IMPORTRANGE(""https://docs.google.com/spreadsheets/d/1DY4XTNNwjluuxqdfdn6qvOSlMRrZqUtmYcZR0ttFiG4/edit?usp=sharing"",""ลำปาง!S360"")+IMPORTRANGE(""https://docs.goog"&amp;"le.com/spreadsheets/d/1ICwG78r0OFT8biBlxnBF8r7she7gNSzOvJ958PWT09c/edit?usp=sharing"",""ลำพูน!S360"")+IMPORTRANGE(""https://docs.google.com/spreadsheets/d/1B0f2xJpZUC6Z0xXnqKlZtEPzsf6L84eP1r1Q15seqRM/edit?usp=sharing"",""สุโขทัย!S360"")+IMPORTRANGE(""http"&amp;"s://docs.google.com/spreadsheets/d/1v0b9pFQCsKUVExMei7AgY2yQkdeNQvtOssygGsXbiKo/edit?usp=sharing"",""อุตรดิตถ์!S360"")+IMPORTRANGE(""https://docs.google.com/spreadsheets/d/1UsNK1e-WWiCo2PvGqdNfdme4m17_Ezd3J69EeeiQPD0/edit?usp=sharing"",""อุทัยธานี!S360"")"),0)</f>
        <v>0</v>
      </c>
      <c r="T360" s="48">
        <f t="shared" ca="1" si="270"/>
        <v>0</v>
      </c>
      <c r="U360" s="48">
        <f t="shared" ca="1" si="271"/>
        <v>0</v>
      </c>
    </row>
    <row r="361" spans="1:21" ht="18.75" x14ac:dyDescent="0.25">
      <c r="A361" s="128"/>
      <c r="B361" s="40"/>
      <c r="C361" s="40"/>
      <c r="D361" s="40"/>
      <c r="E361" s="47" t="s">
        <v>37</v>
      </c>
      <c r="F361" s="40"/>
      <c r="G361" s="42"/>
      <c r="H361" s="134" t="s">
        <v>14</v>
      </c>
      <c r="I361" s="135"/>
      <c r="J361" s="135"/>
      <c r="K361" s="136"/>
      <c r="L361" s="46">
        <f ca="1">IFERROR(__xludf.DUMMYFUNCTION("IMPORTRANGE(""https://docs.google.com/spreadsheets/d/1jTcq05yEiRwXcBMLjiodW9e4biSGYWAHcDj22rKWQ3s/edit?usp=sharing"",""กำแพงเพชร!L361"")+IMPORTRANGE(""https://docs.google.com/spreadsheets/d/1KS0zmDSZPk8KnTAbGN-Xk6MtX1YRZD0ldgdt20K4CRk/edit?usp=sharing"","&amp;"""เชียงราย!L361"")+IMPORTRANGE(""https://docs.google.com/spreadsheets/d/1rEDxBtusbi64tE0zunoIbsTVV16HeL0oJ6trHQeQ7K8/edit?usp=sharing"",""เชียงใหม่!L361"")+IMPORTRANGE(""https://docs.google.com/spreadsheets/d/1W6MnUbDkMi6xHnHko_XkFDO9kkuL6Wqyc-6OCDFjW9I/e"&amp;"dit?usp=sharing"",""ตาก!L361"")+IMPORTRANGE(""https://docs.google.com/spreadsheets/d/1IQAWArduLkta9LpYo4a_ULsyqdta6-6aDDiwpUnQT6c/edit?usp=sharing"",""นครสวรรค์!L361"")+IMPORTRANGE(""https://docs.google.com/spreadsheets/d/10s13Sk5xrltsiR-Zkbmk5DwIaDIKO8Xl"&amp;"bJAfqyT7Gvg/edit?usp=sharing"",""น่าน!L361"")+IMPORTRANGE(""https://docs.google.com/spreadsheets/d/1uu4nAn4Dbi1XREnLKKotUANlKXa7yCgRcgq8HEzQYW8/edit?usp=sharing"",""พะเยา!L361"")+IMPORTRANGE(""https://docs.google.com/spreadsheets/d/1xfJKIQxVOaPDIICqsflNlL"&amp;"u3JacTDk1FP9RH4phX7mI/edit?usp=sharing"",""พิจิตร!L361"")+IMPORTRANGE(""https://docs.google.com/spreadsheets/d/1JtRfZkJMHtEhI5RdRHxYUG4FIZHqKDpNyIuN7A1Q0_k/edit?usp=sharing"",""พิษณุโลก!L361"")+IMPORTRANGE(""https://docs.google.com/spreadsheets/d/1xlcVZWU"&amp;"Nn6SuWm0c307h32SiGkd9BaeQWlAktfD3KO8/edit?usp=sharing"",""เพชรบูรณ์!L361"")+IMPORTRANGE(""https://docs.google.com/spreadsheets/d/1lOVebEIsI9qjGXl6EX66luk7wiuP2tBaryw-wKvv4e0/edit?usp=sharing"",""แพร่!L361"")+IMPORTRANGE(""https://docs.google.com/spreadshe"&amp;"ets/d/1dQrvX0vEcN7Gu0fnZ0B5S90AeR19zth4XlExFBeExMY/edit?usp=sharing"",""แม่ฮ่องสอน!L361"")+IMPORTRANGE(""https://docs.google.com/spreadsheets/d/1DY4XTNNwjluuxqdfdn6qvOSlMRrZqUtmYcZR0ttFiG4/edit?usp=sharing"",""ลำปาง!L361"")+IMPORTRANGE(""https://docs.goog"&amp;"le.com/spreadsheets/d/1ICwG78r0OFT8biBlxnBF8r7she7gNSzOvJ958PWT09c/edit?usp=sharing"",""ลำพูน!L361"")+IMPORTRANGE(""https://docs.google.com/spreadsheets/d/1B0f2xJpZUC6Z0xXnqKlZtEPzsf6L84eP1r1Q15seqRM/edit?usp=sharing"",""สุโขทัย!L361"")+IMPORTRANGE(""http"&amp;"s://docs.google.com/spreadsheets/d/1v0b9pFQCsKUVExMei7AgY2yQkdeNQvtOssygGsXbiKo/edit?usp=sharing"",""อุตรดิตถ์!L361"")+IMPORTRANGE(""https://docs.google.com/spreadsheets/d/1UsNK1e-WWiCo2PvGqdNfdme4m17_Ezd3J69EeeiQPD0/edit?usp=sharing"",""อุทัยธานี!L361"")"),11718970)</f>
        <v>11718970</v>
      </c>
      <c r="M361" s="46">
        <f ca="1">IFERROR(__xludf.DUMMYFUNCTION("IMPORTRANGE(""https://docs.google.com/spreadsheets/d/1jTcq05yEiRwXcBMLjiodW9e4biSGYWAHcDj22rKWQ3s/edit?usp=sharing"",""กำแพงเพชร!M361"")+IMPORTRANGE(""https://docs.google.com/spreadsheets/d/1KS0zmDSZPk8KnTAbGN-Xk6MtX1YRZD0ldgdt20K4CRk/edit?usp=sharing"","&amp;"""เชียงราย!M361"")+IMPORTRANGE(""https://docs.google.com/spreadsheets/d/1rEDxBtusbi64tE0zunoIbsTVV16HeL0oJ6trHQeQ7K8/edit?usp=sharing"",""เชียงใหม่!M361"")+IMPORTRANGE(""https://docs.google.com/spreadsheets/d/1W6MnUbDkMi6xHnHko_XkFDO9kkuL6Wqyc-6OCDFjW9I/e"&amp;"dit?usp=sharing"",""ตาก!M361"")+IMPORTRANGE(""https://docs.google.com/spreadsheets/d/1IQAWArduLkta9LpYo4a_ULsyqdta6-6aDDiwpUnQT6c/edit?usp=sharing"",""นครสวรรค์!M361"")+IMPORTRANGE(""https://docs.google.com/spreadsheets/d/10s13Sk5xrltsiR-Zkbmk5DwIaDIKO8Xl"&amp;"bJAfqyT7Gvg/edit?usp=sharing"",""น่าน!M361"")+IMPORTRANGE(""https://docs.google.com/spreadsheets/d/1uu4nAn4Dbi1XREnLKKotUANlKXa7yCgRcgq8HEzQYW8/edit?usp=sharing"",""พะเยา!M361"")+IMPORTRANGE(""https://docs.google.com/spreadsheets/d/1xfJKIQxVOaPDIICqsflNlL"&amp;"u3JacTDk1FP9RH4phX7mI/edit?usp=sharing"",""พิจิตร!M361"")+IMPORTRANGE(""https://docs.google.com/spreadsheets/d/1JtRfZkJMHtEhI5RdRHxYUG4FIZHqKDpNyIuN7A1Q0_k/edit?usp=sharing"",""พิษณุโลก!M361"")+IMPORTRANGE(""https://docs.google.com/spreadsheets/d/1xlcVZWU"&amp;"Nn6SuWm0c307h32SiGkd9BaeQWlAktfD3KO8/edit?usp=sharing"",""เพชรบูรณ์!M361"")+IMPORTRANGE(""https://docs.google.com/spreadsheets/d/1lOVebEIsI9qjGXl6EX66luk7wiuP2tBaryw-wKvv4e0/edit?usp=sharing"",""แพร่!M361"")+IMPORTRANGE(""https://docs.google.com/spreadshe"&amp;"ets/d/1dQrvX0vEcN7Gu0fnZ0B5S90AeR19zth4XlExFBeExMY/edit?usp=sharing"",""แม่ฮ่องสอน!M361"")+IMPORTRANGE(""https://docs.google.com/spreadsheets/d/1DY4XTNNwjluuxqdfdn6qvOSlMRrZqUtmYcZR0ttFiG4/edit?usp=sharing"",""ลำปาง!M361"")+IMPORTRANGE(""https://docs.goog"&amp;"le.com/spreadsheets/d/1ICwG78r0OFT8biBlxnBF8r7she7gNSzOvJ958PWT09c/edit?usp=sharing"",""ลำพูน!M361"")+IMPORTRANGE(""https://docs.google.com/spreadsheets/d/1B0f2xJpZUC6Z0xXnqKlZtEPzsf6L84eP1r1Q15seqRM/edit?usp=sharing"",""สุโขทัย!M361"")+IMPORTRANGE(""http"&amp;"s://docs.google.com/spreadsheets/d/1v0b9pFQCsKUVExMei7AgY2yQkdeNQvtOssygGsXbiKo/edit?usp=sharing"",""อุตรดิตถ์!M361"")+IMPORTRANGE(""https://docs.google.com/spreadsheets/d/1UsNK1e-WWiCo2PvGqdNfdme4m17_Ezd3J69EeeiQPD0/edit?usp=sharing"",""อุทัยธานี!M361"")"),10529180)</f>
        <v>10529180</v>
      </c>
      <c r="N361" s="46">
        <f ca="1">IFERROR(__xludf.DUMMYFUNCTION("IMPORTRANGE(""https://docs.google.com/spreadsheets/d/1jTcq05yEiRwXcBMLjiodW9e4biSGYWAHcDj22rKWQ3s/edit?usp=sharing"",""กำแพงเพชร!N361"")+IMPORTRANGE(""https://docs.google.com/spreadsheets/d/1KS0zmDSZPk8KnTAbGN-Xk6MtX1YRZD0ldgdt20K4CRk/edit?usp=sharing"","&amp;"""เชียงราย!N361"")+IMPORTRANGE(""https://docs.google.com/spreadsheets/d/1rEDxBtusbi64tE0zunoIbsTVV16HeL0oJ6trHQeQ7K8/edit?usp=sharing"",""เชียงใหม่!N361"")+IMPORTRANGE(""https://docs.google.com/spreadsheets/d/1W6MnUbDkMi6xHnHko_XkFDO9kkuL6Wqyc-6OCDFjW9I/e"&amp;"dit?usp=sharing"",""ตาก!N361"")+IMPORTRANGE(""https://docs.google.com/spreadsheets/d/1IQAWArduLkta9LpYo4a_ULsyqdta6-6aDDiwpUnQT6c/edit?usp=sharing"",""นครสวรรค์!N361"")+IMPORTRANGE(""https://docs.google.com/spreadsheets/d/10s13Sk5xrltsiR-Zkbmk5DwIaDIKO8Xl"&amp;"bJAfqyT7Gvg/edit?usp=sharing"",""น่าน!N361"")+IMPORTRANGE(""https://docs.google.com/spreadsheets/d/1uu4nAn4Dbi1XREnLKKotUANlKXa7yCgRcgq8HEzQYW8/edit?usp=sharing"",""พะเยา!N361"")+IMPORTRANGE(""https://docs.google.com/spreadsheets/d/1xfJKIQxVOaPDIICqsflNlL"&amp;"u3JacTDk1FP9RH4phX7mI/edit?usp=sharing"",""พิจิตร!N361"")+IMPORTRANGE(""https://docs.google.com/spreadsheets/d/1JtRfZkJMHtEhI5RdRHxYUG4FIZHqKDpNyIuN7A1Q0_k/edit?usp=sharing"",""พิษณุโลก!N361"")+IMPORTRANGE(""https://docs.google.com/spreadsheets/d/1xlcVZWU"&amp;"Nn6SuWm0c307h32SiGkd9BaeQWlAktfD3KO8/edit?usp=sharing"",""เพชรบูรณ์!N361"")+IMPORTRANGE(""https://docs.google.com/spreadsheets/d/1lOVebEIsI9qjGXl6EX66luk7wiuP2tBaryw-wKvv4e0/edit?usp=sharing"",""แพร่!N361"")+IMPORTRANGE(""https://docs.google.com/spreadshe"&amp;"ets/d/1dQrvX0vEcN7Gu0fnZ0B5S90AeR19zth4XlExFBeExMY/edit?usp=sharing"",""แม่ฮ่องสอน!N361"")+IMPORTRANGE(""https://docs.google.com/spreadsheets/d/1DY4XTNNwjluuxqdfdn6qvOSlMRrZqUtmYcZR0ttFiG4/edit?usp=sharing"",""ลำปาง!N361"")+IMPORTRANGE(""https://docs.goog"&amp;"le.com/spreadsheets/d/1ICwG78r0OFT8biBlxnBF8r7she7gNSzOvJ958PWT09c/edit?usp=sharing"",""ลำพูน!N361"")+IMPORTRANGE(""https://docs.google.com/spreadsheets/d/1B0f2xJpZUC6Z0xXnqKlZtEPzsf6L84eP1r1Q15seqRM/edit?usp=sharing"",""สุโขทัย!N361"")+IMPORTRANGE(""http"&amp;"s://docs.google.com/spreadsheets/d/1v0b9pFQCsKUVExMei7AgY2yQkdeNQvtOssygGsXbiKo/edit?usp=sharing"",""อุตรดิตถ์!N361"")+IMPORTRANGE(""https://docs.google.com/spreadsheets/d/1UsNK1e-WWiCo2PvGqdNfdme4m17_Ezd3J69EeeiQPD0/edit?usp=sharing"",""อุทัยธานี!N361"")"),6457111.65)</f>
        <v>6457111.6500000004</v>
      </c>
      <c r="O361" s="46">
        <f t="shared" ca="1" si="267"/>
        <v>55.099651675872536</v>
      </c>
      <c r="P361" s="46">
        <f t="shared" ca="1" si="268"/>
        <v>61.325873904710527</v>
      </c>
      <c r="Q361" s="46">
        <f ca="1">IFERROR(__xludf.DUMMYFUNCTION("IMPORTRANGE(""https://docs.google.com/spreadsheets/d/1jTcq05yEiRwXcBMLjiodW9e4biSGYWAHcDj22rKWQ3s/edit?usp=sharing"",""กำแพงเพชร!Q361"")+IMPORTRANGE(""https://docs.google.com/spreadsheets/d/1KS0zmDSZPk8KnTAbGN-Xk6MtX1YRZD0ldgdt20K4CRk/edit?usp=sharing"","&amp;"""เชียงราย!Q361"")+IMPORTRANGE(""https://docs.google.com/spreadsheets/d/1rEDxBtusbi64tE0zunoIbsTVV16HeL0oJ6trHQeQ7K8/edit?usp=sharing"",""เชียงใหม่!Q361"")+IMPORTRANGE(""https://docs.google.com/spreadsheets/d/1W6MnUbDkMi6xHnHko_XkFDO9kkuL6Wqyc-6OCDFjW9I/e"&amp;"dit?usp=sharing"",""ตาก!Q361"")+IMPORTRANGE(""https://docs.google.com/spreadsheets/d/1IQAWArduLkta9LpYo4a_ULsyqdta6-6aDDiwpUnQT6c/edit?usp=sharing"",""นครสวรรค์!Q361"")+IMPORTRANGE(""https://docs.google.com/spreadsheets/d/10s13Sk5xrltsiR-Zkbmk5DwIaDIKO8Xl"&amp;"bJAfqyT7Gvg/edit?usp=sharing"",""น่าน!Q361"")+IMPORTRANGE(""https://docs.google.com/spreadsheets/d/1uu4nAn4Dbi1XREnLKKotUANlKXa7yCgRcgq8HEzQYW8/edit?usp=sharing"",""พะเยา!Q361"")+IMPORTRANGE(""https://docs.google.com/spreadsheets/d/1xfJKIQxVOaPDIICqsflNlL"&amp;"u3JacTDk1FP9RH4phX7mI/edit?usp=sharing"",""พิจิตร!Q361"")+IMPORTRANGE(""https://docs.google.com/spreadsheets/d/1JtRfZkJMHtEhI5RdRHxYUG4FIZHqKDpNyIuN7A1Q0_k/edit?usp=sharing"",""พิษณุโลก!Q361"")+IMPORTRANGE(""https://docs.google.com/spreadsheets/d/1xlcVZWU"&amp;"Nn6SuWm0c307h32SiGkd9BaeQWlAktfD3KO8/edit?usp=sharing"",""เพชรบูรณ์!Q361"")+IMPORTRANGE(""https://docs.google.com/spreadsheets/d/1lOVebEIsI9qjGXl6EX66luk7wiuP2tBaryw-wKvv4e0/edit?usp=sharing"",""แพร่!Q361"")+IMPORTRANGE(""https://docs.google.com/spreadshe"&amp;"ets/d/1dQrvX0vEcN7Gu0fnZ0B5S90AeR19zth4XlExFBeExMY/edit?usp=sharing"",""แม่ฮ่องสอน!Q361"")+IMPORTRANGE(""https://docs.google.com/spreadsheets/d/1DY4XTNNwjluuxqdfdn6qvOSlMRrZqUtmYcZR0ttFiG4/edit?usp=sharing"",""ลำปาง!Q361"")+IMPORTRANGE(""https://docs.goog"&amp;"le.com/spreadsheets/d/1ICwG78r0OFT8biBlxnBF8r7she7gNSzOvJ958PWT09c/edit?usp=sharing"",""ลำพูน!Q361"")+IMPORTRANGE(""https://docs.google.com/spreadsheets/d/1B0f2xJpZUC6Z0xXnqKlZtEPzsf6L84eP1r1Q15seqRM/edit?usp=sharing"",""สุโขทัย!Q361"")+IMPORTRANGE(""http"&amp;"s://docs.google.com/spreadsheets/d/1v0b9pFQCsKUVExMei7AgY2yQkdeNQvtOssygGsXbiKo/edit?usp=sharing"",""อุตรดิตถ์!Q361"")+IMPORTRANGE(""https://docs.google.com/spreadsheets/d/1UsNK1e-WWiCo2PvGqdNfdme4m17_Ezd3J69EeeiQPD0/edit?usp=sharing"",""อุทัยธานี!Q361"")"),0)</f>
        <v>0</v>
      </c>
      <c r="R361" s="46">
        <f ca="1">IFERROR(__xludf.DUMMYFUNCTION("IMPORTRANGE(""https://docs.google.com/spreadsheets/d/1jTcq05yEiRwXcBMLjiodW9e4biSGYWAHcDj22rKWQ3s/edit?usp=sharing"",""กำแพงเพชร!R361"")+IMPORTRANGE(""https://docs.google.com/spreadsheets/d/1KS0zmDSZPk8KnTAbGN-Xk6MtX1YRZD0ldgdt20K4CRk/edit?usp=sharing"","&amp;"""เชียงราย!R361"")+IMPORTRANGE(""https://docs.google.com/spreadsheets/d/1rEDxBtusbi64tE0zunoIbsTVV16HeL0oJ6trHQeQ7K8/edit?usp=sharing"",""เชียงใหม่!R361"")+IMPORTRANGE(""https://docs.google.com/spreadsheets/d/1W6MnUbDkMi6xHnHko_XkFDO9kkuL6Wqyc-6OCDFjW9I/e"&amp;"dit?usp=sharing"",""ตาก!R361"")+IMPORTRANGE(""https://docs.google.com/spreadsheets/d/1IQAWArduLkta9LpYo4a_ULsyqdta6-6aDDiwpUnQT6c/edit?usp=sharing"",""นครสวรรค์!R361"")+IMPORTRANGE(""https://docs.google.com/spreadsheets/d/10s13Sk5xrltsiR-Zkbmk5DwIaDIKO8Xl"&amp;"bJAfqyT7Gvg/edit?usp=sharing"",""น่าน!R361"")+IMPORTRANGE(""https://docs.google.com/spreadsheets/d/1uu4nAn4Dbi1XREnLKKotUANlKXa7yCgRcgq8HEzQYW8/edit?usp=sharing"",""พะเยา!R361"")+IMPORTRANGE(""https://docs.google.com/spreadsheets/d/1xfJKIQxVOaPDIICqsflNlL"&amp;"u3JacTDk1FP9RH4phX7mI/edit?usp=sharing"",""พิจิตร!R361"")+IMPORTRANGE(""https://docs.google.com/spreadsheets/d/1JtRfZkJMHtEhI5RdRHxYUG4FIZHqKDpNyIuN7A1Q0_k/edit?usp=sharing"",""พิษณุโลก!R361"")+IMPORTRANGE(""https://docs.google.com/spreadsheets/d/1xlcVZWU"&amp;"Nn6SuWm0c307h32SiGkd9BaeQWlAktfD3KO8/edit?usp=sharing"",""เพชรบูรณ์!R361"")+IMPORTRANGE(""https://docs.google.com/spreadsheets/d/1lOVebEIsI9qjGXl6EX66luk7wiuP2tBaryw-wKvv4e0/edit?usp=sharing"",""แพร่!R361"")+IMPORTRANGE(""https://docs.google.com/spreadshe"&amp;"ets/d/1dQrvX0vEcN7Gu0fnZ0B5S90AeR19zth4XlExFBeExMY/edit?usp=sharing"",""แม่ฮ่องสอน!R361"")+IMPORTRANGE(""https://docs.google.com/spreadsheets/d/1DY4XTNNwjluuxqdfdn6qvOSlMRrZqUtmYcZR0ttFiG4/edit?usp=sharing"",""ลำปาง!R361"")+IMPORTRANGE(""https://docs.goog"&amp;"le.com/spreadsheets/d/1ICwG78r0OFT8biBlxnBF8r7she7gNSzOvJ958PWT09c/edit?usp=sharing"",""ลำพูน!R361"")+IMPORTRANGE(""https://docs.google.com/spreadsheets/d/1B0f2xJpZUC6Z0xXnqKlZtEPzsf6L84eP1r1Q15seqRM/edit?usp=sharing"",""สุโขทัย!R361"")+IMPORTRANGE(""http"&amp;"s://docs.google.com/spreadsheets/d/1v0b9pFQCsKUVExMei7AgY2yQkdeNQvtOssygGsXbiKo/edit?usp=sharing"",""อุตรดิตถ์!R361"")+IMPORTRANGE(""https://docs.google.com/spreadsheets/d/1UsNK1e-WWiCo2PvGqdNfdme4m17_Ezd3J69EeeiQPD0/edit?usp=sharing"",""อุทัยธานี!R361"")"),0)</f>
        <v>0</v>
      </c>
      <c r="S361" s="46">
        <f ca="1">IFERROR(__xludf.DUMMYFUNCTION("IMPORTRANGE(""https://docs.google.com/spreadsheets/d/1jTcq05yEiRwXcBMLjiodW9e4biSGYWAHcDj22rKWQ3s/edit?usp=sharing"",""กำแพงเพชร!S361"")+IMPORTRANGE(""https://docs.google.com/spreadsheets/d/1KS0zmDSZPk8KnTAbGN-Xk6MtX1YRZD0ldgdt20K4CRk/edit?usp=sharing"","&amp;"""เชียงราย!S361"")+IMPORTRANGE(""https://docs.google.com/spreadsheets/d/1rEDxBtusbi64tE0zunoIbsTVV16HeL0oJ6trHQeQ7K8/edit?usp=sharing"",""เชียงใหม่!S361"")+IMPORTRANGE(""https://docs.google.com/spreadsheets/d/1W6MnUbDkMi6xHnHko_XkFDO9kkuL6Wqyc-6OCDFjW9I/e"&amp;"dit?usp=sharing"",""ตาก!S361"")+IMPORTRANGE(""https://docs.google.com/spreadsheets/d/1IQAWArduLkta9LpYo4a_ULsyqdta6-6aDDiwpUnQT6c/edit?usp=sharing"",""นครสวรรค์!S361"")+IMPORTRANGE(""https://docs.google.com/spreadsheets/d/10s13Sk5xrltsiR-Zkbmk5DwIaDIKO8Xl"&amp;"bJAfqyT7Gvg/edit?usp=sharing"",""น่าน!S361"")+IMPORTRANGE(""https://docs.google.com/spreadsheets/d/1uu4nAn4Dbi1XREnLKKotUANlKXa7yCgRcgq8HEzQYW8/edit?usp=sharing"",""พะเยา!S361"")+IMPORTRANGE(""https://docs.google.com/spreadsheets/d/1xfJKIQxVOaPDIICqsflNlL"&amp;"u3JacTDk1FP9RH4phX7mI/edit?usp=sharing"",""พิจิตร!S361"")+IMPORTRANGE(""https://docs.google.com/spreadsheets/d/1JtRfZkJMHtEhI5RdRHxYUG4FIZHqKDpNyIuN7A1Q0_k/edit?usp=sharing"",""พิษณุโลก!S361"")+IMPORTRANGE(""https://docs.google.com/spreadsheets/d/1xlcVZWU"&amp;"Nn6SuWm0c307h32SiGkd9BaeQWlAktfD3KO8/edit?usp=sharing"",""เพชรบูรณ์!S361"")+IMPORTRANGE(""https://docs.google.com/spreadsheets/d/1lOVebEIsI9qjGXl6EX66luk7wiuP2tBaryw-wKvv4e0/edit?usp=sharing"",""แพร่!S361"")+IMPORTRANGE(""https://docs.google.com/spreadshe"&amp;"ets/d/1dQrvX0vEcN7Gu0fnZ0B5S90AeR19zth4XlExFBeExMY/edit?usp=sharing"",""แม่ฮ่องสอน!S361"")+IMPORTRANGE(""https://docs.google.com/spreadsheets/d/1DY4XTNNwjluuxqdfdn6qvOSlMRrZqUtmYcZR0ttFiG4/edit?usp=sharing"",""ลำปาง!S361"")+IMPORTRANGE(""https://docs.goog"&amp;"le.com/spreadsheets/d/1ICwG78r0OFT8biBlxnBF8r7she7gNSzOvJ958PWT09c/edit?usp=sharing"",""ลำพูน!S361"")+IMPORTRANGE(""https://docs.google.com/spreadsheets/d/1B0f2xJpZUC6Z0xXnqKlZtEPzsf6L84eP1r1Q15seqRM/edit?usp=sharing"",""สุโขทัย!S361"")+IMPORTRANGE(""http"&amp;"s://docs.google.com/spreadsheets/d/1v0b9pFQCsKUVExMei7AgY2yQkdeNQvtOssygGsXbiKo/edit?usp=sharing"",""อุตรดิตถ์!S361"")+IMPORTRANGE(""https://docs.google.com/spreadsheets/d/1UsNK1e-WWiCo2PvGqdNfdme4m17_Ezd3J69EeeiQPD0/edit?usp=sharing"",""อุทัยธานี!S361"")"),0)</f>
        <v>0</v>
      </c>
      <c r="T361" s="46">
        <f t="shared" ca="1" si="270"/>
        <v>0</v>
      </c>
      <c r="U361" s="46">
        <f t="shared" ca="1" si="271"/>
        <v>0</v>
      </c>
    </row>
    <row r="362" spans="1:21" ht="18.75" x14ac:dyDescent="0.25">
      <c r="A362" s="128"/>
      <c r="B362" s="40"/>
      <c r="C362" s="40"/>
      <c r="D362" s="41" t="s">
        <v>23</v>
      </c>
      <c r="E362" s="40"/>
      <c r="F362" s="40"/>
      <c r="G362" s="42"/>
      <c r="H362" s="137" t="s">
        <v>14</v>
      </c>
      <c r="I362" s="135"/>
      <c r="J362" s="135"/>
      <c r="K362" s="136"/>
      <c r="L362" s="46">
        <f t="shared" ref="L362:N362" ca="1" si="278">L363+L364</f>
        <v>0</v>
      </c>
      <c r="M362" s="46">
        <f t="shared" ca="1" si="278"/>
        <v>0</v>
      </c>
      <c r="N362" s="46">
        <f t="shared" ca="1" si="278"/>
        <v>0</v>
      </c>
      <c r="O362" s="46">
        <f t="shared" ca="1" si="267"/>
        <v>0</v>
      </c>
      <c r="P362" s="46">
        <f t="shared" ca="1" si="268"/>
        <v>0</v>
      </c>
      <c r="Q362" s="46">
        <f t="shared" ref="Q362:S362" ca="1" si="279">Q363+Q364</f>
        <v>0</v>
      </c>
      <c r="R362" s="46">
        <f t="shared" ca="1" si="279"/>
        <v>0</v>
      </c>
      <c r="S362" s="46">
        <f t="shared" ca="1" si="279"/>
        <v>0</v>
      </c>
      <c r="T362" s="46">
        <f t="shared" ca="1" si="270"/>
        <v>0</v>
      </c>
      <c r="U362" s="46">
        <f t="shared" ca="1" si="271"/>
        <v>0</v>
      </c>
    </row>
    <row r="363" spans="1:21" ht="18.75" x14ac:dyDescent="0.25">
      <c r="A363" s="128"/>
      <c r="B363" s="40"/>
      <c r="C363" s="40"/>
      <c r="D363" s="40"/>
      <c r="E363" s="47" t="s">
        <v>20</v>
      </c>
      <c r="F363" s="40"/>
      <c r="G363" s="42"/>
      <c r="H363" s="134" t="s">
        <v>14</v>
      </c>
      <c r="I363" s="135"/>
      <c r="J363" s="135"/>
      <c r="K363" s="136"/>
      <c r="L363" s="46">
        <f ca="1">IFERROR(__xludf.DUMMYFUNCTION("IMPORTRANGE(""https://docs.google.com/spreadsheets/d/1jTcq05yEiRwXcBMLjiodW9e4biSGYWAHcDj22rKWQ3s/edit?usp=sharing"",""กำแพงเพชร!L363"")+IMPORTRANGE(""https://docs.google.com/spreadsheets/d/1KS0zmDSZPk8KnTAbGN-Xk6MtX1YRZD0ldgdt20K4CRk/edit?usp=sharing"","&amp;"""เชียงราย!L363"")+IMPORTRANGE(""https://docs.google.com/spreadsheets/d/1rEDxBtusbi64tE0zunoIbsTVV16HeL0oJ6trHQeQ7K8/edit?usp=sharing"",""เชียงใหม่!L363"")+IMPORTRANGE(""https://docs.google.com/spreadsheets/d/1W6MnUbDkMi6xHnHko_XkFDO9kkuL6Wqyc-6OCDFjW9I/e"&amp;"dit?usp=sharing"",""ตาก!L363"")+IMPORTRANGE(""https://docs.google.com/spreadsheets/d/1IQAWArduLkta9LpYo4a_ULsyqdta6-6aDDiwpUnQT6c/edit?usp=sharing"",""นครสวรรค์!L363"")+IMPORTRANGE(""https://docs.google.com/spreadsheets/d/10s13Sk5xrltsiR-Zkbmk5DwIaDIKO8Xl"&amp;"bJAfqyT7Gvg/edit?usp=sharing"",""น่าน!L363"")+IMPORTRANGE(""https://docs.google.com/spreadsheets/d/1uu4nAn4Dbi1XREnLKKotUANlKXa7yCgRcgq8HEzQYW8/edit?usp=sharing"",""พะเยา!L363"")+IMPORTRANGE(""https://docs.google.com/spreadsheets/d/1xfJKIQxVOaPDIICqsflNlL"&amp;"u3JacTDk1FP9RH4phX7mI/edit?usp=sharing"",""พิจิตร!L363"")+IMPORTRANGE(""https://docs.google.com/spreadsheets/d/1JtRfZkJMHtEhI5RdRHxYUG4FIZHqKDpNyIuN7A1Q0_k/edit?usp=sharing"",""พิษณุโลก!L363"")+IMPORTRANGE(""https://docs.google.com/spreadsheets/d/1xlcVZWU"&amp;"Nn6SuWm0c307h32SiGkd9BaeQWlAktfD3KO8/edit?usp=sharing"",""เพชรบูรณ์!L363"")+IMPORTRANGE(""https://docs.google.com/spreadsheets/d/1lOVebEIsI9qjGXl6EX66luk7wiuP2tBaryw-wKvv4e0/edit?usp=sharing"",""แพร่!L363"")+IMPORTRANGE(""https://docs.google.com/spreadshe"&amp;"ets/d/1dQrvX0vEcN7Gu0fnZ0B5S90AeR19zth4XlExFBeExMY/edit?usp=sharing"",""แม่ฮ่องสอน!L363"")+IMPORTRANGE(""https://docs.google.com/spreadsheets/d/1DY4XTNNwjluuxqdfdn6qvOSlMRrZqUtmYcZR0ttFiG4/edit?usp=sharing"",""ลำปาง!L363"")+IMPORTRANGE(""https://docs.goog"&amp;"le.com/spreadsheets/d/1ICwG78r0OFT8biBlxnBF8r7she7gNSzOvJ958PWT09c/edit?usp=sharing"",""ลำพูน!L363"")+IMPORTRANGE(""https://docs.google.com/spreadsheets/d/1B0f2xJpZUC6Z0xXnqKlZtEPzsf6L84eP1r1Q15seqRM/edit?usp=sharing"",""สุโขทัย!L363"")+IMPORTRANGE(""http"&amp;"s://docs.google.com/spreadsheets/d/1v0b9pFQCsKUVExMei7AgY2yQkdeNQvtOssygGsXbiKo/edit?usp=sharing"",""อุตรดิตถ์!L363"")+IMPORTRANGE(""https://docs.google.com/spreadsheets/d/1UsNK1e-WWiCo2PvGqdNfdme4m17_Ezd3J69EeeiQPD0/edit?usp=sharing"",""อุทัยธานี!L363"")"),0)</f>
        <v>0</v>
      </c>
      <c r="M363" s="46">
        <f ca="1">IFERROR(__xludf.DUMMYFUNCTION("IMPORTRANGE(""https://docs.google.com/spreadsheets/d/1jTcq05yEiRwXcBMLjiodW9e4biSGYWAHcDj22rKWQ3s/edit?usp=sharing"",""กำแพงเพชร!M363"")+IMPORTRANGE(""https://docs.google.com/spreadsheets/d/1KS0zmDSZPk8KnTAbGN-Xk6MtX1YRZD0ldgdt20K4CRk/edit?usp=sharing"","&amp;"""เชียงราย!M363"")+IMPORTRANGE(""https://docs.google.com/spreadsheets/d/1rEDxBtusbi64tE0zunoIbsTVV16HeL0oJ6trHQeQ7K8/edit?usp=sharing"",""เชียงใหม่!M363"")+IMPORTRANGE(""https://docs.google.com/spreadsheets/d/1W6MnUbDkMi6xHnHko_XkFDO9kkuL6Wqyc-6OCDFjW9I/e"&amp;"dit?usp=sharing"",""ตาก!M363"")+IMPORTRANGE(""https://docs.google.com/spreadsheets/d/1IQAWArduLkta9LpYo4a_ULsyqdta6-6aDDiwpUnQT6c/edit?usp=sharing"",""นครสวรรค์!M363"")+IMPORTRANGE(""https://docs.google.com/spreadsheets/d/10s13Sk5xrltsiR-Zkbmk5DwIaDIKO8Xl"&amp;"bJAfqyT7Gvg/edit?usp=sharing"",""น่าน!M363"")+IMPORTRANGE(""https://docs.google.com/spreadsheets/d/1uu4nAn4Dbi1XREnLKKotUANlKXa7yCgRcgq8HEzQYW8/edit?usp=sharing"",""พะเยา!M363"")+IMPORTRANGE(""https://docs.google.com/spreadsheets/d/1xfJKIQxVOaPDIICqsflNlL"&amp;"u3JacTDk1FP9RH4phX7mI/edit?usp=sharing"",""พิจิตร!M363"")+IMPORTRANGE(""https://docs.google.com/spreadsheets/d/1JtRfZkJMHtEhI5RdRHxYUG4FIZHqKDpNyIuN7A1Q0_k/edit?usp=sharing"",""พิษณุโลก!M363"")+IMPORTRANGE(""https://docs.google.com/spreadsheets/d/1xlcVZWU"&amp;"Nn6SuWm0c307h32SiGkd9BaeQWlAktfD3KO8/edit?usp=sharing"",""เพชรบูรณ์!M363"")+IMPORTRANGE(""https://docs.google.com/spreadsheets/d/1lOVebEIsI9qjGXl6EX66luk7wiuP2tBaryw-wKvv4e0/edit?usp=sharing"",""แพร่!M363"")+IMPORTRANGE(""https://docs.google.com/spreadshe"&amp;"ets/d/1dQrvX0vEcN7Gu0fnZ0B5S90AeR19zth4XlExFBeExMY/edit?usp=sharing"",""แม่ฮ่องสอน!M363"")+IMPORTRANGE(""https://docs.google.com/spreadsheets/d/1DY4XTNNwjluuxqdfdn6qvOSlMRrZqUtmYcZR0ttFiG4/edit?usp=sharing"",""ลำปาง!M363"")+IMPORTRANGE(""https://docs.goog"&amp;"le.com/spreadsheets/d/1ICwG78r0OFT8biBlxnBF8r7she7gNSzOvJ958PWT09c/edit?usp=sharing"",""ลำพูน!M363"")+IMPORTRANGE(""https://docs.google.com/spreadsheets/d/1B0f2xJpZUC6Z0xXnqKlZtEPzsf6L84eP1r1Q15seqRM/edit?usp=sharing"",""สุโขทัย!M363"")+IMPORTRANGE(""http"&amp;"s://docs.google.com/spreadsheets/d/1v0b9pFQCsKUVExMei7AgY2yQkdeNQvtOssygGsXbiKo/edit?usp=sharing"",""อุตรดิตถ์!M363"")+IMPORTRANGE(""https://docs.google.com/spreadsheets/d/1UsNK1e-WWiCo2PvGqdNfdme4m17_Ezd3J69EeeiQPD0/edit?usp=sharing"",""อุทัยธานี!M363"")"),0)</f>
        <v>0</v>
      </c>
      <c r="N363" s="46">
        <f ca="1">IFERROR(__xludf.DUMMYFUNCTION("IMPORTRANGE(""https://docs.google.com/spreadsheets/d/1jTcq05yEiRwXcBMLjiodW9e4biSGYWAHcDj22rKWQ3s/edit?usp=sharing"",""กำแพงเพชร!N363"")+IMPORTRANGE(""https://docs.google.com/spreadsheets/d/1KS0zmDSZPk8KnTAbGN-Xk6MtX1YRZD0ldgdt20K4CRk/edit?usp=sharing"","&amp;"""เชียงราย!N363"")+IMPORTRANGE(""https://docs.google.com/spreadsheets/d/1rEDxBtusbi64tE0zunoIbsTVV16HeL0oJ6trHQeQ7K8/edit?usp=sharing"",""เชียงใหม่!N363"")+IMPORTRANGE(""https://docs.google.com/spreadsheets/d/1W6MnUbDkMi6xHnHko_XkFDO9kkuL6Wqyc-6OCDFjW9I/e"&amp;"dit?usp=sharing"",""ตาก!N363"")+IMPORTRANGE(""https://docs.google.com/spreadsheets/d/1IQAWArduLkta9LpYo4a_ULsyqdta6-6aDDiwpUnQT6c/edit?usp=sharing"",""นครสวรรค์!N363"")+IMPORTRANGE(""https://docs.google.com/spreadsheets/d/10s13Sk5xrltsiR-Zkbmk5DwIaDIKO8Xl"&amp;"bJAfqyT7Gvg/edit?usp=sharing"",""น่าน!N363"")+IMPORTRANGE(""https://docs.google.com/spreadsheets/d/1uu4nAn4Dbi1XREnLKKotUANlKXa7yCgRcgq8HEzQYW8/edit?usp=sharing"",""พะเยา!N363"")+IMPORTRANGE(""https://docs.google.com/spreadsheets/d/1xfJKIQxVOaPDIICqsflNlL"&amp;"u3JacTDk1FP9RH4phX7mI/edit?usp=sharing"",""พิจิตร!N363"")+IMPORTRANGE(""https://docs.google.com/spreadsheets/d/1JtRfZkJMHtEhI5RdRHxYUG4FIZHqKDpNyIuN7A1Q0_k/edit?usp=sharing"",""พิษณุโลก!N363"")+IMPORTRANGE(""https://docs.google.com/spreadsheets/d/1xlcVZWU"&amp;"Nn6SuWm0c307h32SiGkd9BaeQWlAktfD3KO8/edit?usp=sharing"",""เพชรบูรณ์!N363"")+IMPORTRANGE(""https://docs.google.com/spreadsheets/d/1lOVebEIsI9qjGXl6EX66luk7wiuP2tBaryw-wKvv4e0/edit?usp=sharing"",""แพร่!N363"")+IMPORTRANGE(""https://docs.google.com/spreadshe"&amp;"ets/d/1dQrvX0vEcN7Gu0fnZ0B5S90AeR19zth4XlExFBeExMY/edit?usp=sharing"",""แม่ฮ่องสอน!N363"")+IMPORTRANGE(""https://docs.google.com/spreadsheets/d/1DY4XTNNwjluuxqdfdn6qvOSlMRrZqUtmYcZR0ttFiG4/edit?usp=sharing"",""ลำปาง!N363"")+IMPORTRANGE(""https://docs.goog"&amp;"le.com/spreadsheets/d/1ICwG78r0OFT8biBlxnBF8r7she7gNSzOvJ958PWT09c/edit?usp=sharing"",""ลำพูน!N363"")+IMPORTRANGE(""https://docs.google.com/spreadsheets/d/1B0f2xJpZUC6Z0xXnqKlZtEPzsf6L84eP1r1Q15seqRM/edit?usp=sharing"",""สุโขทัย!N363"")+IMPORTRANGE(""http"&amp;"s://docs.google.com/spreadsheets/d/1v0b9pFQCsKUVExMei7AgY2yQkdeNQvtOssygGsXbiKo/edit?usp=sharing"",""อุตรดิตถ์!N363"")+IMPORTRANGE(""https://docs.google.com/spreadsheets/d/1UsNK1e-WWiCo2PvGqdNfdme4m17_Ezd3J69EeeiQPD0/edit?usp=sharing"",""อุทัยธานี!N363"")"),0)</f>
        <v>0</v>
      </c>
      <c r="O363" s="46">
        <f t="shared" ca="1" si="267"/>
        <v>0</v>
      </c>
      <c r="P363" s="46">
        <f t="shared" ca="1" si="268"/>
        <v>0</v>
      </c>
      <c r="Q363" s="48">
        <f ca="1">IFERROR(__xludf.DUMMYFUNCTION("IMPORTRANGE(""https://docs.google.com/spreadsheets/d/1jTcq05yEiRwXcBMLjiodW9e4biSGYWAHcDj22rKWQ3s/edit?usp=sharing"",""กำแพงเพชร!Q363"")+IMPORTRANGE(""https://docs.google.com/spreadsheets/d/1KS0zmDSZPk8KnTAbGN-Xk6MtX1YRZD0ldgdt20K4CRk/edit?usp=sharing"","&amp;"""เชียงราย!Q363"")+IMPORTRANGE(""https://docs.google.com/spreadsheets/d/1rEDxBtusbi64tE0zunoIbsTVV16HeL0oJ6trHQeQ7K8/edit?usp=sharing"",""เชียงใหม่!Q363"")+IMPORTRANGE(""https://docs.google.com/spreadsheets/d/1W6MnUbDkMi6xHnHko_XkFDO9kkuL6Wqyc-6OCDFjW9I/e"&amp;"dit?usp=sharing"",""ตาก!Q363"")+IMPORTRANGE(""https://docs.google.com/spreadsheets/d/1IQAWArduLkta9LpYo4a_ULsyqdta6-6aDDiwpUnQT6c/edit?usp=sharing"",""นครสวรรค์!Q363"")+IMPORTRANGE(""https://docs.google.com/spreadsheets/d/10s13Sk5xrltsiR-Zkbmk5DwIaDIKO8Xl"&amp;"bJAfqyT7Gvg/edit?usp=sharing"",""น่าน!Q363"")+IMPORTRANGE(""https://docs.google.com/spreadsheets/d/1uu4nAn4Dbi1XREnLKKotUANlKXa7yCgRcgq8HEzQYW8/edit?usp=sharing"",""พะเยา!Q363"")+IMPORTRANGE(""https://docs.google.com/spreadsheets/d/1xfJKIQxVOaPDIICqsflNlL"&amp;"u3JacTDk1FP9RH4phX7mI/edit?usp=sharing"",""พิจิตร!Q363"")+IMPORTRANGE(""https://docs.google.com/spreadsheets/d/1JtRfZkJMHtEhI5RdRHxYUG4FIZHqKDpNyIuN7A1Q0_k/edit?usp=sharing"",""พิษณุโลก!Q363"")+IMPORTRANGE(""https://docs.google.com/spreadsheets/d/1xlcVZWU"&amp;"Nn6SuWm0c307h32SiGkd9BaeQWlAktfD3KO8/edit?usp=sharing"",""เพชรบูรณ์!Q363"")+IMPORTRANGE(""https://docs.google.com/spreadsheets/d/1lOVebEIsI9qjGXl6EX66luk7wiuP2tBaryw-wKvv4e0/edit?usp=sharing"",""แพร่!Q363"")+IMPORTRANGE(""https://docs.google.com/spreadshe"&amp;"ets/d/1dQrvX0vEcN7Gu0fnZ0B5S90AeR19zth4XlExFBeExMY/edit?usp=sharing"",""แม่ฮ่องสอน!Q363"")+IMPORTRANGE(""https://docs.google.com/spreadsheets/d/1DY4XTNNwjluuxqdfdn6qvOSlMRrZqUtmYcZR0ttFiG4/edit?usp=sharing"",""ลำปาง!Q363"")+IMPORTRANGE(""https://docs.goog"&amp;"le.com/spreadsheets/d/1ICwG78r0OFT8biBlxnBF8r7she7gNSzOvJ958PWT09c/edit?usp=sharing"",""ลำพูน!Q363"")+IMPORTRANGE(""https://docs.google.com/spreadsheets/d/1B0f2xJpZUC6Z0xXnqKlZtEPzsf6L84eP1r1Q15seqRM/edit?usp=sharing"",""สุโขทัย!Q363"")+IMPORTRANGE(""http"&amp;"s://docs.google.com/spreadsheets/d/1v0b9pFQCsKUVExMei7AgY2yQkdeNQvtOssygGsXbiKo/edit?usp=sharing"",""อุตรดิตถ์!Q363"")+IMPORTRANGE(""https://docs.google.com/spreadsheets/d/1UsNK1e-WWiCo2PvGqdNfdme4m17_Ezd3J69EeeiQPD0/edit?usp=sharing"",""อุทัยธานี!Q363"")"),0)</f>
        <v>0</v>
      </c>
      <c r="R363" s="48">
        <f ca="1">IFERROR(__xludf.DUMMYFUNCTION("IMPORTRANGE(""https://docs.google.com/spreadsheets/d/1jTcq05yEiRwXcBMLjiodW9e4biSGYWAHcDj22rKWQ3s/edit?usp=sharing"",""กำแพงเพชร!R363"")+IMPORTRANGE(""https://docs.google.com/spreadsheets/d/1KS0zmDSZPk8KnTAbGN-Xk6MtX1YRZD0ldgdt20K4CRk/edit?usp=sharing"","&amp;"""เชียงราย!R363"")+IMPORTRANGE(""https://docs.google.com/spreadsheets/d/1rEDxBtusbi64tE0zunoIbsTVV16HeL0oJ6trHQeQ7K8/edit?usp=sharing"",""เชียงใหม่!R363"")+IMPORTRANGE(""https://docs.google.com/spreadsheets/d/1W6MnUbDkMi6xHnHko_XkFDO9kkuL6Wqyc-6OCDFjW9I/e"&amp;"dit?usp=sharing"",""ตาก!R363"")+IMPORTRANGE(""https://docs.google.com/spreadsheets/d/1IQAWArduLkta9LpYo4a_ULsyqdta6-6aDDiwpUnQT6c/edit?usp=sharing"",""นครสวรรค์!R363"")+IMPORTRANGE(""https://docs.google.com/spreadsheets/d/10s13Sk5xrltsiR-Zkbmk5DwIaDIKO8Xl"&amp;"bJAfqyT7Gvg/edit?usp=sharing"",""น่าน!R363"")+IMPORTRANGE(""https://docs.google.com/spreadsheets/d/1uu4nAn4Dbi1XREnLKKotUANlKXa7yCgRcgq8HEzQYW8/edit?usp=sharing"",""พะเยา!R363"")+IMPORTRANGE(""https://docs.google.com/spreadsheets/d/1xfJKIQxVOaPDIICqsflNlL"&amp;"u3JacTDk1FP9RH4phX7mI/edit?usp=sharing"",""พิจิตร!R363"")+IMPORTRANGE(""https://docs.google.com/spreadsheets/d/1JtRfZkJMHtEhI5RdRHxYUG4FIZHqKDpNyIuN7A1Q0_k/edit?usp=sharing"",""พิษณุโลก!R363"")+IMPORTRANGE(""https://docs.google.com/spreadsheets/d/1xlcVZWU"&amp;"Nn6SuWm0c307h32SiGkd9BaeQWlAktfD3KO8/edit?usp=sharing"",""เพชรบูรณ์!R363"")+IMPORTRANGE(""https://docs.google.com/spreadsheets/d/1lOVebEIsI9qjGXl6EX66luk7wiuP2tBaryw-wKvv4e0/edit?usp=sharing"",""แพร่!R363"")+IMPORTRANGE(""https://docs.google.com/spreadshe"&amp;"ets/d/1dQrvX0vEcN7Gu0fnZ0B5S90AeR19zth4XlExFBeExMY/edit?usp=sharing"",""แม่ฮ่องสอน!R363"")+IMPORTRANGE(""https://docs.google.com/spreadsheets/d/1DY4XTNNwjluuxqdfdn6qvOSlMRrZqUtmYcZR0ttFiG4/edit?usp=sharing"",""ลำปาง!R363"")+IMPORTRANGE(""https://docs.goog"&amp;"le.com/spreadsheets/d/1ICwG78r0OFT8biBlxnBF8r7she7gNSzOvJ958PWT09c/edit?usp=sharing"",""ลำพูน!R363"")+IMPORTRANGE(""https://docs.google.com/spreadsheets/d/1B0f2xJpZUC6Z0xXnqKlZtEPzsf6L84eP1r1Q15seqRM/edit?usp=sharing"",""สุโขทัย!R363"")+IMPORTRANGE(""http"&amp;"s://docs.google.com/spreadsheets/d/1v0b9pFQCsKUVExMei7AgY2yQkdeNQvtOssygGsXbiKo/edit?usp=sharing"",""อุตรดิตถ์!R363"")+IMPORTRANGE(""https://docs.google.com/spreadsheets/d/1UsNK1e-WWiCo2PvGqdNfdme4m17_Ezd3J69EeeiQPD0/edit?usp=sharing"",""อุทัยธานี!R363"")"),0)</f>
        <v>0</v>
      </c>
      <c r="S363" s="48">
        <f ca="1">IFERROR(__xludf.DUMMYFUNCTION("IMPORTRANGE(""https://docs.google.com/spreadsheets/d/1jTcq05yEiRwXcBMLjiodW9e4biSGYWAHcDj22rKWQ3s/edit?usp=sharing"",""กำแพงเพชร!S363"")+IMPORTRANGE(""https://docs.google.com/spreadsheets/d/1KS0zmDSZPk8KnTAbGN-Xk6MtX1YRZD0ldgdt20K4CRk/edit?usp=sharing"","&amp;"""เชียงราย!S363"")+IMPORTRANGE(""https://docs.google.com/spreadsheets/d/1rEDxBtusbi64tE0zunoIbsTVV16HeL0oJ6trHQeQ7K8/edit?usp=sharing"",""เชียงใหม่!S363"")+IMPORTRANGE(""https://docs.google.com/spreadsheets/d/1W6MnUbDkMi6xHnHko_XkFDO9kkuL6Wqyc-6OCDFjW9I/e"&amp;"dit?usp=sharing"",""ตาก!S363"")+IMPORTRANGE(""https://docs.google.com/spreadsheets/d/1IQAWArduLkta9LpYo4a_ULsyqdta6-6aDDiwpUnQT6c/edit?usp=sharing"",""นครสวรรค์!S363"")+IMPORTRANGE(""https://docs.google.com/spreadsheets/d/10s13Sk5xrltsiR-Zkbmk5DwIaDIKO8Xl"&amp;"bJAfqyT7Gvg/edit?usp=sharing"",""น่าน!S363"")+IMPORTRANGE(""https://docs.google.com/spreadsheets/d/1uu4nAn4Dbi1XREnLKKotUANlKXa7yCgRcgq8HEzQYW8/edit?usp=sharing"",""พะเยา!S363"")+IMPORTRANGE(""https://docs.google.com/spreadsheets/d/1xfJKIQxVOaPDIICqsflNlL"&amp;"u3JacTDk1FP9RH4phX7mI/edit?usp=sharing"",""พิจิตร!S363"")+IMPORTRANGE(""https://docs.google.com/spreadsheets/d/1JtRfZkJMHtEhI5RdRHxYUG4FIZHqKDpNyIuN7A1Q0_k/edit?usp=sharing"",""พิษณุโลก!S363"")+IMPORTRANGE(""https://docs.google.com/spreadsheets/d/1xlcVZWU"&amp;"Nn6SuWm0c307h32SiGkd9BaeQWlAktfD3KO8/edit?usp=sharing"",""เพชรบูรณ์!S363"")+IMPORTRANGE(""https://docs.google.com/spreadsheets/d/1lOVebEIsI9qjGXl6EX66luk7wiuP2tBaryw-wKvv4e0/edit?usp=sharing"",""แพร่!S363"")+IMPORTRANGE(""https://docs.google.com/spreadshe"&amp;"ets/d/1dQrvX0vEcN7Gu0fnZ0B5S90AeR19zth4XlExFBeExMY/edit?usp=sharing"",""แม่ฮ่องสอน!S363"")+IMPORTRANGE(""https://docs.google.com/spreadsheets/d/1DY4XTNNwjluuxqdfdn6qvOSlMRrZqUtmYcZR0ttFiG4/edit?usp=sharing"",""ลำปาง!S363"")+IMPORTRANGE(""https://docs.goog"&amp;"le.com/spreadsheets/d/1ICwG78r0OFT8biBlxnBF8r7she7gNSzOvJ958PWT09c/edit?usp=sharing"",""ลำพูน!S363"")+IMPORTRANGE(""https://docs.google.com/spreadsheets/d/1B0f2xJpZUC6Z0xXnqKlZtEPzsf6L84eP1r1Q15seqRM/edit?usp=sharing"",""สุโขทัย!S363"")+IMPORTRANGE(""http"&amp;"s://docs.google.com/spreadsheets/d/1v0b9pFQCsKUVExMei7AgY2yQkdeNQvtOssygGsXbiKo/edit?usp=sharing"",""อุตรดิตถ์!S363"")+IMPORTRANGE(""https://docs.google.com/spreadsheets/d/1UsNK1e-WWiCo2PvGqdNfdme4m17_Ezd3J69EeeiQPD0/edit?usp=sharing"",""อุทัยธานี!S363"")"),0)</f>
        <v>0</v>
      </c>
      <c r="T363" s="48">
        <f t="shared" ca="1" si="270"/>
        <v>0</v>
      </c>
      <c r="U363" s="48">
        <f t="shared" ca="1" si="271"/>
        <v>0</v>
      </c>
    </row>
    <row r="364" spans="1:21" ht="18.75" x14ac:dyDescent="0.25">
      <c r="A364" s="128"/>
      <c r="B364" s="40"/>
      <c r="C364" s="40"/>
      <c r="D364" s="40"/>
      <c r="E364" s="47" t="s">
        <v>21</v>
      </c>
      <c r="F364" s="40"/>
      <c r="G364" s="42"/>
      <c r="H364" s="137" t="s">
        <v>14</v>
      </c>
      <c r="I364" s="135"/>
      <c r="J364" s="135"/>
      <c r="K364" s="136"/>
      <c r="L364" s="46">
        <f ca="1">IFERROR(__xludf.DUMMYFUNCTION("IMPORTRANGE(""https://docs.google.com/spreadsheets/d/1jTcq05yEiRwXcBMLjiodW9e4biSGYWAHcDj22rKWQ3s/edit?usp=sharing"",""กำแพงเพชร!L364"")+IMPORTRANGE(""https://docs.google.com/spreadsheets/d/1KS0zmDSZPk8KnTAbGN-Xk6MtX1YRZD0ldgdt20K4CRk/edit?usp=sharing"","&amp;"""เชียงราย!L364"")+IMPORTRANGE(""https://docs.google.com/spreadsheets/d/1rEDxBtusbi64tE0zunoIbsTVV16HeL0oJ6trHQeQ7K8/edit?usp=sharing"",""เชียงใหม่!L364"")+IMPORTRANGE(""https://docs.google.com/spreadsheets/d/1W6MnUbDkMi6xHnHko_XkFDO9kkuL6Wqyc-6OCDFjW9I/e"&amp;"dit?usp=sharing"",""ตาก!L364"")+IMPORTRANGE(""https://docs.google.com/spreadsheets/d/1IQAWArduLkta9LpYo4a_ULsyqdta6-6aDDiwpUnQT6c/edit?usp=sharing"",""นครสวรรค์!L364"")+IMPORTRANGE(""https://docs.google.com/spreadsheets/d/10s13Sk5xrltsiR-Zkbmk5DwIaDIKO8Xl"&amp;"bJAfqyT7Gvg/edit?usp=sharing"",""น่าน!L364"")+IMPORTRANGE(""https://docs.google.com/spreadsheets/d/1uu4nAn4Dbi1XREnLKKotUANlKXa7yCgRcgq8HEzQYW8/edit?usp=sharing"",""พะเยา!L364"")+IMPORTRANGE(""https://docs.google.com/spreadsheets/d/1xfJKIQxVOaPDIICqsflNlL"&amp;"u3JacTDk1FP9RH4phX7mI/edit?usp=sharing"",""พิจิตร!L364"")+IMPORTRANGE(""https://docs.google.com/spreadsheets/d/1JtRfZkJMHtEhI5RdRHxYUG4FIZHqKDpNyIuN7A1Q0_k/edit?usp=sharing"",""พิษณุโลก!L364"")+IMPORTRANGE(""https://docs.google.com/spreadsheets/d/1xlcVZWU"&amp;"Nn6SuWm0c307h32SiGkd9BaeQWlAktfD3KO8/edit?usp=sharing"",""เพชรบูรณ์!L364"")+IMPORTRANGE(""https://docs.google.com/spreadsheets/d/1lOVebEIsI9qjGXl6EX66luk7wiuP2tBaryw-wKvv4e0/edit?usp=sharing"",""แพร่!L364"")+IMPORTRANGE(""https://docs.google.com/spreadshe"&amp;"ets/d/1dQrvX0vEcN7Gu0fnZ0B5S90AeR19zth4XlExFBeExMY/edit?usp=sharing"",""แม่ฮ่องสอน!L364"")+IMPORTRANGE(""https://docs.google.com/spreadsheets/d/1DY4XTNNwjluuxqdfdn6qvOSlMRrZqUtmYcZR0ttFiG4/edit?usp=sharing"",""ลำปาง!L364"")+IMPORTRANGE(""https://docs.goog"&amp;"le.com/spreadsheets/d/1ICwG78r0OFT8biBlxnBF8r7she7gNSzOvJ958PWT09c/edit?usp=sharing"",""ลำพูน!L364"")+IMPORTRANGE(""https://docs.google.com/spreadsheets/d/1B0f2xJpZUC6Z0xXnqKlZtEPzsf6L84eP1r1Q15seqRM/edit?usp=sharing"",""สุโขทัย!L364"")+IMPORTRANGE(""http"&amp;"s://docs.google.com/spreadsheets/d/1v0b9pFQCsKUVExMei7AgY2yQkdeNQvtOssygGsXbiKo/edit?usp=sharing"",""อุตรดิตถ์!L364"")+IMPORTRANGE(""https://docs.google.com/spreadsheets/d/1UsNK1e-WWiCo2PvGqdNfdme4m17_Ezd3J69EeeiQPD0/edit?usp=sharing"",""อุทัยธานี!L364"")"),0)</f>
        <v>0</v>
      </c>
      <c r="M364" s="46">
        <f ca="1">IFERROR(__xludf.DUMMYFUNCTION("IMPORTRANGE(""https://docs.google.com/spreadsheets/d/1jTcq05yEiRwXcBMLjiodW9e4biSGYWAHcDj22rKWQ3s/edit?usp=sharing"",""กำแพงเพชร!M364"")+IMPORTRANGE(""https://docs.google.com/spreadsheets/d/1KS0zmDSZPk8KnTAbGN-Xk6MtX1YRZD0ldgdt20K4CRk/edit?usp=sharing"","&amp;"""เชียงราย!M364"")+IMPORTRANGE(""https://docs.google.com/spreadsheets/d/1rEDxBtusbi64tE0zunoIbsTVV16HeL0oJ6trHQeQ7K8/edit?usp=sharing"",""เชียงใหม่!M364"")+IMPORTRANGE(""https://docs.google.com/spreadsheets/d/1W6MnUbDkMi6xHnHko_XkFDO9kkuL6Wqyc-6OCDFjW9I/e"&amp;"dit?usp=sharing"",""ตาก!M364"")+IMPORTRANGE(""https://docs.google.com/spreadsheets/d/1IQAWArduLkta9LpYo4a_ULsyqdta6-6aDDiwpUnQT6c/edit?usp=sharing"",""นครสวรรค์!M364"")+IMPORTRANGE(""https://docs.google.com/spreadsheets/d/10s13Sk5xrltsiR-Zkbmk5DwIaDIKO8Xl"&amp;"bJAfqyT7Gvg/edit?usp=sharing"",""น่าน!M364"")+IMPORTRANGE(""https://docs.google.com/spreadsheets/d/1uu4nAn4Dbi1XREnLKKotUANlKXa7yCgRcgq8HEzQYW8/edit?usp=sharing"",""พะเยา!M364"")+IMPORTRANGE(""https://docs.google.com/spreadsheets/d/1xfJKIQxVOaPDIICqsflNlL"&amp;"u3JacTDk1FP9RH4phX7mI/edit?usp=sharing"",""พิจิตร!M364"")+IMPORTRANGE(""https://docs.google.com/spreadsheets/d/1JtRfZkJMHtEhI5RdRHxYUG4FIZHqKDpNyIuN7A1Q0_k/edit?usp=sharing"",""พิษณุโลก!M364"")+IMPORTRANGE(""https://docs.google.com/spreadsheets/d/1xlcVZWU"&amp;"Nn6SuWm0c307h32SiGkd9BaeQWlAktfD3KO8/edit?usp=sharing"",""เพชรบูรณ์!M364"")+IMPORTRANGE(""https://docs.google.com/spreadsheets/d/1lOVebEIsI9qjGXl6EX66luk7wiuP2tBaryw-wKvv4e0/edit?usp=sharing"",""แพร่!M364"")+IMPORTRANGE(""https://docs.google.com/spreadshe"&amp;"ets/d/1dQrvX0vEcN7Gu0fnZ0B5S90AeR19zth4XlExFBeExMY/edit?usp=sharing"",""แม่ฮ่องสอน!M364"")+IMPORTRANGE(""https://docs.google.com/spreadsheets/d/1DY4XTNNwjluuxqdfdn6qvOSlMRrZqUtmYcZR0ttFiG4/edit?usp=sharing"",""ลำปาง!M364"")+IMPORTRANGE(""https://docs.goog"&amp;"le.com/spreadsheets/d/1ICwG78r0OFT8biBlxnBF8r7she7gNSzOvJ958PWT09c/edit?usp=sharing"",""ลำพูน!M364"")+IMPORTRANGE(""https://docs.google.com/spreadsheets/d/1B0f2xJpZUC6Z0xXnqKlZtEPzsf6L84eP1r1Q15seqRM/edit?usp=sharing"",""สุโขทัย!M364"")+IMPORTRANGE(""http"&amp;"s://docs.google.com/spreadsheets/d/1v0b9pFQCsKUVExMei7AgY2yQkdeNQvtOssygGsXbiKo/edit?usp=sharing"",""อุตรดิตถ์!M364"")+IMPORTRANGE(""https://docs.google.com/spreadsheets/d/1UsNK1e-WWiCo2PvGqdNfdme4m17_Ezd3J69EeeiQPD0/edit?usp=sharing"",""อุทัยธานี!M364"")"),0)</f>
        <v>0</v>
      </c>
      <c r="N364" s="46">
        <f ca="1">IFERROR(__xludf.DUMMYFUNCTION("IMPORTRANGE(""https://docs.google.com/spreadsheets/d/1jTcq05yEiRwXcBMLjiodW9e4biSGYWAHcDj22rKWQ3s/edit?usp=sharing"",""กำแพงเพชร!N364"")+IMPORTRANGE(""https://docs.google.com/spreadsheets/d/1KS0zmDSZPk8KnTAbGN-Xk6MtX1YRZD0ldgdt20K4CRk/edit?usp=sharing"","&amp;"""เชียงราย!N364"")+IMPORTRANGE(""https://docs.google.com/spreadsheets/d/1rEDxBtusbi64tE0zunoIbsTVV16HeL0oJ6trHQeQ7K8/edit?usp=sharing"",""เชียงใหม่!N364"")+IMPORTRANGE(""https://docs.google.com/spreadsheets/d/1W6MnUbDkMi6xHnHko_XkFDO9kkuL6Wqyc-6OCDFjW9I/e"&amp;"dit?usp=sharing"",""ตาก!N364"")+IMPORTRANGE(""https://docs.google.com/spreadsheets/d/1IQAWArduLkta9LpYo4a_ULsyqdta6-6aDDiwpUnQT6c/edit?usp=sharing"",""นครสวรรค์!N364"")+IMPORTRANGE(""https://docs.google.com/spreadsheets/d/10s13Sk5xrltsiR-Zkbmk5DwIaDIKO8Xl"&amp;"bJAfqyT7Gvg/edit?usp=sharing"",""น่าน!N364"")+IMPORTRANGE(""https://docs.google.com/spreadsheets/d/1uu4nAn4Dbi1XREnLKKotUANlKXa7yCgRcgq8HEzQYW8/edit?usp=sharing"",""พะเยา!N364"")+IMPORTRANGE(""https://docs.google.com/spreadsheets/d/1xfJKIQxVOaPDIICqsflNlL"&amp;"u3JacTDk1FP9RH4phX7mI/edit?usp=sharing"",""พิจิตร!N364"")+IMPORTRANGE(""https://docs.google.com/spreadsheets/d/1JtRfZkJMHtEhI5RdRHxYUG4FIZHqKDpNyIuN7A1Q0_k/edit?usp=sharing"",""พิษณุโลก!N364"")+IMPORTRANGE(""https://docs.google.com/spreadsheets/d/1xlcVZWU"&amp;"Nn6SuWm0c307h32SiGkd9BaeQWlAktfD3KO8/edit?usp=sharing"",""เพชรบูรณ์!N364"")+IMPORTRANGE(""https://docs.google.com/spreadsheets/d/1lOVebEIsI9qjGXl6EX66luk7wiuP2tBaryw-wKvv4e0/edit?usp=sharing"",""แพร่!N364"")+IMPORTRANGE(""https://docs.google.com/spreadshe"&amp;"ets/d/1dQrvX0vEcN7Gu0fnZ0B5S90AeR19zth4XlExFBeExMY/edit?usp=sharing"",""แม่ฮ่องสอน!N364"")+IMPORTRANGE(""https://docs.google.com/spreadsheets/d/1DY4XTNNwjluuxqdfdn6qvOSlMRrZqUtmYcZR0ttFiG4/edit?usp=sharing"",""ลำปาง!N364"")+IMPORTRANGE(""https://docs.goog"&amp;"le.com/spreadsheets/d/1ICwG78r0OFT8biBlxnBF8r7she7gNSzOvJ958PWT09c/edit?usp=sharing"",""ลำพูน!N364"")+IMPORTRANGE(""https://docs.google.com/spreadsheets/d/1B0f2xJpZUC6Z0xXnqKlZtEPzsf6L84eP1r1Q15seqRM/edit?usp=sharing"",""สุโขทัย!N364"")+IMPORTRANGE(""http"&amp;"s://docs.google.com/spreadsheets/d/1v0b9pFQCsKUVExMei7AgY2yQkdeNQvtOssygGsXbiKo/edit?usp=sharing"",""อุตรดิตถ์!N364"")+IMPORTRANGE(""https://docs.google.com/spreadsheets/d/1UsNK1e-WWiCo2PvGqdNfdme4m17_Ezd3J69EeeiQPD0/edit?usp=sharing"",""อุทัยธานี!N364"")"),0)</f>
        <v>0</v>
      </c>
      <c r="O364" s="46">
        <f t="shared" ca="1" si="267"/>
        <v>0</v>
      </c>
      <c r="P364" s="46">
        <f t="shared" ca="1" si="268"/>
        <v>0</v>
      </c>
      <c r="Q364" s="46">
        <f ca="1">IFERROR(__xludf.DUMMYFUNCTION("IMPORTRANGE(""https://docs.google.com/spreadsheets/d/1jTcq05yEiRwXcBMLjiodW9e4biSGYWAHcDj22rKWQ3s/edit?usp=sharing"",""กำแพงเพชร!Q364"")+IMPORTRANGE(""https://docs.google.com/spreadsheets/d/1KS0zmDSZPk8KnTAbGN-Xk6MtX1YRZD0ldgdt20K4CRk/edit?usp=sharing"","&amp;"""เชียงราย!Q364"")+IMPORTRANGE(""https://docs.google.com/spreadsheets/d/1rEDxBtusbi64tE0zunoIbsTVV16HeL0oJ6trHQeQ7K8/edit?usp=sharing"",""เชียงใหม่!Q364"")+IMPORTRANGE(""https://docs.google.com/spreadsheets/d/1W6MnUbDkMi6xHnHko_XkFDO9kkuL6Wqyc-6OCDFjW9I/e"&amp;"dit?usp=sharing"",""ตาก!Q364"")+IMPORTRANGE(""https://docs.google.com/spreadsheets/d/1IQAWArduLkta9LpYo4a_ULsyqdta6-6aDDiwpUnQT6c/edit?usp=sharing"",""นครสวรรค์!Q364"")+IMPORTRANGE(""https://docs.google.com/spreadsheets/d/10s13Sk5xrltsiR-Zkbmk5DwIaDIKO8Xl"&amp;"bJAfqyT7Gvg/edit?usp=sharing"",""น่าน!Q364"")+IMPORTRANGE(""https://docs.google.com/spreadsheets/d/1uu4nAn4Dbi1XREnLKKotUANlKXa7yCgRcgq8HEzQYW8/edit?usp=sharing"",""พะเยา!Q364"")+IMPORTRANGE(""https://docs.google.com/spreadsheets/d/1xfJKIQxVOaPDIICqsflNlL"&amp;"u3JacTDk1FP9RH4phX7mI/edit?usp=sharing"",""พิจิตร!Q364"")+IMPORTRANGE(""https://docs.google.com/spreadsheets/d/1JtRfZkJMHtEhI5RdRHxYUG4FIZHqKDpNyIuN7A1Q0_k/edit?usp=sharing"",""พิษณุโลก!Q364"")+IMPORTRANGE(""https://docs.google.com/spreadsheets/d/1xlcVZWU"&amp;"Nn6SuWm0c307h32SiGkd9BaeQWlAktfD3KO8/edit?usp=sharing"",""เพชรบูรณ์!Q364"")+IMPORTRANGE(""https://docs.google.com/spreadsheets/d/1lOVebEIsI9qjGXl6EX66luk7wiuP2tBaryw-wKvv4e0/edit?usp=sharing"",""แพร่!Q364"")+IMPORTRANGE(""https://docs.google.com/spreadshe"&amp;"ets/d/1dQrvX0vEcN7Gu0fnZ0B5S90AeR19zth4XlExFBeExMY/edit?usp=sharing"",""แม่ฮ่องสอน!Q364"")+IMPORTRANGE(""https://docs.google.com/spreadsheets/d/1DY4XTNNwjluuxqdfdn6qvOSlMRrZqUtmYcZR0ttFiG4/edit?usp=sharing"",""ลำปาง!Q364"")+IMPORTRANGE(""https://docs.goog"&amp;"le.com/spreadsheets/d/1ICwG78r0OFT8biBlxnBF8r7she7gNSzOvJ958PWT09c/edit?usp=sharing"",""ลำพูน!Q364"")+IMPORTRANGE(""https://docs.google.com/spreadsheets/d/1B0f2xJpZUC6Z0xXnqKlZtEPzsf6L84eP1r1Q15seqRM/edit?usp=sharing"",""สุโขทัย!Q364"")+IMPORTRANGE(""http"&amp;"s://docs.google.com/spreadsheets/d/1v0b9pFQCsKUVExMei7AgY2yQkdeNQvtOssygGsXbiKo/edit?usp=sharing"",""อุตรดิตถ์!Q364"")+IMPORTRANGE(""https://docs.google.com/spreadsheets/d/1UsNK1e-WWiCo2PvGqdNfdme4m17_Ezd3J69EeeiQPD0/edit?usp=sharing"",""อุทัยธานี!Q364"")"),0)</f>
        <v>0</v>
      </c>
      <c r="R364" s="46">
        <f ca="1">IFERROR(__xludf.DUMMYFUNCTION("IMPORTRANGE(""https://docs.google.com/spreadsheets/d/1jTcq05yEiRwXcBMLjiodW9e4biSGYWAHcDj22rKWQ3s/edit?usp=sharing"",""กำแพงเพชร!R364"")+IMPORTRANGE(""https://docs.google.com/spreadsheets/d/1KS0zmDSZPk8KnTAbGN-Xk6MtX1YRZD0ldgdt20K4CRk/edit?usp=sharing"","&amp;"""เชียงราย!R364"")+IMPORTRANGE(""https://docs.google.com/spreadsheets/d/1rEDxBtusbi64tE0zunoIbsTVV16HeL0oJ6trHQeQ7K8/edit?usp=sharing"",""เชียงใหม่!R364"")+IMPORTRANGE(""https://docs.google.com/spreadsheets/d/1W6MnUbDkMi6xHnHko_XkFDO9kkuL6Wqyc-6OCDFjW9I/e"&amp;"dit?usp=sharing"",""ตาก!R364"")+IMPORTRANGE(""https://docs.google.com/spreadsheets/d/1IQAWArduLkta9LpYo4a_ULsyqdta6-6aDDiwpUnQT6c/edit?usp=sharing"",""นครสวรรค์!R364"")+IMPORTRANGE(""https://docs.google.com/spreadsheets/d/10s13Sk5xrltsiR-Zkbmk5DwIaDIKO8Xl"&amp;"bJAfqyT7Gvg/edit?usp=sharing"",""น่าน!R364"")+IMPORTRANGE(""https://docs.google.com/spreadsheets/d/1uu4nAn4Dbi1XREnLKKotUANlKXa7yCgRcgq8HEzQYW8/edit?usp=sharing"",""พะเยา!R364"")+IMPORTRANGE(""https://docs.google.com/spreadsheets/d/1xfJKIQxVOaPDIICqsflNlL"&amp;"u3JacTDk1FP9RH4phX7mI/edit?usp=sharing"",""พิจิตร!R364"")+IMPORTRANGE(""https://docs.google.com/spreadsheets/d/1JtRfZkJMHtEhI5RdRHxYUG4FIZHqKDpNyIuN7A1Q0_k/edit?usp=sharing"",""พิษณุโลก!R364"")+IMPORTRANGE(""https://docs.google.com/spreadsheets/d/1xlcVZWU"&amp;"Nn6SuWm0c307h32SiGkd9BaeQWlAktfD3KO8/edit?usp=sharing"",""เพชรบูรณ์!R364"")+IMPORTRANGE(""https://docs.google.com/spreadsheets/d/1lOVebEIsI9qjGXl6EX66luk7wiuP2tBaryw-wKvv4e0/edit?usp=sharing"",""แพร่!R364"")+IMPORTRANGE(""https://docs.google.com/spreadshe"&amp;"ets/d/1dQrvX0vEcN7Gu0fnZ0B5S90AeR19zth4XlExFBeExMY/edit?usp=sharing"",""แม่ฮ่องสอน!R364"")+IMPORTRANGE(""https://docs.google.com/spreadsheets/d/1DY4XTNNwjluuxqdfdn6qvOSlMRrZqUtmYcZR0ttFiG4/edit?usp=sharing"",""ลำปาง!R364"")+IMPORTRANGE(""https://docs.goog"&amp;"le.com/spreadsheets/d/1ICwG78r0OFT8biBlxnBF8r7she7gNSzOvJ958PWT09c/edit?usp=sharing"",""ลำพูน!R364"")+IMPORTRANGE(""https://docs.google.com/spreadsheets/d/1B0f2xJpZUC6Z0xXnqKlZtEPzsf6L84eP1r1Q15seqRM/edit?usp=sharing"",""สุโขทัย!R364"")+IMPORTRANGE(""http"&amp;"s://docs.google.com/spreadsheets/d/1v0b9pFQCsKUVExMei7AgY2yQkdeNQvtOssygGsXbiKo/edit?usp=sharing"",""อุตรดิตถ์!R364"")+IMPORTRANGE(""https://docs.google.com/spreadsheets/d/1UsNK1e-WWiCo2PvGqdNfdme4m17_Ezd3J69EeeiQPD0/edit?usp=sharing"",""อุทัยธานี!R364"")"),0)</f>
        <v>0</v>
      </c>
      <c r="S364" s="46">
        <f ca="1">IFERROR(__xludf.DUMMYFUNCTION("IMPORTRANGE(""https://docs.google.com/spreadsheets/d/1jTcq05yEiRwXcBMLjiodW9e4biSGYWAHcDj22rKWQ3s/edit?usp=sharing"",""กำแพงเพชร!S364"")+IMPORTRANGE(""https://docs.google.com/spreadsheets/d/1KS0zmDSZPk8KnTAbGN-Xk6MtX1YRZD0ldgdt20K4CRk/edit?usp=sharing"","&amp;"""เชียงราย!S364"")+IMPORTRANGE(""https://docs.google.com/spreadsheets/d/1rEDxBtusbi64tE0zunoIbsTVV16HeL0oJ6trHQeQ7K8/edit?usp=sharing"",""เชียงใหม่!S364"")+IMPORTRANGE(""https://docs.google.com/spreadsheets/d/1W6MnUbDkMi6xHnHko_XkFDO9kkuL6Wqyc-6OCDFjW9I/e"&amp;"dit?usp=sharing"",""ตาก!S364"")+IMPORTRANGE(""https://docs.google.com/spreadsheets/d/1IQAWArduLkta9LpYo4a_ULsyqdta6-6aDDiwpUnQT6c/edit?usp=sharing"",""นครสวรรค์!S364"")+IMPORTRANGE(""https://docs.google.com/spreadsheets/d/10s13Sk5xrltsiR-Zkbmk5DwIaDIKO8Xl"&amp;"bJAfqyT7Gvg/edit?usp=sharing"",""น่าน!S364"")+IMPORTRANGE(""https://docs.google.com/spreadsheets/d/1uu4nAn4Dbi1XREnLKKotUANlKXa7yCgRcgq8HEzQYW8/edit?usp=sharing"",""พะเยา!S364"")+IMPORTRANGE(""https://docs.google.com/spreadsheets/d/1xfJKIQxVOaPDIICqsflNlL"&amp;"u3JacTDk1FP9RH4phX7mI/edit?usp=sharing"",""พิจิตร!S364"")+IMPORTRANGE(""https://docs.google.com/spreadsheets/d/1JtRfZkJMHtEhI5RdRHxYUG4FIZHqKDpNyIuN7A1Q0_k/edit?usp=sharing"",""พิษณุโลก!S364"")+IMPORTRANGE(""https://docs.google.com/spreadsheets/d/1xlcVZWU"&amp;"Nn6SuWm0c307h32SiGkd9BaeQWlAktfD3KO8/edit?usp=sharing"",""เพชรบูรณ์!S364"")+IMPORTRANGE(""https://docs.google.com/spreadsheets/d/1lOVebEIsI9qjGXl6EX66luk7wiuP2tBaryw-wKvv4e0/edit?usp=sharing"",""แพร่!S364"")+IMPORTRANGE(""https://docs.google.com/spreadshe"&amp;"ets/d/1dQrvX0vEcN7Gu0fnZ0B5S90AeR19zth4XlExFBeExMY/edit?usp=sharing"",""แม่ฮ่องสอน!S364"")+IMPORTRANGE(""https://docs.google.com/spreadsheets/d/1DY4XTNNwjluuxqdfdn6qvOSlMRrZqUtmYcZR0ttFiG4/edit?usp=sharing"",""ลำปาง!S364"")+IMPORTRANGE(""https://docs.goog"&amp;"le.com/spreadsheets/d/1ICwG78r0OFT8biBlxnBF8r7she7gNSzOvJ958PWT09c/edit?usp=sharing"",""ลำพูน!S364"")+IMPORTRANGE(""https://docs.google.com/spreadsheets/d/1B0f2xJpZUC6Z0xXnqKlZtEPzsf6L84eP1r1Q15seqRM/edit?usp=sharing"",""สุโขทัย!S364"")+IMPORTRANGE(""http"&amp;"s://docs.google.com/spreadsheets/d/1v0b9pFQCsKUVExMei7AgY2yQkdeNQvtOssygGsXbiKo/edit?usp=sharing"",""อุตรดิตถ์!S364"")+IMPORTRANGE(""https://docs.google.com/spreadsheets/d/1UsNK1e-WWiCo2PvGqdNfdme4m17_Ezd3J69EeeiQPD0/edit?usp=sharing"",""อุทัยธานี!S364"")"),0)</f>
        <v>0</v>
      </c>
      <c r="T364" s="46">
        <f t="shared" ca="1" si="270"/>
        <v>0</v>
      </c>
      <c r="U364" s="46">
        <f t="shared" ca="1" si="271"/>
        <v>0</v>
      </c>
    </row>
    <row r="365" spans="1:21" ht="19.5" x14ac:dyDescent="0.3">
      <c r="A365" s="211"/>
      <c r="B365" s="212"/>
      <c r="C365" s="214"/>
      <c r="D365" s="306" t="s">
        <v>149</v>
      </c>
      <c r="E365" s="214"/>
      <c r="F365" s="214"/>
      <c r="G365" s="215"/>
      <c r="H365" s="223" t="s">
        <v>35</v>
      </c>
      <c r="I365" s="217">
        <f t="shared" ref="I365:J365" ca="1" si="280">I371</f>
        <v>6265</v>
      </c>
      <c r="J365" s="217">
        <f t="shared" ca="1" si="280"/>
        <v>5370</v>
      </c>
      <c r="K365" s="218">
        <f ca="1">IF(I365&gt;0,J365*100/I365,0)</f>
        <v>85.714285714285708</v>
      </c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</row>
    <row r="366" spans="1:21" ht="19.5" x14ac:dyDescent="0.3">
      <c r="A366" s="138"/>
      <c r="B366" s="139"/>
      <c r="C366" s="129" t="s">
        <v>18</v>
      </c>
      <c r="D366" s="140" t="s">
        <v>38</v>
      </c>
      <c r="E366" s="141"/>
      <c r="F366" s="141"/>
      <c r="G366" s="142"/>
      <c r="H366" s="143"/>
      <c r="I366" s="44"/>
      <c r="J366" s="44"/>
      <c r="K366" s="45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3" t="s">
        <v>35</v>
      </c>
      <c r="I367" s="184">
        <v>0</v>
      </c>
      <c r="J367" s="166">
        <f ca="1">IFERROR(__xludf.DUMMYFUNCTION("IMPORTRANGE(""https://docs.google.com/spreadsheets/d/1jTcq05yEiRwXcBMLjiodW9e4biSGYWAHcDj22rKWQ3s/edit?usp=sharing"",""กำแพงเพชร!J367"")+IMPORTRANGE(""https://docs.google.com/spreadsheets/d/1KS0zmDSZPk8KnTAbGN-Xk6MtX1YRZD0ldgdt20K4CRk/edit?usp=sharing"","&amp;"""เชียงราย!J367"")+IMPORTRANGE(""https://docs.google.com/spreadsheets/d/1rEDxBtusbi64tE0zunoIbsTVV16HeL0oJ6trHQeQ7K8/edit?usp=sharing"",""เชียงใหม่!J367"")+IMPORTRANGE(""https://docs.google.com/spreadsheets/d/1W6MnUbDkMi6xHnHko_XkFDO9kkuL6Wqyc-6OCDFjW9I/e"&amp;"dit?usp=sharing"",""ตาก!J367"")+IMPORTRANGE(""https://docs.google.com/spreadsheets/d/1IQAWArduLkta9LpYo4a_ULsyqdta6-6aDDiwpUnQT6c/edit?usp=sharing"",""นครสวรรค์!J367"")+IMPORTRANGE(""https://docs.google.com/spreadsheets/d/10s13Sk5xrltsiR-Zkbmk5DwIaDIKO8Xl"&amp;"bJAfqyT7Gvg/edit?usp=sharing"",""น่าน!J367"")+IMPORTRANGE(""https://docs.google.com/spreadsheets/d/1uu4nAn4Dbi1XREnLKKotUANlKXa7yCgRcgq8HEzQYW8/edit?usp=sharing"",""พะเยา!J367"")+IMPORTRANGE(""https://docs.google.com/spreadsheets/d/1xfJKIQxVOaPDIICqsflNlL"&amp;"u3JacTDk1FP9RH4phX7mI/edit?usp=sharing"",""พิจิตร!J367"")+IMPORTRANGE(""https://docs.google.com/spreadsheets/d/1JtRfZkJMHtEhI5RdRHxYUG4FIZHqKDpNyIuN7A1Q0_k/edit?usp=sharing"",""พิษณุโลก!J367"")+IMPORTRANGE(""https://docs.google.com/spreadsheets/d/1xlcVZWU"&amp;"Nn6SuWm0c307h32SiGkd9BaeQWlAktfD3KO8/edit?usp=sharing"",""เพชรบูรณ์!J367"")+IMPORTRANGE(""https://docs.google.com/spreadsheets/d/1lOVebEIsI9qjGXl6EX66luk7wiuP2tBaryw-wKvv4e0/edit?usp=sharing"",""แพร่!J367"")+IMPORTRANGE(""https://docs.google.com/spreadshe"&amp;"ets/d/1dQrvX0vEcN7Gu0fnZ0B5S90AeR19zth4XlExFBeExMY/edit?usp=sharing"",""แม่ฮ่องสอน!J367"")+IMPORTRANGE(""https://docs.google.com/spreadsheets/d/1DY4XTNNwjluuxqdfdn6qvOSlMRrZqUtmYcZR0ttFiG4/edit?usp=sharing"",""ลำปาง!J367"")+IMPORTRANGE(""https://docs.goog"&amp;"le.com/spreadsheets/d/1ICwG78r0OFT8biBlxnBF8r7she7gNSzOvJ958PWT09c/edit?usp=sharing"",""ลำพูน!J367"")+IMPORTRANGE(""https://docs.google.com/spreadsheets/d/1B0f2xJpZUC6Z0xXnqKlZtEPzsf6L84eP1r1Q15seqRM/edit?usp=sharing"",""สุโขทัย!J367"")+IMPORTRANGE(""http"&amp;"s://docs.google.com/spreadsheets/d/1v0b9pFQCsKUVExMei7AgY2yQkdeNQvtOssygGsXbiKo/edit?usp=sharing"",""อุตรดิตถ์!J367"")+IMPORTRANGE(""https://docs.google.com/spreadsheets/d/1UsNK1e-WWiCo2PvGqdNfdme4m17_Ezd3J69EeeiQPD0/edit?usp=sharing"",""อุทัยธานี!J367"")"),2682)</f>
        <v>2682</v>
      </c>
      <c r="K367" s="46">
        <f t="shared" ref="K367:K372" si="281">IF(I367&gt;0,J367*100/I367,0)</f>
        <v>0</v>
      </c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3" t="s">
        <v>46</v>
      </c>
      <c r="I368" s="166">
        <f ca="1">IFERROR(__xludf.DUMMYFUNCTION("IMPORTRANGE(""https://docs.google.com/spreadsheets/d/1jTcq05yEiRwXcBMLjiodW9e4biSGYWAHcDj22rKWQ3s/edit?usp=sharing"",""กำแพงเพชร!I368"")+IMPORTRANGE(""https://docs.google.com/spreadsheets/d/1KS0zmDSZPk8KnTAbGN-Xk6MtX1YRZD0ldgdt20K4CRk/edit?usp=sharing"","&amp;"""เชียงราย!I368"")+IMPORTRANGE(""https://docs.google.com/spreadsheets/d/1rEDxBtusbi64tE0zunoIbsTVV16HeL0oJ6trHQeQ7K8/edit?usp=sharing"",""เชียงใหม่!I368"")+IMPORTRANGE(""https://docs.google.com/spreadsheets/d/1W6MnUbDkMi6xHnHko_XkFDO9kkuL6Wqyc-6OCDFjW9I/e"&amp;"dit?usp=sharing"",""ตาก!I368"")+IMPORTRANGE(""https://docs.google.com/spreadsheets/d/1IQAWArduLkta9LpYo4a_ULsyqdta6-6aDDiwpUnQT6c/edit?usp=sharing"",""นครสวรรค์!I368"")+IMPORTRANGE(""https://docs.google.com/spreadsheets/d/10s13Sk5xrltsiR-Zkbmk5DwIaDIKO8Xl"&amp;"bJAfqyT7Gvg/edit?usp=sharing"",""น่าน!I368"")+IMPORTRANGE(""https://docs.google.com/spreadsheets/d/1uu4nAn4Dbi1XREnLKKotUANlKXa7yCgRcgq8HEzQYW8/edit?usp=sharing"",""พะเยา!I368"")+IMPORTRANGE(""https://docs.google.com/spreadsheets/d/1xfJKIQxVOaPDIICqsflNlL"&amp;"u3JacTDk1FP9RH4phX7mI/edit?usp=sharing"",""พิจิตร!I368"")+IMPORTRANGE(""https://docs.google.com/spreadsheets/d/1JtRfZkJMHtEhI5RdRHxYUG4FIZHqKDpNyIuN7A1Q0_k/edit?usp=sharing"",""พิษณุโลก!I368"")+IMPORTRANGE(""https://docs.google.com/spreadsheets/d/1xlcVZWU"&amp;"Nn6SuWm0c307h32SiGkd9BaeQWlAktfD3KO8/edit?usp=sharing"",""เพชรบูรณ์!I368"")+IMPORTRANGE(""https://docs.google.com/spreadsheets/d/1lOVebEIsI9qjGXl6EX66luk7wiuP2tBaryw-wKvv4e0/edit?usp=sharing"",""แพร่!I368"")+IMPORTRANGE(""https://docs.google.com/spreadshe"&amp;"ets/d/1dQrvX0vEcN7Gu0fnZ0B5S90AeR19zth4XlExFBeExMY/edit?usp=sharing"",""แม่ฮ่องสอน!I368"")+IMPORTRANGE(""https://docs.google.com/spreadsheets/d/1DY4XTNNwjluuxqdfdn6qvOSlMRrZqUtmYcZR0ttFiG4/edit?usp=sharing"",""ลำปาง!I368"")+IMPORTRANGE(""https://docs.goog"&amp;"le.com/spreadsheets/d/1ICwG78r0OFT8biBlxnBF8r7she7gNSzOvJ958PWT09c/edit?usp=sharing"",""ลำพูน!I368"")+IMPORTRANGE(""https://docs.google.com/spreadsheets/d/1B0f2xJpZUC6Z0xXnqKlZtEPzsf6L84eP1r1Q15seqRM/edit?usp=sharing"",""สุโขทัย!I368"")+IMPORTRANGE(""http"&amp;"s://docs.google.com/spreadsheets/d/1v0b9pFQCsKUVExMei7AgY2yQkdeNQvtOssygGsXbiKo/edit?usp=sharing"",""อุตรดิตถ์!I368"")+IMPORTRANGE(""https://docs.google.com/spreadsheets/d/1UsNK1e-WWiCo2PvGqdNfdme4m17_Ezd3J69EeeiQPD0/edit?usp=sharing"",""อุทัยธานี!I368"")"),14490)</f>
        <v>14490</v>
      </c>
      <c r="J368" s="166">
        <f ca="1">IFERROR(__xludf.DUMMYFUNCTION("IMPORTRANGE(""https://docs.google.com/spreadsheets/d/1jTcq05yEiRwXcBMLjiodW9e4biSGYWAHcDj22rKWQ3s/edit?usp=sharing"",""กำแพงเพชร!J368"")+IMPORTRANGE(""https://docs.google.com/spreadsheets/d/1KS0zmDSZPk8KnTAbGN-Xk6MtX1YRZD0ldgdt20K4CRk/edit?usp=sharing"","&amp;"""เชียงราย!J368"")+IMPORTRANGE(""https://docs.google.com/spreadsheets/d/1rEDxBtusbi64tE0zunoIbsTVV16HeL0oJ6trHQeQ7K8/edit?usp=sharing"",""เชียงใหม่!J368"")+IMPORTRANGE(""https://docs.google.com/spreadsheets/d/1W6MnUbDkMi6xHnHko_XkFDO9kkuL6Wqyc-6OCDFjW9I/e"&amp;"dit?usp=sharing"",""ตาก!J368"")+IMPORTRANGE(""https://docs.google.com/spreadsheets/d/1IQAWArduLkta9LpYo4a_ULsyqdta6-6aDDiwpUnQT6c/edit?usp=sharing"",""นครสวรรค์!J368"")+IMPORTRANGE(""https://docs.google.com/spreadsheets/d/10s13Sk5xrltsiR-Zkbmk5DwIaDIKO8Xl"&amp;"bJAfqyT7Gvg/edit?usp=sharing"",""น่าน!J368"")+IMPORTRANGE(""https://docs.google.com/spreadsheets/d/1uu4nAn4Dbi1XREnLKKotUANlKXa7yCgRcgq8HEzQYW8/edit?usp=sharing"",""พะเยา!J368"")+IMPORTRANGE(""https://docs.google.com/spreadsheets/d/1xfJKIQxVOaPDIICqsflNlL"&amp;"u3JacTDk1FP9RH4phX7mI/edit?usp=sharing"",""พิจิตร!J368"")+IMPORTRANGE(""https://docs.google.com/spreadsheets/d/1JtRfZkJMHtEhI5RdRHxYUG4FIZHqKDpNyIuN7A1Q0_k/edit?usp=sharing"",""พิษณุโลก!J368"")+IMPORTRANGE(""https://docs.google.com/spreadsheets/d/1xlcVZWU"&amp;"Nn6SuWm0c307h32SiGkd9BaeQWlAktfD3KO8/edit?usp=sharing"",""เพชรบูรณ์!J368"")+IMPORTRANGE(""https://docs.google.com/spreadsheets/d/1lOVebEIsI9qjGXl6EX66luk7wiuP2tBaryw-wKvv4e0/edit?usp=sharing"",""แพร่!J368"")+IMPORTRANGE(""https://docs.google.com/spreadshe"&amp;"ets/d/1dQrvX0vEcN7Gu0fnZ0B5S90AeR19zth4XlExFBeExMY/edit?usp=sharing"",""แม่ฮ่องสอน!J368"")+IMPORTRANGE(""https://docs.google.com/spreadsheets/d/1DY4XTNNwjluuxqdfdn6qvOSlMRrZqUtmYcZR0ttFiG4/edit?usp=sharing"",""ลำปาง!J368"")+IMPORTRANGE(""https://docs.goog"&amp;"le.com/spreadsheets/d/1ICwG78r0OFT8biBlxnBF8r7she7gNSzOvJ958PWT09c/edit?usp=sharing"",""ลำพูน!J368"")+IMPORTRANGE(""https://docs.google.com/spreadsheets/d/1B0f2xJpZUC6Z0xXnqKlZtEPzsf6L84eP1r1Q15seqRM/edit?usp=sharing"",""สุโขทัย!J368"")+IMPORTRANGE(""http"&amp;"s://docs.google.com/spreadsheets/d/1v0b9pFQCsKUVExMei7AgY2yQkdeNQvtOssygGsXbiKo/edit?usp=sharing"",""อุตรดิตถ์!J368"")+IMPORTRANGE(""https://docs.google.com/spreadsheets/d/1UsNK1e-WWiCo2PvGqdNfdme4m17_Ezd3J69EeeiQPD0/edit?usp=sharing"",""อุทัยธานี!J368"")"),18675.5199999999)</f>
        <v>18675.519999999899</v>
      </c>
      <c r="K368" s="46">
        <f t="shared" ca="1" si="281"/>
        <v>128.8855762594886</v>
      </c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66">
        <f ca="1">IFERROR(__xludf.DUMMYFUNCTION("IMPORTRANGE(""https://docs.google.com/spreadsheets/d/1jTcq05yEiRwXcBMLjiodW9e4biSGYWAHcDj22rKWQ3s/edit?usp=sharing"",""กำแพงเพชร!I369"")+IMPORTRANGE(""https://docs.google.com/spreadsheets/d/1KS0zmDSZPk8KnTAbGN-Xk6MtX1YRZD0ldgdt20K4CRk/edit?usp=sharing"","&amp;"""เชียงราย!I369"")+IMPORTRANGE(""https://docs.google.com/spreadsheets/d/1rEDxBtusbi64tE0zunoIbsTVV16HeL0oJ6trHQeQ7K8/edit?usp=sharing"",""เชียงใหม่!I369"")+IMPORTRANGE(""https://docs.google.com/spreadsheets/d/1W6MnUbDkMi6xHnHko_XkFDO9kkuL6Wqyc-6OCDFjW9I/e"&amp;"dit?usp=sharing"",""ตาก!I369"")+IMPORTRANGE(""https://docs.google.com/spreadsheets/d/1IQAWArduLkta9LpYo4a_ULsyqdta6-6aDDiwpUnQT6c/edit?usp=sharing"",""นครสวรรค์!I369"")+IMPORTRANGE(""https://docs.google.com/spreadsheets/d/10s13Sk5xrltsiR-Zkbmk5DwIaDIKO8Xl"&amp;"bJAfqyT7Gvg/edit?usp=sharing"",""น่าน!I369"")+IMPORTRANGE(""https://docs.google.com/spreadsheets/d/1uu4nAn4Dbi1XREnLKKotUANlKXa7yCgRcgq8HEzQYW8/edit?usp=sharing"",""พะเยา!I369"")+IMPORTRANGE(""https://docs.google.com/spreadsheets/d/1xfJKIQxVOaPDIICqsflNlL"&amp;"u3JacTDk1FP9RH4phX7mI/edit?usp=sharing"",""พิจิตร!I369"")+IMPORTRANGE(""https://docs.google.com/spreadsheets/d/1JtRfZkJMHtEhI5RdRHxYUG4FIZHqKDpNyIuN7A1Q0_k/edit?usp=sharing"",""พิษณุโลก!I369"")+IMPORTRANGE(""https://docs.google.com/spreadsheets/d/1xlcVZWU"&amp;"Nn6SuWm0c307h32SiGkd9BaeQWlAktfD3KO8/edit?usp=sharing"",""เพชรบูรณ์!I369"")+IMPORTRANGE(""https://docs.google.com/spreadsheets/d/1lOVebEIsI9qjGXl6EX66luk7wiuP2tBaryw-wKvv4e0/edit?usp=sharing"",""แพร่!I369"")+IMPORTRANGE(""https://docs.google.com/spreadshe"&amp;"ets/d/1dQrvX0vEcN7Gu0fnZ0B5S90AeR19zth4XlExFBeExMY/edit?usp=sharing"",""แม่ฮ่องสอน!I369"")+IMPORTRANGE(""https://docs.google.com/spreadsheets/d/1DY4XTNNwjluuxqdfdn6qvOSlMRrZqUtmYcZR0ttFiG4/edit?usp=sharing"",""ลำปาง!I369"")+IMPORTRANGE(""https://docs.goog"&amp;"le.com/spreadsheets/d/1ICwG78r0OFT8biBlxnBF8r7she7gNSzOvJ958PWT09c/edit?usp=sharing"",""ลำพูน!I369"")+IMPORTRANGE(""https://docs.google.com/spreadsheets/d/1B0f2xJpZUC6Z0xXnqKlZtEPzsf6L84eP1r1Q15seqRM/edit?usp=sharing"",""สุโขทัย!I369"")+IMPORTRANGE(""http"&amp;"s://docs.google.com/spreadsheets/d/1v0b9pFQCsKUVExMei7AgY2yQkdeNQvtOssygGsXbiKo/edit?usp=sharing"",""อุตรดิตถ์!I369"")+IMPORTRANGE(""https://docs.google.com/spreadsheets/d/1UsNK1e-WWiCo2PvGqdNfdme4m17_Ezd3J69EeeiQPD0/edit?usp=sharing"",""อุทัยธานี!I369"")"),6265)</f>
        <v>6265</v>
      </c>
      <c r="J369" s="166">
        <f ca="1">IFERROR(__xludf.DUMMYFUNCTION("IMPORTRANGE(""https://docs.google.com/spreadsheets/d/1jTcq05yEiRwXcBMLjiodW9e4biSGYWAHcDj22rKWQ3s/edit?usp=sharing"",""กำแพงเพชร!J369"")+IMPORTRANGE(""https://docs.google.com/spreadsheets/d/1KS0zmDSZPk8KnTAbGN-Xk6MtX1YRZD0ldgdt20K4CRk/edit?usp=sharing"","&amp;"""เชียงราย!J369"")+IMPORTRANGE(""https://docs.google.com/spreadsheets/d/1rEDxBtusbi64tE0zunoIbsTVV16HeL0oJ6trHQeQ7K8/edit?usp=sharing"",""เชียงใหม่!J369"")+IMPORTRANGE(""https://docs.google.com/spreadsheets/d/1W6MnUbDkMi6xHnHko_XkFDO9kkuL6Wqyc-6OCDFjW9I/e"&amp;"dit?usp=sharing"",""ตาก!J369"")+IMPORTRANGE(""https://docs.google.com/spreadsheets/d/1IQAWArduLkta9LpYo4a_ULsyqdta6-6aDDiwpUnQT6c/edit?usp=sharing"",""นครสวรรค์!J369"")+IMPORTRANGE(""https://docs.google.com/spreadsheets/d/10s13Sk5xrltsiR-Zkbmk5DwIaDIKO8Xl"&amp;"bJAfqyT7Gvg/edit?usp=sharing"",""น่าน!J369"")+IMPORTRANGE(""https://docs.google.com/spreadsheets/d/1uu4nAn4Dbi1XREnLKKotUANlKXa7yCgRcgq8HEzQYW8/edit?usp=sharing"",""พะเยา!J369"")+IMPORTRANGE(""https://docs.google.com/spreadsheets/d/1xfJKIQxVOaPDIICqsflNlL"&amp;"u3JacTDk1FP9RH4phX7mI/edit?usp=sharing"",""พิจิตร!J369"")+IMPORTRANGE(""https://docs.google.com/spreadsheets/d/1JtRfZkJMHtEhI5RdRHxYUG4FIZHqKDpNyIuN7A1Q0_k/edit?usp=sharing"",""พิษณุโลก!J369"")+IMPORTRANGE(""https://docs.google.com/spreadsheets/d/1xlcVZWU"&amp;"Nn6SuWm0c307h32SiGkd9BaeQWlAktfD3KO8/edit?usp=sharing"",""เพชรบูรณ์!J369"")+IMPORTRANGE(""https://docs.google.com/spreadsheets/d/1lOVebEIsI9qjGXl6EX66luk7wiuP2tBaryw-wKvv4e0/edit?usp=sharing"",""แพร่!J369"")+IMPORTRANGE(""https://docs.google.com/spreadshe"&amp;"ets/d/1dQrvX0vEcN7Gu0fnZ0B5S90AeR19zth4XlExFBeExMY/edit?usp=sharing"",""แม่ฮ่องสอน!J369"")+IMPORTRANGE(""https://docs.google.com/spreadsheets/d/1DY4XTNNwjluuxqdfdn6qvOSlMRrZqUtmYcZR0ttFiG4/edit?usp=sharing"",""ลำปาง!J369"")+IMPORTRANGE(""https://docs.goog"&amp;"le.com/spreadsheets/d/1ICwG78r0OFT8biBlxnBF8r7she7gNSzOvJ958PWT09c/edit?usp=sharing"",""ลำพูน!J369"")+IMPORTRANGE(""https://docs.google.com/spreadsheets/d/1B0f2xJpZUC6Z0xXnqKlZtEPzsf6L84eP1r1Q15seqRM/edit?usp=sharing"",""สุโขทัย!J369"")+IMPORTRANGE(""http"&amp;"s://docs.google.com/spreadsheets/d/1v0b9pFQCsKUVExMei7AgY2yQkdeNQvtOssygGsXbiKo/edit?usp=sharing"",""อุตรดิตถ์!J369"")+IMPORTRANGE(""https://docs.google.com/spreadsheets/d/1UsNK1e-WWiCo2PvGqdNfdme4m17_Ezd3J69EeeiQPD0/edit?usp=sharing"",""อุทัยธานี!J369"")"),6220)</f>
        <v>6220</v>
      </c>
      <c r="K369" s="46">
        <f t="shared" ca="1" si="281"/>
        <v>99.28172386272945</v>
      </c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84">
        <v>0</v>
      </c>
      <c r="J370" s="166">
        <f ca="1">IFERROR(__xludf.DUMMYFUNCTION("IMPORTRANGE(""https://docs.google.com/spreadsheets/d/1jTcq05yEiRwXcBMLjiodW9e4biSGYWAHcDj22rKWQ3s/edit?usp=sharing"",""กำแพงเพชร!J370"")+IMPORTRANGE(""https://docs.google.com/spreadsheets/d/1KS0zmDSZPk8KnTAbGN-Xk6MtX1YRZD0ldgdt20K4CRk/edit?usp=sharing"","&amp;"""เชียงราย!J370"")+IMPORTRANGE(""https://docs.google.com/spreadsheets/d/1rEDxBtusbi64tE0zunoIbsTVV16HeL0oJ6trHQeQ7K8/edit?usp=sharing"",""เชียงใหม่!J370"")+IMPORTRANGE(""https://docs.google.com/spreadsheets/d/1W6MnUbDkMi6xHnHko_XkFDO9kkuL6Wqyc-6OCDFjW9I/e"&amp;"dit?usp=sharing"",""ตาก!J370"")+IMPORTRANGE(""https://docs.google.com/spreadsheets/d/1IQAWArduLkta9LpYo4a_ULsyqdta6-6aDDiwpUnQT6c/edit?usp=sharing"",""นครสวรรค์!J370"")+IMPORTRANGE(""https://docs.google.com/spreadsheets/d/10s13Sk5xrltsiR-Zkbmk5DwIaDIKO8Xl"&amp;"bJAfqyT7Gvg/edit?usp=sharing"",""น่าน!J370"")+IMPORTRANGE(""https://docs.google.com/spreadsheets/d/1uu4nAn4Dbi1XREnLKKotUANlKXa7yCgRcgq8HEzQYW8/edit?usp=sharing"",""พะเยา!J370"")+IMPORTRANGE(""https://docs.google.com/spreadsheets/d/1xfJKIQxVOaPDIICqsflNlL"&amp;"u3JacTDk1FP9RH4phX7mI/edit?usp=sharing"",""พิจิตร!J370"")+IMPORTRANGE(""https://docs.google.com/spreadsheets/d/1JtRfZkJMHtEhI5RdRHxYUG4FIZHqKDpNyIuN7A1Q0_k/edit?usp=sharing"",""พิษณุโลก!J370"")+IMPORTRANGE(""https://docs.google.com/spreadsheets/d/1xlcVZWU"&amp;"Nn6SuWm0c307h32SiGkd9BaeQWlAktfD3KO8/edit?usp=sharing"",""เพชรบูรณ์!J370"")+IMPORTRANGE(""https://docs.google.com/spreadsheets/d/1lOVebEIsI9qjGXl6EX66luk7wiuP2tBaryw-wKvv4e0/edit?usp=sharing"",""แพร่!J370"")+IMPORTRANGE(""https://docs.google.com/spreadshe"&amp;"ets/d/1dQrvX0vEcN7Gu0fnZ0B5S90AeR19zth4XlExFBeExMY/edit?usp=sharing"",""แม่ฮ่องสอน!J370"")+IMPORTRANGE(""https://docs.google.com/spreadsheets/d/1DY4XTNNwjluuxqdfdn6qvOSlMRrZqUtmYcZR0ttFiG4/edit?usp=sharing"",""ลำปาง!J370"")+IMPORTRANGE(""https://docs.goog"&amp;"le.com/spreadsheets/d/1ICwG78r0OFT8biBlxnBF8r7she7gNSzOvJ958PWT09c/edit?usp=sharing"",""ลำพูน!J370"")+IMPORTRANGE(""https://docs.google.com/spreadsheets/d/1B0f2xJpZUC6Z0xXnqKlZtEPzsf6L84eP1r1Q15seqRM/edit?usp=sharing"",""สุโขทัย!J370"")+IMPORTRANGE(""http"&amp;"s://docs.google.com/spreadsheets/d/1v0b9pFQCsKUVExMei7AgY2yQkdeNQvtOssygGsXbiKo/edit?usp=sharing"",""อุตรดิตถ์!J370"")+IMPORTRANGE(""https://docs.google.com/spreadsheets/d/1UsNK1e-WWiCo2PvGqdNfdme4m17_Ezd3J69EeeiQPD0/edit?usp=sharing"",""อุทัยธานี!J370"")"),65838.1599999999)</f>
        <v>65838.159999999902</v>
      </c>
      <c r="K370" s="46">
        <f t="shared" si="281"/>
        <v>0</v>
      </c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08" t="s">
        <v>152</v>
      </c>
      <c r="F371" s="145"/>
      <c r="G371" s="143"/>
      <c r="H371" s="150" t="s">
        <v>35</v>
      </c>
      <c r="I371" s="166">
        <f ca="1">IFERROR(__xludf.DUMMYFUNCTION("IMPORTRANGE(""https://docs.google.com/spreadsheets/d/1jTcq05yEiRwXcBMLjiodW9e4biSGYWAHcDj22rKWQ3s/edit?usp=sharing"",""กำแพงเพชร!I371"")+IMPORTRANGE(""https://docs.google.com/spreadsheets/d/1KS0zmDSZPk8KnTAbGN-Xk6MtX1YRZD0ldgdt20K4CRk/edit?usp=sharing"","&amp;"""เชียงราย!I371"")+IMPORTRANGE(""https://docs.google.com/spreadsheets/d/1rEDxBtusbi64tE0zunoIbsTVV16HeL0oJ6trHQeQ7K8/edit?usp=sharing"",""เชียงใหม่!I371"")+IMPORTRANGE(""https://docs.google.com/spreadsheets/d/1W6MnUbDkMi6xHnHko_XkFDO9kkuL6Wqyc-6OCDFjW9I/e"&amp;"dit?usp=sharing"",""ตาก!I371"")+IMPORTRANGE(""https://docs.google.com/spreadsheets/d/1IQAWArduLkta9LpYo4a_ULsyqdta6-6aDDiwpUnQT6c/edit?usp=sharing"",""นครสวรรค์!I371"")+IMPORTRANGE(""https://docs.google.com/spreadsheets/d/10s13Sk5xrltsiR-Zkbmk5DwIaDIKO8Xl"&amp;"bJAfqyT7Gvg/edit?usp=sharing"",""น่าน!I371"")+IMPORTRANGE(""https://docs.google.com/spreadsheets/d/1uu4nAn4Dbi1XREnLKKotUANlKXa7yCgRcgq8HEzQYW8/edit?usp=sharing"",""พะเยา!I371"")+IMPORTRANGE(""https://docs.google.com/spreadsheets/d/1xfJKIQxVOaPDIICqsflNlL"&amp;"u3JacTDk1FP9RH4phX7mI/edit?usp=sharing"",""พิจิตร!I371"")+IMPORTRANGE(""https://docs.google.com/spreadsheets/d/1JtRfZkJMHtEhI5RdRHxYUG4FIZHqKDpNyIuN7A1Q0_k/edit?usp=sharing"",""พิษณุโลก!I371"")+IMPORTRANGE(""https://docs.google.com/spreadsheets/d/1xlcVZWU"&amp;"Nn6SuWm0c307h32SiGkd9BaeQWlAktfD3KO8/edit?usp=sharing"",""เพชรบูรณ์!I371"")+IMPORTRANGE(""https://docs.google.com/spreadsheets/d/1lOVebEIsI9qjGXl6EX66luk7wiuP2tBaryw-wKvv4e0/edit?usp=sharing"",""แพร่!I371"")+IMPORTRANGE(""https://docs.google.com/spreadshe"&amp;"ets/d/1dQrvX0vEcN7Gu0fnZ0B5S90AeR19zth4XlExFBeExMY/edit?usp=sharing"",""แม่ฮ่องสอน!I371"")+IMPORTRANGE(""https://docs.google.com/spreadsheets/d/1DY4XTNNwjluuxqdfdn6qvOSlMRrZqUtmYcZR0ttFiG4/edit?usp=sharing"",""ลำปาง!I371"")+IMPORTRANGE(""https://docs.goog"&amp;"le.com/spreadsheets/d/1ICwG78r0OFT8biBlxnBF8r7she7gNSzOvJ958PWT09c/edit?usp=sharing"",""ลำพูน!I371"")+IMPORTRANGE(""https://docs.google.com/spreadsheets/d/1B0f2xJpZUC6Z0xXnqKlZtEPzsf6L84eP1r1Q15seqRM/edit?usp=sharing"",""สุโขทัย!I371"")+IMPORTRANGE(""http"&amp;"s://docs.google.com/spreadsheets/d/1v0b9pFQCsKUVExMei7AgY2yQkdeNQvtOssygGsXbiKo/edit?usp=sharing"",""อุตรดิตถ์!I371"")+IMPORTRANGE(""https://docs.google.com/spreadsheets/d/1UsNK1e-WWiCo2PvGqdNfdme4m17_Ezd3J69EeeiQPD0/edit?usp=sharing"",""อุทัยธานี!I371"")"),6265)</f>
        <v>6265</v>
      </c>
      <c r="J371" s="166">
        <f ca="1">IFERROR(__xludf.DUMMYFUNCTION("IMPORTRANGE(""https://docs.google.com/spreadsheets/d/1jTcq05yEiRwXcBMLjiodW9e4biSGYWAHcDj22rKWQ3s/edit?usp=sharing"",""กำแพงเพชร!J371"")+IMPORTRANGE(""https://docs.google.com/spreadsheets/d/1KS0zmDSZPk8KnTAbGN-Xk6MtX1YRZD0ldgdt20K4CRk/edit?usp=sharing"","&amp;"""เชียงราย!J371"")+IMPORTRANGE(""https://docs.google.com/spreadsheets/d/1rEDxBtusbi64tE0zunoIbsTVV16HeL0oJ6trHQeQ7K8/edit?usp=sharing"",""เชียงใหม่!J371"")+IMPORTRANGE(""https://docs.google.com/spreadsheets/d/1W6MnUbDkMi6xHnHko_XkFDO9kkuL6Wqyc-6OCDFjW9I/e"&amp;"dit?usp=sharing"",""ตาก!J371"")+IMPORTRANGE(""https://docs.google.com/spreadsheets/d/1IQAWArduLkta9LpYo4a_ULsyqdta6-6aDDiwpUnQT6c/edit?usp=sharing"",""นครสวรรค์!J371"")+IMPORTRANGE(""https://docs.google.com/spreadsheets/d/10s13Sk5xrltsiR-Zkbmk5DwIaDIKO8Xl"&amp;"bJAfqyT7Gvg/edit?usp=sharing"",""น่าน!J371"")+IMPORTRANGE(""https://docs.google.com/spreadsheets/d/1uu4nAn4Dbi1XREnLKKotUANlKXa7yCgRcgq8HEzQYW8/edit?usp=sharing"",""พะเยา!J371"")+IMPORTRANGE(""https://docs.google.com/spreadsheets/d/1xfJKIQxVOaPDIICqsflNlL"&amp;"u3JacTDk1FP9RH4phX7mI/edit?usp=sharing"",""พิจิตร!J371"")+IMPORTRANGE(""https://docs.google.com/spreadsheets/d/1JtRfZkJMHtEhI5RdRHxYUG4FIZHqKDpNyIuN7A1Q0_k/edit?usp=sharing"",""พิษณุโลก!J371"")+IMPORTRANGE(""https://docs.google.com/spreadsheets/d/1xlcVZWU"&amp;"Nn6SuWm0c307h32SiGkd9BaeQWlAktfD3KO8/edit?usp=sharing"",""เพชรบูรณ์!J371"")+IMPORTRANGE(""https://docs.google.com/spreadsheets/d/1lOVebEIsI9qjGXl6EX66luk7wiuP2tBaryw-wKvv4e0/edit?usp=sharing"",""แพร่!J371"")+IMPORTRANGE(""https://docs.google.com/spreadshe"&amp;"ets/d/1dQrvX0vEcN7Gu0fnZ0B5S90AeR19zth4XlExFBeExMY/edit?usp=sharing"",""แม่ฮ่องสอน!J371"")+IMPORTRANGE(""https://docs.google.com/spreadsheets/d/1DY4XTNNwjluuxqdfdn6qvOSlMRrZqUtmYcZR0ttFiG4/edit?usp=sharing"",""ลำปาง!J371"")+IMPORTRANGE(""https://docs.goog"&amp;"le.com/spreadsheets/d/1ICwG78r0OFT8biBlxnBF8r7she7gNSzOvJ958PWT09c/edit?usp=sharing"",""ลำพูน!J371"")+IMPORTRANGE(""https://docs.google.com/spreadsheets/d/1B0f2xJpZUC6Z0xXnqKlZtEPzsf6L84eP1r1Q15seqRM/edit?usp=sharing"",""สุโขทัย!J371"")+IMPORTRANGE(""http"&amp;"s://docs.google.com/spreadsheets/d/1v0b9pFQCsKUVExMei7AgY2yQkdeNQvtOssygGsXbiKo/edit?usp=sharing"",""อุตรดิตถ์!J371"")+IMPORTRANGE(""https://docs.google.com/spreadsheets/d/1UsNK1e-WWiCo2PvGqdNfdme4m17_Ezd3J69EeeiQPD0/edit?usp=sharing"",""อุทัยธานี!J371"")"),5370)</f>
        <v>5370</v>
      </c>
      <c r="K371" s="46">
        <f t="shared" ca="1" si="281"/>
        <v>85.714285714285708</v>
      </c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84">
        <v>0</v>
      </c>
      <c r="J372" s="166">
        <f ca="1">IFERROR(__xludf.DUMMYFUNCTION("IMPORTRANGE(""https://docs.google.com/spreadsheets/d/1jTcq05yEiRwXcBMLjiodW9e4biSGYWAHcDj22rKWQ3s/edit?usp=sharing"",""กำแพงเพชร!J372"")+IMPORTRANGE(""https://docs.google.com/spreadsheets/d/1KS0zmDSZPk8KnTAbGN-Xk6MtX1YRZD0ldgdt20K4CRk/edit?usp=sharing"","&amp;"""เชียงราย!J372"")+IMPORTRANGE(""https://docs.google.com/spreadsheets/d/1rEDxBtusbi64tE0zunoIbsTVV16HeL0oJ6trHQeQ7K8/edit?usp=sharing"",""เชียงใหม่!J372"")+IMPORTRANGE(""https://docs.google.com/spreadsheets/d/1W6MnUbDkMi6xHnHko_XkFDO9kkuL6Wqyc-6OCDFjW9I/e"&amp;"dit?usp=sharing"",""ตาก!J372"")+IMPORTRANGE(""https://docs.google.com/spreadsheets/d/1IQAWArduLkta9LpYo4a_ULsyqdta6-6aDDiwpUnQT6c/edit?usp=sharing"",""นครสวรรค์!J372"")+IMPORTRANGE(""https://docs.google.com/spreadsheets/d/10s13Sk5xrltsiR-Zkbmk5DwIaDIKO8Xl"&amp;"bJAfqyT7Gvg/edit?usp=sharing"",""น่าน!J372"")+IMPORTRANGE(""https://docs.google.com/spreadsheets/d/1uu4nAn4Dbi1XREnLKKotUANlKXa7yCgRcgq8HEzQYW8/edit?usp=sharing"",""พะเยา!J372"")+IMPORTRANGE(""https://docs.google.com/spreadsheets/d/1xfJKIQxVOaPDIICqsflNlL"&amp;"u3JacTDk1FP9RH4phX7mI/edit?usp=sharing"",""พิจิตร!J372"")+IMPORTRANGE(""https://docs.google.com/spreadsheets/d/1JtRfZkJMHtEhI5RdRHxYUG4FIZHqKDpNyIuN7A1Q0_k/edit?usp=sharing"",""พิษณุโลก!J372"")+IMPORTRANGE(""https://docs.google.com/spreadsheets/d/1xlcVZWU"&amp;"Nn6SuWm0c307h32SiGkd9BaeQWlAktfD3KO8/edit?usp=sharing"",""เพชรบูรณ์!J372"")+IMPORTRANGE(""https://docs.google.com/spreadsheets/d/1lOVebEIsI9qjGXl6EX66luk7wiuP2tBaryw-wKvv4e0/edit?usp=sharing"",""แพร่!J372"")+IMPORTRANGE(""https://docs.google.com/spreadshe"&amp;"ets/d/1dQrvX0vEcN7Gu0fnZ0B5S90AeR19zth4XlExFBeExMY/edit?usp=sharing"",""แม่ฮ่องสอน!J372"")+IMPORTRANGE(""https://docs.google.com/spreadsheets/d/1DY4XTNNwjluuxqdfdn6qvOSlMRrZqUtmYcZR0ttFiG4/edit?usp=sharing"",""ลำปาง!J372"")+IMPORTRANGE(""https://docs.goog"&amp;"le.com/spreadsheets/d/1ICwG78r0OFT8biBlxnBF8r7she7gNSzOvJ958PWT09c/edit?usp=sharing"",""ลำพูน!J372"")+IMPORTRANGE(""https://docs.google.com/spreadsheets/d/1B0f2xJpZUC6Z0xXnqKlZtEPzsf6L84eP1r1Q15seqRM/edit?usp=sharing"",""สุโขทัย!J372"")+IMPORTRANGE(""http"&amp;"s://docs.google.com/spreadsheets/d/1v0b9pFQCsKUVExMei7AgY2yQkdeNQvtOssygGsXbiKo/edit?usp=sharing"",""อุตรดิตถ์!J372"")+IMPORTRANGE(""https://docs.google.com/spreadsheets/d/1UsNK1e-WWiCo2PvGqdNfdme4m17_Ezd3J69EeeiQPD0/edit?usp=sharing"",""อุทัยธานี!J372"")"),58945.7299999999)</f>
        <v>58945.729999999901</v>
      </c>
      <c r="K372" s="46">
        <f t="shared" si="281"/>
        <v>0</v>
      </c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2"/>
      <c r="B373" s="1"/>
      <c r="C373" s="2"/>
      <c r="D373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2"/>
      <c r="H373" s="52"/>
      <c r="I373" s="54"/>
      <c r="J373" s="54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9.5" x14ac:dyDescent="0.3">
      <c r="A374" s="299"/>
      <c r="B374" s="310" t="s">
        <v>153</v>
      </c>
      <c r="C374" s="300"/>
      <c r="D374" s="301"/>
      <c r="E374" s="293"/>
      <c r="F374" s="293"/>
      <c r="G374" s="294"/>
      <c r="H374" s="311" t="s">
        <v>46</v>
      </c>
      <c r="I374" s="296">
        <f ca="1">I385</f>
        <v>0</v>
      </c>
      <c r="J374" s="296">
        <f ca="1">J386+J388</f>
        <v>19073</v>
      </c>
      <c r="K374" s="297">
        <f ca="1">IF(I374&gt;0,J374*100/I374,0)</f>
        <v>0</v>
      </c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</row>
    <row r="375" spans="1:21" ht="19.5" x14ac:dyDescent="0.3">
      <c r="A375" s="128"/>
      <c r="B375" s="158"/>
      <c r="C375" s="161" t="s">
        <v>18</v>
      </c>
      <c r="D375" s="312" t="s">
        <v>19</v>
      </c>
      <c r="E375" s="158"/>
      <c r="F375" s="158"/>
      <c r="G375" s="180"/>
      <c r="H375" s="131" t="s">
        <v>14</v>
      </c>
      <c r="I375" s="44"/>
      <c r="J375" s="44"/>
      <c r="K375" s="45"/>
      <c r="L375" s="132">
        <f t="shared" ref="L375:N375" ca="1" si="282">L376+L377</f>
        <v>141000</v>
      </c>
      <c r="M375" s="132">
        <f t="shared" ca="1" si="282"/>
        <v>141000</v>
      </c>
      <c r="N375" s="132">
        <f t="shared" ca="1" si="282"/>
        <v>0</v>
      </c>
      <c r="O375" s="132">
        <f t="shared" ref="O375:O383" ca="1" si="283">IF(L375&gt;0,N375*100/L375,0)</f>
        <v>0</v>
      </c>
      <c r="P375" s="132">
        <f t="shared" ref="P375:P383" ca="1" si="284">IF(M375&gt;0,N375*100/M375,0)</f>
        <v>0</v>
      </c>
      <c r="Q375" s="132">
        <f t="shared" ref="Q375:S375" ca="1" si="285">Q376+Q377</f>
        <v>2437500</v>
      </c>
      <c r="R375" s="132">
        <f t="shared" ca="1" si="285"/>
        <v>2437500</v>
      </c>
      <c r="S375" s="132">
        <f t="shared" ca="1" si="285"/>
        <v>64740</v>
      </c>
      <c r="T375" s="132">
        <f t="shared" ref="T375:T383" ca="1" si="286">IF(Q375&gt;0,S375*100/Q375,0)</f>
        <v>2.6560000000000001</v>
      </c>
      <c r="U375" s="132">
        <f t="shared" ref="U375:U383" ca="1" si="287">IF(R375&gt;0,S375*100/R375,0)</f>
        <v>2.6560000000000001</v>
      </c>
    </row>
    <row r="376" spans="1:21" ht="18.75" x14ac:dyDescent="0.25">
      <c r="A376" s="128"/>
      <c r="B376" s="158"/>
      <c r="C376" s="158"/>
      <c r="D376" s="158"/>
      <c r="E376" s="156" t="s">
        <v>20</v>
      </c>
      <c r="F376" s="40"/>
      <c r="G376" s="42"/>
      <c r="H376" s="157" t="s">
        <v>14</v>
      </c>
      <c r="I376" s="44"/>
      <c r="J376" s="44"/>
      <c r="K376" s="45"/>
      <c r="L376" s="48">
        <f t="shared" ref="L376:N376" ca="1" si="288">L379+L382</f>
        <v>0</v>
      </c>
      <c r="M376" s="48">
        <f t="shared" ca="1" si="288"/>
        <v>0</v>
      </c>
      <c r="N376" s="48">
        <f t="shared" ca="1" si="288"/>
        <v>0</v>
      </c>
      <c r="O376" s="48">
        <f t="shared" ca="1" si="283"/>
        <v>0</v>
      </c>
      <c r="P376" s="48">
        <f t="shared" ca="1" si="284"/>
        <v>0</v>
      </c>
      <c r="Q376" s="48">
        <f t="shared" ref="Q376:S376" ca="1" si="289">Q379+Q382</f>
        <v>0</v>
      </c>
      <c r="R376" s="48">
        <f t="shared" ca="1" si="289"/>
        <v>0</v>
      </c>
      <c r="S376" s="48">
        <f t="shared" ca="1" si="289"/>
        <v>0</v>
      </c>
      <c r="T376" s="48">
        <f t="shared" ca="1" si="286"/>
        <v>0</v>
      </c>
      <c r="U376" s="48">
        <f t="shared" ca="1" si="287"/>
        <v>0</v>
      </c>
    </row>
    <row r="377" spans="1:21" ht="18.75" x14ac:dyDescent="0.25">
      <c r="A377" s="128"/>
      <c r="B377" s="158"/>
      <c r="C377" s="158"/>
      <c r="D377" s="158"/>
      <c r="E377" s="47" t="s">
        <v>21</v>
      </c>
      <c r="F377" s="40"/>
      <c r="G377" s="42"/>
      <c r="H377" s="133" t="s">
        <v>14</v>
      </c>
      <c r="I377" s="44"/>
      <c r="J377" s="44"/>
      <c r="K377" s="45"/>
      <c r="L377" s="46">
        <f t="shared" ref="L377:N377" ca="1" si="290">L380+L383</f>
        <v>141000</v>
      </c>
      <c r="M377" s="46">
        <f t="shared" ca="1" si="290"/>
        <v>141000</v>
      </c>
      <c r="N377" s="46">
        <f t="shared" ca="1" si="290"/>
        <v>0</v>
      </c>
      <c r="O377" s="46">
        <f t="shared" ca="1" si="283"/>
        <v>0</v>
      </c>
      <c r="P377" s="46">
        <f t="shared" ca="1" si="284"/>
        <v>0</v>
      </c>
      <c r="Q377" s="46">
        <f t="shared" ref="Q377:S377" ca="1" si="291">Q380+Q383</f>
        <v>2437500</v>
      </c>
      <c r="R377" s="46">
        <f t="shared" ca="1" si="291"/>
        <v>2437500</v>
      </c>
      <c r="S377" s="46">
        <f t="shared" ca="1" si="291"/>
        <v>64740</v>
      </c>
      <c r="T377" s="46">
        <f t="shared" ca="1" si="286"/>
        <v>2.6560000000000001</v>
      </c>
      <c r="U377" s="46">
        <f t="shared" ca="1" si="287"/>
        <v>2.6560000000000001</v>
      </c>
    </row>
    <row r="378" spans="1:21" ht="18.75" x14ac:dyDescent="0.25">
      <c r="A378" s="128"/>
      <c r="B378" s="158"/>
      <c r="C378" s="158"/>
      <c r="D378" s="160" t="s">
        <v>22</v>
      </c>
      <c r="E378" s="40"/>
      <c r="F378" s="40"/>
      <c r="G378" s="42"/>
      <c r="H378" s="134" t="s">
        <v>14</v>
      </c>
      <c r="I378" s="135"/>
      <c r="J378" s="135"/>
      <c r="K378" s="136"/>
      <c r="L378" s="46">
        <f t="shared" ref="L378:N378" ca="1" si="292">L379+L380</f>
        <v>141000</v>
      </c>
      <c r="M378" s="46">
        <f t="shared" ca="1" si="292"/>
        <v>141000</v>
      </c>
      <c r="N378" s="46">
        <f t="shared" ca="1" si="292"/>
        <v>0</v>
      </c>
      <c r="O378" s="46">
        <f t="shared" ca="1" si="283"/>
        <v>0</v>
      </c>
      <c r="P378" s="46">
        <f t="shared" ca="1" si="284"/>
        <v>0</v>
      </c>
      <c r="Q378" s="46">
        <f t="shared" ref="Q378:S378" ca="1" si="293">Q379+Q380</f>
        <v>2437500</v>
      </c>
      <c r="R378" s="46">
        <f t="shared" ca="1" si="293"/>
        <v>2437500</v>
      </c>
      <c r="S378" s="46">
        <f t="shared" ca="1" si="293"/>
        <v>64740</v>
      </c>
      <c r="T378" s="46">
        <f t="shared" ca="1" si="286"/>
        <v>2.6560000000000001</v>
      </c>
      <c r="U378" s="46">
        <f t="shared" ca="1" si="287"/>
        <v>2.6560000000000001</v>
      </c>
    </row>
    <row r="379" spans="1:21" ht="18.75" x14ac:dyDescent="0.25">
      <c r="A379" s="128"/>
      <c r="B379" s="158"/>
      <c r="C379" s="158"/>
      <c r="D379" s="158"/>
      <c r="E379" s="156" t="s">
        <v>36</v>
      </c>
      <c r="F379" s="40"/>
      <c r="G379" s="42"/>
      <c r="H379" s="159" t="s">
        <v>14</v>
      </c>
      <c r="I379" s="135"/>
      <c r="J379" s="135"/>
      <c r="K379" s="136"/>
      <c r="L379" s="48">
        <f ca="1">IFERROR(__xludf.DUMMYFUNCTION("IMPORTRANGE(""https://docs.google.com/spreadsheets/d/1jTcq05yEiRwXcBMLjiodW9e4biSGYWAHcDj22rKWQ3s/edit?usp=sharing"",""กำแพงเพชร!L379"")+IMPORTRANGE(""https://docs.google.com/spreadsheets/d/1KS0zmDSZPk8KnTAbGN-Xk6MtX1YRZD0ldgdt20K4CRk/edit?usp=sharing"","&amp;"""เชียงราย!L379"")+IMPORTRANGE(""https://docs.google.com/spreadsheets/d/1rEDxBtusbi64tE0zunoIbsTVV16HeL0oJ6trHQeQ7K8/edit?usp=sharing"",""เชียงใหม่!L379"")+IMPORTRANGE(""https://docs.google.com/spreadsheets/d/1W6MnUbDkMi6xHnHko_XkFDO9kkuL6Wqyc-6OCDFjW9I/e"&amp;"dit?usp=sharing"",""ตาก!L379"")+IMPORTRANGE(""https://docs.google.com/spreadsheets/d/1IQAWArduLkta9LpYo4a_ULsyqdta6-6aDDiwpUnQT6c/edit?usp=sharing"",""นครสวรรค์!L379"")+IMPORTRANGE(""https://docs.google.com/spreadsheets/d/10s13Sk5xrltsiR-Zkbmk5DwIaDIKO8Xl"&amp;"bJAfqyT7Gvg/edit?usp=sharing"",""น่าน!L379"")+IMPORTRANGE(""https://docs.google.com/spreadsheets/d/1uu4nAn4Dbi1XREnLKKotUANlKXa7yCgRcgq8HEzQYW8/edit?usp=sharing"",""พะเยา!L379"")+IMPORTRANGE(""https://docs.google.com/spreadsheets/d/1xfJKIQxVOaPDIICqsflNlL"&amp;"u3JacTDk1FP9RH4phX7mI/edit?usp=sharing"",""พิจิตร!L379"")+IMPORTRANGE(""https://docs.google.com/spreadsheets/d/1JtRfZkJMHtEhI5RdRHxYUG4FIZHqKDpNyIuN7A1Q0_k/edit?usp=sharing"",""พิษณุโลก!L379"")+IMPORTRANGE(""https://docs.google.com/spreadsheets/d/1xlcVZWU"&amp;"Nn6SuWm0c307h32SiGkd9BaeQWlAktfD3KO8/edit?usp=sharing"",""เพชรบูรณ์!L379"")+IMPORTRANGE(""https://docs.google.com/spreadsheets/d/1lOVebEIsI9qjGXl6EX66luk7wiuP2tBaryw-wKvv4e0/edit?usp=sharing"",""แพร่!L379"")+IMPORTRANGE(""https://docs.google.com/spreadshe"&amp;"ets/d/1dQrvX0vEcN7Gu0fnZ0B5S90AeR19zth4XlExFBeExMY/edit?usp=sharing"",""แม่ฮ่องสอน!L379"")+IMPORTRANGE(""https://docs.google.com/spreadsheets/d/1DY4XTNNwjluuxqdfdn6qvOSlMRrZqUtmYcZR0ttFiG4/edit?usp=sharing"",""ลำปาง!L379"")+IMPORTRANGE(""https://docs.goog"&amp;"le.com/spreadsheets/d/1ICwG78r0OFT8biBlxnBF8r7she7gNSzOvJ958PWT09c/edit?usp=sharing"",""ลำพูน!L379"")+IMPORTRANGE(""https://docs.google.com/spreadsheets/d/1B0f2xJpZUC6Z0xXnqKlZtEPzsf6L84eP1r1Q15seqRM/edit?usp=sharing"",""สุโขทัย!L379"")+IMPORTRANGE(""http"&amp;"s://docs.google.com/spreadsheets/d/1v0b9pFQCsKUVExMei7AgY2yQkdeNQvtOssygGsXbiKo/edit?usp=sharing"",""อุตรดิตถ์!L379"")+IMPORTRANGE(""https://docs.google.com/spreadsheets/d/1UsNK1e-WWiCo2PvGqdNfdme4m17_Ezd3J69EeeiQPD0/edit?usp=sharing"",""อุทัยธานี!L379"")"),0)</f>
        <v>0</v>
      </c>
      <c r="M379" s="48">
        <f ca="1">IFERROR(__xludf.DUMMYFUNCTION("IMPORTRANGE(""https://docs.google.com/spreadsheets/d/1jTcq05yEiRwXcBMLjiodW9e4biSGYWAHcDj22rKWQ3s/edit?usp=sharing"",""กำแพงเพชร!M379"")+IMPORTRANGE(""https://docs.google.com/spreadsheets/d/1KS0zmDSZPk8KnTAbGN-Xk6MtX1YRZD0ldgdt20K4CRk/edit?usp=sharing"","&amp;"""เชียงราย!M379"")+IMPORTRANGE(""https://docs.google.com/spreadsheets/d/1rEDxBtusbi64tE0zunoIbsTVV16HeL0oJ6trHQeQ7K8/edit?usp=sharing"",""เชียงใหม่!M379"")+IMPORTRANGE(""https://docs.google.com/spreadsheets/d/1W6MnUbDkMi6xHnHko_XkFDO9kkuL6Wqyc-6OCDFjW9I/e"&amp;"dit?usp=sharing"",""ตาก!M379"")+IMPORTRANGE(""https://docs.google.com/spreadsheets/d/1IQAWArduLkta9LpYo4a_ULsyqdta6-6aDDiwpUnQT6c/edit?usp=sharing"",""นครสวรรค์!M379"")+IMPORTRANGE(""https://docs.google.com/spreadsheets/d/10s13Sk5xrltsiR-Zkbmk5DwIaDIKO8Xl"&amp;"bJAfqyT7Gvg/edit?usp=sharing"",""น่าน!M379"")+IMPORTRANGE(""https://docs.google.com/spreadsheets/d/1uu4nAn4Dbi1XREnLKKotUANlKXa7yCgRcgq8HEzQYW8/edit?usp=sharing"",""พะเยา!M379"")+IMPORTRANGE(""https://docs.google.com/spreadsheets/d/1xfJKIQxVOaPDIICqsflNlL"&amp;"u3JacTDk1FP9RH4phX7mI/edit?usp=sharing"",""พิจิตร!M379"")+IMPORTRANGE(""https://docs.google.com/spreadsheets/d/1JtRfZkJMHtEhI5RdRHxYUG4FIZHqKDpNyIuN7A1Q0_k/edit?usp=sharing"",""พิษณุโลก!M379"")+IMPORTRANGE(""https://docs.google.com/spreadsheets/d/1xlcVZWU"&amp;"Nn6SuWm0c307h32SiGkd9BaeQWlAktfD3KO8/edit?usp=sharing"",""เพชรบูรณ์!M379"")+IMPORTRANGE(""https://docs.google.com/spreadsheets/d/1lOVebEIsI9qjGXl6EX66luk7wiuP2tBaryw-wKvv4e0/edit?usp=sharing"",""แพร่!M379"")+IMPORTRANGE(""https://docs.google.com/spreadshe"&amp;"ets/d/1dQrvX0vEcN7Gu0fnZ0B5S90AeR19zth4XlExFBeExMY/edit?usp=sharing"",""แม่ฮ่องสอน!M379"")+IMPORTRANGE(""https://docs.google.com/spreadsheets/d/1DY4XTNNwjluuxqdfdn6qvOSlMRrZqUtmYcZR0ttFiG4/edit?usp=sharing"",""ลำปาง!M379"")+IMPORTRANGE(""https://docs.goog"&amp;"le.com/spreadsheets/d/1ICwG78r0OFT8biBlxnBF8r7she7gNSzOvJ958PWT09c/edit?usp=sharing"",""ลำพูน!M379"")+IMPORTRANGE(""https://docs.google.com/spreadsheets/d/1B0f2xJpZUC6Z0xXnqKlZtEPzsf6L84eP1r1Q15seqRM/edit?usp=sharing"",""สุโขทัย!M379"")+IMPORTRANGE(""http"&amp;"s://docs.google.com/spreadsheets/d/1v0b9pFQCsKUVExMei7AgY2yQkdeNQvtOssygGsXbiKo/edit?usp=sharing"",""อุตรดิตถ์!M379"")+IMPORTRANGE(""https://docs.google.com/spreadsheets/d/1UsNK1e-WWiCo2PvGqdNfdme4m17_Ezd3J69EeeiQPD0/edit?usp=sharing"",""อุทัยธานี!M379"")"),0)</f>
        <v>0</v>
      </c>
      <c r="N379" s="48">
        <f ca="1">IFERROR(__xludf.DUMMYFUNCTION("IMPORTRANGE(""https://docs.google.com/spreadsheets/d/1jTcq05yEiRwXcBMLjiodW9e4biSGYWAHcDj22rKWQ3s/edit?usp=sharing"",""กำแพงเพชร!N379"")+IMPORTRANGE(""https://docs.google.com/spreadsheets/d/1KS0zmDSZPk8KnTAbGN-Xk6MtX1YRZD0ldgdt20K4CRk/edit?usp=sharing"","&amp;"""เชียงราย!N379"")+IMPORTRANGE(""https://docs.google.com/spreadsheets/d/1rEDxBtusbi64tE0zunoIbsTVV16HeL0oJ6trHQeQ7K8/edit?usp=sharing"",""เชียงใหม่!N379"")+IMPORTRANGE(""https://docs.google.com/spreadsheets/d/1W6MnUbDkMi6xHnHko_XkFDO9kkuL6Wqyc-6OCDFjW9I/e"&amp;"dit?usp=sharing"",""ตาก!N379"")+IMPORTRANGE(""https://docs.google.com/spreadsheets/d/1IQAWArduLkta9LpYo4a_ULsyqdta6-6aDDiwpUnQT6c/edit?usp=sharing"",""นครสวรรค์!N379"")+IMPORTRANGE(""https://docs.google.com/spreadsheets/d/10s13Sk5xrltsiR-Zkbmk5DwIaDIKO8Xl"&amp;"bJAfqyT7Gvg/edit?usp=sharing"",""น่าน!N379"")+IMPORTRANGE(""https://docs.google.com/spreadsheets/d/1uu4nAn4Dbi1XREnLKKotUANlKXa7yCgRcgq8HEzQYW8/edit?usp=sharing"",""พะเยา!N379"")+IMPORTRANGE(""https://docs.google.com/spreadsheets/d/1xfJKIQxVOaPDIICqsflNlL"&amp;"u3JacTDk1FP9RH4phX7mI/edit?usp=sharing"",""พิจิตร!N379"")+IMPORTRANGE(""https://docs.google.com/spreadsheets/d/1JtRfZkJMHtEhI5RdRHxYUG4FIZHqKDpNyIuN7A1Q0_k/edit?usp=sharing"",""พิษณุโลก!N379"")+IMPORTRANGE(""https://docs.google.com/spreadsheets/d/1xlcVZWU"&amp;"Nn6SuWm0c307h32SiGkd9BaeQWlAktfD3KO8/edit?usp=sharing"",""เพชรบูรณ์!N379"")+IMPORTRANGE(""https://docs.google.com/spreadsheets/d/1lOVebEIsI9qjGXl6EX66luk7wiuP2tBaryw-wKvv4e0/edit?usp=sharing"",""แพร่!N379"")+IMPORTRANGE(""https://docs.google.com/spreadshe"&amp;"ets/d/1dQrvX0vEcN7Gu0fnZ0B5S90AeR19zth4XlExFBeExMY/edit?usp=sharing"",""แม่ฮ่องสอน!N379"")+IMPORTRANGE(""https://docs.google.com/spreadsheets/d/1DY4XTNNwjluuxqdfdn6qvOSlMRrZqUtmYcZR0ttFiG4/edit?usp=sharing"",""ลำปาง!N379"")+IMPORTRANGE(""https://docs.goog"&amp;"le.com/spreadsheets/d/1ICwG78r0OFT8biBlxnBF8r7she7gNSzOvJ958PWT09c/edit?usp=sharing"",""ลำพูน!N379"")+IMPORTRANGE(""https://docs.google.com/spreadsheets/d/1B0f2xJpZUC6Z0xXnqKlZtEPzsf6L84eP1r1Q15seqRM/edit?usp=sharing"",""สุโขทัย!N379"")+IMPORTRANGE(""http"&amp;"s://docs.google.com/spreadsheets/d/1v0b9pFQCsKUVExMei7AgY2yQkdeNQvtOssygGsXbiKo/edit?usp=sharing"",""อุตรดิตถ์!N379"")+IMPORTRANGE(""https://docs.google.com/spreadsheets/d/1UsNK1e-WWiCo2PvGqdNfdme4m17_Ezd3J69EeeiQPD0/edit?usp=sharing"",""อุทัยธานี!N379"")"),0)</f>
        <v>0</v>
      </c>
      <c r="O379" s="48">
        <f t="shared" ca="1" si="283"/>
        <v>0</v>
      </c>
      <c r="P379" s="48">
        <f t="shared" ca="1" si="284"/>
        <v>0</v>
      </c>
      <c r="Q379" s="48">
        <f ca="1">IFERROR(__xludf.DUMMYFUNCTION("IMPORTRANGE(""https://docs.google.com/spreadsheets/d/1jTcq05yEiRwXcBMLjiodW9e4biSGYWAHcDj22rKWQ3s/edit?usp=sharing"",""กำแพงเพชร!Q379"")+IMPORTRANGE(""https://docs.google.com/spreadsheets/d/1KS0zmDSZPk8KnTAbGN-Xk6MtX1YRZD0ldgdt20K4CRk/edit?usp=sharing"","&amp;"""เชียงราย!Q379"")+IMPORTRANGE(""https://docs.google.com/spreadsheets/d/1rEDxBtusbi64tE0zunoIbsTVV16HeL0oJ6trHQeQ7K8/edit?usp=sharing"",""เชียงใหม่!Q379"")+IMPORTRANGE(""https://docs.google.com/spreadsheets/d/1W6MnUbDkMi6xHnHko_XkFDO9kkuL6Wqyc-6OCDFjW9I/e"&amp;"dit?usp=sharing"",""ตาก!Q379"")+IMPORTRANGE(""https://docs.google.com/spreadsheets/d/1IQAWArduLkta9LpYo4a_ULsyqdta6-6aDDiwpUnQT6c/edit?usp=sharing"",""นครสวรรค์!Q379"")+IMPORTRANGE(""https://docs.google.com/spreadsheets/d/10s13Sk5xrltsiR-Zkbmk5DwIaDIKO8Xl"&amp;"bJAfqyT7Gvg/edit?usp=sharing"",""น่าน!Q379"")+IMPORTRANGE(""https://docs.google.com/spreadsheets/d/1uu4nAn4Dbi1XREnLKKotUANlKXa7yCgRcgq8HEzQYW8/edit?usp=sharing"",""พะเยา!Q379"")+IMPORTRANGE(""https://docs.google.com/spreadsheets/d/1xfJKIQxVOaPDIICqsflNlL"&amp;"u3JacTDk1FP9RH4phX7mI/edit?usp=sharing"",""พิจิตร!Q379"")+IMPORTRANGE(""https://docs.google.com/spreadsheets/d/1JtRfZkJMHtEhI5RdRHxYUG4FIZHqKDpNyIuN7A1Q0_k/edit?usp=sharing"",""พิษณุโลก!Q379"")+IMPORTRANGE(""https://docs.google.com/spreadsheets/d/1xlcVZWU"&amp;"Nn6SuWm0c307h32SiGkd9BaeQWlAktfD3KO8/edit?usp=sharing"",""เพชรบูรณ์!Q379"")+IMPORTRANGE(""https://docs.google.com/spreadsheets/d/1lOVebEIsI9qjGXl6EX66luk7wiuP2tBaryw-wKvv4e0/edit?usp=sharing"",""แพร่!Q379"")+IMPORTRANGE(""https://docs.google.com/spreadshe"&amp;"ets/d/1dQrvX0vEcN7Gu0fnZ0B5S90AeR19zth4XlExFBeExMY/edit?usp=sharing"",""แม่ฮ่องสอน!Q379"")+IMPORTRANGE(""https://docs.google.com/spreadsheets/d/1DY4XTNNwjluuxqdfdn6qvOSlMRrZqUtmYcZR0ttFiG4/edit?usp=sharing"",""ลำปาง!Q379"")+IMPORTRANGE(""https://docs.goog"&amp;"le.com/spreadsheets/d/1ICwG78r0OFT8biBlxnBF8r7she7gNSzOvJ958PWT09c/edit?usp=sharing"",""ลำพูน!Q379"")+IMPORTRANGE(""https://docs.google.com/spreadsheets/d/1B0f2xJpZUC6Z0xXnqKlZtEPzsf6L84eP1r1Q15seqRM/edit?usp=sharing"",""สุโขทัย!Q379"")+IMPORTRANGE(""http"&amp;"s://docs.google.com/spreadsheets/d/1v0b9pFQCsKUVExMei7AgY2yQkdeNQvtOssygGsXbiKo/edit?usp=sharing"",""อุตรดิตถ์!Q379"")+IMPORTRANGE(""https://docs.google.com/spreadsheets/d/1UsNK1e-WWiCo2PvGqdNfdme4m17_Ezd3J69EeeiQPD0/edit?usp=sharing"",""อุทัยธานี!Q379"")"),0)</f>
        <v>0</v>
      </c>
      <c r="R379" s="48">
        <f ca="1">IFERROR(__xludf.DUMMYFUNCTION("IMPORTRANGE(""https://docs.google.com/spreadsheets/d/1jTcq05yEiRwXcBMLjiodW9e4biSGYWAHcDj22rKWQ3s/edit?usp=sharing"",""กำแพงเพชร!R379"")+IMPORTRANGE(""https://docs.google.com/spreadsheets/d/1KS0zmDSZPk8KnTAbGN-Xk6MtX1YRZD0ldgdt20K4CRk/edit?usp=sharing"","&amp;"""เชียงราย!R379"")+IMPORTRANGE(""https://docs.google.com/spreadsheets/d/1rEDxBtusbi64tE0zunoIbsTVV16HeL0oJ6trHQeQ7K8/edit?usp=sharing"",""เชียงใหม่!R379"")+IMPORTRANGE(""https://docs.google.com/spreadsheets/d/1W6MnUbDkMi6xHnHko_XkFDO9kkuL6Wqyc-6OCDFjW9I/e"&amp;"dit?usp=sharing"",""ตาก!R379"")+IMPORTRANGE(""https://docs.google.com/spreadsheets/d/1IQAWArduLkta9LpYo4a_ULsyqdta6-6aDDiwpUnQT6c/edit?usp=sharing"",""นครสวรรค์!R379"")+IMPORTRANGE(""https://docs.google.com/spreadsheets/d/10s13Sk5xrltsiR-Zkbmk5DwIaDIKO8Xl"&amp;"bJAfqyT7Gvg/edit?usp=sharing"",""น่าน!R379"")+IMPORTRANGE(""https://docs.google.com/spreadsheets/d/1uu4nAn4Dbi1XREnLKKotUANlKXa7yCgRcgq8HEzQYW8/edit?usp=sharing"",""พะเยา!R379"")+IMPORTRANGE(""https://docs.google.com/spreadsheets/d/1xfJKIQxVOaPDIICqsflNlL"&amp;"u3JacTDk1FP9RH4phX7mI/edit?usp=sharing"",""พิจิตร!R379"")+IMPORTRANGE(""https://docs.google.com/spreadsheets/d/1JtRfZkJMHtEhI5RdRHxYUG4FIZHqKDpNyIuN7A1Q0_k/edit?usp=sharing"",""พิษณุโลก!R379"")+IMPORTRANGE(""https://docs.google.com/spreadsheets/d/1xlcVZWU"&amp;"Nn6SuWm0c307h32SiGkd9BaeQWlAktfD3KO8/edit?usp=sharing"",""เพชรบูรณ์!R379"")+IMPORTRANGE(""https://docs.google.com/spreadsheets/d/1lOVebEIsI9qjGXl6EX66luk7wiuP2tBaryw-wKvv4e0/edit?usp=sharing"",""แพร่!R379"")+IMPORTRANGE(""https://docs.google.com/spreadshe"&amp;"ets/d/1dQrvX0vEcN7Gu0fnZ0B5S90AeR19zth4XlExFBeExMY/edit?usp=sharing"",""แม่ฮ่องสอน!R379"")+IMPORTRANGE(""https://docs.google.com/spreadsheets/d/1DY4XTNNwjluuxqdfdn6qvOSlMRrZqUtmYcZR0ttFiG4/edit?usp=sharing"",""ลำปาง!R379"")+IMPORTRANGE(""https://docs.goog"&amp;"le.com/spreadsheets/d/1ICwG78r0OFT8biBlxnBF8r7she7gNSzOvJ958PWT09c/edit?usp=sharing"",""ลำพูน!R379"")+IMPORTRANGE(""https://docs.google.com/spreadsheets/d/1B0f2xJpZUC6Z0xXnqKlZtEPzsf6L84eP1r1Q15seqRM/edit?usp=sharing"",""สุโขทัย!R379"")+IMPORTRANGE(""http"&amp;"s://docs.google.com/spreadsheets/d/1v0b9pFQCsKUVExMei7AgY2yQkdeNQvtOssygGsXbiKo/edit?usp=sharing"",""อุตรดิตถ์!R379"")+IMPORTRANGE(""https://docs.google.com/spreadsheets/d/1UsNK1e-WWiCo2PvGqdNfdme4m17_Ezd3J69EeeiQPD0/edit?usp=sharing"",""อุทัยธานี!R379"")"),0)</f>
        <v>0</v>
      </c>
      <c r="S379" s="48">
        <f ca="1">IFERROR(__xludf.DUMMYFUNCTION("IMPORTRANGE(""https://docs.google.com/spreadsheets/d/1jTcq05yEiRwXcBMLjiodW9e4biSGYWAHcDj22rKWQ3s/edit?usp=sharing"",""กำแพงเพชร!S379"")+IMPORTRANGE(""https://docs.google.com/spreadsheets/d/1KS0zmDSZPk8KnTAbGN-Xk6MtX1YRZD0ldgdt20K4CRk/edit?usp=sharing"","&amp;"""เชียงราย!S379"")+IMPORTRANGE(""https://docs.google.com/spreadsheets/d/1rEDxBtusbi64tE0zunoIbsTVV16HeL0oJ6trHQeQ7K8/edit?usp=sharing"",""เชียงใหม่!S379"")+IMPORTRANGE(""https://docs.google.com/spreadsheets/d/1W6MnUbDkMi6xHnHko_XkFDO9kkuL6Wqyc-6OCDFjW9I/e"&amp;"dit?usp=sharing"",""ตาก!S379"")+IMPORTRANGE(""https://docs.google.com/spreadsheets/d/1IQAWArduLkta9LpYo4a_ULsyqdta6-6aDDiwpUnQT6c/edit?usp=sharing"",""นครสวรรค์!S379"")+IMPORTRANGE(""https://docs.google.com/spreadsheets/d/10s13Sk5xrltsiR-Zkbmk5DwIaDIKO8Xl"&amp;"bJAfqyT7Gvg/edit?usp=sharing"",""น่าน!S379"")+IMPORTRANGE(""https://docs.google.com/spreadsheets/d/1uu4nAn4Dbi1XREnLKKotUANlKXa7yCgRcgq8HEzQYW8/edit?usp=sharing"",""พะเยา!S379"")+IMPORTRANGE(""https://docs.google.com/spreadsheets/d/1xfJKIQxVOaPDIICqsflNlL"&amp;"u3JacTDk1FP9RH4phX7mI/edit?usp=sharing"",""พิจิตร!S379"")+IMPORTRANGE(""https://docs.google.com/spreadsheets/d/1JtRfZkJMHtEhI5RdRHxYUG4FIZHqKDpNyIuN7A1Q0_k/edit?usp=sharing"",""พิษณุโลก!S379"")+IMPORTRANGE(""https://docs.google.com/spreadsheets/d/1xlcVZWU"&amp;"Nn6SuWm0c307h32SiGkd9BaeQWlAktfD3KO8/edit?usp=sharing"",""เพชรบูรณ์!S379"")+IMPORTRANGE(""https://docs.google.com/spreadsheets/d/1lOVebEIsI9qjGXl6EX66luk7wiuP2tBaryw-wKvv4e0/edit?usp=sharing"",""แพร่!S379"")+IMPORTRANGE(""https://docs.google.com/spreadshe"&amp;"ets/d/1dQrvX0vEcN7Gu0fnZ0B5S90AeR19zth4XlExFBeExMY/edit?usp=sharing"",""แม่ฮ่องสอน!S379"")+IMPORTRANGE(""https://docs.google.com/spreadsheets/d/1DY4XTNNwjluuxqdfdn6qvOSlMRrZqUtmYcZR0ttFiG4/edit?usp=sharing"",""ลำปาง!S379"")+IMPORTRANGE(""https://docs.goog"&amp;"le.com/spreadsheets/d/1ICwG78r0OFT8biBlxnBF8r7she7gNSzOvJ958PWT09c/edit?usp=sharing"",""ลำพูน!S379"")+IMPORTRANGE(""https://docs.google.com/spreadsheets/d/1B0f2xJpZUC6Z0xXnqKlZtEPzsf6L84eP1r1Q15seqRM/edit?usp=sharing"",""สุโขทัย!S379"")+IMPORTRANGE(""http"&amp;"s://docs.google.com/spreadsheets/d/1v0b9pFQCsKUVExMei7AgY2yQkdeNQvtOssygGsXbiKo/edit?usp=sharing"",""อุตรดิตถ์!S379"")+IMPORTRANGE(""https://docs.google.com/spreadsheets/d/1UsNK1e-WWiCo2PvGqdNfdme4m17_Ezd3J69EeeiQPD0/edit?usp=sharing"",""อุทัยธานี!S379"")"),0)</f>
        <v>0</v>
      </c>
      <c r="T379" s="48">
        <f t="shared" ca="1" si="286"/>
        <v>0</v>
      </c>
      <c r="U379" s="48">
        <f t="shared" ca="1" si="287"/>
        <v>0</v>
      </c>
    </row>
    <row r="380" spans="1:21" ht="18.75" x14ac:dyDescent="0.25">
      <c r="A380" s="128"/>
      <c r="B380" s="158"/>
      <c r="C380" s="158"/>
      <c r="D380" s="158"/>
      <c r="E380" s="209" t="s">
        <v>37</v>
      </c>
      <c r="F380" s="158"/>
      <c r="G380" s="180"/>
      <c r="H380" s="134" t="s">
        <v>14</v>
      </c>
      <c r="I380" s="135"/>
      <c r="J380" s="135"/>
      <c r="K380" s="136"/>
      <c r="L380" s="46">
        <f ca="1">IFERROR(__xludf.DUMMYFUNCTION("IMPORTRANGE(""https://docs.google.com/spreadsheets/d/1jTcq05yEiRwXcBMLjiodW9e4biSGYWAHcDj22rKWQ3s/edit?usp=sharing"",""กำแพงเพชร!L380"")+IMPORTRANGE(""https://docs.google.com/spreadsheets/d/1KS0zmDSZPk8KnTAbGN-Xk6MtX1YRZD0ldgdt20K4CRk/edit?usp=sharing"","&amp;"""เชียงราย!L380"")+IMPORTRANGE(""https://docs.google.com/spreadsheets/d/1rEDxBtusbi64tE0zunoIbsTVV16HeL0oJ6trHQeQ7K8/edit?usp=sharing"",""เชียงใหม่!L380"")+IMPORTRANGE(""https://docs.google.com/spreadsheets/d/1W6MnUbDkMi6xHnHko_XkFDO9kkuL6Wqyc-6OCDFjW9I/e"&amp;"dit?usp=sharing"",""ตาก!L380"")+IMPORTRANGE(""https://docs.google.com/spreadsheets/d/1IQAWArduLkta9LpYo4a_ULsyqdta6-6aDDiwpUnQT6c/edit?usp=sharing"",""นครสวรรค์!L380"")+IMPORTRANGE(""https://docs.google.com/spreadsheets/d/10s13Sk5xrltsiR-Zkbmk5DwIaDIKO8Xl"&amp;"bJAfqyT7Gvg/edit?usp=sharing"",""น่าน!L380"")+IMPORTRANGE(""https://docs.google.com/spreadsheets/d/1uu4nAn4Dbi1XREnLKKotUANlKXa7yCgRcgq8HEzQYW8/edit?usp=sharing"",""พะเยา!L380"")+IMPORTRANGE(""https://docs.google.com/spreadsheets/d/1xfJKIQxVOaPDIICqsflNlL"&amp;"u3JacTDk1FP9RH4phX7mI/edit?usp=sharing"",""พิจิตร!L380"")+IMPORTRANGE(""https://docs.google.com/spreadsheets/d/1JtRfZkJMHtEhI5RdRHxYUG4FIZHqKDpNyIuN7A1Q0_k/edit?usp=sharing"",""พิษณุโลก!L380"")+IMPORTRANGE(""https://docs.google.com/spreadsheets/d/1xlcVZWU"&amp;"Nn6SuWm0c307h32SiGkd9BaeQWlAktfD3KO8/edit?usp=sharing"",""เพชรบูรณ์!L380"")+IMPORTRANGE(""https://docs.google.com/spreadsheets/d/1lOVebEIsI9qjGXl6EX66luk7wiuP2tBaryw-wKvv4e0/edit?usp=sharing"",""แพร่!L380"")+IMPORTRANGE(""https://docs.google.com/spreadshe"&amp;"ets/d/1dQrvX0vEcN7Gu0fnZ0B5S90AeR19zth4XlExFBeExMY/edit?usp=sharing"",""แม่ฮ่องสอน!L380"")+IMPORTRANGE(""https://docs.google.com/spreadsheets/d/1DY4XTNNwjluuxqdfdn6qvOSlMRrZqUtmYcZR0ttFiG4/edit?usp=sharing"",""ลำปาง!L380"")+IMPORTRANGE(""https://docs.goog"&amp;"le.com/spreadsheets/d/1ICwG78r0OFT8biBlxnBF8r7she7gNSzOvJ958PWT09c/edit?usp=sharing"",""ลำพูน!L380"")+IMPORTRANGE(""https://docs.google.com/spreadsheets/d/1B0f2xJpZUC6Z0xXnqKlZtEPzsf6L84eP1r1Q15seqRM/edit?usp=sharing"",""สุโขทัย!L380"")+IMPORTRANGE(""http"&amp;"s://docs.google.com/spreadsheets/d/1v0b9pFQCsKUVExMei7AgY2yQkdeNQvtOssygGsXbiKo/edit?usp=sharing"",""อุตรดิตถ์!L380"")+IMPORTRANGE(""https://docs.google.com/spreadsheets/d/1UsNK1e-WWiCo2PvGqdNfdme4m17_Ezd3J69EeeiQPD0/edit?usp=sharing"",""อุทัยธานี!L380"")"),141000)</f>
        <v>141000</v>
      </c>
      <c r="M380" s="46">
        <f ca="1">IFERROR(__xludf.DUMMYFUNCTION("IMPORTRANGE(""https://docs.google.com/spreadsheets/d/1jTcq05yEiRwXcBMLjiodW9e4biSGYWAHcDj22rKWQ3s/edit?usp=sharing"",""กำแพงเพชร!M380"")+IMPORTRANGE(""https://docs.google.com/spreadsheets/d/1KS0zmDSZPk8KnTAbGN-Xk6MtX1YRZD0ldgdt20K4CRk/edit?usp=sharing"","&amp;"""เชียงราย!M380"")+IMPORTRANGE(""https://docs.google.com/spreadsheets/d/1rEDxBtusbi64tE0zunoIbsTVV16HeL0oJ6trHQeQ7K8/edit?usp=sharing"",""เชียงใหม่!M380"")+IMPORTRANGE(""https://docs.google.com/spreadsheets/d/1W6MnUbDkMi6xHnHko_XkFDO9kkuL6Wqyc-6OCDFjW9I/e"&amp;"dit?usp=sharing"",""ตาก!M380"")+IMPORTRANGE(""https://docs.google.com/spreadsheets/d/1IQAWArduLkta9LpYo4a_ULsyqdta6-6aDDiwpUnQT6c/edit?usp=sharing"",""นครสวรรค์!M380"")+IMPORTRANGE(""https://docs.google.com/spreadsheets/d/10s13Sk5xrltsiR-Zkbmk5DwIaDIKO8Xl"&amp;"bJAfqyT7Gvg/edit?usp=sharing"",""น่าน!M380"")+IMPORTRANGE(""https://docs.google.com/spreadsheets/d/1uu4nAn4Dbi1XREnLKKotUANlKXa7yCgRcgq8HEzQYW8/edit?usp=sharing"",""พะเยา!M380"")+IMPORTRANGE(""https://docs.google.com/spreadsheets/d/1xfJKIQxVOaPDIICqsflNlL"&amp;"u3JacTDk1FP9RH4phX7mI/edit?usp=sharing"",""พิจิตร!M380"")+IMPORTRANGE(""https://docs.google.com/spreadsheets/d/1JtRfZkJMHtEhI5RdRHxYUG4FIZHqKDpNyIuN7A1Q0_k/edit?usp=sharing"",""พิษณุโลก!M380"")+IMPORTRANGE(""https://docs.google.com/spreadsheets/d/1xlcVZWU"&amp;"Nn6SuWm0c307h32SiGkd9BaeQWlAktfD3KO8/edit?usp=sharing"",""เพชรบูรณ์!M380"")+IMPORTRANGE(""https://docs.google.com/spreadsheets/d/1lOVebEIsI9qjGXl6EX66luk7wiuP2tBaryw-wKvv4e0/edit?usp=sharing"",""แพร่!M380"")+IMPORTRANGE(""https://docs.google.com/spreadshe"&amp;"ets/d/1dQrvX0vEcN7Gu0fnZ0B5S90AeR19zth4XlExFBeExMY/edit?usp=sharing"",""แม่ฮ่องสอน!M380"")+IMPORTRANGE(""https://docs.google.com/spreadsheets/d/1DY4XTNNwjluuxqdfdn6qvOSlMRrZqUtmYcZR0ttFiG4/edit?usp=sharing"",""ลำปาง!M380"")+IMPORTRANGE(""https://docs.goog"&amp;"le.com/spreadsheets/d/1ICwG78r0OFT8biBlxnBF8r7she7gNSzOvJ958PWT09c/edit?usp=sharing"",""ลำพูน!M380"")+IMPORTRANGE(""https://docs.google.com/spreadsheets/d/1B0f2xJpZUC6Z0xXnqKlZtEPzsf6L84eP1r1Q15seqRM/edit?usp=sharing"",""สุโขทัย!M380"")+IMPORTRANGE(""http"&amp;"s://docs.google.com/spreadsheets/d/1v0b9pFQCsKUVExMei7AgY2yQkdeNQvtOssygGsXbiKo/edit?usp=sharing"",""อุตรดิตถ์!M380"")+IMPORTRANGE(""https://docs.google.com/spreadsheets/d/1UsNK1e-WWiCo2PvGqdNfdme4m17_Ezd3J69EeeiQPD0/edit?usp=sharing"",""อุทัยธานี!M380"")"),141000)</f>
        <v>141000</v>
      </c>
      <c r="N380" s="46">
        <f ca="1">IFERROR(__xludf.DUMMYFUNCTION("IMPORTRANGE(""https://docs.google.com/spreadsheets/d/1jTcq05yEiRwXcBMLjiodW9e4biSGYWAHcDj22rKWQ3s/edit?usp=sharing"",""กำแพงเพชร!N380"")+IMPORTRANGE(""https://docs.google.com/spreadsheets/d/1KS0zmDSZPk8KnTAbGN-Xk6MtX1YRZD0ldgdt20K4CRk/edit?usp=sharing"","&amp;"""เชียงราย!N380"")+IMPORTRANGE(""https://docs.google.com/spreadsheets/d/1rEDxBtusbi64tE0zunoIbsTVV16HeL0oJ6trHQeQ7K8/edit?usp=sharing"",""เชียงใหม่!N380"")+IMPORTRANGE(""https://docs.google.com/spreadsheets/d/1W6MnUbDkMi6xHnHko_XkFDO9kkuL6Wqyc-6OCDFjW9I/e"&amp;"dit?usp=sharing"",""ตาก!N380"")+IMPORTRANGE(""https://docs.google.com/spreadsheets/d/1IQAWArduLkta9LpYo4a_ULsyqdta6-6aDDiwpUnQT6c/edit?usp=sharing"",""นครสวรรค์!N380"")+IMPORTRANGE(""https://docs.google.com/spreadsheets/d/10s13Sk5xrltsiR-Zkbmk5DwIaDIKO8Xl"&amp;"bJAfqyT7Gvg/edit?usp=sharing"",""น่าน!N380"")+IMPORTRANGE(""https://docs.google.com/spreadsheets/d/1uu4nAn4Dbi1XREnLKKotUANlKXa7yCgRcgq8HEzQYW8/edit?usp=sharing"",""พะเยา!N380"")+IMPORTRANGE(""https://docs.google.com/spreadsheets/d/1xfJKIQxVOaPDIICqsflNlL"&amp;"u3JacTDk1FP9RH4phX7mI/edit?usp=sharing"",""พิจิตร!N380"")+IMPORTRANGE(""https://docs.google.com/spreadsheets/d/1JtRfZkJMHtEhI5RdRHxYUG4FIZHqKDpNyIuN7A1Q0_k/edit?usp=sharing"",""พิษณุโลก!N380"")+IMPORTRANGE(""https://docs.google.com/spreadsheets/d/1xlcVZWU"&amp;"Nn6SuWm0c307h32SiGkd9BaeQWlAktfD3KO8/edit?usp=sharing"",""เพชรบูรณ์!N380"")+IMPORTRANGE(""https://docs.google.com/spreadsheets/d/1lOVebEIsI9qjGXl6EX66luk7wiuP2tBaryw-wKvv4e0/edit?usp=sharing"",""แพร่!N380"")+IMPORTRANGE(""https://docs.google.com/spreadshe"&amp;"ets/d/1dQrvX0vEcN7Gu0fnZ0B5S90AeR19zth4XlExFBeExMY/edit?usp=sharing"",""แม่ฮ่องสอน!N380"")+IMPORTRANGE(""https://docs.google.com/spreadsheets/d/1DY4XTNNwjluuxqdfdn6qvOSlMRrZqUtmYcZR0ttFiG4/edit?usp=sharing"",""ลำปาง!N380"")+IMPORTRANGE(""https://docs.goog"&amp;"le.com/spreadsheets/d/1ICwG78r0OFT8biBlxnBF8r7she7gNSzOvJ958PWT09c/edit?usp=sharing"",""ลำพูน!N380"")+IMPORTRANGE(""https://docs.google.com/spreadsheets/d/1B0f2xJpZUC6Z0xXnqKlZtEPzsf6L84eP1r1Q15seqRM/edit?usp=sharing"",""สุโขทัย!N380"")+IMPORTRANGE(""http"&amp;"s://docs.google.com/spreadsheets/d/1v0b9pFQCsKUVExMei7AgY2yQkdeNQvtOssygGsXbiKo/edit?usp=sharing"",""อุตรดิตถ์!N380"")+IMPORTRANGE(""https://docs.google.com/spreadsheets/d/1UsNK1e-WWiCo2PvGqdNfdme4m17_Ezd3J69EeeiQPD0/edit?usp=sharing"",""อุทัยธานี!N380"")"),0)</f>
        <v>0</v>
      </c>
      <c r="O380" s="46">
        <f t="shared" ca="1" si="283"/>
        <v>0</v>
      </c>
      <c r="P380" s="46">
        <f t="shared" ca="1" si="284"/>
        <v>0</v>
      </c>
      <c r="Q380" s="46">
        <f ca="1">IFERROR(__xludf.DUMMYFUNCTION("IMPORTRANGE(""https://docs.google.com/spreadsheets/d/1jTcq05yEiRwXcBMLjiodW9e4biSGYWAHcDj22rKWQ3s/edit?usp=sharing"",""กำแพงเพชร!Q380"")+IMPORTRANGE(""https://docs.google.com/spreadsheets/d/1KS0zmDSZPk8KnTAbGN-Xk6MtX1YRZD0ldgdt20K4CRk/edit?usp=sharing"","&amp;"""เชียงราย!Q380"")+IMPORTRANGE(""https://docs.google.com/spreadsheets/d/1rEDxBtusbi64tE0zunoIbsTVV16HeL0oJ6trHQeQ7K8/edit?usp=sharing"",""เชียงใหม่!Q380"")+IMPORTRANGE(""https://docs.google.com/spreadsheets/d/1W6MnUbDkMi6xHnHko_XkFDO9kkuL6Wqyc-6OCDFjW9I/e"&amp;"dit?usp=sharing"",""ตาก!Q380"")+IMPORTRANGE(""https://docs.google.com/spreadsheets/d/1IQAWArduLkta9LpYo4a_ULsyqdta6-6aDDiwpUnQT6c/edit?usp=sharing"",""นครสวรรค์!Q380"")+IMPORTRANGE(""https://docs.google.com/spreadsheets/d/10s13Sk5xrltsiR-Zkbmk5DwIaDIKO8Xl"&amp;"bJAfqyT7Gvg/edit?usp=sharing"",""น่าน!Q380"")+IMPORTRANGE(""https://docs.google.com/spreadsheets/d/1uu4nAn4Dbi1XREnLKKotUANlKXa7yCgRcgq8HEzQYW8/edit?usp=sharing"",""พะเยา!Q380"")+IMPORTRANGE(""https://docs.google.com/spreadsheets/d/1xfJKIQxVOaPDIICqsflNlL"&amp;"u3JacTDk1FP9RH4phX7mI/edit?usp=sharing"",""พิจิตร!Q380"")+IMPORTRANGE(""https://docs.google.com/spreadsheets/d/1JtRfZkJMHtEhI5RdRHxYUG4FIZHqKDpNyIuN7A1Q0_k/edit?usp=sharing"",""พิษณุโลก!Q380"")+IMPORTRANGE(""https://docs.google.com/spreadsheets/d/1xlcVZWU"&amp;"Nn6SuWm0c307h32SiGkd9BaeQWlAktfD3KO8/edit?usp=sharing"",""เพชรบูรณ์!Q380"")+IMPORTRANGE(""https://docs.google.com/spreadsheets/d/1lOVebEIsI9qjGXl6EX66luk7wiuP2tBaryw-wKvv4e0/edit?usp=sharing"",""แพร่!Q380"")+IMPORTRANGE(""https://docs.google.com/spreadshe"&amp;"ets/d/1dQrvX0vEcN7Gu0fnZ0B5S90AeR19zth4XlExFBeExMY/edit?usp=sharing"",""แม่ฮ่องสอน!Q380"")+IMPORTRANGE(""https://docs.google.com/spreadsheets/d/1DY4XTNNwjluuxqdfdn6qvOSlMRrZqUtmYcZR0ttFiG4/edit?usp=sharing"",""ลำปาง!Q380"")+IMPORTRANGE(""https://docs.goog"&amp;"le.com/spreadsheets/d/1ICwG78r0OFT8biBlxnBF8r7she7gNSzOvJ958PWT09c/edit?usp=sharing"",""ลำพูน!Q380"")+IMPORTRANGE(""https://docs.google.com/spreadsheets/d/1B0f2xJpZUC6Z0xXnqKlZtEPzsf6L84eP1r1Q15seqRM/edit?usp=sharing"",""สุโขทัย!Q380"")+IMPORTRANGE(""http"&amp;"s://docs.google.com/spreadsheets/d/1v0b9pFQCsKUVExMei7AgY2yQkdeNQvtOssygGsXbiKo/edit?usp=sharing"",""อุตรดิตถ์!Q380"")+IMPORTRANGE(""https://docs.google.com/spreadsheets/d/1UsNK1e-WWiCo2PvGqdNfdme4m17_Ezd3J69EeeiQPD0/edit?usp=sharing"",""อุทัยธานี!Q380"")"),2437500)</f>
        <v>2437500</v>
      </c>
      <c r="R380" s="46">
        <f ca="1">IFERROR(__xludf.DUMMYFUNCTION("IMPORTRANGE(""https://docs.google.com/spreadsheets/d/1jTcq05yEiRwXcBMLjiodW9e4biSGYWAHcDj22rKWQ3s/edit?usp=sharing"",""กำแพงเพชร!R380"")+IMPORTRANGE(""https://docs.google.com/spreadsheets/d/1KS0zmDSZPk8KnTAbGN-Xk6MtX1YRZD0ldgdt20K4CRk/edit?usp=sharing"","&amp;"""เชียงราย!R380"")+IMPORTRANGE(""https://docs.google.com/spreadsheets/d/1rEDxBtusbi64tE0zunoIbsTVV16HeL0oJ6trHQeQ7K8/edit?usp=sharing"",""เชียงใหม่!R380"")+IMPORTRANGE(""https://docs.google.com/spreadsheets/d/1W6MnUbDkMi6xHnHko_XkFDO9kkuL6Wqyc-6OCDFjW9I/e"&amp;"dit?usp=sharing"",""ตาก!R380"")+IMPORTRANGE(""https://docs.google.com/spreadsheets/d/1IQAWArduLkta9LpYo4a_ULsyqdta6-6aDDiwpUnQT6c/edit?usp=sharing"",""นครสวรรค์!R380"")+IMPORTRANGE(""https://docs.google.com/spreadsheets/d/10s13Sk5xrltsiR-Zkbmk5DwIaDIKO8Xl"&amp;"bJAfqyT7Gvg/edit?usp=sharing"",""น่าน!R380"")+IMPORTRANGE(""https://docs.google.com/spreadsheets/d/1uu4nAn4Dbi1XREnLKKotUANlKXa7yCgRcgq8HEzQYW8/edit?usp=sharing"",""พะเยา!R380"")+IMPORTRANGE(""https://docs.google.com/spreadsheets/d/1xfJKIQxVOaPDIICqsflNlL"&amp;"u3JacTDk1FP9RH4phX7mI/edit?usp=sharing"",""พิจิตร!R380"")+IMPORTRANGE(""https://docs.google.com/spreadsheets/d/1JtRfZkJMHtEhI5RdRHxYUG4FIZHqKDpNyIuN7A1Q0_k/edit?usp=sharing"",""พิษณุโลก!R380"")+IMPORTRANGE(""https://docs.google.com/spreadsheets/d/1xlcVZWU"&amp;"Nn6SuWm0c307h32SiGkd9BaeQWlAktfD3KO8/edit?usp=sharing"",""เพชรบูรณ์!R380"")+IMPORTRANGE(""https://docs.google.com/spreadsheets/d/1lOVebEIsI9qjGXl6EX66luk7wiuP2tBaryw-wKvv4e0/edit?usp=sharing"",""แพร่!R380"")+IMPORTRANGE(""https://docs.google.com/spreadshe"&amp;"ets/d/1dQrvX0vEcN7Gu0fnZ0B5S90AeR19zth4XlExFBeExMY/edit?usp=sharing"",""แม่ฮ่องสอน!R380"")+IMPORTRANGE(""https://docs.google.com/spreadsheets/d/1DY4XTNNwjluuxqdfdn6qvOSlMRrZqUtmYcZR0ttFiG4/edit?usp=sharing"",""ลำปาง!R380"")+IMPORTRANGE(""https://docs.goog"&amp;"le.com/spreadsheets/d/1ICwG78r0OFT8biBlxnBF8r7she7gNSzOvJ958PWT09c/edit?usp=sharing"",""ลำพูน!R380"")+IMPORTRANGE(""https://docs.google.com/spreadsheets/d/1B0f2xJpZUC6Z0xXnqKlZtEPzsf6L84eP1r1Q15seqRM/edit?usp=sharing"",""สุโขทัย!R380"")+IMPORTRANGE(""http"&amp;"s://docs.google.com/spreadsheets/d/1v0b9pFQCsKUVExMei7AgY2yQkdeNQvtOssygGsXbiKo/edit?usp=sharing"",""อุตรดิตถ์!R380"")+IMPORTRANGE(""https://docs.google.com/spreadsheets/d/1UsNK1e-WWiCo2PvGqdNfdme4m17_Ezd3J69EeeiQPD0/edit?usp=sharing"",""อุทัยธานี!R380"")"),2437500)</f>
        <v>2437500</v>
      </c>
      <c r="S380" s="46">
        <f ca="1">IFERROR(__xludf.DUMMYFUNCTION("IMPORTRANGE(""https://docs.google.com/spreadsheets/d/1jTcq05yEiRwXcBMLjiodW9e4biSGYWAHcDj22rKWQ3s/edit?usp=sharing"",""กำแพงเพชร!S380"")+IMPORTRANGE(""https://docs.google.com/spreadsheets/d/1KS0zmDSZPk8KnTAbGN-Xk6MtX1YRZD0ldgdt20K4CRk/edit?usp=sharing"","&amp;"""เชียงราย!S380"")+IMPORTRANGE(""https://docs.google.com/spreadsheets/d/1rEDxBtusbi64tE0zunoIbsTVV16HeL0oJ6trHQeQ7K8/edit?usp=sharing"",""เชียงใหม่!S380"")+IMPORTRANGE(""https://docs.google.com/spreadsheets/d/1W6MnUbDkMi6xHnHko_XkFDO9kkuL6Wqyc-6OCDFjW9I/e"&amp;"dit?usp=sharing"",""ตาก!S380"")+IMPORTRANGE(""https://docs.google.com/spreadsheets/d/1IQAWArduLkta9LpYo4a_ULsyqdta6-6aDDiwpUnQT6c/edit?usp=sharing"",""นครสวรรค์!S380"")+IMPORTRANGE(""https://docs.google.com/spreadsheets/d/10s13Sk5xrltsiR-Zkbmk5DwIaDIKO8Xl"&amp;"bJAfqyT7Gvg/edit?usp=sharing"",""น่าน!S380"")+IMPORTRANGE(""https://docs.google.com/spreadsheets/d/1uu4nAn4Dbi1XREnLKKotUANlKXa7yCgRcgq8HEzQYW8/edit?usp=sharing"",""พะเยา!S380"")+IMPORTRANGE(""https://docs.google.com/spreadsheets/d/1xfJKIQxVOaPDIICqsflNlL"&amp;"u3JacTDk1FP9RH4phX7mI/edit?usp=sharing"",""พิจิตร!S380"")+IMPORTRANGE(""https://docs.google.com/spreadsheets/d/1JtRfZkJMHtEhI5RdRHxYUG4FIZHqKDpNyIuN7A1Q0_k/edit?usp=sharing"",""พิษณุโลก!S380"")+IMPORTRANGE(""https://docs.google.com/spreadsheets/d/1xlcVZWU"&amp;"Nn6SuWm0c307h32SiGkd9BaeQWlAktfD3KO8/edit?usp=sharing"",""เพชรบูรณ์!S380"")+IMPORTRANGE(""https://docs.google.com/spreadsheets/d/1lOVebEIsI9qjGXl6EX66luk7wiuP2tBaryw-wKvv4e0/edit?usp=sharing"",""แพร่!S380"")+IMPORTRANGE(""https://docs.google.com/spreadshe"&amp;"ets/d/1dQrvX0vEcN7Gu0fnZ0B5S90AeR19zth4XlExFBeExMY/edit?usp=sharing"",""แม่ฮ่องสอน!S380"")+IMPORTRANGE(""https://docs.google.com/spreadsheets/d/1DY4XTNNwjluuxqdfdn6qvOSlMRrZqUtmYcZR0ttFiG4/edit?usp=sharing"",""ลำปาง!S380"")+IMPORTRANGE(""https://docs.goog"&amp;"le.com/spreadsheets/d/1ICwG78r0OFT8biBlxnBF8r7she7gNSzOvJ958PWT09c/edit?usp=sharing"",""ลำพูน!S380"")+IMPORTRANGE(""https://docs.google.com/spreadsheets/d/1B0f2xJpZUC6Z0xXnqKlZtEPzsf6L84eP1r1Q15seqRM/edit?usp=sharing"",""สุโขทัย!S380"")+IMPORTRANGE(""http"&amp;"s://docs.google.com/spreadsheets/d/1v0b9pFQCsKUVExMei7AgY2yQkdeNQvtOssygGsXbiKo/edit?usp=sharing"",""อุตรดิตถ์!S380"")+IMPORTRANGE(""https://docs.google.com/spreadsheets/d/1UsNK1e-WWiCo2PvGqdNfdme4m17_Ezd3J69EeeiQPD0/edit?usp=sharing"",""อุทัยธานี!S380"")"),64740)</f>
        <v>64740</v>
      </c>
      <c r="T380" s="46">
        <f t="shared" ca="1" si="286"/>
        <v>2.6560000000000001</v>
      </c>
      <c r="U380" s="46">
        <f t="shared" ca="1" si="287"/>
        <v>2.6560000000000001</v>
      </c>
    </row>
    <row r="381" spans="1:21" ht="18.75" x14ac:dyDescent="0.25">
      <c r="A381" s="128"/>
      <c r="B381" s="158"/>
      <c r="C381" s="158"/>
      <c r="D381" s="160" t="s">
        <v>23</v>
      </c>
      <c r="E381" s="40"/>
      <c r="F381" s="40"/>
      <c r="G381" s="42"/>
      <c r="H381" s="137" t="s">
        <v>14</v>
      </c>
      <c r="I381" s="135"/>
      <c r="J381" s="135"/>
      <c r="K381" s="136"/>
      <c r="L381" s="46">
        <f t="shared" ref="L381:N381" ca="1" si="294">L382+L383</f>
        <v>0</v>
      </c>
      <c r="M381" s="46">
        <f t="shared" ca="1" si="294"/>
        <v>0</v>
      </c>
      <c r="N381" s="46">
        <f t="shared" ca="1" si="294"/>
        <v>0</v>
      </c>
      <c r="O381" s="46">
        <f t="shared" ca="1" si="283"/>
        <v>0</v>
      </c>
      <c r="P381" s="46">
        <f t="shared" ca="1" si="284"/>
        <v>0</v>
      </c>
      <c r="Q381" s="46">
        <f t="shared" ref="Q381:S381" ca="1" si="295">Q382+Q383</f>
        <v>0</v>
      </c>
      <c r="R381" s="46">
        <f t="shared" ca="1" si="295"/>
        <v>0</v>
      </c>
      <c r="S381" s="46">
        <f t="shared" ca="1" si="295"/>
        <v>0</v>
      </c>
      <c r="T381" s="46">
        <f t="shared" ca="1" si="286"/>
        <v>0</v>
      </c>
      <c r="U381" s="46">
        <f t="shared" ca="1" si="287"/>
        <v>0</v>
      </c>
    </row>
    <row r="382" spans="1:21" ht="18.75" x14ac:dyDescent="0.25">
      <c r="A382" s="128"/>
      <c r="B382" s="158"/>
      <c r="C382" s="158"/>
      <c r="D382" s="158"/>
      <c r="E382" s="156" t="s">
        <v>20</v>
      </c>
      <c r="F382" s="40"/>
      <c r="G382" s="42"/>
      <c r="H382" s="159" t="s">
        <v>14</v>
      </c>
      <c r="I382" s="135"/>
      <c r="J382" s="135"/>
      <c r="K382" s="136"/>
      <c r="L382" s="48">
        <f ca="1">IFERROR(__xludf.DUMMYFUNCTION("IMPORTRANGE(""https://docs.google.com/spreadsheets/d/1jTcq05yEiRwXcBMLjiodW9e4biSGYWAHcDj22rKWQ3s/edit?usp=sharing"",""กำแพงเพชร!L382"")+IMPORTRANGE(""https://docs.google.com/spreadsheets/d/1KS0zmDSZPk8KnTAbGN-Xk6MtX1YRZD0ldgdt20K4CRk/edit?usp=sharing"","&amp;"""เชียงราย!L382"")+IMPORTRANGE(""https://docs.google.com/spreadsheets/d/1rEDxBtusbi64tE0zunoIbsTVV16HeL0oJ6trHQeQ7K8/edit?usp=sharing"",""เชียงใหม่!L382"")+IMPORTRANGE(""https://docs.google.com/spreadsheets/d/1W6MnUbDkMi6xHnHko_XkFDO9kkuL6Wqyc-6OCDFjW9I/e"&amp;"dit?usp=sharing"",""ตาก!L382"")+IMPORTRANGE(""https://docs.google.com/spreadsheets/d/1IQAWArduLkta9LpYo4a_ULsyqdta6-6aDDiwpUnQT6c/edit?usp=sharing"",""นครสวรรค์!L382"")+IMPORTRANGE(""https://docs.google.com/spreadsheets/d/10s13Sk5xrltsiR-Zkbmk5DwIaDIKO8Xl"&amp;"bJAfqyT7Gvg/edit?usp=sharing"",""น่าน!L382"")+IMPORTRANGE(""https://docs.google.com/spreadsheets/d/1uu4nAn4Dbi1XREnLKKotUANlKXa7yCgRcgq8HEzQYW8/edit?usp=sharing"",""พะเยา!L382"")+IMPORTRANGE(""https://docs.google.com/spreadsheets/d/1xfJKIQxVOaPDIICqsflNlL"&amp;"u3JacTDk1FP9RH4phX7mI/edit?usp=sharing"",""พิจิตร!L382"")+IMPORTRANGE(""https://docs.google.com/spreadsheets/d/1JtRfZkJMHtEhI5RdRHxYUG4FIZHqKDpNyIuN7A1Q0_k/edit?usp=sharing"",""พิษณุโลก!L382"")+IMPORTRANGE(""https://docs.google.com/spreadsheets/d/1xlcVZWU"&amp;"Nn6SuWm0c307h32SiGkd9BaeQWlAktfD3KO8/edit?usp=sharing"",""เพชรบูรณ์!L382"")+IMPORTRANGE(""https://docs.google.com/spreadsheets/d/1lOVebEIsI9qjGXl6EX66luk7wiuP2tBaryw-wKvv4e0/edit?usp=sharing"",""แพร่!L382"")+IMPORTRANGE(""https://docs.google.com/spreadshe"&amp;"ets/d/1dQrvX0vEcN7Gu0fnZ0B5S90AeR19zth4XlExFBeExMY/edit?usp=sharing"",""แม่ฮ่องสอน!L382"")+IMPORTRANGE(""https://docs.google.com/spreadsheets/d/1DY4XTNNwjluuxqdfdn6qvOSlMRrZqUtmYcZR0ttFiG4/edit?usp=sharing"",""ลำปาง!L382"")+IMPORTRANGE(""https://docs.goog"&amp;"le.com/spreadsheets/d/1ICwG78r0OFT8biBlxnBF8r7she7gNSzOvJ958PWT09c/edit?usp=sharing"",""ลำพูน!L382"")+IMPORTRANGE(""https://docs.google.com/spreadsheets/d/1B0f2xJpZUC6Z0xXnqKlZtEPzsf6L84eP1r1Q15seqRM/edit?usp=sharing"",""สุโขทัย!L382"")+IMPORTRANGE(""http"&amp;"s://docs.google.com/spreadsheets/d/1v0b9pFQCsKUVExMei7AgY2yQkdeNQvtOssygGsXbiKo/edit?usp=sharing"",""อุตรดิตถ์!L382"")+IMPORTRANGE(""https://docs.google.com/spreadsheets/d/1UsNK1e-WWiCo2PvGqdNfdme4m17_Ezd3J69EeeiQPD0/edit?usp=sharing"",""อุทัยธานี!L382"")"),0)</f>
        <v>0</v>
      </c>
      <c r="M382" s="48">
        <f ca="1">IFERROR(__xludf.DUMMYFUNCTION("IMPORTRANGE(""https://docs.google.com/spreadsheets/d/1jTcq05yEiRwXcBMLjiodW9e4biSGYWAHcDj22rKWQ3s/edit?usp=sharing"",""กำแพงเพชร!M382"")+IMPORTRANGE(""https://docs.google.com/spreadsheets/d/1KS0zmDSZPk8KnTAbGN-Xk6MtX1YRZD0ldgdt20K4CRk/edit?usp=sharing"","&amp;"""เชียงราย!M382"")+IMPORTRANGE(""https://docs.google.com/spreadsheets/d/1rEDxBtusbi64tE0zunoIbsTVV16HeL0oJ6trHQeQ7K8/edit?usp=sharing"",""เชียงใหม่!M382"")+IMPORTRANGE(""https://docs.google.com/spreadsheets/d/1W6MnUbDkMi6xHnHko_XkFDO9kkuL6Wqyc-6OCDFjW9I/e"&amp;"dit?usp=sharing"",""ตาก!M382"")+IMPORTRANGE(""https://docs.google.com/spreadsheets/d/1IQAWArduLkta9LpYo4a_ULsyqdta6-6aDDiwpUnQT6c/edit?usp=sharing"",""นครสวรรค์!M382"")+IMPORTRANGE(""https://docs.google.com/spreadsheets/d/10s13Sk5xrltsiR-Zkbmk5DwIaDIKO8Xl"&amp;"bJAfqyT7Gvg/edit?usp=sharing"",""น่าน!M382"")+IMPORTRANGE(""https://docs.google.com/spreadsheets/d/1uu4nAn4Dbi1XREnLKKotUANlKXa7yCgRcgq8HEzQYW8/edit?usp=sharing"",""พะเยา!M382"")+IMPORTRANGE(""https://docs.google.com/spreadsheets/d/1xfJKIQxVOaPDIICqsflNlL"&amp;"u3JacTDk1FP9RH4phX7mI/edit?usp=sharing"",""พิจิตร!M382"")+IMPORTRANGE(""https://docs.google.com/spreadsheets/d/1JtRfZkJMHtEhI5RdRHxYUG4FIZHqKDpNyIuN7A1Q0_k/edit?usp=sharing"",""พิษณุโลก!M382"")+IMPORTRANGE(""https://docs.google.com/spreadsheets/d/1xlcVZWU"&amp;"Nn6SuWm0c307h32SiGkd9BaeQWlAktfD3KO8/edit?usp=sharing"",""เพชรบูรณ์!M382"")+IMPORTRANGE(""https://docs.google.com/spreadsheets/d/1lOVebEIsI9qjGXl6EX66luk7wiuP2tBaryw-wKvv4e0/edit?usp=sharing"",""แพร่!M382"")+IMPORTRANGE(""https://docs.google.com/spreadshe"&amp;"ets/d/1dQrvX0vEcN7Gu0fnZ0B5S90AeR19zth4XlExFBeExMY/edit?usp=sharing"",""แม่ฮ่องสอน!M382"")+IMPORTRANGE(""https://docs.google.com/spreadsheets/d/1DY4XTNNwjluuxqdfdn6qvOSlMRrZqUtmYcZR0ttFiG4/edit?usp=sharing"",""ลำปาง!M382"")+IMPORTRANGE(""https://docs.goog"&amp;"le.com/spreadsheets/d/1ICwG78r0OFT8biBlxnBF8r7she7gNSzOvJ958PWT09c/edit?usp=sharing"",""ลำพูน!M382"")+IMPORTRANGE(""https://docs.google.com/spreadsheets/d/1B0f2xJpZUC6Z0xXnqKlZtEPzsf6L84eP1r1Q15seqRM/edit?usp=sharing"",""สุโขทัย!M382"")+IMPORTRANGE(""http"&amp;"s://docs.google.com/spreadsheets/d/1v0b9pFQCsKUVExMei7AgY2yQkdeNQvtOssygGsXbiKo/edit?usp=sharing"",""อุตรดิตถ์!M382"")+IMPORTRANGE(""https://docs.google.com/spreadsheets/d/1UsNK1e-WWiCo2PvGqdNfdme4m17_Ezd3J69EeeiQPD0/edit?usp=sharing"",""อุทัยธานี!M382"")"),0)</f>
        <v>0</v>
      </c>
      <c r="N382" s="48">
        <f ca="1">IFERROR(__xludf.DUMMYFUNCTION("IMPORTRANGE(""https://docs.google.com/spreadsheets/d/1jTcq05yEiRwXcBMLjiodW9e4biSGYWAHcDj22rKWQ3s/edit?usp=sharing"",""กำแพงเพชร!N382"")+IMPORTRANGE(""https://docs.google.com/spreadsheets/d/1KS0zmDSZPk8KnTAbGN-Xk6MtX1YRZD0ldgdt20K4CRk/edit?usp=sharing"","&amp;"""เชียงราย!N382"")+IMPORTRANGE(""https://docs.google.com/spreadsheets/d/1rEDxBtusbi64tE0zunoIbsTVV16HeL0oJ6trHQeQ7K8/edit?usp=sharing"",""เชียงใหม่!N382"")+IMPORTRANGE(""https://docs.google.com/spreadsheets/d/1W6MnUbDkMi6xHnHko_XkFDO9kkuL6Wqyc-6OCDFjW9I/e"&amp;"dit?usp=sharing"",""ตาก!N382"")+IMPORTRANGE(""https://docs.google.com/spreadsheets/d/1IQAWArduLkta9LpYo4a_ULsyqdta6-6aDDiwpUnQT6c/edit?usp=sharing"",""นครสวรรค์!N382"")+IMPORTRANGE(""https://docs.google.com/spreadsheets/d/10s13Sk5xrltsiR-Zkbmk5DwIaDIKO8Xl"&amp;"bJAfqyT7Gvg/edit?usp=sharing"",""น่าน!N382"")+IMPORTRANGE(""https://docs.google.com/spreadsheets/d/1uu4nAn4Dbi1XREnLKKotUANlKXa7yCgRcgq8HEzQYW8/edit?usp=sharing"",""พะเยา!N382"")+IMPORTRANGE(""https://docs.google.com/spreadsheets/d/1xfJKIQxVOaPDIICqsflNlL"&amp;"u3JacTDk1FP9RH4phX7mI/edit?usp=sharing"",""พิจิตร!N382"")+IMPORTRANGE(""https://docs.google.com/spreadsheets/d/1JtRfZkJMHtEhI5RdRHxYUG4FIZHqKDpNyIuN7A1Q0_k/edit?usp=sharing"",""พิษณุโลก!N382"")+IMPORTRANGE(""https://docs.google.com/spreadsheets/d/1xlcVZWU"&amp;"Nn6SuWm0c307h32SiGkd9BaeQWlAktfD3KO8/edit?usp=sharing"",""เพชรบูรณ์!N382"")+IMPORTRANGE(""https://docs.google.com/spreadsheets/d/1lOVebEIsI9qjGXl6EX66luk7wiuP2tBaryw-wKvv4e0/edit?usp=sharing"",""แพร่!N382"")+IMPORTRANGE(""https://docs.google.com/spreadshe"&amp;"ets/d/1dQrvX0vEcN7Gu0fnZ0B5S90AeR19zth4XlExFBeExMY/edit?usp=sharing"",""แม่ฮ่องสอน!N382"")+IMPORTRANGE(""https://docs.google.com/spreadsheets/d/1DY4XTNNwjluuxqdfdn6qvOSlMRrZqUtmYcZR0ttFiG4/edit?usp=sharing"",""ลำปาง!N382"")+IMPORTRANGE(""https://docs.goog"&amp;"le.com/spreadsheets/d/1ICwG78r0OFT8biBlxnBF8r7she7gNSzOvJ958PWT09c/edit?usp=sharing"",""ลำพูน!N382"")+IMPORTRANGE(""https://docs.google.com/spreadsheets/d/1B0f2xJpZUC6Z0xXnqKlZtEPzsf6L84eP1r1Q15seqRM/edit?usp=sharing"",""สุโขทัย!N382"")+IMPORTRANGE(""http"&amp;"s://docs.google.com/spreadsheets/d/1v0b9pFQCsKUVExMei7AgY2yQkdeNQvtOssygGsXbiKo/edit?usp=sharing"",""อุตรดิตถ์!N382"")+IMPORTRANGE(""https://docs.google.com/spreadsheets/d/1UsNK1e-WWiCo2PvGqdNfdme4m17_Ezd3J69EeeiQPD0/edit?usp=sharing"",""อุทัยธานี!N382"")"),0)</f>
        <v>0</v>
      </c>
      <c r="O382" s="48">
        <f t="shared" ca="1" si="283"/>
        <v>0</v>
      </c>
      <c r="P382" s="48">
        <f t="shared" ca="1" si="284"/>
        <v>0</v>
      </c>
      <c r="Q382" s="48">
        <f ca="1">IFERROR(__xludf.DUMMYFUNCTION("IMPORTRANGE(""https://docs.google.com/spreadsheets/d/1jTcq05yEiRwXcBMLjiodW9e4biSGYWAHcDj22rKWQ3s/edit?usp=sharing"",""กำแพงเพชร!Q382"")+IMPORTRANGE(""https://docs.google.com/spreadsheets/d/1KS0zmDSZPk8KnTAbGN-Xk6MtX1YRZD0ldgdt20K4CRk/edit?usp=sharing"","&amp;"""เชียงราย!Q382"")+IMPORTRANGE(""https://docs.google.com/spreadsheets/d/1rEDxBtusbi64tE0zunoIbsTVV16HeL0oJ6trHQeQ7K8/edit?usp=sharing"",""เชียงใหม่!Q382"")+IMPORTRANGE(""https://docs.google.com/spreadsheets/d/1W6MnUbDkMi6xHnHko_XkFDO9kkuL6Wqyc-6OCDFjW9I/e"&amp;"dit?usp=sharing"",""ตาก!Q382"")+IMPORTRANGE(""https://docs.google.com/spreadsheets/d/1IQAWArduLkta9LpYo4a_ULsyqdta6-6aDDiwpUnQT6c/edit?usp=sharing"",""นครสวรรค์!Q382"")+IMPORTRANGE(""https://docs.google.com/spreadsheets/d/10s13Sk5xrltsiR-Zkbmk5DwIaDIKO8Xl"&amp;"bJAfqyT7Gvg/edit?usp=sharing"",""น่าน!Q382"")+IMPORTRANGE(""https://docs.google.com/spreadsheets/d/1uu4nAn4Dbi1XREnLKKotUANlKXa7yCgRcgq8HEzQYW8/edit?usp=sharing"",""พะเยา!Q382"")+IMPORTRANGE(""https://docs.google.com/spreadsheets/d/1xfJKIQxVOaPDIICqsflNlL"&amp;"u3JacTDk1FP9RH4phX7mI/edit?usp=sharing"",""พิจิตร!Q382"")+IMPORTRANGE(""https://docs.google.com/spreadsheets/d/1JtRfZkJMHtEhI5RdRHxYUG4FIZHqKDpNyIuN7A1Q0_k/edit?usp=sharing"",""พิษณุโลก!Q382"")+IMPORTRANGE(""https://docs.google.com/spreadsheets/d/1xlcVZWU"&amp;"Nn6SuWm0c307h32SiGkd9BaeQWlAktfD3KO8/edit?usp=sharing"",""เพชรบูรณ์!Q382"")+IMPORTRANGE(""https://docs.google.com/spreadsheets/d/1lOVebEIsI9qjGXl6EX66luk7wiuP2tBaryw-wKvv4e0/edit?usp=sharing"",""แพร่!Q382"")+IMPORTRANGE(""https://docs.google.com/spreadshe"&amp;"ets/d/1dQrvX0vEcN7Gu0fnZ0B5S90AeR19zth4XlExFBeExMY/edit?usp=sharing"",""แม่ฮ่องสอน!Q382"")+IMPORTRANGE(""https://docs.google.com/spreadsheets/d/1DY4XTNNwjluuxqdfdn6qvOSlMRrZqUtmYcZR0ttFiG4/edit?usp=sharing"",""ลำปาง!Q382"")+IMPORTRANGE(""https://docs.goog"&amp;"le.com/spreadsheets/d/1ICwG78r0OFT8biBlxnBF8r7she7gNSzOvJ958PWT09c/edit?usp=sharing"",""ลำพูน!Q382"")+IMPORTRANGE(""https://docs.google.com/spreadsheets/d/1B0f2xJpZUC6Z0xXnqKlZtEPzsf6L84eP1r1Q15seqRM/edit?usp=sharing"",""สุโขทัย!Q382"")+IMPORTRANGE(""http"&amp;"s://docs.google.com/spreadsheets/d/1v0b9pFQCsKUVExMei7AgY2yQkdeNQvtOssygGsXbiKo/edit?usp=sharing"",""อุตรดิตถ์!Q382"")+IMPORTRANGE(""https://docs.google.com/spreadsheets/d/1UsNK1e-WWiCo2PvGqdNfdme4m17_Ezd3J69EeeiQPD0/edit?usp=sharing"",""อุทัยธานี!Q382"")"),0)</f>
        <v>0</v>
      </c>
      <c r="R382" s="48">
        <f ca="1">IFERROR(__xludf.DUMMYFUNCTION("IMPORTRANGE(""https://docs.google.com/spreadsheets/d/1jTcq05yEiRwXcBMLjiodW9e4biSGYWAHcDj22rKWQ3s/edit?usp=sharing"",""กำแพงเพชร!R382"")+IMPORTRANGE(""https://docs.google.com/spreadsheets/d/1KS0zmDSZPk8KnTAbGN-Xk6MtX1YRZD0ldgdt20K4CRk/edit?usp=sharing"","&amp;"""เชียงราย!R382"")+IMPORTRANGE(""https://docs.google.com/spreadsheets/d/1rEDxBtusbi64tE0zunoIbsTVV16HeL0oJ6trHQeQ7K8/edit?usp=sharing"",""เชียงใหม่!R382"")+IMPORTRANGE(""https://docs.google.com/spreadsheets/d/1W6MnUbDkMi6xHnHko_XkFDO9kkuL6Wqyc-6OCDFjW9I/e"&amp;"dit?usp=sharing"",""ตาก!R382"")+IMPORTRANGE(""https://docs.google.com/spreadsheets/d/1IQAWArduLkta9LpYo4a_ULsyqdta6-6aDDiwpUnQT6c/edit?usp=sharing"",""นครสวรรค์!R382"")+IMPORTRANGE(""https://docs.google.com/spreadsheets/d/10s13Sk5xrltsiR-Zkbmk5DwIaDIKO8Xl"&amp;"bJAfqyT7Gvg/edit?usp=sharing"",""น่าน!R382"")+IMPORTRANGE(""https://docs.google.com/spreadsheets/d/1uu4nAn4Dbi1XREnLKKotUANlKXa7yCgRcgq8HEzQYW8/edit?usp=sharing"",""พะเยา!R382"")+IMPORTRANGE(""https://docs.google.com/spreadsheets/d/1xfJKIQxVOaPDIICqsflNlL"&amp;"u3JacTDk1FP9RH4phX7mI/edit?usp=sharing"",""พิจิตร!R382"")+IMPORTRANGE(""https://docs.google.com/spreadsheets/d/1JtRfZkJMHtEhI5RdRHxYUG4FIZHqKDpNyIuN7A1Q0_k/edit?usp=sharing"",""พิษณุโลก!R382"")+IMPORTRANGE(""https://docs.google.com/spreadsheets/d/1xlcVZWU"&amp;"Nn6SuWm0c307h32SiGkd9BaeQWlAktfD3KO8/edit?usp=sharing"",""เพชรบูรณ์!R382"")+IMPORTRANGE(""https://docs.google.com/spreadsheets/d/1lOVebEIsI9qjGXl6EX66luk7wiuP2tBaryw-wKvv4e0/edit?usp=sharing"",""แพร่!R382"")+IMPORTRANGE(""https://docs.google.com/spreadshe"&amp;"ets/d/1dQrvX0vEcN7Gu0fnZ0B5S90AeR19zth4XlExFBeExMY/edit?usp=sharing"",""แม่ฮ่องสอน!R382"")+IMPORTRANGE(""https://docs.google.com/spreadsheets/d/1DY4XTNNwjluuxqdfdn6qvOSlMRrZqUtmYcZR0ttFiG4/edit?usp=sharing"",""ลำปาง!R382"")+IMPORTRANGE(""https://docs.goog"&amp;"le.com/spreadsheets/d/1ICwG78r0OFT8biBlxnBF8r7she7gNSzOvJ958PWT09c/edit?usp=sharing"",""ลำพูน!R382"")+IMPORTRANGE(""https://docs.google.com/spreadsheets/d/1B0f2xJpZUC6Z0xXnqKlZtEPzsf6L84eP1r1Q15seqRM/edit?usp=sharing"",""สุโขทัย!R382"")+IMPORTRANGE(""http"&amp;"s://docs.google.com/spreadsheets/d/1v0b9pFQCsKUVExMei7AgY2yQkdeNQvtOssygGsXbiKo/edit?usp=sharing"",""อุตรดิตถ์!R382"")+IMPORTRANGE(""https://docs.google.com/spreadsheets/d/1UsNK1e-WWiCo2PvGqdNfdme4m17_Ezd3J69EeeiQPD0/edit?usp=sharing"",""อุทัยธานี!R382"")"),0)</f>
        <v>0</v>
      </c>
      <c r="S382" s="48">
        <f ca="1">IFERROR(__xludf.DUMMYFUNCTION("IMPORTRANGE(""https://docs.google.com/spreadsheets/d/1jTcq05yEiRwXcBMLjiodW9e4biSGYWAHcDj22rKWQ3s/edit?usp=sharing"",""กำแพงเพชร!S382"")+IMPORTRANGE(""https://docs.google.com/spreadsheets/d/1KS0zmDSZPk8KnTAbGN-Xk6MtX1YRZD0ldgdt20K4CRk/edit?usp=sharing"","&amp;"""เชียงราย!S382"")+IMPORTRANGE(""https://docs.google.com/spreadsheets/d/1rEDxBtusbi64tE0zunoIbsTVV16HeL0oJ6trHQeQ7K8/edit?usp=sharing"",""เชียงใหม่!S382"")+IMPORTRANGE(""https://docs.google.com/spreadsheets/d/1W6MnUbDkMi6xHnHko_XkFDO9kkuL6Wqyc-6OCDFjW9I/e"&amp;"dit?usp=sharing"",""ตาก!S382"")+IMPORTRANGE(""https://docs.google.com/spreadsheets/d/1IQAWArduLkta9LpYo4a_ULsyqdta6-6aDDiwpUnQT6c/edit?usp=sharing"",""นครสวรรค์!S382"")+IMPORTRANGE(""https://docs.google.com/spreadsheets/d/10s13Sk5xrltsiR-Zkbmk5DwIaDIKO8Xl"&amp;"bJAfqyT7Gvg/edit?usp=sharing"",""น่าน!S382"")+IMPORTRANGE(""https://docs.google.com/spreadsheets/d/1uu4nAn4Dbi1XREnLKKotUANlKXa7yCgRcgq8HEzQYW8/edit?usp=sharing"",""พะเยา!S382"")+IMPORTRANGE(""https://docs.google.com/spreadsheets/d/1xfJKIQxVOaPDIICqsflNlL"&amp;"u3JacTDk1FP9RH4phX7mI/edit?usp=sharing"",""พิจิตร!S382"")+IMPORTRANGE(""https://docs.google.com/spreadsheets/d/1JtRfZkJMHtEhI5RdRHxYUG4FIZHqKDpNyIuN7A1Q0_k/edit?usp=sharing"",""พิษณุโลก!S382"")+IMPORTRANGE(""https://docs.google.com/spreadsheets/d/1xlcVZWU"&amp;"Nn6SuWm0c307h32SiGkd9BaeQWlAktfD3KO8/edit?usp=sharing"",""เพชรบูรณ์!S382"")+IMPORTRANGE(""https://docs.google.com/spreadsheets/d/1lOVebEIsI9qjGXl6EX66luk7wiuP2tBaryw-wKvv4e0/edit?usp=sharing"",""แพร่!S382"")+IMPORTRANGE(""https://docs.google.com/spreadshe"&amp;"ets/d/1dQrvX0vEcN7Gu0fnZ0B5S90AeR19zth4XlExFBeExMY/edit?usp=sharing"",""แม่ฮ่องสอน!S382"")+IMPORTRANGE(""https://docs.google.com/spreadsheets/d/1DY4XTNNwjluuxqdfdn6qvOSlMRrZqUtmYcZR0ttFiG4/edit?usp=sharing"",""ลำปาง!S382"")+IMPORTRANGE(""https://docs.goog"&amp;"le.com/spreadsheets/d/1ICwG78r0OFT8biBlxnBF8r7she7gNSzOvJ958PWT09c/edit?usp=sharing"",""ลำพูน!S382"")+IMPORTRANGE(""https://docs.google.com/spreadsheets/d/1B0f2xJpZUC6Z0xXnqKlZtEPzsf6L84eP1r1Q15seqRM/edit?usp=sharing"",""สุโขทัย!S382"")+IMPORTRANGE(""http"&amp;"s://docs.google.com/spreadsheets/d/1v0b9pFQCsKUVExMei7AgY2yQkdeNQvtOssygGsXbiKo/edit?usp=sharing"",""อุตรดิตถ์!S382"")+IMPORTRANGE(""https://docs.google.com/spreadsheets/d/1UsNK1e-WWiCo2PvGqdNfdme4m17_Ezd3J69EeeiQPD0/edit?usp=sharing"",""อุทัยธานี!S382"")"),0)</f>
        <v>0</v>
      </c>
      <c r="T382" s="48">
        <f t="shared" ca="1" si="286"/>
        <v>0</v>
      </c>
      <c r="U382" s="48">
        <f t="shared" ca="1" si="287"/>
        <v>0</v>
      </c>
    </row>
    <row r="383" spans="1:21" ht="18.75" x14ac:dyDescent="0.25">
      <c r="A383" s="128"/>
      <c r="B383" s="158"/>
      <c r="C383" s="158"/>
      <c r="D383" s="158"/>
      <c r="E383" s="47" t="s">
        <v>21</v>
      </c>
      <c r="F383" s="40"/>
      <c r="G383" s="42"/>
      <c r="H383" s="137" t="s">
        <v>14</v>
      </c>
      <c r="I383" s="135"/>
      <c r="J383" s="135"/>
      <c r="K383" s="136"/>
      <c r="L383" s="46">
        <f ca="1">IFERROR(__xludf.DUMMYFUNCTION("IMPORTRANGE(""https://docs.google.com/spreadsheets/d/1jTcq05yEiRwXcBMLjiodW9e4biSGYWAHcDj22rKWQ3s/edit?usp=sharing"",""กำแพงเพชร!L383"")+IMPORTRANGE(""https://docs.google.com/spreadsheets/d/1KS0zmDSZPk8KnTAbGN-Xk6MtX1YRZD0ldgdt20K4CRk/edit?usp=sharing"","&amp;"""เชียงราย!L383"")+IMPORTRANGE(""https://docs.google.com/spreadsheets/d/1rEDxBtusbi64tE0zunoIbsTVV16HeL0oJ6trHQeQ7K8/edit?usp=sharing"",""เชียงใหม่!L383"")+IMPORTRANGE(""https://docs.google.com/spreadsheets/d/1W6MnUbDkMi6xHnHko_XkFDO9kkuL6Wqyc-6OCDFjW9I/e"&amp;"dit?usp=sharing"",""ตาก!L383"")+IMPORTRANGE(""https://docs.google.com/spreadsheets/d/1IQAWArduLkta9LpYo4a_ULsyqdta6-6aDDiwpUnQT6c/edit?usp=sharing"",""นครสวรรค์!L383"")+IMPORTRANGE(""https://docs.google.com/spreadsheets/d/10s13Sk5xrltsiR-Zkbmk5DwIaDIKO8Xl"&amp;"bJAfqyT7Gvg/edit?usp=sharing"",""น่าน!L383"")+IMPORTRANGE(""https://docs.google.com/spreadsheets/d/1uu4nAn4Dbi1XREnLKKotUANlKXa7yCgRcgq8HEzQYW8/edit?usp=sharing"",""พะเยา!L383"")+IMPORTRANGE(""https://docs.google.com/spreadsheets/d/1xfJKIQxVOaPDIICqsflNlL"&amp;"u3JacTDk1FP9RH4phX7mI/edit?usp=sharing"",""พิจิตร!L383"")+IMPORTRANGE(""https://docs.google.com/spreadsheets/d/1JtRfZkJMHtEhI5RdRHxYUG4FIZHqKDpNyIuN7A1Q0_k/edit?usp=sharing"",""พิษณุโลก!L383"")+IMPORTRANGE(""https://docs.google.com/spreadsheets/d/1xlcVZWU"&amp;"Nn6SuWm0c307h32SiGkd9BaeQWlAktfD3KO8/edit?usp=sharing"",""เพชรบูรณ์!L383"")+IMPORTRANGE(""https://docs.google.com/spreadsheets/d/1lOVebEIsI9qjGXl6EX66luk7wiuP2tBaryw-wKvv4e0/edit?usp=sharing"",""แพร่!L383"")+IMPORTRANGE(""https://docs.google.com/spreadshe"&amp;"ets/d/1dQrvX0vEcN7Gu0fnZ0B5S90AeR19zth4XlExFBeExMY/edit?usp=sharing"",""แม่ฮ่องสอน!L383"")+IMPORTRANGE(""https://docs.google.com/spreadsheets/d/1DY4XTNNwjluuxqdfdn6qvOSlMRrZqUtmYcZR0ttFiG4/edit?usp=sharing"",""ลำปาง!L383"")+IMPORTRANGE(""https://docs.goog"&amp;"le.com/spreadsheets/d/1ICwG78r0OFT8biBlxnBF8r7she7gNSzOvJ958PWT09c/edit?usp=sharing"",""ลำพูน!L383"")+IMPORTRANGE(""https://docs.google.com/spreadsheets/d/1B0f2xJpZUC6Z0xXnqKlZtEPzsf6L84eP1r1Q15seqRM/edit?usp=sharing"",""สุโขทัย!L383"")+IMPORTRANGE(""http"&amp;"s://docs.google.com/spreadsheets/d/1v0b9pFQCsKUVExMei7AgY2yQkdeNQvtOssygGsXbiKo/edit?usp=sharing"",""อุตรดิตถ์!L383"")+IMPORTRANGE(""https://docs.google.com/spreadsheets/d/1UsNK1e-WWiCo2PvGqdNfdme4m17_Ezd3J69EeeiQPD0/edit?usp=sharing"",""อุทัยธานี!L383"")"),0)</f>
        <v>0</v>
      </c>
      <c r="M383" s="46">
        <f ca="1">IFERROR(__xludf.DUMMYFUNCTION("IMPORTRANGE(""https://docs.google.com/spreadsheets/d/1jTcq05yEiRwXcBMLjiodW9e4biSGYWAHcDj22rKWQ3s/edit?usp=sharing"",""กำแพงเพชร!M383"")+IMPORTRANGE(""https://docs.google.com/spreadsheets/d/1KS0zmDSZPk8KnTAbGN-Xk6MtX1YRZD0ldgdt20K4CRk/edit?usp=sharing"","&amp;"""เชียงราย!M383"")+IMPORTRANGE(""https://docs.google.com/spreadsheets/d/1rEDxBtusbi64tE0zunoIbsTVV16HeL0oJ6trHQeQ7K8/edit?usp=sharing"",""เชียงใหม่!M383"")+IMPORTRANGE(""https://docs.google.com/spreadsheets/d/1W6MnUbDkMi6xHnHko_XkFDO9kkuL6Wqyc-6OCDFjW9I/e"&amp;"dit?usp=sharing"",""ตาก!M383"")+IMPORTRANGE(""https://docs.google.com/spreadsheets/d/1IQAWArduLkta9LpYo4a_ULsyqdta6-6aDDiwpUnQT6c/edit?usp=sharing"",""นครสวรรค์!M383"")+IMPORTRANGE(""https://docs.google.com/spreadsheets/d/10s13Sk5xrltsiR-Zkbmk5DwIaDIKO8Xl"&amp;"bJAfqyT7Gvg/edit?usp=sharing"",""น่าน!M383"")+IMPORTRANGE(""https://docs.google.com/spreadsheets/d/1uu4nAn4Dbi1XREnLKKotUANlKXa7yCgRcgq8HEzQYW8/edit?usp=sharing"",""พะเยา!M383"")+IMPORTRANGE(""https://docs.google.com/spreadsheets/d/1xfJKIQxVOaPDIICqsflNlL"&amp;"u3JacTDk1FP9RH4phX7mI/edit?usp=sharing"",""พิจิตร!M383"")+IMPORTRANGE(""https://docs.google.com/spreadsheets/d/1JtRfZkJMHtEhI5RdRHxYUG4FIZHqKDpNyIuN7A1Q0_k/edit?usp=sharing"",""พิษณุโลก!M383"")+IMPORTRANGE(""https://docs.google.com/spreadsheets/d/1xlcVZWU"&amp;"Nn6SuWm0c307h32SiGkd9BaeQWlAktfD3KO8/edit?usp=sharing"",""เพชรบูรณ์!M383"")+IMPORTRANGE(""https://docs.google.com/spreadsheets/d/1lOVebEIsI9qjGXl6EX66luk7wiuP2tBaryw-wKvv4e0/edit?usp=sharing"",""แพร่!M383"")+IMPORTRANGE(""https://docs.google.com/spreadshe"&amp;"ets/d/1dQrvX0vEcN7Gu0fnZ0B5S90AeR19zth4XlExFBeExMY/edit?usp=sharing"",""แม่ฮ่องสอน!M383"")+IMPORTRANGE(""https://docs.google.com/spreadsheets/d/1DY4XTNNwjluuxqdfdn6qvOSlMRrZqUtmYcZR0ttFiG4/edit?usp=sharing"",""ลำปาง!M383"")+IMPORTRANGE(""https://docs.goog"&amp;"le.com/spreadsheets/d/1ICwG78r0OFT8biBlxnBF8r7she7gNSzOvJ958PWT09c/edit?usp=sharing"",""ลำพูน!M383"")+IMPORTRANGE(""https://docs.google.com/spreadsheets/d/1B0f2xJpZUC6Z0xXnqKlZtEPzsf6L84eP1r1Q15seqRM/edit?usp=sharing"",""สุโขทัย!M383"")+IMPORTRANGE(""http"&amp;"s://docs.google.com/spreadsheets/d/1v0b9pFQCsKUVExMei7AgY2yQkdeNQvtOssygGsXbiKo/edit?usp=sharing"",""อุตรดิตถ์!M383"")+IMPORTRANGE(""https://docs.google.com/spreadsheets/d/1UsNK1e-WWiCo2PvGqdNfdme4m17_Ezd3J69EeeiQPD0/edit?usp=sharing"",""อุทัยธานี!M383"")"),0)</f>
        <v>0</v>
      </c>
      <c r="N383" s="46">
        <f ca="1">IFERROR(__xludf.DUMMYFUNCTION("IMPORTRANGE(""https://docs.google.com/spreadsheets/d/1jTcq05yEiRwXcBMLjiodW9e4biSGYWAHcDj22rKWQ3s/edit?usp=sharing"",""กำแพงเพชร!N383"")+IMPORTRANGE(""https://docs.google.com/spreadsheets/d/1KS0zmDSZPk8KnTAbGN-Xk6MtX1YRZD0ldgdt20K4CRk/edit?usp=sharing"","&amp;"""เชียงราย!N383"")+IMPORTRANGE(""https://docs.google.com/spreadsheets/d/1rEDxBtusbi64tE0zunoIbsTVV16HeL0oJ6trHQeQ7K8/edit?usp=sharing"",""เชียงใหม่!N383"")+IMPORTRANGE(""https://docs.google.com/spreadsheets/d/1W6MnUbDkMi6xHnHko_XkFDO9kkuL6Wqyc-6OCDFjW9I/e"&amp;"dit?usp=sharing"",""ตาก!N383"")+IMPORTRANGE(""https://docs.google.com/spreadsheets/d/1IQAWArduLkta9LpYo4a_ULsyqdta6-6aDDiwpUnQT6c/edit?usp=sharing"",""นครสวรรค์!N383"")+IMPORTRANGE(""https://docs.google.com/spreadsheets/d/10s13Sk5xrltsiR-Zkbmk5DwIaDIKO8Xl"&amp;"bJAfqyT7Gvg/edit?usp=sharing"",""น่าน!N383"")+IMPORTRANGE(""https://docs.google.com/spreadsheets/d/1uu4nAn4Dbi1XREnLKKotUANlKXa7yCgRcgq8HEzQYW8/edit?usp=sharing"",""พะเยา!N383"")+IMPORTRANGE(""https://docs.google.com/spreadsheets/d/1xfJKIQxVOaPDIICqsflNlL"&amp;"u3JacTDk1FP9RH4phX7mI/edit?usp=sharing"",""พิจิตร!N383"")+IMPORTRANGE(""https://docs.google.com/spreadsheets/d/1JtRfZkJMHtEhI5RdRHxYUG4FIZHqKDpNyIuN7A1Q0_k/edit?usp=sharing"",""พิษณุโลก!N383"")+IMPORTRANGE(""https://docs.google.com/spreadsheets/d/1xlcVZWU"&amp;"Nn6SuWm0c307h32SiGkd9BaeQWlAktfD3KO8/edit?usp=sharing"",""เพชรบูรณ์!N383"")+IMPORTRANGE(""https://docs.google.com/spreadsheets/d/1lOVebEIsI9qjGXl6EX66luk7wiuP2tBaryw-wKvv4e0/edit?usp=sharing"",""แพร่!N383"")+IMPORTRANGE(""https://docs.google.com/spreadshe"&amp;"ets/d/1dQrvX0vEcN7Gu0fnZ0B5S90AeR19zth4XlExFBeExMY/edit?usp=sharing"",""แม่ฮ่องสอน!N383"")+IMPORTRANGE(""https://docs.google.com/spreadsheets/d/1DY4XTNNwjluuxqdfdn6qvOSlMRrZqUtmYcZR0ttFiG4/edit?usp=sharing"",""ลำปาง!N383"")+IMPORTRANGE(""https://docs.goog"&amp;"le.com/spreadsheets/d/1ICwG78r0OFT8biBlxnBF8r7she7gNSzOvJ958PWT09c/edit?usp=sharing"",""ลำพูน!N383"")+IMPORTRANGE(""https://docs.google.com/spreadsheets/d/1B0f2xJpZUC6Z0xXnqKlZtEPzsf6L84eP1r1Q15seqRM/edit?usp=sharing"",""สุโขทัย!N383"")+IMPORTRANGE(""http"&amp;"s://docs.google.com/spreadsheets/d/1v0b9pFQCsKUVExMei7AgY2yQkdeNQvtOssygGsXbiKo/edit?usp=sharing"",""อุตรดิตถ์!N383"")+IMPORTRANGE(""https://docs.google.com/spreadsheets/d/1UsNK1e-WWiCo2PvGqdNfdme4m17_Ezd3J69EeeiQPD0/edit?usp=sharing"",""อุทัยธานี!N383"")"),0)</f>
        <v>0</v>
      </c>
      <c r="O383" s="46">
        <f t="shared" ca="1" si="283"/>
        <v>0</v>
      </c>
      <c r="P383" s="46">
        <f t="shared" ca="1" si="284"/>
        <v>0</v>
      </c>
      <c r="Q383" s="46">
        <f ca="1">IFERROR(__xludf.DUMMYFUNCTION("IMPORTRANGE(""https://docs.google.com/spreadsheets/d/1jTcq05yEiRwXcBMLjiodW9e4biSGYWAHcDj22rKWQ3s/edit?usp=sharing"",""กำแพงเพชร!Q383"")+IMPORTRANGE(""https://docs.google.com/spreadsheets/d/1KS0zmDSZPk8KnTAbGN-Xk6MtX1YRZD0ldgdt20K4CRk/edit?usp=sharing"","&amp;"""เชียงราย!Q383"")+IMPORTRANGE(""https://docs.google.com/spreadsheets/d/1rEDxBtusbi64tE0zunoIbsTVV16HeL0oJ6trHQeQ7K8/edit?usp=sharing"",""เชียงใหม่!Q383"")+IMPORTRANGE(""https://docs.google.com/spreadsheets/d/1W6MnUbDkMi6xHnHko_XkFDO9kkuL6Wqyc-6OCDFjW9I/e"&amp;"dit?usp=sharing"",""ตาก!Q383"")+IMPORTRANGE(""https://docs.google.com/spreadsheets/d/1IQAWArduLkta9LpYo4a_ULsyqdta6-6aDDiwpUnQT6c/edit?usp=sharing"",""นครสวรรค์!Q383"")+IMPORTRANGE(""https://docs.google.com/spreadsheets/d/10s13Sk5xrltsiR-Zkbmk5DwIaDIKO8Xl"&amp;"bJAfqyT7Gvg/edit?usp=sharing"",""น่าน!Q383"")+IMPORTRANGE(""https://docs.google.com/spreadsheets/d/1uu4nAn4Dbi1XREnLKKotUANlKXa7yCgRcgq8HEzQYW8/edit?usp=sharing"",""พะเยา!Q383"")+IMPORTRANGE(""https://docs.google.com/spreadsheets/d/1xfJKIQxVOaPDIICqsflNlL"&amp;"u3JacTDk1FP9RH4phX7mI/edit?usp=sharing"",""พิจิตร!Q383"")+IMPORTRANGE(""https://docs.google.com/spreadsheets/d/1JtRfZkJMHtEhI5RdRHxYUG4FIZHqKDpNyIuN7A1Q0_k/edit?usp=sharing"",""พิษณุโลก!Q383"")+IMPORTRANGE(""https://docs.google.com/spreadsheets/d/1xlcVZWU"&amp;"Nn6SuWm0c307h32SiGkd9BaeQWlAktfD3KO8/edit?usp=sharing"",""เพชรบูรณ์!Q383"")+IMPORTRANGE(""https://docs.google.com/spreadsheets/d/1lOVebEIsI9qjGXl6EX66luk7wiuP2tBaryw-wKvv4e0/edit?usp=sharing"",""แพร่!Q383"")+IMPORTRANGE(""https://docs.google.com/spreadshe"&amp;"ets/d/1dQrvX0vEcN7Gu0fnZ0B5S90AeR19zth4XlExFBeExMY/edit?usp=sharing"",""แม่ฮ่องสอน!Q383"")+IMPORTRANGE(""https://docs.google.com/spreadsheets/d/1DY4XTNNwjluuxqdfdn6qvOSlMRrZqUtmYcZR0ttFiG4/edit?usp=sharing"",""ลำปาง!Q383"")+IMPORTRANGE(""https://docs.goog"&amp;"le.com/spreadsheets/d/1ICwG78r0OFT8biBlxnBF8r7she7gNSzOvJ958PWT09c/edit?usp=sharing"",""ลำพูน!Q383"")+IMPORTRANGE(""https://docs.google.com/spreadsheets/d/1B0f2xJpZUC6Z0xXnqKlZtEPzsf6L84eP1r1Q15seqRM/edit?usp=sharing"",""สุโขทัย!Q383"")+IMPORTRANGE(""http"&amp;"s://docs.google.com/spreadsheets/d/1v0b9pFQCsKUVExMei7AgY2yQkdeNQvtOssygGsXbiKo/edit?usp=sharing"",""อุตรดิตถ์!Q383"")+IMPORTRANGE(""https://docs.google.com/spreadsheets/d/1UsNK1e-WWiCo2PvGqdNfdme4m17_Ezd3J69EeeiQPD0/edit?usp=sharing"",""อุทัยธานี!Q383"")"),0)</f>
        <v>0</v>
      </c>
      <c r="R383" s="46">
        <f ca="1">IFERROR(__xludf.DUMMYFUNCTION("IMPORTRANGE(""https://docs.google.com/spreadsheets/d/1jTcq05yEiRwXcBMLjiodW9e4biSGYWAHcDj22rKWQ3s/edit?usp=sharing"",""กำแพงเพชร!R383"")+IMPORTRANGE(""https://docs.google.com/spreadsheets/d/1KS0zmDSZPk8KnTAbGN-Xk6MtX1YRZD0ldgdt20K4CRk/edit?usp=sharing"","&amp;"""เชียงราย!R383"")+IMPORTRANGE(""https://docs.google.com/spreadsheets/d/1rEDxBtusbi64tE0zunoIbsTVV16HeL0oJ6trHQeQ7K8/edit?usp=sharing"",""เชียงใหม่!R383"")+IMPORTRANGE(""https://docs.google.com/spreadsheets/d/1W6MnUbDkMi6xHnHko_XkFDO9kkuL6Wqyc-6OCDFjW9I/e"&amp;"dit?usp=sharing"",""ตาก!R383"")+IMPORTRANGE(""https://docs.google.com/spreadsheets/d/1IQAWArduLkta9LpYo4a_ULsyqdta6-6aDDiwpUnQT6c/edit?usp=sharing"",""นครสวรรค์!R383"")+IMPORTRANGE(""https://docs.google.com/spreadsheets/d/10s13Sk5xrltsiR-Zkbmk5DwIaDIKO8Xl"&amp;"bJAfqyT7Gvg/edit?usp=sharing"",""น่าน!R383"")+IMPORTRANGE(""https://docs.google.com/spreadsheets/d/1uu4nAn4Dbi1XREnLKKotUANlKXa7yCgRcgq8HEzQYW8/edit?usp=sharing"",""พะเยา!R383"")+IMPORTRANGE(""https://docs.google.com/spreadsheets/d/1xfJKIQxVOaPDIICqsflNlL"&amp;"u3JacTDk1FP9RH4phX7mI/edit?usp=sharing"",""พิจิตร!R383"")+IMPORTRANGE(""https://docs.google.com/spreadsheets/d/1JtRfZkJMHtEhI5RdRHxYUG4FIZHqKDpNyIuN7A1Q0_k/edit?usp=sharing"",""พิษณุโลก!R383"")+IMPORTRANGE(""https://docs.google.com/spreadsheets/d/1xlcVZWU"&amp;"Nn6SuWm0c307h32SiGkd9BaeQWlAktfD3KO8/edit?usp=sharing"",""เพชรบูรณ์!R383"")+IMPORTRANGE(""https://docs.google.com/spreadsheets/d/1lOVebEIsI9qjGXl6EX66luk7wiuP2tBaryw-wKvv4e0/edit?usp=sharing"",""แพร่!R383"")+IMPORTRANGE(""https://docs.google.com/spreadshe"&amp;"ets/d/1dQrvX0vEcN7Gu0fnZ0B5S90AeR19zth4XlExFBeExMY/edit?usp=sharing"",""แม่ฮ่องสอน!R383"")+IMPORTRANGE(""https://docs.google.com/spreadsheets/d/1DY4XTNNwjluuxqdfdn6qvOSlMRrZqUtmYcZR0ttFiG4/edit?usp=sharing"",""ลำปาง!R383"")+IMPORTRANGE(""https://docs.goog"&amp;"le.com/spreadsheets/d/1ICwG78r0OFT8biBlxnBF8r7she7gNSzOvJ958PWT09c/edit?usp=sharing"",""ลำพูน!R383"")+IMPORTRANGE(""https://docs.google.com/spreadsheets/d/1B0f2xJpZUC6Z0xXnqKlZtEPzsf6L84eP1r1Q15seqRM/edit?usp=sharing"",""สุโขทัย!R383"")+IMPORTRANGE(""http"&amp;"s://docs.google.com/spreadsheets/d/1v0b9pFQCsKUVExMei7AgY2yQkdeNQvtOssygGsXbiKo/edit?usp=sharing"",""อุตรดิตถ์!R383"")+IMPORTRANGE(""https://docs.google.com/spreadsheets/d/1UsNK1e-WWiCo2PvGqdNfdme4m17_Ezd3J69EeeiQPD0/edit?usp=sharing"",""อุทัยธานี!R383"")"),0)</f>
        <v>0</v>
      </c>
      <c r="S383" s="46">
        <f ca="1">IFERROR(__xludf.DUMMYFUNCTION("IMPORTRANGE(""https://docs.google.com/spreadsheets/d/1jTcq05yEiRwXcBMLjiodW9e4biSGYWAHcDj22rKWQ3s/edit?usp=sharing"",""กำแพงเพชร!S383"")+IMPORTRANGE(""https://docs.google.com/spreadsheets/d/1KS0zmDSZPk8KnTAbGN-Xk6MtX1YRZD0ldgdt20K4CRk/edit?usp=sharing"","&amp;"""เชียงราย!S383"")+IMPORTRANGE(""https://docs.google.com/spreadsheets/d/1rEDxBtusbi64tE0zunoIbsTVV16HeL0oJ6trHQeQ7K8/edit?usp=sharing"",""เชียงใหม่!S383"")+IMPORTRANGE(""https://docs.google.com/spreadsheets/d/1W6MnUbDkMi6xHnHko_XkFDO9kkuL6Wqyc-6OCDFjW9I/e"&amp;"dit?usp=sharing"",""ตาก!S383"")+IMPORTRANGE(""https://docs.google.com/spreadsheets/d/1IQAWArduLkta9LpYo4a_ULsyqdta6-6aDDiwpUnQT6c/edit?usp=sharing"",""นครสวรรค์!S383"")+IMPORTRANGE(""https://docs.google.com/spreadsheets/d/10s13Sk5xrltsiR-Zkbmk5DwIaDIKO8Xl"&amp;"bJAfqyT7Gvg/edit?usp=sharing"",""น่าน!S383"")+IMPORTRANGE(""https://docs.google.com/spreadsheets/d/1uu4nAn4Dbi1XREnLKKotUANlKXa7yCgRcgq8HEzQYW8/edit?usp=sharing"",""พะเยา!S383"")+IMPORTRANGE(""https://docs.google.com/spreadsheets/d/1xfJKIQxVOaPDIICqsflNlL"&amp;"u3JacTDk1FP9RH4phX7mI/edit?usp=sharing"",""พิจิตร!S383"")+IMPORTRANGE(""https://docs.google.com/spreadsheets/d/1JtRfZkJMHtEhI5RdRHxYUG4FIZHqKDpNyIuN7A1Q0_k/edit?usp=sharing"",""พิษณุโลก!S383"")+IMPORTRANGE(""https://docs.google.com/spreadsheets/d/1xlcVZWU"&amp;"Nn6SuWm0c307h32SiGkd9BaeQWlAktfD3KO8/edit?usp=sharing"",""เพชรบูรณ์!S383"")+IMPORTRANGE(""https://docs.google.com/spreadsheets/d/1lOVebEIsI9qjGXl6EX66luk7wiuP2tBaryw-wKvv4e0/edit?usp=sharing"",""แพร่!S383"")+IMPORTRANGE(""https://docs.google.com/spreadshe"&amp;"ets/d/1dQrvX0vEcN7Gu0fnZ0B5S90AeR19zth4XlExFBeExMY/edit?usp=sharing"",""แม่ฮ่องสอน!S383"")+IMPORTRANGE(""https://docs.google.com/spreadsheets/d/1DY4XTNNwjluuxqdfdn6qvOSlMRrZqUtmYcZR0ttFiG4/edit?usp=sharing"",""ลำปาง!S383"")+IMPORTRANGE(""https://docs.goog"&amp;"le.com/spreadsheets/d/1ICwG78r0OFT8biBlxnBF8r7she7gNSzOvJ958PWT09c/edit?usp=sharing"",""ลำพูน!S383"")+IMPORTRANGE(""https://docs.google.com/spreadsheets/d/1B0f2xJpZUC6Z0xXnqKlZtEPzsf6L84eP1r1Q15seqRM/edit?usp=sharing"",""สุโขทัย!S383"")+IMPORTRANGE(""http"&amp;"s://docs.google.com/spreadsheets/d/1v0b9pFQCsKUVExMei7AgY2yQkdeNQvtOssygGsXbiKo/edit?usp=sharing"",""อุตรดิตถ์!S383"")+IMPORTRANGE(""https://docs.google.com/spreadsheets/d/1UsNK1e-WWiCo2PvGqdNfdme4m17_Ezd3J69EeeiQPD0/edit?usp=sharing"",""อุทัยธานี!S383"")"),0)</f>
        <v>0</v>
      </c>
      <c r="T383" s="46">
        <f t="shared" ca="1" si="286"/>
        <v>0</v>
      </c>
      <c r="U383" s="46">
        <f t="shared" ca="1" si="287"/>
        <v>0</v>
      </c>
    </row>
    <row r="384" spans="1:21" ht="19.5" x14ac:dyDescent="0.3">
      <c r="A384" s="138"/>
      <c r="B384" s="139"/>
      <c r="C384" s="161" t="s">
        <v>18</v>
      </c>
      <c r="D384" s="313" t="s">
        <v>38</v>
      </c>
      <c r="E384" s="141"/>
      <c r="F384" s="141"/>
      <c r="G384" s="142"/>
      <c r="H384" s="178"/>
      <c r="I384" s="135"/>
      <c r="J384" s="44"/>
      <c r="K384" s="45"/>
      <c r="L384" s="45"/>
      <c r="M384" s="45"/>
      <c r="N384" s="45"/>
      <c r="O384" s="136"/>
      <c r="P384" s="136"/>
      <c r="Q384" s="45"/>
      <c r="R384" s="45"/>
      <c r="S384" s="45"/>
      <c r="T384" s="136"/>
      <c r="U384" s="136"/>
    </row>
    <row r="385" spans="1:21" ht="18.75" x14ac:dyDescent="0.25">
      <c r="A385" s="208"/>
      <c r="B385" s="158"/>
      <c r="C385" s="158"/>
      <c r="D385" s="158"/>
      <c r="E385" s="47" t="s">
        <v>154</v>
      </c>
      <c r="F385" s="40"/>
      <c r="G385" s="42"/>
      <c r="H385" s="133" t="s">
        <v>34</v>
      </c>
      <c r="I385" s="166">
        <f ca="1">IFERROR(__xludf.DUMMYFUNCTION("IMPORTRANGE(""https://docs.google.com/spreadsheets/d/1jTcq05yEiRwXcBMLjiodW9e4biSGYWAHcDj22rKWQ3s/edit?usp=sharing"",""กำแพงเพชร!I385"")+IMPORTRANGE(""https://docs.google.com/spreadsheets/d/1KS0zmDSZPk8KnTAbGN-Xk6MtX1YRZD0ldgdt20K4CRk/edit?usp=sharing"","&amp;"""เชียงราย!I385"")+IMPORTRANGE(""https://docs.google.com/spreadsheets/d/1rEDxBtusbi64tE0zunoIbsTVV16HeL0oJ6trHQeQ7K8/edit?usp=sharing"",""เชียงใหม่!I385"")+IMPORTRANGE(""https://docs.google.com/spreadsheets/d/1W6MnUbDkMi6xHnHko_XkFDO9kkuL6Wqyc-6OCDFjW9I/e"&amp;"dit?usp=sharing"",""ตาก!I385"")+IMPORTRANGE(""https://docs.google.com/spreadsheets/d/1IQAWArduLkta9LpYo4a_ULsyqdta6-6aDDiwpUnQT6c/edit?usp=sharing"",""นครสวรรค์!I385"")+IMPORTRANGE(""https://docs.google.com/spreadsheets/d/10s13Sk5xrltsiR-Zkbmk5DwIaDIKO8Xl"&amp;"bJAfqyT7Gvg/edit?usp=sharing"",""น่าน!I385"")+IMPORTRANGE(""https://docs.google.com/spreadsheets/d/1uu4nAn4Dbi1XREnLKKotUANlKXa7yCgRcgq8HEzQYW8/edit?usp=sharing"",""พะเยา!I385"")+IMPORTRANGE(""https://docs.google.com/spreadsheets/d/1xfJKIQxVOaPDIICqsflNlL"&amp;"u3JacTDk1FP9RH4phX7mI/edit?usp=sharing"",""พิจิตร!I385"")+IMPORTRANGE(""https://docs.google.com/spreadsheets/d/1JtRfZkJMHtEhI5RdRHxYUG4FIZHqKDpNyIuN7A1Q0_k/edit?usp=sharing"",""พิษณุโลก!I385"")+IMPORTRANGE(""https://docs.google.com/spreadsheets/d/1xlcVZWU"&amp;"Nn6SuWm0c307h32SiGkd9BaeQWlAktfD3KO8/edit?usp=sharing"",""เพชรบูรณ์!I385"")+IMPORTRANGE(""https://docs.google.com/spreadsheets/d/1lOVebEIsI9qjGXl6EX66luk7wiuP2tBaryw-wKvv4e0/edit?usp=sharing"",""แพร่!I385"")+IMPORTRANGE(""https://docs.google.com/spreadshe"&amp;"ets/d/1dQrvX0vEcN7Gu0fnZ0B5S90AeR19zth4XlExFBeExMY/edit?usp=sharing"",""แม่ฮ่องสอน!I385"")+IMPORTRANGE(""https://docs.google.com/spreadsheets/d/1DY4XTNNwjluuxqdfdn6qvOSlMRrZqUtmYcZR0ttFiG4/edit?usp=sharing"",""ลำปาง!I385"")+IMPORTRANGE(""https://docs.goog"&amp;"le.com/spreadsheets/d/1ICwG78r0OFT8biBlxnBF8r7she7gNSzOvJ958PWT09c/edit?usp=sharing"",""ลำพูน!I385"")+IMPORTRANGE(""https://docs.google.com/spreadsheets/d/1B0f2xJpZUC6Z0xXnqKlZtEPzsf6L84eP1r1Q15seqRM/edit?usp=sharing"",""สุโขทัย!I385"")+IMPORTRANGE(""http"&amp;"s://docs.google.com/spreadsheets/d/1v0b9pFQCsKUVExMei7AgY2yQkdeNQvtOssygGsXbiKo/edit?usp=sharing"",""อุตรดิตถ์!I385"")+IMPORTRANGE(""https://docs.google.com/spreadsheets/d/1UsNK1e-WWiCo2PvGqdNfdme4m17_Ezd3J69EeeiQPD0/edit?usp=sharing"",""อุทัยธานี!I385"")"),0)</f>
        <v>0</v>
      </c>
      <c r="J385" s="166">
        <f ca="1">IFERROR(__xludf.DUMMYFUNCTION("IMPORTRANGE(""https://docs.google.com/spreadsheets/d/1jTcq05yEiRwXcBMLjiodW9e4biSGYWAHcDj22rKWQ3s/edit?usp=sharing"",""กำแพงเพชร!J385"")+IMPORTRANGE(""https://docs.google.com/spreadsheets/d/1KS0zmDSZPk8KnTAbGN-Xk6MtX1YRZD0ldgdt20K4CRk/edit?usp=sharing"","&amp;"""เชียงราย!J385"")+IMPORTRANGE(""https://docs.google.com/spreadsheets/d/1rEDxBtusbi64tE0zunoIbsTVV16HeL0oJ6trHQeQ7K8/edit?usp=sharing"",""เชียงใหม่!J385"")+IMPORTRANGE(""https://docs.google.com/spreadsheets/d/1W6MnUbDkMi6xHnHko_XkFDO9kkuL6Wqyc-6OCDFjW9I/e"&amp;"dit?usp=sharing"",""ตาก!J385"")+IMPORTRANGE(""https://docs.google.com/spreadsheets/d/1IQAWArduLkta9LpYo4a_ULsyqdta6-6aDDiwpUnQT6c/edit?usp=sharing"",""นครสวรรค์!J385"")+IMPORTRANGE(""https://docs.google.com/spreadsheets/d/10s13Sk5xrltsiR-Zkbmk5DwIaDIKO8Xl"&amp;"bJAfqyT7Gvg/edit?usp=sharing"",""น่าน!J385"")+IMPORTRANGE(""https://docs.google.com/spreadsheets/d/1uu4nAn4Dbi1XREnLKKotUANlKXa7yCgRcgq8HEzQYW8/edit?usp=sharing"",""พะเยา!J385"")+IMPORTRANGE(""https://docs.google.com/spreadsheets/d/1xfJKIQxVOaPDIICqsflNlL"&amp;"u3JacTDk1FP9RH4phX7mI/edit?usp=sharing"",""พิจิตร!J385"")+IMPORTRANGE(""https://docs.google.com/spreadsheets/d/1JtRfZkJMHtEhI5RdRHxYUG4FIZHqKDpNyIuN7A1Q0_k/edit?usp=sharing"",""พิษณุโลก!J385"")+IMPORTRANGE(""https://docs.google.com/spreadsheets/d/1xlcVZWU"&amp;"Nn6SuWm0c307h32SiGkd9BaeQWlAktfD3KO8/edit?usp=sharing"",""เพชรบูรณ์!J385"")+IMPORTRANGE(""https://docs.google.com/spreadsheets/d/1lOVebEIsI9qjGXl6EX66luk7wiuP2tBaryw-wKvv4e0/edit?usp=sharing"",""แพร่!J385"")+IMPORTRANGE(""https://docs.google.com/spreadshe"&amp;"ets/d/1dQrvX0vEcN7Gu0fnZ0B5S90AeR19zth4XlExFBeExMY/edit?usp=sharing"",""แม่ฮ่องสอน!J385"")+IMPORTRANGE(""https://docs.google.com/spreadsheets/d/1DY4XTNNwjluuxqdfdn6qvOSlMRrZqUtmYcZR0ttFiG4/edit?usp=sharing"",""ลำปาง!J385"")+IMPORTRANGE(""https://docs.goog"&amp;"le.com/spreadsheets/d/1ICwG78r0OFT8biBlxnBF8r7she7gNSzOvJ958PWT09c/edit?usp=sharing"",""ลำพูน!J385"")+IMPORTRANGE(""https://docs.google.com/spreadsheets/d/1B0f2xJpZUC6Z0xXnqKlZtEPzsf6L84eP1r1Q15seqRM/edit?usp=sharing"",""สุโขทัย!J385"")+IMPORTRANGE(""http"&amp;"s://docs.google.com/spreadsheets/d/1v0b9pFQCsKUVExMei7AgY2yQkdeNQvtOssygGsXbiKo/edit?usp=sharing"",""อุตรดิตถ์!J385"")+IMPORTRANGE(""https://docs.google.com/spreadsheets/d/1UsNK1e-WWiCo2PvGqdNfdme4m17_Ezd3J69EeeiQPD0/edit?usp=sharing"",""อุทัยธานี!J385"")"),130)</f>
        <v>130</v>
      </c>
      <c r="K385" s="46">
        <f t="shared" ref="K385:K388" ca="1" si="296">IF(I385&gt;0,J385*100/I385,0)</f>
        <v>0</v>
      </c>
      <c r="L385" s="45"/>
      <c r="M385" s="45"/>
      <c r="N385" s="45"/>
      <c r="O385" s="45"/>
      <c r="P385" s="45"/>
      <c r="Q385" s="45"/>
      <c r="R385" s="45"/>
      <c r="S385" s="45"/>
      <c r="T385" s="45"/>
      <c r="U385" s="45"/>
    </row>
    <row r="386" spans="1:21" ht="18.75" x14ac:dyDescent="0.25">
      <c r="A386" s="158"/>
      <c r="B386" s="158"/>
      <c r="C386" s="158"/>
      <c r="D386" s="158"/>
      <c r="E386" s="158"/>
      <c r="F386" s="158"/>
      <c r="G386" s="180"/>
      <c r="H386" s="133" t="s">
        <v>46</v>
      </c>
      <c r="I386" s="166">
        <f ca="1">IFERROR(__xludf.DUMMYFUNCTION("IMPORTRANGE(""https://docs.google.com/spreadsheets/d/1jTcq05yEiRwXcBMLjiodW9e4biSGYWAHcDj22rKWQ3s/edit?usp=sharing"",""กำแพงเพชร!I386"")+IMPORTRANGE(""https://docs.google.com/spreadsheets/d/1KS0zmDSZPk8KnTAbGN-Xk6MtX1YRZD0ldgdt20K4CRk/edit?usp=sharing"","&amp;"""เชียงราย!I386"")+IMPORTRANGE(""https://docs.google.com/spreadsheets/d/1rEDxBtusbi64tE0zunoIbsTVV16HeL0oJ6trHQeQ7K8/edit?usp=sharing"",""เชียงใหม่!I386"")+IMPORTRANGE(""https://docs.google.com/spreadsheets/d/1W6MnUbDkMi6xHnHko_XkFDO9kkuL6Wqyc-6OCDFjW9I/e"&amp;"dit?usp=sharing"",""ตาก!I386"")+IMPORTRANGE(""https://docs.google.com/spreadsheets/d/1IQAWArduLkta9LpYo4a_ULsyqdta6-6aDDiwpUnQT6c/edit?usp=sharing"",""นครสวรรค์!I386"")+IMPORTRANGE(""https://docs.google.com/spreadsheets/d/10s13Sk5xrltsiR-Zkbmk5DwIaDIKO8Xl"&amp;"bJAfqyT7Gvg/edit?usp=sharing"",""น่าน!I386"")+IMPORTRANGE(""https://docs.google.com/spreadsheets/d/1uu4nAn4Dbi1XREnLKKotUANlKXa7yCgRcgq8HEzQYW8/edit?usp=sharing"",""พะเยา!I386"")+IMPORTRANGE(""https://docs.google.com/spreadsheets/d/1xfJKIQxVOaPDIICqsflNlL"&amp;"u3JacTDk1FP9RH4phX7mI/edit?usp=sharing"",""พิจิตร!I386"")+IMPORTRANGE(""https://docs.google.com/spreadsheets/d/1JtRfZkJMHtEhI5RdRHxYUG4FIZHqKDpNyIuN7A1Q0_k/edit?usp=sharing"",""พิษณุโลก!I386"")+IMPORTRANGE(""https://docs.google.com/spreadsheets/d/1xlcVZWU"&amp;"Nn6SuWm0c307h32SiGkd9BaeQWlAktfD3KO8/edit?usp=sharing"",""เพชรบูรณ์!I386"")+IMPORTRANGE(""https://docs.google.com/spreadsheets/d/1lOVebEIsI9qjGXl6EX66luk7wiuP2tBaryw-wKvv4e0/edit?usp=sharing"",""แพร่!I386"")+IMPORTRANGE(""https://docs.google.com/spreadshe"&amp;"ets/d/1dQrvX0vEcN7Gu0fnZ0B5S90AeR19zth4XlExFBeExMY/edit?usp=sharing"",""แม่ฮ่องสอน!I386"")+IMPORTRANGE(""https://docs.google.com/spreadsheets/d/1DY4XTNNwjluuxqdfdn6qvOSlMRrZqUtmYcZR0ttFiG4/edit?usp=sharing"",""ลำปาง!I386"")+IMPORTRANGE(""https://docs.goog"&amp;"le.com/spreadsheets/d/1ICwG78r0OFT8biBlxnBF8r7she7gNSzOvJ958PWT09c/edit?usp=sharing"",""ลำพูน!I386"")+IMPORTRANGE(""https://docs.google.com/spreadsheets/d/1B0f2xJpZUC6Z0xXnqKlZtEPzsf6L84eP1r1Q15seqRM/edit?usp=sharing"",""สุโขทัย!I386"")+IMPORTRANGE(""http"&amp;"s://docs.google.com/spreadsheets/d/1v0b9pFQCsKUVExMei7AgY2yQkdeNQvtOssygGsXbiKo/edit?usp=sharing"",""อุตรดิตถ์!I386"")+IMPORTRANGE(""https://docs.google.com/spreadsheets/d/1UsNK1e-WWiCo2PvGqdNfdme4m17_Ezd3J69EeeiQPD0/edit?usp=sharing"",""อุทัยธานี!I386"")"),39000)</f>
        <v>39000</v>
      </c>
      <c r="J386" s="166">
        <f ca="1">IFERROR(__xludf.DUMMYFUNCTION("IMPORTRANGE(""https://docs.google.com/spreadsheets/d/1jTcq05yEiRwXcBMLjiodW9e4biSGYWAHcDj22rKWQ3s/edit?usp=sharing"",""กำแพงเพชร!J386"")+IMPORTRANGE(""https://docs.google.com/spreadsheets/d/1KS0zmDSZPk8KnTAbGN-Xk6MtX1YRZD0ldgdt20K4CRk/edit?usp=sharing"","&amp;"""เชียงราย!J386"")+IMPORTRANGE(""https://docs.google.com/spreadsheets/d/1rEDxBtusbi64tE0zunoIbsTVV16HeL0oJ6trHQeQ7K8/edit?usp=sharing"",""เชียงใหม่!J386"")+IMPORTRANGE(""https://docs.google.com/spreadsheets/d/1W6MnUbDkMi6xHnHko_XkFDO9kkuL6Wqyc-6OCDFjW9I/e"&amp;"dit?usp=sharing"",""ตาก!J386"")+IMPORTRANGE(""https://docs.google.com/spreadsheets/d/1IQAWArduLkta9LpYo4a_ULsyqdta6-6aDDiwpUnQT6c/edit?usp=sharing"",""นครสวรรค์!J386"")+IMPORTRANGE(""https://docs.google.com/spreadsheets/d/10s13Sk5xrltsiR-Zkbmk5DwIaDIKO8Xl"&amp;"bJAfqyT7Gvg/edit?usp=sharing"",""น่าน!J386"")+IMPORTRANGE(""https://docs.google.com/spreadsheets/d/1uu4nAn4Dbi1XREnLKKotUANlKXa7yCgRcgq8HEzQYW8/edit?usp=sharing"",""พะเยา!J386"")+IMPORTRANGE(""https://docs.google.com/spreadsheets/d/1xfJKIQxVOaPDIICqsflNlL"&amp;"u3JacTDk1FP9RH4phX7mI/edit?usp=sharing"",""พิจิตร!J386"")+IMPORTRANGE(""https://docs.google.com/spreadsheets/d/1JtRfZkJMHtEhI5RdRHxYUG4FIZHqKDpNyIuN7A1Q0_k/edit?usp=sharing"",""พิษณุโลก!J386"")+IMPORTRANGE(""https://docs.google.com/spreadsheets/d/1xlcVZWU"&amp;"Nn6SuWm0c307h32SiGkd9BaeQWlAktfD3KO8/edit?usp=sharing"",""เพชรบูรณ์!J386"")+IMPORTRANGE(""https://docs.google.com/spreadsheets/d/1lOVebEIsI9qjGXl6EX66luk7wiuP2tBaryw-wKvv4e0/edit?usp=sharing"",""แพร่!J386"")+IMPORTRANGE(""https://docs.google.com/spreadshe"&amp;"ets/d/1dQrvX0vEcN7Gu0fnZ0B5S90AeR19zth4XlExFBeExMY/edit?usp=sharing"",""แม่ฮ่องสอน!J386"")+IMPORTRANGE(""https://docs.google.com/spreadsheets/d/1DY4XTNNwjluuxqdfdn6qvOSlMRrZqUtmYcZR0ttFiG4/edit?usp=sharing"",""ลำปาง!J386"")+IMPORTRANGE(""https://docs.goog"&amp;"le.com/spreadsheets/d/1ICwG78r0OFT8biBlxnBF8r7she7gNSzOvJ958PWT09c/edit?usp=sharing"",""ลำพูน!J386"")+IMPORTRANGE(""https://docs.google.com/spreadsheets/d/1B0f2xJpZUC6Z0xXnqKlZtEPzsf6L84eP1r1Q15seqRM/edit?usp=sharing"",""สุโขทัย!J386"")+IMPORTRANGE(""http"&amp;"s://docs.google.com/spreadsheets/d/1v0b9pFQCsKUVExMei7AgY2yQkdeNQvtOssygGsXbiKo/edit?usp=sharing"",""อุตรดิตถ์!J386"")+IMPORTRANGE(""https://docs.google.com/spreadsheets/d/1UsNK1e-WWiCo2PvGqdNfdme4m17_Ezd3J69EeeiQPD0/edit?usp=sharing"",""อุทัยธานี!J386"")"),1585)</f>
        <v>1585</v>
      </c>
      <c r="K386" s="46">
        <f t="shared" ca="1" si="296"/>
        <v>4.0641025641025639</v>
      </c>
      <c r="L386" s="45"/>
      <c r="M386" s="45"/>
      <c r="N386" s="45"/>
      <c r="O386" s="45"/>
      <c r="P386" s="45"/>
      <c r="Q386" s="45"/>
      <c r="R386" s="45"/>
      <c r="S386" s="45"/>
      <c r="T386" s="45"/>
      <c r="U386" s="45"/>
    </row>
    <row r="387" spans="1:21" ht="18.75" x14ac:dyDescent="0.25">
      <c r="A387" s="158"/>
      <c r="B387" s="158"/>
      <c r="C387" s="158"/>
      <c r="D387" s="158"/>
      <c r="E387" s="314" t="s">
        <v>155</v>
      </c>
      <c r="F387" s="158"/>
      <c r="G387" s="180"/>
      <c r="H387" s="157" t="s">
        <v>34</v>
      </c>
      <c r="I387" s="315">
        <f ca="1">IFERROR(__xludf.DUMMYFUNCTION("IMPORTRANGE(""https://docs.google.com/spreadsheets/d/1jTcq05yEiRwXcBMLjiodW9e4biSGYWAHcDj22rKWQ3s/edit?usp=sharing"",""กำแพงเพชร!I387"")+IMPORTRANGE(""https://docs.google.com/spreadsheets/d/1KS0zmDSZPk8KnTAbGN-Xk6MtX1YRZD0ldgdt20K4CRk/edit?usp=sharing"","&amp;"""เชียงราย!I387"")+IMPORTRANGE(""https://docs.google.com/spreadsheets/d/1rEDxBtusbi64tE0zunoIbsTVV16HeL0oJ6trHQeQ7K8/edit?usp=sharing"",""เชียงใหม่!I387"")+IMPORTRANGE(""https://docs.google.com/spreadsheets/d/1W6MnUbDkMi6xHnHko_XkFDO9kkuL6Wqyc-6OCDFjW9I/e"&amp;"dit?usp=sharing"",""ตาก!I387"")+IMPORTRANGE(""https://docs.google.com/spreadsheets/d/1IQAWArduLkta9LpYo4a_ULsyqdta6-6aDDiwpUnQT6c/edit?usp=sharing"",""นครสวรรค์!I387"")+IMPORTRANGE(""https://docs.google.com/spreadsheets/d/10s13Sk5xrltsiR-Zkbmk5DwIaDIKO8Xl"&amp;"bJAfqyT7Gvg/edit?usp=sharing"",""น่าน!I387"")+IMPORTRANGE(""https://docs.google.com/spreadsheets/d/1uu4nAn4Dbi1XREnLKKotUANlKXa7yCgRcgq8HEzQYW8/edit?usp=sharing"",""พะเยา!I387"")+IMPORTRANGE(""https://docs.google.com/spreadsheets/d/1xfJKIQxVOaPDIICqsflNlL"&amp;"u3JacTDk1FP9RH4phX7mI/edit?usp=sharing"",""พิจิตร!I387"")+IMPORTRANGE(""https://docs.google.com/spreadsheets/d/1JtRfZkJMHtEhI5RdRHxYUG4FIZHqKDpNyIuN7A1Q0_k/edit?usp=sharing"",""พิษณุโลก!I387"")+IMPORTRANGE(""https://docs.google.com/spreadsheets/d/1xlcVZWU"&amp;"Nn6SuWm0c307h32SiGkd9BaeQWlAktfD3KO8/edit?usp=sharing"",""เพชรบูรณ์!I387"")+IMPORTRANGE(""https://docs.google.com/spreadsheets/d/1lOVebEIsI9qjGXl6EX66luk7wiuP2tBaryw-wKvv4e0/edit?usp=sharing"",""แพร่!I387"")+IMPORTRANGE(""https://docs.google.com/spreadshe"&amp;"ets/d/1dQrvX0vEcN7Gu0fnZ0B5S90AeR19zth4XlExFBeExMY/edit?usp=sharing"",""แม่ฮ่องสอน!I387"")+IMPORTRANGE(""https://docs.google.com/spreadsheets/d/1DY4XTNNwjluuxqdfdn6qvOSlMRrZqUtmYcZR0ttFiG4/edit?usp=sharing"",""ลำปาง!I387"")+IMPORTRANGE(""https://docs.goog"&amp;"le.com/spreadsheets/d/1ICwG78r0OFT8biBlxnBF8r7she7gNSzOvJ958PWT09c/edit?usp=sharing"",""ลำพูน!I387"")+IMPORTRANGE(""https://docs.google.com/spreadsheets/d/1B0f2xJpZUC6Z0xXnqKlZtEPzsf6L84eP1r1Q15seqRM/edit?usp=sharing"",""สุโขทัย!I387"")+IMPORTRANGE(""http"&amp;"s://docs.google.com/spreadsheets/d/1v0b9pFQCsKUVExMei7AgY2yQkdeNQvtOssygGsXbiKo/edit?usp=sharing"",""อุตรดิตถ์!I387"")+IMPORTRANGE(""https://docs.google.com/spreadsheets/d/1UsNK1e-WWiCo2PvGqdNfdme4m17_Ezd3J69EeeiQPD0/edit?usp=sharing"",""อุทัยธานี!I387"")"),0)</f>
        <v>0</v>
      </c>
      <c r="J387" s="315">
        <f ca="1">IFERROR(__xludf.DUMMYFUNCTION("IMPORTRANGE(""https://docs.google.com/spreadsheets/d/1jTcq05yEiRwXcBMLjiodW9e4biSGYWAHcDj22rKWQ3s/edit?usp=sharing"",""กำแพงเพชร!J387"")+IMPORTRANGE(""https://docs.google.com/spreadsheets/d/1KS0zmDSZPk8KnTAbGN-Xk6MtX1YRZD0ldgdt20K4CRk/edit?usp=sharing"","&amp;"""เชียงราย!J387"")+IMPORTRANGE(""https://docs.google.com/spreadsheets/d/1rEDxBtusbi64tE0zunoIbsTVV16HeL0oJ6trHQeQ7K8/edit?usp=sharing"",""เชียงใหม่!J387"")+IMPORTRANGE(""https://docs.google.com/spreadsheets/d/1W6MnUbDkMi6xHnHko_XkFDO9kkuL6Wqyc-6OCDFjW9I/e"&amp;"dit?usp=sharing"",""ตาก!J387"")+IMPORTRANGE(""https://docs.google.com/spreadsheets/d/1IQAWArduLkta9LpYo4a_ULsyqdta6-6aDDiwpUnQT6c/edit?usp=sharing"",""นครสวรรค์!J387"")+IMPORTRANGE(""https://docs.google.com/spreadsheets/d/10s13Sk5xrltsiR-Zkbmk5DwIaDIKO8Xl"&amp;"bJAfqyT7Gvg/edit?usp=sharing"",""น่าน!J387"")+IMPORTRANGE(""https://docs.google.com/spreadsheets/d/1uu4nAn4Dbi1XREnLKKotUANlKXa7yCgRcgq8HEzQYW8/edit?usp=sharing"",""พะเยา!J387"")+IMPORTRANGE(""https://docs.google.com/spreadsheets/d/1xfJKIQxVOaPDIICqsflNlL"&amp;"u3JacTDk1FP9RH4phX7mI/edit?usp=sharing"",""พิจิตร!J387"")+IMPORTRANGE(""https://docs.google.com/spreadsheets/d/1JtRfZkJMHtEhI5RdRHxYUG4FIZHqKDpNyIuN7A1Q0_k/edit?usp=sharing"",""พิษณุโลก!J387"")+IMPORTRANGE(""https://docs.google.com/spreadsheets/d/1xlcVZWU"&amp;"Nn6SuWm0c307h32SiGkd9BaeQWlAktfD3KO8/edit?usp=sharing"",""เพชรบูรณ์!J387"")+IMPORTRANGE(""https://docs.google.com/spreadsheets/d/1lOVebEIsI9qjGXl6EX66luk7wiuP2tBaryw-wKvv4e0/edit?usp=sharing"",""แพร่!J387"")+IMPORTRANGE(""https://docs.google.com/spreadshe"&amp;"ets/d/1dQrvX0vEcN7Gu0fnZ0B5S90AeR19zth4XlExFBeExMY/edit?usp=sharing"",""แม่ฮ่องสอน!J387"")+IMPORTRANGE(""https://docs.google.com/spreadsheets/d/1DY4XTNNwjluuxqdfdn6qvOSlMRrZqUtmYcZR0ttFiG4/edit?usp=sharing"",""ลำปาง!J387"")+IMPORTRANGE(""https://docs.goog"&amp;"le.com/spreadsheets/d/1ICwG78r0OFT8biBlxnBF8r7she7gNSzOvJ958PWT09c/edit?usp=sharing"",""ลำพูน!J387"")+IMPORTRANGE(""https://docs.google.com/spreadsheets/d/1B0f2xJpZUC6Z0xXnqKlZtEPzsf6L84eP1r1Q15seqRM/edit?usp=sharing"",""สุโขทัย!J387"")+IMPORTRANGE(""http"&amp;"s://docs.google.com/spreadsheets/d/1v0b9pFQCsKUVExMei7AgY2yQkdeNQvtOssygGsXbiKo/edit?usp=sharing"",""อุตรดิตถ์!J387"")+IMPORTRANGE(""https://docs.google.com/spreadsheets/d/1UsNK1e-WWiCo2PvGqdNfdme4m17_Ezd3J69EeeiQPD0/edit?usp=sharing"",""อุทัยธานี!J387"")"),2862)</f>
        <v>2862</v>
      </c>
      <c r="K387" s="48">
        <f t="shared" ca="1" si="296"/>
        <v>0</v>
      </c>
      <c r="L387" s="45"/>
      <c r="M387" s="45"/>
      <c r="N387" s="45"/>
      <c r="O387" s="45"/>
      <c r="P387" s="45"/>
      <c r="Q387" s="45"/>
      <c r="R387" s="45"/>
      <c r="S387" s="45"/>
      <c r="T387" s="45"/>
      <c r="U387" s="45"/>
    </row>
    <row r="388" spans="1:21" ht="18.75" x14ac:dyDescent="0.25">
      <c r="A388" s="158"/>
      <c r="B388" s="158"/>
      <c r="C388" s="158"/>
      <c r="D388" s="158"/>
      <c r="E388" s="158"/>
      <c r="F388" s="158"/>
      <c r="G388" s="180"/>
      <c r="H388" s="157" t="s">
        <v>46</v>
      </c>
      <c r="I388" s="315">
        <f ca="1">IFERROR(__xludf.DUMMYFUNCTION("IMPORTRANGE(""https://docs.google.com/spreadsheets/d/1jTcq05yEiRwXcBMLjiodW9e4biSGYWAHcDj22rKWQ3s/edit?usp=sharing"",""กำแพงเพชร!I388"")+IMPORTRANGE(""https://docs.google.com/spreadsheets/d/1KS0zmDSZPk8KnTAbGN-Xk6MtX1YRZD0ldgdt20K4CRk/edit?usp=sharing"","&amp;"""เชียงราย!I388"")+IMPORTRANGE(""https://docs.google.com/spreadsheets/d/1rEDxBtusbi64tE0zunoIbsTVV16HeL0oJ6trHQeQ7K8/edit?usp=sharing"",""เชียงใหม่!I388"")+IMPORTRANGE(""https://docs.google.com/spreadsheets/d/1W6MnUbDkMi6xHnHko_XkFDO9kkuL6Wqyc-6OCDFjW9I/e"&amp;"dit?usp=sharing"",""ตาก!I388"")+IMPORTRANGE(""https://docs.google.com/spreadsheets/d/1IQAWArduLkta9LpYo4a_ULsyqdta6-6aDDiwpUnQT6c/edit?usp=sharing"",""นครสวรรค์!I388"")+IMPORTRANGE(""https://docs.google.com/spreadsheets/d/10s13Sk5xrltsiR-Zkbmk5DwIaDIKO8Xl"&amp;"bJAfqyT7Gvg/edit?usp=sharing"",""น่าน!I388"")+IMPORTRANGE(""https://docs.google.com/spreadsheets/d/1uu4nAn4Dbi1XREnLKKotUANlKXa7yCgRcgq8HEzQYW8/edit?usp=sharing"",""พะเยา!I388"")+IMPORTRANGE(""https://docs.google.com/spreadsheets/d/1xfJKIQxVOaPDIICqsflNlL"&amp;"u3JacTDk1FP9RH4phX7mI/edit?usp=sharing"",""พิจิตร!I388"")+IMPORTRANGE(""https://docs.google.com/spreadsheets/d/1JtRfZkJMHtEhI5RdRHxYUG4FIZHqKDpNyIuN7A1Q0_k/edit?usp=sharing"",""พิษณุโลก!I388"")+IMPORTRANGE(""https://docs.google.com/spreadsheets/d/1xlcVZWU"&amp;"Nn6SuWm0c307h32SiGkd9BaeQWlAktfD3KO8/edit?usp=sharing"",""เพชรบูรณ์!I388"")+IMPORTRANGE(""https://docs.google.com/spreadsheets/d/1lOVebEIsI9qjGXl6EX66luk7wiuP2tBaryw-wKvv4e0/edit?usp=sharing"",""แพร่!I388"")+IMPORTRANGE(""https://docs.google.com/spreadshe"&amp;"ets/d/1dQrvX0vEcN7Gu0fnZ0B5S90AeR19zth4XlExFBeExMY/edit?usp=sharing"",""แม่ฮ่องสอน!I388"")+IMPORTRANGE(""https://docs.google.com/spreadsheets/d/1DY4XTNNwjluuxqdfdn6qvOSlMRrZqUtmYcZR0ttFiG4/edit?usp=sharing"",""ลำปาง!I388"")+IMPORTRANGE(""https://docs.goog"&amp;"le.com/spreadsheets/d/1ICwG78r0OFT8biBlxnBF8r7she7gNSzOvJ958PWT09c/edit?usp=sharing"",""ลำพูน!I388"")+IMPORTRANGE(""https://docs.google.com/spreadsheets/d/1B0f2xJpZUC6Z0xXnqKlZtEPzsf6L84eP1r1Q15seqRM/edit?usp=sharing"",""สุโขทัย!I388"")+IMPORTRANGE(""http"&amp;"s://docs.google.com/spreadsheets/d/1v0b9pFQCsKUVExMei7AgY2yQkdeNQvtOssygGsXbiKo/edit?usp=sharing"",""อุตรดิตถ์!I388"")+IMPORTRANGE(""https://docs.google.com/spreadsheets/d/1UsNK1e-WWiCo2PvGqdNfdme4m17_Ezd3J69EeeiQPD0/edit?usp=sharing"",""อุทัยธานี!I388"")"),86400)</f>
        <v>86400</v>
      </c>
      <c r="J388" s="315">
        <f ca="1">IFERROR(__xludf.DUMMYFUNCTION("IMPORTRANGE(""https://docs.google.com/spreadsheets/d/1jTcq05yEiRwXcBMLjiodW9e4biSGYWAHcDj22rKWQ3s/edit?usp=sharing"",""กำแพงเพชร!J388"")+IMPORTRANGE(""https://docs.google.com/spreadsheets/d/1KS0zmDSZPk8KnTAbGN-Xk6MtX1YRZD0ldgdt20K4CRk/edit?usp=sharing"","&amp;"""เชียงราย!J388"")+IMPORTRANGE(""https://docs.google.com/spreadsheets/d/1rEDxBtusbi64tE0zunoIbsTVV16HeL0oJ6trHQeQ7K8/edit?usp=sharing"",""เชียงใหม่!J388"")+IMPORTRANGE(""https://docs.google.com/spreadsheets/d/1W6MnUbDkMi6xHnHko_XkFDO9kkuL6Wqyc-6OCDFjW9I/e"&amp;"dit?usp=sharing"",""ตาก!J388"")+IMPORTRANGE(""https://docs.google.com/spreadsheets/d/1IQAWArduLkta9LpYo4a_ULsyqdta6-6aDDiwpUnQT6c/edit?usp=sharing"",""นครสวรรค์!J388"")+IMPORTRANGE(""https://docs.google.com/spreadsheets/d/10s13Sk5xrltsiR-Zkbmk5DwIaDIKO8Xl"&amp;"bJAfqyT7Gvg/edit?usp=sharing"",""น่าน!J388"")+IMPORTRANGE(""https://docs.google.com/spreadsheets/d/1uu4nAn4Dbi1XREnLKKotUANlKXa7yCgRcgq8HEzQYW8/edit?usp=sharing"",""พะเยา!J388"")+IMPORTRANGE(""https://docs.google.com/spreadsheets/d/1xfJKIQxVOaPDIICqsflNlL"&amp;"u3JacTDk1FP9RH4phX7mI/edit?usp=sharing"",""พิจิตร!J388"")+IMPORTRANGE(""https://docs.google.com/spreadsheets/d/1JtRfZkJMHtEhI5RdRHxYUG4FIZHqKDpNyIuN7A1Q0_k/edit?usp=sharing"",""พิษณุโลก!J388"")+IMPORTRANGE(""https://docs.google.com/spreadsheets/d/1xlcVZWU"&amp;"Nn6SuWm0c307h32SiGkd9BaeQWlAktfD3KO8/edit?usp=sharing"",""เพชรบูรณ์!J388"")+IMPORTRANGE(""https://docs.google.com/spreadsheets/d/1lOVebEIsI9qjGXl6EX66luk7wiuP2tBaryw-wKvv4e0/edit?usp=sharing"",""แพร่!J388"")+IMPORTRANGE(""https://docs.google.com/spreadshe"&amp;"ets/d/1dQrvX0vEcN7Gu0fnZ0B5S90AeR19zth4XlExFBeExMY/edit?usp=sharing"",""แม่ฮ่องสอน!J388"")+IMPORTRANGE(""https://docs.google.com/spreadsheets/d/1DY4XTNNwjluuxqdfdn6qvOSlMRrZqUtmYcZR0ttFiG4/edit?usp=sharing"",""ลำปาง!J388"")+IMPORTRANGE(""https://docs.goog"&amp;"le.com/spreadsheets/d/1ICwG78r0OFT8biBlxnBF8r7she7gNSzOvJ958PWT09c/edit?usp=sharing"",""ลำพูน!J388"")+IMPORTRANGE(""https://docs.google.com/spreadsheets/d/1B0f2xJpZUC6Z0xXnqKlZtEPzsf6L84eP1r1Q15seqRM/edit?usp=sharing"",""สุโขทัย!J388"")+IMPORTRANGE(""http"&amp;"s://docs.google.com/spreadsheets/d/1v0b9pFQCsKUVExMei7AgY2yQkdeNQvtOssygGsXbiKo/edit?usp=sharing"",""อุตรดิตถ์!J388"")+IMPORTRANGE(""https://docs.google.com/spreadsheets/d/1UsNK1e-WWiCo2PvGqdNfdme4m17_Ezd3J69EeeiQPD0/edit?usp=sharing"",""อุทัยธานี!J388"")"),17488)</f>
        <v>17488</v>
      </c>
      <c r="K388" s="48">
        <f t="shared" ca="1" si="296"/>
        <v>20.24074074074074</v>
      </c>
      <c r="L388" s="45"/>
      <c r="M388" s="45"/>
      <c r="N388" s="45"/>
      <c r="O388" s="45"/>
      <c r="P388" s="45"/>
      <c r="Q388" s="45"/>
      <c r="R388" s="45"/>
      <c r="S388" s="45"/>
      <c r="T388" s="45"/>
      <c r="U388" s="45"/>
    </row>
    <row r="389" spans="1:21" ht="12.75" hidden="1" x14ac:dyDescent="0.2">
      <c r="A389" s="228"/>
      <c r="B389" s="228"/>
      <c r="C389" s="228"/>
      <c r="D389" s="228"/>
      <c r="E389" s="228"/>
      <c r="F389" s="228"/>
      <c r="G389" s="231"/>
      <c r="H389" s="231"/>
      <c r="I389" s="232"/>
      <c r="J389" s="232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</row>
    <row r="390" spans="1:21" ht="12.75" hidden="1" x14ac:dyDescent="0.2">
      <c r="A390" s="316"/>
      <c r="B390" s="316"/>
      <c r="C390" s="316"/>
      <c r="D390" s="316"/>
      <c r="E390" s="316"/>
      <c r="F390" s="316"/>
      <c r="G390" s="317"/>
      <c r="H390" s="317"/>
      <c r="I390" s="318"/>
      <c r="J390" s="318"/>
      <c r="K390" s="319"/>
      <c r="L390" s="319"/>
      <c r="M390" s="319"/>
      <c r="N390" s="319"/>
      <c r="O390" s="319"/>
      <c r="P390" s="319"/>
      <c r="Q390" s="319"/>
      <c r="R390" s="319"/>
      <c r="S390" s="319"/>
      <c r="T390" s="319"/>
      <c r="U390" s="319"/>
    </row>
    <row r="391" spans="1:21" ht="19.5" hidden="1" x14ac:dyDescent="0.3">
      <c r="A391" s="299"/>
      <c r="B391" s="310" t="s">
        <v>156</v>
      </c>
      <c r="C391" s="300"/>
      <c r="D391" s="301"/>
      <c r="E391" s="293"/>
      <c r="F391" s="293"/>
      <c r="G391" s="294"/>
      <c r="H391" s="311" t="s">
        <v>61</v>
      </c>
      <c r="I391" s="307">
        <f t="shared" ref="I391:J391" si="297">I402</f>
        <v>0</v>
      </c>
      <c r="J391" s="307">
        <f t="shared" si="297"/>
        <v>0</v>
      </c>
      <c r="K391" s="297">
        <f>IF(I391&gt;0,J391*100/I391,0)</f>
        <v>0</v>
      </c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</row>
    <row r="392" spans="1:21" ht="19.5" hidden="1" x14ac:dyDescent="0.3">
      <c r="A392" s="128"/>
      <c r="B392" s="158"/>
      <c r="C392" s="161" t="s">
        <v>18</v>
      </c>
      <c r="D392" s="312" t="s">
        <v>19</v>
      </c>
      <c r="E392" s="40"/>
      <c r="F392" s="40"/>
      <c r="G392" s="42"/>
      <c r="H392" s="131" t="s">
        <v>14</v>
      </c>
      <c r="I392" s="44"/>
      <c r="J392" s="44"/>
      <c r="K392" s="45"/>
      <c r="L392" s="132">
        <f t="shared" ref="L392:N392" ca="1" si="298">L393+L394</f>
        <v>0</v>
      </c>
      <c r="M392" s="132">
        <f t="shared" ca="1" si="298"/>
        <v>0</v>
      </c>
      <c r="N392" s="132">
        <f t="shared" ca="1" si="298"/>
        <v>0</v>
      </c>
      <c r="O392" s="132">
        <f t="shared" ref="O392:O400" ca="1" si="299">IF(L392&gt;0,N392*100/L392,0)</f>
        <v>0</v>
      </c>
      <c r="P392" s="132">
        <f t="shared" ref="P392:P400" ca="1" si="300">IF(M392&gt;0,N392*100/M392,0)</f>
        <v>0</v>
      </c>
      <c r="Q392" s="132">
        <f t="shared" ref="Q392:S392" ca="1" si="301">Q393+Q394</f>
        <v>0</v>
      </c>
      <c r="R392" s="132">
        <f t="shared" ca="1" si="301"/>
        <v>0</v>
      </c>
      <c r="S392" s="132">
        <f t="shared" ca="1" si="301"/>
        <v>0</v>
      </c>
      <c r="T392" s="132">
        <f t="shared" ref="T392:T400" ca="1" si="302">IF(Q392&gt;0,S392*100/Q392,0)</f>
        <v>0</v>
      </c>
      <c r="U392" s="132">
        <f t="shared" ref="U392:U400" ca="1" si="303">IF(R392&gt;0,S392*100/R392,0)</f>
        <v>0</v>
      </c>
    </row>
    <row r="393" spans="1:21" ht="18.75" hidden="1" x14ac:dyDescent="0.25">
      <c r="A393" s="128"/>
      <c r="B393" s="158"/>
      <c r="C393" s="158"/>
      <c r="D393" s="158"/>
      <c r="E393" s="156" t="s">
        <v>20</v>
      </c>
      <c r="F393" s="40"/>
      <c r="G393" s="42"/>
      <c r="H393" s="157" t="s">
        <v>14</v>
      </c>
      <c r="I393" s="44"/>
      <c r="J393" s="44"/>
      <c r="K393" s="45"/>
      <c r="L393" s="48">
        <f t="shared" ref="L393:N393" ca="1" si="304">L396+L399</f>
        <v>0</v>
      </c>
      <c r="M393" s="48">
        <f t="shared" ca="1" si="304"/>
        <v>0</v>
      </c>
      <c r="N393" s="48">
        <f t="shared" ca="1" si="304"/>
        <v>0</v>
      </c>
      <c r="O393" s="48">
        <f t="shared" ca="1" si="299"/>
        <v>0</v>
      </c>
      <c r="P393" s="48">
        <f t="shared" ca="1" si="300"/>
        <v>0</v>
      </c>
      <c r="Q393" s="48">
        <f t="shared" ref="Q393:S393" ca="1" si="305">Q396+Q399</f>
        <v>0</v>
      </c>
      <c r="R393" s="48">
        <f t="shared" ca="1" si="305"/>
        <v>0</v>
      </c>
      <c r="S393" s="48">
        <f t="shared" ca="1" si="305"/>
        <v>0</v>
      </c>
      <c r="T393" s="48">
        <f t="shared" ca="1" si="302"/>
        <v>0</v>
      </c>
      <c r="U393" s="48">
        <f t="shared" ca="1" si="303"/>
        <v>0</v>
      </c>
    </row>
    <row r="394" spans="1:21" ht="18.75" hidden="1" x14ac:dyDescent="0.25">
      <c r="A394" s="128"/>
      <c r="B394" s="158"/>
      <c r="C394" s="158"/>
      <c r="D394" s="158"/>
      <c r="E394" s="47" t="s">
        <v>21</v>
      </c>
      <c r="F394" s="40"/>
      <c r="G394" s="42"/>
      <c r="H394" s="133" t="s">
        <v>14</v>
      </c>
      <c r="I394" s="44"/>
      <c r="J394" s="44"/>
      <c r="K394" s="45"/>
      <c r="L394" s="46">
        <f t="shared" ref="L394:N394" ca="1" si="306">L397+L400</f>
        <v>0</v>
      </c>
      <c r="M394" s="46">
        <f t="shared" ca="1" si="306"/>
        <v>0</v>
      </c>
      <c r="N394" s="46">
        <f t="shared" ca="1" si="306"/>
        <v>0</v>
      </c>
      <c r="O394" s="46">
        <f t="shared" ca="1" si="299"/>
        <v>0</v>
      </c>
      <c r="P394" s="46">
        <f t="shared" ca="1" si="300"/>
        <v>0</v>
      </c>
      <c r="Q394" s="46">
        <f t="shared" ref="Q394:S394" ca="1" si="307">Q397+Q400</f>
        <v>0</v>
      </c>
      <c r="R394" s="46">
        <f t="shared" ca="1" si="307"/>
        <v>0</v>
      </c>
      <c r="S394" s="46">
        <f t="shared" ca="1" si="307"/>
        <v>0</v>
      </c>
      <c r="T394" s="46">
        <f t="shared" ca="1" si="302"/>
        <v>0</v>
      </c>
      <c r="U394" s="46">
        <f t="shared" ca="1" si="303"/>
        <v>0</v>
      </c>
    </row>
    <row r="395" spans="1:21" ht="18.75" hidden="1" x14ac:dyDescent="0.25">
      <c r="A395" s="128"/>
      <c r="B395" s="158"/>
      <c r="C395" s="158"/>
      <c r="D395" s="160" t="s">
        <v>22</v>
      </c>
      <c r="E395" s="40"/>
      <c r="F395" s="40"/>
      <c r="G395" s="42"/>
      <c r="H395" s="134" t="s">
        <v>14</v>
      </c>
      <c r="I395" s="135"/>
      <c r="J395" s="135"/>
      <c r="K395" s="136"/>
      <c r="L395" s="46">
        <f t="shared" ref="L395:N395" ca="1" si="308">L396+L397</f>
        <v>0</v>
      </c>
      <c r="M395" s="46">
        <f t="shared" ca="1" si="308"/>
        <v>0</v>
      </c>
      <c r="N395" s="46">
        <f t="shared" ca="1" si="308"/>
        <v>0</v>
      </c>
      <c r="O395" s="46">
        <f t="shared" ca="1" si="299"/>
        <v>0</v>
      </c>
      <c r="P395" s="46">
        <f t="shared" ca="1" si="300"/>
        <v>0</v>
      </c>
      <c r="Q395" s="46">
        <f t="shared" ref="Q395:S395" ca="1" si="309">Q396+Q397</f>
        <v>0</v>
      </c>
      <c r="R395" s="46">
        <f t="shared" ca="1" si="309"/>
        <v>0</v>
      </c>
      <c r="S395" s="46">
        <f t="shared" ca="1" si="309"/>
        <v>0</v>
      </c>
      <c r="T395" s="46">
        <f t="shared" ca="1" si="302"/>
        <v>0</v>
      </c>
      <c r="U395" s="46">
        <f t="shared" ca="1" si="303"/>
        <v>0</v>
      </c>
    </row>
    <row r="396" spans="1:21" ht="18.75" hidden="1" x14ac:dyDescent="0.25">
      <c r="A396" s="128"/>
      <c r="B396" s="158"/>
      <c r="C396" s="158"/>
      <c r="D396" s="158"/>
      <c r="E396" s="156" t="s">
        <v>36</v>
      </c>
      <c r="F396" s="40"/>
      <c r="G396" s="42"/>
      <c r="H396" s="159" t="s">
        <v>14</v>
      </c>
      <c r="I396" s="135"/>
      <c r="J396" s="135"/>
      <c r="K396" s="136"/>
      <c r="L396" s="48">
        <f ca="1">IFERROR(__xludf.DUMMYFUNCTION("IMPORTRANGE(""https://docs.google.com/spreadsheets/d/1jTcq05yEiRwXcBMLjiodW9e4biSGYWAHcDj22rKWQ3s/edit?usp=sharing"",""กำแพงเพชร!L396"")+IMPORTRANGE(""https://docs.google.com/spreadsheets/d/1KS0zmDSZPk8KnTAbGN-Xk6MtX1YRZD0ldgdt20K4CRk/edit?usp=sharing"","&amp;"""เชียงราย!L396"")+IMPORTRANGE(""https://docs.google.com/spreadsheets/d/1rEDxBtusbi64tE0zunoIbsTVV16HeL0oJ6trHQeQ7K8/edit?usp=sharing"",""เชียงใหม่!L396"")+IMPORTRANGE(""https://docs.google.com/spreadsheets/d/1W6MnUbDkMi6xHnHko_XkFDO9kkuL6Wqyc-6OCDFjW9I/e"&amp;"dit?usp=sharing"",""ตาก!L396"")+IMPORTRANGE(""https://docs.google.com/spreadsheets/d/1IQAWArduLkta9LpYo4a_ULsyqdta6-6aDDiwpUnQT6c/edit?usp=sharing"",""นครสวรรค์!L396"")+IMPORTRANGE(""https://docs.google.com/spreadsheets/d/10s13Sk5xrltsiR-Zkbmk5DwIaDIKO8Xl"&amp;"bJAfqyT7Gvg/edit?usp=sharing"",""น่าน!L396"")+IMPORTRANGE(""https://docs.google.com/spreadsheets/d/1uu4nAn4Dbi1XREnLKKotUANlKXa7yCgRcgq8HEzQYW8/edit?usp=sharing"",""พะเยา!L396"")+IMPORTRANGE(""https://docs.google.com/spreadsheets/d/1xfJKIQxVOaPDIICqsflNlL"&amp;"u3JacTDk1FP9RH4phX7mI/edit?usp=sharing"",""พิจิตร!L396"")+IMPORTRANGE(""https://docs.google.com/spreadsheets/d/1JtRfZkJMHtEhI5RdRHxYUG4FIZHqKDpNyIuN7A1Q0_k/edit?usp=sharing"",""พิษณุโลก!L396"")+IMPORTRANGE(""https://docs.google.com/spreadsheets/d/1xlcVZWU"&amp;"Nn6SuWm0c307h32SiGkd9BaeQWlAktfD3KO8/edit?usp=sharing"",""เพชรบูรณ์!L396"")+IMPORTRANGE(""https://docs.google.com/spreadsheets/d/1lOVebEIsI9qjGXl6EX66luk7wiuP2tBaryw-wKvv4e0/edit?usp=sharing"",""แพร่!L396"")+IMPORTRANGE(""https://docs.google.com/spreadshe"&amp;"ets/d/1dQrvX0vEcN7Gu0fnZ0B5S90AeR19zth4XlExFBeExMY/edit?usp=sharing"",""แม่ฮ่องสอน!L396"")+IMPORTRANGE(""https://docs.google.com/spreadsheets/d/1DY4XTNNwjluuxqdfdn6qvOSlMRrZqUtmYcZR0ttFiG4/edit?usp=sharing"",""ลำปาง!L396"")+IMPORTRANGE(""https://docs.goog"&amp;"le.com/spreadsheets/d/1ICwG78r0OFT8biBlxnBF8r7she7gNSzOvJ958PWT09c/edit?usp=sharing"",""ลำพูน!L396"")+IMPORTRANGE(""https://docs.google.com/spreadsheets/d/1B0f2xJpZUC6Z0xXnqKlZtEPzsf6L84eP1r1Q15seqRM/edit?usp=sharing"",""สุโขทัย!L396"")+IMPORTRANGE(""http"&amp;"s://docs.google.com/spreadsheets/d/1v0b9pFQCsKUVExMei7AgY2yQkdeNQvtOssygGsXbiKo/edit?usp=sharing"",""อุตรดิตถ์!L396"")+IMPORTRANGE(""https://docs.google.com/spreadsheets/d/1UsNK1e-WWiCo2PvGqdNfdme4m17_Ezd3J69EeeiQPD0/edit?usp=sharing"",""อุทัยธานี!L396"")"),0)</f>
        <v>0</v>
      </c>
      <c r="M396" s="48">
        <f ca="1">IFERROR(__xludf.DUMMYFUNCTION("IMPORTRANGE(""https://docs.google.com/spreadsheets/d/1jTcq05yEiRwXcBMLjiodW9e4biSGYWAHcDj22rKWQ3s/edit?usp=sharing"",""กำแพงเพชร!M396"")+IMPORTRANGE(""https://docs.google.com/spreadsheets/d/1KS0zmDSZPk8KnTAbGN-Xk6MtX1YRZD0ldgdt20K4CRk/edit?usp=sharing"","&amp;"""เชียงราย!M396"")+IMPORTRANGE(""https://docs.google.com/spreadsheets/d/1rEDxBtusbi64tE0zunoIbsTVV16HeL0oJ6trHQeQ7K8/edit?usp=sharing"",""เชียงใหม่!M396"")+IMPORTRANGE(""https://docs.google.com/spreadsheets/d/1W6MnUbDkMi6xHnHko_XkFDO9kkuL6Wqyc-6OCDFjW9I/e"&amp;"dit?usp=sharing"",""ตาก!M396"")+IMPORTRANGE(""https://docs.google.com/spreadsheets/d/1IQAWArduLkta9LpYo4a_ULsyqdta6-6aDDiwpUnQT6c/edit?usp=sharing"",""นครสวรรค์!M396"")+IMPORTRANGE(""https://docs.google.com/spreadsheets/d/10s13Sk5xrltsiR-Zkbmk5DwIaDIKO8Xl"&amp;"bJAfqyT7Gvg/edit?usp=sharing"",""น่าน!M396"")+IMPORTRANGE(""https://docs.google.com/spreadsheets/d/1uu4nAn4Dbi1XREnLKKotUANlKXa7yCgRcgq8HEzQYW8/edit?usp=sharing"",""พะเยา!M396"")+IMPORTRANGE(""https://docs.google.com/spreadsheets/d/1xfJKIQxVOaPDIICqsflNlL"&amp;"u3JacTDk1FP9RH4phX7mI/edit?usp=sharing"",""พิจิตร!M396"")+IMPORTRANGE(""https://docs.google.com/spreadsheets/d/1JtRfZkJMHtEhI5RdRHxYUG4FIZHqKDpNyIuN7A1Q0_k/edit?usp=sharing"",""พิษณุโลก!M396"")+IMPORTRANGE(""https://docs.google.com/spreadsheets/d/1xlcVZWU"&amp;"Nn6SuWm0c307h32SiGkd9BaeQWlAktfD3KO8/edit?usp=sharing"",""เพชรบูรณ์!M396"")+IMPORTRANGE(""https://docs.google.com/spreadsheets/d/1lOVebEIsI9qjGXl6EX66luk7wiuP2tBaryw-wKvv4e0/edit?usp=sharing"",""แพร่!M396"")+IMPORTRANGE(""https://docs.google.com/spreadshe"&amp;"ets/d/1dQrvX0vEcN7Gu0fnZ0B5S90AeR19zth4XlExFBeExMY/edit?usp=sharing"",""แม่ฮ่องสอน!M396"")+IMPORTRANGE(""https://docs.google.com/spreadsheets/d/1DY4XTNNwjluuxqdfdn6qvOSlMRrZqUtmYcZR0ttFiG4/edit?usp=sharing"",""ลำปาง!M396"")+IMPORTRANGE(""https://docs.goog"&amp;"le.com/spreadsheets/d/1ICwG78r0OFT8biBlxnBF8r7she7gNSzOvJ958PWT09c/edit?usp=sharing"",""ลำพูน!M396"")+IMPORTRANGE(""https://docs.google.com/spreadsheets/d/1B0f2xJpZUC6Z0xXnqKlZtEPzsf6L84eP1r1Q15seqRM/edit?usp=sharing"",""สุโขทัย!M396"")+IMPORTRANGE(""http"&amp;"s://docs.google.com/spreadsheets/d/1v0b9pFQCsKUVExMei7AgY2yQkdeNQvtOssygGsXbiKo/edit?usp=sharing"",""อุตรดิตถ์!M396"")+IMPORTRANGE(""https://docs.google.com/spreadsheets/d/1UsNK1e-WWiCo2PvGqdNfdme4m17_Ezd3J69EeeiQPD0/edit?usp=sharing"",""อุทัยธานี!M396"")"),0)</f>
        <v>0</v>
      </c>
      <c r="N396" s="48">
        <f ca="1">IFERROR(__xludf.DUMMYFUNCTION("IMPORTRANGE(""https://docs.google.com/spreadsheets/d/1jTcq05yEiRwXcBMLjiodW9e4biSGYWAHcDj22rKWQ3s/edit?usp=sharing"",""กำแพงเพชร!N396"")+IMPORTRANGE(""https://docs.google.com/spreadsheets/d/1KS0zmDSZPk8KnTAbGN-Xk6MtX1YRZD0ldgdt20K4CRk/edit?usp=sharing"","&amp;"""เชียงราย!N396"")+IMPORTRANGE(""https://docs.google.com/spreadsheets/d/1rEDxBtusbi64tE0zunoIbsTVV16HeL0oJ6trHQeQ7K8/edit?usp=sharing"",""เชียงใหม่!N396"")+IMPORTRANGE(""https://docs.google.com/spreadsheets/d/1W6MnUbDkMi6xHnHko_XkFDO9kkuL6Wqyc-6OCDFjW9I/e"&amp;"dit?usp=sharing"",""ตาก!N396"")+IMPORTRANGE(""https://docs.google.com/spreadsheets/d/1IQAWArduLkta9LpYo4a_ULsyqdta6-6aDDiwpUnQT6c/edit?usp=sharing"",""นครสวรรค์!N396"")+IMPORTRANGE(""https://docs.google.com/spreadsheets/d/10s13Sk5xrltsiR-Zkbmk5DwIaDIKO8Xl"&amp;"bJAfqyT7Gvg/edit?usp=sharing"",""น่าน!N396"")+IMPORTRANGE(""https://docs.google.com/spreadsheets/d/1uu4nAn4Dbi1XREnLKKotUANlKXa7yCgRcgq8HEzQYW8/edit?usp=sharing"",""พะเยา!N396"")+IMPORTRANGE(""https://docs.google.com/spreadsheets/d/1xfJKIQxVOaPDIICqsflNlL"&amp;"u3JacTDk1FP9RH4phX7mI/edit?usp=sharing"",""พิจิตร!N396"")+IMPORTRANGE(""https://docs.google.com/spreadsheets/d/1JtRfZkJMHtEhI5RdRHxYUG4FIZHqKDpNyIuN7A1Q0_k/edit?usp=sharing"",""พิษณุโลก!N396"")+IMPORTRANGE(""https://docs.google.com/spreadsheets/d/1xlcVZWU"&amp;"Nn6SuWm0c307h32SiGkd9BaeQWlAktfD3KO8/edit?usp=sharing"",""เพชรบูรณ์!N396"")+IMPORTRANGE(""https://docs.google.com/spreadsheets/d/1lOVebEIsI9qjGXl6EX66luk7wiuP2tBaryw-wKvv4e0/edit?usp=sharing"",""แพร่!N396"")+IMPORTRANGE(""https://docs.google.com/spreadshe"&amp;"ets/d/1dQrvX0vEcN7Gu0fnZ0B5S90AeR19zth4XlExFBeExMY/edit?usp=sharing"",""แม่ฮ่องสอน!N396"")+IMPORTRANGE(""https://docs.google.com/spreadsheets/d/1DY4XTNNwjluuxqdfdn6qvOSlMRrZqUtmYcZR0ttFiG4/edit?usp=sharing"",""ลำปาง!N396"")+IMPORTRANGE(""https://docs.goog"&amp;"le.com/spreadsheets/d/1ICwG78r0OFT8biBlxnBF8r7she7gNSzOvJ958PWT09c/edit?usp=sharing"",""ลำพูน!N396"")+IMPORTRANGE(""https://docs.google.com/spreadsheets/d/1B0f2xJpZUC6Z0xXnqKlZtEPzsf6L84eP1r1Q15seqRM/edit?usp=sharing"",""สุโขทัย!N396"")+IMPORTRANGE(""http"&amp;"s://docs.google.com/spreadsheets/d/1v0b9pFQCsKUVExMei7AgY2yQkdeNQvtOssygGsXbiKo/edit?usp=sharing"",""อุตรดิตถ์!N396"")+IMPORTRANGE(""https://docs.google.com/spreadsheets/d/1UsNK1e-WWiCo2PvGqdNfdme4m17_Ezd3J69EeeiQPD0/edit?usp=sharing"",""อุทัยธานี!N396"")"),0)</f>
        <v>0</v>
      </c>
      <c r="O396" s="48">
        <f t="shared" ca="1" si="299"/>
        <v>0</v>
      </c>
      <c r="P396" s="48">
        <f t="shared" ca="1" si="300"/>
        <v>0</v>
      </c>
      <c r="Q396" s="48">
        <f ca="1">IFERROR(__xludf.DUMMYFUNCTION("IMPORTRANGE(""https://docs.google.com/spreadsheets/d/1jTcq05yEiRwXcBMLjiodW9e4biSGYWAHcDj22rKWQ3s/edit?usp=sharing"",""กำแพงเพชร!Q396"")+IMPORTRANGE(""https://docs.google.com/spreadsheets/d/1KS0zmDSZPk8KnTAbGN-Xk6MtX1YRZD0ldgdt20K4CRk/edit?usp=sharing"","&amp;"""เชียงราย!Q396"")+IMPORTRANGE(""https://docs.google.com/spreadsheets/d/1rEDxBtusbi64tE0zunoIbsTVV16HeL0oJ6trHQeQ7K8/edit?usp=sharing"",""เชียงใหม่!Q396"")+IMPORTRANGE(""https://docs.google.com/spreadsheets/d/1W6MnUbDkMi6xHnHko_XkFDO9kkuL6Wqyc-6OCDFjW9I/e"&amp;"dit?usp=sharing"",""ตาก!Q396"")+IMPORTRANGE(""https://docs.google.com/spreadsheets/d/1IQAWArduLkta9LpYo4a_ULsyqdta6-6aDDiwpUnQT6c/edit?usp=sharing"",""นครสวรรค์!Q396"")+IMPORTRANGE(""https://docs.google.com/spreadsheets/d/10s13Sk5xrltsiR-Zkbmk5DwIaDIKO8Xl"&amp;"bJAfqyT7Gvg/edit?usp=sharing"",""น่าน!Q396"")+IMPORTRANGE(""https://docs.google.com/spreadsheets/d/1uu4nAn4Dbi1XREnLKKotUANlKXa7yCgRcgq8HEzQYW8/edit?usp=sharing"",""พะเยา!Q396"")+IMPORTRANGE(""https://docs.google.com/spreadsheets/d/1xfJKIQxVOaPDIICqsflNlL"&amp;"u3JacTDk1FP9RH4phX7mI/edit?usp=sharing"",""พิจิตร!Q396"")+IMPORTRANGE(""https://docs.google.com/spreadsheets/d/1JtRfZkJMHtEhI5RdRHxYUG4FIZHqKDpNyIuN7A1Q0_k/edit?usp=sharing"",""พิษณุโลก!Q396"")+IMPORTRANGE(""https://docs.google.com/spreadsheets/d/1xlcVZWU"&amp;"Nn6SuWm0c307h32SiGkd9BaeQWlAktfD3KO8/edit?usp=sharing"",""เพชรบูรณ์!Q396"")+IMPORTRANGE(""https://docs.google.com/spreadsheets/d/1lOVebEIsI9qjGXl6EX66luk7wiuP2tBaryw-wKvv4e0/edit?usp=sharing"",""แพร่!Q396"")+IMPORTRANGE(""https://docs.google.com/spreadshe"&amp;"ets/d/1dQrvX0vEcN7Gu0fnZ0B5S90AeR19zth4XlExFBeExMY/edit?usp=sharing"",""แม่ฮ่องสอน!Q396"")+IMPORTRANGE(""https://docs.google.com/spreadsheets/d/1DY4XTNNwjluuxqdfdn6qvOSlMRrZqUtmYcZR0ttFiG4/edit?usp=sharing"",""ลำปาง!Q396"")+IMPORTRANGE(""https://docs.goog"&amp;"le.com/spreadsheets/d/1ICwG78r0OFT8biBlxnBF8r7she7gNSzOvJ958PWT09c/edit?usp=sharing"",""ลำพูน!Q396"")+IMPORTRANGE(""https://docs.google.com/spreadsheets/d/1B0f2xJpZUC6Z0xXnqKlZtEPzsf6L84eP1r1Q15seqRM/edit?usp=sharing"",""สุโขทัย!Q396"")+IMPORTRANGE(""http"&amp;"s://docs.google.com/spreadsheets/d/1v0b9pFQCsKUVExMei7AgY2yQkdeNQvtOssygGsXbiKo/edit?usp=sharing"",""อุตรดิตถ์!Q396"")+IMPORTRANGE(""https://docs.google.com/spreadsheets/d/1UsNK1e-WWiCo2PvGqdNfdme4m17_Ezd3J69EeeiQPD0/edit?usp=sharing"",""อุทัยธานี!Q396"")"),0)</f>
        <v>0</v>
      </c>
      <c r="R396" s="48">
        <f ca="1">IFERROR(__xludf.DUMMYFUNCTION("IMPORTRANGE(""https://docs.google.com/spreadsheets/d/1jTcq05yEiRwXcBMLjiodW9e4biSGYWAHcDj22rKWQ3s/edit?usp=sharing"",""กำแพงเพชร!R396"")+IMPORTRANGE(""https://docs.google.com/spreadsheets/d/1KS0zmDSZPk8KnTAbGN-Xk6MtX1YRZD0ldgdt20K4CRk/edit?usp=sharing"","&amp;"""เชียงราย!R396"")+IMPORTRANGE(""https://docs.google.com/spreadsheets/d/1rEDxBtusbi64tE0zunoIbsTVV16HeL0oJ6trHQeQ7K8/edit?usp=sharing"",""เชียงใหม่!R396"")+IMPORTRANGE(""https://docs.google.com/spreadsheets/d/1W6MnUbDkMi6xHnHko_XkFDO9kkuL6Wqyc-6OCDFjW9I/e"&amp;"dit?usp=sharing"",""ตาก!R396"")+IMPORTRANGE(""https://docs.google.com/spreadsheets/d/1IQAWArduLkta9LpYo4a_ULsyqdta6-6aDDiwpUnQT6c/edit?usp=sharing"",""นครสวรรค์!R396"")+IMPORTRANGE(""https://docs.google.com/spreadsheets/d/10s13Sk5xrltsiR-Zkbmk5DwIaDIKO8Xl"&amp;"bJAfqyT7Gvg/edit?usp=sharing"",""น่าน!R396"")+IMPORTRANGE(""https://docs.google.com/spreadsheets/d/1uu4nAn4Dbi1XREnLKKotUANlKXa7yCgRcgq8HEzQYW8/edit?usp=sharing"",""พะเยา!R396"")+IMPORTRANGE(""https://docs.google.com/spreadsheets/d/1xfJKIQxVOaPDIICqsflNlL"&amp;"u3JacTDk1FP9RH4phX7mI/edit?usp=sharing"",""พิจิตร!R396"")+IMPORTRANGE(""https://docs.google.com/spreadsheets/d/1JtRfZkJMHtEhI5RdRHxYUG4FIZHqKDpNyIuN7A1Q0_k/edit?usp=sharing"",""พิษณุโลก!R396"")+IMPORTRANGE(""https://docs.google.com/spreadsheets/d/1xlcVZWU"&amp;"Nn6SuWm0c307h32SiGkd9BaeQWlAktfD3KO8/edit?usp=sharing"",""เพชรบูรณ์!R396"")+IMPORTRANGE(""https://docs.google.com/spreadsheets/d/1lOVebEIsI9qjGXl6EX66luk7wiuP2tBaryw-wKvv4e0/edit?usp=sharing"",""แพร่!R396"")+IMPORTRANGE(""https://docs.google.com/spreadshe"&amp;"ets/d/1dQrvX0vEcN7Gu0fnZ0B5S90AeR19zth4XlExFBeExMY/edit?usp=sharing"",""แม่ฮ่องสอน!R396"")+IMPORTRANGE(""https://docs.google.com/spreadsheets/d/1DY4XTNNwjluuxqdfdn6qvOSlMRrZqUtmYcZR0ttFiG4/edit?usp=sharing"",""ลำปาง!R396"")+IMPORTRANGE(""https://docs.goog"&amp;"le.com/spreadsheets/d/1ICwG78r0OFT8biBlxnBF8r7she7gNSzOvJ958PWT09c/edit?usp=sharing"",""ลำพูน!R396"")+IMPORTRANGE(""https://docs.google.com/spreadsheets/d/1B0f2xJpZUC6Z0xXnqKlZtEPzsf6L84eP1r1Q15seqRM/edit?usp=sharing"",""สุโขทัย!R396"")+IMPORTRANGE(""http"&amp;"s://docs.google.com/spreadsheets/d/1v0b9pFQCsKUVExMei7AgY2yQkdeNQvtOssygGsXbiKo/edit?usp=sharing"",""อุตรดิตถ์!R396"")+IMPORTRANGE(""https://docs.google.com/spreadsheets/d/1UsNK1e-WWiCo2PvGqdNfdme4m17_Ezd3J69EeeiQPD0/edit?usp=sharing"",""อุทัยธานี!R396"")"),0)</f>
        <v>0</v>
      </c>
      <c r="S396" s="48">
        <f ca="1">IFERROR(__xludf.DUMMYFUNCTION("IMPORTRANGE(""https://docs.google.com/spreadsheets/d/1jTcq05yEiRwXcBMLjiodW9e4biSGYWAHcDj22rKWQ3s/edit?usp=sharing"",""กำแพงเพชร!S396"")+IMPORTRANGE(""https://docs.google.com/spreadsheets/d/1KS0zmDSZPk8KnTAbGN-Xk6MtX1YRZD0ldgdt20K4CRk/edit?usp=sharing"","&amp;"""เชียงราย!S396"")+IMPORTRANGE(""https://docs.google.com/spreadsheets/d/1rEDxBtusbi64tE0zunoIbsTVV16HeL0oJ6trHQeQ7K8/edit?usp=sharing"",""เชียงใหม่!S396"")+IMPORTRANGE(""https://docs.google.com/spreadsheets/d/1W6MnUbDkMi6xHnHko_XkFDO9kkuL6Wqyc-6OCDFjW9I/e"&amp;"dit?usp=sharing"",""ตาก!S396"")+IMPORTRANGE(""https://docs.google.com/spreadsheets/d/1IQAWArduLkta9LpYo4a_ULsyqdta6-6aDDiwpUnQT6c/edit?usp=sharing"",""นครสวรรค์!S396"")+IMPORTRANGE(""https://docs.google.com/spreadsheets/d/10s13Sk5xrltsiR-Zkbmk5DwIaDIKO8Xl"&amp;"bJAfqyT7Gvg/edit?usp=sharing"",""น่าน!S396"")+IMPORTRANGE(""https://docs.google.com/spreadsheets/d/1uu4nAn4Dbi1XREnLKKotUANlKXa7yCgRcgq8HEzQYW8/edit?usp=sharing"",""พะเยา!S396"")+IMPORTRANGE(""https://docs.google.com/spreadsheets/d/1xfJKIQxVOaPDIICqsflNlL"&amp;"u3JacTDk1FP9RH4phX7mI/edit?usp=sharing"",""พิจิตร!S396"")+IMPORTRANGE(""https://docs.google.com/spreadsheets/d/1JtRfZkJMHtEhI5RdRHxYUG4FIZHqKDpNyIuN7A1Q0_k/edit?usp=sharing"",""พิษณุโลก!S396"")+IMPORTRANGE(""https://docs.google.com/spreadsheets/d/1xlcVZWU"&amp;"Nn6SuWm0c307h32SiGkd9BaeQWlAktfD3KO8/edit?usp=sharing"",""เพชรบูรณ์!S396"")+IMPORTRANGE(""https://docs.google.com/spreadsheets/d/1lOVebEIsI9qjGXl6EX66luk7wiuP2tBaryw-wKvv4e0/edit?usp=sharing"",""แพร่!S396"")+IMPORTRANGE(""https://docs.google.com/spreadshe"&amp;"ets/d/1dQrvX0vEcN7Gu0fnZ0B5S90AeR19zth4XlExFBeExMY/edit?usp=sharing"",""แม่ฮ่องสอน!S396"")+IMPORTRANGE(""https://docs.google.com/spreadsheets/d/1DY4XTNNwjluuxqdfdn6qvOSlMRrZqUtmYcZR0ttFiG4/edit?usp=sharing"",""ลำปาง!S396"")+IMPORTRANGE(""https://docs.goog"&amp;"le.com/spreadsheets/d/1ICwG78r0OFT8biBlxnBF8r7she7gNSzOvJ958PWT09c/edit?usp=sharing"",""ลำพูน!S396"")+IMPORTRANGE(""https://docs.google.com/spreadsheets/d/1B0f2xJpZUC6Z0xXnqKlZtEPzsf6L84eP1r1Q15seqRM/edit?usp=sharing"",""สุโขทัย!S396"")+IMPORTRANGE(""http"&amp;"s://docs.google.com/spreadsheets/d/1v0b9pFQCsKUVExMei7AgY2yQkdeNQvtOssygGsXbiKo/edit?usp=sharing"",""อุตรดิตถ์!S396"")+IMPORTRANGE(""https://docs.google.com/spreadsheets/d/1UsNK1e-WWiCo2PvGqdNfdme4m17_Ezd3J69EeeiQPD0/edit?usp=sharing"",""อุทัยธานี!S396"")"),0)</f>
        <v>0</v>
      </c>
      <c r="T396" s="48">
        <f t="shared" ca="1" si="302"/>
        <v>0</v>
      </c>
      <c r="U396" s="48">
        <f t="shared" ca="1" si="303"/>
        <v>0</v>
      </c>
    </row>
    <row r="397" spans="1:21" ht="18.75" hidden="1" x14ac:dyDescent="0.25">
      <c r="A397" s="128"/>
      <c r="B397" s="158"/>
      <c r="C397" s="158"/>
      <c r="D397" s="158"/>
      <c r="E397" s="209" t="s">
        <v>37</v>
      </c>
      <c r="F397" s="158"/>
      <c r="G397" s="180"/>
      <c r="H397" s="134" t="s">
        <v>14</v>
      </c>
      <c r="I397" s="135"/>
      <c r="J397" s="135"/>
      <c r="K397" s="136"/>
      <c r="L397" s="46">
        <f ca="1">IFERROR(__xludf.DUMMYFUNCTION("IMPORTRANGE(""https://docs.google.com/spreadsheets/d/1jTcq05yEiRwXcBMLjiodW9e4biSGYWAHcDj22rKWQ3s/edit?usp=sharing"",""กำแพงเพชร!L397"")+IMPORTRANGE(""https://docs.google.com/spreadsheets/d/1KS0zmDSZPk8KnTAbGN-Xk6MtX1YRZD0ldgdt20K4CRk/edit?usp=sharing"","&amp;"""เชียงราย!L397"")+IMPORTRANGE(""https://docs.google.com/spreadsheets/d/1rEDxBtusbi64tE0zunoIbsTVV16HeL0oJ6trHQeQ7K8/edit?usp=sharing"",""เชียงใหม่!L397"")+IMPORTRANGE(""https://docs.google.com/spreadsheets/d/1W6MnUbDkMi6xHnHko_XkFDO9kkuL6Wqyc-6OCDFjW9I/e"&amp;"dit?usp=sharing"",""ตาก!L397"")+IMPORTRANGE(""https://docs.google.com/spreadsheets/d/1IQAWArduLkta9LpYo4a_ULsyqdta6-6aDDiwpUnQT6c/edit?usp=sharing"",""นครสวรรค์!L397"")+IMPORTRANGE(""https://docs.google.com/spreadsheets/d/10s13Sk5xrltsiR-Zkbmk5DwIaDIKO8Xl"&amp;"bJAfqyT7Gvg/edit?usp=sharing"",""น่าน!L397"")+IMPORTRANGE(""https://docs.google.com/spreadsheets/d/1uu4nAn4Dbi1XREnLKKotUANlKXa7yCgRcgq8HEzQYW8/edit?usp=sharing"",""พะเยา!L397"")+IMPORTRANGE(""https://docs.google.com/spreadsheets/d/1xfJKIQxVOaPDIICqsflNlL"&amp;"u3JacTDk1FP9RH4phX7mI/edit?usp=sharing"",""พิจิตร!L397"")+IMPORTRANGE(""https://docs.google.com/spreadsheets/d/1JtRfZkJMHtEhI5RdRHxYUG4FIZHqKDpNyIuN7A1Q0_k/edit?usp=sharing"",""พิษณุโลก!L397"")+IMPORTRANGE(""https://docs.google.com/spreadsheets/d/1xlcVZWU"&amp;"Nn6SuWm0c307h32SiGkd9BaeQWlAktfD3KO8/edit?usp=sharing"",""เพชรบูรณ์!L397"")+IMPORTRANGE(""https://docs.google.com/spreadsheets/d/1lOVebEIsI9qjGXl6EX66luk7wiuP2tBaryw-wKvv4e0/edit?usp=sharing"",""แพร่!L397"")+IMPORTRANGE(""https://docs.google.com/spreadshe"&amp;"ets/d/1dQrvX0vEcN7Gu0fnZ0B5S90AeR19zth4XlExFBeExMY/edit?usp=sharing"",""แม่ฮ่องสอน!L397"")+IMPORTRANGE(""https://docs.google.com/spreadsheets/d/1DY4XTNNwjluuxqdfdn6qvOSlMRrZqUtmYcZR0ttFiG4/edit?usp=sharing"",""ลำปาง!L397"")+IMPORTRANGE(""https://docs.goog"&amp;"le.com/spreadsheets/d/1ICwG78r0OFT8biBlxnBF8r7she7gNSzOvJ958PWT09c/edit?usp=sharing"",""ลำพูน!L397"")+IMPORTRANGE(""https://docs.google.com/spreadsheets/d/1B0f2xJpZUC6Z0xXnqKlZtEPzsf6L84eP1r1Q15seqRM/edit?usp=sharing"",""สุโขทัย!L397"")+IMPORTRANGE(""http"&amp;"s://docs.google.com/spreadsheets/d/1v0b9pFQCsKUVExMei7AgY2yQkdeNQvtOssygGsXbiKo/edit?usp=sharing"",""อุตรดิตถ์!L397"")+IMPORTRANGE(""https://docs.google.com/spreadsheets/d/1UsNK1e-WWiCo2PvGqdNfdme4m17_Ezd3J69EeeiQPD0/edit?usp=sharing"",""อุทัยธานี!L397"")"),0)</f>
        <v>0</v>
      </c>
      <c r="M397" s="46">
        <f ca="1">IFERROR(__xludf.DUMMYFUNCTION("IMPORTRANGE(""https://docs.google.com/spreadsheets/d/1jTcq05yEiRwXcBMLjiodW9e4biSGYWAHcDj22rKWQ3s/edit?usp=sharing"",""กำแพงเพชร!M397"")+IMPORTRANGE(""https://docs.google.com/spreadsheets/d/1KS0zmDSZPk8KnTAbGN-Xk6MtX1YRZD0ldgdt20K4CRk/edit?usp=sharing"","&amp;"""เชียงราย!M397"")+IMPORTRANGE(""https://docs.google.com/spreadsheets/d/1rEDxBtusbi64tE0zunoIbsTVV16HeL0oJ6trHQeQ7K8/edit?usp=sharing"",""เชียงใหม่!M397"")+IMPORTRANGE(""https://docs.google.com/spreadsheets/d/1W6MnUbDkMi6xHnHko_XkFDO9kkuL6Wqyc-6OCDFjW9I/e"&amp;"dit?usp=sharing"",""ตาก!M397"")+IMPORTRANGE(""https://docs.google.com/spreadsheets/d/1IQAWArduLkta9LpYo4a_ULsyqdta6-6aDDiwpUnQT6c/edit?usp=sharing"",""นครสวรรค์!M397"")+IMPORTRANGE(""https://docs.google.com/spreadsheets/d/10s13Sk5xrltsiR-Zkbmk5DwIaDIKO8Xl"&amp;"bJAfqyT7Gvg/edit?usp=sharing"",""น่าน!M397"")+IMPORTRANGE(""https://docs.google.com/spreadsheets/d/1uu4nAn4Dbi1XREnLKKotUANlKXa7yCgRcgq8HEzQYW8/edit?usp=sharing"",""พะเยา!M397"")+IMPORTRANGE(""https://docs.google.com/spreadsheets/d/1xfJKIQxVOaPDIICqsflNlL"&amp;"u3JacTDk1FP9RH4phX7mI/edit?usp=sharing"",""พิจิตร!M397"")+IMPORTRANGE(""https://docs.google.com/spreadsheets/d/1JtRfZkJMHtEhI5RdRHxYUG4FIZHqKDpNyIuN7A1Q0_k/edit?usp=sharing"",""พิษณุโลก!M397"")+IMPORTRANGE(""https://docs.google.com/spreadsheets/d/1xlcVZWU"&amp;"Nn6SuWm0c307h32SiGkd9BaeQWlAktfD3KO8/edit?usp=sharing"",""เพชรบูรณ์!M397"")+IMPORTRANGE(""https://docs.google.com/spreadsheets/d/1lOVebEIsI9qjGXl6EX66luk7wiuP2tBaryw-wKvv4e0/edit?usp=sharing"",""แพร่!M397"")+IMPORTRANGE(""https://docs.google.com/spreadshe"&amp;"ets/d/1dQrvX0vEcN7Gu0fnZ0B5S90AeR19zth4XlExFBeExMY/edit?usp=sharing"",""แม่ฮ่องสอน!M397"")+IMPORTRANGE(""https://docs.google.com/spreadsheets/d/1DY4XTNNwjluuxqdfdn6qvOSlMRrZqUtmYcZR0ttFiG4/edit?usp=sharing"",""ลำปาง!M397"")+IMPORTRANGE(""https://docs.goog"&amp;"le.com/spreadsheets/d/1ICwG78r0OFT8biBlxnBF8r7she7gNSzOvJ958PWT09c/edit?usp=sharing"",""ลำพูน!M397"")+IMPORTRANGE(""https://docs.google.com/spreadsheets/d/1B0f2xJpZUC6Z0xXnqKlZtEPzsf6L84eP1r1Q15seqRM/edit?usp=sharing"",""สุโขทัย!M397"")+IMPORTRANGE(""http"&amp;"s://docs.google.com/spreadsheets/d/1v0b9pFQCsKUVExMei7AgY2yQkdeNQvtOssygGsXbiKo/edit?usp=sharing"",""อุตรดิตถ์!M397"")+IMPORTRANGE(""https://docs.google.com/spreadsheets/d/1UsNK1e-WWiCo2PvGqdNfdme4m17_Ezd3J69EeeiQPD0/edit?usp=sharing"",""อุทัยธานี!M397"")"),0)</f>
        <v>0</v>
      </c>
      <c r="N397" s="46">
        <f ca="1">IFERROR(__xludf.DUMMYFUNCTION("IMPORTRANGE(""https://docs.google.com/spreadsheets/d/1jTcq05yEiRwXcBMLjiodW9e4biSGYWAHcDj22rKWQ3s/edit?usp=sharing"",""กำแพงเพชร!N397"")+IMPORTRANGE(""https://docs.google.com/spreadsheets/d/1KS0zmDSZPk8KnTAbGN-Xk6MtX1YRZD0ldgdt20K4CRk/edit?usp=sharing"","&amp;"""เชียงราย!N397"")+IMPORTRANGE(""https://docs.google.com/spreadsheets/d/1rEDxBtusbi64tE0zunoIbsTVV16HeL0oJ6trHQeQ7K8/edit?usp=sharing"",""เชียงใหม่!N397"")+IMPORTRANGE(""https://docs.google.com/spreadsheets/d/1W6MnUbDkMi6xHnHko_XkFDO9kkuL6Wqyc-6OCDFjW9I/e"&amp;"dit?usp=sharing"",""ตาก!N397"")+IMPORTRANGE(""https://docs.google.com/spreadsheets/d/1IQAWArduLkta9LpYo4a_ULsyqdta6-6aDDiwpUnQT6c/edit?usp=sharing"",""นครสวรรค์!N397"")+IMPORTRANGE(""https://docs.google.com/spreadsheets/d/10s13Sk5xrltsiR-Zkbmk5DwIaDIKO8Xl"&amp;"bJAfqyT7Gvg/edit?usp=sharing"",""น่าน!N397"")+IMPORTRANGE(""https://docs.google.com/spreadsheets/d/1uu4nAn4Dbi1XREnLKKotUANlKXa7yCgRcgq8HEzQYW8/edit?usp=sharing"",""พะเยา!N397"")+IMPORTRANGE(""https://docs.google.com/spreadsheets/d/1xfJKIQxVOaPDIICqsflNlL"&amp;"u3JacTDk1FP9RH4phX7mI/edit?usp=sharing"",""พิจิตร!N397"")+IMPORTRANGE(""https://docs.google.com/spreadsheets/d/1JtRfZkJMHtEhI5RdRHxYUG4FIZHqKDpNyIuN7A1Q0_k/edit?usp=sharing"",""พิษณุโลก!N397"")+IMPORTRANGE(""https://docs.google.com/spreadsheets/d/1xlcVZWU"&amp;"Nn6SuWm0c307h32SiGkd9BaeQWlAktfD3KO8/edit?usp=sharing"",""เพชรบูรณ์!N397"")+IMPORTRANGE(""https://docs.google.com/spreadsheets/d/1lOVebEIsI9qjGXl6EX66luk7wiuP2tBaryw-wKvv4e0/edit?usp=sharing"",""แพร่!N397"")+IMPORTRANGE(""https://docs.google.com/spreadshe"&amp;"ets/d/1dQrvX0vEcN7Gu0fnZ0B5S90AeR19zth4XlExFBeExMY/edit?usp=sharing"",""แม่ฮ่องสอน!N397"")+IMPORTRANGE(""https://docs.google.com/spreadsheets/d/1DY4XTNNwjluuxqdfdn6qvOSlMRrZqUtmYcZR0ttFiG4/edit?usp=sharing"",""ลำปาง!N397"")+IMPORTRANGE(""https://docs.goog"&amp;"le.com/spreadsheets/d/1ICwG78r0OFT8biBlxnBF8r7she7gNSzOvJ958PWT09c/edit?usp=sharing"",""ลำพูน!N397"")+IMPORTRANGE(""https://docs.google.com/spreadsheets/d/1B0f2xJpZUC6Z0xXnqKlZtEPzsf6L84eP1r1Q15seqRM/edit?usp=sharing"",""สุโขทัย!N397"")+IMPORTRANGE(""http"&amp;"s://docs.google.com/spreadsheets/d/1v0b9pFQCsKUVExMei7AgY2yQkdeNQvtOssygGsXbiKo/edit?usp=sharing"",""อุตรดิตถ์!N397"")+IMPORTRANGE(""https://docs.google.com/spreadsheets/d/1UsNK1e-WWiCo2PvGqdNfdme4m17_Ezd3J69EeeiQPD0/edit?usp=sharing"",""อุทัยธานี!N397"")"),0)</f>
        <v>0</v>
      </c>
      <c r="O397" s="46">
        <f t="shared" ca="1" si="299"/>
        <v>0</v>
      </c>
      <c r="P397" s="46">
        <f t="shared" ca="1" si="300"/>
        <v>0</v>
      </c>
      <c r="Q397" s="46">
        <f ca="1">IFERROR(__xludf.DUMMYFUNCTION("IMPORTRANGE(""https://docs.google.com/spreadsheets/d/1jTcq05yEiRwXcBMLjiodW9e4biSGYWAHcDj22rKWQ3s/edit?usp=sharing"",""กำแพงเพชร!Q397"")+IMPORTRANGE(""https://docs.google.com/spreadsheets/d/1KS0zmDSZPk8KnTAbGN-Xk6MtX1YRZD0ldgdt20K4CRk/edit?usp=sharing"","&amp;"""เชียงราย!Q397"")+IMPORTRANGE(""https://docs.google.com/spreadsheets/d/1rEDxBtusbi64tE0zunoIbsTVV16HeL0oJ6trHQeQ7K8/edit?usp=sharing"",""เชียงใหม่!Q397"")+IMPORTRANGE(""https://docs.google.com/spreadsheets/d/1W6MnUbDkMi6xHnHko_XkFDO9kkuL6Wqyc-6OCDFjW9I/e"&amp;"dit?usp=sharing"",""ตาก!Q397"")+IMPORTRANGE(""https://docs.google.com/spreadsheets/d/1IQAWArduLkta9LpYo4a_ULsyqdta6-6aDDiwpUnQT6c/edit?usp=sharing"",""นครสวรรค์!Q397"")+IMPORTRANGE(""https://docs.google.com/spreadsheets/d/10s13Sk5xrltsiR-Zkbmk5DwIaDIKO8Xl"&amp;"bJAfqyT7Gvg/edit?usp=sharing"",""น่าน!Q397"")+IMPORTRANGE(""https://docs.google.com/spreadsheets/d/1uu4nAn4Dbi1XREnLKKotUANlKXa7yCgRcgq8HEzQYW8/edit?usp=sharing"",""พะเยา!Q397"")+IMPORTRANGE(""https://docs.google.com/spreadsheets/d/1xfJKIQxVOaPDIICqsflNlL"&amp;"u3JacTDk1FP9RH4phX7mI/edit?usp=sharing"",""พิจิตร!Q397"")+IMPORTRANGE(""https://docs.google.com/spreadsheets/d/1JtRfZkJMHtEhI5RdRHxYUG4FIZHqKDpNyIuN7A1Q0_k/edit?usp=sharing"",""พิษณุโลก!Q397"")+IMPORTRANGE(""https://docs.google.com/spreadsheets/d/1xlcVZWU"&amp;"Nn6SuWm0c307h32SiGkd9BaeQWlAktfD3KO8/edit?usp=sharing"",""เพชรบูรณ์!Q397"")+IMPORTRANGE(""https://docs.google.com/spreadsheets/d/1lOVebEIsI9qjGXl6EX66luk7wiuP2tBaryw-wKvv4e0/edit?usp=sharing"",""แพร่!Q397"")+IMPORTRANGE(""https://docs.google.com/spreadshe"&amp;"ets/d/1dQrvX0vEcN7Gu0fnZ0B5S90AeR19zth4XlExFBeExMY/edit?usp=sharing"",""แม่ฮ่องสอน!Q397"")+IMPORTRANGE(""https://docs.google.com/spreadsheets/d/1DY4XTNNwjluuxqdfdn6qvOSlMRrZqUtmYcZR0ttFiG4/edit?usp=sharing"",""ลำปาง!Q397"")+IMPORTRANGE(""https://docs.goog"&amp;"le.com/spreadsheets/d/1ICwG78r0OFT8biBlxnBF8r7she7gNSzOvJ958PWT09c/edit?usp=sharing"",""ลำพูน!Q397"")+IMPORTRANGE(""https://docs.google.com/spreadsheets/d/1B0f2xJpZUC6Z0xXnqKlZtEPzsf6L84eP1r1Q15seqRM/edit?usp=sharing"",""สุโขทัย!Q397"")+IMPORTRANGE(""http"&amp;"s://docs.google.com/spreadsheets/d/1v0b9pFQCsKUVExMei7AgY2yQkdeNQvtOssygGsXbiKo/edit?usp=sharing"",""อุตรดิตถ์!Q397"")+IMPORTRANGE(""https://docs.google.com/spreadsheets/d/1UsNK1e-WWiCo2PvGqdNfdme4m17_Ezd3J69EeeiQPD0/edit?usp=sharing"",""อุทัยธานี!Q397"")"),0)</f>
        <v>0</v>
      </c>
      <c r="R397" s="46">
        <f ca="1">IFERROR(__xludf.DUMMYFUNCTION("IMPORTRANGE(""https://docs.google.com/spreadsheets/d/1jTcq05yEiRwXcBMLjiodW9e4biSGYWAHcDj22rKWQ3s/edit?usp=sharing"",""กำแพงเพชร!R397"")+IMPORTRANGE(""https://docs.google.com/spreadsheets/d/1KS0zmDSZPk8KnTAbGN-Xk6MtX1YRZD0ldgdt20K4CRk/edit?usp=sharing"","&amp;"""เชียงราย!R397"")+IMPORTRANGE(""https://docs.google.com/spreadsheets/d/1rEDxBtusbi64tE0zunoIbsTVV16HeL0oJ6trHQeQ7K8/edit?usp=sharing"",""เชียงใหม่!R397"")+IMPORTRANGE(""https://docs.google.com/spreadsheets/d/1W6MnUbDkMi6xHnHko_XkFDO9kkuL6Wqyc-6OCDFjW9I/e"&amp;"dit?usp=sharing"",""ตาก!R397"")+IMPORTRANGE(""https://docs.google.com/spreadsheets/d/1IQAWArduLkta9LpYo4a_ULsyqdta6-6aDDiwpUnQT6c/edit?usp=sharing"",""นครสวรรค์!R397"")+IMPORTRANGE(""https://docs.google.com/spreadsheets/d/10s13Sk5xrltsiR-Zkbmk5DwIaDIKO8Xl"&amp;"bJAfqyT7Gvg/edit?usp=sharing"",""น่าน!R397"")+IMPORTRANGE(""https://docs.google.com/spreadsheets/d/1uu4nAn4Dbi1XREnLKKotUANlKXa7yCgRcgq8HEzQYW8/edit?usp=sharing"",""พะเยา!R397"")+IMPORTRANGE(""https://docs.google.com/spreadsheets/d/1xfJKIQxVOaPDIICqsflNlL"&amp;"u3JacTDk1FP9RH4phX7mI/edit?usp=sharing"",""พิจิตร!R397"")+IMPORTRANGE(""https://docs.google.com/spreadsheets/d/1JtRfZkJMHtEhI5RdRHxYUG4FIZHqKDpNyIuN7A1Q0_k/edit?usp=sharing"",""พิษณุโลก!R397"")+IMPORTRANGE(""https://docs.google.com/spreadsheets/d/1xlcVZWU"&amp;"Nn6SuWm0c307h32SiGkd9BaeQWlAktfD3KO8/edit?usp=sharing"",""เพชรบูรณ์!R397"")+IMPORTRANGE(""https://docs.google.com/spreadsheets/d/1lOVebEIsI9qjGXl6EX66luk7wiuP2tBaryw-wKvv4e0/edit?usp=sharing"",""แพร่!R397"")+IMPORTRANGE(""https://docs.google.com/spreadshe"&amp;"ets/d/1dQrvX0vEcN7Gu0fnZ0B5S90AeR19zth4XlExFBeExMY/edit?usp=sharing"",""แม่ฮ่องสอน!R397"")+IMPORTRANGE(""https://docs.google.com/spreadsheets/d/1DY4XTNNwjluuxqdfdn6qvOSlMRrZqUtmYcZR0ttFiG4/edit?usp=sharing"",""ลำปาง!R397"")+IMPORTRANGE(""https://docs.goog"&amp;"le.com/spreadsheets/d/1ICwG78r0OFT8biBlxnBF8r7she7gNSzOvJ958PWT09c/edit?usp=sharing"",""ลำพูน!R397"")+IMPORTRANGE(""https://docs.google.com/spreadsheets/d/1B0f2xJpZUC6Z0xXnqKlZtEPzsf6L84eP1r1Q15seqRM/edit?usp=sharing"",""สุโขทัย!R397"")+IMPORTRANGE(""http"&amp;"s://docs.google.com/spreadsheets/d/1v0b9pFQCsKUVExMei7AgY2yQkdeNQvtOssygGsXbiKo/edit?usp=sharing"",""อุตรดิตถ์!R397"")+IMPORTRANGE(""https://docs.google.com/spreadsheets/d/1UsNK1e-WWiCo2PvGqdNfdme4m17_Ezd3J69EeeiQPD0/edit?usp=sharing"",""อุทัยธานี!R397"")"),0)</f>
        <v>0</v>
      </c>
      <c r="S397" s="46">
        <f ca="1">IFERROR(__xludf.DUMMYFUNCTION("IMPORTRANGE(""https://docs.google.com/spreadsheets/d/1jTcq05yEiRwXcBMLjiodW9e4biSGYWAHcDj22rKWQ3s/edit?usp=sharing"",""กำแพงเพชร!S397"")+IMPORTRANGE(""https://docs.google.com/spreadsheets/d/1KS0zmDSZPk8KnTAbGN-Xk6MtX1YRZD0ldgdt20K4CRk/edit?usp=sharing"","&amp;"""เชียงราย!S397"")+IMPORTRANGE(""https://docs.google.com/spreadsheets/d/1rEDxBtusbi64tE0zunoIbsTVV16HeL0oJ6trHQeQ7K8/edit?usp=sharing"",""เชียงใหม่!S397"")+IMPORTRANGE(""https://docs.google.com/spreadsheets/d/1W6MnUbDkMi6xHnHko_XkFDO9kkuL6Wqyc-6OCDFjW9I/e"&amp;"dit?usp=sharing"",""ตาก!S397"")+IMPORTRANGE(""https://docs.google.com/spreadsheets/d/1IQAWArduLkta9LpYo4a_ULsyqdta6-6aDDiwpUnQT6c/edit?usp=sharing"",""นครสวรรค์!S397"")+IMPORTRANGE(""https://docs.google.com/spreadsheets/d/10s13Sk5xrltsiR-Zkbmk5DwIaDIKO8Xl"&amp;"bJAfqyT7Gvg/edit?usp=sharing"",""น่าน!S397"")+IMPORTRANGE(""https://docs.google.com/spreadsheets/d/1uu4nAn4Dbi1XREnLKKotUANlKXa7yCgRcgq8HEzQYW8/edit?usp=sharing"",""พะเยา!S397"")+IMPORTRANGE(""https://docs.google.com/spreadsheets/d/1xfJKIQxVOaPDIICqsflNlL"&amp;"u3JacTDk1FP9RH4phX7mI/edit?usp=sharing"",""พิจิตร!S397"")+IMPORTRANGE(""https://docs.google.com/spreadsheets/d/1JtRfZkJMHtEhI5RdRHxYUG4FIZHqKDpNyIuN7A1Q0_k/edit?usp=sharing"",""พิษณุโลก!S397"")+IMPORTRANGE(""https://docs.google.com/spreadsheets/d/1xlcVZWU"&amp;"Nn6SuWm0c307h32SiGkd9BaeQWlAktfD3KO8/edit?usp=sharing"",""เพชรบูรณ์!S397"")+IMPORTRANGE(""https://docs.google.com/spreadsheets/d/1lOVebEIsI9qjGXl6EX66luk7wiuP2tBaryw-wKvv4e0/edit?usp=sharing"",""แพร่!S397"")+IMPORTRANGE(""https://docs.google.com/spreadshe"&amp;"ets/d/1dQrvX0vEcN7Gu0fnZ0B5S90AeR19zth4XlExFBeExMY/edit?usp=sharing"",""แม่ฮ่องสอน!S397"")+IMPORTRANGE(""https://docs.google.com/spreadsheets/d/1DY4XTNNwjluuxqdfdn6qvOSlMRrZqUtmYcZR0ttFiG4/edit?usp=sharing"",""ลำปาง!S397"")+IMPORTRANGE(""https://docs.goog"&amp;"le.com/spreadsheets/d/1ICwG78r0OFT8biBlxnBF8r7she7gNSzOvJ958PWT09c/edit?usp=sharing"",""ลำพูน!S397"")+IMPORTRANGE(""https://docs.google.com/spreadsheets/d/1B0f2xJpZUC6Z0xXnqKlZtEPzsf6L84eP1r1Q15seqRM/edit?usp=sharing"",""สุโขทัย!S397"")+IMPORTRANGE(""http"&amp;"s://docs.google.com/spreadsheets/d/1v0b9pFQCsKUVExMei7AgY2yQkdeNQvtOssygGsXbiKo/edit?usp=sharing"",""อุตรดิตถ์!S397"")+IMPORTRANGE(""https://docs.google.com/spreadsheets/d/1UsNK1e-WWiCo2PvGqdNfdme4m17_Ezd3J69EeeiQPD0/edit?usp=sharing"",""อุทัยธานี!S397"")"),0)</f>
        <v>0</v>
      </c>
      <c r="T397" s="46">
        <f t="shared" ca="1" si="302"/>
        <v>0</v>
      </c>
      <c r="U397" s="46">
        <f t="shared" ca="1" si="303"/>
        <v>0</v>
      </c>
    </row>
    <row r="398" spans="1:21" ht="18.75" hidden="1" x14ac:dyDescent="0.25">
      <c r="A398" s="128"/>
      <c r="B398" s="158"/>
      <c r="C398" s="158"/>
      <c r="D398" s="160" t="s">
        <v>23</v>
      </c>
      <c r="E398" s="40"/>
      <c r="F398" s="40"/>
      <c r="G398" s="42"/>
      <c r="H398" s="137" t="s">
        <v>14</v>
      </c>
      <c r="I398" s="135"/>
      <c r="J398" s="135"/>
      <c r="K398" s="136"/>
      <c r="L398" s="46">
        <f t="shared" ref="L398:N398" ca="1" si="310">L399+L400</f>
        <v>0</v>
      </c>
      <c r="M398" s="46">
        <f t="shared" ca="1" si="310"/>
        <v>0</v>
      </c>
      <c r="N398" s="46">
        <f t="shared" ca="1" si="310"/>
        <v>0</v>
      </c>
      <c r="O398" s="46">
        <f t="shared" ca="1" si="299"/>
        <v>0</v>
      </c>
      <c r="P398" s="46">
        <f t="shared" ca="1" si="300"/>
        <v>0</v>
      </c>
      <c r="Q398" s="46">
        <f t="shared" ref="Q398:S398" ca="1" si="311">Q399+Q400</f>
        <v>0</v>
      </c>
      <c r="R398" s="46">
        <f t="shared" ca="1" si="311"/>
        <v>0</v>
      </c>
      <c r="S398" s="46">
        <f t="shared" ca="1" si="311"/>
        <v>0</v>
      </c>
      <c r="T398" s="46">
        <f t="shared" ca="1" si="302"/>
        <v>0</v>
      </c>
      <c r="U398" s="46">
        <f t="shared" ca="1" si="303"/>
        <v>0</v>
      </c>
    </row>
    <row r="399" spans="1:21" ht="18.75" hidden="1" x14ac:dyDescent="0.25">
      <c r="A399" s="128"/>
      <c r="B399" s="158"/>
      <c r="C399" s="158"/>
      <c r="D399" s="158"/>
      <c r="E399" s="156" t="s">
        <v>20</v>
      </c>
      <c r="F399" s="40"/>
      <c r="G399" s="42"/>
      <c r="H399" s="159" t="s">
        <v>14</v>
      </c>
      <c r="I399" s="135"/>
      <c r="J399" s="135"/>
      <c r="K399" s="136"/>
      <c r="L399" s="48">
        <f ca="1">IFERROR(__xludf.DUMMYFUNCTION("IMPORTRANGE(""https://docs.google.com/spreadsheets/d/1jTcq05yEiRwXcBMLjiodW9e4biSGYWAHcDj22rKWQ3s/edit?usp=sharing"",""กำแพงเพชร!L399"")+IMPORTRANGE(""https://docs.google.com/spreadsheets/d/1KS0zmDSZPk8KnTAbGN-Xk6MtX1YRZD0ldgdt20K4CRk/edit?usp=sharing"","&amp;"""เชียงราย!L399"")+IMPORTRANGE(""https://docs.google.com/spreadsheets/d/1rEDxBtusbi64tE0zunoIbsTVV16HeL0oJ6trHQeQ7K8/edit?usp=sharing"",""เชียงใหม่!L399"")+IMPORTRANGE(""https://docs.google.com/spreadsheets/d/1W6MnUbDkMi6xHnHko_XkFDO9kkuL6Wqyc-6OCDFjW9I/e"&amp;"dit?usp=sharing"",""ตาก!L399"")+IMPORTRANGE(""https://docs.google.com/spreadsheets/d/1IQAWArduLkta9LpYo4a_ULsyqdta6-6aDDiwpUnQT6c/edit?usp=sharing"",""นครสวรรค์!L399"")+IMPORTRANGE(""https://docs.google.com/spreadsheets/d/10s13Sk5xrltsiR-Zkbmk5DwIaDIKO8Xl"&amp;"bJAfqyT7Gvg/edit?usp=sharing"",""น่าน!L399"")+IMPORTRANGE(""https://docs.google.com/spreadsheets/d/1uu4nAn4Dbi1XREnLKKotUANlKXa7yCgRcgq8HEzQYW8/edit?usp=sharing"",""พะเยา!L399"")+IMPORTRANGE(""https://docs.google.com/spreadsheets/d/1xfJKIQxVOaPDIICqsflNlL"&amp;"u3JacTDk1FP9RH4phX7mI/edit?usp=sharing"",""พิจิตร!L399"")+IMPORTRANGE(""https://docs.google.com/spreadsheets/d/1JtRfZkJMHtEhI5RdRHxYUG4FIZHqKDpNyIuN7A1Q0_k/edit?usp=sharing"",""พิษณุโลก!L399"")+IMPORTRANGE(""https://docs.google.com/spreadsheets/d/1xlcVZWU"&amp;"Nn6SuWm0c307h32SiGkd9BaeQWlAktfD3KO8/edit?usp=sharing"",""เพชรบูรณ์!L399"")+IMPORTRANGE(""https://docs.google.com/spreadsheets/d/1lOVebEIsI9qjGXl6EX66luk7wiuP2tBaryw-wKvv4e0/edit?usp=sharing"",""แพร่!L399"")+IMPORTRANGE(""https://docs.google.com/spreadshe"&amp;"ets/d/1dQrvX0vEcN7Gu0fnZ0B5S90AeR19zth4XlExFBeExMY/edit?usp=sharing"",""แม่ฮ่องสอน!L399"")+IMPORTRANGE(""https://docs.google.com/spreadsheets/d/1DY4XTNNwjluuxqdfdn6qvOSlMRrZqUtmYcZR0ttFiG4/edit?usp=sharing"",""ลำปาง!L399"")+IMPORTRANGE(""https://docs.goog"&amp;"le.com/spreadsheets/d/1ICwG78r0OFT8biBlxnBF8r7she7gNSzOvJ958PWT09c/edit?usp=sharing"",""ลำพูน!L399"")+IMPORTRANGE(""https://docs.google.com/spreadsheets/d/1B0f2xJpZUC6Z0xXnqKlZtEPzsf6L84eP1r1Q15seqRM/edit?usp=sharing"",""สุโขทัย!L399"")+IMPORTRANGE(""http"&amp;"s://docs.google.com/spreadsheets/d/1v0b9pFQCsKUVExMei7AgY2yQkdeNQvtOssygGsXbiKo/edit?usp=sharing"",""อุตรดิตถ์!L399"")+IMPORTRANGE(""https://docs.google.com/spreadsheets/d/1UsNK1e-WWiCo2PvGqdNfdme4m17_Ezd3J69EeeiQPD0/edit?usp=sharing"",""อุทัยธานี!L399"")"),0)</f>
        <v>0</v>
      </c>
      <c r="M399" s="48">
        <f ca="1">IFERROR(__xludf.DUMMYFUNCTION("IMPORTRANGE(""https://docs.google.com/spreadsheets/d/1jTcq05yEiRwXcBMLjiodW9e4biSGYWAHcDj22rKWQ3s/edit?usp=sharing"",""กำแพงเพชร!M399"")+IMPORTRANGE(""https://docs.google.com/spreadsheets/d/1KS0zmDSZPk8KnTAbGN-Xk6MtX1YRZD0ldgdt20K4CRk/edit?usp=sharing"","&amp;"""เชียงราย!M399"")+IMPORTRANGE(""https://docs.google.com/spreadsheets/d/1rEDxBtusbi64tE0zunoIbsTVV16HeL0oJ6trHQeQ7K8/edit?usp=sharing"",""เชียงใหม่!M399"")+IMPORTRANGE(""https://docs.google.com/spreadsheets/d/1W6MnUbDkMi6xHnHko_XkFDO9kkuL6Wqyc-6OCDFjW9I/e"&amp;"dit?usp=sharing"",""ตาก!M399"")+IMPORTRANGE(""https://docs.google.com/spreadsheets/d/1IQAWArduLkta9LpYo4a_ULsyqdta6-6aDDiwpUnQT6c/edit?usp=sharing"",""นครสวรรค์!M399"")+IMPORTRANGE(""https://docs.google.com/spreadsheets/d/10s13Sk5xrltsiR-Zkbmk5DwIaDIKO8Xl"&amp;"bJAfqyT7Gvg/edit?usp=sharing"",""น่าน!M399"")+IMPORTRANGE(""https://docs.google.com/spreadsheets/d/1uu4nAn4Dbi1XREnLKKotUANlKXa7yCgRcgq8HEzQYW8/edit?usp=sharing"",""พะเยา!M399"")+IMPORTRANGE(""https://docs.google.com/spreadsheets/d/1xfJKIQxVOaPDIICqsflNlL"&amp;"u3JacTDk1FP9RH4phX7mI/edit?usp=sharing"",""พิจิตร!M399"")+IMPORTRANGE(""https://docs.google.com/spreadsheets/d/1JtRfZkJMHtEhI5RdRHxYUG4FIZHqKDpNyIuN7A1Q0_k/edit?usp=sharing"",""พิษณุโลก!M399"")+IMPORTRANGE(""https://docs.google.com/spreadsheets/d/1xlcVZWU"&amp;"Nn6SuWm0c307h32SiGkd9BaeQWlAktfD3KO8/edit?usp=sharing"",""เพชรบูรณ์!M399"")+IMPORTRANGE(""https://docs.google.com/spreadsheets/d/1lOVebEIsI9qjGXl6EX66luk7wiuP2tBaryw-wKvv4e0/edit?usp=sharing"",""แพร่!M399"")+IMPORTRANGE(""https://docs.google.com/spreadshe"&amp;"ets/d/1dQrvX0vEcN7Gu0fnZ0B5S90AeR19zth4XlExFBeExMY/edit?usp=sharing"",""แม่ฮ่องสอน!M399"")+IMPORTRANGE(""https://docs.google.com/spreadsheets/d/1DY4XTNNwjluuxqdfdn6qvOSlMRrZqUtmYcZR0ttFiG4/edit?usp=sharing"",""ลำปาง!M399"")+IMPORTRANGE(""https://docs.goog"&amp;"le.com/spreadsheets/d/1ICwG78r0OFT8biBlxnBF8r7she7gNSzOvJ958PWT09c/edit?usp=sharing"",""ลำพูน!M399"")+IMPORTRANGE(""https://docs.google.com/spreadsheets/d/1B0f2xJpZUC6Z0xXnqKlZtEPzsf6L84eP1r1Q15seqRM/edit?usp=sharing"",""สุโขทัย!M399"")+IMPORTRANGE(""http"&amp;"s://docs.google.com/spreadsheets/d/1v0b9pFQCsKUVExMei7AgY2yQkdeNQvtOssygGsXbiKo/edit?usp=sharing"",""อุตรดิตถ์!M399"")+IMPORTRANGE(""https://docs.google.com/spreadsheets/d/1UsNK1e-WWiCo2PvGqdNfdme4m17_Ezd3J69EeeiQPD0/edit?usp=sharing"",""อุทัยธานี!M399"")"),0)</f>
        <v>0</v>
      </c>
      <c r="N399" s="48">
        <f ca="1">IFERROR(__xludf.DUMMYFUNCTION("IMPORTRANGE(""https://docs.google.com/spreadsheets/d/1jTcq05yEiRwXcBMLjiodW9e4biSGYWAHcDj22rKWQ3s/edit?usp=sharing"",""กำแพงเพชร!N399"")+IMPORTRANGE(""https://docs.google.com/spreadsheets/d/1KS0zmDSZPk8KnTAbGN-Xk6MtX1YRZD0ldgdt20K4CRk/edit?usp=sharing"","&amp;"""เชียงราย!N399"")+IMPORTRANGE(""https://docs.google.com/spreadsheets/d/1rEDxBtusbi64tE0zunoIbsTVV16HeL0oJ6trHQeQ7K8/edit?usp=sharing"",""เชียงใหม่!N399"")+IMPORTRANGE(""https://docs.google.com/spreadsheets/d/1W6MnUbDkMi6xHnHko_XkFDO9kkuL6Wqyc-6OCDFjW9I/e"&amp;"dit?usp=sharing"",""ตาก!N399"")+IMPORTRANGE(""https://docs.google.com/spreadsheets/d/1IQAWArduLkta9LpYo4a_ULsyqdta6-6aDDiwpUnQT6c/edit?usp=sharing"",""นครสวรรค์!N399"")+IMPORTRANGE(""https://docs.google.com/spreadsheets/d/10s13Sk5xrltsiR-Zkbmk5DwIaDIKO8Xl"&amp;"bJAfqyT7Gvg/edit?usp=sharing"",""น่าน!N399"")+IMPORTRANGE(""https://docs.google.com/spreadsheets/d/1uu4nAn4Dbi1XREnLKKotUANlKXa7yCgRcgq8HEzQYW8/edit?usp=sharing"",""พะเยา!N399"")+IMPORTRANGE(""https://docs.google.com/spreadsheets/d/1xfJKIQxVOaPDIICqsflNlL"&amp;"u3JacTDk1FP9RH4phX7mI/edit?usp=sharing"",""พิจิตร!N399"")+IMPORTRANGE(""https://docs.google.com/spreadsheets/d/1JtRfZkJMHtEhI5RdRHxYUG4FIZHqKDpNyIuN7A1Q0_k/edit?usp=sharing"",""พิษณุโลก!N399"")+IMPORTRANGE(""https://docs.google.com/spreadsheets/d/1xlcVZWU"&amp;"Nn6SuWm0c307h32SiGkd9BaeQWlAktfD3KO8/edit?usp=sharing"",""เพชรบูรณ์!N399"")+IMPORTRANGE(""https://docs.google.com/spreadsheets/d/1lOVebEIsI9qjGXl6EX66luk7wiuP2tBaryw-wKvv4e0/edit?usp=sharing"",""แพร่!N399"")+IMPORTRANGE(""https://docs.google.com/spreadshe"&amp;"ets/d/1dQrvX0vEcN7Gu0fnZ0B5S90AeR19zth4XlExFBeExMY/edit?usp=sharing"",""แม่ฮ่องสอน!N399"")+IMPORTRANGE(""https://docs.google.com/spreadsheets/d/1DY4XTNNwjluuxqdfdn6qvOSlMRrZqUtmYcZR0ttFiG4/edit?usp=sharing"",""ลำปาง!N399"")+IMPORTRANGE(""https://docs.goog"&amp;"le.com/spreadsheets/d/1ICwG78r0OFT8biBlxnBF8r7she7gNSzOvJ958PWT09c/edit?usp=sharing"",""ลำพูน!N399"")+IMPORTRANGE(""https://docs.google.com/spreadsheets/d/1B0f2xJpZUC6Z0xXnqKlZtEPzsf6L84eP1r1Q15seqRM/edit?usp=sharing"",""สุโขทัย!N399"")+IMPORTRANGE(""http"&amp;"s://docs.google.com/spreadsheets/d/1v0b9pFQCsKUVExMei7AgY2yQkdeNQvtOssygGsXbiKo/edit?usp=sharing"",""อุตรดิตถ์!N399"")+IMPORTRANGE(""https://docs.google.com/spreadsheets/d/1UsNK1e-WWiCo2PvGqdNfdme4m17_Ezd3J69EeeiQPD0/edit?usp=sharing"",""อุทัยธานี!N399"")"),0)</f>
        <v>0</v>
      </c>
      <c r="O399" s="48">
        <f t="shared" ca="1" si="299"/>
        <v>0</v>
      </c>
      <c r="P399" s="48">
        <f t="shared" ca="1" si="300"/>
        <v>0</v>
      </c>
      <c r="Q399" s="48">
        <f ca="1">IFERROR(__xludf.DUMMYFUNCTION("IMPORTRANGE(""https://docs.google.com/spreadsheets/d/1jTcq05yEiRwXcBMLjiodW9e4biSGYWAHcDj22rKWQ3s/edit?usp=sharing"",""กำแพงเพชร!Q399"")+IMPORTRANGE(""https://docs.google.com/spreadsheets/d/1KS0zmDSZPk8KnTAbGN-Xk6MtX1YRZD0ldgdt20K4CRk/edit?usp=sharing"","&amp;"""เชียงราย!Q399"")+IMPORTRANGE(""https://docs.google.com/spreadsheets/d/1rEDxBtusbi64tE0zunoIbsTVV16HeL0oJ6trHQeQ7K8/edit?usp=sharing"",""เชียงใหม่!Q399"")+IMPORTRANGE(""https://docs.google.com/spreadsheets/d/1W6MnUbDkMi6xHnHko_XkFDO9kkuL6Wqyc-6OCDFjW9I/e"&amp;"dit?usp=sharing"",""ตาก!Q399"")+IMPORTRANGE(""https://docs.google.com/spreadsheets/d/1IQAWArduLkta9LpYo4a_ULsyqdta6-6aDDiwpUnQT6c/edit?usp=sharing"",""นครสวรรค์!Q399"")+IMPORTRANGE(""https://docs.google.com/spreadsheets/d/10s13Sk5xrltsiR-Zkbmk5DwIaDIKO8Xl"&amp;"bJAfqyT7Gvg/edit?usp=sharing"",""น่าน!Q399"")+IMPORTRANGE(""https://docs.google.com/spreadsheets/d/1uu4nAn4Dbi1XREnLKKotUANlKXa7yCgRcgq8HEzQYW8/edit?usp=sharing"",""พะเยา!Q399"")+IMPORTRANGE(""https://docs.google.com/spreadsheets/d/1xfJKIQxVOaPDIICqsflNlL"&amp;"u3JacTDk1FP9RH4phX7mI/edit?usp=sharing"",""พิจิตร!Q399"")+IMPORTRANGE(""https://docs.google.com/spreadsheets/d/1JtRfZkJMHtEhI5RdRHxYUG4FIZHqKDpNyIuN7A1Q0_k/edit?usp=sharing"",""พิษณุโลก!Q399"")+IMPORTRANGE(""https://docs.google.com/spreadsheets/d/1xlcVZWU"&amp;"Nn6SuWm0c307h32SiGkd9BaeQWlAktfD3KO8/edit?usp=sharing"",""เพชรบูรณ์!Q399"")+IMPORTRANGE(""https://docs.google.com/spreadsheets/d/1lOVebEIsI9qjGXl6EX66luk7wiuP2tBaryw-wKvv4e0/edit?usp=sharing"",""แพร่!Q399"")+IMPORTRANGE(""https://docs.google.com/spreadshe"&amp;"ets/d/1dQrvX0vEcN7Gu0fnZ0B5S90AeR19zth4XlExFBeExMY/edit?usp=sharing"",""แม่ฮ่องสอน!Q399"")+IMPORTRANGE(""https://docs.google.com/spreadsheets/d/1DY4XTNNwjluuxqdfdn6qvOSlMRrZqUtmYcZR0ttFiG4/edit?usp=sharing"",""ลำปาง!Q399"")+IMPORTRANGE(""https://docs.goog"&amp;"le.com/spreadsheets/d/1ICwG78r0OFT8biBlxnBF8r7she7gNSzOvJ958PWT09c/edit?usp=sharing"",""ลำพูน!Q399"")+IMPORTRANGE(""https://docs.google.com/spreadsheets/d/1B0f2xJpZUC6Z0xXnqKlZtEPzsf6L84eP1r1Q15seqRM/edit?usp=sharing"",""สุโขทัย!Q399"")+IMPORTRANGE(""http"&amp;"s://docs.google.com/spreadsheets/d/1v0b9pFQCsKUVExMei7AgY2yQkdeNQvtOssygGsXbiKo/edit?usp=sharing"",""อุตรดิตถ์!Q399"")+IMPORTRANGE(""https://docs.google.com/spreadsheets/d/1UsNK1e-WWiCo2PvGqdNfdme4m17_Ezd3J69EeeiQPD0/edit?usp=sharing"",""อุทัยธานี!Q399"")"),0)</f>
        <v>0</v>
      </c>
      <c r="R399" s="48">
        <f ca="1">IFERROR(__xludf.DUMMYFUNCTION("IMPORTRANGE(""https://docs.google.com/spreadsheets/d/1jTcq05yEiRwXcBMLjiodW9e4biSGYWAHcDj22rKWQ3s/edit?usp=sharing"",""กำแพงเพชร!R399"")+IMPORTRANGE(""https://docs.google.com/spreadsheets/d/1KS0zmDSZPk8KnTAbGN-Xk6MtX1YRZD0ldgdt20K4CRk/edit?usp=sharing"","&amp;"""เชียงราย!R399"")+IMPORTRANGE(""https://docs.google.com/spreadsheets/d/1rEDxBtusbi64tE0zunoIbsTVV16HeL0oJ6trHQeQ7K8/edit?usp=sharing"",""เชียงใหม่!R399"")+IMPORTRANGE(""https://docs.google.com/spreadsheets/d/1W6MnUbDkMi6xHnHko_XkFDO9kkuL6Wqyc-6OCDFjW9I/e"&amp;"dit?usp=sharing"",""ตาก!R399"")+IMPORTRANGE(""https://docs.google.com/spreadsheets/d/1IQAWArduLkta9LpYo4a_ULsyqdta6-6aDDiwpUnQT6c/edit?usp=sharing"",""นครสวรรค์!R399"")+IMPORTRANGE(""https://docs.google.com/spreadsheets/d/10s13Sk5xrltsiR-Zkbmk5DwIaDIKO8Xl"&amp;"bJAfqyT7Gvg/edit?usp=sharing"",""น่าน!R399"")+IMPORTRANGE(""https://docs.google.com/spreadsheets/d/1uu4nAn4Dbi1XREnLKKotUANlKXa7yCgRcgq8HEzQYW8/edit?usp=sharing"",""พะเยา!R399"")+IMPORTRANGE(""https://docs.google.com/spreadsheets/d/1xfJKIQxVOaPDIICqsflNlL"&amp;"u3JacTDk1FP9RH4phX7mI/edit?usp=sharing"",""พิจิตร!R399"")+IMPORTRANGE(""https://docs.google.com/spreadsheets/d/1JtRfZkJMHtEhI5RdRHxYUG4FIZHqKDpNyIuN7A1Q0_k/edit?usp=sharing"",""พิษณุโลก!R399"")+IMPORTRANGE(""https://docs.google.com/spreadsheets/d/1xlcVZWU"&amp;"Nn6SuWm0c307h32SiGkd9BaeQWlAktfD3KO8/edit?usp=sharing"",""เพชรบูรณ์!R399"")+IMPORTRANGE(""https://docs.google.com/spreadsheets/d/1lOVebEIsI9qjGXl6EX66luk7wiuP2tBaryw-wKvv4e0/edit?usp=sharing"",""แพร่!R399"")+IMPORTRANGE(""https://docs.google.com/spreadshe"&amp;"ets/d/1dQrvX0vEcN7Gu0fnZ0B5S90AeR19zth4XlExFBeExMY/edit?usp=sharing"",""แม่ฮ่องสอน!R399"")+IMPORTRANGE(""https://docs.google.com/spreadsheets/d/1DY4XTNNwjluuxqdfdn6qvOSlMRrZqUtmYcZR0ttFiG4/edit?usp=sharing"",""ลำปาง!R399"")+IMPORTRANGE(""https://docs.goog"&amp;"le.com/spreadsheets/d/1ICwG78r0OFT8biBlxnBF8r7she7gNSzOvJ958PWT09c/edit?usp=sharing"",""ลำพูน!R399"")+IMPORTRANGE(""https://docs.google.com/spreadsheets/d/1B0f2xJpZUC6Z0xXnqKlZtEPzsf6L84eP1r1Q15seqRM/edit?usp=sharing"",""สุโขทัย!R399"")+IMPORTRANGE(""http"&amp;"s://docs.google.com/spreadsheets/d/1v0b9pFQCsKUVExMei7AgY2yQkdeNQvtOssygGsXbiKo/edit?usp=sharing"",""อุตรดิตถ์!R399"")+IMPORTRANGE(""https://docs.google.com/spreadsheets/d/1UsNK1e-WWiCo2PvGqdNfdme4m17_Ezd3J69EeeiQPD0/edit?usp=sharing"",""อุทัยธานี!R399"")"),0)</f>
        <v>0</v>
      </c>
      <c r="S399" s="48">
        <f ca="1">IFERROR(__xludf.DUMMYFUNCTION("IMPORTRANGE(""https://docs.google.com/spreadsheets/d/1jTcq05yEiRwXcBMLjiodW9e4biSGYWAHcDj22rKWQ3s/edit?usp=sharing"",""กำแพงเพชร!S399"")+IMPORTRANGE(""https://docs.google.com/spreadsheets/d/1KS0zmDSZPk8KnTAbGN-Xk6MtX1YRZD0ldgdt20K4CRk/edit?usp=sharing"","&amp;"""เชียงราย!S399"")+IMPORTRANGE(""https://docs.google.com/spreadsheets/d/1rEDxBtusbi64tE0zunoIbsTVV16HeL0oJ6trHQeQ7K8/edit?usp=sharing"",""เชียงใหม่!S399"")+IMPORTRANGE(""https://docs.google.com/spreadsheets/d/1W6MnUbDkMi6xHnHko_XkFDO9kkuL6Wqyc-6OCDFjW9I/e"&amp;"dit?usp=sharing"",""ตาก!S399"")+IMPORTRANGE(""https://docs.google.com/spreadsheets/d/1IQAWArduLkta9LpYo4a_ULsyqdta6-6aDDiwpUnQT6c/edit?usp=sharing"",""นครสวรรค์!S399"")+IMPORTRANGE(""https://docs.google.com/spreadsheets/d/10s13Sk5xrltsiR-Zkbmk5DwIaDIKO8Xl"&amp;"bJAfqyT7Gvg/edit?usp=sharing"",""น่าน!S399"")+IMPORTRANGE(""https://docs.google.com/spreadsheets/d/1uu4nAn4Dbi1XREnLKKotUANlKXa7yCgRcgq8HEzQYW8/edit?usp=sharing"",""พะเยา!S399"")+IMPORTRANGE(""https://docs.google.com/spreadsheets/d/1xfJKIQxVOaPDIICqsflNlL"&amp;"u3JacTDk1FP9RH4phX7mI/edit?usp=sharing"",""พิจิตร!S399"")+IMPORTRANGE(""https://docs.google.com/spreadsheets/d/1JtRfZkJMHtEhI5RdRHxYUG4FIZHqKDpNyIuN7A1Q0_k/edit?usp=sharing"",""พิษณุโลก!S399"")+IMPORTRANGE(""https://docs.google.com/spreadsheets/d/1xlcVZWU"&amp;"Nn6SuWm0c307h32SiGkd9BaeQWlAktfD3KO8/edit?usp=sharing"",""เพชรบูรณ์!S399"")+IMPORTRANGE(""https://docs.google.com/spreadsheets/d/1lOVebEIsI9qjGXl6EX66luk7wiuP2tBaryw-wKvv4e0/edit?usp=sharing"",""แพร่!S399"")+IMPORTRANGE(""https://docs.google.com/spreadshe"&amp;"ets/d/1dQrvX0vEcN7Gu0fnZ0B5S90AeR19zth4XlExFBeExMY/edit?usp=sharing"",""แม่ฮ่องสอน!S399"")+IMPORTRANGE(""https://docs.google.com/spreadsheets/d/1DY4XTNNwjluuxqdfdn6qvOSlMRrZqUtmYcZR0ttFiG4/edit?usp=sharing"",""ลำปาง!S399"")+IMPORTRANGE(""https://docs.goog"&amp;"le.com/spreadsheets/d/1ICwG78r0OFT8biBlxnBF8r7she7gNSzOvJ958PWT09c/edit?usp=sharing"",""ลำพูน!S399"")+IMPORTRANGE(""https://docs.google.com/spreadsheets/d/1B0f2xJpZUC6Z0xXnqKlZtEPzsf6L84eP1r1Q15seqRM/edit?usp=sharing"",""สุโขทัย!S399"")+IMPORTRANGE(""http"&amp;"s://docs.google.com/spreadsheets/d/1v0b9pFQCsKUVExMei7AgY2yQkdeNQvtOssygGsXbiKo/edit?usp=sharing"",""อุตรดิตถ์!S399"")+IMPORTRANGE(""https://docs.google.com/spreadsheets/d/1UsNK1e-WWiCo2PvGqdNfdme4m17_Ezd3J69EeeiQPD0/edit?usp=sharing"",""อุทัยธานี!S399"")"),0)</f>
        <v>0</v>
      </c>
      <c r="T399" s="48">
        <f t="shared" ca="1" si="302"/>
        <v>0</v>
      </c>
      <c r="U399" s="48">
        <f t="shared" ca="1" si="303"/>
        <v>0</v>
      </c>
    </row>
    <row r="400" spans="1:21" ht="18.75" hidden="1" x14ac:dyDescent="0.25">
      <c r="A400" s="128"/>
      <c r="B400" s="158"/>
      <c r="C400" s="158"/>
      <c r="D400" s="158"/>
      <c r="E400" s="47" t="s">
        <v>21</v>
      </c>
      <c r="F400" s="40"/>
      <c r="G400" s="42"/>
      <c r="H400" s="137" t="s">
        <v>14</v>
      </c>
      <c r="I400" s="135"/>
      <c r="J400" s="135"/>
      <c r="K400" s="136"/>
      <c r="L400" s="46">
        <f ca="1">IFERROR(__xludf.DUMMYFUNCTION("IMPORTRANGE(""https://docs.google.com/spreadsheets/d/1jTcq05yEiRwXcBMLjiodW9e4biSGYWAHcDj22rKWQ3s/edit?usp=sharing"",""กำแพงเพชร!L400"")+IMPORTRANGE(""https://docs.google.com/spreadsheets/d/1KS0zmDSZPk8KnTAbGN-Xk6MtX1YRZD0ldgdt20K4CRk/edit?usp=sharing"","&amp;"""เชียงราย!L400"")+IMPORTRANGE(""https://docs.google.com/spreadsheets/d/1rEDxBtusbi64tE0zunoIbsTVV16HeL0oJ6trHQeQ7K8/edit?usp=sharing"",""เชียงใหม่!L400"")+IMPORTRANGE(""https://docs.google.com/spreadsheets/d/1W6MnUbDkMi6xHnHko_XkFDO9kkuL6Wqyc-6OCDFjW9I/e"&amp;"dit?usp=sharing"",""ตาก!L400"")+IMPORTRANGE(""https://docs.google.com/spreadsheets/d/1IQAWArduLkta9LpYo4a_ULsyqdta6-6aDDiwpUnQT6c/edit?usp=sharing"",""นครสวรรค์!L400"")+IMPORTRANGE(""https://docs.google.com/spreadsheets/d/10s13Sk5xrltsiR-Zkbmk5DwIaDIKO8Xl"&amp;"bJAfqyT7Gvg/edit?usp=sharing"",""น่าน!L400"")+IMPORTRANGE(""https://docs.google.com/spreadsheets/d/1uu4nAn4Dbi1XREnLKKotUANlKXa7yCgRcgq8HEzQYW8/edit?usp=sharing"",""พะเยา!L400"")+IMPORTRANGE(""https://docs.google.com/spreadsheets/d/1xfJKIQxVOaPDIICqsflNlL"&amp;"u3JacTDk1FP9RH4phX7mI/edit?usp=sharing"",""พิจิตร!L400"")+IMPORTRANGE(""https://docs.google.com/spreadsheets/d/1JtRfZkJMHtEhI5RdRHxYUG4FIZHqKDpNyIuN7A1Q0_k/edit?usp=sharing"",""พิษณุโลก!L400"")+IMPORTRANGE(""https://docs.google.com/spreadsheets/d/1xlcVZWU"&amp;"Nn6SuWm0c307h32SiGkd9BaeQWlAktfD3KO8/edit?usp=sharing"",""เพชรบูรณ์!L400"")+IMPORTRANGE(""https://docs.google.com/spreadsheets/d/1lOVebEIsI9qjGXl6EX66luk7wiuP2tBaryw-wKvv4e0/edit?usp=sharing"",""แพร่!L400"")+IMPORTRANGE(""https://docs.google.com/spreadshe"&amp;"ets/d/1dQrvX0vEcN7Gu0fnZ0B5S90AeR19zth4XlExFBeExMY/edit?usp=sharing"",""แม่ฮ่องสอน!L400"")+IMPORTRANGE(""https://docs.google.com/spreadsheets/d/1DY4XTNNwjluuxqdfdn6qvOSlMRrZqUtmYcZR0ttFiG4/edit?usp=sharing"",""ลำปาง!L400"")+IMPORTRANGE(""https://docs.goog"&amp;"le.com/spreadsheets/d/1ICwG78r0OFT8biBlxnBF8r7she7gNSzOvJ958PWT09c/edit?usp=sharing"",""ลำพูน!L400"")+IMPORTRANGE(""https://docs.google.com/spreadsheets/d/1B0f2xJpZUC6Z0xXnqKlZtEPzsf6L84eP1r1Q15seqRM/edit?usp=sharing"",""สุโขทัย!L400"")+IMPORTRANGE(""http"&amp;"s://docs.google.com/spreadsheets/d/1v0b9pFQCsKUVExMei7AgY2yQkdeNQvtOssygGsXbiKo/edit?usp=sharing"",""อุตรดิตถ์!L400"")+IMPORTRANGE(""https://docs.google.com/spreadsheets/d/1UsNK1e-WWiCo2PvGqdNfdme4m17_Ezd3J69EeeiQPD0/edit?usp=sharing"",""อุทัยธานี!L400"")"),0)</f>
        <v>0</v>
      </c>
      <c r="M400" s="46">
        <f ca="1">IFERROR(__xludf.DUMMYFUNCTION("IMPORTRANGE(""https://docs.google.com/spreadsheets/d/1jTcq05yEiRwXcBMLjiodW9e4biSGYWAHcDj22rKWQ3s/edit?usp=sharing"",""กำแพงเพชร!M400"")+IMPORTRANGE(""https://docs.google.com/spreadsheets/d/1KS0zmDSZPk8KnTAbGN-Xk6MtX1YRZD0ldgdt20K4CRk/edit?usp=sharing"","&amp;"""เชียงราย!M400"")+IMPORTRANGE(""https://docs.google.com/spreadsheets/d/1rEDxBtusbi64tE0zunoIbsTVV16HeL0oJ6trHQeQ7K8/edit?usp=sharing"",""เชียงใหม่!M400"")+IMPORTRANGE(""https://docs.google.com/spreadsheets/d/1W6MnUbDkMi6xHnHko_XkFDO9kkuL6Wqyc-6OCDFjW9I/e"&amp;"dit?usp=sharing"",""ตาก!M400"")+IMPORTRANGE(""https://docs.google.com/spreadsheets/d/1IQAWArduLkta9LpYo4a_ULsyqdta6-6aDDiwpUnQT6c/edit?usp=sharing"",""นครสวรรค์!M400"")+IMPORTRANGE(""https://docs.google.com/spreadsheets/d/10s13Sk5xrltsiR-Zkbmk5DwIaDIKO8Xl"&amp;"bJAfqyT7Gvg/edit?usp=sharing"",""น่าน!M400"")+IMPORTRANGE(""https://docs.google.com/spreadsheets/d/1uu4nAn4Dbi1XREnLKKotUANlKXa7yCgRcgq8HEzQYW8/edit?usp=sharing"",""พะเยา!M400"")+IMPORTRANGE(""https://docs.google.com/spreadsheets/d/1xfJKIQxVOaPDIICqsflNlL"&amp;"u3JacTDk1FP9RH4phX7mI/edit?usp=sharing"",""พิจิตร!M400"")+IMPORTRANGE(""https://docs.google.com/spreadsheets/d/1JtRfZkJMHtEhI5RdRHxYUG4FIZHqKDpNyIuN7A1Q0_k/edit?usp=sharing"",""พิษณุโลก!M400"")+IMPORTRANGE(""https://docs.google.com/spreadsheets/d/1xlcVZWU"&amp;"Nn6SuWm0c307h32SiGkd9BaeQWlAktfD3KO8/edit?usp=sharing"",""เพชรบูรณ์!M400"")+IMPORTRANGE(""https://docs.google.com/spreadsheets/d/1lOVebEIsI9qjGXl6EX66luk7wiuP2tBaryw-wKvv4e0/edit?usp=sharing"",""แพร่!M400"")+IMPORTRANGE(""https://docs.google.com/spreadshe"&amp;"ets/d/1dQrvX0vEcN7Gu0fnZ0B5S90AeR19zth4XlExFBeExMY/edit?usp=sharing"",""แม่ฮ่องสอน!M400"")+IMPORTRANGE(""https://docs.google.com/spreadsheets/d/1DY4XTNNwjluuxqdfdn6qvOSlMRrZqUtmYcZR0ttFiG4/edit?usp=sharing"",""ลำปาง!M400"")+IMPORTRANGE(""https://docs.goog"&amp;"le.com/spreadsheets/d/1ICwG78r0OFT8biBlxnBF8r7she7gNSzOvJ958PWT09c/edit?usp=sharing"",""ลำพูน!M400"")+IMPORTRANGE(""https://docs.google.com/spreadsheets/d/1B0f2xJpZUC6Z0xXnqKlZtEPzsf6L84eP1r1Q15seqRM/edit?usp=sharing"",""สุโขทัย!M400"")+IMPORTRANGE(""http"&amp;"s://docs.google.com/spreadsheets/d/1v0b9pFQCsKUVExMei7AgY2yQkdeNQvtOssygGsXbiKo/edit?usp=sharing"",""อุตรดิตถ์!M400"")+IMPORTRANGE(""https://docs.google.com/spreadsheets/d/1UsNK1e-WWiCo2PvGqdNfdme4m17_Ezd3J69EeeiQPD0/edit?usp=sharing"",""อุทัยธานี!M400"")"),0)</f>
        <v>0</v>
      </c>
      <c r="N400" s="46">
        <f ca="1">IFERROR(__xludf.DUMMYFUNCTION("IMPORTRANGE(""https://docs.google.com/spreadsheets/d/1jTcq05yEiRwXcBMLjiodW9e4biSGYWAHcDj22rKWQ3s/edit?usp=sharing"",""กำแพงเพชร!N400"")+IMPORTRANGE(""https://docs.google.com/spreadsheets/d/1KS0zmDSZPk8KnTAbGN-Xk6MtX1YRZD0ldgdt20K4CRk/edit?usp=sharing"","&amp;"""เชียงราย!N400"")+IMPORTRANGE(""https://docs.google.com/spreadsheets/d/1rEDxBtusbi64tE0zunoIbsTVV16HeL0oJ6trHQeQ7K8/edit?usp=sharing"",""เชียงใหม่!N400"")+IMPORTRANGE(""https://docs.google.com/spreadsheets/d/1W6MnUbDkMi6xHnHko_XkFDO9kkuL6Wqyc-6OCDFjW9I/e"&amp;"dit?usp=sharing"",""ตาก!N400"")+IMPORTRANGE(""https://docs.google.com/spreadsheets/d/1IQAWArduLkta9LpYo4a_ULsyqdta6-6aDDiwpUnQT6c/edit?usp=sharing"",""นครสวรรค์!N400"")+IMPORTRANGE(""https://docs.google.com/spreadsheets/d/10s13Sk5xrltsiR-Zkbmk5DwIaDIKO8Xl"&amp;"bJAfqyT7Gvg/edit?usp=sharing"",""น่าน!N400"")+IMPORTRANGE(""https://docs.google.com/spreadsheets/d/1uu4nAn4Dbi1XREnLKKotUANlKXa7yCgRcgq8HEzQYW8/edit?usp=sharing"",""พะเยา!N400"")+IMPORTRANGE(""https://docs.google.com/spreadsheets/d/1xfJKIQxVOaPDIICqsflNlL"&amp;"u3JacTDk1FP9RH4phX7mI/edit?usp=sharing"",""พิจิตร!N400"")+IMPORTRANGE(""https://docs.google.com/spreadsheets/d/1JtRfZkJMHtEhI5RdRHxYUG4FIZHqKDpNyIuN7A1Q0_k/edit?usp=sharing"",""พิษณุโลก!N400"")+IMPORTRANGE(""https://docs.google.com/spreadsheets/d/1xlcVZWU"&amp;"Nn6SuWm0c307h32SiGkd9BaeQWlAktfD3KO8/edit?usp=sharing"",""เพชรบูรณ์!N400"")+IMPORTRANGE(""https://docs.google.com/spreadsheets/d/1lOVebEIsI9qjGXl6EX66luk7wiuP2tBaryw-wKvv4e0/edit?usp=sharing"",""แพร่!N400"")+IMPORTRANGE(""https://docs.google.com/spreadshe"&amp;"ets/d/1dQrvX0vEcN7Gu0fnZ0B5S90AeR19zth4XlExFBeExMY/edit?usp=sharing"",""แม่ฮ่องสอน!N400"")+IMPORTRANGE(""https://docs.google.com/spreadsheets/d/1DY4XTNNwjluuxqdfdn6qvOSlMRrZqUtmYcZR0ttFiG4/edit?usp=sharing"",""ลำปาง!N400"")+IMPORTRANGE(""https://docs.goog"&amp;"le.com/spreadsheets/d/1ICwG78r0OFT8biBlxnBF8r7she7gNSzOvJ958PWT09c/edit?usp=sharing"",""ลำพูน!N400"")+IMPORTRANGE(""https://docs.google.com/spreadsheets/d/1B0f2xJpZUC6Z0xXnqKlZtEPzsf6L84eP1r1Q15seqRM/edit?usp=sharing"",""สุโขทัย!N400"")+IMPORTRANGE(""http"&amp;"s://docs.google.com/spreadsheets/d/1v0b9pFQCsKUVExMei7AgY2yQkdeNQvtOssygGsXbiKo/edit?usp=sharing"",""อุตรดิตถ์!N400"")+IMPORTRANGE(""https://docs.google.com/spreadsheets/d/1UsNK1e-WWiCo2PvGqdNfdme4m17_Ezd3J69EeeiQPD0/edit?usp=sharing"",""อุทัยธานี!N400"")"),0)</f>
        <v>0</v>
      </c>
      <c r="O400" s="46">
        <f t="shared" ca="1" si="299"/>
        <v>0</v>
      </c>
      <c r="P400" s="46">
        <f t="shared" ca="1" si="300"/>
        <v>0</v>
      </c>
      <c r="Q400" s="46">
        <f ca="1">IFERROR(__xludf.DUMMYFUNCTION("IMPORTRANGE(""https://docs.google.com/spreadsheets/d/1jTcq05yEiRwXcBMLjiodW9e4biSGYWAHcDj22rKWQ3s/edit?usp=sharing"",""กำแพงเพชร!Q400"")+IMPORTRANGE(""https://docs.google.com/spreadsheets/d/1KS0zmDSZPk8KnTAbGN-Xk6MtX1YRZD0ldgdt20K4CRk/edit?usp=sharing"","&amp;"""เชียงราย!Q400"")+IMPORTRANGE(""https://docs.google.com/spreadsheets/d/1rEDxBtusbi64tE0zunoIbsTVV16HeL0oJ6trHQeQ7K8/edit?usp=sharing"",""เชียงใหม่!Q400"")+IMPORTRANGE(""https://docs.google.com/spreadsheets/d/1W6MnUbDkMi6xHnHko_XkFDO9kkuL6Wqyc-6OCDFjW9I/e"&amp;"dit?usp=sharing"",""ตาก!Q400"")+IMPORTRANGE(""https://docs.google.com/spreadsheets/d/1IQAWArduLkta9LpYo4a_ULsyqdta6-6aDDiwpUnQT6c/edit?usp=sharing"",""นครสวรรค์!Q400"")+IMPORTRANGE(""https://docs.google.com/spreadsheets/d/10s13Sk5xrltsiR-Zkbmk5DwIaDIKO8Xl"&amp;"bJAfqyT7Gvg/edit?usp=sharing"",""น่าน!Q400"")+IMPORTRANGE(""https://docs.google.com/spreadsheets/d/1uu4nAn4Dbi1XREnLKKotUANlKXa7yCgRcgq8HEzQYW8/edit?usp=sharing"",""พะเยา!Q400"")+IMPORTRANGE(""https://docs.google.com/spreadsheets/d/1xfJKIQxVOaPDIICqsflNlL"&amp;"u3JacTDk1FP9RH4phX7mI/edit?usp=sharing"",""พิจิตร!Q400"")+IMPORTRANGE(""https://docs.google.com/spreadsheets/d/1JtRfZkJMHtEhI5RdRHxYUG4FIZHqKDpNyIuN7A1Q0_k/edit?usp=sharing"",""พิษณุโลก!Q400"")+IMPORTRANGE(""https://docs.google.com/spreadsheets/d/1xlcVZWU"&amp;"Nn6SuWm0c307h32SiGkd9BaeQWlAktfD3KO8/edit?usp=sharing"",""เพชรบูรณ์!Q400"")+IMPORTRANGE(""https://docs.google.com/spreadsheets/d/1lOVebEIsI9qjGXl6EX66luk7wiuP2tBaryw-wKvv4e0/edit?usp=sharing"",""แพร่!Q400"")+IMPORTRANGE(""https://docs.google.com/spreadshe"&amp;"ets/d/1dQrvX0vEcN7Gu0fnZ0B5S90AeR19zth4XlExFBeExMY/edit?usp=sharing"",""แม่ฮ่องสอน!Q400"")+IMPORTRANGE(""https://docs.google.com/spreadsheets/d/1DY4XTNNwjluuxqdfdn6qvOSlMRrZqUtmYcZR0ttFiG4/edit?usp=sharing"",""ลำปาง!Q400"")+IMPORTRANGE(""https://docs.goog"&amp;"le.com/spreadsheets/d/1ICwG78r0OFT8biBlxnBF8r7she7gNSzOvJ958PWT09c/edit?usp=sharing"",""ลำพูน!Q400"")+IMPORTRANGE(""https://docs.google.com/spreadsheets/d/1B0f2xJpZUC6Z0xXnqKlZtEPzsf6L84eP1r1Q15seqRM/edit?usp=sharing"",""สุโขทัย!Q400"")+IMPORTRANGE(""http"&amp;"s://docs.google.com/spreadsheets/d/1v0b9pFQCsKUVExMei7AgY2yQkdeNQvtOssygGsXbiKo/edit?usp=sharing"",""อุตรดิตถ์!Q400"")+IMPORTRANGE(""https://docs.google.com/spreadsheets/d/1UsNK1e-WWiCo2PvGqdNfdme4m17_Ezd3J69EeeiQPD0/edit?usp=sharing"",""อุทัยธานี!Q400"")"),0)</f>
        <v>0</v>
      </c>
      <c r="R400" s="46">
        <f ca="1">IFERROR(__xludf.DUMMYFUNCTION("IMPORTRANGE(""https://docs.google.com/spreadsheets/d/1jTcq05yEiRwXcBMLjiodW9e4biSGYWAHcDj22rKWQ3s/edit?usp=sharing"",""กำแพงเพชร!R400"")+IMPORTRANGE(""https://docs.google.com/spreadsheets/d/1KS0zmDSZPk8KnTAbGN-Xk6MtX1YRZD0ldgdt20K4CRk/edit?usp=sharing"","&amp;"""เชียงราย!R400"")+IMPORTRANGE(""https://docs.google.com/spreadsheets/d/1rEDxBtusbi64tE0zunoIbsTVV16HeL0oJ6trHQeQ7K8/edit?usp=sharing"",""เชียงใหม่!R400"")+IMPORTRANGE(""https://docs.google.com/spreadsheets/d/1W6MnUbDkMi6xHnHko_XkFDO9kkuL6Wqyc-6OCDFjW9I/e"&amp;"dit?usp=sharing"",""ตาก!R400"")+IMPORTRANGE(""https://docs.google.com/spreadsheets/d/1IQAWArduLkta9LpYo4a_ULsyqdta6-6aDDiwpUnQT6c/edit?usp=sharing"",""นครสวรรค์!R400"")+IMPORTRANGE(""https://docs.google.com/spreadsheets/d/10s13Sk5xrltsiR-Zkbmk5DwIaDIKO8Xl"&amp;"bJAfqyT7Gvg/edit?usp=sharing"",""น่าน!R400"")+IMPORTRANGE(""https://docs.google.com/spreadsheets/d/1uu4nAn4Dbi1XREnLKKotUANlKXa7yCgRcgq8HEzQYW8/edit?usp=sharing"",""พะเยา!R400"")+IMPORTRANGE(""https://docs.google.com/spreadsheets/d/1xfJKIQxVOaPDIICqsflNlL"&amp;"u3JacTDk1FP9RH4phX7mI/edit?usp=sharing"",""พิจิตร!R400"")+IMPORTRANGE(""https://docs.google.com/spreadsheets/d/1JtRfZkJMHtEhI5RdRHxYUG4FIZHqKDpNyIuN7A1Q0_k/edit?usp=sharing"",""พิษณุโลก!R400"")+IMPORTRANGE(""https://docs.google.com/spreadsheets/d/1xlcVZWU"&amp;"Nn6SuWm0c307h32SiGkd9BaeQWlAktfD3KO8/edit?usp=sharing"",""เพชรบูรณ์!R400"")+IMPORTRANGE(""https://docs.google.com/spreadsheets/d/1lOVebEIsI9qjGXl6EX66luk7wiuP2tBaryw-wKvv4e0/edit?usp=sharing"",""แพร่!R400"")+IMPORTRANGE(""https://docs.google.com/spreadshe"&amp;"ets/d/1dQrvX0vEcN7Gu0fnZ0B5S90AeR19zth4XlExFBeExMY/edit?usp=sharing"",""แม่ฮ่องสอน!R400"")+IMPORTRANGE(""https://docs.google.com/spreadsheets/d/1DY4XTNNwjluuxqdfdn6qvOSlMRrZqUtmYcZR0ttFiG4/edit?usp=sharing"",""ลำปาง!R400"")+IMPORTRANGE(""https://docs.goog"&amp;"le.com/spreadsheets/d/1ICwG78r0OFT8biBlxnBF8r7she7gNSzOvJ958PWT09c/edit?usp=sharing"",""ลำพูน!R400"")+IMPORTRANGE(""https://docs.google.com/spreadsheets/d/1B0f2xJpZUC6Z0xXnqKlZtEPzsf6L84eP1r1Q15seqRM/edit?usp=sharing"",""สุโขทัย!R400"")+IMPORTRANGE(""http"&amp;"s://docs.google.com/spreadsheets/d/1v0b9pFQCsKUVExMei7AgY2yQkdeNQvtOssygGsXbiKo/edit?usp=sharing"",""อุตรดิตถ์!R400"")+IMPORTRANGE(""https://docs.google.com/spreadsheets/d/1UsNK1e-WWiCo2PvGqdNfdme4m17_Ezd3J69EeeiQPD0/edit?usp=sharing"",""อุทัยธานี!R400"")"),0)</f>
        <v>0</v>
      </c>
      <c r="S400" s="46">
        <f ca="1">IFERROR(__xludf.DUMMYFUNCTION("IMPORTRANGE(""https://docs.google.com/spreadsheets/d/1jTcq05yEiRwXcBMLjiodW9e4biSGYWAHcDj22rKWQ3s/edit?usp=sharing"",""กำแพงเพชร!S400"")+IMPORTRANGE(""https://docs.google.com/spreadsheets/d/1KS0zmDSZPk8KnTAbGN-Xk6MtX1YRZD0ldgdt20K4CRk/edit?usp=sharing"","&amp;"""เชียงราย!S400"")+IMPORTRANGE(""https://docs.google.com/spreadsheets/d/1rEDxBtusbi64tE0zunoIbsTVV16HeL0oJ6trHQeQ7K8/edit?usp=sharing"",""เชียงใหม่!S400"")+IMPORTRANGE(""https://docs.google.com/spreadsheets/d/1W6MnUbDkMi6xHnHko_XkFDO9kkuL6Wqyc-6OCDFjW9I/e"&amp;"dit?usp=sharing"",""ตาก!S400"")+IMPORTRANGE(""https://docs.google.com/spreadsheets/d/1IQAWArduLkta9LpYo4a_ULsyqdta6-6aDDiwpUnQT6c/edit?usp=sharing"",""นครสวรรค์!S400"")+IMPORTRANGE(""https://docs.google.com/spreadsheets/d/10s13Sk5xrltsiR-Zkbmk5DwIaDIKO8Xl"&amp;"bJAfqyT7Gvg/edit?usp=sharing"",""น่าน!S400"")+IMPORTRANGE(""https://docs.google.com/spreadsheets/d/1uu4nAn4Dbi1XREnLKKotUANlKXa7yCgRcgq8HEzQYW8/edit?usp=sharing"",""พะเยา!S400"")+IMPORTRANGE(""https://docs.google.com/spreadsheets/d/1xfJKIQxVOaPDIICqsflNlL"&amp;"u3JacTDk1FP9RH4phX7mI/edit?usp=sharing"",""พิจิตร!S400"")+IMPORTRANGE(""https://docs.google.com/spreadsheets/d/1JtRfZkJMHtEhI5RdRHxYUG4FIZHqKDpNyIuN7A1Q0_k/edit?usp=sharing"",""พิษณุโลก!S400"")+IMPORTRANGE(""https://docs.google.com/spreadsheets/d/1xlcVZWU"&amp;"Nn6SuWm0c307h32SiGkd9BaeQWlAktfD3KO8/edit?usp=sharing"",""เพชรบูรณ์!S400"")+IMPORTRANGE(""https://docs.google.com/spreadsheets/d/1lOVebEIsI9qjGXl6EX66luk7wiuP2tBaryw-wKvv4e0/edit?usp=sharing"",""แพร่!S400"")+IMPORTRANGE(""https://docs.google.com/spreadshe"&amp;"ets/d/1dQrvX0vEcN7Gu0fnZ0B5S90AeR19zth4XlExFBeExMY/edit?usp=sharing"",""แม่ฮ่องสอน!S400"")+IMPORTRANGE(""https://docs.google.com/spreadsheets/d/1DY4XTNNwjluuxqdfdn6qvOSlMRrZqUtmYcZR0ttFiG4/edit?usp=sharing"",""ลำปาง!S400"")+IMPORTRANGE(""https://docs.goog"&amp;"le.com/spreadsheets/d/1ICwG78r0OFT8biBlxnBF8r7she7gNSzOvJ958PWT09c/edit?usp=sharing"",""ลำพูน!S400"")+IMPORTRANGE(""https://docs.google.com/spreadsheets/d/1B0f2xJpZUC6Z0xXnqKlZtEPzsf6L84eP1r1Q15seqRM/edit?usp=sharing"",""สุโขทัย!S400"")+IMPORTRANGE(""http"&amp;"s://docs.google.com/spreadsheets/d/1v0b9pFQCsKUVExMei7AgY2yQkdeNQvtOssygGsXbiKo/edit?usp=sharing"",""อุตรดิตถ์!S400"")+IMPORTRANGE(""https://docs.google.com/spreadsheets/d/1UsNK1e-WWiCo2PvGqdNfdme4m17_Ezd3J69EeeiQPD0/edit?usp=sharing"",""อุทัยธานี!S400"")"),0)</f>
        <v>0</v>
      </c>
      <c r="T400" s="46">
        <f t="shared" ca="1" si="302"/>
        <v>0</v>
      </c>
      <c r="U400" s="46">
        <f t="shared" ca="1" si="303"/>
        <v>0</v>
      </c>
    </row>
    <row r="401" spans="1:21" ht="19.5" hidden="1" x14ac:dyDescent="0.3">
      <c r="A401" s="138"/>
      <c r="B401" s="139"/>
      <c r="C401" s="161" t="s">
        <v>18</v>
      </c>
      <c r="D401" s="313" t="s">
        <v>38</v>
      </c>
      <c r="E401" s="141"/>
      <c r="F401" s="141"/>
      <c r="G401" s="142"/>
      <c r="H401" s="178"/>
      <c r="I401" s="135"/>
      <c r="J401" s="44"/>
      <c r="K401" s="45"/>
      <c r="L401" s="45"/>
      <c r="M401" s="45"/>
      <c r="N401" s="45"/>
      <c r="O401" s="136"/>
      <c r="P401" s="136"/>
      <c r="Q401" s="45"/>
      <c r="R401" s="45"/>
      <c r="S401" s="45"/>
      <c r="T401" s="136"/>
      <c r="U401" s="136"/>
    </row>
    <row r="402" spans="1:21" ht="12.75" hidden="1" x14ac:dyDescent="0.2">
      <c r="A402" s="227"/>
      <c r="B402" s="228"/>
      <c r="C402" s="228"/>
      <c r="D402" s="228"/>
      <c r="E402" s="229"/>
      <c r="F402" s="229"/>
      <c r="G402" s="230"/>
      <c r="H402" s="231"/>
      <c r="I402" s="232"/>
      <c r="J402" s="232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</row>
    <row r="403" spans="1:21" ht="12.75" hidden="1" x14ac:dyDescent="0.2">
      <c r="A403" s="228"/>
      <c r="B403" s="228"/>
      <c r="C403" s="228"/>
      <c r="D403" s="228"/>
      <c r="E403" s="228"/>
      <c r="F403" s="228"/>
      <c r="G403" s="231"/>
      <c r="H403" s="231"/>
      <c r="I403" s="232"/>
      <c r="J403" s="232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</row>
    <row r="404" spans="1:21" ht="12.75" hidden="1" x14ac:dyDescent="0.2">
      <c r="A404" s="228"/>
      <c r="B404" s="228"/>
      <c r="C404" s="228"/>
      <c r="D404" s="228"/>
      <c r="E404" s="228"/>
      <c r="F404" s="228"/>
      <c r="G404" s="231"/>
      <c r="H404" s="231"/>
      <c r="I404" s="232"/>
      <c r="J404" s="232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</row>
    <row r="405" spans="1:21" ht="12.75" hidden="1" x14ac:dyDescent="0.2">
      <c r="A405" s="228"/>
      <c r="B405" s="228"/>
      <c r="C405" s="228"/>
      <c r="D405" s="228"/>
      <c r="E405" s="228"/>
      <c r="F405" s="228"/>
      <c r="G405" s="231"/>
      <c r="H405" s="231"/>
      <c r="I405" s="232"/>
      <c r="J405" s="232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</row>
    <row r="406" spans="1:21" ht="12.75" hidden="1" x14ac:dyDescent="0.2">
      <c r="A406" s="228"/>
      <c r="B406" s="228"/>
      <c r="C406" s="228"/>
      <c r="D406" s="228"/>
      <c r="E406" s="228"/>
      <c r="F406" s="228"/>
      <c r="G406" s="231"/>
      <c r="H406" s="231"/>
      <c r="I406" s="232"/>
      <c r="J406" s="232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</row>
    <row r="407" spans="1:21" ht="12.75" hidden="1" x14ac:dyDescent="0.2">
      <c r="A407" s="228"/>
      <c r="B407" s="228"/>
      <c r="C407" s="228"/>
      <c r="D407" s="228"/>
      <c r="E407" s="228"/>
      <c r="F407" s="228"/>
      <c r="G407" s="231"/>
      <c r="H407" s="231"/>
      <c r="I407" s="232"/>
      <c r="J407" s="232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</row>
    <row r="408" spans="1:21" ht="12.75" hidden="1" x14ac:dyDescent="0.2">
      <c r="A408" s="228"/>
      <c r="B408" s="228"/>
      <c r="C408" s="228"/>
      <c r="D408" s="228"/>
      <c r="E408" s="228"/>
      <c r="F408" s="228"/>
      <c r="G408" s="231"/>
      <c r="H408" s="231"/>
      <c r="I408" s="232"/>
      <c r="J408" s="232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</row>
    <row r="409" spans="1:21" ht="12.75" hidden="1" x14ac:dyDescent="0.2">
      <c r="A409" s="228"/>
      <c r="B409" s="228"/>
      <c r="C409" s="228"/>
      <c r="D409" s="228"/>
      <c r="E409" s="228"/>
      <c r="F409" s="228"/>
      <c r="G409" s="231"/>
      <c r="H409" s="231"/>
      <c r="I409" s="232"/>
      <c r="J409" s="232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</row>
    <row r="410" spans="1:21" ht="12.75" hidden="1" x14ac:dyDescent="0.2">
      <c r="A410" s="228"/>
      <c r="B410" s="228"/>
      <c r="C410" s="228"/>
      <c r="D410" s="228"/>
      <c r="E410" s="228"/>
      <c r="F410" s="228"/>
      <c r="G410" s="231"/>
      <c r="H410" s="231"/>
      <c r="I410" s="232"/>
      <c r="J410" s="232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</row>
    <row r="411" spans="1:21" ht="12.75" hidden="1" x14ac:dyDescent="0.2">
      <c r="A411" s="316"/>
      <c r="B411" s="316"/>
      <c r="C411" s="316"/>
      <c r="D411" s="316"/>
      <c r="E411" s="316"/>
      <c r="F411" s="316"/>
      <c r="G411" s="317"/>
      <c r="H411" s="317"/>
      <c r="I411" s="318"/>
      <c r="J411" s="318"/>
      <c r="K411" s="319"/>
      <c r="L411" s="319"/>
      <c r="M411" s="319"/>
      <c r="N411" s="319"/>
      <c r="O411" s="319"/>
      <c r="P411" s="319"/>
      <c r="Q411" s="319"/>
      <c r="R411" s="319"/>
      <c r="S411" s="319"/>
      <c r="T411" s="319"/>
      <c r="U411" s="319"/>
    </row>
    <row r="412" spans="1:21" ht="19.5" x14ac:dyDescent="0.3">
      <c r="A412" s="301"/>
      <c r="B412" s="310" t="s">
        <v>157</v>
      </c>
      <c r="C412" s="301"/>
      <c r="D412" s="301"/>
      <c r="E412" s="301"/>
      <c r="F412" s="301"/>
      <c r="G412" s="320"/>
      <c r="H412" s="321" t="s">
        <v>46</v>
      </c>
      <c r="I412" s="296">
        <f t="shared" ref="I412:J412" ca="1" si="312">I423</f>
        <v>751126</v>
      </c>
      <c r="J412" s="296">
        <f t="shared" ca="1" si="312"/>
        <v>0</v>
      </c>
      <c r="K412" s="297">
        <f ca="1">IF(I412&gt;0,J412*100/I412,0)</f>
        <v>0</v>
      </c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</row>
    <row r="413" spans="1:21" ht="19.5" x14ac:dyDescent="0.3">
      <c r="A413" s="128"/>
      <c r="B413" s="158"/>
      <c r="C413" s="322" t="s">
        <v>18</v>
      </c>
      <c r="D413" s="1298" t="s">
        <v>19</v>
      </c>
      <c r="E413" s="1292"/>
      <c r="F413" s="1292"/>
      <c r="G413" s="1293"/>
      <c r="H413" s="323" t="s">
        <v>14</v>
      </c>
      <c r="I413" s="44"/>
      <c r="J413" s="44"/>
      <c r="K413" s="45"/>
      <c r="L413" s="132">
        <f t="shared" ref="L413:N413" ca="1" si="313">L414+L415</f>
        <v>6553650</v>
      </c>
      <c r="M413" s="132">
        <f t="shared" ca="1" si="313"/>
        <v>2579500</v>
      </c>
      <c r="N413" s="132">
        <f t="shared" ca="1" si="313"/>
        <v>13320</v>
      </c>
      <c r="O413" s="132">
        <f t="shared" ref="O413:O421" ca="1" si="314">IF(L413&gt;0,N413*100/L413,0)</f>
        <v>0.20324551967224372</v>
      </c>
      <c r="P413" s="132">
        <f t="shared" ref="P413:P421" ca="1" si="315">IF(M413&gt;0,N413*100/M413,0)</f>
        <v>0.51637914324481493</v>
      </c>
      <c r="Q413" s="132">
        <f t="shared" ref="Q413:S413" ca="1" si="316">Q414+Q415</f>
        <v>1058490</v>
      </c>
      <c r="R413" s="132">
        <f t="shared" ca="1" si="316"/>
        <v>1058490</v>
      </c>
      <c r="S413" s="132">
        <f t="shared" ca="1" si="316"/>
        <v>0</v>
      </c>
      <c r="T413" s="132">
        <f t="shared" ref="T413:T421" ca="1" si="317">IF(Q413&gt;0,S413*100/Q413,0)</f>
        <v>0</v>
      </c>
      <c r="U413" s="132">
        <f t="shared" ref="U413:U421" ca="1" si="318">IF(R413&gt;0,S413*100/R413,0)</f>
        <v>0</v>
      </c>
    </row>
    <row r="414" spans="1:21" ht="18.75" x14ac:dyDescent="0.25">
      <c r="A414" s="128"/>
      <c r="B414" s="158"/>
      <c r="C414" s="158"/>
      <c r="D414" s="158"/>
      <c r="E414" s="314" t="s">
        <v>158</v>
      </c>
      <c r="F414" s="158"/>
      <c r="G414" s="180"/>
      <c r="H414" s="176" t="s">
        <v>14</v>
      </c>
      <c r="I414" s="44"/>
      <c r="J414" s="44"/>
      <c r="K414" s="45"/>
      <c r="L414" s="48">
        <f t="shared" ref="L414:N414" ca="1" si="319">L417+L420</f>
        <v>0</v>
      </c>
      <c r="M414" s="48">
        <f t="shared" ca="1" si="319"/>
        <v>0</v>
      </c>
      <c r="N414" s="48">
        <f t="shared" ca="1" si="319"/>
        <v>0</v>
      </c>
      <c r="O414" s="48">
        <f t="shared" ca="1" si="314"/>
        <v>0</v>
      </c>
      <c r="P414" s="48">
        <f t="shared" ca="1" si="315"/>
        <v>0</v>
      </c>
      <c r="Q414" s="48">
        <f t="shared" ref="Q414:S414" ca="1" si="320">Q417+Q420</f>
        <v>0</v>
      </c>
      <c r="R414" s="48">
        <f t="shared" ca="1" si="320"/>
        <v>0</v>
      </c>
      <c r="S414" s="48">
        <f t="shared" ca="1" si="320"/>
        <v>0</v>
      </c>
      <c r="T414" s="48">
        <f t="shared" ca="1" si="317"/>
        <v>0</v>
      </c>
      <c r="U414" s="48">
        <f t="shared" ca="1" si="318"/>
        <v>0</v>
      </c>
    </row>
    <row r="415" spans="1:21" ht="18.75" x14ac:dyDescent="0.25">
      <c r="A415" s="128"/>
      <c r="B415" s="158"/>
      <c r="C415" s="158"/>
      <c r="D415" s="158"/>
      <c r="E415" s="209" t="s">
        <v>159</v>
      </c>
      <c r="F415" s="158"/>
      <c r="G415" s="180"/>
      <c r="H415" s="175" t="s">
        <v>14</v>
      </c>
      <c r="I415" s="44"/>
      <c r="J415" s="44"/>
      <c r="K415" s="45"/>
      <c r="L415" s="46">
        <f t="shared" ref="L415:N415" ca="1" si="321">L418+L421</f>
        <v>6553650</v>
      </c>
      <c r="M415" s="46">
        <f t="shared" ca="1" si="321"/>
        <v>2579500</v>
      </c>
      <c r="N415" s="46">
        <f t="shared" ca="1" si="321"/>
        <v>13320</v>
      </c>
      <c r="O415" s="46">
        <f t="shared" ca="1" si="314"/>
        <v>0.20324551967224372</v>
      </c>
      <c r="P415" s="46">
        <f t="shared" ca="1" si="315"/>
        <v>0.51637914324481493</v>
      </c>
      <c r="Q415" s="46">
        <f t="shared" ref="Q415:S415" ca="1" si="322">Q418+Q421</f>
        <v>1058490</v>
      </c>
      <c r="R415" s="46">
        <f t="shared" ca="1" si="322"/>
        <v>1058490</v>
      </c>
      <c r="S415" s="46">
        <f t="shared" ca="1" si="322"/>
        <v>0</v>
      </c>
      <c r="T415" s="46">
        <f t="shared" ca="1" si="317"/>
        <v>0</v>
      </c>
      <c r="U415" s="46">
        <f t="shared" ca="1" si="318"/>
        <v>0</v>
      </c>
    </row>
    <row r="416" spans="1:21" ht="19.5" x14ac:dyDescent="0.3">
      <c r="A416" s="128"/>
      <c r="B416" s="158"/>
      <c r="C416" s="158"/>
      <c r="D416" s="312" t="s">
        <v>22</v>
      </c>
      <c r="E416" s="158"/>
      <c r="F416" s="158"/>
      <c r="G416" s="180"/>
      <c r="H416" s="323" t="s">
        <v>14</v>
      </c>
      <c r="I416" s="44"/>
      <c r="J416" s="44"/>
      <c r="K416" s="45"/>
      <c r="L416" s="46">
        <f t="shared" ref="L416:N416" ca="1" si="323">L417+L418</f>
        <v>6553650</v>
      </c>
      <c r="M416" s="46">
        <f t="shared" ca="1" si="323"/>
        <v>2579500</v>
      </c>
      <c r="N416" s="46">
        <f t="shared" ca="1" si="323"/>
        <v>13320</v>
      </c>
      <c r="O416" s="46">
        <f t="shared" ca="1" si="314"/>
        <v>0.20324551967224372</v>
      </c>
      <c r="P416" s="46">
        <f t="shared" ca="1" si="315"/>
        <v>0.51637914324481493</v>
      </c>
      <c r="Q416" s="46">
        <f t="shared" ref="Q416:S416" ca="1" si="324">Q417+Q418</f>
        <v>1058490</v>
      </c>
      <c r="R416" s="46">
        <f t="shared" ca="1" si="324"/>
        <v>1058490</v>
      </c>
      <c r="S416" s="46">
        <f t="shared" ca="1" si="324"/>
        <v>0</v>
      </c>
      <c r="T416" s="46">
        <f t="shared" ca="1" si="317"/>
        <v>0</v>
      </c>
      <c r="U416" s="46">
        <f t="shared" ca="1" si="318"/>
        <v>0</v>
      </c>
    </row>
    <row r="417" spans="1:21" ht="18.75" x14ac:dyDescent="0.25">
      <c r="A417" s="128"/>
      <c r="B417" s="158"/>
      <c r="C417" s="158"/>
      <c r="D417" s="158"/>
      <c r="E417" s="314" t="s">
        <v>158</v>
      </c>
      <c r="F417" s="158"/>
      <c r="G417" s="180"/>
      <c r="H417" s="176" t="s">
        <v>14</v>
      </c>
      <c r="I417" s="44"/>
      <c r="J417" s="44"/>
      <c r="K417" s="45"/>
      <c r="L417" s="48">
        <f ca="1">IFERROR(__xludf.DUMMYFUNCTION("IMPORTRANGE(""https://docs.google.com/spreadsheets/d/1jTcq05yEiRwXcBMLjiodW9e4biSGYWAHcDj22rKWQ3s/edit?usp=sharing"",""กำแพงเพชร!L417"")+IMPORTRANGE(""https://docs.google.com/spreadsheets/d/1KS0zmDSZPk8KnTAbGN-Xk6MtX1YRZD0ldgdt20K4CRk/edit?usp=sharing"","&amp;"""เชียงราย!L417"")+IMPORTRANGE(""https://docs.google.com/spreadsheets/d/1rEDxBtusbi64tE0zunoIbsTVV16HeL0oJ6trHQeQ7K8/edit?usp=sharing"",""เชียงใหม่!L417"")+IMPORTRANGE(""https://docs.google.com/spreadsheets/d/1W6MnUbDkMi6xHnHko_XkFDO9kkuL6Wqyc-6OCDFjW9I/e"&amp;"dit?usp=sharing"",""ตาก!L417"")+IMPORTRANGE(""https://docs.google.com/spreadsheets/d/1IQAWArduLkta9LpYo4a_ULsyqdta6-6aDDiwpUnQT6c/edit?usp=sharing"",""นครสวรรค์!L417"")+IMPORTRANGE(""https://docs.google.com/spreadsheets/d/10s13Sk5xrltsiR-Zkbmk5DwIaDIKO8Xl"&amp;"bJAfqyT7Gvg/edit?usp=sharing"",""น่าน!L417"")+IMPORTRANGE(""https://docs.google.com/spreadsheets/d/1uu4nAn4Dbi1XREnLKKotUANlKXa7yCgRcgq8HEzQYW8/edit?usp=sharing"",""พะเยา!L417"")+IMPORTRANGE(""https://docs.google.com/spreadsheets/d/1xfJKIQxVOaPDIICqsflNlL"&amp;"u3JacTDk1FP9RH4phX7mI/edit?usp=sharing"",""พิจิตร!L417"")+IMPORTRANGE(""https://docs.google.com/spreadsheets/d/1JtRfZkJMHtEhI5RdRHxYUG4FIZHqKDpNyIuN7A1Q0_k/edit?usp=sharing"",""พิษณุโลก!L417"")+IMPORTRANGE(""https://docs.google.com/spreadsheets/d/1xlcVZWU"&amp;"Nn6SuWm0c307h32SiGkd9BaeQWlAktfD3KO8/edit?usp=sharing"",""เพชรบูรณ์!L417"")+IMPORTRANGE(""https://docs.google.com/spreadsheets/d/1lOVebEIsI9qjGXl6EX66luk7wiuP2tBaryw-wKvv4e0/edit?usp=sharing"",""แพร่!L417"")+IMPORTRANGE(""https://docs.google.com/spreadshe"&amp;"ets/d/1dQrvX0vEcN7Gu0fnZ0B5S90AeR19zth4XlExFBeExMY/edit?usp=sharing"",""แม่ฮ่องสอน!L417"")+IMPORTRANGE(""https://docs.google.com/spreadsheets/d/1DY4XTNNwjluuxqdfdn6qvOSlMRrZqUtmYcZR0ttFiG4/edit?usp=sharing"",""ลำปาง!L417"")+IMPORTRANGE(""https://docs.goog"&amp;"le.com/spreadsheets/d/1ICwG78r0OFT8biBlxnBF8r7she7gNSzOvJ958PWT09c/edit?usp=sharing"",""ลำพูน!L417"")+IMPORTRANGE(""https://docs.google.com/spreadsheets/d/1B0f2xJpZUC6Z0xXnqKlZtEPzsf6L84eP1r1Q15seqRM/edit?usp=sharing"",""สุโขทัย!L417"")+IMPORTRANGE(""http"&amp;"s://docs.google.com/spreadsheets/d/1v0b9pFQCsKUVExMei7AgY2yQkdeNQvtOssygGsXbiKo/edit?usp=sharing"",""อุตรดิตถ์!L417"")+IMPORTRANGE(""https://docs.google.com/spreadsheets/d/1UsNK1e-WWiCo2PvGqdNfdme4m17_Ezd3J69EeeiQPD0/edit?usp=sharing"",""อุทัยธานี!L417"")"),0)</f>
        <v>0</v>
      </c>
      <c r="M417" s="48">
        <f ca="1">IFERROR(__xludf.DUMMYFUNCTION("IMPORTRANGE(""https://docs.google.com/spreadsheets/d/1jTcq05yEiRwXcBMLjiodW9e4biSGYWAHcDj22rKWQ3s/edit?usp=sharing"",""กำแพงเพชร!M417"")+IMPORTRANGE(""https://docs.google.com/spreadsheets/d/1KS0zmDSZPk8KnTAbGN-Xk6MtX1YRZD0ldgdt20K4CRk/edit?usp=sharing"","&amp;"""เชียงราย!M417"")+IMPORTRANGE(""https://docs.google.com/spreadsheets/d/1rEDxBtusbi64tE0zunoIbsTVV16HeL0oJ6trHQeQ7K8/edit?usp=sharing"",""เชียงใหม่!M417"")+IMPORTRANGE(""https://docs.google.com/spreadsheets/d/1W6MnUbDkMi6xHnHko_XkFDO9kkuL6Wqyc-6OCDFjW9I/e"&amp;"dit?usp=sharing"",""ตาก!M417"")+IMPORTRANGE(""https://docs.google.com/spreadsheets/d/1IQAWArduLkta9LpYo4a_ULsyqdta6-6aDDiwpUnQT6c/edit?usp=sharing"",""นครสวรรค์!M417"")+IMPORTRANGE(""https://docs.google.com/spreadsheets/d/10s13Sk5xrltsiR-Zkbmk5DwIaDIKO8Xl"&amp;"bJAfqyT7Gvg/edit?usp=sharing"",""น่าน!M417"")+IMPORTRANGE(""https://docs.google.com/spreadsheets/d/1uu4nAn4Dbi1XREnLKKotUANlKXa7yCgRcgq8HEzQYW8/edit?usp=sharing"",""พะเยา!M417"")+IMPORTRANGE(""https://docs.google.com/spreadsheets/d/1xfJKIQxVOaPDIICqsflNlL"&amp;"u3JacTDk1FP9RH4phX7mI/edit?usp=sharing"",""พิจิตร!M417"")+IMPORTRANGE(""https://docs.google.com/spreadsheets/d/1JtRfZkJMHtEhI5RdRHxYUG4FIZHqKDpNyIuN7A1Q0_k/edit?usp=sharing"",""พิษณุโลก!M417"")+IMPORTRANGE(""https://docs.google.com/spreadsheets/d/1xlcVZWU"&amp;"Nn6SuWm0c307h32SiGkd9BaeQWlAktfD3KO8/edit?usp=sharing"",""เพชรบูรณ์!M417"")+IMPORTRANGE(""https://docs.google.com/spreadsheets/d/1lOVebEIsI9qjGXl6EX66luk7wiuP2tBaryw-wKvv4e0/edit?usp=sharing"",""แพร่!M417"")+IMPORTRANGE(""https://docs.google.com/spreadshe"&amp;"ets/d/1dQrvX0vEcN7Gu0fnZ0B5S90AeR19zth4XlExFBeExMY/edit?usp=sharing"",""แม่ฮ่องสอน!M417"")+IMPORTRANGE(""https://docs.google.com/spreadsheets/d/1DY4XTNNwjluuxqdfdn6qvOSlMRrZqUtmYcZR0ttFiG4/edit?usp=sharing"",""ลำปาง!M417"")+IMPORTRANGE(""https://docs.goog"&amp;"le.com/spreadsheets/d/1ICwG78r0OFT8biBlxnBF8r7she7gNSzOvJ958PWT09c/edit?usp=sharing"",""ลำพูน!M417"")+IMPORTRANGE(""https://docs.google.com/spreadsheets/d/1B0f2xJpZUC6Z0xXnqKlZtEPzsf6L84eP1r1Q15seqRM/edit?usp=sharing"",""สุโขทัย!M417"")+IMPORTRANGE(""http"&amp;"s://docs.google.com/spreadsheets/d/1v0b9pFQCsKUVExMei7AgY2yQkdeNQvtOssygGsXbiKo/edit?usp=sharing"",""อุตรดิตถ์!M417"")+IMPORTRANGE(""https://docs.google.com/spreadsheets/d/1UsNK1e-WWiCo2PvGqdNfdme4m17_Ezd3J69EeeiQPD0/edit?usp=sharing"",""อุทัยธานี!M417"")"),0)</f>
        <v>0</v>
      </c>
      <c r="N417" s="48">
        <f ca="1">IFERROR(__xludf.DUMMYFUNCTION("IMPORTRANGE(""https://docs.google.com/spreadsheets/d/1jTcq05yEiRwXcBMLjiodW9e4biSGYWAHcDj22rKWQ3s/edit?usp=sharing"",""กำแพงเพชร!N417"")+IMPORTRANGE(""https://docs.google.com/spreadsheets/d/1KS0zmDSZPk8KnTAbGN-Xk6MtX1YRZD0ldgdt20K4CRk/edit?usp=sharing"","&amp;"""เชียงราย!N417"")+IMPORTRANGE(""https://docs.google.com/spreadsheets/d/1rEDxBtusbi64tE0zunoIbsTVV16HeL0oJ6trHQeQ7K8/edit?usp=sharing"",""เชียงใหม่!N417"")+IMPORTRANGE(""https://docs.google.com/spreadsheets/d/1W6MnUbDkMi6xHnHko_XkFDO9kkuL6Wqyc-6OCDFjW9I/e"&amp;"dit?usp=sharing"",""ตาก!N417"")+IMPORTRANGE(""https://docs.google.com/spreadsheets/d/1IQAWArduLkta9LpYo4a_ULsyqdta6-6aDDiwpUnQT6c/edit?usp=sharing"",""นครสวรรค์!N417"")+IMPORTRANGE(""https://docs.google.com/spreadsheets/d/10s13Sk5xrltsiR-Zkbmk5DwIaDIKO8Xl"&amp;"bJAfqyT7Gvg/edit?usp=sharing"",""น่าน!N417"")+IMPORTRANGE(""https://docs.google.com/spreadsheets/d/1uu4nAn4Dbi1XREnLKKotUANlKXa7yCgRcgq8HEzQYW8/edit?usp=sharing"",""พะเยา!N417"")+IMPORTRANGE(""https://docs.google.com/spreadsheets/d/1xfJKIQxVOaPDIICqsflNlL"&amp;"u3JacTDk1FP9RH4phX7mI/edit?usp=sharing"",""พิจิตร!N417"")+IMPORTRANGE(""https://docs.google.com/spreadsheets/d/1JtRfZkJMHtEhI5RdRHxYUG4FIZHqKDpNyIuN7A1Q0_k/edit?usp=sharing"",""พิษณุโลก!N417"")+IMPORTRANGE(""https://docs.google.com/spreadsheets/d/1xlcVZWU"&amp;"Nn6SuWm0c307h32SiGkd9BaeQWlAktfD3KO8/edit?usp=sharing"",""เพชรบูรณ์!N417"")+IMPORTRANGE(""https://docs.google.com/spreadsheets/d/1lOVebEIsI9qjGXl6EX66luk7wiuP2tBaryw-wKvv4e0/edit?usp=sharing"",""แพร่!N417"")+IMPORTRANGE(""https://docs.google.com/spreadshe"&amp;"ets/d/1dQrvX0vEcN7Gu0fnZ0B5S90AeR19zth4XlExFBeExMY/edit?usp=sharing"",""แม่ฮ่องสอน!N417"")+IMPORTRANGE(""https://docs.google.com/spreadsheets/d/1DY4XTNNwjluuxqdfdn6qvOSlMRrZqUtmYcZR0ttFiG4/edit?usp=sharing"",""ลำปาง!N417"")+IMPORTRANGE(""https://docs.goog"&amp;"le.com/spreadsheets/d/1ICwG78r0OFT8biBlxnBF8r7she7gNSzOvJ958PWT09c/edit?usp=sharing"",""ลำพูน!N417"")+IMPORTRANGE(""https://docs.google.com/spreadsheets/d/1B0f2xJpZUC6Z0xXnqKlZtEPzsf6L84eP1r1Q15seqRM/edit?usp=sharing"",""สุโขทัย!N417"")+IMPORTRANGE(""http"&amp;"s://docs.google.com/spreadsheets/d/1v0b9pFQCsKUVExMei7AgY2yQkdeNQvtOssygGsXbiKo/edit?usp=sharing"",""อุตรดิตถ์!N417"")+IMPORTRANGE(""https://docs.google.com/spreadsheets/d/1UsNK1e-WWiCo2PvGqdNfdme4m17_Ezd3J69EeeiQPD0/edit?usp=sharing"",""อุทัยธานี!N417"")"),0)</f>
        <v>0</v>
      </c>
      <c r="O417" s="48">
        <f t="shared" ca="1" si="314"/>
        <v>0</v>
      </c>
      <c r="P417" s="48">
        <f t="shared" ca="1" si="315"/>
        <v>0</v>
      </c>
      <c r="Q417" s="48">
        <f ca="1">IFERROR(__xludf.DUMMYFUNCTION("IMPORTRANGE(""https://docs.google.com/spreadsheets/d/1jTcq05yEiRwXcBMLjiodW9e4biSGYWAHcDj22rKWQ3s/edit?usp=sharing"",""กำแพงเพชร!Q417"")+IMPORTRANGE(""https://docs.google.com/spreadsheets/d/1KS0zmDSZPk8KnTAbGN-Xk6MtX1YRZD0ldgdt20K4CRk/edit?usp=sharing"","&amp;"""เชียงราย!Q417"")+IMPORTRANGE(""https://docs.google.com/spreadsheets/d/1rEDxBtusbi64tE0zunoIbsTVV16HeL0oJ6trHQeQ7K8/edit?usp=sharing"",""เชียงใหม่!Q417"")+IMPORTRANGE(""https://docs.google.com/spreadsheets/d/1W6MnUbDkMi6xHnHko_XkFDO9kkuL6Wqyc-6OCDFjW9I/e"&amp;"dit?usp=sharing"",""ตาก!Q417"")+IMPORTRANGE(""https://docs.google.com/spreadsheets/d/1IQAWArduLkta9LpYo4a_ULsyqdta6-6aDDiwpUnQT6c/edit?usp=sharing"",""นครสวรรค์!Q417"")+IMPORTRANGE(""https://docs.google.com/spreadsheets/d/10s13Sk5xrltsiR-Zkbmk5DwIaDIKO8Xl"&amp;"bJAfqyT7Gvg/edit?usp=sharing"",""น่าน!Q417"")+IMPORTRANGE(""https://docs.google.com/spreadsheets/d/1uu4nAn4Dbi1XREnLKKotUANlKXa7yCgRcgq8HEzQYW8/edit?usp=sharing"",""พะเยา!Q417"")+IMPORTRANGE(""https://docs.google.com/spreadsheets/d/1xfJKIQxVOaPDIICqsflNlL"&amp;"u3JacTDk1FP9RH4phX7mI/edit?usp=sharing"",""พิจิตร!Q417"")+IMPORTRANGE(""https://docs.google.com/spreadsheets/d/1JtRfZkJMHtEhI5RdRHxYUG4FIZHqKDpNyIuN7A1Q0_k/edit?usp=sharing"",""พิษณุโลก!Q417"")+IMPORTRANGE(""https://docs.google.com/spreadsheets/d/1xlcVZWU"&amp;"Nn6SuWm0c307h32SiGkd9BaeQWlAktfD3KO8/edit?usp=sharing"",""เพชรบูรณ์!Q417"")+IMPORTRANGE(""https://docs.google.com/spreadsheets/d/1lOVebEIsI9qjGXl6EX66luk7wiuP2tBaryw-wKvv4e0/edit?usp=sharing"",""แพร่!Q417"")+IMPORTRANGE(""https://docs.google.com/spreadshe"&amp;"ets/d/1dQrvX0vEcN7Gu0fnZ0B5S90AeR19zth4XlExFBeExMY/edit?usp=sharing"",""แม่ฮ่องสอน!Q417"")+IMPORTRANGE(""https://docs.google.com/spreadsheets/d/1DY4XTNNwjluuxqdfdn6qvOSlMRrZqUtmYcZR0ttFiG4/edit?usp=sharing"",""ลำปาง!Q417"")+IMPORTRANGE(""https://docs.goog"&amp;"le.com/spreadsheets/d/1ICwG78r0OFT8biBlxnBF8r7she7gNSzOvJ958PWT09c/edit?usp=sharing"",""ลำพูน!Q417"")+IMPORTRANGE(""https://docs.google.com/spreadsheets/d/1B0f2xJpZUC6Z0xXnqKlZtEPzsf6L84eP1r1Q15seqRM/edit?usp=sharing"",""สุโขทัย!Q417"")+IMPORTRANGE(""http"&amp;"s://docs.google.com/spreadsheets/d/1v0b9pFQCsKUVExMei7AgY2yQkdeNQvtOssygGsXbiKo/edit?usp=sharing"",""อุตรดิตถ์!Q417"")+IMPORTRANGE(""https://docs.google.com/spreadsheets/d/1UsNK1e-WWiCo2PvGqdNfdme4m17_Ezd3J69EeeiQPD0/edit?usp=sharing"",""อุทัยธานี!Q417"")"),0)</f>
        <v>0</v>
      </c>
      <c r="R417" s="48">
        <f ca="1">IFERROR(__xludf.DUMMYFUNCTION("IMPORTRANGE(""https://docs.google.com/spreadsheets/d/1jTcq05yEiRwXcBMLjiodW9e4biSGYWAHcDj22rKWQ3s/edit?usp=sharing"",""กำแพงเพชร!R417"")+IMPORTRANGE(""https://docs.google.com/spreadsheets/d/1KS0zmDSZPk8KnTAbGN-Xk6MtX1YRZD0ldgdt20K4CRk/edit?usp=sharing"","&amp;"""เชียงราย!R417"")+IMPORTRANGE(""https://docs.google.com/spreadsheets/d/1rEDxBtusbi64tE0zunoIbsTVV16HeL0oJ6trHQeQ7K8/edit?usp=sharing"",""เชียงใหม่!R417"")+IMPORTRANGE(""https://docs.google.com/spreadsheets/d/1W6MnUbDkMi6xHnHko_XkFDO9kkuL6Wqyc-6OCDFjW9I/e"&amp;"dit?usp=sharing"",""ตาก!R417"")+IMPORTRANGE(""https://docs.google.com/spreadsheets/d/1IQAWArduLkta9LpYo4a_ULsyqdta6-6aDDiwpUnQT6c/edit?usp=sharing"",""นครสวรรค์!R417"")+IMPORTRANGE(""https://docs.google.com/spreadsheets/d/10s13Sk5xrltsiR-Zkbmk5DwIaDIKO8Xl"&amp;"bJAfqyT7Gvg/edit?usp=sharing"",""น่าน!R417"")+IMPORTRANGE(""https://docs.google.com/spreadsheets/d/1uu4nAn4Dbi1XREnLKKotUANlKXa7yCgRcgq8HEzQYW8/edit?usp=sharing"",""พะเยา!R417"")+IMPORTRANGE(""https://docs.google.com/spreadsheets/d/1xfJKIQxVOaPDIICqsflNlL"&amp;"u3JacTDk1FP9RH4phX7mI/edit?usp=sharing"",""พิจิตร!R417"")+IMPORTRANGE(""https://docs.google.com/spreadsheets/d/1JtRfZkJMHtEhI5RdRHxYUG4FIZHqKDpNyIuN7A1Q0_k/edit?usp=sharing"",""พิษณุโลก!R417"")+IMPORTRANGE(""https://docs.google.com/spreadsheets/d/1xlcVZWU"&amp;"Nn6SuWm0c307h32SiGkd9BaeQWlAktfD3KO8/edit?usp=sharing"",""เพชรบูรณ์!R417"")+IMPORTRANGE(""https://docs.google.com/spreadsheets/d/1lOVebEIsI9qjGXl6EX66luk7wiuP2tBaryw-wKvv4e0/edit?usp=sharing"",""แพร่!R417"")+IMPORTRANGE(""https://docs.google.com/spreadshe"&amp;"ets/d/1dQrvX0vEcN7Gu0fnZ0B5S90AeR19zth4XlExFBeExMY/edit?usp=sharing"",""แม่ฮ่องสอน!R417"")+IMPORTRANGE(""https://docs.google.com/spreadsheets/d/1DY4XTNNwjluuxqdfdn6qvOSlMRrZqUtmYcZR0ttFiG4/edit?usp=sharing"",""ลำปาง!R417"")+IMPORTRANGE(""https://docs.goog"&amp;"le.com/spreadsheets/d/1ICwG78r0OFT8biBlxnBF8r7she7gNSzOvJ958PWT09c/edit?usp=sharing"",""ลำพูน!R417"")+IMPORTRANGE(""https://docs.google.com/spreadsheets/d/1B0f2xJpZUC6Z0xXnqKlZtEPzsf6L84eP1r1Q15seqRM/edit?usp=sharing"",""สุโขทัย!R417"")+IMPORTRANGE(""http"&amp;"s://docs.google.com/spreadsheets/d/1v0b9pFQCsKUVExMei7AgY2yQkdeNQvtOssygGsXbiKo/edit?usp=sharing"",""อุตรดิตถ์!R417"")+IMPORTRANGE(""https://docs.google.com/spreadsheets/d/1UsNK1e-WWiCo2PvGqdNfdme4m17_Ezd3J69EeeiQPD0/edit?usp=sharing"",""อุทัยธานี!R417"")"),0)</f>
        <v>0</v>
      </c>
      <c r="S417" s="48">
        <f ca="1">IFERROR(__xludf.DUMMYFUNCTION("IMPORTRANGE(""https://docs.google.com/spreadsheets/d/1jTcq05yEiRwXcBMLjiodW9e4biSGYWAHcDj22rKWQ3s/edit?usp=sharing"",""กำแพงเพชร!S417"")+IMPORTRANGE(""https://docs.google.com/spreadsheets/d/1KS0zmDSZPk8KnTAbGN-Xk6MtX1YRZD0ldgdt20K4CRk/edit?usp=sharing"","&amp;"""เชียงราย!S417"")+IMPORTRANGE(""https://docs.google.com/spreadsheets/d/1rEDxBtusbi64tE0zunoIbsTVV16HeL0oJ6trHQeQ7K8/edit?usp=sharing"",""เชียงใหม่!S417"")+IMPORTRANGE(""https://docs.google.com/spreadsheets/d/1W6MnUbDkMi6xHnHko_XkFDO9kkuL6Wqyc-6OCDFjW9I/e"&amp;"dit?usp=sharing"",""ตาก!S417"")+IMPORTRANGE(""https://docs.google.com/spreadsheets/d/1IQAWArduLkta9LpYo4a_ULsyqdta6-6aDDiwpUnQT6c/edit?usp=sharing"",""นครสวรรค์!S417"")+IMPORTRANGE(""https://docs.google.com/spreadsheets/d/10s13Sk5xrltsiR-Zkbmk5DwIaDIKO8Xl"&amp;"bJAfqyT7Gvg/edit?usp=sharing"",""น่าน!S417"")+IMPORTRANGE(""https://docs.google.com/spreadsheets/d/1uu4nAn4Dbi1XREnLKKotUANlKXa7yCgRcgq8HEzQYW8/edit?usp=sharing"",""พะเยา!S417"")+IMPORTRANGE(""https://docs.google.com/spreadsheets/d/1xfJKIQxVOaPDIICqsflNlL"&amp;"u3JacTDk1FP9RH4phX7mI/edit?usp=sharing"",""พิจิตร!S417"")+IMPORTRANGE(""https://docs.google.com/spreadsheets/d/1JtRfZkJMHtEhI5RdRHxYUG4FIZHqKDpNyIuN7A1Q0_k/edit?usp=sharing"",""พิษณุโลก!S417"")+IMPORTRANGE(""https://docs.google.com/spreadsheets/d/1xlcVZWU"&amp;"Nn6SuWm0c307h32SiGkd9BaeQWlAktfD3KO8/edit?usp=sharing"",""เพชรบูรณ์!S417"")+IMPORTRANGE(""https://docs.google.com/spreadsheets/d/1lOVebEIsI9qjGXl6EX66luk7wiuP2tBaryw-wKvv4e0/edit?usp=sharing"",""แพร่!S417"")+IMPORTRANGE(""https://docs.google.com/spreadshe"&amp;"ets/d/1dQrvX0vEcN7Gu0fnZ0B5S90AeR19zth4XlExFBeExMY/edit?usp=sharing"",""แม่ฮ่องสอน!S417"")+IMPORTRANGE(""https://docs.google.com/spreadsheets/d/1DY4XTNNwjluuxqdfdn6qvOSlMRrZqUtmYcZR0ttFiG4/edit?usp=sharing"",""ลำปาง!S417"")+IMPORTRANGE(""https://docs.goog"&amp;"le.com/spreadsheets/d/1ICwG78r0OFT8biBlxnBF8r7she7gNSzOvJ958PWT09c/edit?usp=sharing"",""ลำพูน!S417"")+IMPORTRANGE(""https://docs.google.com/spreadsheets/d/1B0f2xJpZUC6Z0xXnqKlZtEPzsf6L84eP1r1Q15seqRM/edit?usp=sharing"",""สุโขทัย!S417"")+IMPORTRANGE(""http"&amp;"s://docs.google.com/spreadsheets/d/1v0b9pFQCsKUVExMei7AgY2yQkdeNQvtOssygGsXbiKo/edit?usp=sharing"",""อุตรดิตถ์!S417"")+IMPORTRANGE(""https://docs.google.com/spreadsheets/d/1UsNK1e-WWiCo2PvGqdNfdme4m17_Ezd3J69EeeiQPD0/edit?usp=sharing"",""อุทัยธานี!S417"")"),0)</f>
        <v>0</v>
      </c>
      <c r="T417" s="48">
        <f t="shared" ca="1" si="317"/>
        <v>0</v>
      </c>
      <c r="U417" s="48">
        <f t="shared" ca="1" si="318"/>
        <v>0</v>
      </c>
    </row>
    <row r="418" spans="1:21" ht="18.75" x14ac:dyDescent="0.25">
      <c r="A418" s="128"/>
      <c r="B418" s="158"/>
      <c r="C418" s="158"/>
      <c r="D418" s="158"/>
      <c r="E418" s="209" t="s">
        <v>159</v>
      </c>
      <c r="F418" s="158"/>
      <c r="G418" s="180"/>
      <c r="H418" s="175" t="s">
        <v>14</v>
      </c>
      <c r="I418" s="44"/>
      <c r="J418" s="44"/>
      <c r="K418" s="45"/>
      <c r="L418" s="46">
        <f ca="1">IFERROR(__xludf.DUMMYFUNCTION("IMPORTRANGE(""https://docs.google.com/spreadsheets/d/1jTcq05yEiRwXcBMLjiodW9e4biSGYWAHcDj22rKWQ3s/edit?usp=sharing"",""กำแพงเพชร!L418"")+IMPORTRANGE(""https://docs.google.com/spreadsheets/d/1KS0zmDSZPk8KnTAbGN-Xk6MtX1YRZD0ldgdt20K4CRk/edit?usp=sharing"","&amp;"""เชียงราย!L418"")+IMPORTRANGE(""https://docs.google.com/spreadsheets/d/1rEDxBtusbi64tE0zunoIbsTVV16HeL0oJ6trHQeQ7K8/edit?usp=sharing"",""เชียงใหม่!L418"")+IMPORTRANGE(""https://docs.google.com/spreadsheets/d/1W6MnUbDkMi6xHnHko_XkFDO9kkuL6Wqyc-6OCDFjW9I/e"&amp;"dit?usp=sharing"",""ตาก!L418"")+IMPORTRANGE(""https://docs.google.com/spreadsheets/d/1IQAWArduLkta9LpYo4a_ULsyqdta6-6aDDiwpUnQT6c/edit?usp=sharing"",""นครสวรรค์!L418"")+IMPORTRANGE(""https://docs.google.com/spreadsheets/d/10s13Sk5xrltsiR-Zkbmk5DwIaDIKO8Xl"&amp;"bJAfqyT7Gvg/edit?usp=sharing"",""น่าน!L418"")+IMPORTRANGE(""https://docs.google.com/spreadsheets/d/1uu4nAn4Dbi1XREnLKKotUANlKXa7yCgRcgq8HEzQYW8/edit?usp=sharing"",""พะเยา!L418"")+IMPORTRANGE(""https://docs.google.com/spreadsheets/d/1xfJKIQxVOaPDIICqsflNlL"&amp;"u3JacTDk1FP9RH4phX7mI/edit?usp=sharing"",""พิจิตร!L418"")+IMPORTRANGE(""https://docs.google.com/spreadsheets/d/1JtRfZkJMHtEhI5RdRHxYUG4FIZHqKDpNyIuN7A1Q0_k/edit?usp=sharing"",""พิษณุโลก!L418"")+IMPORTRANGE(""https://docs.google.com/spreadsheets/d/1xlcVZWU"&amp;"Nn6SuWm0c307h32SiGkd9BaeQWlAktfD3KO8/edit?usp=sharing"",""เพชรบูรณ์!L418"")+IMPORTRANGE(""https://docs.google.com/spreadsheets/d/1lOVebEIsI9qjGXl6EX66luk7wiuP2tBaryw-wKvv4e0/edit?usp=sharing"",""แพร่!L418"")+IMPORTRANGE(""https://docs.google.com/spreadshe"&amp;"ets/d/1dQrvX0vEcN7Gu0fnZ0B5S90AeR19zth4XlExFBeExMY/edit?usp=sharing"",""แม่ฮ่องสอน!L418"")+IMPORTRANGE(""https://docs.google.com/spreadsheets/d/1DY4XTNNwjluuxqdfdn6qvOSlMRrZqUtmYcZR0ttFiG4/edit?usp=sharing"",""ลำปาง!L418"")+IMPORTRANGE(""https://docs.goog"&amp;"le.com/spreadsheets/d/1ICwG78r0OFT8biBlxnBF8r7she7gNSzOvJ958PWT09c/edit?usp=sharing"",""ลำพูน!L418"")+IMPORTRANGE(""https://docs.google.com/spreadsheets/d/1B0f2xJpZUC6Z0xXnqKlZtEPzsf6L84eP1r1Q15seqRM/edit?usp=sharing"",""สุโขทัย!L418"")+IMPORTRANGE(""http"&amp;"s://docs.google.com/spreadsheets/d/1v0b9pFQCsKUVExMei7AgY2yQkdeNQvtOssygGsXbiKo/edit?usp=sharing"",""อุตรดิตถ์!L418"")+IMPORTRANGE(""https://docs.google.com/spreadsheets/d/1UsNK1e-WWiCo2PvGqdNfdme4m17_Ezd3J69EeeiQPD0/edit?usp=sharing"",""อุทัยธานี!L418"")"),6553650)</f>
        <v>6553650</v>
      </c>
      <c r="M418" s="46">
        <f ca="1">IFERROR(__xludf.DUMMYFUNCTION("IMPORTRANGE(""https://docs.google.com/spreadsheets/d/1jTcq05yEiRwXcBMLjiodW9e4biSGYWAHcDj22rKWQ3s/edit?usp=sharing"",""กำแพงเพชร!M418"")+IMPORTRANGE(""https://docs.google.com/spreadsheets/d/1KS0zmDSZPk8KnTAbGN-Xk6MtX1YRZD0ldgdt20K4CRk/edit?usp=sharing"","&amp;"""เชียงราย!M418"")+IMPORTRANGE(""https://docs.google.com/spreadsheets/d/1rEDxBtusbi64tE0zunoIbsTVV16HeL0oJ6trHQeQ7K8/edit?usp=sharing"",""เชียงใหม่!M418"")+IMPORTRANGE(""https://docs.google.com/spreadsheets/d/1W6MnUbDkMi6xHnHko_XkFDO9kkuL6Wqyc-6OCDFjW9I/e"&amp;"dit?usp=sharing"",""ตาก!M418"")+IMPORTRANGE(""https://docs.google.com/spreadsheets/d/1IQAWArduLkta9LpYo4a_ULsyqdta6-6aDDiwpUnQT6c/edit?usp=sharing"",""นครสวรรค์!M418"")+IMPORTRANGE(""https://docs.google.com/spreadsheets/d/10s13Sk5xrltsiR-Zkbmk5DwIaDIKO8Xl"&amp;"bJAfqyT7Gvg/edit?usp=sharing"",""น่าน!M418"")+IMPORTRANGE(""https://docs.google.com/spreadsheets/d/1uu4nAn4Dbi1XREnLKKotUANlKXa7yCgRcgq8HEzQYW8/edit?usp=sharing"",""พะเยา!M418"")+IMPORTRANGE(""https://docs.google.com/spreadsheets/d/1xfJKIQxVOaPDIICqsflNlL"&amp;"u3JacTDk1FP9RH4phX7mI/edit?usp=sharing"",""พิจิตร!M418"")+IMPORTRANGE(""https://docs.google.com/spreadsheets/d/1JtRfZkJMHtEhI5RdRHxYUG4FIZHqKDpNyIuN7A1Q0_k/edit?usp=sharing"",""พิษณุโลก!M418"")+IMPORTRANGE(""https://docs.google.com/spreadsheets/d/1xlcVZWU"&amp;"Nn6SuWm0c307h32SiGkd9BaeQWlAktfD3KO8/edit?usp=sharing"",""เพชรบูรณ์!M418"")+IMPORTRANGE(""https://docs.google.com/spreadsheets/d/1lOVebEIsI9qjGXl6EX66luk7wiuP2tBaryw-wKvv4e0/edit?usp=sharing"",""แพร่!M418"")+IMPORTRANGE(""https://docs.google.com/spreadshe"&amp;"ets/d/1dQrvX0vEcN7Gu0fnZ0B5S90AeR19zth4XlExFBeExMY/edit?usp=sharing"",""แม่ฮ่องสอน!M418"")+IMPORTRANGE(""https://docs.google.com/spreadsheets/d/1DY4XTNNwjluuxqdfdn6qvOSlMRrZqUtmYcZR0ttFiG4/edit?usp=sharing"",""ลำปาง!M418"")+IMPORTRANGE(""https://docs.goog"&amp;"le.com/spreadsheets/d/1ICwG78r0OFT8biBlxnBF8r7she7gNSzOvJ958PWT09c/edit?usp=sharing"",""ลำพูน!M418"")+IMPORTRANGE(""https://docs.google.com/spreadsheets/d/1B0f2xJpZUC6Z0xXnqKlZtEPzsf6L84eP1r1Q15seqRM/edit?usp=sharing"",""สุโขทัย!M418"")+IMPORTRANGE(""http"&amp;"s://docs.google.com/spreadsheets/d/1v0b9pFQCsKUVExMei7AgY2yQkdeNQvtOssygGsXbiKo/edit?usp=sharing"",""อุตรดิตถ์!M418"")+IMPORTRANGE(""https://docs.google.com/spreadsheets/d/1UsNK1e-WWiCo2PvGqdNfdme4m17_Ezd3J69EeeiQPD0/edit?usp=sharing"",""อุทัยธานี!M418"")"),2579500)</f>
        <v>2579500</v>
      </c>
      <c r="N418" s="46">
        <f ca="1">IFERROR(__xludf.DUMMYFUNCTION("IMPORTRANGE(""https://docs.google.com/spreadsheets/d/1jTcq05yEiRwXcBMLjiodW9e4biSGYWAHcDj22rKWQ3s/edit?usp=sharing"",""กำแพงเพชร!N418"")+IMPORTRANGE(""https://docs.google.com/spreadsheets/d/1KS0zmDSZPk8KnTAbGN-Xk6MtX1YRZD0ldgdt20K4CRk/edit?usp=sharing"","&amp;"""เชียงราย!N418"")+IMPORTRANGE(""https://docs.google.com/spreadsheets/d/1rEDxBtusbi64tE0zunoIbsTVV16HeL0oJ6trHQeQ7K8/edit?usp=sharing"",""เชียงใหม่!N418"")+IMPORTRANGE(""https://docs.google.com/spreadsheets/d/1W6MnUbDkMi6xHnHko_XkFDO9kkuL6Wqyc-6OCDFjW9I/e"&amp;"dit?usp=sharing"",""ตาก!N418"")+IMPORTRANGE(""https://docs.google.com/spreadsheets/d/1IQAWArduLkta9LpYo4a_ULsyqdta6-6aDDiwpUnQT6c/edit?usp=sharing"",""นครสวรรค์!N418"")+IMPORTRANGE(""https://docs.google.com/spreadsheets/d/10s13Sk5xrltsiR-Zkbmk5DwIaDIKO8Xl"&amp;"bJAfqyT7Gvg/edit?usp=sharing"",""น่าน!N418"")+IMPORTRANGE(""https://docs.google.com/spreadsheets/d/1uu4nAn4Dbi1XREnLKKotUANlKXa7yCgRcgq8HEzQYW8/edit?usp=sharing"",""พะเยา!N418"")+IMPORTRANGE(""https://docs.google.com/spreadsheets/d/1xfJKIQxVOaPDIICqsflNlL"&amp;"u3JacTDk1FP9RH4phX7mI/edit?usp=sharing"",""พิจิตร!N418"")+IMPORTRANGE(""https://docs.google.com/spreadsheets/d/1JtRfZkJMHtEhI5RdRHxYUG4FIZHqKDpNyIuN7A1Q0_k/edit?usp=sharing"",""พิษณุโลก!N418"")+IMPORTRANGE(""https://docs.google.com/spreadsheets/d/1xlcVZWU"&amp;"Nn6SuWm0c307h32SiGkd9BaeQWlAktfD3KO8/edit?usp=sharing"",""เพชรบูรณ์!N418"")+IMPORTRANGE(""https://docs.google.com/spreadsheets/d/1lOVebEIsI9qjGXl6EX66luk7wiuP2tBaryw-wKvv4e0/edit?usp=sharing"",""แพร่!N418"")+IMPORTRANGE(""https://docs.google.com/spreadshe"&amp;"ets/d/1dQrvX0vEcN7Gu0fnZ0B5S90AeR19zth4XlExFBeExMY/edit?usp=sharing"",""แม่ฮ่องสอน!N418"")+IMPORTRANGE(""https://docs.google.com/spreadsheets/d/1DY4XTNNwjluuxqdfdn6qvOSlMRrZqUtmYcZR0ttFiG4/edit?usp=sharing"",""ลำปาง!N418"")+IMPORTRANGE(""https://docs.goog"&amp;"le.com/spreadsheets/d/1ICwG78r0OFT8biBlxnBF8r7she7gNSzOvJ958PWT09c/edit?usp=sharing"",""ลำพูน!N418"")+IMPORTRANGE(""https://docs.google.com/spreadsheets/d/1B0f2xJpZUC6Z0xXnqKlZtEPzsf6L84eP1r1Q15seqRM/edit?usp=sharing"",""สุโขทัย!N418"")+IMPORTRANGE(""http"&amp;"s://docs.google.com/spreadsheets/d/1v0b9pFQCsKUVExMei7AgY2yQkdeNQvtOssygGsXbiKo/edit?usp=sharing"",""อุตรดิตถ์!N418"")+IMPORTRANGE(""https://docs.google.com/spreadsheets/d/1UsNK1e-WWiCo2PvGqdNfdme4m17_Ezd3J69EeeiQPD0/edit?usp=sharing"",""อุทัยธานี!N418"")"),13320)</f>
        <v>13320</v>
      </c>
      <c r="O418" s="46">
        <f t="shared" ca="1" si="314"/>
        <v>0.20324551967224372</v>
      </c>
      <c r="P418" s="46">
        <f t="shared" ca="1" si="315"/>
        <v>0.51637914324481493</v>
      </c>
      <c r="Q418" s="46">
        <f ca="1">IFERROR(__xludf.DUMMYFUNCTION("IMPORTRANGE(""https://docs.google.com/spreadsheets/d/1jTcq05yEiRwXcBMLjiodW9e4biSGYWAHcDj22rKWQ3s/edit?usp=sharing"",""กำแพงเพชร!Q418"")+IMPORTRANGE(""https://docs.google.com/spreadsheets/d/1KS0zmDSZPk8KnTAbGN-Xk6MtX1YRZD0ldgdt20K4CRk/edit?usp=sharing"","&amp;"""เชียงราย!Q418"")+IMPORTRANGE(""https://docs.google.com/spreadsheets/d/1rEDxBtusbi64tE0zunoIbsTVV16HeL0oJ6trHQeQ7K8/edit?usp=sharing"",""เชียงใหม่!Q418"")+IMPORTRANGE(""https://docs.google.com/spreadsheets/d/1W6MnUbDkMi6xHnHko_XkFDO9kkuL6Wqyc-6OCDFjW9I/e"&amp;"dit?usp=sharing"",""ตาก!Q418"")+IMPORTRANGE(""https://docs.google.com/spreadsheets/d/1IQAWArduLkta9LpYo4a_ULsyqdta6-6aDDiwpUnQT6c/edit?usp=sharing"",""นครสวรรค์!Q418"")+IMPORTRANGE(""https://docs.google.com/spreadsheets/d/10s13Sk5xrltsiR-Zkbmk5DwIaDIKO8Xl"&amp;"bJAfqyT7Gvg/edit?usp=sharing"",""น่าน!Q418"")+IMPORTRANGE(""https://docs.google.com/spreadsheets/d/1uu4nAn4Dbi1XREnLKKotUANlKXa7yCgRcgq8HEzQYW8/edit?usp=sharing"",""พะเยา!Q418"")+IMPORTRANGE(""https://docs.google.com/spreadsheets/d/1xfJKIQxVOaPDIICqsflNlL"&amp;"u3JacTDk1FP9RH4phX7mI/edit?usp=sharing"",""พิจิตร!Q418"")+IMPORTRANGE(""https://docs.google.com/spreadsheets/d/1JtRfZkJMHtEhI5RdRHxYUG4FIZHqKDpNyIuN7A1Q0_k/edit?usp=sharing"",""พิษณุโลก!Q418"")+IMPORTRANGE(""https://docs.google.com/spreadsheets/d/1xlcVZWU"&amp;"Nn6SuWm0c307h32SiGkd9BaeQWlAktfD3KO8/edit?usp=sharing"",""เพชรบูรณ์!Q418"")+IMPORTRANGE(""https://docs.google.com/spreadsheets/d/1lOVebEIsI9qjGXl6EX66luk7wiuP2tBaryw-wKvv4e0/edit?usp=sharing"",""แพร่!Q418"")+IMPORTRANGE(""https://docs.google.com/spreadshe"&amp;"ets/d/1dQrvX0vEcN7Gu0fnZ0B5S90AeR19zth4XlExFBeExMY/edit?usp=sharing"",""แม่ฮ่องสอน!Q418"")+IMPORTRANGE(""https://docs.google.com/spreadsheets/d/1DY4XTNNwjluuxqdfdn6qvOSlMRrZqUtmYcZR0ttFiG4/edit?usp=sharing"",""ลำปาง!Q418"")+IMPORTRANGE(""https://docs.goog"&amp;"le.com/spreadsheets/d/1ICwG78r0OFT8biBlxnBF8r7she7gNSzOvJ958PWT09c/edit?usp=sharing"",""ลำพูน!Q418"")+IMPORTRANGE(""https://docs.google.com/spreadsheets/d/1B0f2xJpZUC6Z0xXnqKlZtEPzsf6L84eP1r1Q15seqRM/edit?usp=sharing"",""สุโขทัย!Q418"")+IMPORTRANGE(""http"&amp;"s://docs.google.com/spreadsheets/d/1v0b9pFQCsKUVExMei7AgY2yQkdeNQvtOssygGsXbiKo/edit?usp=sharing"",""อุตรดิตถ์!Q418"")+IMPORTRANGE(""https://docs.google.com/spreadsheets/d/1UsNK1e-WWiCo2PvGqdNfdme4m17_Ezd3J69EeeiQPD0/edit?usp=sharing"",""อุทัยธานี!Q418"")"),1058490)</f>
        <v>1058490</v>
      </c>
      <c r="R418" s="46">
        <f ca="1">IFERROR(__xludf.DUMMYFUNCTION("IMPORTRANGE(""https://docs.google.com/spreadsheets/d/1jTcq05yEiRwXcBMLjiodW9e4biSGYWAHcDj22rKWQ3s/edit?usp=sharing"",""กำแพงเพชร!R418"")+IMPORTRANGE(""https://docs.google.com/spreadsheets/d/1KS0zmDSZPk8KnTAbGN-Xk6MtX1YRZD0ldgdt20K4CRk/edit?usp=sharing"","&amp;"""เชียงราย!R418"")+IMPORTRANGE(""https://docs.google.com/spreadsheets/d/1rEDxBtusbi64tE0zunoIbsTVV16HeL0oJ6trHQeQ7K8/edit?usp=sharing"",""เชียงใหม่!R418"")+IMPORTRANGE(""https://docs.google.com/spreadsheets/d/1W6MnUbDkMi6xHnHko_XkFDO9kkuL6Wqyc-6OCDFjW9I/e"&amp;"dit?usp=sharing"",""ตาก!R418"")+IMPORTRANGE(""https://docs.google.com/spreadsheets/d/1IQAWArduLkta9LpYo4a_ULsyqdta6-6aDDiwpUnQT6c/edit?usp=sharing"",""นครสวรรค์!R418"")+IMPORTRANGE(""https://docs.google.com/spreadsheets/d/10s13Sk5xrltsiR-Zkbmk5DwIaDIKO8Xl"&amp;"bJAfqyT7Gvg/edit?usp=sharing"",""น่าน!R418"")+IMPORTRANGE(""https://docs.google.com/spreadsheets/d/1uu4nAn4Dbi1XREnLKKotUANlKXa7yCgRcgq8HEzQYW8/edit?usp=sharing"",""พะเยา!R418"")+IMPORTRANGE(""https://docs.google.com/spreadsheets/d/1xfJKIQxVOaPDIICqsflNlL"&amp;"u3JacTDk1FP9RH4phX7mI/edit?usp=sharing"",""พิจิตร!R418"")+IMPORTRANGE(""https://docs.google.com/spreadsheets/d/1JtRfZkJMHtEhI5RdRHxYUG4FIZHqKDpNyIuN7A1Q0_k/edit?usp=sharing"",""พิษณุโลก!R418"")+IMPORTRANGE(""https://docs.google.com/spreadsheets/d/1xlcVZWU"&amp;"Nn6SuWm0c307h32SiGkd9BaeQWlAktfD3KO8/edit?usp=sharing"",""เพชรบูรณ์!R418"")+IMPORTRANGE(""https://docs.google.com/spreadsheets/d/1lOVebEIsI9qjGXl6EX66luk7wiuP2tBaryw-wKvv4e0/edit?usp=sharing"",""แพร่!R418"")+IMPORTRANGE(""https://docs.google.com/spreadshe"&amp;"ets/d/1dQrvX0vEcN7Gu0fnZ0B5S90AeR19zth4XlExFBeExMY/edit?usp=sharing"",""แม่ฮ่องสอน!R418"")+IMPORTRANGE(""https://docs.google.com/spreadsheets/d/1DY4XTNNwjluuxqdfdn6qvOSlMRrZqUtmYcZR0ttFiG4/edit?usp=sharing"",""ลำปาง!R418"")+IMPORTRANGE(""https://docs.goog"&amp;"le.com/spreadsheets/d/1ICwG78r0OFT8biBlxnBF8r7she7gNSzOvJ958PWT09c/edit?usp=sharing"",""ลำพูน!R418"")+IMPORTRANGE(""https://docs.google.com/spreadsheets/d/1B0f2xJpZUC6Z0xXnqKlZtEPzsf6L84eP1r1Q15seqRM/edit?usp=sharing"",""สุโขทัย!R418"")+IMPORTRANGE(""http"&amp;"s://docs.google.com/spreadsheets/d/1v0b9pFQCsKUVExMei7AgY2yQkdeNQvtOssygGsXbiKo/edit?usp=sharing"",""อุตรดิตถ์!R418"")+IMPORTRANGE(""https://docs.google.com/spreadsheets/d/1UsNK1e-WWiCo2PvGqdNfdme4m17_Ezd3J69EeeiQPD0/edit?usp=sharing"",""อุทัยธานี!R418"")"),1058490)</f>
        <v>1058490</v>
      </c>
      <c r="S418" s="46">
        <f ca="1">IFERROR(__xludf.DUMMYFUNCTION("IMPORTRANGE(""https://docs.google.com/spreadsheets/d/1jTcq05yEiRwXcBMLjiodW9e4biSGYWAHcDj22rKWQ3s/edit?usp=sharing"",""กำแพงเพชร!S418"")+IMPORTRANGE(""https://docs.google.com/spreadsheets/d/1KS0zmDSZPk8KnTAbGN-Xk6MtX1YRZD0ldgdt20K4CRk/edit?usp=sharing"","&amp;"""เชียงราย!S418"")+IMPORTRANGE(""https://docs.google.com/spreadsheets/d/1rEDxBtusbi64tE0zunoIbsTVV16HeL0oJ6trHQeQ7K8/edit?usp=sharing"",""เชียงใหม่!S418"")+IMPORTRANGE(""https://docs.google.com/spreadsheets/d/1W6MnUbDkMi6xHnHko_XkFDO9kkuL6Wqyc-6OCDFjW9I/e"&amp;"dit?usp=sharing"",""ตาก!S418"")+IMPORTRANGE(""https://docs.google.com/spreadsheets/d/1IQAWArduLkta9LpYo4a_ULsyqdta6-6aDDiwpUnQT6c/edit?usp=sharing"",""นครสวรรค์!S418"")+IMPORTRANGE(""https://docs.google.com/spreadsheets/d/10s13Sk5xrltsiR-Zkbmk5DwIaDIKO8Xl"&amp;"bJAfqyT7Gvg/edit?usp=sharing"",""น่าน!S418"")+IMPORTRANGE(""https://docs.google.com/spreadsheets/d/1uu4nAn4Dbi1XREnLKKotUANlKXa7yCgRcgq8HEzQYW8/edit?usp=sharing"",""พะเยา!S418"")+IMPORTRANGE(""https://docs.google.com/spreadsheets/d/1xfJKIQxVOaPDIICqsflNlL"&amp;"u3JacTDk1FP9RH4phX7mI/edit?usp=sharing"",""พิจิตร!S418"")+IMPORTRANGE(""https://docs.google.com/spreadsheets/d/1JtRfZkJMHtEhI5RdRHxYUG4FIZHqKDpNyIuN7A1Q0_k/edit?usp=sharing"",""พิษณุโลก!S418"")+IMPORTRANGE(""https://docs.google.com/spreadsheets/d/1xlcVZWU"&amp;"Nn6SuWm0c307h32SiGkd9BaeQWlAktfD3KO8/edit?usp=sharing"",""เพชรบูรณ์!S418"")+IMPORTRANGE(""https://docs.google.com/spreadsheets/d/1lOVebEIsI9qjGXl6EX66luk7wiuP2tBaryw-wKvv4e0/edit?usp=sharing"",""แพร่!S418"")+IMPORTRANGE(""https://docs.google.com/spreadshe"&amp;"ets/d/1dQrvX0vEcN7Gu0fnZ0B5S90AeR19zth4XlExFBeExMY/edit?usp=sharing"",""แม่ฮ่องสอน!S418"")+IMPORTRANGE(""https://docs.google.com/spreadsheets/d/1DY4XTNNwjluuxqdfdn6qvOSlMRrZqUtmYcZR0ttFiG4/edit?usp=sharing"",""ลำปาง!S418"")+IMPORTRANGE(""https://docs.goog"&amp;"le.com/spreadsheets/d/1ICwG78r0OFT8biBlxnBF8r7she7gNSzOvJ958PWT09c/edit?usp=sharing"",""ลำพูน!S418"")+IMPORTRANGE(""https://docs.google.com/spreadsheets/d/1B0f2xJpZUC6Z0xXnqKlZtEPzsf6L84eP1r1Q15seqRM/edit?usp=sharing"",""สุโขทัย!S418"")+IMPORTRANGE(""http"&amp;"s://docs.google.com/spreadsheets/d/1v0b9pFQCsKUVExMei7AgY2yQkdeNQvtOssygGsXbiKo/edit?usp=sharing"",""อุตรดิตถ์!S418"")+IMPORTRANGE(""https://docs.google.com/spreadsheets/d/1UsNK1e-WWiCo2PvGqdNfdme4m17_Ezd3J69EeeiQPD0/edit?usp=sharing"",""อุทัยธานี!S418"")"),0)</f>
        <v>0</v>
      </c>
      <c r="T418" s="46">
        <f t="shared" ca="1" si="317"/>
        <v>0</v>
      </c>
      <c r="U418" s="46">
        <f t="shared" ca="1" si="318"/>
        <v>0</v>
      </c>
    </row>
    <row r="419" spans="1:21" ht="19.5" x14ac:dyDescent="0.3">
      <c r="A419" s="128"/>
      <c r="B419" s="158"/>
      <c r="C419" s="158"/>
      <c r="D419" s="312" t="s">
        <v>23</v>
      </c>
      <c r="E419" s="158"/>
      <c r="F419" s="158"/>
      <c r="G419" s="180"/>
      <c r="H419" s="131" t="s">
        <v>14</v>
      </c>
      <c r="I419" s="44"/>
      <c r="J419" s="44"/>
      <c r="K419" s="45"/>
      <c r="L419" s="46">
        <f t="shared" ref="L419:N419" ca="1" si="325">L420+L421</f>
        <v>0</v>
      </c>
      <c r="M419" s="46">
        <f t="shared" ca="1" si="325"/>
        <v>0</v>
      </c>
      <c r="N419" s="46">
        <f t="shared" ca="1" si="325"/>
        <v>0</v>
      </c>
      <c r="O419" s="46">
        <f t="shared" ca="1" si="314"/>
        <v>0</v>
      </c>
      <c r="P419" s="46">
        <f t="shared" ca="1" si="315"/>
        <v>0</v>
      </c>
      <c r="Q419" s="46">
        <f t="shared" ref="Q419:S419" ca="1" si="326">Q420+Q421</f>
        <v>0</v>
      </c>
      <c r="R419" s="46">
        <f t="shared" ca="1" si="326"/>
        <v>0</v>
      </c>
      <c r="S419" s="46">
        <f t="shared" ca="1" si="326"/>
        <v>0</v>
      </c>
      <c r="T419" s="46">
        <f t="shared" ca="1" si="317"/>
        <v>0</v>
      </c>
      <c r="U419" s="46">
        <f t="shared" ca="1" si="318"/>
        <v>0</v>
      </c>
    </row>
    <row r="420" spans="1:21" ht="18.75" x14ac:dyDescent="0.25">
      <c r="A420" s="128"/>
      <c r="B420" s="158"/>
      <c r="C420" s="158"/>
      <c r="D420" s="158"/>
      <c r="E420" s="314" t="s">
        <v>20</v>
      </c>
      <c r="F420" s="158"/>
      <c r="G420" s="180"/>
      <c r="H420" s="176" t="s">
        <v>14</v>
      </c>
      <c r="I420" s="44"/>
      <c r="J420" s="44"/>
      <c r="K420" s="45"/>
      <c r="L420" s="48">
        <f ca="1">IFERROR(__xludf.DUMMYFUNCTION("IMPORTRANGE(""https://docs.google.com/spreadsheets/d/1jTcq05yEiRwXcBMLjiodW9e4biSGYWAHcDj22rKWQ3s/edit?usp=sharing"",""กำแพงเพชร!L420"")+IMPORTRANGE(""https://docs.google.com/spreadsheets/d/1KS0zmDSZPk8KnTAbGN-Xk6MtX1YRZD0ldgdt20K4CRk/edit?usp=sharing"","&amp;"""เชียงราย!L420"")+IMPORTRANGE(""https://docs.google.com/spreadsheets/d/1rEDxBtusbi64tE0zunoIbsTVV16HeL0oJ6trHQeQ7K8/edit?usp=sharing"",""เชียงใหม่!L420"")+IMPORTRANGE(""https://docs.google.com/spreadsheets/d/1W6MnUbDkMi6xHnHko_XkFDO9kkuL6Wqyc-6OCDFjW9I/e"&amp;"dit?usp=sharing"",""ตาก!L420"")+IMPORTRANGE(""https://docs.google.com/spreadsheets/d/1IQAWArduLkta9LpYo4a_ULsyqdta6-6aDDiwpUnQT6c/edit?usp=sharing"",""นครสวรรค์!L420"")+IMPORTRANGE(""https://docs.google.com/spreadsheets/d/10s13Sk5xrltsiR-Zkbmk5DwIaDIKO8Xl"&amp;"bJAfqyT7Gvg/edit?usp=sharing"",""น่าน!L420"")+IMPORTRANGE(""https://docs.google.com/spreadsheets/d/1uu4nAn4Dbi1XREnLKKotUANlKXa7yCgRcgq8HEzQYW8/edit?usp=sharing"",""พะเยา!L420"")+IMPORTRANGE(""https://docs.google.com/spreadsheets/d/1xfJKIQxVOaPDIICqsflNlL"&amp;"u3JacTDk1FP9RH4phX7mI/edit?usp=sharing"",""พิจิตร!L420"")+IMPORTRANGE(""https://docs.google.com/spreadsheets/d/1JtRfZkJMHtEhI5RdRHxYUG4FIZHqKDpNyIuN7A1Q0_k/edit?usp=sharing"",""พิษณุโลก!L420"")+IMPORTRANGE(""https://docs.google.com/spreadsheets/d/1xlcVZWU"&amp;"Nn6SuWm0c307h32SiGkd9BaeQWlAktfD3KO8/edit?usp=sharing"",""เพชรบูรณ์!L420"")+IMPORTRANGE(""https://docs.google.com/spreadsheets/d/1lOVebEIsI9qjGXl6EX66luk7wiuP2tBaryw-wKvv4e0/edit?usp=sharing"",""แพร่!L420"")+IMPORTRANGE(""https://docs.google.com/spreadshe"&amp;"ets/d/1dQrvX0vEcN7Gu0fnZ0B5S90AeR19zth4XlExFBeExMY/edit?usp=sharing"",""แม่ฮ่องสอน!L420"")+IMPORTRANGE(""https://docs.google.com/spreadsheets/d/1DY4XTNNwjluuxqdfdn6qvOSlMRrZqUtmYcZR0ttFiG4/edit?usp=sharing"",""ลำปาง!L420"")+IMPORTRANGE(""https://docs.goog"&amp;"le.com/spreadsheets/d/1ICwG78r0OFT8biBlxnBF8r7she7gNSzOvJ958PWT09c/edit?usp=sharing"",""ลำพูน!L420"")+IMPORTRANGE(""https://docs.google.com/spreadsheets/d/1B0f2xJpZUC6Z0xXnqKlZtEPzsf6L84eP1r1Q15seqRM/edit?usp=sharing"",""สุโขทัย!L420"")+IMPORTRANGE(""http"&amp;"s://docs.google.com/spreadsheets/d/1v0b9pFQCsKUVExMei7AgY2yQkdeNQvtOssygGsXbiKo/edit?usp=sharing"",""อุตรดิตถ์!L420"")+IMPORTRANGE(""https://docs.google.com/spreadsheets/d/1UsNK1e-WWiCo2PvGqdNfdme4m17_Ezd3J69EeeiQPD0/edit?usp=sharing"",""อุทัยธานี!L420"")"),0)</f>
        <v>0</v>
      </c>
      <c r="M420" s="48">
        <f ca="1">IFERROR(__xludf.DUMMYFUNCTION("IMPORTRANGE(""https://docs.google.com/spreadsheets/d/1jTcq05yEiRwXcBMLjiodW9e4biSGYWAHcDj22rKWQ3s/edit?usp=sharing"",""กำแพงเพชร!M420"")+IMPORTRANGE(""https://docs.google.com/spreadsheets/d/1KS0zmDSZPk8KnTAbGN-Xk6MtX1YRZD0ldgdt20K4CRk/edit?usp=sharing"","&amp;"""เชียงราย!M420"")+IMPORTRANGE(""https://docs.google.com/spreadsheets/d/1rEDxBtusbi64tE0zunoIbsTVV16HeL0oJ6trHQeQ7K8/edit?usp=sharing"",""เชียงใหม่!M420"")+IMPORTRANGE(""https://docs.google.com/spreadsheets/d/1W6MnUbDkMi6xHnHko_XkFDO9kkuL6Wqyc-6OCDFjW9I/e"&amp;"dit?usp=sharing"",""ตาก!M420"")+IMPORTRANGE(""https://docs.google.com/spreadsheets/d/1IQAWArduLkta9LpYo4a_ULsyqdta6-6aDDiwpUnQT6c/edit?usp=sharing"",""นครสวรรค์!M420"")+IMPORTRANGE(""https://docs.google.com/spreadsheets/d/10s13Sk5xrltsiR-Zkbmk5DwIaDIKO8Xl"&amp;"bJAfqyT7Gvg/edit?usp=sharing"",""น่าน!M420"")+IMPORTRANGE(""https://docs.google.com/spreadsheets/d/1uu4nAn4Dbi1XREnLKKotUANlKXa7yCgRcgq8HEzQYW8/edit?usp=sharing"",""พะเยา!M420"")+IMPORTRANGE(""https://docs.google.com/spreadsheets/d/1xfJKIQxVOaPDIICqsflNlL"&amp;"u3JacTDk1FP9RH4phX7mI/edit?usp=sharing"",""พิจิตร!M420"")+IMPORTRANGE(""https://docs.google.com/spreadsheets/d/1JtRfZkJMHtEhI5RdRHxYUG4FIZHqKDpNyIuN7A1Q0_k/edit?usp=sharing"",""พิษณุโลก!M420"")+IMPORTRANGE(""https://docs.google.com/spreadsheets/d/1xlcVZWU"&amp;"Nn6SuWm0c307h32SiGkd9BaeQWlAktfD3KO8/edit?usp=sharing"",""เพชรบูรณ์!M420"")+IMPORTRANGE(""https://docs.google.com/spreadsheets/d/1lOVebEIsI9qjGXl6EX66luk7wiuP2tBaryw-wKvv4e0/edit?usp=sharing"",""แพร่!M420"")+IMPORTRANGE(""https://docs.google.com/spreadshe"&amp;"ets/d/1dQrvX0vEcN7Gu0fnZ0B5S90AeR19zth4XlExFBeExMY/edit?usp=sharing"",""แม่ฮ่องสอน!M420"")+IMPORTRANGE(""https://docs.google.com/spreadsheets/d/1DY4XTNNwjluuxqdfdn6qvOSlMRrZqUtmYcZR0ttFiG4/edit?usp=sharing"",""ลำปาง!M420"")+IMPORTRANGE(""https://docs.goog"&amp;"le.com/spreadsheets/d/1ICwG78r0OFT8biBlxnBF8r7she7gNSzOvJ958PWT09c/edit?usp=sharing"",""ลำพูน!M420"")+IMPORTRANGE(""https://docs.google.com/spreadsheets/d/1B0f2xJpZUC6Z0xXnqKlZtEPzsf6L84eP1r1Q15seqRM/edit?usp=sharing"",""สุโขทัย!M420"")+IMPORTRANGE(""http"&amp;"s://docs.google.com/spreadsheets/d/1v0b9pFQCsKUVExMei7AgY2yQkdeNQvtOssygGsXbiKo/edit?usp=sharing"",""อุตรดิตถ์!M420"")+IMPORTRANGE(""https://docs.google.com/spreadsheets/d/1UsNK1e-WWiCo2PvGqdNfdme4m17_Ezd3J69EeeiQPD0/edit?usp=sharing"",""อุทัยธานี!M420"")"),0)</f>
        <v>0</v>
      </c>
      <c r="N420" s="48">
        <f ca="1">IFERROR(__xludf.DUMMYFUNCTION("IMPORTRANGE(""https://docs.google.com/spreadsheets/d/1jTcq05yEiRwXcBMLjiodW9e4biSGYWAHcDj22rKWQ3s/edit?usp=sharing"",""กำแพงเพชร!N420"")+IMPORTRANGE(""https://docs.google.com/spreadsheets/d/1KS0zmDSZPk8KnTAbGN-Xk6MtX1YRZD0ldgdt20K4CRk/edit?usp=sharing"","&amp;"""เชียงราย!N420"")+IMPORTRANGE(""https://docs.google.com/spreadsheets/d/1rEDxBtusbi64tE0zunoIbsTVV16HeL0oJ6trHQeQ7K8/edit?usp=sharing"",""เชียงใหม่!N420"")+IMPORTRANGE(""https://docs.google.com/spreadsheets/d/1W6MnUbDkMi6xHnHko_XkFDO9kkuL6Wqyc-6OCDFjW9I/e"&amp;"dit?usp=sharing"",""ตาก!N420"")+IMPORTRANGE(""https://docs.google.com/spreadsheets/d/1IQAWArduLkta9LpYo4a_ULsyqdta6-6aDDiwpUnQT6c/edit?usp=sharing"",""นครสวรรค์!N420"")+IMPORTRANGE(""https://docs.google.com/spreadsheets/d/10s13Sk5xrltsiR-Zkbmk5DwIaDIKO8Xl"&amp;"bJAfqyT7Gvg/edit?usp=sharing"",""น่าน!N420"")+IMPORTRANGE(""https://docs.google.com/spreadsheets/d/1uu4nAn4Dbi1XREnLKKotUANlKXa7yCgRcgq8HEzQYW8/edit?usp=sharing"",""พะเยา!N420"")+IMPORTRANGE(""https://docs.google.com/spreadsheets/d/1xfJKIQxVOaPDIICqsflNlL"&amp;"u3JacTDk1FP9RH4phX7mI/edit?usp=sharing"",""พิจิตร!N420"")+IMPORTRANGE(""https://docs.google.com/spreadsheets/d/1JtRfZkJMHtEhI5RdRHxYUG4FIZHqKDpNyIuN7A1Q0_k/edit?usp=sharing"",""พิษณุโลก!N420"")+IMPORTRANGE(""https://docs.google.com/spreadsheets/d/1xlcVZWU"&amp;"Nn6SuWm0c307h32SiGkd9BaeQWlAktfD3KO8/edit?usp=sharing"",""เพชรบูรณ์!N420"")+IMPORTRANGE(""https://docs.google.com/spreadsheets/d/1lOVebEIsI9qjGXl6EX66luk7wiuP2tBaryw-wKvv4e0/edit?usp=sharing"",""แพร่!N420"")+IMPORTRANGE(""https://docs.google.com/spreadshe"&amp;"ets/d/1dQrvX0vEcN7Gu0fnZ0B5S90AeR19zth4XlExFBeExMY/edit?usp=sharing"",""แม่ฮ่องสอน!N420"")+IMPORTRANGE(""https://docs.google.com/spreadsheets/d/1DY4XTNNwjluuxqdfdn6qvOSlMRrZqUtmYcZR0ttFiG4/edit?usp=sharing"",""ลำปาง!N420"")+IMPORTRANGE(""https://docs.goog"&amp;"le.com/spreadsheets/d/1ICwG78r0OFT8biBlxnBF8r7she7gNSzOvJ958PWT09c/edit?usp=sharing"",""ลำพูน!N420"")+IMPORTRANGE(""https://docs.google.com/spreadsheets/d/1B0f2xJpZUC6Z0xXnqKlZtEPzsf6L84eP1r1Q15seqRM/edit?usp=sharing"",""สุโขทัย!N420"")+IMPORTRANGE(""http"&amp;"s://docs.google.com/spreadsheets/d/1v0b9pFQCsKUVExMei7AgY2yQkdeNQvtOssygGsXbiKo/edit?usp=sharing"",""อุตรดิตถ์!N420"")+IMPORTRANGE(""https://docs.google.com/spreadsheets/d/1UsNK1e-WWiCo2PvGqdNfdme4m17_Ezd3J69EeeiQPD0/edit?usp=sharing"",""อุทัยธานี!N420"")"),0)</f>
        <v>0</v>
      </c>
      <c r="O420" s="48">
        <f t="shared" ca="1" si="314"/>
        <v>0</v>
      </c>
      <c r="P420" s="48">
        <f t="shared" ca="1" si="315"/>
        <v>0</v>
      </c>
      <c r="Q420" s="48">
        <f ca="1">IFERROR(__xludf.DUMMYFUNCTION("IMPORTRANGE(""https://docs.google.com/spreadsheets/d/1jTcq05yEiRwXcBMLjiodW9e4biSGYWAHcDj22rKWQ3s/edit?usp=sharing"",""กำแพงเพชร!Q420"")+IMPORTRANGE(""https://docs.google.com/spreadsheets/d/1KS0zmDSZPk8KnTAbGN-Xk6MtX1YRZD0ldgdt20K4CRk/edit?usp=sharing"","&amp;"""เชียงราย!Q420"")+IMPORTRANGE(""https://docs.google.com/spreadsheets/d/1rEDxBtusbi64tE0zunoIbsTVV16HeL0oJ6trHQeQ7K8/edit?usp=sharing"",""เชียงใหม่!Q420"")+IMPORTRANGE(""https://docs.google.com/spreadsheets/d/1W6MnUbDkMi6xHnHko_XkFDO9kkuL6Wqyc-6OCDFjW9I/e"&amp;"dit?usp=sharing"",""ตาก!Q420"")+IMPORTRANGE(""https://docs.google.com/spreadsheets/d/1IQAWArduLkta9LpYo4a_ULsyqdta6-6aDDiwpUnQT6c/edit?usp=sharing"",""นครสวรรค์!Q420"")+IMPORTRANGE(""https://docs.google.com/spreadsheets/d/10s13Sk5xrltsiR-Zkbmk5DwIaDIKO8Xl"&amp;"bJAfqyT7Gvg/edit?usp=sharing"",""น่าน!Q420"")+IMPORTRANGE(""https://docs.google.com/spreadsheets/d/1uu4nAn4Dbi1XREnLKKotUANlKXa7yCgRcgq8HEzQYW8/edit?usp=sharing"",""พะเยา!Q420"")+IMPORTRANGE(""https://docs.google.com/spreadsheets/d/1xfJKIQxVOaPDIICqsflNlL"&amp;"u3JacTDk1FP9RH4phX7mI/edit?usp=sharing"",""พิจิตร!Q420"")+IMPORTRANGE(""https://docs.google.com/spreadsheets/d/1JtRfZkJMHtEhI5RdRHxYUG4FIZHqKDpNyIuN7A1Q0_k/edit?usp=sharing"",""พิษณุโลก!Q420"")+IMPORTRANGE(""https://docs.google.com/spreadsheets/d/1xlcVZWU"&amp;"Nn6SuWm0c307h32SiGkd9BaeQWlAktfD3KO8/edit?usp=sharing"",""เพชรบูรณ์!Q420"")+IMPORTRANGE(""https://docs.google.com/spreadsheets/d/1lOVebEIsI9qjGXl6EX66luk7wiuP2tBaryw-wKvv4e0/edit?usp=sharing"",""แพร่!Q420"")+IMPORTRANGE(""https://docs.google.com/spreadshe"&amp;"ets/d/1dQrvX0vEcN7Gu0fnZ0B5S90AeR19zth4XlExFBeExMY/edit?usp=sharing"",""แม่ฮ่องสอน!Q420"")+IMPORTRANGE(""https://docs.google.com/spreadsheets/d/1DY4XTNNwjluuxqdfdn6qvOSlMRrZqUtmYcZR0ttFiG4/edit?usp=sharing"",""ลำปาง!Q420"")+IMPORTRANGE(""https://docs.goog"&amp;"le.com/spreadsheets/d/1ICwG78r0OFT8biBlxnBF8r7she7gNSzOvJ958PWT09c/edit?usp=sharing"",""ลำพูน!Q420"")+IMPORTRANGE(""https://docs.google.com/spreadsheets/d/1B0f2xJpZUC6Z0xXnqKlZtEPzsf6L84eP1r1Q15seqRM/edit?usp=sharing"",""สุโขทัย!Q420"")+IMPORTRANGE(""http"&amp;"s://docs.google.com/spreadsheets/d/1v0b9pFQCsKUVExMei7AgY2yQkdeNQvtOssygGsXbiKo/edit?usp=sharing"",""อุตรดิตถ์!Q420"")+IMPORTRANGE(""https://docs.google.com/spreadsheets/d/1UsNK1e-WWiCo2PvGqdNfdme4m17_Ezd3J69EeeiQPD0/edit?usp=sharing"",""อุทัยธานี!Q420"")"),0)</f>
        <v>0</v>
      </c>
      <c r="R420" s="48">
        <f ca="1">IFERROR(__xludf.DUMMYFUNCTION("IMPORTRANGE(""https://docs.google.com/spreadsheets/d/1jTcq05yEiRwXcBMLjiodW9e4biSGYWAHcDj22rKWQ3s/edit?usp=sharing"",""กำแพงเพชร!R420"")+IMPORTRANGE(""https://docs.google.com/spreadsheets/d/1KS0zmDSZPk8KnTAbGN-Xk6MtX1YRZD0ldgdt20K4CRk/edit?usp=sharing"","&amp;"""เชียงราย!R420"")+IMPORTRANGE(""https://docs.google.com/spreadsheets/d/1rEDxBtusbi64tE0zunoIbsTVV16HeL0oJ6trHQeQ7K8/edit?usp=sharing"",""เชียงใหม่!R420"")+IMPORTRANGE(""https://docs.google.com/spreadsheets/d/1W6MnUbDkMi6xHnHko_XkFDO9kkuL6Wqyc-6OCDFjW9I/e"&amp;"dit?usp=sharing"",""ตาก!R420"")+IMPORTRANGE(""https://docs.google.com/spreadsheets/d/1IQAWArduLkta9LpYo4a_ULsyqdta6-6aDDiwpUnQT6c/edit?usp=sharing"",""นครสวรรค์!R420"")+IMPORTRANGE(""https://docs.google.com/spreadsheets/d/10s13Sk5xrltsiR-Zkbmk5DwIaDIKO8Xl"&amp;"bJAfqyT7Gvg/edit?usp=sharing"",""น่าน!R420"")+IMPORTRANGE(""https://docs.google.com/spreadsheets/d/1uu4nAn4Dbi1XREnLKKotUANlKXa7yCgRcgq8HEzQYW8/edit?usp=sharing"",""พะเยา!R420"")+IMPORTRANGE(""https://docs.google.com/spreadsheets/d/1xfJKIQxVOaPDIICqsflNlL"&amp;"u3JacTDk1FP9RH4phX7mI/edit?usp=sharing"",""พิจิตร!R420"")+IMPORTRANGE(""https://docs.google.com/spreadsheets/d/1JtRfZkJMHtEhI5RdRHxYUG4FIZHqKDpNyIuN7A1Q0_k/edit?usp=sharing"",""พิษณุโลก!R420"")+IMPORTRANGE(""https://docs.google.com/spreadsheets/d/1xlcVZWU"&amp;"Nn6SuWm0c307h32SiGkd9BaeQWlAktfD3KO8/edit?usp=sharing"",""เพชรบูรณ์!R420"")+IMPORTRANGE(""https://docs.google.com/spreadsheets/d/1lOVebEIsI9qjGXl6EX66luk7wiuP2tBaryw-wKvv4e0/edit?usp=sharing"",""แพร่!R420"")+IMPORTRANGE(""https://docs.google.com/spreadshe"&amp;"ets/d/1dQrvX0vEcN7Gu0fnZ0B5S90AeR19zth4XlExFBeExMY/edit?usp=sharing"",""แม่ฮ่องสอน!R420"")+IMPORTRANGE(""https://docs.google.com/spreadsheets/d/1DY4XTNNwjluuxqdfdn6qvOSlMRrZqUtmYcZR0ttFiG4/edit?usp=sharing"",""ลำปาง!R420"")+IMPORTRANGE(""https://docs.goog"&amp;"le.com/spreadsheets/d/1ICwG78r0OFT8biBlxnBF8r7she7gNSzOvJ958PWT09c/edit?usp=sharing"",""ลำพูน!R420"")+IMPORTRANGE(""https://docs.google.com/spreadsheets/d/1B0f2xJpZUC6Z0xXnqKlZtEPzsf6L84eP1r1Q15seqRM/edit?usp=sharing"",""สุโขทัย!R420"")+IMPORTRANGE(""http"&amp;"s://docs.google.com/spreadsheets/d/1v0b9pFQCsKUVExMei7AgY2yQkdeNQvtOssygGsXbiKo/edit?usp=sharing"",""อุตรดิตถ์!R420"")+IMPORTRANGE(""https://docs.google.com/spreadsheets/d/1UsNK1e-WWiCo2PvGqdNfdme4m17_Ezd3J69EeeiQPD0/edit?usp=sharing"",""อุทัยธานี!R420"")"),0)</f>
        <v>0</v>
      </c>
      <c r="S420" s="48">
        <f ca="1">IFERROR(__xludf.DUMMYFUNCTION("IMPORTRANGE(""https://docs.google.com/spreadsheets/d/1jTcq05yEiRwXcBMLjiodW9e4biSGYWAHcDj22rKWQ3s/edit?usp=sharing"",""กำแพงเพชร!S420"")+IMPORTRANGE(""https://docs.google.com/spreadsheets/d/1KS0zmDSZPk8KnTAbGN-Xk6MtX1YRZD0ldgdt20K4CRk/edit?usp=sharing"","&amp;"""เชียงราย!S420"")+IMPORTRANGE(""https://docs.google.com/spreadsheets/d/1rEDxBtusbi64tE0zunoIbsTVV16HeL0oJ6trHQeQ7K8/edit?usp=sharing"",""เชียงใหม่!S420"")+IMPORTRANGE(""https://docs.google.com/spreadsheets/d/1W6MnUbDkMi6xHnHko_XkFDO9kkuL6Wqyc-6OCDFjW9I/e"&amp;"dit?usp=sharing"",""ตาก!S420"")+IMPORTRANGE(""https://docs.google.com/spreadsheets/d/1IQAWArduLkta9LpYo4a_ULsyqdta6-6aDDiwpUnQT6c/edit?usp=sharing"",""นครสวรรค์!S420"")+IMPORTRANGE(""https://docs.google.com/spreadsheets/d/10s13Sk5xrltsiR-Zkbmk5DwIaDIKO8Xl"&amp;"bJAfqyT7Gvg/edit?usp=sharing"",""น่าน!S420"")+IMPORTRANGE(""https://docs.google.com/spreadsheets/d/1uu4nAn4Dbi1XREnLKKotUANlKXa7yCgRcgq8HEzQYW8/edit?usp=sharing"",""พะเยา!S420"")+IMPORTRANGE(""https://docs.google.com/spreadsheets/d/1xfJKIQxVOaPDIICqsflNlL"&amp;"u3JacTDk1FP9RH4phX7mI/edit?usp=sharing"",""พิจิตร!S420"")+IMPORTRANGE(""https://docs.google.com/spreadsheets/d/1JtRfZkJMHtEhI5RdRHxYUG4FIZHqKDpNyIuN7A1Q0_k/edit?usp=sharing"",""พิษณุโลก!S420"")+IMPORTRANGE(""https://docs.google.com/spreadsheets/d/1xlcVZWU"&amp;"Nn6SuWm0c307h32SiGkd9BaeQWlAktfD3KO8/edit?usp=sharing"",""เพชรบูรณ์!S420"")+IMPORTRANGE(""https://docs.google.com/spreadsheets/d/1lOVebEIsI9qjGXl6EX66luk7wiuP2tBaryw-wKvv4e0/edit?usp=sharing"",""แพร่!S420"")+IMPORTRANGE(""https://docs.google.com/spreadshe"&amp;"ets/d/1dQrvX0vEcN7Gu0fnZ0B5S90AeR19zth4XlExFBeExMY/edit?usp=sharing"",""แม่ฮ่องสอน!S420"")+IMPORTRANGE(""https://docs.google.com/spreadsheets/d/1DY4XTNNwjluuxqdfdn6qvOSlMRrZqUtmYcZR0ttFiG4/edit?usp=sharing"",""ลำปาง!S420"")+IMPORTRANGE(""https://docs.goog"&amp;"le.com/spreadsheets/d/1ICwG78r0OFT8biBlxnBF8r7she7gNSzOvJ958PWT09c/edit?usp=sharing"",""ลำพูน!S420"")+IMPORTRANGE(""https://docs.google.com/spreadsheets/d/1B0f2xJpZUC6Z0xXnqKlZtEPzsf6L84eP1r1Q15seqRM/edit?usp=sharing"",""สุโขทัย!S420"")+IMPORTRANGE(""http"&amp;"s://docs.google.com/spreadsheets/d/1v0b9pFQCsKUVExMei7AgY2yQkdeNQvtOssygGsXbiKo/edit?usp=sharing"",""อุตรดิตถ์!S420"")+IMPORTRANGE(""https://docs.google.com/spreadsheets/d/1UsNK1e-WWiCo2PvGqdNfdme4m17_Ezd3J69EeeiQPD0/edit?usp=sharing"",""อุทัยธานี!S420"")"),0)</f>
        <v>0</v>
      </c>
      <c r="T420" s="48">
        <f t="shared" ca="1" si="317"/>
        <v>0</v>
      </c>
      <c r="U420" s="48">
        <f t="shared" ca="1" si="318"/>
        <v>0</v>
      </c>
    </row>
    <row r="421" spans="1:21" ht="18.75" x14ac:dyDescent="0.25">
      <c r="A421" s="128"/>
      <c r="B421" s="158"/>
      <c r="C421" s="158"/>
      <c r="D421" s="158"/>
      <c r="E421" s="209" t="s">
        <v>21</v>
      </c>
      <c r="F421" s="158"/>
      <c r="G421" s="180"/>
      <c r="H421" s="133" t="s">
        <v>14</v>
      </c>
      <c r="I421" s="44"/>
      <c r="J421" s="44"/>
      <c r="K421" s="45"/>
      <c r="L421" s="46">
        <f ca="1">IFERROR(__xludf.DUMMYFUNCTION("IMPORTRANGE(""https://docs.google.com/spreadsheets/d/1jTcq05yEiRwXcBMLjiodW9e4biSGYWAHcDj22rKWQ3s/edit?usp=sharing"",""กำแพงเพชร!L421"")+IMPORTRANGE(""https://docs.google.com/spreadsheets/d/1KS0zmDSZPk8KnTAbGN-Xk6MtX1YRZD0ldgdt20K4CRk/edit?usp=sharing"","&amp;"""เชียงราย!L421"")+IMPORTRANGE(""https://docs.google.com/spreadsheets/d/1rEDxBtusbi64tE0zunoIbsTVV16HeL0oJ6trHQeQ7K8/edit?usp=sharing"",""เชียงใหม่!L421"")+IMPORTRANGE(""https://docs.google.com/spreadsheets/d/1W6MnUbDkMi6xHnHko_XkFDO9kkuL6Wqyc-6OCDFjW9I/e"&amp;"dit?usp=sharing"",""ตาก!L421"")+IMPORTRANGE(""https://docs.google.com/spreadsheets/d/1IQAWArduLkta9LpYo4a_ULsyqdta6-6aDDiwpUnQT6c/edit?usp=sharing"",""นครสวรรค์!L421"")+IMPORTRANGE(""https://docs.google.com/spreadsheets/d/10s13Sk5xrltsiR-Zkbmk5DwIaDIKO8Xl"&amp;"bJAfqyT7Gvg/edit?usp=sharing"",""น่าน!L421"")+IMPORTRANGE(""https://docs.google.com/spreadsheets/d/1uu4nAn4Dbi1XREnLKKotUANlKXa7yCgRcgq8HEzQYW8/edit?usp=sharing"",""พะเยา!L421"")+IMPORTRANGE(""https://docs.google.com/spreadsheets/d/1xfJKIQxVOaPDIICqsflNlL"&amp;"u3JacTDk1FP9RH4phX7mI/edit?usp=sharing"",""พิจิตร!L421"")+IMPORTRANGE(""https://docs.google.com/spreadsheets/d/1JtRfZkJMHtEhI5RdRHxYUG4FIZHqKDpNyIuN7A1Q0_k/edit?usp=sharing"",""พิษณุโลก!L421"")+IMPORTRANGE(""https://docs.google.com/spreadsheets/d/1xlcVZWU"&amp;"Nn6SuWm0c307h32SiGkd9BaeQWlAktfD3KO8/edit?usp=sharing"",""เพชรบูรณ์!L421"")+IMPORTRANGE(""https://docs.google.com/spreadsheets/d/1lOVebEIsI9qjGXl6EX66luk7wiuP2tBaryw-wKvv4e0/edit?usp=sharing"",""แพร่!L421"")+IMPORTRANGE(""https://docs.google.com/spreadshe"&amp;"ets/d/1dQrvX0vEcN7Gu0fnZ0B5S90AeR19zth4XlExFBeExMY/edit?usp=sharing"",""แม่ฮ่องสอน!L421"")+IMPORTRANGE(""https://docs.google.com/spreadsheets/d/1DY4XTNNwjluuxqdfdn6qvOSlMRrZqUtmYcZR0ttFiG4/edit?usp=sharing"",""ลำปาง!L421"")+IMPORTRANGE(""https://docs.goog"&amp;"le.com/spreadsheets/d/1ICwG78r0OFT8biBlxnBF8r7she7gNSzOvJ958PWT09c/edit?usp=sharing"",""ลำพูน!L421"")+IMPORTRANGE(""https://docs.google.com/spreadsheets/d/1B0f2xJpZUC6Z0xXnqKlZtEPzsf6L84eP1r1Q15seqRM/edit?usp=sharing"",""สุโขทัย!L421"")+IMPORTRANGE(""http"&amp;"s://docs.google.com/spreadsheets/d/1v0b9pFQCsKUVExMei7AgY2yQkdeNQvtOssygGsXbiKo/edit?usp=sharing"",""อุตรดิตถ์!L421"")+IMPORTRANGE(""https://docs.google.com/spreadsheets/d/1UsNK1e-WWiCo2PvGqdNfdme4m17_Ezd3J69EeeiQPD0/edit?usp=sharing"",""อุทัยธานี!L421"")"),0)</f>
        <v>0</v>
      </c>
      <c r="M421" s="46">
        <f ca="1">IFERROR(__xludf.DUMMYFUNCTION("IMPORTRANGE(""https://docs.google.com/spreadsheets/d/1jTcq05yEiRwXcBMLjiodW9e4biSGYWAHcDj22rKWQ3s/edit?usp=sharing"",""กำแพงเพชร!M421"")+IMPORTRANGE(""https://docs.google.com/spreadsheets/d/1KS0zmDSZPk8KnTAbGN-Xk6MtX1YRZD0ldgdt20K4CRk/edit?usp=sharing"","&amp;"""เชียงราย!M421"")+IMPORTRANGE(""https://docs.google.com/spreadsheets/d/1rEDxBtusbi64tE0zunoIbsTVV16HeL0oJ6trHQeQ7K8/edit?usp=sharing"",""เชียงใหม่!M421"")+IMPORTRANGE(""https://docs.google.com/spreadsheets/d/1W6MnUbDkMi6xHnHko_XkFDO9kkuL6Wqyc-6OCDFjW9I/e"&amp;"dit?usp=sharing"",""ตาก!M421"")+IMPORTRANGE(""https://docs.google.com/spreadsheets/d/1IQAWArduLkta9LpYo4a_ULsyqdta6-6aDDiwpUnQT6c/edit?usp=sharing"",""นครสวรรค์!M421"")+IMPORTRANGE(""https://docs.google.com/spreadsheets/d/10s13Sk5xrltsiR-Zkbmk5DwIaDIKO8Xl"&amp;"bJAfqyT7Gvg/edit?usp=sharing"",""น่าน!M421"")+IMPORTRANGE(""https://docs.google.com/spreadsheets/d/1uu4nAn4Dbi1XREnLKKotUANlKXa7yCgRcgq8HEzQYW8/edit?usp=sharing"",""พะเยา!M421"")+IMPORTRANGE(""https://docs.google.com/spreadsheets/d/1xfJKIQxVOaPDIICqsflNlL"&amp;"u3JacTDk1FP9RH4phX7mI/edit?usp=sharing"",""พิจิตร!M421"")+IMPORTRANGE(""https://docs.google.com/spreadsheets/d/1JtRfZkJMHtEhI5RdRHxYUG4FIZHqKDpNyIuN7A1Q0_k/edit?usp=sharing"",""พิษณุโลก!M421"")+IMPORTRANGE(""https://docs.google.com/spreadsheets/d/1xlcVZWU"&amp;"Nn6SuWm0c307h32SiGkd9BaeQWlAktfD3KO8/edit?usp=sharing"",""เพชรบูรณ์!M421"")+IMPORTRANGE(""https://docs.google.com/spreadsheets/d/1lOVebEIsI9qjGXl6EX66luk7wiuP2tBaryw-wKvv4e0/edit?usp=sharing"",""แพร่!M421"")+IMPORTRANGE(""https://docs.google.com/spreadshe"&amp;"ets/d/1dQrvX0vEcN7Gu0fnZ0B5S90AeR19zth4XlExFBeExMY/edit?usp=sharing"",""แม่ฮ่องสอน!M421"")+IMPORTRANGE(""https://docs.google.com/spreadsheets/d/1DY4XTNNwjluuxqdfdn6qvOSlMRrZqUtmYcZR0ttFiG4/edit?usp=sharing"",""ลำปาง!M421"")+IMPORTRANGE(""https://docs.goog"&amp;"le.com/spreadsheets/d/1ICwG78r0OFT8biBlxnBF8r7she7gNSzOvJ958PWT09c/edit?usp=sharing"",""ลำพูน!M421"")+IMPORTRANGE(""https://docs.google.com/spreadsheets/d/1B0f2xJpZUC6Z0xXnqKlZtEPzsf6L84eP1r1Q15seqRM/edit?usp=sharing"",""สุโขทัย!M421"")+IMPORTRANGE(""http"&amp;"s://docs.google.com/spreadsheets/d/1v0b9pFQCsKUVExMei7AgY2yQkdeNQvtOssygGsXbiKo/edit?usp=sharing"",""อุตรดิตถ์!M421"")+IMPORTRANGE(""https://docs.google.com/spreadsheets/d/1UsNK1e-WWiCo2PvGqdNfdme4m17_Ezd3J69EeeiQPD0/edit?usp=sharing"",""อุทัยธานี!M421"")"),0)</f>
        <v>0</v>
      </c>
      <c r="N421" s="46">
        <f ca="1">IFERROR(__xludf.DUMMYFUNCTION("IMPORTRANGE(""https://docs.google.com/spreadsheets/d/1jTcq05yEiRwXcBMLjiodW9e4biSGYWAHcDj22rKWQ3s/edit?usp=sharing"",""กำแพงเพชร!N421"")+IMPORTRANGE(""https://docs.google.com/spreadsheets/d/1KS0zmDSZPk8KnTAbGN-Xk6MtX1YRZD0ldgdt20K4CRk/edit?usp=sharing"","&amp;"""เชียงราย!N421"")+IMPORTRANGE(""https://docs.google.com/spreadsheets/d/1rEDxBtusbi64tE0zunoIbsTVV16HeL0oJ6trHQeQ7K8/edit?usp=sharing"",""เชียงใหม่!N421"")+IMPORTRANGE(""https://docs.google.com/spreadsheets/d/1W6MnUbDkMi6xHnHko_XkFDO9kkuL6Wqyc-6OCDFjW9I/e"&amp;"dit?usp=sharing"",""ตาก!N421"")+IMPORTRANGE(""https://docs.google.com/spreadsheets/d/1IQAWArduLkta9LpYo4a_ULsyqdta6-6aDDiwpUnQT6c/edit?usp=sharing"",""นครสวรรค์!N421"")+IMPORTRANGE(""https://docs.google.com/spreadsheets/d/10s13Sk5xrltsiR-Zkbmk5DwIaDIKO8Xl"&amp;"bJAfqyT7Gvg/edit?usp=sharing"",""น่าน!N421"")+IMPORTRANGE(""https://docs.google.com/spreadsheets/d/1uu4nAn4Dbi1XREnLKKotUANlKXa7yCgRcgq8HEzQYW8/edit?usp=sharing"",""พะเยา!N421"")+IMPORTRANGE(""https://docs.google.com/spreadsheets/d/1xfJKIQxVOaPDIICqsflNlL"&amp;"u3JacTDk1FP9RH4phX7mI/edit?usp=sharing"",""พิจิตร!N421"")+IMPORTRANGE(""https://docs.google.com/spreadsheets/d/1JtRfZkJMHtEhI5RdRHxYUG4FIZHqKDpNyIuN7A1Q0_k/edit?usp=sharing"",""พิษณุโลก!N421"")+IMPORTRANGE(""https://docs.google.com/spreadsheets/d/1xlcVZWU"&amp;"Nn6SuWm0c307h32SiGkd9BaeQWlAktfD3KO8/edit?usp=sharing"",""เพชรบูรณ์!N421"")+IMPORTRANGE(""https://docs.google.com/spreadsheets/d/1lOVebEIsI9qjGXl6EX66luk7wiuP2tBaryw-wKvv4e0/edit?usp=sharing"",""แพร่!N421"")+IMPORTRANGE(""https://docs.google.com/spreadshe"&amp;"ets/d/1dQrvX0vEcN7Gu0fnZ0B5S90AeR19zth4XlExFBeExMY/edit?usp=sharing"",""แม่ฮ่องสอน!N421"")+IMPORTRANGE(""https://docs.google.com/spreadsheets/d/1DY4XTNNwjluuxqdfdn6qvOSlMRrZqUtmYcZR0ttFiG4/edit?usp=sharing"",""ลำปาง!N421"")+IMPORTRANGE(""https://docs.goog"&amp;"le.com/spreadsheets/d/1ICwG78r0OFT8biBlxnBF8r7she7gNSzOvJ958PWT09c/edit?usp=sharing"",""ลำพูน!N421"")+IMPORTRANGE(""https://docs.google.com/spreadsheets/d/1B0f2xJpZUC6Z0xXnqKlZtEPzsf6L84eP1r1Q15seqRM/edit?usp=sharing"",""สุโขทัย!N421"")+IMPORTRANGE(""http"&amp;"s://docs.google.com/spreadsheets/d/1v0b9pFQCsKUVExMei7AgY2yQkdeNQvtOssygGsXbiKo/edit?usp=sharing"",""อุตรดิตถ์!N421"")+IMPORTRANGE(""https://docs.google.com/spreadsheets/d/1UsNK1e-WWiCo2PvGqdNfdme4m17_Ezd3J69EeeiQPD0/edit?usp=sharing"",""อุทัยธานี!N421"")"),0)</f>
        <v>0</v>
      </c>
      <c r="O421" s="46">
        <f t="shared" ca="1" si="314"/>
        <v>0</v>
      </c>
      <c r="P421" s="46">
        <f t="shared" ca="1" si="315"/>
        <v>0</v>
      </c>
      <c r="Q421" s="46">
        <f ca="1">IFERROR(__xludf.DUMMYFUNCTION("IMPORTRANGE(""https://docs.google.com/spreadsheets/d/1jTcq05yEiRwXcBMLjiodW9e4biSGYWAHcDj22rKWQ3s/edit?usp=sharing"",""กำแพงเพชร!Q421"")+IMPORTRANGE(""https://docs.google.com/spreadsheets/d/1KS0zmDSZPk8KnTAbGN-Xk6MtX1YRZD0ldgdt20K4CRk/edit?usp=sharing"","&amp;"""เชียงราย!Q421"")+IMPORTRANGE(""https://docs.google.com/spreadsheets/d/1rEDxBtusbi64tE0zunoIbsTVV16HeL0oJ6trHQeQ7K8/edit?usp=sharing"",""เชียงใหม่!Q421"")+IMPORTRANGE(""https://docs.google.com/spreadsheets/d/1W6MnUbDkMi6xHnHko_XkFDO9kkuL6Wqyc-6OCDFjW9I/e"&amp;"dit?usp=sharing"",""ตาก!Q421"")+IMPORTRANGE(""https://docs.google.com/spreadsheets/d/1IQAWArduLkta9LpYo4a_ULsyqdta6-6aDDiwpUnQT6c/edit?usp=sharing"",""นครสวรรค์!Q421"")+IMPORTRANGE(""https://docs.google.com/spreadsheets/d/10s13Sk5xrltsiR-Zkbmk5DwIaDIKO8Xl"&amp;"bJAfqyT7Gvg/edit?usp=sharing"",""น่าน!Q421"")+IMPORTRANGE(""https://docs.google.com/spreadsheets/d/1uu4nAn4Dbi1XREnLKKotUANlKXa7yCgRcgq8HEzQYW8/edit?usp=sharing"",""พะเยา!Q421"")+IMPORTRANGE(""https://docs.google.com/spreadsheets/d/1xfJKIQxVOaPDIICqsflNlL"&amp;"u3JacTDk1FP9RH4phX7mI/edit?usp=sharing"",""พิจิตร!Q421"")+IMPORTRANGE(""https://docs.google.com/spreadsheets/d/1JtRfZkJMHtEhI5RdRHxYUG4FIZHqKDpNyIuN7A1Q0_k/edit?usp=sharing"",""พิษณุโลก!Q421"")+IMPORTRANGE(""https://docs.google.com/spreadsheets/d/1xlcVZWU"&amp;"Nn6SuWm0c307h32SiGkd9BaeQWlAktfD3KO8/edit?usp=sharing"",""เพชรบูรณ์!Q421"")+IMPORTRANGE(""https://docs.google.com/spreadsheets/d/1lOVebEIsI9qjGXl6EX66luk7wiuP2tBaryw-wKvv4e0/edit?usp=sharing"",""แพร่!Q421"")+IMPORTRANGE(""https://docs.google.com/spreadshe"&amp;"ets/d/1dQrvX0vEcN7Gu0fnZ0B5S90AeR19zth4XlExFBeExMY/edit?usp=sharing"",""แม่ฮ่องสอน!Q421"")+IMPORTRANGE(""https://docs.google.com/spreadsheets/d/1DY4XTNNwjluuxqdfdn6qvOSlMRrZqUtmYcZR0ttFiG4/edit?usp=sharing"",""ลำปาง!Q421"")+IMPORTRANGE(""https://docs.goog"&amp;"le.com/spreadsheets/d/1ICwG78r0OFT8biBlxnBF8r7she7gNSzOvJ958PWT09c/edit?usp=sharing"",""ลำพูน!Q421"")+IMPORTRANGE(""https://docs.google.com/spreadsheets/d/1B0f2xJpZUC6Z0xXnqKlZtEPzsf6L84eP1r1Q15seqRM/edit?usp=sharing"",""สุโขทัย!Q421"")+IMPORTRANGE(""http"&amp;"s://docs.google.com/spreadsheets/d/1v0b9pFQCsKUVExMei7AgY2yQkdeNQvtOssygGsXbiKo/edit?usp=sharing"",""อุตรดิตถ์!Q421"")+IMPORTRANGE(""https://docs.google.com/spreadsheets/d/1UsNK1e-WWiCo2PvGqdNfdme4m17_Ezd3J69EeeiQPD0/edit?usp=sharing"",""อุทัยธานี!Q421"")"),0)</f>
        <v>0</v>
      </c>
      <c r="R421" s="46">
        <f ca="1">IFERROR(__xludf.DUMMYFUNCTION("IMPORTRANGE(""https://docs.google.com/spreadsheets/d/1jTcq05yEiRwXcBMLjiodW9e4biSGYWAHcDj22rKWQ3s/edit?usp=sharing"",""กำแพงเพชร!R421"")+IMPORTRANGE(""https://docs.google.com/spreadsheets/d/1KS0zmDSZPk8KnTAbGN-Xk6MtX1YRZD0ldgdt20K4CRk/edit?usp=sharing"","&amp;"""เชียงราย!R421"")+IMPORTRANGE(""https://docs.google.com/spreadsheets/d/1rEDxBtusbi64tE0zunoIbsTVV16HeL0oJ6trHQeQ7K8/edit?usp=sharing"",""เชียงใหม่!R421"")+IMPORTRANGE(""https://docs.google.com/spreadsheets/d/1W6MnUbDkMi6xHnHko_XkFDO9kkuL6Wqyc-6OCDFjW9I/e"&amp;"dit?usp=sharing"",""ตาก!R421"")+IMPORTRANGE(""https://docs.google.com/spreadsheets/d/1IQAWArduLkta9LpYo4a_ULsyqdta6-6aDDiwpUnQT6c/edit?usp=sharing"",""นครสวรรค์!R421"")+IMPORTRANGE(""https://docs.google.com/spreadsheets/d/10s13Sk5xrltsiR-Zkbmk5DwIaDIKO8Xl"&amp;"bJAfqyT7Gvg/edit?usp=sharing"",""น่าน!R421"")+IMPORTRANGE(""https://docs.google.com/spreadsheets/d/1uu4nAn4Dbi1XREnLKKotUANlKXa7yCgRcgq8HEzQYW8/edit?usp=sharing"",""พะเยา!R421"")+IMPORTRANGE(""https://docs.google.com/spreadsheets/d/1xfJKIQxVOaPDIICqsflNlL"&amp;"u3JacTDk1FP9RH4phX7mI/edit?usp=sharing"",""พิจิตร!R421"")+IMPORTRANGE(""https://docs.google.com/spreadsheets/d/1JtRfZkJMHtEhI5RdRHxYUG4FIZHqKDpNyIuN7A1Q0_k/edit?usp=sharing"",""พิษณุโลก!R421"")+IMPORTRANGE(""https://docs.google.com/spreadsheets/d/1xlcVZWU"&amp;"Nn6SuWm0c307h32SiGkd9BaeQWlAktfD3KO8/edit?usp=sharing"",""เพชรบูรณ์!R421"")+IMPORTRANGE(""https://docs.google.com/spreadsheets/d/1lOVebEIsI9qjGXl6EX66luk7wiuP2tBaryw-wKvv4e0/edit?usp=sharing"",""แพร่!R421"")+IMPORTRANGE(""https://docs.google.com/spreadshe"&amp;"ets/d/1dQrvX0vEcN7Gu0fnZ0B5S90AeR19zth4XlExFBeExMY/edit?usp=sharing"",""แม่ฮ่องสอน!R421"")+IMPORTRANGE(""https://docs.google.com/spreadsheets/d/1DY4XTNNwjluuxqdfdn6qvOSlMRrZqUtmYcZR0ttFiG4/edit?usp=sharing"",""ลำปาง!R421"")+IMPORTRANGE(""https://docs.goog"&amp;"le.com/spreadsheets/d/1ICwG78r0OFT8biBlxnBF8r7she7gNSzOvJ958PWT09c/edit?usp=sharing"",""ลำพูน!R421"")+IMPORTRANGE(""https://docs.google.com/spreadsheets/d/1B0f2xJpZUC6Z0xXnqKlZtEPzsf6L84eP1r1Q15seqRM/edit?usp=sharing"",""สุโขทัย!R421"")+IMPORTRANGE(""http"&amp;"s://docs.google.com/spreadsheets/d/1v0b9pFQCsKUVExMei7AgY2yQkdeNQvtOssygGsXbiKo/edit?usp=sharing"",""อุตรดิตถ์!R421"")+IMPORTRANGE(""https://docs.google.com/spreadsheets/d/1UsNK1e-WWiCo2PvGqdNfdme4m17_Ezd3J69EeeiQPD0/edit?usp=sharing"",""อุทัยธานี!R421"")"),0)</f>
        <v>0</v>
      </c>
      <c r="S421" s="46">
        <f ca="1">IFERROR(__xludf.DUMMYFUNCTION("IMPORTRANGE(""https://docs.google.com/spreadsheets/d/1jTcq05yEiRwXcBMLjiodW9e4biSGYWAHcDj22rKWQ3s/edit?usp=sharing"",""กำแพงเพชร!S421"")+IMPORTRANGE(""https://docs.google.com/spreadsheets/d/1KS0zmDSZPk8KnTAbGN-Xk6MtX1YRZD0ldgdt20K4CRk/edit?usp=sharing"","&amp;"""เชียงราย!S421"")+IMPORTRANGE(""https://docs.google.com/spreadsheets/d/1rEDxBtusbi64tE0zunoIbsTVV16HeL0oJ6trHQeQ7K8/edit?usp=sharing"",""เชียงใหม่!S421"")+IMPORTRANGE(""https://docs.google.com/spreadsheets/d/1W6MnUbDkMi6xHnHko_XkFDO9kkuL6Wqyc-6OCDFjW9I/e"&amp;"dit?usp=sharing"",""ตาก!S421"")+IMPORTRANGE(""https://docs.google.com/spreadsheets/d/1IQAWArduLkta9LpYo4a_ULsyqdta6-6aDDiwpUnQT6c/edit?usp=sharing"",""นครสวรรค์!S421"")+IMPORTRANGE(""https://docs.google.com/spreadsheets/d/10s13Sk5xrltsiR-Zkbmk5DwIaDIKO8Xl"&amp;"bJAfqyT7Gvg/edit?usp=sharing"",""น่าน!S421"")+IMPORTRANGE(""https://docs.google.com/spreadsheets/d/1uu4nAn4Dbi1XREnLKKotUANlKXa7yCgRcgq8HEzQYW8/edit?usp=sharing"",""พะเยา!S421"")+IMPORTRANGE(""https://docs.google.com/spreadsheets/d/1xfJKIQxVOaPDIICqsflNlL"&amp;"u3JacTDk1FP9RH4phX7mI/edit?usp=sharing"",""พิจิตร!S421"")+IMPORTRANGE(""https://docs.google.com/spreadsheets/d/1JtRfZkJMHtEhI5RdRHxYUG4FIZHqKDpNyIuN7A1Q0_k/edit?usp=sharing"",""พิษณุโลก!S421"")+IMPORTRANGE(""https://docs.google.com/spreadsheets/d/1xlcVZWU"&amp;"Nn6SuWm0c307h32SiGkd9BaeQWlAktfD3KO8/edit?usp=sharing"",""เพชรบูรณ์!S421"")+IMPORTRANGE(""https://docs.google.com/spreadsheets/d/1lOVebEIsI9qjGXl6EX66luk7wiuP2tBaryw-wKvv4e0/edit?usp=sharing"",""แพร่!S421"")+IMPORTRANGE(""https://docs.google.com/spreadshe"&amp;"ets/d/1dQrvX0vEcN7Gu0fnZ0B5S90AeR19zth4XlExFBeExMY/edit?usp=sharing"",""แม่ฮ่องสอน!S421"")+IMPORTRANGE(""https://docs.google.com/spreadsheets/d/1DY4XTNNwjluuxqdfdn6qvOSlMRrZqUtmYcZR0ttFiG4/edit?usp=sharing"",""ลำปาง!S421"")+IMPORTRANGE(""https://docs.goog"&amp;"le.com/spreadsheets/d/1ICwG78r0OFT8biBlxnBF8r7she7gNSzOvJ958PWT09c/edit?usp=sharing"",""ลำพูน!S421"")+IMPORTRANGE(""https://docs.google.com/spreadsheets/d/1B0f2xJpZUC6Z0xXnqKlZtEPzsf6L84eP1r1Q15seqRM/edit?usp=sharing"",""สุโขทัย!S421"")+IMPORTRANGE(""http"&amp;"s://docs.google.com/spreadsheets/d/1v0b9pFQCsKUVExMei7AgY2yQkdeNQvtOssygGsXbiKo/edit?usp=sharing"",""อุตรดิตถ์!S421"")+IMPORTRANGE(""https://docs.google.com/spreadsheets/d/1UsNK1e-WWiCo2PvGqdNfdme4m17_Ezd3J69EeeiQPD0/edit?usp=sharing"",""อุทัยธานี!S421"")"),0)</f>
        <v>0</v>
      </c>
      <c r="T421" s="46">
        <f t="shared" ca="1" si="317"/>
        <v>0</v>
      </c>
      <c r="U421" s="46">
        <f t="shared" ca="1" si="318"/>
        <v>0</v>
      </c>
    </row>
    <row r="422" spans="1:21" ht="19.5" x14ac:dyDescent="0.3">
      <c r="A422" s="208"/>
      <c r="B422" s="158"/>
      <c r="C422" s="322" t="s">
        <v>18</v>
      </c>
      <c r="D422" s="324" t="s">
        <v>38</v>
      </c>
      <c r="E422" s="158"/>
      <c r="F422" s="158"/>
      <c r="G422" s="180"/>
      <c r="H422" s="180"/>
      <c r="I422" s="44"/>
      <c r="J422" s="44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</row>
    <row r="423" spans="1:21" ht="19.5" x14ac:dyDescent="0.3">
      <c r="A423" s="208"/>
      <c r="B423" s="161" t="s">
        <v>160</v>
      </c>
      <c r="C423" s="158"/>
      <c r="D423" s="158"/>
      <c r="E423" s="158"/>
      <c r="F423" s="158"/>
      <c r="G423" s="180"/>
      <c r="H423" s="323" t="s">
        <v>46</v>
      </c>
      <c r="I423" s="147">
        <f t="shared" ref="I423:J423" ca="1" si="327">I440</f>
        <v>751126</v>
      </c>
      <c r="J423" s="147">
        <f t="shared" ca="1" si="327"/>
        <v>0</v>
      </c>
      <c r="K423" s="132">
        <f t="shared" ref="K423:K425" ca="1" si="328">IF(I423&gt;0,J423*100/I423,0)</f>
        <v>0</v>
      </c>
      <c r="L423" s="45"/>
      <c r="M423" s="45"/>
      <c r="N423" s="45"/>
      <c r="O423" s="45"/>
      <c r="P423" s="45"/>
      <c r="Q423" s="45"/>
      <c r="R423" s="45"/>
      <c r="S423" s="45"/>
      <c r="T423" s="45"/>
      <c r="U423" s="45"/>
    </row>
    <row r="424" spans="1:21" ht="19.5" x14ac:dyDescent="0.3">
      <c r="A424" s="208"/>
      <c r="B424" s="158"/>
      <c r="C424" s="161" t="s">
        <v>161</v>
      </c>
      <c r="D424" s="158"/>
      <c r="E424" s="158"/>
      <c r="F424" s="158"/>
      <c r="G424" s="180"/>
      <c r="H424" s="131" t="s">
        <v>46</v>
      </c>
      <c r="I424" s="147">
        <f ca="1">IFERROR(__xludf.DUMMYFUNCTION("IMPORTRANGE(""https://docs.google.com/spreadsheets/d/1jTcq05yEiRwXcBMLjiodW9e4biSGYWAHcDj22rKWQ3s/edit?usp=sharing"",""กำแพงเพชร!I424"")+IMPORTRANGE(""https://docs.google.com/spreadsheets/d/1KS0zmDSZPk8KnTAbGN-Xk6MtX1YRZD0ldgdt20K4CRk/edit?usp=sharing"","&amp;"""เชียงราย!I424"")+IMPORTRANGE(""https://docs.google.com/spreadsheets/d/1rEDxBtusbi64tE0zunoIbsTVV16HeL0oJ6trHQeQ7K8/edit?usp=sharing"",""เชียงใหม่!I424"")+IMPORTRANGE(""https://docs.google.com/spreadsheets/d/1W6MnUbDkMi6xHnHko_XkFDO9kkuL6Wqyc-6OCDFjW9I/e"&amp;"dit?usp=sharing"",""ตาก!I424"")+IMPORTRANGE(""https://docs.google.com/spreadsheets/d/1IQAWArduLkta9LpYo4a_ULsyqdta6-6aDDiwpUnQT6c/edit?usp=sharing"",""นครสวรรค์!I424"")+IMPORTRANGE(""https://docs.google.com/spreadsheets/d/10s13Sk5xrltsiR-Zkbmk5DwIaDIKO8Xl"&amp;"bJAfqyT7Gvg/edit?usp=sharing"",""น่าน!I424"")+IMPORTRANGE(""https://docs.google.com/spreadsheets/d/1uu4nAn4Dbi1XREnLKKotUANlKXa7yCgRcgq8HEzQYW8/edit?usp=sharing"",""พะเยา!I424"")+IMPORTRANGE(""https://docs.google.com/spreadsheets/d/1xfJKIQxVOaPDIICqsflNlL"&amp;"u3JacTDk1FP9RH4phX7mI/edit?usp=sharing"",""พิจิตร!I424"")+IMPORTRANGE(""https://docs.google.com/spreadsheets/d/1JtRfZkJMHtEhI5RdRHxYUG4FIZHqKDpNyIuN7A1Q0_k/edit?usp=sharing"",""พิษณุโลก!I424"")+IMPORTRANGE(""https://docs.google.com/spreadsheets/d/1xlcVZWU"&amp;"Nn6SuWm0c307h32SiGkd9BaeQWlAktfD3KO8/edit?usp=sharing"",""เพชรบูรณ์!I424"")+IMPORTRANGE(""https://docs.google.com/spreadsheets/d/1lOVebEIsI9qjGXl6EX66luk7wiuP2tBaryw-wKvv4e0/edit?usp=sharing"",""แพร่!I424"")+IMPORTRANGE(""https://docs.google.com/spreadshe"&amp;"ets/d/1dQrvX0vEcN7Gu0fnZ0B5S90AeR19zth4XlExFBeExMY/edit?usp=sharing"",""แม่ฮ่องสอน!I424"")+IMPORTRANGE(""https://docs.google.com/spreadsheets/d/1DY4XTNNwjluuxqdfdn6qvOSlMRrZqUtmYcZR0ttFiG4/edit?usp=sharing"",""ลำปาง!I424"")+IMPORTRANGE(""https://docs.goog"&amp;"le.com/spreadsheets/d/1ICwG78r0OFT8biBlxnBF8r7she7gNSzOvJ958PWT09c/edit?usp=sharing"",""ลำพูน!I424"")+IMPORTRANGE(""https://docs.google.com/spreadsheets/d/1B0f2xJpZUC6Z0xXnqKlZtEPzsf6L84eP1r1Q15seqRM/edit?usp=sharing"",""สุโขทัย!I424"")+IMPORTRANGE(""http"&amp;"s://docs.google.com/spreadsheets/d/1v0b9pFQCsKUVExMei7AgY2yQkdeNQvtOssygGsXbiKo/edit?usp=sharing"",""อุตรดิตถ์!I424"")+IMPORTRANGE(""https://docs.google.com/spreadsheets/d/1UsNK1e-WWiCo2PvGqdNfdme4m17_Ezd3J69EeeiQPD0/edit?usp=sharing"",""อุทัยธานี!I424"")"),751126)</f>
        <v>751126</v>
      </c>
      <c r="J424" s="147">
        <f t="shared" ref="J424:J425" ca="1" si="329">J426+J428+J430</f>
        <v>0</v>
      </c>
      <c r="K424" s="132">
        <f t="shared" ca="1" si="328"/>
        <v>0</v>
      </c>
      <c r="L424" s="45"/>
      <c r="M424" s="45"/>
      <c r="N424" s="45"/>
      <c r="O424" s="45"/>
      <c r="P424" s="45"/>
      <c r="Q424" s="45"/>
      <c r="R424" s="45"/>
      <c r="S424" s="45"/>
      <c r="T424" s="45"/>
      <c r="U424" s="45"/>
    </row>
    <row r="425" spans="1:21" ht="19.5" x14ac:dyDescent="0.3">
      <c r="A425" s="208"/>
      <c r="B425" s="158"/>
      <c r="C425" s="158"/>
      <c r="D425" s="158"/>
      <c r="E425" s="158"/>
      <c r="F425" s="158"/>
      <c r="G425" s="180"/>
      <c r="H425" s="131" t="s">
        <v>34</v>
      </c>
      <c r="I425" s="147">
        <f ca="1">IFERROR(__xludf.DUMMYFUNCTION("IMPORTRANGE(""https://docs.google.com/spreadsheets/d/1jTcq05yEiRwXcBMLjiodW9e4biSGYWAHcDj22rKWQ3s/edit?usp=sharing"",""กำแพงเพชร!I425"")+IMPORTRANGE(""https://docs.google.com/spreadsheets/d/1KS0zmDSZPk8KnTAbGN-Xk6MtX1YRZD0ldgdt20K4CRk/edit?usp=sharing"","&amp;"""เชียงราย!I425"")+IMPORTRANGE(""https://docs.google.com/spreadsheets/d/1rEDxBtusbi64tE0zunoIbsTVV16HeL0oJ6trHQeQ7K8/edit?usp=sharing"",""เชียงใหม่!I425"")+IMPORTRANGE(""https://docs.google.com/spreadsheets/d/1W6MnUbDkMi6xHnHko_XkFDO9kkuL6Wqyc-6OCDFjW9I/e"&amp;"dit?usp=sharing"",""ตาก!I425"")+IMPORTRANGE(""https://docs.google.com/spreadsheets/d/1IQAWArduLkta9LpYo4a_ULsyqdta6-6aDDiwpUnQT6c/edit?usp=sharing"",""นครสวรรค์!I425"")+IMPORTRANGE(""https://docs.google.com/spreadsheets/d/10s13Sk5xrltsiR-Zkbmk5DwIaDIKO8Xl"&amp;"bJAfqyT7Gvg/edit?usp=sharing"",""น่าน!I425"")+IMPORTRANGE(""https://docs.google.com/spreadsheets/d/1uu4nAn4Dbi1XREnLKKotUANlKXa7yCgRcgq8HEzQYW8/edit?usp=sharing"",""พะเยา!I425"")+IMPORTRANGE(""https://docs.google.com/spreadsheets/d/1xfJKIQxVOaPDIICqsflNlL"&amp;"u3JacTDk1FP9RH4phX7mI/edit?usp=sharing"",""พิจิตร!I425"")+IMPORTRANGE(""https://docs.google.com/spreadsheets/d/1JtRfZkJMHtEhI5RdRHxYUG4FIZHqKDpNyIuN7A1Q0_k/edit?usp=sharing"",""พิษณุโลก!I425"")+IMPORTRANGE(""https://docs.google.com/spreadsheets/d/1xlcVZWU"&amp;"Nn6SuWm0c307h32SiGkd9BaeQWlAktfD3KO8/edit?usp=sharing"",""เพชรบูรณ์!I425"")+IMPORTRANGE(""https://docs.google.com/spreadsheets/d/1lOVebEIsI9qjGXl6EX66luk7wiuP2tBaryw-wKvv4e0/edit?usp=sharing"",""แพร่!I425"")+IMPORTRANGE(""https://docs.google.com/spreadshe"&amp;"ets/d/1dQrvX0vEcN7Gu0fnZ0B5S90AeR19zth4XlExFBeExMY/edit?usp=sharing"",""แม่ฮ่องสอน!I425"")+IMPORTRANGE(""https://docs.google.com/spreadsheets/d/1DY4XTNNwjluuxqdfdn6qvOSlMRrZqUtmYcZR0ttFiG4/edit?usp=sharing"",""ลำปาง!I425"")+IMPORTRANGE(""https://docs.goog"&amp;"le.com/spreadsheets/d/1ICwG78r0OFT8biBlxnBF8r7she7gNSzOvJ958PWT09c/edit?usp=sharing"",""ลำพูน!I425"")+IMPORTRANGE(""https://docs.google.com/spreadsheets/d/1B0f2xJpZUC6Z0xXnqKlZtEPzsf6L84eP1r1Q15seqRM/edit?usp=sharing"",""สุโขทัย!I425"")+IMPORTRANGE(""http"&amp;"s://docs.google.com/spreadsheets/d/1v0b9pFQCsKUVExMei7AgY2yQkdeNQvtOssygGsXbiKo/edit?usp=sharing"",""อุตรดิตถ์!I425"")+IMPORTRANGE(""https://docs.google.com/spreadsheets/d/1UsNK1e-WWiCo2PvGqdNfdme4m17_Ezd3J69EeeiQPD0/edit?usp=sharing"",""อุทัยธานี!I425"")"),78655)</f>
        <v>78655</v>
      </c>
      <c r="J425" s="147">
        <f t="shared" ca="1" si="329"/>
        <v>0</v>
      </c>
      <c r="K425" s="132">
        <f t="shared" ca="1" si="328"/>
        <v>0</v>
      </c>
      <c r="L425" s="45"/>
      <c r="M425" s="45"/>
      <c r="N425" s="45"/>
      <c r="O425" s="45"/>
      <c r="P425" s="45"/>
      <c r="Q425" s="45"/>
      <c r="R425" s="45"/>
      <c r="S425" s="45"/>
      <c r="T425" s="45"/>
      <c r="U425" s="45"/>
    </row>
    <row r="426" spans="1:21" ht="18.75" x14ac:dyDescent="0.25">
      <c r="A426" s="208"/>
      <c r="B426" s="158"/>
      <c r="C426" s="158"/>
      <c r="D426" s="209" t="s">
        <v>162</v>
      </c>
      <c r="E426" s="158"/>
      <c r="F426" s="158"/>
      <c r="G426" s="180"/>
      <c r="H426" s="133" t="s">
        <v>46</v>
      </c>
      <c r="I426" s="44"/>
      <c r="J426" s="166">
        <f ca="1">IFERROR(__xludf.DUMMYFUNCTION("IMPORTRANGE(""https://docs.google.com/spreadsheets/d/1jTcq05yEiRwXcBMLjiodW9e4biSGYWAHcDj22rKWQ3s/edit?usp=sharing"",""กำแพงเพชร!J426"")+IMPORTRANGE(""https://docs.google.com/spreadsheets/d/1KS0zmDSZPk8KnTAbGN-Xk6MtX1YRZD0ldgdt20K4CRk/edit?usp=sharing"","&amp;"""เชียงราย!J426"")+IMPORTRANGE(""https://docs.google.com/spreadsheets/d/1rEDxBtusbi64tE0zunoIbsTVV16HeL0oJ6trHQeQ7K8/edit?usp=sharing"",""เชียงใหม่!J426"")+IMPORTRANGE(""https://docs.google.com/spreadsheets/d/1W6MnUbDkMi6xHnHko_XkFDO9kkuL6Wqyc-6OCDFjW9I/e"&amp;"dit?usp=sharing"",""ตาก!J426"")+IMPORTRANGE(""https://docs.google.com/spreadsheets/d/1IQAWArduLkta9LpYo4a_ULsyqdta6-6aDDiwpUnQT6c/edit?usp=sharing"",""นครสวรรค์!J426"")+IMPORTRANGE(""https://docs.google.com/spreadsheets/d/10s13Sk5xrltsiR-Zkbmk5DwIaDIKO8Xl"&amp;"bJAfqyT7Gvg/edit?usp=sharing"",""น่าน!J426"")+IMPORTRANGE(""https://docs.google.com/spreadsheets/d/1uu4nAn4Dbi1XREnLKKotUANlKXa7yCgRcgq8HEzQYW8/edit?usp=sharing"",""พะเยา!J426"")+IMPORTRANGE(""https://docs.google.com/spreadsheets/d/1xfJKIQxVOaPDIICqsflNlL"&amp;"u3JacTDk1FP9RH4phX7mI/edit?usp=sharing"",""พิจิตร!J426"")+IMPORTRANGE(""https://docs.google.com/spreadsheets/d/1JtRfZkJMHtEhI5RdRHxYUG4FIZHqKDpNyIuN7A1Q0_k/edit?usp=sharing"",""พิษณุโลก!J426"")+IMPORTRANGE(""https://docs.google.com/spreadsheets/d/1xlcVZWU"&amp;"Nn6SuWm0c307h32SiGkd9BaeQWlAktfD3KO8/edit?usp=sharing"",""เพชรบูรณ์!J426"")+IMPORTRANGE(""https://docs.google.com/spreadsheets/d/1lOVebEIsI9qjGXl6EX66luk7wiuP2tBaryw-wKvv4e0/edit?usp=sharing"",""แพร่!J426"")+IMPORTRANGE(""https://docs.google.com/spreadshe"&amp;"ets/d/1dQrvX0vEcN7Gu0fnZ0B5S90AeR19zth4XlExFBeExMY/edit?usp=sharing"",""แม่ฮ่องสอน!J426"")+IMPORTRANGE(""https://docs.google.com/spreadsheets/d/1DY4XTNNwjluuxqdfdn6qvOSlMRrZqUtmYcZR0ttFiG4/edit?usp=sharing"",""ลำปาง!J426"")+IMPORTRANGE(""https://docs.goog"&amp;"le.com/spreadsheets/d/1ICwG78r0OFT8biBlxnBF8r7she7gNSzOvJ958PWT09c/edit?usp=sharing"",""ลำพูน!J426"")+IMPORTRANGE(""https://docs.google.com/spreadsheets/d/1B0f2xJpZUC6Z0xXnqKlZtEPzsf6L84eP1r1Q15seqRM/edit?usp=sharing"",""สุโขทัย!J426"")+IMPORTRANGE(""http"&amp;"s://docs.google.com/spreadsheets/d/1v0b9pFQCsKUVExMei7AgY2yQkdeNQvtOssygGsXbiKo/edit?usp=sharing"",""อุตรดิตถ์!J426"")+IMPORTRANGE(""https://docs.google.com/spreadsheets/d/1UsNK1e-WWiCo2PvGqdNfdme4m17_Ezd3J69EeeiQPD0/edit?usp=sharing"",""อุทัยธานี!J426"")"),0)</f>
        <v>0</v>
      </c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</row>
    <row r="427" spans="1:21" ht="18.75" x14ac:dyDescent="0.25">
      <c r="A427" s="208"/>
      <c r="B427" s="158"/>
      <c r="C427" s="158"/>
      <c r="D427" s="158"/>
      <c r="E427" s="158"/>
      <c r="F427" s="158"/>
      <c r="G427" s="180"/>
      <c r="H427" s="133" t="s">
        <v>34</v>
      </c>
      <c r="I427" s="44"/>
      <c r="J427" s="166">
        <f ca="1">IFERROR(__xludf.DUMMYFUNCTION("IMPORTRANGE(""https://docs.google.com/spreadsheets/d/1jTcq05yEiRwXcBMLjiodW9e4biSGYWAHcDj22rKWQ3s/edit?usp=sharing"",""กำแพงเพชร!J427"")+IMPORTRANGE(""https://docs.google.com/spreadsheets/d/1KS0zmDSZPk8KnTAbGN-Xk6MtX1YRZD0ldgdt20K4CRk/edit?usp=sharing"","&amp;"""เชียงราย!J427"")+IMPORTRANGE(""https://docs.google.com/spreadsheets/d/1rEDxBtusbi64tE0zunoIbsTVV16HeL0oJ6trHQeQ7K8/edit?usp=sharing"",""เชียงใหม่!J427"")+IMPORTRANGE(""https://docs.google.com/spreadsheets/d/1W6MnUbDkMi6xHnHko_XkFDO9kkuL6Wqyc-6OCDFjW9I/e"&amp;"dit?usp=sharing"",""ตาก!J427"")+IMPORTRANGE(""https://docs.google.com/spreadsheets/d/1IQAWArduLkta9LpYo4a_ULsyqdta6-6aDDiwpUnQT6c/edit?usp=sharing"",""นครสวรรค์!J427"")+IMPORTRANGE(""https://docs.google.com/spreadsheets/d/10s13Sk5xrltsiR-Zkbmk5DwIaDIKO8Xl"&amp;"bJAfqyT7Gvg/edit?usp=sharing"",""น่าน!J427"")+IMPORTRANGE(""https://docs.google.com/spreadsheets/d/1uu4nAn4Dbi1XREnLKKotUANlKXa7yCgRcgq8HEzQYW8/edit?usp=sharing"",""พะเยา!J427"")+IMPORTRANGE(""https://docs.google.com/spreadsheets/d/1xfJKIQxVOaPDIICqsflNlL"&amp;"u3JacTDk1FP9RH4phX7mI/edit?usp=sharing"",""พิจิตร!J427"")+IMPORTRANGE(""https://docs.google.com/spreadsheets/d/1JtRfZkJMHtEhI5RdRHxYUG4FIZHqKDpNyIuN7A1Q0_k/edit?usp=sharing"",""พิษณุโลก!J427"")+IMPORTRANGE(""https://docs.google.com/spreadsheets/d/1xlcVZWU"&amp;"Nn6SuWm0c307h32SiGkd9BaeQWlAktfD3KO8/edit?usp=sharing"",""เพชรบูรณ์!J427"")+IMPORTRANGE(""https://docs.google.com/spreadsheets/d/1lOVebEIsI9qjGXl6EX66luk7wiuP2tBaryw-wKvv4e0/edit?usp=sharing"",""แพร่!J427"")+IMPORTRANGE(""https://docs.google.com/spreadshe"&amp;"ets/d/1dQrvX0vEcN7Gu0fnZ0B5S90AeR19zth4XlExFBeExMY/edit?usp=sharing"",""แม่ฮ่องสอน!J427"")+IMPORTRANGE(""https://docs.google.com/spreadsheets/d/1DY4XTNNwjluuxqdfdn6qvOSlMRrZqUtmYcZR0ttFiG4/edit?usp=sharing"",""ลำปาง!J427"")+IMPORTRANGE(""https://docs.goog"&amp;"le.com/spreadsheets/d/1ICwG78r0OFT8biBlxnBF8r7she7gNSzOvJ958PWT09c/edit?usp=sharing"",""ลำพูน!J427"")+IMPORTRANGE(""https://docs.google.com/spreadsheets/d/1B0f2xJpZUC6Z0xXnqKlZtEPzsf6L84eP1r1Q15seqRM/edit?usp=sharing"",""สุโขทัย!J427"")+IMPORTRANGE(""http"&amp;"s://docs.google.com/spreadsheets/d/1v0b9pFQCsKUVExMei7AgY2yQkdeNQvtOssygGsXbiKo/edit?usp=sharing"",""อุตรดิตถ์!J427"")+IMPORTRANGE(""https://docs.google.com/spreadsheets/d/1UsNK1e-WWiCo2PvGqdNfdme4m17_Ezd3J69EeeiQPD0/edit?usp=sharing"",""อุทัยธานี!J427"")"),0)</f>
        <v>0</v>
      </c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</row>
    <row r="428" spans="1:21" ht="18.75" x14ac:dyDescent="0.25">
      <c r="A428" s="208"/>
      <c r="B428" s="158"/>
      <c r="C428" s="158"/>
      <c r="D428" s="209" t="s">
        <v>163</v>
      </c>
      <c r="E428" s="158"/>
      <c r="F428" s="158"/>
      <c r="G428" s="180"/>
      <c r="H428" s="133" t="s">
        <v>46</v>
      </c>
      <c r="I428" s="44"/>
      <c r="J428" s="166">
        <f ca="1">IFERROR(__xludf.DUMMYFUNCTION("IMPORTRANGE(""https://docs.google.com/spreadsheets/d/1jTcq05yEiRwXcBMLjiodW9e4biSGYWAHcDj22rKWQ3s/edit?usp=sharing"",""กำแพงเพชร!J428"")+IMPORTRANGE(""https://docs.google.com/spreadsheets/d/1KS0zmDSZPk8KnTAbGN-Xk6MtX1YRZD0ldgdt20K4CRk/edit?usp=sharing"","&amp;"""เชียงราย!J428"")+IMPORTRANGE(""https://docs.google.com/spreadsheets/d/1rEDxBtusbi64tE0zunoIbsTVV16HeL0oJ6trHQeQ7K8/edit?usp=sharing"",""เชียงใหม่!J428"")+IMPORTRANGE(""https://docs.google.com/spreadsheets/d/1W6MnUbDkMi6xHnHko_XkFDO9kkuL6Wqyc-6OCDFjW9I/e"&amp;"dit?usp=sharing"",""ตาก!J428"")+IMPORTRANGE(""https://docs.google.com/spreadsheets/d/1IQAWArduLkta9LpYo4a_ULsyqdta6-6aDDiwpUnQT6c/edit?usp=sharing"",""นครสวรรค์!J428"")+IMPORTRANGE(""https://docs.google.com/spreadsheets/d/10s13Sk5xrltsiR-Zkbmk5DwIaDIKO8Xl"&amp;"bJAfqyT7Gvg/edit?usp=sharing"",""น่าน!J428"")+IMPORTRANGE(""https://docs.google.com/spreadsheets/d/1uu4nAn4Dbi1XREnLKKotUANlKXa7yCgRcgq8HEzQYW8/edit?usp=sharing"",""พะเยา!J428"")+IMPORTRANGE(""https://docs.google.com/spreadsheets/d/1xfJKIQxVOaPDIICqsflNlL"&amp;"u3JacTDk1FP9RH4phX7mI/edit?usp=sharing"",""พิจิตร!J428"")+IMPORTRANGE(""https://docs.google.com/spreadsheets/d/1JtRfZkJMHtEhI5RdRHxYUG4FIZHqKDpNyIuN7A1Q0_k/edit?usp=sharing"",""พิษณุโลก!J428"")+IMPORTRANGE(""https://docs.google.com/spreadsheets/d/1xlcVZWU"&amp;"Nn6SuWm0c307h32SiGkd9BaeQWlAktfD3KO8/edit?usp=sharing"",""เพชรบูรณ์!J428"")+IMPORTRANGE(""https://docs.google.com/spreadsheets/d/1lOVebEIsI9qjGXl6EX66luk7wiuP2tBaryw-wKvv4e0/edit?usp=sharing"",""แพร่!J428"")+IMPORTRANGE(""https://docs.google.com/spreadshe"&amp;"ets/d/1dQrvX0vEcN7Gu0fnZ0B5S90AeR19zth4XlExFBeExMY/edit?usp=sharing"",""แม่ฮ่องสอน!J428"")+IMPORTRANGE(""https://docs.google.com/spreadsheets/d/1DY4XTNNwjluuxqdfdn6qvOSlMRrZqUtmYcZR0ttFiG4/edit?usp=sharing"",""ลำปาง!J428"")+IMPORTRANGE(""https://docs.goog"&amp;"le.com/spreadsheets/d/1ICwG78r0OFT8biBlxnBF8r7she7gNSzOvJ958PWT09c/edit?usp=sharing"",""ลำพูน!J428"")+IMPORTRANGE(""https://docs.google.com/spreadsheets/d/1B0f2xJpZUC6Z0xXnqKlZtEPzsf6L84eP1r1Q15seqRM/edit?usp=sharing"",""สุโขทัย!J428"")+IMPORTRANGE(""http"&amp;"s://docs.google.com/spreadsheets/d/1v0b9pFQCsKUVExMei7AgY2yQkdeNQvtOssygGsXbiKo/edit?usp=sharing"",""อุตรดิตถ์!J428"")+IMPORTRANGE(""https://docs.google.com/spreadsheets/d/1UsNK1e-WWiCo2PvGqdNfdme4m17_Ezd3J69EeeiQPD0/edit?usp=sharing"",""อุทัยธานี!J428"")"),0)</f>
        <v>0</v>
      </c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</row>
    <row r="429" spans="1:21" ht="18.75" x14ac:dyDescent="0.25">
      <c r="A429" s="208"/>
      <c r="B429" s="158"/>
      <c r="C429" s="158"/>
      <c r="D429" s="158"/>
      <c r="E429" s="158"/>
      <c r="F429" s="158"/>
      <c r="G429" s="180"/>
      <c r="H429" s="133" t="s">
        <v>34</v>
      </c>
      <c r="I429" s="44"/>
      <c r="J429" s="166">
        <f ca="1">IFERROR(__xludf.DUMMYFUNCTION("IMPORTRANGE(""https://docs.google.com/spreadsheets/d/1jTcq05yEiRwXcBMLjiodW9e4biSGYWAHcDj22rKWQ3s/edit?usp=sharing"",""กำแพงเพชร!J429"")+IMPORTRANGE(""https://docs.google.com/spreadsheets/d/1KS0zmDSZPk8KnTAbGN-Xk6MtX1YRZD0ldgdt20K4CRk/edit?usp=sharing"","&amp;"""เชียงราย!J429"")+IMPORTRANGE(""https://docs.google.com/spreadsheets/d/1rEDxBtusbi64tE0zunoIbsTVV16HeL0oJ6trHQeQ7K8/edit?usp=sharing"",""เชียงใหม่!J429"")+IMPORTRANGE(""https://docs.google.com/spreadsheets/d/1W6MnUbDkMi6xHnHko_XkFDO9kkuL6Wqyc-6OCDFjW9I/e"&amp;"dit?usp=sharing"",""ตาก!J429"")+IMPORTRANGE(""https://docs.google.com/spreadsheets/d/1IQAWArduLkta9LpYo4a_ULsyqdta6-6aDDiwpUnQT6c/edit?usp=sharing"",""นครสวรรค์!J429"")+IMPORTRANGE(""https://docs.google.com/spreadsheets/d/10s13Sk5xrltsiR-Zkbmk5DwIaDIKO8Xl"&amp;"bJAfqyT7Gvg/edit?usp=sharing"",""น่าน!J429"")+IMPORTRANGE(""https://docs.google.com/spreadsheets/d/1uu4nAn4Dbi1XREnLKKotUANlKXa7yCgRcgq8HEzQYW8/edit?usp=sharing"",""พะเยา!J429"")+IMPORTRANGE(""https://docs.google.com/spreadsheets/d/1xfJKIQxVOaPDIICqsflNlL"&amp;"u3JacTDk1FP9RH4phX7mI/edit?usp=sharing"",""พิจิตร!J429"")+IMPORTRANGE(""https://docs.google.com/spreadsheets/d/1JtRfZkJMHtEhI5RdRHxYUG4FIZHqKDpNyIuN7A1Q0_k/edit?usp=sharing"",""พิษณุโลก!J429"")+IMPORTRANGE(""https://docs.google.com/spreadsheets/d/1xlcVZWU"&amp;"Nn6SuWm0c307h32SiGkd9BaeQWlAktfD3KO8/edit?usp=sharing"",""เพชรบูรณ์!J429"")+IMPORTRANGE(""https://docs.google.com/spreadsheets/d/1lOVebEIsI9qjGXl6EX66luk7wiuP2tBaryw-wKvv4e0/edit?usp=sharing"",""แพร่!J429"")+IMPORTRANGE(""https://docs.google.com/spreadshe"&amp;"ets/d/1dQrvX0vEcN7Gu0fnZ0B5S90AeR19zth4XlExFBeExMY/edit?usp=sharing"",""แม่ฮ่องสอน!J429"")+IMPORTRANGE(""https://docs.google.com/spreadsheets/d/1DY4XTNNwjluuxqdfdn6qvOSlMRrZqUtmYcZR0ttFiG4/edit?usp=sharing"",""ลำปาง!J429"")+IMPORTRANGE(""https://docs.goog"&amp;"le.com/spreadsheets/d/1ICwG78r0OFT8biBlxnBF8r7she7gNSzOvJ958PWT09c/edit?usp=sharing"",""ลำพูน!J429"")+IMPORTRANGE(""https://docs.google.com/spreadsheets/d/1B0f2xJpZUC6Z0xXnqKlZtEPzsf6L84eP1r1Q15seqRM/edit?usp=sharing"",""สุโขทัย!J429"")+IMPORTRANGE(""http"&amp;"s://docs.google.com/spreadsheets/d/1v0b9pFQCsKUVExMei7AgY2yQkdeNQvtOssygGsXbiKo/edit?usp=sharing"",""อุตรดิตถ์!J429"")+IMPORTRANGE(""https://docs.google.com/spreadsheets/d/1UsNK1e-WWiCo2PvGqdNfdme4m17_Ezd3J69EeeiQPD0/edit?usp=sharing"",""อุทัยธานี!J429"")"),0)</f>
        <v>0</v>
      </c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</row>
    <row r="430" spans="1:21" ht="18.75" x14ac:dyDescent="0.25">
      <c r="A430" s="208"/>
      <c r="B430" s="158"/>
      <c r="C430" s="158"/>
      <c r="D430" s="209" t="s">
        <v>164</v>
      </c>
      <c r="E430" s="158"/>
      <c r="F430" s="158"/>
      <c r="G430" s="180"/>
      <c r="H430" s="133" t="s">
        <v>46</v>
      </c>
      <c r="I430" s="44"/>
      <c r="J430" s="166">
        <f ca="1">IFERROR(__xludf.DUMMYFUNCTION("IMPORTRANGE(""https://docs.google.com/spreadsheets/d/1jTcq05yEiRwXcBMLjiodW9e4biSGYWAHcDj22rKWQ3s/edit?usp=sharing"",""กำแพงเพชร!J430"")+IMPORTRANGE(""https://docs.google.com/spreadsheets/d/1KS0zmDSZPk8KnTAbGN-Xk6MtX1YRZD0ldgdt20K4CRk/edit?usp=sharing"","&amp;"""เชียงราย!J430"")+IMPORTRANGE(""https://docs.google.com/spreadsheets/d/1rEDxBtusbi64tE0zunoIbsTVV16HeL0oJ6trHQeQ7K8/edit?usp=sharing"",""เชียงใหม่!J430"")+IMPORTRANGE(""https://docs.google.com/spreadsheets/d/1W6MnUbDkMi6xHnHko_XkFDO9kkuL6Wqyc-6OCDFjW9I/e"&amp;"dit?usp=sharing"",""ตาก!J430"")+IMPORTRANGE(""https://docs.google.com/spreadsheets/d/1IQAWArduLkta9LpYo4a_ULsyqdta6-6aDDiwpUnQT6c/edit?usp=sharing"",""นครสวรรค์!J430"")+IMPORTRANGE(""https://docs.google.com/spreadsheets/d/10s13Sk5xrltsiR-Zkbmk5DwIaDIKO8Xl"&amp;"bJAfqyT7Gvg/edit?usp=sharing"",""น่าน!J430"")+IMPORTRANGE(""https://docs.google.com/spreadsheets/d/1uu4nAn4Dbi1XREnLKKotUANlKXa7yCgRcgq8HEzQYW8/edit?usp=sharing"",""พะเยา!J430"")+IMPORTRANGE(""https://docs.google.com/spreadsheets/d/1xfJKIQxVOaPDIICqsflNlL"&amp;"u3JacTDk1FP9RH4phX7mI/edit?usp=sharing"",""พิจิตร!J430"")+IMPORTRANGE(""https://docs.google.com/spreadsheets/d/1JtRfZkJMHtEhI5RdRHxYUG4FIZHqKDpNyIuN7A1Q0_k/edit?usp=sharing"",""พิษณุโลก!J430"")+IMPORTRANGE(""https://docs.google.com/spreadsheets/d/1xlcVZWU"&amp;"Nn6SuWm0c307h32SiGkd9BaeQWlAktfD3KO8/edit?usp=sharing"",""เพชรบูรณ์!J430"")+IMPORTRANGE(""https://docs.google.com/spreadsheets/d/1lOVebEIsI9qjGXl6EX66luk7wiuP2tBaryw-wKvv4e0/edit?usp=sharing"",""แพร่!J430"")+IMPORTRANGE(""https://docs.google.com/spreadshe"&amp;"ets/d/1dQrvX0vEcN7Gu0fnZ0B5S90AeR19zth4XlExFBeExMY/edit?usp=sharing"",""แม่ฮ่องสอน!J430"")+IMPORTRANGE(""https://docs.google.com/spreadsheets/d/1DY4XTNNwjluuxqdfdn6qvOSlMRrZqUtmYcZR0ttFiG4/edit?usp=sharing"",""ลำปาง!J430"")+IMPORTRANGE(""https://docs.goog"&amp;"le.com/spreadsheets/d/1ICwG78r0OFT8biBlxnBF8r7she7gNSzOvJ958PWT09c/edit?usp=sharing"",""ลำพูน!J430"")+IMPORTRANGE(""https://docs.google.com/spreadsheets/d/1B0f2xJpZUC6Z0xXnqKlZtEPzsf6L84eP1r1Q15seqRM/edit?usp=sharing"",""สุโขทัย!J430"")+IMPORTRANGE(""http"&amp;"s://docs.google.com/spreadsheets/d/1v0b9pFQCsKUVExMei7AgY2yQkdeNQvtOssygGsXbiKo/edit?usp=sharing"",""อุตรดิตถ์!J430"")+IMPORTRANGE(""https://docs.google.com/spreadsheets/d/1UsNK1e-WWiCo2PvGqdNfdme4m17_Ezd3J69EeeiQPD0/edit?usp=sharing"",""อุทัยธานี!J430"")"),0)</f>
        <v>0</v>
      </c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</row>
    <row r="431" spans="1:21" ht="18.75" x14ac:dyDescent="0.25">
      <c r="A431" s="208"/>
      <c r="B431" s="158"/>
      <c r="C431" s="158"/>
      <c r="D431" s="158"/>
      <c r="E431" s="158"/>
      <c r="F431" s="158"/>
      <c r="G431" s="180"/>
      <c r="H431" s="133" t="s">
        <v>34</v>
      </c>
      <c r="I431" s="44"/>
      <c r="J431" s="166">
        <f ca="1">IFERROR(__xludf.DUMMYFUNCTION("IMPORTRANGE(""https://docs.google.com/spreadsheets/d/1jTcq05yEiRwXcBMLjiodW9e4biSGYWAHcDj22rKWQ3s/edit?usp=sharing"",""กำแพงเพชร!J431"")+IMPORTRANGE(""https://docs.google.com/spreadsheets/d/1KS0zmDSZPk8KnTAbGN-Xk6MtX1YRZD0ldgdt20K4CRk/edit?usp=sharing"","&amp;"""เชียงราย!J431"")+IMPORTRANGE(""https://docs.google.com/spreadsheets/d/1rEDxBtusbi64tE0zunoIbsTVV16HeL0oJ6trHQeQ7K8/edit?usp=sharing"",""เชียงใหม่!J431"")+IMPORTRANGE(""https://docs.google.com/spreadsheets/d/1W6MnUbDkMi6xHnHko_XkFDO9kkuL6Wqyc-6OCDFjW9I/e"&amp;"dit?usp=sharing"",""ตาก!J431"")+IMPORTRANGE(""https://docs.google.com/spreadsheets/d/1IQAWArduLkta9LpYo4a_ULsyqdta6-6aDDiwpUnQT6c/edit?usp=sharing"",""นครสวรรค์!J431"")+IMPORTRANGE(""https://docs.google.com/spreadsheets/d/10s13Sk5xrltsiR-Zkbmk5DwIaDIKO8Xl"&amp;"bJAfqyT7Gvg/edit?usp=sharing"",""น่าน!J431"")+IMPORTRANGE(""https://docs.google.com/spreadsheets/d/1uu4nAn4Dbi1XREnLKKotUANlKXa7yCgRcgq8HEzQYW8/edit?usp=sharing"",""พะเยา!J431"")+IMPORTRANGE(""https://docs.google.com/spreadsheets/d/1xfJKIQxVOaPDIICqsflNlL"&amp;"u3JacTDk1FP9RH4phX7mI/edit?usp=sharing"",""พิจิตร!J431"")+IMPORTRANGE(""https://docs.google.com/spreadsheets/d/1JtRfZkJMHtEhI5RdRHxYUG4FIZHqKDpNyIuN7A1Q0_k/edit?usp=sharing"",""พิษณุโลก!J431"")+IMPORTRANGE(""https://docs.google.com/spreadsheets/d/1xlcVZWU"&amp;"Nn6SuWm0c307h32SiGkd9BaeQWlAktfD3KO8/edit?usp=sharing"",""เพชรบูรณ์!J431"")+IMPORTRANGE(""https://docs.google.com/spreadsheets/d/1lOVebEIsI9qjGXl6EX66luk7wiuP2tBaryw-wKvv4e0/edit?usp=sharing"",""แพร่!J431"")+IMPORTRANGE(""https://docs.google.com/spreadshe"&amp;"ets/d/1dQrvX0vEcN7Gu0fnZ0B5S90AeR19zth4XlExFBeExMY/edit?usp=sharing"",""แม่ฮ่องสอน!J431"")+IMPORTRANGE(""https://docs.google.com/spreadsheets/d/1DY4XTNNwjluuxqdfdn6qvOSlMRrZqUtmYcZR0ttFiG4/edit?usp=sharing"",""ลำปาง!J431"")+IMPORTRANGE(""https://docs.goog"&amp;"le.com/spreadsheets/d/1ICwG78r0OFT8biBlxnBF8r7she7gNSzOvJ958PWT09c/edit?usp=sharing"",""ลำพูน!J431"")+IMPORTRANGE(""https://docs.google.com/spreadsheets/d/1B0f2xJpZUC6Z0xXnqKlZtEPzsf6L84eP1r1Q15seqRM/edit?usp=sharing"",""สุโขทัย!J431"")+IMPORTRANGE(""http"&amp;"s://docs.google.com/spreadsheets/d/1v0b9pFQCsKUVExMei7AgY2yQkdeNQvtOssygGsXbiKo/edit?usp=sharing"",""อุตรดิตถ์!J431"")+IMPORTRANGE(""https://docs.google.com/spreadsheets/d/1UsNK1e-WWiCo2PvGqdNfdme4m17_Ezd3J69EeeiQPD0/edit?usp=sharing"",""อุทัยธานี!J431"")"),0)</f>
        <v>0</v>
      </c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</row>
    <row r="432" spans="1:21" ht="19.5" x14ac:dyDescent="0.3">
      <c r="A432" s="208"/>
      <c r="B432" s="158"/>
      <c r="C432" s="161" t="s">
        <v>165</v>
      </c>
      <c r="D432" s="158"/>
      <c r="E432" s="158"/>
      <c r="F432" s="158"/>
      <c r="G432" s="180"/>
      <c r="H432" s="131" t="s">
        <v>46</v>
      </c>
      <c r="I432" s="147">
        <f ca="1">IFERROR(__xludf.DUMMYFUNCTION("IMPORTRANGE(""https://docs.google.com/spreadsheets/d/1jTcq05yEiRwXcBMLjiodW9e4biSGYWAHcDj22rKWQ3s/edit?usp=sharing"",""กำแพงเพชร!I432"")+IMPORTRANGE(""https://docs.google.com/spreadsheets/d/1KS0zmDSZPk8KnTAbGN-Xk6MtX1YRZD0ldgdt20K4CRk/edit?usp=sharing"","&amp;"""เชียงราย!I432"")+IMPORTRANGE(""https://docs.google.com/spreadsheets/d/1rEDxBtusbi64tE0zunoIbsTVV16HeL0oJ6trHQeQ7K8/edit?usp=sharing"",""เชียงใหม่!I432"")+IMPORTRANGE(""https://docs.google.com/spreadsheets/d/1W6MnUbDkMi6xHnHko_XkFDO9kkuL6Wqyc-6OCDFjW9I/e"&amp;"dit?usp=sharing"",""ตาก!I432"")+IMPORTRANGE(""https://docs.google.com/spreadsheets/d/1IQAWArduLkta9LpYo4a_ULsyqdta6-6aDDiwpUnQT6c/edit?usp=sharing"",""นครสวรรค์!I432"")+IMPORTRANGE(""https://docs.google.com/spreadsheets/d/10s13Sk5xrltsiR-Zkbmk5DwIaDIKO8Xl"&amp;"bJAfqyT7Gvg/edit?usp=sharing"",""น่าน!I432"")+IMPORTRANGE(""https://docs.google.com/spreadsheets/d/1uu4nAn4Dbi1XREnLKKotUANlKXa7yCgRcgq8HEzQYW8/edit?usp=sharing"",""พะเยา!I432"")+IMPORTRANGE(""https://docs.google.com/spreadsheets/d/1xfJKIQxVOaPDIICqsflNlL"&amp;"u3JacTDk1FP9RH4phX7mI/edit?usp=sharing"",""พิจิตร!I432"")+IMPORTRANGE(""https://docs.google.com/spreadsheets/d/1JtRfZkJMHtEhI5RdRHxYUG4FIZHqKDpNyIuN7A1Q0_k/edit?usp=sharing"",""พิษณุโลก!I432"")+IMPORTRANGE(""https://docs.google.com/spreadsheets/d/1xlcVZWU"&amp;"Nn6SuWm0c307h32SiGkd9BaeQWlAktfD3KO8/edit?usp=sharing"",""เพชรบูรณ์!I432"")+IMPORTRANGE(""https://docs.google.com/spreadsheets/d/1lOVebEIsI9qjGXl6EX66luk7wiuP2tBaryw-wKvv4e0/edit?usp=sharing"",""แพร่!I432"")+IMPORTRANGE(""https://docs.google.com/spreadshe"&amp;"ets/d/1dQrvX0vEcN7Gu0fnZ0B5S90AeR19zth4XlExFBeExMY/edit?usp=sharing"",""แม่ฮ่องสอน!I432"")+IMPORTRANGE(""https://docs.google.com/spreadsheets/d/1DY4XTNNwjluuxqdfdn6qvOSlMRrZqUtmYcZR0ttFiG4/edit?usp=sharing"",""ลำปาง!I432"")+IMPORTRANGE(""https://docs.goog"&amp;"le.com/spreadsheets/d/1ICwG78r0OFT8biBlxnBF8r7she7gNSzOvJ958PWT09c/edit?usp=sharing"",""ลำพูน!I432"")+IMPORTRANGE(""https://docs.google.com/spreadsheets/d/1B0f2xJpZUC6Z0xXnqKlZtEPzsf6L84eP1r1Q15seqRM/edit?usp=sharing"",""สุโขทัย!I432"")+IMPORTRANGE(""http"&amp;"s://docs.google.com/spreadsheets/d/1v0b9pFQCsKUVExMei7AgY2yQkdeNQvtOssygGsXbiKo/edit?usp=sharing"",""อุตรดิตถ์!I432"")+IMPORTRANGE(""https://docs.google.com/spreadsheets/d/1UsNK1e-WWiCo2PvGqdNfdme4m17_Ezd3J69EeeiQPD0/edit?usp=sharing"",""อุทัยธานี!I432"")"),751126)</f>
        <v>751126</v>
      </c>
      <c r="J432" s="147">
        <f t="shared" ref="J432:J433" ca="1" si="330">J434+J436+J438</f>
        <v>0</v>
      </c>
      <c r="K432" s="132">
        <f t="shared" ref="K432:K433" ca="1" si="331">IF(I432&gt;0,J432*100/I432,0)</f>
        <v>0</v>
      </c>
      <c r="L432" s="45"/>
      <c r="M432" s="45"/>
      <c r="N432" s="45"/>
      <c r="O432" s="45"/>
      <c r="P432" s="45"/>
      <c r="Q432" s="45"/>
      <c r="R432" s="45"/>
      <c r="S432" s="45"/>
      <c r="T432" s="45"/>
      <c r="U432" s="45"/>
    </row>
    <row r="433" spans="1:21" ht="19.5" x14ac:dyDescent="0.3">
      <c r="A433" s="208"/>
      <c r="B433" s="158"/>
      <c r="C433" s="158"/>
      <c r="D433" s="158"/>
      <c r="E433" s="158"/>
      <c r="F433" s="158"/>
      <c r="G433" s="180"/>
      <c r="H433" s="131" t="s">
        <v>34</v>
      </c>
      <c r="I433" s="147">
        <f ca="1">IFERROR(__xludf.DUMMYFUNCTION("IMPORTRANGE(""https://docs.google.com/spreadsheets/d/1jTcq05yEiRwXcBMLjiodW9e4biSGYWAHcDj22rKWQ3s/edit?usp=sharing"",""กำแพงเพชร!I433"")+IMPORTRANGE(""https://docs.google.com/spreadsheets/d/1KS0zmDSZPk8KnTAbGN-Xk6MtX1YRZD0ldgdt20K4CRk/edit?usp=sharing"","&amp;"""เชียงราย!I433"")+IMPORTRANGE(""https://docs.google.com/spreadsheets/d/1rEDxBtusbi64tE0zunoIbsTVV16HeL0oJ6trHQeQ7K8/edit?usp=sharing"",""เชียงใหม่!I433"")+IMPORTRANGE(""https://docs.google.com/spreadsheets/d/1W6MnUbDkMi6xHnHko_XkFDO9kkuL6Wqyc-6OCDFjW9I/e"&amp;"dit?usp=sharing"",""ตาก!I433"")+IMPORTRANGE(""https://docs.google.com/spreadsheets/d/1IQAWArduLkta9LpYo4a_ULsyqdta6-6aDDiwpUnQT6c/edit?usp=sharing"",""นครสวรรค์!I433"")+IMPORTRANGE(""https://docs.google.com/spreadsheets/d/10s13Sk5xrltsiR-Zkbmk5DwIaDIKO8Xl"&amp;"bJAfqyT7Gvg/edit?usp=sharing"",""น่าน!I433"")+IMPORTRANGE(""https://docs.google.com/spreadsheets/d/1uu4nAn4Dbi1XREnLKKotUANlKXa7yCgRcgq8HEzQYW8/edit?usp=sharing"",""พะเยา!I433"")+IMPORTRANGE(""https://docs.google.com/spreadsheets/d/1xfJKIQxVOaPDIICqsflNlL"&amp;"u3JacTDk1FP9RH4phX7mI/edit?usp=sharing"",""พิจิตร!I433"")+IMPORTRANGE(""https://docs.google.com/spreadsheets/d/1JtRfZkJMHtEhI5RdRHxYUG4FIZHqKDpNyIuN7A1Q0_k/edit?usp=sharing"",""พิษณุโลก!I433"")+IMPORTRANGE(""https://docs.google.com/spreadsheets/d/1xlcVZWU"&amp;"Nn6SuWm0c307h32SiGkd9BaeQWlAktfD3KO8/edit?usp=sharing"",""เพชรบูรณ์!I433"")+IMPORTRANGE(""https://docs.google.com/spreadsheets/d/1lOVebEIsI9qjGXl6EX66luk7wiuP2tBaryw-wKvv4e0/edit?usp=sharing"",""แพร่!I433"")+IMPORTRANGE(""https://docs.google.com/spreadshe"&amp;"ets/d/1dQrvX0vEcN7Gu0fnZ0B5S90AeR19zth4XlExFBeExMY/edit?usp=sharing"",""แม่ฮ่องสอน!I433"")+IMPORTRANGE(""https://docs.google.com/spreadsheets/d/1DY4XTNNwjluuxqdfdn6qvOSlMRrZqUtmYcZR0ttFiG4/edit?usp=sharing"",""ลำปาง!I433"")+IMPORTRANGE(""https://docs.goog"&amp;"le.com/spreadsheets/d/1ICwG78r0OFT8biBlxnBF8r7she7gNSzOvJ958PWT09c/edit?usp=sharing"",""ลำพูน!I433"")+IMPORTRANGE(""https://docs.google.com/spreadsheets/d/1B0f2xJpZUC6Z0xXnqKlZtEPzsf6L84eP1r1Q15seqRM/edit?usp=sharing"",""สุโขทัย!I433"")+IMPORTRANGE(""http"&amp;"s://docs.google.com/spreadsheets/d/1v0b9pFQCsKUVExMei7AgY2yQkdeNQvtOssygGsXbiKo/edit?usp=sharing"",""อุตรดิตถ์!I433"")+IMPORTRANGE(""https://docs.google.com/spreadsheets/d/1UsNK1e-WWiCo2PvGqdNfdme4m17_Ezd3J69EeeiQPD0/edit?usp=sharing"",""อุทัยธานี!I433"")"),78655)</f>
        <v>78655</v>
      </c>
      <c r="J433" s="147">
        <f t="shared" ca="1" si="330"/>
        <v>0</v>
      </c>
      <c r="K433" s="132">
        <f t="shared" ca="1" si="331"/>
        <v>0</v>
      </c>
      <c r="L433" s="45"/>
      <c r="M433" s="45"/>
      <c r="N433" s="45"/>
      <c r="O433" s="45"/>
      <c r="P433" s="45"/>
      <c r="Q433" s="45"/>
      <c r="R433" s="45"/>
      <c r="S433" s="45"/>
      <c r="T433" s="45"/>
      <c r="U433" s="45"/>
    </row>
    <row r="434" spans="1:21" ht="18.75" x14ac:dyDescent="0.25">
      <c r="A434" s="208"/>
      <c r="B434" s="158"/>
      <c r="C434" s="158"/>
      <c r="D434" s="209" t="s">
        <v>166</v>
      </c>
      <c r="E434" s="158"/>
      <c r="F434" s="158"/>
      <c r="G434" s="180"/>
      <c r="H434" s="133" t="s">
        <v>46</v>
      </c>
      <c r="I434" s="44"/>
      <c r="J434" s="166">
        <f ca="1">IFERROR(__xludf.DUMMYFUNCTION("IMPORTRANGE(""https://docs.google.com/spreadsheets/d/1jTcq05yEiRwXcBMLjiodW9e4biSGYWAHcDj22rKWQ3s/edit?usp=sharing"",""กำแพงเพชร!J434"")+IMPORTRANGE(""https://docs.google.com/spreadsheets/d/1KS0zmDSZPk8KnTAbGN-Xk6MtX1YRZD0ldgdt20K4CRk/edit?usp=sharing"","&amp;"""เชียงราย!J434"")+IMPORTRANGE(""https://docs.google.com/spreadsheets/d/1rEDxBtusbi64tE0zunoIbsTVV16HeL0oJ6trHQeQ7K8/edit?usp=sharing"",""เชียงใหม่!J434"")+IMPORTRANGE(""https://docs.google.com/spreadsheets/d/1W6MnUbDkMi6xHnHko_XkFDO9kkuL6Wqyc-6OCDFjW9I/e"&amp;"dit?usp=sharing"",""ตาก!J434"")+IMPORTRANGE(""https://docs.google.com/spreadsheets/d/1IQAWArduLkta9LpYo4a_ULsyqdta6-6aDDiwpUnQT6c/edit?usp=sharing"",""นครสวรรค์!J434"")+IMPORTRANGE(""https://docs.google.com/spreadsheets/d/10s13Sk5xrltsiR-Zkbmk5DwIaDIKO8Xl"&amp;"bJAfqyT7Gvg/edit?usp=sharing"",""น่าน!J434"")+IMPORTRANGE(""https://docs.google.com/spreadsheets/d/1uu4nAn4Dbi1XREnLKKotUANlKXa7yCgRcgq8HEzQYW8/edit?usp=sharing"",""พะเยา!J434"")+IMPORTRANGE(""https://docs.google.com/spreadsheets/d/1xfJKIQxVOaPDIICqsflNlL"&amp;"u3JacTDk1FP9RH4phX7mI/edit?usp=sharing"",""พิจิตร!J434"")+IMPORTRANGE(""https://docs.google.com/spreadsheets/d/1JtRfZkJMHtEhI5RdRHxYUG4FIZHqKDpNyIuN7A1Q0_k/edit?usp=sharing"",""พิษณุโลก!J434"")+IMPORTRANGE(""https://docs.google.com/spreadsheets/d/1xlcVZWU"&amp;"Nn6SuWm0c307h32SiGkd9BaeQWlAktfD3KO8/edit?usp=sharing"",""เพชรบูรณ์!J434"")+IMPORTRANGE(""https://docs.google.com/spreadsheets/d/1lOVebEIsI9qjGXl6EX66luk7wiuP2tBaryw-wKvv4e0/edit?usp=sharing"",""แพร่!J434"")+IMPORTRANGE(""https://docs.google.com/spreadshe"&amp;"ets/d/1dQrvX0vEcN7Gu0fnZ0B5S90AeR19zth4XlExFBeExMY/edit?usp=sharing"",""แม่ฮ่องสอน!J434"")+IMPORTRANGE(""https://docs.google.com/spreadsheets/d/1DY4XTNNwjluuxqdfdn6qvOSlMRrZqUtmYcZR0ttFiG4/edit?usp=sharing"",""ลำปาง!J434"")+IMPORTRANGE(""https://docs.goog"&amp;"le.com/spreadsheets/d/1ICwG78r0OFT8biBlxnBF8r7she7gNSzOvJ958PWT09c/edit?usp=sharing"",""ลำพูน!J434"")+IMPORTRANGE(""https://docs.google.com/spreadsheets/d/1B0f2xJpZUC6Z0xXnqKlZtEPzsf6L84eP1r1Q15seqRM/edit?usp=sharing"",""สุโขทัย!J434"")+IMPORTRANGE(""http"&amp;"s://docs.google.com/spreadsheets/d/1v0b9pFQCsKUVExMei7AgY2yQkdeNQvtOssygGsXbiKo/edit?usp=sharing"",""อุตรดิตถ์!J434"")+IMPORTRANGE(""https://docs.google.com/spreadsheets/d/1UsNK1e-WWiCo2PvGqdNfdme4m17_Ezd3J69EeeiQPD0/edit?usp=sharing"",""อุทัยธานี!J434"")"),0)</f>
        <v>0</v>
      </c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</row>
    <row r="435" spans="1:21" ht="18.75" x14ac:dyDescent="0.25">
      <c r="A435" s="208"/>
      <c r="B435" s="158"/>
      <c r="C435" s="158"/>
      <c r="D435" s="158"/>
      <c r="E435" s="158"/>
      <c r="F435" s="158"/>
      <c r="G435" s="180"/>
      <c r="H435" s="133" t="s">
        <v>34</v>
      </c>
      <c r="I435" s="44"/>
      <c r="J435" s="166">
        <f ca="1">IFERROR(__xludf.DUMMYFUNCTION("IMPORTRANGE(""https://docs.google.com/spreadsheets/d/1jTcq05yEiRwXcBMLjiodW9e4biSGYWAHcDj22rKWQ3s/edit?usp=sharing"",""กำแพงเพชร!J435"")+IMPORTRANGE(""https://docs.google.com/spreadsheets/d/1KS0zmDSZPk8KnTAbGN-Xk6MtX1YRZD0ldgdt20K4CRk/edit?usp=sharing"","&amp;"""เชียงราย!J435"")+IMPORTRANGE(""https://docs.google.com/spreadsheets/d/1rEDxBtusbi64tE0zunoIbsTVV16HeL0oJ6trHQeQ7K8/edit?usp=sharing"",""เชียงใหม่!J435"")+IMPORTRANGE(""https://docs.google.com/spreadsheets/d/1W6MnUbDkMi6xHnHko_XkFDO9kkuL6Wqyc-6OCDFjW9I/e"&amp;"dit?usp=sharing"",""ตาก!J435"")+IMPORTRANGE(""https://docs.google.com/spreadsheets/d/1IQAWArduLkta9LpYo4a_ULsyqdta6-6aDDiwpUnQT6c/edit?usp=sharing"",""นครสวรรค์!J435"")+IMPORTRANGE(""https://docs.google.com/spreadsheets/d/10s13Sk5xrltsiR-Zkbmk5DwIaDIKO8Xl"&amp;"bJAfqyT7Gvg/edit?usp=sharing"",""น่าน!J435"")+IMPORTRANGE(""https://docs.google.com/spreadsheets/d/1uu4nAn4Dbi1XREnLKKotUANlKXa7yCgRcgq8HEzQYW8/edit?usp=sharing"",""พะเยา!J435"")+IMPORTRANGE(""https://docs.google.com/spreadsheets/d/1xfJKIQxVOaPDIICqsflNlL"&amp;"u3JacTDk1FP9RH4phX7mI/edit?usp=sharing"",""พิจิตร!J435"")+IMPORTRANGE(""https://docs.google.com/spreadsheets/d/1JtRfZkJMHtEhI5RdRHxYUG4FIZHqKDpNyIuN7A1Q0_k/edit?usp=sharing"",""พิษณุโลก!J435"")+IMPORTRANGE(""https://docs.google.com/spreadsheets/d/1xlcVZWU"&amp;"Nn6SuWm0c307h32SiGkd9BaeQWlAktfD3KO8/edit?usp=sharing"",""เพชรบูรณ์!J435"")+IMPORTRANGE(""https://docs.google.com/spreadsheets/d/1lOVebEIsI9qjGXl6EX66luk7wiuP2tBaryw-wKvv4e0/edit?usp=sharing"",""แพร่!J435"")+IMPORTRANGE(""https://docs.google.com/spreadshe"&amp;"ets/d/1dQrvX0vEcN7Gu0fnZ0B5S90AeR19zth4XlExFBeExMY/edit?usp=sharing"",""แม่ฮ่องสอน!J435"")+IMPORTRANGE(""https://docs.google.com/spreadsheets/d/1DY4XTNNwjluuxqdfdn6qvOSlMRrZqUtmYcZR0ttFiG4/edit?usp=sharing"",""ลำปาง!J435"")+IMPORTRANGE(""https://docs.goog"&amp;"le.com/spreadsheets/d/1ICwG78r0OFT8biBlxnBF8r7she7gNSzOvJ958PWT09c/edit?usp=sharing"",""ลำพูน!J435"")+IMPORTRANGE(""https://docs.google.com/spreadsheets/d/1B0f2xJpZUC6Z0xXnqKlZtEPzsf6L84eP1r1Q15seqRM/edit?usp=sharing"",""สุโขทัย!J435"")+IMPORTRANGE(""http"&amp;"s://docs.google.com/spreadsheets/d/1v0b9pFQCsKUVExMei7AgY2yQkdeNQvtOssygGsXbiKo/edit?usp=sharing"",""อุตรดิตถ์!J435"")+IMPORTRANGE(""https://docs.google.com/spreadsheets/d/1UsNK1e-WWiCo2PvGqdNfdme4m17_Ezd3J69EeeiQPD0/edit?usp=sharing"",""อุทัยธานี!J435"")"),0)</f>
        <v>0</v>
      </c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</row>
    <row r="436" spans="1:21" ht="18.75" x14ac:dyDescent="0.25">
      <c r="A436" s="208"/>
      <c r="B436" s="158"/>
      <c r="C436" s="158"/>
      <c r="D436" s="209" t="s">
        <v>167</v>
      </c>
      <c r="E436" s="158"/>
      <c r="F436" s="158"/>
      <c r="G436" s="180"/>
      <c r="H436" s="133" t="s">
        <v>46</v>
      </c>
      <c r="I436" s="44"/>
      <c r="J436" s="166">
        <f ca="1">IFERROR(__xludf.DUMMYFUNCTION("IMPORTRANGE(""https://docs.google.com/spreadsheets/d/1jTcq05yEiRwXcBMLjiodW9e4biSGYWAHcDj22rKWQ3s/edit?usp=sharing"",""กำแพงเพชร!J436"")+IMPORTRANGE(""https://docs.google.com/spreadsheets/d/1KS0zmDSZPk8KnTAbGN-Xk6MtX1YRZD0ldgdt20K4CRk/edit?usp=sharing"","&amp;"""เชียงราย!J436"")+IMPORTRANGE(""https://docs.google.com/spreadsheets/d/1rEDxBtusbi64tE0zunoIbsTVV16HeL0oJ6trHQeQ7K8/edit?usp=sharing"",""เชียงใหม่!J436"")+IMPORTRANGE(""https://docs.google.com/spreadsheets/d/1W6MnUbDkMi6xHnHko_XkFDO9kkuL6Wqyc-6OCDFjW9I/e"&amp;"dit?usp=sharing"",""ตาก!J436"")+IMPORTRANGE(""https://docs.google.com/spreadsheets/d/1IQAWArduLkta9LpYo4a_ULsyqdta6-6aDDiwpUnQT6c/edit?usp=sharing"",""นครสวรรค์!J436"")+IMPORTRANGE(""https://docs.google.com/spreadsheets/d/10s13Sk5xrltsiR-Zkbmk5DwIaDIKO8Xl"&amp;"bJAfqyT7Gvg/edit?usp=sharing"",""น่าน!J436"")+IMPORTRANGE(""https://docs.google.com/spreadsheets/d/1uu4nAn4Dbi1XREnLKKotUANlKXa7yCgRcgq8HEzQYW8/edit?usp=sharing"",""พะเยา!J436"")+IMPORTRANGE(""https://docs.google.com/spreadsheets/d/1xfJKIQxVOaPDIICqsflNlL"&amp;"u3JacTDk1FP9RH4phX7mI/edit?usp=sharing"",""พิจิตร!J436"")+IMPORTRANGE(""https://docs.google.com/spreadsheets/d/1JtRfZkJMHtEhI5RdRHxYUG4FIZHqKDpNyIuN7A1Q0_k/edit?usp=sharing"",""พิษณุโลก!J436"")+IMPORTRANGE(""https://docs.google.com/spreadsheets/d/1xlcVZWU"&amp;"Nn6SuWm0c307h32SiGkd9BaeQWlAktfD3KO8/edit?usp=sharing"",""เพชรบูรณ์!J436"")+IMPORTRANGE(""https://docs.google.com/spreadsheets/d/1lOVebEIsI9qjGXl6EX66luk7wiuP2tBaryw-wKvv4e0/edit?usp=sharing"",""แพร่!J436"")+IMPORTRANGE(""https://docs.google.com/spreadshe"&amp;"ets/d/1dQrvX0vEcN7Gu0fnZ0B5S90AeR19zth4XlExFBeExMY/edit?usp=sharing"",""แม่ฮ่องสอน!J436"")+IMPORTRANGE(""https://docs.google.com/spreadsheets/d/1DY4XTNNwjluuxqdfdn6qvOSlMRrZqUtmYcZR0ttFiG4/edit?usp=sharing"",""ลำปาง!J436"")+IMPORTRANGE(""https://docs.goog"&amp;"le.com/spreadsheets/d/1ICwG78r0OFT8biBlxnBF8r7she7gNSzOvJ958PWT09c/edit?usp=sharing"",""ลำพูน!J436"")+IMPORTRANGE(""https://docs.google.com/spreadsheets/d/1B0f2xJpZUC6Z0xXnqKlZtEPzsf6L84eP1r1Q15seqRM/edit?usp=sharing"",""สุโขทัย!J436"")+IMPORTRANGE(""http"&amp;"s://docs.google.com/spreadsheets/d/1v0b9pFQCsKUVExMei7AgY2yQkdeNQvtOssygGsXbiKo/edit?usp=sharing"",""อุตรดิตถ์!J436"")+IMPORTRANGE(""https://docs.google.com/spreadsheets/d/1UsNK1e-WWiCo2PvGqdNfdme4m17_Ezd3J69EeeiQPD0/edit?usp=sharing"",""อุทัยธานี!J436"")"),0)</f>
        <v>0</v>
      </c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</row>
    <row r="437" spans="1:21" ht="18.75" x14ac:dyDescent="0.25">
      <c r="A437" s="208"/>
      <c r="B437" s="158"/>
      <c r="C437" s="158"/>
      <c r="D437" s="158"/>
      <c r="E437" s="158"/>
      <c r="F437" s="158"/>
      <c r="G437" s="180"/>
      <c r="H437" s="133" t="s">
        <v>34</v>
      </c>
      <c r="I437" s="44"/>
      <c r="J437" s="166">
        <f ca="1">IFERROR(__xludf.DUMMYFUNCTION("IMPORTRANGE(""https://docs.google.com/spreadsheets/d/1jTcq05yEiRwXcBMLjiodW9e4biSGYWAHcDj22rKWQ3s/edit?usp=sharing"",""กำแพงเพชร!J437"")+IMPORTRANGE(""https://docs.google.com/spreadsheets/d/1KS0zmDSZPk8KnTAbGN-Xk6MtX1YRZD0ldgdt20K4CRk/edit?usp=sharing"","&amp;"""เชียงราย!J437"")+IMPORTRANGE(""https://docs.google.com/spreadsheets/d/1rEDxBtusbi64tE0zunoIbsTVV16HeL0oJ6trHQeQ7K8/edit?usp=sharing"",""เชียงใหม่!J437"")+IMPORTRANGE(""https://docs.google.com/spreadsheets/d/1W6MnUbDkMi6xHnHko_XkFDO9kkuL6Wqyc-6OCDFjW9I/e"&amp;"dit?usp=sharing"",""ตาก!J437"")+IMPORTRANGE(""https://docs.google.com/spreadsheets/d/1IQAWArduLkta9LpYo4a_ULsyqdta6-6aDDiwpUnQT6c/edit?usp=sharing"",""นครสวรรค์!J437"")+IMPORTRANGE(""https://docs.google.com/spreadsheets/d/10s13Sk5xrltsiR-Zkbmk5DwIaDIKO8Xl"&amp;"bJAfqyT7Gvg/edit?usp=sharing"",""น่าน!J437"")+IMPORTRANGE(""https://docs.google.com/spreadsheets/d/1uu4nAn4Dbi1XREnLKKotUANlKXa7yCgRcgq8HEzQYW8/edit?usp=sharing"",""พะเยา!J437"")+IMPORTRANGE(""https://docs.google.com/spreadsheets/d/1xfJKIQxVOaPDIICqsflNlL"&amp;"u3JacTDk1FP9RH4phX7mI/edit?usp=sharing"",""พิจิตร!J437"")+IMPORTRANGE(""https://docs.google.com/spreadsheets/d/1JtRfZkJMHtEhI5RdRHxYUG4FIZHqKDpNyIuN7A1Q0_k/edit?usp=sharing"",""พิษณุโลก!J437"")+IMPORTRANGE(""https://docs.google.com/spreadsheets/d/1xlcVZWU"&amp;"Nn6SuWm0c307h32SiGkd9BaeQWlAktfD3KO8/edit?usp=sharing"",""เพชรบูรณ์!J437"")+IMPORTRANGE(""https://docs.google.com/spreadsheets/d/1lOVebEIsI9qjGXl6EX66luk7wiuP2tBaryw-wKvv4e0/edit?usp=sharing"",""แพร่!J437"")+IMPORTRANGE(""https://docs.google.com/spreadshe"&amp;"ets/d/1dQrvX0vEcN7Gu0fnZ0B5S90AeR19zth4XlExFBeExMY/edit?usp=sharing"",""แม่ฮ่องสอน!J437"")+IMPORTRANGE(""https://docs.google.com/spreadsheets/d/1DY4XTNNwjluuxqdfdn6qvOSlMRrZqUtmYcZR0ttFiG4/edit?usp=sharing"",""ลำปาง!J437"")+IMPORTRANGE(""https://docs.goog"&amp;"le.com/spreadsheets/d/1ICwG78r0OFT8biBlxnBF8r7she7gNSzOvJ958PWT09c/edit?usp=sharing"",""ลำพูน!J437"")+IMPORTRANGE(""https://docs.google.com/spreadsheets/d/1B0f2xJpZUC6Z0xXnqKlZtEPzsf6L84eP1r1Q15seqRM/edit?usp=sharing"",""สุโขทัย!J437"")+IMPORTRANGE(""http"&amp;"s://docs.google.com/spreadsheets/d/1v0b9pFQCsKUVExMei7AgY2yQkdeNQvtOssygGsXbiKo/edit?usp=sharing"",""อุตรดิตถ์!J437"")+IMPORTRANGE(""https://docs.google.com/spreadsheets/d/1UsNK1e-WWiCo2PvGqdNfdme4m17_Ezd3J69EeeiQPD0/edit?usp=sharing"",""อุทัยธานี!J437"")"),0)</f>
        <v>0</v>
      </c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</row>
    <row r="438" spans="1:21" ht="18.75" x14ac:dyDescent="0.25">
      <c r="A438" s="208"/>
      <c r="B438" s="158"/>
      <c r="C438" s="158"/>
      <c r="D438" s="209" t="s">
        <v>168</v>
      </c>
      <c r="E438" s="158"/>
      <c r="F438" s="158"/>
      <c r="G438" s="180"/>
      <c r="H438" s="133" t="s">
        <v>46</v>
      </c>
      <c r="I438" s="44"/>
      <c r="J438" s="166">
        <f ca="1">IFERROR(__xludf.DUMMYFUNCTION("IMPORTRANGE(""https://docs.google.com/spreadsheets/d/1jTcq05yEiRwXcBMLjiodW9e4biSGYWAHcDj22rKWQ3s/edit?usp=sharing"",""กำแพงเพชร!J438"")+IMPORTRANGE(""https://docs.google.com/spreadsheets/d/1KS0zmDSZPk8KnTAbGN-Xk6MtX1YRZD0ldgdt20K4CRk/edit?usp=sharing"","&amp;"""เชียงราย!J438"")+IMPORTRANGE(""https://docs.google.com/spreadsheets/d/1rEDxBtusbi64tE0zunoIbsTVV16HeL0oJ6trHQeQ7K8/edit?usp=sharing"",""เชียงใหม่!J438"")+IMPORTRANGE(""https://docs.google.com/spreadsheets/d/1W6MnUbDkMi6xHnHko_XkFDO9kkuL6Wqyc-6OCDFjW9I/e"&amp;"dit?usp=sharing"",""ตาก!J438"")+IMPORTRANGE(""https://docs.google.com/spreadsheets/d/1IQAWArduLkta9LpYo4a_ULsyqdta6-6aDDiwpUnQT6c/edit?usp=sharing"",""นครสวรรค์!J438"")+IMPORTRANGE(""https://docs.google.com/spreadsheets/d/10s13Sk5xrltsiR-Zkbmk5DwIaDIKO8Xl"&amp;"bJAfqyT7Gvg/edit?usp=sharing"",""น่าน!J438"")+IMPORTRANGE(""https://docs.google.com/spreadsheets/d/1uu4nAn4Dbi1XREnLKKotUANlKXa7yCgRcgq8HEzQYW8/edit?usp=sharing"",""พะเยา!J438"")+IMPORTRANGE(""https://docs.google.com/spreadsheets/d/1xfJKIQxVOaPDIICqsflNlL"&amp;"u3JacTDk1FP9RH4phX7mI/edit?usp=sharing"",""พิจิตร!J438"")+IMPORTRANGE(""https://docs.google.com/spreadsheets/d/1JtRfZkJMHtEhI5RdRHxYUG4FIZHqKDpNyIuN7A1Q0_k/edit?usp=sharing"",""พิษณุโลก!J438"")+IMPORTRANGE(""https://docs.google.com/spreadsheets/d/1xlcVZWU"&amp;"Nn6SuWm0c307h32SiGkd9BaeQWlAktfD3KO8/edit?usp=sharing"",""เพชรบูรณ์!J438"")+IMPORTRANGE(""https://docs.google.com/spreadsheets/d/1lOVebEIsI9qjGXl6EX66luk7wiuP2tBaryw-wKvv4e0/edit?usp=sharing"",""แพร่!J438"")+IMPORTRANGE(""https://docs.google.com/spreadshe"&amp;"ets/d/1dQrvX0vEcN7Gu0fnZ0B5S90AeR19zth4XlExFBeExMY/edit?usp=sharing"",""แม่ฮ่องสอน!J438"")+IMPORTRANGE(""https://docs.google.com/spreadsheets/d/1DY4XTNNwjluuxqdfdn6qvOSlMRrZqUtmYcZR0ttFiG4/edit?usp=sharing"",""ลำปาง!J438"")+IMPORTRANGE(""https://docs.goog"&amp;"le.com/spreadsheets/d/1ICwG78r0OFT8biBlxnBF8r7she7gNSzOvJ958PWT09c/edit?usp=sharing"",""ลำพูน!J438"")+IMPORTRANGE(""https://docs.google.com/spreadsheets/d/1B0f2xJpZUC6Z0xXnqKlZtEPzsf6L84eP1r1Q15seqRM/edit?usp=sharing"",""สุโขทัย!J438"")+IMPORTRANGE(""http"&amp;"s://docs.google.com/spreadsheets/d/1v0b9pFQCsKUVExMei7AgY2yQkdeNQvtOssygGsXbiKo/edit?usp=sharing"",""อุตรดิตถ์!J438"")+IMPORTRANGE(""https://docs.google.com/spreadsheets/d/1UsNK1e-WWiCo2PvGqdNfdme4m17_Ezd3J69EeeiQPD0/edit?usp=sharing"",""อุทัยธานี!J438"")"),0)</f>
        <v>0</v>
      </c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</row>
    <row r="439" spans="1:21" ht="18.75" x14ac:dyDescent="0.25">
      <c r="A439" s="208"/>
      <c r="B439" s="158"/>
      <c r="C439" s="158"/>
      <c r="D439" s="158"/>
      <c r="E439" s="158"/>
      <c r="F439" s="158"/>
      <c r="G439" s="180"/>
      <c r="H439" s="133" t="s">
        <v>34</v>
      </c>
      <c r="I439" s="44"/>
      <c r="J439" s="166">
        <f ca="1">IFERROR(__xludf.DUMMYFUNCTION("IMPORTRANGE(""https://docs.google.com/spreadsheets/d/1jTcq05yEiRwXcBMLjiodW9e4biSGYWAHcDj22rKWQ3s/edit?usp=sharing"",""กำแพงเพชร!J439"")+IMPORTRANGE(""https://docs.google.com/spreadsheets/d/1KS0zmDSZPk8KnTAbGN-Xk6MtX1YRZD0ldgdt20K4CRk/edit?usp=sharing"","&amp;"""เชียงราย!J439"")+IMPORTRANGE(""https://docs.google.com/spreadsheets/d/1rEDxBtusbi64tE0zunoIbsTVV16HeL0oJ6trHQeQ7K8/edit?usp=sharing"",""เชียงใหม่!J439"")+IMPORTRANGE(""https://docs.google.com/spreadsheets/d/1W6MnUbDkMi6xHnHko_XkFDO9kkuL6Wqyc-6OCDFjW9I/e"&amp;"dit?usp=sharing"",""ตาก!J439"")+IMPORTRANGE(""https://docs.google.com/spreadsheets/d/1IQAWArduLkta9LpYo4a_ULsyqdta6-6aDDiwpUnQT6c/edit?usp=sharing"",""นครสวรรค์!J439"")+IMPORTRANGE(""https://docs.google.com/spreadsheets/d/10s13Sk5xrltsiR-Zkbmk5DwIaDIKO8Xl"&amp;"bJAfqyT7Gvg/edit?usp=sharing"",""น่าน!J439"")+IMPORTRANGE(""https://docs.google.com/spreadsheets/d/1uu4nAn4Dbi1XREnLKKotUANlKXa7yCgRcgq8HEzQYW8/edit?usp=sharing"",""พะเยา!J439"")+IMPORTRANGE(""https://docs.google.com/spreadsheets/d/1xfJKIQxVOaPDIICqsflNlL"&amp;"u3JacTDk1FP9RH4phX7mI/edit?usp=sharing"",""พิจิตร!J439"")+IMPORTRANGE(""https://docs.google.com/spreadsheets/d/1JtRfZkJMHtEhI5RdRHxYUG4FIZHqKDpNyIuN7A1Q0_k/edit?usp=sharing"",""พิษณุโลก!J439"")+IMPORTRANGE(""https://docs.google.com/spreadsheets/d/1xlcVZWU"&amp;"Nn6SuWm0c307h32SiGkd9BaeQWlAktfD3KO8/edit?usp=sharing"",""เพชรบูรณ์!J439"")+IMPORTRANGE(""https://docs.google.com/spreadsheets/d/1lOVebEIsI9qjGXl6EX66luk7wiuP2tBaryw-wKvv4e0/edit?usp=sharing"",""แพร่!J439"")+IMPORTRANGE(""https://docs.google.com/spreadshe"&amp;"ets/d/1dQrvX0vEcN7Gu0fnZ0B5S90AeR19zth4XlExFBeExMY/edit?usp=sharing"",""แม่ฮ่องสอน!J439"")+IMPORTRANGE(""https://docs.google.com/spreadsheets/d/1DY4XTNNwjluuxqdfdn6qvOSlMRrZqUtmYcZR0ttFiG4/edit?usp=sharing"",""ลำปาง!J439"")+IMPORTRANGE(""https://docs.goog"&amp;"le.com/spreadsheets/d/1ICwG78r0OFT8biBlxnBF8r7she7gNSzOvJ958PWT09c/edit?usp=sharing"",""ลำพูน!J439"")+IMPORTRANGE(""https://docs.google.com/spreadsheets/d/1B0f2xJpZUC6Z0xXnqKlZtEPzsf6L84eP1r1Q15seqRM/edit?usp=sharing"",""สุโขทัย!J439"")+IMPORTRANGE(""http"&amp;"s://docs.google.com/spreadsheets/d/1v0b9pFQCsKUVExMei7AgY2yQkdeNQvtOssygGsXbiKo/edit?usp=sharing"",""อุตรดิตถ์!J439"")+IMPORTRANGE(""https://docs.google.com/spreadsheets/d/1UsNK1e-WWiCo2PvGqdNfdme4m17_Ezd3J69EeeiQPD0/edit?usp=sharing"",""อุทัยธานี!J439"")"),0)</f>
        <v>0</v>
      </c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</row>
    <row r="440" spans="1:21" ht="19.5" x14ac:dyDescent="0.3">
      <c r="A440" s="208"/>
      <c r="B440" s="158"/>
      <c r="C440" s="161" t="s">
        <v>169</v>
      </c>
      <c r="D440" s="158"/>
      <c r="E440" s="158"/>
      <c r="F440" s="158"/>
      <c r="G440" s="180"/>
      <c r="H440" s="131" t="s">
        <v>46</v>
      </c>
      <c r="I440" s="147">
        <f ca="1">IFERROR(__xludf.DUMMYFUNCTION("IMPORTRANGE(""https://docs.google.com/spreadsheets/d/1jTcq05yEiRwXcBMLjiodW9e4biSGYWAHcDj22rKWQ3s/edit?usp=sharing"",""กำแพงเพชร!I440"")+IMPORTRANGE(""https://docs.google.com/spreadsheets/d/1KS0zmDSZPk8KnTAbGN-Xk6MtX1YRZD0ldgdt20K4CRk/edit?usp=sharing"","&amp;"""เชียงราย!I440"")+IMPORTRANGE(""https://docs.google.com/spreadsheets/d/1rEDxBtusbi64tE0zunoIbsTVV16HeL0oJ6trHQeQ7K8/edit?usp=sharing"",""เชียงใหม่!I440"")+IMPORTRANGE(""https://docs.google.com/spreadsheets/d/1W6MnUbDkMi6xHnHko_XkFDO9kkuL6Wqyc-6OCDFjW9I/e"&amp;"dit?usp=sharing"",""ตาก!I440"")+IMPORTRANGE(""https://docs.google.com/spreadsheets/d/1IQAWArduLkta9LpYo4a_ULsyqdta6-6aDDiwpUnQT6c/edit?usp=sharing"",""นครสวรรค์!I440"")+IMPORTRANGE(""https://docs.google.com/spreadsheets/d/10s13Sk5xrltsiR-Zkbmk5DwIaDIKO8Xl"&amp;"bJAfqyT7Gvg/edit?usp=sharing"",""น่าน!I440"")+IMPORTRANGE(""https://docs.google.com/spreadsheets/d/1uu4nAn4Dbi1XREnLKKotUANlKXa7yCgRcgq8HEzQYW8/edit?usp=sharing"",""พะเยา!I440"")+IMPORTRANGE(""https://docs.google.com/spreadsheets/d/1xfJKIQxVOaPDIICqsflNlL"&amp;"u3JacTDk1FP9RH4phX7mI/edit?usp=sharing"",""พิจิตร!I440"")+IMPORTRANGE(""https://docs.google.com/spreadsheets/d/1JtRfZkJMHtEhI5RdRHxYUG4FIZHqKDpNyIuN7A1Q0_k/edit?usp=sharing"",""พิษณุโลก!I440"")+IMPORTRANGE(""https://docs.google.com/spreadsheets/d/1xlcVZWU"&amp;"Nn6SuWm0c307h32SiGkd9BaeQWlAktfD3KO8/edit?usp=sharing"",""เพชรบูรณ์!I440"")+IMPORTRANGE(""https://docs.google.com/spreadsheets/d/1lOVebEIsI9qjGXl6EX66luk7wiuP2tBaryw-wKvv4e0/edit?usp=sharing"",""แพร่!I440"")+IMPORTRANGE(""https://docs.google.com/spreadshe"&amp;"ets/d/1dQrvX0vEcN7Gu0fnZ0B5S90AeR19zth4XlExFBeExMY/edit?usp=sharing"",""แม่ฮ่องสอน!I440"")+IMPORTRANGE(""https://docs.google.com/spreadsheets/d/1DY4XTNNwjluuxqdfdn6qvOSlMRrZqUtmYcZR0ttFiG4/edit?usp=sharing"",""ลำปาง!I440"")+IMPORTRANGE(""https://docs.goog"&amp;"le.com/spreadsheets/d/1ICwG78r0OFT8biBlxnBF8r7she7gNSzOvJ958PWT09c/edit?usp=sharing"",""ลำพูน!I440"")+IMPORTRANGE(""https://docs.google.com/spreadsheets/d/1B0f2xJpZUC6Z0xXnqKlZtEPzsf6L84eP1r1Q15seqRM/edit?usp=sharing"",""สุโขทัย!I440"")+IMPORTRANGE(""http"&amp;"s://docs.google.com/spreadsheets/d/1v0b9pFQCsKUVExMei7AgY2yQkdeNQvtOssygGsXbiKo/edit?usp=sharing"",""อุตรดิตถ์!I440"")+IMPORTRANGE(""https://docs.google.com/spreadsheets/d/1UsNK1e-WWiCo2PvGqdNfdme4m17_Ezd3J69EeeiQPD0/edit?usp=sharing"",""อุทัยธานี!I440"")"),751126)</f>
        <v>751126</v>
      </c>
      <c r="J440" s="147">
        <f t="shared" ref="J440:J441" ca="1" si="332">J442+J444+J446+J452+J454</f>
        <v>0</v>
      </c>
      <c r="K440" s="132">
        <f t="shared" ref="K440:K441" ca="1" si="333">IF(I440&gt;0,J440*100/I440,0)</f>
        <v>0</v>
      </c>
      <c r="L440" s="45"/>
      <c r="M440" s="45"/>
      <c r="N440" s="45"/>
      <c r="O440" s="45"/>
      <c r="P440" s="45"/>
      <c r="Q440" s="45"/>
      <c r="R440" s="45"/>
      <c r="S440" s="45"/>
      <c r="T440" s="45"/>
      <c r="U440" s="45"/>
    </row>
    <row r="441" spans="1:21" ht="19.5" x14ac:dyDescent="0.3">
      <c r="A441" s="208"/>
      <c r="B441" s="158"/>
      <c r="C441" s="158"/>
      <c r="D441" s="158"/>
      <c r="E441" s="158"/>
      <c r="F441" s="158"/>
      <c r="G441" s="180"/>
      <c r="H441" s="131" t="s">
        <v>34</v>
      </c>
      <c r="I441" s="147">
        <f ca="1">IFERROR(__xludf.DUMMYFUNCTION("IMPORTRANGE(""https://docs.google.com/spreadsheets/d/1jTcq05yEiRwXcBMLjiodW9e4biSGYWAHcDj22rKWQ3s/edit?usp=sharing"",""กำแพงเพชร!I441"")+IMPORTRANGE(""https://docs.google.com/spreadsheets/d/1KS0zmDSZPk8KnTAbGN-Xk6MtX1YRZD0ldgdt20K4CRk/edit?usp=sharing"","&amp;"""เชียงราย!I441"")+IMPORTRANGE(""https://docs.google.com/spreadsheets/d/1rEDxBtusbi64tE0zunoIbsTVV16HeL0oJ6trHQeQ7K8/edit?usp=sharing"",""เชียงใหม่!I441"")+IMPORTRANGE(""https://docs.google.com/spreadsheets/d/1W6MnUbDkMi6xHnHko_XkFDO9kkuL6Wqyc-6OCDFjW9I/e"&amp;"dit?usp=sharing"",""ตาก!I441"")+IMPORTRANGE(""https://docs.google.com/spreadsheets/d/1IQAWArduLkta9LpYo4a_ULsyqdta6-6aDDiwpUnQT6c/edit?usp=sharing"",""นครสวรรค์!I441"")+IMPORTRANGE(""https://docs.google.com/spreadsheets/d/10s13Sk5xrltsiR-Zkbmk5DwIaDIKO8Xl"&amp;"bJAfqyT7Gvg/edit?usp=sharing"",""น่าน!I441"")+IMPORTRANGE(""https://docs.google.com/spreadsheets/d/1uu4nAn4Dbi1XREnLKKotUANlKXa7yCgRcgq8HEzQYW8/edit?usp=sharing"",""พะเยา!I441"")+IMPORTRANGE(""https://docs.google.com/spreadsheets/d/1xfJKIQxVOaPDIICqsflNlL"&amp;"u3JacTDk1FP9RH4phX7mI/edit?usp=sharing"",""พิจิตร!I441"")+IMPORTRANGE(""https://docs.google.com/spreadsheets/d/1JtRfZkJMHtEhI5RdRHxYUG4FIZHqKDpNyIuN7A1Q0_k/edit?usp=sharing"",""พิษณุโลก!I441"")+IMPORTRANGE(""https://docs.google.com/spreadsheets/d/1xlcVZWU"&amp;"Nn6SuWm0c307h32SiGkd9BaeQWlAktfD3KO8/edit?usp=sharing"",""เพชรบูรณ์!I441"")+IMPORTRANGE(""https://docs.google.com/spreadsheets/d/1lOVebEIsI9qjGXl6EX66luk7wiuP2tBaryw-wKvv4e0/edit?usp=sharing"",""แพร่!I441"")+IMPORTRANGE(""https://docs.google.com/spreadshe"&amp;"ets/d/1dQrvX0vEcN7Gu0fnZ0B5S90AeR19zth4XlExFBeExMY/edit?usp=sharing"",""แม่ฮ่องสอน!I441"")+IMPORTRANGE(""https://docs.google.com/spreadsheets/d/1DY4XTNNwjluuxqdfdn6qvOSlMRrZqUtmYcZR0ttFiG4/edit?usp=sharing"",""ลำปาง!I441"")+IMPORTRANGE(""https://docs.goog"&amp;"le.com/spreadsheets/d/1ICwG78r0OFT8biBlxnBF8r7she7gNSzOvJ958PWT09c/edit?usp=sharing"",""ลำพูน!I441"")+IMPORTRANGE(""https://docs.google.com/spreadsheets/d/1B0f2xJpZUC6Z0xXnqKlZtEPzsf6L84eP1r1Q15seqRM/edit?usp=sharing"",""สุโขทัย!I441"")+IMPORTRANGE(""http"&amp;"s://docs.google.com/spreadsheets/d/1v0b9pFQCsKUVExMei7AgY2yQkdeNQvtOssygGsXbiKo/edit?usp=sharing"",""อุตรดิตถ์!I441"")+IMPORTRANGE(""https://docs.google.com/spreadsheets/d/1UsNK1e-WWiCo2PvGqdNfdme4m17_Ezd3J69EeeiQPD0/edit?usp=sharing"",""อุทัยธานี!I441"")"),78655)</f>
        <v>78655</v>
      </c>
      <c r="J441" s="147">
        <f t="shared" ca="1" si="332"/>
        <v>0</v>
      </c>
      <c r="K441" s="132">
        <f t="shared" ca="1" si="333"/>
        <v>0</v>
      </c>
      <c r="L441" s="45"/>
      <c r="M441" s="45"/>
      <c r="N441" s="45"/>
      <c r="O441" s="45"/>
      <c r="P441" s="45"/>
      <c r="Q441" s="45"/>
      <c r="R441" s="45"/>
      <c r="S441" s="45"/>
      <c r="T441" s="45"/>
      <c r="U441" s="45"/>
    </row>
    <row r="442" spans="1:21" ht="18.75" x14ac:dyDescent="0.25">
      <c r="A442" s="208"/>
      <c r="B442" s="158"/>
      <c r="C442" s="158"/>
      <c r="D442" s="209" t="s">
        <v>170</v>
      </c>
      <c r="E442" s="158"/>
      <c r="F442" s="158"/>
      <c r="G442" s="180"/>
      <c r="H442" s="133" t="s">
        <v>46</v>
      </c>
      <c r="I442" s="44"/>
      <c r="J442" s="166">
        <f ca="1">IFERROR(__xludf.DUMMYFUNCTION("IMPORTRANGE(""https://docs.google.com/spreadsheets/d/1jTcq05yEiRwXcBMLjiodW9e4biSGYWAHcDj22rKWQ3s/edit?usp=sharing"",""กำแพงเพชร!J442"")+IMPORTRANGE(""https://docs.google.com/spreadsheets/d/1KS0zmDSZPk8KnTAbGN-Xk6MtX1YRZD0ldgdt20K4CRk/edit?usp=sharing"","&amp;"""เชียงราย!J442"")+IMPORTRANGE(""https://docs.google.com/spreadsheets/d/1rEDxBtusbi64tE0zunoIbsTVV16HeL0oJ6trHQeQ7K8/edit?usp=sharing"",""เชียงใหม่!J442"")+IMPORTRANGE(""https://docs.google.com/spreadsheets/d/1W6MnUbDkMi6xHnHko_XkFDO9kkuL6Wqyc-6OCDFjW9I/e"&amp;"dit?usp=sharing"",""ตาก!J442"")+IMPORTRANGE(""https://docs.google.com/spreadsheets/d/1IQAWArduLkta9LpYo4a_ULsyqdta6-6aDDiwpUnQT6c/edit?usp=sharing"",""นครสวรรค์!J442"")+IMPORTRANGE(""https://docs.google.com/spreadsheets/d/10s13Sk5xrltsiR-Zkbmk5DwIaDIKO8Xl"&amp;"bJAfqyT7Gvg/edit?usp=sharing"",""น่าน!J442"")+IMPORTRANGE(""https://docs.google.com/spreadsheets/d/1uu4nAn4Dbi1XREnLKKotUANlKXa7yCgRcgq8HEzQYW8/edit?usp=sharing"",""พะเยา!J442"")+IMPORTRANGE(""https://docs.google.com/spreadsheets/d/1xfJKIQxVOaPDIICqsflNlL"&amp;"u3JacTDk1FP9RH4phX7mI/edit?usp=sharing"",""พิจิตร!J442"")+IMPORTRANGE(""https://docs.google.com/spreadsheets/d/1JtRfZkJMHtEhI5RdRHxYUG4FIZHqKDpNyIuN7A1Q0_k/edit?usp=sharing"",""พิษณุโลก!J442"")+IMPORTRANGE(""https://docs.google.com/spreadsheets/d/1xlcVZWU"&amp;"Nn6SuWm0c307h32SiGkd9BaeQWlAktfD3KO8/edit?usp=sharing"",""เพชรบูรณ์!J442"")+IMPORTRANGE(""https://docs.google.com/spreadsheets/d/1lOVebEIsI9qjGXl6EX66luk7wiuP2tBaryw-wKvv4e0/edit?usp=sharing"",""แพร่!J442"")+IMPORTRANGE(""https://docs.google.com/spreadshe"&amp;"ets/d/1dQrvX0vEcN7Gu0fnZ0B5S90AeR19zth4XlExFBeExMY/edit?usp=sharing"",""แม่ฮ่องสอน!J442"")+IMPORTRANGE(""https://docs.google.com/spreadsheets/d/1DY4XTNNwjluuxqdfdn6qvOSlMRrZqUtmYcZR0ttFiG4/edit?usp=sharing"",""ลำปาง!J442"")+IMPORTRANGE(""https://docs.goog"&amp;"le.com/spreadsheets/d/1ICwG78r0OFT8biBlxnBF8r7she7gNSzOvJ958PWT09c/edit?usp=sharing"",""ลำพูน!J442"")+IMPORTRANGE(""https://docs.google.com/spreadsheets/d/1B0f2xJpZUC6Z0xXnqKlZtEPzsf6L84eP1r1Q15seqRM/edit?usp=sharing"",""สุโขทัย!J442"")+IMPORTRANGE(""http"&amp;"s://docs.google.com/spreadsheets/d/1v0b9pFQCsKUVExMei7AgY2yQkdeNQvtOssygGsXbiKo/edit?usp=sharing"",""อุตรดิตถ์!J442"")+IMPORTRANGE(""https://docs.google.com/spreadsheets/d/1UsNK1e-WWiCo2PvGqdNfdme4m17_Ezd3J69EeeiQPD0/edit?usp=sharing"",""อุทัยธานี!J442"")"),0)</f>
        <v>0</v>
      </c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</row>
    <row r="443" spans="1:21" ht="18.75" x14ac:dyDescent="0.25">
      <c r="A443" s="208"/>
      <c r="B443" s="158"/>
      <c r="C443" s="158"/>
      <c r="D443" s="158"/>
      <c r="E443" s="158"/>
      <c r="F443" s="158"/>
      <c r="G443" s="180"/>
      <c r="H443" s="133" t="s">
        <v>34</v>
      </c>
      <c r="I443" s="44"/>
      <c r="J443" s="166">
        <f ca="1">IFERROR(__xludf.DUMMYFUNCTION("IMPORTRANGE(""https://docs.google.com/spreadsheets/d/1jTcq05yEiRwXcBMLjiodW9e4biSGYWAHcDj22rKWQ3s/edit?usp=sharing"",""กำแพงเพชร!J443"")+IMPORTRANGE(""https://docs.google.com/spreadsheets/d/1KS0zmDSZPk8KnTAbGN-Xk6MtX1YRZD0ldgdt20K4CRk/edit?usp=sharing"","&amp;"""เชียงราย!J443"")+IMPORTRANGE(""https://docs.google.com/spreadsheets/d/1rEDxBtusbi64tE0zunoIbsTVV16HeL0oJ6trHQeQ7K8/edit?usp=sharing"",""เชียงใหม่!J443"")+IMPORTRANGE(""https://docs.google.com/spreadsheets/d/1W6MnUbDkMi6xHnHko_XkFDO9kkuL6Wqyc-6OCDFjW9I/e"&amp;"dit?usp=sharing"",""ตาก!J443"")+IMPORTRANGE(""https://docs.google.com/spreadsheets/d/1IQAWArduLkta9LpYo4a_ULsyqdta6-6aDDiwpUnQT6c/edit?usp=sharing"",""นครสวรรค์!J443"")+IMPORTRANGE(""https://docs.google.com/spreadsheets/d/10s13Sk5xrltsiR-Zkbmk5DwIaDIKO8Xl"&amp;"bJAfqyT7Gvg/edit?usp=sharing"",""น่าน!J443"")+IMPORTRANGE(""https://docs.google.com/spreadsheets/d/1uu4nAn4Dbi1XREnLKKotUANlKXa7yCgRcgq8HEzQYW8/edit?usp=sharing"",""พะเยา!J443"")+IMPORTRANGE(""https://docs.google.com/spreadsheets/d/1xfJKIQxVOaPDIICqsflNlL"&amp;"u3JacTDk1FP9RH4phX7mI/edit?usp=sharing"",""พิจิตร!J443"")+IMPORTRANGE(""https://docs.google.com/spreadsheets/d/1JtRfZkJMHtEhI5RdRHxYUG4FIZHqKDpNyIuN7A1Q0_k/edit?usp=sharing"",""พิษณุโลก!J443"")+IMPORTRANGE(""https://docs.google.com/spreadsheets/d/1xlcVZWU"&amp;"Nn6SuWm0c307h32SiGkd9BaeQWlAktfD3KO8/edit?usp=sharing"",""เพชรบูรณ์!J443"")+IMPORTRANGE(""https://docs.google.com/spreadsheets/d/1lOVebEIsI9qjGXl6EX66luk7wiuP2tBaryw-wKvv4e0/edit?usp=sharing"",""แพร่!J443"")+IMPORTRANGE(""https://docs.google.com/spreadshe"&amp;"ets/d/1dQrvX0vEcN7Gu0fnZ0B5S90AeR19zth4XlExFBeExMY/edit?usp=sharing"",""แม่ฮ่องสอน!J443"")+IMPORTRANGE(""https://docs.google.com/spreadsheets/d/1DY4XTNNwjluuxqdfdn6qvOSlMRrZqUtmYcZR0ttFiG4/edit?usp=sharing"",""ลำปาง!J443"")+IMPORTRANGE(""https://docs.goog"&amp;"le.com/spreadsheets/d/1ICwG78r0OFT8biBlxnBF8r7she7gNSzOvJ958PWT09c/edit?usp=sharing"",""ลำพูน!J443"")+IMPORTRANGE(""https://docs.google.com/spreadsheets/d/1B0f2xJpZUC6Z0xXnqKlZtEPzsf6L84eP1r1Q15seqRM/edit?usp=sharing"",""สุโขทัย!J443"")+IMPORTRANGE(""http"&amp;"s://docs.google.com/spreadsheets/d/1v0b9pFQCsKUVExMei7AgY2yQkdeNQvtOssygGsXbiKo/edit?usp=sharing"",""อุตรดิตถ์!J443"")+IMPORTRANGE(""https://docs.google.com/spreadsheets/d/1UsNK1e-WWiCo2PvGqdNfdme4m17_Ezd3J69EeeiQPD0/edit?usp=sharing"",""อุทัยธานี!J443"")"),0)</f>
        <v>0</v>
      </c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</row>
    <row r="444" spans="1:21" ht="18.75" x14ac:dyDescent="0.25">
      <c r="A444" s="208"/>
      <c r="B444" s="158"/>
      <c r="C444" s="158"/>
      <c r="D444" s="209" t="s">
        <v>171</v>
      </c>
      <c r="E444" s="158"/>
      <c r="F444" s="158"/>
      <c r="G444" s="180"/>
      <c r="H444" s="133" t="s">
        <v>46</v>
      </c>
      <c r="I444" s="44"/>
      <c r="J444" s="166">
        <f ca="1">IFERROR(__xludf.DUMMYFUNCTION("IMPORTRANGE(""https://docs.google.com/spreadsheets/d/1jTcq05yEiRwXcBMLjiodW9e4biSGYWAHcDj22rKWQ3s/edit?usp=sharing"",""กำแพงเพชร!J444"")+IMPORTRANGE(""https://docs.google.com/spreadsheets/d/1KS0zmDSZPk8KnTAbGN-Xk6MtX1YRZD0ldgdt20K4CRk/edit?usp=sharing"","&amp;"""เชียงราย!J444"")+IMPORTRANGE(""https://docs.google.com/spreadsheets/d/1rEDxBtusbi64tE0zunoIbsTVV16HeL0oJ6trHQeQ7K8/edit?usp=sharing"",""เชียงใหม่!J444"")+IMPORTRANGE(""https://docs.google.com/spreadsheets/d/1W6MnUbDkMi6xHnHko_XkFDO9kkuL6Wqyc-6OCDFjW9I/e"&amp;"dit?usp=sharing"",""ตาก!J444"")+IMPORTRANGE(""https://docs.google.com/spreadsheets/d/1IQAWArduLkta9LpYo4a_ULsyqdta6-6aDDiwpUnQT6c/edit?usp=sharing"",""นครสวรรค์!J444"")+IMPORTRANGE(""https://docs.google.com/spreadsheets/d/10s13Sk5xrltsiR-Zkbmk5DwIaDIKO8Xl"&amp;"bJAfqyT7Gvg/edit?usp=sharing"",""น่าน!J444"")+IMPORTRANGE(""https://docs.google.com/spreadsheets/d/1uu4nAn4Dbi1XREnLKKotUANlKXa7yCgRcgq8HEzQYW8/edit?usp=sharing"",""พะเยา!J444"")+IMPORTRANGE(""https://docs.google.com/spreadsheets/d/1xfJKIQxVOaPDIICqsflNlL"&amp;"u3JacTDk1FP9RH4phX7mI/edit?usp=sharing"",""พิจิตร!J444"")+IMPORTRANGE(""https://docs.google.com/spreadsheets/d/1JtRfZkJMHtEhI5RdRHxYUG4FIZHqKDpNyIuN7A1Q0_k/edit?usp=sharing"",""พิษณุโลก!J444"")+IMPORTRANGE(""https://docs.google.com/spreadsheets/d/1xlcVZWU"&amp;"Nn6SuWm0c307h32SiGkd9BaeQWlAktfD3KO8/edit?usp=sharing"",""เพชรบูรณ์!J444"")+IMPORTRANGE(""https://docs.google.com/spreadsheets/d/1lOVebEIsI9qjGXl6EX66luk7wiuP2tBaryw-wKvv4e0/edit?usp=sharing"",""แพร่!J444"")+IMPORTRANGE(""https://docs.google.com/spreadshe"&amp;"ets/d/1dQrvX0vEcN7Gu0fnZ0B5S90AeR19zth4XlExFBeExMY/edit?usp=sharing"",""แม่ฮ่องสอน!J444"")+IMPORTRANGE(""https://docs.google.com/spreadsheets/d/1DY4XTNNwjluuxqdfdn6qvOSlMRrZqUtmYcZR0ttFiG4/edit?usp=sharing"",""ลำปาง!J444"")+IMPORTRANGE(""https://docs.goog"&amp;"le.com/spreadsheets/d/1ICwG78r0OFT8biBlxnBF8r7she7gNSzOvJ958PWT09c/edit?usp=sharing"",""ลำพูน!J444"")+IMPORTRANGE(""https://docs.google.com/spreadsheets/d/1B0f2xJpZUC6Z0xXnqKlZtEPzsf6L84eP1r1Q15seqRM/edit?usp=sharing"",""สุโขทัย!J444"")+IMPORTRANGE(""http"&amp;"s://docs.google.com/spreadsheets/d/1v0b9pFQCsKUVExMei7AgY2yQkdeNQvtOssygGsXbiKo/edit?usp=sharing"",""อุตรดิตถ์!J444"")+IMPORTRANGE(""https://docs.google.com/spreadsheets/d/1UsNK1e-WWiCo2PvGqdNfdme4m17_Ezd3J69EeeiQPD0/edit?usp=sharing"",""อุทัยธานี!J444"")"),0)</f>
        <v>0</v>
      </c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</row>
    <row r="445" spans="1:21" ht="18.75" x14ac:dyDescent="0.25">
      <c r="A445" s="208"/>
      <c r="B445" s="158"/>
      <c r="C445" s="158"/>
      <c r="D445" s="158"/>
      <c r="E445" s="158"/>
      <c r="F445" s="158"/>
      <c r="G445" s="180"/>
      <c r="H445" s="133" t="s">
        <v>34</v>
      </c>
      <c r="I445" s="44"/>
      <c r="J445" s="166">
        <f ca="1">IFERROR(__xludf.DUMMYFUNCTION("IMPORTRANGE(""https://docs.google.com/spreadsheets/d/1jTcq05yEiRwXcBMLjiodW9e4biSGYWAHcDj22rKWQ3s/edit?usp=sharing"",""กำแพงเพชร!J445"")+IMPORTRANGE(""https://docs.google.com/spreadsheets/d/1KS0zmDSZPk8KnTAbGN-Xk6MtX1YRZD0ldgdt20K4CRk/edit?usp=sharing"","&amp;"""เชียงราย!J445"")+IMPORTRANGE(""https://docs.google.com/spreadsheets/d/1rEDxBtusbi64tE0zunoIbsTVV16HeL0oJ6trHQeQ7K8/edit?usp=sharing"",""เชียงใหม่!J445"")+IMPORTRANGE(""https://docs.google.com/spreadsheets/d/1W6MnUbDkMi6xHnHko_XkFDO9kkuL6Wqyc-6OCDFjW9I/e"&amp;"dit?usp=sharing"",""ตาก!J445"")+IMPORTRANGE(""https://docs.google.com/spreadsheets/d/1IQAWArduLkta9LpYo4a_ULsyqdta6-6aDDiwpUnQT6c/edit?usp=sharing"",""นครสวรรค์!J445"")+IMPORTRANGE(""https://docs.google.com/spreadsheets/d/10s13Sk5xrltsiR-Zkbmk5DwIaDIKO8Xl"&amp;"bJAfqyT7Gvg/edit?usp=sharing"",""น่าน!J445"")+IMPORTRANGE(""https://docs.google.com/spreadsheets/d/1uu4nAn4Dbi1XREnLKKotUANlKXa7yCgRcgq8HEzQYW8/edit?usp=sharing"",""พะเยา!J445"")+IMPORTRANGE(""https://docs.google.com/spreadsheets/d/1xfJKIQxVOaPDIICqsflNlL"&amp;"u3JacTDk1FP9RH4phX7mI/edit?usp=sharing"",""พิจิตร!J445"")+IMPORTRANGE(""https://docs.google.com/spreadsheets/d/1JtRfZkJMHtEhI5RdRHxYUG4FIZHqKDpNyIuN7A1Q0_k/edit?usp=sharing"",""พิษณุโลก!J445"")+IMPORTRANGE(""https://docs.google.com/spreadsheets/d/1xlcVZWU"&amp;"Nn6SuWm0c307h32SiGkd9BaeQWlAktfD3KO8/edit?usp=sharing"",""เพชรบูรณ์!J445"")+IMPORTRANGE(""https://docs.google.com/spreadsheets/d/1lOVebEIsI9qjGXl6EX66luk7wiuP2tBaryw-wKvv4e0/edit?usp=sharing"",""แพร่!J445"")+IMPORTRANGE(""https://docs.google.com/spreadshe"&amp;"ets/d/1dQrvX0vEcN7Gu0fnZ0B5S90AeR19zth4XlExFBeExMY/edit?usp=sharing"",""แม่ฮ่องสอน!J445"")+IMPORTRANGE(""https://docs.google.com/spreadsheets/d/1DY4XTNNwjluuxqdfdn6qvOSlMRrZqUtmYcZR0ttFiG4/edit?usp=sharing"",""ลำปาง!J445"")+IMPORTRANGE(""https://docs.goog"&amp;"le.com/spreadsheets/d/1ICwG78r0OFT8biBlxnBF8r7she7gNSzOvJ958PWT09c/edit?usp=sharing"",""ลำพูน!J445"")+IMPORTRANGE(""https://docs.google.com/spreadsheets/d/1B0f2xJpZUC6Z0xXnqKlZtEPzsf6L84eP1r1Q15seqRM/edit?usp=sharing"",""สุโขทัย!J445"")+IMPORTRANGE(""http"&amp;"s://docs.google.com/spreadsheets/d/1v0b9pFQCsKUVExMei7AgY2yQkdeNQvtOssygGsXbiKo/edit?usp=sharing"",""อุตรดิตถ์!J445"")+IMPORTRANGE(""https://docs.google.com/spreadsheets/d/1UsNK1e-WWiCo2PvGqdNfdme4m17_Ezd3J69EeeiQPD0/edit?usp=sharing"",""อุทัยธานี!J445"")"),0)</f>
        <v>0</v>
      </c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</row>
    <row r="446" spans="1:21" ht="19.5" x14ac:dyDescent="0.3">
      <c r="A446" s="208"/>
      <c r="B446" s="158"/>
      <c r="C446" s="158"/>
      <c r="D446" s="209" t="s">
        <v>172</v>
      </c>
      <c r="E446" s="158"/>
      <c r="F446" s="158"/>
      <c r="G446" s="180"/>
      <c r="H446" s="133" t="s">
        <v>46</v>
      </c>
      <c r="I446" s="44"/>
      <c r="J446" s="147">
        <f t="shared" ref="J446:J447" ca="1" si="334">J448+J450</f>
        <v>0</v>
      </c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</row>
    <row r="447" spans="1:21" ht="19.5" x14ac:dyDescent="0.3">
      <c r="A447" s="208"/>
      <c r="B447" s="158"/>
      <c r="C447" s="158"/>
      <c r="D447" s="158"/>
      <c r="E447" s="158"/>
      <c r="F447" s="158"/>
      <c r="G447" s="180"/>
      <c r="H447" s="133" t="s">
        <v>34</v>
      </c>
      <c r="I447" s="44"/>
      <c r="J447" s="147">
        <f t="shared" ca="1" si="334"/>
        <v>0</v>
      </c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</row>
    <row r="448" spans="1:21" ht="18.75" x14ac:dyDescent="0.25">
      <c r="A448" s="208"/>
      <c r="B448" s="158"/>
      <c r="C448" s="158"/>
      <c r="D448" s="158"/>
      <c r="E448" s="209" t="s">
        <v>173</v>
      </c>
      <c r="F448" s="158"/>
      <c r="G448" s="180"/>
      <c r="H448" s="133" t="s">
        <v>46</v>
      </c>
      <c r="I448" s="44"/>
      <c r="J448" s="166">
        <f ca="1">IFERROR(__xludf.DUMMYFUNCTION("IMPORTRANGE(""https://docs.google.com/spreadsheets/d/1jTcq05yEiRwXcBMLjiodW9e4biSGYWAHcDj22rKWQ3s/edit?usp=sharing"",""กำแพงเพชร!J448"")+IMPORTRANGE(""https://docs.google.com/spreadsheets/d/1KS0zmDSZPk8KnTAbGN-Xk6MtX1YRZD0ldgdt20K4CRk/edit?usp=sharing"","&amp;"""เชียงราย!J448"")+IMPORTRANGE(""https://docs.google.com/spreadsheets/d/1rEDxBtusbi64tE0zunoIbsTVV16HeL0oJ6trHQeQ7K8/edit?usp=sharing"",""เชียงใหม่!J448"")+IMPORTRANGE(""https://docs.google.com/spreadsheets/d/1W6MnUbDkMi6xHnHko_XkFDO9kkuL6Wqyc-6OCDFjW9I/e"&amp;"dit?usp=sharing"",""ตาก!J448"")+IMPORTRANGE(""https://docs.google.com/spreadsheets/d/1IQAWArduLkta9LpYo4a_ULsyqdta6-6aDDiwpUnQT6c/edit?usp=sharing"",""นครสวรรค์!J448"")+IMPORTRANGE(""https://docs.google.com/spreadsheets/d/10s13Sk5xrltsiR-Zkbmk5DwIaDIKO8Xl"&amp;"bJAfqyT7Gvg/edit?usp=sharing"",""น่าน!J448"")+IMPORTRANGE(""https://docs.google.com/spreadsheets/d/1uu4nAn4Dbi1XREnLKKotUANlKXa7yCgRcgq8HEzQYW8/edit?usp=sharing"",""พะเยา!J448"")+IMPORTRANGE(""https://docs.google.com/spreadsheets/d/1xfJKIQxVOaPDIICqsflNlL"&amp;"u3JacTDk1FP9RH4phX7mI/edit?usp=sharing"",""พิจิตร!J448"")+IMPORTRANGE(""https://docs.google.com/spreadsheets/d/1JtRfZkJMHtEhI5RdRHxYUG4FIZHqKDpNyIuN7A1Q0_k/edit?usp=sharing"",""พิษณุโลก!J448"")+IMPORTRANGE(""https://docs.google.com/spreadsheets/d/1xlcVZWU"&amp;"Nn6SuWm0c307h32SiGkd9BaeQWlAktfD3KO8/edit?usp=sharing"",""เพชรบูรณ์!J448"")+IMPORTRANGE(""https://docs.google.com/spreadsheets/d/1lOVebEIsI9qjGXl6EX66luk7wiuP2tBaryw-wKvv4e0/edit?usp=sharing"",""แพร่!J448"")+IMPORTRANGE(""https://docs.google.com/spreadshe"&amp;"ets/d/1dQrvX0vEcN7Gu0fnZ0B5S90AeR19zth4XlExFBeExMY/edit?usp=sharing"",""แม่ฮ่องสอน!J448"")+IMPORTRANGE(""https://docs.google.com/spreadsheets/d/1DY4XTNNwjluuxqdfdn6qvOSlMRrZqUtmYcZR0ttFiG4/edit?usp=sharing"",""ลำปาง!J448"")+IMPORTRANGE(""https://docs.goog"&amp;"le.com/spreadsheets/d/1ICwG78r0OFT8biBlxnBF8r7she7gNSzOvJ958PWT09c/edit?usp=sharing"",""ลำพูน!J448"")+IMPORTRANGE(""https://docs.google.com/spreadsheets/d/1B0f2xJpZUC6Z0xXnqKlZtEPzsf6L84eP1r1Q15seqRM/edit?usp=sharing"",""สุโขทัย!J448"")+IMPORTRANGE(""http"&amp;"s://docs.google.com/spreadsheets/d/1v0b9pFQCsKUVExMei7AgY2yQkdeNQvtOssygGsXbiKo/edit?usp=sharing"",""อุตรดิตถ์!J448"")+IMPORTRANGE(""https://docs.google.com/spreadsheets/d/1UsNK1e-WWiCo2PvGqdNfdme4m17_Ezd3J69EeeiQPD0/edit?usp=sharing"",""อุทัยธานี!J448"")"),0)</f>
        <v>0</v>
      </c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</row>
    <row r="449" spans="1:21" ht="18.75" x14ac:dyDescent="0.25">
      <c r="A449" s="208"/>
      <c r="B449" s="158"/>
      <c r="C449" s="158"/>
      <c r="D449" s="158"/>
      <c r="E449" s="158"/>
      <c r="F449" s="158"/>
      <c r="G449" s="180"/>
      <c r="H449" s="133" t="s">
        <v>34</v>
      </c>
      <c r="I449" s="44"/>
      <c r="J449" s="166">
        <f ca="1">IFERROR(__xludf.DUMMYFUNCTION("IMPORTRANGE(""https://docs.google.com/spreadsheets/d/1jTcq05yEiRwXcBMLjiodW9e4biSGYWAHcDj22rKWQ3s/edit?usp=sharing"",""กำแพงเพชร!J449"")+IMPORTRANGE(""https://docs.google.com/spreadsheets/d/1KS0zmDSZPk8KnTAbGN-Xk6MtX1YRZD0ldgdt20K4CRk/edit?usp=sharing"","&amp;"""เชียงราย!J449"")+IMPORTRANGE(""https://docs.google.com/spreadsheets/d/1rEDxBtusbi64tE0zunoIbsTVV16HeL0oJ6trHQeQ7K8/edit?usp=sharing"",""เชียงใหม่!J449"")+IMPORTRANGE(""https://docs.google.com/spreadsheets/d/1W6MnUbDkMi6xHnHko_XkFDO9kkuL6Wqyc-6OCDFjW9I/e"&amp;"dit?usp=sharing"",""ตาก!J449"")+IMPORTRANGE(""https://docs.google.com/spreadsheets/d/1IQAWArduLkta9LpYo4a_ULsyqdta6-6aDDiwpUnQT6c/edit?usp=sharing"",""นครสวรรค์!J449"")+IMPORTRANGE(""https://docs.google.com/spreadsheets/d/10s13Sk5xrltsiR-Zkbmk5DwIaDIKO8Xl"&amp;"bJAfqyT7Gvg/edit?usp=sharing"",""น่าน!J449"")+IMPORTRANGE(""https://docs.google.com/spreadsheets/d/1uu4nAn4Dbi1XREnLKKotUANlKXa7yCgRcgq8HEzQYW8/edit?usp=sharing"",""พะเยา!J449"")+IMPORTRANGE(""https://docs.google.com/spreadsheets/d/1xfJKIQxVOaPDIICqsflNlL"&amp;"u3JacTDk1FP9RH4phX7mI/edit?usp=sharing"",""พิจิตร!J449"")+IMPORTRANGE(""https://docs.google.com/spreadsheets/d/1JtRfZkJMHtEhI5RdRHxYUG4FIZHqKDpNyIuN7A1Q0_k/edit?usp=sharing"",""พิษณุโลก!J449"")+IMPORTRANGE(""https://docs.google.com/spreadsheets/d/1xlcVZWU"&amp;"Nn6SuWm0c307h32SiGkd9BaeQWlAktfD3KO8/edit?usp=sharing"",""เพชรบูรณ์!J449"")+IMPORTRANGE(""https://docs.google.com/spreadsheets/d/1lOVebEIsI9qjGXl6EX66luk7wiuP2tBaryw-wKvv4e0/edit?usp=sharing"",""แพร่!J449"")+IMPORTRANGE(""https://docs.google.com/spreadshe"&amp;"ets/d/1dQrvX0vEcN7Gu0fnZ0B5S90AeR19zth4XlExFBeExMY/edit?usp=sharing"",""แม่ฮ่องสอน!J449"")+IMPORTRANGE(""https://docs.google.com/spreadsheets/d/1DY4XTNNwjluuxqdfdn6qvOSlMRrZqUtmYcZR0ttFiG4/edit?usp=sharing"",""ลำปาง!J449"")+IMPORTRANGE(""https://docs.goog"&amp;"le.com/spreadsheets/d/1ICwG78r0OFT8biBlxnBF8r7she7gNSzOvJ958PWT09c/edit?usp=sharing"",""ลำพูน!J449"")+IMPORTRANGE(""https://docs.google.com/spreadsheets/d/1B0f2xJpZUC6Z0xXnqKlZtEPzsf6L84eP1r1Q15seqRM/edit?usp=sharing"",""สุโขทัย!J449"")+IMPORTRANGE(""http"&amp;"s://docs.google.com/spreadsheets/d/1v0b9pFQCsKUVExMei7AgY2yQkdeNQvtOssygGsXbiKo/edit?usp=sharing"",""อุตรดิตถ์!J449"")+IMPORTRANGE(""https://docs.google.com/spreadsheets/d/1UsNK1e-WWiCo2PvGqdNfdme4m17_Ezd3J69EeeiQPD0/edit?usp=sharing"",""อุทัยธานี!J449"")"),0)</f>
        <v>0</v>
      </c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</row>
    <row r="450" spans="1:21" ht="18.75" x14ac:dyDescent="0.25">
      <c r="A450" s="208"/>
      <c r="B450" s="158"/>
      <c r="C450" s="158"/>
      <c r="D450" s="158"/>
      <c r="E450" s="209" t="s">
        <v>174</v>
      </c>
      <c r="F450" s="158"/>
      <c r="G450" s="180"/>
      <c r="H450" s="133" t="s">
        <v>46</v>
      </c>
      <c r="I450" s="44"/>
      <c r="J450" s="166">
        <f ca="1">IFERROR(__xludf.DUMMYFUNCTION("IMPORTRANGE(""https://docs.google.com/spreadsheets/d/1jTcq05yEiRwXcBMLjiodW9e4biSGYWAHcDj22rKWQ3s/edit?usp=sharing"",""กำแพงเพชร!J450"")+IMPORTRANGE(""https://docs.google.com/spreadsheets/d/1KS0zmDSZPk8KnTAbGN-Xk6MtX1YRZD0ldgdt20K4CRk/edit?usp=sharing"","&amp;"""เชียงราย!J450"")+IMPORTRANGE(""https://docs.google.com/spreadsheets/d/1rEDxBtusbi64tE0zunoIbsTVV16HeL0oJ6trHQeQ7K8/edit?usp=sharing"",""เชียงใหม่!J450"")+IMPORTRANGE(""https://docs.google.com/spreadsheets/d/1W6MnUbDkMi6xHnHko_XkFDO9kkuL6Wqyc-6OCDFjW9I/e"&amp;"dit?usp=sharing"",""ตาก!J450"")+IMPORTRANGE(""https://docs.google.com/spreadsheets/d/1IQAWArduLkta9LpYo4a_ULsyqdta6-6aDDiwpUnQT6c/edit?usp=sharing"",""นครสวรรค์!J450"")+IMPORTRANGE(""https://docs.google.com/spreadsheets/d/10s13Sk5xrltsiR-Zkbmk5DwIaDIKO8Xl"&amp;"bJAfqyT7Gvg/edit?usp=sharing"",""น่าน!J450"")+IMPORTRANGE(""https://docs.google.com/spreadsheets/d/1uu4nAn4Dbi1XREnLKKotUANlKXa7yCgRcgq8HEzQYW8/edit?usp=sharing"",""พะเยา!J450"")+IMPORTRANGE(""https://docs.google.com/spreadsheets/d/1xfJKIQxVOaPDIICqsflNlL"&amp;"u3JacTDk1FP9RH4phX7mI/edit?usp=sharing"",""พิจิตร!J450"")+IMPORTRANGE(""https://docs.google.com/spreadsheets/d/1JtRfZkJMHtEhI5RdRHxYUG4FIZHqKDpNyIuN7A1Q0_k/edit?usp=sharing"",""พิษณุโลก!J450"")+IMPORTRANGE(""https://docs.google.com/spreadsheets/d/1xlcVZWU"&amp;"Nn6SuWm0c307h32SiGkd9BaeQWlAktfD3KO8/edit?usp=sharing"",""เพชรบูรณ์!J450"")+IMPORTRANGE(""https://docs.google.com/spreadsheets/d/1lOVebEIsI9qjGXl6EX66luk7wiuP2tBaryw-wKvv4e0/edit?usp=sharing"",""แพร่!J450"")+IMPORTRANGE(""https://docs.google.com/spreadshe"&amp;"ets/d/1dQrvX0vEcN7Gu0fnZ0B5S90AeR19zth4XlExFBeExMY/edit?usp=sharing"",""แม่ฮ่องสอน!J450"")+IMPORTRANGE(""https://docs.google.com/spreadsheets/d/1DY4XTNNwjluuxqdfdn6qvOSlMRrZqUtmYcZR0ttFiG4/edit?usp=sharing"",""ลำปาง!J450"")+IMPORTRANGE(""https://docs.goog"&amp;"le.com/spreadsheets/d/1ICwG78r0OFT8biBlxnBF8r7she7gNSzOvJ958PWT09c/edit?usp=sharing"",""ลำพูน!J450"")+IMPORTRANGE(""https://docs.google.com/spreadsheets/d/1B0f2xJpZUC6Z0xXnqKlZtEPzsf6L84eP1r1Q15seqRM/edit?usp=sharing"",""สุโขทัย!J450"")+IMPORTRANGE(""http"&amp;"s://docs.google.com/spreadsheets/d/1v0b9pFQCsKUVExMei7AgY2yQkdeNQvtOssygGsXbiKo/edit?usp=sharing"",""อุตรดิตถ์!J450"")+IMPORTRANGE(""https://docs.google.com/spreadsheets/d/1UsNK1e-WWiCo2PvGqdNfdme4m17_Ezd3J69EeeiQPD0/edit?usp=sharing"",""อุทัยธานี!J450"")"),0)</f>
        <v>0</v>
      </c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</row>
    <row r="451" spans="1:21" ht="18.75" x14ac:dyDescent="0.25">
      <c r="A451" s="208"/>
      <c r="B451" s="158"/>
      <c r="C451" s="158"/>
      <c r="D451" s="158"/>
      <c r="E451" s="158"/>
      <c r="F451" s="158"/>
      <c r="G451" s="180"/>
      <c r="H451" s="133" t="s">
        <v>34</v>
      </c>
      <c r="I451" s="44"/>
      <c r="J451" s="166">
        <f ca="1">IFERROR(__xludf.DUMMYFUNCTION("IMPORTRANGE(""https://docs.google.com/spreadsheets/d/1jTcq05yEiRwXcBMLjiodW9e4biSGYWAHcDj22rKWQ3s/edit?usp=sharing"",""กำแพงเพชร!J451"")+IMPORTRANGE(""https://docs.google.com/spreadsheets/d/1KS0zmDSZPk8KnTAbGN-Xk6MtX1YRZD0ldgdt20K4CRk/edit?usp=sharing"","&amp;"""เชียงราย!J451"")+IMPORTRANGE(""https://docs.google.com/spreadsheets/d/1rEDxBtusbi64tE0zunoIbsTVV16HeL0oJ6trHQeQ7K8/edit?usp=sharing"",""เชียงใหม่!J451"")+IMPORTRANGE(""https://docs.google.com/spreadsheets/d/1W6MnUbDkMi6xHnHko_XkFDO9kkuL6Wqyc-6OCDFjW9I/e"&amp;"dit?usp=sharing"",""ตาก!J451"")+IMPORTRANGE(""https://docs.google.com/spreadsheets/d/1IQAWArduLkta9LpYo4a_ULsyqdta6-6aDDiwpUnQT6c/edit?usp=sharing"",""นครสวรรค์!J451"")+IMPORTRANGE(""https://docs.google.com/spreadsheets/d/10s13Sk5xrltsiR-Zkbmk5DwIaDIKO8Xl"&amp;"bJAfqyT7Gvg/edit?usp=sharing"",""น่าน!J451"")+IMPORTRANGE(""https://docs.google.com/spreadsheets/d/1uu4nAn4Dbi1XREnLKKotUANlKXa7yCgRcgq8HEzQYW8/edit?usp=sharing"",""พะเยา!J451"")+IMPORTRANGE(""https://docs.google.com/spreadsheets/d/1xfJKIQxVOaPDIICqsflNlL"&amp;"u3JacTDk1FP9RH4phX7mI/edit?usp=sharing"",""พิจิตร!J451"")+IMPORTRANGE(""https://docs.google.com/spreadsheets/d/1JtRfZkJMHtEhI5RdRHxYUG4FIZHqKDpNyIuN7A1Q0_k/edit?usp=sharing"",""พิษณุโลก!J451"")+IMPORTRANGE(""https://docs.google.com/spreadsheets/d/1xlcVZWU"&amp;"Nn6SuWm0c307h32SiGkd9BaeQWlAktfD3KO8/edit?usp=sharing"",""เพชรบูรณ์!J451"")+IMPORTRANGE(""https://docs.google.com/spreadsheets/d/1lOVebEIsI9qjGXl6EX66luk7wiuP2tBaryw-wKvv4e0/edit?usp=sharing"",""แพร่!J451"")+IMPORTRANGE(""https://docs.google.com/spreadshe"&amp;"ets/d/1dQrvX0vEcN7Gu0fnZ0B5S90AeR19zth4XlExFBeExMY/edit?usp=sharing"",""แม่ฮ่องสอน!J451"")+IMPORTRANGE(""https://docs.google.com/spreadsheets/d/1DY4XTNNwjluuxqdfdn6qvOSlMRrZqUtmYcZR0ttFiG4/edit?usp=sharing"",""ลำปาง!J451"")+IMPORTRANGE(""https://docs.goog"&amp;"le.com/spreadsheets/d/1ICwG78r0OFT8biBlxnBF8r7she7gNSzOvJ958PWT09c/edit?usp=sharing"",""ลำพูน!J451"")+IMPORTRANGE(""https://docs.google.com/spreadsheets/d/1B0f2xJpZUC6Z0xXnqKlZtEPzsf6L84eP1r1Q15seqRM/edit?usp=sharing"",""สุโขทัย!J451"")+IMPORTRANGE(""http"&amp;"s://docs.google.com/spreadsheets/d/1v0b9pFQCsKUVExMei7AgY2yQkdeNQvtOssygGsXbiKo/edit?usp=sharing"",""อุตรดิตถ์!J451"")+IMPORTRANGE(""https://docs.google.com/spreadsheets/d/1UsNK1e-WWiCo2PvGqdNfdme4m17_Ezd3J69EeeiQPD0/edit?usp=sharing"",""อุทัยธานี!J451"")"),0)</f>
        <v>0</v>
      </c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</row>
    <row r="452" spans="1:21" ht="18.75" x14ac:dyDescent="0.25">
      <c r="A452" s="208"/>
      <c r="B452" s="158"/>
      <c r="C452" s="158"/>
      <c r="D452" s="209" t="s">
        <v>175</v>
      </c>
      <c r="E452" s="158"/>
      <c r="F452" s="158"/>
      <c r="G452" s="180"/>
      <c r="H452" s="133" t="s">
        <v>46</v>
      </c>
      <c r="I452" s="44"/>
      <c r="J452" s="166">
        <f ca="1">IFERROR(__xludf.DUMMYFUNCTION("IMPORTRANGE(""https://docs.google.com/spreadsheets/d/1jTcq05yEiRwXcBMLjiodW9e4biSGYWAHcDj22rKWQ3s/edit?usp=sharing"",""กำแพงเพชร!J452"")+IMPORTRANGE(""https://docs.google.com/spreadsheets/d/1KS0zmDSZPk8KnTAbGN-Xk6MtX1YRZD0ldgdt20K4CRk/edit?usp=sharing"","&amp;"""เชียงราย!J452"")+IMPORTRANGE(""https://docs.google.com/spreadsheets/d/1rEDxBtusbi64tE0zunoIbsTVV16HeL0oJ6trHQeQ7K8/edit?usp=sharing"",""เชียงใหม่!J452"")+IMPORTRANGE(""https://docs.google.com/spreadsheets/d/1W6MnUbDkMi6xHnHko_XkFDO9kkuL6Wqyc-6OCDFjW9I/e"&amp;"dit?usp=sharing"",""ตาก!J452"")+IMPORTRANGE(""https://docs.google.com/spreadsheets/d/1IQAWArduLkta9LpYo4a_ULsyqdta6-6aDDiwpUnQT6c/edit?usp=sharing"",""นครสวรรค์!J452"")+IMPORTRANGE(""https://docs.google.com/spreadsheets/d/10s13Sk5xrltsiR-Zkbmk5DwIaDIKO8Xl"&amp;"bJAfqyT7Gvg/edit?usp=sharing"",""น่าน!J452"")+IMPORTRANGE(""https://docs.google.com/spreadsheets/d/1uu4nAn4Dbi1XREnLKKotUANlKXa7yCgRcgq8HEzQYW8/edit?usp=sharing"",""พะเยา!J452"")+IMPORTRANGE(""https://docs.google.com/spreadsheets/d/1xfJKIQxVOaPDIICqsflNlL"&amp;"u3JacTDk1FP9RH4phX7mI/edit?usp=sharing"",""พิจิตร!J452"")+IMPORTRANGE(""https://docs.google.com/spreadsheets/d/1JtRfZkJMHtEhI5RdRHxYUG4FIZHqKDpNyIuN7A1Q0_k/edit?usp=sharing"",""พิษณุโลก!J452"")+IMPORTRANGE(""https://docs.google.com/spreadsheets/d/1xlcVZWU"&amp;"Nn6SuWm0c307h32SiGkd9BaeQWlAktfD3KO8/edit?usp=sharing"",""เพชรบูรณ์!J452"")+IMPORTRANGE(""https://docs.google.com/spreadsheets/d/1lOVebEIsI9qjGXl6EX66luk7wiuP2tBaryw-wKvv4e0/edit?usp=sharing"",""แพร่!J452"")+IMPORTRANGE(""https://docs.google.com/spreadshe"&amp;"ets/d/1dQrvX0vEcN7Gu0fnZ0B5S90AeR19zth4XlExFBeExMY/edit?usp=sharing"",""แม่ฮ่องสอน!J452"")+IMPORTRANGE(""https://docs.google.com/spreadsheets/d/1DY4XTNNwjluuxqdfdn6qvOSlMRrZqUtmYcZR0ttFiG4/edit?usp=sharing"",""ลำปาง!J452"")+IMPORTRANGE(""https://docs.goog"&amp;"le.com/spreadsheets/d/1ICwG78r0OFT8biBlxnBF8r7she7gNSzOvJ958PWT09c/edit?usp=sharing"",""ลำพูน!J452"")+IMPORTRANGE(""https://docs.google.com/spreadsheets/d/1B0f2xJpZUC6Z0xXnqKlZtEPzsf6L84eP1r1Q15seqRM/edit?usp=sharing"",""สุโขทัย!J452"")+IMPORTRANGE(""http"&amp;"s://docs.google.com/spreadsheets/d/1v0b9pFQCsKUVExMei7AgY2yQkdeNQvtOssygGsXbiKo/edit?usp=sharing"",""อุตรดิตถ์!J452"")+IMPORTRANGE(""https://docs.google.com/spreadsheets/d/1UsNK1e-WWiCo2PvGqdNfdme4m17_Ezd3J69EeeiQPD0/edit?usp=sharing"",""อุทัยธานี!J452"")"),0)</f>
        <v>0</v>
      </c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</row>
    <row r="453" spans="1:21" ht="18.75" x14ac:dyDescent="0.25">
      <c r="A453" s="208"/>
      <c r="B453" s="158"/>
      <c r="C453" s="158"/>
      <c r="D453" s="158"/>
      <c r="E453" s="158"/>
      <c r="F453" s="158"/>
      <c r="G453" s="180"/>
      <c r="H453" s="133" t="s">
        <v>34</v>
      </c>
      <c r="I453" s="44"/>
      <c r="J453" s="166">
        <f ca="1">IFERROR(__xludf.DUMMYFUNCTION("IMPORTRANGE(""https://docs.google.com/spreadsheets/d/1jTcq05yEiRwXcBMLjiodW9e4biSGYWAHcDj22rKWQ3s/edit?usp=sharing"",""กำแพงเพชร!J453"")+IMPORTRANGE(""https://docs.google.com/spreadsheets/d/1KS0zmDSZPk8KnTAbGN-Xk6MtX1YRZD0ldgdt20K4CRk/edit?usp=sharing"","&amp;"""เชียงราย!J453"")+IMPORTRANGE(""https://docs.google.com/spreadsheets/d/1rEDxBtusbi64tE0zunoIbsTVV16HeL0oJ6trHQeQ7K8/edit?usp=sharing"",""เชียงใหม่!J453"")+IMPORTRANGE(""https://docs.google.com/spreadsheets/d/1W6MnUbDkMi6xHnHko_XkFDO9kkuL6Wqyc-6OCDFjW9I/e"&amp;"dit?usp=sharing"",""ตาก!J453"")+IMPORTRANGE(""https://docs.google.com/spreadsheets/d/1IQAWArduLkta9LpYo4a_ULsyqdta6-6aDDiwpUnQT6c/edit?usp=sharing"",""นครสวรรค์!J453"")+IMPORTRANGE(""https://docs.google.com/spreadsheets/d/10s13Sk5xrltsiR-Zkbmk5DwIaDIKO8Xl"&amp;"bJAfqyT7Gvg/edit?usp=sharing"",""น่าน!J453"")+IMPORTRANGE(""https://docs.google.com/spreadsheets/d/1uu4nAn4Dbi1XREnLKKotUANlKXa7yCgRcgq8HEzQYW8/edit?usp=sharing"",""พะเยา!J453"")+IMPORTRANGE(""https://docs.google.com/spreadsheets/d/1xfJKIQxVOaPDIICqsflNlL"&amp;"u3JacTDk1FP9RH4phX7mI/edit?usp=sharing"",""พิจิตร!J453"")+IMPORTRANGE(""https://docs.google.com/spreadsheets/d/1JtRfZkJMHtEhI5RdRHxYUG4FIZHqKDpNyIuN7A1Q0_k/edit?usp=sharing"",""พิษณุโลก!J453"")+IMPORTRANGE(""https://docs.google.com/spreadsheets/d/1xlcVZWU"&amp;"Nn6SuWm0c307h32SiGkd9BaeQWlAktfD3KO8/edit?usp=sharing"",""เพชรบูรณ์!J453"")+IMPORTRANGE(""https://docs.google.com/spreadsheets/d/1lOVebEIsI9qjGXl6EX66luk7wiuP2tBaryw-wKvv4e0/edit?usp=sharing"",""แพร่!J453"")+IMPORTRANGE(""https://docs.google.com/spreadshe"&amp;"ets/d/1dQrvX0vEcN7Gu0fnZ0B5S90AeR19zth4XlExFBeExMY/edit?usp=sharing"",""แม่ฮ่องสอน!J453"")+IMPORTRANGE(""https://docs.google.com/spreadsheets/d/1DY4XTNNwjluuxqdfdn6qvOSlMRrZqUtmYcZR0ttFiG4/edit?usp=sharing"",""ลำปาง!J453"")+IMPORTRANGE(""https://docs.goog"&amp;"le.com/spreadsheets/d/1ICwG78r0OFT8biBlxnBF8r7she7gNSzOvJ958PWT09c/edit?usp=sharing"",""ลำพูน!J453"")+IMPORTRANGE(""https://docs.google.com/spreadsheets/d/1B0f2xJpZUC6Z0xXnqKlZtEPzsf6L84eP1r1Q15seqRM/edit?usp=sharing"",""สุโขทัย!J453"")+IMPORTRANGE(""http"&amp;"s://docs.google.com/spreadsheets/d/1v0b9pFQCsKUVExMei7AgY2yQkdeNQvtOssygGsXbiKo/edit?usp=sharing"",""อุตรดิตถ์!J453"")+IMPORTRANGE(""https://docs.google.com/spreadsheets/d/1UsNK1e-WWiCo2PvGqdNfdme4m17_Ezd3J69EeeiQPD0/edit?usp=sharing"",""อุทัยธานี!J453"")"),0)</f>
        <v>0</v>
      </c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</row>
    <row r="454" spans="1:21" ht="18.75" x14ac:dyDescent="0.25">
      <c r="A454" s="208"/>
      <c r="B454" s="158"/>
      <c r="C454" s="158"/>
      <c r="D454" s="209" t="s">
        <v>176</v>
      </c>
      <c r="E454" s="158"/>
      <c r="F454" s="158"/>
      <c r="G454" s="180"/>
      <c r="H454" s="133" t="s">
        <v>46</v>
      </c>
      <c r="I454" s="44"/>
      <c r="J454" s="325">
        <f ca="1">IFERROR(__xludf.DUMMYFUNCTION("IMPORTRANGE(""https://docs.google.com/spreadsheets/d/1jTcq05yEiRwXcBMLjiodW9e4biSGYWAHcDj22rKWQ3s/edit?usp=sharing"",""กำแพงเพชร!J454"")+IMPORTRANGE(""https://docs.google.com/spreadsheets/d/1KS0zmDSZPk8KnTAbGN-Xk6MtX1YRZD0ldgdt20K4CRk/edit?usp=sharing"","&amp;"""เชียงราย!J454"")+IMPORTRANGE(""https://docs.google.com/spreadsheets/d/1rEDxBtusbi64tE0zunoIbsTVV16HeL0oJ6trHQeQ7K8/edit?usp=sharing"",""เชียงใหม่!J454"")+IMPORTRANGE(""https://docs.google.com/spreadsheets/d/1W6MnUbDkMi6xHnHko_XkFDO9kkuL6Wqyc-6OCDFjW9I/e"&amp;"dit?usp=sharing"",""ตาก!J454"")+IMPORTRANGE(""https://docs.google.com/spreadsheets/d/1IQAWArduLkta9LpYo4a_ULsyqdta6-6aDDiwpUnQT6c/edit?usp=sharing"",""นครสวรรค์!J454"")+IMPORTRANGE(""https://docs.google.com/spreadsheets/d/10s13Sk5xrltsiR-Zkbmk5DwIaDIKO8Xl"&amp;"bJAfqyT7Gvg/edit?usp=sharing"",""น่าน!J454"")+IMPORTRANGE(""https://docs.google.com/spreadsheets/d/1uu4nAn4Dbi1XREnLKKotUANlKXa7yCgRcgq8HEzQYW8/edit?usp=sharing"",""พะเยา!J454"")+IMPORTRANGE(""https://docs.google.com/spreadsheets/d/1xfJKIQxVOaPDIICqsflNlL"&amp;"u3JacTDk1FP9RH4phX7mI/edit?usp=sharing"",""พิจิตร!J454"")+IMPORTRANGE(""https://docs.google.com/spreadsheets/d/1JtRfZkJMHtEhI5RdRHxYUG4FIZHqKDpNyIuN7A1Q0_k/edit?usp=sharing"",""พิษณุโลก!J454"")+IMPORTRANGE(""https://docs.google.com/spreadsheets/d/1xlcVZWU"&amp;"Nn6SuWm0c307h32SiGkd9BaeQWlAktfD3KO8/edit?usp=sharing"",""เพชรบูรณ์!J454"")+IMPORTRANGE(""https://docs.google.com/spreadsheets/d/1lOVebEIsI9qjGXl6EX66luk7wiuP2tBaryw-wKvv4e0/edit?usp=sharing"",""แพร่!J454"")+IMPORTRANGE(""https://docs.google.com/spreadshe"&amp;"ets/d/1dQrvX0vEcN7Gu0fnZ0B5S90AeR19zth4XlExFBeExMY/edit?usp=sharing"",""แม่ฮ่องสอน!J454"")+IMPORTRANGE(""https://docs.google.com/spreadsheets/d/1DY4XTNNwjluuxqdfdn6qvOSlMRrZqUtmYcZR0ttFiG4/edit?usp=sharing"",""ลำปาง!J454"")+IMPORTRANGE(""https://docs.goog"&amp;"le.com/spreadsheets/d/1ICwG78r0OFT8biBlxnBF8r7she7gNSzOvJ958PWT09c/edit?usp=sharing"",""ลำพูน!J454"")+IMPORTRANGE(""https://docs.google.com/spreadsheets/d/1B0f2xJpZUC6Z0xXnqKlZtEPzsf6L84eP1r1Q15seqRM/edit?usp=sharing"",""สุโขทัย!J454"")+IMPORTRANGE(""http"&amp;"s://docs.google.com/spreadsheets/d/1v0b9pFQCsKUVExMei7AgY2yQkdeNQvtOssygGsXbiKo/edit?usp=sharing"",""อุตรดิตถ์!J454"")+IMPORTRANGE(""https://docs.google.com/spreadsheets/d/1UsNK1e-WWiCo2PvGqdNfdme4m17_Ezd3J69EeeiQPD0/edit?usp=sharing"",""อุทัยธานี!J454"")"),0)</f>
        <v>0</v>
      </c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</row>
    <row r="455" spans="1:21" ht="18.75" x14ac:dyDescent="0.25">
      <c r="A455" s="208"/>
      <c r="B455" s="158"/>
      <c r="C455" s="158"/>
      <c r="D455" s="158"/>
      <c r="E455" s="158"/>
      <c r="F455" s="158"/>
      <c r="G455" s="180"/>
      <c r="H455" s="133" t="s">
        <v>34</v>
      </c>
      <c r="I455" s="44"/>
      <c r="J455" s="166">
        <f ca="1">IFERROR(__xludf.DUMMYFUNCTION("IMPORTRANGE(""https://docs.google.com/spreadsheets/d/1jTcq05yEiRwXcBMLjiodW9e4biSGYWAHcDj22rKWQ3s/edit?usp=sharing"",""กำแพงเพชร!J455"")+IMPORTRANGE(""https://docs.google.com/spreadsheets/d/1KS0zmDSZPk8KnTAbGN-Xk6MtX1YRZD0ldgdt20K4CRk/edit?usp=sharing"","&amp;"""เชียงราย!J455"")+IMPORTRANGE(""https://docs.google.com/spreadsheets/d/1rEDxBtusbi64tE0zunoIbsTVV16HeL0oJ6trHQeQ7K8/edit?usp=sharing"",""เชียงใหม่!J455"")+IMPORTRANGE(""https://docs.google.com/spreadsheets/d/1W6MnUbDkMi6xHnHko_XkFDO9kkuL6Wqyc-6OCDFjW9I/e"&amp;"dit?usp=sharing"",""ตาก!J455"")+IMPORTRANGE(""https://docs.google.com/spreadsheets/d/1IQAWArduLkta9LpYo4a_ULsyqdta6-6aDDiwpUnQT6c/edit?usp=sharing"",""นครสวรรค์!J455"")+IMPORTRANGE(""https://docs.google.com/spreadsheets/d/10s13Sk5xrltsiR-Zkbmk5DwIaDIKO8Xl"&amp;"bJAfqyT7Gvg/edit?usp=sharing"",""น่าน!J455"")+IMPORTRANGE(""https://docs.google.com/spreadsheets/d/1uu4nAn4Dbi1XREnLKKotUANlKXa7yCgRcgq8HEzQYW8/edit?usp=sharing"",""พะเยา!J455"")+IMPORTRANGE(""https://docs.google.com/spreadsheets/d/1xfJKIQxVOaPDIICqsflNlL"&amp;"u3JacTDk1FP9RH4phX7mI/edit?usp=sharing"",""พิจิตร!J455"")+IMPORTRANGE(""https://docs.google.com/spreadsheets/d/1JtRfZkJMHtEhI5RdRHxYUG4FIZHqKDpNyIuN7A1Q0_k/edit?usp=sharing"",""พิษณุโลก!J455"")+IMPORTRANGE(""https://docs.google.com/spreadsheets/d/1xlcVZWU"&amp;"Nn6SuWm0c307h32SiGkd9BaeQWlAktfD3KO8/edit?usp=sharing"",""เพชรบูรณ์!J455"")+IMPORTRANGE(""https://docs.google.com/spreadsheets/d/1lOVebEIsI9qjGXl6EX66luk7wiuP2tBaryw-wKvv4e0/edit?usp=sharing"",""แพร่!J455"")+IMPORTRANGE(""https://docs.google.com/spreadshe"&amp;"ets/d/1dQrvX0vEcN7Gu0fnZ0B5S90AeR19zth4XlExFBeExMY/edit?usp=sharing"",""แม่ฮ่องสอน!J455"")+IMPORTRANGE(""https://docs.google.com/spreadsheets/d/1DY4XTNNwjluuxqdfdn6qvOSlMRrZqUtmYcZR0ttFiG4/edit?usp=sharing"",""ลำปาง!J455"")+IMPORTRANGE(""https://docs.goog"&amp;"le.com/spreadsheets/d/1ICwG78r0OFT8biBlxnBF8r7she7gNSzOvJ958PWT09c/edit?usp=sharing"",""ลำพูน!J455"")+IMPORTRANGE(""https://docs.google.com/spreadsheets/d/1B0f2xJpZUC6Z0xXnqKlZtEPzsf6L84eP1r1Q15seqRM/edit?usp=sharing"",""สุโขทัย!J455"")+IMPORTRANGE(""http"&amp;"s://docs.google.com/spreadsheets/d/1v0b9pFQCsKUVExMei7AgY2yQkdeNQvtOssygGsXbiKo/edit?usp=sharing"",""อุตรดิตถ์!J455"")+IMPORTRANGE(""https://docs.google.com/spreadsheets/d/1UsNK1e-WWiCo2PvGqdNfdme4m17_Ezd3J69EeeiQPD0/edit?usp=sharing"",""อุทัยธานี!J455"")"),0)</f>
        <v>0</v>
      </c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</row>
    <row r="456" spans="1:21" ht="19.5" x14ac:dyDescent="0.3">
      <c r="A456" s="208"/>
      <c r="B456" s="161" t="s">
        <v>177</v>
      </c>
      <c r="C456" s="158"/>
      <c r="D456" s="158"/>
      <c r="E456" s="158"/>
      <c r="F456" s="158"/>
      <c r="G456" s="180"/>
      <c r="H456" s="323" t="s">
        <v>46</v>
      </c>
      <c r="I456" s="147">
        <f t="shared" ref="I456:J456" ca="1" si="335">I457</f>
        <v>3912</v>
      </c>
      <c r="J456" s="147">
        <f t="shared" ca="1" si="335"/>
        <v>0</v>
      </c>
      <c r="K456" s="132">
        <f t="shared" ref="K456:K458" ca="1" si="336">IF(I456&gt;0,J456*100/I456,0)</f>
        <v>0</v>
      </c>
      <c r="L456" s="45"/>
      <c r="M456" s="45"/>
      <c r="N456" s="45"/>
      <c r="O456" s="45"/>
      <c r="P456" s="45"/>
      <c r="Q456" s="45"/>
      <c r="R456" s="45"/>
      <c r="S456" s="45"/>
      <c r="T456" s="45"/>
      <c r="U456" s="45"/>
    </row>
    <row r="457" spans="1:21" ht="19.5" x14ac:dyDescent="0.3">
      <c r="A457" s="208"/>
      <c r="B457" s="158"/>
      <c r="C457" s="161" t="s">
        <v>178</v>
      </c>
      <c r="D457" s="158"/>
      <c r="E457" s="158"/>
      <c r="F457" s="158"/>
      <c r="G457" s="180"/>
      <c r="H457" s="131" t="s">
        <v>46</v>
      </c>
      <c r="I457" s="147">
        <f ca="1">IFERROR(__xludf.DUMMYFUNCTION("IMPORTRANGE(""https://docs.google.com/spreadsheets/d/1jTcq05yEiRwXcBMLjiodW9e4biSGYWAHcDj22rKWQ3s/edit?usp=sharing"",""กำแพงเพชร!I457"")+IMPORTRANGE(""https://docs.google.com/spreadsheets/d/1KS0zmDSZPk8KnTAbGN-Xk6MtX1YRZD0ldgdt20K4CRk/edit?usp=sharing"","&amp;"""เชียงราย!I457"")+IMPORTRANGE(""https://docs.google.com/spreadsheets/d/1rEDxBtusbi64tE0zunoIbsTVV16HeL0oJ6trHQeQ7K8/edit?usp=sharing"",""เชียงใหม่!I457"")+IMPORTRANGE(""https://docs.google.com/spreadsheets/d/1W6MnUbDkMi6xHnHko_XkFDO9kkuL6Wqyc-6OCDFjW9I/e"&amp;"dit?usp=sharing"",""ตาก!I457"")+IMPORTRANGE(""https://docs.google.com/spreadsheets/d/1IQAWArduLkta9LpYo4a_ULsyqdta6-6aDDiwpUnQT6c/edit?usp=sharing"",""นครสวรรค์!I457"")+IMPORTRANGE(""https://docs.google.com/spreadsheets/d/10s13Sk5xrltsiR-Zkbmk5DwIaDIKO8Xl"&amp;"bJAfqyT7Gvg/edit?usp=sharing"",""น่าน!I457"")+IMPORTRANGE(""https://docs.google.com/spreadsheets/d/1uu4nAn4Dbi1XREnLKKotUANlKXa7yCgRcgq8HEzQYW8/edit?usp=sharing"",""พะเยา!I457"")+IMPORTRANGE(""https://docs.google.com/spreadsheets/d/1xfJKIQxVOaPDIICqsflNlL"&amp;"u3JacTDk1FP9RH4phX7mI/edit?usp=sharing"",""พิจิตร!I457"")+IMPORTRANGE(""https://docs.google.com/spreadsheets/d/1JtRfZkJMHtEhI5RdRHxYUG4FIZHqKDpNyIuN7A1Q0_k/edit?usp=sharing"",""พิษณุโลก!I457"")+IMPORTRANGE(""https://docs.google.com/spreadsheets/d/1xlcVZWU"&amp;"Nn6SuWm0c307h32SiGkd9BaeQWlAktfD3KO8/edit?usp=sharing"",""เพชรบูรณ์!I457"")+IMPORTRANGE(""https://docs.google.com/spreadsheets/d/1lOVebEIsI9qjGXl6EX66luk7wiuP2tBaryw-wKvv4e0/edit?usp=sharing"",""แพร่!I457"")+IMPORTRANGE(""https://docs.google.com/spreadshe"&amp;"ets/d/1dQrvX0vEcN7Gu0fnZ0B5S90AeR19zth4XlExFBeExMY/edit?usp=sharing"",""แม่ฮ่องสอน!I457"")+IMPORTRANGE(""https://docs.google.com/spreadsheets/d/1DY4XTNNwjluuxqdfdn6qvOSlMRrZqUtmYcZR0ttFiG4/edit?usp=sharing"",""ลำปาง!I457"")+IMPORTRANGE(""https://docs.goog"&amp;"le.com/spreadsheets/d/1ICwG78r0OFT8biBlxnBF8r7she7gNSzOvJ958PWT09c/edit?usp=sharing"",""ลำพูน!I457"")+IMPORTRANGE(""https://docs.google.com/spreadsheets/d/1B0f2xJpZUC6Z0xXnqKlZtEPzsf6L84eP1r1Q15seqRM/edit?usp=sharing"",""สุโขทัย!I457"")+IMPORTRANGE(""http"&amp;"s://docs.google.com/spreadsheets/d/1v0b9pFQCsKUVExMei7AgY2yQkdeNQvtOssygGsXbiKo/edit?usp=sharing"",""อุตรดิตถ์!I457"")+IMPORTRANGE(""https://docs.google.com/spreadsheets/d/1UsNK1e-WWiCo2PvGqdNfdme4m17_Ezd3J69EeeiQPD0/edit?usp=sharing"",""อุทัยธานี!I457"")"),3912)</f>
        <v>3912</v>
      </c>
      <c r="J457" s="147">
        <f t="shared" ref="J457:J458" ca="1" si="337">J459+J467+J473</f>
        <v>0</v>
      </c>
      <c r="K457" s="132">
        <f t="shared" ca="1" si="336"/>
        <v>0</v>
      </c>
      <c r="L457" s="45"/>
      <c r="M457" s="45"/>
      <c r="N457" s="45"/>
      <c r="O457" s="45"/>
      <c r="P457" s="45"/>
      <c r="Q457" s="45"/>
      <c r="R457" s="45"/>
      <c r="S457" s="45"/>
      <c r="T457" s="45"/>
      <c r="U457" s="45"/>
    </row>
    <row r="458" spans="1:21" ht="19.5" x14ac:dyDescent="0.3">
      <c r="A458" s="208"/>
      <c r="B458" s="158"/>
      <c r="C458" s="158"/>
      <c r="D458" s="158"/>
      <c r="E458" s="158"/>
      <c r="F458" s="158"/>
      <c r="G458" s="180"/>
      <c r="H458" s="131" t="s">
        <v>34</v>
      </c>
      <c r="I458" s="147">
        <f ca="1">IFERROR(__xludf.DUMMYFUNCTION("IMPORTRANGE(""https://docs.google.com/spreadsheets/d/1jTcq05yEiRwXcBMLjiodW9e4biSGYWAHcDj22rKWQ3s/edit?usp=sharing"",""กำแพงเพชร!I458"")+IMPORTRANGE(""https://docs.google.com/spreadsheets/d/1KS0zmDSZPk8KnTAbGN-Xk6MtX1YRZD0ldgdt20K4CRk/edit?usp=sharing"","&amp;"""เชียงราย!I458"")+IMPORTRANGE(""https://docs.google.com/spreadsheets/d/1rEDxBtusbi64tE0zunoIbsTVV16HeL0oJ6trHQeQ7K8/edit?usp=sharing"",""เชียงใหม่!I458"")+IMPORTRANGE(""https://docs.google.com/spreadsheets/d/1W6MnUbDkMi6xHnHko_XkFDO9kkuL6Wqyc-6OCDFjW9I/e"&amp;"dit?usp=sharing"",""ตาก!I458"")+IMPORTRANGE(""https://docs.google.com/spreadsheets/d/1IQAWArduLkta9LpYo4a_ULsyqdta6-6aDDiwpUnQT6c/edit?usp=sharing"",""นครสวรรค์!I458"")+IMPORTRANGE(""https://docs.google.com/spreadsheets/d/10s13Sk5xrltsiR-Zkbmk5DwIaDIKO8Xl"&amp;"bJAfqyT7Gvg/edit?usp=sharing"",""น่าน!I458"")+IMPORTRANGE(""https://docs.google.com/spreadsheets/d/1uu4nAn4Dbi1XREnLKKotUANlKXa7yCgRcgq8HEzQYW8/edit?usp=sharing"",""พะเยา!I458"")+IMPORTRANGE(""https://docs.google.com/spreadsheets/d/1xfJKIQxVOaPDIICqsflNlL"&amp;"u3JacTDk1FP9RH4phX7mI/edit?usp=sharing"",""พิจิตร!I458"")+IMPORTRANGE(""https://docs.google.com/spreadsheets/d/1JtRfZkJMHtEhI5RdRHxYUG4FIZHqKDpNyIuN7A1Q0_k/edit?usp=sharing"",""พิษณุโลก!I458"")+IMPORTRANGE(""https://docs.google.com/spreadsheets/d/1xlcVZWU"&amp;"Nn6SuWm0c307h32SiGkd9BaeQWlAktfD3KO8/edit?usp=sharing"",""เพชรบูรณ์!I458"")+IMPORTRANGE(""https://docs.google.com/spreadsheets/d/1lOVebEIsI9qjGXl6EX66luk7wiuP2tBaryw-wKvv4e0/edit?usp=sharing"",""แพร่!I458"")+IMPORTRANGE(""https://docs.google.com/spreadshe"&amp;"ets/d/1dQrvX0vEcN7Gu0fnZ0B5S90AeR19zth4XlExFBeExMY/edit?usp=sharing"",""แม่ฮ่องสอน!I458"")+IMPORTRANGE(""https://docs.google.com/spreadsheets/d/1DY4XTNNwjluuxqdfdn6qvOSlMRrZqUtmYcZR0ttFiG4/edit?usp=sharing"",""ลำปาง!I458"")+IMPORTRANGE(""https://docs.goog"&amp;"le.com/spreadsheets/d/1ICwG78r0OFT8biBlxnBF8r7she7gNSzOvJ958PWT09c/edit?usp=sharing"",""ลำพูน!I458"")+IMPORTRANGE(""https://docs.google.com/spreadsheets/d/1B0f2xJpZUC6Z0xXnqKlZtEPzsf6L84eP1r1Q15seqRM/edit?usp=sharing"",""สุโขทัย!I458"")+IMPORTRANGE(""http"&amp;"s://docs.google.com/spreadsheets/d/1v0b9pFQCsKUVExMei7AgY2yQkdeNQvtOssygGsXbiKo/edit?usp=sharing"",""อุตรดิตถ์!I458"")+IMPORTRANGE(""https://docs.google.com/spreadsheets/d/1UsNK1e-WWiCo2PvGqdNfdme4m17_Ezd3J69EeeiQPD0/edit?usp=sharing"",""อุทัยธานี!I458"")"),0)</f>
        <v>0</v>
      </c>
      <c r="J458" s="147">
        <f t="shared" ca="1" si="337"/>
        <v>0</v>
      </c>
      <c r="K458" s="132">
        <f t="shared" ca="1" si="336"/>
        <v>0</v>
      </c>
      <c r="L458" s="45"/>
      <c r="M458" s="45"/>
      <c r="N458" s="45"/>
      <c r="O458" s="45"/>
      <c r="P458" s="45"/>
      <c r="Q458" s="45"/>
      <c r="R458" s="45"/>
      <c r="S458" s="45"/>
      <c r="T458" s="45"/>
      <c r="U458" s="45"/>
    </row>
    <row r="459" spans="1:21" ht="18.75" x14ac:dyDescent="0.25">
      <c r="A459" s="208"/>
      <c r="B459" s="158"/>
      <c r="C459" s="209" t="s">
        <v>179</v>
      </c>
      <c r="D459" s="158"/>
      <c r="E459" s="158"/>
      <c r="F459" s="158"/>
      <c r="G459" s="180"/>
      <c r="H459" s="133" t="s">
        <v>46</v>
      </c>
      <c r="I459" s="44"/>
      <c r="J459" s="166">
        <f t="shared" ref="J459:J460" ca="1" si="338">J461+J463</f>
        <v>0</v>
      </c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</row>
    <row r="460" spans="1:21" ht="18.75" x14ac:dyDescent="0.25">
      <c r="A460" s="208"/>
      <c r="B460" s="158"/>
      <c r="C460" s="158"/>
      <c r="D460" s="158"/>
      <c r="E460" s="158"/>
      <c r="F460" s="158"/>
      <c r="G460" s="180"/>
      <c r="H460" s="133" t="s">
        <v>34</v>
      </c>
      <c r="I460" s="44"/>
      <c r="J460" s="166">
        <f t="shared" ca="1" si="338"/>
        <v>0</v>
      </c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</row>
    <row r="461" spans="1:21" ht="18.75" x14ac:dyDescent="0.25">
      <c r="A461" s="208"/>
      <c r="B461" s="158"/>
      <c r="C461" s="158"/>
      <c r="D461" s="326" t="s">
        <v>180</v>
      </c>
      <c r="E461" s="158"/>
      <c r="F461" s="158"/>
      <c r="G461" s="180"/>
      <c r="H461" s="133" t="s">
        <v>46</v>
      </c>
      <c r="I461" s="44"/>
      <c r="J461" s="166">
        <f ca="1">IFERROR(__xludf.DUMMYFUNCTION("IMPORTRANGE(""https://docs.google.com/spreadsheets/d/1jTcq05yEiRwXcBMLjiodW9e4biSGYWAHcDj22rKWQ3s/edit?usp=sharing"",""กำแพงเพชร!J461"")+IMPORTRANGE(""https://docs.google.com/spreadsheets/d/1KS0zmDSZPk8KnTAbGN-Xk6MtX1YRZD0ldgdt20K4CRk/edit?usp=sharing"","&amp;"""เชียงราย!J461"")+IMPORTRANGE(""https://docs.google.com/spreadsheets/d/1rEDxBtusbi64tE0zunoIbsTVV16HeL0oJ6trHQeQ7K8/edit?usp=sharing"",""เชียงใหม่!J461"")+IMPORTRANGE(""https://docs.google.com/spreadsheets/d/1W6MnUbDkMi6xHnHko_XkFDO9kkuL6Wqyc-6OCDFjW9I/e"&amp;"dit?usp=sharing"",""ตาก!J461"")+IMPORTRANGE(""https://docs.google.com/spreadsheets/d/1IQAWArduLkta9LpYo4a_ULsyqdta6-6aDDiwpUnQT6c/edit?usp=sharing"",""นครสวรรค์!J461"")+IMPORTRANGE(""https://docs.google.com/spreadsheets/d/10s13Sk5xrltsiR-Zkbmk5DwIaDIKO8Xl"&amp;"bJAfqyT7Gvg/edit?usp=sharing"",""น่าน!J461"")+IMPORTRANGE(""https://docs.google.com/spreadsheets/d/1uu4nAn4Dbi1XREnLKKotUANlKXa7yCgRcgq8HEzQYW8/edit?usp=sharing"",""พะเยา!J461"")+IMPORTRANGE(""https://docs.google.com/spreadsheets/d/1xfJKIQxVOaPDIICqsflNlL"&amp;"u3JacTDk1FP9RH4phX7mI/edit?usp=sharing"",""พิจิตร!J461"")+IMPORTRANGE(""https://docs.google.com/spreadsheets/d/1JtRfZkJMHtEhI5RdRHxYUG4FIZHqKDpNyIuN7A1Q0_k/edit?usp=sharing"",""พิษณุโลก!J461"")+IMPORTRANGE(""https://docs.google.com/spreadsheets/d/1xlcVZWU"&amp;"Nn6SuWm0c307h32SiGkd9BaeQWlAktfD3KO8/edit?usp=sharing"",""เพชรบูรณ์!J461"")+IMPORTRANGE(""https://docs.google.com/spreadsheets/d/1lOVebEIsI9qjGXl6EX66luk7wiuP2tBaryw-wKvv4e0/edit?usp=sharing"",""แพร่!J461"")+IMPORTRANGE(""https://docs.google.com/spreadshe"&amp;"ets/d/1dQrvX0vEcN7Gu0fnZ0B5S90AeR19zth4XlExFBeExMY/edit?usp=sharing"",""แม่ฮ่องสอน!J461"")+IMPORTRANGE(""https://docs.google.com/spreadsheets/d/1DY4XTNNwjluuxqdfdn6qvOSlMRrZqUtmYcZR0ttFiG4/edit?usp=sharing"",""ลำปาง!J461"")+IMPORTRANGE(""https://docs.goog"&amp;"le.com/spreadsheets/d/1ICwG78r0OFT8biBlxnBF8r7she7gNSzOvJ958PWT09c/edit?usp=sharing"",""ลำพูน!J461"")+IMPORTRANGE(""https://docs.google.com/spreadsheets/d/1B0f2xJpZUC6Z0xXnqKlZtEPzsf6L84eP1r1Q15seqRM/edit?usp=sharing"",""สุโขทัย!J461"")+IMPORTRANGE(""http"&amp;"s://docs.google.com/spreadsheets/d/1v0b9pFQCsKUVExMei7AgY2yQkdeNQvtOssygGsXbiKo/edit?usp=sharing"",""อุตรดิตถ์!J461"")+IMPORTRANGE(""https://docs.google.com/spreadsheets/d/1UsNK1e-WWiCo2PvGqdNfdme4m17_Ezd3J69EeeiQPD0/edit?usp=sharing"",""อุทัยธานี!J461"")"),0)</f>
        <v>0</v>
      </c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</row>
    <row r="462" spans="1:21" ht="18.75" x14ac:dyDescent="0.25">
      <c r="A462" s="208"/>
      <c r="B462" s="158"/>
      <c r="C462" s="158"/>
      <c r="D462" s="158"/>
      <c r="E462" s="158"/>
      <c r="F462" s="158"/>
      <c r="G462" s="180"/>
      <c r="H462" s="133" t="s">
        <v>34</v>
      </c>
      <c r="I462" s="44"/>
      <c r="J462" s="166">
        <f ca="1">IFERROR(__xludf.DUMMYFUNCTION("IMPORTRANGE(""https://docs.google.com/spreadsheets/d/1jTcq05yEiRwXcBMLjiodW9e4biSGYWAHcDj22rKWQ3s/edit?usp=sharing"",""กำแพงเพชร!J462"")+IMPORTRANGE(""https://docs.google.com/spreadsheets/d/1KS0zmDSZPk8KnTAbGN-Xk6MtX1YRZD0ldgdt20K4CRk/edit?usp=sharing"","&amp;"""เชียงราย!J462"")+IMPORTRANGE(""https://docs.google.com/spreadsheets/d/1rEDxBtusbi64tE0zunoIbsTVV16HeL0oJ6trHQeQ7K8/edit?usp=sharing"",""เชียงใหม่!J462"")+IMPORTRANGE(""https://docs.google.com/spreadsheets/d/1W6MnUbDkMi6xHnHko_XkFDO9kkuL6Wqyc-6OCDFjW9I/e"&amp;"dit?usp=sharing"",""ตาก!J462"")+IMPORTRANGE(""https://docs.google.com/spreadsheets/d/1IQAWArduLkta9LpYo4a_ULsyqdta6-6aDDiwpUnQT6c/edit?usp=sharing"",""นครสวรรค์!J462"")+IMPORTRANGE(""https://docs.google.com/spreadsheets/d/10s13Sk5xrltsiR-Zkbmk5DwIaDIKO8Xl"&amp;"bJAfqyT7Gvg/edit?usp=sharing"",""น่าน!J462"")+IMPORTRANGE(""https://docs.google.com/spreadsheets/d/1uu4nAn4Dbi1XREnLKKotUANlKXa7yCgRcgq8HEzQYW8/edit?usp=sharing"",""พะเยา!J462"")+IMPORTRANGE(""https://docs.google.com/spreadsheets/d/1xfJKIQxVOaPDIICqsflNlL"&amp;"u3JacTDk1FP9RH4phX7mI/edit?usp=sharing"",""พิจิตร!J462"")+IMPORTRANGE(""https://docs.google.com/spreadsheets/d/1JtRfZkJMHtEhI5RdRHxYUG4FIZHqKDpNyIuN7A1Q0_k/edit?usp=sharing"",""พิษณุโลก!J462"")+IMPORTRANGE(""https://docs.google.com/spreadsheets/d/1xlcVZWU"&amp;"Nn6SuWm0c307h32SiGkd9BaeQWlAktfD3KO8/edit?usp=sharing"",""เพชรบูรณ์!J462"")+IMPORTRANGE(""https://docs.google.com/spreadsheets/d/1lOVebEIsI9qjGXl6EX66luk7wiuP2tBaryw-wKvv4e0/edit?usp=sharing"",""แพร่!J462"")+IMPORTRANGE(""https://docs.google.com/spreadshe"&amp;"ets/d/1dQrvX0vEcN7Gu0fnZ0B5S90AeR19zth4XlExFBeExMY/edit?usp=sharing"",""แม่ฮ่องสอน!J462"")+IMPORTRANGE(""https://docs.google.com/spreadsheets/d/1DY4XTNNwjluuxqdfdn6qvOSlMRrZqUtmYcZR0ttFiG4/edit?usp=sharing"",""ลำปาง!J462"")+IMPORTRANGE(""https://docs.goog"&amp;"le.com/spreadsheets/d/1ICwG78r0OFT8biBlxnBF8r7she7gNSzOvJ958PWT09c/edit?usp=sharing"",""ลำพูน!J462"")+IMPORTRANGE(""https://docs.google.com/spreadsheets/d/1B0f2xJpZUC6Z0xXnqKlZtEPzsf6L84eP1r1Q15seqRM/edit?usp=sharing"",""สุโขทัย!J462"")+IMPORTRANGE(""http"&amp;"s://docs.google.com/spreadsheets/d/1v0b9pFQCsKUVExMei7AgY2yQkdeNQvtOssygGsXbiKo/edit?usp=sharing"",""อุตรดิตถ์!J462"")+IMPORTRANGE(""https://docs.google.com/spreadsheets/d/1UsNK1e-WWiCo2PvGqdNfdme4m17_Ezd3J69EeeiQPD0/edit?usp=sharing"",""อุทัยธานี!J462"")"),0)</f>
        <v>0</v>
      </c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</row>
    <row r="463" spans="1:21" ht="18.75" x14ac:dyDescent="0.25">
      <c r="A463" s="208"/>
      <c r="B463" s="158"/>
      <c r="C463" s="158"/>
      <c r="D463" s="326" t="s">
        <v>181</v>
      </c>
      <c r="E463" s="158"/>
      <c r="F463" s="158"/>
      <c r="G463" s="180"/>
      <c r="H463" s="133" t="s">
        <v>46</v>
      </c>
      <c r="I463" s="44"/>
      <c r="J463" s="166">
        <f ca="1">IFERROR(__xludf.DUMMYFUNCTION("IMPORTRANGE(""https://docs.google.com/spreadsheets/d/1jTcq05yEiRwXcBMLjiodW9e4biSGYWAHcDj22rKWQ3s/edit?usp=sharing"",""กำแพงเพชร!J463"")+IMPORTRANGE(""https://docs.google.com/spreadsheets/d/1KS0zmDSZPk8KnTAbGN-Xk6MtX1YRZD0ldgdt20K4CRk/edit?usp=sharing"","&amp;"""เชียงราย!J463"")+IMPORTRANGE(""https://docs.google.com/spreadsheets/d/1rEDxBtusbi64tE0zunoIbsTVV16HeL0oJ6trHQeQ7K8/edit?usp=sharing"",""เชียงใหม่!J463"")+IMPORTRANGE(""https://docs.google.com/spreadsheets/d/1W6MnUbDkMi6xHnHko_XkFDO9kkuL6Wqyc-6OCDFjW9I/e"&amp;"dit?usp=sharing"",""ตาก!J463"")+IMPORTRANGE(""https://docs.google.com/spreadsheets/d/1IQAWArduLkta9LpYo4a_ULsyqdta6-6aDDiwpUnQT6c/edit?usp=sharing"",""นครสวรรค์!J463"")+IMPORTRANGE(""https://docs.google.com/spreadsheets/d/10s13Sk5xrltsiR-Zkbmk5DwIaDIKO8Xl"&amp;"bJAfqyT7Gvg/edit?usp=sharing"",""น่าน!J463"")+IMPORTRANGE(""https://docs.google.com/spreadsheets/d/1uu4nAn4Dbi1XREnLKKotUANlKXa7yCgRcgq8HEzQYW8/edit?usp=sharing"",""พะเยา!J463"")+IMPORTRANGE(""https://docs.google.com/spreadsheets/d/1xfJKIQxVOaPDIICqsflNlL"&amp;"u3JacTDk1FP9RH4phX7mI/edit?usp=sharing"",""พิจิตร!J463"")+IMPORTRANGE(""https://docs.google.com/spreadsheets/d/1JtRfZkJMHtEhI5RdRHxYUG4FIZHqKDpNyIuN7A1Q0_k/edit?usp=sharing"",""พิษณุโลก!J463"")+IMPORTRANGE(""https://docs.google.com/spreadsheets/d/1xlcVZWU"&amp;"Nn6SuWm0c307h32SiGkd9BaeQWlAktfD3KO8/edit?usp=sharing"",""เพชรบูรณ์!J463"")+IMPORTRANGE(""https://docs.google.com/spreadsheets/d/1lOVebEIsI9qjGXl6EX66luk7wiuP2tBaryw-wKvv4e0/edit?usp=sharing"",""แพร่!J463"")+IMPORTRANGE(""https://docs.google.com/spreadshe"&amp;"ets/d/1dQrvX0vEcN7Gu0fnZ0B5S90AeR19zth4XlExFBeExMY/edit?usp=sharing"",""แม่ฮ่องสอน!J463"")+IMPORTRANGE(""https://docs.google.com/spreadsheets/d/1DY4XTNNwjluuxqdfdn6qvOSlMRrZqUtmYcZR0ttFiG4/edit?usp=sharing"",""ลำปาง!J463"")+IMPORTRANGE(""https://docs.goog"&amp;"le.com/spreadsheets/d/1ICwG78r0OFT8biBlxnBF8r7she7gNSzOvJ958PWT09c/edit?usp=sharing"",""ลำพูน!J463"")+IMPORTRANGE(""https://docs.google.com/spreadsheets/d/1B0f2xJpZUC6Z0xXnqKlZtEPzsf6L84eP1r1Q15seqRM/edit?usp=sharing"",""สุโขทัย!J463"")+IMPORTRANGE(""http"&amp;"s://docs.google.com/spreadsheets/d/1v0b9pFQCsKUVExMei7AgY2yQkdeNQvtOssygGsXbiKo/edit?usp=sharing"",""อุตรดิตถ์!J463"")+IMPORTRANGE(""https://docs.google.com/spreadsheets/d/1UsNK1e-WWiCo2PvGqdNfdme4m17_Ezd3J69EeeiQPD0/edit?usp=sharing"",""อุทัยธานี!J463"")"),0)</f>
        <v>0</v>
      </c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</row>
    <row r="464" spans="1:21" ht="18.75" x14ac:dyDescent="0.25">
      <c r="A464" s="208"/>
      <c r="B464" s="158"/>
      <c r="C464" s="158"/>
      <c r="D464" s="158"/>
      <c r="E464" s="158"/>
      <c r="F464" s="158"/>
      <c r="G464" s="180"/>
      <c r="H464" s="133" t="s">
        <v>34</v>
      </c>
      <c r="I464" s="44"/>
      <c r="J464" s="166">
        <f ca="1">IFERROR(__xludf.DUMMYFUNCTION("IMPORTRANGE(""https://docs.google.com/spreadsheets/d/1jTcq05yEiRwXcBMLjiodW9e4biSGYWAHcDj22rKWQ3s/edit?usp=sharing"",""กำแพงเพชร!J464"")+IMPORTRANGE(""https://docs.google.com/spreadsheets/d/1KS0zmDSZPk8KnTAbGN-Xk6MtX1YRZD0ldgdt20K4CRk/edit?usp=sharing"","&amp;"""เชียงราย!J464"")+IMPORTRANGE(""https://docs.google.com/spreadsheets/d/1rEDxBtusbi64tE0zunoIbsTVV16HeL0oJ6trHQeQ7K8/edit?usp=sharing"",""เชียงใหม่!J464"")+IMPORTRANGE(""https://docs.google.com/spreadsheets/d/1W6MnUbDkMi6xHnHko_XkFDO9kkuL6Wqyc-6OCDFjW9I/e"&amp;"dit?usp=sharing"",""ตาก!J464"")+IMPORTRANGE(""https://docs.google.com/spreadsheets/d/1IQAWArduLkta9LpYo4a_ULsyqdta6-6aDDiwpUnQT6c/edit?usp=sharing"",""นครสวรรค์!J464"")+IMPORTRANGE(""https://docs.google.com/spreadsheets/d/10s13Sk5xrltsiR-Zkbmk5DwIaDIKO8Xl"&amp;"bJAfqyT7Gvg/edit?usp=sharing"",""น่าน!J464"")+IMPORTRANGE(""https://docs.google.com/spreadsheets/d/1uu4nAn4Dbi1XREnLKKotUANlKXa7yCgRcgq8HEzQYW8/edit?usp=sharing"",""พะเยา!J464"")+IMPORTRANGE(""https://docs.google.com/spreadsheets/d/1xfJKIQxVOaPDIICqsflNlL"&amp;"u3JacTDk1FP9RH4phX7mI/edit?usp=sharing"",""พิจิตร!J464"")+IMPORTRANGE(""https://docs.google.com/spreadsheets/d/1JtRfZkJMHtEhI5RdRHxYUG4FIZHqKDpNyIuN7A1Q0_k/edit?usp=sharing"",""พิษณุโลก!J464"")+IMPORTRANGE(""https://docs.google.com/spreadsheets/d/1xlcVZWU"&amp;"Nn6SuWm0c307h32SiGkd9BaeQWlAktfD3KO8/edit?usp=sharing"",""เพชรบูรณ์!J464"")+IMPORTRANGE(""https://docs.google.com/spreadsheets/d/1lOVebEIsI9qjGXl6EX66luk7wiuP2tBaryw-wKvv4e0/edit?usp=sharing"",""แพร่!J464"")+IMPORTRANGE(""https://docs.google.com/spreadshe"&amp;"ets/d/1dQrvX0vEcN7Gu0fnZ0B5S90AeR19zth4XlExFBeExMY/edit?usp=sharing"",""แม่ฮ่องสอน!J464"")+IMPORTRANGE(""https://docs.google.com/spreadsheets/d/1DY4XTNNwjluuxqdfdn6qvOSlMRrZqUtmYcZR0ttFiG4/edit?usp=sharing"",""ลำปาง!J464"")+IMPORTRANGE(""https://docs.goog"&amp;"le.com/spreadsheets/d/1ICwG78r0OFT8biBlxnBF8r7she7gNSzOvJ958PWT09c/edit?usp=sharing"",""ลำพูน!J464"")+IMPORTRANGE(""https://docs.google.com/spreadsheets/d/1B0f2xJpZUC6Z0xXnqKlZtEPzsf6L84eP1r1Q15seqRM/edit?usp=sharing"",""สุโขทัย!J464"")+IMPORTRANGE(""http"&amp;"s://docs.google.com/spreadsheets/d/1v0b9pFQCsKUVExMei7AgY2yQkdeNQvtOssygGsXbiKo/edit?usp=sharing"",""อุตรดิตถ์!J464"")+IMPORTRANGE(""https://docs.google.com/spreadsheets/d/1UsNK1e-WWiCo2PvGqdNfdme4m17_Ezd3J69EeeiQPD0/edit?usp=sharing"",""อุทัยธานี!J464"")"),0)</f>
        <v>0</v>
      </c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</row>
    <row r="465" spans="1:21" ht="18.75" x14ac:dyDescent="0.25">
      <c r="A465" s="208"/>
      <c r="B465" s="158"/>
      <c r="C465" s="158"/>
      <c r="D465" s="326" t="s">
        <v>182</v>
      </c>
      <c r="E465" s="158"/>
      <c r="F465" s="158"/>
      <c r="G465" s="180"/>
      <c r="H465" s="133" t="s">
        <v>46</v>
      </c>
      <c r="I465" s="44"/>
      <c r="J465" s="166">
        <f ca="1">IFERROR(__xludf.DUMMYFUNCTION("IMPORTRANGE(""https://docs.google.com/spreadsheets/d/1jTcq05yEiRwXcBMLjiodW9e4biSGYWAHcDj22rKWQ3s/edit?usp=sharing"",""กำแพงเพชร!J465"")+IMPORTRANGE(""https://docs.google.com/spreadsheets/d/1KS0zmDSZPk8KnTAbGN-Xk6MtX1YRZD0ldgdt20K4CRk/edit?usp=sharing"","&amp;"""เชียงราย!J465"")+IMPORTRANGE(""https://docs.google.com/spreadsheets/d/1rEDxBtusbi64tE0zunoIbsTVV16HeL0oJ6trHQeQ7K8/edit?usp=sharing"",""เชียงใหม่!J465"")+IMPORTRANGE(""https://docs.google.com/spreadsheets/d/1W6MnUbDkMi6xHnHko_XkFDO9kkuL6Wqyc-6OCDFjW9I/e"&amp;"dit?usp=sharing"",""ตาก!J465"")+IMPORTRANGE(""https://docs.google.com/spreadsheets/d/1IQAWArduLkta9LpYo4a_ULsyqdta6-6aDDiwpUnQT6c/edit?usp=sharing"",""นครสวรรค์!J465"")+IMPORTRANGE(""https://docs.google.com/spreadsheets/d/10s13Sk5xrltsiR-Zkbmk5DwIaDIKO8Xl"&amp;"bJAfqyT7Gvg/edit?usp=sharing"",""น่าน!J465"")+IMPORTRANGE(""https://docs.google.com/spreadsheets/d/1uu4nAn4Dbi1XREnLKKotUANlKXa7yCgRcgq8HEzQYW8/edit?usp=sharing"",""พะเยา!J465"")+IMPORTRANGE(""https://docs.google.com/spreadsheets/d/1xfJKIQxVOaPDIICqsflNlL"&amp;"u3JacTDk1FP9RH4phX7mI/edit?usp=sharing"",""พิจิตร!J465"")+IMPORTRANGE(""https://docs.google.com/spreadsheets/d/1JtRfZkJMHtEhI5RdRHxYUG4FIZHqKDpNyIuN7A1Q0_k/edit?usp=sharing"",""พิษณุโลก!J465"")+IMPORTRANGE(""https://docs.google.com/spreadsheets/d/1xlcVZWU"&amp;"Nn6SuWm0c307h32SiGkd9BaeQWlAktfD3KO8/edit?usp=sharing"",""เพชรบูรณ์!J465"")+IMPORTRANGE(""https://docs.google.com/spreadsheets/d/1lOVebEIsI9qjGXl6EX66luk7wiuP2tBaryw-wKvv4e0/edit?usp=sharing"",""แพร่!J465"")+IMPORTRANGE(""https://docs.google.com/spreadshe"&amp;"ets/d/1dQrvX0vEcN7Gu0fnZ0B5S90AeR19zth4XlExFBeExMY/edit?usp=sharing"",""แม่ฮ่องสอน!J465"")+IMPORTRANGE(""https://docs.google.com/spreadsheets/d/1DY4XTNNwjluuxqdfdn6qvOSlMRrZqUtmYcZR0ttFiG4/edit?usp=sharing"",""ลำปาง!J465"")+IMPORTRANGE(""https://docs.goog"&amp;"le.com/spreadsheets/d/1ICwG78r0OFT8biBlxnBF8r7she7gNSzOvJ958PWT09c/edit?usp=sharing"",""ลำพูน!J465"")+IMPORTRANGE(""https://docs.google.com/spreadsheets/d/1B0f2xJpZUC6Z0xXnqKlZtEPzsf6L84eP1r1Q15seqRM/edit?usp=sharing"",""สุโขทัย!J465"")+IMPORTRANGE(""http"&amp;"s://docs.google.com/spreadsheets/d/1v0b9pFQCsKUVExMei7AgY2yQkdeNQvtOssygGsXbiKo/edit?usp=sharing"",""อุตรดิตถ์!J465"")+IMPORTRANGE(""https://docs.google.com/spreadsheets/d/1UsNK1e-WWiCo2PvGqdNfdme4m17_Ezd3J69EeeiQPD0/edit?usp=sharing"",""อุทัยธานี!J465"")"),0)</f>
        <v>0</v>
      </c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</row>
    <row r="466" spans="1:21" ht="18.75" x14ac:dyDescent="0.25">
      <c r="A466" s="208"/>
      <c r="B466" s="158"/>
      <c r="C466" s="158"/>
      <c r="D466" s="158"/>
      <c r="E466" s="158"/>
      <c r="F466" s="158"/>
      <c r="G466" s="180"/>
      <c r="H466" s="133" t="s">
        <v>34</v>
      </c>
      <c r="I466" s="44"/>
      <c r="J466" s="166">
        <f ca="1">IFERROR(__xludf.DUMMYFUNCTION("IMPORTRANGE(""https://docs.google.com/spreadsheets/d/1jTcq05yEiRwXcBMLjiodW9e4biSGYWAHcDj22rKWQ3s/edit?usp=sharing"",""กำแพงเพชร!J466"")+IMPORTRANGE(""https://docs.google.com/spreadsheets/d/1KS0zmDSZPk8KnTAbGN-Xk6MtX1YRZD0ldgdt20K4CRk/edit?usp=sharing"","&amp;"""เชียงราย!J466"")+IMPORTRANGE(""https://docs.google.com/spreadsheets/d/1rEDxBtusbi64tE0zunoIbsTVV16HeL0oJ6trHQeQ7K8/edit?usp=sharing"",""เชียงใหม่!J466"")+IMPORTRANGE(""https://docs.google.com/spreadsheets/d/1W6MnUbDkMi6xHnHko_XkFDO9kkuL6Wqyc-6OCDFjW9I/e"&amp;"dit?usp=sharing"",""ตาก!J466"")+IMPORTRANGE(""https://docs.google.com/spreadsheets/d/1IQAWArduLkta9LpYo4a_ULsyqdta6-6aDDiwpUnQT6c/edit?usp=sharing"",""นครสวรรค์!J466"")+IMPORTRANGE(""https://docs.google.com/spreadsheets/d/10s13Sk5xrltsiR-Zkbmk5DwIaDIKO8Xl"&amp;"bJAfqyT7Gvg/edit?usp=sharing"",""น่าน!J466"")+IMPORTRANGE(""https://docs.google.com/spreadsheets/d/1uu4nAn4Dbi1XREnLKKotUANlKXa7yCgRcgq8HEzQYW8/edit?usp=sharing"",""พะเยา!J466"")+IMPORTRANGE(""https://docs.google.com/spreadsheets/d/1xfJKIQxVOaPDIICqsflNlL"&amp;"u3JacTDk1FP9RH4phX7mI/edit?usp=sharing"",""พิจิตร!J466"")+IMPORTRANGE(""https://docs.google.com/spreadsheets/d/1JtRfZkJMHtEhI5RdRHxYUG4FIZHqKDpNyIuN7A1Q0_k/edit?usp=sharing"",""พิษณุโลก!J466"")+IMPORTRANGE(""https://docs.google.com/spreadsheets/d/1xlcVZWU"&amp;"Nn6SuWm0c307h32SiGkd9BaeQWlAktfD3KO8/edit?usp=sharing"",""เพชรบูรณ์!J466"")+IMPORTRANGE(""https://docs.google.com/spreadsheets/d/1lOVebEIsI9qjGXl6EX66luk7wiuP2tBaryw-wKvv4e0/edit?usp=sharing"",""แพร่!J466"")+IMPORTRANGE(""https://docs.google.com/spreadshe"&amp;"ets/d/1dQrvX0vEcN7Gu0fnZ0B5S90AeR19zth4XlExFBeExMY/edit?usp=sharing"",""แม่ฮ่องสอน!J466"")+IMPORTRANGE(""https://docs.google.com/spreadsheets/d/1DY4XTNNwjluuxqdfdn6qvOSlMRrZqUtmYcZR0ttFiG4/edit?usp=sharing"",""ลำปาง!J466"")+IMPORTRANGE(""https://docs.goog"&amp;"le.com/spreadsheets/d/1ICwG78r0OFT8biBlxnBF8r7she7gNSzOvJ958PWT09c/edit?usp=sharing"",""ลำพูน!J466"")+IMPORTRANGE(""https://docs.google.com/spreadsheets/d/1B0f2xJpZUC6Z0xXnqKlZtEPzsf6L84eP1r1Q15seqRM/edit?usp=sharing"",""สุโขทัย!J466"")+IMPORTRANGE(""http"&amp;"s://docs.google.com/spreadsheets/d/1v0b9pFQCsKUVExMei7AgY2yQkdeNQvtOssygGsXbiKo/edit?usp=sharing"",""อุตรดิตถ์!J466"")+IMPORTRANGE(""https://docs.google.com/spreadsheets/d/1UsNK1e-WWiCo2PvGqdNfdme4m17_Ezd3J69EeeiQPD0/edit?usp=sharing"",""อุทัยธานี!J466"")"),0)</f>
        <v>0</v>
      </c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</row>
    <row r="467" spans="1:21" ht="18.75" x14ac:dyDescent="0.25">
      <c r="A467" s="208"/>
      <c r="B467" s="158"/>
      <c r="C467" s="326" t="s">
        <v>183</v>
      </c>
      <c r="D467" s="158"/>
      <c r="E467" s="158"/>
      <c r="F467" s="158"/>
      <c r="G467" s="180"/>
      <c r="H467" s="133" t="s">
        <v>46</v>
      </c>
      <c r="I467" s="44"/>
      <c r="J467" s="166">
        <f t="shared" ref="J467:J468" ca="1" si="339">J469+J471</f>
        <v>0</v>
      </c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</row>
    <row r="468" spans="1:21" ht="18.75" x14ac:dyDescent="0.25">
      <c r="A468" s="208"/>
      <c r="B468" s="158"/>
      <c r="C468" s="158"/>
      <c r="D468" s="158"/>
      <c r="E468" s="158"/>
      <c r="F468" s="158"/>
      <c r="G468" s="180"/>
      <c r="H468" s="133" t="s">
        <v>34</v>
      </c>
      <c r="I468" s="44"/>
      <c r="J468" s="166">
        <f t="shared" ca="1" si="339"/>
        <v>0</v>
      </c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</row>
    <row r="469" spans="1:21" ht="18.75" x14ac:dyDescent="0.25">
      <c r="A469" s="208"/>
      <c r="B469" s="158"/>
      <c r="C469" s="158"/>
      <c r="D469" s="326" t="s">
        <v>184</v>
      </c>
      <c r="E469" s="158"/>
      <c r="F469" s="158"/>
      <c r="G469" s="180"/>
      <c r="H469" s="133" t="s">
        <v>46</v>
      </c>
      <c r="I469" s="44"/>
      <c r="J469" s="166">
        <f ca="1">IFERROR(__xludf.DUMMYFUNCTION("IMPORTRANGE(""https://docs.google.com/spreadsheets/d/1jTcq05yEiRwXcBMLjiodW9e4biSGYWAHcDj22rKWQ3s/edit?usp=sharing"",""กำแพงเพชร!J469"")+IMPORTRANGE(""https://docs.google.com/spreadsheets/d/1KS0zmDSZPk8KnTAbGN-Xk6MtX1YRZD0ldgdt20K4CRk/edit?usp=sharing"","&amp;"""เชียงราย!J469"")+IMPORTRANGE(""https://docs.google.com/spreadsheets/d/1rEDxBtusbi64tE0zunoIbsTVV16HeL0oJ6trHQeQ7K8/edit?usp=sharing"",""เชียงใหม่!J469"")+IMPORTRANGE(""https://docs.google.com/spreadsheets/d/1W6MnUbDkMi6xHnHko_XkFDO9kkuL6Wqyc-6OCDFjW9I/e"&amp;"dit?usp=sharing"",""ตาก!J469"")+IMPORTRANGE(""https://docs.google.com/spreadsheets/d/1IQAWArduLkta9LpYo4a_ULsyqdta6-6aDDiwpUnQT6c/edit?usp=sharing"",""นครสวรรค์!J469"")+IMPORTRANGE(""https://docs.google.com/spreadsheets/d/10s13Sk5xrltsiR-Zkbmk5DwIaDIKO8Xl"&amp;"bJAfqyT7Gvg/edit?usp=sharing"",""น่าน!J469"")+IMPORTRANGE(""https://docs.google.com/spreadsheets/d/1uu4nAn4Dbi1XREnLKKotUANlKXa7yCgRcgq8HEzQYW8/edit?usp=sharing"",""พะเยา!J469"")+IMPORTRANGE(""https://docs.google.com/spreadsheets/d/1xfJKIQxVOaPDIICqsflNlL"&amp;"u3JacTDk1FP9RH4phX7mI/edit?usp=sharing"",""พิจิตร!J469"")+IMPORTRANGE(""https://docs.google.com/spreadsheets/d/1JtRfZkJMHtEhI5RdRHxYUG4FIZHqKDpNyIuN7A1Q0_k/edit?usp=sharing"",""พิษณุโลก!J469"")+IMPORTRANGE(""https://docs.google.com/spreadsheets/d/1xlcVZWU"&amp;"Nn6SuWm0c307h32SiGkd9BaeQWlAktfD3KO8/edit?usp=sharing"",""เพชรบูรณ์!J469"")+IMPORTRANGE(""https://docs.google.com/spreadsheets/d/1lOVebEIsI9qjGXl6EX66luk7wiuP2tBaryw-wKvv4e0/edit?usp=sharing"",""แพร่!J469"")+IMPORTRANGE(""https://docs.google.com/spreadshe"&amp;"ets/d/1dQrvX0vEcN7Gu0fnZ0B5S90AeR19zth4XlExFBeExMY/edit?usp=sharing"",""แม่ฮ่องสอน!J469"")+IMPORTRANGE(""https://docs.google.com/spreadsheets/d/1DY4XTNNwjluuxqdfdn6qvOSlMRrZqUtmYcZR0ttFiG4/edit?usp=sharing"",""ลำปาง!J469"")+IMPORTRANGE(""https://docs.goog"&amp;"le.com/spreadsheets/d/1ICwG78r0OFT8biBlxnBF8r7she7gNSzOvJ958PWT09c/edit?usp=sharing"",""ลำพูน!J469"")+IMPORTRANGE(""https://docs.google.com/spreadsheets/d/1B0f2xJpZUC6Z0xXnqKlZtEPzsf6L84eP1r1Q15seqRM/edit?usp=sharing"",""สุโขทัย!J469"")+IMPORTRANGE(""http"&amp;"s://docs.google.com/spreadsheets/d/1v0b9pFQCsKUVExMei7AgY2yQkdeNQvtOssygGsXbiKo/edit?usp=sharing"",""อุตรดิตถ์!J469"")+IMPORTRANGE(""https://docs.google.com/spreadsheets/d/1UsNK1e-WWiCo2PvGqdNfdme4m17_Ezd3J69EeeiQPD0/edit?usp=sharing"",""อุทัยธานี!J469"")"),0)</f>
        <v>0</v>
      </c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</row>
    <row r="470" spans="1:21" ht="18.75" x14ac:dyDescent="0.25">
      <c r="A470" s="208"/>
      <c r="B470" s="158"/>
      <c r="C470" s="158"/>
      <c r="D470" s="158"/>
      <c r="E470" s="158"/>
      <c r="F470" s="158"/>
      <c r="G470" s="180"/>
      <c r="H470" s="133" t="s">
        <v>34</v>
      </c>
      <c r="I470" s="44"/>
      <c r="J470" s="166">
        <f ca="1">IFERROR(__xludf.DUMMYFUNCTION("IMPORTRANGE(""https://docs.google.com/spreadsheets/d/1jTcq05yEiRwXcBMLjiodW9e4biSGYWAHcDj22rKWQ3s/edit?usp=sharing"",""กำแพงเพชร!J470"")+IMPORTRANGE(""https://docs.google.com/spreadsheets/d/1KS0zmDSZPk8KnTAbGN-Xk6MtX1YRZD0ldgdt20K4CRk/edit?usp=sharing"","&amp;"""เชียงราย!J470"")+IMPORTRANGE(""https://docs.google.com/spreadsheets/d/1rEDxBtusbi64tE0zunoIbsTVV16HeL0oJ6trHQeQ7K8/edit?usp=sharing"",""เชียงใหม่!J470"")+IMPORTRANGE(""https://docs.google.com/spreadsheets/d/1W6MnUbDkMi6xHnHko_XkFDO9kkuL6Wqyc-6OCDFjW9I/e"&amp;"dit?usp=sharing"",""ตาก!J470"")+IMPORTRANGE(""https://docs.google.com/spreadsheets/d/1IQAWArduLkta9LpYo4a_ULsyqdta6-6aDDiwpUnQT6c/edit?usp=sharing"",""นครสวรรค์!J470"")+IMPORTRANGE(""https://docs.google.com/spreadsheets/d/10s13Sk5xrltsiR-Zkbmk5DwIaDIKO8Xl"&amp;"bJAfqyT7Gvg/edit?usp=sharing"",""น่าน!J470"")+IMPORTRANGE(""https://docs.google.com/spreadsheets/d/1uu4nAn4Dbi1XREnLKKotUANlKXa7yCgRcgq8HEzQYW8/edit?usp=sharing"",""พะเยา!J470"")+IMPORTRANGE(""https://docs.google.com/spreadsheets/d/1xfJKIQxVOaPDIICqsflNlL"&amp;"u3JacTDk1FP9RH4phX7mI/edit?usp=sharing"",""พิจิตร!J470"")+IMPORTRANGE(""https://docs.google.com/spreadsheets/d/1JtRfZkJMHtEhI5RdRHxYUG4FIZHqKDpNyIuN7A1Q0_k/edit?usp=sharing"",""พิษณุโลก!J470"")+IMPORTRANGE(""https://docs.google.com/spreadsheets/d/1xlcVZWU"&amp;"Nn6SuWm0c307h32SiGkd9BaeQWlAktfD3KO8/edit?usp=sharing"",""เพชรบูรณ์!J470"")+IMPORTRANGE(""https://docs.google.com/spreadsheets/d/1lOVebEIsI9qjGXl6EX66luk7wiuP2tBaryw-wKvv4e0/edit?usp=sharing"",""แพร่!J470"")+IMPORTRANGE(""https://docs.google.com/spreadshe"&amp;"ets/d/1dQrvX0vEcN7Gu0fnZ0B5S90AeR19zth4XlExFBeExMY/edit?usp=sharing"",""แม่ฮ่องสอน!J470"")+IMPORTRANGE(""https://docs.google.com/spreadsheets/d/1DY4XTNNwjluuxqdfdn6qvOSlMRrZqUtmYcZR0ttFiG4/edit?usp=sharing"",""ลำปาง!J470"")+IMPORTRANGE(""https://docs.goog"&amp;"le.com/spreadsheets/d/1ICwG78r0OFT8biBlxnBF8r7she7gNSzOvJ958PWT09c/edit?usp=sharing"",""ลำพูน!J470"")+IMPORTRANGE(""https://docs.google.com/spreadsheets/d/1B0f2xJpZUC6Z0xXnqKlZtEPzsf6L84eP1r1Q15seqRM/edit?usp=sharing"",""สุโขทัย!J470"")+IMPORTRANGE(""http"&amp;"s://docs.google.com/spreadsheets/d/1v0b9pFQCsKUVExMei7AgY2yQkdeNQvtOssygGsXbiKo/edit?usp=sharing"",""อุตรดิตถ์!J470"")+IMPORTRANGE(""https://docs.google.com/spreadsheets/d/1UsNK1e-WWiCo2PvGqdNfdme4m17_Ezd3J69EeeiQPD0/edit?usp=sharing"",""อุทัยธานี!J470"")"),0)</f>
        <v>0</v>
      </c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</row>
    <row r="471" spans="1:21" ht="18.75" x14ac:dyDescent="0.25">
      <c r="A471" s="208"/>
      <c r="B471" s="158"/>
      <c r="C471" s="158"/>
      <c r="D471" s="326" t="s">
        <v>185</v>
      </c>
      <c r="E471" s="158"/>
      <c r="F471" s="158"/>
      <c r="G471" s="180"/>
      <c r="H471" s="133" t="s">
        <v>46</v>
      </c>
      <c r="I471" s="44"/>
      <c r="J471" s="166">
        <f ca="1">IFERROR(__xludf.DUMMYFUNCTION("IMPORTRANGE(""https://docs.google.com/spreadsheets/d/1jTcq05yEiRwXcBMLjiodW9e4biSGYWAHcDj22rKWQ3s/edit?usp=sharing"",""กำแพงเพชร!J471"")+IMPORTRANGE(""https://docs.google.com/spreadsheets/d/1KS0zmDSZPk8KnTAbGN-Xk6MtX1YRZD0ldgdt20K4CRk/edit?usp=sharing"","&amp;"""เชียงราย!J471"")+IMPORTRANGE(""https://docs.google.com/spreadsheets/d/1rEDxBtusbi64tE0zunoIbsTVV16HeL0oJ6trHQeQ7K8/edit?usp=sharing"",""เชียงใหม่!J471"")+IMPORTRANGE(""https://docs.google.com/spreadsheets/d/1W6MnUbDkMi6xHnHko_XkFDO9kkuL6Wqyc-6OCDFjW9I/e"&amp;"dit?usp=sharing"",""ตาก!J471"")+IMPORTRANGE(""https://docs.google.com/spreadsheets/d/1IQAWArduLkta9LpYo4a_ULsyqdta6-6aDDiwpUnQT6c/edit?usp=sharing"",""นครสวรรค์!J471"")+IMPORTRANGE(""https://docs.google.com/spreadsheets/d/10s13Sk5xrltsiR-Zkbmk5DwIaDIKO8Xl"&amp;"bJAfqyT7Gvg/edit?usp=sharing"",""น่าน!J471"")+IMPORTRANGE(""https://docs.google.com/spreadsheets/d/1uu4nAn4Dbi1XREnLKKotUANlKXa7yCgRcgq8HEzQYW8/edit?usp=sharing"",""พะเยา!J471"")+IMPORTRANGE(""https://docs.google.com/spreadsheets/d/1xfJKIQxVOaPDIICqsflNlL"&amp;"u3JacTDk1FP9RH4phX7mI/edit?usp=sharing"",""พิจิตร!J471"")+IMPORTRANGE(""https://docs.google.com/spreadsheets/d/1JtRfZkJMHtEhI5RdRHxYUG4FIZHqKDpNyIuN7A1Q0_k/edit?usp=sharing"",""พิษณุโลก!J471"")+IMPORTRANGE(""https://docs.google.com/spreadsheets/d/1xlcVZWU"&amp;"Nn6SuWm0c307h32SiGkd9BaeQWlAktfD3KO8/edit?usp=sharing"",""เพชรบูรณ์!J471"")+IMPORTRANGE(""https://docs.google.com/spreadsheets/d/1lOVebEIsI9qjGXl6EX66luk7wiuP2tBaryw-wKvv4e0/edit?usp=sharing"",""แพร่!J471"")+IMPORTRANGE(""https://docs.google.com/spreadshe"&amp;"ets/d/1dQrvX0vEcN7Gu0fnZ0B5S90AeR19zth4XlExFBeExMY/edit?usp=sharing"",""แม่ฮ่องสอน!J471"")+IMPORTRANGE(""https://docs.google.com/spreadsheets/d/1DY4XTNNwjluuxqdfdn6qvOSlMRrZqUtmYcZR0ttFiG4/edit?usp=sharing"",""ลำปาง!J471"")+IMPORTRANGE(""https://docs.goog"&amp;"le.com/spreadsheets/d/1ICwG78r0OFT8biBlxnBF8r7she7gNSzOvJ958PWT09c/edit?usp=sharing"",""ลำพูน!J471"")+IMPORTRANGE(""https://docs.google.com/spreadsheets/d/1B0f2xJpZUC6Z0xXnqKlZtEPzsf6L84eP1r1Q15seqRM/edit?usp=sharing"",""สุโขทัย!J471"")+IMPORTRANGE(""http"&amp;"s://docs.google.com/spreadsheets/d/1v0b9pFQCsKUVExMei7AgY2yQkdeNQvtOssygGsXbiKo/edit?usp=sharing"",""อุตรดิตถ์!J471"")+IMPORTRANGE(""https://docs.google.com/spreadsheets/d/1UsNK1e-WWiCo2PvGqdNfdme4m17_Ezd3J69EeeiQPD0/edit?usp=sharing"",""อุทัยธานี!J471"")"),0)</f>
        <v>0</v>
      </c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</row>
    <row r="472" spans="1:21" ht="18.75" x14ac:dyDescent="0.25">
      <c r="A472" s="208"/>
      <c r="B472" s="158"/>
      <c r="C472" s="158"/>
      <c r="D472" s="158"/>
      <c r="E472" s="158"/>
      <c r="F472" s="158"/>
      <c r="G472" s="180"/>
      <c r="H472" s="133" t="s">
        <v>34</v>
      </c>
      <c r="I472" s="44"/>
      <c r="J472" s="166">
        <f ca="1">IFERROR(__xludf.DUMMYFUNCTION("IMPORTRANGE(""https://docs.google.com/spreadsheets/d/1jTcq05yEiRwXcBMLjiodW9e4biSGYWAHcDj22rKWQ3s/edit?usp=sharing"",""กำแพงเพชร!J472"")+IMPORTRANGE(""https://docs.google.com/spreadsheets/d/1KS0zmDSZPk8KnTAbGN-Xk6MtX1YRZD0ldgdt20K4CRk/edit?usp=sharing"","&amp;"""เชียงราย!J472"")+IMPORTRANGE(""https://docs.google.com/spreadsheets/d/1rEDxBtusbi64tE0zunoIbsTVV16HeL0oJ6trHQeQ7K8/edit?usp=sharing"",""เชียงใหม่!J472"")+IMPORTRANGE(""https://docs.google.com/spreadsheets/d/1W6MnUbDkMi6xHnHko_XkFDO9kkuL6Wqyc-6OCDFjW9I/e"&amp;"dit?usp=sharing"",""ตาก!J472"")+IMPORTRANGE(""https://docs.google.com/spreadsheets/d/1IQAWArduLkta9LpYo4a_ULsyqdta6-6aDDiwpUnQT6c/edit?usp=sharing"",""นครสวรรค์!J472"")+IMPORTRANGE(""https://docs.google.com/spreadsheets/d/10s13Sk5xrltsiR-Zkbmk5DwIaDIKO8Xl"&amp;"bJAfqyT7Gvg/edit?usp=sharing"",""น่าน!J472"")+IMPORTRANGE(""https://docs.google.com/spreadsheets/d/1uu4nAn4Dbi1XREnLKKotUANlKXa7yCgRcgq8HEzQYW8/edit?usp=sharing"",""พะเยา!J472"")+IMPORTRANGE(""https://docs.google.com/spreadsheets/d/1xfJKIQxVOaPDIICqsflNlL"&amp;"u3JacTDk1FP9RH4phX7mI/edit?usp=sharing"",""พิจิตร!J472"")+IMPORTRANGE(""https://docs.google.com/spreadsheets/d/1JtRfZkJMHtEhI5RdRHxYUG4FIZHqKDpNyIuN7A1Q0_k/edit?usp=sharing"",""พิษณุโลก!J472"")+IMPORTRANGE(""https://docs.google.com/spreadsheets/d/1xlcVZWU"&amp;"Nn6SuWm0c307h32SiGkd9BaeQWlAktfD3KO8/edit?usp=sharing"",""เพชรบูรณ์!J472"")+IMPORTRANGE(""https://docs.google.com/spreadsheets/d/1lOVebEIsI9qjGXl6EX66luk7wiuP2tBaryw-wKvv4e0/edit?usp=sharing"",""แพร่!J472"")+IMPORTRANGE(""https://docs.google.com/spreadshe"&amp;"ets/d/1dQrvX0vEcN7Gu0fnZ0B5S90AeR19zth4XlExFBeExMY/edit?usp=sharing"",""แม่ฮ่องสอน!J472"")+IMPORTRANGE(""https://docs.google.com/spreadsheets/d/1DY4XTNNwjluuxqdfdn6qvOSlMRrZqUtmYcZR0ttFiG4/edit?usp=sharing"",""ลำปาง!J472"")+IMPORTRANGE(""https://docs.goog"&amp;"le.com/spreadsheets/d/1ICwG78r0OFT8biBlxnBF8r7she7gNSzOvJ958PWT09c/edit?usp=sharing"",""ลำพูน!J472"")+IMPORTRANGE(""https://docs.google.com/spreadsheets/d/1B0f2xJpZUC6Z0xXnqKlZtEPzsf6L84eP1r1Q15seqRM/edit?usp=sharing"",""สุโขทัย!J472"")+IMPORTRANGE(""http"&amp;"s://docs.google.com/spreadsheets/d/1v0b9pFQCsKUVExMei7AgY2yQkdeNQvtOssygGsXbiKo/edit?usp=sharing"",""อุตรดิตถ์!J472"")+IMPORTRANGE(""https://docs.google.com/spreadsheets/d/1UsNK1e-WWiCo2PvGqdNfdme4m17_Ezd3J69EeeiQPD0/edit?usp=sharing"",""อุทัยธานี!J472"")"),0)</f>
        <v>0</v>
      </c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</row>
    <row r="473" spans="1:21" ht="18.75" x14ac:dyDescent="0.25">
      <c r="A473" s="208"/>
      <c r="B473" s="158"/>
      <c r="C473" s="209" t="s">
        <v>186</v>
      </c>
      <c r="D473" s="158"/>
      <c r="E473" s="158"/>
      <c r="F473" s="158"/>
      <c r="G473" s="180"/>
      <c r="H473" s="133" t="s">
        <v>46</v>
      </c>
      <c r="I473" s="44"/>
      <c r="J473" s="166">
        <f ca="1">IFERROR(__xludf.DUMMYFUNCTION("IMPORTRANGE(""https://docs.google.com/spreadsheets/d/1jTcq05yEiRwXcBMLjiodW9e4biSGYWAHcDj22rKWQ3s/edit?usp=sharing"",""กำแพงเพชร!J473"")+IMPORTRANGE(""https://docs.google.com/spreadsheets/d/1KS0zmDSZPk8KnTAbGN-Xk6MtX1YRZD0ldgdt20K4CRk/edit?usp=sharing"","&amp;"""เชียงราย!J473"")+IMPORTRANGE(""https://docs.google.com/spreadsheets/d/1rEDxBtusbi64tE0zunoIbsTVV16HeL0oJ6trHQeQ7K8/edit?usp=sharing"",""เชียงใหม่!J473"")+IMPORTRANGE(""https://docs.google.com/spreadsheets/d/1W6MnUbDkMi6xHnHko_XkFDO9kkuL6Wqyc-6OCDFjW9I/e"&amp;"dit?usp=sharing"",""ตาก!J473"")+IMPORTRANGE(""https://docs.google.com/spreadsheets/d/1IQAWArduLkta9LpYo4a_ULsyqdta6-6aDDiwpUnQT6c/edit?usp=sharing"",""นครสวรรค์!J473"")+IMPORTRANGE(""https://docs.google.com/spreadsheets/d/10s13Sk5xrltsiR-Zkbmk5DwIaDIKO8Xl"&amp;"bJAfqyT7Gvg/edit?usp=sharing"",""น่าน!J473"")+IMPORTRANGE(""https://docs.google.com/spreadsheets/d/1uu4nAn4Dbi1XREnLKKotUANlKXa7yCgRcgq8HEzQYW8/edit?usp=sharing"",""พะเยา!J473"")+IMPORTRANGE(""https://docs.google.com/spreadsheets/d/1xfJKIQxVOaPDIICqsflNlL"&amp;"u3JacTDk1FP9RH4phX7mI/edit?usp=sharing"",""พิจิตร!J473"")+IMPORTRANGE(""https://docs.google.com/spreadsheets/d/1JtRfZkJMHtEhI5RdRHxYUG4FIZHqKDpNyIuN7A1Q0_k/edit?usp=sharing"",""พิษณุโลก!J473"")+IMPORTRANGE(""https://docs.google.com/spreadsheets/d/1xlcVZWU"&amp;"Nn6SuWm0c307h32SiGkd9BaeQWlAktfD3KO8/edit?usp=sharing"",""เพชรบูรณ์!J473"")+IMPORTRANGE(""https://docs.google.com/spreadsheets/d/1lOVebEIsI9qjGXl6EX66luk7wiuP2tBaryw-wKvv4e0/edit?usp=sharing"",""แพร่!J473"")+IMPORTRANGE(""https://docs.google.com/spreadshe"&amp;"ets/d/1dQrvX0vEcN7Gu0fnZ0B5S90AeR19zth4XlExFBeExMY/edit?usp=sharing"",""แม่ฮ่องสอน!J473"")+IMPORTRANGE(""https://docs.google.com/spreadsheets/d/1DY4XTNNwjluuxqdfdn6qvOSlMRrZqUtmYcZR0ttFiG4/edit?usp=sharing"",""ลำปาง!J473"")+IMPORTRANGE(""https://docs.goog"&amp;"le.com/spreadsheets/d/1ICwG78r0OFT8biBlxnBF8r7she7gNSzOvJ958PWT09c/edit?usp=sharing"",""ลำพูน!J473"")+IMPORTRANGE(""https://docs.google.com/spreadsheets/d/1B0f2xJpZUC6Z0xXnqKlZtEPzsf6L84eP1r1Q15seqRM/edit?usp=sharing"",""สุโขทัย!J473"")+IMPORTRANGE(""http"&amp;"s://docs.google.com/spreadsheets/d/1v0b9pFQCsKUVExMei7AgY2yQkdeNQvtOssygGsXbiKo/edit?usp=sharing"",""อุตรดิตถ์!J473"")+IMPORTRANGE(""https://docs.google.com/spreadsheets/d/1UsNK1e-WWiCo2PvGqdNfdme4m17_Ezd3J69EeeiQPD0/edit?usp=sharing"",""อุทัยธานี!J473"")"),0)</f>
        <v>0</v>
      </c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</row>
    <row r="474" spans="1:21" ht="18.75" x14ac:dyDescent="0.25">
      <c r="A474" s="208"/>
      <c r="B474" s="158"/>
      <c r="C474" s="158"/>
      <c r="D474" s="158"/>
      <c r="E474" s="158"/>
      <c r="F474" s="158"/>
      <c r="G474" s="180"/>
      <c r="H474" s="133" t="s">
        <v>34</v>
      </c>
      <c r="I474" s="44"/>
      <c r="J474" s="166">
        <f ca="1">IFERROR(__xludf.DUMMYFUNCTION("IMPORTRANGE(""https://docs.google.com/spreadsheets/d/1jTcq05yEiRwXcBMLjiodW9e4biSGYWAHcDj22rKWQ3s/edit?usp=sharing"",""กำแพงเพชร!J474"")+IMPORTRANGE(""https://docs.google.com/spreadsheets/d/1KS0zmDSZPk8KnTAbGN-Xk6MtX1YRZD0ldgdt20K4CRk/edit?usp=sharing"","&amp;"""เชียงราย!J474"")+IMPORTRANGE(""https://docs.google.com/spreadsheets/d/1rEDxBtusbi64tE0zunoIbsTVV16HeL0oJ6trHQeQ7K8/edit?usp=sharing"",""เชียงใหม่!J474"")+IMPORTRANGE(""https://docs.google.com/spreadsheets/d/1W6MnUbDkMi6xHnHko_XkFDO9kkuL6Wqyc-6OCDFjW9I/e"&amp;"dit?usp=sharing"",""ตาก!J474"")+IMPORTRANGE(""https://docs.google.com/spreadsheets/d/1IQAWArduLkta9LpYo4a_ULsyqdta6-6aDDiwpUnQT6c/edit?usp=sharing"",""นครสวรรค์!J474"")+IMPORTRANGE(""https://docs.google.com/spreadsheets/d/10s13Sk5xrltsiR-Zkbmk5DwIaDIKO8Xl"&amp;"bJAfqyT7Gvg/edit?usp=sharing"",""น่าน!J474"")+IMPORTRANGE(""https://docs.google.com/spreadsheets/d/1uu4nAn4Dbi1XREnLKKotUANlKXa7yCgRcgq8HEzQYW8/edit?usp=sharing"",""พะเยา!J474"")+IMPORTRANGE(""https://docs.google.com/spreadsheets/d/1xfJKIQxVOaPDIICqsflNlL"&amp;"u3JacTDk1FP9RH4phX7mI/edit?usp=sharing"",""พิจิตร!J474"")+IMPORTRANGE(""https://docs.google.com/spreadsheets/d/1JtRfZkJMHtEhI5RdRHxYUG4FIZHqKDpNyIuN7A1Q0_k/edit?usp=sharing"",""พิษณุโลก!J474"")+IMPORTRANGE(""https://docs.google.com/spreadsheets/d/1xlcVZWU"&amp;"Nn6SuWm0c307h32SiGkd9BaeQWlAktfD3KO8/edit?usp=sharing"",""เพชรบูรณ์!J474"")+IMPORTRANGE(""https://docs.google.com/spreadsheets/d/1lOVebEIsI9qjGXl6EX66luk7wiuP2tBaryw-wKvv4e0/edit?usp=sharing"",""แพร่!J474"")+IMPORTRANGE(""https://docs.google.com/spreadshe"&amp;"ets/d/1dQrvX0vEcN7Gu0fnZ0B5S90AeR19zth4XlExFBeExMY/edit?usp=sharing"",""แม่ฮ่องสอน!J474"")+IMPORTRANGE(""https://docs.google.com/spreadsheets/d/1DY4XTNNwjluuxqdfdn6qvOSlMRrZqUtmYcZR0ttFiG4/edit?usp=sharing"",""ลำปาง!J474"")+IMPORTRANGE(""https://docs.goog"&amp;"le.com/spreadsheets/d/1ICwG78r0OFT8biBlxnBF8r7she7gNSzOvJ958PWT09c/edit?usp=sharing"",""ลำพูน!J474"")+IMPORTRANGE(""https://docs.google.com/spreadsheets/d/1B0f2xJpZUC6Z0xXnqKlZtEPzsf6L84eP1r1Q15seqRM/edit?usp=sharing"",""สุโขทัย!J474"")+IMPORTRANGE(""http"&amp;"s://docs.google.com/spreadsheets/d/1v0b9pFQCsKUVExMei7AgY2yQkdeNQvtOssygGsXbiKo/edit?usp=sharing"",""อุตรดิตถ์!J474"")+IMPORTRANGE(""https://docs.google.com/spreadsheets/d/1UsNK1e-WWiCo2PvGqdNfdme4m17_Ezd3J69EeeiQPD0/edit?usp=sharing"",""อุทัยธานี!J474"")"),0)</f>
        <v>0</v>
      </c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</row>
    <row r="475" spans="1:21" ht="19.5" x14ac:dyDescent="0.3">
      <c r="A475" s="208"/>
      <c r="B475" s="327" t="s">
        <v>187</v>
      </c>
      <c r="C475" s="158"/>
      <c r="D475" s="158"/>
      <c r="E475" s="158"/>
      <c r="F475" s="158"/>
      <c r="G475" s="180"/>
      <c r="H475" s="131" t="s">
        <v>46</v>
      </c>
      <c r="I475" s="328">
        <v>0</v>
      </c>
      <c r="J475" s="147">
        <f ca="1">J478+J480</f>
        <v>0</v>
      </c>
      <c r="K475" s="132">
        <f t="shared" ref="K475:K477" si="340">IF(I475&gt;0,J475*100/I475,0)</f>
        <v>0</v>
      </c>
      <c r="L475" s="45"/>
      <c r="M475" s="45"/>
      <c r="N475" s="45"/>
      <c r="O475" s="45"/>
      <c r="P475" s="45"/>
      <c r="Q475" s="45"/>
      <c r="R475" s="45"/>
      <c r="S475" s="45"/>
      <c r="T475" s="45"/>
      <c r="U475" s="45"/>
    </row>
    <row r="476" spans="1:21" ht="19.5" x14ac:dyDescent="0.3">
      <c r="A476" s="208"/>
      <c r="B476" s="158"/>
      <c r="C476" s="161" t="s">
        <v>188</v>
      </c>
      <c r="D476" s="158"/>
      <c r="E476" s="158"/>
      <c r="F476" s="158"/>
      <c r="G476" s="180"/>
      <c r="H476" s="131" t="s">
        <v>46</v>
      </c>
      <c r="I476" s="328">
        <v>0</v>
      </c>
      <c r="J476" s="147">
        <f t="shared" ref="J476:J477" ca="1" si="341">J478+J480</f>
        <v>0</v>
      </c>
      <c r="K476" s="132">
        <f t="shared" si="340"/>
        <v>0</v>
      </c>
      <c r="L476" s="45"/>
      <c r="M476" s="45"/>
      <c r="N476" s="45"/>
      <c r="O476" s="45"/>
      <c r="P476" s="45"/>
      <c r="Q476" s="45"/>
      <c r="R476" s="45"/>
      <c r="S476" s="45"/>
      <c r="T476" s="45"/>
      <c r="U476" s="45"/>
    </row>
    <row r="477" spans="1:21" ht="19.5" x14ac:dyDescent="0.3">
      <c r="A477" s="208"/>
      <c r="B477" s="158"/>
      <c r="C477" s="209" t="s">
        <v>189</v>
      </c>
      <c r="D477" s="158"/>
      <c r="E477" s="158"/>
      <c r="F477" s="158"/>
      <c r="G477" s="180"/>
      <c r="H477" s="131" t="s">
        <v>34</v>
      </c>
      <c r="I477" s="328">
        <v>0</v>
      </c>
      <c r="J477" s="147">
        <f t="shared" ca="1" si="341"/>
        <v>0</v>
      </c>
      <c r="K477" s="132">
        <f t="shared" si="340"/>
        <v>0</v>
      </c>
      <c r="L477" s="45"/>
      <c r="M477" s="45"/>
      <c r="N477" s="45"/>
      <c r="O477" s="45"/>
      <c r="P477" s="45"/>
      <c r="Q477" s="45"/>
      <c r="R477" s="45"/>
      <c r="S477" s="45"/>
      <c r="T477" s="45"/>
      <c r="U477" s="45"/>
    </row>
    <row r="478" spans="1:21" ht="18.75" x14ac:dyDescent="0.25">
      <c r="A478" s="208"/>
      <c r="B478" s="158"/>
      <c r="C478" s="158"/>
      <c r="D478" s="209" t="s">
        <v>190</v>
      </c>
      <c r="E478" s="158"/>
      <c r="F478" s="158"/>
      <c r="G478" s="180"/>
      <c r="H478" s="133" t="s">
        <v>46</v>
      </c>
      <c r="I478" s="44"/>
      <c r="J478" s="166">
        <f ca="1">IFERROR(__xludf.DUMMYFUNCTION("IMPORTRANGE(""https://docs.google.com/spreadsheets/d/1jTcq05yEiRwXcBMLjiodW9e4biSGYWAHcDj22rKWQ3s/edit?usp=sharing"",""กำแพงเพชร!J478"")+IMPORTRANGE(""https://docs.google.com/spreadsheets/d/1KS0zmDSZPk8KnTAbGN-Xk6MtX1YRZD0ldgdt20K4CRk/edit?usp=sharing"","&amp;"""เชียงราย!J478"")+IMPORTRANGE(""https://docs.google.com/spreadsheets/d/1rEDxBtusbi64tE0zunoIbsTVV16HeL0oJ6trHQeQ7K8/edit?usp=sharing"",""เชียงใหม่!J478"")+IMPORTRANGE(""https://docs.google.com/spreadsheets/d/1W6MnUbDkMi6xHnHko_XkFDO9kkuL6Wqyc-6OCDFjW9I/e"&amp;"dit?usp=sharing"",""ตาก!J478"")+IMPORTRANGE(""https://docs.google.com/spreadsheets/d/1IQAWArduLkta9LpYo4a_ULsyqdta6-6aDDiwpUnQT6c/edit?usp=sharing"",""นครสวรรค์!J478"")+IMPORTRANGE(""https://docs.google.com/spreadsheets/d/10s13Sk5xrltsiR-Zkbmk5DwIaDIKO8Xl"&amp;"bJAfqyT7Gvg/edit?usp=sharing"",""น่าน!J478"")+IMPORTRANGE(""https://docs.google.com/spreadsheets/d/1uu4nAn4Dbi1XREnLKKotUANlKXa7yCgRcgq8HEzQYW8/edit?usp=sharing"",""พะเยา!J478"")+IMPORTRANGE(""https://docs.google.com/spreadsheets/d/1xfJKIQxVOaPDIICqsflNlL"&amp;"u3JacTDk1FP9RH4phX7mI/edit?usp=sharing"",""พิจิตร!J478"")+IMPORTRANGE(""https://docs.google.com/spreadsheets/d/1JtRfZkJMHtEhI5RdRHxYUG4FIZHqKDpNyIuN7A1Q0_k/edit?usp=sharing"",""พิษณุโลก!J478"")+IMPORTRANGE(""https://docs.google.com/spreadsheets/d/1xlcVZWU"&amp;"Nn6SuWm0c307h32SiGkd9BaeQWlAktfD3KO8/edit?usp=sharing"",""เพชรบูรณ์!J478"")+IMPORTRANGE(""https://docs.google.com/spreadsheets/d/1lOVebEIsI9qjGXl6EX66luk7wiuP2tBaryw-wKvv4e0/edit?usp=sharing"",""แพร่!J478"")+IMPORTRANGE(""https://docs.google.com/spreadshe"&amp;"ets/d/1dQrvX0vEcN7Gu0fnZ0B5S90AeR19zth4XlExFBeExMY/edit?usp=sharing"",""แม่ฮ่องสอน!J478"")+IMPORTRANGE(""https://docs.google.com/spreadsheets/d/1DY4XTNNwjluuxqdfdn6qvOSlMRrZqUtmYcZR0ttFiG4/edit?usp=sharing"",""ลำปาง!J478"")+IMPORTRANGE(""https://docs.goog"&amp;"le.com/spreadsheets/d/1ICwG78r0OFT8biBlxnBF8r7she7gNSzOvJ958PWT09c/edit?usp=sharing"",""ลำพูน!J478"")+IMPORTRANGE(""https://docs.google.com/spreadsheets/d/1B0f2xJpZUC6Z0xXnqKlZtEPzsf6L84eP1r1Q15seqRM/edit?usp=sharing"",""สุโขทัย!J478"")+IMPORTRANGE(""http"&amp;"s://docs.google.com/spreadsheets/d/1v0b9pFQCsKUVExMei7AgY2yQkdeNQvtOssygGsXbiKo/edit?usp=sharing"",""อุตรดิตถ์!J478"")+IMPORTRANGE(""https://docs.google.com/spreadsheets/d/1UsNK1e-WWiCo2PvGqdNfdme4m17_Ezd3J69EeeiQPD0/edit?usp=sharing"",""อุทัยธานี!J478"")"),0)</f>
        <v>0</v>
      </c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</row>
    <row r="479" spans="1:21" ht="18.75" x14ac:dyDescent="0.25">
      <c r="A479" s="208"/>
      <c r="B479" s="158"/>
      <c r="C479" s="158"/>
      <c r="D479" s="158"/>
      <c r="E479" s="158"/>
      <c r="F479" s="158"/>
      <c r="G479" s="180"/>
      <c r="H479" s="133" t="s">
        <v>34</v>
      </c>
      <c r="I479" s="44"/>
      <c r="J479" s="166">
        <f ca="1">IFERROR(__xludf.DUMMYFUNCTION("IMPORTRANGE(""https://docs.google.com/spreadsheets/d/1jTcq05yEiRwXcBMLjiodW9e4biSGYWAHcDj22rKWQ3s/edit?usp=sharing"",""กำแพงเพชร!J479"")+IMPORTRANGE(""https://docs.google.com/spreadsheets/d/1KS0zmDSZPk8KnTAbGN-Xk6MtX1YRZD0ldgdt20K4CRk/edit?usp=sharing"","&amp;"""เชียงราย!J479"")+IMPORTRANGE(""https://docs.google.com/spreadsheets/d/1rEDxBtusbi64tE0zunoIbsTVV16HeL0oJ6trHQeQ7K8/edit?usp=sharing"",""เชียงใหม่!J479"")+IMPORTRANGE(""https://docs.google.com/spreadsheets/d/1W6MnUbDkMi6xHnHko_XkFDO9kkuL6Wqyc-6OCDFjW9I/e"&amp;"dit?usp=sharing"",""ตาก!J479"")+IMPORTRANGE(""https://docs.google.com/spreadsheets/d/1IQAWArduLkta9LpYo4a_ULsyqdta6-6aDDiwpUnQT6c/edit?usp=sharing"",""นครสวรรค์!J479"")+IMPORTRANGE(""https://docs.google.com/spreadsheets/d/10s13Sk5xrltsiR-Zkbmk5DwIaDIKO8Xl"&amp;"bJAfqyT7Gvg/edit?usp=sharing"",""น่าน!J479"")+IMPORTRANGE(""https://docs.google.com/spreadsheets/d/1uu4nAn4Dbi1XREnLKKotUANlKXa7yCgRcgq8HEzQYW8/edit?usp=sharing"",""พะเยา!J479"")+IMPORTRANGE(""https://docs.google.com/spreadsheets/d/1xfJKIQxVOaPDIICqsflNlL"&amp;"u3JacTDk1FP9RH4phX7mI/edit?usp=sharing"",""พิจิตร!J479"")+IMPORTRANGE(""https://docs.google.com/spreadsheets/d/1JtRfZkJMHtEhI5RdRHxYUG4FIZHqKDpNyIuN7A1Q0_k/edit?usp=sharing"",""พิษณุโลก!J479"")+IMPORTRANGE(""https://docs.google.com/spreadsheets/d/1xlcVZWU"&amp;"Nn6SuWm0c307h32SiGkd9BaeQWlAktfD3KO8/edit?usp=sharing"",""เพชรบูรณ์!J479"")+IMPORTRANGE(""https://docs.google.com/spreadsheets/d/1lOVebEIsI9qjGXl6EX66luk7wiuP2tBaryw-wKvv4e0/edit?usp=sharing"",""แพร่!J479"")+IMPORTRANGE(""https://docs.google.com/spreadshe"&amp;"ets/d/1dQrvX0vEcN7Gu0fnZ0B5S90AeR19zth4XlExFBeExMY/edit?usp=sharing"",""แม่ฮ่องสอน!J479"")+IMPORTRANGE(""https://docs.google.com/spreadsheets/d/1DY4XTNNwjluuxqdfdn6qvOSlMRrZqUtmYcZR0ttFiG4/edit?usp=sharing"",""ลำปาง!J479"")+IMPORTRANGE(""https://docs.goog"&amp;"le.com/spreadsheets/d/1ICwG78r0OFT8biBlxnBF8r7she7gNSzOvJ958PWT09c/edit?usp=sharing"",""ลำพูน!J479"")+IMPORTRANGE(""https://docs.google.com/spreadsheets/d/1B0f2xJpZUC6Z0xXnqKlZtEPzsf6L84eP1r1Q15seqRM/edit?usp=sharing"",""สุโขทัย!J479"")+IMPORTRANGE(""http"&amp;"s://docs.google.com/spreadsheets/d/1v0b9pFQCsKUVExMei7AgY2yQkdeNQvtOssygGsXbiKo/edit?usp=sharing"",""อุตรดิตถ์!J479"")+IMPORTRANGE(""https://docs.google.com/spreadsheets/d/1UsNK1e-WWiCo2PvGqdNfdme4m17_Ezd3J69EeeiQPD0/edit?usp=sharing"",""อุทัยธานี!J479"")"),0)</f>
        <v>0</v>
      </c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</row>
    <row r="480" spans="1:21" ht="18.75" x14ac:dyDescent="0.25">
      <c r="A480" s="208"/>
      <c r="B480" s="158"/>
      <c r="C480" s="158"/>
      <c r="D480" s="326" t="s">
        <v>191</v>
      </c>
      <c r="E480" s="158"/>
      <c r="F480" s="158"/>
      <c r="G480" s="180"/>
      <c r="H480" s="133" t="s">
        <v>46</v>
      </c>
      <c r="I480" s="44"/>
      <c r="J480" s="166">
        <f ca="1">IFERROR(__xludf.DUMMYFUNCTION("IMPORTRANGE(""https://docs.google.com/spreadsheets/d/1jTcq05yEiRwXcBMLjiodW9e4biSGYWAHcDj22rKWQ3s/edit?usp=sharing"",""กำแพงเพชร!J480"")+IMPORTRANGE(""https://docs.google.com/spreadsheets/d/1KS0zmDSZPk8KnTAbGN-Xk6MtX1YRZD0ldgdt20K4CRk/edit?usp=sharing"","&amp;"""เชียงราย!J480"")+IMPORTRANGE(""https://docs.google.com/spreadsheets/d/1rEDxBtusbi64tE0zunoIbsTVV16HeL0oJ6trHQeQ7K8/edit?usp=sharing"",""เชียงใหม่!J480"")+IMPORTRANGE(""https://docs.google.com/spreadsheets/d/1W6MnUbDkMi6xHnHko_XkFDO9kkuL6Wqyc-6OCDFjW9I/e"&amp;"dit?usp=sharing"",""ตาก!J480"")+IMPORTRANGE(""https://docs.google.com/spreadsheets/d/1IQAWArduLkta9LpYo4a_ULsyqdta6-6aDDiwpUnQT6c/edit?usp=sharing"",""นครสวรรค์!J480"")+IMPORTRANGE(""https://docs.google.com/spreadsheets/d/10s13Sk5xrltsiR-Zkbmk5DwIaDIKO8Xl"&amp;"bJAfqyT7Gvg/edit?usp=sharing"",""น่าน!J480"")+IMPORTRANGE(""https://docs.google.com/spreadsheets/d/1uu4nAn4Dbi1XREnLKKotUANlKXa7yCgRcgq8HEzQYW8/edit?usp=sharing"",""พะเยา!J480"")+IMPORTRANGE(""https://docs.google.com/spreadsheets/d/1xfJKIQxVOaPDIICqsflNlL"&amp;"u3JacTDk1FP9RH4phX7mI/edit?usp=sharing"",""พิจิตร!J480"")+IMPORTRANGE(""https://docs.google.com/spreadsheets/d/1JtRfZkJMHtEhI5RdRHxYUG4FIZHqKDpNyIuN7A1Q0_k/edit?usp=sharing"",""พิษณุโลก!J480"")+IMPORTRANGE(""https://docs.google.com/spreadsheets/d/1xlcVZWU"&amp;"Nn6SuWm0c307h32SiGkd9BaeQWlAktfD3KO8/edit?usp=sharing"",""เพชรบูรณ์!J480"")+IMPORTRANGE(""https://docs.google.com/spreadsheets/d/1lOVebEIsI9qjGXl6EX66luk7wiuP2tBaryw-wKvv4e0/edit?usp=sharing"",""แพร่!J480"")+IMPORTRANGE(""https://docs.google.com/spreadshe"&amp;"ets/d/1dQrvX0vEcN7Gu0fnZ0B5S90AeR19zth4XlExFBeExMY/edit?usp=sharing"",""แม่ฮ่องสอน!J480"")+IMPORTRANGE(""https://docs.google.com/spreadsheets/d/1DY4XTNNwjluuxqdfdn6qvOSlMRrZqUtmYcZR0ttFiG4/edit?usp=sharing"",""ลำปาง!J480"")+IMPORTRANGE(""https://docs.goog"&amp;"le.com/spreadsheets/d/1ICwG78r0OFT8biBlxnBF8r7she7gNSzOvJ958PWT09c/edit?usp=sharing"",""ลำพูน!J480"")+IMPORTRANGE(""https://docs.google.com/spreadsheets/d/1B0f2xJpZUC6Z0xXnqKlZtEPzsf6L84eP1r1Q15seqRM/edit?usp=sharing"",""สุโขทัย!J480"")+IMPORTRANGE(""http"&amp;"s://docs.google.com/spreadsheets/d/1v0b9pFQCsKUVExMei7AgY2yQkdeNQvtOssygGsXbiKo/edit?usp=sharing"",""อุตรดิตถ์!J480"")+IMPORTRANGE(""https://docs.google.com/spreadsheets/d/1UsNK1e-WWiCo2PvGqdNfdme4m17_Ezd3J69EeeiQPD0/edit?usp=sharing"",""อุทัยธานี!J480"")"),0)</f>
        <v>0</v>
      </c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</row>
    <row r="481" spans="1:21" ht="18.75" x14ac:dyDescent="0.25">
      <c r="A481" s="208"/>
      <c r="B481" s="158"/>
      <c r="C481" s="158"/>
      <c r="D481" s="158"/>
      <c r="E481" s="158"/>
      <c r="F481" s="158"/>
      <c r="G481" s="180"/>
      <c r="H481" s="133" t="s">
        <v>34</v>
      </c>
      <c r="I481" s="44"/>
      <c r="J481" s="166">
        <f ca="1">IFERROR(__xludf.DUMMYFUNCTION("IMPORTRANGE(""https://docs.google.com/spreadsheets/d/1jTcq05yEiRwXcBMLjiodW9e4biSGYWAHcDj22rKWQ3s/edit?usp=sharing"",""กำแพงเพชร!J481"")+IMPORTRANGE(""https://docs.google.com/spreadsheets/d/1KS0zmDSZPk8KnTAbGN-Xk6MtX1YRZD0ldgdt20K4CRk/edit?usp=sharing"","&amp;"""เชียงราย!J481"")+IMPORTRANGE(""https://docs.google.com/spreadsheets/d/1rEDxBtusbi64tE0zunoIbsTVV16HeL0oJ6trHQeQ7K8/edit?usp=sharing"",""เชียงใหม่!J481"")+IMPORTRANGE(""https://docs.google.com/spreadsheets/d/1W6MnUbDkMi6xHnHko_XkFDO9kkuL6Wqyc-6OCDFjW9I/e"&amp;"dit?usp=sharing"",""ตาก!J481"")+IMPORTRANGE(""https://docs.google.com/spreadsheets/d/1IQAWArduLkta9LpYo4a_ULsyqdta6-6aDDiwpUnQT6c/edit?usp=sharing"",""นครสวรรค์!J481"")+IMPORTRANGE(""https://docs.google.com/spreadsheets/d/10s13Sk5xrltsiR-Zkbmk5DwIaDIKO8Xl"&amp;"bJAfqyT7Gvg/edit?usp=sharing"",""น่าน!J481"")+IMPORTRANGE(""https://docs.google.com/spreadsheets/d/1uu4nAn4Dbi1XREnLKKotUANlKXa7yCgRcgq8HEzQYW8/edit?usp=sharing"",""พะเยา!J481"")+IMPORTRANGE(""https://docs.google.com/spreadsheets/d/1xfJKIQxVOaPDIICqsflNlL"&amp;"u3JacTDk1FP9RH4phX7mI/edit?usp=sharing"",""พิจิตร!J481"")+IMPORTRANGE(""https://docs.google.com/spreadsheets/d/1JtRfZkJMHtEhI5RdRHxYUG4FIZHqKDpNyIuN7A1Q0_k/edit?usp=sharing"",""พิษณุโลก!J481"")+IMPORTRANGE(""https://docs.google.com/spreadsheets/d/1xlcVZWU"&amp;"Nn6SuWm0c307h32SiGkd9BaeQWlAktfD3KO8/edit?usp=sharing"",""เพชรบูรณ์!J481"")+IMPORTRANGE(""https://docs.google.com/spreadsheets/d/1lOVebEIsI9qjGXl6EX66luk7wiuP2tBaryw-wKvv4e0/edit?usp=sharing"",""แพร่!J481"")+IMPORTRANGE(""https://docs.google.com/spreadshe"&amp;"ets/d/1dQrvX0vEcN7Gu0fnZ0B5S90AeR19zth4XlExFBeExMY/edit?usp=sharing"",""แม่ฮ่องสอน!J481"")+IMPORTRANGE(""https://docs.google.com/spreadsheets/d/1DY4XTNNwjluuxqdfdn6qvOSlMRrZqUtmYcZR0ttFiG4/edit?usp=sharing"",""ลำปาง!J481"")+IMPORTRANGE(""https://docs.goog"&amp;"le.com/spreadsheets/d/1ICwG78r0OFT8biBlxnBF8r7she7gNSzOvJ958PWT09c/edit?usp=sharing"",""ลำพูน!J481"")+IMPORTRANGE(""https://docs.google.com/spreadsheets/d/1B0f2xJpZUC6Z0xXnqKlZtEPzsf6L84eP1r1Q15seqRM/edit?usp=sharing"",""สุโขทัย!J481"")+IMPORTRANGE(""http"&amp;"s://docs.google.com/spreadsheets/d/1v0b9pFQCsKUVExMei7AgY2yQkdeNQvtOssygGsXbiKo/edit?usp=sharing"",""อุตรดิตถ์!J481"")+IMPORTRANGE(""https://docs.google.com/spreadsheets/d/1UsNK1e-WWiCo2PvGqdNfdme4m17_Ezd3J69EeeiQPD0/edit?usp=sharing"",""อุทัยธานี!J481"")"),0)</f>
        <v>0</v>
      </c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</row>
    <row r="482" spans="1:21" ht="18.75" x14ac:dyDescent="0.25">
      <c r="A482" s="208"/>
      <c r="B482" s="158"/>
      <c r="C482" s="158"/>
      <c r="D482" s="326" t="s">
        <v>192</v>
      </c>
      <c r="E482" s="158"/>
      <c r="F482" s="158"/>
      <c r="G482" s="180"/>
      <c r="H482" s="133" t="s">
        <v>46</v>
      </c>
      <c r="I482" s="44"/>
      <c r="J482" s="166">
        <f ca="1">IFERROR(__xludf.DUMMYFUNCTION("IMPORTRANGE(""https://docs.google.com/spreadsheets/d/1jTcq05yEiRwXcBMLjiodW9e4biSGYWAHcDj22rKWQ3s/edit?usp=sharing"",""กำแพงเพชร!J482"")+IMPORTRANGE(""https://docs.google.com/spreadsheets/d/1KS0zmDSZPk8KnTAbGN-Xk6MtX1YRZD0ldgdt20K4CRk/edit?usp=sharing"","&amp;"""เชียงราย!J482"")+IMPORTRANGE(""https://docs.google.com/spreadsheets/d/1rEDxBtusbi64tE0zunoIbsTVV16HeL0oJ6trHQeQ7K8/edit?usp=sharing"",""เชียงใหม่!J482"")+IMPORTRANGE(""https://docs.google.com/spreadsheets/d/1W6MnUbDkMi6xHnHko_XkFDO9kkuL6Wqyc-6OCDFjW9I/e"&amp;"dit?usp=sharing"",""ตาก!J482"")+IMPORTRANGE(""https://docs.google.com/spreadsheets/d/1IQAWArduLkta9LpYo4a_ULsyqdta6-6aDDiwpUnQT6c/edit?usp=sharing"",""นครสวรรค์!J482"")+IMPORTRANGE(""https://docs.google.com/spreadsheets/d/10s13Sk5xrltsiR-Zkbmk5DwIaDIKO8Xl"&amp;"bJAfqyT7Gvg/edit?usp=sharing"",""น่าน!J482"")+IMPORTRANGE(""https://docs.google.com/spreadsheets/d/1uu4nAn4Dbi1XREnLKKotUANlKXa7yCgRcgq8HEzQYW8/edit?usp=sharing"",""พะเยา!J482"")+IMPORTRANGE(""https://docs.google.com/spreadsheets/d/1xfJKIQxVOaPDIICqsflNlL"&amp;"u3JacTDk1FP9RH4phX7mI/edit?usp=sharing"",""พิจิตร!J482"")+IMPORTRANGE(""https://docs.google.com/spreadsheets/d/1JtRfZkJMHtEhI5RdRHxYUG4FIZHqKDpNyIuN7A1Q0_k/edit?usp=sharing"",""พิษณุโลก!J482"")+IMPORTRANGE(""https://docs.google.com/spreadsheets/d/1xlcVZWU"&amp;"Nn6SuWm0c307h32SiGkd9BaeQWlAktfD3KO8/edit?usp=sharing"",""เพชรบูรณ์!J482"")+IMPORTRANGE(""https://docs.google.com/spreadsheets/d/1lOVebEIsI9qjGXl6EX66luk7wiuP2tBaryw-wKvv4e0/edit?usp=sharing"",""แพร่!J482"")+IMPORTRANGE(""https://docs.google.com/spreadshe"&amp;"ets/d/1dQrvX0vEcN7Gu0fnZ0B5S90AeR19zth4XlExFBeExMY/edit?usp=sharing"",""แม่ฮ่องสอน!J482"")+IMPORTRANGE(""https://docs.google.com/spreadsheets/d/1DY4XTNNwjluuxqdfdn6qvOSlMRrZqUtmYcZR0ttFiG4/edit?usp=sharing"",""ลำปาง!J482"")+IMPORTRANGE(""https://docs.goog"&amp;"le.com/spreadsheets/d/1ICwG78r0OFT8biBlxnBF8r7she7gNSzOvJ958PWT09c/edit?usp=sharing"",""ลำพูน!J482"")+IMPORTRANGE(""https://docs.google.com/spreadsheets/d/1B0f2xJpZUC6Z0xXnqKlZtEPzsf6L84eP1r1Q15seqRM/edit?usp=sharing"",""สุโขทัย!J482"")+IMPORTRANGE(""http"&amp;"s://docs.google.com/spreadsheets/d/1v0b9pFQCsKUVExMei7AgY2yQkdeNQvtOssygGsXbiKo/edit?usp=sharing"",""อุตรดิตถ์!J482"")+IMPORTRANGE(""https://docs.google.com/spreadsheets/d/1UsNK1e-WWiCo2PvGqdNfdme4m17_Ezd3J69EeeiQPD0/edit?usp=sharing"",""อุทัยธานี!J482"")"),0)</f>
        <v>0</v>
      </c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</row>
    <row r="483" spans="1:21" ht="18.75" x14ac:dyDescent="0.25">
      <c r="A483" s="208"/>
      <c r="B483" s="158"/>
      <c r="C483" s="158"/>
      <c r="D483" s="158"/>
      <c r="E483" s="158"/>
      <c r="F483" s="158"/>
      <c r="G483" s="180"/>
      <c r="H483" s="133" t="s">
        <v>34</v>
      </c>
      <c r="I483" s="44"/>
      <c r="J483" s="166">
        <f ca="1">IFERROR(__xludf.DUMMYFUNCTION("IMPORTRANGE(""https://docs.google.com/spreadsheets/d/1jTcq05yEiRwXcBMLjiodW9e4biSGYWAHcDj22rKWQ3s/edit?usp=sharing"",""กำแพงเพชร!J483"")+IMPORTRANGE(""https://docs.google.com/spreadsheets/d/1KS0zmDSZPk8KnTAbGN-Xk6MtX1YRZD0ldgdt20K4CRk/edit?usp=sharing"","&amp;"""เชียงราย!J483"")+IMPORTRANGE(""https://docs.google.com/spreadsheets/d/1rEDxBtusbi64tE0zunoIbsTVV16HeL0oJ6trHQeQ7K8/edit?usp=sharing"",""เชียงใหม่!J483"")+IMPORTRANGE(""https://docs.google.com/spreadsheets/d/1W6MnUbDkMi6xHnHko_XkFDO9kkuL6Wqyc-6OCDFjW9I/e"&amp;"dit?usp=sharing"",""ตาก!J483"")+IMPORTRANGE(""https://docs.google.com/spreadsheets/d/1IQAWArduLkta9LpYo4a_ULsyqdta6-6aDDiwpUnQT6c/edit?usp=sharing"",""นครสวรรค์!J483"")+IMPORTRANGE(""https://docs.google.com/spreadsheets/d/10s13Sk5xrltsiR-Zkbmk5DwIaDIKO8Xl"&amp;"bJAfqyT7Gvg/edit?usp=sharing"",""น่าน!J483"")+IMPORTRANGE(""https://docs.google.com/spreadsheets/d/1uu4nAn4Dbi1XREnLKKotUANlKXa7yCgRcgq8HEzQYW8/edit?usp=sharing"",""พะเยา!J483"")+IMPORTRANGE(""https://docs.google.com/spreadsheets/d/1xfJKIQxVOaPDIICqsflNlL"&amp;"u3JacTDk1FP9RH4phX7mI/edit?usp=sharing"",""พิจิตร!J483"")+IMPORTRANGE(""https://docs.google.com/spreadsheets/d/1JtRfZkJMHtEhI5RdRHxYUG4FIZHqKDpNyIuN7A1Q0_k/edit?usp=sharing"",""พิษณุโลก!J483"")+IMPORTRANGE(""https://docs.google.com/spreadsheets/d/1xlcVZWU"&amp;"Nn6SuWm0c307h32SiGkd9BaeQWlAktfD3KO8/edit?usp=sharing"",""เพชรบูรณ์!J483"")+IMPORTRANGE(""https://docs.google.com/spreadsheets/d/1lOVebEIsI9qjGXl6EX66luk7wiuP2tBaryw-wKvv4e0/edit?usp=sharing"",""แพร่!J483"")+IMPORTRANGE(""https://docs.google.com/spreadshe"&amp;"ets/d/1dQrvX0vEcN7Gu0fnZ0B5S90AeR19zth4XlExFBeExMY/edit?usp=sharing"",""แม่ฮ่องสอน!J483"")+IMPORTRANGE(""https://docs.google.com/spreadsheets/d/1DY4XTNNwjluuxqdfdn6qvOSlMRrZqUtmYcZR0ttFiG4/edit?usp=sharing"",""ลำปาง!J483"")+IMPORTRANGE(""https://docs.goog"&amp;"le.com/spreadsheets/d/1ICwG78r0OFT8biBlxnBF8r7she7gNSzOvJ958PWT09c/edit?usp=sharing"",""ลำพูน!J483"")+IMPORTRANGE(""https://docs.google.com/spreadsheets/d/1B0f2xJpZUC6Z0xXnqKlZtEPzsf6L84eP1r1Q15seqRM/edit?usp=sharing"",""สุโขทัย!J483"")+IMPORTRANGE(""http"&amp;"s://docs.google.com/spreadsheets/d/1v0b9pFQCsKUVExMei7AgY2yQkdeNQvtOssygGsXbiKo/edit?usp=sharing"",""อุตรดิตถ์!J483"")+IMPORTRANGE(""https://docs.google.com/spreadsheets/d/1UsNK1e-WWiCo2PvGqdNfdme4m17_Ezd3J69EeeiQPD0/edit?usp=sharing"",""อุทัยธานี!J483"")"),0)</f>
        <v>0</v>
      </c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</row>
    <row r="484" spans="1:21" ht="19.5" x14ac:dyDescent="0.3">
      <c r="A484" s="208"/>
      <c r="B484" s="158"/>
      <c r="C484" s="161" t="s">
        <v>193</v>
      </c>
      <c r="D484" s="158"/>
      <c r="E484" s="158"/>
      <c r="F484" s="158"/>
      <c r="G484" s="180"/>
      <c r="H484" s="131" t="s">
        <v>46</v>
      </c>
      <c r="I484" s="166">
        <f t="shared" ref="I484:I485" ca="1" si="342">J480</f>
        <v>0</v>
      </c>
      <c r="J484" s="147">
        <f t="shared" ref="J484:J485" ca="1" si="343">J486+J488+J490</f>
        <v>0</v>
      </c>
      <c r="K484" s="132">
        <f t="shared" ref="K484:K485" ca="1" si="344">IF(I484&gt;0,J484*100/I484,0)</f>
        <v>0</v>
      </c>
      <c r="L484" s="45"/>
      <c r="M484" s="45"/>
      <c r="N484" s="45"/>
      <c r="O484" s="45"/>
      <c r="P484" s="45"/>
      <c r="Q484" s="45"/>
      <c r="R484" s="45"/>
      <c r="S484" s="45"/>
      <c r="T484" s="45"/>
      <c r="U484" s="45"/>
    </row>
    <row r="485" spans="1:21" ht="19.5" x14ac:dyDescent="0.3">
      <c r="A485" s="208"/>
      <c r="B485" s="158"/>
      <c r="C485" s="209" t="s">
        <v>194</v>
      </c>
      <c r="D485" s="158"/>
      <c r="E485" s="158"/>
      <c r="F485" s="158"/>
      <c r="G485" s="180"/>
      <c r="H485" s="131" t="s">
        <v>34</v>
      </c>
      <c r="I485" s="166">
        <f t="shared" ca="1" si="342"/>
        <v>0</v>
      </c>
      <c r="J485" s="147">
        <f t="shared" ca="1" si="343"/>
        <v>0</v>
      </c>
      <c r="K485" s="132">
        <f t="shared" ca="1" si="344"/>
        <v>0</v>
      </c>
      <c r="L485" s="45"/>
      <c r="M485" s="45"/>
      <c r="N485" s="45"/>
      <c r="O485" s="45"/>
      <c r="P485" s="45"/>
      <c r="Q485" s="45"/>
      <c r="R485" s="45"/>
      <c r="S485" s="45"/>
      <c r="T485" s="45"/>
      <c r="U485" s="45"/>
    </row>
    <row r="486" spans="1:21" ht="18.75" x14ac:dyDescent="0.25">
      <c r="A486" s="208"/>
      <c r="B486" s="158"/>
      <c r="C486" s="158"/>
      <c r="D486" s="326" t="s">
        <v>195</v>
      </c>
      <c r="E486" s="158"/>
      <c r="F486" s="158"/>
      <c r="G486" s="180"/>
      <c r="H486" s="133" t="s">
        <v>46</v>
      </c>
      <c r="I486" s="44"/>
      <c r="J486" s="166">
        <f ca="1">IFERROR(__xludf.DUMMYFUNCTION("IMPORTRANGE(""https://docs.google.com/spreadsheets/d/1jTcq05yEiRwXcBMLjiodW9e4biSGYWAHcDj22rKWQ3s/edit?usp=sharing"",""กำแพงเพชร!J486"")+IMPORTRANGE(""https://docs.google.com/spreadsheets/d/1KS0zmDSZPk8KnTAbGN-Xk6MtX1YRZD0ldgdt20K4CRk/edit?usp=sharing"","&amp;"""เชียงราย!J486"")+IMPORTRANGE(""https://docs.google.com/spreadsheets/d/1rEDxBtusbi64tE0zunoIbsTVV16HeL0oJ6trHQeQ7K8/edit?usp=sharing"",""เชียงใหม่!J486"")+IMPORTRANGE(""https://docs.google.com/spreadsheets/d/1W6MnUbDkMi6xHnHko_XkFDO9kkuL6Wqyc-6OCDFjW9I/e"&amp;"dit?usp=sharing"",""ตาก!J486"")+IMPORTRANGE(""https://docs.google.com/spreadsheets/d/1IQAWArduLkta9LpYo4a_ULsyqdta6-6aDDiwpUnQT6c/edit?usp=sharing"",""นครสวรรค์!J486"")+IMPORTRANGE(""https://docs.google.com/spreadsheets/d/10s13Sk5xrltsiR-Zkbmk5DwIaDIKO8Xl"&amp;"bJAfqyT7Gvg/edit?usp=sharing"",""น่าน!J486"")+IMPORTRANGE(""https://docs.google.com/spreadsheets/d/1uu4nAn4Dbi1XREnLKKotUANlKXa7yCgRcgq8HEzQYW8/edit?usp=sharing"",""พะเยา!J486"")+IMPORTRANGE(""https://docs.google.com/spreadsheets/d/1xfJKIQxVOaPDIICqsflNlL"&amp;"u3JacTDk1FP9RH4phX7mI/edit?usp=sharing"",""พิจิตร!J486"")+IMPORTRANGE(""https://docs.google.com/spreadsheets/d/1JtRfZkJMHtEhI5RdRHxYUG4FIZHqKDpNyIuN7A1Q0_k/edit?usp=sharing"",""พิษณุโลก!J486"")+IMPORTRANGE(""https://docs.google.com/spreadsheets/d/1xlcVZWU"&amp;"Nn6SuWm0c307h32SiGkd9BaeQWlAktfD3KO8/edit?usp=sharing"",""เพชรบูรณ์!J486"")+IMPORTRANGE(""https://docs.google.com/spreadsheets/d/1lOVebEIsI9qjGXl6EX66luk7wiuP2tBaryw-wKvv4e0/edit?usp=sharing"",""แพร่!J486"")+IMPORTRANGE(""https://docs.google.com/spreadshe"&amp;"ets/d/1dQrvX0vEcN7Gu0fnZ0B5S90AeR19zth4XlExFBeExMY/edit?usp=sharing"",""แม่ฮ่องสอน!J486"")+IMPORTRANGE(""https://docs.google.com/spreadsheets/d/1DY4XTNNwjluuxqdfdn6qvOSlMRrZqUtmYcZR0ttFiG4/edit?usp=sharing"",""ลำปาง!J486"")+IMPORTRANGE(""https://docs.goog"&amp;"le.com/spreadsheets/d/1ICwG78r0OFT8biBlxnBF8r7she7gNSzOvJ958PWT09c/edit?usp=sharing"",""ลำพูน!J486"")+IMPORTRANGE(""https://docs.google.com/spreadsheets/d/1B0f2xJpZUC6Z0xXnqKlZtEPzsf6L84eP1r1Q15seqRM/edit?usp=sharing"",""สุโขทัย!J486"")+IMPORTRANGE(""http"&amp;"s://docs.google.com/spreadsheets/d/1v0b9pFQCsKUVExMei7AgY2yQkdeNQvtOssygGsXbiKo/edit?usp=sharing"",""อุตรดิตถ์!J486"")+IMPORTRANGE(""https://docs.google.com/spreadsheets/d/1UsNK1e-WWiCo2PvGqdNfdme4m17_Ezd3J69EeeiQPD0/edit?usp=sharing"",""อุทัยธานี!J486"")"),0)</f>
        <v>0</v>
      </c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</row>
    <row r="487" spans="1:21" ht="18.75" x14ac:dyDescent="0.25">
      <c r="A487" s="208"/>
      <c r="B487" s="158"/>
      <c r="C487" s="158"/>
      <c r="D487" s="158"/>
      <c r="E487" s="158"/>
      <c r="F487" s="158"/>
      <c r="G487" s="180"/>
      <c r="H487" s="133" t="s">
        <v>34</v>
      </c>
      <c r="I487" s="44"/>
      <c r="J487" s="166">
        <f ca="1">IFERROR(__xludf.DUMMYFUNCTION("IMPORTRANGE(""https://docs.google.com/spreadsheets/d/1jTcq05yEiRwXcBMLjiodW9e4biSGYWAHcDj22rKWQ3s/edit?usp=sharing"",""กำแพงเพชร!J487"")+IMPORTRANGE(""https://docs.google.com/spreadsheets/d/1KS0zmDSZPk8KnTAbGN-Xk6MtX1YRZD0ldgdt20K4CRk/edit?usp=sharing"","&amp;"""เชียงราย!J487"")+IMPORTRANGE(""https://docs.google.com/spreadsheets/d/1rEDxBtusbi64tE0zunoIbsTVV16HeL0oJ6trHQeQ7K8/edit?usp=sharing"",""เชียงใหม่!J487"")+IMPORTRANGE(""https://docs.google.com/spreadsheets/d/1W6MnUbDkMi6xHnHko_XkFDO9kkuL6Wqyc-6OCDFjW9I/e"&amp;"dit?usp=sharing"",""ตาก!J487"")+IMPORTRANGE(""https://docs.google.com/spreadsheets/d/1IQAWArduLkta9LpYo4a_ULsyqdta6-6aDDiwpUnQT6c/edit?usp=sharing"",""นครสวรรค์!J487"")+IMPORTRANGE(""https://docs.google.com/spreadsheets/d/10s13Sk5xrltsiR-Zkbmk5DwIaDIKO8Xl"&amp;"bJAfqyT7Gvg/edit?usp=sharing"",""น่าน!J487"")+IMPORTRANGE(""https://docs.google.com/spreadsheets/d/1uu4nAn4Dbi1XREnLKKotUANlKXa7yCgRcgq8HEzQYW8/edit?usp=sharing"",""พะเยา!J487"")+IMPORTRANGE(""https://docs.google.com/spreadsheets/d/1xfJKIQxVOaPDIICqsflNlL"&amp;"u3JacTDk1FP9RH4phX7mI/edit?usp=sharing"",""พิจิตร!J487"")+IMPORTRANGE(""https://docs.google.com/spreadsheets/d/1JtRfZkJMHtEhI5RdRHxYUG4FIZHqKDpNyIuN7A1Q0_k/edit?usp=sharing"",""พิษณุโลก!J487"")+IMPORTRANGE(""https://docs.google.com/spreadsheets/d/1xlcVZWU"&amp;"Nn6SuWm0c307h32SiGkd9BaeQWlAktfD3KO8/edit?usp=sharing"",""เพชรบูรณ์!J487"")+IMPORTRANGE(""https://docs.google.com/spreadsheets/d/1lOVebEIsI9qjGXl6EX66luk7wiuP2tBaryw-wKvv4e0/edit?usp=sharing"",""แพร่!J487"")+IMPORTRANGE(""https://docs.google.com/spreadshe"&amp;"ets/d/1dQrvX0vEcN7Gu0fnZ0B5S90AeR19zth4XlExFBeExMY/edit?usp=sharing"",""แม่ฮ่องสอน!J487"")+IMPORTRANGE(""https://docs.google.com/spreadsheets/d/1DY4XTNNwjluuxqdfdn6qvOSlMRrZqUtmYcZR0ttFiG4/edit?usp=sharing"",""ลำปาง!J487"")+IMPORTRANGE(""https://docs.goog"&amp;"le.com/spreadsheets/d/1ICwG78r0OFT8biBlxnBF8r7she7gNSzOvJ958PWT09c/edit?usp=sharing"",""ลำพูน!J487"")+IMPORTRANGE(""https://docs.google.com/spreadsheets/d/1B0f2xJpZUC6Z0xXnqKlZtEPzsf6L84eP1r1Q15seqRM/edit?usp=sharing"",""สุโขทัย!J487"")+IMPORTRANGE(""http"&amp;"s://docs.google.com/spreadsheets/d/1v0b9pFQCsKUVExMei7AgY2yQkdeNQvtOssygGsXbiKo/edit?usp=sharing"",""อุตรดิตถ์!J487"")+IMPORTRANGE(""https://docs.google.com/spreadsheets/d/1UsNK1e-WWiCo2PvGqdNfdme4m17_Ezd3J69EeeiQPD0/edit?usp=sharing"",""อุทัยธานี!J487"")"),0)</f>
        <v>0</v>
      </c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</row>
    <row r="488" spans="1:21" ht="18.75" x14ac:dyDescent="0.25">
      <c r="A488" s="208"/>
      <c r="B488" s="158"/>
      <c r="C488" s="158"/>
      <c r="D488" s="326" t="s">
        <v>196</v>
      </c>
      <c r="E488" s="158"/>
      <c r="F488" s="158"/>
      <c r="G488" s="180"/>
      <c r="H488" s="133" t="s">
        <v>46</v>
      </c>
      <c r="I488" s="44"/>
      <c r="J488" s="166">
        <f ca="1">IFERROR(__xludf.DUMMYFUNCTION("IMPORTRANGE(""https://docs.google.com/spreadsheets/d/1jTcq05yEiRwXcBMLjiodW9e4biSGYWAHcDj22rKWQ3s/edit?usp=sharing"",""กำแพงเพชร!J488"")+IMPORTRANGE(""https://docs.google.com/spreadsheets/d/1KS0zmDSZPk8KnTAbGN-Xk6MtX1YRZD0ldgdt20K4CRk/edit?usp=sharing"","&amp;"""เชียงราย!J488"")+IMPORTRANGE(""https://docs.google.com/spreadsheets/d/1rEDxBtusbi64tE0zunoIbsTVV16HeL0oJ6trHQeQ7K8/edit?usp=sharing"",""เชียงใหม่!J488"")+IMPORTRANGE(""https://docs.google.com/spreadsheets/d/1W6MnUbDkMi6xHnHko_XkFDO9kkuL6Wqyc-6OCDFjW9I/e"&amp;"dit?usp=sharing"",""ตาก!J488"")+IMPORTRANGE(""https://docs.google.com/spreadsheets/d/1IQAWArduLkta9LpYo4a_ULsyqdta6-6aDDiwpUnQT6c/edit?usp=sharing"",""นครสวรรค์!J488"")+IMPORTRANGE(""https://docs.google.com/spreadsheets/d/10s13Sk5xrltsiR-Zkbmk5DwIaDIKO8Xl"&amp;"bJAfqyT7Gvg/edit?usp=sharing"",""น่าน!J488"")+IMPORTRANGE(""https://docs.google.com/spreadsheets/d/1uu4nAn4Dbi1XREnLKKotUANlKXa7yCgRcgq8HEzQYW8/edit?usp=sharing"",""พะเยา!J488"")+IMPORTRANGE(""https://docs.google.com/spreadsheets/d/1xfJKIQxVOaPDIICqsflNlL"&amp;"u3JacTDk1FP9RH4phX7mI/edit?usp=sharing"",""พิจิตร!J488"")+IMPORTRANGE(""https://docs.google.com/spreadsheets/d/1JtRfZkJMHtEhI5RdRHxYUG4FIZHqKDpNyIuN7A1Q0_k/edit?usp=sharing"",""พิษณุโลก!J488"")+IMPORTRANGE(""https://docs.google.com/spreadsheets/d/1xlcVZWU"&amp;"Nn6SuWm0c307h32SiGkd9BaeQWlAktfD3KO8/edit?usp=sharing"",""เพชรบูรณ์!J488"")+IMPORTRANGE(""https://docs.google.com/spreadsheets/d/1lOVebEIsI9qjGXl6EX66luk7wiuP2tBaryw-wKvv4e0/edit?usp=sharing"",""แพร่!J488"")+IMPORTRANGE(""https://docs.google.com/spreadshe"&amp;"ets/d/1dQrvX0vEcN7Gu0fnZ0B5S90AeR19zth4XlExFBeExMY/edit?usp=sharing"",""แม่ฮ่องสอน!J488"")+IMPORTRANGE(""https://docs.google.com/spreadsheets/d/1DY4XTNNwjluuxqdfdn6qvOSlMRrZqUtmYcZR0ttFiG4/edit?usp=sharing"",""ลำปาง!J488"")+IMPORTRANGE(""https://docs.goog"&amp;"le.com/spreadsheets/d/1ICwG78r0OFT8biBlxnBF8r7she7gNSzOvJ958PWT09c/edit?usp=sharing"",""ลำพูน!J488"")+IMPORTRANGE(""https://docs.google.com/spreadsheets/d/1B0f2xJpZUC6Z0xXnqKlZtEPzsf6L84eP1r1Q15seqRM/edit?usp=sharing"",""สุโขทัย!J488"")+IMPORTRANGE(""http"&amp;"s://docs.google.com/spreadsheets/d/1v0b9pFQCsKUVExMei7AgY2yQkdeNQvtOssygGsXbiKo/edit?usp=sharing"",""อุตรดิตถ์!J488"")+IMPORTRANGE(""https://docs.google.com/spreadsheets/d/1UsNK1e-WWiCo2PvGqdNfdme4m17_Ezd3J69EeeiQPD0/edit?usp=sharing"",""อุทัยธานี!J488"")"),0)</f>
        <v>0</v>
      </c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</row>
    <row r="489" spans="1:21" ht="18.75" x14ac:dyDescent="0.25">
      <c r="A489" s="208"/>
      <c r="B489" s="158"/>
      <c r="C489" s="158"/>
      <c r="D489" s="158"/>
      <c r="E489" s="158"/>
      <c r="F489" s="158"/>
      <c r="G489" s="180"/>
      <c r="H489" s="133" t="s">
        <v>34</v>
      </c>
      <c r="I489" s="44"/>
      <c r="J489" s="166">
        <f ca="1">IFERROR(__xludf.DUMMYFUNCTION("IMPORTRANGE(""https://docs.google.com/spreadsheets/d/1jTcq05yEiRwXcBMLjiodW9e4biSGYWAHcDj22rKWQ3s/edit?usp=sharing"",""กำแพงเพชร!J489"")+IMPORTRANGE(""https://docs.google.com/spreadsheets/d/1KS0zmDSZPk8KnTAbGN-Xk6MtX1YRZD0ldgdt20K4CRk/edit?usp=sharing"","&amp;"""เชียงราย!J489"")+IMPORTRANGE(""https://docs.google.com/spreadsheets/d/1rEDxBtusbi64tE0zunoIbsTVV16HeL0oJ6trHQeQ7K8/edit?usp=sharing"",""เชียงใหม่!J489"")+IMPORTRANGE(""https://docs.google.com/spreadsheets/d/1W6MnUbDkMi6xHnHko_XkFDO9kkuL6Wqyc-6OCDFjW9I/e"&amp;"dit?usp=sharing"",""ตาก!J489"")+IMPORTRANGE(""https://docs.google.com/spreadsheets/d/1IQAWArduLkta9LpYo4a_ULsyqdta6-6aDDiwpUnQT6c/edit?usp=sharing"",""นครสวรรค์!J489"")+IMPORTRANGE(""https://docs.google.com/spreadsheets/d/10s13Sk5xrltsiR-Zkbmk5DwIaDIKO8Xl"&amp;"bJAfqyT7Gvg/edit?usp=sharing"",""น่าน!J489"")+IMPORTRANGE(""https://docs.google.com/spreadsheets/d/1uu4nAn4Dbi1XREnLKKotUANlKXa7yCgRcgq8HEzQYW8/edit?usp=sharing"",""พะเยา!J489"")+IMPORTRANGE(""https://docs.google.com/spreadsheets/d/1xfJKIQxVOaPDIICqsflNlL"&amp;"u3JacTDk1FP9RH4phX7mI/edit?usp=sharing"",""พิจิตร!J489"")+IMPORTRANGE(""https://docs.google.com/spreadsheets/d/1JtRfZkJMHtEhI5RdRHxYUG4FIZHqKDpNyIuN7A1Q0_k/edit?usp=sharing"",""พิษณุโลก!J489"")+IMPORTRANGE(""https://docs.google.com/spreadsheets/d/1xlcVZWU"&amp;"Nn6SuWm0c307h32SiGkd9BaeQWlAktfD3KO8/edit?usp=sharing"",""เพชรบูรณ์!J489"")+IMPORTRANGE(""https://docs.google.com/spreadsheets/d/1lOVebEIsI9qjGXl6EX66luk7wiuP2tBaryw-wKvv4e0/edit?usp=sharing"",""แพร่!J489"")+IMPORTRANGE(""https://docs.google.com/spreadshe"&amp;"ets/d/1dQrvX0vEcN7Gu0fnZ0B5S90AeR19zth4XlExFBeExMY/edit?usp=sharing"",""แม่ฮ่องสอน!J489"")+IMPORTRANGE(""https://docs.google.com/spreadsheets/d/1DY4XTNNwjluuxqdfdn6qvOSlMRrZqUtmYcZR0ttFiG4/edit?usp=sharing"",""ลำปาง!J489"")+IMPORTRANGE(""https://docs.goog"&amp;"le.com/spreadsheets/d/1ICwG78r0OFT8biBlxnBF8r7she7gNSzOvJ958PWT09c/edit?usp=sharing"",""ลำพูน!J489"")+IMPORTRANGE(""https://docs.google.com/spreadsheets/d/1B0f2xJpZUC6Z0xXnqKlZtEPzsf6L84eP1r1Q15seqRM/edit?usp=sharing"",""สุโขทัย!J489"")+IMPORTRANGE(""http"&amp;"s://docs.google.com/spreadsheets/d/1v0b9pFQCsKUVExMei7AgY2yQkdeNQvtOssygGsXbiKo/edit?usp=sharing"",""อุตรดิตถ์!J489"")+IMPORTRANGE(""https://docs.google.com/spreadsheets/d/1UsNK1e-WWiCo2PvGqdNfdme4m17_Ezd3J69EeeiQPD0/edit?usp=sharing"",""อุทัยธานี!J489"")"),0)</f>
        <v>0</v>
      </c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</row>
    <row r="490" spans="1:21" ht="18.75" x14ac:dyDescent="0.25">
      <c r="A490" s="208"/>
      <c r="B490" s="158"/>
      <c r="C490" s="158"/>
      <c r="D490" s="326" t="s">
        <v>197</v>
      </c>
      <c r="E490" s="158"/>
      <c r="F490" s="158"/>
      <c r="G490" s="180"/>
      <c r="H490" s="133" t="s">
        <v>46</v>
      </c>
      <c r="I490" s="44"/>
      <c r="J490" s="166">
        <f ca="1">IFERROR(__xludf.DUMMYFUNCTION("IMPORTRANGE(""https://docs.google.com/spreadsheets/d/1jTcq05yEiRwXcBMLjiodW9e4biSGYWAHcDj22rKWQ3s/edit?usp=sharing"",""กำแพงเพชร!J490"")+IMPORTRANGE(""https://docs.google.com/spreadsheets/d/1KS0zmDSZPk8KnTAbGN-Xk6MtX1YRZD0ldgdt20K4CRk/edit?usp=sharing"","&amp;"""เชียงราย!J490"")+IMPORTRANGE(""https://docs.google.com/spreadsheets/d/1rEDxBtusbi64tE0zunoIbsTVV16HeL0oJ6trHQeQ7K8/edit?usp=sharing"",""เชียงใหม่!J490"")+IMPORTRANGE(""https://docs.google.com/spreadsheets/d/1W6MnUbDkMi6xHnHko_XkFDO9kkuL6Wqyc-6OCDFjW9I/e"&amp;"dit?usp=sharing"",""ตาก!J490"")+IMPORTRANGE(""https://docs.google.com/spreadsheets/d/1IQAWArduLkta9LpYo4a_ULsyqdta6-6aDDiwpUnQT6c/edit?usp=sharing"",""นครสวรรค์!J490"")+IMPORTRANGE(""https://docs.google.com/spreadsheets/d/10s13Sk5xrltsiR-Zkbmk5DwIaDIKO8Xl"&amp;"bJAfqyT7Gvg/edit?usp=sharing"",""น่าน!J490"")+IMPORTRANGE(""https://docs.google.com/spreadsheets/d/1uu4nAn4Dbi1XREnLKKotUANlKXa7yCgRcgq8HEzQYW8/edit?usp=sharing"",""พะเยา!J490"")+IMPORTRANGE(""https://docs.google.com/spreadsheets/d/1xfJKIQxVOaPDIICqsflNlL"&amp;"u3JacTDk1FP9RH4phX7mI/edit?usp=sharing"",""พิจิตร!J490"")+IMPORTRANGE(""https://docs.google.com/spreadsheets/d/1JtRfZkJMHtEhI5RdRHxYUG4FIZHqKDpNyIuN7A1Q0_k/edit?usp=sharing"",""พิษณุโลก!J490"")+IMPORTRANGE(""https://docs.google.com/spreadsheets/d/1xlcVZWU"&amp;"Nn6SuWm0c307h32SiGkd9BaeQWlAktfD3KO8/edit?usp=sharing"",""เพชรบูรณ์!J490"")+IMPORTRANGE(""https://docs.google.com/spreadsheets/d/1lOVebEIsI9qjGXl6EX66luk7wiuP2tBaryw-wKvv4e0/edit?usp=sharing"",""แพร่!J490"")+IMPORTRANGE(""https://docs.google.com/spreadshe"&amp;"ets/d/1dQrvX0vEcN7Gu0fnZ0B5S90AeR19zth4XlExFBeExMY/edit?usp=sharing"",""แม่ฮ่องสอน!J490"")+IMPORTRANGE(""https://docs.google.com/spreadsheets/d/1DY4XTNNwjluuxqdfdn6qvOSlMRrZqUtmYcZR0ttFiG4/edit?usp=sharing"",""ลำปาง!J490"")+IMPORTRANGE(""https://docs.goog"&amp;"le.com/spreadsheets/d/1ICwG78r0OFT8biBlxnBF8r7she7gNSzOvJ958PWT09c/edit?usp=sharing"",""ลำพูน!J490"")+IMPORTRANGE(""https://docs.google.com/spreadsheets/d/1B0f2xJpZUC6Z0xXnqKlZtEPzsf6L84eP1r1Q15seqRM/edit?usp=sharing"",""สุโขทัย!J490"")+IMPORTRANGE(""http"&amp;"s://docs.google.com/spreadsheets/d/1v0b9pFQCsKUVExMei7AgY2yQkdeNQvtOssygGsXbiKo/edit?usp=sharing"",""อุตรดิตถ์!J490"")+IMPORTRANGE(""https://docs.google.com/spreadsheets/d/1UsNK1e-WWiCo2PvGqdNfdme4m17_Ezd3J69EeeiQPD0/edit?usp=sharing"",""อุทัยธานี!J490"")"),0)</f>
        <v>0</v>
      </c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</row>
    <row r="491" spans="1:21" ht="18.75" x14ac:dyDescent="0.25">
      <c r="A491" s="329"/>
      <c r="B491" s="2"/>
      <c r="C491" s="2"/>
      <c r="D491" s="2"/>
      <c r="E491" s="2"/>
      <c r="F491" s="2"/>
      <c r="G491" s="330"/>
      <c r="H491" s="331" t="s">
        <v>34</v>
      </c>
      <c r="I491" s="54"/>
      <c r="J491" s="187">
        <f ca="1">IFERROR(__xludf.DUMMYFUNCTION("IMPORTRANGE(""https://docs.google.com/spreadsheets/d/1jTcq05yEiRwXcBMLjiodW9e4biSGYWAHcDj22rKWQ3s/edit?usp=sharing"",""กำแพงเพชร!J491"")+IMPORTRANGE(""https://docs.google.com/spreadsheets/d/1KS0zmDSZPk8KnTAbGN-Xk6MtX1YRZD0ldgdt20K4CRk/edit?usp=sharing"","&amp;"""เชียงราย!J491"")+IMPORTRANGE(""https://docs.google.com/spreadsheets/d/1rEDxBtusbi64tE0zunoIbsTVV16HeL0oJ6trHQeQ7K8/edit?usp=sharing"",""เชียงใหม่!J491"")+IMPORTRANGE(""https://docs.google.com/spreadsheets/d/1W6MnUbDkMi6xHnHko_XkFDO9kkuL6Wqyc-6OCDFjW9I/e"&amp;"dit?usp=sharing"",""ตาก!J491"")+IMPORTRANGE(""https://docs.google.com/spreadsheets/d/1IQAWArduLkta9LpYo4a_ULsyqdta6-6aDDiwpUnQT6c/edit?usp=sharing"",""นครสวรรค์!J491"")+IMPORTRANGE(""https://docs.google.com/spreadsheets/d/10s13Sk5xrltsiR-Zkbmk5DwIaDIKO8Xl"&amp;"bJAfqyT7Gvg/edit?usp=sharing"",""น่าน!J491"")+IMPORTRANGE(""https://docs.google.com/spreadsheets/d/1uu4nAn4Dbi1XREnLKKotUANlKXa7yCgRcgq8HEzQYW8/edit?usp=sharing"",""พะเยา!J491"")+IMPORTRANGE(""https://docs.google.com/spreadsheets/d/1xfJKIQxVOaPDIICqsflNlL"&amp;"u3JacTDk1FP9RH4phX7mI/edit?usp=sharing"",""พิจิตร!J491"")+IMPORTRANGE(""https://docs.google.com/spreadsheets/d/1JtRfZkJMHtEhI5RdRHxYUG4FIZHqKDpNyIuN7A1Q0_k/edit?usp=sharing"",""พิษณุโลก!J491"")+IMPORTRANGE(""https://docs.google.com/spreadsheets/d/1xlcVZWU"&amp;"Nn6SuWm0c307h32SiGkd9BaeQWlAktfD3KO8/edit?usp=sharing"",""เพชรบูรณ์!J491"")+IMPORTRANGE(""https://docs.google.com/spreadsheets/d/1lOVebEIsI9qjGXl6EX66luk7wiuP2tBaryw-wKvv4e0/edit?usp=sharing"",""แพร่!J491"")+IMPORTRANGE(""https://docs.google.com/spreadshe"&amp;"ets/d/1dQrvX0vEcN7Gu0fnZ0B5S90AeR19zth4XlExFBeExMY/edit?usp=sharing"",""แม่ฮ่องสอน!J491"")+IMPORTRANGE(""https://docs.google.com/spreadsheets/d/1DY4XTNNwjluuxqdfdn6qvOSlMRrZqUtmYcZR0ttFiG4/edit?usp=sharing"",""ลำปาง!J491"")+IMPORTRANGE(""https://docs.goog"&amp;"le.com/spreadsheets/d/1ICwG78r0OFT8biBlxnBF8r7she7gNSzOvJ958PWT09c/edit?usp=sharing"",""ลำพูน!J491"")+IMPORTRANGE(""https://docs.google.com/spreadsheets/d/1B0f2xJpZUC6Z0xXnqKlZtEPzsf6L84eP1r1Q15seqRM/edit?usp=sharing"",""สุโขทัย!J491"")+IMPORTRANGE(""http"&amp;"s://docs.google.com/spreadsheets/d/1v0b9pFQCsKUVExMei7AgY2yQkdeNQvtOssygGsXbiKo/edit?usp=sharing"",""อุตรดิตถ์!J491"")+IMPORTRANGE(""https://docs.google.com/spreadsheets/d/1UsNK1e-WWiCo2PvGqdNfdme4m17_Ezd3J69EeeiQPD0/edit?usp=sharing"",""อุทัยธานี!J491"")"),0)</f>
        <v>0</v>
      </c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9.5" x14ac:dyDescent="0.3">
      <c r="A492" s="299"/>
      <c r="B492" s="310" t="s">
        <v>198</v>
      </c>
      <c r="C492" s="301"/>
      <c r="D492" s="301"/>
      <c r="E492" s="293"/>
      <c r="F492" s="293"/>
      <c r="G492" s="294"/>
      <c r="H492" s="321" t="s">
        <v>35</v>
      </c>
      <c r="I492" s="296">
        <f t="shared" ref="I492:J492" ca="1" si="345">I503</f>
        <v>60</v>
      </c>
      <c r="J492" s="296">
        <f t="shared" ca="1" si="345"/>
        <v>0</v>
      </c>
      <c r="K492" s="297">
        <f ca="1">IF(I492&gt;0,J492*100/I492,0)</f>
        <v>0</v>
      </c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</row>
    <row r="493" spans="1:21" ht="19.5" x14ac:dyDescent="0.3">
      <c r="A493" s="128"/>
      <c r="B493" s="158"/>
      <c r="C493" s="177" t="s">
        <v>18</v>
      </c>
      <c r="D493" s="1298" t="s">
        <v>19</v>
      </c>
      <c r="E493" s="1292"/>
      <c r="F493" s="1292"/>
      <c r="G493" s="42"/>
      <c r="H493" s="221" t="s">
        <v>14</v>
      </c>
      <c r="I493" s="44"/>
      <c r="J493" s="44"/>
      <c r="K493" s="45"/>
      <c r="L493" s="132">
        <f t="shared" ref="L493:N493" ca="1" si="346">L494+L495</f>
        <v>30100</v>
      </c>
      <c r="M493" s="132">
        <f t="shared" ca="1" si="346"/>
        <v>0</v>
      </c>
      <c r="N493" s="132">
        <f t="shared" ca="1" si="346"/>
        <v>0</v>
      </c>
      <c r="O493" s="132">
        <f t="shared" ref="O493:O501" ca="1" si="347">IF(L493&gt;0,N493*100/L493,0)</f>
        <v>0</v>
      </c>
      <c r="P493" s="132">
        <f t="shared" ref="P493:P501" ca="1" si="348">IF(M493&gt;0,N493*100/M493,0)</f>
        <v>0</v>
      </c>
      <c r="Q493" s="132">
        <f t="shared" ref="Q493:S493" ca="1" si="349">Q494+Q495</f>
        <v>741945</v>
      </c>
      <c r="R493" s="132">
        <f t="shared" ca="1" si="349"/>
        <v>741945</v>
      </c>
      <c r="S493" s="132">
        <f t="shared" ca="1" si="349"/>
        <v>87960</v>
      </c>
      <c r="T493" s="132">
        <f t="shared" ref="T493:T501" ca="1" si="350">IF(Q493&gt;0,S493*100/Q493,0)</f>
        <v>11.855326203424783</v>
      </c>
      <c r="U493" s="132">
        <f t="shared" ref="U493:U501" ca="1" si="351">IF(R493&gt;0,S493*100/R493,0)</f>
        <v>11.855326203424783</v>
      </c>
    </row>
    <row r="494" spans="1:21" ht="18.75" x14ac:dyDescent="0.25">
      <c r="A494" s="128"/>
      <c r="B494" s="158"/>
      <c r="C494" s="158"/>
      <c r="D494" s="139"/>
      <c r="E494" s="156" t="s">
        <v>158</v>
      </c>
      <c r="F494" s="40"/>
      <c r="G494" s="42"/>
      <c r="H494" s="159" t="s">
        <v>14</v>
      </c>
      <c r="I494" s="44"/>
      <c r="J494" s="44"/>
      <c r="K494" s="45"/>
      <c r="L494" s="48">
        <f t="shared" ref="L494:N494" ca="1" si="352">L497+L500</f>
        <v>0</v>
      </c>
      <c r="M494" s="48">
        <f t="shared" ca="1" si="352"/>
        <v>0</v>
      </c>
      <c r="N494" s="48">
        <f t="shared" ca="1" si="352"/>
        <v>0</v>
      </c>
      <c r="O494" s="48">
        <f t="shared" ca="1" si="347"/>
        <v>0</v>
      </c>
      <c r="P494" s="48">
        <f t="shared" ca="1" si="348"/>
        <v>0</v>
      </c>
      <c r="Q494" s="48">
        <f t="shared" ref="Q494:S494" ca="1" si="353">Q497+Q500</f>
        <v>0</v>
      </c>
      <c r="R494" s="48">
        <f t="shared" ca="1" si="353"/>
        <v>0</v>
      </c>
      <c r="S494" s="48">
        <f t="shared" ca="1" si="353"/>
        <v>0</v>
      </c>
      <c r="T494" s="48">
        <f t="shared" ca="1" si="350"/>
        <v>0</v>
      </c>
      <c r="U494" s="48">
        <f t="shared" ca="1" si="351"/>
        <v>0</v>
      </c>
    </row>
    <row r="495" spans="1:21" ht="18.75" x14ac:dyDescent="0.25">
      <c r="A495" s="128"/>
      <c r="B495" s="158"/>
      <c r="C495" s="158"/>
      <c r="D495" s="139"/>
      <c r="E495" s="47" t="s">
        <v>159</v>
      </c>
      <c r="F495" s="40"/>
      <c r="G495" s="42"/>
      <c r="H495" s="134" t="s">
        <v>14</v>
      </c>
      <c r="I495" s="44"/>
      <c r="J495" s="44"/>
      <c r="K495" s="45"/>
      <c r="L495" s="46">
        <f t="shared" ref="L495:N495" ca="1" si="354">L498+L501</f>
        <v>30100</v>
      </c>
      <c r="M495" s="46">
        <f t="shared" ca="1" si="354"/>
        <v>0</v>
      </c>
      <c r="N495" s="46">
        <f t="shared" ca="1" si="354"/>
        <v>0</v>
      </c>
      <c r="O495" s="46">
        <f t="shared" ca="1" si="347"/>
        <v>0</v>
      </c>
      <c r="P495" s="46">
        <f t="shared" ca="1" si="348"/>
        <v>0</v>
      </c>
      <c r="Q495" s="46">
        <f t="shared" ref="Q495:S495" ca="1" si="355">Q498+Q501</f>
        <v>741945</v>
      </c>
      <c r="R495" s="46">
        <f t="shared" ca="1" si="355"/>
        <v>741945</v>
      </c>
      <c r="S495" s="46">
        <f t="shared" ca="1" si="355"/>
        <v>87960</v>
      </c>
      <c r="T495" s="46">
        <f t="shared" ca="1" si="350"/>
        <v>11.855326203424783</v>
      </c>
      <c r="U495" s="46">
        <f t="shared" ca="1" si="351"/>
        <v>11.855326203424783</v>
      </c>
    </row>
    <row r="496" spans="1:21" ht="18.75" x14ac:dyDescent="0.25">
      <c r="A496" s="128"/>
      <c r="B496" s="158"/>
      <c r="C496" s="158"/>
      <c r="D496" s="160" t="s">
        <v>22</v>
      </c>
      <c r="E496" s="40"/>
      <c r="F496" s="40"/>
      <c r="G496" s="42"/>
      <c r="H496" s="134" t="s">
        <v>14</v>
      </c>
      <c r="I496" s="135"/>
      <c r="J496" s="135"/>
      <c r="K496" s="136"/>
      <c r="L496" s="46">
        <f t="shared" ref="L496:N496" ca="1" si="356">L497+L498</f>
        <v>30100</v>
      </c>
      <c r="M496" s="46">
        <f t="shared" ca="1" si="356"/>
        <v>0</v>
      </c>
      <c r="N496" s="46">
        <f t="shared" ca="1" si="356"/>
        <v>0</v>
      </c>
      <c r="O496" s="46">
        <f t="shared" ca="1" si="347"/>
        <v>0</v>
      </c>
      <c r="P496" s="46">
        <f t="shared" ca="1" si="348"/>
        <v>0</v>
      </c>
      <c r="Q496" s="46">
        <f t="shared" ref="Q496:S496" ca="1" si="357">Q497+Q498</f>
        <v>741945</v>
      </c>
      <c r="R496" s="46">
        <f t="shared" ca="1" si="357"/>
        <v>741945</v>
      </c>
      <c r="S496" s="46">
        <f t="shared" ca="1" si="357"/>
        <v>87960</v>
      </c>
      <c r="T496" s="46">
        <f t="shared" ca="1" si="350"/>
        <v>11.855326203424783</v>
      </c>
      <c r="U496" s="46">
        <f t="shared" ca="1" si="351"/>
        <v>11.855326203424783</v>
      </c>
    </row>
    <row r="497" spans="1:21" ht="18.75" x14ac:dyDescent="0.25">
      <c r="A497" s="128"/>
      <c r="B497" s="158"/>
      <c r="C497" s="158"/>
      <c r="D497" s="139"/>
      <c r="E497" s="156" t="s">
        <v>158</v>
      </c>
      <c r="F497" s="40"/>
      <c r="G497" s="42"/>
      <c r="H497" s="159" t="s">
        <v>14</v>
      </c>
      <c r="I497" s="44"/>
      <c r="J497" s="44"/>
      <c r="K497" s="45"/>
      <c r="L497" s="48">
        <f ca="1">IFERROR(__xludf.DUMMYFUNCTION("IMPORTRANGE(""https://docs.google.com/spreadsheets/d/1jTcq05yEiRwXcBMLjiodW9e4biSGYWAHcDj22rKWQ3s/edit?usp=sharing"",""กำแพงเพชร!L497"")+IMPORTRANGE(""https://docs.google.com/spreadsheets/d/1KS0zmDSZPk8KnTAbGN-Xk6MtX1YRZD0ldgdt20K4CRk/edit?usp=sharing"","&amp;"""เชียงราย!L497"")+IMPORTRANGE(""https://docs.google.com/spreadsheets/d/1rEDxBtusbi64tE0zunoIbsTVV16HeL0oJ6trHQeQ7K8/edit?usp=sharing"",""เชียงใหม่!L497"")+IMPORTRANGE(""https://docs.google.com/spreadsheets/d/1W6MnUbDkMi6xHnHko_XkFDO9kkuL6Wqyc-6OCDFjW9I/e"&amp;"dit?usp=sharing"",""ตาก!L497"")+IMPORTRANGE(""https://docs.google.com/spreadsheets/d/1IQAWArduLkta9LpYo4a_ULsyqdta6-6aDDiwpUnQT6c/edit?usp=sharing"",""นครสวรรค์!L497"")+IMPORTRANGE(""https://docs.google.com/spreadsheets/d/10s13Sk5xrltsiR-Zkbmk5DwIaDIKO8Xl"&amp;"bJAfqyT7Gvg/edit?usp=sharing"",""น่าน!L497"")+IMPORTRANGE(""https://docs.google.com/spreadsheets/d/1uu4nAn4Dbi1XREnLKKotUANlKXa7yCgRcgq8HEzQYW8/edit?usp=sharing"",""พะเยา!L497"")+IMPORTRANGE(""https://docs.google.com/spreadsheets/d/1xfJKIQxVOaPDIICqsflNlL"&amp;"u3JacTDk1FP9RH4phX7mI/edit?usp=sharing"",""พิจิตร!L497"")+IMPORTRANGE(""https://docs.google.com/spreadsheets/d/1JtRfZkJMHtEhI5RdRHxYUG4FIZHqKDpNyIuN7A1Q0_k/edit?usp=sharing"",""พิษณุโลก!L497"")+IMPORTRANGE(""https://docs.google.com/spreadsheets/d/1xlcVZWU"&amp;"Nn6SuWm0c307h32SiGkd9BaeQWlAktfD3KO8/edit?usp=sharing"",""เพชรบูรณ์!L497"")+IMPORTRANGE(""https://docs.google.com/spreadsheets/d/1lOVebEIsI9qjGXl6EX66luk7wiuP2tBaryw-wKvv4e0/edit?usp=sharing"",""แพร่!L497"")+IMPORTRANGE(""https://docs.google.com/spreadshe"&amp;"ets/d/1dQrvX0vEcN7Gu0fnZ0B5S90AeR19zth4XlExFBeExMY/edit?usp=sharing"",""แม่ฮ่องสอน!L497"")+IMPORTRANGE(""https://docs.google.com/spreadsheets/d/1DY4XTNNwjluuxqdfdn6qvOSlMRrZqUtmYcZR0ttFiG4/edit?usp=sharing"",""ลำปาง!L497"")+IMPORTRANGE(""https://docs.goog"&amp;"le.com/spreadsheets/d/1ICwG78r0OFT8biBlxnBF8r7she7gNSzOvJ958PWT09c/edit?usp=sharing"",""ลำพูน!L497"")+IMPORTRANGE(""https://docs.google.com/spreadsheets/d/1B0f2xJpZUC6Z0xXnqKlZtEPzsf6L84eP1r1Q15seqRM/edit?usp=sharing"",""สุโขทัย!L497"")+IMPORTRANGE(""http"&amp;"s://docs.google.com/spreadsheets/d/1v0b9pFQCsKUVExMei7AgY2yQkdeNQvtOssygGsXbiKo/edit?usp=sharing"",""อุตรดิตถ์!L497"")+IMPORTRANGE(""https://docs.google.com/spreadsheets/d/1UsNK1e-WWiCo2PvGqdNfdme4m17_Ezd3J69EeeiQPD0/edit?usp=sharing"",""อุทัยธานี!L497"")"),0)</f>
        <v>0</v>
      </c>
      <c r="M497" s="48">
        <f ca="1">IFERROR(__xludf.DUMMYFUNCTION("IMPORTRANGE(""https://docs.google.com/spreadsheets/d/1jTcq05yEiRwXcBMLjiodW9e4biSGYWAHcDj22rKWQ3s/edit?usp=sharing"",""กำแพงเพชร!M497"")+IMPORTRANGE(""https://docs.google.com/spreadsheets/d/1KS0zmDSZPk8KnTAbGN-Xk6MtX1YRZD0ldgdt20K4CRk/edit?usp=sharing"","&amp;"""เชียงราย!M497"")+IMPORTRANGE(""https://docs.google.com/spreadsheets/d/1rEDxBtusbi64tE0zunoIbsTVV16HeL0oJ6trHQeQ7K8/edit?usp=sharing"",""เชียงใหม่!M497"")+IMPORTRANGE(""https://docs.google.com/spreadsheets/d/1W6MnUbDkMi6xHnHko_XkFDO9kkuL6Wqyc-6OCDFjW9I/e"&amp;"dit?usp=sharing"",""ตาก!M497"")+IMPORTRANGE(""https://docs.google.com/spreadsheets/d/1IQAWArduLkta9LpYo4a_ULsyqdta6-6aDDiwpUnQT6c/edit?usp=sharing"",""นครสวรรค์!M497"")+IMPORTRANGE(""https://docs.google.com/spreadsheets/d/10s13Sk5xrltsiR-Zkbmk5DwIaDIKO8Xl"&amp;"bJAfqyT7Gvg/edit?usp=sharing"",""น่าน!M497"")+IMPORTRANGE(""https://docs.google.com/spreadsheets/d/1uu4nAn4Dbi1XREnLKKotUANlKXa7yCgRcgq8HEzQYW8/edit?usp=sharing"",""พะเยา!M497"")+IMPORTRANGE(""https://docs.google.com/spreadsheets/d/1xfJKIQxVOaPDIICqsflNlL"&amp;"u3JacTDk1FP9RH4phX7mI/edit?usp=sharing"",""พิจิตร!M497"")+IMPORTRANGE(""https://docs.google.com/spreadsheets/d/1JtRfZkJMHtEhI5RdRHxYUG4FIZHqKDpNyIuN7A1Q0_k/edit?usp=sharing"",""พิษณุโลก!M497"")+IMPORTRANGE(""https://docs.google.com/spreadsheets/d/1xlcVZWU"&amp;"Nn6SuWm0c307h32SiGkd9BaeQWlAktfD3KO8/edit?usp=sharing"",""เพชรบูรณ์!M497"")+IMPORTRANGE(""https://docs.google.com/spreadsheets/d/1lOVebEIsI9qjGXl6EX66luk7wiuP2tBaryw-wKvv4e0/edit?usp=sharing"",""แพร่!M497"")+IMPORTRANGE(""https://docs.google.com/spreadshe"&amp;"ets/d/1dQrvX0vEcN7Gu0fnZ0B5S90AeR19zth4XlExFBeExMY/edit?usp=sharing"",""แม่ฮ่องสอน!M497"")+IMPORTRANGE(""https://docs.google.com/spreadsheets/d/1DY4XTNNwjluuxqdfdn6qvOSlMRrZqUtmYcZR0ttFiG4/edit?usp=sharing"",""ลำปาง!M497"")+IMPORTRANGE(""https://docs.goog"&amp;"le.com/spreadsheets/d/1ICwG78r0OFT8biBlxnBF8r7she7gNSzOvJ958PWT09c/edit?usp=sharing"",""ลำพูน!M497"")+IMPORTRANGE(""https://docs.google.com/spreadsheets/d/1B0f2xJpZUC6Z0xXnqKlZtEPzsf6L84eP1r1Q15seqRM/edit?usp=sharing"",""สุโขทัย!M497"")+IMPORTRANGE(""http"&amp;"s://docs.google.com/spreadsheets/d/1v0b9pFQCsKUVExMei7AgY2yQkdeNQvtOssygGsXbiKo/edit?usp=sharing"",""อุตรดิตถ์!M497"")+IMPORTRANGE(""https://docs.google.com/spreadsheets/d/1UsNK1e-WWiCo2PvGqdNfdme4m17_Ezd3J69EeeiQPD0/edit?usp=sharing"",""อุทัยธานี!M497"")"),0)</f>
        <v>0</v>
      </c>
      <c r="N497" s="48">
        <f ca="1">IFERROR(__xludf.DUMMYFUNCTION("IMPORTRANGE(""https://docs.google.com/spreadsheets/d/1jTcq05yEiRwXcBMLjiodW9e4biSGYWAHcDj22rKWQ3s/edit?usp=sharing"",""กำแพงเพชร!N497"")+IMPORTRANGE(""https://docs.google.com/spreadsheets/d/1KS0zmDSZPk8KnTAbGN-Xk6MtX1YRZD0ldgdt20K4CRk/edit?usp=sharing"","&amp;"""เชียงราย!N497"")+IMPORTRANGE(""https://docs.google.com/spreadsheets/d/1rEDxBtusbi64tE0zunoIbsTVV16HeL0oJ6trHQeQ7K8/edit?usp=sharing"",""เชียงใหม่!N497"")+IMPORTRANGE(""https://docs.google.com/spreadsheets/d/1W6MnUbDkMi6xHnHko_XkFDO9kkuL6Wqyc-6OCDFjW9I/e"&amp;"dit?usp=sharing"",""ตาก!N497"")+IMPORTRANGE(""https://docs.google.com/spreadsheets/d/1IQAWArduLkta9LpYo4a_ULsyqdta6-6aDDiwpUnQT6c/edit?usp=sharing"",""นครสวรรค์!N497"")+IMPORTRANGE(""https://docs.google.com/spreadsheets/d/10s13Sk5xrltsiR-Zkbmk5DwIaDIKO8Xl"&amp;"bJAfqyT7Gvg/edit?usp=sharing"",""น่าน!N497"")+IMPORTRANGE(""https://docs.google.com/spreadsheets/d/1uu4nAn4Dbi1XREnLKKotUANlKXa7yCgRcgq8HEzQYW8/edit?usp=sharing"",""พะเยา!N497"")+IMPORTRANGE(""https://docs.google.com/spreadsheets/d/1xfJKIQxVOaPDIICqsflNlL"&amp;"u3JacTDk1FP9RH4phX7mI/edit?usp=sharing"",""พิจิตร!N497"")+IMPORTRANGE(""https://docs.google.com/spreadsheets/d/1JtRfZkJMHtEhI5RdRHxYUG4FIZHqKDpNyIuN7A1Q0_k/edit?usp=sharing"",""พิษณุโลก!N497"")+IMPORTRANGE(""https://docs.google.com/spreadsheets/d/1xlcVZWU"&amp;"Nn6SuWm0c307h32SiGkd9BaeQWlAktfD3KO8/edit?usp=sharing"",""เพชรบูรณ์!N497"")+IMPORTRANGE(""https://docs.google.com/spreadsheets/d/1lOVebEIsI9qjGXl6EX66luk7wiuP2tBaryw-wKvv4e0/edit?usp=sharing"",""แพร่!N497"")+IMPORTRANGE(""https://docs.google.com/spreadshe"&amp;"ets/d/1dQrvX0vEcN7Gu0fnZ0B5S90AeR19zth4XlExFBeExMY/edit?usp=sharing"",""แม่ฮ่องสอน!N497"")+IMPORTRANGE(""https://docs.google.com/spreadsheets/d/1DY4XTNNwjluuxqdfdn6qvOSlMRrZqUtmYcZR0ttFiG4/edit?usp=sharing"",""ลำปาง!N497"")+IMPORTRANGE(""https://docs.goog"&amp;"le.com/spreadsheets/d/1ICwG78r0OFT8biBlxnBF8r7she7gNSzOvJ958PWT09c/edit?usp=sharing"",""ลำพูน!N497"")+IMPORTRANGE(""https://docs.google.com/spreadsheets/d/1B0f2xJpZUC6Z0xXnqKlZtEPzsf6L84eP1r1Q15seqRM/edit?usp=sharing"",""สุโขทัย!N497"")+IMPORTRANGE(""http"&amp;"s://docs.google.com/spreadsheets/d/1v0b9pFQCsKUVExMei7AgY2yQkdeNQvtOssygGsXbiKo/edit?usp=sharing"",""อุตรดิตถ์!N497"")+IMPORTRANGE(""https://docs.google.com/spreadsheets/d/1UsNK1e-WWiCo2PvGqdNfdme4m17_Ezd3J69EeeiQPD0/edit?usp=sharing"",""อุทัยธานี!N497"")"),0)</f>
        <v>0</v>
      </c>
      <c r="O497" s="48">
        <f t="shared" ca="1" si="347"/>
        <v>0</v>
      </c>
      <c r="P497" s="48">
        <f t="shared" ca="1" si="348"/>
        <v>0</v>
      </c>
      <c r="Q497" s="48">
        <f ca="1">IFERROR(__xludf.DUMMYFUNCTION("IMPORTRANGE(""https://docs.google.com/spreadsheets/d/1jTcq05yEiRwXcBMLjiodW9e4biSGYWAHcDj22rKWQ3s/edit?usp=sharing"",""กำแพงเพชร!Q497"")+IMPORTRANGE(""https://docs.google.com/spreadsheets/d/1KS0zmDSZPk8KnTAbGN-Xk6MtX1YRZD0ldgdt20K4CRk/edit?usp=sharing"","&amp;"""เชียงราย!Q497"")+IMPORTRANGE(""https://docs.google.com/spreadsheets/d/1rEDxBtusbi64tE0zunoIbsTVV16HeL0oJ6trHQeQ7K8/edit?usp=sharing"",""เชียงใหม่!Q497"")+IMPORTRANGE(""https://docs.google.com/spreadsheets/d/1W6MnUbDkMi6xHnHko_XkFDO9kkuL6Wqyc-6OCDFjW9I/e"&amp;"dit?usp=sharing"",""ตาก!Q497"")+IMPORTRANGE(""https://docs.google.com/spreadsheets/d/1IQAWArduLkta9LpYo4a_ULsyqdta6-6aDDiwpUnQT6c/edit?usp=sharing"",""นครสวรรค์!Q497"")+IMPORTRANGE(""https://docs.google.com/spreadsheets/d/10s13Sk5xrltsiR-Zkbmk5DwIaDIKO8Xl"&amp;"bJAfqyT7Gvg/edit?usp=sharing"",""น่าน!Q497"")+IMPORTRANGE(""https://docs.google.com/spreadsheets/d/1uu4nAn4Dbi1XREnLKKotUANlKXa7yCgRcgq8HEzQYW8/edit?usp=sharing"",""พะเยา!Q497"")+IMPORTRANGE(""https://docs.google.com/spreadsheets/d/1xfJKIQxVOaPDIICqsflNlL"&amp;"u3JacTDk1FP9RH4phX7mI/edit?usp=sharing"",""พิจิตร!Q497"")+IMPORTRANGE(""https://docs.google.com/spreadsheets/d/1JtRfZkJMHtEhI5RdRHxYUG4FIZHqKDpNyIuN7A1Q0_k/edit?usp=sharing"",""พิษณุโลก!Q497"")+IMPORTRANGE(""https://docs.google.com/spreadsheets/d/1xlcVZWU"&amp;"Nn6SuWm0c307h32SiGkd9BaeQWlAktfD3KO8/edit?usp=sharing"",""เพชรบูรณ์!Q497"")+IMPORTRANGE(""https://docs.google.com/spreadsheets/d/1lOVebEIsI9qjGXl6EX66luk7wiuP2tBaryw-wKvv4e0/edit?usp=sharing"",""แพร่!Q497"")+IMPORTRANGE(""https://docs.google.com/spreadshe"&amp;"ets/d/1dQrvX0vEcN7Gu0fnZ0B5S90AeR19zth4XlExFBeExMY/edit?usp=sharing"",""แม่ฮ่องสอน!Q497"")+IMPORTRANGE(""https://docs.google.com/spreadsheets/d/1DY4XTNNwjluuxqdfdn6qvOSlMRrZqUtmYcZR0ttFiG4/edit?usp=sharing"",""ลำปาง!Q497"")+IMPORTRANGE(""https://docs.goog"&amp;"le.com/spreadsheets/d/1ICwG78r0OFT8biBlxnBF8r7she7gNSzOvJ958PWT09c/edit?usp=sharing"",""ลำพูน!Q497"")+IMPORTRANGE(""https://docs.google.com/spreadsheets/d/1B0f2xJpZUC6Z0xXnqKlZtEPzsf6L84eP1r1Q15seqRM/edit?usp=sharing"",""สุโขทัย!Q497"")+IMPORTRANGE(""http"&amp;"s://docs.google.com/spreadsheets/d/1v0b9pFQCsKUVExMei7AgY2yQkdeNQvtOssygGsXbiKo/edit?usp=sharing"",""อุตรดิตถ์!Q497"")+IMPORTRANGE(""https://docs.google.com/spreadsheets/d/1UsNK1e-WWiCo2PvGqdNfdme4m17_Ezd3J69EeeiQPD0/edit?usp=sharing"",""อุทัยธานี!Q497"")"),0)</f>
        <v>0</v>
      </c>
      <c r="R497" s="48">
        <f ca="1">IFERROR(__xludf.DUMMYFUNCTION("IMPORTRANGE(""https://docs.google.com/spreadsheets/d/1jTcq05yEiRwXcBMLjiodW9e4biSGYWAHcDj22rKWQ3s/edit?usp=sharing"",""กำแพงเพชร!R497"")+IMPORTRANGE(""https://docs.google.com/spreadsheets/d/1KS0zmDSZPk8KnTAbGN-Xk6MtX1YRZD0ldgdt20K4CRk/edit?usp=sharing"","&amp;"""เชียงราย!R497"")+IMPORTRANGE(""https://docs.google.com/spreadsheets/d/1rEDxBtusbi64tE0zunoIbsTVV16HeL0oJ6trHQeQ7K8/edit?usp=sharing"",""เชียงใหม่!R497"")+IMPORTRANGE(""https://docs.google.com/spreadsheets/d/1W6MnUbDkMi6xHnHko_XkFDO9kkuL6Wqyc-6OCDFjW9I/e"&amp;"dit?usp=sharing"",""ตาก!R497"")+IMPORTRANGE(""https://docs.google.com/spreadsheets/d/1IQAWArduLkta9LpYo4a_ULsyqdta6-6aDDiwpUnQT6c/edit?usp=sharing"",""นครสวรรค์!R497"")+IMPORTRANGE(""https://docs.google.com/spreadsheets/d/10s13Sk5xrltsiR-Zkbmk5DwIaDIKO8Xl"&amp;"bJAfqyT7Gvg/edit?usp=sharing"",""น่าน!R497"")+IMPORTRANGE(""https://docs.google.com/spreadsheets/d/1uu4nAn4Dbi1XREnLKKotUANlKXa7yCgRcgq8HEzQYW8/edit?usp=sharing"",""พะเยา!R497"")+IMPORTRANGE(""https://docs.google.com/spreadsheets/d/1xfJKIQxVOaPDIICqsflNlL"&amp;"u3JacTDk1FP9RH4phX7mI/edit?usp=sharing"",""พิจิตร!R497"")+IMPORTRANGE(""https://docs.google.com/spreadsheets/d/1JtRfZkJMHtEhI5RdRHxYUG4FIZHqKDpNyIuN7A1Q0_k/edit?usp=sharing"",""พิษณุโลก!R497"")+IMPORTRANGE(""https://docs.google.com/spreadsheets/d/1xlcVZWU"&amp;"Nn6SuWm0c307h32SiGkd9BaeQWlAktfD3KO8/edit?usp=sharing"",""เพชรบูรณ์!R497"")+IMPORTRANGE(""https://docs.google.com/spreadsheets/d/1lOVebEIsI9qjGXl6EX66luk7wiuP2tBaryw-wKvv4e0/edit?usp=sharing"",""แพร่!R497"")+IMPORTRANGE(""https://docs.google.com/spreadshe"&amp;"ets/d/1dQrvX0vEcN7Gu0fnZ0B5S90AeR19zth4XlExFBeExMY/edit?usp=sharing"",""แม่ฮ่องสอน!R497"")+IMPORTRANGE(""https://docs.google.com/spreadsheets/d/1DY4XTNNwjluuxqdfdn6qvOSlMRrZqUtmYcZR0ttFiG4/edit?usp=sharing"",""ลำปาง!R497"")+IMPORTRANGE(""https://docs.goog"&amp;"le.com/spreadsheets/d/1ICwG78r0OFT8biBlxnBF8r7she7gNSzOvJ958PWT09c/edit?usp=sharing"",""ลำพูน!R497"")+IMPORTRANGE(""https://docs.google.com/spreadsheets/d/1B0f2xJpZUC6Z0xXnqKlZtEPzsf6L84eP1r1Q15seqRM/edit?usp=sharing"",""สุโขทัย!R497"")+IMPORTRANGE(""http"&amp;"s://docs.google.com/spreadsheets/d/1v0b9pFQCsKUVExMei7AgY2yQkdeNQvtOssygGsXbiKo/edit?usp=sharing"",""อุตรดิตถ์!R497"")+IMPORTRANGE(""https://docs.google.com/spreadsheets/d/1UsNK1e-WWiCo2PvGqdNfdme4m17_Ezd3J69EeeiQPD0/edit?usp=sharing"",""อุทัยธานี!R497"")"),0)</f>
        <v>0</v>
      </c>
      <c r="S497" s="48">
        <f ca="1">IFERROR(__xludf.DUMMYFUNCTION("IMPORTRANGE(""https://docs.google.com/spreadsheets/d/1jTcq05yEiRwXcBMLjiodW9e4biSGYWAHcDj22rKWQ3s/edit?usp=sharing"",""กำแพงเพชร!S497"")+IMPORTRANGE(""https://docs.google.com/spreadsheets/d/1KS0zmDSZPk8KnTAbGN-Xk6MtX1YRZD0ldgdt20K4CRk/edit?usp=sharing"","&amp;"""เชียงราย!S497"")+IMPORTRANGE(""https://docs.google.com/spreadsheets/d/1rEDxBtusbi64tE0zunoIbsTVV16HeL0oJ6trHQeQ7K8/edit?usp=sharing"",""เชียงใหม่!S497"")+IMPORTRANGE(""https://docs.google.com/spreadsheets/d/1W6MnUbDkMi6xHnHko_XkFDO9kkuL6Wqyc-6OCDFjW9I/e"&amp;"dit?usp=sharing"",""ตาก!S497"")+IMPORTRANGE(""https://docs.google.com/spreadsheets/d/1IQAWArduLkta9LpYo4a_ULsyqdta6-6aDDiwpUnQT6c/edit?usp=sharing"",""นครสวรรค์!S497"")+IMPORTRANGE(""https://docs.google.com/spreadsheets/d/10s13Sk5xrltsiR-Zkbmk5DwIaDIKO8Xl"&amp;"bJAfqyT7Gvg/edit?usp=sharing"",""น่าน!S497"")+IMPORTRANGE(""https://docs.google.com/spreadsheets/d/1uu4nAn4Dbi1XREnLKKotUANlKXa7yCgRcgq8HEzQYW8/edit?usp=sharing"",""พะเยา!S497"")+IMPORTRANGE(""https://docs.google.com/spreadsheets/d/1xfJKIQxVOaPDIICqsflNlL"&amp;"u3JacTDk1FP9RH4phX7mI/edit?usp=sharing"",""พิจิตร!S497"")+IMPORTRANGE(""https://docs.google.com/spreadsheets/d/1JtRfZkJMHtEhI5RdRHxYUG4FIZHqKDpNyIuN7A1Q0_k/edit?usp=sharing"",""พิษณุโลก!S497"")+IMPORTRANGE(""https://docs.google.com/spreadsheets/d/1xlcVZWU"&amp;"Nn6SuWm0c307h32SiGkd9BaeQWlAktfD3KO8/edit?usp=sharing"",""เพชรบูรณ์!S497"")+IMPORTRANGE(""https://docs.google.com/spreadsheets/d/1lOVebEIsI9qjGXl6EX66luk7wiuP2tBaryw-wKvv4e0/edit?usp=sharing"",""แพร่!S497"")+IMPORTRANGE(""https://docs.google.com/spreadshe"&amp;"ets/d/1dQrvX0vEcN7Gu0fnZ0B5S90AeR19zth4XlExFBeExMY/edit?usp=sharing"",""แม่ฮ่องสอน!S497"")+IMPORTRANGE(""https://docs.google.com/spreadsheets/d/1DY4XTNNwjluuxqdfdn6qvOSlMRrZqUtmYcZR0ttFiG4/edit?usp=sharing"",""ลำปาง!S497"")+IMPORTRANGE(""https://docs.goog"&amp;"le.com/spreadsheets/d/1ICwG78r0OFT8biBlxnBF8r7she7gNSzOvJ958PWT09c/edit?usp=sharing"",""ลำพูน!S497"")+IMPORTRANGE(""https://docs.google.com/spreadsheets/d/1B0f2xJpZUC6Z0xXnqKlZtEPzsf6L84eP1r1Q15seqRM/edit?usp=sharing"",""สุโขทัย!S497"")+IMPORTRANGE(""http"&amp;"s://docs.google.com/spreadsheets/d/1v0b9pFQCsKUVExMei7AgY2yQkdeNQvtOssygGsXbiKo/edit?usp=sharing"",""อุตรดิตถ์!S497"")+IMPORTRANGE(""https://docs.google.com/spreadsheets/d/1UsNK1e-WWiCo2PvGqdNfdme4m17_Ezd3J69EeeiQPD0/edit?usp=sharing"",""อุทัยธานี!S497"")"),0)</f>
        <v>0</v>
      </c>
      <c r="T497" s="48">
        <f t="shared" ca="1" si="350"/>
        <v>0</v>
      </c>
      <c r="U497" s="48">
        <f t="shared" ca="1" si="351"/>
        <v>0</v>
      </c>
    </row>
    <row r="498" spans="1:21" ht="18.75" x14ac:dyDescent="0.25">
      <c r="A498" s="128"/>
      <c r="B498" s="158"/>
      <c r="C498" s="158"/>
      <c r="D498" s="139"/>
      <c r="E498" s="47" t="s">
        <v>159</v>
      </c>
      <c r="F498" s="40"/>
      <c r="G498" s="42"/>
      <c r="H498" s="134" t="s">
        <v>14</v>
      </c>
      <c r="I498" s="44"/>
      <c r="J498" s="44"/>
      <c r="K498" s="45"/>
      <c r="L498" s="46">
        <f ca="1">IFERROR(__xludf.DUMMYFUNCTION("IMPORTRANGE(""https://docs.google.com/spreadsheets/d/1jTcq05yEiRwXcBMLjiodW9e4biSGYWAHcDj22rKWQ3s/edit?usp=sharing"",""กำแพงเพชร!L498"")+IMPORTRANGE(""https://docs.google.com/spreadsheets/d/1KS0zmDSZPk8KnTAbGN-Xk6MtX1YRZD0ldgdt20K4CRk/edit?usp=sharing"","&amp;"""เชียงราย!L498"")+IMPORTRANGE(""https://docs.google.com/spreadsheets/d/1rEDxBtusbi64tE0zunoIbsTVV16HeL0oJ6trHQeQ7K8/edit?usp=sharing"",""เชียงใหม่!L498"")+IMPORTRANGE(""https://docs.google.com/spreadsheets/d/1W6MnUbDkMi6xHnHko_XkFDO9kkuL6Wqyc-6OCDFjW9I/e"&amp;"dit?usp=sharing"",""ตาก!L498"")+IMPORTRANGE(""https://docs.google.com/spreadsheets/d/1IQAWArduLkta9LpYo4a_ULsyqdta6-6aDDiwpUnQT6c/edit?usp=sharing"",""นครสวรรค์!L498"")+IMPORTRANGE(""https://docs.google.com/spreadsheets/d/10s13Sk5xrltsiR-Zkbmk5DwIaDIKO8Xl"&amp;"bJAfqyT7Gvg/edit?usp=sharing"",""น่าน!L498"")+IMPORTRANGE(""https://docs.google.com/spreadsheets/d/1uu4nAn4Dbi1XREnLKKotUANlKXa7yCgRcgq8HEzQYW8/edit?usp=sharing"",""พะเยา!L498"")+IMPORTRANGE(""https://docs.google.com/spreadsheets/d/1xfJKIQxVOaPDIICqsflNlL"&amp;"u3JacTDk1FP9RH4phX7mI/edit?usp=sharing"",""พิจิตร!L498"")+IMPORTRANGE(""https://docs.google.com/spreadsheets/d/1JtRfZkJMHtEhI5RdRHxYUG4FIZHqKDpNyIuN7A1Q0_k/edit?usp=sharing"",""พิษณุโลก!L498"")+IMPORTRANGE(""https://docs.google.com/spreadsheets/d/1xlcVZWU"&amp;"Nn6SuWm0c307h32SiGkd9BaeQWlAktfD3KO8/edit?usp=sharing"",""เพชรบูรณ์!L498"")+IMPORTRANGE(""https://docs.google.com/spreadsheets/d/1lOVebEIsI9qjGXl6EX66luk7wiuP2tBaryw-wKvv4e0/edit?usp=sharing"",""แพร่!L498"")+IMPORTRANGE(""https://docs.google.com/spreadshe"&amp;"ets/d/1dQrvX0vEcN7Gu0fnZ0B5S90AeR19zth4XlExFBeExMY/edit?usp=sharing"",""แม่ฮ่องสอน!L498"")+IMPORTRANGE(""https://docs.google.com/spreadsheets/d/1DY4XTNNwjluuxqdfdn6qvOSlMRrZqUtmYcZR0ttFiG4/edit?usp=sharing"",""ลำปาง!L498"")+IMPORTRANGE(""https://docs.goog"&amp;"le.com/spreadsheets/d/1ICwG78r0OFT8biBlxnBF8r7she7gNSzOvJ958PWT09c/edit?usp=sharing"",""ลำพูน!L498"")+IMPORTRANGE(""https://docs.google.com/spreadsheets/d/1B0f2xJpZUC6Z0xXnqKlZtEPzsf6L84eP1r1Q15seqRM/edit?usp=sharing"",""สุโขทัย!L498"")+IMPORTRANGE(""http"&amp;"s://docs.google.com/spreadsheets/d/1v0b9pFQCsKUVExMei7AgY2yQkdeNQvtOssygGsXbiKo/edit?usp=sharing"",""อุตรดิตถ์!L498"")+IMPORTRANGE(""https://docs.google.com/spreadsheets/d/1UsNK1e-WWiCo2PvGqdNfdme4m17_Ezd3J69EeeiQPD0/edit?usp=sharing"",""อุทัยธานี!L498"")"),30100)</f>
        <v>30100</v>
      </c>
      <c r="M498" s="46">
        <f ca="1">IFERROR(__xludf.DUMMYFUNCTION("IMPORTRANGE(""https://docs.google.com/spreadsheets/d/1jTcq05yEiRwXcBMLjiodW9e4biSGYWAHcDj22rKWQ3s/edit?usp=sharing"",""กำแพงเพชร!M498"")+IMPORTRANGE(""https://docs.google.com/spreadsheets/d/1KS0zmDSZPk8KnTAbGN-Xk6MtX1YRZD0ldgdt20K4CRk/edit?usp=sharing"","&amp;"""เชียงราย!M498"")+IMPORTRANGE(""https://docs.google.com/spreadsheets/d/1rEDxBtusbi64tE0zunoIbsTVV16HeL0oJ6trHQeQ7K8/edit?usp=sharing"",""เชียงใหม่!M498"")+IMPORTRANGE(""https://docs.google.com/spreadsheets/d/1W6MnUbDkMi6xHnHko_XkFDO9kkuL6Wqyc-6OCDFjW9I/e"&amp;"dit?usp=sharing"",""ตาก!M498"")+IMPORTRANGE(""https://docs.google.com/spreadsheets/d/1IQAWArduLkta9LpYo4a_ULsyqdta6-6aDDiwpUnQT6c/edit?usp=sharing"",""นครสวรรค์!M498"")+IMPORTRANGE(""https://docs.google.com/spreadsheets/d/10s13Sk5xrltsiR-Zkbmk5DwIaDIKO8Xl"&amp;"bJAfqyT7Gvg/edit?usp=sharing"",""น่าน!M498"")+IMPORTRANGE(""https://docs.google.com/spreadsheets/d/1uu4nAn4Dbi1XREnLKKotUANlKXa7yCgRcgq8HEzQYW8/edit?usp=sharing"",""พะเยา!M498"")+IMPORTRANGE(""https://docs.google.com/spreadsheets/d/1xfJKIQxVOaPDIICqsflNlL"&amp;"u3JacTDk1FP9RH4phX7mI/edit?usp=sharing"",""พิจิตร!M498"")+IMPORTRANGE(""https://docs.google.com/spreadsheets/d/1JtRfZkJMHtEhI5RdRHxYUG4FIZHqKDpNyIuN7A1Q0_k/edit?usp=sharing"",""พิษณุโลก!M498"")+IMPORTRANGE(""https://docs.google.com/spreadsheets/d/1xlcVZWU"&amp;"Nn6SuWm0c307h32SiGkd9BaeQWlAktfD3KO8/edit?usp=sharing"",""เพชรบูรณ์!M498"")+IMPORTRANGE(""https://docs.google.com/spreadsheets/d/1lOVebEIsI9qjGXl6EX66luk7wiuP2tBaryw-wKvv4e0/edit?usp=sharing"",""แพร่!M498"")+IMPORTRANGE(""https://docs.google.com/spreadshe"&amp;"ets/d/1dQrvX0vEcN7Gu0fnZ0B5S90AeR19zth4XlExFBeExMY/edit?usp=sharing"",""แม่ฮ่องสอน!M498"")+IMPORTRANGE(""https://docs.google.com/spreadsheets/d/1DY4XTNNwjluuxqdfdn6qvOSlMRrZqUtmYcZR0ttFiG4/edit?usp=sharing"",""ลำปาง!M498"")+IMPORTRANGE(""https://docs.goog"&amp;"le.com/spreadsheets/d/1ICwG78r0OFT8biBlxnBF8r7she7gNSzOvJ958PWT09c/edit?usp=sharing"",""ลำพูน!M498"")+IMPORTRANGE(""https://docs.google.com/spreadsheets/d/1B0f2xJpZUC6Z0xXnqKlZtEPzsf6L84eP1r1Q15seqRM/edit?usp=sharing"",""สุโขทัย!M498"")+IMPORTRANGE(""http"&amp;"s://docs.google.com/spreadsheets/d/1v0b9pFQCsKUVExMei7AgY2yQkdeNQvtOssygGsXbiKo/edit?usp=sharing"",""อุตรดิตถ์!M498"")+IMPORTRANGE(""https://docs.google.com/spreadsheets/d/1UsNK1e-WWiCo2PvGqdNfdme4m17_Ezd3J69EeeiQPD0/edit?usp=sharing"",""อุทัยธานี!M498"")"),0)</f>
        <v>0</v>
      </c>
      <c r="N498" s="46">
        <f ca="1">IFERROR(__xludf.DUMMYFUNCTION("IMPORTRANGE(""https://docs.google.com/spreadsheets/d/1jTcq05yEiRwXcBMLjiodW9e4biSGYWAHcDj22rKWQ3s/edit?usp=sharing"",""กำแพงเพชร!N498"")+IMPORTRANGE(""https://docs.google.com/spreadsheets/d/1KS0zmDSZPk8KnTAbGN-Xk6MtX1YRZD0ldgdt20K4CRk/edit?usp=sharing"","&amp;"""เชียงราย!N498"")+IMPORTRANGE(""https://docs.google.com/spreadsheets/d/1rEDxBtusbi64tE0zunoIbsTVV16HeL0oJ6trHQeQ7K8/edit?usp=sharing"",""เชียงใหม่!N498"")+IMPORTRANGE(""https://docs.google.com/spreadsheets/d/1W6MnUbDkMi6xHnHko_XkFDO9kkuL6Wqyc-6OCDFjW9I/e"&amp;"dit?usp=sharing"",""ตาก!N498"")+IMPORTRANGE(""https://docs.google.com/spreadsheets/d/1IQAWArduLkta9LpYo4a_ULsyqdta6-6aDDiwpUnQT6c/edit?usp=sharing"",""นครสวรรค์!N498"")+IMPORTRANGE(""https://docs.google.com/spreadsheets/d/10s13Sk5xrltsiR-Zkbmk5DwIaDIKO8Xl"&amp;"bJAfqyT7Gvg/edit?usp=sharing"",""น่าน!N498"")+IMPORTRANGE(""https://docs.google.com/spreadsheets/d/1uu4nAn4Dbi1XREnLKKotUANlKXa7yCgRcgq8HEzQYW8/edit?usp=sharing"",""พะเยา!N498"")+IMPORTRANGE(""https://docs.google.com/spreadsheets/d/1xfJKIQxVOaPDIICqsflNlL"&amp;"u3JacTDk1FP9RH4phX7mI/edit?usp=sharing"",""พิจิตร!N498"")+IMPORTRANGE(""https://docs.google.com/spreadsheets/d/1JtRfZkJMHtEhI5RdRHxYUG4FIZHqKDpNyIuN7A1Q0_k/edit?usp=sharing"",""พิษณุโลก!N498"")+IMPORTRANGE(""https://docs.google.com/spreadsheets/d/1xlcVZWU"&amp;"Nn6SuWm0c307h32SiGkd9BaeQWlAktfD3KO8/edit?usp=sharing"",""เพชรบูรณ์!N498"")+IMPORTRANGE(""https://docs.google.com/spreadsheets/d/1lOVebEIsI9qjGXl6EX66luk7wiuP2tBaryw-wKvv4e0/edit?usp=sharing"",""แพร่!N498"")+IMPORTRANGE(""https://docs.google.com/spreadshe"&amp;"ets/d/1dQrvX0vEcN7Gu0fnZ0B5S90AeR19zth4XlExFBeExMY/edit?usp=sharing"",""แม่ฮ่องสอน!N498"")+IMPORTRANGE(""https://docs.google.com/spreadsheets/d/1DY4XTNNwjluuxqdfdn6qvOSlMRrZqUtmYcZR0ttFiG4/edit?usp=sharing"",""ลำปาง!N498"")+IMPORTRANGE(""https://docs.goog"&amp;"le.com/spreadsheets/d/1ICwG78r0OFT8biBlxnBF8r7she7gNSzOvJ958PWT09c/edit?usp=sharing"",""ลำพูน!N498"")+IMPORTRANGE(""https://docs.google.com/spreadsheets/d/1B0f2xJpZUC6Z0xXnqKlZtEPzsf6L84eP1r1Q15seqRM/edit?usp=sharing"",""สุโขทัย!N498"")+IMPORTRANGE(""http"&amp;"s://docs.google.com/spreadsheets/d/1v0b9pFQCsKUVExMei7AgY2yQkdeNQvtOssygGsXbiKo/edit?usp=sharing"",""อุตรดิตถ์!N498"")+IMPORTRANGE(""https://docs.google.com/spreadsheets/d/1UsNK1e-WWiCo2PvGqdNfdme4m17_Ezd3J69EeeiQPD0/edit?usp=sharing"",""อุทัยธานี!N498"")"),0)</f>
        <v>0</v>
      </c>
      <c r="O498" s="46">
        <f t="shared" ca="1" si="347"/>
        <v>0</v>
      </c>
      <c r="P498" s="46">
        <f t="shared" ca="1" si="348"/>
        <v>0</v>
      </c>
      <c r="Q498" s="46">
        <f ca="1">IFERROR(__xludf.DUMMYFUNCTION("IMPORTRANGE(""https://docs.google.com/spreadsheets/d/1jTcq05yEiRwXcBMLjiodW9e4biSGYWAHcDj22rKWQ3s/edit?usp=sharing"",""กำแพงเพชร!Q498"")+IMPORTRANGE(""https://docs.google.com/spreadsheets/d/1KS0zmDSZPk8KnTAbGN-Xk6MtX1YRZD0ldgdt20K4CRk/edit?usp=sharing"","&amp;"""เชียงราย!Q498"")+IMPORTRANGE(""https://docs.google.com/spreadsheets/d/1rEDxBtusbi64tE0zunoIbsTVV16HeL0oJ6trHQeQ7K8/edit?usp=sharing"",""เชียงใหม่!Q498"")+IMPORTRANGE(""https://docs.google.com/spreadsheets/d/1W6MnUbDkMi6xHnHko_XkFDO9kkuL6Wqyc-6OCDFjW9I/e"&amp;"dit?usp=sharing"",""ตาก!Q498"")+IMPORTRANGE(""https://docs.google.com/spreadsheets/d/1IQAWArduLkta9LpYo4a_ULsyqdta6-6aDDiwpUnQT6c/edit?usp=sharing"",""นครสวรรค์!Q498"")+IMPORTRANGE(""https://docs.google.com/spreadsheets/d/10s13Sk5xrltsiR-Zkbmk5DwIaDIKO8Xl"&amp;"bJAfqyT7Gvg/edit?usp=sharing"",""น่าน!Q498"")+IMPORTRANGE(""https://docs.google.com/spreadsheets/d/1uu4nAn4Dbi1XREnLKKotUANlKXa7yCgRcgq8HEzQYW8/edit?usp=sharing"",""พะเยา!Q498"")+IMPORTRANGE(""https://docs.google.com/spreadsheets/d/1xfJKIQxVOaPDIICqsflNlL"&amp;"u3JacTDk1FP9RH4phX7mI/edit?usp=sharing"",""พิจิตร!Q498"")+IMPORTRANGE(""https://docs.google.com/spreadsheets/d/1JtRfZkJMHtEhI5RdRHxYUG4FIZHqKDpNyIuN7A1Q0_k/edit?usp=sharing"",""พิษณุโลก!Q498"")+IMPORTRANGE(""https://docs.google.com/spreadsheets/d/1xlcVZWU"&amp;"Nn6SuWm0c307h32SiGkd9BaeQWlAktfD3KO8/edit?usp=sharing"",""เพชรบูรณ์!Q498"")+IMPORTRANGE(""https://docs.google.com/spreadsheets/d/1lOVebEIsI9qjGXl6EX66luk7wiuP2tBaryw-wKvv4e0/edit?usp=sharing"",""แพร่!Q498"")+IMPORTRANGE(""https://docs.google.com/spreadshe"&amp;"ets/d/1dQrvX0vEcN7Gu0fnZ0B5S90AeR19zth4XlExFBeExMY/edit?usp=sharing"",""แม่ฮ่องสอน!Q498"")+IMPORTRANGE(""https://docs.google.com/spreadsheets/d/1DY4XTNNwjluuxqdfdn6qvOSlMRrZqUtmYcZR0ttFiG4/edit?usp=sharing"",""ลำปาง!Q498"")+IMPORTRANGE(""https://docs.goog"&amp;"le.com/spreadsheets/d/1ICwG78r0OFT8biBlxnBF8r7she7gNSzOvJ958PWT09c/edit?usp=sharing"",""ลำพูน!Q498"")+IMPORTRANGE(""https://docs.google.com/spreadsheets/d/1B0f2xJpZUC6Z0xXnqKlZtEPzsf6L84eP1r1Q15seqRM/edit?usp=sharing"",""สุโขทัย!Q498"")+IMPORTRANGE(""http"&amp;"s://docs.google.com/spreadsheets/d/1v0b9pFQCsKUVExMei7AgY2yQkdeNQvtOssygGsXbiKo/edit?usp=sharing"",""อุตรดิตถ์!Q498"")+IMPORTRANGE(""https://docs.google.com/spreadsheets/d/1UsNK1e-WWiCo2PvGqdNfdme4m17_Ezd3J69EeeiQPD0/edit?usp=sharing"",""อุทัยธานี!Q498"")"),741945)</f>
        <v>741945</v>
      </c>
      <c r="R498" s="46">
        <f ca="1">IFERROR(__xludf.DUMMYFUNCTION("IMPORTRANGE(""https://docs.google.com/spreadsheets/d/1jTcq05yEiRwXcBMLjiodW9e4biSGYWAHcDj22rKWQ3s/edit?usp=sharing"",""กำแพงเพชร!R498"")+IMPORTRANGE(""https://docs.google.com/spreadsheets/d/1KS0zmDSZPk8KnTAbGN-Xk6MtX1YRZD0ldgdt20K4CRk/edit?usp=sharing"","&amp;"""เชียงราย!R498"")+IMPORTRANGE(""https://docs.google.com/spreadsheets/d/1rEDxBtusbi64tE0zunoIbsTVV16HeL0oJ6trHQeQ7K8/edit?usp=sharing"",""เชียงใหม่!R498"")+IMPORTRANGE(""https://docs.google.com/spreadsheets/d/1W6MnUbDkMi6xHnHko_XkFDO9kkuL6Wqyc-6OCDFjW9I/e"&amp;"dit?usp=sharing"",""ตาก!R498"")+IMPORTRANGE(""https://docs.google.com/spreadsheets/d/1IQAWArduLkta9LpYo4a_ULsyqdta6-6aDDiwpUnQT6c/edit?usp=sharing"",""นครสวรรค์!R498"")+IMPORTRANGE(""https://docs.google.com/spreadsheets/d/10s13Sk5xrltsiR-Zkbmk5DwIaDIKO8Xl"&amp;"bJAfqyT7Gvg/edit?usp=sharing"",""น่าน!R498"")+IMPORTRANGE(""https://docs.google.com/spreadsheets/d/1uu4nAn4Dbi1XREnLKKotUANlKXa7yCgRcgq8HEzQYW8/edit?usp=sharing"",""พะเยา!R498"")+IMPORTRANGE(""https://docs.google.com/spreadsheets/d/1xfJKIQxVOaPDIICqsflNlL"&amp;"u3JacTDk1FP9RH4phX7mI/edit?usp=sharing"",""พิจิตร!R498"")+IMPORTRANGE(""https://docs.google.com/spreadsheets/d/1JtRfZkJMHtEhI5RdRHxYUG4FIZHqKDpNyIuN7A1Q0_k/edit?usp=sharing"",""พิษณุโลก!R498"")+IMPORTRANGE(""https://docs.google.com/spreadsheets/d/1xlcVZWU"&amp;"Nn6SuWm0c307h32SiGkd9BaeQWlAktfD3KO8/edit?usp=sharing"",""เพชรบูรณ์!R498"")+IMPORTRANGE(""https://docs.google.com/spreadsheets/d/1lOVebEIsI9qjGXl6EX66luk7wiuP2tBaryw-wKvv4e0/edit?usp=sharing"",""แพร่!R498"")+IMPORTRANGE(""https://docs.google.com/spreadshe"&amp;"ets/d/1dQrvX0vEcN7Gu0fnZ0B5S90AeR19zth4XlExFBeExMY/edit?usp=sharing"",""แม่ฮ่องสอน!R498"")+IMPORTRANGE(""https://docs.google.com/spreadsheets/d/1DY4XTNNwjluuxqdfdn6qvOSlMRrZqUtmYcZR0ttFiG4/edit?usp=sharing"",""ลำปาง!R498"")+IMPORTRANGE(""https://docs.goog"&amp;"le.com/spreadsheets/d/1ICwG78r0OFT8biBlxnBF8r7she7gNSzOvJ958PWT09c/edit?usp=sharing"",""ลำพูน!R498"")+IMPORTRANGE(""https://docs.google.com/spreadsheets/d/1B0f2xJpZUC6Z0xXnqKlZtEPzsf6L84eP1r1Q15seqRM/edit?usp=sharing"",""สุโขทัย!R498"")+IMPORTRANGE(""http"&amp;"s://docs.google.com/spreadsheets/d/1v0b9pFQCsKUVExMei7AgY2yQkdeNQvtOssygGsXbiKo/edit?usp=sharing"",""อุตรดิตถ์!R498"")+IMPORTRANGE(""https://docs.google.com/spreadsheets/d/1UsNK1e-WWiCo2PvGqdNfdme4m17_Ezd3J69EeeiQPD0/edit?usp=sharing"",""อุทัยธานี!R498"")"),741945)</f>
        <v>741945</v>
      </c>
      <c r="S498" s="46">
        <f ca="1">IFERROR(__xludf.DUMMYFUNCTION("IMPORTRANGE(""https://docs.google.com/spreadsheets/d/1jTcq05yEiRwXcBMLjiodW9e4biSGYWAHcDj22rKWQ3s/edit?usp=sharing"",""กำแพงเพชร!S498"")+IMPORTRANGE(""https://docs.google.com/spreadsheets/d/1KS0zmDSZPk8KnTAbGN-Xk6MtX1YRZD0ldgdt20K4CRk/edit?usp=sharing"","&amp;"""เชียงราย!S498"")+IMPORTRANGE(""https://docs.google.com/spreadsheets/d/1rEDxBtusbi64tE0zunoIbsTVV16HeL0oJ6trHQeQ7K8/edit?usp=sharing"",""เชียงใหม่!S498"")+IMPORTRANGE(""https://docs.google.com/spreadsheets/d/1W6MnUbDkMi6xHnHko_XkFDO9kkuL6Wqyc-6OCDFjW9I/e"&amp;"dit?usp=sharing"",""ตาก!S498"")+IMPORTRANGE(""https://docs.google.com/spreadsheets/d/1IQAWArduLkta9LpYo4a_ULsyqdta6-6aDDiwpUnQT6c/edit?usp=sharing"",""นครสวรรค์!S498"")+IMPORTRANGE(""https://docs.google.com/spreadsheets/d/10s13Sk5xrltsiR-Zkbmk5DwIaDIKO8Xl"&amp;"bJAfqyT7Gvg/edit?usp=sharing"",""น่าน!S498"")+IMPORTRANGE(""https://docs.google.com/spreadsheets/d/1uu4nAn4Dbi1XREnLKKotUANlKXa7yCgRcgq8HEzQYW8/edit?usp=sharing"",""พะเยา!S498"")+IMPORTRANGE(""https://docs.google.com/spreadsheets/d/1xfJKIQxVOaPDIICqsflNlL"&amp;"u3JacTDk1FP9RH4phX7mI/edit?usp=sharing"",""พิจิตร!S498"")+IMPORTRANGE(""https://docs.google.com/spreadsheets/d/1JtRfZkJMHtEhI5RdRHxYUG4FIZHqKDpNyIuN7A1Q0_k/edit?usp=sharing"",""พิษณุโลก!S498"")+IMPORTRANGE(""https://docs.google.com/spreadsheets/d/1xlcVZWU"&amp;"Nn6SuWm0c307h32SiGkd9BaeQWlAktfD3KO8/edit?usp=sharing"",""เพชรบูรณ์!S498"")+IMPORTRANGE(""https://docs.google.com/spreadsheets/d/1lOVebEIsI9qjGXl6EX66luk7wiuP2tBaryw-wKvv4e0/edit?usp=sharing"",""แพร่!S498"")+IMPORTRANGE(""https://docs.google.com/spreadshe"&amp;"ets/d/1dQrvX0vEcN7Gu0fnZ0B5S90AeR19zth4XlExFBeExMY/edit?usp=sharing"",""แม่ฮ่องสอน!S498"")+IMPORTRANGE(""https://docs.google.com/spreadsheets/d/1DY4XTNNwjluuxqdfdn6qvOSlMRrZqUtmYcZR0ttFiG4/edit?usp=sharing"",""ลำปาง!S498"")+IMPORTRANGE(""https://docs.goog"&amp;"le.com/spreadsheets/d/1ICwG78r0OFT8biBlxnBF8r7she7gNSzOvJ958PWT09c/edit?usp=sharing"",""ลำพูน!S498"")+IMPORTRANGE(""https://docs.google.com/spreadsheets/d/1B0f2xJpZUC6Z0xXnqKlZtEPzsf6L84eP1r1Q15seqRM/edit?usp=sharing"",""สุโขทัย!S498"")+IMPORTRANGE(""http"&amp;"s://docs.google.com/spreadsheets/d/1v0b9pFQCsKUVExMei7AgY2yQkdeNQvtOssygGsXbiKo/edit?usp=sharing"",""อุตรดิตถ์!S498"")+IMPORTRANGE(""https://docs.google.com/spreadsheets/d/1UsNK1e-WWiCo2PvGqdNfdme4m17_Ezd3J69EeeiQPD0/edit?usp=sharing"",""อุทัยธานี!S498"")"),87960)</f>
        <v>87960</v>
      </c>
      <c r="T498" s="46">
        <f t="shared" ca="1" si="350"/>
        <v>11.855326203424783</v>
      </c>
      <c r="U498" s="46">
        <f t="shared" ca="1" si="351"/>
        <v>11.855326203424783</v>
      </c>
    </row>
    <row r="499" spans="1:21" ht="18.75" x14ac:dyDescent="0.25">
      <c r="A499" s="128"/>
      <c r="B499" s="158"/>
      <c r="C499" s="158"/>
      <c r="D499" s="160" t="s">
        <v>23</v>
      </c>
      <c r="E499" s="40"/>
      <c r="F499" s="40"/>
      <c r="G499" s="42"/>
      <c r="H499" s="137" t="s">
        <v>14</v>
      </c>
      <c r="I499" s="135"/>
      <c r="J499" s="135"/>
      <c r="K499" s="136"/>
      <c r="L499" s="46">
        <f t="shared" ref="L499:N499" ca="1" si="358">L500+L501</f>
        <v>0</v>
      </c>
      <c r="M499" s="46">
        <f t="shared" ca="1" si="358"/>
        <v>0</v>
      </c>
      <c r="N499" s="46">
        <f t="shared" ca="1" si="358"/>
        <v>0</v>
      </c>
      <c r="O499" s="46">
        <f t="shared" ca="1" si="347"/>
        <v>0</v>
      </c>
      <c r="P499" s="46">
        <f t="shared" ca="1" si="348"/>
        <v>0</v>
      </c>
      <c r="Q499" s="46">
        <f t="shared" ref="Q499:S499" ca="1" si="359">Q500+Q501</f>
        <v>0</v>
      </c>
      <c r="R499" s="46">
        <f t="shared" ca="1" si="359"/>
        <v>0</v>
      </c>
      <c r="S499" s="46">
        <f t="shared" ca="1" si="359"/>
        <v>0</v>
      </c>
      <c r="T499" s="46">
        <f t="shared" ca="1" si="350"/>
        <v>0</v>
      </c>
      <c r="U499" s="46">
        <f t="shared" ca="1" si="351"/>
        <v>0</v>
      </c>
    </row>
    <row r="500" spans="1:21" ht="18.75" x14ac:dyDescent="0.25">
      <c r="A500" s="128"/>
      <c r="B500" s="158"/>
      <c r="C500" s="158"/>
      <c r="D500" s="158"/>
      <c r="E500" s="156" t="s">
        <v>20</v>
      </c>
      <c r="F500" s="40"/>
      <c r="G500" s="42"/>
      <c r="H500" s="159" t="s">
        <v>14</v>
      </c>
      <c r="I500" s="135"/>
      <c r="J500" s="135"/>
      <c r="K500" s="136"/>
      <c r="L500" s="48">
        <f ca="1">IFERROR(__xludf.DUMMYFUNCTION("IMPORTRANGE(""https://docs.google.com/spreadsheets/d/1jTcq05yEiRwXcBMLjiodW9e4biSGYWAHcDj22rKWQ3s/edit?usp=sharing"",""กำแพงเพชร!L500"")+IMPORTRANGE(""https://docs.google.com/spreadsheets/d/1KS0zmDSZPk8KnTAbGN-Xk6MtX1YRZD0ldgdt20K4CRk/edit?usp=sharing"","&amp;"""เชียงราย!L500"")+IMPORTRANGE(""https://docs.google.com/spreadsheets/d/1rEDxBtusbi64tE0zunoIbsTVV16HeL0oJ6trHQeQ7K8/edit?usp=sharing"",""เชียงใหม่!L500"")+IMPORTRANGE(""https://docs.google.com/spreadsheets/d/1W6MnUbDkMi6xHnHko_XkFDO9kkuL6Wqyc-6OCDFjW9I/e"&amp;"dit?usp=sharing"",""ตาก!L500"")+IMPORTRANGE(""https://docs.google.com/spreadsheets/d/1IQAWArduLkta9LpYo4a_ULsyqdta6-6aDDiwpUnQT6c/edit?usp=sharing"",""นครสวรรค์!L500"")+IMPORTRANGE(""https://docs.google.com/spreadsheets/d/10s13Sk5xrltsiR-Zkbmk5DwIaDIKO8Xl"&amp;"bJAfqyT7Gvg/edit?usp=sharing"",""น่าน!L500"")+IMPORTRANGE(""https://docs.google.com/spreadsheets/d/1uu4nAn4Dbi1XREnLKKotUANlKXa7yCgRcgq8HEzQYW8/edit?usp=sharing"",""พะเยา!L500"")+IMPORTRANGE(""https://docs.google.com/spreadsheets/d/1xfJKIQxVOaPDIICqsflNlL"&amp;"u3JacTDk1FP9RH4phX7mI/edit?usp=sharing"",""พิจิตร!L500"")+IMPORTRANGE(""https://docs.google.com/spreadsheets/d/1JtRfZkJMHtEhI5RdRHxYUG4FIZHqKDpNyIuN7A1Q0_k/edit?usp=sharing"",""พิษณุโลก!L500"")+IMPORTRANGE(""https://docs.google.com/spreadsheets/d/1xlcVZWU"&amp;"Nn6SuWm0c307h32SiGkd9BaeQWlAktfD3KO8/edit?usp=sharing"",""เพชรบูรณ์!L500"")+IMPORTRANGE(""https://docs.google.com/spreadsheets/d/1lOVebEIsI9qjGXl6EX66luk7wiuP2tBaryw-wKvv4e0/edit?usp=sharing"",""แพร่!L500"")+IMPORTRANGE(""https://docs.google.com/spreadshe"&amp;"ets/d/1dQrvX0vEcN7Gu0fnZ0B5S90AeR19zth4XlExFBeExMY/edit?usp=sharing"",""แม่ฮ่องสอน!L500"")+IMPORTRANGE(""https://docs.google.com/spreadsheets/d/1DY4XTNNwjluuxqdfdn6qvOSlMRrZqUtmYcZR0ttFiG4/edit?usp=sharing"",""ลำปาง!L500"")+IMPORTRANGE(""https://docs.goog"&amp;"le.com/spreadsheets/d/1ICwG78r0OFT8biBlxnBF8r7she7gNSzOvJ958PWT09c/edit?usp=sharing"",""ลำพูน!L500"")+IMPORTRANGE(""https://docs.google.com/spreadsheets/d/1B0f2xJpZUC6Z0xXnqKlZtEPzsf6L84eP1r1Q15seqRM/edit?usp=sharing"",""สุโขทัย!L500"")+IMPORTRANGE(""http"&amp;"s://docs.google.com/spreadsheets/d/1v0b9pFQCsKUVExMei7AgY2yQkdeNQvtOssygGsXbiKo/edit?usp=sharing"",""อุตรดิตถ์!L500"")+IMPORTRANGE(""https://docs.google.com/spreadsheets/d/1UsNK1e-WWiCo2PvGqdNfdme4m17_Ezd3J69EeeiQPD0/edit?usp=sharing"",""อุทัยธานี!L500"")"),0)</f>
        <v>0</v>
      </c>
      <c r="M500" s="48">
        <f ca="1">IFERROR(__xludf.DUMMYFUNCTION("IMPORTRANGE(""https://docs.google.com/spreadsheets/d/1jTcq05yEiRwXcBMLjiodW9e4biSGYWAHcDj22rKWQ3s/edit?usp=sharing"",""กำแพงเพชร!M500"")+IMPORTRANGE(""https://docs.google.com/spreadsheets/d/1KS0zmDSZPk8KnTAbGN-Xk6MtX1YRZD0ldgdt20K4CRk/edit?usp=sharing"","&amp;"""เชียงราย!M500"")+IMPORTRANGE(""https://docs.google.com/spreadsheets/d/1rEDxBtusbi64tE0zunoIbsTVV16HeL0oJ6trHQeQ7K8/edit?usp=sharing"",""เชียงใหม่!M500"")+IMPORTRANGE(""https://docs.google.com/spreadsheets/d/1W6MnUbDkMi6xHnHko_XkFDO9kkuL6Wqyc-6OCDFjW9I/e"&amp;"dit?usp=sharing"",""ตาก!M500"")+IMPORTRANGE(""https://docs.google.com/spreadsheets/d/1IQAWArduLkta9LpYo4a_ULsyqdta6-6aDDiwpUnQT6c/edit?usp=sharing"",""นครสวรรค์!M500"")+IMPORTRANGE(""https://docs.google.com/spreadsheets/d/10s13Sk5xrltsiR-Zkbmk5DwIaDIKO8Xl"&amp;"bJAfqyT7Gvg/edit?usp=sharing"",""น่าน!M500"")+IMPORTRANGE(""https://docs.google.com/spreadsheets/d/1uu4nAn4Dbi1XREnLKKotUANlKXa7yCgRcgq8HEzQYW8/edit?usp=sharing"",""พะเยา!M500"")+IMPORTRANGE(""https://docs.google.com/spreadsheets/d/1xfJKIQxVOaPDIICqsflNlL"&amp;"u3JacTDk1FP9RH4phX7mI/edit?usp=sharing"",""พิจิตร!M500"")+IMPORTRANGE(""https://docs.google.com/spreadsheets/d/1JtRfZkJMHtEhI5RdRHxYUG4FIZHqKDpNyIuN7A1Q0_k/edit?usp=sharing"",""พิษณุโลก!M500"")+IMPORTRANGE(""https://docs.google.com/spreadsheets/d/1xlcVZWU"&amp;"Nn6SuWm0c307h32SiGkd9BaeQWlAktfD3KO8/edit?usp=sharing"",""เพชรบูรณ์!M500"")+IMPORTRANGE(""https://docs.google.com/spreadsheets/d/1lOVebEIsI9qjGXl6EX66luk7wiuP2tBaryw-wKvv4e0/edit?usp=sharing"",""แพร่!M500"")+IMPORTRANGE(""https://docs.google.com/spreadshe"&amp;"ets/d/1dQrvX0vEcN7Gu0fnZ0B5S90AeR19zth4XlExFBeExMY/edit?usp=sharing"",""แม่ฮ่องสอน!M500"")+IMPORTRANGE(""https://docs.google.com/spreadsheets/d/1DY4XTNNwjluuxqdfdn6qvOSlMRrZqUtmYcZR0ttFiG4/edit?usp=sharing"",""ลำปาง!M500"")+IMPORTRANGE(""https://docs.goog"&amp;"le.com/spreadsheets/d/1ICwG78r0OFT8biBlxnBF8r7she7gNSzOvJ958PWT09c/edit?usp=sharing"",""ลำพูน!M500"")+IMPORTRANGE(""https://docs.google.com/spreadsheets/d/1B0f2xJpZUC6Z0xXnqKlZtEPzsf6L84eP1r1Q15seqRM/edit?usp=sharing"",""สุโขทัย!M500"")+IMPORTRANGE(""http"&amp;"s://docs.google.com/spreadsheets/d/1v0b9pFQCsKUVExMei7AgY2yQkdeNQvtOssygGsXbiKo/edit?usp=sharing"",""อุตรดิตถ์!M500"")+IMPORTRANGE(""https://docs.google.com/spreadsheets/d/1UsNK1e-WWiCo2PvGqdNfdme4m17_Ezd3J69EeeiQPD0/edit?usp=sharing"",""อุทัยธานี!M500"")"),0)</f>
        <v>0</v>
      </c>
      <c r="N500" s="48">
        <f ca="1">IFERROR(__xludf.DUMMYFUNCTION("IMPORTRANGE(""https://docs.google.com/spreadsheets/d/1jTcq05yEiRwXcBMLjiodW9e4biSGYWAHcDj22rKWQ3s/edit?usp=sharing"",""กำแพงเพชร!N500"")+IMPORTRANGE(""https://docs.google.com/spreadsheets/d/1KS0zmDSZPk8KnTAbGN-Xk6MtX1YRZD0ldgdt20K4CRk/edit?usp=sharing"","&amp;"""เชียงราย!N500"")+IMPORTRANGE(""https://docs.google.com/spreadsheets/d/1rEDxBtusbi64tE0zunoIbsTVV16HeL0oJ6trHQeQ7K8/edit?usp=sharing"",""เชียงใหม่!N500"")+IMPORTRANGE(""https://docs.google.com/spreadsheets/d/1W6MnUbDkMi6xHnHko_XkFDO9kkuL6Wqyc-6OCDFjW9I/e"&amp;"dit?usp=sharing"",""ตาก!N500"")+IMPORTRANGE(""https://docs.google.com/spreadsheets/d/1IQAWArduLkta9LpYo4a_ULsyqdta6-6aDDiwpUnQT6c/edit?usp=sharing"",""นครสวรรค์!N500"")+IMPORTRANGE(""https://docs.google.com/spreadsheets/d/10s13Sk5xrltsiR-Zkbmk5DwIaDIKO8Xl"&amp;"bJAfqyT7Gvg/edit?usp=sharing"",""น่าน!N500"")+IMPORTRANGE(""https://docs.google.com/spreadsheets/d/1uu4nAn4Dbi1XREnLKKotUANlKXa7yCgRcgq8HEzQYW8/edit?usp=sharing"",""พะเยา!N500"")+IMPORTRANGE(""https://docs.google.com/spreadsheets/d/1xfJKIQxVOaPDIICqsflNlL"&amp;"u3JacTDk1FP9RH4phX7mI/edit?usp=sharing"",""พิจิตร!N500"")+IMPORTRANGE(""https://docs.google.com/spreadsheets/d/1JtRfZkJMHtEhI5RdRHxYUG4FIZHqKDpNyIuN7A1Q0_k/edit?usp=sharing"",""พิษณุโลก!N500"")+IMPORTRANGE(""https://docs.google.com/spreadsheets/d/1xlcVZWU"&amp;"Nn6SuWm0c307h32SiGkd9BaeQWlAktfD3KO8/edit?usp=sharing"",""เพชรบูรณ์!N500"")+IMPORTRANGE(""https://docs.google.com/spreadsheets/d/1lOVebEIsI9qjGXl6EX66luk7wiuP2tBaryw-wKvv4e0/edit?usp=sharing"",""แพร่!N500"")+IMPORTRANGE(""https://docs.google.com/spreadshe"&amp;"ets/d/1dQrvX0vEcN7Gu0fnZ0B5S90AeR19zth4XlExFBeExMY/edit?usp=sharing"",""แม่ฮ่องสอน!N500"")+IMPORTRANGE(""https://docs.google.com/spreadsheets/d/1DY4XTNNwjluuxqdfdn6qvOSlMRrZqUtmYcZR0ttFiG4/edit?usp=sharing"",""ลำปาง!N500"")+IMPORTRANGE(""https://docs.goog"&amp;"le.com/spreadsheets/d/1ICwG78r0OFT8biBlxnBF8r7she7gNSzOvJ958PWT09c/edit?usp=sharing"",""ลำพูน!N500"")+IMPORTRANGE(""https://docs.google.com/spreadsheets/d/1B0f2xJpZUC6Z0xXnqKlZtEPzsf6L84eP1r1Q15seqRM/edit?usp=sharing"",""สุโขทัย!N500"")+IMPORTRANGE(""http"&amp;"s://docs.google.com/spreadsheets/d/1v0b9pFQCsKUVExMei7AgY2yQkdeNQvtOssygGsXbiKo/edit?usp=sharing"",""อุตรดิตถ์!N500"")+IMPORTRANGE(""https://docs.google.com/spreadsheets/d/1UsNK1e-WWiCo2PvGqdNfdme4m17_Ezd3J69EeeiQPD0/edit?usp=sharing"",""อุทัยธานี!N500"")"),0)</f>
        <v>0</v>
      </c>
      <c r="O500" s="48">
        <f t="shared" ca="1" si="347"/>
        <v>0</v>
      </c>
      <c r="P500" s="48">
        <f t="shared" ca="1" si="348"/>
        <v>0</v>
      </c>
      <c r="Q500" s="48">
        <f ca="1">IFERROR(__xludf.DUMMYFUNCTION("IMPORTRANGE(""https://docs.google.com/spreadsheets/d/1jTcq05yEiRwXcBMLjiodW9e4biSGYWAHcDj22rKWQ3s/edit?usp=sharing"",""กำแพงเพชร!Q500"")+IMPORTRANGE(""https://docs.google.com/spreadsheets/d/1KS0zmDSZPk8KnTAbGN-Xk6MtX1YRZD0ldgdt20K4CRk/edit?usp=sharing"","&amp;"""เชียงราย!Q500"")+IMPORTRANGE(""https://docs.google.com/spreadsheets/d/1rEDxBtusbi64tE0zunoIbsTVV16HeL0oJ6trHQeQ7K8/edit?usp=sharing"",""เชียงใหม่!Q500"")+IMPORTRANGE(""https://docs.google.com/spreadsheets/d/1W6MnUbDkMi6xHnHko_XkFDO9kkuL6Wqyc-6OCDFjW9I/e"&amp;"dit?usp=sharing"",""ตาก!Q500"")+IMPORTRANGE(""https://docs.google.com/spreadsheets/d/1IQAWArduLkta9LpYo4a_ULsyqdta6-6aDDiwpUnQT6c/edit?usp=sharing"",""นครสวรรค์!Q500"")+IMPORTRANGE(""https://docs.google.com/spreadsheets/d/10s13Sk5xrltsiR-Zkbmk5DwIaDIKO8Xl"&amp;"bJAfqyT7Gvg/edit?usp=sharing"",""น่าน!Q500"")+IMPORTRANGE(""https://docs.google.com/spreadsheets/d/1uu4nAn4Dbi1XREnLKKotUANlKXa7yCgRcgq8HEzQYW8/edit?usp=sharing"",""พะเยา!Q500"")+IMPORTRANGE(""https://docs.google.com/spreadsheets/d/1xfJKIQxVOaPDIICqsflNlL"&amp;"u3JacTDk1FP9RH4phX7mI/edit?usp=sharing"",""พิจิตร!Q500"")+IMPORTRANGE(""https://docs.google.com/spreadsheets/d/1JtRfZkJMHtEhI5RdRHxYUG4FIZHqKDpNyIuN7A1Q0_k/edit?usp=sharing"",""พิษณุโลก!Q500"")+IMPORTRANGE(""https://docs.google.com/spreadsheets/d/1xlcVZWU"&amp;"Nn6SuWm0c307h32SiGkd9BaeQWlAktfD3KO8/edit?usp=sharing"",""เพชรบูรณ์!Q500"")+IMPORTRANGE(""https://docs.google.com/spreadsheets/d/1lOVebEIsI9qjGXl6EX66luk7wiuP2tBaryw-wKvv4e0/edit?usp=sharing"",""แพร่!Q500"")+IMPORTRANGE(""https://docs.google.com/spreadshe"&amp;"ets/d/1dQrvX0vEcN7Gu0fnZ0B5S90AeR19zth4XlExFBeExMY/edit?usp=sharing"",""แม่ฮ่องสอน!Q500"")+IMPORTRANGE(""https://docs.google.com/spreadsheets/d/1DY4XTNNwjluuxqdfdn6qvOSlMRrZqUtmYcZR0ttFiG4/edit?usp=sharing"",""ลำปาง!Q500"")+IMPORTRANGE(""https://docs.goog"&amp;"le.com/spreadsheets/d/1ICwG78r0OFT8biBlxnBF8r7she7gNSzOvJ958PWT09c/edit?usp=sharing"",""ลำพูน!Q500"")+IMPORTRANGE(""https://docs.google.com/spreadsheets/d/1B0f2xJpZUC6Z0xXnqKlZtEPzsf6L84eP1r1Q15seqRM/edit?usp=sharing"",""สุโขทัย!Q500"")+IMPORTRANGE(""http"&amp;"s://docs.google.com/spreadsheets/d/1v0b9pFQCsKUVExMei7AgY2yQkdeNQvtOssygGsXbiKo/edit?usp=sharing"",""อุตรดิตถ์!Q500"")+IMPORTRANGE(""https://docs.google.com/spreadsheets/d/1UsNK1e-WWiCo2PvGqdNfdme4m17_Ezd3J69EeeiQPD0/edit?usp=sharing"",""อุทัยธานี!Q500"")"),0)</f>
        <v>0</v>
      </c>
      <c r="R500" s="48">
        <f ca="1">IFERROR(__xludf.DUMMYFUNCTION("IMPORTRANGE(""https://docs.google.com/spreadsheets/d/1jTcq05yEiRwXcBMLjiodW9e4biSGYWAHcDj22rKWQ3s/edit?usp=sharing"",""กำแพงเพชร!R500"")+IMPORTRANGE(""https://docs.google.com/spreadsheets/d/1KS0zmDSZPk8KnTAbGN-Xk6MtX1YRZD0ldgdt20K4CRk/edit?usp=sharing"","&amp;"""เชียงราย!R500"")+IMPORTRANGE(""https://docs.google.com/spreadsheets/d/1rEDxBtusbi64tE0zunoIbsTVV16HeL0oJ6trHQeQ7K8/edit?usp=sharing"",""เชียงใหม่!R500"")+IMPORTRANGE(""https://docs.google.com/spreadsheets/d/1W6MnUbDkMi6xHnHko_XkFDO9kkuL6Wqyc-6OCDFjW9I/e"&amp;"dit?usp=sharing"",""ตาก!R500"")+IMPORTRANGE(""https://docs.google.com/spreadsheets/d/1IQAWArduLkta9LpYo4a_ULsyqdta6-6aDDiwpUnQT6c/edit?usp=sharing"",""นครสวรรค์!R500"")+IMPORTRANGE(""https://docs.google.com/spreadsheets/d/10s13Sk5xrltsiR-Zkbmk5DwIaDIKO8Xl"&amp;"bJAfqyT7Gvg/edit?usp=sharing"",""น่าน!R500"")+IMPORTRANGE(""https://docs.google.com/spreadsheets/d/1uu4nAn4Dbi1XREnLKKotUANlKXa7yCgRcgq8HEzQYW8/edit?usp=sharing"",""พะเยา!R500"")+IMPORTRANGE(""https://docs.google.com/spreadsheets/d/1xfJKIQxVOaPDIICqsflNlL"&amp;"u3JacTDk1FP9RH4phX7mI/edit?usp=sharing"",""พิจิตร!R500"")+IMPORTRANGE(""https://docs.google.com/spreadsheets/d/1JtRfZkJMHtEhI5RdRHxYUG4FIZHqKDpNyIuN7A1Q0_k/edit?usp=sharing"",""พิษณุโลก!R500"")+IMPORTRANGE(""https://docs.google.com/spreadsheets/d/1xlcVZWU"&amp;"Nn6SuWm0c307h32SiGkd9BaeQWlAktfD3KO8/edit?usp=sharing"",""เพชรบูรณ์!R500"")+IMPORTRANGE(""https://docs.google.com/spreadsheets/d/1lOVebEIsI9qjGXl6EX66luk7wiuP2tBaryw-wKvv4e0/edit?usp=sharing"",""แพร่!R500"")+IMPORTRANGE(""https://docs.google.com/spreadshe"&amp;"ets/d/1dQrvX0vEcN7Gu0fnZ0B5S90AeR19zth4XlExFBeExMY/edit?usp=sharing"",""แม่ฮ่องสอน!R500"")+IMPORTRANGE(""https://docs.google.com/spreadsheets/d/1DY4XTNNwjluuxqdfdn6qvOSlMRrZqUtmYcZR0ttFiG4/edit?usp=sharing"",""ลำปาง!R500"")+IMPORTRANGE(""https://docs.goog"&amp;"le.com/spreadsheets/d/1ICwG78r0OFT8biBlxnBF8r7she7gNSzOvJ958PWT09c/edit?usp=sharing"",""ลำพูน!R500"")+IMPORTRANGE(""https://docs.google.com/spreadsheets/d/1B0f2xJpZUC6Z0xXnqKlZtEPzsf6L84eP1r1Q15seqRM/edit?usp=sharing"",""สุโขทัย!R500"")+IMPORTRANGE(""http"&amp;"s://docs.google.com/spreadsheets/d/1v0b9pFQCsKUVExMei7AgY2yQkdeNQvtOssygGsXbiKo/edit?usp=sharing"",""อุตรดิตถ์!R500"")+IMPORTRANGE(""https://docs.google.com/spreadsheets/d/1UsNK1e-WWiCo2PvGqdNfdme4m17_Ezd3J69EeeiQPD0/edit?usp=sharing"",""อุทัยธานี!R500"")"),0)</f>
        <v>0</v>
      </c>
      <c r="S500" s="48">
        <f ca="1">IFERROR(__xludf.DUMMYFUNCTION("IMPORTRANGE(""https://docs.google.com/spreadsheets/d/1jTcq05yEiRwXcBMLjiodW9e4biSGYWAHcDj22rKWQ3s/edit?usp=sharing"",""กำแพงเพชร!S500"")+IMPORTRANGE(""https://docs.google.com/spreadsheets/d/1KS0zmDSZPk8KnTAbGN-Xk6MtX1YRZD0ldgdt20K4CRk/edit?usp=sharing"","&amp;"""เชียงราย!S500"")+IMPORTRANGE(""https://docs.google.com/spreadsheets/d/1rEDxBtusbi64tE0zunoIbsTVV16HeL0oJ6trHQeQ7K8/edit?usp=sharing"",""เชียงใหม่!S500"")+IMPORTRANGE(""https://docs.google.com/spreadsheets/d/1W6MnUbDkMi6xHnHko_XkFDO9kkuL6Wqyc-6OCDFjW9I/e"&amp;"dit?usp=sharing"",""ตาก!S500"")+IMPORTRANGE(""https://docs.google.com/spreadsheets/d/1IQAWArduLkta9LpYo4a_ULsyqdta6-6aDDiwpUnQT6c/edit?usp=sharing"",""นครสวรรค์!S500"")+IMPORTRANGE(""https://docs.google.com/spreadsheets/d/10s13Sk5xrltsiR-Zkbmk5DwIaDIKO8Xl"&amp;"bJAfqyT7Gvg/edit?usp=sharing"",""น่าน!S500"")+IMPORTRANGE(""https://docs.google.com/spreadsheets/d/1uu4nAn4Dbi1XREnLKKotUANlKXa7yCgRcgq8HEzQYW8/edit?usp=sharing"",""พะเยา!S500"")+IMPORTRANGE(""https://docs.google.com/spreadsheets/d/1xfJKIQxVOaPDIICqsflNlL"&amp;"u3JacTDk1FP9RH4phX7mI/edit?usp=sharing"",""พิจิตร!S500"")+IMPORTRANGE(""https://docs.google.com/spreadsheets/d/1JtRfZkJMHtEhI5RdRHxYUG4FIZHqKDpNyIuN7A1Q0_k/edit?usp=sharing"",""พิษณุโลก!S500"")+IMPORTRANGE(""https://docs.google.com/spreadsheets/d/1xlcVZWU"&amp;"Nn6SuWm0c307h32SiGkd9BaeQWlAktfD3KO8/edit?usp=sharing"",""เพชรบูรณ์!S500"")+IMPORTRANGE(""https://docs.google.com/spreadsheets/d/1lOVebEIsI9qjGXl6EX66luk7wiuP2tBaryw-wKvv4e0/edit?usp=sharing"",""แพร่!S500"")+IMPORTRANGE(""https://docs.google.com/spreadshe"&amp;"ets/d/1dQrvX0vEcN7Gu0fnZ0B5S90AeR19zth4XlExFBeExMY/edit?usp=sharing"",""แม่ฮ่องสอน!S500"")+IMPORTRANGE(""https://docs.google.com/spreadsheets/d/1DY4XTNNwjluuxqdfdn6qvOSlMRrZqUtmYcZR0ttFiG4/edit?usp=sharing"",""ลำปาง!S500"")+IMPORTRANGE(""https://docs.goog"&amp;"le.com/spreadsheets/d/1ICwG78r0OFT8biBlxnBF8r7she7gNSzOvJ958PWT09c/edit?usp=sharing"",""ลำพูน!S500"")+IMPORTRANGE(""https://docs.google.com/spreadsheets/d/1B0f2xJpZUC6Z0xXnqKlZtEPzsf6L84eP1r1Q15seqRM/edit?usp=sharing"",""สุโขทัย!S500"")+IMPORTRANGE(""http"&amp;"s://docs.google.com/spreadsheets/d/1v0b9pFQCsKUVExMei7AgY2yQkdeNQvtOssygGsXbiKo/edit?usp=sharing"",""อุตรดิตถ์!S500"")+IMPORTRANGE(""https://docs.google.com/spreadsheets/d/1UsNK1e-WWiCo2PvGqdNfdme4m17_Ezd3J69EeeiQPD0/edit?usp=sharing"",""อุทัยธานี!S500"")"),0)</f>
        <v>0</v>
      </c>
      <c r="T500" s="48">
        <f t="shared" ca="1" si="350"/>
        <v>0</v>
      </c>
      <c r="U500" s="48">
        <f t="shared" ca="1" si="351"/>
        <v>0</v>
      </c>
    </row>
    <row r="501" spans="1:21" ht="18.75" x14ac:dyDescent="0.25">
      <c r="A501" s="128"/>
      <c r="B501" s="158"/>
      <c r="C501" s="158"/>
      <c r="D501" s="158"/>
      <c r="E501" s="47" t="s">
        <v>21</v>
      </c>
      <c r="F501" s="40"/>
      <c r="G501" s="42"/>
      <c r="H501" s="137" t="s">
        <v>14</v>
      </c>
      <c r="I501" s="135"/>
      <c r="J501" s="135"/>
      <c r="K501" s="136"/>
      <c r="L501" s="46">
        <f ca="1">IFERROR(__xludf.DUMMYFUNCTION("IMPORTRANGE(""https://docs.google.com/spreadsheets/d/1jTcq05yEiRwXcBMLjiodW9e4biSGYWAHcDj22rKWQ3s/edit?usp=sharing"",""กำแพงเพชร!L501"")+IMPORTRANGE(""https://docs.google.com/spreadsheets/d/1KS0zmDSZPk8KnTAbGN-Xk6MtX1YRZD0ldgdt20K4CRk/edit?usp=sharing"","&amp;"""เชียงราย!L501"")+IMPORTRANGE(""https://docs.google.com/spreadsheets/d/1rEDxBtusbi64tE0zunoIbsTVV16HeL0oJ6trHQeQ7K8/edit?usp=sharing"",""เชียงใหม่!L501"")+IMPORTRANGE(""https://docs.google.com/spreadsheets/d/1W6MnUbDkMi6xHnHko_XkFDO9kkuL6Wqyc-6OCDFjW9I/e"&amp;"dit?usp=sharing"",""ตาก!L501"")+IMPORTRANGE(""https://docs.google.com/spreadsheets/d/1IQAWArduLkta9LpYo4a_ULsyqdta6-6aDDiwpUnQT6c/edit?usp=sharing"",""นครสวรรค์!L501"")+IMPORTRANGE(""https://docs.google.com/spreadsheets/d/10s13Sk5xrltsiR-Zkbmk5DwIaDIKO8Xl"&amp;"bJAfqyT7Gvg/edit?usp=sharing"",""น่าน!L501"")+IMPORTRANGE(""https://docs.google.com/spreadsheets/d/1uu4nAn4Dbi1XREnLKKotUANlKXa7yCgRcgq8HEzQYW8/edit?usp=sharing"",""พะเยา!L501"")+IMPORTRANGE(""https://docs.google.com/spreadsheets/d/1xfJKIQxVOaPDIICqsflNlL"&amp;"u3JacTDk1FP9RH4phX7mI/edit?usp=sharing"",""พิจิตร!L501"")+IMPORTRANGE(""https://docs.google.com/spreadsheets/d/1JtRfZkJMHtEhI5RdRHxYUG4FIZHqKDpNyIuN7A1Q0_k/edit?usp=sharing"",""พิษณุโลก!L501"")+IMPORTRANGE(""https://docs.google.com/spreadsheets/d/1xlcVZWU"&amp;"Nn6SuWm0c307h32SiGkd9BaeQWlAktfD3KO8/edit?usp=sharing"",""เพชรบูรณ์!L501"")+IMPORTRANGE(""https://docs.google.com/spreadsheets/d/1lOVebEIsI9qjGXl6EX66luk7wiuP2tBaryw-wKvv4e0/edit?usp=sharing"",""แพร่!L501"")+IMPORTRANGE(""https://docs.google.com/spreadshe"&amp;"ets/d/1dQrvX0vEcN7Gu0fnZ0B5S90AeR19zth4XlExFBeExMY/edit?usp=sharing"",""แม่ฮ่องสอน!L501"")+IMPORTRANGE(""https://docs.google.com/spreadsheets/d/1DY4XTNNwjluuxqdfdn6qvOSlMRrZqUtmYcZR0ttFiG4/edit?usp=sharing"",""ลำปาง!L501"")+IMPORTRANGE(""https://docs.goog"&amp;"le.com/spreadsheets/d/1ICwG78r0OFT8biBlxnBF8r7she7gNSzOvJ958PWT09c/edit?usp=sharing"",""ลำพูน!L501"")+IMPORTRANGE(""https://docs.google.com/spreadsheets/d/1B0f2xJpZUC6Z0xXnqKlZtEPzsf6L84eP1r1Q15seqRM/edit?usp=sharing"",""สุโขทัย!L501"")+IMPORTRANGE(""http"&amp;"s://docs.google.com/spreadsheets/d/1v0b9pFQCsKUVExMei7AgY2yQkdeNQvtOssygGsXbiKo/edit?usp=sharing"",""อุตรดิตถ์!L501"")+IMPORTRANGE(""https://docs.google.com/spreadsheets/d/1UsNK1e-WWiCo2PvGqdNfdme4m17_Ezd3J69EeeiQPD0/edit?usp=sharing"",""อุทัยธานี!L501"")"),0)</f>
        <v>0</v>
      </c>
      <c r="M501" s="46">
        <f ca="1">IFERROR(__xludf.DUMMYFUNCTION("IMPORTRANGE(""https://docs.google.com/spreadsheets/d/1jTcq05yEiRwXcBMLjiodW9e4biSGYWAHcDj22rKWQ3s/edit?usp=sharing"",""กำแพงเพชร!M501"")+IMPORTRANGE(""https://docs.google.com/spreadsheets/d/1KS0zmDSZPk8KnTAbGN-Xk6MtX1YRZD0ldgdt20K4CRk/edit?usp=sharing"","&amp;"""เชียงราย!M501"")+IMPORTRANGE(""https://docs.google.com/spreadsheets/d/1rEDxBtusbi64tE0zunoIbsTVV16HeL0oJ6trHQeQ7K8/edit?usp=sharing"",""เชียงใหม่!M501"")+IMPORTRANGE(""https://docs.google.com/spreadsheets/d/1W6MnUbDkMi6xHnHko_XkFDO9kkuL6Wqyc-6OCDFjW9I/e"&amp;"dit?usp=sharing"",""ตาก!M501"")+IMPORTRANGE(""https://docs.google.com/spreadsheets/d/1IQAWArduLkta9LpYo4a_ULsyqdta6-6aDDiwpUnQT6c/edit?usp=sharing"",""นครสวรรค์!M501"")+IMPORTRANGE(""https://docs.google.com/spreadsheets/d/10s13Sk5xrltsiR-Zkbmk5DwIaDIKO8Xl"&amp;"bJAfqyT7Gvg/edit?usp=sharing"",""น่าน!M501"")+IMPORTRANGE(""https://docs.google.com/spreadsheets/d/1uu4nAn4Dbi1XREnLKKotUANlKXa7yCgRcgq8HEzQYW8/edit?usp=sharing"",""พะเยา!M501"")+IMPORTRANGE(""https://docs.google.com/spreadsheets/d/1xfJKIQxVOaPDIICqsflNlL"&amp;"u3JacTDk1FP9RH4phX7mI/edit?usp=sharing"",""พิจิตร!M501"")+IMPORTRANGE(""https://docs.google.com/spreadsheets/d/1JtRfZkJMHtEhI5RdRHxYUG4FIZHqKDpNyIuN7A1Q0_k/edit?usp=sharing"",""พิษณุโลก!M501"")+IMPORTRANGE(""https://docs.google.com/spreadsheets/d/1xlcVZWU"&amp;"Nn6SuWm0c307h32SiGkd9BaeQWlAktfD3KO8/edit?usp=sharing"",""เพชรบูรณ์!M501"")+IMPORTRANGE(""https://docs.google.com/spreadsheets/d/1lOVebEIsI9qjGXl6EX66luk7wiuP2tBaryw-wKvv4e0/edit?usp=sharing"",""แพร่!M501"")+IMPORTRANGE(""https://docs.google.com/spreadshe"&amp;"ets/d/1dQrvX0vEcN7Gu0fnZ0B5S90AeR19zth4XlExFBeExMY/edit?usp=sharing"",""แม่ฮ่องสอน!M501"")+IMPORTRANGE(""https://docs.google.com/spreadsheets/d/1DY4XTNNwjluuxqdfdn6qvOSlMRrZqUtmYcZR0ttFiG4/edit?usp=sharing"",""ลำปาง!M501"")+IMPORTRANGE(""https://docs.goog"&amp;"le.com/spreadsheets/d/1ICwG78r0OFT8biBlxnBF8r7she7gNSzOvJ958PWT09c/edit?usp=sharing"",""ลำพูน!M501"")+IMPORTRANGE(""https://docs.google.com/spreadsheets/d/1B0f2xJpZUC6Z0xXnqKlZtEPzsf6L84eP1r1Q15seqRM/edit?usp=sharing"",""สุโขทัย!M501"")+IMPORTRANGE(""http"&amp;"s://docs.google.com/spreadsheets/d/1v0b9pFQCsKUVExMei7AgY2yQkdeNQvtOssygGsXbiKo/edit?usp=sharing"",""อุตรดิตถ์!M501"")+IMPORTRANGE(""https://docs.google.com/spreadsheets/d/1UsNK1e-WWiCo2PvGqdNfdme4m17_Ezd3J69EeeiQPD0/edit?usp=sharing"",""อุทัยธานี!M501"")"),0)</f>
        <v>0</v>
      </c>
      <c r="N501" s="46">
        <f ca="1">IFERROR(__xludf.DUMMYFUNCTION("IMPORTRANGE(""https://docs.google.com/spreadsheets/d/1jTcq05yEiRwXcBMLjiodW9e4biSGYWAHcDj22rKWQ3s/edit?usp=sharing"",""กำแพงเพชร!N501"")+IMPORTRANGE(""https://docs.google.com/spreadsheets/d/1KS0zmDSZPk8KnTAbGN-Xk6MtX1YRZD0ldgdt20K4CRk/edit?usp=sharing"","&amp;"""เชียงราย!N501"")+IMPORTRANGE(""https://docs.google.com/spreadsheets/d/1rEDxBtusbi64tE0zunoIbsTVV16HeL0oJ6trHQeQ7K8/edit?usp=sharing"",""เชียงใหม่!N501"")+IMPORTRANGE(""https://docs.google.com/spreadsheets/d/1W6MnUbDkMi6xHnHko_XkFDO9kkuL6Wqyc-6OCDFjW9I/e"&amp;"dit?usp=sharing"",""ตาก!N501"")+IMPORTRANGE(""https://docs.google.com/spreadsheets/d/1IQAWArduLkta9LpYo4a_ULsyqdta6-6aDDiwpUnQT6c/edit?usp=sharing"",""นครสวรรค์!N501"")+IMPORTRANGE(""https://docs.google.com/spreadsheets/d/10s13Sk5xrltsiR-Zkbmk5DwIaDIKO8Xl"&amp;"bJAfqyT7Gvg/edit?usp=sharing"",""น่าน!N501"")+IMPORTRANGE(""https://docs.google.com/spreadsheets/d/1uu4nAn4Dbi1XREnLKKotUANlKXa7yCgRcgq8HEzQYW8/edit?usp=sharing"",""พะเยา!N501"")+IMPORTRANGE(""https://docs.google.com/spreadsheets/d/1xfJKIQxVOaPDIICqsflNlL"&amp;"u3JacTDk1FP9RH4phX7mI/edit?usp=sharing"",""พิจิตร!N501"")+IMPORTRANGE(""https://docs.google.com/spreadsheets/d/1JtRfZkJMHtEhI5RdRHxYUG4FIZHqKDpNyIuN7A1Q0_k/edit?usp=sharing"",""พิษณุโลก!N501"")+IMPORTRANGE(""https://docs.google.com/spreadsheets/d/1xlcVZWU"&amp;"Nn6SuWm0c307h32SiGkd9BaeQWlAktfD3KO8/edit?usp=sharing"",""เพชรบูรณ์!N501"")+IMPORTRANGE(""https://docs.google.com/spreadsheets/d/1lOVebEIsI9qjGXl6EX66luk7wiuP2tBaryw-wKvv4e0/edit?usp=sharing"",""แพร่!N501"")+IMPORTRANGE(""https://docs.google.com/spreadshe"&amp;"ets/d/1dQrvX0vEcN7Gu0fnZ0B5S90AeR19zth4XlExFBeExMY/edit?usp=sharing"",""แม่ฮ่องสอน!N501"")+IMPORTRANGE(""https://docs.google.com/spreadsheets/d/1DY4XTNNwjluuxqdfdn6qvOSlMRrZqUtmYcZR0ttFiG4/edit?usp=sharing"",""ลำปาง!N501"")+IMPORTRANGE(""https://docs.goog"&amp;"le.com/spreadsheets/d/1ICwG78r0OFT8biBlxnBF8r7she7gNSzOvJ958PWT09c/edit?usp=sharing"",""ลำพูน!N501"")+IMPORTRANGE(""https://docs.google.com/spreadsheets/d/1B0f2xJpZUC6Z0xXnqKlZtEPzsf6L84eP1r1Q15seqRM/edit?usp=sharing"",""สุโขทัย!N501"")+IMPORTRANGE(""http"&amp;"s://docs.google.com/spreadsheets/d/1v0b9pFQCsKUVExMei7AgY2yQkdeNQvtOssygGsXbiKo/edit?usp=sharing"",""อุตรดิตถ์!N501"")+IMPORTRANGE(""https://docs.google.com/spreadsheets/d/1UsNK1e-WWiCo2PvGqdNfdme4m17_Ezd3J69EeeiQPD0/edit?usp=sharing"",""อุทัยธานี!N501"")"),0)</f>
        <v>0</v>
      </c>
      <c r="O501" s="46">
        <f t="shared" ca="1" si="347"/>
        <v>0</v>
      </c>
      <c r="P501" s="46">
        <f t="shared" ca="1" si="348"/>
        <v>0</v>
      </c>
      <c r="Q501" s="46">
        <f ca="1">IFERROR(__xludf.DUMMYFUNCTION("IMPORTRANGE(""https://docs.google.com/spreadsheets/d/1jTcq05yEiRwXcBMLjiodW9e4biSGYWAHcDj22rKWQ3s/edit?usp=sharing"",""กำแพงเพชร!Q501"")+IMPORTRANGE(""https://docs.google.com/spreadsheets/d/1KS0zmDSZPk8KnTAbGN-Xk6MtX1YRZD0ldgdt20K4CRk/edit?usp=sharing"","&amp;"""เชียงราย!Q501"")+IMPORTRANGE(""https://docs.google.com/spreadsheets/d/1rEDxBtusbi64tE0zunoIbsTVV16HeL0oJ6trHQeQ7K8/edit?usp=sharing"",""เชียงใหม่!Q501"")+IMPORTRANGE(""https://docs.google.com/spreadsheets/d/1W6MnUbDkMi6xHnHko_XkFDO9kkuL6Wqyc-6OCDFjW9I/e"&amp;"dit?usp=sharing"",""ตาก!Q501"")+IMPORTRANGE(""https://docs.google.com/spreadsheets/d/1IQAWArduLkta9LpYo4a_ULsyqdta6-6aDDiwpUnQT6c/edit?usp=sharing"",""นครสวรรค์!Q501"")+IMPORTRANGE(""https://docs.google.com/spreadsheets/d/10s13Sk5xrltsiR-Zkbmk5DwIaDIKO8Xl"&amp;"bJAfqyT7Gvg/edit?usp=sharing"",""น่าน!Q501"")+IMPORTRANGE(""https://docs.google.com/spreadsheets/d/1uu4nAn4Dbi1XREnLKKotUANlKXa7yCgRcgq8HEzQYW8/edit?usp=sharing"",""พะเยา!Q501"")+IMPORTRANGE(""https://docs.google.com/spreadsheets/d/1xfJKIQxVOaPDIICqsflNlL"&amp;"u3JacTDk1FP9RH4phX7mI/edit?usp=sharing"",""พิจิตร!Q501"")+IMPORTRANGE(""https://docs.google.com/spreadsheets/d/1JtRfZkJMHtEhI5RdRHxYUG4FIZHqKDpNyIuN7A1Q0_k/edit?usp=sharing"",""พิษณุโลก!Q501"")+IMPORTRANGE(""https://docs.google.com/spreadsheets/d/1xlcVZWU"&amp;"Nn6SuWm0c307h32SiGkd9BaeQWlAktfD3KO8/edit?usp=sharing"",""เพชรบูรณ์!Q501"")+IMPORTRANGE(""https://docs.google.com/spreadsheets/d/1lOVebEIsI9qjGXl6EX66luk7wiuP2tBaryw-wKvv4e0/edit?usp=sharing"",""แพร่!Q501"")+IMPORTRANGE(""https://docs.google.com/spreadshe"&amp;"ets/d/1dQrvX0vEcN7Gu0fnZ0B5S90AeR19zth4XlExFBeExMY/edit?usp=sharing"",""แม่ฮ่องสอน!Q501"")+IMPORTRANGE(""https://docs.google.com/spreadsheets/d/1DY4XTNNwjluuxqdfdn6qvOSlMRrZqUtmYcZR0ttFiG4/edit?usp=sharing"",""ลำปาง!Q501"")+IMPORTRANGE(""https://docs.goog"&amp;"le.com/spreadsheets/d/1ICwG78r0OFT8biBlxnBF8r7she7gNSzOvJ958PWT09c/edit?usp=sharing"",""ลำพูน!Q501"")+IMPORTRANGE(""https://docs.google.com/spreadsheets/d/1B0f2xJpZUC6Z0xXnqKlZtEPzsf6L84eP1r1Q15seqRM/edit?usp=sharing"",""สุโขทัย!Q501"")+IMPORTRANGE(""http"&amp;"s://docs.google.com/spreadsheets/d/1v0b9pFQCsKUVExMei7AgY2yQkdeNQvtOssygGsXbiKo/edit?usp=sharing"",""อุตรดิตถ์!Q501"")+IMPORTRANGE(""https://docs.google.com/spreadsheets/d/1UsNK1e-WWiCo2PvGqdNfdme4m17_Ezd3J69EeeiQPD0/edit?usp=sharing"",""อุทัยธานี!Q501"")"),0)</f>
        <v>0</v>
      </c>
      <c r="R501" s="46">
        <f ca="1">IFERROR(__xludf.DUMMYFUNCTION("IMPORTRANGE(""https://docs.google.com/spreadsheets/d/1jTcq05yEiRwXcBMLjiodW9e4biSGYWAHcDj22rKWQ3s/edit?usp=sharing"",""กำแพงเพชร!R501"")+IMPORTRANGE(""https://docs.google.com/spreadsheets/d/1KS0zmDSZPk8KnTAbGN-Xk6MtX1YRZD0ldgdt20K4CRk/edit?usp=sharing"","&amp;"""เชียงราย!R501"")+IMPORTRANGE(""https://docs.google.com/spreadsheets/d/1rEDxBtusbi64tE0zunoIbsTVV16HeL0oJ6trHQeQ7K8/edit?usp=sharing"",""เชียงใหม่!R501"")+IMPORTRANGE(""https://docs.google.com/spreadsheets/d/1W6MnUbDkMi6xHnHko_XkFDO9kkuL6Wqyc-6OCDFjW9I/e"&amp;"dit?usp=sharing"",""ตาก!R501"")+IMPORTRANGE(""https://docs.google.com/spreadsheets/d/1IQAWArduLkta9LpYo4a_ULsyqdta6-6aDDiwpUnQT6c/edit?usp=sharing"",""นครสวรรค์!R501"")+IMPORTRANGE(""https://docs.google.com/spreadsheets/d/10s13Sk5xrltsiR-Zkbmk5DwIaDIKO8Xl"&amp;"bJAfqyT7Gvg/edit?usp=sharing"",""น่าน!R501"")+IMPORTRANGE(""https://docs.google.com/spreadsheets/d/1uu4nAn4Dbi1XREnLKKotUANlKXa7yCgRcgq8HEzQYW8/edit?usp=sharing"",""พะเยา!R501"")+IMPORTRANGE(""https://docs.google.com/spreadsheets/d/1xfJKIQxVOaPDIICqsflNlL"&amp;"u3JacTDk1FP9RH4phX7mI/edit?usp=sharing"",""พิจิตร!R501"")+IMPORTRANGE(""https://docs.google.com/spreadsheets/d/1JtRfZkJMHtEhI5RdRHxYUG4FIZHqKDpNyIuN7A1Q0_k/edit?usp=sharing"",""พิษณุโลก!R501"")+IMPORTRANGE(""https://docs.google.com/spreadsheets/d/1xlcVZWU"&amp;"Nn6SuWm0c307h32SiGkd9BaeQWlAktfD3KO8/edit?usp=sharing"",""เพชรบูรณ์!R501"")+IMPORTRANGE(""https://docs.google.com/spreadsheets/d/1lOVebEIsI9qjGXl6EX66luk7wiuP2tBaryw-wKvv4e0/edit?usp=sharing"",""แพร่!R501"")+IMPORTRANGE(""https://docs.google.com/spreadshe"&amp;"ets/d/1dQrvX0vEcN7Gu0fnZ0B5S90AeR19zth4XlExFBeExMY/edit?usp=sharing"",""แม่ฮ่องสอน!R501"")+IMPORTRANGE(""https://docs.google.com/spreadsheets/d/1DY4XTNNwjluuxqdfdn6qvOSlMRrZqUtmYcZR0ttFiG4/edit?usp=sharing"",""ลำปาง!R501"")+IMPORTRANGE(""https://docs.goog"&amp;"le.com/spreadsheets/d/1ICwG78r0OFT8biBlxnBF8r7she7gNSzOvJ958PWT09c/edit?usp=sharing"",""ลำพูน!R501"")+IMPORTRANGE(""https://docs.google.com/spreadsheets/d/1B0f2xJpZUC6Z0xXnqKlZtEPzsf6L84eP1r1Q15seqRM/edit?usp=sharing"",""สุโขทัย!R501"")+IMPORTRANGE(""http"&amp;"s://docs.google.com/spreadsheets/d/1v0b9pFQCsKUVExMei7AgY2yQkdeNQvtOssygGsXbiKo/edit?usp=sharing"",""อุตรดิตถ์!R501"")+IMPORTRANGE(""https://docs.google.com/spreadsheets/d/1UsNK1e-WWiCo2PvGqdNfdme4m17_Ezd3J69EeeiQPD0/edit?usp=sharing"",""อุทัยธานี!R501"")"),0)</f>
        <v>0</v>
      </c>
      <c r="S501" s="46">
        <f ca="1">IFERROR(__xludf.DUMMYFUNCTION("IMPORTRANGE(""https://docs.google.com/spreadsheets/d/1jTcq05yEiRwXcBMLjiodW9e4biSGYWAHcDj22rKWQ3s/edit?usp=sharing"",""กำแพงเพชร!S501"")+IMPORTRANGE(""https://docs.google.com/spreadsheets/d/1KS0zmDSZPk8KnTAbGN-Xk6MtX1YRZD0ldgdt20K4CRk/edit?usp=sharing"","&amp;"""เชียงราย!S501"")+IMPORTRANGE(""https://docs.google.com/spreadsheets/d/1rEDxBtusbi64tE0zunoIbsTVV16HeL0oJ6trHQeQ7K8/edit?usp=sharing"",""เชียงใหม่!S501"")+IMPORTRANGE(""https://docs.google.com/spreadsheets/d/1W6MnUbDkMi6xHnHko_XkFDO9kkuL6Wqyc-6OCDFjW9I/e"&amp;"dit?usp=sharing"",""ตาก!S501"")+IMPORTRANGE(""https://docs.google.com/spreadsheets/d/1IQAWArduLkta9LpYo4a_ULsyqdta6-6aDDiwpUnQT6c/edit?usp=sharing"",""นครสวรรค์!S501"")+IMPORTRANGE(""https://docs.google.com/spreadsheets/d/10s13Sk5xrltsiR-Zkbmk5DwIaDIKO8Xl"&amp;"bJAfqyT7Gvg/edit?usp=sharing"",""น่าน!S501"")+IMPORTRANGE(""https://docs.google.com/spreadsheets/d/1uu4nAn4Dbi1XREnLKKotUANlKXa7yCgRcgq8HEzQYW8/edit?usp=sharing"",""พะเยา!S501"")+IMPORTRANGE(""https://docs.google.com/spreadsheets/d/1xfJKIQxVOaPDIICqsflNlL"&amp;"u3JacTDk1FP9RH4phX7mI/edit?usp=sharing"",""พิจิตร!S501"")+IMPORTRANGE(""https://docs.google.com/spreadsheets/d/1JtRfZkJMHtEhI5RdRHxYUG4FIZHqKDpNyIuN7A1Q0_k/edit?usp=sharing"",""พิษณุโลก!S501"")+IMPORTRANGE(""https://docs.google.com/spreadsheets/d/1xlcVZWU"&amp;"Nn6SuWm0c307h32SiGkd9BaeQWlAktfD3KO8/edit?usp=sharing"",""เพชรบูรณ์!S501"")+IMPORTRANGE(""https://docs.google.com/spreadsheets/d/1lOVebEIsI9qjGXl6EX66luk7wiuP2tBaryw-wKvv4e0/edit?usp=sharing"",""แพร่!S501"")+IMPORTRANGE(""https://docs.google.com/spreadshe"&amp;"ets/d/1dQrvX0vEcN7Gu0fnZ0B5S90AeR19zth4XlExFBeExMY/edit?usp=sharing"",""แม่ฮ่องสอน!S501"")+IMPORTRANGE(""https://docs.google.com/spreadsheets/d/1DY4XTNNwjluuxqdfdn6qvOSlMRrZqUtmYcZR0ttFiG4/edit?usp=sharing"",""ลำปาง!S501"")+IMPORTRANGE(""https://docs.goog"&amp;"le.com/spreadsheets/d/1ICwG78r0OFT8biBlxnBF8r7she7gNSzOvJ958PWT09c/edit?usp=sharing"",""ลำพูน!S501"")+IMPORTRANGE(""https://docs.google.com/spreadsheets/d/1B0f2xJpZUC6Z0xXnqKlZtEPzsf6L84eP1r1Q15seqRM/edit?usp=sharing"",""สุโขทัย!S501"")+IMPORTRANGE(""http"&amp;"s://docs.google.com/spreadsheets/d/1v0b9pFQCsKUVExMei7AgY2yQkdeNQvtOssygGsXbiKo/edit?usp=sharing"",""อุตรดิตถ์!S501"")+IMPORTRANGE(""https://docs.google.com/spreadsheets/d/1UsNK1e-WWiCo2PvGqdNfdme4m17_Ezd3J69EeeiQPD0/edit?usp=sharing"",""อุทัยธานี!S501"")"),0)</f>
        <v>0</v>
      </c>
      <c r="T501" s="46">
        <f t="shared" ca="1" si="350"/>
        <v>0</v>
      </c>
      <c r="U501" s="46">
        <f t="shared" ca="1" si="351"/>
        <v>0</v>
      </c>
    </row>
    <row r="502" spans="1:21" ht="19.5" x14ac:dyDescent="0.3">
      <c r="A502" s="138"/>
      <c r="B502" s="139"/>
      <c r="C502" s="177" t="s">
        <v>18</v>
      </c>
      <c r="D502" s="313" t="s">
        <v>38</v>
      </c>
      <c r="E502" s="141"/>
      <c r="F502" s="141"/>
      <c r="G502" s="142"/>
      <c r="H502" s="178"/>
      <c r="I502" s="135"/>
      <c r="J502" s="135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08"/>
      <c r="B503" s="158"/>
      <c r="C503" s="158"/>
      <c r="D503" s="161" t="s">
        <v>199</v>
      </c>
      <c r="E503" s="40"/>
      <c r="F503" s="40"/>
      <c r="G503" s="42"/>
      <c r="H503" s="133" t="s">
        <v>35</v>
      </c>
      <c r="I503" s="166">
        <f ca="1">IFERROR(__xludf.DUMMYFUNCTION("IMPORTRANGE(""https://docs.google.com/spreadsheets/d/1jTcq05yEiRwXcBMLjiodW9e4biSGYWAHcDj22rKWQ3s/edit?usp=sharing"",""กำแพงเพชร!I503"")+IMPORTRANGE(""https://docs.google.com/spreadsheets/d/1KS0zmDSZPk8KnTAbGN-Xk6MtX1YRZD0ldgdt20K4CRk/edit?usp=sharing"","&amp;"""เชียงราย!I503"")+IMPORTRANGE(""https://docs.google.com/spreadsheets/d/1rEDxBtusbi64tE0zunoIbsTVV16HeL0oJ6trHQeQ7K8/edit?usp=sharing"",""เชียงใหม่!I503"")+IMPORTRANGE(""https://docs.google.com/spreadsheets/d/1W6MnUbDkMi6xHnHko_XkFDO9kkuL6Wqyc-6OCDFjW9I/e"&amp;"dit?usp=sharing"",""ตาก!I503"")+IMPORTRANGE(""https://docs.google.com/spreadsheets/d/1IQAWArduLkta9LpYo4a_ULsyqdta6-6aDDiwpUnQT6c/edit?usp=sharing"",""นครสวรรค์!I503"")+IMPORTRANGE(""https://docs.google.com/spreadsheets/d/10s13Sk5xrltsiR-Zkbmk5DwIaDIKO8Xl"&amp;"bJAfqyT7Gvg/edit?usp=sharing"",""น่าน!I503"")+IMPORTRANGE(""https://docs.google.com/spreadsheets/d/1uu4nAn4Dbi1XREnLKKotUANlKXa7yCgRcgq8HEzQYW8/edit?usp=sharing"",""พะเยา!I503"")+IMPORTRANGE(""https://docs.google.com/spreadsheets/d/1xfJKIQxVOaPDIICqsflNlL"&amp;"u3JacTDk1FP9RH4phX7mI/edit?usp=sharing"",""พิจิตร!I503"")+IMPORTRANGE(""https://docs.google.com/spreadsheets/d/1JtRfZkJMHtEhI5RdRHxYUG4FIZHqKDpNyIuN7A1Q0_k/edit?usp=sharing"",""พิษณุโลก!I503"")+IMPORTRANGE(""https://docs.google.com/spreadsheets/d/1xlcVZWU"&amp;"Nn6SuWm0c307h32SiGkd9BaeQWlAktfD3KO8/edit?usp=sharing"",""เพชรบูรณ์!I503"")+IMPORTRANGE(""https://docs.google.com/spreadsheets/d/1lOVebEIsI9qjGXl6EX66luk7wiuP2tBaryw-wKvv4e0/edit?usp=sharing"",""แพร่!I503"")+IMPORTRANGE(""https://docs.google.com/spreadshe"&amp;"ets/d/1dQrvX0vEcN7Gu0fnZ0B5S90AeR19zth4XlExFBeExMY/edit?usp=sharing"",""แม่ฮ่องสอน!I503"")+IMPORTRANGE(""https://docs.google.com/spreadsheets/d/1DY4XTNNwjluuxqdfdn6qvOSlMRrZqUtmYcZR0ttFiG4/edit?usp=sharing"",""ลำปาง!I503"")+IMPORTRANGE(""https://docs.goog"&amp;"le.com/spreadsheets/d/1ICwG78r0OFT8biBlxnBF8r7she7gNSzOvJ958PWT09c/edit?usp=sharing"",""ลำพูน!I503"")+IMPORTRANGE(""https://docs.google.com/spreadsheets/d/1B0f2xJpZUC6Z0xXnqKlZtEPzsf6L84eP1r1Q15seqRM/edit?usp=sharing"",""สุโขทัย!I503"")+IMPORTRANGE(""http"&amp;"s://docs.google.com/spreadsheets/d/1v0b9pFQCsKUVExMei7AgY2yQkdeNQvtOssygGsXbiKo/edit?usp=sharing"",""อุตรดิตถ์!I503"")+IMPORTRANGE(""https://docs.google.com/spreadsheets/d/1UsNK1e-WWiCo2PvGqdNfdme4m17_Ezd3J69EeeiQPD0/edit?usp=sharing"",""อุทัยธานี!I503"")"),60)</f>
        <v>60</v>
      </c>
      <c r="J503" s="167">
        <f ca="1">IFERROR(__xludf.DUMMYFUNCTION("IMPORTRANGE(""https://docs.google.com/spreadsheets/d/1jTcq05yEiRwXcBMLjiodW9e4biSGYWAHcDj22rKWQ3s/edit?usp=sharing"",""กำแพงเพชร!J503"")+IMPORTRANGE(""https://docs.google.com/spreadsheets/d/1KS0zmDSZPk8KnTAbGN-Xk6MtX1YRZD0ldgdt20K4CRk/edit?usp=sharing"","&amp;"""เชียงราย!J503"")+IMPORTRANGE(""https://docs.google.com/spreadsheets/d/1rEDxBtusbi64tE0zunoIbsTVV16HeL0oJ6trHQeQ7K8/edit?usp=sharing"",""เชียงใหม่!J503"")+IMPORTRANGE(""https://docs.google.com/spreadsheets/d/1W6MnUbDkMi6xHnHko_XkFDO9kkuL6Wqyc-6OCDFjW9I/e"&amp;"dit?usp=sharing"",""ตาก!J503"")+IMPORTRANGE(""https://docs.google.com/spreadsheets/d/1IQAWArduLkta9LpYo4a_ULsyqdta6-6aDDiwpUnQT6c/edit?usp=sharing"",""นครสวรรค์!J503"")+IMPORTRANGE(""https://docs.google.com/spreadsheets/d/10s13Sk5xrltsiR-Zkbmk5DwIaDIKO8Xl"&amp;"bJAfqyT7Gvg/edit?usp=sharing"",""น่าน!J503"")+IMPORTRANGE(""https://docs.google.com/spreadsheets/d/1uu4nAn4Dbi1XREnLKKotUANlKXa7yCgRcgq8HEzQYW8/edit?usp=sharing"",""พะเยา!J503"")+IMPORTRANGE(""https://docs.google.com/spreadsheets/d/1xfJKIQxVOaPDIICqsflNlL"&amp;"u3JacTDk1FP9RH4phX7mI/edit?usp=sharing"",""พิจิตร!J503"")+IMPORTRANGE(""https://docs.google.com/spreadsheets/d/1JtRfZkJMHtEhI5RdRHxYUG4FIZHqKDpNyIuN7A1Q0_k/edit?usp=sharing"",""พิษณุโลก!J503"")+IMPORTRANGE(""https://docs.google.com/spreadsheets/d/1xlcVZWU"&amp;"Nn6SuWm0c307h32SiGkd9BaeQWlAktfD3KO8/edit?usp=sharing"",""เพชรบูรณ์!J503"")+IMPORTRANGE(""https://docs.google.com/spreadsheets/d/1lOVebEIsI9qjGXl6EX66luk7wiuP2tBaryw-wKvv4e0/edit?usp=sharing"",""แพร่!J503"")+IMPORTRANGE(""https://docs.google.com/spreadshe"&amp;"ets/d/1dQrvX0vEcN7Gu0fnZ0B5S90AeR19zth4XlExFBeExMY/edit?usp=sharing"",""แม่ฮ่องสอน!J503"")+IMPORTRANGE(""https://docs.google.com/spreadsheets/d/1DY4XTNNwjluuxqdfdn6qvOSlMRrZqUtmYcZR0ttFiG4/edit?usp=sharing"",""ลำปาง!J503"")+IMPORTRANGE(""https://docs.goog"&amp;"le.com/spreadsheets/d/1ICwG78r0OFT8biBlxnBF8r7she7gNSzOvJ958PWT09c/edit?usp=sharing"",""ลำพูน!J503"")+IMPORTRANGE(""https://docs.google.com/spreadsheets/d/1B0f2xJpZUC6Z0xXnqKlZtEPzsf6L84eP1r1Q15seqRM/edit?usp=sharing"",""สุโขทัย!J503"")+IMPORTRANGE(""http"&amp;"s://docs.google.com/spreadsheets/d/1v0b9pFQCsKUVExMei7AgY2yQkdeNQvtOssygGsXbiKo/edit?usp=sharing"",""อุตรดิตถ์!J503"")+IMPORTRANGE(""https://docs.google.com/spreadsheets/d/1UsNK1e-WWiCo2PvGqdNfdme4m17_Ezd3J69EeeiQPD0/edit?usp=sharing"",""อุทัยธานี!J503"")"),0)</f>
        <v>0</v>
      </c>
      <c r="K503" s="132">
        <f t="shared" ref="K503:K509" ca="1" si="360">IF(I503&gt;0,J503*100/I503,0)</f>
        <v>0</v>
      </c>
      <c r="L503" s="45"/>
      <c r="M503" s="45"/>
      <c r="N503" s="45"/>
      <c r="O503" s="45"/>
      <c r="P503" s="45"/>
      <c r="Q503" s="45"/>
      <c r="R503" s="45"/>
      <c r="S503" s="45"/>
      <c r="T503" s="45"/>
      <c r="U503" s="45"/>
    </row>
    <row r="504" spans="1:21" ht="18.75" x14ac:dyDescent="0.25">
      <c r="A504" s="208"/>
      <c r="B504" s="158"/>
      <c r="C504" s="158"/>
      <c r="D504" s="158"/>
      <c r="E504" s="47" t="s">
        <v>200</v>
      </c>
      <c r="F504" s="40"/>
      <c r="G504" s="42"/>
      <c r="H504" s="133" t="s">
        <v>35</v>
      </c>
      <c r="I504" s="166">
        <f ca="1">IFERROR(__xludf.DUMMYFUNCTION("IMPORTRANGE(""https://docs.google.com/spreadsheets/d/1jTcq05yEiRwXcBMLjiodW9e4biSGYWAHcDj22rKWQ3s/edit?usp=sharing"",""กำแพงเพชร!I504"")+IMPORTRANGE(""https://docs.google.com/spreadsheets/d/1KS0zmDSZPk8KnTAbGN-Xk6MtX1YRZD0ldgdt20K4CRk/edit?usp=sharing"","&amp;"""เชียงราย!I504"")+IMPORTRANGE(""https://docs.google.com/spreadsheets/d/1rEDxBtusbi64tE0zunoIbsTVV16HeL0oJ6trHQeQ7K8/edit?usp=sharing"",""เชียงใหม่!I504"")+IMPORTRANGE(""https://docs.google.com/spreadsheets/d/1W6MnUbDkMi6xHnHko_XkFDO9kkuL6Wqyc-6OCDFjW9I/e"&amp;"dit?usp=sharing"",""ตาก!I504"")+IMPORTRANGE(""https://docs.google.com/spreadsheets/d/1IQAWArduLkta9LpYo4a_ULsyqdta6-6aDDiwpUnQT6c/edit?usp=sharing"",""นครสวรรค์!I504"")+IMPORTRANGE(""https://docs.google.com/spreadsheets/d/10s13Sk5xrltsiR-Zkbmk5DwIaDIKO8Xl"&amp;"bJAfqyT7Gvg/edit?usp=sharing"",""น่าน!I504"")+IMPORTRANGE(""https://docs.google.com/spreadsheets/d/1uu4nAn4Dbi1XREnLKKotUANlKXa7yCgRcgq8HEzQYW8/edit?usp=sharing"",""พะเยา!I504"")+IMPORTRANGE(""https://docs.google.com/spreadsheets/d/1xfJKIQxVOaPDIICqsflNlL"&amp;"u3JacTDk1FP9RH4phX7mI/edit?usp=sharing"",""พิจิตร!I504"")+IMPORTRANGE(""https://docs.google.com/spreadsheets/d/1JtRfZkJMHtEhI5RdRHxYUG4FIZHqKDpNyIuN7A1Q0_k/edit?usp=sharing"",""พิษณุโลก!I504"")+IMPORTRANGE(""https://docs.google.com/spreadsheets/d/1xlcVZWU"&amp;"Nn6SuWm0c307h32SiGkd9BaeQWlAktfD3KO8/edit?usp=sharing"",""เพชรบูรณ์!I504"")+IMPORTRANGE(""https://docs.google.com/spreadsheets/d/1lOVebEIsI9qjGXl6EX66luk7wiuP2tBaryw-wKvv4e0/edit?usp=sharing"",""แพร่!I504"")+IMPORTRANGE(""https://docs.google.com/spreadshe"&amp;"ets/d/1dQrvX0vEcN7Gu0fnZ0B5S90AeR19zth4XlExFBeExMY/edit?usp=sharing"",""แม่ฮ่องสอน!I504"")+IMPORTRANGE(""https://docs.google.com/spreadsheets/d/1DY4XTNNwjluuxqdfdn6qvOSlMRrZqUtmYcZR0ttFiG4/edit?usp=sharing"",""ลำปาง!I504"")+IMPORTRANGE(""https://docs.goog"&amp;"le.com/spreadsheets/d/1ICwG78r0OFT8biBlxnBF8r7she7gNSzOvJ958PWT09c/edit?usp=sharing"",""ลำพูน!I504"")+IMPORTRANGE(""https://docs.google.com/spreadsheets/d/1B0f2xJpZUC6Z0xXnqKlZtEPzsf6L84eP1r1Q15seqRM/edit?usp=sharing"",""สุโขทัย!I504"")+IMPORTRANGE(""http"&amp;"s://docs.google.com/spreadsheets/d/1v0b9pFQCsKUVExMei7AgY2yQkdeNQvtOssygGsXbiKo/edit?usp=sharing"",""อุตรดิตถ์!I504"")+IMPORTRANGE(""https://docs.google.com/spreadsheets/d/1UsNK1e-WWiCo2PvGqdNfdme4m17_Ezd3J69EeeiQPD0/edit?usp=sharing"",""อุทัยธานี!I504"")"),0)</f>
        <v>0</v>
      </c>
      <c r="J504" s="167">
        <f ca="1">IFERROR(__xludf.DUMMYFUNCTION("IMPORTRANGE(""https://docs.google.com/spreadsheets/d/1jTcq05yEiRwXcBMLjiodW9e4biSGYWAHcDj22rKWQ3s/edit?usp=sharing"",""กำแพงเพชร!J504"")+IMPORTRANGE(""https://docs.google.com/spreadsheets/d/1KS0zmDSZPk8KnTAbGN-Xk6MtX1YRZD0ldgdt20K4CRk/edit?usp=sharing"","&amp;"""เชียงราย!J504"")+IMPORTRANGE(""https://docs.google.com/spreadsheets/d/1rEDxBtusbi64tE0zunoIbsTVV16HeL0oJ6trHQeQ7K8/edit?usp=sharing"",""เชียงใหม่!J504"")+IMPORTRANGE(""https://docs.google.com/spreadsheets/d/1W6MnUbDkMi6xHnHko_XkFDO9kkuL6Wqyc-6OCDFjW9I/e"&amp;"dit?usp=sharing"",""ตาก!J504"")+IMPORTRANGE(""https://docs.google.com/spreadsheets/d/1IQAWArduLkta9LpYo4a_ULsyqdta6-6aDDiwpUnQT6c/edit?usp=sharing"",""นครสวรรค์!J504"")+IMPORTRANGE(""https://docs.google.com/spreadsheets/d/10s13Sk5xrltsiR-Zkbmk5DwIaDIKO8Xl"&amp;"bJAfqyT7Gvg/edit?usp=sharing"",""น่าน!J504"")+IMPORTRANGE(""https://docs.google.com/spreadsheets/d/1uu4nAn4Dbi1XREnLKKotUANlKXa7yCgRcgq8HEzQYW8/edit?usp=sharing"",""พะเยา!J504"")+IMPORTRANGE(""https://docs.google.com/spreadsheets/d/1xfJKIQxVOaPDIICqsflNlL"&amp;"u3JacTDk1FP9RH4phX7mI/edit?usp=sharing"",""พิจิตร!J504"")+IMPORTRANGE(""https://docs.google.com/spreadsheets/d/1JtRfZkJMHtEhI5RdRHxYUG4FIZHqKDpNyIuN7A1Q0_k/edit?usp=sharing"",""พิษณุโลก!J504"")+IMPORTRANGE(""https://docs.google.com/spreadsheets/d/1xlcVZWU"&amp;"Nn6SuWm0c307h32SiGkd9BaeQWlAktfD3KO8/edit?usp=sharing"",""เพชรบูรณ์!J504"")+IMPORTRANGE(""https://docs.google.com/spreadsheets/d/1lOVebEIsI9qjGXl6EX66luk7wiuP2tBaryw-wKvv4e0/edit?usp=sharing"",""แพร่!J504"")+IMPORTRANGE(""https://docs.google.com/spreadshe"&amp;"ets/d/1dQrvX0vEcN7Gu0fnZ0B5S90AeR19zth4XlExFBeExMY/edit?usp=sharing"",""แม่ฮ่องสอน!J504"")+IMPORTRANGE(""https://docs.google.com/spreadsheets/d/1DY4XTNNwjluuxqdfdn6qvOSlMRrZqUtmYcZR0ttFiG4/edit?usp=sharing"",""ลำปาง!J504"")+IMPORTRANGE(""https://docs.goog"&amp;"le.com/spreadsheets/d/1ICwG78r0OFT8biBlxnBF8r7she7gNSzOvJ958PWT09c/edit?usp=sharing"",""ลำพูน!J504"")+IMPORTRANGE(""https://docs.google.com/spreadsheets/d/1B0f2xJpZUC6Z0xXnqKlZtEPzsf6L84eP1r1Q15seqRM/edit?usp=sharing"",""สุโขทัย!J504"")+IMPORTRANGE(""http"&amp;"s://docs.google.com/spreadsheets/d/1v0b9pFQCsKUVExMei7AgY2yQkdeNQvtOssygGsXbiKo/edit?usp=sharing"",""อุตรดิตถ์!J504"")+IMPORTRANGE(""https://docs.google.com/spreadsheets/d/1UsNK1e-WWiCo2PvGqdNfdme4m17_Ezd3J69EeeiQPD0/edit?usp=sharing"",""อุทัยธานี!J504"")"),40)</f>
        <v>40</v>
      </c>
      <c r="K504" s="46">
        <f t="shared" ca="1" si="360"/>
        <v>0</v>
      </c>
      <c r="L504" s="45"/>
      <c r="M504" s="45"/>
      <c r="N504" s="45"/>
      <c r="O504" s="45"/>
      <c r="P504" s="45"/>
      <c r="Q504" s="45"/>
      <c r="R504" s="45"/>
      <c r="S504" s="45"/>
      <c r="T504" s="45"/>
      <c r="U504" s="45"/>
    </row>
    <row r="505" spans="1:21" ht="18.75" x14ac:dyDescent="0.25">
      <c r="A505" s="208"/>
      <c r="B505" s="158"/>
      <c r="C505" s="158"/>
      <c r="D505" s="158"/>
      <c r="E505" s="47" t="s">
        <v>201</v>
      </c>
      <c r="F505" s="40"/>
      <c r="G505" s="42"/>
      <c r="H505" s="133" t="s">
        <v>35</v>
      </c>
      <c r="I505" s="166">
        <f ca="1">IFERROR(__xludf.DUMMYFUNCTION("IMPORTRANGE(""https://docs.google.com/spreadsheets/d/1jTcq05yEiRwXcBMLjiodW9e4biSGYWAHcDj22rKWQ3s/edit?usp=sharing"",""กำแพงเพชร!I505"")+IMPORTRANGE(""https://docs.google.com/spreadsheets/d/1KS0zmDSZPk8KnTAbGN-Xk6MtX1YRZD0ldgdt20K4CRk/edit?usp=sharing"","&amp;"""เชียงราย!I505"")+IMPORTRANGE(""https://docs.google.com/spreadsheets/d/1rEDxBtusbi64tE0zunoIbsTVV16HeL0oJ6trHQeQ7K8/edit?usp=sharing"",""เชียงใหม่!I505"")+IMPORTRANGE(""https://docs.google.com/spreadsheets/d/1W6MnUbDkMi6xHnHko_XkFDO9kkuL6Wqyc-6OCDFjW9I/e"&amp;"dit?usp=sharing"",""ตาก!I505"")+IMPORTRANGE(""https://docs.google.com/spreadsheets/d/1IQAWArduLkta9LpYo4a_ULsyqdta6-6aDDiwpUnQT6c/edit?usp=sharing"",""นครสวรรค์!I505"")+IMPORTRANGE(""https://docs.google.com/spreadsheets/d/10s13Sk5xrltsiR-Zkbmk5DwIaDIKO8Xl"&amp;"bJAfqyT7Gvg/edit?usp=sharing"",""น่าน!I505"")+IMPORTRANGE(""https://docs.google.com/spreadsheets/d/1uu4nAn4Dbi1XREnLKKotUANlKXa7yCgRcgq8HEzQYW8/edit?usp=sharing"",""พะเยา!I505"")+IMPORTRANGE(""https://docs.google.com/spreadsheets/d/1xfJKIQxVOaPDIICqsflNlL"&amp;"u3JacTDk1FP9RH4phX7mI/edit?usp=sharing"",""พิจิตร!I505"")+IMPORTRANGE(""https://docs.google.com/spreadsheets/d/1JtRfZkJMHtEhI5RdRHxYUG4FIZHqKDpNyIuN7A1Q0_k/edit?usp=sharing"",""พิษณุโลก!I505"")+IMPORTRANGE(""https://docs.google.com/spreadsheets/d/1xlcVZWU"&amp;"Nn6SuWm0c307h32SiGkd9BaeQWlAktfD3KO8/edit?usp=sharing"",""เพชรบูรณ์!I505"")+IMPORTRANGE(""https://docs.google.com/spreadsheets/d/1lOVebEIsI9qjGXl6EX66luk7wiuP2tBaryw-wKvv4e0/edit?usp=sharing"",""แพร่!I505"")+IMPORTRANGE(""https://docs.google.com/spreadshe"&amp;"ets/d/1dQrvX0vEcN7Gu0fnZ0B5S90AeR19zth4XlExFBeExMY/edit?usp=sharing"",""แม่ฮ่องสอน!I505"")+IMPORTRANGE(""https://docs.google.com/spreadsheets/d/1DY4XTNNwjluuxqdfdn6qvOSlMRrZqUtmYcZR0ttFiG4/edit?usp=sharing"",""ลำปาง!I505"")+IMPORTRANGE(""https://docs.goog"&amp;"le.com/spreadsheets/d/1ICwG78r0OFT8biBlxnBF8r7she7gNSzOvJ958PWT09c/edit?usp=sharing"",""ลำพูน!I505"")+IMPORTRANGE(""https://docs.google.com/spreadsheets/d/1B0f2xJpZUC6Z0xXnqKlZtEPzsf6L84eP1r1Q15seqRM/edit?usp=sharing"",""สุโขทัย!I505"")+IMPORTRANGE(""http"&amp;"s://docs.google.com/spreadsheets/d/1v0b9pFQCsKUVExMei7AgY2yQkdeNQvtOssygGsXbiKo/edit?usp=sharing"",""อุตรดิตถ์!I505"")+IMPORTRANGE(""https://docs.google.com/spreadsheets/d/1UsNK1e-WWiCo2PvGqdNfdme4m17_Ezd3J69EeeiQPD0/edit?usp=sharing"",""อุทัยธานี!I505"")"),0)</f>
        <v>0</v>
      </c>
      <c r="J505" s="167">
        <f ca="1">IFERROR(__xludf.DUMMYFUNCTION("IMPORTRANGE(""https://docs.google.com/spreadsheets/d/1jTcq05yEiRwXcBMLjiodW9e4biSGYWAHcDj22rKWQ3s/edit?usp=sharing"",""กำแพงเพชร!J505"")+IMPORTRANGE(""https://docs.google.com/spreadsheets/d/1KS0zmDSZPk8KnTAbGN-Xk6MtX1YRZD0ldgdt20K4CRk/edit?usp=sharing"","&amp;"""เชียงราย!J505"")+IMPORTRANGE(""https://docs.google.com/spreadsheets/d/1rEDxBtusbi64tE0zunoIbsTVV16HeL0oJ6trHQeQ7K8/edit?usp=sharing"",""เชียงใหม่!J505"")+IMPORTRANGE(""https://docs.google.com/spreadsheets/d/1W6MnUbDkMi6xHnHko_XkFDO9kkuL6Wqyc-6OCDFjW9I/e"&amp;"dit?usp=sharing"",""ตาก!J505"")+IMPORTRANGE(""https://docs.google.com/spreadsheets/d/1IQAWArduLkta9LpYo4a_ULsyqdta6-6aDDiwpUnQT6c/edit?usp=sharing"",""นครสวรรค์!J505"")+IMPORTRANGE(""https://docs.google.com/spreadsheets/d/10s13Sk5xrltsiR-Zkbmk5DwIaDIKO8Xl"&amp;"bJAfqyT7Gvg/edit?usp=sharing"",""น่าน!J505"")+IMPORTRANGE(""https://docs.google.com/spreadsheets/d/1uu4nAn4Dbi1XREnLKKotUANlKXa7yCgRcgq8HEzQYW8/edit?usp=sharing"",""พะเยา!J505"")+IMPORTRANGE(""https://docs.google.com/spreadsheets/d/1xfJKIQxVOaPDIICqsflNlL"&amp;"u3JacTDk1FP9RH4phX7mI/edit?usp=sharing"",""พิจิตร!J505"")+IMPORTRANGE(""https://docs.google.com/spreadsheets/d/1JtRfZkJMHtEhI5RdRHxYUG4FIZHqKDpNyIuN7A1Q0_k/edit?usp=sharing"",""พิษณุโลก!J505"")+IMPORTRANGE(""https://docs.google.com/spreadsheets/d/1xlcVZWU"&amp;"Nn6SuWm0c307h32SiGkd9BaeQWlAktfD3KO8/edit?usp=sharing"",""เพชรบูรณ์!J505"")+IMPORTRANGE(""https://docs.google.com/spreadsheets/d/1lOVebEIsI9qjGXl6EX66luk7wiuP2tBaryw-wKvv4e0/edit?usp=sharing"",""แพร่!J505"")+IMPORTRANGE(""https://docs.google.com/spreadshe"&amp;"ets/d/1dQrvX0vEcN7Gu0fnZ0B5S90AeR19zth4XlExFBeExMY/edit?usp=sharing"",""แม่ฮ่องสอน!J505"")+IMPORTRANGE(""https://docs.google.com/spreadsheets/d/1DY4XTNNwjluuxqdfdn6qvOSlMRrZqUtmYcZR0ttFiG4/edit?usp=sharing"",""ลำปาง!J505"")+IMPORTRANGE(""https://docs.goog"&amp;"le.com/spreadsheets/d/1ICwG78r0OFT8biBlxnBF8r7she7gNSzOvJ958PWT09c/edit?usp=sharing"",""ลำพูน!J505"")+IMPORTRANGE(""https://docs.google.com/spreadsheets/d/1B0f2xJpZUC6Z0xXnqKlZtEPzsf6L84eP1r1Q15seqRM/edit?usp=sharing"",""สุโขทัย!J505"")+IMPORTRANGE(""http"&amp;"s://docs.google.com/spreadsheets/d/1v0b9pFQCsKUVExMei7AgY2yQkdeNQvtOssygGsXbiKo/edit?usp=sharing"",""อุตรดิตถ์!J505"")+IMPORTRANGE(""https://docs.google.com/spreadsheets/d/1UsNK1e-WWiCo2PvGqdNfdme4m17_Ezd3J69EeeiQPD0/edit?usp=sharing"",""อุทัยธานี!J505"")"),30)</f>
        <v>30</v>
      </c>
      <c r="K505" s="46">
        <f t="shared" ca="1" si="360"/>
        <v>0</v>
      </c>
      <c r="L505" s="45"/>
      <c r="M505" s="45"/>
      <c r="N505" s="45"/>
      <c r="O505" s="45"/>
      <c r="P505" s="45"/>
      <c r="Q505" s="45"/>
      <c r="R505" s="45"/>
      <c r="S505" s="45"/>
      <c r="T505" s="45"/>
      <c r="U505" s="45"/>
    </row>
    <row r="506" spans="1:21" ht="18.75" x14ac:dyDescent="0.25">
      <c r="A506" s="208"/>
      <c r="B506" s="158"/>
      <c r="C506" s="158"/>
      <c r="D506" s="158"/>
      <c r="E506" s="47" t="s">
        <v>202</v>
      </c>
      <c r="F506" s="40"/>
      <c r="G506" s="42"/>
      <c r="H506" s="133" t="s">
        <v>35</v>
      </c>
      <c r="I506" s="166">
        <f ca="1">IFERROR(__xludf.DUMMYFUNCTION("IMPORTRANGE(""https://docs.google.com/spreadsheets/d/1jTcq05yEiRwXcBMLjiodW9e4biSGYWAHcDj22rKWQ3s/edit?usp=sharing"",""กำแพงเพชร!I506"")+IMPORTRANGE(""https://docs.google.com/spreadsheets/d/1KS0zmDSZPk8KnTAbGN-Xk6MtX1YRZD0ldgdt20K4CRk/edit?usp=sharing"","&amp;"""เชียงราย!I506"")+IMPORTRANGE(""https://docs.google.com/spreadsheets/d/1rEDxBtusbi64tE0zunoIbsTVV16HeL0oJ6trHQeQ7K8/edit?usp=sharing"",""เชียงใหม่!I506"")+IMPORTRANGE(""https://docs.google.com/spreadsheets/d/1W6MnUbDkMi6xHnHko_XkFDO9kkuL6Wqyc-6OCDFjW9I/e"&amp;"dit?usp=sharing"",""ตาก!I506"")+IMPORTRANGE(""https://docs.google.com/spreadsheets/d/1IQAWArduLkta9LpYo4a_ULsyqdta6-6aDDiwpUnQT6c/edit?usp=sharing"",""นครสวรรค์!I506"")+IMPORTRANGE(""https://docs.google.com/spreadsheets/d/10s13Sk5xrltsiR-Zkbmk5DwIaDIKO8Xl"&amp;"bJAfqyT7Gvg/edit?usp=sharing"",""น่าน!I506"")+IMPORTRANGE(""https://docs.google.com/spreadsheets/d/1uu4nAn4Dbi1XREnLKKotUANlKXa7yCgRcgq8HEzQYW8/edit?usp=sharing"",""พะเยา!I506"")+IMPORTRANGE(""https://docs.google.com/spreadsheets/d/1xfJKIQxVOaPDIICqsflNlL"&amp;"u3JacTDk1FP9RH4phX7mI/edit?usp=sharing"",""พิจิตร!I506"")+IMPORTRANGE(""https://docs.google.com/spreadsheets/d/1JtRfZkJMHtEhI5RdRHxYUG4FIZHqKDpNyIuN7A1Q0_k/edit?usp=sharing"",""พิษณุโลก!I506"")+IMPORTRANGE(""https://docs.google.com/spreadsheets/d/1xlcVZWU"&amp;"Nn6SuWm0c307h32SiGkd9BaeQWlAktfD3KO8/edit?usp=sharing"",""เพชรบูรณ์!I506"")+IMPORTRANGE(""https://docs.google.com/spreadsheets/d/1lOVebEIsI9qjGXl6EX66luk7wiuP2tBaryw-wKvv4e0/edit?usp=sharing"",""แพร่!I506"")+IMPORTRANGE(""https://docs.google.com/spreadshe"&amp;"ets/d/1dQrvX0vEcN7Gu0fnZ0B5S90AeR19zth4XlExFBeExMY/edit?usp=sharing"",""แม่ฮ่องสอน!I506"")+IMPORTRANGE(""https://docs.google.com/spreadsheets/d/1DY4XTNNwjluuxqdfdn6qvOSlMRrZqUtmYcZR0ttFiG4/edit?usp=sharing"",""ลำปาง!I506"")+IMPORTRANGE(""https://docs.goog"&amp;"le.com/spreadsheets/d/1ICwG78r0OFT8biBlxnBF8r7she7gNSzOvJ958PWT09c/edit?usp=sharing"",""ลำพูน!I506"")+IMPORTRANGE(""https://docs.google.com/spreadsheets/d/1B0f2xJpZUC6Z0xXnqKlZtEPzsf6L84eP1r1Q15seqRM/edit?usp=sharing"",""สุโขทัย!I506"")+IMPORTRANGE(""http"&amp;"s://docs.google.com/spreadsheets/d/1v0b9pFQCsKUVExMei7AgY2yQkdeNQvtOssygGsXbiKo/edit?usp=sharing"",""อุตรดิตถ์!I506"")+IMPORTRANGE(""https://docs.google.com/spreadsheets/d/1UsNK1e-WWiCo2PvGqdNfdme4m17_Ezd3J69EeeiQPD0/edit?usp=sharing"",""อุทัยธานี!I506"")"),0)</f>
        <v>0</v>
      </c>
      <c r="J506" s="167">
        <f ca="1">IFERROR(__xludf.DUMMYFUNCTION("IMPORTRANGE(""https://docs.google.com/spreadsheets/d/1jTcq05yEiRwXcBMLjiodW9e4biSGYWAHcDj22rKWQ3s/edit?usp=sharing"",""กำแพงเพชร!J506"")+IMPORTRANGE(""https://docs.google.com/spreadsheets/d/1KS0zmDSZPk8KnTAbGN-Xk6MtX1YRZD0ldgdt20K4CRk/edit?usp=sharing"","&amp;"""เชียงราย!J506"")+IMPORTRANGE(""https://docs.google.com/spreadsheets/d/1rEDxBtusbi64tE0zunoIbsTVV16HeL0oJ6trHQeQ7K8/edit?usp=sharing"",""เชียงใหม่!J506"")+IMPORTRANGE(""https://docs.google.com/spreadsheets/d/1W6MnUbDkMi6xHnHko_XkFDO9kkuL6Wqyc-6OCDFjW9I/e"&amp;"dit?usp=sharing"",""ตาก!J506"")+IMPORTRANGE(""https://docs.google.com/spreadsheets/d/1IQAWArduLkta9LpYo4a_ULsyqdta6-6aDDiwpUnQT6c/edit?usp=sharing"",""นครสวรรค์!J506"")+IMPORTRANGE(""https://docs.google.com/spreadsheets/d/10s13Sk5xrltsiR-Zkbmk5DwIaDIKO8Xl"&amp;"bJAfqyT7Gvg/edit?usp=sharing"",""น่าน!J506"")+IMPORTRANGE(""https://docs.google.com/spreadsheets/d/1uu4nAn4Dbi1XREnLKKotUANlKXa7yCgRcgq8HEzQYW8/edit?usp=sharing"",""พะเยา!J506"")+IMPORTRANGE(""https://docs.google.com/spreadsheets/d/1xfJKIQxVOaPDIICqsflNlL"&amp;"u3JacTDk1FP9RH4phX7mI/edit?usp=sharing"",""พิจิตร!J506"")+IMPORTRANGE(""https://docs.google.com/spreadsheets/d/1JtRfZkJMHtEhI5RdRHxYUG4FIZHqKDpNyIuN7A1Q0_k/edit?usp=sharing"",""พิษณุโลก!J506"")+IMPORTRANGE(""https://docs.google.com/spreadsheets/d/1xlcVZWU"&amp;"Nn6SuWm0c307h32SiGkd9BaeQWlAktfD3KO8/edit?usp=sharing"",""เพชรบูรณ์!J506"")+IMPORTRANGE(""https://docs.google.com/spreadsheets/d/1lOVebEIsI9qjGXl6EX66luk7wiuP2tBaryw-wKvv4e0/edit?usp=sharing"",""แพร่!J506"")+IMPORTRANGE(""https://docs.google.com/spreadshe"&amp;"ets/d/1dQrvX0vEcN7Gu0fnZ0B5S90AeR19zth4XlExFBeExMY/edit?usp=sharing"",""แม่ฮ่องสอน!J506"")+IMPORTRANGE(""https://docs.google.com/spreadsheets/d/1DY4XTNNwjluuxqdfdn6qvOSlMRrZqUtmYcZR0ttFiG4/edit?usp=sharing"",""ลำปาง!J506"")+IMPORTRANGE(""https://docs.goog"&amp;"le.com/spreadsheets/d/1ICwG78r0OFT8biBlxnBF8r7she7gNSzOvJ958PWT09c/edit?usp=sharing"",""ลำพูน!J506"")+IMPORTRANGE(""https://docs.google.com/spreadsheets/d/1B0f2xJpZUC6Z0xXnqKlZtEPzsf6L84eP1r1Q15seqRM/edit?usp=sharing"",""สุโขทัย!J506"")+IMPORTRANGE(""http"&amp;"s://docs.google.com/spreadsheets/d/1v0b9pFQCsKUVExMei7AgY2yQkdeNQvtOssygGsXbiKo/edit?usp=sharing"",""อุตรดิตถ์!J506"")+IMPORTRANGE(""https://docs.google.com/spreadsheets/d/1UsNK1e-WWiCo2PvGqdNfdme4m17_Ezd3J69EeeiQPD0/edit?usp=sharing"",""อุทัยธานี!J506"")"),30)</f>
        <v>30</v>
      </c>
      <c r="K506" s="46">
        <f t="shared" ca="1" si="360"/>
        <v>0</v>
      </c>
      <c r="L506" s="45"/>
      <c r="M506" s="45"/>
      <c r="N506" s="45"/>
      <c r="O506" s="45"/>
      <c r="P506" s="45"/>
      <c r="Q506" s="45"/>
      <c r="R506" s="45"/>
      <c r="S506" s="45"/>
      <c r="T506" s="45"/>
      <c r="U506" s="45"/>
    </row>
    <row r="507" spans="1:21" ht="18.75" x14ac:dyDescent="0.25">
      <c r="A507" s="208"/>
      <c r="B507" s="158"/>
      <c r="C507" s="158"/>
      <c r="D507" s="158"/>
      <c r="E507" s="332" t="s">
        <v>203</v>
      </c>
      <c r="F507" s="40"/>
      <c r="G507" s="42"/>
      <c r="H507" s="133" t="s">
        <v>35</v>
      </c>
      <c r="I507" s="166">
        <f ca="1">IFERROR(__xludf.DUMMYFUNCTION("IMPORTRANGE(""https://docs.google.com/spreadsheets/d/1jTcq05yEiRwXcBMLjiodW9e4biSGYWAHcDj22rKWQ3s/edit?usp=sharing"",""กำแพงเพชร!I507"")+IMPORTRANGE(""https://docs.google.com/spreadsheets/d/1KS0zmDSZPk8KnTAbGN-Xk6MtX1YRZD0ldgdt20K4CRk/edit?usp=sharing"","&amp;"""เชียงราย!I507"")+IMPORTRANGE(""https://docs.google.com/spreadsheets/d/1rEDxBtusbi64tE0zunoIbsTVV16HeL0oJ6trHQeQ7K8/edit?usp=sharing"",""เชียงใหม่!I507"")+IMPORTRANGE(""https://docs.google.com/spreadsheets/d/1W6MnUbDkMi6xHnHko_XkFDO9kkuL6Wqyc-6OCDFjW9I/e"&amp;"dit?usp=sharing"",""ตาก!I507"")+IMPORTRANGE(""https://docs.google.com/spreadsheets/d/1IQAWArduLkta9LpYo4a_ULsyqdta6-6aDDiwpUnQT6c/edit?usp=sharing"",""นครสวรรค์!I507"")+IMPORTRANGE(""https://docs.google.com/spreadsheets/d/10s13Sk5xrltsiR-Zkbmk5DwIaDIKO8Xl"&amp;"bJAfqyT7Gvg/edit?usp=sharing"",""น่าน!I507"")+IMPORTRANGE(""https://docs.google.com/spreadsheets/d/1uu4nAn4Dbi1XREnLKKotUANlKXa7yCgRcgq8HEzQYW8/edit?usp=sharing"",""พะเยา!I507"")+IMPORTRANGE(""https://docs.google.com/spreadsheets/d/1xfJKIQxVOaPDIICqsflNlL"&amp;"u3JacTDk1FP9RH4phX7mI/edit?usp=sharing"",""พิจิตร!I507"")+IMPORTRANGE(""https://docs.google.com/spreadsheets/d/1JtRfZkJMHtEhI5RdRHxYUG4FIZHqKDpNyIuN7A1Q0_k/edit?usp=sharing"",""พิษณุโลก!I507"")+IMPORTRANGE(""https://docs.google.com/spreadsheets/d/1xlcVZWU"&amp;"Nn6SuWm0c307h32SiGkd9BaeQWlAktfD3KO8/edit?usp=sharing"",""เพชรบูรณ์!I507"")+IMPORTRANGE(""https://docs.google.com/spreadsheets/d/1lOVebEIsI9qjGXl6EX66luk7wiuP2tBaryw-wKvv4e0/edit?usp=sharing"",""แพร่!I507"")+IMPORTRANGE(""https://docs.google.com/spreadshe"&amp;"ets/d/1dQrvX0vEcN7Gu0fnZ0B5S90AeR19zth4XlExFBeExMY/edit?usp=sharing"",""แม่ฮ่องสอน!I507"")+IMPORTRANGE(""https://docs.google.com/spreadsheets/d/1DY4XTNNwjluuxqdfdn6qvOSlMRrZqUtmYcZR0ttFiG4/edit?usp=sharing"",""ลำปาง!I507"")+IMPORTRANGE(""https://docs.goog"&amp;"le.com/spreadsheets/d/1ICwG78r0OFT8biBlxnBF8r7she7gNSzOvJ958PWT09c/edit?usp=sharing"",""ลำพูน!I507"")+IMPORTRANGE(""https://docs.google.com/spreadsheets/d/1B0f2xJpZUC6Z0xXnqKlZtEPzsf6L84eP1r1Q15seqRM/edit?usp=sharing"",""สุโขทัย!I507"")+IMPORTRANGE(""http"&amp;"s://docs.google.com/spreadsheets/d/1v0b9pFQCsKUVExMei7AgY2yQkdeNQvtOssygGsXbiKo/edit?usp=sharing"",""อุตรดิตถ์!I507"")+IMPORTRANGE(""https://docs.google.com/spreadsheets/d/1UsNK1e-WWiCo2PvGqdNfdme4m17_Ezd3J69EeeiQPD0/edit?usp=sharing"",""อุทัยธานี!I507"")"),0)</f>
        <v>0</v>
      </c>
      <c r="J507" s="167">
        <f ca="1">IFERROR(__xludf.DUMMYFUNCTION("IMPORTRANGE(""https://docs.google.com/spreadsheets/d/1jTcq05yEiRwXcBMLjiodW9e4biSGYWAHcDj22rKWQ3s/edit?usp=sharing"",""กำแพงเพชร!J507"")+IMPORTRANGE(""https://docs.google.com/spreadsheets/d/1KS0zmDSZPk8KnTAbGN-Xk6MtX1YRZD0ldgdt20K4CRk/edit?usp=sharing"","&amp;"""เชียงราย!J507"")+IMPORTRANGE(""https://docs.google.com/spreadsheets/d/1rEDxBtusbi64tE0zunoIbsTVV16HeL0oJ6trHQeQ7K8/edit?usp=sharing"",""เชียงใหม่!J507"")+IMPORTRANGE(""https://docs.google.com/spreadsheets/d/1W6MnUbDkMi6xHnHko_XkFDO9kkuL6Wqyc-6OCDFjW9I/e"&amp;"dit?usp=sharing"",""ตาก!J507"")+IMPORTRANGE(""https://docs.google.com/spreadsheets/d/1IQAWArduLkta9LpYo4a_ULsyqdta6-6aDDiwpUnQT6c/edit?usp=sharing"",""นครสวรรค์!J507"")+IMPORTRANGE(""https://docs.google.com/spreadsheets/d/10s13Sk5xrltsiR-Zkbmk5DwIaDIKO8Xl"&amp;"bJAfqyT7Gvg/edit?usp=sharing"",""น่าน!J507"")+IMPORTRANGE(""https://docs.google.com/spreadsheets/d/1uu4nAn4Dbi1XREnLKKotUANlKXa7yCgRcgq8HEzQYW8/edit?usp=sharing"",""พะเยา!J507"")+IMPORTRANGE(""https://docs.google.com/spreadsheets/d/1xfJKIQxVOaPDIICqsflNlL"&amp;"u3JacTDk1FP9RH4phX7mI/edit?usp=sharing"",""พิจิตร!J507"")+IMPORTRANGE(""https://docs.google.com/spreadsheets/d/1JtRfZkJMHtEhI5RdRHxYUG4FIZHqKDpNyIuN7A1Q0_k/edit?usp=sharing"",""พิษณุโลก!J507"")+IMPORTRANGE(""https://docs.google.com/spreadsheets/d/1xlcVZWU"&amp;"Nn6SuWm0c307h32SiGkd9BaeQWlAktfD3KO8/edit?usp=sharing"",""เพชรบูรณ์!J507"")+IMPORTRANGE(""https://docs.google.com/spreadsheets/d/1lOVebEIsI9qjGXl6EX66luk7wiuP2tBaryw-wKvv4e0/edit?usp=sharing"",""แพร่!J507"")+IMPORTRANGE(""https://docs.google.com/spreadshe"&amp;"ets/d/1dQrvX0vEcN7Gu0fnZ0B5S90AeR19zth4XlExFBeExMY/edit?usp=sharing"",""แม่ฮ่องสอน!J507"")+IMPORTRANGE(""https://docs.google.com/spreadsheets/d/1DY4XTNNwjluuxqdfdn6qvOSlMRrZqUtmYcZR0ttFiG4/edit?usp=sharing"",""ลำปาง!J507"")+IMPORTRANGE(""https://docs.goog"&amp;"le.com/spreadsheets/d/1ICwG78r0OFT8biBlxnBF8r7she7gNSzOvJ958PWT09c/edit?usp=sharing"",""ลำพูน!J507"")+IMPORTRANGE(""https://docs.google.com/spreadsheets/d/1B0f2xJpZUC6Z0xXnqKlZtEPzsf6L84eP1r1Q15seqRM/edit?usp=sharing"",""สุโขทัย!J507"")+IMPORTRANGE(""http"&amp;"s://docs.google.com/spreadsheets/d/1v0b9pFQCsKUVExMei7AgY2yQkdeNQvtOssygGsXbiKo/edit?usp=sharing"",""อุตรดิตถ์!J507"")+IMPORTRANGE(""https://docs.google.com/spreadsheets/d/1UsNK1e-WWiCo2PvGqdNfdme4m17_Ezd3J69EeeiQPD0/edit?usp=sharing"",""อุทัยธานี!J507"")"),30)</f>
        <v>30</v>
      </c>
      <c r="K507" s="46">
        <f t="shared" ca="1" si="360"/>
        <v>0</v>
      </c>
      <c r="L507" s="45"/>
      <c r="M507" s="45"/>
      <c r="N507" s="45"/>
      <c r="O507" s="45"/>
      <c r="P507" s="45"/>
      <c r="Q507" s="45"/>
      <c r="R507" s="45"/>
      <c r="S507" s="45"/>
      <c r="T507" s="45"/>
      <c r="U507" s="45"/>
    </row>
    <row r="508" spans="1:21" ht="18.75" x14ac:dyDescent="0.25">
      <c r="A508" s="208"/>
      <c r="B508" s="158"/>
      <c r="C508" s="158"/>
      <c r="D508" s="158"/>
      <c r="E508" s="47" t="s">
        <v>204</v>
      </c>
      <c r="F508" s="40"/>
      <c r="G508" s="42"/>
      <c r="H508" s="133" t="s">
        <v>35</v>
      </c>
      <c r="I508" s="184">
        <v>0</v>
      </c>
      <c r="J508" s="184">
        <v>0</v>
      </c>
      <c r="K508" s="46">
        <f t="shared" si="360"/>
        <v>0</v>
      </c>
      <c r="L508" s="45"/>
      <c r="M508" s="45"/>
      <c r="N508" s="45"/>
      <c r="O508" s="45"/>
      <c r="P508" s="45"/>
      <c r="Q508" s="45"/>
      <c r="R508" s="45"/>
      <c r="S508" s="45"/>
      <c r="T508" s="45"/>
      <c r="U508" s="45"/>
    </row>
    <row r="509" spans="1:21" ht="19.5" x14ac:dyDescent="0.3">
      <c r="A509" s="329"/>
      <c r="B509" s="2"/>
      <c r="C509" s="2"/>
      <c r="D509" s="333" t="s">
        <v>50</v>
      </c>
      <c r="E509" s="1"/>
      <c r="F509" s="1"/>
      <c r="G509" s="52"/>
      <c r="H509" s="331" t="s">
        <v>35</v>
      </c>
      <c r="I509" s="187">
        <f ca="1">IFERROR(__xludf.DUMMYFUNCTION("IMPORTRANGE(""https://docs.google.com/spreadsheets/d/1jTcq05yEiRwXcBMLjiodW9e4biSGYWAHcDj22rKWQ3s/edit?usp=sharing"",""กำแพงเพชร!I509"")+IMPORTRANGE(""https://docs.google.com/spreadsheets/d/1KS0zmDSZPk8KnTAbGN-Xk6MtX1YRZD0ldgdt20K4CRk/edit?usp=sharing"","&amp;"""เชียงราย!I509"")+IMPORTRANGE(""https://docs.google.com/spreadsheets/d/1rEDxBtusbi64tE0zunoIbsTVV16HeL0oJ6trHQeQ7K8/edit?usp=sharing"",""เชียงใหม่!I509"")+IMPORTRANGE(""https://docs.google.com/spreadsheets/d/1W6MnUbDkMi6xHnHko_XkFDO9kkuL6Wqyc-6OCDFjW9I/e"&amp;"dit?usp=sharing"",""ตาก!I509"")+IMPORTRANGE(""https://docs.google.com/spreadsheets/d/1IQAWArduLkta9LpYo4a_ULsyqdta6-6aDDiwpUnQT6c/edit?usp=sharing"",""นครสวรรค์!I509"")+IMPORTRANGE(""https://docs.google.com/spreadsheets/d/10s13Sk5xrltsiR-Zkbmk5DwIaDIKO8Xl"&amp;"bJAfqyT7Gvg/edit?usp=sharing"",""น่าน!I509"")+IMPORTRANGE(""https://docs.google.com/spreadsheets/d/1uu4nAn4Dbi1XREnLKKotUANlKXa7yCgRcgq8HEzQYW8/edit?usp=sharing"",""พะเยา!I509"")+IMPORTRANGE(""https://docs.google.com/spreadsheets/d/1xfJKIQxVOaPDIICqsflNlL"&amp;"u3JacTDk1FP9RH4phX7mI/edit?usp=sharing"",""พิจิตร!I509"")+IMPORTRANGE(""https://docs.google.com/spreadsheets/d/1JtRfZkJMHtEhI5RdRHxYUG4FIZHqKDpNyIuN7A1Q0_k/edit?usp=sharing"",""พิษณุโลก!I509"")+IMPORTRANGE(""https://docs.google.com/spreadsheets/d/1xlcVZWU"&amp;"Nn6SuWm0c307h32SiGkd9BaeQWlAktfD3KO8/edit?usp=sharing"",""เพชรบูรณ์!I509"")+IMPORTRANGE(""https://docs.google.com/spreadsheets/d/1lOVebEIsI9qjGXl6EX66luk7wiuP2tBaryw-wKvv4e0/edit?usp=sharing"",""แพร่!I509"")+IMPORTRANGE(""https://docs.google.com/spreadshe"&amp;"ets/d/1dQrvX0vEcN7Gu0fnZ0B5S90AeR19zth4XlExFBeExMY/edit?usp=sharing"",""แม่ฮ่องสอน!I509"")+IMPORTRANGE(""https://docs.google.com/spreadsheets/d/1DY4XTNNwjluuxqdfdn6qvOSlMRrZqUtmYcZR0ttFiG4/edit?usp=sharing"",""ลำปาง!I509"")+IMPORTRANGE(""https://docs.goog"&amp;"le.com/spreadsheets/d/1ICwG78r0OFT8biBlxnBF8r7she7gNSzOvJ958PWT09c/edit?usp=sharing"",""ลำพูน!I509"")+IMPORTRANGE(""https://docs.google.com/spreadsheets/d/1B0f2xJpZUC6Z0xXnqKlZtEPzsf6L84eP1r1Q15seqRM/edit?usp=sharing"",""สุโขทัย!I509"")+IMPORTRANGE(""http"&amp;"s://docs.google.com/spreadsheets/d/1v0b9pFQCsKUVExMei7AgY2yQkdeNQvtOssygGsXbiKo/edit?usp=sharing"",""อุตรดิตถ์!I509"")+IMPORTRANGE(""https://docs.google.com/spreadsheets/d/1UsNK1e-WWiCo2PvGqdNfdme4m17_Ezd3J69EeeiQPD0/edit?usp=sharing"",""อุทัยธานี!I509"")"),0)</f>
        <v>0</v>
      </c>
      <c r="J509" s="334">
        <f ca="1">IFERROR(__xludf.DUMMYFUNCTION("IMPORTRANGE(""https://docs.google.com/spreadsheets/d/1jTcq05yEiRwXcBMLjiodW9e4biSGYWAHcDj22rKWQ3s/edit?usp=sharing"",""กำแพงเพชร!J509"")+IMPORTRANGE(""https://docs.google.com/spreadsheets/d/1KS0zmDSZPk8KnTAbGN-Xk6MtX1YRZD0ldgdt20K4CRk/edit?usp=sharing"","&amp;"""เชียงราย!J509"")+IMPORTRANGE(""https://docs.google.com/spreadsheets/d/1rEDxBtusbi64tE0zunoIbsTVV16HeL0oJ6trHQeQ7K8/edit?usp=sharing"",""เชียงใหม่!J509"")+IMPORTRANGE(""https://docs.google.com/spreadsheets/d/1W6MnUbDkMi6xHnHko_XkFDO9kkuL6Wqyc-6OCDFjW9I/e"&amp;"dit?usp=sharing"",""ตาก!J509"")+IMPORTRANGE(""https://docs.google.com/spreadsheets/d/1IQAWArduLkta9LpYo4a_ULsyqdta6-6aDDiwpUnQT6c/edit?usp=sharing"",""นครสวรรค์!J509"")+IMPORTRANGE(""https://docs.google.com/spreadsheets/d/10s13Sk5xrltsiR-Zkbmk5DwIaDIKO8Xl"&amp;"bJAfqyT7Gvg/edit?usp=sharing"",""น่าน!J509"")+IMPORTRANGE(""https://docs.google.com/spreadsheets/d/1uu4nAn4Dbi1XREnLKKotUANlKXa7yCgRcgq8HEzQYW8/edit?usp=sharing"",""พะเยา!J509"")+IMPORTRANGE(""https://docs.google.com/spreadsheets/d/1xfJKIQxVOaPDIICqsflNlL"&amp;"u3JacTDk1FP9RH4phX7mI/edit?usp=sharing"",""พิจิตร!J509"")+IMPORTRANGE(""https://docs.google.com/spreadsheets/d/1JtRfZkJMHtEhI5RdRHxYUG4FIZHqKDpNyIuN7A1Q0_k/edit?usp=sharing"",""พิษณุโลก!J509"")+IMPORTRANGE(""https://docs.google.com/spreadsheets/d/1xlcVZWU"&amp;"Nn6SuWm0c307h32SiGkd9BaeQWlAktfD3KO8/edit?usp=sharing"",""เพชรบูรณ์!J509"")+IMPORTRANGE(""https://docs.google.com/spreadsheets/d/1lOVebEIsI9qjGXl6EX66luk7wiuP2tBaryw-wKvv4e0/edit?usp=sharing"",""แพร่!J509"")+IMPORTRANGE(""https://docs.google.com/spreadshe"&amp;"ets/d/1dQrvX0vEcN7Gu0fnZ0B5S90AeR19zth4XlExFBeExMY/edit?usp=sharing"",""แม่ฮ่องสอน!J509"")+IMPORTRANGE(""https://docs.google.com/spreadsheets/d/1DY4XTNNwjluuxqdfdn6qvOSlMRrZqUtmYcZR0ttFiG4/edit?usp=sharing"",""ลำปาง!J509"")+IMPORTRANGE(""https://docs.goog"&amp;"le.com/spreadsheets/d/1ICwG78r0OFT8biBlxnBF8r7she7gNSzOvJ958PWT09c/edit?usp=sharing"",""ลำพูน!J509"")+IMPORTRANGE(""https://docs.google.com/spreadsheets/d/1B0f2xJpZUC6Z0xXnqKlZtEPzsf6L84eP1r1Q15seqRM/edit?usp=sharing"",""สุโขทัย!J509"")+IMPORTRANGE(""http"&amp;"s://docs.google.com/spreadsheets/d/1v0b9pFQCsKUVExMei7AgY2yQkdeNQvtOssygGsXbiKo/edit?usp=sharing"",""อุตรดิตถ์!J509"")+IMPORTRANGE(""https://docs.google.com/spreadsheets/d/1UsNK1e-WWiCo2PvGqdNfdme4m17_Ezd3J69EeeiQPD0/edit?usp=sharing"",""อุทัยธานี!J509"")"),0)</f>
        <v>0</v>
      </c>
      <c r="K509" s="111">
        <f t="shared" ca="1" si="360"/>
        <v>0</v>
      </c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9.5" x14ac:dyDescent="0.3">
      <c r="A510" s="335" t="s">
        <v>205</v>
      </c>
      <c r="B510" s="336"/>
      <c r="C510" s="336"/>
      <c r="D510" s="336"/>
      <c r="E510" s="337"/>
      <c r="F510" s="337"/>
      <c r="G510" s="337"/>
      <c r="H510" s="337"/>
      <c r="I510" s="338"/>
      <c r="J510" s="338"/>
      <c r="K510" s="339"/>
      <c r="L510" s="339"/>
      <c r="M510" s="339"/>
      <c r="N510" s="339"/>
      <c r="O510" s="339"/>
      <c r="P510" s="340"/>
      <c r="Q510" s="341"/>
      <c r="R510" s="341"/>
      <c r="S510" s="341"/>
      <c r="T510" s="341"/>
      <c r="U510" s="341"/>
    </row>
    <row r="511" spans="1:21" ht="19.5" x14ac:dyDescent="0.3">
      <c r="A511" s="342" t="s">
        <v>206</v>
      </c>
      <c r="B511" s="343"/>
      <c r="C511" s="343"/>
      <c r="D511" s="344"/>
      <c r="E511" s="343"/>
      <c r="F511" s="343"/>
      <c r="G511" s="343"/>
      <c r="H511" s="345"/>
      <c r="I511" s="346"/>
      <c r="J511" s="346"/>
      <c r="K511" s="347"/>
      <c r="L511" s="347"/>
      <c r="M511" s="347"/>
      <c r="N511" s="347"/>
      <c r="O511" s="347"/>
      <c r="P511" s="347"/>
      <c r="Q511" s="348"/>
      <c r="R511" s="348"/>
      <c r="S511" s="348"/>
      <c r="T511" s="348"/>
      <c r="U511" s="348"/>
    </row>
    <row r="512" spans="1:21" ht="19.5" x14ac:dyDescent="0.3">
      <c r="A512" s="349"/>
      <c r="B512" s="350" t="s">
        <v>207</v>
      </c>
      <c r="C512" s="351"/>
      <c r="D512" s="352"/>
      <c r="E512" s="352"/>
      <c r="F512" s="352"/>
      <c r="G512" s="353"/>
      <c r="H512" s="354" t="s">
        <v>61</v>
      </c>
      <c r="I512" s="355">
        <f t="shared" ref="I512:J512" si="361">I524</f>
        <v>0</v>
      </c>
      <c r="J512" s="355">
        <f t="shared" si="361"/>
        <v>0</v>
      </c>
      <c r="K512" s="356">
        <f>IF(I512&gt;0,J512*100/I512,0)</f>
        <v>0</v>
      </c>
      <c r="L512" s="357"/>
      <c r="M512" s="357"/>
      <c r="N512" s="357"/>
      <c r="O512" s="357"/>
      <c r="P512" s="357"/>
      <c r="Q512" s="357"/>
      <c r="R512" s="357"/>
      <c r="S512" s="357"/>
      <c r="T512" s="357"/>
      <c r="U512" s="357"/>
    </row>
    <row r="513" spans="1:21" ht="19.5" x14ac:dyDescent="0.3">
      <c r="A513" s="128"/>
      <c r="B513" s="40"/>
      <c r="C513" s="129" t="s">
        <v>18</v>
      </c>
      <c r="D513" s="130" t="s">
        <v>19</v>
      </c>
      <c r="E513" s="40"/>
      <c r="F513" s="40"/>
      <c r="G513" s="42"/>
      <c r="H513" s="131" t="s">
        <v>14</v>
      </c>
      <c r="I513" s="44"/>
      <c r="J513" s="44"/>
      <c r="K513" s="45"/>
      <c r="L513" s="132">
        <f t="shared" ref="L513:N513" ca="1" si="362">L514+L515</f>
        <v>0</v>
      </c>
      <c r="M513" s="132">
        <f t="shared" ca="1" si="362"/>
        <v>0</v>
      </c>
      <c r="N513" s="132">
        <f t="shared" ca="1" si="362"/>
        <v>0</v>
      </c>
      <c r="O513" s="132">
        <f t="shared" ref="O513:O521" ca="1" si="363">IF(L513&gt;0,N513*100/L513,0)</f>
        <v>0</v>
      </c>
      <c r="P513" s="132">
        <f t="shared" ref="P513:P521" ca="1" si="364">IF(M513&gt;0,N513*100/M513,0)</f>
        <v>0</v>
      </c>
      <c r="Q513" s="132">
        <f t="shared" ref="Q513:S513" ca="1" si="365">Q514+Q515</f>
        <v>0</v>
      </c>
      <c r="R513" s="132">
        <f t="shared" ca="1" si="365"/>
        <v>0</v>
      </c>
      <c r="S513" s="132">
        <f t="shared" ca="1" si="365"/>
        <v>0</v>
      </c>
      <c r="T513" s="132">
        <f t="shared" ref="T513:T521" ca="1" si="366">IF(Q513&gt;0,S513*100/Q513,0)</f>
        <v>0</v>
      </c>
      <c r="U513" s="132">
        <f t="shared" ref="U513:U521" ca="1" si="367">IF(R513&gt;0,S513*100/R513,0)</f>
        <v>0</v>
      </c>
    </row>
    <row r="514" spans="1:21" ht="18.75" x14ac:dyDescent="0.25">
      <c r="A514" s="128"/>
      <c r="B514" s="40"/>
      <c r="C514" s="40"/>
      <c r="D514" s="40"/>
      <c r="E514" s="47" t="s">
        <v>20</v>
      </c>
      <c r="F514" s="40"/>
      <c r="G514" s="42"/>
      <c r="H514" s="133" t="s">
        <v>14</v>
      </c>
      <c r="I514" s="44"/>
      <c r="J514" s="44"/>
      <c r="K514" s="45"/>
      <c r="L514" s="46">
        <f t="shared" ref="L514:N514" ca="1" si="368">L517+L520</f>
        <v>0</v>
      </c>
      <c r="M514" s="46">
        <f t="shared" ca="1" si="368"/>
        <v>0</v>
      </c>
      <c r="N514" s="46">
        <f t="shared" ca="1" si="368"/>
        <v>0</v>
      </c>
      <c r="O514" s="46">
        <f t="shared" ca="1" si="363"/>
        <v>0</v>
      </c>
      <c r="P514" s="46">
        <f t="shared" ca="1" si="364"/>
        <v>0</v>
      </c>
      <c r="Q514" s="48">
        <f t="shared" ref="Q514:S514" ca="1" si="369">Q517+Q520</f>
        <v>0</v>
      </c>
      <c r="R514" s="48">
        <f t="shared" ca="1" si="369"/>
        <v>0</v>
      </c>
      <c r="S514" s="48">
        <f t="shared" ca="1" si="369"/>
        <v>0</v>
      </c>
      <c r="T514" s="48">
        <f t="shared" ca="1" si="366"/>
        <v>0</v>
      </c>
      <c r="U514" s="48">
        <f t="shared" ca="1" si="367"/>
        <v>0</v>
      </c>
    </row>
    <row r="515" spans="1:21" ht="18.75" x14ac:dyDescent="0.25">
      <c r="A515" s="128"/>
      <c r="B515" s="40"/>
      <c r="C515" s="40"/>
      <c r="D515" s="40"/>
      <c r="E515" s="47" t="s">
        <v>21</v>
      </c>
      <c r="F515" s="40"/>
      <c r="G515" s="42"/>
      <c r="H515" s="133" t="s">
        <v>14</v>
      </c>
      <c r="I515" s="44"/>
      <c r="J515" s="44"/>
      <c r="K515" s="45"/>
      <c r="L515" s="46">
        <f t="shared" ref="L515:N515" ca="1" si="370">L518+L521</f>
        <v>0</v>
      </c>
      <c r="M515" s="46">
        <f t="shared" ca="1" si="370"/>
        <v>0</v>
      </c>
      <c r="N515" s="46">
        <f t="shared" ca="1" si="370"/>
        <v>0</v>
      </c>
      <c r="O515" s="46">
        <f t="shared" ca="1" si="363"/>
        <v>0</v>
      </c>
      <c r="P515" s="46">
        <f t="shared" ca="1" si="364"/>
        <v>0</v>
      </c>
      <c r="Q515" s="46">
        <f t="shared" ref="Q515:S515" ca="1" si="371">Q518+Q521</f>
        <v>0</v>
      </c>
      <c r="R515" s="46">
        <f t="shared" ca="1" si="371"/>
        <v>0</v>
      </c>
      <c r="S515" s="46">
        <f t="shared" ca="1" si="371"/>
        <v>0</v>
      </c>
      <c r="T515" s="46">
        <f t="shared" ca="1" si="366"/>
        <v>0</v>
      </c>
      <c r="U515" s="46">
        <f t="shared" ca="1" si="367"/>
        <v>0</v>
      </c>
    </row>
    <row r="516" spans="1:21" ht="18.75" x14ac:dyDescent="0.25">
      <c r="A516" s="128"/>
      <c r="B516" s="40"/>
      <c r="C516" s="40"/>
      <c r="D516" s="41" t="s">
        <v>22</v>
      </c>
      <c r="E516" s="40"/>
      <c r="F516" s="40"/>
      <c r="G516" s="42"/>
      <c r="H516" s="134" t="s">
        <v>14</v>
      </c>
      <c r="I516" s="135"/>
      <c r="J516" s="135"/>
      <c r="K516" s="136"/>
      <c r="L516" s="46">
        <f t="shared" ref="L516:N516" ca="1" si="372">L517+L518</f>
        <v>0</v>
      </c>
      <c r="M516" s="46">
        <f t="shared" ca="1" si="372"/>
        <v>0</v>
      </c>
      <c r="N516" s="46">
        <f t="shared" ca="1" si="372"/>
        <v>0</v>
      </c>
      <c r="O516" s="46">
        <f t="shared" ca="1" si="363"/>
        <v>0</v>
      </c>
      <c r="P516" s="46">
        <f t="shared" ca="1" si="364"/>
        <v>0</v>
      </c>
      <c r="Q516" s="46">
        <f t="shared" ref="Q516:S516" ca="1" si="373">Q517+Q518</f>
        <v>0</v>
      </c>
      <c r="R516" s="46">
        <f t="shared" ca="1" si="373"/>
        <v>0</v>
      </c>
      <c r="S516" s="46">
        <f t="shared" ca="1" si="373"/>
        <v>0</v>
      </c>
      <c r="T516" s="46">
        <f t="shared" ca="1" si="366"/>
        <v>0</v>
      </c>
      <c r="U516" s="46">
        <f t="shared" ca="1" si="367"/>
        <v>0</v>
      </c>
    </row>
    <row r="517" spans="1:21" ht="18.75" x14ac:dyDescent="0.25">
      <c r="A517" s="128"/>
      <c r="B517" s="40"/>
      <c r="C517" s="40"/>
      <c r="D517" s="40"/>
      <c r="E517" s="47" t="s">
        <v>36</v>
      </c>
      <c r="F517" s="40"/>
      <c r="G517" s="42"/>
      <c r="H517" s="134" t="s">
        <v>14</v>
      </c>
      <c r="I517" s="135"/>
      <c r="J517" s="135"/>
      <c r="K517" s="136"/>
      <c r="L517" s="46">
        <f ca="1">IFERROR(__xludf.DUMMYFUNCTION("IMPORTRANGE(""https://docs.google.com/spreadsheets/d/1jTcq05yEiRwXcBMLjiodW9e4biSGYWAHcDj22rKWQ3s/edit?usp=sharing"",""กำแพงเพชร!L517"")+IMPORTRANGE(""https://docs.google.com/spreadsheets/d/1KS0zmDSZPk8KnTAbGN-Xk6MtX1YRZD0ldgdt20K4CRk/edit?usp=sharing"","&amp;"""เชียงราย!L517"")+IMPORTRANGE(""https://docs.google.com/spreadsheets/d/1rEDxBtusbi64tE0zunoIbsTVV16HeL0oJ6trHQeQ7K8/edit?usp=sharing"",""เชียงใหม่!L517"")+IMPORTRANGE(""https://docs.google.com/spreadsheets/d/1W6MnUbDkMi6xHnHko_XkFDO9kkuL6Wqyc-6OCDFjW9I/e"&amp;"dit?usp=sharing"",""ตาก!L517"")+IMPORTRANGE(""https://docs.google.com/spreadsheets/d/1IQAWArduLkta9LpYo4a_ULsyqdta6-6aDDiwpUnQT6c/edit?usp=sharing"",""นครสวรรค์!L517"")+IMPORTRANGE(""https://docs.google.com/spreadsheets/d/10s13Sk5xrltsiR-Zkbmk5DwIaDIKO8Xl"&amp;"bJAfqyT7Gvg/edit?usp=sharing"",""น่าน!L517"")+IMPORTRANGE(""https://docs.google.com/spreadsheets/d/1uu4nAn4Dbi1XREnLKKotUANlKXa7yCgRcgq8HEzQYW8/edit?usp=sharing"",""พะเยา!L517"")+IMPORTRANGE(""https://docs.google.com/spreadsheets/d/1xfJKIQxVOaPDIICqsflNlL"&amp;"u3JacTDk1FP9RH4phX7mI/edit?usp=sharing"",""พิจิตร!L517"")+IMPORTRANGE(""https://docs.google.com/spreadsheets/d/1JtRfZkJMHtEhI5RdRHxYUG4FIZHqKDpNyIuN7A1Q0_k/edit?usp=sharing"",""พิษณุโลก!L517"")+IMPORTRANGE(""https://docs.google.com/spreadsheets/d/1xlcVZWU"&amp;"Nn6SuWm0c307h32SiGkd9BaeQWlAktfD3KO8/edit?usp=sharing"",""เพชรบูรณ์!L517"")+IMPORTRANGE(""https://docs.google.com/spreadsheets/d/1lOVebEIsI9qjGXl6EX66luk7wiuP2tBaryw-wKvv4e0/edit?usp=sharing"",""แพร่!L517"")+IMPORTRANGE(""https://docs.google.com/spreadshe"&amp;"ets/d/1dQrvX0vEcN7Gu0fnZ0B5S90AeR19zth4XlExFBeExMY/edit?usp=sharing"",""แม่ฮ่องสอน!L517"")+IMPORTRANGE(""https://docs.google.com/spreadsheets/d/1DY4XTNNwjluuxqdfdn6qvOSlMRrZqUtmYcZR0ttFiG4/edit?usp=sharing"",""ลำปาง!L517"")+IMPORTRANGE(""https://docs.goog"&amp;"le.com/spreadsheets/d/1ICwG78r0OFT8biBlxnBF8r7she7gNSzOvJ958PWT09c/edit?usp=sharing"",""ลำพูน!L517"")+IMPORTRANGE(""https://docs.google.com/spreadsheets/d/1B0f2xJpZUC6Z0xXnqKlZtEPzsf6L84eP1r1Q15seqRM/edit?usp=sharing"",""สุโขทัย!L517"")+IMPORTRANGE(""http"&amp;"s://docs.google.com/spreadsheets/d/1v0b9pFQCsKUVExMei7AgY2yQkdeNQvtOssygGsXbiKo/edit?usp=sharing"",""อุตรดิตถ์!L517"")+IMPORTRANGE(""https://docs.google.com/spreadsheets/d/1UsNK1e-WWiCo2PvGqdNfdme4m17_Ezd3J69EeeiQPD0/edit?usp=sharing"",""อุทัยธานี!L517"")"),0)</f>
        <v>0</v>
      </c>
      <c r="M517" s="46">
        <f ca="1">IFERROR(__xludf.DUMMYFUNCTION("IMPORTRANGE(""https://docs.google.com/spreadsheets/d/1jTcq05yEiRwXcBMLjiodW9e4biSGYWAHcDj22rKWQ3s/edit?usp=sharing"",""กำแพงเพชร!M517"")+IMPORTRANGE(""https://docs.google.com/spreadsheets/d/1KS0zmDSZPk8KnTAbGN-Xk6MtX1YRZD0ldgdt20K4CRk/edit?usp=sharing"","&amp;"""เชียงราย!M517"")+IMPORTRANGE(""https://docs.google.com/spreadsheets/d/1rEDxBtusbi64tE0zunoIbsTVV16HeL0oJ6trHQeQ7K8/edit?usp=sharing"",""เชียงใหม่!M517"")+IMPORTRANGE(""https://docs.google.com/spreadsheets/d/1W6MnUbDkMi6xHnHko_XkFDO9kkuL6Wqyc-6OCDFjW9I/e"&amp;"dit?usp=sharing"",""ตาก!M517"")+IMPORTRANGE(""https://docs.google.com/spreadsheets/d/1IQAWArduLkta9LpYo4a_ULsyqdta6-6aDDiwpUnQT6c/edit?usp=sharing"",""นครสวรรค์!M517"")+IMPORTRANGE(""https://docs.google.com/spreadsheets/d/10s13Sk5xrltsiR-Zkbmk5DwIaDIKO8Xl"&amp;"bJAfqyT7Gvg/edit?usp=sharing"",""น่าน!M517"")+IMPORTRANGE(""https://docs.google.com/spreadsheets/d/1uu4nAn4Dbi1XREnLKKotUANlKXa7yCgRcgq8HEzQYW8/edit?usp=sharing"",""พะเยา!M517"")+IMPORTRANGE(""https://docs.google.com/spreadsheets/d/1xfJKIQxVOaPDIICqsflNlL"&amp;"u3JacTDk1FP9RH4phX7mI/edit?usp=sharing"",""พิจิตร!M517"")+IMPORTRANGE(""https://docs.google.com/spreadsheets/d/1JtRfZkJMHtEhI5RdRHxYUG4FIZHqKDpNyIuN7A1Q0_k/edit?usp=sharing"",""พิษณุโลก!M517"")+IMPORTRANGE(""https://docs.google.com/spreadsheets/d/1xlcVZWU"&amp;"Nn6SuWm0c307h32SiGkd9BaeQWlAktfD3KO8/edit?usp=sharing"",""เพชรบูรณ์!M517"")+IMPORTRANGE(""https://docs.google.com/spreadsheets/d/1lOVebEIsI9qjGXl6EX66luk7wiuP2tBaryw-wKvv4e0/edit?usp=sharing"",""แพร่!M517"")+IMPORTRANGE(""https://docs.google.com/spreadshe"&amp;"ets/d/1dQrvX0vEcN7Gu0fnZ0B5S90AeR19zth4XlExFBeExMY/edit?usp=sharing"",""แม่ฮ่องสอน!M517"")+IMPORTRANGE(""https://docs.google.com/spreadsheets/d/1DY4XTNNwjluuxqdfdn6qvOSlMRrZqUtmYcZR0ttFiG4/edit?usp=sharing"",""ลำปาง!M517"")+IMPORTRANGE(""https://docs.goog"&amp;"le.com/spreadsheets/d/1ICwG78r0OFT8biBlxnBF8r7she7gNSzOvJ958PWT09c/edit?usp=sharing"",""ลำพูน!M517"")+IMPORTRANGE(""https://docs.google.com/spreadsheets/d/1B0f2xJpZUC6Z0xXnqKlZtEPzsf6L84eP1r1Q15seqRM/edit?usp=sharing"",""สุโขทัย!M517"")+IMPORTRANGE(""http"&amp;"s://docs.google.com/spreadsheets/d/1v0b9pFQCsKUVExMei7AgY2yQkdeNQvtOssygGsXbiKo/edit?usp=sharing"",""อุตรดิตถ์!M517"")+IMPORTRANGE(""https://docs.google.com/spreadsheets/d/1UsNK1e-WWiCo2PvGqdNfdme4m17_Ezd3J69EeeiQPD0/edit?usp=sharing"",""อุทัยธานี!M517"")"),0)</f>
        <v>0</v>
      </c>
      <c r="N517" s="46">
        <f ca="1">IFERROR(__xludf.DUMMYFUNCTION("IMPORTRANGE(""https://docs.google.com/spreadsheets/d/1jTcq05yEiRwXcBMLjiodW9e4biSGYWAHcDj22rKWQ3s/edit?usp=sharing"",""กำแพงเพชร!N517"")+IMPORTRANGE(""https://docs.google.com/spreadsheets/d/1KS0zmDSZPk8KnTAbGN-Xk6MtX1YRZD0ldgdt20K4CRk/edit?usp=sharing"","&amp;"""เชียงราย!N517"")+IMPORTRANGE(""https://docs.google.com/spreadsheets/d/1rEDxBtusbi64tE0zunoIbsTVV16HeL0oJ6trHQeQ7K8/edit?usp=sharing"",""เชียงใหม่!N517"")+IMPORTRANGE(""https://docs.google.com/spreadsheets/d/1W6MnUbDkMi6xHnHko_XkFDO9kkuL6Wqyc-6OCDFjW9I/e"&amp;"dit?usp=sharing"",""ตาก!N517"")+IMPORTRANGE(""https://docs.google.com/spreadsheets/d/1IQAWArduLkta9LpYo4a_ULsyqdta6-6aDDiwpUnQT6c/edit?usp=sharing"",""นครสวรรค์!N517"")+IMPORTRANGE(""https://docs.google.com/spreadsheets/d/10s13Sk5xrltsiR-Zkbmk5DwIaDIKO8Xl"&amp;"bJAfqyT7Gvg/edit?usp=sharing"",""น่าน!N517"")+IMPORTRANGE(""https://docs.google.com/spreadsheets/d/1uu4nAn4Dbi1XREnLKKotUANlKXa7yCgRcgq8HEzQYW8/edit?usp=sharing"",""พะเยา!N517"")+IMPORTRANGE(""https://docs.google.com/spreadsheets/d/1xfJKIQxVOaPDIICqsflNlL"&amp;"u3JacTDk1FP9RH4phX7mI/edit?usp=sharing"",""พิจิตร!N517"")+IMPORTRANGE(""https://docs.google.com/spreadsheets/d/1JtRfZkJMHtEhI5RdRHxYUG4FIZHqKDpNyIuN7A1Q0_k/edit?usp=sharing"",""พิษณุโลก!N517"")+IMPORTRANGE(""https://docs.google.com/spreadsheets/d/1xlcVZWU"&amp;"Nn6SuWm0c307h32SiGkd9BaeQWlAktfD3KO8/edit?usp=sharing"",""เพชรบูรณ์!N517"")+IMPORTRANGE(""https://docs.google.com/spreadsheets/d/1lOVebEIsI9qjGXl6EX66luk7wiuP2tBaryw-wKvv4e0/edit?usp=sharing"",""แพร่!N517"")+IMPORTRANGE(""https://docs.google.com/spreadshe"&amp;"ets/d/1dQrvX0vEcN7Gu0fnZ0B5S90AeR19zth4XlExFBeExMY/edit?usp=sharing"",""แม่ฮ่องสอน!N517"")+IMPORTRANGE(""https://docs.google.com/spreadsheets/d/1DY4XTNNwjluuxqdfdn6qvOSlMRrZqUtmYcZR0ttFiG4/edit?usp=sharing"",""ลำปาง!N517"")+IMPORTRANGE(""https://docs.goog"&amp;"le.com/spreadsheets/d/1ICwG78r0OFT8biBlxnBF8r7she7gNSzOvJ958PWT09c/edit?usp=sharing"",""ลำพูน!N517"")+IMPORTRANGE(""https://docs.google.com/spreadsheets/d/1B0f2xJpZUC6Z0xXnqKlZtEPzsf6L84eP1r1Q15seqRM/edit?usp=sharing"",""สุโขทัย!N517"")+IMPORTRANGE(""http"&amp;"s://docs.google.com/spreadsheets/d/1v0b9pFQCsKUVExMei7AgY2yQkdeNQvtOssygGsXbiKo/edit?usp=sharing"",""อุตรดิตถ์!N517"")+IMPORTRANGE(""https://docs.google.com/spreadsheets/d/1UsNK1e-WWiCo2PvGqdNfdme4m17_Ezd3J69EeeiQPD0/edit?usp=sharing"",""อุทัยธานี!N517"")"),0)</f>
        <v>0</v>
      </c>
      <c r="O517" s="46">
        <f t="shared" ca="1" si="363"/>
        <v>0</v>
      </c>
      <c r="P517" s="46">
        <f t="shared" ca="1" si="364"/>
        <v>0</v>
      </c>
      <c r="Q517" s="48">
        <f ca="1">IFERROR(__xludf.DUMMYFUNCTION("IMPORTRANGE(""https://docs.google.com/spreadsheets/d/1jTcq05yEiRwXcBMLjiodW9e4biSGYWAHcDj22rKWQ3s/edit?usp=sharing"",""กำแพงเพชร!Q517"")+IMPORTRANGE(""https://docs.google.com/spreadsheets/d/1KS0zmDSZPk8KnTAbGN-Xk6MtX1YRZD0ldgdt20K4CRk/edit?usp=sharing"","&amp;"""เชียงราย!Q517"")+IMPORTRANGE(""https://docs.google.com/spreadsheets/d/1rEDxBtusbi64tE0zunoIbsTVV16HeL0oJ6trHQeQ7K8/edit?usp=sharing"",""เชียงใหม่!Q517"")+IMPORTRANGE(""https://docs.google.com/spreadsheets/d/1W6MnUbDkMi6xHnHko_XkFDO9kkuL6Wqyc-6OCDFjW9I/e"&amp;"dit?usp=sharing"",""ตาก!Q517"")+IMPORTRANGE(""https://docs.google.com/spreadsheets/d/1IQAWArduLkta9LpYo4a_ULsyqdta6-6aDDiwpUnQT6c/edit?usp=sharing"",""นครสวรรค์!Q517"")+IMPORTRANGE(""https://docs.google.com/spreadsheets/d/10s13Sk5xrltsiR-Zkbmk5DwIaDIKO8Xl"&amp;"bJAfqyT7Gvg/edit?usp=sharing"",""น่าน!Q517"")+IMPORTRANGE(""https://docs.google.com/spreadsheets/d/1uu4nAn4Dbi1XREnLKKotUANlKXa7yCgRcgq8HEzQYW8/edit?usp=sharing"",""พะเยา!Q517"")+IMPORTRANGE(""https://docs.google.com/spreadsheets/d/1xfJKIQxVOaPDIICqsflNlL"&amp;"u3JacTDk1FP9RH4phX7mI/edit?usp=sharing"",""พิจิตร!Q517"")+IMPORTRANGE(""https://docs.google.com/spreadsheets/d/1JtRfZkJMHtEhI5RdRHxYUG4FIZHqKDpNyIuN7A1Q0_k/edit?usp=sharing"",""พิษณุโลก!Q517"")+IMPORTRANGE(""https://docs.google.com/spreadsheets/d/1xlcVZWU"&amp;"Nn6SuWm0c307h32SiGkd9BaeQWlAktfD3KO8/edit?usp=sharing"",""เพชรบูรณ์!Q517"")+IMPORTRANGE(""https://docs.google.com/spreadsheets/d/1lOVebEIsI9qjGXl6EX66luk7wiuP2tBaryw-wKvv4e0/edit?usp=sharing"",""แพร่!Q517"")+IMPORTRANGE(""https://docs.google.com/spreadshe"&amp;"ets/d/1dQrvX0vEcN7Gu0fnZ0B5S90AeR19zth4XlExFBeExMY/edit?usp=sharing"",""แม่ฮ่องสอน!Q517"")+IMPORTRANGE(""https://docs.google.com/spreadsheets/d/1DY4XTNNwjluuxqdfdn6qvOSlMRrZqUtmYcZR0ttFiG4/edit?usp=sharing"",""ลำปาง!Q517"")+IMPORTRANGE(""https://docs.goog"&amp;"le.com/spreadsheets/d/1ICwG78r0OFT8biBlxnBF8r7she7gNSzOvJ958PWT09c/edit?usp=sharing"",""ลำพูน!Q517"")+IMPORTRANGE(""https://docs.google.com/spreadsheets/d/1B0f2xJpZUC6Z0xXnqKlZtEPzsf6L84eP1r1Q15seqRM/edit?usp=sharing"",""สุโขทัย!Q517"")+IMPORTRANGE(""http"&amp;"s://docs.google.com/spreadsheets/d/1v0b9pFQCsKUVExMei7AgY2yQkdeNQvtOssygGsXbiKo/edit?usp=sharing"",""อุตรดิตถ์!Q517"")+IMPORTRANGE(""https://docs.google.com/spreadsheets/d/1UsNK1e-WWiCo2PvGqdNfdme4m17_Ezd3J69EeeiQPD0/edit?usp=sharing"",""อุทัยธานี!Q517"")"),0)</f>
        <v>0</v>
      </c>
      <c r="R517" s="48">
        <f ca="1">IFERROR(__xludf.DUMMYFUNCTION("IMPORTRANGE(""https://docs.google.com/spreadsheets/d/1jTcq05yEiRwXcBMLjiodW9e4biSGYWAHcDj22rKWQ3s/edit?usp=sharing"",""กำแพงเพชร!R517"")+IMPORTRANGE(""https://docs.google.com/spreadsheets/d/1KS0zmDSZPk8KnTAbGN-Xk6MtX1YRZD0ldgdt20K4CRk/edit?usp=sharing"","&amp;"""เชียงราย!R517"")+IMPORTRANGE(""https://docs.google.com/spreadsheets/d/1rEDxBtusbi64tE0zunoIbsTVV16HeL0oJ6trHQeQ7K8/edit?usp=sharing"",""เชียงใหม่!R517"")+IMPORTRANGE(""https://docs.google.com/spreadsheets/d/1W6MnUbDkMi6xHnHko_XkFDO9kkuL6Wqyc-6OCDFjW9I/e"&amp;"dit?usp=sharing"",""ตาก!R517"")+IMPORTRANGE(""https://docs.google.com/spreadsheets/d/1IQAWArduLkta9LpYo4a_ULsyqdta6-6aDDiwpUnQT6c/edit?usp=sharing"",""นครสวรรค์!R517"")+IMPORTRANGE(""https://docs.google.com/spreadsheets/d/10s13Sk5xrltsiR-Zkbmk5DwIaDIKO8Xl"&amp;"bJAfqyT7Gvg/edit?usp=sharing"",""น่าน!R517"")+IMPORTRANGE(""https://docs.google.com/spreadsheets/d/1uu4nAn4Dbi1XREnLKKotUANlKXa7yCgRcgq8HEzQYW8/edit?usp=sharing"",""พะเยา!R517"")+IMPORTRANGE(""https://docs.google.com/spreadsheets/d/1xfJKIQxVOaPDIICqsflNlL"&amp;"u3JacTDk1FP9RH4phX7mI/edit?usp=sharing"",""พิจิตร!R517"")+IMPORTRANGE(""https://docs.google.com/spreadsheets/d/1JtRfZkJMHtEhI5RdRHxYUG4FIZHqKDpNyIuN7A1Q0_k/edit?usp=sharing"",""พิษณุโลก!R517"")+IMPORTRANGE(""https://docs.google.com/spreadsheets/d/1xlcVZWU"&amp;"Nn6SuWm0c307h32SiGkd9BaeQWlAktfD3KO8/edit?usp=sharing"",""เพชรบูรณ์!R517"")+IMPORTRANGE(""https://docs.google.com/spreadsheets/d/1lOVebEIsI9qjGXl6EX66luk7wiuP2tBaryw-wKvv4e0/edit?usp=sharing"",""แพร่!R517"")+IMPORTRANGE(""https://docs.google.com/spreadshe"&amp;"ets/d/1dQrvX0vEcN7Gu0fnZ0B5S90AeR19zth4XlExFBeExMY/edit?usp=sharing"",""แม่ฮ่องสอน!R517"")+IMPORTRANGE(""https://docs.google.com/spreadsheets/d/1DY4XTNNwjluuxqdfdn6qvOSlMRrZqUtmYcZR0ttFiG4/edit?usp=sharing"",""ลำปาง!R517"")+IMPORTRANGE(""https://docs.goog"&amp;"le.com/spreadsheets/d/1ICwG78r0OFT8biBlxnBF8r7she7gNSzOvJ958PWT09c/edit?usp=sharing"",""ลำพูน!R517"")+IMPORTRANGE(""https://docs.google.com/spreadsheets/d/1B0f2xJpZUC6Z0xXnqKlZtEPzsf6L84eP1r1Q15seqRM/edit?usp=sharing"",""สุโขทัย!R517"")+IMPORTRANGE(""http"&amp;"s://docs.google.com/spreadsheets/d/1v0b9pFQCsKUVExMei7AgY2yQkdeNQvtOssygGsXbiKo/edit?usp=sharing"",""อุตรดิตถ์!R517"")+IMPORTRANGE(""https://docs.google.com/spreadsheets/d/1UsNK1e-WWiCo2PvGqdNfdme4m17_Ezd3J69EeeiQPD0/edit?usp=sharing"",""อุทัยธานี!R517"")"),0)</f>
        <v>0</v>
      </c>
      <c r="S517" s="48">
        <f ca="1">IFERROR(__xludf.DUMMYFUNCTION("IMPORTRANGE(""https://docs.google.com/spreadsheets/d/1jTcq05yEiRwXcBMLjiodW9e4biSGYWAHcDj22rKWQ3s/edit?usp=sharing"",""กำแพงเพชร!S517"")+IMPORTRANGE(""https://docs.google.com/spreadsheets/d/1KS0zmDSZPk8KnTAbGN-Xk6MtX1YRZD0ldgdt20K4CRk/edit?usp=sharing"","&amp;"""เชียงราย!S517"")+IMPORTRANGE(""https://docs.google.com/spreadsheets/d/1rEDxBtusbi64tE0zunoIbsTVV16HeL0oJ6trHQeQ7K8/edit?usp=sharing"",""เชียงใหม่!S517"")+IMPORTRANGE(""https://docs.google.com/spreadsheets/d/1W6MnUbDkMi6xHnHko_XkFDO9kkuL6Wqyc-6OCDFjW9I/e"&amp;"dit?usp=sharing"",""ตาก!S517"")+IMPORTRANGE(""https://docs.google.com/spreadsheets/d/1IQAWArduLkta9LpYo4a_ULsyqdta6-6aDDiwpUnQT6c/edit?usp=sharing"",""นครสวรรค์!S517"")+IMPORTRANGE(""https://docs.google.com/spreadsheets/d/10s13Sk5xrltsiR-Zkbmk5DwIaDIKO8Xl"&amp;"bJAfqyT7Gvg/edit?usp=sharing"",""น่าน!S517"")+IMPORTRANGE(""https://docs.google.com/spreadsheets/d/1uu4nAn4Dbi1XREnLKKotUANlKXa7yCgRcgq8HEzQYW8/edit?usp=sharing"",""พะเยา!S517"")+IMPORTRANGE(""https://docs.google.com/spreadsheets/d/1xfJKIQxVOaPDIICqsflNlL"&amp;"u3JacTDk1FP9RH4phX7mI/edit?usp=sharing"",""พิจิตร!S517"")+IMPORTRANGE(""https://docs.google.com/spreadsheets/d/1JtRfZkJMHtEhI5RdRHxYUG4FIZHqKDpNyIuN7A1Q0_k/edit?usp=sharing"",""พิษณุโลก!S517"")+IMPORTRANGE(""https://docs.google.com/spreadsheets/d/1xlcVZWU"&amp;"Nn6SuWm0c307h32SiGkd9BaeQWlAktfD3KO8/edit?usp=sharing"",""เพชรบูรณ์!S517"")+IMPORTRANGE(""https://docs.google.com/spreadsheets/d/1lOVebEIsI9qjGXl6EX66luk7wiuP2tBaryw-wKvv4e0/edit?usp=sharing"",""แพร่!S517"")+IMPORTRANGE(""https://docs.google.com/spreadshe"&amp;"ets/d/1dQrvX0vEcN7Gu0fnZ0B5S90AeR19zth4XlExFBeExMY/edit?usp=sharing"",""แม่ฮ่องสอน!S517"")+IMPORTRANGE(""https://docs.google.com/spreadsheets/d/1DY4XTNNwjluuxqdfdn6qvOSlMRrZqUtmYcZR0ttFiG4/edit?usp=sharing"",""ลำปาง!S517"")+IMPORTRANGE(""https://docs.goog"&amp;"le.com/spreadsheets/d/1ICwG78r0OFT8biBlxnBF8r7she7gNSzOvJ958PWT09c/edit?usp=sharing"",""ลำพูน!S517"")+IMPORTRANGE(""https://docs.google.com/spreadsheets/d/1B0f2xJpZUC6Z0xXnqKlZtEPzsf6L84eP1r1Q15seqRM/edit?usp=sharing"",""สุโขทัย!S517"")+IMPORTRANGE(""http"&amp;"s://docs.google.com/spreadsheets/d/1v0b9pFQCsKUVExMei7AgY2yQkdeNQvtOssygGsXbiKo/edit?usp=sharing"",""อุตรดิตถ์!S517"")+IMPORTRANGE(""https://docs.google.com/spreadsheets/d/1UsNK1e-WWiCo2PvGqdNfdme4m17_Ezd3J69EeeiQPD0/edit?usp=sharing"",""อุทัยธานี!S517"")"),0)</f>
        <v>0</v>
      </c>
      <c r="T517" s="48">
        <f t="shared" ca="1" si="366"/>
        <v>0</v>
      </c>
      <c r="U517" s="48">
        <f t="shared" ca="1" si="367"/>
        <v>0</v>
      </c>
    </row>
    <row r="518" spans="1:21" ht="18.75" x14ac:dyDescent="0.25">
      <c r="A518" s="128"/>
      <c r="B518" s="40"/>
      <c r="C518" s="40"/>
      <c r="D518" s="40"/>
      <c r="E518" s="47" t="s">
        <v>37</v>
      </c>
      <c r="F518" s="40"/>
      <c r="G518" s="42"/>
      <c r="H518" s="134" t="s">
        <v>14</v>
      </c>
      <c r="I518" s="135"/>
      <c r="J518" s="135"/>
      <c r="K518" s="136"/>
      <c r="L518" s="46">
        <f ca="1">IFERROR(__xludf.DUMMYFUNCTION("IMPORTRANGE(""https://docs.google.com/spreadsheets/d/1jTcq05yEiRwXcBMLjiodW9e4biSGYWAHcDj22rKWQ3s/edit?usp=sharing"",""กำแพงเพชร!L518"")+IMPORTRANGE(""https://docs.google.com/spreadsheets/d/1KS0zmDSZPk8KnTAbGN-Xk6MtX1YRZD0ldgdt20K4CRk/edit?usp=sharing"","&amp;"""เชียงราย!L518"")+IMPORTRANGE(""https://docs.google.com/spreadsheets/d/1rEDxBtusbi64tE0zunoIbsTVV16HeL0oJ6trHQeQ7K8/edit?usp=sharing"",""เชียงใหม่!L518"")+IMPORTRANGE(""https://docs.google.com/spreadsheets/d/1W6MnUbDkMi6xHnHko_XkFDO9kkuL6Wqyc-6OCDFjW9I/e"&amp;"dit?usp=sharing"",""ตาก!L518"")+IMPORTRANGE(""https://docs.google.com/spreadsheets/d/1IQAWArduLkta9LpYo4a_ULsyqdta6-6aDDiwpUnQT6c/edit?usp=sharing"",""นครสวรรค์!L518"")+IMPORTRANGE(""https://docs.google.com/spreadsheets/d/10s13Sk5xrltsiR-Zkbmk5DwIaDIKO8Xl"&amp;"bJAfqyT7Gvg/edit?usp=sharing"",""น่าน!L518"")+IMPORTRANGE(""https://docs.google.com/spreadsheets/d/1uu4nAn4Dbi1XREnLKKotUANlKXa7yCgRcgq8HEzQYW8/edit?usp=sharing"",""พะเยา!L518"")+IMPORTRANGE(""https://docs.google.com/spreadsheets/d/1xfJKIQxVOaPDIICqsflNlL"&amp;"u3JacTDk1FP9RH4phX7mI/edit?usp=sharing"",""พิจิตร!L518"")+IMPORTRANGE(""https://docs.google.com/spreadsheets/d/1JtRfZkJMHtEhI5RdRHxYUG4FIZHqKDpNyIuN7A1Q0_k/edit?usp=sharing"",""พิษณุโลก!L518"")+IMPORTRANGE(""https://docs.google.com/spreadsheets/d/1xlcVZWU"&amp;"Nn6SuWm0c307h32SiGkd9BaeQWlAktfD3KO8/edit?usp=sharing"",""เพชรบูรณ์!L518"")+IMPORTRANGE(""https://docs.google.com/spreadsheets/d/1lOVebEIsI9qjGXl6EX66luk7wiuP2tBaryw-wKvv4e0/edit?usp=sharing"",""แพร่!L518"")+IMPORTRANGE(""https://docs.google.com/spreadshe"&amp;"ets/d/1dQrvX0vEcN7Gu0fnZ0B5S90AeR19zth4XlExFBeExMY/edit?usp=sharing"",""แม่ฮ่องสอน!L518"")+IMPORTRANGE(""https://docs.google.com/spreadsheets/d/1DY4XTNNwjluuxqdfdn6qvOSlMRrZqUtmYcZR0ttFiG4/edit?usp=sharing"",""ลำปาง!L518"")+IMPORTRANGE(""https://docs.goog"&amp;"le.com/spreadsheets/d/1ICwG78r0OFT8biBlxnBF8r7she7gNSzOvJ958PWT09c/edit?usp=sharing"",""ลำพูน!L518"")+IMPORTRANGE(""https://docs.google.com/spreadsheets/d/1B0f2xJpZUC6Z0xXnqKlZtEPzsf6L84eP1r1Q15seqRM/edit?usp=sharing"",""สุโขทัย!L518"")+IMPORTRANGE(""http"&amp;"s://docs.google.com/spreadsheets/d/1v0b9pFQCsKUVExMei7AgY2yQkdeNQvtOssygGsXbiKo/edit?usp=sharing"",""อุตรดิตถ์!L518"")+IMPORTRANGE(""https://docs.google.com/spreadsheets/d/1UsNK1e-WWiCo2PvGqdNfdme4m17_Ezd3J69EeeiQPD0/edit?usp=sharing"",""อุทัยธานี!L518"")"),0)</f>
        <v>0</v>
      </c>
      <c r="M518" s="46">
        <f ca="1">IFERROR(__xludf.DUMMYFUNCTION("IMPORTRANGE(""https://docs.google.com/spreadsheets/d/1jTcq05yEiRwXcBMLjiodW9e4biSGYWAHcDj22rKWQ3s/edit?usp=sharing"",""กำแพงเพชร!M518"")+IMPORTRANGE(""https://docs.google.com/spreadsheets/d/1KS0zmDSZPk8KnTAbGN-Xk6MtX1YRZD0ldgdt20K4CRk/edit?usp=sharing"","&amp;"""เชียงราย!M518"")+IMPORTRANGE(""https://docs.google.com/spreadsheets/d/1rEDxBtusbi64tE0zunoIbsTVV16HeL0oJ6trHQeQ7K8/edit?usp=sharing"",""เชียงใหม่!M518"")+IMPORTRANGE(""https://docs.google.com/spreadsheets/d/1W6MnUbDkMi6xHnHko_XkFDO9kkuL6Wqyc-6OCDFjW9I/e"&amp;"dit?usp=sharing"",""ตาก!M518"")+IMPORTRANGE(""https://docs.google.com/spreadsheets/d/1IQAWArduLkta9LpYo4a_ULsyqdta6-6aDDiwpUnQT6c/edit?usp=sharing"",""นครสวรรค์!M518"")+IMPORTRANGE(""https://docs.google.com/spreadsheets/d/10s13Sk5xrltsiR-Zkbmk5DwIaDIKO8Xl"&amp;"bJAfqyT7Gvg/edit?usp=sharing"",""น่าน!M518"")+IMPORTRANGE(""https://docs.google.com/spreadsheets/d/1uu4nAn4Dbi1XREnLKKotUANlKXa7yCgRcgq8HEzQYW8/edit?usp=sharing"",""พะเยา!M518"")+IMPORTRANGE(""https://docs.google.com/spreadsheets/d/1xfJKIQxVOaPDIICqsflNlL"&amp;"u3JacTDk1FP9RH4phX7mI/edit?usp=sharing"",""พิจิตร!M518"")+IMPORTRANGE(""https://docs.google.com/spreadsheets/d/1JtRfZkJMHtEhI5RdRHxYUG4FIZHqKDpNyIuN7A1Q0_k/edit?usp=sharing"",""พิษณุโลก!M518"")+IMPORTRANGE(""https://docs.google.com/spreadsheets/d/1xlcVZWU"&amp;"Nn6SuWm0c307h32SiGkd9BaeQWlAktfD3KO8/edit?usp=sharing"",""เพชรบูรณ์!M518"")+IMPORTRANGE(""https://docs.google.com/spreadsheets/d/1lOVebEIsI9qjGXl6EX66luk7wiuP2tBaryw-wKvv4e0/edit?usp=sharing"",""แพร่!M518"")+IMPORTRANGE(""https://docs.google.com/spreadshe"&amp;"ets/d/1dQrvX0vEcN7Gu0fnZ0B5S90AeR19zth4XlExFBeExMY/edit?usp=sharing"",""แม่ฮ่องสอน!M518"")+IMPORTRANGE(""https://docs.google.com/spreadsheets/d/1DY4XTNNwjluuxqdfdn6qvOSlMRrZqUtmYcZR0ttFiG4/edit?usp=sharing"",""ลำปาง!M518"")+IMPORTRANGE(""https://docs.goog"&amp;"le.com/spreadsheets/d/1ICwG78r0OFT8biBlxnBF8r7she7gNSzOvJ958PWT09c/edit?usp=sharing"",""ลำพูน!M518"")+IMPORTRANGE(""https://docs.google.com/spreadsheets/d/1B0f2xJpZUC6Z0xXnqKlZtEPzsf6L84eP1r1Q15seqRM/edit?usp=sharing"",""สุโขทัย!M518"")+IMPORTRANGE(""http"&amp;"s://docs.google.com/spreadsheets/d/1v0b9pFQCsKUVExMei7AgY2yQkdeNQvtOssygGsXbiKo/edit?usp=sharing"",""อุตรดิตถ์!M518"")+IMPORTRANGE(""https://docs.google.com/spreadsheets/d/1UsNK1e-WWiCo2PvGqdNfdme4m17_Ezd3J69EeeiQPD0/edit?usp=sharing"",""อุทัยธานี!M518"")"),0)</f>
        <v>0</v>
      </c>
      <c r="N518" s="46">
        <f ca="1">IFERROR(__xludf.DUMMYFUNCTION("IMPORTRANGE(""https://docs.google.com/spreadsheets/d/1jTcq05yEiRwXcBMLjiodW9e4biSGYWAHcDj22rKWQ3s/edit?usp=sharing"",""กำแพงเพชร!N518"")+IMPORTRANGE(""https://docs.google.com/spreadsheets/d/1KS0zmDSZPk8KnTAbGN-Xk6MtX1YRZD0ldgdt20K4CRk/edit?usp=sharing"","&amp;"""เชียงราย!N518"")+IMPORTRANGE(""https://docs.google.com/spreadsheets/d/1rEDxBtusbi64tE0zunoIbsTVV16HeL0oJ6trHQeQ7K8/edit?usp=sharing"",""เชียงใหม่!N518"")+IMPORTRANGE(""https://docs.google.com/spreadsheets/d/1W6MnUbDkMi6xHnHko_XkFDO9kkuL6Wqyc-6OCDFjW9I/e"&amp;"dit?usp=sharing"",""ตาก!N518"")+IMPORTRANGE(""https://docs.google.com/spreadsheets/d/1IQAWArduLkta9LpYo4a_ULsyqdta6-6aDDiwpUnQT6c/edit?usp=sharing"",""นครสวรรค์!N518"")+IMPORTRANGE(""https://docs.google.com/spreadsheets/d/10s13Sk5xrltsiR-Zkbmk5DwIaDIKO8Xl"&amp;"bJAfqyT7Gvg/edit?usp=sharing"",""น่าน!N518"")+IMPORTRANGE(""https://docs.google.com/spreadsheets/d/1uu4nAn4Dbi1XREnLKKotUANlKXa7yCgRcgq8HEzQYW8/edit?usp=sharing"",""พะเยา!N518"")+IMPORTRANGE(""https://docs.google.com/spreadsheets/d/1xfJKIQxVOaPDIICqsflNlL"&amp;"u3JacTDk1FP9RH4phX7mI/edit?usp=sharing"",""พิจิตร!N518"")+IMPORTRANGE(""https://docs.google.com/spreadsheets/d/1JtRfZkJMHtEhI5RdRHxYUG4FIZHqKDpNyIuN7A1Q0_k/edit?usp=sharing"",""พิษณุโลก!N518"")+IMPORTRANGE(""https://docs.google.com/spreadsheets/d/1xlcVZWU"&amp;"Nn6SuWm0c307h32SiGkd9BaeQWlAktfD3KO8/edit?usp=sharing"",""เพชรบูรณ์!N518"")+IMPORTRANGE(""https://docs.google.com/spreadsheets/d/1lOVebEIsI9qjGXl6EX66luk7wiuP2tBaryw-wKvv4e0/edit?usp=sharing"",""แพร่!N518"")+IMPORTRANGE(""https://docs.google.com/spreadshe"&amp;"ets/d/1dQrvX0vEcN7Gu0fnZ0B5S90AeR19zth4XlExFBeExMY/edit?usp=sharing"",""แม่ฮ่องสอน!N518"")+IMPORTRANGE(""https://docs.google.com/spreadsheets/d/1DY4XTNNwjluuxqdfdn6qvOSlMRrZqUtmYcZR0ttFiG4/edit?usp=sharing"",""ลำปาง!N518"")+IMPORTRANGE(""https://docs.goog"&amp;"le.com/spreadsheets/d/1ICwG78r0OFT8biBlxnBF8r7she7gNSzOvJ958PWT09c/edit?usp=sharing"",""ลำพูน!N518"")+IMPORTRANGE(""https://docs.google.com/spreadsheets/d/1B0f2xJpZUC6Z0xXnqKlZtEPzsf6L84eP1r1Q15seqRM/edit?usp=sharing"",""สุโขทัย!N518"")+IMPORTRANGE(""http"&amp;"s://docs.google.com/spreadsheets/d/1v0b9pFQCsKUVExMei7AgY2yQkdeNQvtOssygGsXbiKo/edit?usp=sharing"",""อุตรดิตถ์!N518"")+IMPORTRANGE(""https://docs.google.com/spreadsheets/d/1UsNK1e-WWiCo2PvGqdNfdme4m17_Ezd3J69EeeiQPD0/edit?usp=sharing"",""อุทัยธานี!N518"")"),0)</f>
        <v>0</v>
      </c>
      <c r="O518" s="46">
        <f t="shared" ca="1" si="363"/>
        <v>0</v>
      </c>
      <c r="P518" s="46">
        <f t="shared" ca="1" si="364"/>
        <v>0</v>
      </c>
      <c r="Q518" s="46">
        <f ca="1">IFERROR(__xludf.DUMMYFUNCTION("IMPORTRANGE(""https://docs.google.com/spreadsheets/d/1jTcq05yEiRwXcBMLjiodW9e4biSGYWAHcDj22rKWQ3s/edit?usp=sharing"",""กำแพงเพชร!Q518"")+IMPORTRANGE(""https://docs.google.com/spreadsheets/d/1KS0zmDSZPk8KnTAbGN-Xk6MtX1YRZD0ldgdt20K4CRk/edit?usp=sharing"","&amp;"""เชียงราย!Q518"")+IMPORTRANGE(""https://docs.google.com/spreadsheets/d/1rEDxBtusbi64tE0zunoIbsTVV16HeL0oJ6trHQeQ7K8/edit?usp=sharing"",""เชียงใหม่!Q518"")+IMPORTRANGE(""https://docs.google.com/spreadsheets/d/1W6MnUbDkMi6xHnHko_XkFDO9kkuL6Wqyc-6OCDFjW9I/e"&amp;"dit?usp=sharing"",""ตาก!Q518"")+IMPORTRANGE(""https://docs.google.com/spreadsheets/d/1IQAWArduLkta9LpYo4a_ULsyqdta6-6aDDiwpUnQT6c/edit?usp=sharing"",""นครสวรรค์!Q518"")+IMPORTRANGE(""https://docs.google.com/spreadsheets/d/10s13Sk5xrltsiR-Zkbmk5DwIaDIKO8Xl"&amp;"bJAfqyT7Gvg/edit?usp=sharing"",""น่าน!Q518"")+IMPORTRANGE(""https://docs.google.com/spreadsheets/d/1uu4nAn4Dbi1XREnLKKotUANlKXa7yCgRcgq8HEzQYW8/edit?usp=sharing"",""พะเยา!Q518"")+IMPORTRANGE(""https://docs.google.com/spreadsheets/d/1xfJKIQxVOaPDIICqsflNlL"&amp;"u3JacTDk1FP9RH4phX7mI/edit?usp=sharing"",""พิจิตร!Q518"")+IMPORTRANGE(""https://docs.google.com/spreadsheets/d/1JtRfZkJMHtEhI5RdRHxYUG4FIZHqKDpNyIuN7A1Q0_k/edit?usp=sharing"",""พิษณุโลก!Q518"")+IMPORTRANGE(""https://docs.google.com/spreadsheets/d/1xlcVZWU"&amp;"Nn6SuWm0c307h32SiGkd9BaeQWlAktfD3KO8/edit?usp=sharing"",""เพชรบูรณ์!Q518"")+IMPORTRANGE(""https://docs.google.com/spreadsheets/d/1lOVebEIsI9qjGXl6EX66luk7wiuP2tBaryw-wKvv4e0/edit?usp=sharing"",""แพร่!Q518"")+IMPORTRANGE(""https://docs.google.com/spreadshe"&amp;"ets/d/1dQrvX0vEcN7Gu0fnZ0B5S90AeR19zth4XlExFBeExMY/edit?usp=sharing"",""แม่ฮ่องสอน!Q518"")+IMPORTRANGE(""https://docs.google.com/spreadsheets/d/1DY4XTNNwjluuxqdfdn6qvOSlMRrZqUtmYcZR0ttFiG4/edit?usp=sharing"",""ลำปาง!Q518"")+IMPORTRANGE(""https://docs.goog"&amp;"le.com/spreadsheets/d/1ICwG78r0OFT8biBlxnBF8r7she7gNSzOvJ958PWT09c/edit?usp=sharing"",""ลำพูน!Q518"")+IMPORTRANGE(""https://docs.google.com/spreadsheets/d/1B0f2xJpZUC6Z0xXnqKlZtEPzsf6L84eP1r1Q15seqRM/edit?usp=sharing"",""สุโขทัย!Q518"")+IMPORTRANGE(""http"&amp;"s://docs.google.com/spreadsheets/d/1v0b9pFQCsKUVExMei7AgY2yQkdeNQvtOssygGsXbiKo/edit?usp=sharing"",""อุตรดิตถ์!Q518"")+IMPORTRANGE(""https://docs.google.com/spreadsheets/d/1UsNK1e-WWiCo2PvGqdNfdme4m17_Ezd3J69EeeiQPD0/edit?usp=sharing"",""อุทัยธานี!Q518"")"),0)</f>
        <v>0</v>
      </c>
      <c r="R518" s="46">
        <f ca="1">IFERROR(__xludf.DUMMYFUNCTION("IMPORTRANGE(""https://docs.google.com/spreadsheets/d/1jTcq05yEiRwXcBMLjiodW9e4biSGYWAHcDj22rKWQ3s/edit?usp=sharing"",""กำแพงเพชร!R518"")+IMPORTRANGE(""https://docs.google.com/spreadsheets/d/1KS0zmDSZPk8KnTAbGN-Xk6MtX1YRZD0ldgdt20K4CRk/edit?usp=sharing"","&amp;"""เชียงราย!R518"")+IMPORTRANGE(""https://docs.google.com/spreadsheets/d/1rEDxBtusbi64tE0zunoIbsTVV16HeL0oJ6trHQeQ7K8/edit?usp=sharing"",""เชียงใหม่!R518"")+IMPORTRANGE(""https://docs.google.com/spreadsheets/d/1W6MnUbDkMi6xHnHko_XkFDO9kkuL6Wqyc-6OCDFjW9I/e"&amp;"dit?usp=sharing"",""ตาก!R518"")+IMPORTRANGE(""https://docs.google.com/spreadsheets/d/1IQAWArduLkta9LpYo4a_ULsyqdta6-6aDDiwpUnQT6c/edit?usp=sharing"",""นครสวรรค์!R518"")+IMPORTRANGE(""https://docs.google.com/spreadsheets/d/10s13Sk5xrltsiR-Zkbmk5DwIaDIKO8Xl"&amp;"bJAfqyT7Gvg/edit?usp=sharing"",""น่าน!R518"")+IMPORTRANGE(""https://docs.google.com/spreadsheets/d/1uu4nAn4Dbi1XREnLKKotUANlKXa7yCgRcgq8HEzQYW8/edit?usp=sharing"",""พะเยา!R518"")+IMPORTRANGE(""https://docs.google.com/spreadsheets/d/1xfJKIQxVOaPDIICqsflNlL"&amp;"u3JacTDk1FP9RH4phX7mI/edit?usp=sharing"",""พิจิตร!R518"")+IMPORTRANGE(""https://docs.google.com/spreadsheets/d/1JtRfZkJMHtEhI5RdRHxYUG4FIZHqKDpNyIuN7A1Q0_k/edit?usp=sharing"",""พิษณุโลก!R518"")+IMPORTRANGE(""https://docs.google.com/spreadsheets/d/1xlcVZWU"&amp;"Nn6SuWm0c307h32SiGkd9BaeQWlAktfD3KO8/edit?usp=sharing"",""เพชรบูรณ์!R518"")+IMPORTRANGE(""https://docs.google.com/spreadsheets/d/1lOVebEIsI9qjGXl6EX66luk7wiuP2tBaryw-wKvv4e0/edit?usp=sharing"",""แพร่!R518"")+IMPORTRANGE(""https://docs.google.com/spreadshe"&amp;"ets/d/1dQrvX0vEcN7Gu0fnZ0B5S90AeR19zth4XlExFBeExMY/edit?usp=sharing"",""แม่ฮ่องสอน!R518"")+IMPORTRANGE(""https://docs.google.com/spreadsheets/d/1DY4XTNNwjluuxqdfdn6qvOSlMRrZqUtmYcZR0ttFiG4/edit?usp=sharing"",""ลำปาง!R518"")+IMPORTRANGE(""https://docs.goog"&amp;"le.com/spreadsheets/d/1ICwG78r0OFT8biBlxnBF8r7she7gNSzOvJ958PWT09c/edit?usp=sharing"",""ลำพูน!R518"")+IMPORTRANGE(""https://docs.google.com/spreadsheets/d/1B0f2xJpZUC6Z0xXnqKlZtEPzsf6L84eP1r1Q15seqRM/edit?usp=sharing"",""สุโขทัย!R518"")+IMPORTRANGE(""http"&amp;"s://docs.google.com/spreadsheets/d/1v0b9pFQCsKUVExMei7AgY2yQkdeNQvtOssygGsXbiKo/edit?usp=sharing"",""อุตรดิตถ์!R518"")+IMPORTRANGE(""https://docs.google.com/spreadsheets/d/1UsNK1e-WWiCo2PvGqdNfdme4m17_Ezd3J69EeeiQPD0/edit?usp=sharing"",""อุทัยธานี!R518"")"),0)</f>
        <v>0</v>
      </c>
      <c r="S518" s="46">
        <f ca="1">IFERROR(__xludf.DUMMYFUNCTION("IMPORTRANGE(""https://docs.google.com/spreadsheets/d/1jTcq05yEiRwXcBMLjiodW9e4biSGYWAHcDj22rKWQ3s/edit?usp=sharing"",""กำแพงเพชร!S518"")+IMPORTRANGE(""https://docs.google.com/spreadsheets/d/1KS0zmDSZPk8KnTAbGN-Xk6MtX1YRZD0ldgdt20K4CRk/edit?usp=sharing"","&amp;"""เชียงราย!S518"")+IMPORTRANGE(""https://docs.google.com/spreadsheets/d/1rEDxBtusbi64tE0zunoIbsTVV16HeL0oJ6trHQeQ7K8/edit?usp=sharing"",""เชียงใหม่!S518"")+IMPORTRANGE(""https://docs.google.com/spreadsheets/d/1W6MnUbDkMi6xHnHko_XkFDO9kkuL6Wqyc-6OCDFjW9I/e"&amp;"dit?usp=sharing"",""ตาก!S518"")+IMPORTRANGE(""https://docs.google.com/spreadsheets/d/1IQAWArduLkta9LpYo4a_ULsyqdta6-6aDDiwpUnQT6c/edit?usp=sharing"",""นครสวรรค์!S518"")+IMPORTRANGE(""https://docs.google.com/spreadsheets/d/10s13Sk5xrltsiR-Zkbmk5DwIaDIKO8Xl"&amp;"bJAfqyT7Gvg/edit?usp=sharing"",""น่าน!S518"")+IMPORTRANGE(""https://docs.google.com/spreadsheets/d/1uu4nAn4Dbi1XREnLKKotUANlKXa7yCgRcgq8HEzQYW8/edit?usp=sharing"",""พะเยา!S518"")+IMPORTRANGE(""https://docs.google.com/spreadsheets/d/1xfJKIQxVOaPDIICqsflNlL"&amp;"u3JacTDk1FP9RH4phX7mI/edit?usp=sharing"",""พิจิตร!S518"")+IMPORTRANGE(""https://docs.google.com/spreadsheets/d/1JtRfZkJMHtEhI5RdRHxYUG4FIZHqKDpNyIuN7A1Q0_k/edit?usp=sharing"",""พิษณุโลก!S518"")+IMPORTRANGE(""https://docs.google.com/spreadsheets/d/1xlcVZWU"&amp;"Nn6SuWm0c307h32SiGkd9BaeQWlAktfD3KO8/edit?usp=sharing"",""เพชรบูรณ์!S518"")+IMPORTRANGE(""https://docs.google.com/spreadsheets/d/1lOVebEIsI9qjGXl6EX66luk7wiuP2tBaryw-wKvv4e0/edit?usp=sharing"",""แพร่!S518"")+IMPORTRANGE(""https://docs.google.com/spreadshe"&amp;"ets/d/1dQrvX0vEcN7Gu0fnZ0B5S90AeR19zth4XlExFBeExMY/edit?usp=sharing"",""แม่ฮ่องสอน!S518"")+IMPORTRANGE(""https://docs.google.com/spreadsheets/d/1DY4XTNNwjluuxqdfdn6qvOSlMRrZqUtmYcZR0ttFiG4/edit?usp=sharing"",""ลำปาง!S518"")+IMPORTRANGE(""https://docs.goog"&amp;"le.com/spreadsheets/d/1ICwG78r0OFT8biBlxnBF8r7she7gNSzOvJ958PWT09c/edit?usp=sharing"",""ลำพูน!S518"")+IMPORTRANGE(""https://docs.google.com/spreadsheets/d/1B0f2xJpZUC6Z0xXnqKlZtEPzsf6L84eP1r1Q15seqRM/edit?usp=sharing"",""สุโขทัย!S518"")+IMPORTRANGE(""http"&amp;"s://docs.google.com/spreadsheets/d/1v0b9pFQCsKUVExMei7AgY2yQkdeNQvtOssygGsXbiKo/edit?usp=sharing"",""อุตรดิตถ์!S518"")+IMPORTRANGE(""https://docs.google.com/spreadsheets/d/1UsNK1e-WWiCo2PvGqdNfdme4m17_Ezd3J69EeeiQPD0/edit?usp=sharing"",""อุทัยธานี!S518"")"),0)</f>
        <v>0</v>
      </c>
      <c r="T518" s="46">
        <f t="shared" ca="1" si="366"/>
        <v>0</v>
      </c>
      <c r="U518" s="46">
        <f t="shared" ca="1" si="367"/>
        <v>0</v>
      </c>
    </row>
    <row r="519" spans="1:21" ht="18.75" x14ac:dyDescent="0.25">
      <c r="A519" s="128"/>
      <c r="B519" s="40"/>
      <c r="C519" s="40"/>
      <c r="D519" s="41" t="s">
        <v>23</v>
      </c>
      <c r="E519" s="40"/>
      <c r="F519" s="40"/>
      <c r="G519" s="42"/>
      <c r="H519" s="137" t="s">
        <v>14</v>
      </c>
      <c r="I519" s="135"/>
      <c r="J519" s="135"/>
      <c r="K519" s="136"/>
      <c r="L519" s="46">
        <f t="shared" ref="L519:N519" ca="1" si="374">L520+L521</f>
        <v>0</v>
      </c>
      <c r="M519" s="46">
        <f t="shared" ca="1" si="374"/>
        <v>0</v>
      </c>
      <c r="N519" s="46">
        <f t="shared" ca="1" si="374"/>
        <v>0</v>
      </c>
      <c r="O519" s="46">
        <f t="shared" ca="1" si="363"/>
        <v>0</v>
      </c>
      <c r="P519" s="46">
        <f t="shared" ca="1" si="364"/>
        <v>0</v>
      </c>
      <c r="Q519" s="46">
        <f t="shared" ref="Q519:S519" ca="1" si="375">Q520+Q521</f>
        <v>0</v>
      </c>
      <c r="R519" s="46">
        <f t="shared" ca="1" si="375"/>
        <v>0</v>
      </c>
      <c r="S519" s="46">
        <f t="shared" ca="1" si="375"/>
        <v>0</v>
      </c>
      <c r="T519" s="46">
        <f t="shared" ca="1" si="366"/>
        <v>0</v>
      </c>
      <c r="U519" s="46">
        <f t="shared" ca="1" si="367"/>
        <v>0</v>
      </c>
    </row>
    <row r="520" spans="1:21" ht="18.75" x14ac:dyDescent="0.25">
      <c r="A520" s="128"/>
      <c r="B520" s="40"/>
      <c r="C520" s="40"/>
      <c r="D520" s="40"/>
      <c r="E520" s="47" t="s">
        <v>20</v>
      </c>
      <c r="F520" s="40"/>
      <c r="G520" s="42"/>
      <c r="H520" s="134" t="s">
        <v>14</v>
      </c>
      <c r="I520" s="135"/>
      <c r="J520" s="135"/>
      <c r="K520" s="136"/>
      <c r="L520" s="46">
        <f ca="1">IFERROR(__xludf.DUMMYFUNCTION("IMPORTRANGE(""https://docs.google.com/spreadsheets/d/1jTcq05yEiRwXcBMLjiodW9e4biSGYWAHcDj22rKWQ3s/edit?usp=sharing"",""กำแพงเพชร!L520"")+IMPORTRANGE(""https://docs.google.com/spreadsheets/d/1KS0zmDSZPk8KnTAbGN-Xk6MtX1YRZD0ldgdt20K4CRk/edit?usp=sharing"","&amp;"""เชียงราย!L520"")+IMPORTRANGE(""https://docs.google.com/spreadsheets/d/1rEDxBtusbi64tE0zunoIbsTVV16HeL0oJ6trHQeQ7K8/edit?usp=sharing"",""เชียงใหม่!L520"")+IMPORTRANGE(""https://docs.google.com/spreadsheets/d/1W6MnUbDkMi6xHnHko_XkFDO9kkuL6Wqyc-6OCDFjW9I/e"&amp;"dit?usp=sharing"",""ตาก!L520"")+IMPORTRANGE(""https://docs.google.com/spreadsheets/d/1IQAWArduLkta9LpYo4a_ULsyqdta6-6aDDiwpUnQT6c/edit?usp=sharing"",""นครสวรรค์!L520"")+IMPORTRANGE(""https://docs.google.com/spreadsheets/d/10s13Sk5xrltsiR-Zkbmk5DwIaDIKO8Xl"&amp;"bJAfqyT7Gvg/edit?usp=sharing"",""น่าน!L520"")+IMPORTRANGE(""https://docs.google.com/spreadsheets/d/1uu4nAn4Dbi1XREnLKKotUANlKXa7yCgRcgq8HEzQYW8/edit?usp=sharing"",""พะเยา!L520"")+IMPORTRANGE(""https://docs.google.com/spreadsheets/d/1xfJKIQxVOaPDIICqsflNlL"&amp;"u3JacTDk1FP9RH4phX7mI/edit?usp=sharing"",""พิจิตร!L520"")+IMPORTRANGE(""https://docs.google.com/spreadsheets/d/1JtRfZkJMHtEhI5RdRHxYUG4FIZHqKDpNyIuN7A1Q0_k/edit?usp=sharing"",""พิษณุโลก!L520"")+IMPORTRANGE(""https://docs.google.com/spreadsheets/d/1xlcVZWU"&amp;"Nn6SuWm0c307h32SiGkd9BaeQWlAktfD3KO8/edit?usp=sharing"",""เพชรบูรณ์!L520"")+IMPORTRANGE(""https://docs.google.com/spreadsheets/d/1lOVebEIsI9qjGXl6EX66luk7wiuP2tBaryw-wKvv4e0/edit?usp=sharing"",""แพร่!L520"")+IMPORTRANGE(""https://docs.google.com/spreadshe"&amp;"ets/d/1dQrvX0vEcN7Gu0fnZ0B5S90AeR19zth4XlExFBeExMY/edit?usp=sharing"",""แม่ฮ่องสอน!L520"")+IMPORTRANGE(""https://docs.google.com/spreadsheets/d/1DY4XTNNwjluuxqdfdn6qvOSlMRrZqUtmYcZR0ttFiG4/edit?usp=sharing"",""ลำปาง!L520"")+IMPORTRANGE(""https://docs.goog"&amp;"le.com/spreadsheets/d/1ICwG78r0OFT8biBlxnBF8r7she7gNSzOvJ958PWT09c/edit?usp=sharing"",""ลำพูน!L520"")+IMPORTRANGE(""https://docs.google.com/spreadsheets/d/1B0f2xJpZUC6Z0xXnqKlZtEPzsf6L84eP1r1Q15seqRM/edit?usp=sharing"",""สุโขทัย!L520"")+IMPORTRANGE(""http"&amp;"s://docs.google.com/spreadsheets/d/1v0b9pFQCsKUVExMei7AgY2yQkdeNQvtOssygGsXbiKo/edit?usp=sharing"",""อุตรดิตถ์!L520"")+IMPORTRANGE(""https://docs.google.com/spreadsheets/d/1UsNK1e-WWiCo2PvGqdNfdme4m17_Ezd3J69EeeiQPD0/edit?usp=sharing"",""อุทัยธานี!L520"")"),0)</f>
        <v>0</v>
      </c>
      <c r="M520" s="46">
        <f ca="1">IFERROR(__xludf.DUMMYFUNCTION("IMPORTRANGE(""https://docs.google.com/spreadsheets/d/1jTcq05yEiRwXcBMLjiodW9e4biSGYWAHcDj22rKWQ3s/edit?usp=sharing"",""กำแพงเพชร!M520"")+IMPORTRANGE(""https://docs.google.com/spreadsheets/d/1KS0zmDSZPk8KnTAbGN-Xk6MtX1YRZD0ldgdt20K4CRk/edit?usp=sharing"","&amp;"""เชียงราย!M520"")+IMPORTRANGE(""https://docs.google.com/spreadsheets/d/1rEDxBtusbi64tE0zunoIbsTVV16HeL0oJ6trHQeQ7K8/edit?usp=sharing"",""เชียงใหม่!M520"")+IMPORTRANGE(""https://docs.google.com/spreadsheets/d/1W6MnUbDkMi6xHnHko_XkFDO9kkuL6Wqyc-6OCDFjW9I/e"&amp;"dit?usp=sharing"",""ตาก!M520"")+IMPORTRANGE(""https://docs.google.com/spreadsheets/d/1IQAWArduLkta9LpYo4a_ULsyqdta6-6aDDiwpUnQT6c/edit?usp=sharing"",""นครสวรรค์!M520"")+IMPORTRANGE(""https://docs.google.com/spreadsheets/d/10s13Sk5xrltsiR-Zkbmk5DwIaDIKO8Xl"&amp;"bJAfqyT7Gvg/edit?usp=sharing"",""น่าน!M520"")+IMPORTRANGE(""https://docs.google.com/spreadsheets/d/1uu4nAn4Dbi1XREnLKKotUANlKXa7yCgRcgq8HEzQYW8/edit?usp=sharing"",""พะเยา!M520"")+IMPORTRANGE(""https://docs.google.com/spreadsheets/d/1xfJKIQxVOaPDIICqsflNlL"&amp;"u3JacTDk1FP9RH4phX7mI/edit?usp=sharing"",""พิจิตร!M520"")+IMPORTRANGE(""https://docs.google.com/spreadsheets/d/1JtRfZkJMHtEhI5RdRHxYUG4FIZHqKDpNyIuN7A1Q0_k/edit?usp=sharing"",""พิษณุโลก!M520"")+IMPORTRANGE(""https://docs.google.com/spreadsheets/d/1xlcVZWU"&amp;"Nn6SuWm0c307h32SiGkd9BaeQWlAktfD3KO8/edit?usp=sharing"",""เพชรบูรณ์!M520"")+IMPORTRANGE(""https://docs.google.com/spreadsheets/d/1lOVebEIsI9qjGXl6EX66luk7wiuP2tBaryw-wKvv4e0/edit?usp=sharing"",""แพร่!M520"")+IMPORTRANGE(""https://docs.google.com/spreadshe"&amp;"ets/d/1dQrvX0vEcN7Gu0fnZ0B5S90AeR19zth4XlExFBeExMY/edit?usp=sharing"",""แม่ฮ่องสอน!M520"")+IMPORTRANGE(""https://docs.google.com/spreadsheets/d/1DY4XTNNwjluuxqdfdn6qvOSlMRrZqUtmYcZR0ttFiG4/edit?usp=sharing"",""ลำปาง!M520"")+IMPORTRANGE(""https://docs.goog"&amp;"le.com/spreadsheets/d/1ICwG78r0OFT8biBlxnBF8r7she7gNSzOvJ958PWT09c/edit?usp=sharing"",""ลำพูน!M520"")+IMPORTRANGE(""https://docs.google.com/spreadsheets/d/1B0f2xJpZUC6Z0xXnqKlZtEPzsf6L84eP1r1Q15seqRM/edit?usp=sharing"",""สุโขทัย!M520"")+IMPORTRANGE(""http"&amp;"s://docs.google.com/spreadsheets/d/1v0b9pFQCsKUVExMei7AgY2yQkdeNQvtOssygGsXbiKo/edit?usp=sharing"",""อุตรดิตถ์!M520"")+IMPORTRANGE(""https://docs.google.com/spreadsheets/d/1UsNK1e-WWiCo2PvGqdNfdme4m17_Ezd3J69EeeiQPD0/edit?usp=sharing"",""อุทัยธานี!M520"")"),0)</f>
        <v>0</v>
      </c>
      <c r="N520" s="46">
        <f ca="1">IFERROR(__xludf.DUMMYFUNCTION("IMPORTRANGE(""https://docs.google.com/spreadsheets/d/1jTcq05yEiRwXcBMLjiodW9e4biSGYWAHcDj22rKWQ3s/edit?usp=sharing"",""กำแพงเพชร!N520"")+IMPORTRANGE(""https://docs.google.com/spreadsheets/d/1KS0zmDSZPk8KnTAbGN-Xk6MtX1YRZD0ldgdt20K4CRk/edit?usp=sharing"","&amp;"""เชียงราย!N520"")+IMPORTRANGE(""https://docs.google.com/spreadsheets/d/1rEDxBtusbi64tE0zunoIbsTVV16HeL0oJ6trHQeQ7K8/edit?usp=sharing"",""เชียงใหม่!N520"")+IMPORTRANGE(""https://docs.google.com/spreadsheets/d/1W6MnUbDkMi6xHnHko_XkFDO9kkuL6Wqyc-6OCDFjW9I/e"&amp;"dit?usp=sharing"",""ตาก!N520"")+IMPORTRANGE(""https://docs.google.com/spreadsheets/d/1IQAWArduLkta9LpYo4a_ULsyqdta6-6aDDiwpUnQT6c/edit?usp=sharing"",""นครสวรรค์!N520"")+IMPORTRANGE(""https://docs.google.com/spreadsheets/d/10s13Sk5xrltsiR-Zkbmk5DwIaDIKO8Xl"&amp;"bJAfqyT7Gvg/edit?usp=sharing"",""น่าน!N520"")+IMPORTRANGE(""https://docs.google.com/spreadsheets/d/1uu4nAn4Dbi1XREnLKKotUANlKXa7yCgRcgq8HEzQYW8/edit?usp=sharing"",""พะเยา!N520"")+IMPORTRANGE(""https://docs.google.com/spreadsheets/d/1xfJKIQxVOaPDIICqsflNlL"&amp;"u3JacTDk1FP9RH4phX7mI/edit?usp=sharing"",""พิจิตร!N520"")+IMPORTRANGE(""https://docs.google.com/spreadsheets/d/1JtRfZkJMHtEhI5RdRHxYUG4FIZHqKDpNyIuN7A1Q0_k/edit?usp=sharing"",""พิษณุโลก!N520"")+IMPORTRANGE(""https://docs.google.com/spreadsheets/d/1xlcVZWU"&amp;"Nn6SuWm0c307h32SiGkd9BaeQWlAktfD3KO8/edit?usp=sharing"",""เพชรบูรณ์!N520"")+IMPORTRANGE(""https://docs.google.com/spreadsheets/d/1lOVebEIsI9qjGXl6EX66luk7wiuP2tBaryw-wKvv4e0/edit?usp=sharing"",""แพร่!N520"")+IMPORTRANGE(""https://docs.google.com/spreadshe"&amp;"ets/d/1dQrvX0vEcN7Gu0fnZ0B5S90AeR19zth4XlExFBeExMY/edit?usp=sharing"",""แม่ฮ่องสอน!N520"")+IMPORTRANGE(""https://docs.google.com/spreadsheets/d/1DY4XTNNwjluuxqdfdn6qvOSlMRrZqUtmYcZR0ttFiG4/edit?usp=sharing"",""ลำปาง!N520"")+IMPORTRANGE(""https://docs.goog"&amp;"le.com/spreadsheets/d/1ICwG78r0OFT8biBlxnBF8r7she7gNSzOvJ958PWT09c/edit?usp=sharing"",""ลำพูน!N520"")+IMPORTRANGE(""https://docs.google.com/spreadsheets/d/1B0f2xJpZUC6Z0xXnqKlZtEPzsf6L84eP1r1Q15seqRM/edit?usp=sharing"",""สุโขทัย!N520"")+IMPORTRANGE(""http"&amp;"s://docs.google.com/spreadsheets/d/1v0b9pFQCsKUVExMei7AgY2yQkdeNQvtOssygGsXbiKo/edit?usp=sharing"",""อุตรดิตถ์!N520"")+IMPORTRANGE(""https://docs.google.com/spreadsheets/d/1UsNK1e-WWiCo2PvGqdNfdme4m17_Ezd3J69EeeiQPD0/edit?usp=sharing"",""อุทัยธานี!N520"")"),0)</f>
        <v>0</v>
      </c>
      <c r="O520" s="46">
        <f t="shared" ca="1" si="363"/>
        <v>0</v>
      </c>
      <c r="P520" s="46">
        <f t="shared" ca="1" si="364"/>
        <v>0</v>
      </c>
      <c r="Q520" s="48">
        <f ca="1">IFERROR(__xludf.DUMMYFUNCTION("IMPORTRANGE(""https://docs.google.com/spreadsheets/d/1jTcq05yEiRwXcBMLjiodW9e4biSGYWAHcDj22rKWQ3s/edit?usp=sharing"",""กำแพงเพชร!Q520"")+IMPORTRANGE(""https://docs.google.com/spreadsheets/d/1KS0zmDSZPk8KnTAbGN-Xk6MtX1YRZD0ldgdt20K4CRk/edit?usp=sharing"","&amp;"""เชียงราย!Q520"")+IMPORTRANGE(""https://docs.google.com/spreadsheets/d/1rEDxBtusbi64tE0zunoIbsTVV16HeL0oJ6trHQeQ7K8/edit?usp=sharing"",""เชียงใหม่!Q520"")+IMPORTRANGE(""https://docs.google.com/spreadsheets/d/1W6MnUbDkMi6xHnHko_XkFDO9kkuL6Wqyc-6OCDFjW9I/e"&amp;"dit?usp=sharing"",""ตาก!Q520"")+IMPORTRANGE(""https://docs.google.com/spreadsheets/d/1IQAWArduLkta9LpYo4a_ULsyqdta6-6aDDiwpUnQT6c/edit?usp=sharing"",""นครสวรรค์!Q520"")+IMPORTRANGE(""https://docs.google.com/spreadsheets/d/10s13Sk5xrltsiR-Zkbmk5DwIaDIKO8Xl"&amp;"bJAfqyT7Gvg/edit?usp=sharing"",""น่าน!Q520"")+IMPORTRANGE(""https://docs.google.com/spreadsheets/d/1uu4nAn4Dbi1XREnLKKotUANlKXa7yCgRcgq8HEzQYW8/edit?usp=sharing"",""พะเยา!Q520"")+IMPORTRANGE(""https://docs.google.com/spreadsheets/d/1xfJKIQxVOaPDIICqsflNlL"&amp;"u3JacTDk1FP9RH4phX7mI/edit?usp=sharing"",""พิจิตร!Q520"")+IMPORTRANGE(""https://docs.google.com/spreadsheets/d/1JtRfZkJMHtEhI5RdRHxYUG4FIZHqKDpNyIuN7A1Q0_k/edit?usp=sharing"",""พิษณุโลก!Q520"")+IMPORTRANGE(""https://docs.google.com/spreadsheets/d/1xlcVZWU"&amp;"Nn6SuWm0c307h32SiGkd9BaeQWlAktfD3KO8/edit?usp=sharing"",""เพชรบูรณ์!Q520"")+IMPORTRANGE(""https://docs.google.com/spreadsheets/d/1lOVebEIsI9qjGXl6EX66luk7wiuP2tBaryw-wKvv4e0/edit?usp=sharing"",""แพร่!Q520"")+IMPORTRANGE(""https://docs.google.com/spreadshe"&amp;"ets/d/1dQrvX0vEcN7Gu0fnZ0B5S90AeR19zth4XlExFBeExMY/edit?usp=sharing"",""แม่ฮ่องสอน!Q520"")+IMPORTRANGE(""https://docs.google.com/spreadsheets/d/1DY4XTNNwjluuxqdfdn6qvOSlMRrZqUtmYcZR0ttFiG4/edit?usp=sharing"",""ลำปาง!Q520"")+IMPORTRANGE(""https://docs.goog"&amp;"le.com/spreadsheets/d/1ICwG78r0OFT8biBlxnBF8r7she7gNSzOvJ958PWT09c/edit?usp=sharing"",""ลำพูน!Q520"")+IMPORTRANGE(""https://docs.google.com/spreadsheets/d/1B0f2xJpZUC6Z0xXnqKlZtEPzsf6L84eP1r1Q15seqRM/edit?usp=sharing"",""สุโขทัย!Q520"")+IMPORTRANGE(""http"&amp;"s://docs.google.com/spreadsheets/d/1v0b9pFQCsKUVExMei7AgY2yQkdeNQvtOssygGsXbiKo/edit?usp=sharing"",""อุตรดิตถ์!Q520"")+IMPORTRANGE(""https://docs.google.com/spreadsheets/d/1UsNK1e-WWiCo2PvGqdNfdme4m17_Ezd3J69EeeiQPD0/edit?usp=sharing"",""อุทัยธานี!Q520"")"),0)</f>
        <v>0</v>
      </c>
      <c r="R520" s="48">
        <f ca="1">IFERROR(__xludf.DUMMYFUNCTION("IMPORTRANGE(""https://docs.google.com/spreadsheets/d/1jTcq05yEiRwXcBMLjiodW9e4biSGYWAHcDj22rKWQ3s/edit?usp=sharing"",""กำแพงเพชร!R520"")+IMPORTRANGE(""https://docs.google.com/spreadsheets/d/1KS0zmDSZPk8KnTAbGN-Xk6MtX1YRZD0ldgdt20K4CRk/edit?usp=sharing"","&amp;"""เชียงราย!R520"")+IMPORTRANGE(""https://docs.google.com/spreadsheets/d/1rEDxBtusbi64tE0zunoIbsTVV16HeL0oJ6trHQeQ7K8/edit?usp=sharing"",""เชียงใหม่!R520"")+IMPORTRANGE(""https://docs.google.com/spreadsheets/d/1W6MnUbDkMi6xHnHko_XkFDO9kkuL6Wqyc-6OCDFjW9I/e"&amp;"dit?usp=sharing"",""ตาก!R520"")+IMPORTRANGE(""https://docs.google.com/spreadsheets/d/1IQAWArduLkta9LpYo4a_ULsyqdta6-6aDDiwpUnQT6c/edit?usp=sharing"",""นครสวรรค์!R520"")+IMPORTRANGE(""https://docs.google.com/spreadsheets/d/10s13Sk5xrltsiR-Zkbmk5DwIaDIKO8Xl"&amp;"bJAfqyT7Gvg/edit?usp=sharing"",""น่าน!R520"")+IMPORTRANGE(""https://docs.google.com/spreadsheets/d/1uu4nAn4Dbi1XREnLKKotUANlKXa7yCgRcgq8HEzQYW8/edit?usp=sharing"",""พะเยา!R520"")+IMPORTRANGE(""https://docs.google.com/spreadsheets/d/1xfJKIQxVOaPDIICqsflNlL"&amp;"u3JacTDk1FP9RH4phX7mI/edit?usp=sharing"",""พิจิตร!R520"")+IMPORTRANGE(""https://docs.google.com/spreadsheets/d/1JtRfZkJMHtEhI5RdRHxYUG4FIZHqKDpNyIuN7A1Q0_k/edit?usp=sharing"",""พิษณุโลก!R520"")+IMPORTRANGE(""https://docs.google.com/spreadsheets/d/1xlcVZWU"&amp;"Nn6SuWm0c307h32SiGkd9BaeQWlAktfD3KO8/edit?usp=sharing"",""เพชรบูรณ์!R520"")+IMPORTRANGE(""https://docs.google.com/spreadsheets/d/1lOVebEIsI9qjGXl6EX66luk7wiuP2tBaryw-wKvv4e0/edit?usp=sharing"",""แพร่!R520"")+IMPORTRANGE(""https://docs.google.com/spreadshe"&amp;"ets/d/1dQrvX0vEcN7Gu0fnZ0B5S90AeR19zth4XlExFBeExMY/edit?usp=sharing"",""แม่ฮ่องสอน!R520"")+IMPORTRANGE(""https://docs.google.com/spreadsheets/d/1DY4XTNNwjluuxqdfdn6qvOSlMRrZqUtmYcZR0ttFiG4/edit?usp=sharing"",""ลำปาง!R520"")+IMPORTRANGE(""https://docs.goog"&amp;"le.com/spreadsheets/d/1ICwG78r0OFT8biBlxnBF8r7she7gNSzOvJ958PWT09c/edit?usp=sharing"",""ลำพูน!R520"")+IMPORTRANGE(""https://docs.google.com/spreadsheets/d/1B0f2xJpZUC6Z0xXnqKlZtEPzsf6L84eP1r1Q15seqRM/edit?usp=sharing"",""สุโขทัย!R520"")+IMPORTRANGE(""http"&amp;"s://docs.google.com/spreadsheets/d/1v0b9pFQCsKUVExMei7AgY2yQkdeNQvtOssygGsXbiKo/edit?usp=sharing"",""อุตรดิตถ์!R520"")+IMPORTRANGE(""https://docs.google.com/spreadsheets/d/1UsNK1e-WWiCo2PvGqdNfdme4m17_Ezd3J69EeeiQPD0/edit?usp=sharing"",""อุทัยธานี!R520"")"),0)</f>
        <v>0</v>
      </c>
      <c r="S520" s="48">
        <f ca="1">IFERROR(__xludf.DUMMYFUNCTION("IMPORTRANGE(""https://docs.google.com/spreadsheets/d/1jTcq05yEiRwXcBMLjiodW9e4biSGYWAHcDj22rKWQ3s/edit?usp=sharing"",""กำแพงเพชร!S520"")+IMPORTRANGE(""https://docs.google.com/spreadsheets/d/1KS0zmDSZPk8KnTAbGN-Xk6MtX1YRZD0ldgdt20K4CRk/edit?usp=sharing"","&amp;"""เชียงราย!S520"")+IMPORTRANGE(""https://docs.google.com/spreadsheets/d/1rEDxBtusbi64tE0zunoIbsTVV16HeL0oJ6trHQeQ7K8/edit?usp=sharing"",""เชียงใหม่!S520"")+IMPORTRANGE(""https://docs.google.com/spreadsheets/d/1W6MnUbDkMi6xHnHko_XkFDO9kkuL6Wqyc-6OCDFjW9I/e"&amp;"dit?usp=sharing"",""ตาก!S520"")+IMPORTRANGE(""https://docs.google.com/spreadsheets/d/1IQAWArduLkta9LpYo4a_ULsyqdta6-6aDDiwpUnQT6c/edit?usp=sharing"",""นครสวรรค์!S520"")+IMPORTRANGE(""https://docs.google.com/spreadsheets/d/10s13Sk5xrltsiR-Zkbmk5DwIaDIKO8Xl"&amp;"bJAfqyT7Gvg/edit?usp=sharing"",""น่าน!S520"")+IMPORTRANGE(""https://docs.google.com/spreadsheets/d/1uu4nAn4Dbi1XREnLKKotUANlKXa7yCgRcgq8HEzQYW8/edit?usp=sharing"",""พะเยา!S520"")+IMPORTRANGE(""https://docs.google.com/spreadsheets/d/1xfJKIQxVOaPDIICqsflNlL"&amp;"u3JacTDk1FP9RH4phX7mI/edit?usp=sharing"",""พิจิตร!S520"")+IMPORTRANGE(""https://docs.google.com/spreadsheets/d/1JtRfZkJMHtEhI5RdRHxYUG4FIZHqKDpNyIuN7A1Q0_k/edit?usp=sharing"",""พิษณุโลก!S520"")+IMPORTRANGE(""https://docs.google.com/spreadsheets/d/1xlcVZWU"&amp;"Nn6SuWm0c307h32SiGkd9BaeQWlAktfD3KO8/edit?usp=sharing"",""เพชรบูรณ์!S520"")+IMPORTRANGE(""https://docs.google.com/spreadsheets/d/1lOVebEIsI9qjGXl6EX66luk7wiuP2tBaryw-wKvv4e0/edit?usp=sharing"",""แพร่!S520"")+IMPORTRANGE(""https://docs.google.com/spreadshe"&amp;"ets/d/1dQrvX0vEcN7Gu0fnZ0B5S90AeR19zth4XlExFBeExMY/edit?usp=sharing"",""แม่ฮ่องสอน!S520"")+IMPORTRANGE(""https://docs.google.com/spreadsheets/d/1DY4XTNNwjluuxqdfdn6qvOSlMRrZqUtmYcZR0ttFiG4/edit?usp=sharing"",""ลำปาง!S520"")+IMPORTRANGE(""https://docs.goog"&amp;"le.com/spreadsheets/d/1ICwG78r0OFT8biBlxnBF8r7she7gNSzOvJ958PWT09c/edit?usp=sharing"",""ลำพูน!S520"")+IMPORTRANGE(""https://docs.google.com/spreadsheets/d/1B0f2xJpZUC6Z0xXnqKlZtEPzsf6L84eP1r1Q15seqRM/edit?usp=sharing"",""สุโขทัย!S520"")+IMPORTRANGE(""http"&amp;"s://docs.google.com/spreadsheets/d/1v0b9pFQCsKUVExMei7AgY2yQkdeNQvtOssygGsXbiKo/edit?usp=sharing"",""อุตรดิตถ์!S520"")+IMPORTRANGE(""https://docs.google.com/spreadsheets/d/1UsNK1e-WWiCo2PvGqdNfdme4m17_Ezd3J69EeeiQPD0/edit?usp=sharing"",""อุทัยธานี!S520"")"),0)</f>
        <v>0</v>
      </c>
      <c r="T520" s="48">
        <f t="shared" ca="1" si="366"/>
        <v>0</v>
      </c>
      <c r="U520" s="48">
        <f t="shared" ca="1" si="367"/>
        <v>0</v>
      </c>
    </row>
    <row r="521" spans="1:21" ht="18.75" x14ac:dyDescent="0.25">
      <c r="A521" s="128"/>
      <c r="B521" s="40"/>
      <c r="C521" s="40"/>
      <c r="D521" s="40"/>
      <c r="E521" s="47" t="s">
        <v>21</v>
      </c>
      <c r="F521" s="40"/>
      <c r="G521" s="42"/>
      <c r="H521" s="137" t="s">
        <v>14</v>
      </c>
      <c r="I521" s="135"/>
      <c r="J521" s="135"/>
      <c r="K521" s="136"/>
      <c r="L521" s="46">
        <f ca="1">IFERROR(__xludf.DUMMYFUNCTION("IMPORTRANGE(""https://docs.google.com/spreadsheets/d/1jTcq05yEiRwXcBMLjiodW9e4biSGYWAHcDj22rKWQ3s/edit?usp=sharing"",""กำแพงเพชร!L521"")+IMPORTRANGE(""https://docs.google.com/spreadsheets/d/1KS0zmDSZPk8KnTAbGN-Xk6MtX1YRZD0ldgdt20K4CRk/edit?usp=sharing"","&amp;"""เชียงราย!L521"")+IMPORTRANGE(""https://docs.google.com/spreadsheets/d/1rEDxBtusbi64tE0zunoIbsTVV16HeL0oJ6trHQeQ7K8/edit?usp=sharing"",""เชียงใหม่!L521"")+IMPORTRANGE(""https://docs.google.com/spreadsheets/d/1W6MnUbDkMi6xHnHko_XkFDO9kkuL6Wqyc-6OCDFjW9I/e"&amp;"dit?usp=sharing"",""ตาก!L521"")+IMPORTRANGE(""https://docs.google.com/spreadsheets/d/1IQAWArduLkta9LpYo4a_ULsyqdta6-6aDDiwpUnQT6c/edit?usp=sharing"",""นครสวรรค์!L521"")+IMPORTRANGE(""https://docs.google.com/spreadsheets/d/10s13Sk5xrltsiR-Zkbmk5DwIaDIKO8Xl"&amp;"bJAfqyT7Gvg/edit?usp=sharing"",""น่าน!L521"")+IMPORTRANGE(""https://docs.google.com/spreadsheets/d/1uu4nAn4Dbi1XREnLKKotUANlKXa7yCgRcgq8HEzQYW8/edit?usp=sharing"",""พะเยา!L521"")+IMPORTRANGE(""https://docs.google.com/spreadsheets/d/1xfJKIQxVOaPDIICqsflNlL"&amp;"u3JacTDk1FP9RH4phX7mI/edit?usp=sharing"",""พิจิตร!L521"")+IMPORTRANGE(""https://docs.google.com/spreadsheets/d/1JtRfZkJMHtEhI5RdRHxYUG4FIZHqKDpNyIuN7A1Q0_k/edit?usp=sharing"",""พิษณุโลก!L521"")+IMPORTRANGE(""https://docs.google.com/spreadsheets/d/1xlcVZWU"&amp;"Nn6SuWm0c307h32SiGkd9BaeQWlAktfD3KO8/edit?usp=sharing"",""เพชรบูรณ์!L521"")+IMPORTRANGE(""https://docs.google.com/spreadsheets/d/1lOVebEIsI9qjGXl6EX66luk7wiuP2tBaryw-wKvv4e0/edit?usp=sharing"",""แพร่!L521"")+IMPORTRANGE(""https://docs.google.com/spreadshe"&amp;"ets/d/1dQrvX0vEcN7Gu0fnZ0B5S90AeR19zth4XlExFBeExMY/edit?usp=sharing"",""แม่ฮ่องสอน!L521"")+IMPORTRANGE(""https://docs.google.com/spreadsheets/d/1DY4XTNNwjluuxqdfdn6qvOSlMRrZqUtmYcZR0ttFiG4/edit?usp=sharing"",""ลำปาง!L521"")+IMPORTRANGE(""https://docs.goog"&amp;"le.com/spreadsheets/d/1ICwG78r0OFT8biBlxnBF8r7she7gNSzOvJ958PWT09c/edit?usp=sharing"",""ลำพูน!L521"")+IMPORTRANGE(""https://docs.google.com/spreadsheets/d/1B0f2xJpZUC6Z0xXnqKlZtEPzsf6L84eP1r1Q15seqRM/edit?usp=sharing"",""สุโขทัย!L521"")+IMPORTRANGE(""http"&amp;"s://docs.google.com/spreadsheets/d/1v0b9pFQCsKUVExMei7AgY2yQkdeNQvtOssygGsXbiKo/edit?usp=sharing"",""อุตรดิตถ์!L521"")+IMPORTRANGE(""https://docs.google.com/spreadsheets/d/1UsNK1e-WWiCo2PvGqdNfdme4m17_Ezd3J69EeeiQPD0/edit?usp=sharing"",""อุทัยธานี!L521"")"),0)</f>
        <v>0</v>
      </c>
      <c r="M521" s="46">
        <f ca="1">IFERROR(__xludf.DUMMYFUNCTION("IMPORTRANGE(""https://docs.google.com/spreadsheets/d/1jTcq05yEiRwXcBMLjiodW9e4biSGYWAHcDj22rKWQ3s/edit?usp=sharing"",""กำแพงเพชร!M521"")+IMPORTRANGE(""https://docs.google.com/spreadsheets/d/1KS0zmDSZPk8KnTAbGN-Xk6MtX1YRZD0ldgdt20K4CRk/edit?usp=sharing"","&amp;"""เชียงราย!M521"")+IMPORTRANGE(""https://docs.google.com/spreadsheets/d/1rEDxBtusbi64tE0zunoIbsTVV16HeL0oJ6trHQeQ7K8/edit?usp=sharing"",""เชียงใหม่!M521"")+IMPORTRANGE(""https://docs.google.com/spreadsheets/d/1W6MnUbDkMi6xHnHko_XkFDO9kkuL6Wqyc-6OCDFjW9I/e"&amp;"dit?usp=sharing"",""ตาก!M521"")+IMPORTRANGE(""https://docs.google.com/spreadsheets/d/1IQAWArduLkta9LpYo4a_ULsyqdta6-6aDDiwpUnQT6c/edit?usp=sharing"",""นครสวรรค์!M521"")+IMPORTRANGE(""https://docs.google.com/spreadsheets/d/10s13Sk5xrltsiR-Zkbmk5DwIaDIKO8Xl"&amp;"bJAfqyT7Gvg/edit?usp=sharing"",""น่าน!M521"")+IMPORTRANGE(""https://docs.google.com/spreadsheets/d/1uu4nAn4Dbi1XREnLKKotUANlKXa7yCgRcgq8HEzQYW8/edit?usp=sharing"",""พะเยา!M521"")+IMPORTRANGE(""https://docs.google.com/spreadsheets/d/1xfJKIQxVOaPDIICqsflNlL"&amp;"u3JacTDk1FP9RH4phX7mI/edit?usp=sharing"",""พิจิตร!M521"")+IMPORTRANGE(""https://docs.google.com/spreadsheets/d/1JtRfZkJMHtEhI5RdRHxYUG4FIZHqKDpNyIuN7A1Q0_k/edit?usp=sharing"",""พิษณุโลก!M521"")+IMPORTRANGE(""https://docs.google.com/spreadsheets/d/1xlcVZWU"&amp;"Nn6SuWm0c307h32SiGkd9BaeQWlAktfD3KO8/edit?usp=sharing"",""เพชรบูรณ์!M521"")+IMPORTRANGE(""https://docs.google.com/spreadsheets/d/1lOVebEIsI9qjGXl6EX66luk7wiuP2tBaryw-wKvv4e0/edit?usp=sharing"",""แพร่!M521"")+IMPORTRANGE(""https://docs.google.com/spreadshe"&amp;"ets/d/1dQrvX0vEcN7Gu0fnZ0B5S90AeR19zth4XlExFBeExMY/edit?usp=sharing"",""แม่ฮ่องสอน!M521"")+IMPORTRANGE(""https://docs.google.com/spreadsheets/d/1DY4XTNNwjluuxqdfdn6qvOSlMRrZqUtmYcZR0ttFiG4/edit?usp=sharing"",""ลำปาง!M521"")+IMPORTRANGE(""https://docs.goog"&amp;"le.com/spreadsheets/d/1ICwG78r0OFT8biBlxnBF8r7she7gNSzOvJ958PWT09c/edit?usp=sharing"",""ลำพูน!M521"")+IMPORTRANGE(""https://docs.google.com/spreadsheets/d/1B0f2xJpZUC6Z0xXnqKlZtEPzsf6L84eP1r1Q15seqRM/edit?usp=sharing"",""สุโขทัย!M521"")+IMPORTRANGE(""http"&amp;"s://docs.google.com/spreadsheets/d/1v0b9pFQCsKUVExMei7AgY2yQkdeNQvtOssygGsXbiKo/edit?usp=sharing"",""อุตรดิตถ์!M521"")+IMPORTRANGE(""https://docs.google.com/spreadsheets/d/1UsNK1e-WWiCo2PvGqdNfdme4m17_Ezd3J69EeeiQPD0/edit?usp=sharing"",""อุทัยธานี!M521"")"),0)</f>
        <v>0</v>
      </c>
      <c r="N521" s="46">
        <f ca="1">IFERROR(__xludf.DUMMYFUNCTION("IMPORTRANGE(""https://docs.google.com/spreadsheets/d/1jTcq05yEiRwXcBMLjiodW9e4biSGYWAHcDj22rKWQ3s/edit?usp=sharing"",""กำแพงเพชร!N521"")+IMPORTRANGE(""https://docs.google.com/spreadsheets/d/1KS0zmDSZPk8KnTAbGN-Xk6MtX1YRZD0ldgdt20K4CRk/edit?usp=sharing"","&amp;"""เชียงราย!N521"")+IMPORTRANGE(""https://docs.google.com/spreadsheets/d/1rEDxBtusbi64tE0zunoIbsTVV16HeL0oJ6trHQeQ7K8/edit?usp=sharing"",""เชียงใหม่!N521"")+IMPORTRANGE(""https://docs.google.com/spreadsheets/d/1W6MnUbDkMi6xHnHko_XkFDO9kkuL6Wqyc-6OCDFjW9I/e"&amp;"dit?usp=sharing"",""ตาก!N521"")+IMPORTRANGE(""https://docs.google.com/spreadsheets/d/1IQAWArduLkta9LpYo4a_ULsyqdta6-6aDDiwpUnQT6c/edit?usp=sharing"",""นครสวรรค์!N521"")+IMPORTRANGE(""https://docs.google.com/spreadsheets/d/10s13Sk5xrltsiR-Zkbmk5DwIaDIKO8Xl"&amp;"bJAfqyT7Gvg/edit?usp=sharing"",""น่าน!N521"")+IMPORTRANGE(""https://docs.google.com/spreadsheets/d/1uu4nAn4Dbi1XREnLKKotUANlKXa7yCgRcgq8HEzQYW8/edit?usp=sharing"",""พะเยา!N521"")+IMPORTRANGE(""https://docs.google.com/spreadsheets/d/1xfJKIQxVOaPDIICqsflNlL"&amp;"u3JacTDk1FP9RH4phX7mI/edit?usp=sharing"",""พิจิตร!N521"")+IMPORTRANGE(""https://docs.google.com/spreadsheets/d/1JtRfZkJMHtEhI5RdRHxYUG4FIZHqKDpNyIuN7A1Q0_k/edit?usp=sharing"",""พิษณุโลก!N521"")+IMPORTRANGE(""https://docs.google.com/spreadsheets/d/1xlcVZWU"&amp;"Nn6SuWm0c307h32SiGkd9BaeQWlAktfD3KO8/edit?usp=sharing"",""เพชรบูรณ์!N521"")+IMPORTRANGE(""https://docs.google.com/spreadsheets/d/1lOVebEIsI9qjGXl6EX66luk7wiuP2tBaryw-wKvv4e0/edit?usp=sharing"",""แพร่!N521"")+IMPORTRANGE(""https://docs.google.com/spreadshe"&amp;"ets/d/1dQrvX0vEcN7Gu0fnZ0B5S90AeR19zth4XlExFBeExMY/edit?usp=sharing"",""แม่ฮ่องสอน!N521"")+IMPORTRANGE(""https://docs.google.com/spreadsheets/d/1DY4XTNNwjluuxqdfdn6qvOSlMRrZqUtmYcZR0ttFiG4/edit?usp=sharing"",""ลำปาง!N521"")+IMPORTRANGE(""https://docs.goog"&amp;"le.com/spreadsheets/d/1ICwG78r0OFT8biBlxnBF8r7she7gNSzOvJ958PWT09c/edit?usp=sharing"",""ลำพูน!N521"")+IMPORTRANGE(""https://docs.google.com/spreadsheets/d/1B0f2xJpZUC6Z0xXnqKlZtEPzsf6L84eP1r1Q15seqRM/edit?usp=sharing"",""สุโขทัย!N521"")+IMPORTRANGE(""http"&amp;"s://docs.google.com/spreadsheets/d/1v0b9pFQCsKUVExMei7AgY2yQkdeNQvtOssygGsXbiKo/edit?usp=sharing"",""อุตรดิตถ์!N521"")+IMPORTRANGE(""https://docs.google.com/spreadsheets/d/1UsNK1e-WWiCo2PvGqdNfdme4m17_Ezd3J69EeeiQPD0/edit?usp=sharing"",""อุทัยธานี!N521"")"),0)</f>
        <v>0</v>
      </c>
      <c r="O521" s="46">
        <f t="shared" ca="1" si="363"/>
        <v>0</v>
      </c>
      <c r="P521" s="46">
        <f t="shared" ca="1" si="364"/>
        <v>0</v>
      </c>
      <c r="Q521" s="46">
        <f ca="1">IFERROR(__xludf.DUMMYFUNCTION("IMPORTRANGE(""https://docs.google.com/spreadsheets/d/1jTcq05yEiRwXcBMLjiodW9e4biSGYWAHcDj22rKWQ3s/edit?usp=sharing"",""กำแพงเพชร!Q521"")+IMPORTRANGE(""https://docs.google.com/spreadsheets/d/1KS0zmDSZPk8KnTAbGN-Xk6MtX1YRZD0ldgdt20K4CRk/edit?usp=sharing"","&amp;"""เชียงราย!Q521"")+IMPORTRANGE(""https://docs.google.com/spreadsheets/d/1rEDxBtusbi64tE0zunoIbsTVV16HeL0oJ6trHQeQ7K8/edit?usp=sharing"",""เชียงใหม่!Q521"")+IMPORTRANGE(""https://docs.google.com/spreadsheets/d/1W6MnUbDkMi6xHnHko_XkFDO9kkuL6Wqyc-6OCDFjW9I/e"&amp;"dit?usp=sharing"",""ตาก!Q521"")+IMPORTRANGE(""https://docs.google.com/spreadsheets/d/1IQAWArduLkta9LpYo4a_ULsyqdta6-6aDDiwpUnQT6c/edit?usp=sharing"",""นครสวรรค์!Q521"")+IMPORTRANGE(""https://docs.google.com/spreadsheets/d/10s13Sk5xrltsiR-Zkbmk5DwIaDIKO8Xl"&amp;"bJAfqyT7Gvg/edit?usp=sharing"",""น่าน!Q521"")+IMPORTRANGE(""https://docs.google.com/spreadsheets/d/1uu4nAn4Dbi1XREnLKKotUANlKXa7yCgRcgq8HEzQYW8/edit?usp=sharing"",""พะเยา!Q521"")+IMPORTRANGE(""https://docs.google.com/spreadsheets/d/1xfJKIQxVOaPDIICqsflNlL"&amp;"u3JacTDk1FP9RH4phX7mI/edit?usp=sharing"",""พิจิตร!Q521"")+IMPORTRANGE(""https://docs.google.com/spreadsheets/d/1JtRfZkJMHtEhI5RdRHxYUG4FIZHqKDpNyIuN7A1Q0_k/edit?usp=sharing"",""พิษณุโลก!Q521"")+IMPORTRANGE(""https://docs.google.com/spreadsheets/d/1xlcVZWU"&amp;"Nn6SuWm0c307h32SiGkd9BaeQWlAktfD3KO8/edit?usp=sharing"",""เพชรบูรณ์!Q521"")+IMPORTRANGE(""https://docs.google.com/spreadsheets/d/1lOVebEIsI9qjGXl6EX66luk7wiuP2tBaryw-wKvv4e0/edit?usp=sharing"",""แพร่!Q521"")+IMPORTRANGE(""https://docs.google.com/spreadshe"&amp;"ets/d/1dQrvX0vEcN7Gu0fnZ0B5S90AeR19zth4XlExFBeExMY/edit?usp=sharing"",""แม่ฮ่องสอน!Q521"")+IMPORTRANGE(""https://docs.google.com/spreadsheets/d/1DY4XTNNwjluuxqdfdn6qvOSlMRrZqUtmYcZR0ttFiG4/edit?usp=sharing"",""ลำปาง!Q521"")+IMPORTRANGE(""https://docs.goog"&amp;"le.com/spreadsheets/d/1ICwG78r0OFT8biBlxnBF8r7she7gNSzOvJ958PWT09c/edit?usp=sharing"",""ลำพูน!Q521"")+IMPORTRANGE(""https://docs.google.com/spreadsheets/d/1B0f2xJpZUC6Z0xXnqKlZtEPzsf6L84eP1r1Q15seqRM/edit?usp=sharing"",""สุโขทัย!Q521"")+IMPORTRANGE(""http"&amp;"s://docs.google.com/spreadsheets/d/1v0b9pFQCsKUVExMei7AgY2yQkdeNQvtOssygGsXbiKo/edit?usp=sharing"",""อุตรดิตถ์!Q521"")+IMPORTRANGE(""https://docs.google.com/spreadsheets/d/1UsNK1e-WWiCo2PvGqdNfdme4m17_Ezd3J69EeeiQPD0/edit?usp=sharing"",""อุทัยธานี!Q521"")"),0)</f>
        <v>0</v>
      </c>
      <c r="R521" s="46">
        <f ca="1">IFERROR(__xludf.DUMMYFUNCTION("IMPORTRANGE(""https://docs.google.com/spreadsheets/d/1jTcq05yEiRwXcBMLjiodW9e4biSGYWAHcDj22rKWQ3s/edit?usp=sharing"",""กำแพงเพชร!R521"")+IMPORTRANGE(""https://docs.google.com/spreadsheets/d/1KS0zmDSZPk8KnTAbGN-Xk6MtX1YRZD0ldgdt20K4CRk/edit?usp=sharing"","&amp;"""เชียงราย!R521"")+IMPORTRANGE(""https://docs.google.com/spreadsheets/d/1rEDxBtusbi64tE0zunoIbsTVV16HeL0oJ6trHQeQ7K8/edit?usp=sharing"",""เชียงใหม่!R521"")+IMPORTRANGE(""https://docs.google.com/spreadsheets/d/1W6MnUbDkMi6xHnHko_XkFDO9kkuL6Wqyc-6OCDFjW9I/e"&amp;"dit?usp=sharing"",""ตาก!R521"")+IMPORTRANGE(""https://docs.google.com/spreadsheets/d/1IQAWArduLkta9LpYo4a_ULsyqdta6-6aDDiwpUnQT6c/edit?usp=sharing"",""นครสวรรค์!R521"")+IMPORTRANGE(""https://docs.google.com/spreadsheets/d/10s13Sk5xrltsiR-Zkbmk5DwIaDIKO8Xl"&amp;"bJAfqyT7Gvg/edit?usp=sharing"",""น่าน!R521"")+IMPORTRANGE(""https://docs.google.com/spreadsheets/d/1uu4nAn4Dbi1XREnLKKotUANlKXa7yCgRcgq8HEzQYW8/edit?usp=sharing"",""พะเยา!R521"")+IMPORTRANGE(""https://docs.google.com/spreadsheets/d/1xfJKIQxVOaPDIICqsflNlL"&amp;"u3JacTDk1FP9RH4phX7mI/edit?usp=sharing"",""พิจิตร!R521"")+IMPORTRANGE(""https://docs.google.com/spreadsheets/d/1JtRfZkJMHtEhI5RdRHxYUG4FIZHqKDpNyIuN7A1Q0_k/edit?usp=sharing"",""พิษณุโลก!R521"")+IMPORTRANGE(""https://docs.google.com/spreadsheets/d/1xlcVZWU"&amp;"Nn6SuWm0c307h32SiGkd9BaeQWlAktfD3KO8/edit?usp=sharing"",""เพชรบูรณ์!R521"")+IMPORTRANGE(""https://docs.google.com/spreadsheets/d/1lOVebEIsI9qjGXl6EX66luk7wiuP2tBaryw-wKvv4e0/edit?usp=sharing"",""แพร่!R521"")+IMPORTRANGE(""https://docs.google.com/spreadshe"&amp;"ets/d/1dQrvX0vEcN7Gu0fnZ0B5S90AeR19zth4XlExFBeExMY/edit?usp=sharing"",""แม่ฮ่องสอน!R521"")+IMPORTRANGE(""https://docs.google.com/spreadsheets/d/1DY4XTNNwjluuxqdfdn6qvOSlMRrZqUtmYcZR0ttFiG4/edit?usp=sharing"",""ลำปาง!R521"")+IMPORTRANGE(""https://docs.goog"&amp;"le.com/spreadsheets/d/1ICwG78r0OFT8biBlxnBF8r7she7gNSzOvJ958PWT09c/edit?usp=sharing"",""ลำพูน!R521"")+IMPORTRANGE(""https://docs.google.com/spreadsheets/d/1B0f2xJpZUC6Z0xXnqKlZtEPzsf6L84eP1r1Q15seqRM/edit?usp=sharing"",""สุโขทัย!R521"")+IMPORTRANGE(""http"&amp;"s://docs.google.com/spreadsheets/d/1v0b9pFQCsKUVExMei7AgY2yQkdeNQvtOssygGsXbiKo/edit?usp=sharing"",""อุตรดิตถ์!R521"")+IMPORTRANGE(""https://docs.google.com/spreadsheets/d/1UsNK1e-WWiCo2PvGqdNfdme4m17_Ezd3J69EeeiQPD0/edit?usp=sharing"",""อุทัยธานี!R521"")"),0)</f>
        <v>0</v>
      </c>
      <c r="S521" s="46">
        <f ca="1">IFERROR(__xludf.DUMMYFUNCTION("IMPORTRANGE(""https://docs.google.com/spreadsheets/d/1jTcq05yEiRwXcBMLjiodW9e4biSGYWAHcDj22rKWQ3s/edit?usp=sharing"",""กำแพงเพชร!S521"")+IMPORTRANGE(""https://docs.google.com/spreadsheets/d/1KS0zmDSZPk8KnTAbGN-Xk6MtX1YRZD0ldgdt20K4CRk/edit?usp=sharing"","&amp;"""เชียงราย!S521"")+IMPORTRANGE(""https://docs.google.com/spreadsheets/d/1rEDxBtusbi64tE0zunoIbsTVV16HeL0oJ6trHQeQ7K8/edit?usp=sharing"",""เชียงใหม่!S521"")+IMPORTRANGE(""https://docs.google.com/spreadsheets/d/1W6MnUbDkMi6xHnHko_XkFDO9kkuL6Wqyc-6OCDFjW9I/e"&amp;"dit?usp=sharing"",""ตาก!S521"")+IMPORTRANGE(""https://docs.google.com/spreadsheets/d/1IQAWArduLkta9LpYo4a_ULsyqdta6-6aDDiwpUnQT6c/edit?usp=sharing"",""นครสวรรค์!S521"")+IMPORTRANGE(""https://docs.google.com/spreadsheets/d/10s13Sk5xrltsiR-Zkbmk5DwIaDIKO8Xl"&amp;"bJAfqyT7Gvg/edit?usp=sharing"",""น่าน!S521"")+IMPORTRANGE(""https://docs.google.com/spreadsheets/d/1uu4nAn4Dbi1XREnLKKotUANlKXa7yCgRcgq8HEzQYW8/edit?usp=sharing"",""พะเยา!S521"")+IMPORTRANGE(""https://docs.google.com/spreadsheets/d/1xfJKIQxVOaPDIICqsflNlL"&amp;"u3JacTDk1FP9RH4phX7mI/edit?usp=sharing"",""พิจิตร!S521"")+IMPORTRANGE(""https://docs.google.com/spreadsheets/d/1JtRfZkJMHtEhI5RdRHxYUG4FIZHqKDpNyIuN7A1Q0_k/edit?usp=sharing"",""พิษณุโลก!S521"")+IMPORTRANGE(""https://docs.google.com/spreadsheets/d/1xlcVZWU"&amp;"Nn6SuWm0c307h32SiGkd9BaeQWlAktfD3KO8/edit?usp=sharing"",""เพชรบูรณ์!S521"")+IMPORTRANGE(""https://docs.google.com/spreadsheets/d/1lOVebEIsI9qjGXl6EX66luk7wiuP2tBaryw-wKvv4e0/edit?usp=sharing"",""แพร่!S521"")+IMPORTRANGE(""https://docs.google.com/spreadshe"&amp;"ets/d/1dQrvX0vEcN7Gu0fnZ0B5S90AeR19zth4XlExFBeExMY/edit?usp=sharing"",""แม่ฮ่องสอน!S521"")+IMPORTRANGE(""https://docs.google.com/spreadsheets/d/1DY4XTNNwjluuxqdfdn6qvOSlMRrZqUtmYcZR0ttFiG4/edit?usp=sharing"",""ลำปาง!S521"")+IMPORTRANGE(""https://docs.goog"&amp;"le.com/spreadsheets/d/1ICwG78r0OFT8biBlxnBF8r7she7gNSzOvJ958PWT09c/edit?usp=sharing"",""ลำพูน!S521"")+IMPORTRANGE(""https://docs.google.com/spreadsheets/d/1B0f2xJpZUC6Z0xXnqKlZtEPzsf6L84eP1r1Q15seqRM/edit?usp=sharing"",""สุโขทัย!S521"")+IMPORTRANGE(""http"&amp;"s://docs.google.com/spreadsheets/d/1v0b9pFQCsKUVExMei7AgY2yQkdeNQvtOssygGsXbiKo/edit?usp=sharing"",""อุตรดิตถ์!S521"")+IMPORTRANGE(""https://docs.google.com/spreadsheets/d/1UsNK1e-WWiCo2PvGqdNfdme4m17_Ezd3J69EeeiQPD0/edit?usp=sharing"",""อุทัยธานี!S521"")"),0)</f>
        <v>0</v>
      </c>
      <c r="T521" s="46">
        <f t="shared" ca="1" si="366"/>
        <v>0</v>
      </c>
      <c r="U521" s="46">
        <f t="shared" ca="1" si="367"/>
        <v>0</v>
      </c>
    </row>
    <row r="522" spans="1:21" ht="19.5" x14ac:dyDescent="0.3">
      <c r="A522" s="138"/>
      <c r="B522" s="139"/>
      <c r="C522" s="129" t="s">
        <v>18</v>
      </c>
      <c r="D522" s="140" t="s">
        <v>38</v>
      </c>
      <c r="E522" s="141"/>
      <c r="F522" s="141"/>
      <c r="G522" s="142"/>
      <c r="H522" s="143"/>
      <c r="I522" s="135"/>
      <c r="J522" s="44"/>
      <c r="K522" s="45"/>
      <c r="L522" s="45"/>
      <c r="M522" s="45"/>
      <c r="N522" s="45"/>
      <c r="O522" s="136"/>
      <c r="P522" s="136"/>
      <c r="Q522" s="45"/>
      <c r="R522" s="45"/>
      <c r="S522" s="45"/>
      <c r="T522" s="136"/>
      <c r="U522" s="136"/>
    </row>
    <row r="523" spans="1:21" ht="18.75" x14ac:dyDescent="0.25">
      <c r="A523" s="208"/>
      <c r="B523" s="40"/>
      <c r="C523" s="158"/>
      <c r="D523" s="149" t="s">
        <v>208</v>
      </c>
      <c r="E523" s="139"/>
      <c r="F523" s="40"/>
      <c r="G523" s="42"/>
      <c r="H523" s="210" t="s">
        <v>11</v>
      </c>
      <c r="I523" s="184">
        <v>0</v>
      </c>
      <c r="J523" s="184">
        <v>0</v>
      </c>
      <c r="K523" s="46">
        <f t="shared" ref="K523:K524" si="376">IF(I523&gt;0,J523*100/I523,0)</f>
        <v>0</v>
      </c>
      <c r="L523" s="45"/>
      <c r="M523" s="45"/>
      <c r="N523" s="45"/>
      <c r="O523" s="45"/>
      <c r="P523" s="45"/>
      <c r="Q523" s="45"/>
      <c r="R523" s="45"/>
      <c r="S523" s="45"/>
      <c r="T523" s="45"/>
      <c r="U523" s="45"/>
    </row>
    <row r="524" spans="1:21" ht="18.75" x14ac:dyDescent="0.25">
      <c r="A524" s="329"/>
      <c r="B524" s="1"/>
      <c r="C524" s="2"/>
      <c r="D524" s="358" t="s">
        <v>209</v>
      </c>
      <c r="E524" s="250"/>
      <c r="F524" s="1"/>
      <c r="G524" s="52"/>
      <c r="H524" s="359" t="s">
        <v>61</v>
      </c>
      <c r="I524" s="188">
        <v>0</v>
      </c>
      <c r="J524" s="188">
        <v>0</v>
      </c>
      <c r="K524" s="111">
        <f t="shared" si="376"/>
        <v>0</v>
      </c>
      <c r="L524" s="3"/>
      <c r="M524" s="3"/>
      <c r="N524" s="3"/>
      <c r="O524" s="3"/>
      <c r="P524" s="3"/>
      <c r="Q524" s="45"/>
      <c r="R524" s="45"/>
      <c r="S524" s="45"/>
      <c r="T524" s="45"/>
      <c r="U524" s="45"/>
    </row>
    <row r="525" spans="1:21" ht="12.75" hidden="1" x14ac:dyDescent="0.2">
      <c r="A525" s="227"/>
      <c r="B525" s="228"/>
      <c r="C525" s="228"/>
      <c r="D525" s="229"/>
      <c r="E525" s="229"/>
      <c r="F525" s="229"/>
      <c r="G525" s="230"/>
      <c r="H525" s="231"/>
      <c r="I525" s="232"/>
      <c r="J525" s="232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</row>
    <row r="526" spans="1:21" ht="12.75" hidden="1" x14ac:dyDescent="0.2">
      <c r="A526" s="227"/>
      <c r="B526" s="228"/>
      <c r="C526" s="228"/>
      <c r="D526" s="229"/>
      <c r="E526" s="229"/>
      <c r="F526" s="229"/>
      <c r="G526" s="230"/>
      <c r="H526" s="231"/>
      <c r="I526" s="232"/>
      <c r="J526" s="232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</row>
    <row r="527" spans="1:21" ht="12.75" hidden="1" x14ac:dyDescent="0.2">
      <c r="A527" s="227"/>
      <c r="B527" s="228"/>
      <c r="C527" s="228"/>
      <c r="D527" s="229"/>
      <c r="E527" s="229"/>
      <c r="F527" s="229"/>
      <c r="G527" s="230"/>
      <c r="H527" s="231"/>
      <c r="I527" s="232"/>
      <c r="J527" s="232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</row>
    <row r="528" spans="1:21" ht="12.75" hidden="1" x14ac:dyDescent="0.2">
      <c r="A528" s="227"/>
      <c r="B528" s="228"/>
      <c r="C528" s="228"/>
      <c r="D528" s="229"/>
      <c r="E528" s="229"/>
      <c r="F528" s="229"/>
      <c r="G528" s="230"/>
      <c r="H528" s="231"/>
      <c r="I528" s="232"/>
      <c r="J528" s="232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</row>
    <row r="529" spans="1:21" ht="12.75" hidden="1" x14ac:dyDescent="0.2">
      <c r="A529" s="227"/>
      <c r="B529" s="228"/>
      <c r="C529" s="228"/>
      <c r="D529" s="229"/>
      <c r="E529" s="229"/>
      <c r="F529" s="229"/>
      <c r="G529" s="230"/>
      <c r="H529" s="231"/>
      <c r="I529" s="232"/>
      <c r="J529" s="232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</row>
    <row r="530" spans="1:21" ht="12.75" hidden="1" x14ac:dyDescent="0.2">
      <c r="A530" s="227"/>
      <c r="B530" s="228"/>
      <c r="C530" s="228"/>
      <c r="D530" s="229"/>
      <c r="E530" s="229"/>
      <c r="F530" s="229"/>
      <c r="G530" s="230"/>
      <c r="H530" s="231"/>
      <c r="I530" s="232"/>
      <c r="J530" s="232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</row>
    <row r="531" spans="1:21" ht="12.75" hidden="1" x14ac:dyDescent="0.2">
      <c r="A531" s="227"/>
      <c r="B531" s="228"/>
      <c r="C531" s="228"/>
      <c r="D531" s="229"/>
      <c r="E531" s="229"/>
      <c r="F531" s="229"/>
      <c r="G531" s="230"/>
      <c r="H531" s="231"/>
      <c r="I531" s="232"/>
      <c r="J531" s="232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</row>
    <row r="532" spans="1:21" ht="12.75" hidden="1" x14ac:dyDescent="0.2">
      <c r="A532" s="360"/>
      <c r="B532" s="316"/>
      <c r="C532" s="316"/>
      <c r="D532" s="361"/>
      <c r="E532" s="361"/>
      <c r="F532" s="361"/>
      <c r="G532" s="362"/>
      <c r="H532" s="317"/>
      <c r="I532" s="318"/>
      <c r="J532" s="318"/>
      <c r="K532" s="319"/>
      <c r="L532" s="319"/>
      <c r="M532" s="319"/>
      <c r="N532" s="319"/>
      <c r="O532" s="319"/>
      <c r="P532" s="319"/>
      <c r="Q532" s="319"/>
      <c r="R532" s="319"/>
      <c r="S532" s="319"/>
      <c r="T532" s="319"/>
      <c r="U532" s="319"/>
    </row>
    <row r="533" spans="1:21" ht="19.5" x14ac:dyDescent="0.3">
      <c r="A533" s="349"/>
      <c r="B533" s="350" t="s">
        <v>210</v>
      </c>
      <c r="C533" s="351"/>
      <c r="D533" s="352"/>
      <c r="E533" s="352"/>
      <c r="F533" s="352"/>
      <c r="G533" s="353"/>
      <c r="H533" s="363" t="s">
        <v>61</v>
      </c>
      <c r="I533" s="355">
        <f t="shared" ref="I533:J533" ca="1" si="377">I544</f>
        <v>3</v>
      </c>
      <c r="J533" s="355">
        <f t="shared" ca="1" si="377"/>
        <v>0</v>
      </c>
      <c r="K533" s="356">
        <f ca="1">IF(I533&gt;0,J533*100/I533,0)</f>
        <v>0</v>
      </c>
      <c r="L533" s="357"/>
      <c r="M533" s="357"/>
      <c r="N533" s="357"/>
      <c r="O533" s="357"/>
      <c r="P533" s="357"/>
      <c r="Q533" s="357"/>
      <c r="R533" s="357"/>
      <c r="S533" s="357"/>
      <c r="T533" s="357"/>
      <c r="U533" s="357"/>
    </row>
    <row r="534" spans="1:21" ht="19.5" x14ac:dyDescent="0.3">
      <c r="A534" s="128"/>
      <c r="B534" s="40"/>
      <c r="C534" s="129" t="s">
        <v>18</v>
      </c>
      <c r="D534" s="130" t="s">
        <v>19</v>
      </c>
      <c r="E534" s="40"/>
      <c r="F534" s="40"/>
      <c r="G534" s="42"/>
      <c r="H534" s="131" t="s">
        <v>14</v>
      </c>
      <c r="I534" s="44"/>
      <c r="J534" s="44"/>
      <c r="K534" s="45"/>
      <c r="L534" s="132">
        <f t="shared" ref="L534:N534" ca="1" si="378">L535+L536</f>
        <v>2916000</v>
      </c>
      <c r="M534" s="132">
        <f t="shared" ca="1" si="378"/>
        <v>2916000</v>
      </c>
      <c r="N534" s="132">
        <f t="shared" ca="1" si="378"/>
        <v>0</v>
      </c>
      <c r="O534" s="132">
        <f t="shared" ref="O534:O542" ca="1" si="379">IF(L534&gt;0,N534*100/L534,0)</f>
        <v>0</v>
      </c>
      <c r="P534" s="132">
        <f t="shared" ref="P534:P542" ca="1" si="380">IF(M534&gt;0,N534*100/M534,0)</f>
        <v>0</v>
      </c>
      <c r="Q534" s="132">
        <f t="shared" ref="Q534:S534" ca="1" si="381">Q535+Q536</f>
        <v>0</v>
      </c>
      <c r="R534" s="132">
        <f t="shared" ca="1" si="381"/>
        <v>0</v>
      </c>
      <c r="S534" s="132">
        <f t="shared" ca="1" si="381"/>
        <v>0</v>
      </c>
      <c r="T534" s="132">
        <f t="shared" ref="T534:T542" ca="1" si="382">IF(Q534&gt;0,S534*100/Q534,0)</f>
        <v>0</v>
      </c>
      <c r="U534" s="132">
        <f t="shared" ref="U534:U542" ca="1" si="383">IF(R534&gt;0,S534*100/R534,0)</f>
        <v>0</v>
      </c>
    </row>
    <row r="535" spans="1:21" ht="18.75" x14ac:dyDescent="0.25">
      <c r="A535" s="128"/>
      <c r="B535" s="158"/>
      <c r="C535" s="40"/>
      <c r="D535" s="40"/>
      <c r="E535" s="156" t="s">
        <v>20</v>
      </c>
      <c r="F535" s="40"/>
      <c r="G535" s="42"/>
      <c r="H535" s="157" t="s">
        <v>14</v>
      </c>
      <c r="I535" s="44"/>
      <c r="J535" s="44"/>
      <c r="K535" s="45"/>
      <c r="L535" s="48">
        <f t="shared" ref="L535:N535" ca="1" si="384">L538+L541</f>
        <v>0</v>
      </c>
      <c r="M535" s="48">
        <f t="shared" ca="1" si="384"/>
        <v>0</v>
      </c>
      <c r="N535" s="48">
        <f t="shared" ca="1" si="384"/>
        <v>0</v>
      </c>
      <c r="O535" s="48">
        <f t="shared" ca="1" si="379"/>
        <v>0</v>
      </c>
      <c r="P535" s="48">
        <f t="shared" ca="1" si="380"/>
        <v>0</v>
      </c>
      <c r="Q535" s="48">
        <f t="shared" ref="Q535:S535" ca="1" si="385">Q538+Q541</f>
        <v>0</v>
      </c>
      <c r="R535" s="48">
        <f t="shared" ca="1" si="385"/>
        <v>0</v>
      </c>
      <c r="S535" s="48">
        <f t="shared" ca="1" si="385"/>
        <v>0</v>
      </c>
      <c r="T535" s="48">
        <f t="shared" ca="1" si="382"/>
        <v>0</v>
      </c>
      <c r="U535" s="48">
        <f t="shared" ca="1" si="383"/>
        <v>0</v>
      </c>
    </row>
    <row r="536" spans="1:21" ht="18.75" x14ac:dyDescent="0.25">
      <c r="A536" s="128"/>
      <c r="B536" s="40"/>
      <c r="C536" s="158"/>
      <c r="D536" s="40"/>
      <c r="E536" s="209" t="s">
        <v>21</v>
      </c>
      <c r="F536" s="40"/>
      <c r="G536" s="42"/>
      <c r="H536" s="133" t="s">
        <v>14</v>
      </c>
      <c r="I536" s="44"/>
      <c r="J536" s="44"/>
      <c r="K536" s="45"/>
      <c r="L536" s="46">
        <f t="shared" ref="L536:N536" ca="1" si="386">L539+L542</f>
        <v>2916000</v>
      </c>
      <c r="M536" s="46">
        <f t="shared" ca="1" si="386"/>
        <v>2916000</v>
      </c>
      <c r="N536" s="46">
        <f t="shared" ca="1" si="386"/>
        <v>0</v>
      </c>
      <c r="O536" s="46">
        <f t="shared" ca="1" si="379"/>
        <v>0</v>
      </c>
      <c r="P536" s="46">
        <f t="shared" ca="1" si="380"/>
        <v>0</v>
      </c>
      <c r="Q536" s="46">
        <f t="shared" ref="Q536:S536" ca="1" si="387">Q539+Q542</f>
        <v>0</v>
      </c>
      <c r="R536" s="46">
        <f t="shared" ca="1" si="387"/>
        <v>0</v>
      </c>
      <c r="S536" s="46">
        <f t="shared" ca="1" si="387"/>
        <v>0</v>
      </c>
      <c r="T536" s="46">
        <f t="shared" ca="1" si="382"/>
        <v>0</v>
      </c>
      <c r="U536" s="46">
        <f t="shared" ca="1" si="383"/>
        <v>0</v>
      </c>
    </row>
    <row r="537" spans="1:21" ht="18.75" x14ac:dyDescent="0.25">
      <c r="A537" s="128"/>
      <c r="B537" s="40"/>
      <c r="C537" s="158"/>
      <c r="D537" s="41" t="s">
        <v>22</v>
      </c>
      <c r="E537" s="158"/>
      <c r="F537" s="40"/>
      <c r="G537" s="42"/>
      <c r="H537" s="134" t="s">
        <v>14</v>
      </c>
      <c r="I537" s="135"/>
      <c r="J537" s="135"/>
      <c r="K537" s="136"/>
      <c r="L537" s="46">
        <f t="shared" ref="L537:N537" ca="1" si="388">L538+L539</f>
        <v>0</v>
      </c>
      <c r="M537" s="46">
        <f t="shared" ca="1" si="388"/>
        <v>0</v>
      </c>
      <c r="N537" s="46">
        <f t="shared" ca="1" si="388"/>
        <v>0</v>
      </c>
      <c r="O537" s="46">
        <f t="shared" ca="1" si="379"/>
        <v>0</v>
      </c>
      <c r="P537" s="46">
        <f t="shared" ca="1" si="380"/>
        <v>0</v>
      </c>
      <c r="Q537" s="46">
        <f t="shared" ref="Q537:S537" ca="1" si="389">Q538+Q539</f>
        <v>0</v>
      </c>
      <c r="R537" s="46">
        <f t="shared" ca="1" si="389"/>
        <v>0</v>
      </c>
      <c r="S537" s="46">
        <f t="shared" ca="1" si="389"/>
        <v>0</v>
      </c>
      <c r="T537" s="46">
        <f t="shared" ca="1" si="382"/>
        <v>0</v>
      </c>
      <c r="U537" s="46">
        <f t="shared" ca="1" si="383"/>
        <v>0</v>
      </c>
    </row>
    <row r="538" spans="1:21" ht="18.75" x14ac:dyDescent="0.25">
      <c r="A538" s="128"/>
      <c r="B538" s="40"/>
      <c r="C538" s="40"/>
      <c r="D538" s="40"/>
      <c r="E538" s="156" t="s">
        <v>36</v>
      </c>
      <c r="F538" s="40"/>
      <c r="G538" s="42"/>
      <c r="H538" s="159" t="s">
        <v>14</v>
      </c>
      <c r="I538" s="135"/>
      <c r="J538" s="135"/>
      <c r="K538" s="136"/>
      <c r="L538" s="48">
        <f ca="1">IFERROR(__xludf.DUMMYFUNCTION("IMPORTRANGE(""https://docs.google.com/spreadsheets/d/1jTcq05yEiRwXcBMLjiodW9e4biSGYWAHcDj22rKWQ3s/edit?usp=sharing"",""กำแพงเพชร!L538"")+IMPORTRANGE(""https://docs.google.com/spreadsheets/d/1KS0zmDSZPk8KnTAbGN-Xk6MtX1YRZD0ldgdt20K4CRk/edit?usp=sharing"","&amp;"""เชียงราย!L538"")+IMPORTRANGE(""https://docs.google.com/spreadsheets/d/1rEDxBtusbi64tE0zunoIbsTVV16HeL0oJ6trHQeQ7K8/edit?usp=sharing"",""เชียงใหม่!L538"")+IMPORTRANGE(""https://docs.google.com/spreadsheets/d/1W6MnUbDkMi6xHnHko_XkFDO9kkuL6Wqyc-6OCDFjW9I/e"&amp;"dit?usp=sharing"",""ตาก!L538"")+IMPORTRANGE(""https://docs.google.com/spreadsheets/d/1IQAWArduLkta9LpYo4a_ULsyqdta6-6aDDiwpUnQT6c/edit?usp=sharing"",""นครสวรรค์!L538"")+IMPORTRANGE(""https://docs.google.com/spreadsheets/d/10s13Sk5xrltsiR-Zkbmk5DwIaDIKO8Xl"&amp;"bJAfqyT7Gvg/edit?usp=sharing"",""น่าน!L538"")+IMPORTRANGE(""https://docs.google.com/spreadsheets/d/1uu4nAn4Dbi1XREnLKKotUANlKXa7yCgRcgq8HEzQYW8/edit?usp=sharing"",""พะเยา!L538"")+IMPORTRANGE(""https://docs.google.com/spreadsheets/d/1xfJKIQxVOaPDIICqsflNlL"&amp;"u3JacTDk1FP9RH4phX7mI/edit?usp=sharing"",""พิจิตร!L538"")+IMPORTRANGE(""https://docs.google.com/spreadsheets/d/1JtRfZkJMHtEhI5RdRHxYUG4FIZHqKDpNyIuN7A1Q0_k/edit?usp=sharing"",""พิษณุโลก!L538"")+IMPORTRANGE(""https://docs.google.com/spreadsheets/d/1xlcVZWU"&amp;"Nn6SuWm0c307h32SiGkd9BaeQWlAktfD3KO8/edit?usp=sharing"",""เพชรบูรณ์!L538"")+IMPORTRANGE(""https://docs.google.com/spreadsheets/d/1lOVebEIsI9qjGXl6EX66luk7wiuP2tBaryw-wKvv4e0/edit?usp=sharing"",""แพร่!L538"")+IMPORTRANGE(""https://docs.google.com/spreadshe"&amp;"ets/d/1dQrvX0vEcN7Gu0fnZ0B5S90AeR19zth4XlExFBeExMY/edit?usp=sharing"",""แม่ฮ่องสอน!L538"")+IMPORTRANGE(""https://docs.google.com/spreadsheets/d/1DY4XTNNwjluuxqdfdn6qvOSlMRrZqUtmYcZR0ttFiG4/edit?usp=sharing"",""ลำปาง!L538"")+IMPORTRANGE(""https://docs.goog"&amp;"le.com/spreadsheets/d/1ICwG78r0OFT8biBlxnBF8r7she7gNSzOvJ958PWT09c/edit?usp=sharing"",""ลำพูน!L538"")+IMPORTRANGE(""https://docs.google.com/spreadsheets/d/1B0f2xJpZUC6Z0xXnqKlZtEPzsf6L84eP1r1Q15seqRM/edit?usp=sharing"",""สุโขทัย!L538"")+IMPORTRANGE(""http"&amp;"s://docs.google.com/spreadsheets/d/1v0b9pFQCsKUVExMei7AgY2yQkdeNQvtOssygGsXbiKo/edit?usp=sharing"",""อุตรดิตถ์!L538"")+IMPORTRANGE(""https://docs.google.com/spreadsheets/d/1UsNK1e-WWiCo2PvGqdNfdme4m17_Ezd3J69EeeiQPD0/edit?usp=sharing"",""อุทัยธานี!L538"")"),0)</f>
        <v>0</v>
      </c>
      <c r="M538" s="48">
        <f ca="1">IFERROR(__xludf.DUMMYFUNCTION("IMPORTRANGE(""https://docs.google.com/spreadsheets/d/1jTcq05yEiRwXcBMLjiodW9e4biSGYWAHcDj22rKWQ3s/edit?usp=sharing"",""กำแพงเพชร!M538"")+IMPORTRANGE(""https://docs.google.com/spreadsheets/d/1KS0zmDSZPk8KnTAbGN-Xk6MtX1YRZD0ldgdt20K4CRk/edit?usp=sharing"","&amp;"""เชียงราย!M538"")+IMPORTRANGE(""https://docs.google.com/spreadsheets/d/1rEDxBtusbi64tE0zunoIbsTVV16HeL0oJ6trHQeQ7K8/edit?usp=sharing"",""เชียงใหม่!M538"")+IMPORTRANGE(""https://docs.google.com/spreadsheets/d/1W6MnUbDkMi6xHnHko_XkFDO9kkuL6Wqyc-6OCDFjW9I/e"&amp;"dit?usp=sharing"",""ตาก!M538"")+IMPORTRANGE(""https://docs.google.com/spreadsheets/d/1IQAWArduLkta9LpYo4a_ULsyqdta6-6aDDiwpUnQT6c/edit?usp=sharing"",""นครสวรรค์!M538"")+IMPORTRANGE(""https://docs.google.com/spreadsheets/d/10s13Sk5xrltsiR-Zkbmk5DwIaDIKO8Xl"&amp;"bJAfqyT7Gvg/edit?usp=sharing"",""น่าน!M538"")+IMPORTRANGE(""https://docs.google.com/spreadsheets/d/1uu4nAn4Dbi1XREnLKKotUANlKXa7yCgRcgq8HEzQYW8/edit?usp=sharing"",""พะเยา!M538"")+IMPORTRANGE(""https://docs.google.com/spreadsheets/d/1xfJKIQxVOaPDIICqsflNlL"&amp;"u3JacTDk1FP9RH4phX7mI/edit?usp=sharing"",""พิจิตร!M538"")+IMPORTRANGE(""https://docs.google.com/spreadsheets/d/1JtRfZkJMHtEhI5RdRHxYUG4FIZHqKDpNyIuN7A1Q0_k/edit?usp=sharing"",""พิษณุโลก!M538"")+IMPORTRANGE(""https://docs.google.com/spreadsheets/d/1xlcVZWU"&amp;"Nn6SuWm0c307h32SiGkd9BaeQWlAktfD3KO8/edit?usp=sharing"",""เพชรบูรณ์!M538"")+IMPORTRANGE(""https://docs.google.com/spreadsheets/d/1lOVebEIsI9qjGXl6EX66luk7wiuP2tBaryw-wKvv4e0/edit?usp=sharing"",""แพร่!M538"")+IMPORTRANGE(""https://docs.google.com/spreadshe"&amp;"ets/d/1dQrvX0vEcN7Gu0fnZ0B5S90AeR19zth4XlExFBeExMY/edit?usp=sharing"",""แม่ฮ่องสอน!M538"")+IMPORTRANGE(""https://docs.google.com/spreadsheets/d/1DY4XTNNwjluuxqdfdn6qvOSlMRrZqUtmYcZR0ttFiG4/edit?usp=sharing"",""ลำปาง!M538"")+IMPORTRANGE(""https://docs.goog"&amp;"le.com/spreadsheets/d/1ICwG78r0OFT8biBlxnBF8r7she7gNSzOvJ958PWT09c/edit?usp=sharing"",""ลำพูน!M538"")+IMPORTRANGE(""https://docs.google.com/spreadsheets/d/1B0f2xJpZUC6Z0xXnqKlZtEPzsf6L84eP1r1Q15seqRM/edit?usp=sharing"",""สุโขทัย!M538"")+IMPORTRANGE(""http"&amp;"s://docs.google.com/spreadsheets/d/1v0b9pFQCsKUVExMei7AgY2yQkdeNQvtOssygGsXbiKo/edit?usp=sharing"",""อุตรดิตถ์!M538"")+IMPORTRANGE(""https://docs.google.com/spreadsheets/d/1UsNK1e-WWiCo2PvGqdNfdme4m17_Ezd3J69EeeiQPD0/edit?usp=sharing"",""อุทัยธานี!M538"")"),0)</f>
        <v>0</v>
      </c>
      <c r="N538" s="48">
        <f ca="1">IFERROR(__xludf.DUMMYFUNCTION("IMPORTRANGE(""https://docs.google.com/spreadsheets/d/1jTcq05yEiRwXcBMLjiodW9e4biSGYWAHcDj22rKWQ3s/edit?usp=sharing"",""กำแพงเพชร!N538"")+IMPORTRANGE(""https://docs.google.com/spreadsheets/d/1KS0zmDSZPk8KnTAbGN-Xk6MtX1YRZD0ldgdt20K4CRk/edit?usp=sharing"","&amp;"""เชียงราย!N538"")+IMPORTRANGE(""https://docs.google.com/spreadsheets/d/1rEDxBtusbi64tE0zunoIbsTVV16HeL0oJ6trHQeQ7K8/edit?usp=sharing"",""เชียงใหม่!N538"")+IMPORTRANGE(""https://docs.google.com/spreadsheets/d/1W6MnUbDkMi6xHnHko_XkFDO9kkuL6Wqyc-6OCDFjW9I/e"&amp;"dit?usp=sharing"",""ตาก!N538"")+IMPORTRANGE(""https://docs.google.com/spreadsheets/d/1IQAWArduLkta9LpYo4a_ULsyqdta6-6aDDiwpUnQT6c/edit?usp=sharing"",""นครสวรรค์!N538"")+IMPORTRANGE(""https://docs.google.com/spreadsheets/d/10s13Sk5xrltsiR-Zkbmk5DwIaDIKO8Xl"&amp;"bJAfqyT7Gvg/edit?usp=sharing"",""น่าน!N538"")+IMPORTRANGE(""https://docs.google.com/spreadsheets/d/1uu4nAn4Dbi1XREnLKKotUANlKXa7yCgRcgq8HEzQYW8/edit?usp=sharing"",""พะเยา!N538"")+IMPORTRANGE(""https://docs.google.com/spreadsheets/d/1xfJKIQxVOaPDIICqsflNlL"&amp;"u3JacTDk1FP9RH4phX7mI/edit?usp=sharing"",""พิจิตร!N538"")+IMPORTRANGE(""https://docs.google.com/spreadsheets/d/1JtRfZkJMHtEhI5RdRHxYUG4FIZHqKDpNyIuN7A1Q0_k/edit?usp=sharing"",""พิษณุโลก!N538"")+IMPORTRANGE(""https://docs.google.com/spreadsheets/d/1xlcVZWU"&amp;"Nn6SuWm0c307h32SiGkd9BaeQWlAktfD3KO8/edit?usp=sharing"",""เพชรบูรณ์!N538"")+IMPORTRANGE(""https://docs.google.com/spreadsheets/d/1lOVebEIsI9qjGXl6EX66luk7wiuP2tBaryw-wKvv4e0/edit?usp=sharing"",""แพร่!N538"")+IMPORTRANGE(""https://docs.google.com/spreadshe"&amp;"ets/d/1dQrvX0vEcN7Gu0fnZ0B5S90AeR19zth4XlExFBeExMY/edit?usp=sharing"",""แม่ฮ่องสอน!N538"")+IMPORTRANGE(""https://docs.google.com/spreadsheets/d/1DY4XTNNwjluuxqdfdn6qvOSlMRrZqUtmYcZR0ttFiG4/edit?usp=sharing"",""ลำปาง!N538"")+IMPORTRANGE(""https://docs.goog"&amp;"le.com/spreadsheets/d/1ICwG78r0OFT8biBlxnBF8r7she7gNSzOvJ958PWT09c/edit?usp=sharing"",""ลำพูน!N538"")+IMPORTRANGE(""https://docs.google.com/spreadsheets/d/1B0f2xJpZUC6Z0xXnqKlZtEPzsf6L84eP1r1Q15seqRM/edit?usp=sharing"",""สุโขทัย!N538"")+IMPORTRANGE(""http"&amp;"s://docs.google.com/spreadsheets/d/1v0b9pFQCsKUVExMei7AgY2yQkdeNQvtOssygGsXbiKo/edit?usp=sharing"",""อุตรดิตถ์!N538"")+IMPORTRANGE(""https://docs.google.com/spreadsheets/d/1UsNK1e-WWiCo2PvGqdNfdme4m17_Ezd3J69EeeiQPD0/edit?usp=sharing"",""อุทัยธานี!N538"")"),0)</f>
        <v>0</v>
      </c>
      <c r="O538" s="48">
        <f t="shared" ca="1" si="379"/>
        <v>0</v>
      </c>
      <c r="P538" s="48">
        <f t="shared" ca="1" si="380"/>
        <v>0</v>
      </c>
      <c r="Q538" s="48">
        <f ca="1">IFERROR(__xludf.DUMMYFUNCTION("IMPORTRANGE(""https://docs.google.com/spreadsheets/d/1jTcq05yEiRwXcBMLjiodW9e4biSGYWAHcDj22rKWQ3s/edit?usp=sharing"",""กำแพงเพชร!Q538"")+IMPORTRANGE(""https://docs.google.com/spreadsheets/d/1KS0zmDSZPk8KnTAbGN-Xk6MtX1YRZD0ldgdt20K4CRk/edit?usp=sharing"","&amp;"""เชียงราย!Q538"")+IMPORTRANGE(""https://docs.google.com/spreadsheets/d/1rEDxBtusbi64tE0zunoIbsTVV16HeL0oJ6trHQeQ7K8/edit?usp=sharing"",""เชียงใหม่!Q538"")+IMPORTRANGE(""https://docs.google.com/spreadsheets/d/1W6MnUbDkMi6xHnHko_XkFDO9kkuL6Wqyc-6OCDFjW9I/e"&amp;"dit?usp=sharing"",""ตาก!Q538"")+IMPORTRANGE(""https://docs.google.com/spreadsheets/d/1IQAWArduLkta9LpYo4a_ULsyqdta6-6aDDiwpUnQT6c/edit?usp=sharing"",""นครสวรรค์!Q538"")+IMPORTRANGE(""https://docs.google.com/spreadsheets/d/10s13Sk5xrltsiR-Zkbmk5DwIaDIKO8Xl"&amp;"bJAfqyT7Gvg/edit?usp=sharing"",""น่าน!Q538"")+IMPORTRANGE(""https://docs.google.com/spreadsheets/d/1uu4nAn4Dbi1XREnLKKotUANlKXa7yCgRcgq8HEzQYW8/edit?usp=sharing"",""พะเยา!Q538"")+IMPORTRANGE(""https://docs.google.com/spreadsheets/d/1xfJKIQxVOaPDIICqsflNlL"&amp;"u3JacTDk1FP9RH4phX7mI/edit?usp=sharing"",""พิจิตร!Q538"")+IMPORTRANGE(""https://docs.google.com/spreadsheets/d/1JtRfZkJMHtEhI5RdRHxYUG4FIZHqKDpNyIuN7A1Q0_k/edit?usp=sharing"",""พิษณุโลก!Q538"")+IMPORTRANGE(""https://docs.google.com/spreadsheets/d/1xlcVZWU"&amp;"Nn6SuWm0c307h32SiGkd9BaeQWlAktfD3KO8/edit?usp=sharing"",""เพชรบูรณ์!Q538"")+IMPORTRANGE(""https://docs.google.com/spreadsheets/d/1lOVebEIsI9qjGXl6EX66luk7wiuP2tBaryw-wKvv4e0/edit?usp=sharing"",""แพร่!Q538"")+IMPORTRANGE(""https://docs.google.com/spreadshe"&amp;"ets/d/1dQrvX0vEcN7Gu0fnZ0B5S90AeR19zth4XlExFBeExMY/edit?usp=sharing"",""แม่ฮ่องสอน!Q538"")+IMPORTRANGE(""https://docs.google.com/spreadsheets/d/1DY4XTNNwjluuxqdfdn6qvOSlMRrZqUtmYcZR0ttFiG4/edit?usp=sharing"",""ลำปาง!Q538"")+IMPORTRANGE(""https://docs.goog"&amp;"le.com/spreadsheets/d/1ICwG78r0OFT8biBlxnBF8r7she7gNSzOvJ958PWT09c/edit?usp=sharing"",""ลำพูน!Q538"")+IMPORTRANGE(""https://docs.google.com/spreadsheets/d/1B0f2xJpZUC6Z0xXnqKlZtEPzsf6L84eP1r1Q15seqRM/edit?usp=sharing"",""สุโขทัย!Q538"")+IMPORTRANGE(""http"&amp;"s://docs.google.com/spreadsheets/d/1v0b9pFQCsKUVExMei7AgY2yQkdeNQvtOssygGsXbiKo/edit?usp=sharing"",""อุตรดิตถ์!Q538"")+IMPORTRANGE(""https://docs.google.com/spreadsheets/d/1UsNK1e-WWiCo2PvGqdNfdme4m17_Ezd3J69EeeiQPD0/edit?usp=sharing"",""อุทัยธานี!Q538"")"),0)</f>
        <v>0</v>
      </c>
      <c r="R538" s="48">
        <f ca="1">IFERROR(__xludf.DUMMYFUNCTION("IMPORTRANGE(""https://docs.google.com/spreadsheets/d/1jTcq05yEiRwXcBMLjiodW9e4biSGYWAHcDj22rKWQ3s/edit?usp=sharing"",""กำแพงเพชร!R538"")+IMPORTRANGE(""https://docs.google.com/spreadsheets/d/1KS0zmDSZPk8KnTAbGN-Xk6MtX1YRZD0ldgdt20K4CRk/edit?usp=sharing"","&amp;"""เชียงราย!R538"")+IMPORTRANGE(""https://docs.google.com/spreadsheets/d/1rEDxBtusbi64tE0zunoIbsTVV16HeL0oJ6trHQeQ7K8/edit?usp=sharing"",""เชียงใหม่!R538"")+IMPORTRANGE(""https://docs.google.com/spreadsheets/d/1W6MnUbDkMi6xHnHko_XkFDO9kkuL6Wqyc-6OCDFjW9I/e"&amp;"dit?usp=sharing"",""ตาก!R538"")+IMPORTRANGE(""https://docs.google.com/spreadsheets/d/1IQAWArduLkta9LpYo4a_ULsyqdta6-6aDDiwpUnQT6c/edit?usp=sharing"",""นครสวรรค์!R538"")+IMPORTRANGE(""https://docs.google.com/spreadsheets/d/10s13Sk5xrltsiR-Zkbmk5DwIaDIKO8Xl"&amp;"bJAfqyT7Gvg/edit?usp=sharing"",""น่าน!R538"")+IMPORTRANGE(""https://docs.google.com/spreadsheets/d/1uu4nAn4Dbi1XREnLKKotUANlKXa7yCgRcgq8HEzQYW8/edit?usp=sharing"",""พะเยา!R538"")+IMPORTRANGE(""https://docs.google.com/spreadsheets/d/1xfJKIQxVOaPDIICqsflNlL"&amp;"u3JacTDk1FP9RH4phX7mI/edit?usp=sharing"",""พิจิตร!R538"")+IMPORTRANGE(""https://docs.google.com/spreadsheets/d/1JtRfZkJMHtEhI5RdRHxYUG4FIZHqKDpNyIuN7A1Q0_k/edit?usp=sharing"",""พิษณุโลก!R538"")+IMPORTRANGE(""https://docs.google.com/spreadsheets/d/1xlcVZWU"&amp;"Nn6SuWm0c307h32SiGkd9BaeQWlAktfD3KO8/edit?usp=sharing"",""เพชรบูรณ์!R538"")+IMPORTRANGE(""https://docs.google.com/spreadsheets/d/1lOVebEIsI9qjGXl6EX66luk7wiuP2tBaryw-wKvv4e0/edit?usp=sharing"",""แพร่!R538"")+IMPORTRANGE(""https://docs.google.com/spreadshe"&amp;"ets/d/1dQrvX0vEcN7Gu0fnZ0B5S90AeR19zth4XlExFBeExMY/edit?usp=sharing"",""แม่ฮ่องสอน!R538"")+IMPORTRANGE(""https://docs.google.com/spreadsheets/d/1DY4XTNNwjluuxqdfdn6qvOSlMRrZqUtmYcZR0ttFiG4/edit?usp=sharing"",""ลำปาง!R538"")+IMPORTRANGE(""https://docs.goog"&amp;"le.com/spreadsheets/d/1ICwG78r0OFT8biBlxnBF8r7she7gNSzOvJ958PWT09c/edit?usp=sharing"",""ลำพูน!R538"")+IMPORTRANGE(""https://docs.google.com/spreadsheets/d/1B0f2xJpZUC6Z0xXnqKlZtEPzsf6L84eP1r1Q15seqRM/edit?usp=sharing"",""สุโขทัย!R538"")+IMPORTRANGE(""http"&amp;"s://docs.google.com/spreadsheets/d/1v0b9pFQCsKUVExMei7AgY2yQkdeNQvtOssygGsXbiKo/edit?usp=sharing"",""อุตรดิตถ์!R538"")+IMPORTRANGE(""https://docs.google.com/spreadsheets/d/1UsNK1e-WWiCo2PvGqdNfdme4m17_Ezd3J69EeeiQPD0/edit?usp=sharing"",""อุทัยธานี!R538"")"),0)</f>
        <v>0</v>
      </c>
      <c r="S538" s="48">
        <f ca="1">IFERROR(__xludf.DUMMYFUNCTION("IMPORTRANGE(""https://docs.google.com/spreadsheets/d/1jTcq05yEiRwXcBMLjiodW9e4biSGYWAHcDj22rKWQ3s/edit?usp=sharing"",""กำแพงเพชร!S538"")+IMPORTRANGE(""https://docs.google.com/spreadsheets/d/1KS0zmDSZPk8KnTAbGN-Xk6MtX1YRZD0ldgdt20K4CRk/edit?usp=sharing"","&amp;"""เชียงราย!S538"")+IMPORTRANGE(""https://docs.google.com/spreadsheets/d/1rEDxBtusbi64tE0zunoIbsTVV16HeL0oJ6trHQeQ7K8/edit?usp=sharing"",""เชียงใหม่!S538"")+IMPORTRANGE(""https://docs.google.com/spreadsheets/d/1W6MnUbDkMi6xHnHko_XkFDO9kkuL6Wqyc-6OCDFjW9I/e"&amp;"dit?usp=sharing"",""ตาก!S538"")+IMPORTRANGE(""https://docs.google.com/spreadsheets/d/1IQAWArduLkta9LpYo4a_ULsyqdta6-6aDDiwpUnQT6c/edit?usp=sharing"",""นครสวรรค์!S538"")+IMPORTRANGE(""https://docs.google.com/spreadsheets/d/10s13Sk5xrltsiR-Zkbmk5DwIaDIKO8Xl"&amp;"bJAfqyT7Gvg/edit?usp=sharing"",""น่าน!S538"")+IMPORTRANGE(""https://docs.google.com/spreadsheets/d/1uu4nAn4Dbi1XREnLKKotUANlKXa7yCgRcgq8HEzQYW8/edit?usp=sharing"",""พะเยา!S538"")+IMPORTRANGE(""https://docs.google.com/spreadsheets/d/1xfJKIQxVOaPDIICqsflNlL"&amp;"u3JacTDk1FP9RH4phX7mI/edit?usp=sharing"",""พิจิตร!S538"")+IMPORTRANGE(""https://docs.google.com/spreadsheets/d/1JtRfZkJMHtEhI5RdRHxYUG4FIZHqKDpNyIuN7A1Q0_k/edit?usp=sharing"",""พิษณุโลก!S538"")+IMPORTRANGE(""https://docs.google.com/spreadsheets/d/1xlcVZWU"&amp;"Nn6SuWm0c307h32SiGkd9BaeQWlAktfD3KO8/edit?usp=sharing"",""เพชรบูรณ์!S538"")+IMPORTRANGE(""https://docs.google.com/spreadsheets/d/1lOVebEIsI9qjGXl6EX66luk7wiuP2tBaryw-wKvv4e0/edit?usp=sharing"",""แพร่!S538"")+IMPORTRANGE(""https://docs.google.com/spreadshe"&amp;"ets/d/1dQrvX0vEcN7Gu0fnZ0B5S90AeR19zth4XlExFBeExMY/edit?usp=sharing"",""แม่ฮ่องสอน!S538"")+IMPORTRANGE(""https://docs.google.com/spreadsheets/d/1DY4XTNNwjluuxqdfdn6qvOSlMRrZqUtmYcZR0ttFiG4/edit?usp=sharing"",""ลำปาง!S538"")+IMPORTRANGE(""https://docs.goog"&amp;"le.com/spreadsheets/d/1ICwG78r0OFT8biBlxnBF8r7she7gNSzOvJ958PWT09c/edit?usp=sharing"",""ลำพูน!S538"")+IMPORTRANGE(""https://docs.google.com/spreadsheets/d/1B0f2xJpZUC6Z0xXnqKlZtEPzsf6L84eP1r1Q15seqRM/edit?usp=sharing"",""สุโขทัย!S538"")+IMPORTRANGE(""http"&amp;"s://docs.google.com/spreadsheets/d/1v0b9pFQCsKUVExMei7AgY2yQkdeNQvtOssygGsXbiKo/edit?usp=sharing"",""อุตรดิตถ์!S538"")+IMPORTRANGE(""https://docs.google.com/spreadsheets/d/1UsNK1e-WWiCo2PvGqdNfdme4m17_Ezd3J69EeeiQPD0/edit?usp=sharing"",""อุทัยธานี!S538"")"),0)</f>
        <v>0</v>
      </c>
      <c r="T538" s="48">
        <f t="shared" ca="1" si="382"/>
        <v>0</v>
      </c>
      <c r="U538" s="48">
        <f t="shared" ca="1" si="383"/>
        <v>0</v>
      </c>
    </row>
    <row r="539" spans="1:21" ht="18.75" x14ac:dyDescent="0.25">
      <c r="A539" s="128"/>
      <c r="B539" s="40"/>
      <c r="C539" s="40"/>
      <c r="D539" s="40"/>
      <c r="E539" s="47" t="s">
        <v>37</v>
      </c>
      <c r="F539" s="40"/>
      <c r="G539" s="42"/>
      <c r="H539" s="134" t="s">
        <v>14</v>
      </c>
      <c r="I539" s="135"/>
      <c r="J539" s="135"/>
      <c r="K539" s="136"/>
      <c r="L539" s="46">
        <f ca="1">IFERROR(__xludf.DUMMYFUNCTION("IMPORTRANGE(""https://docs.google.com/spreadsheets/d/1jTcq05yEiRwXcBMLjiodW9e4biSGYWAHcDj22rKWQ3s/edit?usp=sharing"",""กำแพงเพชร!L539"")+IMPORTRANGE(""https://docs.google.com/spreadsheets/d/1KS0zmDSZPk8KnTAbGN-Xk6MtX1YRZD0ldgdt20K4CRk/edit?usp=sharing"","&amp;"""เชียงราย!L539"")+IMPORTRANGE(""https://docs.google.com/spreadsheets/d/1rEDxBtusbi64tE0zunoIbsTVV16HeL0oJ6trHQeQ7K8/edit?usp=sharing"",""เชียงใหม่!L539"")+IMPORTRANGE(""https://docs.google.com/spreadsheets/d/1W6MnUbDkMi6xHnHko_XkFDO9kkuL6Wqyc-6OCDFjW9I/e"&amp;"dit?usp=sharing"",""ตาก!L539"")+IMPORTRANGE(""https://docs.google.com/spreadsheets/d/1IQAWArduLkta9LpYo4a_ULsyqdta6-6aDDiwpUnQT6c/edit?usp=sharing"",""นครสวรรค์!L539"")+IMPORTRANGE(""https://docs.google.com/spreadsheets/d/10s13Sk5xrltsiR-Zkbmk5DwIaDIKO8Xl"&amp;"bJAfqyT7Gvg/edit?usp=sharing"",""น่าน!L539"")+IMPORTRANGE(""https://docs.google.com/spreadsheets/d/1uu4nAn4Dbi1XREnLKKotUANlKXa7yCgRcgq8HEzQYW8/edit?usp=sharing"",""พะเยา!L539"")+IMPORTRANGE(""https://docs.google.com/spreadsheets/d/1xfJKIQxVOaPDIICqsflNlL"&amp;"u3JacTDk1FP9RH4phX7mI/edit?usp=sharing"",""พิจิตร!L539"")+IMPORTRANGE(""https://docs.google.com/spreadsheets/d/1JtRfZkJMHtEhI5RdRHxYUG4FIZHqKDpNyIuN7A1Q0_k/edit?usp=sharing"",""พิษณุโลก!L539"")+IMPORTRANGE(""https://docs.google.com/spreadsheets/d/1xlcVZWU"&amp;"Nn6SuWm0c307h32SiGkd9BaeQWlAktfD3KO8/edit?usp=sharing"",""เพชรบูรณ์!L539"")+IMPORTRANGE(""https://docs.google.com/spreadsheets/d/1lOVebEIsI9qjGXl6EX66luk7wiuP2tBaryw-wKvv4e0/edit?usp=sharing"",""แพร่!L539"")+IMPORTRANGE(""https://docs.google.com/spreadshe"&amp;"ets/d/1dQrvX0vEcN7Gu0fnZ0B5S90AeR19zth4XlExFBeExMY/edit?usp=sharing"",""แม่ฮ่องสอน!L539"")+IMPORTRANGE(""https://docs.google.com/spreadsheets/d/1DY4XTNNwjluuxqdfdn6qvOSlMRrZqUtmYcZR0ttFiG4/edit?usp=sharing"",""ลำปาง!L539"")+IMPORTRANGE(""https://docs.goog"&amp;"le.com/spreadsheets/d/1ICwG78r0OFT8biBlxnBF8r7she7gNSzOvJ958PWT09c/edit?usp=sharing"",""ลำพูน!L539"")+IMPORTRANGE(""https://docs.google.com/spreadsheets/d/1B0f2xJpZUC6Z0xXnqKlZtEPzsf6L84eP1r1Q15seqRM/edit?usp=sharing"",""สุโขทัย!L539"")+IMPORTRANGE(""http"&amp;"s://docs.google.com/spreadsheets/d/1v0b9pFQCsKUVExMei7AgY2yQkdeNQvtOssygGsXbiKo/edit?usp=sharing"",""อุตรดิตถ์!L539"")+IMPORTRANGE(""https://docs.google.com/spreadsheets/d/1UsNK1e-WWiCo2PvGqdNfdme4m17_Ezd3J69EeeiQPD0/edit?usp=sharing"",""อุทัยธานี!L539"")"),0)</f>
        <v>0</v>
      </c>
      <c r="M539" s="46">
        <f ca="1">IFERROR(__xludf.DUMMYFUNCTION("IMPORTRANGE(""https://docs.google.com/spreadsheets/d/1jTcq05yEiRwXcBMLjiodW9e4biSGYWAHcDj22rKWQ3s/edit?usp=sharing"",""กำแพงเพชร!M539"")+IMPORTRANGE(""https://docs.google.com/spreadsheets/d/1KS0zmDSZPk8KnTAbGN-Xk6MtX1YRZD0ldgdt20K4CRk/edit?usp=sharing"","&amp;"""เชียงราย!M539"")+IMPORTRANGE(""https://docs.google.com/spreadsheets/d/1rEDxBtusbi64tE0zunoIbsTVV16HeL0oJ6trHQeQ7K8/edit?usp=sharing"",""เชียงใหม่!M539"")+IMPORTRANGE(""https://docs.google.com/spreadsheets/d/1W6MnUbDkMi6xHnHko_XkFDO9kkuL6Wqyc-6OCDFjW9I/e"&amp;"dit?usp=sharing"",""ตาก!M539"")+IMPORTRANGE(""https://docs.google.com/spreadsheets/d/1IQAWArduLkta9LpYo4a_ULsyqdta6-6aDDiwpUnQT6c/edit?usp=sharing"",""นครสวรรค์!M539"")+IMPORTRANGE(""https://docs.google.com/spreadsheets/d/10s13Sk5xrltsiR-Zkbmk5DwIaDIKO8Xl"&amp;"bJAfqyT7Gvg/edit?usp=sharing"",""น่าน!M539"")+IMPORTRANGE(""https://docs.google.com/spreadsheets/d/1uu4nAn4Dbi1XREnLKKotUANlKXa7yCgRcgq8HEzQYW8/edit?usp=sharing"",""พะเยา!M539"")+IMPORTRANGE(""https://docs.google.com/spreadsheets/d/1xfJKIQxVOaPDIICqsflNlL"&amp;"u3JacTDk1FP9RH4phX7mI/edit?usp=sharing"",""พิจิตร!M539"")+IMPORTRANGE(""https://docs.google.com/spreadsheets/d/1JtRfZkJMHtEhI5RdRHxYUG4FIZHqKDpNyIuN7A1Q0_k/edit?usp=sharing"",""พิษณุโลก!M539"")+IMPORTRANGE(""https://docs.google.com/spreadsheets/d/1xlcVZWU"&amp;"Nn6SuWm0c307h32SiGkd9BaeQWlAktfD3KO8/edit?usp=sharing"",""เพชรบูรณ์!M539"")+IMPORTRANGE(""https://docs.google.com/spreadsheets/d/1lOVebEIsI9qjGXl6EX66luk7wiuP2tBaryw-wKvv4e0/edit?usp=sharing"",""แพร่!M539"")+IMPORTRANGE(""https://docs.google.com/spreadshe"&amp;"ets/d/1dQrvX0vEcN7Gu0fnZ0B5S90AeR19zth4XlExFBeExMY/edit?usp=sharing"",""แม่ฮ่องสอน!M539"")+IMPORTRANGE(""https://docs.google.com/spreadsheets/d/1DY4XTNNwjluuxqdfdn6qvOSlMRrZqUtmYcZR0ttFiG4/edit?usp=sharing"",""ลำปาง!M539"")+IMPORTRANGE(""https://docs.goog"&amp;"le.com/spreadsheets/d/1ICwG78r0OFT8biBlxnBF8r7she7gNSzOvJ958PWT09c/edit?usp=sharing"",""ลำพูน!M539"")+IMPORTRANGE(""https://docs.google.com/spreadsheets/d/1B0f2xJpZUC6Z0xXnqKlZtEPzsf6L84eP1r1Q15seqRM/edit?usp=sharing"",""สุโขทัย!M539"")+IMPORTRANGE(""http"&amp;"s://docs.google.com/spreadsheets/d/1v0b9pFQCsKUVExMei7AgY2yQkdeNQvtOssygGsXbiKo/edit?usp=sharing"",""อุตรดิตถ์!M539"")+IMPORTRANGE(""https://docs.google.com/spreadsheets/d/1UsNK1e-WWiCo2PvGqdNfdme4m17_Ezd3J69EeeiQPD0/edit?usp=sharing"",""อุทัยธานี!M539"")"),0)</f>
        <v>0</v>
      </c>
      <c r="N539" s="46">
        <f ca="1">IFERROR(__xludf.DUMMYFUNCTION("IMPORTRANGE(""https://docs.google.com/spreadsheets/d/1jTcq05yEiRwXcBMLjiodW9e4biSGYWAHcDj22rKWQ3s/edit?usp=sharing"",""กำแพงเพชร!N539"")+IMPORTRANGE(""https://docs.google.com/spreadsheets/d/1KS0zmDSZPk8KnTAbGN-Xk6MtX1YRZD0ldgdt20K4CRk/edit?usp=sharing"","&amp;"""เชียงราย!N539"")+IMPORTRANGE(""https://docs.google.com/spreadsheets/d/1rEDxBtusbi64tE0zunoIbsTVV16HeL0oJ6trHQeQ7K8/edit?usp=sharing"",""เชียงใหม่!N539"")+IMPORTRANGE(""https://docs.google.com/spreadsheets/d/1W6MnUbDkMi6xHnHko_XkFDO9kkuL6Wqyc-6OCDFjW9I/e"&amp;"dit?usp=sharing"",""ตาก!N539"")+IMPORTRANGE(""https://docs.google.com/spreadsheets/d/1IQAWArduLkta9LpYo4a_ULsyqdta6-6aDDiwpUnQT6c/edit?usp=sharing"",""นครสวรรค์!N539"")+IMPORTRANGE(""https://docs.google.com/spreadsheets/d/10s13Sk5xrltsiR-Zkbmk5DwIaDIKO8Xl"&amp;"bJAfqyT7Gvg/edit?usp=sharing"",""น่าน!N539"")+IMPORTRANGE(""https://docs.google.com/spreadsheets/d/1uu4nAn4Dbi1XREnLKKotUANlKXa7yCgRcgq8HEzQYW8/edit?usp=sharing"",""พะเยา!N539"")+IMPORTRANGE(""https://docs.google.com/spreadsheets/d/1xfJKIQxVOaPDIICqsflNlL"&amp;"u3JacTDk1FP9RH4phX7mI/edit?usp=sharing"",""พิจิตร!N539"")+IMPORTRANGE(""https://docs.google.com/spreadsheets/d/1JtRfZkJMHtEhI5RdRHxYUG4FIZHqKDpNyIuN7A1Q0_k/edit?usp=sharing"",""พิษณุโลก!N539"")+IMPORTRANGE(""https://docs.google.com/spreadsheets/d/1xlcVZWU"&amp;"Nn6SuWm0c307h32SiGkd9BaeQWlAktfD3KO8/edit?usp=sharing"",""เพชรบูรณ์!N539"")+IMPORTRANGE(""https://docs.google.com/spreadsheets/d/1lOVebEIsI9qjGXl6EX66luk7wiuP2tBaryw-wKvv4e0/edit?usp=sharing"",""แพร่!N539"")+IMPORTRANGE(""https://docs.google.com/spreadshe"&amp;"ets/d/1dQrvX0vEcN7Gu0fnZ0B5S90AeR19zth4XlExFBeExMY/edit?usp=sharing"",""แม่ฮ่องสอน!N539"")+IMPORTRANGE(""https://docs.google.com/spreadsheets/d/1DY4XTNNwjluuxqdfdn6qvOSlMRrZqUtmYcZR0ttFiG4/edit?usp=sharing"",""ลำปาง!N539"")+IMPORTRANGE(""https://docs.goog"&amp;"le.com/spreadsheets/d/1ICwG78r0OFT8biBlxnBF8r7she7gNSzOvJ958PWT09c/edit?usp=sharing"",""ลำพูน!N539"")+IMPORTRANGE(""https://docs.google.com/spreadsheets/d/1B0f2xJpZUC6Z0xXnqKlZtEPzsf6L84eP1r1Q15seqRM/edit?usp=sharing"",""สุโขทัย!N539"")+IMPORTRANGE(""http"&amp;"s://docs.google.com/spreadsheets/d/1v0b9pFQCsKUVExMei7AgY2yQkdeNQvtOssygGsXbiKo/edit?usp=sharing"",""อุตรดิตถ์!N539"")+IMPORTRANGE(""https://docs.google.com/spreadsheets/d/1UsNK1e-WWiCo2PvGqdNfdme4m17_Ezd3J69EeeiQPD0/edit?usp=sharing"",""อุทัยธานี!N539"")"),0)</f>
        <v>0</v>
      </c>
      <c r="O539" s="46">
        <f t="shared" ca="1" si="379"/>
        <v>0</v>
      </c>
      <c r="P539" s="46">
        <f t="shared" ca="1" si="380"/>
        <v>0</v>
      </c>
      <c r="Q539" s="46">
        <f ca="1">IFERROR(__xludf.DUMMYFUNCTION("IMPORTRANGE(""https://docs.google.com/spreadsheets/d/1jTcq05yEiRwXcBMLjiodW9e4biSGYWAHcDj22rKWQ3s/edit?usp=sharing"",""กำแพงเพชร!Q539"")+IMPORTRANGE(""https://docs.google.com/spreadsheets/d/1KS0zmDSZPk8KnTAbGN-Xk6MtX1YRZD0ldgdt20K4CRk/edit?usp=sharing"","&amp;"""เชียงราย!Q539"")+IMPORTRANGE(""https://docs.google.com/spreadsheets/d/1rEDxBtusbi64tE0zunoIbsTVV16HeL0oJ6trHQeQ7K8/edit?usp=sharing"",""เชียงใหม่!Q539"")+IMPORTRANGE(""https://docs.google.com/spreadsheets/d/1W6MnUbDkMi6xHnHko_XkFDO9kkuL6Wqyc-6OCDFjW9I/e"&amp;"dit?usp=sharing"",""ตาก!Q539"")+IMPORTRANGE(""https://docs.google.com/spreadsheets/d/1IQAWArduLkta9LpYo4a_ULsyqdta6-6aDDiwpUnQT6c/edit?usp=sharing"",""นครสวรรค์!Q539"")+IMPORTRANGE(""https://docs.google.com/spreadsheets/d/10s13Sk5xrltsiR-Zkbmk5DwIaDIKO8Xl"&amp;"bJAfqyT7Gvg/edit?usp=sharing"",""น่าน!Q539"")+IMPORTRANGE(""https://docs.google.com/spreadsheets/d/1uu4nAn4Dbi1XREnLKKotUANlKXa7yCgRcgq8HEzQYW8/edit?usp=sharing"",""พะเยา!Q539"")+IMPORTRANGE(""https://docs.google.com/spreadsheets/d/1xfJKIQxVOaPDIICqsflNlL"&amp;"u3JacTDk1FP9RH4phX7mI/edit?usp=sharing"",""พิจิตร!Q539"")+IMPORTRANGE(""https://docs.google.com/spreadsheets/d/1JtRfZkJMHtEhI5RdRHxYUG4FIZHqKDpNyIuN7A1Q0_k/edit?usp=sharing"",""พิษณุโลก!Q539"")+IMPORTRANGE(""https://docs.google.com/spreadsheets/d/1xlcVZWU"&amp;"Nn6SuWm0c307h32SiGkd9BaeQWlAktfD3KO8/edit?usp=sharing"",""เพชรบูรณ์!Q539"")+IMPORTRANGE(""https://docs.google.com/spreadsheets/d/1lOVebEIsI9qjGXl6EX66luk7wiuP2tBaryw-wKvv4e0/edit?usp=sharing"",""แพร่!Q539"")+IMPORTRANGE(""https://docs.google.com/spreadshe"&amp;"ets/d/1dQrvX0vEcN7Gu0fnZ0B5S90AeR19zth4XlExFBeExMY/edit?usp=sharing"",""แม่ฮ่องสอน!Q539"")+IMPORTRANGE(""https://docs.google.com/spreadsheets/d/1DY4XTNNwjluuxqdfdn6qvOSlMRrZqUtmYcZR0ttFiG4/edit?usp=sharing"",""ลำปาง!Q539"")+IMPORTRANGE(""https://docs.goog"&amp;"le.com/spreadsheets/d/1ICwG78r0OFT8biBlxnBF8r7she7gNSzOvJ958PWT09c/edit?usp=sharing"",""ลำพูน!Q539"")+IMPORTRANGE(""https://docs.google.com/spreadsheets/d/1B0f2xJpZUC6Z0xXnqKlZtEPzsf6L84eP1r1Q15seqRM/edit?usp=sharing"",""สุโขทัย!Q539"")+IMPORTRANGE(""http"&amp;"s://docs.google.com/spreadsheets/d/1v0b9pFQCsKUVExMei7AgY2yQkdeNQvtOssygGsXbiKo/edit?usp=sharing"",""อุตรดิตถ์!Q539"")+IMPORTRANGE(""https://docs.google.com/spreadsheets/d/1UsNK1e-WWiCo2PvGqdNfdme4m17_Ezd3J69EeeiQPD0/edit?usp=sharing"",""อุทัยธานี!Q539"")"),0)</f>
        <v>0</v>
      </c>
      <c r="R539" s="46">
        <f ca="1">IFERROR(__xludf.DUMMYFUNCTION("IMPORTRANGE(""https://docs.google.com/spreadsheets/d/1jTcq05yEiRwXcBMLjiodW9e4biSGYWAHcDj22rKWQ3s/edit?usp=sharing"",""กำแพงเพชร!R539"")+IMPORTRANGE(""https://docs.google.com/spreadsheets/d/1KS0zmDSZPk8KnTAbGN-Xk6MtX1YRZD0ldgdt20K4CRk/edit?usp=sharing"","&amp;"""เชียงราย!R539"")+IMPORTRANGE(""https://docs.google.com/spreadsheets/d/1rEDxBtusbi64tE0zunoIbsTVV16HeL0oJ6trHQeQ7K8/edit?usp=sharing"",""เชียงใหม่!R539"")+IMPORTRANGE(""https://docs.google.com/spreadsheets/d/1W6MnUbDkMi6xHnHko_XkFDO9kkuL6Wqyc-6OCDFjW9I/e"&amp;"dit?usp=sharing"",""ตาก!R539"")+IMPORTRANGE(""https://docs.google.com/spreadsheets/d/1IQAWArduLkta9LpYo4a_ULsyqdta6-6aDDiwpUnQT6c/edit?usp=sharing"",""นครสวรรค์!R539"")+IMPORTRANGE(""https://docs.google.com/spreadsheets/d/10s13Sk5xrltsiR-Zkbmk5DwIaDIKO8Xl"&amp;"bJAfqyT7Gvg/edit?usp=sharing"",""น่าน!R539"")+IMPORTRANGE(""https://docs.google.com/spreadsheets/d/1uu4nAn4Dbi1XREnLKKotUANlKXa7yCgRcgq8HEzQYW8/edit?usp=sharing"",""พะเยา!R539"")+IMPORTRANGE(""https://docs.google.com/spreadsheets/d/1xfJKIQxVOaPDIICqsflNlL"&amp;"u3JacTDk1FP9RH4phX7mI/edit?usp=sharing"",""พิจิตร!R539"")+IMPORTRANGE(""https://docs.google.com/spreadsheets/d/1JtRfZkJMHtEhI5RdRHxYUG4FIZHqKDpNyIuN7A1Q0_k/edit?usp=sharing"",""พิษณุโลก!R539"")+IMPORTRANGE(""https://docs.google.com/spreadsheets/d/1xlcVZWU"&amp;"Nn6SuWm0c307h32SiGkd9BaeQWlAktfD3KO8/edit?usp=sharing"",""เพชรบูรณ์!R539"")+IMPORTRANGE(""https://docs.google.com/spreadsheets/d/1lOVebEIsI9qjGXl6EX66luk7wiuP2tBaryw-wKvv4e0/edit?usp=sharing"",""แพร่!R539"")+IMPORTRANGE(""https://docs.google.com/spreadshe"&amp;"ets/d/1dQrvX0vEcN7Gu0fnZ0B5S90AeR19zth4XlExFBeExMY/edit?usp=sharing"",""แม่ฮ่องสอน!R539"")+IMPORTRANGE(""https://docs.google.com/spreadsheets/d/1DY4XTNNwjluuxqdfdn6qvOSlMRrZqUtmYcZR0ttFiG4/edit?usp=sharing"",""ลำปาง!R539"")+IMPORTRANGE(""https://docs.goog"&amp;"le.com/spreadsheets/d/1ICwG78r0OFT8biBlxnBF8r7she7gNSzOvJ958PWT09c/edit?usp=sharing"",""ลำพูน!R539"")+IMPORTRANGE(""https://docs.google.com/spreadsheets/d/1B0f2xJpZUC6Z0xXnqKlZtEPzsf6L84eP1r1Q15seqRM/edit?usp=sharing"",""สุโขทัย!R539"")+IMPORTRANGE(""http"&amp;"s://docs.google.com/spreadsheets/d/1v0b9pFQCsKUVExMei7AgY2yQkdeNQvtOssygGsXbiKo/edit?usp=sharing"",""อุตรดิตถ์!R539"")+IMPORTRANGE(""https://docs.google.com/spreadsheets/d/1UsNK1e-WWiCo2PvGqdNfdme4m17_Ezd3J69EeeiQPD0/edit?usp=sharing"",""อุทัยธานี!R539"")"),0)</f>
        <v>0</v>
      </c>
      <c r="S539" s="46">
        <f ca="1">IFERROR(__xludf.DUMMYFUNCTION("IMPORTRANGE(""https://docs.google.com/spreadsheets/d/1jTcq05yEiRwXcBMLjiodW9e4biSGYWAHcDj22rKWQ3s/edit?usp=sharing"",""กำแพงเพชร!S539"")+IMPORTRANGE(""https://docs.google.com/spreadsheets/d/1KS0zmDSZPk8KnTAbGN-Xk6MtX1YRZD0ldgdt20K4CRk/edit?usp=sharing"","&amp;"""เชียงราย!S539"")+IMPORTRANGE(""https://docs.google.com/spreadsheets/d/1rEDxBtusbi64tE0zunoIbsTVV16HeL0oJ6trHQeQ7K8/edit?usp=sharing"",""เชียงใหม่!S539"")+IMPORTRANGE(""https://docs.google.com/spreadsheets/d/1W6MnUbDkMi6xHnHko_XkFDO9kkuL6Wqyc-6OCDFjW9I/e"&amp;"dit?usp=sharing"",""ตาก!S539"")+IMPORTRANGE(""https://docs.google.com/spreadsheets/d/1IQAWArduLkta9LpYo4a_ULsyqdta6-6aDDiwpUnQT6c/edit?usp=sharing"",""นครสวรรค์!S539"")+IMPORTRANGE(""https://docs.google.com/spreadsheets/d/10s13Sk5xrltsiR-Zkbmk5DwIaDIKO8Xl"&amp;"bJAfqyT7Gvg/edit?usp=sharing"",""น่าน!S539"")+IMPORTRANGE(""https://docs.google.com/spreadsheets/d/1uu4nAn4Dbi1XREnLKKotUANlKXa7yCgRcgq8HEzQYW8/edit?usp=sharing"",""พะเยา!S539"")+IMPORTRANGE(""https://docs.google.com/spreadsheets/d/1xfJKIQxVOaPDIICqsflNlL"&amp;"u3JacTDk1FP9RH4phX7mI/edit?usp=sharing"",""พิจิตร!S539"")+IMPORTRANGE(""https://docs.google.com/spreadsheets/d/1JtRfZkJMHtEhI5RdRHxYUG4FIZHqKDpNyIuN7A1Q0_k/edit?usp=sharing"",""พิษณุโลก!S539"")+IMPORTRANGE(""https://docs.google.com/spreadsheets/d/1xlcVZWU"&amp;"Nn6SuWm0c307h32SiGkd9BaeQWlAktfD3KO8/edit?usp=sharing"",""เพชรบูรณ์!S539"")+IMPORTRANGE(""https://docs.google.com/spreadsheets/d/1lOVebEIsI9qjGXl6EX66luk7wiuP2tBaryw-wKvv4e0/edit?usp=sharing"",""แพร่!S539"")+IMPORTRANGE(""https://docs.google.com/spreadshe"&amp;"ets/d/1dQrvX0vEcN7Gu0fnZ0B5S90AeR19zth4XlExFBeExMY/edit?usp=sharing"",""แม่ฮ่องสอน!S539"")+IMPORTRANGE(""https://docs.google.com/spreadsheets/d/1DY4XTNNwjluuxqdfdn6qvOSlMRrZqUtmYcZR0ttFiG4/edit?usp=sharing"",""ลำปาง!S539"")+IMPORTRANGE(""https://docs.goog"&amp;"le.com/spreadsheets/d/1ICwG78r0OFT8biBlxnBF8r7she7gNSzOvJ958PWT09c/edit?usp=sharing"",""ลำพูน!S539"")+IMPORTRANGE(""https://docs.google.com/spreadsheets/d/1B0f2xJpZUC6Z0xXnqKlZtEPzsf6L84eP1r1Q15seqRM/edit?usp=sharing"",""สุโขทัย!S539"")+IMPORTRANGE(""http"&amp;"s://docs.google.com/spreadsheets/d/1v0b9pFQCsKUVExMei7AgY2yQkdeNQvtOssygGsXbiKo/edit?usp=sharing"",""อุตรดิตถ์!S539"")+IMPORTRANGE(""https://docs.google.com/spreadsheets/d/1UsNK1e-WWiCo2PvGqdNfdme4m17_Ezd3J69EeeiQPD0/edit?usp=sharing"",""อุทัยธานี!S539"")"),0)</f>
        <v>0</v>
      </c>
      <c r="T539" s="46">
        <f t="shared" ca="1" si="382"/>
        <v>0</v>
      </c>
      <c r="U539" s="46">
        <f t="shared" ca="1" si="383"/>
        <v>0</v>
      </c>
    </row>
    <row r="540" spans="1:21" ht="18.75" x14ac:dyDescent="0.25">
      <c r="A540" s="128"/>
      <c r="B540" s="40"/>
      <c r="C540" s="40"/>
      <c r="D540" s="41" t="s">
        <v>23</v>
      </c>
      <c r="E540" s="40"/>
      <c r="F540" s="40"/>
      <c r="G540" s="42"/>
      <c r="H540" s="137" t="s">
        <v>14</v>
      </c>
      <c r="I540" s="135"/>
      <c r="J540" s="135"/>
      <c r="K540" s="136"/>
      <c r="L540" s="46">
        <f t="shared" ref="L540:N540" ca="1" si="390">L541+L542</f>
        <v>2916000</v>
      </c>
      <c r="M540" s="46">
        <f t="shared" ca="1" si="390"/>
        <v>2916000</v>
      </c>
      <c r="N540" s="46">
        <f t="shared" ca="1" si="390"/>
        <v>0</v>
      </c>
      <c r="O540" s="46">
        <f t="shared" ca="1" si="379"/>
        <v>0</v>
      </c>
      <c r="P540" s="46">
        <f t="shared" ca="1" si="380"/>
        <v>0</v>
      </c>
      <c r="Q540" s="46">
        <f t="shared" ref="Q540:S540" ca="1" si="391">Q541+Q542</f>
        <v>0</v>
      </c>
      <c r="R540" s="46">
        <f t="shared" ca="1" si="391"/>
        <v>0</v>
      </c>
      <c r="S540" s="46">
        <f t="shared" ca="1" si="391"/>
        <v>0</v>
      </c>
      <c r="T540" s="46">
        <f t="shared" ca="1" si="382"/>
        <v>0</v>
      </c>
      <c r="U540" s="46">
        <f t="shared" ca="1" si="383"/>
        <v>0</v>
      </c>
    </row>
    <row r="541" spans="1:21" ht="18.75" x14ac:dyDescent="0.25">
      <c r="A541" s="128"/>
      <c r="B541" s="40"/>
      <c r="C541" s="40"/>
      <c r="D541" s="40"/>
      <c r="E541" s="156" t="s">
        <v>20</v>
      </c>
      <c r="F541" s="40"/>
      <c r="G541" s="42"/>
      <c r="H541" s="159" t="s">
        <v>14</v>
      </c>
      <c r="I541" s="135"/>
      <c r="J541" s="135"/>
      <c r="K541" s="136"/>
      <c r="L541" s="48">
        <f ca="1">IFERROR(__xludf.DUMMYFUNCTION("IMPORTRANGE(""https://docs.google.com/spreadsheets/d/1jTcq05yEiRwXcBMLjiodW9e4biSGYWAHcDj22rKWQ3s/edit?usp=sharing"",""กำแพงเพชร!L541"")+IMPORTRANGE(""https://docs.google.com/spreadsheets/d/1KS0zmDSZPk8KnTAbGN-Xk6MtX1YRZD0ldgdt20K4CRk/edit?usp=sharing"","&amp;"""เชียงราย!L541"")+IMPORTRANGE(""https://docs.google.com/spreadsheets/d/1rEDxBtusbi64tE0zunoIbsTVV16HeL0oJ6trHQeQ7K8/edit?usp=sharing"",""เชียงใหม่!L541"")+IMPORTRANGE(""https://docs.google.com/spreadsheets/d/1W6MnUbDkMi6xHnHko_XkFDO9kkuL6Wqyc-6OCDFjW9I/e"&amp;"dit?usp=sharing"",""ตาก!L541"")+IMPORTRANGE(""https://docs.google.com/spreadsheets/d/1IQAWArduLkta9LpYo4a_ULsyqdta6-6aDDiwpUnQT6c/edit?usp=sharing"",""นครสวรรค์!L541"")+IMPORTRANGE(""https://docs.google.com/spreadsheets/d/10s13Sk5xrltsiR-Zkbmk5DwIaDIKO8Xl"&amp;"bJAfqyT7Gvg/edit?usp=sharing"",""น่าน!L541"")+IMPORTRANGE(""https://docs.google.com/spreadsheets/d/1uu4nAn4Dbi1XREnLKKotUANlKXa7yCgRcgq8HEzQYW8/edit?usp=sharing"",""พะเยา!L541"")+IMPORTRANGE(""https://docs.google.com/spreadsheets/d/1xfJKIQxVOaPDIICqsflNlL"&amp;"u3JacTDk1FP9RH4phX7mI/edit?usp=sharing"",""พิจิตร!L541"")+IMPORTRANGE(""https://docs.google.com/spreadsheets/d/1JtRfZkJMHtEhI5RdRHxYUG4FIZHqKDpNyIuN7A1Q0_k/edit?usp=sharing"",""พิษณุโลก!L541"")+IMPORTRANGE(""https://docs.google.com/spreadsheets/d/1xlcVZWU"&amp;"Nn6SuWm0c307h32SiGkd9BaeQWlAktfD3KO8/edit?usp=sharing"",""เพชรบูรณ์!L541"")+IMPORTRANGE(""https://docs.google.com/spreadsheets/d/1lOVebEIsI9qjGXl6EX66luk7wiuP2tBaryw-wKvv4e0/edit?usp=sharing"",""แพร่!L541"")+IMPORTRANGE(""https://docs.google.com/spreadshe"&amp;"ets/d/1dQrvX0vEcN7Gu0fnZ0B5S90AeR19zth4XlExFBeExMY/edit?usp=sharing"",""แม่ฮ่องสอน!L541"")+IMPORTRANGE(""https://docs.google.com/spreadsheets/d/1DY4XTNNwjluuxqdfdn6qvOSlMRrZqUtmYcZR0ttFiG4/edit?usp=sharing"",""ลำปาง!L541"")+IMPORTRANGE(""https://docs.goog"&amp;"le.com/spreadsheets/d/1ICwG78r0OFT8biBlxnBF8r7she7gNSzOvJ958PWT09c/edit?usp=sharing"",""ลำพูน!L541"")+IMPORTRANGE(""https://docs.google.com/spreadsheets/d/1B0f2xJpZUC6Z0xXnqKlZtEPzsf6L84eP1r1Q15seqRM/edit?usp=sharing"",""สุโขทัย!L541"")+IMPORTRANGE(""http"&amp;"s://docs.google.com/spreadsheets/d/1v0b9pFQCsKUVExMei7AgY2yQkdeNQvtOssygGsXbiKo/edit?usp=sharing"",""อุตรดิตถ์!L541"")+IMPORTRANGE(""https://docs.google.com/spreadsheets/d/1UsNK1e-WWiCo2PvGqdNfdme4m17_Ezd3J69EeeiQPD0/edit?usp=sharing"",""อุทัยธานี!L541"")"),0)</f>
        <v>0</v>
      </c>
      <c r="M541" s="48">
        <f ca="1">IFERROR(__xludf.DUMMYFUNCTION("IMPORTRANGE(""https://docs.google.com/spreadsheets/d/1jTcq05yEiRwXcBMLjiodW9e4biSGYWAHcDj22rKWQ3s/edit?usp=sharing"",""กำแพงเพชร!M541"")+IMPORTRANGE(""https://docs.google.com/spreadsheets/d/1KS0zmDSZPk8KnTAbGN-Xk6MtX1YRZD0ldgdt20K4CRk/edit?usp=sharing"","&amp;"""เชียงราย!M541"")+IMPORTRANGE(""https://docs.google.com/spreadsheets/d/1rEDxBtusbi64tE0zunoIbsTVV16HeL0oJ6trHQeQ7K8/edit?usp=sharing"",""เชียงใหม่!M541"")+IMPORTRANGE(""https://docs.google.com/spreadsheets/d/1W6MnUbDkMi6xHnHko_XkFDO9kkuL6Wqyc-6OCDFjW9I/e"&amp;"dit?usp=sharing"",""ตาก!M541"")+IMPORTRANGE(""https://docs.google.com/spreadsheets/d/1IQAWArduLkta9LpYo4a_ULsyqdta6-6aDDiwpUnQT6c/edit?usp=sharing"",""นครสวรรค์!M541"")+IMPORTRANGE(""https://docs.google.com/spreadsheets/d/10s13Sk5xrltsiR-Zkbmk5DwIaDIKO8Xl"&amp;"bJAfqyT7Gvg/edit?usp=sharing"",""น่าน!M541"")+IMPORTRANGE(""https://docs.google.com/spreadsheets/d/1uu4nAn4Dbi1XREnLKKotUANlKXa7yCgRcgq8HEzQYW8/edit?usp=sharing"",""พะเยา!M541"")+IMPORTRANGE(""https://docs.google.com/spreadsheets/d/1xfJKIQxVOaPDIICqsflNlL"&amp;"u3JacTDk1FP9RH4phX7mI/edit?usp=sharing"",""พิจิตร!M541"")+IMPORTRANGE(""https://docs.google.com/spreadsheets/d/1JtRfZkJMHtEhI5RdRHxYUG4FIZHqKDpNyIuN7A1Q0_k/edit?usp=sharing"",""พิษณุโลก!M541"")+IMPORTRANGE(""https://docs.google.com/spreadsheets/d/1xlcVZWU"&amp;"Nn6SuWm0c307h32SiGkd9BaeQWlAktfD3KO8/edit?usp=sharing"",""เพชรบูรณ์!M541"")+IMPORTRANGE(""https://docs.google.com/spreadsheets/d/1lOVebEIsI9qjGXl6EX66luk7wiuP2tBaryw-wKvv4e0/edit?usp=sharing"",""แพร่!M541"")+IMPORTRANGE(""https://docs.google.com/spreadshe"&amp;"ets/d/1dQrvX0vEcN7Gu0fnZ0B5S90AeR19zth4XlExFBeExMY/edit?usp=sharing"",""แม่ฮ่องสอน!M541"")+IMPORTRANGE(""https://docs.google.com/spreadsheets/d/1DY4XTNNwjluuxqdfdn6qvOSlMRrZqUtmYcZR0ttFiG4/edit?usp=sharing"",""ลำปาง!M541"")+IMPORTRANGE(""https://docs.goog"&amp;"le.com/spreadsheets/d/1ICwG78r0OFT8biBlxnBF8r7she7gNSzOvJ958PWT09c/edit?usp=sharing"",""ลำพูน!M541"")+IMPORTRANGE(""https://docs.google.com/spreadsheets/d/1B0f2xJpZUC6Z0xXnqKlZtEPzsf6L84eP1r1Q15seqRM/edit?usp=sharing"",""สุโขทัย!M541"")+IMPORTRANGE(""http"&amp;"s://docs.google.com/spreadsheets/d/1v0b9pFQCsKUVExMei7AgY2yQkdeNQvtOssygGsXbiKo/edit?usp=sharing"",""อุตรดิตถ์!M541"")+IMPORTRANGE(""https://docs.google.com/spreadsheets/d/1UsNK1e-WWiCo2PvGqdNfdme4m17_Ezd3J69EeeiQPD0/edit?usp=sharing"",""อุทัยธานี!M541"")"),0)</f>
        <v>0</v>
      </c>
      <c r="N541" s="48">
        <f ca="1">IFERROR(__xludf.DUMMYFUNCTION("IMPORTRANGE(""https://docs.google.com/spreadsheets/d/1jTcq05yEiRwXcBMLjiodW9e4biSGYWAHcDj22rKWQ3s/edit?usp=sharing"",""กำแพงเพชร!N541"")+IMPORTRANGE(""https://docs.google.com/spreadsheets/d/1KS0zmDSZPk8KnTAbGN-Xk6MtX1YRZD0ldgdt20K4CRk/edit?usp=sharing"","&amp;"""เชียงราย!N541"")+IMPORTRANGE(""https://docs.google.com/spreadsheets/d/1rEDxBtusbi64tE0zunoIbsTVV16HeL0oJ6trHQeQ7K8/edit?usp=sharing"",""เชียงใหม่!N541"")+IMPORTRANGE(""https://docs.google.com/spreadsheets/d/1W6MnUbDkMi6xHnHko_XkFDO9kkuL6Wqyc-6OCDFjW9I/e"&amp;"dit?usp=sharing"",""ตาก!N541"")+IMPORTRANGE(""https://docs.google.com/spreadsheets/d/1IQAWArduLkta9LpYo4a_ULsyqdta6-6aDDiwpUnQT6c/edit?usp=sharing"",""นครสวรรค์!N541"")+IMPORTRANGE(""https://docs.google.com/spreadsheets/d/10s13Sk5xrltsiR-Zkbmk5DwIaDIKO8Xl"&amp;"bJAfqyT7Gvg/edit?usp=sharing"",""น่าน!N541"")+IMPORTRANGE(""https://docs.google.com/spreadsheets/d/1uu4nAn4Dbi1XREnLKKotUANlKXa7yCgRcgq8HEzQYW8/edit?usp=sharing"",""พะเยา!N541"")+IMPORTRANGE(""https://docs.google.com/spreadsheets/d/1xfJKIQxVOaPDIICqsflNlL"&amp;"u3JacTDk1FP9RH4phX7mI/edit?usp=sharing"",""พิจิตร!N541"")+IMPORTRANGE(""https://docs.google.com/spreadsheets/d/1JtRfZkJMHtEhI5RdRHxYUG4FIZHqKDpNyIuN7A1Q0_k/edit?usp=sharing"",""พิษณุโลก!N541"")+IMPORTRANGE(""https://docs.google.com/spreadsheets/d/1xlcVZWU"&amp;"Nn6SuWm0c307h32SiGkd9BaeQWlAktfD3KO8/edit?usp=sharing"",""เพชรบูรณ์!N541"")+IMPORTRANGE(""https://docs.google.com/spreadsheets/d/1lOVebEIsI9qjGXl6EX66luk7wiuP2tBaryw-wKvv4e0/edit?usp=sharing"",""แพร่!N541"")+IMPORTRANGE(""https://docs.google.com/spreadshe"&amp;"ets/d/1dQrvX0vEcN7Gu0fnZ0B5S90AeR19zth4XlExFBeExMY/edit?usp=sharing"",""แม่ฮ่องสอน!N541"")+IMPORTRANGE(""https://docs.google.com/spreadsheets/d/1DY4XTNNwjluuxqdfdn6qvOSlMRrZqUtmYcZR0ttFiG4/edit?usp=sharing"",""ลำปาง!N541"")+IMPORTRANGE(""https://docs.goog"&amp;"le.com/spreadsheets/d/1ICwG78r0OFT8biBlxnBF8r7she7gNSzOvJ958PWT09c/edit?usp=sharing"",""ลำพูน!N541"")+IMPORTRANGE(""https://docs.google.com/spreadsheets/d/1B0f2xJpZUC6Z0xXnqKlZtEPzsf6L84eP1r1Q15seqRM/edit?usp=sharing"",""สุโขทัย!N541"")+IMPORTRANGE(""http"&amp;"s://docs.google.com/spreadsheets/d/1v0b9pFQCsKUVExMei7AgY2yQkdeNQvtOssygGsXbiKo/edit?usp=sharing"",""อุตรดิตถ์!N541"")+IMPORTRANGE(""https://docs.google.com/spreadsheets/d/1UsNK1e-WWiCo2PvGqdNfdme4m17_Ezd3J69EeeiQPD0/edit?usp=sharing"",""อุทัยธานี!N541"")"),0)</f>
        <v>0</v>
      </c>
      <c r="O541" s="48">
        <f t="shared" ca="1" si="379"/>
        <v>0</v>
      </c>
      <c r="P541" s="48">
        <f t="shared" ca="1" si="380"/>
        <v>0</v>
      </c>
      <c r="Q541" s="48">
        <f ca="1">IFERROR(__xludf.DUMMYFUNCTION("IMPORTRANGE(""https://docs.google.com/spreadsheets/d/1jTcq05yEiRwXcBMLjiodW9e4biSGYWAHcDj22rKWQ3s/edit?usp=sharing"",""กำแพงเพชร!Q541"")+IMPORTRANGE(""https://docs.google.com/spreadsheets/d/1KS0zmDSZPk8KnTAbGN-Xk6MtX1YRZD0ldgdt20K4CRk/edit?usp=sharing"","&amp;"""เชียงราย!Q541"")+IMPORTRANGE(""https://docs.google.com/spreadsheets/d/1rEDxBtusbi64tE0zunoIbsTVV16HeL0oJ6trHQeQ7K8/edit?usp=sharing"",""เชียงใหม่!Q541"")+IMPORTRANGE(""https://docs.google.com/spreadsheets/d/1W6MnUbDkMi6xHnHko_XkFDO9kkuL6Wqyc-6OCDFjW9I/e"&amp;"dit?usp=sharing"",""ตาก!Q541"")+IMPORTRANGE(""https://docs.google.com/spreadsheets/d/1IQAWArduLkta9LpYo4a_ULsyqdta6-6aDDiwpUnQT6c/edit?usp=sharing"",""นครสวรรค์!Q541"")+IMPORTRANGE(""https://docs.google.com/spreadsheets/d/10s13Sk5xrltsiR-Zkbmk5DwIaDIKO8Xl"&amp;"bJAfqyT7Gvg/edit?usp=sharing"",""น่าน!Q541"")+IMPORTRANGE(""https://docs.google.com/spreadsheets/d/1uu4nAn4Dbi1XREnLKKotUANlKXa7yCgRcgq8HEzQYW8/edit?usp=sharing"",""พะเยา!Q541"")+IMPORTRANGE(""https://docs.google.com/spreadsheets/d/1xfJKIQxVOaPDIICqsflNlL"&amp;"u3JacTDk1FP9RH4phX7mI/edit?usp=sharing"",""พิจิตร!Q541"")+IMPORTRANGE(""https://docs.google.com/spreadsheets/d/1JtRfZkJMHtEhI5RdRHxYUG4FIZHqKDpNyIuN7A1Q0_k/edit?usp=sharing"",""พิษณุโลก!Q541"")+IMPORTRANGE(""https://docs.google.com/spreadsheets/d/1xlcVZWU"&amp;"Nn6SuWm0c307h32SiGkd9BaeQWlAktfD3KO8/edit?usp=sharing"",""เพชรบูรณ์!Q541"")+IMPORTRANGE(""https://docs.google.com/spreadsheets/d/1lOVebEIsI9qjGXl6EX66luk7wiuP2tBaryw-wKvv4e0/edit?usp=sharing"",""แพร่!Q541"")+IMPORTRANGE(""https://docs.google.com/spreadshe"&amp;"ets/d/1dQrvX0vEcN7Gu0fnZ0B5S90AeR19zth4XlExFBeExMY/edit?usp=sharing"",""แม่ฮ่องสอน!Q541"")+IMPORTRANGE(""https://docs.google.com/spreadsheets/d/1DY4XTNNwjluuxqdfdn6qvOSlMRrZqUtmYcZR0ttFiG4/edit?usp=sharing"",""ลำปาง!Q541"")+IMPORTRANGE(""https://docs.goog"&amp;"le.com/spreadsheets/d/1ICwG78r0OFT8biBlxnBF8r7she7gNSzOvJ958PWT09c/edit?usp=sharing"",""ลำพูน!Q541"")+IMPORTRANGE(""https://docs.google.com/spreadsheets/d/1B0f2xJpZUC6Z0xXnqKlZtEPzsf6L84eP1r1Q15seqRM/edit?usp=sharing"",""สุโขทัย!Q541"")+IMPORTRANGE(""http"&amp;"s://docs.google.com/spreadsheets/d/1v0b9pFQCsKUVExMei7AgY2yQkdeNQvtOssygGsXbiKo/edit?usp=sharing"",""อุตรดิตถ์!Q541"")+IMPORTRANGE(""https://docs.google.com/spreadsheets/d/1UsNK1e-WWiCo2PvGqdNfdme4m17_Ezd3J69EeeiQPD0/edit?usp=sharing"",""อุทัยธานี!Q541"")"),0)</f>
        <v>0</v>
      </c>
      <c r="R541" s="48">
        <f ca="1">IFERROR(__xludf.DUMMYFUNCTION("IMPORTRANGE(""https://docs.google.com/spreadsheets/d/1jTcq05yEiRwXcBMLjiodW9e4biSGYWAHcDj22rKWQ3s/edit?usp=sharing"",""กำแพงเพชร!R541"")+IMPORTRANGE(""https://docs.google.com/spreadsheets/d/1KS0zmDSZPk8KnTAbGN-Xk6MtX1YRZD0ldgdt20K4CRk/edit?usp=sharing"","&amp;"""เชียงราย!R541"")+IMPORTRANGE(""https://docs.google.com/spreadsheets/d/1rEDxBtusbi64tE0zunoIbsTVV16HeL0oJ6trHQeQ7K8/edit?usp=sharing"",""เชียงใหม่!R541"")+IMPORTRANGE(""https://docs.google.com/spreadsheets/d/1W6MnUbDkMi6xHnHko_XkFDO9kkuL6Wqyc-6OCDFjW9I/e"&amp;"dit?usp=sharing"",""ตาก!R541"")+IMPORTRANGE(""https://docs.google.com/spreadsheets/d/1IQAWArduLkta9LpYo4a_ULsyqdta6-6aDDiwpUnQT6c/edit?usp=sharing"",""นครสวรรค์!R541"")+IMPORTRANGE(""https://docs.google.com/spreadsheets/d/10s13Sk5xrltsiR-Zkbmk5DwIaDIKO8Xl"&amp;"bJAfqyT7Gvg/edit?usp=sharing"",""น่าน!R541"")+IMPORTRANGE(""https://docs.google.com/spreadsheets/d/1uu4nAn4Dbi1XREnLKKotUANlKXa7yCgRcgq8HEzQYW8/edit?usp=sharing"",""พะเยา!R541"")+IMPORTRANGE(""https://docs.google.com/spreadsheets/d/1xfJKIQxVOaPDIICqsflNlL"&amp;"u3JacTDk1FP9RH4phX7mI/edit?usp=sharing"",""พิจิตร!R541"")+IMPORTRANGE(""https://docs.google.com/spreadsheets/d/1JtRfZkJMHtEhI5RdRHxYUG4FIZHqKDpNyIuN7A1Q0_k/edit?usp=sharing"",""พิษณุโลก!R541"")+IMPORTRANGE(""https://docs.google.com/spreadsheets/d/1xlcVZWU"&amp;"Nn6SuWm0c307h32SiGkd9BaeQWlAktfD3KO8/edit?usp=sharing"",""เพชรบูรณ์!R541"")+IMPORTRANGE(""https://docs.google.com/spreadsheets/d/1lOVebEIsI9qjGXl6EX66luk7wiuP2tBaryw-wKvv4e0/edit?usp=sharing"",""แพร่!R541"")+IMPORTRANGE(""https://docs.google.com/spreadshe"&amp;"ets/d/1dQrvX0vEcN7Gu0fnZ0B5S90AeR19zth4XlExFBeExMY/edit?usp=sharing"",""แม่ฮ่องสอน!R541"")+IMPORTRANGE(""https://docs.google.com/spreadsheets/d/1DY4XTNNwjluuxqdfdn6qvOSlMRrZqUtmYcZR0ttFiG4/edit?usp=sharing"",""ลำปาง!R541"")+IMPORTRANGE(""https://docs.goog"&amp;"le.com/spreadsheets/d/1ICwG78r0OFT8biBlxnBF8r7she7gNSzOvJ958PWT09c/edit?usp=sharing"",""ลำพูน!R541"")+IMPORTRANGE(""https://docs.google.com/spreadsheets/d/1B0f2xJpZUC6Z0xXnqKlZtEPzsf6L84eP1r1Q15seqRM/edit?usp=sharing"",""สุโขทัย!R541"")+IMPORTRANGE(""http"&amp;"s://docs.google.com/spreadsheets/d/1v0b9pFQCsKUVExMei7AgY2yQkdeNQvtOssygGsXbiKo/edit?usp=sharing"",""อุตรดิตถ์!R541"")+IMPORTRANGE(""https://docs.google.com/spreadsheets/d/1UsNK1e-WWiCo2PvGqdNfdme4m17_Ezd3J69EeeiQPD0/edit?usp=sharing"",""อุทัยธานี!R541"")"),0)</f>
        <v>0</v>
      </c>
      <c r="S541" s="48">
        <f ca="1">IFERROR(__xludf.DUMMYFUNCTION("IMPORTRANGE(""https://docs.google.com/spreadsheets/d/1jTcq05yEiRwXcBMLjiodW9e4biSGYWAHcDj22rKWQ3s/edit?usp=sharing"",""กำแพงเพชร!S541"")+IMPORTRANGE(""https://docs.google.com/spreadsheets/d/1KS0zmDSZPk8KnTAbGN-Xk6MtX1YRZD0ldgdt20K4CRk/edit?usp=sharing"","&amp;"""เชียงราย!S541"")+IMPORTRANGE(""https://docs.google.com/spreadsheets/d/1rEDxBtusbi64tE0zunoIbsTVV16HeL0oJ6trHQeQ7K8/edit?usp=sharing"",""เชียงใหม่!S541"")+IMPORTRANGE(""https://docs.google.com/spreadsheets/d/1W6MnUbDkMi6xHnHko_XkFDO9kkuL6Wqyc-6OCDFjW9I/e"&amp;"dit?usp=sharing"",""ตาก!S541"")+IMPORTRANGE(""https://docs.google.com/spreadsheets/d/1IQAWArduLkta9LpYo4a_ULsyqdta6-6aDDiwpUnQT6c/edit?usp=sharing"",""นครสวรรค์!S541"")+IMPORTRANGE(""https://docs.google.com/spreadsheets/d/10s13Sk5xrltsiR-Zkbmk5DwIaDIKO8Xl"&amp;"bJAfqyT7Gvg/edit?usp=sharing"",""น่าน!S541"")+IMPORTRANGE(""https://docs.google.com/spreadsheets/d/1uu4nAn4Dbi1XREnLKKotUANlKXa7yCgRcgq8HEzQYW8/edit?usp=sharing"",""พะเยา!S541"")+IMPORTRANGE(""https://docs.google.com/spreadsheets/d/1xfJKIQxVOaPDIICqsflNlL"&amp;"u3JacTDk1FP9RH4phX7mI/edit?usp=sharing"",""พิจิตร!S541"")+IMPORTRANGE(""https://docs.google.com/spreadsheets/d/1JtRfZkJMHtEhI5RdRHxYUG4FIZHqKDpNyIuN7A1Q0_k/edit?usp=sharing"",""พิษณุโลก!S541"")+IMPORTRANGE(""https://docs.google.com/spreadsheets/d/1xlcVZWU"&amp;"Nn6SuWm0c307h32SiGkd9BaeQWlAktfD3KO8/edit?usp=sharing"",""เพชรบูรณ์!S541"")+IMPORTRANGE(""https://docs.google.com/spreadsheets/d/1lOVebEIsI9qjGXl6EX66luk7wiuP2tBaryw-wKvv4e0/edit?usp=sharing"",""แพร่!S541"")+IMPORTRANGE(""https://docs.google.com/spreadshe"&amp;"ets/d/1dQrvX0vEcN7Gu0fnZ0B5S90AeR19zth4XlExFBeExMY/edit?usp=sharing"",""แม่ฮ่องสอน!S541"")+IMPORTRANGE(""https://docs.google.com/spreadsheets/d/1DY4XTNNwjluuxqdfdn6qvOSlMRrZqUtmYcZR0ttFiG4/edit?usp=sharing"",""ลำปาง!S541"")+IMPORTRANGE(""https://docs.goog"&amp;"le.com/spreadsheets/d/1ICwG78r0OFT8biBlxnBF8r7she7gNSzOvJ958PWT09c/edit?usp=sharing"",""ลำพูน!S541"")+IMPORTRANGE(""https://docs.google.com/spreadsheets/d/1B0f2xJpZUC6Z0xXnqKlZtEPzsf6L84eP1r1Q15seqRM/edit?usp=sharing"",""สุโขทัย!S541"")+IMPORTRANGE(""http"&amp;"s://docs.google.com/spreadsheets/d/1v0b9pFQCsKUVExMei7AgY2yQkdeNQvtOssygGsXbiKo/edit?usp=sharing"",""อุตรดิตถ์!S541"")+IMPORTRANGE(""https://docs.google.com/spreadsheets/d/1UsNK1e-WWiCo2PvGqdNfdme4m17_Ezd3J69EeeiQPD0/edit?usp=sharing"",""อุทัยธานี!S541"")"),0)</f>
        <v>0</v>
      </c>
      <c r="T541" s="48">
        <f t="shared" ca="1" si="382"/>
        <v>0</v>
      </c>
      <c r="U541" s="48">
        <f t="shared" ca="1" si="383"/>
        <v>0</v>
      </c>
    </row>
    <row r="542" spans="1:21" ht="18.75" x14ac:dyDescent="0.25">
      <c r="A542" s="128"/>
      <c r="B542" s="40"/>
      <c r="C542" s="40"/>
      <c r="D542" s="40"/>
      <c r="E542" s="47" t="s">
        <v>21</v>
      </c>
      <c r="F542" s="40"/>
      <c r="G542" s="42"/>
      <c r="H542" s="137" t="s">
        <v>14</v>
      </c>
      <c r="I542" s="135"/>
      <c r="J542" s="135"/>
      <c r="K542" s="136"/>
      <c r="L542" s="46">
        <f ca="1">IFERROR(__xludf.DUMMYFUNCTION("IMPORTRANGE(""https://docs.google.com/spreadsheets/d/1jTcq05yEiRwXcBMLjiodW9e4biSGYWAHcDj22rKWQ3s/edit?usp=sharing"",""กำแพงเพชร!L542"")+IMPORTRANGE(""https://docs.google.com/spreadsheets/d/1KS0zmDSZPk8KnTAbGN-Xk6MtX1YRZD0ldgdt20K4CRk/edit?usp=sharing"","&amp;"""เชียงราย!L542"")+IMPORTRANGE(""https://docs.google.com/spreadsheets/d/1rEDxBtusbi64tE0zunoIbsTVV16HeL0oJ6trHQeQ7K8/edit?usp=sharing"",""เชียงใหม่!L542"")+IMPORTRANGE(""https://docs.google.com/spreadsheets/d/1W6MnUbDkMi6xHnHko_XkFDO9kkuL6Wqyc-6OCDFjW9I/e"&amp;"dit?usp=sharing"",""ตาก!L542"")+IMPORTRANGE(""https://docs.google.com/spreadsheets/d/1IQAWArduLkta9LpYo4a_ULsyqdta6-6aDDiwpUnQT6c/edit?usp=sharing"",""นครสวรรค์!L542"")+IMPORTRANGE(""https://docs.google.com/spreadsheets/d/10s13Sk5xrltsiR-Zkbmk5DwIaDIKO8Xl"&amp;"bJAfqyT7Gvg/edit?usp=sharing"",""น่าน!L542"")+IMPORTRANGE(""https://docs.google.com/spreadsheets/d/1uu4nAn4Dbi1XREnLKKotUANlKXa7yCgRcgq8HEzQYW8/edit?usp=sharing"",""พะเยา!L542"")+IMPORTRANGE(""https://docs.google.com/spreadsheets/d/1xfJKIQxVOaPDIICqsflNlL"&amp;"u3JacTDk1FP9RH4phX7mI/edit?usp=sharing"",""พิจิตร!L542"")+IMPORTRANGE(""https://docs.google.com/spreadsheets/d/1JtRfZkJMHtEhI5RdRHxYUG4FIZHqKDpNyIuN7A1Q0_k/edit?usp=sharing"",""พิษณุโลก!L542"")+IMPORTRANGE(""https://docs.google.com/spreadsheets/d/1xlcVZWU"&amp;"Nn6SuWm0c307h32SiGkd9BaeQWlAktfD3KO8/edit?usp=sharing"",""เพชรบูรณ์!L542"")+IMPORTRANGE(""https://docs.google.com/spreadsheets/d/1lOVebEIsI9qjGXl6EX66luk7wiuP2tBaryw-wKvv4e0/edit?usp=sharing"",""แพร่!L542"")+IMPORTRANGE(""https://docs.google.com/spreadshe"&amp;"ets/d/1dQrvX0vEcN7Gu0fnZ0B5S90AeR19zth4XlExFBeExMY/edit?usp=sharing"",""แม่ฮ่องสอน!L542"")+IMPORTRANGE(""https://docs.google.com/spreadsheets/d/1DY4XTNNwjluuxqdfdn6qvOSlMRrZqUtmYcZR0ttFiG4/edit?usp=sharing"",""ลำปาง!L542"")+IMPORTRANGE(""https://docs.goog"&amp;"le.com/spreadsheets/d/1ICwG78r0OFT8biBlxnBF8r7she7gNSzOvJ958PWT09c/edit?usp=sharing"",""ลำพูน!L542"")+IMPORTRANGE(""https://docs.google.com/spreadsheets/d/1B0f2xJpZUC6Z0xXnqKlZtEPzsf6L84eP1r1Q15seqRM/edit?usp=sharing"",""สุโขทัย!L542"")+IMPORTRANGE(""http"&amp;"s://docs.google.com/spreadsheets/d/1v0b9pFQCsKUVExMei7AgY2yQkdeNQvtOssygGsXbiKo/edit?usp=sharing"",""อุตรดิตถ์!L542"")+IMPORTRANGE(""https://docs.google.com/spreadsheets/d/1UsNK1e-WWiCo2PvGqdNfdme4m17_Ezd3J69EeeiQPD0/edit?usp=sharing"",""อุทัยธานี!L542"")"),2916000)</f>
        <v>2916000</v>
      </c>
      <c r="M542" s="46">
        <f ca="1">IFERROR(__xludf.DUMMYFUNCTION("IMPORTRANGE(""https://docs.google.com/spreadsheets/d/1jTcq05yEiRwXcBMLjiodW9e4biSGYWAHcDj22rKWQ3s/edit?usp=sharing"",""กำแพงเพชร!M542"")+IMPORTRANGE(""https://docs.google.com/spreadsheets/d/1KS0zmDSZPk8KnTAbGN-Xk6MtX1YRZD0ldgdt20K4CRk/edit?usp=sharing"","&amp;"""เชียงราย!M542"")+IMPORTRANGE(""https://docs.google.com/spreadsheets/d/1rEDxBtusbi64tE0zunoIbsTVV16HeL0oJ6trHQeQ7K8/edit?usp=sharing"",""เชียงใหม่!M542"")+IMPORTRANGE(""https://docs.google.com/spreadsheets/d/1W6MnUbDkMi6xHnHko_XkFDO9kkuL6Wqyc-6OCDFjW9I/e"&amp;"dit?usp=sharing"",""ตาก!M542"")+IMPORTRANGE(""https://docs.google.com/spreadsheets/d/1IQAWArduLkta9LpYo4a_ULsyqdta6-6aDDiwpUnQT6c/edit?usp=sharing"",""นครสวรรค์!M542"")+IMPORTRANGE(""https://docs.google.com/spreadsheets/d/10s13Sk5xrltsiR-Zkbmk5DwIaDIKO8Xl"&amp;"bJAfqyT7Gvg/edit?usp=sharing"",""น่าน!M542"")+IMPORTRANGE(""https://docs.google.com/spreadsheets/d/1uu4nAn4Dbi1XREnLKKotUANlKXa7yCgRcgq8HEzQYW8/edit?usp=sharing"",""พะเยา!M542"")+IMPORTRANGE(""https://docs.google.com/spreadsheets/d/1xfJKIQxVOaPDIICqsflNlL"&amp;"u3JacTDk1FP9RH4phX7mI/edit?usp=sharing"",""พิจิตร!M542"")+IMPORTRANGE(""https://docs.google.com/spreadsheets/d/1JtRfZkJMHtEhI5RdRHxYUG4FIZHqKDpNyIuN7A1Q0_k/edit?usp=sharing"",""พิษณุโลก!M542"")+IMPORTRANGE(""https://docs.google.com/spreadsheets/d/1xlcVZWU"&amp;"Nn6SuWm0c307h32SiGkd9BaeQWlAktfD3KO8/edit?usp=sharing"",""เพชรบูรณ์!M542"")+IMPORTRANGE(""https://docs.google.com/spreadsheets/d/1lOVebEIsI9qjGXl6EX66luk7wiuP2tBaryw-wKvv4e0/edit?usp=sharing"",""แพร่!M542"")+IMPORTRANGE(""https://docs.google.com/spreadshe"&amp;"ets/d/1dQrvX0vEcN7Gu0fnZ0B5S90AeR19zth4XlExFBeExMY/edit?usp=sharing"",""แม่ฮ่องสอน!M542"")+IMPORTRANGE(""https://docs.google.com/spreadsheets/d/1DY4XTNNwjluuxqdfdn6qvOSlMRrZqUtmYcZR0ttFiG4/edit?usp=sharing"",""ลำปาง!M542"")+IMPORTRANGE(""https://docs.goog"&amp;"le.com/spreadsheets/d/1ICwG78r0OFT8biBlxnBF8r7she7gNSzOvJ958PWT09c/edit?usp=sharing"",""ลำพูน!M542"")+IMPORTRANGE(""https://docs.google.com/spreadsheets/d/1B0f2xJpZUC6Z0xXnqKlZtEPzsf6L84eP1r1Q15seqRM/edit?usp=sharing"",""สุโขทัย!M542"")+IMPORTRANGE(""http"&amp;"s://docs.google.com/spreadsheets/d/1v0b9pFQCsKUVExMei7AgY2yQkdeNQvtOssygGsXbiKo/edit?usp=sharing"",""อุตรดิตถ์!M542"")+IMPORTRANGE(""https://docs.google.com/spreadsheets/d/1UsNK1e-WWiCo2PvGqdNfdme4m17_Ezd3J69EeeiQPD0/edit?usp=sharing"",""อุทัยธานี!M542"")"),2916000)</f>
        <v>2916000</v>
      </c>
      <c r="N542" s="46">
        <f ca="1">IFERROR(__xludf.DUMMYFUNCTION("IMPORTRANGE(""https://docs.google.com/spreadsheets/d/1jTcq05yEiRwXcBMLjiodW9e4biSGYWAHcDj22rKWQ3s/edit?usp=sharing"",""กำแพงเพชร!N542"")+IMPORTRANGE(""https://docs.google.com/spreadsheets/d/1KS0zmDSZPk8KnTAbGN-Xk6MtX1YRZD0ldgdt20K4CRk/edit?usp=sharing"","&amp;"""เชียงราย!N542"")+IMPORTRANGE(""https://docs.google.com/spreadsheets/d/1rEDxBtusbi64tE0zunoIbsTVV16HeL0oJ6trHQeQ7K8/edit?usp=sharing"",""เชียงใหม่!N542"")+IMPORTRANGE(""https://docs.google.com/spreadsheets/d/1W6MnUbDkMi6xHnHko_XkFDO9kkuL6Wqyc-6OCDFjW9I/e"&amp;"dit?usp=sharing"",""ตาก!N542"")+IMPORTRANGE(""https://docs.google.com/spreadsheets/d/1IQAWArduLkta9LpYo4a_ULsyqdta6-6aDDiwpUnQT6c/edit?usp=sharing"",""นครสวรรค์!N542"")+IMPORTRANGE(""https://docs.google.com/spreadsheets/d/10s13Sk5xrltsiR-Zkbmk5DwIaDIKO8Xl"&amp;"bJAfqyT7Gvg/edit?usp=sharing"",""น่าน!N542"")+IMPORTRANGE(""https://docs.google.com/spreadsheets/d/1uu4nAn4Dbi1XREnLKKotUANlKXa7yCgRcgq8HEzQYW8/edit?usp=sharing"",""พะเยา!N542"")+IMPORTRANGE(""https://docs.google.com/spreadsheets/d/1xfJKIQxVOaPDIICqsflNlL"&amp;"u3JacTDk1FP9RH4phX7mI/edit?usp=sharing"",""พิจิตร!N542"")+IMPORTRANGE(""https://docs.google.com/spreadsheets/d/1JtRfZkJMHtEhI5RdRHxYUG4FIZHqKDpNyIuN7A1Q0_k/edit?usp=sharing"",""พิษณุโลก!N542"")+IMPORTRANGE(""https://docs.google.com/spreadsheets/d/1xlcVZWU"&amp;"Nn6SuWm0c307h32SiGkd9BaeQWlAktfD3KO8/edit?usp=sharing"",""เพชรบูรณ์!N542"")+IMPORTRANGE(""https://docs.google.com/spreadsheets/d/1lOVebEIsI9qjGXl6EX66luk7wiuP2tBaryw-wKvv4e0/edit?usp=sharing"",""แพร่!N542"")+IMPORTRANGE(""https://docs.google.com/spreadshe"&amp;"ets/d/1dQrvX0vEcN7Gu0fnZ0B5S90AeR19zth4XlExFBeExMY/edit?usp=sharing"",""แม่ฮ่องสอน!N542"")+IMPORTRANGE(""https://docs.google.com/spreadsheets/d/1DY4XTNNwjluuxqdfdn6qvOSlMRrZqUtmYcZR0ttFiG4/edit?usp=sharing"",""ลำปาง!N542"")+IMPORTRANGE(""https://docs.goog"&amp;"le.com/spreadsheets/d/1ICwG78r0OFT8biBlxnBF8r7she7gNSzOvJ958PWT09c/edit?usp=sharing"",""ลำพูน!N542"")+IMPORTRANGE(""https://docs.google.com/spreadsheets/d/1B0f2xJpZUC6Z0xXnqKlZtEPzsf6L84eP1r1Q15seqRM/edit?usp=sharing"",""สุโขทัย!N542"")+IMPORTRANGE(""http"&amp;"s://docs.google.com/spreadsheets/d/1v0b9pFQCsKUVExMei7AgY2yQkdeNQvtOssygGsXbiKo/edit?usp=sharing"",""อุตรดิตถ์!N542"")+IMPORTRANGE(""https://docs.google.com/spreadsheets/d/1UsNK1e-WWiCo2PvGqdNfdme4m17_Ezd3J69EeeiQPD0/edit?usp=sharing"",""อุทัยธานี!N542"")"),0)</f>
        <v>0</v>
      </c>
      <c r="O542" s="46">
        <f t="shared" ca="1" si="379"/>
        <v>0</v>
      </c>
      <c r="P542" s="46">
        <f t="shared" ca="1" si="380"/>
        <v>0</v>
      </c>
      <c r="Q542" s="46">
        <f ca="1">IFERROR(__xludf.DUMMYFUNCTION("IMPORTRANGE(""https://docs.google.com/spreadsheets/d/1jTcq05yEiRwXcBMLjiodW9e4biSGYWAHcDj22rKWQ3s/edit?usp=sharing"",""กำแพงเพชร!Q542"")+IMPORTRANGE(""https://docs.google.com/spreadsheets/d/1KS0zmDSZPk8KnTAbGN-Xk6MtX1YRZD0ldgdt20K4CRk/edit?usp=sharing"","&amp;"""เชียงราย!Q542"")+IMPORTRANGE(""https://docs.google.com/spreadsheets/d/1rEDxBtusbi64tE0zunoIbsTVV16HeL0oJ6trHQeQ7K8/edit?usp=sharing"",""เชียงใหม่!Q542"")+IMPORTRANGE(""https://docs.google.com/spreadsheets/d/1W6MnUbDkMi6xHnHko_XkFDO9kkuL6Wqyc-6OCDFjW9I/e"&amp;"dit?usp=sharing"",""ตาก!Q542"")+IMPORTRANGE(""https://docs.google.com/spreadsheets/d/1IQAWArduLkta9LpYo4a_ULsyqdta6-6aDDiwpUnQT6c/edit?usp=sharing"",""นครสวรรค์!Q542"")+IMPORTRANGE(""https://docs.google.com/spreadsheets/d/10s13Sk5xrltsiR-Zkbmk5DwIaDIKO8Xl"&amp;"bJAfqyT7Gvg/edit?usp=sharing"",""น่าน!Q542"")+IMPORTRANGE(""https://docs.google.com/spreadsheets/d/1uu4nAn4Dbi1XREnLKKotUANlKXa7yCgRcgq8HEzQYW8/edit?usp=sharing"",""พะเยา!Q542"")+IMPORTRANGE(""https://docs.google.com/spreadsheets/d/1xfJKIQxVOaPDIICqsflNlL"&amp;"u3JacTDk1FP9RH4phX7mI/edit?usp=sharing"",""พิจิตร!Q542"")+IMPORTRANGE(""https://docs.google.com/spreadsheets/d/1JtRfZkJMHtEhI5RdRHxYUG4FIZHqKDpNyIuN7A1Q0_k/edit?usp=sharing"",""พิษณุโลก!Q542"")+IMPORTRANGE(""https://docs.google.com/spreadsheets/d/1xlcVZWU"&amp;"Nn6SuWm0c307h32SiGkd9BaeQWlAktfD3KO8/edit?usp=sharing"",""เพชรบูรณ์!Q542"")+IMPORTRANGE(""https://docs.google.com/spreadsheets/d/1lOVebEIsI9qjGXl6EX66luk7wiuP2tBaryw-wKvv4e0/edit?usp=sharing"",""แพร่!Q542"")+IMPORTRANGE(""https://docs.google.com/spreadshe"&amp;"ets/d/1dQrvX0vEcN7Gu0fnZ0B5S90AeR19zth4XlExFBeExMY/edit?usp=sharing"",""แม่ฮ่องสอน!Q542"")+IMPORTRANGE(""https://docs.google.com/spreadsheets/d/1DY4XTNNwjluuxqdfdn6qvOSlMRrZqUtmYcZR0ttFiG4/edit?usp=sharing"",""ลำปาง!Q542"")+IMPORTRANGE(""https://docs.goog"&amp;"le.com/spreadsheets/d/1ICwG78r0OFT8biBlxnBF8r7she7gNSzOvJ958PWT09c/edit?usp=sharing"",""ลำพูน!Q542"")+IMPORTRANGE(""https://docs.google.com/spreadsheets/d/1B0f2xJpZUC6Z0xXnqKlZtEPzsf6L84eP1r1Q15seqRM/edit?usp=sharing"",""สุโขทัย!Q542"")+IMPORTRANGE(""http"&amp;"s://docs.google.com/spreadsheets/d/1v0b9pFQCsKUVExMei7AgY2yQkdeNQvtOssygGsXbiKo/edit?usp=sharing"",""อุตรดิตถ์!Q542"")+IMPORTRANGE(""https://docs.google.com/spreadsheets/d/1UsNK1e-WWiCo2PvGqdNfdme4m17_Ezd3J69EeeiQPD0/edit?usp=sharing"",""อุทัยธานี!Q542"")"),0)</f>
        <v>0</v>
      </c>
      <c r="R542" s="46">
        <f ca="1">IFERROR(__xludf.DUMMYFUNCTION("IMPORTRANGE(""https://docs.google.com/spreadsheets/d/1jTcq05yEiRwXcBMLjiodW9e4biSGYWAHcDj22rKWQ3s/edit?usp=sharing"",""กำแพงเพชร!R542"")+IMPORTRANGE(""https://docs.google.com/spreadsheets/d/1KS0zmDSZPk8KnTAbGN-Xk6MtX1YRZD0ldgdt20K4CRk/edit?usp=sharing"","&amp;"""เชียงราย!R542"")+IMPORTRANGE(""https://docs.google.com/spreadsheets/d/1rEDxBtusbi64tE0zunoIbsTVV16HeL0oJ6trHQeQ7K8/edit?usp=sharing"",""เชียงใหม่!R542"")+IMPORTRANGE(""https://docs.google.com/spreadsheets/d/1W6MnUbDkMi6xHnHko_XkFDO9kkuL6Wqyc-6OCDFjW9I/e"&amp;"dit?usp=sharing"",""ตาก!R542"")+IMPORTRANGE(""https://docs.google.com/spreadsheets/d/1IQAWArduLkta9LpYo4a_ULsyqdta6-6aDDiwpUnQT6c/edit?usp=sharing"",""นครสวรรค์!R542"")+IMPORTRANGE(""https://docs.google.com/spreadsheets/d/10s13Sk5xrltsiR-Zkbmk5DwIaDIKO8Xl"&amp;"bJAfqyT7Gvg/edit?usp=sharing"",""น่าน!R542"")+IMPORTRANGE(""https://docs.google.com/spreadsheets/d/1uu4nAn4Dbi1XREnLKKotUANlKXa7yCgRcgq8HEzQYW8/edit?usp=sharing"",""พะเยา!R542"")+IMPORTRANGE(""https://docs.google.com/spreadsheets/d/1xfJKIQxVOaPDIICqsflNlL"&amp;"u3JacTDk1FP9RH4phX7mI/edit?usp=sharing"",""พิจิตร!R542"")+IMPORTRANGE(""https://docs.google.com/spreadsheets/d/1JtRfZkJMHtEhI5RdRHxYUG4FIZHqKDpNyIuN7A1Q0_k/edit?usp=sharing"",""พิษณุโลก!R542"")+IMPORTRANGE(""https://docs.google.com/spreadsheets/d/1xlcVZWU"&amp;"Nn6SuWm0c307h32SiGkd9BaeQWlAktfD3KO8/edit?usp=sharing"",""เพชรบูรณ์!R542"")+IMPORTRANGE(""https://docs.google.com/spreadsheets/d/1lOVebEIsI9qjGXl6EX66luk7wiuP2tBaryw-wKvv4e0/edit?usp=sharing"",""แพร่!R542"")+IMPORTRANGE(""https://docs.google.com/spreadshe"&amp;"ets/d/1dQrvX0vEcN7Gu0fnZ0B5S90AeR19zth4XlExFBeExMY/edit?usp=sharing"",""แม่ฮ่องสอน!R542"")+IMPORTRANGE(""https://docs.google.com/spreadsheets/d/1DY4XTNNwjluuxqdfdn6qvOSlMRrZqUtmYcZR0ttFiG4/edit?usp=sharing"",""ลำปาง!R542"")+IMPORTRANGE(""https://docs.goog"&amp;"le.com/spreadsheets/d/1ICwG78r0OFT8biBlxnBF8r7she7gNSzOvJ958PWT09c/edit?usp=sharing"",""ลำพูน!R542"")+IMPORTRANGE(""https://docs.google.com/spreadsheets/d/1B0f2xJpZUC6Z0xXnqKlZtEPzsf6L84eP1r1Q15seqRM/edit?usp=sharing"",""สุโขทัย!R542"")+IMPORTRANGE(""http"&amp;"s://docs.google.com/spreadsheets/d/1v0b9pFQCsKUVExMei7AgY2yQkdeNQvtOssygGsXbiKo/edit?usp=sharing"",""อุตรดิตถ์!R542"")+IMPORTRANGE(""https://docs.google.com/spreadsheets/d/1UsNK1e-WWiCo2PvGqdNfdme4m17_Ezd3J69EeeiQPD0/edit?usp=sharing"",""อุทัยธานี!R542"")"),0)</f>
        <v>0</v>
      </c>
      <c r="S542" s="46">
        <f ca="1">IFERROR(__xludf.DUMMYFUNCTION("IMPORTRANGE(""https://docs.google.com/spreadsheets/d/1jTcq05yEiRwXcBMLjiodW9e4biSGYWAHcDj22rKWQ3s/edit?usp=sharing"",""กำแพงเพชร!S542"")+IMPORTRANGE(""https://docs.google.com/spreadsheets/d/1KS0zmDSZPk8KnTAbGN-Xk6MtX1YRZD0ldgdt20K4CRk/edit?usp=sharing"","&amp;"""เชียงราย!S542"")+IMPORTRANGE(""https://docs.google.com/spreadsheets/d/1rEDxBtusbi64tE0zunoIbsTVV16HeL0oJ6trHQeQ7K8/edit?usp=sharing"",""เชียงใหม่!S542"")+IMPORTRANGE(""https://docs.google.com/spreadsheets/d/1W6MnUbDkMi6xHnHko_XkFDO9kkuL6Wqyc-6OCDFjW9I/e"&amp;"dit?usp=sharing"",""ตาก!S542"")+IMPORTRANGE(""https://docs.google.com/spreadsheets/d/1IQAWArduLkta9LpYo4a_ULsyqdta6-6aDDiwpUnQT6c/edit?usp=sharing"",""นครสวรรค์!S542"")+IMPORTRANGE(""https://docs.google.com/spreadsheets/d/10s13Sk5xrltsiR-Zkbmk5DwIaDIKO8Xl"&amp;"bJAfqyT7Gvg/edit?usp=sharing"",""น่าน!S542"")+IMPORTRANGE(""https://docs.google.com/spreadsheets/d/1uu4nAn4Dbi1XREnLKKotUANlKXa7yCgRcgq8HEzQYW8/edit?usp=sharing"",""พะเยา!S542"")+IMPORTRANGE(""https://docs.google.com/spreadsheets/d/1xfJKIQxVOaPDIICqsflNlL"&amp;"u3JacTDk1FP9RH4phX7mI/edit?usp=sharing"",""พิจิตร!S542"")+IMPORTRANGE(""https://docs.google.com/spreadsheets/d/1JtRfZkJMHtEhI5RdRHxYUG4FIZHqKDpNyIuN7A1Q0_k/edit?usp=sharing"",""พิษณุโลก!S542"")+IMPORTRANGE(""https://docs.google.com/spreadsheets/d/1xlcVZWU"&amp;"Nn6SuWm0c307h32SiGkd9BaeQWlAktfD3KO8/edit?usp=sharing"",""เพชรบูรณ์!S542"")+IMPORTRANGE(""https://docs.google.com/spreadsheets/d/1lOVebEIsI9qjGXl6EX66luk7wiuP2tBaryw-wKvv4e0/edit?usp=sharing"",""แพร่!S542"")+IMPORTRANGE(""https://docs.google.com/spreadshe"&amp;"ets/d/1dQrvX0vEcN7Gu0fnZ0B5S90AeR19zth4XlExFBeExMY/edit?usp=sharing"",""แม่ฮ่องสอน!S542"")+IMPORTRANGE(""https://docs.google.com/spreadsheets/d/1DY4XTNNwjluuxqdfdn6qvOSlMRrZqUtmYcZR0ttFiG4/edit?usp=sharing"",""ลำปาง!S542"")+IMPORTRANGE(""https://docs.goog"&amp;"le.com/spreadsheets/d/1ICwG78r0OFT8biBlxnBF8r7she7gNSzOvJ958PWT09c/edit?usp=sharing"",""ลำพูน!S542"")+IMPORTRANGE(""https://docs.google.com/spreadsheets/d/1B0f2xJpZUC6Z0xXnqKlZtEPzsf6L84eP1r1Q15seqRM/edit?usp=sharing"",""สุโขทัย!S542"")+IMPORTRANGE(""http"&amp;"s://docs.google.com/spreadsheets/d/1v0b9pFQCsKUVExMei7AgY2yQkdeNQvtOssygGsXbiKo/edit?usp=sharing"",""อุตรดิตถ์!S542"")+IMPORTRANGE(""https://docs.google.com/spreadsheets/d/1UsNK1e-WWiCo2PvGqdNfdme4m17_Ezd3J69EeeiQPD0/edit?usp=sharing"",""อุทัยธานี!S542"")"),0)</f>
        <v>0</v>
      </c>
      <c r="T542" s="46">
        <f t="shared" ca="1" si="382"/>
        <v>0</v>
      </c>
      <c r="U542" s="46">
        <f t="shared" ca="1" si="383"/>
        <v>0</v>
      </c>
    </row>
    <row r="543" spans="1:21" ht="19.5" x14ac:dyDescent="0.3">
      <c r="A543" s="138"/>
      <c r="B543" s="139"/>
      <c r="C543" s="364" t="s">
        <v>18</v>
      </c>
      <c r="D543" s="140" t="s">
        <v>38</v>
      </c>
      <c r="E543" s="141"/>
      <c r="F543" s="141"/>
      <c r="G543" s="142"/>
      <c r="H543" s="143"/>
      <c r="I543" s="135"/>
      <c r="J543" s="44"/>
      <c r="K543" s="45"/>
      <c r="L543" s="45"/>
      <c r="M543" s="45"/>
      <c r="N543" s="45"/>
      <c r="O543" s="136"/>
      <c r="P543" s="136"/>
      <c r="Q543" s="45"/>
      <c r="R543" s="45"/>
      <c r="S543" s="45"/>
      <c r="T543" s="136"/>
      <c r="U543" s="136"/>
    </row>
    <row r="544" spans="1:21" ht="18.75" x14ac:dyDescent="0.25">
      <c r="A544" s="365"/>
      <c r="B544" s="366"/>
      <c r="C544" s="367"/>
      <c r="D544" s="368" t="s">
        <v>209</v>
      </c>
      <c r="E544" s="367"/>
      <c r="F544" s="366"/>
      <c r="G544" s="369"/>
      <c r="H544" s="370" t="s">
        <v>61</v>
      </c>
      <c r="I544" s="371">
        <f ca="1">IFERROR(__xludf.DUMMYFUNCTION("IMPORTRANGE(""https://docs.google.com/spreadsheets/d/1jTcq05yEiRwXcBMLjiodW9e4biSGYWAHcDj22rKWQ3s/edit?usp=sharing"",""กำแพงเพชร!I544"")+IMPORTRANGE(""https://docs.google.com/spreadsheets/d/1KS0zmDSZPk8KnTAbGN-Xk6MtX1YRZD0ldgdt20K4CRk/edit?usp=sharing"","&amp;"""เชียงราย!I544"")+IMPORTRANGE(""https://docs.google.com/spreadsheets/d/1rEDxBtusbi64tE0zunoIbsTVV16HeL0oJ6trHQeQ7K8/edit?usp=sharing"",""เชียงใหม่!I544"")+IMPORTRANGE(""https://docs.google.com/spreadsheets/d/1W6MnUbDkMi6xHnHko_XkFDO9kkuL6Wqyc-6OCDFjW9I/e"&amp;"dit?usp=sharing"",""ตาก!I544"")+IMPORTRANGE(""https://docs.google.com/spreadsheets/d/1IQAWArduLkta9LpYo4a_ULsyqdta6-6aDDiwpUnQT6c/edit?usp=sharing"",""นครสวรรค์!I544"")+IMPORTRANGE(""https://docs.google.com/spreadsheets/d/10s13Sk5xrltsiR-Zkbmk5DwIaDIKO8Xl"&amp;"bJAfqyT7Gvg/edit?usp=sharing"",""น่าน!I544"")+IMPORTRANGE(""https://docs.google.com/spreadsheets/d/1uu4nAn4Dbi1XREnLKKotUANlKXa7yCgRcgq8HEzQYW8/edit?usp=sharing"",""พะเยา!I544"")+IMPORTRANGE(""https://docs.google.com/spreadsheets/d/1xfJKIQxVOaPDIICqsflNlL"&amp;"u3JacTDk1FP9RH4phX7mI/edit?usp=sharing"",""พิจิตร!I544"")+IMPORTRANGE(""https://docs.google.com/spreadsheets/d/1JtRfZkJMHtEhI5RdRHxYUG4FIZHqKDpNyIuN7A1Q0_k/edit?usp=sharing"",""พิษณุโลก!I544"")+IMPORTRANGE(""https://docs.google.com/spreadsheets/d/1xlcVZWU"&amp;"Nn6SuWm0c307h32SiGkd9BaeQWlAktfD3KO8/edit?usp=sharing"",""เพชรบูรณ์!I544"")+IMPORTRANGE(""https://docs.google.com/spreadsheets/d/1lOVebEIsI9qjGXl6EX66luk7wiuP2tBaryw-wKvv4e0/edit?usp=sharing"",""แพร่!I544"")+IMPORTRANGE(""https://docs.google.com/spreadshe"&amp;"ets/d/1dQrvX0vEcN7Gu0fnZ0B5S90AeR19zth4XlExFBeExMY/edit?usp=sharing"",""แม่ฮ่องสอน!I544"")+IMPORTRANGE(""https://docs.google.com/spreadsheets/d/1DY4XTNNwjluuxqdfdn6qvOSlMRrZqUtmYcZR0ttFiG4/edit?usp=sharing"",""ลำปาง!I544"")+IMPORTRANGE(""https://docs.goog"&amp;"le.com/spreadsheets/d/1ICwG78r0OFT8biBlxnBF8r7she7gNSzOvJ958PWT09c/edit?usp=sharing"",""ลำพูน!I544"")+IMPORTRANGE(""https://docs.google.com/spreadsheets/d/1B0f2xJpZUC6Z0xXnqKlZtEPzsf6L84eP1r1Q15seqRM/edit?usp=sharing"",""สุโขทัย!I544"")+IMPORTRANGE(""http"&amp;"s://docs.google.com/spreadsheets/d/1v0b9pFQCsKUVExMei7AgY2yQkdeNQvtOssygGsXbiKo/edit?usp=sharing"",""อุตรดิตถ์!I544"")+IMPORTRANGE(""https://docs.google.com/spreadsheets/d/1UsNK1e-WWiCo2PvGqdNfdme4m17_Ezd3J69EeeiQPD0/edit?usp=sharing"",""อุทัยธานี!I544"")"),3)</f>
        <v>3</v>
      </c>
      <c r="J544" s="371">
        <f ca="1">IFERROR(__xludf.DUMMYFUNCTION("IMPORTRANGE(""https://docs.google.com/spreadsheets/d/1jTcq05yEiRwXcBMLjiodW9e4biSGYWAHcDj22rKWQ3s/edit?usp=sharing"",""กำแพงเพชร!J544"")+IMPORTRANGE(""https://docs.google.com/spreadsheets/d/1KS0zmDSZPk8KnTAbGN-Xk6MtX1YRZD0ldgdt20K4CRk/edit?usp=sharing"","&amp;"""เชียงราย!J544"")+IMPORTRANGE(""https://docs.google.com/spreadsheets/d/1rEDxBtusbi64tE0zunoIbsTVV16HeL0oJ6trHQeQ7K8/edit?usp=sharing"",""เชียงใหม่!J544"")+IMPORTRANGE(""https://docs.google.com/spreadsheets/d/1W6MnUbDkMi6xHnHko_XkFDO9kkuL6Wqyc-6OCDFjW9I/e"&amp;"dit?usp=sharing"",""ตาก!J544"")+IMPORTRANGE(""https://docs.google.com/spreadsheets/d/1IQAWArduLkta9LpYo4a_ULsyqdta6-6aDDiwpUnQT6c/edit?usp=sharing"",""นครสวรรค์!J544"")+IMPORTRANGE(""https://docs.google.com/spreadsheets/d/10s13Sk5xrltsiR-Zkbmk5DwIaDIKO8Xl"&amp;"bJAfqyT7Gvg/edit?usp=sharing"",""น่าน!J544"")+IMPORTRANGE(""https://docs.google.com/spreadsheets/d/1uu4nAn4Dbi1XREnLKKotUANlKXa7yCgRcgq8HEzQYW8/edit?usp=sharing"",""พะเยา!J544"")+IMPORTRANGE(""https://docs.google.com/spreadsheets/d/1xfJKIQxVOaPDIICqsflNlL"&amp;"u3JacTDk1FP9RH4phX7mI/edit?usp=sharing"",""พิจิตร!J544"")+IMPORTRANGE(""https://docs.google.com/spreadsheets/d/1JtRfZkJMHtEhI5RdRHxYUG4FIZHqKDpNyIuN7A1Q0_k/edit?usp=sharing"",""พิษณุโลก!J544"")+IMPORTRANGE(""https://docs.google.com/spreadsheets/d/1xlcVZWU"&amp;"Nn6SuWm0c307h32SiGkd9BaeQWlAktfD3KO8/edit?usp=sharing"",""เพชรบูรณ์!J544"")+IMPORTRANGE(""https://docs.google.com/spreadsheets/d/1lOVebEIsI9qjGXl6EX66luk7wiuP2tBaryw-wKvv4e0/edit?usp=sharing"",""แพร่!J544"")+IMPORTRANGE(""https://docs.google.com/spreadshe"&amp;"ets/d/1dQrvX0vEcN7Gu0fnZ0B5S90AeR19zth4XlExFBeExMY/edit?usp=sharing"",""แม่ฮ่องสอน!J544"")+IMPORTRANGE(""https://docs.google.com/spreadsheets/d/1DY4XTNNwjluuxqdfdn6qvOSlMRrZqUtmYcZR0ttFiG4/edit?usp=sharing"",""ลำปาง!J544"")+IMPORTRANGE(""https://docs.goog"&amp;"le.com/spreadsheets/d/1ICwG78r0OFT8biBlxnBF8r7she7gNSzOvJ958PWT09c/edit?usp=sharing"",""ลำพูน!J544"")+IMPORTRANGE(""https://docs.google.com/spreadsheets/d/1B0f2xJpZUC6Z0xXnqKlZtEPzsf6L84eP1r1Q15seqRM/edit?usp=sharing"",""สุโขทัย!J544"")+IMPORTRANGE(""http"&amp;"s://docs.google.com/spreadsheets/d/1v0b9pFQCsKUVExMei7AgY2yQkdeNQvtOssygGsXbiKo/edit?usp=sharing"",""อุตรดิตถ์!J544"")+IMPORTRANGE(""https://docs.google.com/spreadsheets/d/1UsNK1e-WWiCo2PvGqdNfdme4m17_Ezd3J69EeeiQPD0/edit?usp=sharing"",""อุทัยธานี!J544"")"),0)</f>
        <v>0</v>
      </c>
      <c r="K544" s="372">
        <f ca="1">IF(I544&gt;0,J544*100/I544,0)</f>
        <v>0</v>
      </c>
      <c r="L544" s="373"/>
      <c r="M544" s="373"/>
      <c r="N544" s="373"/>
      <c r="O544" s="373"/>
      <c r="P544" s="373"/>
      <c r="Q544" s="373"/>
      <c r="R544" s="373"/>
      <c r="S544" s="373"/>
      <c r="T544" s="373"/>
      <c r="U544" s="373"/>
    </row>
    <row r="545" spans="1:21" ht="12.75" hidden="1" x14ac:dyDescent="0.2">
      <c r="A545" s="227"/>
      <c r="B545" s="229"/>
      <c r="C545" s="228"/>
      <c r="D545" s="229"/>
      <c r="E545" s="228"/>
      <c r="F545" s="229"/>
      <c r="G545" s="230"/>
      <c r="H545" s="230"/>
      <c r="I545" s="232"/>
      <c r="J545" s="232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</row>
    <row r="546" spans="1:21" ht="12.75" hidden="1" x14ac:dyDescent="0.2">
      <c r="A546" s="227"/>
      <c r="B546" s="228"/>
      <c r="C546" s="228"/>
      <c r="D546" s="229"/>
      <c r="E546" s="229"/>
      <c r="F546" s="229"/>
      <c r="G546" s="230"/>
      <c r="H546" s="231"/>
      <c r="I546" s="232"/>
      <c r="J546" s="232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</row>
    <row r="547" spans="1:21" ht="12.75" hidden="1" x14ac:dyDescent="0.2">
      <c r="A547" s="227"/>
      <c r="B547" s="228"/>
      <c r="C547" s="228"/>
      <c r="D547" s="229"/>
      <c r="E547" s="229"/>
      <c r="F547" s="229"/>
      <c r="G547" s="230"/>
      <c r="H547" s="231"/>
      <c r="I547" s="232"/>
      <c r="J547" s="232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</row>
    <row r="548" spans="1:21" ht="12.75" hidden="1" x14ac:dyDescent="0.2">
      <c r="A548" s="227"/>
      <c r="B548" s="228"/>
      <c r="C548" s="228"/>
      <c r="D548" s="229"/>
      <c r="E548" s="229"/>
      <c r="F548" s="229"/>
      <c r="G548" s="230"/>
      <c r="H548" s="231"/>
      <c r="I548" s="232"/>
      <c r="J548" s="232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</row>
    <row r="549" spans="1:21" ht="12.75" hidden="1" x14ac:dyDescent="0.2">
      <c r="A549" s="227"/>
      <c r="B549" s="228"/>
      <c r="C549" s="228"/>
      <c r="D549" s="229"/>
      <c r="E549" s="229"/>
      <c r="F549" s="229"/>
      <c r="G549" s="230"/>
      <c r="H549" s="231"/>
      <c r="I549" s="232"/>
      <c r="J549" s="232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</row>
    <row r="550" spans="1:21" ht="12.75" hidden="1" x14ac:dyDescent="0.2">
      <c r="A550" s="227"/>
      <c r="B550" s="228"/>
      <c r="C550" s="228"/>
      <c r="D550" s="229"/>
      <c r="E550" s="229"/>
      <c r="F550" s="229"/>
      <c r="G550" s="230"/>
      <c r="H550" s="231"/>
      <c r="I550" s="232"/>
      <c r="J550" s="232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  <c r="U550" s="233"/>
    </row>
    <row r="551" spans="1:21" ht="12.75" hidden="1" x14ac:dyDescent="0.2">
      <c r="A551" s="227"/>
      <c r="B551" s="228"/>
      <c r="C551" s="228"/>
      <c r="D551" s="229"/>
      <c r="E551" s="229"/>
      <c r="F551" s="229"/>
      <c r="G551" s="230"/>
      <c r="H551" s="231"/>
      <c r="I551" s="232"/>
      <c r="J551" s="232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</row>
    <row r="552" spans="1:21" ht="12.75" hidden="1" x14ac:dyDescent="0.2">
      <c r="A552" s="227"/>
      <c r="B552" s="228"/>
      <c r="C552" s="228"/>
      <c r="D552" s="229"/>
      <c r="E552" s="229"/>
      <c r="F552" s="229"/>
      <c r="G552" s="230"/>
      <c r="H552" s="231"/>
      <c r="I552" s="232"/>
      <c r="J552" s="232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</row>
    <row r="553" spans="1:21" ht="12.75" hidden="1" x14ac:dyDescent="0.2">
      <c r="A553" s="360"/>
      <c r="B553" s="316"/>
      <c r="C553" s="316"/>
      <c r="D553" s="361"/>
      <c r="E553" s="361"/>
      <c r="F553" s="361"/>
      <c r="G553" s="362"/>
      <c r="H553" s="317"/>
      <c r="I553" s="318"/>
      <c r="J553" s="318"/>
      <c r="K553" s="319"/>
      <c r="L553" s="319"/>
      <c r="M553" s="319"/>
      <c r="N553" s="319"/>
      <c r="O553" s="319"/>
      <c r="P553" s="319"/>
      <c r="Q553" s="319"/>
      <c r="R553" s="319"/>
      <c r="S553" s="319"/>
      <c r="T553" s="319"/>
      <c r="U553" s="319"/>
    </row>
    <row r="554" spans="1:21" ht="19.5" x14ac:dyDescent="0.3">
      <c r="A554" s="349"/>
      <c r="B554" s="350" t="s">
        <v>211</v>
      </c>
      <c r="C554" s="351"/>
      <c r="D554" s="352"/>
      <c r="E554" s="352"/>
      <c r="F554" s="352"/>
      <c r="G554" s="353"/>
      <c r="H554" s="363" t="s">
        <v>61</v>
      </c>
      <c r="I554" s="374">
        <f t="shared" ref="I554:J554" si="392">I566</f>
        <v>0</v>
      </c>
      <c r="J554" s="374">
        <f t="shared" si="392"/>
        <v>0</v>
      </c>
      <c r="K554" s="356">
        <f>IF(I554&gt;0,J554*100/I554,0)</f>
        <v>0</v>
      </c>
      <c r="L554" s="357"/>
      <c r="M554" s="357"/>
      <c r="N554" s="357"/>
      <c r="O554" s="357"/>
      <c r="P554" s="357"/>
      <c r="Q554" s="357"/>
      <c r="R554" s="357"/>
      <c r="S554" s="357"/>
      <c r="T554" s="357"/>
      <c r="U554" s="357"/>
    </row>
    <row r="555" spans="1:21" ht="19.5" x14ac:dyDescent="0.3">
      <c r="A555" s="128"/>
      <c r="B555" s="40"/>
      <c r="C555" s="129" t="s">
        <v>18</v>
      </c>
      <c r="D555" s="130" t="s">
        <v>19</v>
      </c>
      <c r="E555" s="40"/>
      <c r="F555" s="40"/>
      <c r="G555" s="42"/>
      <c r="H555" s="131" t="s">
        <v>14</v>
      </c>
      <c r="I555" s="44"/>
      <c r="J555" s="44"/>
      <c r="K555" s="45"/>
      <c r="L555" s="132">
        <f t="shared" ref="L555:N555" ca="1" si="393">L556+L557</f>
        <v>8149000</v>
      </c>
      <c r="M555" s="132">
        <f t="shared" ca="1" si="393"/>
        <v>8149000</v>
      </c>
      <c r="N555" s="132">
        <f t="shared" ca="1" si="393"/>
        <v>0</v>
      </c>
      <c r="O555" s="132">
        <f t="shared" ref="O555:O563" ca="1" si="394">IF(L555&gt;0,N555*100/L555,0)</f>
        <v>0</v>
      </c>
      <c r="P555" s="132">
        <f t="shared" ref="P555:P563" ca="1" si="395">IF(M555&gt;0,N555*100/M555,0)</f>
        <v>0</v>
      </c>
      <c r="Q555" s="132">
        <f t="shared" ref="Q555:S555" ca="1" si="396">Q556+Q557</f>
        <v>0</v>
      </c>
      <c r="R555" s="132">
        <f t="shared" ca="1" si="396"/>
        <v>0</v>
      </c>
      <c r="S555" s="132">
        <f t="shared" ca="1" si="396"/>
        <v>0</v>
      </c>
      <c r="T555" s="132">
        <f t="shared" ref="T555:T563" ca="1" si="397">IF(Q555&gt;0,S555*100/Q555,0)</f>
        <v>0</v>
      </c>
      <c r="U555" s="132">
        <f t="shared" ref="U555:U563" ca="1" si="398">IF(R555&gt;0,S555*100/R555,0)</f>
        <v>0</v>
      </c>
    </row>
    <row r="556" spans="1:21" ht="18.75" x14ac:dyDescent="0.25">
      <c r="A556" s="128"/>
      <c r="B556" s="158"/>
      <c r="C556" s="40"/>
      <c r="D556" s="40"/>
      <c r="E556" s="156" t="s">
        <v>20</v>
      </c>
      <c r="F556" s="40"/>
      <c r="G556" s="42"/>
      <c r="H556" s="157" t="s">
        <v>14</v>
      </c>
      <c r="I556" s="44"/>
      <c r="J556" s="44"/>
      <c r="K556" s="45"/>
      <c r="L556" s="48">
        <f t="shared" ref="L556:N556" ca="1" si="399">L559+L562</f>
        <v>0</v>
      </c>
      <c r="M556" s="48">
        <f t="shared" ca="1" si="399"/>
        <v>0</v>
      </c>
      <c r="N556" s="48">
        <f t="shared" ca="1" si="399"/>
        <v>0</v>
      </c>
      <c r="O556" s="48">
        <f t="shared" ca="1" si="394"/>
        <v>0</v>
      </c>
      <c r="P556" s="48">
        <f t="shared" ca="1" si="395"/>
        <v>0</v>
      </c>
      <c r="Q556" s="48">
        <f t="shared" ref="Q556:S556" ca="1" si="400">Q559+Q562</f>
        <v>0</v>
      </c>
      <c r="R556" s="48">
        <f t="shared" ca="1" si="400"/>
        <v>0</v>
      </c>
      <c r="S556" s="48">
        <f t="shared" ca="1" si="400"/>
        <v>0</v>
      </c>
      <c r="T556" s="48">
        <f t="shared" ca="1" si="397"/>
        <v>0</v>
      </c>
      <c r="U556" s="48">
        <f t="shared" ca="1" si="398"/>
        <v>0</v>
      </c>
    </row>
    <row r="557" spans="1:21" ht="18.75" x14ac:dyDescent="0.25">
      <c r="A557" s="128"/>
      <c r="B557" s="40"/>
      <c r="C557" s="158"/>
      <c r="D557" s="40"/>
      <c r="E557" s="209" t="s">
        <v>21</v>
      </c>
      <c r="F557" s="40"/>
      <c r="G557" s="42"/>
      <c r="H557" s="133" t="s">
        <v>14</v>
      </c>
      <c r="I557" s="44"/>
      <c r="J557" s="44"/>
      <c r="K557" s="45"/>
      <c r="L557" s="46">
        <f t="shared" ref="L557:N557" ca="1" si="401">L560+L563</f>
        <v>8149000</v>
      </c>
      <c r="M557" s="46">
        <f t="shared" ca="1" si="401"/>
        <v>8149000</v>
      </c>
      <c r="N557" s="46">
        <f t="shared" ca="1" si="401"/>
        <v>0</v>
      </c>
      <c r="O557" s="46">
        <f t="shared" ca="1" si="394"/>
        <v>0</v>
      </c>
      <c r="P557" s="46">
        <f t="shared" ca="1" si="395"/>
        <v>0</v>
      </c>
      <c r="Q557" s="46">
        <f t="shared" ref="Q557:S557" ca="1" si="402">Q560+Q563</f>
        <v>0</v>
      </c>
      <c r="R557" s="46">
        <f t="shared" ca="1" si="402"/>
        <v>0</v>
      </c>
      <c r="S557" s="46">
        <f t="shared" ca="1" si="402"/>
        <v>0</v>
      </c>
      <c r="T557" s="46">
        <f t="shared" ca="1" si="397"/>
        <v>0</v>
      </c>
      <c r="U557" s="46">
        <f t="shared" ca="1" si="398"/>
        <v>0</v>
      </c>
    </row>
    <row r="558" spans="1:21" ht="18.75" x14ac:dyDescent="0.25">
      <c r="A558" s="128"/>
      <c r="B558" s="40"/>
      <c r="C558" s="158"/>
      <c r="D558" s="41" t="s">
        <v>22</v>
      </c>
      <c r="E558" s="158"/>
      <c r="F558" s="40"/>
      <c r="G558" s="42"/>
      <c r="H558" s="134" t="s">
        <v>14</v>
      </c>
      <c r="I558" s="135"/>
      <c r="J558" s="135"/>
      <c r="K558" s="136"/>
      <c r="L558" s="46">
        <f t="shared" ref="L558:N558" ca="1" si="403">L559+L560</f>
        <v>0</v>
      </c>
      <c r="M558" s="46">
        <f t="shared" ca="1" si="403"/>
        <v>0</v>
      </c>
      <c r="N558" s="46">
        <f t="shared" ca="1" si="403"/>
        <v>0</v>
      </c>
      <c r="O558" s="46">
        <f t="shared" ca="1" si="394"/>
        <v>0</v>
      </c>
      <c r="P558" s="46">
        <f t="shared" ca="1" si="395"/>
        <v>0</v>
      </c>
      <c r="Q558" s="46">
        <f t="shared" ref="Q558:S558" ca="1" si="404">Q559+Q560</f>
        <v>0</v>
      </c>
      <c r="R558" s="46">
        <f t="shared" ca="1" si="404"/>
        <v>0</v>
      </c>
      <c r="S558" s="46">
        <f t="shared" ca="1" si="404"/>
        <v>0</v>
      </c>
      <c r="T558" s="46">
        <f t="shared" ca="1" si="397"/>
        <v>0</v>
      </c>
      <c r="U558" s="46">
        <f t="shared" ca="1" si="398"/>
        <v>0</v>
      </c>
    </row>
    <row r="559" spans="1:21" ht="18.75" x14ac:dyDescent="0.25">
      <c r="A559" s="128"/>
      <c r="B559" s="40"/>
      <c r="C559" s="40"/>
      <c r="D559" s="40"/>
      <c r="E559" s="156" t="s">
        <v>36</v>
      </c>
      <c r="F559" s="40"/>
      <c r="G559" s="42"/>
      <c r="H559" s="159" t="s">
        <v>14</v>
      </c>
      <c r="I559" s="135"/>
      <c r="J559" s="135"/>
      <c r="K559" s="136"/>
      <c r="L559" s="48">
        <f ca="1">IFERROR(__xludf.DUMMYFUNCTION("IMPORTRANGE(""https://docs.google.com/spreadsheets/d/1jTcq05yEiRwXcBMLjiodW9e4biSGYWAHcDj22rKWQ3s/edit?usp=sharing"",""กำแพงเพชร!L559"")+IMPORTRANGE(""https://docs.google.com/spreadsheets/d/1KS0zmDSZPk8KnTAbGN-Xk6MtX1YRZD0ldgdt20K4CRk/edit?usp=sharing"","&amp;"""เชียงราย!L559"")+IMPORTRANGE(""https://docs.google.com/spreadsheets/d/1rEDxBtusbi64tE0zunoIbsTVV16HeL0oJ6trHQeQ7K8/edit?usp=sharing"",""เชียงใหม่!L559"")+IMPORTRANGE(""https://docs.google.com/spreadsheets/d/1W6MnUbDkMi6xHnHko_XkFDO9kkuL6Wqyc-6OCDFjW9I/e"&amp;"dit?usp=sharing"",""ตาก!L559"")+IMPORTRANGE(""https://docs.google.com/spreadsheets/d/1IQAWArduLkta9LpYo4a_ULsyqdta6-6aDDiwpUnQT6c/edit?usp=sharing"",""นครสวรรค์!L559"")+IMPORTRANGE(""https://docs.google.com/spreadsheets/d/10s13Sk5xrltsiR-Zkbmk5DwIaDIKO8Xl"&amp;"bJAfqyT7Gvg/edit?usp=sharing"",""น่าน!L559"")+IMPORTRANGE(""https://docs.google.com/spreadsheets/d/1uu4nAn4Dbi1XREnLKKotUANlKXa7yCgRcgq8HEzQYW8/edit?usp=sharing"",""พะเยา!L559"")+IMPORTRANGE(""https://docs.google.com/spreadsheets/d/1xfJKIQxVOaPDIICqsflNlL"&amp;"u3JacTDk1FP9RH4phX7mI/edit?usp=sharing"",""พิจิตร!L559"")+IMPORTRANGE(""https://docs.google.com/spreadsheets/d/1JtRfZkJMHtEhI5RdRHxYUG4FIZHqKDpNyIuN7A1Q0_k/edit?usp=sharing"",""พิษณุโลก!L559"")+IMPORTRANGE(""https://docs.google.com/spreadsheets/d/1xlcVZWU"&amp;"Nn6SuWm0c307h32SiGkd9BaeQWlAktfD3KO8/edit?usp=sharing"",""เพชรบูรณ์!L559"")+IMPORTRANGE(""https://docs.google.com/spreadsheets/d/1lOVebEIsI9qjGXl6EX66luk7wiuP2tBaryw-wKvv4e0/edit?usp=sharing"",""แพร่!L559"")+IMPORTRANGE(""https://docs.google.com/spreadshe"&amp;"ets/d/1dQrvX0vEcN7Gu0fnZ0B5S90AeR19zth4XlExFBeExMY/edit?usp=sharing"",""แม่ฮ่องสอน!L559"")+IMPORTRANGE(""https://docs.google.com/spreadsheets/d/1DY4XTNNwjluuxqdfdn6qvOSlMRrZqUtmYcZR0ttFiG4/edit?usp=sharing"",""ลำปาง!L559"")+IMPORTRANGE(""https://docs.goog"&amp;"le.com/spreadsheets/d/1ICwG78r0OFT8biBlxnBF8r7she7gNSzOvJ958PWT09c/edit?usp=sharing"",""ลำพูน!L559"")+IMPORTRANGE(""https://docs.google.com/spreadsheets/d/1B0f2xJpZUC6Z0xXnqKlZtEPzsf6L84eP1r1Q15seqRM/edit?usp=sharing"",""สุโขทัย!L559"")+IMPORTRANGE(""http"&amp;"s://docs.google.com/spreadsheets/d/1v0b9pFQCsKUVExMei7AgY2yQkdeNQvtOssygGsXbiKo/edit?usp=sharing"",""อุตรดิตถ์!L559"")+IMPORTRANGE(""https://docs.google.com/spreadsheets/d/1UsNK1e-WWiCo2PvGqdNfdme4m17_Ezd3J69EeeiQPD0/edit?usp=sharing"",""อุทัยธานี!L559"")"),0)</f>
        <v>0</v>
      </c>
      <c r="M559" s="48">
        <f ca="1">IFERROR(__xludf.DUMMYFUNCTION("IMPORTRANGE(""https://docs.google.com/spreadsheets/d/1jTcq05yEiRwXcBMLjiodW9e4biSGYWAHcDj22rKWQ3s/edit?usp=sharing"",""กำแพงเพชร!M559"")+IMPORTRANGE(""https://docs.google.com/spreadsheets/d/1KS0zmDSZPk8KnTAbGN-Xk6MtX1YRZD0ldgdt20K4CRk/edit?usp=sharing"","&amp;"""เชียงราย!M559"")+IMPORTRANGE(""https://docs.google.com/spreadsheets/d/1rEDxBtusbi64tE0zunoIbsTVV16HeL0oJ6trHQeQ7K8/edit?usp=sharing"",""เชียงใหม่!M559"")+IMPORTRANGE(""https://docs.google.com/spreadsheets/d/1W6MnUbDkMi6xHnHko_XkFDO9kkuL6Wqyc-6OCDFjW9I/e"&amp;"dit?usp=sharing"",""ตาก!M559"")+IMPORTRANGE(""https://docs.google.com/spreadsheets/d/1IQAWArduLkta9LpYo4a_ULsyqdta6-6aDDiwpUnQT6c/edit?usp=sharing"",""นครสวรรค์!M559"")+IMPORTRANGE(""https://docs.google.com/spreadsheets/d/10s13Sk5xrltsiR-Zkbmk5DwIaDIKO8Xl"&amp;"bJAfqyT7Gvg/edit?usp=sharing"",""น่าน!M559"")+IMPORTRANGE(""https://docs.google.com/spreadsheets/d/1uu4nAn4Dbi1XREnLKKotUANlKXa7yCgRcgq8HEzQYW8/edit?usp=sharing"",""พะเยา!M559"")+IMPORTRANGE(""https://docs.google.com/spreadsheets/d/1xfJKIQxVOaPDIICqsflNlL"&amp;"u3JacTDk1FP9RH4phX7mI/edit?usp=sharing"",""พิจิตร!M559"")+IMPORTRANGE(""https://docs.google.com/spreadsheets/d/1JtRfZkJMHtEhI5RdRHxYUG4FIZHqKDpNyIuN7A1Q0_k/edit?usp=sharing"",""พิษณุโลก!M559"")+IMPORTRANGE(""https://docs.google.com/spreadsheets/d/1xlcVZWU"&amp;"Nn6SuWm0c307h32SiGkd9BaeQWlAktfD3KO8/edit?usp=sharing"",""เพชรบูรณ์!M559"")+IMPORTRANGE(""https://docs.google.com/spreadsheets/d/1lOVebEIsI9qjGXl6EX66luk7wiuP2tBaryw-wKvv4e0/edit?usp=sharing"",""แพร่!M559"")+IMPORTRANGE(""https://docs.google.com/spreadshe"&amp;"ets/d/1dQrvX0vEcN7Gu0fnZ0B5S90AeR19zth4XlExFBeExMY/edit?usp=sharing"",""แม่ฮ่องสอน!M559"")+IMPORTRANGE(""https://docs.google.com/spreadsheets/d/1DY4XTNNwjluuxqdfdn6qvOSlMRrZqUtmYcZR0ttFiG4/edit?usp=sharing"",""ลำปาง!M559"")+IMPORTRANGE(""https://docs.goog"&amp;"le.com/spreadsheets/d/1ICwG78r0OFT8biBlxnBF8r7she7gNSzOvJ958PWT09c/edit?usp=sharing"",""ลำพูน!M559"")+IMPORTRANGE(""https://docs.google.com/spreadsheets/d/1B0f2xJpZUC6Z0xXnqKlZtEPzsf6L84eP1r1Q15seqRM/edit?usp=sharing"",""สุโขทัย!M559"")+IMPORTRANGE(""http"&amp;"s://docs.google.com/spreadsheets/d/1v0b9pFQCsKUVExMei7AgY2yQkdeNQvtOssygGsXbiKo/edit?usp=sharing"",""อุตรดิตถ์!M559"")+IMPORTRANGE(""https://docs.google.com/spreadsheets/d/1UsNK1e-WWiCo2PvGqdNfdme4m17_Ezd3J69EeeiQPD0/edit?usp=sharing"",""อุทัยธานี!M559"")"),0)</f>
        <v>0</v>
      </c>
      <c r="N559" s="48">
        <f ca="1">IFERROR(__xludf.DUMMYFUNCTION("IMPORTRANGE(""https://docs.google.com/spreadsheets/d/1jTcq05yEiRwXcBMLjiodW9e4biSGYWAHcDj22rKWQ3s/edit?usp=sharing"",""กำแพงเพชร!N559"")+IMPORTRANGE(""https://docs.google.com/spreadsheets/d/1KS0zmDSZPk8KnTAbGN-Xk6MtX1YRZD0ldgdt20K4CRk/edit?usp=sharing"","&amp;"""เชียงราย!N559"")+IMPORTRANGE(""https://docs.google.com/spreadsheets/d/1rEDxBtusbi64tE0zunoIbsTVV16HeL0oJ6trHQeQ7K8/edit?usp=sharing"",""เชียงใหม่!N559"")+IMPORTRANGE(""https://docs.google.com/spreadsheets/d/1W6MnUbDkMi6xHnHko_XkFDO9kkuL6Wqyc-6OCDFjW9I/e"&amp;"dit?usp=sharing"",""ตาก!N559"")+IMPORTRANGE(""https://docs.google.com/spreadsheets/d/1IQAWArduLkta9LpYo4a_ULsyqdta6-6aDDiwpUnQT6c/edit?usp=sharing"",""นครสวรรค์!N559"")+IMPORTRANGE(""https://docs.google.com/spreadsheets/d/10s13Sk5xrltsiR-Zkbmk5DwIaDIKO8Xl"&amp;"bJAfqyT7Gvg/edit?usp=sharing"",""น่าน!N559"")+IMPORTRANGE(""https://docs.google.com/spreadsheets/d/1uu4nAn4Dbi1XREnLKKotUANlKXa7yCgRcgq8HEzQYW8/edit?usp=sharing"",""พะเยา!N559"")+IMPORTRANGE(""https://docs.google.com/spreadsheets/d/1xfJKIQxVOaPDIICqsflNlL"&amp;"u3JacTDk1FP9RH4phX7mI/edit?usp=sharing"",""พิจิตร!N559"")+IMPORTRANGE(""https://docs.google.com/spreadsheets/d/1JtRfZkJMHtEhI5RdRHxYUG4FIZHqKDpNyIuN7A1Q0_k/edit?usp=sharing"",""พิษณุโลก!N559"")+IMPORTRANGE(""https://docs.google.com/spreadsheets/d/1xlcVZWU"&amp;"Nn6SuWm0c307h32SiGkd9BaeQWlAktfD3KO8/edit?usp=sharing"",""เพชรบูรณ์!N559"")+IMPORTRANGE(""https://docs.google.com/spreadsheets/d/1lOVebEIsI9qjGXl6EX66luk7wiuP2tBaryw-wKvv4e0/edit?usp=sharing"",""แพร่!N559"")+IMPORTRANGE(""https://docs.google.com/spreadshe"&amp;"ets/d/1dQrvX0vEcN7Gu0fnZ0B5S90AeR19zth4XlExFBeExMY/edit?usp=sharing"",""แม่ฮ่องสอน!N559"")+IMPORTRANGE(""https://docs.google.com/spreadsheets/d/1DY4XTNNwjluuxqdfdn6qvOSlMRrZqUtmYcZR0ttFiG4/edit?usp=sharing"",""ลำปาง!N559"")+IMPORTRANGE(""https://docs.goog"&amp;"le.com/spreadsheets/d/1ICwG78r0OFT8biBlxnBF8r7she7gNSzOvJ958PWT09c/edit?usp=sharing"",""ลำพูน!N559"")+IMPORTRANGE(""https://docs.google.com/spreadsheets/d/1B0f2xJpZUC6Z0xXnqKlZtEPzsf6L84eP1r1Q15seqRM/edit?usp=sharing"",""สุโขทัย!N559"")+IMPORTRANGE(""http"&amp;"s://docs.google.com/spreadsheets/d/1v0b9pFQCsKUVExMei7AgY2yQkdeNQvtOssygGsXbiKo/edit?usp=sharing"",""อุตรดิตถ์!N559"")+IMPORTRANGE(""https://docs.google.com/spreadsheets/d/1UsNK1e-WWiCo2PvGqdNfdme4m17_Ezd3J69EeeiQPD0/edit?usp=sharing"",""อุทัยธานี!N559"")"),0)</f>
        <v>0</v>
      </c>
      <c r="O559" s="48">
        <f t="shared" ca="1" si="394"/>
        <v>0</v>
      </c>
      <c r="P559" s="48">
        <f t="shared" ca="1" si="395"/>
        <v>0</v>
      </c>
      <c r="Q559" s="48">
        <f ca="1">IFERROR(__xludf.DUMMYFUNCTION("IMPORTRANGE(""https://docs.google.com/spreadsheets/d/1jTcq05yEiRwXcBMLjiodW9e4biSGYWAHcDj22rKWQ3s/edit?usp=sharing"",""กำแพงเพชร!Q559"")+IMPORTRANGE(""https://docs.google.com/spreadsheets/d/1KS0zmDSZPk8KnTAbGN-Xk6MtX1YRZD0ldgdt20K4CRk/edit?usp=sharing"","&amp;"""เชียงราย!Q559"")+IMPORTRANGE(""https://docs.google.com/spreadsheets/d/1rEDxBtusbi64tE0zunoIbsTVV16HeL0oJ6trHQeQ7K8/edit?usp=sharing"",""เชียงใหม่!Q559"")+IMPORTRANGE(""https://docs.google.com/spreadsheets/d/1W6MnUbDkMi6xHnHko_XkFDO9kkuL6Wqyc-6OCDFjW9I/e"&amp;"dit?usp=sharing"",""ตาก!Q559"")+IMPORTRANGE(""https://docs.google.com/spreadsheets/d/1IQAWArduLkta9LpYo4a_ULsyqdta6-6aDDiwpUnQT6c/edit?usp=sharing"",""นครสวรรค์!Q559"")+IMPORTRANGE(""https://docs.google.com/spreadsheets/d/10s13Sk5xrltsiR-Zkbmk5DwIaDIKO8Xl"&amp;"bJAfqyT7Gvg/edit?usp=sharing"",""น่าน!Q559"")+IMPORTRANGE(""https://docs.google.com/spreadsheets/d/1uu4nAn4Dbi1XREnLKKotUANlKXa7yCgRcgq8HEzQYW8/edit?usp=sharing"",""พะเยา!Q559"")+IMPORTRANGE(""https://docs.google.com/spreadsheets/d/1xfJKIQxVOaPDIICqsflNlL"&amp;"u3JacTDk1FP9RH4phX7mI/edit?usp=sharing"",""พิจิตร!Q559"")+IMPORTRANGE(""https://docs.google.com/spreadsheets/d/1JtRfZkJMHtEhI5RdRHxYUG4FIZHqKDpNyIuN7A1Q0_k/edit?usp=sharing"",""พิษณุโลก!Q559"")+IMPORTRANGE(""https://docs.google.com/spreadsheets/d/1xlcVZWU"&amp;"Nn6SuWm0c307h32SiGkd9BaeQWlAktfD3KO8/edit?usp=sharing"",""เพชรบูรณ์!Q559"")+IMPORTRANGE(""https://docs.google.com/spreadsheets/d/1lOVebEIsI9qjGXl6EX66luk7wiuP2tBaryw-wKvv4e0/edit?usp=sharing"",""แพร่!Q559"")+IMPORTRANGE(""https://docs.google.com/spreadshe"&amp;"ets/d/1dQrvX0vEcN7Gu0fnZ0B5S90AeR19zth4XlExFBeExMY/edit?usp=sharing"",""แม่ฮ่องสอน!Q559"")+IMPORTRANGE(""https://docs.google.com/spreadsheets/d/1DY4XTNNwjluuxqdfdn6qvOSlMRrZqUtmYcZR0ttFiG4/edit?usp=sharing"",""ลำปาง!Q559"")+IMPORTRANGE(""https://docs.goog"&amp;"le.com/spreadsheets/d/1ICwG78r0OFT8biBlxnBF8r7she7gNSzOvJ958PWT09c/edit?usp=sharing"",""ลำพูน!Q559"")+IMPORTRANGE(""https://docs.google.com/spreadsheets/d/1B0f2xJpZUC6Z0xXnqKlZtEPzsf6L84eP1r1Q15seqRM/edit?usp=sharing"",""สุโขทัย!Q559"")+IMPORTRANGE(""http"&amp;"s://docs.google.com/spreadsheets/d/1v0b9pFQCsKUVExMei7AgY2yQkdeNQvtOssygGsXbiKo/edit?usp=sharing"",""อุตรดิตถ์!Q559"")+IMPORTRANGE(""https://docs.google.com/spreadsheets/d/1UsNK1e-WWiCo2PvGqdNfdme4m17_Ezd3J69EeeiQPD0/edit?usp=sharing"",""อุทัยธานี!Q559"")"),0)</f>
        <v>0</v>
      </c>
      <c r="R559" s="48">
        <f ca="1">IFERROR(__xludf.DUMMYFUNCTION("IMPORTRANGE(""https://docs.google.com/spreadsheets/d/1jTcq05yEiRwXcBMLjiodW9e4biSGYWAHcDj22rKWQ3s/edit?usp=sharing"",""กำแพงเพชร!R559"")+IMPORTRANGE(""https://docs.google.com/spreadsheets/d/1KS0zmDSZPk8KnTAbGN-Xk6MtX1YRZD0ldgdt20K4CRk/edit?usp=sharing"","&amp;"""เชียงราย!R559"")+IMPORTRANGE(""https://docs.google.com/spreadsheets/d/1rEDxBtusbi64tE0zunoIbsTVV16HeL0oJ6trHQeQ7K8/edit?usp=sharing"",""เชียงใหม่!R559"")+IMPORTRANGE(""https://docs.google.com/spreadsheets/d/1W6MnUbDkMi6xHnHko_XkFDO9kkuL6Wqyc-6OCDFjW9I/e"&amp;"dit?usp=sharing"",""ตาก!R559"")+IMPORTRANGE(""https://docs.google.com/spreadsheets/d/1IQAWArduLkta9LpYo4a_ULsyqdta6-6aDDiwpUnQT6c/edit?usp=sharing"",""นครสวรรค์!R559"")+IMPORTRANGE(""https://docs.google.com/spreadsheets/d/10s13Sk5xrltsiR-Zkbmk5DwIaDIKO8Xl"&amp;"bJAfqyT7Gvg/edit?usp=sharing"",""น่าน!R559"")+IMPORTRANGE(""https://docs.google.com/spreadsheets/d/1uu4nAn4Dbi1XREnLKKotUANlKXa7yCgRcgq8HEzQYW8/edit?usp=sharing"",""พะเยา!R559"")+IMPORTRANGE(""https://docs.google.com/spreadsheets/d/1xfJKIQxVOaPDIICqsflNlL"&amp;"u3JacTDk1FP9RH4phX7mI/edit?usp=sharing"",""พิจิตร!R559"")+IMPORTRANGE(""https://docs.google.com/spreadsheets/d/1JtRfZkJMHtEhI5RdRHxYUG4FIZHqKDpNyIuN7A1Q0_k/edit?usp=sharing"",""พิษณุโลก!R559"")+IMPORTRANGE(""https://docs.google.com/spreadsheets/d/1xlcVZWU"&amp;"Nn6SuWm0c307h32SiGkd9BaeQWlAktfD3KO8/edit?usp=sharing"",""เพชรบูรณ์!R559"")+IMPORTRANGE(""https://docs.google.com/spreadsheets/d/1lOVebEIsI9qjGXl6EX66luk7wiuP2tBaryw-wKvv4e0/edit?usp=sharing"",""แพร่!R559"")+IMPORTRANGE(""https://docs.google.com/spreadshe"&amp;"ets/d/1dQrvX0vEcN7Gu0fnZ0B5S90AeR19zth4XlExFBeExMY/edit?usp=sharing"",""แม่ฮ่องสอน!R559"")+IMPORTRANGE(""https://docs.google.com/spreadsheets/d/1DY4XTNNwjluuxqdfdn6qvOSlMRrZqUtmYcZR0ttFiG4/edit?usp=sharing"",""ลำปาง!R559"")+IMPORTRANGE(""https://docs.goog"&amp;"le.com/spreadsheets/d/1ICwG78r0OFT8biBlxnBF8r7she7gNSzOvJ958PWT09c/edit?usp=sharing"",""ลำพูน!R559"")+IMPORTRANGE(""https://docs.google.com/spreadsheets/d/1B0f2xJpZUC6Z0xXnqKlZtEPzsf6L84eP1r1Q15seqRM/edit?usp=sharing"",""สุโขทัย!R559"")+IMPORTRANGE(""http"&amp;"s://docs.google.com/spreadsheets/d/1v0b9pFQCsKUVExMei7AgY2yQkdeNQvtOssygGsXbiKo/edit?usp=sharing"",""อุตรดิตถ์!R559"")+IMPORTRANGE(""https://docs.google.com/spreadsheets/d/1UsNK1e-WWiCo2PvGqdNfdme4m17_Ezd3J69EeeiQPD0/edit?usp=sharing"",""อุทัยธานี!R559"")"),0)</f>
        <v>0</v>
      </c>
      <c r="S559" s="48">
        <f ca="1">IFERROR(__xludf.DUMMYFUNCTION("IMPORTRANGE(""https://docs.google.com/spreadsheets/d/1jTcq05yEiRwXcBMLjiodW9e4biSGYWAHcDj22rKWQ3s/edit?usp=sharing"",""กำแพงเพชร!S559"")+IMPORTRANGE(""https://docs.google.com/spreadsheets/d/1KS0zmDSZPk8KnTAbGN-Xk6MtX1YRZD0ldgdt20K4CRk/edit?usp=sharing"","&amp;"""เชียงราย!S559"")+IMPORTRANGE(""https://docs.google.com/spreadsheets/d/1rEDxBtusbi64tE0zunoIbsTVV16HeL0oJ6trHQeQ7K8/edit?usp=sharing"",""เชียงใหม่!S559"")+IMPORTRANGE(""https://docs.google.com/spreadsheets/d/1W6MnUbDkMi6xHnHko_XkFDO9kkuL6Wqyc-6OCDFjW9I/e"&amp;"dit?usp=sharing"",""ตาก!S559"")+IMPORTRANGE(""https://docs.google.com/spreadsheets/d/1IQAWArduLkta9LpYo4a_ULsyqdta6-6aDDiwpUnQT6c/edit?usp=sharing"",""นครสวรรค์!S559"")+IMPORTRANGE(""https://docs.google.com/spreadsheets/d/10s13Sk5xrltsiR-Zkbmk5DwIaDIKO8Xl"&amp;"bJAfqyT7Gvg/edit?usp=sharing"",""น่าน!S559"")+IMPORTRANGE(""https://docs.google.com/spreadsheets/d/1uu4nAn4Dbi1XREnLKKotUANlKXa7yCgRcgq8HEzQYW8/edit?usp=sharing"",""พะเยา!S559"")+IMPORTRANGE(""https://docs.google.com/spreadsheets/d/1xfJKIQxVOaPDIICqsflNlL"&amp;"u3JacTDk1FP9RH4phX7mI/edit?usp=sharing"",""พิจิตร!S559"")+IMPORTRANGE(""https://docs.google.com/spreadsheets/d/1JtRfZkJMHtEhI5RdRHxYUG4FIZHqKDpNyIuN7A1Q0_k/edit?usp=sharing"",""พิษณุโลก!S559"")+IMPORTRANGE(""https://docs.google.com/spreadsheets/d/1xlcVZWU"&amp;"Nn6SuWm0c307h32SiGkd9BaeQWlAktfD3KO8/edit?usp=sharing"",""เพชรบูรณ์!S559"")+IMPORTRANGE(""https://docs.google.com/spreadsheets/d/1lOVebEIsI9qjGXl6EX66luk7wiuP2tBaryw-wKvv4e0/edit?usp=sharing"",""แพร่!S559"")+IMPORTRANGE(""https://docs.google.com/spreadshe"&amp;"ets/d/1dQrvX0vEcN7Gu0fnZ0B5S90AeR19zth4XlExFBeExMY/edit?usp=sharing"",""แม่ฮ่องสอน!S559"")+IMPORTRANGE(""https://docs.google.com/spreadsheets/d/1DY4XTNNwjluuxqdfdn6qvOSlMRrZqUtmYcZR0ttFiG4/edit?usp=sharing"",""ลำปาง!S559"")+IMPORTRANGE(""https://docs.goog"&amp;"le.com/spreadsheets/d/1ICwG78r0OFT8biBlxnBF8r7she7gNSzOvJ958PWT09c/edit?usp=sharing"",""ลำพูน!S559"")+IMPORTRANGE(""https://docs.google.com/spreadsheets/d/1B0f2xJpZUC6Z0xXnqKlZtEPzsf6L84eP1r1Q15seqRM/edit?usp=sharing"",""สุโขทัย!S559"")+IMPORTRANGE(""http"&amp;"s://docs.google.com/spreadsheets/d/1v0b9pFQCsKUVExMei7AgY2yQkdeNQvtOssygGsXbiKo/edit?usp=sharing"",""อุตรดิตถ์!S559"")+IMPORTRANGE(""https://docs.google.com/spreadsheets/d/1UsNK1e-WWiCo2PvGqdNfdme4m17_Ezd3J69EeeiQPD0/edit?usp=sharing"",""อุทัยธานี!S559"")"),0)</f>
        <v>0</v>
      </c>
      <c r="T559" s="48">
        <f t="shared" ca="1" si="397"/>
        <v>0</v>
      </c>
      <c r="U559" s="48">
        <f t="shared" ca="1" si="398"/>
        <v>0</v>
      </c>
    </row>
    <row r="560" spans="1:21" ht="18.75" x14ac:dyDescent="0.25">
      <c r="A560" s="128"/>
      <c r="B560" s="40"/>
      <c r="C560" s="40"/>
      <c r="D560" s="40"/>
      <c r="E560" s="47" t="s">
        <v>37</v>
      </c>
      <c r="F560" s="40"/>
      <c r="G560" s="42"/>
      <c r="H560" s="134" t="s">
        <v>14</v>
      </c>
      <c r="I560" s="135"/>
      <c r="J560" s="135"/>
      <c r="K560" s="136"/>
      <c r="L560" s="46">
        <f ca="1">IFERROR(__xludf.DUMMYFUNCTION("IMPORTRANGE(""https://docs.google.com/spreadsheets/d/1jTcq05yEiRwXcBMLjiodW9e4biSGYWAHcDj22rKWQ3s/edit?usp=sharing"",""กำแพงเพชร!L560"")+IMPORTRANGE(""https://docs.google.com/spreadsheets/d/1KS0zmDSZPk8KnTAbGN-Xk6MtX1YRZD0ldgdt20K4CRk/edit?usp=sharing"","&amp;"""เชียงราย!L560"")+IMPORTRANGE(""https://docs.google.com/spreadsheets/d/1rEDxBtusbi64tE0zunoIbsTVV16HeL0oJ6trHQeQ7K8/edit?usp=sharing"",""เชียงใหม่!L560"")+IMPORTRANGE(""https://docs.google.com/spreadsheets/d/1W6MnUbDkMi6xHnHko_XkFDO9kkuL6Wqyc-6OCDFjW9I/e"&amp;"dit?usp=sharing"",""ตาก!L560"")+IMPORTRANGE(""https://docs.google.com/spreadsheets/d/1IQAWArduLkta9LpYo4a_ULsyqdta6-6aDDiwpUnQT6c/edit?usp=sharing"",""นครสวรรค์!L560"")+IMPORTRANGE(""https://docs.google.com/spreadsheets/d/10s13Sk5xrltsiR-Zkbmk5DwIaDIKO8Xl"&amp;"bJAfqyT7Gvg/edit?usp=sharing"",""น่าน!L560"")+IMPORTRANGE(""https://docs.google.com/spreadsheets/d/1uu4nAn4Dbi1XREnLKKotUANlKXa7yCgRcgq8HEzQYW8/edit?usp=sharing"",""พะเยา!L560"")+IMPORTRANGE(""https://docs.google.com/spreadsheets/d/1xfJKIQxVOaPDIICqsflNlL"&amp;"u3JacTDk1FP9RH4phX7mI/edit?usp=sharing"",""พิจิตร!L560"")+IMPORTRANGE(""https://docs.google.com/spreadsheets/d/1JtRfZkJMHtEhI5RdRHxYUG4FIZHqKDpNyIuN7A1Q0_k/edit?usp=sharing"",""พิษณุโลก!L560"")+IMPORTRANGE(""https://docs.google.com/spreadsheets/d/1xlcVZWU"&amp;"Nn6SuWm0c307h32SiGkd9BaeQWlAktfD3KO8/edit?usp=sharing"",""เพชรบูรณ์!L560"")+IMPORTRANGE(""https://docs.google.com/spreadsheets/d/1lOVebEIsI9qjGXl6EX66luk7wiuP2tBaryw-wKvv4e0/edit?usp=sharing"",""แพร่!L560"")+IMPORTRANGE(""https://docs.google.com/spreadshe"&amp;"ets/d/1dQrvX0vEcN7Gu0fnZ0B5S90AeR19zth4XlExFBeExMY/edit?usp=sharing"",""แม่ฮ่องสอน!L560"")+IMPORTRANGE(""https://docs.google.com/spreadsheets/d/1DY4XTNNwjluuxqdfdn6qvOSlMRrZqUtmYcZR0ttFiG4/edit?usp=sharing"",""ลำปาง!L560"")+IMPORTRANGE(""https://docs.goog"&amp;"le.com/spreadsheets/d/1ICwG78r0OFT8biBlxnBF8r7she7gNSzOvJ958PWT09c/edit?usp=sharing"",""ลำพูน!L560"")+IMPORTRANGE(""https://docs.google.com/spreadsheets/d/1B0f2xJpZUC6Z0xXnqKlZtEPzsf6L84eP1r1Q15seqRM/edit?usp=sharing"",""สุโขทัย!L560"")+IMPORTRANGE(""http"&amp;"s://docs.google.com/spreadsheets/d/1v0b9pFQCsKUVExMei7AgY2yQkdeNQvtOssygGsXbiKo/edit?usp=sharing"",""อุตรดิตถ์!L560"")+IMPORTRANGE(""https://docs.google.com/spreadsheets/d/1UsNK1e-WWiCo2PvGqdNfdme4m17_Ezd3J69EeeiQPD0/edit?usp=sharing"",""อุทัยธานี!L560"")"),0)</f>
        <v>0</v>
      </c>
      <c r="M560" s="46">
        <f ca="1">IFERROR(__xludf.DUMMYFUNCTION("IMPORTRANGE(""https://docs.google.com/spreadsheets/d/1jTcq05yEiRwXcBMLjiodW9e4biSGYWAHcDj22rKWQ3s/edit?usp=sharing"",""กำแพงเพชร!M560"")+IMPORTRANGE(""https://docs.google.com/spreadsheets/d/1KS0zmDSZPk8KnTAbGN-Xk6MtX1YRZD0ldgdt20K4CRk/edit?usp=sharing"","&amp;"""เชียงราย!M560"")+IMPORTRANGE(""https://docs.google.com/spreadsheets/d/1rEDxBtusbi64tE0zunoIbsTVV16HeL0oJ6trHQeQ7K8/edit?usp=sharing"",""เชียงใหม่!M560"")+IMPORTRANGE(""https://docs.google.com/spreadsheets/d/1W6MnUbDkMi6xHnHko_XkFDO9kkuL6Wqyc-6OCDFjW9I/e"&amp;"dit?usp=sharing"",""ตาก!M560"")+IMPORTRANGE(""https://docs.google.com/spreadsheets/d/1IQAWArduLkta9LpYo4a_ULsyqdta6-6aDDiwpUnQT6c/edit?usp=sharing"",""นครสวรรค์!M560"")+IMPORTRANGE(""https://docs.google.com/spreadsheets/d/10s13Sk5xrltsiR-Zkbmk5DwIaDIKO8Xl"&amp;"bJAfqyT7Gvg/edit?usp=sharing"",""น่าน!M560"")+IMPORTRANGE(""https://docs.google.com/spreadsheets/d/1uu4nAn4Dbi1XREnLKKotUANlKXa7yCgRcgq8HEzQYW8/edit?usp=sharing"",""พะเยา!M560"")+IMPORTRANGE(""https://docs.google.com/spreadsheets/d/1xfJKIQxVOaPDIICqsflNlL"&amp;"u3JacTDk1FP9RH4phX7mI/edit?usp=sharing"",""พิจิตร!M560"")+IMPORTRANGE(""https://docs.google.com/spreadsheets/d/1JtRfZkJMHtEhI5RdRHxYUG4FIZHqKDpNyIuN7A1Q0_k/edit?usp=sharing"",""พิษณุโลก!M560"")+IMPORTRANGE(""https://docs.google.com/spreadsheets/d/1xlcVZWU"&amp;"Nn6SuWm0c307h32SiGkd9BaeQWlAktfD3KO8/edit?usp=sharing"",""เพชรบูรณ์!M560"")+IMPORTRANGE(""https://docs.google.com/spreadsheets/d/1lOVebEIsI9qjGXl6EX66luk7wiuP2tBaryw-wKvv4e0/edit?usp=sharing"",""แพร่!M560"")+IMPORTRANGE(""https://docs.google.com/spreadshe"&amp;"ets/d/1dQrvX0vEcN7Gu0fnZ0B5S90AeR19zth4XlExFBeExMY/edit?usp=sharing"",""แม่ฮ่องสอน!M560"")+IMPORTRANGE(""https://docs.google.com/spreadsheets/d/1DY4XTNNwjluuxqdfdn6qvOSlMRrZqUtmYcZR0ttFiG4/edit?usp=sharing"",""ลำปาง!M560"")+IMPORTRANGE(""https://docs.goog"&amp;"le.com/spreadsheets/d/1ICwG78r0OFT8biBlxnBF8r7she7gNSzOvJ958PWT09c/edit?usp=sharing"",""ลำพูน!M560"")+IMPORTRANGE(""https://docs.google.com/spreadsheets/d/1B0f2xJpZUC6Z0xXnqKlZtEPzsf6L84eP1r1Q15seqRM/edit?usp=sharing"",""สุโขทัย!M560"")+IMPORTRANGE(""http"&amp;"s://docs.google.com/spreadsheets/d/1v0b9pFQCsKUVExMei7AgY2yQkdeNQvtOssygGsXbiKo/edit?usp=sharing"",""อุตรดิตถ์!M560"")+IMPORTRANGE(""https://docs.google.com/spreadsheets/d/1UsNK1e-WWiCo2PvGqdNfdme4m17_Ezd3J69EeeiQPD0/edit?usp=sharing"",""อุทัยธานี!M560"")"),0)</f>
        <v>0</v>
      </c>
      <c r="N560" s="46">
        <f ca="1">IFERROR(__xludf.DUMMYFUNCTION("IMPORTRANGE(""https://docs.google.com/spreadsheets/d/1jTcq05yEiRwXcBMLjiodW9e4biSGYWAHcDj22rKWQ3s/edit?usp=sharing"",""กำแพงเพชร!N560"")+IMPORTRANGE(""https://docs.google.com/spreadsheets/d/1KS0zmDSZPk8KnTAbGN-Xk6MtX1YRZD0ldgdt20K4CRk/edit?usp=sharing"","&amp;"""เชียงราย!N560"")+IMPORTRANGE(""https://docs.google.com/spreadsheets/d/1rEDxBtusbi64tE0zunoIbsTVV16HeL0oJ6trHQeQ7K8/edit?usp=sharing"",""เชียงใหม่!N560"")+IMPORTRANGE(""https://docs.google.com/spreadsheets/d/1W6MnUbDkMi6xHnHko_XkFDO9kkuL6Wqyc-6OCDFjW9I/e"&amp;"dit?usp=sharing"",""ตาก!N560"")+IMPORTRANGE(""https://docs.google.com/spreadsheets/d/1IQAWArduLkta9LpYo4a_ULsyqdta6-6aDDiwpUnQT6c/edit?usp=sharing"",""นครสวรรค์!N560"")+IMPORTRANGE(""https://docs.google.com/spreadsheets/d/10s13Sk5xrltsiR-Zkbmk5DwIaDIKO8Xl"&amp;"bJAfqyT7Gvg/edit?usp=sharing"",""น่าน!N560"")+IMPORTRANGE(""https://docs.google.com/spreadsheets/d/1uu4nAn4Dbi1XREnLKKotUANlKXa7yCgRcgq8HEzQYW8/edit?usp=sharing"",""พะเยา!N560"")+IMPORTRANGE(""https://docs.google.com/spreadsheets/d/1xfJKIQxVOaPDIICqsflNlL"&amp;"u3JacTDk1FP9RH4phX7mI/edit?usp=sharing"",""พิจิตร!N560"")+IMPORTRANGE(""https://docs.google.com/spreadsheets/d/1JtRfZkJMHtEhI5RdRHxYUG4FIZHqKDpNyIuN7A1Q0_k/edit?usp=sharing"",""พิษณุโลก!N560"")+IMPORTRANGE(""https://docs.google.com/spreadsheets/d/1xlcVZWU"&amp;"Nn6SuWm0c307h32SiGkd9BaeQWlAktfD3KO8/edit?usp=sharing"",""เพชรบูรณ์!N560"")+IMPORTRANGE(""https://docs.google.com/spreadsheets/d/1lOVebEIsI9qjGXl6EX66luk7wiuP2tBaryw-wKvv4e0/edit?usp=sharing"",""แพร่!N560"")+IMPORTRANGE(""https://docs.google.com/spreadshe"&amp;"ets/d/1dQrvX0vEcN7Gu0fnZ0B5S90AeR19zth4XlExFBeExMY/edit?usp=sharing"",""แม่ฮ่องสอน!N560"")+IMPORTRANGE(""https://docs.google.com/spreadsheets/d/1DY4XTNNwjluuxqdfdn6qvOSlMRrZqUtmYcZR0ttFiG4/edit?usp=sharing"",""ลำปาง!N560"")+IMPORTRANGE(""https://docs.goog"&amp;"le.com/spreadsheets/d/1ICwG78r0OFT8biBlxnBF8r7she7gNSzOvJ958PWT09c/edit?usp=sharing"",""ลำพูน!N560"")+IMPORTRANGE(""https://docs.google.com/spreadsheets/d/1B0f2xJpZUC6Z0xXnqKlZtEPzsf6L84eP1r1Q15seqRM/edit?usp=sharing"",""สุโขทัย!N560"")+IMPORTRANGE(""http"&amp;"s://docs.google.com/spreadsheets/d/1v0b9pFQCsKUVExMei7AgY2yQkdeNQvtOssygGsXbiKo/edit?usp=sharing"",""อุตรดิตถ์!N560"")+IMPORTRANGE(""https://docs.google.com/spreadsheets/d/1UsNK1e-WWiCo2PvGqdNfdme4m17_Ezd3J69EeeiQPD0/edit?usp=sharing"",""อุทัยธานี!N560"")"),0)</f>
        <v>0</v>
      </c>
      <c r="O560" s="46">
        <f t="shared" ca="1" si="394"/>
        <v>0</v>
      </c>
      <c r="P560" s="46">
        <f t="shared" ca="1" si="395"/>
        <v>0</v>
      </c>
      <c r="Q560" s="46">
        <f ca="1">IFERROR(__xludf.DUMMYFUNCTION("IMPORTRANGE(""https://docs.google.com/spreadsheets/d/1jTcq05yEiRwXcBMLjiodW9e4biSGYWAHcDj22rKWQ3s/edit?usp=sharing"",""กำแพงเพชร!Q560"")+IMPORTRANGE(""https://docs.google.com/spreadsheets/d/1KS0zmDSZPk8KnTAbGN-Xk6MtX1YRZD0ldgdt20K4CRk/edit?usp=sharing"","&amp;"""เชียงราย!Q560"")+IMPORTRANGE(""https://docs.google.com/spreadsheets/d/1rEDxBtusbi64tE0zunoIbsTVV16HeL0oJ6trHQeQ7K8/edit?usp=sharing"",""เชียงใหม่!Q560"")+IMPORTRANGE(""https://docs.google.com/spreadsheets/d/1W6MnUbDkMi6xHnHko_XkFDO9kkuL6Wqyc-6OCDFjW9I/e"&amp;"dit?usp=sharing"",""ตาก!Q560"")+IMPORTRANGE(""https://docs.google.com/spreadsheets/d/1IQAWArduLkta9LpYo4a_ULsyqdta6-6aDDiwpUnQT6c/edit?usp=sharing"",""นครสวรรค์!Q560"")+IMPORTRANGE(""https://docs.google.com/spreadsheets/d/10s13Sk5xrltsiR-Zkbmk5DwIaDIKO8Xl"&amp;"bJAfqyT7Gvg/edit?usp=sharing"",""น่าน!Q560"")+IMPORTRANGE(""https://docs.google.com/spreadsheets/d/1uu4nAn4Dbi1XREnLKKotUANlKXa7yCgRcgq8HEzQYW8/edit?usp=sharing"",""พะเยา!Q560"")+IMPORTRANGE(""https://docs.google.com/spreadsheets/d/1xfJKIQxVOaPDIICqsflNlL"&amp;"u3JacTDk1FP9RH4phX7mI/edit?usp=sharing"",""พิจิตร!Q560"")+IMPORTRANGE(""https://docs.google.com/spreadsheets/d/1JtRfZkJMHtEhI5RdRHxYUG4FIZHqKDpNyIuN7A1Q0_k/edit?usp=sharing"",""พิษณุโลก!Q560"")+IMPORTRANGE(""https://docs.google.com/spreadsheets/d/1xlcVZWU"&amp;"Nn6SuWm0c307h32SiGkd9BaeQWlAktfD3KO8/edit?usp=sharing"",""เพชรบูรณ์!Q560"")+IMPORTRANGE(""https://docs.google.com/spreadsheets/d/1lOVebEIsI9qjGXl6EX66luk7wiuP2tBaryw-wKvv4e0/edit?usp=sharing"",""แพร่!Q560"")+IMPORTRANGE(""https://docs.google.com/spreadshe"&amp;"ets/d/1dQrvX0vEcN7Gu0fnZ0B5S90AeR19zth4XlExFBeExMY/edit?usp=sharing"",""แม่ฮ่องสอน!Q560"")+IMPORTRANGE(""https://docs.google.com/spreadsheets/d/1DY4XTNNwjluuxqdfdn6qvOSlMRrZqUtmYcZR0ttFiG4/edit?usp=sharing"",""ลำปาง!Q560"")+IMPORTRANGE(""https://docs.goog"&amp;"le.com/spreadsheets/d/1ICwG78r0OFT8biBlxnBF8r7she7gNSzOvJ958PWT09c/edit?usp=sharing"",""ลำพูน!Q560"")+IMPORTRANGE(""https://docs.google.com/spreadsheets/d/1B0f2xJpZUC6Z0xXnqKlZtEPzsf6L84eP1r1Q15seqRM/edit?usp=sharing"",""สุโขทัย!Q560"")+IMPORTRANGE(""http"&amp;"s://docs.google.com/spreadsheets/d/1v0b9pFQCsKUVExMei7AgY2yQkdeNQvtOssygGsXbiKo/edit?usp=sharing"",""อุตรดิตถ์!Q560"")+IMPORTRANGE(""https://docs.google.com/spreadsheets/d/1UsNK1e-WWiCo2PvGqdNfdme4m17_Ezd3J69EeeiQPD0/edit?usp=sharing"",""อุทัยธานี!Q560"")"),0)</f>
        <v>0</v>
      </c>
      <c r="R560" s="46">
        <f ca="1">IFERROR(__xludf.DUMMYFUNCTION("IMPORTRANGE(""https://docs.google.com/spreadsheets/d/1jTcq05yEiRwXcBMLjiodW9e4biSGYWAHcDj22rKWQ3s/edit?usp=sharing"",""กำแพงเพชร!R560"")+IMPORTRANGE(""https://docs.google.com/spreadsheets/d/1KS0zmDSZPk8KnTAbGN-Xk6MtX1YRZD0ldgdt20K4CRk/edit?usp=sharing"","&amp;"""เชียงราย!R560"")+IMPORTRANGE(""https://docs.google.com/spreadsheets/d/1rEDxBtusbi64tE0zunoIbsTVV16HeL0oJ6trHQeQ7K8/edit?usp=sharing"",""เชียงใหม่!R560"")+IMPORTRANGE(""https://docs.google.com/spreadsheets/d/1W6MnUbDkMi6xHnHko_XkFDO9kkuL6Wqyc-6OCDFjW9I/e"&amp;"dit?usp=sharing"",""ตาก!R560"")+IMPORTRANGE(""https://docs.google.com/spreadsheets/d/1IQAWArduLkta9LpYo4a_ULsyqdta6-6aDDiwpUnQT6c/edit?usp=sharing"",""นครสวรรค์!R560"")+IMPORTRANGE(""https://docs.google.com/spreadsheets/d/10s13Sk5xrltsiR-Zkbmk5DwIaDIKO8Xl"&amp;"bJAfqyT7Gvg/edit?usp=sharing"",""น่าน!R560"")+IMPORTRANGE(""https://docs.google.com/spreadsheets/d/1uu4nAn4Dbi1XREnLKKotUANlKXa7yCgRcgq8HEzQYW8/edit?usp=sharing"",""พะเยา!R560"")+IMPORTRANGE(""https://docs.google.com/spreadsheets/d/1xfJKIQxVOaPDIICqsflNlL"&amp;"u3JacTDk1FP9RH4phX7mI/edit?usp=sharing"",""พิจิตร!R560"")+IMPORTRANGE(""https://docs.google.com/spreadsheets/d/1JtRfZkJMHtEhI5RdRHxYUG4FIZHqKDpNyIuN7A1Q0_k/edit?usp=sharing"",""พิษณุโลก!R560"")+IMPORTRANGE(""https://docs.google.com/spreadsheets/d/1xlcVZWU"&amp;"Nn6SuWm0c307h32SiGkd9BaeQWlAktfD3KO8/edit?usp=sharing"",""เพชรบูรณ์!R560"")+IMPORTRANGE(""https://docs.google.com/spreadsheets/d/1lOVebEIsI9qjGXl6EX66luk7wiuP2tBaryw-wKvv4e0/edit?usp=sharing"",""แพร่!R560"")+IMPORTRANGE(""https://docs.google.com/spreadshe"&amp;"ets/d/1dQrvX0vEcN7Gu0fnZ0B5S90AeR19zth4XlExFBeExMY/edit?usp=sharing"",""แม่ฮ่องสอน!R560"")+IMPORTRANGE(""https://docs.google.com/spreadsheets/d/1DY4XTNNwjluuxqdfdn6qvOSlMRrZqUtmYcZR0ttFiG4/edit?usp=sharing"",""ลำปาง!R560"")+IMPORTRANGE(""https://docs.goog"&amp;"le.com/spreadsheets/d/1ICwG78r0OFT8biBlxnBF8r7she7gNSzOvJ958PWT09c/edit?usp=sharing"",""ลำพูน!R560"")+IMPORTRANGE(""https://docs.google.com/spreadsheets/d/1B0f2xJpZUC6Z0xXnqKlZtEPzsf6L84eP1r1Q15seqRM/edit?usp=sharing"",""สุโขทัย!R560"")+IMPORTRANGE(""http"&amp;"s://docs.google.com/spreadsheets/d/1v0b9pFQCsKUVExMei7AgY2yQkdeNQvtOssygGsXbiKo/edit?usp=sharing"",""อุตรดิตถ์!R560"")+IMPORTRANGE(""https://docs.google.com/spreadsheets/d/1UsNK1e-WWiCo2PvGqdNfdme4m17_Ezd3J69EeeiQPD0/edit?usp=sharing"",""อุทัยธานี!R560"")"),0)</f>
        <v>0</v>
      </c>
      <c r="S560" s="46">
        <f ca="1">IFERROR(__xludf.DUMMYFUNCTION("IMPORTRANGE(""https://docs.google.com/spreadsheets/d/1jTcq05yEiRwXcBMLjiodW9e4biSGYWAHcDj22rKWQ3s/edit?usp=sharing"",""กำแพงเพชร!S560"")+IMPORTRANGE(""https://docs.google.com/spreadsheets/d/1KS0zmDSZPk8KnTAbGN-Xk6MtX1YRZD0ldgdt20K4CRk/edit?usp=sharing"","&amp;"""เชียงราย!S560"")+IMPORTRANGE(""https://docs.google.com/spreadsheets/d/1rEDxBtusbi64tE0zunoIbsTVV16HeL0oJ6trHQeQ7K8/edit?usp=sharing"",""เชียงใหม่!S560"")+IMPORTRANGE(""https://docs.google.com/spreadsheets/d/1W6MnUbDkMi6xHnHko_XkFDO9kkuL6Wqyc-6OCDFjW9I/e"&amp;"dit?usp=sharing"",""ตาก!S560"")+IMPORTRANGE(""https://docs.google.com/spreadsheets/d/1IQAWArduLkta9LpYo4a_ULsyqdta6-6aDDiwpUnQT6c/edit?usp=sharing"",""นครสวรรค์!S560"")+IMPORTRANGE(""https://docs.google.com/spreadsheets/d/10s13Sk5xrltsiR-Zkbmk5DwIaDIKO8Xl"&amp;"bJAfqyT7Gvg/edit?usp=sharing"",""น่าน!S560"")+IMPORTRANGE(""https://docs.google.com/spreadsheets/d/1uu4nAn4Dbi1XREnLKKotUANlKXa7yCgRcgq8HEzQYW8/edit?usp=sharing"",""พะเยา!S560"")+IMPORTRANGE(""https://docs.google.com/spreadsheets/d/1xfJKIQxVOaPDIICqsflNlL"&amp;"u3JacTDk1FP9RH4phX7mI/edit?usp=sharing"",""พิจิตร!S560"")+IMPORTRANGE(""https://docs.google.com/spreadsheets/d/1JtRfZkJMHtEhI5RdRHxYUG4FIZHqKDpNyIuN7A1Q0_k/edit?usp=sharing"",""พิษณุโลก!S560"")+IMPORTRANGE(""https://docs.google.com/spreadsheets/d/1xlcVZWU"&amp;"Nn6SuWm0c307h32SiGkd9BaeQWlAktfD3KO8/edit?usp=sharing"",""เพชรบูรณ์!S560"")+IMPORTRANGE(""https://docs.google.com/spreadsheets/d/1lOVebEIsI9qjGXl6EX66luk7wiuP2tBaryw-wKvv4e0/edit?usp=sharing"",""แพร่!S560"")+IMPORTRANGE(""https://docs.google.com/spreadshe"&amp;"ets/d/1dQrvX0vEcN7Gu0fnZ0B5S90AeR19zth4XlExFBeExMY/edit?usp=sharing"",""แม่ฮ่องสอน!S560"")+IMPORTRANGE(""https://docs.google.com/spreadsheets/d/1DY4XTNNwjluuxqdfdn6qvOSlMRrZqUtmYcZR0ttFiG4/edit?usp=sharing"",""ลำปาง!S560"")+IMPORTRANGE(""https://docs.goog"&amp;"le.com/spreadsheets/d/1ICwG78r0OFT8biBlxnBF8r7she7gNSzOvJ958PWT09c/edit?usp=sharing"",""ลำพูน!S560"")+IMPORTRANGE(""https://docs.google.com/spreadsheets/d/1B0f2xJpZUC6Z0xXnqKlZtEPzsf6L84eP1r1Q15seqRM/edit?usp=sharing"",""สุโขทัย!S560"")+IMPORTRANGE(""http"&amp;"s://docs.google.com/spreadsheets/d/1v0b9pFQCsKUVExMei7AgY2yQkdeNQvtOssygGsXbiKo/edit?usp=sharing"",""อุตรดิตถ์!S560"")+IMPORTRANGE(""https://docs.google.com/spreadsheets/d/1UsNK1e-WWiCo2PvGqdNfdme4m17_Ezd3J69EeeiQPD0/edit?usp=sharing"",""อุทัยธานี!S560"")"),0)</f>
        <v>0</v>
      </c>
      <c r="T560" s="46">
        <f t="shared" ca="1" si="397"/>
        <v>0</v>
      </c>
      <c r="U560" s="46">
        <f t="shared" ca="1" si="398"/>
        <v>0</v>
      </c>
    </row>
    <row r="561" spans="1:21" ht="18.75" x14ac:dyDescent="0.25">
      <c r="A561" s="128"/>
      <c r="B561" s="40"/>
      <c r="C561" s="40"/>
      <c r="D561" s="41" t="s">
        <v>23</v>
      </c>
      <c r="E561" s="40"/>
      <c r="F561" s="40"/>
      <c r="G561" s="42"/>
      <c r="H561" s="137" t="s">
        <v>14</v>
      </c>
      <c r="I561" s="135"/>
      <c r="J561" s="135"/>
      <c r="K561" s="136"/>
      <c r="L561" s="46">
        <f t="shared" ref="L561:N561" ca="1" si="405">L562+L563</f>
        <v>8149000</v>
      </c>
      <c r="M561" s="46">
        <f t="shared" ca="1" si="405"/>
        <v>8149000</v>
      </c>
      <c r="N561" s="46">
        <f t="shared" ca="1" si="405"/>
        <v>0</v>
      </c>
      <c r="O561" s="46">
        <f t="shared" ca="1" si="394"/>
        <v>0</v>
      </c>
      <c r="P561" s="46">
        <f t="shared" ca="1" si="395"/>
        <v>0</v>
      </c>
      <c r="Q561" s="46">
        <f t="shared" ref="Q561:S561" ca="1" si="406">Q562+Q563</f>
        <v>0</v>
      </c>
      <c r="R561" s="46">
        <f t="shared" ca="1" si="406"/>
        <v>0</v>
      </c>
      <c r="S561" s="46">
        <f t="shared" ca="1" si="406"/>
        <v>0</v>
      </c>
      <c r="T561" s="46">
        <f t="shared" ca="1" si="397"/>
        <v>0</v>
      </c>
      <c r="U561" s="46">
        <f t="shared" ca="1" si="398"/>
        <v>0</v>
      </c>
    </row>
    <row r="562" spans="1:21" ht="18.75" x14ac:dyDescent="0.25">
      <c r="A562" s="128"/>
      <c r="B562" s="40"/>
      <c r="C562" s="40"/>
      <c r="D562" s="40"/>
      <c r="E562" s="156" t="s">
        <v>20</v>
      </c>
      <c r="F562" s="40"/>
      <c r="G562" s="42"/>
      <c r="H562" s="159" t="s">
        <v>14</v>
      </c>
      <c r="I562" s="135"/>
      <c r="J562" s="135"/>
      <c r="K562" s="136"/>
      <c r="L562" s="48">
        <f ca="1">IFERROR(__xludf.DUMMYFUNCTION("IMPORTRANGE(""https://docs.google.com/spreadsheets/d/1jTcq05yEiRwXcBMLjiodW9e4biSGYWAHcDj22rKWQ3s/edit?usp=sharing"",""กำแพงเพชร!L562"")+IMPORTRANGE(""https://docs.google.com/spreadsheets/d/1KS0zmDSZPk8KnTAbGN-Xk6MtX1YRZD0ldgdt20K4CRk/edit?usp=sharing"","&amp;"""เชียงราย!L562"")+IMPORTRANGE(""https://docs.google.com/spreadsheets/d/1rEDxBtusbi64tE0zunoIbsTVV16HeL0oJ6trHQeQ7K8/edit?usp=sharing"",""เชียงใหม่!L562"")+IMPORTRANGE(""https://docs.google.com/spreadsheets/d/1W6MnUbDkMi6xHnHko_XkFDO9kkuL6Wqyc-6OCDFjW9I/e"&amp;"dit?usp=sharing"",""ตาก!L562"")+IMPORTRANGE(""https://docs.google.com/spreadsheets/d/1IQAWArduLkta9LpYo4a_ULsyqdta6-6aDDiwpUnQT6c/edit?usp=sharing"",""นครสวรรค์!L562"")+IMPORTRANGE(""https://docs.google.com/spreadsheets/d/10s13Sk5xrltsiR-Zkbmk5DwIaDIKO8Xl"&amp;"bJAfqyT7Gvg/edit?usp=sharing"",""น่าน!L562"")+IMPORTRANGE(""https://docs.google.com/spreadsheets/d/1uu4nAn4Dbi1XREnLKKotUANlKXa7yCgRcgq8HEzQYW8/edit?usp=sharing"",""พะเยา!L562"")+IMPORTRANGE(""https://docs.google.com/spreadsheets/d/1xfJKIQxVOaPDIICqsflNlL"&amp;"u3JacTDk1FP9RH4phX7mI/edit?usp=sharing"",""พิจิตร!L562"")+IMPORTRANGE(""https://docs.google.com/spreadsheets/d/1JtRfZkJMHtEhI5RdRHxYUG4FIZHqKDpNyIuN7A1Q0_k/edit?usp=sharing"",""พิษณุโลก!L562"")+IMPORTRANGE(""https://docs.google.com/spreadsheets/d/1xlcVZWU"&amp;"Nn6SuWm0c307h32SiGkd9BaeQWlAktfD3KO8/edit?usp=sharing"",""เพชรบูรณ์!L562"")+IMPORTRANGE(""https://docs.google.com/spreadsheets/d/1lOVebEIsI9qjGXl6EX66luk7wiuP2tBaryw-wKvv4e0/edit?usp=sharing"",""แพร่!L562"")+IMPORTRANGE(""https://docs.google.com/spreadshe"&amp;"ets/d/1dQrvX0vEcN7Gu0fnZ0B5S90AeR19zth4XlExFBeExMY/edit?usp=sharing"",""แม่ฮ่องสอน!L562"")+IMPORTRANGE(""https://docs.google.com/spreadsheets/d/1DY4XTNNwjluuxqdfdn6qvOSlMRrZqUtmYcZR0ttFiG4/edit?usp=sharing"",""ลำปาง!L562"")+IMPORTRANGE(""https://docs.goog"&amp;"le.com/spreadsheets/d/1ICwG78r0OFT8biBlxnBF8r7she7gNSzOvJ958PWT09c/edit?usp=sharing"",""ลำพูน!L562"")+IMPORTRANGE(""https://docs.google.com/spreadsheets/d/1B0f2xJpZUC6Z0xXnqKlZtEPzsf6L84eP1r1Q15seqRM/edit?usp=sharing"",""สุโขทัย!L562"")+IMPORTRANGE(""http"&amp;"s://docs.google.com/spreadsheets/d/1v0b9pFQCsKUVExMei7AgY2yQkdeNQvtOssygGsXbiKo/edit?usp=sharing"",""อุตรดิตถ์!L562"")+IMPORTRANGE(""https://docs.google.com/spreadsheets/d/1UsNK1e-WWiCo2PvGqdNfdme4m17_Ezd3J69EeeiQPD0/edit?usp=sharing"",""อุทัยธานี!L562"")"),0)</f>
        <v>0</v>
      </c>
      <c r="M562" s="48">
        <f ca="1">IFERROR(__xludf.DUMMYFUNCTION("IMPORTRANGE(""https://docs.google.com/spreadsheets/d/1jTcq05yEiRwXcBMLjiodW9e4biSGYWAHcDj22rKWQ3s/edit?usp=sharing"",""กำแพงเพชร!M562"")+IMPORTRANGE(""https://docs.google.com/spreadsheets/d/1KS0zmDSZPk8KnTAbGN-Xk6MtX1YRZD0ldgdt20K4CRk/edit?usp=sharing"","&amp;"""เชียงราย!M562"")+IMPORTRANGE(""https://docs.google.com/spreadsheets/d/1rEDxBtusbi64tE0zunoIbsTVV16HeL0oJ6trHQeQ7K8/edit?usp=sharing"",""เชียงใหม่!M562"")+IMPORTRANGE(""https://docs.google.com/spreadsheets/d/1W6MnUbDkMi6xHnHko_XkFDO9kkuL6Wqyc-6OCDFjW9I/e"&amp;"dit?usp=sharing"",""ตาก!M562"")+IMPORTRANGE(""https://docs.google.com/spreadsheets/d/1IQAWArduLkta9LpYo4a_ULsyqdta6-6aDDiwpUnQT6c/edit?usp=sharing"",""นครสวรรค์!M562"")+IMPORTRANGE(""https://docs.google.com/spreadsheets/d/10s13Sk5xrltsiR-Zkbmk5DwIaDIKO8Xl"&amp;"bJAfqyT7Gvg/edit?usp=sharing"",""น่าน!M562"")+IMPORTRANGE(""https://docs.google.com/spreadsheets/d/1uu4nAn4Dbi1XREnLKKotUANlKXa7yCgRcgq8HEzQYW8/edit?usp=sharing"",""พะเยา!M562"")+IMPORTRANGE(""https://docs.google.com/spreadsheets/d/1xfJKIQxVOaPDIICqsflNlL"&amp;"u3JacTDk1FP9RH4phX7mI/edit?usp=sharing"",""พิจิตร!M562"")+IMPORTRANGE(""https://docs.google.com/spreadsheets/d/1JtRfZkJMHtEhI5RdRHxYUG4FIZHqKDpNyIuN7A1Q0_k/edit?usp=sharing"",""พิษณุโลก!M562"")+IMPORTRANGE(""https://docs.google.com/spreadsheets/d/1xlcVZWU"&amp;"Nn6SuWm0c307h32SiGkd9BaeQWlAktfD3KO8/edit?usp=sharing"",""เพชรบูรณ์!M562"")+IMPORTRANGE(""https://docs.google.com/spreadsheets/d/1lOVebEIsI9qjGXl6EX66luk7wiuP2tBaryw-wKvv4e0/edit?usp=sharing"",""แพร่!M562"")+IMPORTRANGE(""https://docs.google.com/spreadshe"&amp;"ets/d/1dQrvX0vEcN7Gu0fnZ0B5S90AeR19zth4XlExFBeExMY/edit?usp=sharing"",""แม่ฮ่องสอน!M562"")+IMPORTRANGE(""https://docs.google.com/spreadsheets/d/1DY4XTNNwjluuxqdfdn6qvOSlMRrZqUtmYcZR0ttFiG4/edit?usp=sharing"",""ลำปาง!M562"")+IMPORTRANGE(""https://docs.goog"&amp;"le.com/spreadsheets/d/1ICwG78r0OFT8biBlxnBF8r7she7gNSzOvJ958PWT09c/edit?usp=sharing"",""ลำพูน!M562"")+IMPORTRANGE(""https://docs.google.com/spreadsheets/d/1B0f2xJpZUC6Z0xXnqKlZtEPzsf6L84eP1r1Q15seqRM/edit?usp=sharing"",""สุโขทัย!M562"")+IMPORTRANGE(""http"&amp;"s://docs.google.com/spreadsheets/d/1v0b9pFQCsKUVExMei7AgY2yQkdeNQvtOssygGsXbiKo/edit?usp=sharing"",""อุตรดิตถ์!M562"")+IMPORTRANGE(""https://docs.google.com/spreadsheets/d/1UsNK1e-WWiCo2PvGqdNfdme4m17_Ezd3J69EeeiQPD0/edit?usp=sharing"",""อุทัยธานี!M562"")"),0)</f>
        <v>0</v>
      </c>
      <c r="N562" s="48">
        <f ca="1">IFERROR(__xludf.DUMMYFUNCTION("IMPORTRANGE(""https://docs.google.com/spreadsheets/d/1jTcq05yEiRwXcBMLjiodW9e4biSGYWAHcDj22rKWQ3s/edit?usp=sharing"",""กำแพงเพชร!N562"")+IMPORTRANGE(""https://docs.google.com/spreadsheets/d/1KS0zmDSZPk8KnTAbGN-Xk6MtX1YRZD0ldgdt20K4CRk/edit?usp=sharing"","&amp;"""เชียงราย!N562"")+IMPORTRANGE(""https://docs.google.com/spreadsheets/d/1rEDxBtusbi64tE0zunoIbsTVV16HeL0oJ6trHQeQ7K8/edit?usp=sharing"",""เชียงใหม่!N562"")+IMPORTRANGE(""https://docs.google.com/spreadsheets/d/1W6MnUbDkMi6xHnHko_XkFDO9kkuL6Wqyc-6OCDFjW9I/e"&amp;"dit?usp=sharing"",""ตาก!N562"")+IMPORTRANGE(""https://docs.google.com/spreadsheets/d/1IQAWArduLkta9LpYo4a_ULsyqdta6-6aDDiwpUnQT6c/edit?usp=sharing"",""นครสวรรค์!N562"")+IMPORTRANGE(""https://docs.google.com/spreadsheets/d/10s13Sk5xrltsiR-Zkbmk5DwIaDIKO8Xl"&amp;"bJAfqyT7Gvg/edit?usp=sharing"",""น่าน!N562"")+IMPORTRANGE(""https://docs.google.com/spreadsheets/d/1uu4nAn4Dbi1XREnLKKotUANlKXa7yCgRcgq8HEzQYW8/edit?usp=sharing"",""พะเยา!N562"")+IMPORTRANGE(""https://docs.google.com/spreadsheets/d/1xfJKIQxVOaPDIICqsflNlL"&amp;"u3JacTDk1FP9RH4phX7mI/edit?usp=sharing"",""พิจิตร!N562"")+IMPORTRANGE(""https://docs.google.com/spreadsheets/d/1JtRfZkJMHtEhI5RdRHxYUG4FIZHqKDpNyIuN7A1Q0_k/edit?usp=sharing"",""พิษณุโลก!N562"")+IMPORTRANGE(""https://docs.google.com/spreadsheets/d/1xlcVZWU"&amp;"Nn6SuWm0c307h32SiGkd9BaeQWlAktfD3KO8/edit?usp=sharing"",""เพชรบูรณ์!N562"")+IMPORTRANGE(""https://docs.google.com/spreadsheets/d/1lOVebEIsI9qjGXl6EX66luk7wiuP2tBaryw-wKvv4e0/edit?usp=sharing"",""แพร่!N562"")+IMPORTRANGE(""https://docs.google.com/spreadshe"&amp;"ets/d/1dQrvX0vEcN7Gu0fnZ0B5S90AeR19zth4XlExFBeExMY/edit?usp=sharing"",""แม่ฮ่องสอน!N562"")+IMPORTRANGE(""https://docs.google.com/spreadsheets/d/1DY4XTNNwjluuxqdfdn6qvOSlMRrZqUtmYcZR0ttFiG4/edit?usp=sharing"",""ลำปาง!N562"")+IMPORTRANGE(""https://docs.goog"&amp;"le.com/spreadsheets/d/1ICwG78r0OFT8biBlxnBF8r7she7gNSzOvJ958PWT09c/edit?usp=sharing"",""ลำพูน!N562"")+IMPORTRANGE(""https://docs.google.com/spreadsheets/d/1B0f2xJpZUC6Z0xXnqKlZtEPzsf6L84eP1r1Q15seqRM/edit?usp=sharing"",""สุโขทัย!N562"")+IMPORTRANGE(""http"&amp;"s://docs.google.com/spreadsheets/d/1v0b9pFQCsKUVExMei7AgY2yQkdeNQvtOssygGsXbiKo/edit?usp=sharing"",""อุตรดิตถ์!N562"")+IMPORTRANGE(""https://docs.google.com/spreadsheets/d/1UsNK1e-WWiCo2PvGqdNfdme4m17_Ezd3J69EeeiQPD0/edit?usp=sharing"",""อุทัยธานี!N562"")"),0)</f>
        <v>0</v>
      </c>
      <c r="O562" s="48">
        <f t="shared" ca="1" si="394"/>
        <v>0</v>
      </c>
      <c r="P562" s="48">
        <f t="shared" ca="1" si="395"/>
        <v>0</v>
      </c>
      <c r="Q562" s="48">
        <f ca="1">IFERROR(__xludf.DUMMYFUNCTION("IMPORTRANGE(""https://docs.google.com/spreadsheets/d/1jTcq05yEiRwXcBMLjiodW9e4biSGYWAHcDj22rKWQ3s/edit?usp=sharing"",""กำแพงเพชร!Q562"")+IMPORTRANGE(""https://docs.google.com/spreadsheets/d/1KS0zmDSZPk8KnTAbGN-Xk6MtX1YRZD0ldgdt20K4CRk/edit?usp=sharing"","&amp;"""เชียงราย!Q562"")+IMPORTRANGE(""https://docs.google.com/spreadsheets/d/1rEDxBtusbi64tE0zunoIbsTVV16HeL0oJ6trHQeQ7K8/edit?usp=sharing"",""เชียงใหม่!Q562"")+IMPORTRANGE(""https://docs.google.com/spreadsheets/d/1W6MnUbDkMi6xHnHko_XkFDO9kkuL6Wqyc-6OCDFjW9I/e"&amp;"dit?usp=sharing"",""ตาก!Q562"")+IMPORTRANGE(""https://docs.google.com/spreadsheets/d/1IQAWArduLkta9LpYo4a_ULsyqdta6-6aDDiwpUnQT6c/edit?usp=sharing"",""นครสวรรค์!Q562"")+IMPORTRANGE(""https://docs.google.com/spreadsheets/d/10s13Sk5xrltsiR-Zkbmk5DwIaDIKO8Xl"&amp;"bJAfqyT7Gvg/edit?usp=sharing"",""น่าน!Q562"")+IMPORTRANGE(""https://docs.google.com/spreadsheets/d/1uu4nAn4Dbi1XREnLKKotUANlKXa7yCgRcgq8HEzQYW8/edit?usp=sharing"",""พะเยา!Q562"")+IMPORTRANGE(""https://docs.google.com/spreadsheets/d/1xfJKIQxVOaPDIICqsflNlL"&amp;"u3JacTDk1FP9RH4phX7mI/edit?usp=sharing"",""พิจิตร!Q562"")+IMPORTRANGE(""https://docs.google.com/spreadsheets/d/1JtRfZkJMHtEhI5RdRHxYUG4FIZHqKDpNyIuN7A1Q0_k/edit?usp=sharing"",""พิษณุโลก!Q562"")+IMPORTRANGE(""https://docs.google.com/spreadsheets/d/1xlcVZWU"&amp;"Nn6SuWm0c307h32SiGkd9BaeQWlAktfD3KO8/edit?usp=sharing"",""เพชรบูรณ์!Q562"")+IMPORTRANGE(""https://docs.google.com/spreadsheets/d/1lOVebEIsI9qjGXl6EX66luk7wiuP2tBaryw-wKvv4e0/edit?usp=sharing"",""แพร่!Q562"")+IMPORTRANGE(""https://docs.google.com/spreadshe"&amp;"ets/d/1dQrvX0vEcN7Gu0fnZ0B5S90AeR19zth4XlExFBeExMY/edit?usp=sharing"",""แม่ฮ่องสอน!Q562"")+IMPORTRANGE(""https://docs.google.com/spreadsheets/d/1DY4XTNNwjluuxqdfdn6qvOSlMRrZqUtmYcZR0ttFiG4/edit?usp=sharing"",""ลำปาง!Q562"")+IMPORTRANGE(""https://docs.goog"&amp;"le.com/spreadsheets/d/1ICwG78r0OFT8biBlxnBF8r7she7gNSzOvJ958PWT09c/edit?usp=sharing"",""ลำพูน!Q562"")+IMPORTRANGE(""https://docs.google.com/spreadsheets/d/1B0f2xJpZUC6Z0xXnqKlZtEPzsf6L84eP1r1Q15seqRM/edit?usp=sharing"",""สุโขทัย!Q562"")+IMPORTRANGE(""http"&amp;"s://docs.google.com/spreadsheets/d/1v0b9pFQCsKUVExMei7AgY2yQkdeNQvtOssygGsXbiKo/edit?usp=sharing"",""อุตรดิตถ์!Q562"")+IMPORTRANGE(""https://docs.google.com/spreadsheets/d/1UsNK1e-WWiCo2PvGqdNfdme4m17_Ezd3J69EeeiQPD0/edit?usp=sharing"",""อุทัยธานี!Q562"")"),0)</f>
        <v>0</v>
      </c>
      <c r="R562" s="48">
        <f ca="1">IFERROR(__xludf.DUMMYFUNCTION("IMPORTRANGE(""https://docs.google.com/spreadsheets/d/1jTcq05yEiRwXcBMLjiodW9e4biSGYWAHcDj22rKWQ3s/edit?usp=sharing"",""กำแพงเพชร!R562"")+IMPORTRANGE(""https://docs.google.com/spreadsheets/d/1KS0zmDSZPk8KnTAbGN-Xk6MtX1YRZD0ldgdt20K4CRk/edit?usp=sharing"","&amp;"""เชียงราย!R562"")+IMPORTRANGE(""https://docs.google.com/spreadsheets/d/1rEDxBtusbi64tE0zunoIbsTVV16HeL0oJ6trHQeQ7K8/edit?usp=sharing"",""เชียงใหม่!R562"")+IMPORTRANGE(""https://docs.google.com/spreadsheets/d/1W6MnUbDkMi6xHnHko_XkFDO9kkuL6Wqyc-6OCDFjW9I/e"&amp;"dit?usp=sharing"",""ตาก!R562"")+IMPORTRANGE(""https://docs.google.com/spreadsheets/d/1IQAWArduLkta9LpYo4a_ULsyqdta6-6aDDiwpUnQT6c/edit?usp=sharing"",""นครสวรรค์!R562"")+IMPORTRANGE(""https://docs.google.com/spreadsheets/d/10s13Sk5xrltsiR-Zkbmk5DwIaDIKO8Xl"&amp;"bJAfqyT7Gvg/edit?usp=sharing"",""น่าน!R562"")+IMPORTRANGE(""https://docs.google.com/spreadsheets/d/1uu4nAn4Dbi1XREnLKKotUANlKXa7yCgRcgq8HEzQYW8/edit?usp=sharing"",""พะเยา!R562"")+IMPORTRANGE(""https://docs.google.com/spreadsheets/d/1xfJKIQxVOaPDIICqsflNlL"&amp;"u3JacTDk1FP9RH4phX7mI/edit?usp=sharing"",""พิจิตร!R562"")+IMPORTRANGE(""https://docs.google.com/spreadsheets/d/1JtRfZkJMHtEhI5RdRHxYUG4FIZHqKDpNyIuN7A1Q0_k/edit?usp=sharing"",""พิษณุโลก!R562"")+IMPORTRANGE(""https://docs.google.com/spreadsheets/d/1xlcVZWU"&amp;"Nn6SuWm0c307h32SiGkd9BaeQWlAktfD3KO8/edit?usp=sharing"",""เพชรบูรณ์!R562"")+IMPORTRANGE(""https://docs.google.com/spreadsheets/d/1lOVebEIsI9qjGXl6EX66luk7wiuP2tBaryw-wKvv4e0/edit?usp=sharing"",""แพร่!R562"")+IMPORTRANGE(""https://docs.google.com/spreadshe"&amp;"ets/d/1dQrvX0vEcN7Gu0fnZ0B5S90AeR19zth4XlExFBeExMY/edit?usp=sharing"",""แม่ฮ่องสอน!R562"")+IMPORTRANGE(""https://docs.google.com/spreadsheets/d/1DY4XTNNwjluuxqdfdn6qvOSlMRrZqUtmYcZR0ttFiG4/edit?usp=sharing"",""ลำปาง!R562"")+IMPORTRANGE(""https://docs.goog"&amp;"le.com/spreadsheets/d/1ICwG78r0OFT8biBlxnBF8r7she7gNSzOvJ958PWT09c/edit?usp=sharing"",""ลำพูน!R562"")+IMPORTRANGE(""https://docs.google.com/spreadsheets/d/1B0f2xJpZUC6Z0xXnqKlZtEPzsf6L84eP1r1Q15seqRM/edit?usp=sharing"",""สุโขทัย!R562"")+IMPORTRANGE(""http"&amp;"s://docs.google.com/spreadsheets/d/1v0b9pFQCsKUVExMei7AgY2yQkdeNQvtOssygGsXbiKo/edit?usp=sharing"",""อุตรดิตถ์!R562"")+IMPORTRANGE(""https://docs.google.com/spreadsheets/d/1UsNK1e-WWiCo2PvGqdNfdme4m17_Ezd3J69EeeiQPD0/edit?usp=sharing"",""อุทัยธานี!R562"")"),0)</f>
        <v>0</v>
      </c>
      <c r="S562" s="48">
        <f ca="1">IFERROR(__xludf.DUMMYFUNCTION("IMPORTRANGE(""https://docs.google.com/spreadsheets/d/1jTcq05yEiRwXcBMLjiodW9e4biSGYWAHcDj22rKWQ3s/edit?usp=sharing"",""กำแพงเพชร!S562"")+IMPORTRANGE(""https://docs.google.com/spreadsheets/d/1KS0zmDSZPk8KnTAbGN-Xk6MtX1YRZD0ldgdt20K4CRk/edit?usp=sharing"","&amp;"""เชียงราย!S562"")+IMPORTRANGE(""https://docs.google.com/spreadsheets/d/1rEDxBtusbi64tE0zunoIbsTVV16HeL0oJ6trHQeQ7K8/edit?usp=sharing"",""เชียงใหม่!S562"")+IMPORTRANGE(""https://docs.google.com/spreadsheets/d/1W6MnUbDkMi6xHnHko_XkFDO9kkuL6Wqyc-6OCDFjW9I/e"&amp;"dit?usp=sharing"",""ตาก!S562"")+IMPORTRANGE(""https://docs.google.com/spreadsheets/d/1IQAWArduLkta9LpYo4a_ULsyqdta6-6aDDiwpUnQT6c/edit?usp=sharing"",""นครสวรรค์!S562"")+IMPORTRANGE(""https://docs.google.com/spreadsheets/d/10s13Sk5xrltsiR-Zkbmk5DwIaDIKO8Xl"&amp;"bJAfqyT7Gvg/edit?usp=sharing"",""น่าน!S562"")+IMPORTRANGE(""https://docs.google.com/spreadsheets/d/1uu4nAn4Dbi1XREnLKKotUANlKXa7yCgRcgq8HEzQYW8/edit?usp=sharing"",""พะเยา!S562"")+IMPORTRANGE(""https://docs.google.com/spreadsheets/d/1xfJKIQxVOaPDIICqsflNlL"&amp;"u3JacTDk1FP9RH4phX7mI/edit?usp=sharing"",""พิจิตร!S562"")+IMPORTRANGE(""https://docs.google.com/spreadsheets/d/1JtRfZkJMHtEhI5RdRHxYUG4FIZHqKDpNyIuN7A1Q0_k/edit?usp=sharing"",""พิษณุโลก!S562"")+IMPORTRANGE(""https://docs.google.com/spreadsheets/d/1xlcVZWU"&amp;"Nn6SuWm0c307h32SiGkd9BaeQWlAktfD3KO8/edit?usp=sharing"",""เพชรบูรณ์!S562"")+IMPORTRANGE(""https://docs.google.com/spreadsheets/d/1lOVebEIsI9qjGXl6EX66luk7wiuP2tBaryw-wKvv4e0/edit?usp=sharing"",""แพร่!S562"")+IMPORTRANGE(""https://docs.google.com/spreadshe"&amp;"ets/d/1dQrvX0vEcN7Gu0fnZ0B5S90AeR19zth4XlExFBeExMY/edit?usp=sharing"",""แม่ฮ่องสอน!S562"")+IMPORTRANGE(""https://docs.google.com/spreadsheets/d/1DY4XTNNwjluuxqdfdn6qvOSlMRrZqUtmYcZR0ttFiG4/edit?usp=sharing"",""ลำปาง!S562"")+IMPORTRANGE(""https://docs.goog"&amp;"le.com/spreadsheets/d/1ICwG78r0OFT8biBlxnBF8r7she7gNSzOvJ958PWT09c/edit?usp=sharing"",""ลำพูน!S562"")+IMPORTRANGE(""https://docs.google.com/spreadsheets/d/1B0f2xJpZUC6Z0xXnqKlZtEPzsf6L84eP1r1Q15seqRM/edit?usp=sharing"",""สุโขทัย!S562"")+IMPORTRANGE(""http"&amp;"s://docs.google.com/spreadsheets/d/1v0b9pFQCsKUVExMei7AgY2yQkdeNQvtOssygGsXbiKo/edit?usp=sharing"",""อุตรดิตถ์!S562"")+IMPORTRANGE(""https://docs.google.com/spreadsheets/d/1UsNK1e-WWiCo2PvGqdNfdme4m17_Ezd3J69EeeiQPD0/edit?usp=sharing"",""อุทัยธานี!S562"")"),0)</f>
        <v>0</v>
      </c>
      <c r="T562" s="48">
        <f t="shared" ca="1" si="397"/>
        <v>0</v>
      </c>
      <c r="U562" s="48">
        <f t="shared" ca="1" si="398"/>
        <v>0</v>
      </c>
    </row>
    <row r="563" spans="1:21" ht="18.75" x14ac:dyDescent="0.25">
      <c r="A563" s="128"/>
      <c r="B563" s="40"/>
      <c r="C563" s="40"/>
      <c r="D563" s="40"/>
      <c r="E563" s="47" t="s">
        <v>21</v>
      </c>
      <c r="F563" s="40"/>
      <c r="G563" s="42"/>
      <c r="H563" s="137" t="s">
        <v>14</v>
      </c>
      <c r="I563" s="135"/>
      <c r="J563" s="135"/>
      <c r="K563" s="136"/>
      <c r="L563" s="46">
        <f ca="1">IFERROR(__xludf.DUMMYFUNCTION("IMPORTRANGE(""https://docs.google.com/spreadsheets/d/1jTcq05yEiRwXcBMLjiodW9e4biSGYWAHcDj22rKWQ3s/edit?usp=sharing"",""กำแพงเพชร!L563"")+IMPORTRANGE(""https://docs.google.com/spreadsheets/d/1KS0zmDSZPk8KnTAbGN-Xk6MtX1YRZD0ldgdt20K4CRk/edit?usp=sharing"","&amp;"""เชียงราย!L563"")+IMPORTRANGE(""https://docs.google.com/spreadsheets/d/1rEDxBtusbi64tE0zunoIbsTVV16HeL0oJ6trHQeQ7K8/edit?usp=sharing"",""เชียงใหม่!L563"")+IMPORTRANGE(""https://docs.google.com/spreadsheets/d/1W6MnUbDkMi6xHnHko_XkFDO9kkuL6Wqyc-6OCDFjW9I/e"&amp;"dit?usp=sharing"",""ตาก!L563"")+IMPORTRANGE(""https://docs.google.com/spreadsheets/d/1IQAWArduLkta9LpYo4a_ULsyqdta6-6aDDiwpUnQT6c/edit?usp=sharing"",""นครสวรรค์!L563"")+IMPORTRANGE(""https://docs.google.com/spreadsheets/d/10s13Sk5xrltsiR-Zkbmk5DwIaDIKO8Xl"&amp;"bJAfqyT7Gvg/edit?usp=sharing"",""น่าน!L563"")+IMPORTRANGE(""https://docs.google.com/spreadsheets/d/1uu4nAn4Dbi1XREnLKKotUANlKXa7yCgRcgq8HEzQYW8/edit?usp=sharing"",""พะเยา!L563"")+IMPORTRANGE(""https://docs.google.com/spreadsheets/d/1xfJKIQxVOaPDIICqsflNlL"&amp;"u3JacTDk1FP9RH4phX7mI/edit?usp=sharing"",""พิจิตร!L563"")+IMPORTRANGE(""https://docs.google.com/spreadsheets/d/1JtRfZkJMHtEhI5RdRHxYUG4FIZHqKDpNyIuN7A1Q0_k/edit?usp=sharing"",""พิษณุโลก!L563"")+IMPORTRANGE(""https://docs.google.com/spreadsheets/d/1xlcVZWU"&amp;"Nn6SuWm0c307h32SiGkd9BaeQWlAktfD3KO8/edit?usp=sharing"",""เพชรบูรณ์!L563"")+IMPORTRANGE(""https://docs.google.com/spreadsheets/d/1lOVebEIsI9qjGXl6EX66luk7wiuP2tBaryw-wKvv4e0/edit?usp=sharing"",""แพร่!L563"")+IMPORTRANGE(""https://docs.google.com/spreadshe"&amp;"ets/d/1dQrvX0vEcN7Gu0fnZ0B5S90AeR19zth4XlExFBeExMY/edit?usp=sharing"",""แม่ฮ่องสอน!L563"")+IMPORTRANGE(""https://docs.google.com/spreadsheets/d/1DY4XTNNwjluuxqdfdn6qvOSlMRrZqUtmYcZR0ttFiG4/edit?usp=sharing"",""ลำปาง!L563"")+IMPORTRANGE(""https://docs.goog"&amp;"le.com/spreadsheets/d/1ICwG78r0OFT8biBlxnBF8r7she7gNSzOvJ958PWT09c/edit?usp=sharing"",""ลำพูน!L563"")+IMPORTRANGE(""https://docs.google.com/spreadsheets/d/1B0f2xJpZUC6Z0xXnqKlZtEPzsf6L84eP1r1Q15seqRM/edit?usp=sharing"",""สุโขทัย!L563"")+IMPORTRANGE(""http"&amp;"s://docs.google.com/spreadsheets/d/1v0b9pFQCsKUVExMei7AgY2yQkdeNQvtOssygGsXbiKo/edit?usp=sharing"",""อุตรดิตถ์!L563"")+IMPORTRANGE(""https://docs.google.com/spreadsheets/d/1UsNK1e-WWiCo2PvGqdNfdme4m17_Ezd3J69EeeiQPD0/edit?usp=sharing"",""อุทัยธานี!L563"")"),8149000)</f>
        <v>8149000</v>
      </c>
      <c r="M563" s="46">
        <f ca="1">IFERROR(__xludf.DUMMYFUNCTION("IMPORTRANGE(""https://docs.google.com/spreadsheets/d/1jTcq05yEiRwXcBMLjiodW9e4biSGYWAHcDj22rKWQ3s/edit?usp=sharing"",""กำแพงเพชร!M563"")+IMPORTRANGE(""https://docs.google.com/spreadsheets/d/1KS0zmDSZPk8KnTAbGN-Xk6MtX1YRZD0ldgdt20K4CRk/edit?usp=sharing"","&amp;"""เชียงราย!M563"")+IMPORTRANGE(""https://docs.google.com/spreadsheets/d/1rEDxBtusbi64tE0zunoIbsTVV16HeL0oJ6trHQeQ7K8/edit?usp=sharing"",""เชียงใหม่!M563"")+IMPORTRANGE(""https://docs.google.com/spreadsheets/d/1W6MnUbDkMi6xHnHko_XkFDO9kkuL6Wqyc-6OCDFjW9I/e"&amp;"dit?usp=sharing"",""ตาก!M563"")+IMPORTRANGE(""https://docs.google.com/spreadsheets/d/1IQAWArduLkta9LpYo4a_ULsyqdta6-6aDDiwpUnQT6c/edit?usp=sharing"",""นครสวรรค์!M563"")+IMPORTRANGE(""https://docs.google.com/spreadsheets/d/10s13Sk5xrltsiR-Zkbmk5DwIaDIKO8Xl"&amp;"bJAfqyT7Gvg/edit?usp=sharing"",""น่าน!M563"")+IMPORTRANGE(""https://docs.google.com/spreadsheets/d/1uu4nAn4Dbi1XREnLKKotUANlKXa7yCgRcgq8HEzQYW8/edit?usp=sharing"",""พะเยา!M563"")+IMPORTRANGE(""https://docs.google.com/spreadsheets/d/1xfJKIQxVOaPDIICqsflNlL"&amp;"u3JacTDk1FP9RH4phX7mI/edit?usp=sharing"",""พิจิตร!M563"")+IMPORTRANGE(""https://docs.google.com/spreadsheets/d/1JtRfZkJMHtEhI5RdRHxYUG4FIZHqKDpNyIuN7A1Q0_k/edit?usp=sharing"",""พิษณุโลก!M563"")+IMPORTRANGE(""https://docs.google.com/spreadsheets/d/1xlcVZWU"&amp;"Nn6SuWm0c307h32SiGkd9BaeQWlAktfD3KO8/edit?usp=sharing"",""เพชรบูรณ์!M563"")+IMPORTRANGE(""https://docs.google.com/spreadsheets/d/1lOVebEIsI9qjGXl6EX66luk7wiuP2tBaryw-wKvv4e0/edit?usp=sharing"",""แพร่!M563"")+IMPORTRANGE(""https://docs.google.com/spreadshe"&amp;"ets/d/1dQrvX0vEcN7Gu0fnZ0B5S90AeR19zth4XlExFBeExMY/edit?usp=sharing"",""แม่ฮ่องสอน!M563"")+IMPORTRANGE(""https://docs.google.com/spreadsheets/d/1DY4XTNNwjluuxqdfdn6qvOSlMRrZqUtmYcZR0ttFiG4/edit?usp=sharing"",""ลำปาง!M563"")+IMPORTRANGE(""https://docs.goog"&amp;"le.com/spreadsheets/d/1ICwG78r0OFT8biBlxnBF8r7she7gNSzOvJ958PWT09c/edit?usp=sharing"",""ลำพูน!M563"")+IMPORTRANGE(""https://docs.google.com/spreadsheets/d/1B0f2xJpZUC6Z0xXnqKlZtEPzsf6L84eP1r1Q15seqRM/edit?usp=sharing"",""สุโขทัย!M563"")+IMPORTRANGE(""http"&amp;"s://docs.google.com/spreadsheets/d/1v0b9pFQCsKUVExMei7AgY2yQkdeNQvtOssygGsXbiKo/edit?usp=sharing"",""อุตรดิตถ์!M563"")+IMPORTRANGE(""https://docs.google.com/spreadsheets/d/1UsNK1e-WWiCo2PvGqdNfdme4m17_Ezd3J69EeeiQPD0/edit?usp=sharing"",""อุทัยธานี!M563"")"),8149000)</f>
        <v>8149000</v>
      </c>
      <c r="N563" s="46">
        <f ca="1">IFERROR(__xludf.DUMMYFUNCTION("IMPORTRANGE(""https://docs.google.com/spreadsheets/d/1jTcq05yEiRwXcBMLjiodW9e4biSGYWAHcDj22rKWQ3s/edit?usp=sharing"",""กำแพงเพชร!N563"")+IMPORTRANGE(""https://docs.google.com/spreadsheets/d/1KS0zmDSZPk8KnTAbGN-Xk6MtX1YRZD0ldgdt20K4CRk/edit?usp=sharing"","&amp;"""เชียงราย!N563"")+IMPORTRANGE(""https://docs.google.com/spreadsheets/d/1rEDxBtusbi64tE0zunoIbsTVV16HeL0oJ6trHQeQ7K8/edit?usp=sharing"",""เชียงใหม่!N563"")+IMPORTRANGE(""https://docs.google.com/spreadsheets/d/1W6MnUbDkMi6xHnHko_XkFDO9kkuL6Wqyc-6OCDFjW9I/e"&amp;"dit?usp=sharing"",""ตาก!N563"")+IMPORTRANGE(""https://docs.google.com/spreadsheets/d/1IQAWArduLkta9LpYo4a_ULsyqdta6-6aDDiwpUnQT6c/edit?usp=sharing"",""นครสวรรค์!N563"")+IMPORTRANGE(""https://docs.google.com/spreadsheets/d/10s13Sk5xrltsiR-Zkbmk5DwIaDIKO8Xl"&amp;"bJAfqyT7Gvg/edit?usp=sharing"",""น่าน!N563"")+IMPORTRANGE(""https://docs.google.com/spreadsheets/d/1uu4nAn4Dbi1XREnLKKotUANlKXa7yCgRcgq8HEzQYW8/edit?usp=sharing"",""พะเยา!N563"")+IMPORTRANGE(""https://docs.google.com/spreadsheets/d/1xfJKIQxVOaPDIICqsflNlL"&amp;"u3JacTDk1FP9RH4phX7mI/edit?usp=sharing"",""พิจิตร!N563"")+IMPORTRANGE(""https://docs.google.com/spreadsheets/d/1JtRfZkJMHtEhI5RdRHxYUG4FIZHqKDpNyIuN7A1Q0_k/edit?usp=sharing"",""พิษณุโลก!N563"")+IMPORTRANGE(""https://docs.google.com/spreadsheets/d/1xlcVZWU"&amp;"Nn6SuWm0c307h32SiGkd9BaeQWlAktfD3KO8/edit?usp=sharing"",""เพชรบูรณ์!N563"")+IMPORTRANGE(""https://docs.google.com/spreadsheets/d/1lOVebEIsI9qjGXl6EX66luk7wiuP2tBaryw-wKvv4e0/edit?usp=sharing"",""แพร่!N563"")+IMPORTRANGE(""https://docs.google.com/spreadshe"&amp;"ets/d/1dQrvX0vEcN7Gu0fnZ0B5S90AeR19zth4XlExFBeExMY/edit?usp=sharing"",""แม่ฮ่องสอน!N563"")+IMPORTRANGE(""https://docs.google.com/spreadsheets/d/1DY4XTNNwjluuxqdfdn6qvOSlMRrZqUtmYcZR0ttFiG4/edit?usp=sharing"",""ลำปาง!N563"")+IMPORTRANGE(""https://docs.goog"&amp;"le.com/spreadsheets/d/1ICwG78r0OFT8biBlxnBF8r7she7gNSzOvJ958PWT09c/edit?usp=sharing"",""ลำพูน!N563"")+IMPORTRANGE(""https://docs.google.com/spreadsheets/d/1B0f2xJpZUC6Z0xXnqKlZtEPzsf6L84eP1r1Q15seqRM/edit?usp=sharing"",""สุโขทัย!N563"")+IMPORTRANGE(""http"&amp;"s://docs.google.com/spreadsheets/d/1v0b9pFQCsKUVExMei7AgY2yQkdeNQvtOssygGsXbiKo/edit?usp=sharing"",""อุตรดิตถ์!N563"")+IMPORTRANGE(""https://docs.google.com/spreadsheets/d/1UsNK1e-WWiCo2PvGqdNfdme4m17_Ezd3J69EeeiQPD0/edit?usp=sharing"",""อุทัยธานี!N563"")"),0)</f>
        <v>0</v>
      </c>
      <c r="O563" s="46">
        <f t="shared" ca="1" si="394"/>
        <v>0</v>
      </c>
      <c r="P563" s="46">
        <f t="shared" ca="1" si="395"/>
        <v>0</v>
      </c>
      <c r="Q563" s="46">
        <f ca="1">IFERROR(__xludf.DUMMYFUNCTION("IMPORTRANGE(""https://docs.google.com/spreadsheets/d/1jTcq05yEiRwXcBMLjiodW9e4biSGYWAHcDj22rKWQ3s/edit?usp=sharing"",""กำแพงเพชร!Q563"")+IMPORTRANGE(""https://docs.google.com/spreadsheets/d/1KS0zmDSZPk8KnTAbGN-Xk6MtX1YRZD0ldgdt20K4CRk/edit?usp=sharing"","&amp;"""เชียงราย!Q563"")+IMPORTRANGE(""https://docs.google.com/spreadsheets/d/1rEDxBtusbi64tE0zunoIbsTVV16HeL0oJ6trHQeQ7K8/edit?usp=sharing"",""เชียงใหม่!Q563"")+IMPORTRANGE(""https://docs.google.com/spreadsheets/d/1W6MnUbDkMi6xHnHko_XkFDO9kkuL6Wqyc-6OCDFjW9I/e"&amp;"dit?usp=sharing"",""ตาก!Q563"")+IMPORTRANGE(""https://docs.google.com/spreadsheets/d/1IQAWArduLkta9LpYo4a_ULsyqdta6-6aDDiwpUnQT6c/edit?usp=sharing"",""นครสวรรค์!Q563"")+IMPORTRANGE(""https://docs.google.com/spreadsheets/d/10s13Sk5xrltsiR-Zkbmk5DwIaDIKO8Xl"&amp;"bJAfqyT7Gvg/edit?usp=sharing"",""น่าน!Q563"")+IMPORTRANGE(""https://docs.google.com/spreadsheets/d/1uu4nAn4Dbi1XREnLKKotUANlKXa7yCgRcgq8HEzQYW8/edit?usp=sharing"",""พะเยา!Q563"")+IMPORTRANGE(""https://docs.google.com/spreadsheets/d/1xfJKIQxVOaPDIICqsflNlL"&amp;"u3JacTDk1FP9RH4phX7mI/edit?usp=sharing"",""พิจิตร!Q563"")+IMPORTRANGE(""https://docs.google.com/spreadsheets/d/1JtRfZkJMHtEhI5RdRHxYUG4FIZHqKDpNyIuN7A1Q0_k/edit?usp=sharing"",""พิษณุโลก!Q563"")+IMPORTRANGE(""https://docs.google.com/spreadsheets/d/1xlcVZWU"&amp;"Nn6SuWm0c307h32SiGkd9BaeQWlAktfD3KO8/edit?usp=sharing"",""เพชรบูรณ์!Q563"")+IMPORTRANGE(""https://docs.google.com/spreadsheets/d/1lOVebEIsI9qjGXl6EX66luk7wiuP2tBaryw-wKvv4e0/edit?usp=sharing"",""แพร่!Q563"")+IMPORTRANGE(""https://docs.google.com/spreadshe"&amp;"ets/d/1dQrvX0vEcN7Gu0fnZ0B5S90AeR19zth4XlExFBeExMY/edit?usp=sharing"",""แม่ฮ่องสอน!Q563"")+IMPORTRANGE(""https://docs.google.com/spreadsheets/d/1DY4XTNNwjluuxqdfdn6qvOSlMRrZqUtmYcZR0ttFiG4/edit?usp=sharing"",""ลำปาง!Q563"")+IMPORTRANGE(""https://docs.goog"&amp;"le.com/spreadsheets/d/1ICwG78r0OFT8biBlxnBF8r7she7gNSzOvJ958PWT09c/edit?usp=sharing"",""ลำพูน!Q563"")+IMPORTRANGE(""https://docs.google.com/spreadsheets/d/1B0f2xJpZUC6Z0xXnqKlZtEPzsf6L84eP1r1Q15seqRM/edit?usp=sharing"",""สุโขทัย!Q563"")+IMPORTRANGE(""http"&amp;"s://docs.google.com/spreadsheets/d/1v0b9pFQCsKUVExMei7AgY2yQkdeNQvtOssygGsXbiKo/edit?usp=sharing"",""อุตรดิตถ์!Q563"")+IMPORTRANGE(""https://docs.google.com/spreadsheets/d/1UsNK1e-WWiCo2PvGqdNfdme4m17_Ezd3J69EeeiQPD0/edit?usp=sharing"",""อุทัยธานี!Q563"")"),0)</f>
        <v>0</v>
      </c>
      <c r="R563" s="46">
        <f ca="1">IFERROR(__xludf.DUMMYFUNCTION("IMPORTRANGE(""https://docs.google.com/spreadsheets/d/1jTcq05yEiRwXcBMLjiodW9e4biSGYWAHcDj22rKWQ3s/edit?usp=sharing"",""กำแพงเพชร!R563"")+IMPORTRANGE(""https://docs.google.com/spreadsheets/d/1KS0zmDSZPk8KnTAbGN-Xk6MtX1YRZD0ldgdt20K4CRk/edit?usp=sharing"","&amp;"""เชียงราย!R563"")+IMPORTRANGE(""https://docs.google.com/spreadsheets/d/1rEDxBtusbi64tE0zunoIbsTVV16HeL0oJ6trHQeQ7K8/edit?usp=sharing"",""เชียงใหม่!R563"")+IMPORTRANGE(""https://docs.google.com/spreadsheets/d/1W6MnUbDkMi6xHnHko_XkFDO9kkuL6Wqyc-6OCDFjW9I/e"&amp;"dit?usp=sharing"",""ตาก!R563"")+IMPORTRANGE(""https://docs.google.com/spreadsheets/d/1IQAWArduLkta9LpYo4a_ULsyqdta6-6aDDiwpUnQT6c/edit?usp=sharing"",""นครสวรรค์!R563"")+IMPORTRANGE(""https://docs.google.com/spreadsheets/d/10s13Sk5xrltsiR-Zkbmk5DwIaDIKO8Xl"&amp;"bJAfqyT7Gvg/edit?usp=sharing"",""น่าน!R563"")+IMPORTRANGE(""https://docs.google.com/spreadsheets/d/1uu4nAn4Dbi1XREnLKKotUANlKXa7yCgRcgq8HEzQYW8/edit?usp=sharing"",""พะเยา!R563"")+IMPORTRANGE(""https://docs.google.com/spreadsheets/d/1xfJKIQxVOaPDIICqsflNlL"&amp;"u3JacTDk1FP9RH4phX7mI/edit?usp=sharing"",""พิจิตร!R563"")+IMPORTRANGE(""https://docs.google.com/spreadsheets/d/1JtRfZkJMHtEhI5RdRHxYUG4FIZHqKDpNyIuN7A1Q0_k/edit?usp=sharing"",""พิษณุโลก!R563"")+IMPORTRANGE(""https://docs.google.com/spreadsheets/d/1xlcVZWU"&amp;"Nn6SuWm0c307h32SiGkd9BaeQWlAktfD3KO8/edit?usp=sharing"",""เพชรบูรณ์!R563"")+IMPORTRANGE(""https://docs.google.com/spreadsheets/d/1lOVebEIsI9qjGXl6EX66luk7wiuP2tBaryw-wKvv4e0/edit?usp=sharing"",""แพร่!R563"")+IMPORTRANGE(""https://docs.google.com/spreadshe"&amp;"ets/d/1dQrvX0vEcN7Gu0fnZ0B5S90AeR19zth4XlExFBeExMY/edit?usp=sharing"",""แม่ฮ่องสอน!R563"")+IMPORTRANGE(""https://docs.google.com/spreadsheets/d/1DY4XTNNwjluuxqdfdn6qvOSlMRrZqUtmYcZR0ttFiG4/edit?usp=sharing"",""ลำปาง!R563"")+IMPORTRANGE(""https://docs.goog"&amp;"le.com/spreadsheets/d/1ICwG78r0OFT8biBlxnBF8r7she7gNSzOvJ958PWT09c/edit?usp=sharing"",""ลำพูน!R563"")+IMPORTRANGE(""https://docs.google.com/spreadsheets/d/1B0f2xJpZUC6Z0xXnqKlZtEPzsf6L84eP1r1Q15seqRM/edit?usp=sharing"",""สุโขทัย!R563"")+IMPORTRANGE(""http"&amp;"s://docs.google.com/spreadsheets/d/1v0b9pFQCsKUVExMei7AgY2yQkdeNQvtOssygGsXbiKo/edit?usp=sharing"",""อุตรดิตถ์!R563"")+IMPORTRANGE(""https://docs.google.com/spreadsheets/d/1UsNK1e-WWiCo2PvGqdNfdme4m17_Ezd3J69EeeiQPD0/edit?usp=sharing"",""อุทัยธานี!R563"")"),0)</f>
        <v>0</v>
      </c>
      <c r="S563" s="46">
        <f ca="1">IFERROR(__xludf.DUMMYFUNCTION("IMPORTRANGE(""https://docs.google.com/spreadsheets/d/1jTcq05yEiRwXcBMLjiodW9e4biSGYWAHcDj22rKWQ3s/edit?usp=sharing"",""กำแพงเพชร!S563"")+IMPORTRANGE(""https://docs.google.com/spreadsheets/d/1KS0zmDSZPk8KnTAbGN-Xk6MtX1YRZD0ldgdt20K4CRk/edit?usp=sharing"","&amp;"""เชียงราย!S563"")+IMPORTRANGE(""https://docs.google.com/spreadsheets/d/1rEDxBtusbi64tE0zunoIbsTVV16HeL0oJ6trHQeQ7K8/edit?usp=sharing"",""เชียงใหม่!S563"")+IMPORTRANGE(""https://docs.google.com/spreadsheets/d/1W6MnUbDkMi6xHnHko_XkFDO9kkuL6Wqyc-6OCDFjW9I/e"&amp;"dit?usp=sharing"",""ตาก!S563"")+IMPORTRANGE(""https://docs.google.com/spreadsheets/d/1IQAWArduLkta9LpYo4a_ULsyqdta6-6aDDiwpUnQT6c/edit?usp=sharing"",""นครสวรรค์!S563"")+IMPORTRANGE(""https://docs.google.com/spreadsheets/d/10s13Sk5xrltsiR-Zkbmk5DwIaDIKO8Xl"&amp;"bJAfqyT7Gvg/edit?usp=sharing"",""น่าน!S563"")+IMPORTRANGE(""https://docs.google.com/spreadsheets/d/1uu4nAn4Dbi1XREnLKKotUANlKXa7yCgRcgq8HEzQYW8/edit?usp=sharing"",""พะเยา!S563"")+IMPORTRANGE(""https://docs.google.com/spreadsheets/d/1xfJKIQxVOaPDIICqsflNlL"&amp;"u3JacTDk1FP9RH4phX7mI/edit?usp=sharing"",""พิจิตร!S563"")+IMPORTRANGE(""https://docs.google.com/spreadsheets/d/1JtRfZkJMHtEhI5RdRHxYUG4FIZHqKDpNyIuN7A1Q0_k/edit?usp=sharing"",""พิษณุโลก!S563"")+IMPORTRANGE(""https://docs.google.com/spreadsheets/d/1xlcVZWU"&amp;"Nn6SuWm0c307h32SiGkd9BaeQWlAktfD3KO8/edit?usp=sharing"",""เพชรบูรณ์!S563"")+IMPORTRANGE(""https://docs.google.com/spreadsheets/d/1lOVebEIsI9qjGXl6EX66luk7wiuP2tBaryw-wKvv4e0/edit?usp=sharing"",""แพร่!S563"")+IMPORTRANGE(""https://docs.google.com/spreadshe"&amp;"ets/d/1dQrvX0vEcN7Gu0fnZ0B5S90AeR19zth4XlExFBeExMY/edit?usp=sharing"",""แม่ฮ่องสอน!S563"")+IMPORTRANGE(""https://docs.google.com/spreadsheets/d/1DY4XTNNwjluuxqdfdn6qvOSlMRrZqUtmYcZR0ttFiG4/edit?usp=sharing"",""ลำปาง!S563"")+IMPORTRANGE(""https://docs.goog"&amp;"le.com/spreadsheets/d/1ICwG78r0OFT8biBlxnBF8r7she7gNSzOvJ958PWT09c/edit?usp=sharing"",""ลำพูน!S563"")+IMPORTRANGE(""https://docs.google.com/spreadsheets/d/1B0f2xJpZUC6Z0xXnqKlZtEPzsf6L84eP1r1Q15seqRM/edit?usp=sharing"",""สุโขทัย!S563"")+IMPORTRANGE(""http"&amp;"s://docs.google.com/spreadsheets/d/1v0b9pFQCsKUVExMei7AgY2yQkdeNQvtOssygGsXbiKo/edit?usp=sharing"",""อุตรดิตถ์!S563"")+IMPORTRANGE(""https://docs.google.com/spreadsheets/d/1UsNK1e-WWiCo2PvGqdNfdme4m17_Ezd3J69EeeiQPD0/edit?usp=sharing"",""อุทัยธานี!S563"")"),0)</f>
        <v>0</v>
      </c>
      <c r="T563" s="46">
        <f t="shared" ca="1" si="397"/>
        <v>0</v>
      </c>
      <c r="U563" s="46">
        <f t="shared" ca="1" si="398"/>
        <v>0</v>
      </c>
    </row>
    <row r="564" spans="1:21" ht="19.5" hidden="1" x14ac:dyDescent="0.3">
      <c r="A564" s="138"/>
      <c r="B564" s="139"/>
      <c r="C564" s="364" t="s">
        <v>18</v>
      </c>
      <c r="D564" s="140" t="s">
        <v>38</v>
      </c>
      <c r="E564" s="141"/>
      <c r="F564" s="141"/>
      <c r="G564" s="142"/>
      <c r="H564" s="143"/>
      <c r="I564" s="135"/>
      <c r="J564" s="44"/>
      <c r="K564" s="45"/>
      <c r="L564" s="45"/>
      <c r="M564" s="45"/>
      <c r="N564" s="45"/>
      <c r="O564" s="136"/>
      <c r="P564" s="136"/>
      <c r="Q564" s="45"/>
      <c r="R564" s="45"/>
      <c r="S564" s="45"/>
      <c r="T564" s="136"/>
      <c r="U564" s="136"/>
    </row>
    <row r="565" spans="1:21" ht="12.75" hidden="1" x14ac:dyDescent="0.2">
      <c r="A565" s="227"/>
      <c r="B565" s="229"/>
      <c r="C565" s="228"/>
      <c r="D565" s="229"/>
      <c r="E565" s="228"/>
      <c r="F565" s="229"/>
      <c r="G565" s="230"/>
      <c r="H565" s="230"/>
      <c r="I565" s="232"/>
      <c r="J565" s="232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</row>
    <row r="566" spans="1:21" ht="12.75" hidden="1" x14ac:dyDescent="0.2">
      <c r="A566" s="227"/>
      <c r="B566" s="229"/>
      <c r="C566" s="228"/>
      <c r="D566" s="229"/>
      <c r="E566" s="228"/>
      <c r="F566" s="229"/>
      <c r="G566" s="230"/>
      <c r="H566" s="230"/>
      <c r="I566" s="232"/>
      <c r="J566" s="232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</row>
    <row r="567" spans="1:21" ht="12.75" hidden="1" x14ac:dyDescent="0.2">
      <c r="A567" s="227"/>
      <c r="B567" s="228"/>
      <c r="C567" s="228"/>
      <c r="D567" s="229"/>
      <c r="E567" s="229"/>
      <c r="F567" s="229"/>
      <c r="G567" s="230"/>
      <c r="H567" s="231"/>
      <c r="I567" s="232"/>
      <c r="J567" s="232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</row>
    <row r="568" spans="1:21" ht="12.75" hidden="1" x14ac:dyDescent="0.2">
      <c r="A568" s="227"/>
      <c r="B568" s="228"/>
      <c r="C568" s="228"/>
      <c r="D568" s="229"/>
      <c r="E568" s="229"/>
      <c r="F568" s="229"/>
      <c r="G568" s="230"/>
      <c r="H568" s="231"/>
      <c r="I568" s="232"/>
      <c r="J568" s="232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</row>
    <row r="569" spans="1:21" ht="12.75" hidden="1" x14ac:dyDescent="0.2">
      <c r="A569" s="227"/>
      <c r="B569" s="228"/>
      <c r="C569" s="228"/>
      <c r="D569" s="229"/>
      <c r="E569" s="229"/>
      <c r="F569" s="229"/>
      <c r="G569" s="230"/>
      <c r="H569" s="231"/>
      <c r="I569" s="232"/>
      <c r="J569" s="232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</row>
    <row r="570" spans="1:21" ht="12.75" hidden="1" x14ac:dyDescent="0.2">
      <c r="A570" s="227"/>
      <c r="B570" s="228"/>
      <c r="C570" s="228"/>
      <c r="D570" s="229"/>
      <c r="E570" s="229"/>
      <c r="F570" s="229"/>
      <c r="G570" s="230"/>
      <c r="H570" s="231"/>
      <c r="I570" s="232"/>
      <c r="J570" s="232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</row>
    <row r="571" spans="1:21" ht="12.75" hidden="1" x14ac:dyDescent="0.2">
      <c r="A571" s="227"/>
      <c r="B571" s="228"/>
      <c r="C571" s="228"/>
      <c r="D571" s="229"/>
      <c r="E571" s="229"/>
      <c r="F571" s="229"/>
      <c r="G571" s="230"/>
      <c r="H571" s="231"/>
      <c r="I571" s="232"/>
      <c r="J571" s="232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</row>
    <row r="572" spans="1:21" ht="12.75" hidden="1" x14ac:dyDescent="0.2">
      <c r="A572" s="227"/>
      <c r="B572" s="228"/>
      <c r="C572" s="228"/>
      <c r="D572" s="229"/>
      <c r="E572" s="229"/>
      <c r="F572" s="229"/>
      <c r="G572" s="230"/>
      <c r="H572" s="231"/>
      <c r="I572" s="232"/>
      <c r="J572" s="232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</row>
    <row r="573" spans="1:21" ht="12.75" hidden="1" x14ac:dyDescent="0.2">
      <c r="A573" s="227"/>
      <c r="B573" s="228"/>
      <c r="C573" s="228"/>
      <c r="D573" s="229"/>
      <c r="E573" s="229"/>
      <c r="F573" s="229"/>
      <c r="G573" s="230"/>
      <c r="H573" s="231"/>
      <c r="I573" s="232"/>
      <c r="J573" s="232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</row>
    <row r="574" spans="1:21" ht="12.75" hidden="1" x14ac:dyDescent="0.2">
      <c r="A574" s="360"/>
      <c r="B574" s="316"/>
      <c r="C574" s="316"/>
      <c r="D574" s="361"/>
      <c r="E574" s="361"/>
      <c r="F574" s="361"/>
      <c r="G574" s="362"/>
      <c r="H574" s="317"/>
      <c r="I574" s="318"/>
      <c r="J574" s="318"/>
      <c r="K574" s="319"/>
      <c r="L574" s="319"/>
      <c r="M574" s="319"/>
      <c r="N574" s="319"/>
      <c r="O574" s="319"/>
      <c r="P574" s="319"/>
      <c r="Q574" s="319"/>
      <c r="R574" s="319"/>
      <c r="S574" s="319"/>
      <c r="T574" s="319"/>
      <c r="U574" s="319"/>
    </row>
    <row r="575" spans="1:21" ht="19.5" x14ac:dyDescent="0.3">
      <c r="A575" s="349"/>
      <c r="B575" s="350" t="s">
        <v>212</v>
      </c>
      <c r="C575" s="351"/>
      <c r="D575" s="352"/>
      <c r="E575" s="352"/>
      <c r="F575" s="352"/>
      <c r="G575" s="353"/>
      <c r="H575" s="363" t="s">
        <v>61</v>
      </c>
      <c r="I575" s="374">
        <f t="shared" ref="I575:J575" si="407">I587</f>
        <v>0</v>
      </c>
      <c r="J575" s="374">
        <f t="shared" si="407"/>
        <v>0</v>
      </c>
      <c r="K575" s="356">
        <f>IF(I575&gt;0,J575*100/I575,0)</f>
        <v>0</v>
      </c>
      <c r="L575" s="357"/>
      <c r="M575" s="357"/>
      <c r="N575" s="357"/>
      <c r="O575" s="357"/>
      <c r="P575" s="357"/>
      <c r="Q575" s="357"/>
      <c r="R575" s="357"/>
      <c r="S575" s="357"/>
      <c r="T575" s="357"/>
      <c r="U575" s="357"/>
    </row>
    <row r="576" spans="1:21" ht="19.5" x14ac:dyDescent="0.3">
      <c r="A576" s="128"/>
      <c r="B576" s="40"/>
      <c r="C576" s="129" t="s">
        <v>18</v>
      </c>
      <c r="D576" s="130" t="s">
        <v>19</v>
      </c>
      <c r="E576" s="40"/>
      <c r="F576" s="40"/>
      <c r="G576" s="42"/>
      <c r="H576" s="131" t="s">
        <v>14</v>
      </c>
      <c r="I576" s="44"/>
      <c r="J576" s="44"/>
      <c r="K576" s="45"/>
      <c r="L576" s="132">
        <f t="shared" ref="L576:N576" ca="1" si="408">L577+L578</f>
        <v>3404267</v>
      </c>
      <c r="M576" s="132">
        <f t="shared" ca="1" si="408"/>
        <v>0</v>
      </c>
      <c r="N576" s="132">
        <f t="shared" ca="1" si="408"/>
        <v>0</v>
      </c>
      <c r="O576" s="132">
        <f t="shared" ref="O576:O584" ca="1" si="409">IF(L576&gt;0,N576*100/L576,0)</f>
        <v>0</v>
      </c>
      <c r="P576" s="132">
        <f t="shared" ref="P576:P584" ca="1" si="410">IF(M576&gt;0,N576*100/M576,0)</f>
        <v>0</v>
      </c>
      <c r="Q576" s="132">
        <f t="shared" ref="Q576:S576" ca="1" si="411">Q577+Q578</f>
        <v>0</v>
      </c>
      <c r="R576" s="132">
        <f t="shared" ca="1" si="411"/>
        <v>0</v>
      </c>
      <c r="S576" s="132">
        <f t="shared" ca="1" si="411"/>
        <v>0</v>
      </c>
      <c r="T576" s="132">
        <f t="shared" ref="T576:T584" ca="1" si="412">IF(Q576&gt;0,S576*100/Q576,0)</f>
        <v>0</v>
      </c>
      <c r="U576" s="132">
        <f t="shared" ref="U576:U584" ca="1" si="413">IF(R576&gt;0,S576*100/R576,0)</f>
        <v>0</v>
      </c>
    </row>
    <row r="577" spans="1:21" ht="18.75" x14ac:dyDescent="0.25">
      <c r="A577" s="128"/>
      <c r="B577" s="158"/>
      <c r="C577" s="40"/>
      <c r="D577" s="40"/>
      <c r="E577" s="156" t="s">
        <v>20</v>
      </c>
      <c r="F577" s="40"/>
      <c r="G577" s="42"/>
      <c r="H577" s="157" t="s">
        <v>14</v>
      </c>
      <c r="I577" s="44"/>
      <c r="J577" s="44"/>
      <c r="K577" s="45"/>
      <c r="L577" s="48">
        <f t="shared" ref="L577:N577" ca="1" si="414">L580+L583</f>
        <v>0</v>
      </c>
      <c r="M577" s="48">
        <f t="shared" ca="1" si="414"/>
        <v>0</v>
      </c>
      <c r="N577" s="48">
        <f t="shared" ca="1" si="414"/>
        <v>0</v>
      </c>
      <c r="O577" s="48">
        <f t="shared" ca="1" si="409"/>
        <v>0</v>
      </c>
      <c r="P577" s="48">
        <f t="shared" ca="1" si="410"/>
        <v>0</v>
      </c>
      <c r="Q577" s="48">
        <f t="shared" ref="Q577:S577" ca="1" si="415">Q580+Q583</f>
        <v>0</v>
      </c>
      <c r="R577" s="48">
        <f t="shared" ca="1" si="415"/>
        <v>0</v>
      </c>
      <c r="S577" s="48">
        <f t="shared" ca="1" si="415"/>
        <v>0</v>
      </c>
      <c r="T577" s="48">
        <f t="shared" ca="1" si="412"/>
        <v>0</v>
      </c>
      <c r="U577" s="48">
        <f t="shared" ca="1" si="413"/>
        <v>0</v>
      </c>
    </row>
    <row r="578" spans="1:21" ht="18.75" x14ac:dyDescent="0.25">
      <c r="A578" s="128"/>
      <c r="B578" s="40"/>
      <c r="C578" s="158"/>
      <c r="D578" s="40"/>
      <c r="E578" s="209" t="s">
        <v>21</v>
      </c>
      <c r="F578" s="40"/>
      <c r="G578" s="42"/>
      <c r="H578" s="133" t="s">
        <v>14</v>
      </c>
      <c r="I578" s="44"/>
      <c r="J578" s="44"/>
      <c r="K578" s="45"/>
      <c r="L578" s="46">
        <f t="shared" ref="L578:N578" ca="1" si="416">L581+L584</f>
        <v>3404267</v>
      </c>
      <c r="M578" s="46">
        <f t="shared" ca="1" si="416"/>
        <v>0</v>
      </c>
      <c r="N578" s="46">
        <f t="shared" ca="1" si="416"/>
        <v>0</v>
      </c>
      <c r="O578" s="46">
        <f t="shared" ca="1" si="409"/>
        <v>0</v>
      </c>
      <c r="P578" s="46">
        <f t="shared" ca="1" si="410"/>
        <v>0</v>
      </c>
      <c r="Q578" s="46">
        <f t="shared" ref="Q578:S578" ca="1" si="417">Q581+Q584</f>
        <v>0</v>
      </c>
      <c r="R578" s="46">
        <f t="shared" ca="1" si="417"/>
        <v>0</v>
      </c>
      <c r="S578" s="46">
        <f t="shared" ca="1" si="417"/>
        <v>0</v>
      </c>
      <c r="T578" s="46">
        <f t="shared" ca="1" si="412"/>
        <v>0</v>
      </c>
      <c r="U578" s="46">
        <f t="shared" ca="1" si="413"/>
        <v>0</v>
      </c>
    </row>
    <row r="579" spans="1:21" ht="18.75" x14ac:dyDescent="0.25">
      <c r="A579" s="128"/>
      <c r="B579" s="40"/>
      <c r="C579" s="158"/>
      <c r="D579" s="41" t="s">
        <v>22</v>
      </c>
      <c r="E579" s="158"/>
      <c r="F579" s="40"/>
      <c r="G579" s="42"/>
      <c r="H579" s="134" t="s">
        <v>14</v>
      </c>
      <c r="I579" s="135"/>
      <c r="J579" s="135"/>
      <c r="K579" s="136"/>
      <c r="L579" s="46">
        <f t="shared" ref="L579:N579" ca="1" si="418">L580+L581</f>
        <v>3404267</v>
      </c>
      <c r="M579" s="46">
        <f t="shared" ca="1" si="418"/>
        <v>0</v>
      </c>
      <c r="N579" s="46">
        <f t="shared" ca="1" si="418"/>
        <v>0</v>
      </c>
      <c r="O579" s="46">
        <f t="shared" ca="1" si="409"/>
        <v>0</v>
      </c>
      <c r="P579" s="46">
        <f t="shared" ca="1" si="410"/>
        <v>0</v>
      </c>
      <c r="Q579" s="46">
        <f t="shared" ref="Q579:S579" ca="1" si="419">Q580+Q581</f>
        <v>0</v>
      </c>
      <c r="R579" s="46">
        <f t="shared" ca="1" si="419"/>
        <v>0</v>
      </c>
      <c r="S579" s="46">
        <f t="shared" ca="1" si="419"/>
        <v>0</v>
      </c>
      <c r="T579" s="46">
        <f t="shared" ca="1" si="412"/>
        <v>0</v>
      </c>
      <c r="U579" s="46">
        <f t="shared" ca="1" si="413"/>
        <v>0</v>
      </c>
    </row>
    <row r="580" spans="1:21" ht="18.75" x14ac:dyDescent="0.25">
      <c r="A580" s="128"/>
      <c r="B580" s="40"/>
      <c r="C580" s="40"/>
      <c r="D580" s="40"/>
      <c r="E580" s="156" t="s">
        <v>36</v>
      </c>
      <c r="F580" s="40"/>
      <c r="G580" s="42"/>
      <c r="H580" s="159" t="s">
        <v>14</v>
      </c>
      <c r="I580" s="135"/>
      <c r="J580" s="135"/>
      <c r="K580" s="136"/>
      <c r="L580" s="48">
        <f ca="1">IFERROR(__xludf.DUMMYFUNCTION("IMPORTRANGE(""https://docs.google.com/spreadsheets/d/1jTcq05yEiRwXcBMLjiodW9e4biSGYWAHcDj22rKWQ3s/edit?usp=sharing"",""กำแพงเพชร!L580"")+IMPORTRANGE(""https://docs.google.com/spreadsheets/d/1KS0zmDSZPk8KnTAbGN-Xk6MtX1YRZD0ldgdt20K4CRk/edit?usp=sharing"","&amp;"""เชียงราย!L580"")+IMPORTRANGE(""https://docs.google.com/spreadsheets/d/1rEDxBtusbi64tE0zunoIbsTVV16HeL0oJ6trHQeQ7K8/edit?usp=sharing"",""เชียงใหม่!L580"")+IMPORTRANGE(""https://docs.google.com/spreadsheets/d/1W6MnUbDkMi6xHnHko_XkFDO9kkuL6Wqyc-6OCDFjW9I/e"&amp;"dit?usp=sharing"",""ตาก!L580"")+IMPORTRANGE(""https://docs.google.com/spreadsheets/d/1IQAWArduLkta9LpYo4a_ULsyqdta6-6aDDiwpUnQT6c/edit?usp=sharing"",""นครสวรรค์!L580"")+IMPORTRANGE(""https://docs.google.com/spreadsheets/d/10s13Sk5xrltsiR-Zkbmk5DwIaDIKO8Xl"&amp;"bJAfqyT7Gvg/edit?usp=sharing"",""น่าน!L580"")+IMPORTRANGE(""https://docs.google.com/spreadsheets/d/1uu4nAn4Dbi1XREnLKKotUANlKXa7yCgRcgq8HEzQYW8/edit?usp=sharing"",""พะเยา!L580"")+IMPORTRANGE(""https://docs.google.com/spreadsheets/d/1xfJKIQxVOaPDIICqsflNlL"&amp;"u3JacTDk1FP9RH4phX7mI/edit?usp=sharing"",""พิจิตร!L580"")+IMPORTRANGE(""https://docs.google.com/spreadsheets/d/1JtRfZkJMHtEhI5RdRHxYUG4FIZHqKDpNyIuN7A1Q0_k/edit?usp=sharing"",""พิษณุโลก!L580"")+IMPORTRANGE(""https://docs.google.com/spreadsheets/d/1xlcVZWU"&amp;"Nn6SuWm0c307h32SiGkd9BaeQWlAktfD3KO8/edit?usp=sharing"",""เพชรบูรณ์!L580"")+IMPORTRANGE(""https://docs.google.com/spreadsheets/d/1lOVebEIsI9qjGXl6EX66luk7wiuP2tBaryw-wKvv4e0/edit?usp=sharing"",""แพร่!L580"")+IMPORTRANGE(""https://docs.google.com/spreadshe"&amp;"ets/d/1dQrvX0vEcN7Gu0fnZ0B5S90AeR19zth4XlExFBeExMY/edit?usp=sharing"",""แม่ฮ่องสอน!L580"")+IMPORTRANGE(""https://docs.google.com/spreadsheets/d/1DY4XTNNwjluuxqdfdn6qvOSlMRrZqUtmYcZR0ttFiG4/edit?usp=sharing"",""ลำปาง!L580"")+IMPORTRANGE(""https://docs.goog"&amp;"le.com/spreadsheets/d/1ICwG78r0OFT8biBlxnBF8r7she7gNSzOvJ958PWT09c/edit?usp=sharing"",""ลำพูน!L580"")+IMPORTRANGE(""https://docs.google.com/spreadsheets/d/1B0f2xJpZUC6Z0xXnqKlZtEPzsf6L84eP1r1Q15seqRM/edit?usp=sharing"",""สุโขทัย!L580"")+IMPORTRANGE(""http"&amp;"s://docs.google.com/spreadsheets/d/1v0b9pFQCsKUVExMei7AgY2yQkdeNQvtOssygGsXbiKo/edit?usp=sharing"",""อุตรดิตถ์!L580"")+IMPORTRANGE(""https://docs.google.com/spreadsheets/d/1UsNK1e-WWiCo2PvGqdNfdme4m17_Ezd3J69EeeiQPD0/edit?usp=sharing"",""อุทัยธานี!L580"")"),0)</f>
        <v>0</v>
      </c>
      <c r="M580" s="48">
        <f ca="1">IFERROR(__xludf.DUMMYFUNCTION("IMPORTRANGE(""https://docs.google.com/spreadsheets/d/1jTcq05yEiRwXcBMLjiodW9e4biSGYWAHcDj22rKWQ3s/edit?usp=sharing"",""กำแพงเพชร!M580"")+IMPORTRANGE(""https://docs.google.com/spreadsheets/d/1KS0zmDSZPk8KnTAbGN-Xk6MtX1YRZD0ldgdt20K4CRk/edit?usp=sharing"","&amp;"""เชียงราย!M580"")+IMPORTRANGE(""https://docs.google.com/spreadsheets/d/1rEDxBtusbi64tE0zunoIbsTVV16HeL0oJ6trHQeQ7K8/edit?usp=sharing"",""เชียงใหม่!M580"")+IMPORTRANGE(""https://docs.google.com/spreadsheets/d/1W6MnUbDkMi6xHnHko_XkFDO9kkuL6Wqyc-6OCDFjW9I/e"&amp;"dit?usp=sharing"",""ตาก!M580"")+IMPORTRANGE(""https://docs.google.com/spreadsheets/d/1IQAWArduLkta9LpYo4a_ULsyqdta6-6aDDiwpUnQT6c/edit?usp=sharing"",""นครสวรรค์!M580"")+IMPORTRANGE(""https://docs.google.com/spreadsheets/d/10s13Sk5xrltsiR-Zkbmk5DwIaDIKO8Xl"&amp;"bJAfqyT7Gvg/edit?usp=sharing"",""น่าน!M580"")+IMPORTRANGE(""https://docs.google.com/spreadsheets/d/1uu4nAn4Dbi1XREnLKKotUANlKXa7yCgRcgq8HEzQYW8/edit?usp=sharing"",""พะเยา!M580"")+IMPORTRANGE(""https://docs.google.com/spreadsheets/d/1xfJKIQxVOaPDIICqsflNlL"&amp;"u3JacTDk1FP9RH4phX7mI/edit?usp=sharing"",""พิจิตร!M580"")+IMPORTRANGE(""https://docs.google.com/spreadsheets/d/1JtRfZkJMHtEhI5RdRHxYUG4FIZHqKDpNyIuN7A1Q0_k/edit?usp=sharing"",""พิษณุโลก!M580"")+IMPORTRANGE(""https://docs.google.com/spreadsheets/d/1xlcVZWU"&amp;"Nn6SuWm0c307h32SiGkd9BaeQWlAktfD3KO8/edit?usp=sharing"",""เพชรบูรณ์!M580"")+IMPORTRANGE(""https://docs.google.com/spreadsheets/d/1lOVebEIsI9qjGXl6EX66luk7wiuP2tBaryw-wKvv4e0/edit?usp=sharing"",""แพร่!M580"")+IMPORTRANGE(""https://docs.google.com/spreadshe"&amp;"ets/d/1dQrvX0vEcN7Gu0fnZ0B5S90AeR19zth4XlExFBeExMY/edit?usp=sharing"",""แม่ฮ่องสอน!M580"")+IMPORTRANGE(""https://docs.google.com/spreadsheets/d/1DY4XTNNwjluuxqdfdn6qvOSlMRrZqUtmYcZR0ttFiG4/edit?usp=sharing"",""ลำปาง!M580"")+IMPORTRANGE(""https://docs.goog"&amp;"le.com/spreadsheets/d/1ICwG78r0OFT8biBlxnBF8r7she7gNSzOvJ958PWT09c/edit?usp=sharing"",""ลำพูน!M580"")+IMPORTRANGE(""https://docs.google.com/spreadsheets/d/1B0f2xJpZUC6Z0xXnqKlZtEPzsf6L84eP1r1Q15seqRM/edit?usp=sharing"",""สุโขทัย!M580"")+IMPORTRANGE(""http"&amp;"s://docs.google.com/spreadsheets/d/1v0b9pFQCsKUVExMei7AgY2yQkdeNQvtOssygGsXbiKo/edit?usp=sharing"",""อุตรดิตถ์!M580"")+IMPORTRANGE(""https://docs.google.com/spreadsheets/d/1UsNK1e-WWiCo2PvGqdNfdme4m17_Ezd3J69EeeiQPD0/edit?usp=sharing"",""อุทัยธานี!M580"")"),0)</f>
        <v>0</v>
      </c>
      <c r="N580" s="48">
        <f ca="1">IFERROR(__xludf.DUMMYFUNCTION("IMPORTRANGE(""https://docs.google.com/spreadsheets/d/1jTcq05yEiRwXcBMLjiodW9e4biSGYWAHcDj22rKWQ3s/edit?usp=sharing"",""กำแพงเพชร!N580"")+IMPORTRANGE(""https://docs.google.com/spreadsheets/d/1KS0zmDSZPk8KnTAbGN-Xk6MtX1YRZD0ldgdt20K4CRk/edit?usp=sharing"","&amp;"""เชียงราย!N580"")+IMPORTRANGE(""https://docs.google.com/spreadsheets/d/1rEDxBtusbi64tE0zunoIbsTVV16HeL0oJ6trHQeQ7K8/edit?usp=sharing"",""เชียงใหม่!N580"")+IMPORTRANGE(""https://docs.google.com/spreadsheets/d/1W6MnUbDkMi6xHnHko_XkFDO9kkuL6Wqyc-6OCDFjW9I/e"&amp;"dit?usp=sharing"",""ตาก!N580"")+IMPORTRANGE(""https://docs.google.com/spreadsheets/d/1IQAWArduLkta9LpYo4a_ULsyqdta6-6aDDiwpUnQT6c/edit?usp=sharing"",""นครสวรรค์!N580"")+IMPORTRANGE(""https://docs.google.com/spreadsheets/d/10s13Sk5xrltsiR-Zkbmk5DwIaDIKO8Xl"&amp;"bJAfqyT7Gvg/edit?usp=sharing"",""น่าน!N580"")+IMPORTRANGE(""https://docs.google.com/spreadsheets/d/1uu4nAn4Dbi1XREnLKKotUANlKXa7yCgRcgq8HEzQYW8/edit?usp=sharing"",""พะเยา!N580"")+IMPORTRANGE(""https://docs.google.com/spreadsheets/d/1xfJKIQxVOaPDIICqsflNlL"&amp;"u3JacTDk1FP9RH4phX7mI/edit?usp=sharing"",""พิจิตร!N580"")+IMPORTRANGE(""https://docs.google.com/spreadsheets/d/1JtRfZkJMHtEhI5RdRHxYUG4FIZHqKDpNyIuN7A1Q0_k/edit?usp=sharing"",""พิษณุโลก!N580"")+IMPORTRANGE(""https://docs.google.com/spreadsheets/d/1xlcVZWU"&amp;"Nn6SuWm0c307h32SiGkd9BaeQWlAktfD3KO8/edit?usp=sharing"",""เพชรบูรณ์!N580"")+IMPORTRANGE(""https://docs.google.com/spreadsheets/d/1lOVebEIsI9qjGXl6EX66luk7wiuP2tBaryw-wKvv4e0/edit?usp=sharing"",""แพร่!N580"")+IMPORTRANGE(""https://docs.google.com/spreadshe"&amp;"ets/d/1dQrvX0vEcN7Gu0fnZ0B5S90AeR19zth4XlExFBeExMY/edit?usp=sharing"",""แม่ฮ่องสอน!N580"")+IMPORTRANGE(""https://docs.google.com/spreadsheets/d/1DY4XTNNwjluuxqdfdn6qvOSlMRrZqUtmYcZR0ttFiG4/edit?usp=sharing"",""ลำปาง!N580"")+IMPORTRANGE(""https://docs.goog"&amp;"le.com/spreadsheets/d/1ICwG78r0OFT8biBlxnBF8r7she7gNSzOvJ958PWT09c/edit?usp=sharing"",""ลำพูน!N580"")+IMPORTRANGE(""https://docs.google.com/spreadsheets/d/1B0f2xJpZUC6Z0xXnqKlZtEPzsf6L84eP1r1Q15seqRM/edit?usp=sharing"",""สุโขทัย!N580"")+IMPORTRANGE(""http"&amp;"s://docs.google.com/spreadsheets/d/1v0b9pFQCsKUVExMei7AgY2yQkdeNQvtOssygGsXbiKo/edit?usp=sharing"",""อุตรดิตถ์!N580"")+IMPORTRANGE(""https://docs.google.com/spreadsheets/d/1UsNK1e-WWiCo2PvGqdNfdme4m17_Ezd3J69EeeiQPD0/edit?usp=sharing"",""อุทัยธานี!N580"")"),0)</f>
        <v>0</v>
      </c>
      <c r="O580" s="48">
        <f t="shared" ca="1" si="409"/>
        <v>0</v>
      </c>
      <c r="P580" s="48">
        <f t="shared" ca="1" si="410"/>
        <v>0</v>
      </c>
      <c r="Q580" s="48">
        <f ca="1">IFERROR(__xludf.DUMMYFUNCTION("IMPORTRANGE(""https://docs.google.com/spreadsheets/d/1jTcq05yEiRwXcBMLjiodW9e4biSGYWAHcDj22rKWQ3s/edit?usp=sharing"",""กำแพงเพชร!Q580"")+IMPORTRANGE(""https://docs.google.com/spreadsheets/d/1KS0zmDSZPk8KnTAbGN-Xk6MtX1YRZD0ldgdt20K4CRk/edit?usp=sharing"","&amp;"""เชียงราย!Q580"")+IMPORTRANGE(""https://docs.google.com/spreadsheets/d/1rEDxBtusbi64tE0zunoIbsTVV16HeL0oJ6trHQeQ7K8/edit?usp=sharing"",""เชียงใหม่!Q580"")+IMPORTRANGE(""https://docs.google.com/spreadsheets/d/1W6MnUbDkMi6xHnHko_XkFDO9kkuL6Wqyc-6OCDFjW9I/e"&amp;"dit?usp=sharing"",""ตาก!Q580"")+IMPORTRANGE(""https://docs.google.com/spreadsheets/d/1IQAWArduLkta9LpYo4a_ULsyqdta6-6aDDiwpUnQT6c/edit?usp=sharing"",""นครสวรรค์!Q580"")+IMPORTRANGE(""https://docs.google.com/spreadsheets/d/10s13Sk5xrltsiR-Zkbmk5DwIaDIKO8Xl"&amp;"bJAfqyT7Gvg/edit?usp=sharing"",""น่าน!Q580"")+IMPORTRANGE(""https://docs.google.com/spreadsheets/d/1uu4nAn4Dbi1XREnLKKotUANlKXa7yCgRcgq8HEzQYW8/edit?usp=sharing"",""พะเยา!Q580"")+IMPORTRANGE(""https://docs.google.com/spreadsheets/d/1xfJKIQxVOaPDIICqsflNlL"&amp;"u3JacTDk1FP9RH4phX7mI/edit?usp=sharing"",""พิจิตร!Q580"")+IMPORTRANGE(""https://docs.google.com/spreadsheets/d/1JtRfZkJMHtEhI5RdRHxYUG4FIZHqKDpNyIuN7A1Q0_k/edit?usp=sharing"",""พิษณุโลก!Q580"")+IMPORTRANGE(""https://docs.google.com/spreadsheets/d/1xlcVZWU"&amp;"Nn6SuWm0c307h32SiGkd9BaeQWlAktfD3KO8/edit?usp=sharing"",""เพชรบูรณ์!Q580"")+IMPORTRANGE(""https://docs.google.com/spreadsheets/d/1lOVebEIsI9qjGXl6EX66luk7wiuP2tBaryw-wKvv4e0/edit?usp=sharing"",""แพร่!Q580"")+IMPORTRANGE(""https://docs.google.com/spreadshe"&amp;"ets/d/1dQrvX0vEcN7Gu0fnZ0B5S90AeR19zth4XlExFBeExMY/edit?usp=sharing"",""แม่ฮ่องสอน!Q580"")+IMPORTRANGE(""https://docs.google.com/spreadsheets/d/1DY4XTNNwjluuxqdfdn6qvOSlMRrZqUtmYcZR0ttFiG4/edit?usp=sharing"",""ลำปาง!Q580"")+IMPORTRANGE(""https://docs.goog"&amp;"le.com/spreadsheets/d/1ICwG78r0OFT8biBlxnBF8r7she7gNSzOvJ958PWT09c/edit?usp=sharing"",""ลำพูน!Q580"")+IMPORTRANGE(""https://docs.google.com/spreadsheets/d/1B0f2xJpZUC6Z0xXnqKlZtEPzsf6L84eP1r1Q15seqRM/edit?usp=sharing"",""สุโขทัย!Q580"")+IMPORTRANGE(""http"&amp;"s://docs.google.com/spreadsheets/d/1v0b9pFQCsKUVExMei7AgY2yQkdeNQvtOssygGsXbiKo/edit?usp=sharing"",""อุตรดิตถ์!Q580"")+IMPORTRANGE(""https://docs.google.com/spreadsheets/d/1UsNK1e-WWiCo2PvGqdNfdme4m17_Ezd3J69EeeiQPD0/edit?usp=sharing"",""อุทัยธานี!Q580"")"),0)</f>
        <v>0</v>
      </c>
      <c r="R580" s="48">
        <f ca="1">IFERROR(__xludf.DUMMYFUNCTION("IMPORTRANGE(""https://docs.google.com/spreadsheets/d/1jTcq05yEiRwXcBMLjiodW9e4biSGYWAHcDj22rKWQ3s/edit?usp=sharing"",""กำแพงเพชร!R580"")+IMPORTRANGE(""https://docs.google.com/spreadsheets/d/1KS0zmDSZPk8KnTAbGN-Xk6MtX1YRZD0ldgdt20K4CRk/edit?usp=sharing"","&amp;"""เชียงราย!R580"")+IMPORTRANGE(""https://docs.google.com/spreadsheets/d/1rEDxBtusbi64tE0zunoIbsTVV16HeL0oJ6trHQeQ7K8/edit?usp=sharing"",""เชียงใหม่!R580"")+IMPORTRANGE(""https://docs.google.com/spreadsheets/d/1W6MnUbDkMi6xHnHko_XkFDO9kkuL6Wqyc-6OCDFjW9I/e"&amp;"dit?usp=sharing"",""ตาก!R580"")+IMPORTRANGE(""https://docs.google.com/spreadsheets/d/1IQAWArduLkta9LpYo4a_ULsyqdta6-6aDDiwpUnQT6c/edit?usp=sharing"",""นครสวรรค์!R580"")+IMPORTRANGE(""https://docs.google.com/spreadsheets/d/10s13Sk5xrltsiR-Zkbmk5DwIaDIKO8Xl"&amp;"bJAfqyT7Gvg/edit?usp=sharing"",""น่าน!R580"")+IMPORTRANGE(""https://docs.google.com/spreadsheets/d/1uu4nAn4Dbi1XREnLKKotUANlKXa7yCgRcgq8HEzQYW8/edit?usp=sharing"",""พะเยา!R580"")+IMPORTRANGE(""https://docs.google.com/spreadsheets/d/1xfJKIQxVOaPDIICqsflNlL"&amp;"u3JacTDk1FP9RH4phX7mI/edit?usp=sharing"",""พิจิตร!R580"")+IMPORTRANGE(""https://docs.google.com/spreadsheets/d/1JtRfZkJMHtEhI5RdRHxYUG4FIZHqKDpNyIuN7A1Q0_k/edit?usp=sharing"",""พิษณุโลก!R580"")+IMPORTRANGE(""https://docs.google.com/spreadsheets/d/1xlcVZWU"&amp;"Nn6SuWm0c307h32SiGkd9BaeQWlAktfD3KO8/edit?usp=sharing"",""เพชรบูรณ์!R580"")+IMPORTRANGE(""https://docs.google.com/spreadsheets/d/1lOVebEIsI9qjGXl6EX66luk7wiuP2tBaryw-wKvv4e0/edit?usp=sharing"",""แพร่!R580"")+IMPORTRANGE(""https://docs.google.com/spreadshe"&amp;"ets/d/1dQrvX0vEcN7Gu0fnZ0B5S90AeR19zth4XlExFBeExMY/edit?usp=sharing"",""แม่ฮ่องสอน!R580"")+IMPORTRANGE(""https://docs.google.com/spreadsheets/d/1DY4XTNNwjluuxqdfdn6qvOSlMRrZqUtmYcZR0ttFiG4/edit?usp=sharing"",""ลำปาง!R580"")+IMPORTRANGE(""https://docs.goog"&amp;"le.com/spreadsheets/d/1ICwG78r0OFT8biBlxnBF8r7she7gNSzOvJ958PWT09c/edit?usp=sharing"",""ลำพูน!R580"")+IMPORTRANGE(""https://docs.google.com/spreadsheets/d/1B0f2xJpZUC6Z0xXnqKlZtEPzsf6L84eP1r1Q15seqRM/edit?usp=sharing"",""สุโขทัย!R580"")+IMPORTRANGE(""http"&amp;"s://docs.google.com/spreadsheets/d/1v0b9pFQCsKUVExMei7AgY2yQkdeNQvtOssygGsXbiKo/edit?usp=sharing"",""อุตรดิตถ์!R580"")+IMPORTRANGE(""https://docs.google.com/spreadsheets/d/1UsNK1e-WWiCo2PvGqdNfdme4m17_Ezd3J69EeeiQPD0/edit?usp=sharing"",""อุทัยธานี!R580"")"),0)</f>
        <v>0</v>
      </c>
      <c r="S580" s="48">
        <f ca="1">IFERROR(__xludf.DUMMYFUNCTION("IMPORTRANGE(""https://docs.google.com/spreadsheets/d/1jTcq05yEiRwXcBMLjiodW9e4biSGYWAHcDj22rKWQ3s/edit?usp=sharing"",""กำแพงเพชร!S580"")+IMPORTRANGE(""https://docs.google.com/spreadsheets/d/1KS0zmDSZPk8KnTAbGN-Xk6MtX1YRZD0ldgdt20K4CRk/edit?usp=sharing"","&amp;"""เชียงราย!S580"")+IMPORTRANGE(""https://docs.google.com/spreadsheets/d/1rEDxBtusbi64tE0zunoIbsTVV16HeL0oJ6trHQeQ7K8/edit?usp=sharing"",""เชียงใหม่!S580"")+IMPORTRANGE(""https://docs.google.com/spreadsheets/d/1W6MnUbDkMi6xHnHko_XkFDO9kkuL6Wqyc-6OCDFjW9I/e"&amp;"dit?usp=sharing"",""ตาก!S580"")+IMPORTRANGE(""https://docs.google.com/spreadsheets/d/1IQAWArduLkta9LpYo4a_ULsyqdta6-6aDDiwpUnQT6c/edit?usp=sharing"",""นครสวรรค์!S580"")+IMPORTRANGE(""https://docs.google.com/spreadsheets/d/10s13Sk5xrltsiR-Zkbmk5DwIaDIKO8Xl"&amp;"bJAfqyT7Gvg/edit?usp=sharing"",""น่าน!S580"")+IMPORTRANGE(""https://docs.google.com/spreadsheets/d/1uu4nAn4Dbi1XREnLKKotUANlKXa7yCgRcgq8HEzQYW8/edit?usp=sharing"",""พะเยา!S580"")+IMPORTRANGE(""https://docs.google.com/spreadsheets/d/1xfJKIQxVOaPDIICqsflNlL"&amp;"u3JacTDk1FP9RH4phX7mI/edit?usp=sharing"",""พิจิตร!S580"")+IMPORTRANGE(""https://docs.google.com/spreadsheets/d/1JtRfZkJMHtEhI5RdRHxYUG4FIZHqKDpNyIuN7A1Q0_k/edit?usp=sharing"",""พิษณุโลก!S580"")+IMPORTRANGE(""https://docs.google.com/spreadsheets/d/1xlcVZWU"&amp;"Nn6SuWm0c307h32SiGkd9BaeQWlAktfD3KO8/edit?usp=sharing"",""เพชรบูรณ์!S580"")+IMPORTRANGE(""https://docs.google.com/spreadsheets/d/1lOVebEIsI9qjGXl6EX66luk7wiuP2tBaryw-wKvv4e0/edit?usp=sharing"",""แพร่!S580"")+IMPORTRANGE(""https://docs.google.com/spreadshe"&amp;"ets/d/1dQrvX0vEcN7Gu0fnZ0B5S90AeR19zth4XlExFBeExMY/edit?usp=sharing"",""แม่ฮ่องสอน!S580"")+IMPORTRANGE(""https://docs.google.com/spreadsheets/d/1DY4XTNNwjluuxqdfdn6qvOSlMRrZqUtmYcZR0ttFiG4/edit?usp=sharing"",""ลำปาง!S580"")+IMPORTRANGE(""https://docs.goog"&amp;"le.com/spreadsheets/d/1ICwG78r0OFT8biBlxnBF8r7she7gNSzOvJ958PWT09c/edit?usp=sharing"",""ลำพูน!S580"")+IMPORTRANGE(""https://docs.google.com/spreadsheets/d/1B0f2xJpZUC6Z0xXnqKlZtEPzsf6L84eP1r1Q15seqRM/edit?usp=sharing"",""สุโขทัย!S580"")+IMPORTRANGE(""http"&amp;"s://docs.google.com/spreadsheets/d/1v0b9pFQCsKUVExMei7AgY2yQkdeNQvtOssygGsXbiKo/edit?usp=sharing"",""อุตรดิตถ์!S580"")+IMPORTRANGE(""https://docs.google.com/spreadsheets/d/1UsNK1e-WWiCo2PvGqdNfdme4m17_Ezd3J69EeeiQPD0/edit?usp=sharing"",""อุทัยธานี!S580"")"),0)</f>
        <v>0</v>
      </c>
      <c r="T580" s="48">
        <f t="shared" ca="1" si="412"/>
        <v>0</v>
      </c>
      <c r="U580" s="48">
        <f t="shared" ca="1" si="413"/>
        <v>0</v>
      </c>
    </row>
    <row r="581" spans="1:21" ht="18.75" x14ac:dyDescent="0.25">
      <c r="A581" s="128"/>
      <c r="B581" s="40"/>
      <c r="C581" s="40"/>
      <c r="D581" s="40"/>
      <c r="E581" s="47" t="s">
        <v>37</v>
      </c>
      <c r="F581" s="40"/>
      <c r="G581" s="42"/>
      <c r="H581" s="134" t="s">
        <v>14</v>
      </c>
      <c r="I581" s="135"/>
      <c r="J581" s="135"/>
      <c r="K581" s="136"/>
      <c r="L581" s="46">
        <f ca="1">IFERROR(__xludf.DUMMYFUNCTION("IMPORTRANGE(""https://docs.google.com/spreadsheets/d/1jTcq05yEiRwXcBMLjiodW9e4biSGYWAHcDj22rKWQ3s/edit?usp=sharing"",""กำแพงเพชร!L581"")+IMPORTRANGE(""https://docs.google.com/spreadsheets/d/1KS0zmDSZPk8KnTAbGN-Xk6MtX1YRZD0ldgdt20K4CRk/edit?usp=sharing"","&amp;"""เชียงราย!L581"")+IMPORTRANGE(""https://docs.google.com/spreadsheets/d/1rEDxBtusbi64tE0zunoIbsTVV16HeL0oJ6trHQeQ7K8/edit?usp=sharing"",""เชียงใหม่!L581"")+IMPORTRANGE(""https://docs.google.com/spreadsheets/d/1W6MnUbDkMi6xHnHko_XkFDO9kkuL6Wqyc-6OCDFjW9I/e"&amp;"dit?usp=sharing"",""ตาก!L581"")+IMPORTRANGE(""https://docs.google.com/spreadsheets/d/1IQAWArduLkta9LpYo4a_ULsyqdta6-6aDDiwpUnQT6c/edit?usp=sharing"",""นครสวรรค์!L581"")+IMPORTRANGE(""https://docs.google.com/spreadsheets/d/10s13Sk5xrltsiR-Zkbmk5DwIaDIKO8Xl"&amp;"bJAfqyT7Gvg/edit?usp=sharing"",""น่าน!L581"")+IMPORTRANGE(""https://docs.google.com/spreadsheets/d/1uu4nAn4Dbi1XREnLKKotUANlKXa7yCgRcgq8HEzQYW8/edit?usp=sharing"",""พะเยา!L581"")+IMPORTRANGE(""https://docs.google.com/spreadsheets/d/1xfJKIQxVOaPDIICqsflNlL"&amp;"u3JacTDk1FP9RH4phX7mI/edit?usp=sharing"",""พิจิตร!L581"")+IMPORTRANGE(""https://docs.google.com/spreadsheets/d/1JtRfZkJMHtEhI5RdRHxYUG4FIZHqKDpNyIuN7A1Q0_k/edit?usp=sharing"",""พิษณุโลก!L581"")+IMPORTRANGE(""https://docs.google.com/spreadsheets/d/1xlcVZWU"&amp;"Nn6SuWm0c307h32SiGkd9BaeQWlAktfD3KO8/edit?usp=sharing"",""เพชรบูรณ์!L581"")+IMPORTRANGE(""https://docs.google.com/spreadsheets/d/1lOVebEIsI9qjGXl6EX66luk7wiuP2tBaryw-wKvv4e0/edit?usp=sharing"",""แพร่!L581"")+IMPORTRANGE(""https://docs.google.com/spreadshe"&amp;"ets/d/1dQrvX0vEcN7Gu0fnZ0B5S90AeR19zth4XlExFBeExMY/edit?usp=sharing"",""แม่ฮ่องสอน!L581"")+IMPORTRANGE(""https://docs.google.com/spreadsheets/d/1DY4XTNNwjluuxqdfdn6qvOSlMRrZqUtmYcZR0ttFiG4/edit?usp=sharing"",""ลำปาง!L581"")+IMPORTRANGE(""https://docs.goog"&amp;"le.com/spreadsheets/d/1ICwG78r0OFT8biBlxnBF8r7she7gNSzOvJ958PWT09c/edit?usp=sharing"",""ลำพูน!L581"")+IMPORTRANGE(""https://docs.google.com/spreadsheets/d/1B0f2xJpZUC6Z0xXnqKlZtEPzsf6L84eP1r1Q15seqRM/edit?usp=sharing"",""สุโขทัย!L581"")+IMPORTRANGE(""http"&amp;"s://docs.google.com/spreadsheets/d/1v0b9pFQCsKUVExMei7AgY2yQkdeNQvtOssygGsXbiKo/edit?usp=sharing"",""อุตรดิตถ์!L581"")+IMPORTRANGE(""https://docs.google.com/spreadsheets/d/1UsNK1e-WWiCo2PvGqdNfdme4m17_Ezd3J69EeeiQPD0/edit?usp=sharing"",""อุทัยธานี!L581"")"),3404267)</f>
        <v>3404267</v>
      </c>
      <c r="M581" s="46">
        <f ca="1">IFERROR(__xludf.DUMMYFUNCTION("IMPORTRANGE(""https://docs.google.com/spreadsheets/d/1jTcq05yEiRwXcBMLjiodW9e4biSGYWAHcDj22rKWQ3s/edit?usp=sharing"",""กำแพงเพชร!M581"")+IMPORTRANGE(""https://docs.google.com/spreadsheets/d/1KS0zmDSZPk8KnTAbGN-Xk6MtX1YRZD0ldgdt20K4CRk/edit?usp=sharing"","&amp;"""เชียงราย!M581"")+IMPORTRANGE(""https://docs.google.com/spreadsheets/d/1rEDxBtusbi64tE0zunoIbsTVV16HeL0oJ6trHQeQ7K8/edit?usp=sharing"",""เชียงใหม่!M581"")+IMPORTRANGE(""https://docs.google.com/spreadsheets/d/1W6MnUbDkMi6xHnHko_XkFDO9kkuL6Wqyc-6OCDFjW9I/e"&amp;"dit?usp=sharing"",""ตาก!M581"")+IMPORTRANGE(""https://docs.google.com/spreadsheets/d/1IQAWArduLkta9LpYo4a_ULsyqdta6-6aDDiwpUnQT6c/edit?usp=sharing"",""นครสวรรค์!M581"")+IMPORTRANGE(""https://docs.google.com/spreadsheets/d/10s13Sk5xrltsiR-Zkbmk5DwIaDIKO8Xl"&amp;"bJAfqyT7Gvg/edit?usp=sharing"",""น่าน!M581"")+IMPORTRANGE(""https://docs.google.com/spreadsheets/d/1uu4nAn4Dbi1XREnLKKotUANlKXa7yCgRcgq8HEzQYW8/edit?usp=sharing"",""พะเยา!M581"")+IMPORTRANGE(""https://docs.google.com/spreadsheets/d/1xfJKIQxVOaPDIICqsflNlL"&amp;"u3JacTDk1FP9RH4phX7mI/edit?usp=sharing"",""พิจิตร!M581"")+IMPORTRANGE(""https://docs.google.com/spreadsheets/d/1JtRfZkJMHtEhI5RdRHxYUG4FIZHqKDpNyIuN7A1Q0_k/edit?usp=sharing"",""พิษณุโลก!M581"")+IMPORTRANGE(""https://docs.google.com/spreadsheets/d/1xlcVZWU"&amp;"Nn6SuWm0c307h32SiGkd9BaeQWlAktfD3KO8/edit?usp=sharing"",""เพชรบูรณ์!M581"")+IMPORTRANGE(""https://docs.google.com/spreadsheets/d/1lOVebEIsI9qjGXl6EX66luk7wiuP2tBaryw-wKvv4e0/edit?usp=sharing"",""แพร่!M581"")+IMPORTRANGE(""https://docs.google.com/spreadshe"&amp;"ets/d/1dQrvX0vEcN7Gu0fnZ0B5S90AeR19zth4XlExFBeExMY/edit?usp=sharing"",""แม่ฮ่องสอน!M581"")+IMPORTRANGE(""https://docs.google.com/spreadsheets/d/1DY4XTNNwjluuxqdfdn6qvOSlMRrZqUtmYcZR0ttFiG4/edit?usp=sharing"",""ลำปาง!M581"")+IMPORTRANGE(""https://docs.goog"&amp;"le.com/spreadsheets/d/1ICwG78r0OFT8biBlxnBF8r7she7gNSzOvJ958PWT09c/edit?usp=sharing"",""ลำพูน!M581"")+IMPORTRANGE(""https://docs.google.com/spreadsheets/d/1B0f2xJpZUC6Z0xXnqKlZtEPzsf6L84eP1r1Q15seqRM/edit?usp=sharing"",""สุโขทัย!M581"")+IMPORTRANGE(""http"&amp;"s://docs.google.com/spreadsheets/d/1v0b9pFQCsKUVExMei7AgY2yQkdeNQvtOssygGsXbiKo/edit?usp=sharing"",""อุตรดิตถ์!M581"")+IMPORTRANGE(""https://docs.google.com/spreadsheets/d/1UsNK1e-WWiCo2PvGqdNfdme4m17_Ezd3J69EeeiQPD0/edit?usp=sharing"",""อุทัยธานี!M581"")"),0)</f>
        <v>0</v>
      </c>
      <c r="N581" s="46">
        <f ca="1">IFERROR(__xludf.DUMMYFUNCTION("IMPORTRANGE(""https://docs.google.com/spreadsheets/d/1jTcq05yEiRwXcBMLjiodW9e4biSGYWAHcDj22rKWQ3s/edit?usp=sharing"",""กำแพงเพชร!N581"")+IMPORTRANGE(""https://docs.google.com/spreadsheets/d/1KS0zmDSZPk8KnTAbGN-Xk6MtX1YRZD0ldgdt20K4CRk/edit?usp=sharing"","&amp;"""เชียงราย!N581"")+IMPORTRANGE(""https://docs.google.com/spreadsheets/d/1rEDxBtusbi64tE0zunoIbsTVV16HeL0oJ6trHQeQ7K8/edit?usp=sharing"",""เชียงใหม่!N581"")+IMPORTRANGE(""https://docs.google.com/spreadsheets/d/1W6MnUbDkMi6xHnHko_XkFDO9kkuL6Wqyc-6OCDFjW9I/e"&amp;"dit?usp=sharing"",""ตาก!N581"")+IMPORTRANGE(""https://docs.google.com/spreadsheets/d/1IQAWArduLkta9LpYo4a_ULsyqdta6-6aDDiwpUnQT6c/edit?usp=sharing"",""นครสวรรค์!N581"")+IMPORTRANGE(""https://docs.google.com/spreadsheets/d/10s13Sk5xrltsiR-Zkbmk5DwIaDIKO8Xl"&amp;"bJAfqyT7Gvg/edit?usp=sharing"",""น่าน!N581"")+IMPORTRANGE(""https://docs.google.com/spreadsheets/d/1uu4nAn4Dbi1XREnLKKotUANlKXa7yCgRcgq8HEzQYW8/edit?usp=sharing"",""พะเยา!N581"")+IMPORTRANGE(""https://docs.google.com/spreadsheets/d/1xfJKIQxVOaPDIICqsflNlL"&amp;"u3JacTDk1FP9RH4phX7mI/edit?usp=sharing"",""พิจิตร!N581"")+IMPORTRANGE(""https://docs.google.com/spreadsheets/d/1JtRfZkJMHtEhI5RdRHxYUG4FIZHqKDpNyIuN7A1Q0_k/edit?usp=sharing"",""พิษณุโลก!N581"")+IMPORTRANGE(""https://docs.google.com/spreadsheets/d/1xlcVZWU"&amp;"Nn6SuWm0c307h32SiGkd9BaeQWlAktfD3KO8/edit?usp=sharing"",""เพชรบูรณ์!N581"")+IMPORTRANGE(""https://docs.google.com/spreadsheets/d/1lOVebEIsI9qjGXl6EX66luk7wiuP2tBaryw-wKvv4e0/edit?usp=sharing"",""แพร่!N581"")+IMPORTRANGE(""https://docs.google.com/spreadshe"&amp;"ets/d/1dQrvX0vEcN7Gu0fnZ0B5S90AeR19zth4XlExFBeExMY/edit?usp=sharing"",""แม่ฮ่องสอน!N581"")+IMPORTRANGE(""https://docs.google.com/spreadsheets/d/1DY4XTNNwjluuxqdfdn6qvOSlMRrZqUtmYcZR0ttFiG4/edit?usp=sharing"",""ลำปาง!N581"")+IMPORTRANGE(""https://docs.goog"&amp;"le.com/spreadsheets/d/1ICwG78r0OFT8biBlxnBF8r7she7gNSzOvJ958PWT09c/edit?usp=sharing"",""ลำพูน!N581"")+IMPORTRANGE(""https://docs.google.com/spreadsheets/d/1B0f2xJpZUC6Z0xXnqKlZtEPzsf6L84eP1r1Q15seqRM/edit?usp=sharing"",""สุโขทัย!N581"")+IMPORTRANGE(""http"&amp;"s://docs.google.com/spreadsheets/d/1v0b9pFQCsKUVExMei7AgY2yQkdeNQvtOssygGsXbiKo/edit?usp=sharing"",""อุตรดิตถ์!N581"")+IMPORTRANGE(""https://docs.google.com/spreadsheets/d/1UsNK1e-WWiCo2PvGqdNfdme4m17_Ezd3J69EeeiQPD0/edit?usp=sharing"",""อุทัยธานี!N581"")"),0)</f>
        <v>0</v>
      </c>
      <c r="O581" s="46">
        <f t="shared" ca="1" si="409"/>
        <v>0</v>
      </c>
      <c r="P581" s="46">
        <f t="shared" ca="1" si="410"/>
        <v>0</v>
      </c>
      <c r="Q581" s="46">
        <f ca="1">IFERROR(__xludf.DUMMYFUNCTION("IMPORTRANGE(""https://docs.google.com/spreadsheets/d/1jTcq05yEiRwXcBMLjiodW9e4biSGYWAHcDj22rKWQ3s/edit?usp=sharing"",""กำแพงเพชร!Q581"")+IMPORTRANGE(""https://docs.google.com/spreadsheets/d/1KS0zmDSZPk8KnTAbGN-Xk6MtX1YRZD0ldgdt20K4CRk/edit?usp=sharing"","&amp;"""เชียงราย!Q581"")+IMPORTRANGE(""https://docs.google.com/spreadsheets/d/1rEDxBtusbi64tE0zunoIbsTVV16HeL0oJ6trHQeQ7K8/edit?usp=sharing"",""เชียงใหม่!Q581"")+IMPORTRANGE(""https://docs.google.com/spreadsheets/d/1W6MnUbDkMi6xHnHko_XkFDO9kkuL6Wqyc-6OCDFjW9I/e"&amp;"dit?usp=sharing"",""ตาก!Q581"")+IMPORTRANGE(""https://docs.google.com/spreadsheets/d/1IQAWArduLkta9LpYo4a_ULsyqdta6-6aDDiwpUnQT6c/edit?usp=sharing"",""นครสวรรค์!Q581"")+IMPORTRANGE(""https://docs.google.com/spreadsheets/d/10s13Sk5xrltsiR-Zkbmk5DwIaDIKO8Xl"&amp;"bJAfqyT7Gvg/edit?usp=sharing"",""น่าน!Q581"")+IMPORTRANGE(""https://docs.google.com/spreadsheets/d/1uu4nAn4Dbi1XREnLKKotUANlKXa7yCgRcgq8HEzQYW8/edit?usp=sharing"",""พะเยา!Q581"")+IMPORTRANGE(""https://docs.google.com/spreadsheets/d/1xfJKIQxVOaPDIICqsflNlL"&amp;"u3JacTDk1FP9RH4phX7mI/edit?usp=sharing"",""พิจิตร!Q581"")+IMPORTRANGE(""https://docs.google.com/spreadsheets/d/1JtRfZkJMHtEhI5RdRHxYUG4FIZHqKDpNyIuN7A1Q0_k/edit?usp=sharing"",""พิษณุโลก!Q581"")+IMPORTRANGE(""https://docs.google.com/spreadsheets/d/1xlcVZWU"&amp;"Nn6SuWm0c307h32SiGkd9BaeQWlAktfD3KO8/edit?usp=sharing"",""เพชรบูรณ์!Q581"")+IMPORTRANGE(""https://docs.google.com/spreadsheets/d/1lOVebEIsI9qjGXl6EX66luk7wiuP2tBaryw-wKvv4e0/edit?usp=sharing"",""แพร่!Q581"")+IMPORTRANGE(""https://docs.google.com/spreadshe"&amp;"ets/d/1dQrvX0vEcN7Gu0fnZ0B5S90AeR19zth4XlExFBeExMY/edit?usp=sharing"",""แม่ฮ่องสอน!Q581"")+IMPORTRANGE(""https://docs.google.com/spreadsheets/d/1DY4XTNNwjluuxqdfdn6qvOSlMRrZqUtmYcZR0ttFiG4/edit?usp=sharing"",""ลำปาง!Q581"")+IMPORTRANGE(""https://docs.goog"&amp;"le.com/spreadsheets/d/1ICwG78r0OFT8biBlxnBF8r7she7gNSzOvJ958PWT09c/edit?usp=sharing"",""ลำพูน!Q581"")+IMPORTRANGE(""https://docs.google.com/spreadsheets/d/1B0f2xJpZUC6Z0xXnqKlZtEPzsf6L84eP1r1Q15seqRM/edit?usp=sharing"",""สุโขทัย!Q581"")+IMPORTRANGE(""http"&amp;"s://docs.google.com/spreadsheets/d/1v0b9pFQCsKUVExMei7AgY2yQkdeNQvtOssygGsXbiKo/edit?usp=sharing"",""อุตรดิตถ์!Q581"")+IMPORTRANGE(""https://docs.google.com/spreadsheets/d/1UsNK1e-WWiCo2PvGqdNfdme4m17_Ezd3J69EeeiQPD0/edit?usp=sharing"",""อุทัยธานี!Q581"")"),0)</f>
        <v>0</v>
      </c>
      <c r="R581" s="46">
        <f ca="1">IFERROR(__xludf.DUMMYFUNCTION("IMPORTRANGE(""https://docs.google.com/spreadsheets/d/1jTcq05yEiRwXcBMLjiodW9e4biSGYWAHcDj22rKWQ3s/edit?usp=sharing"",""กำแพงเพชร!R581"")+IMPORTRANGE(""https://docs.google.com/spreadsheets/d/1KS0zmDSZPk8KnTAbGN-Xk6MtX1YRZD0ldgdt20K4CRk/edit?usp=sharing"","&amp;"""เชียงราย!R581"")+IMPORTRANGE(""https://docs.google.com/spreadsheets/d/1rEDxBtusbi64tE0zunoIbsTVV16HeL0oJ6trHQeQ7K8/edit?usp=sharing"",""เชียงใหม่!R581"")+IMPORTRANGE(""https://docs.google.com/spreadsheets/d/1W6MnUbDkMi6xHnHko_XkFDO9kkuL6Wqyc-6OCDFjW9I/e"&amp;"dit?usp=sharing"",""ตาก!R581"")+IMPORTRANGE(""https://docs.google.com/spreadsheets/d/1IQAWArduLkta9LpYo4a_ULsyqdta6-6aDDiwpUnQT6c/edit?usp=sharing"",""นครสวรรค์!R581"")+IMPORTRANGE(""https://docs.google.com/spreadsheets/d/10s13Sk5xrltsiR-Zkbmk5DwIaDIKO8Xl"&amp;"bJAfqyT7Gvg/edit?usp=sharing"",""น่าน!R581"")+IMPORTRANGE(""https://docs.google.com/spreadsheets/d/1uu4nAn4Dbi1XREnLKKotUANlKXa7yCgRcgq8HEzQYW8/edit?usp=sharing"",""พะเยา!R581"")+IMPORTRANGE(""https://docs.google.com/spreadsheets/d/1xfJKIQxVOaPDIICqsflNlL"&amp;"u3JacTDk1FP9RH4phX7mI/edit?usp=sharing"",""พิจิตร!R581"")+IMPORTRANGE(""https://docs.google.com/spreadsheets/d/1JtRfZkJMHtEhI5RdRHxYUG4FIZHqKDpNyIuN7A1Q0_k/edit?usp=sharing"",""พิษณุโลก!R581"")+IMPORTRANGE(""https://docs.google.com/spreadsheets/d/1xlcVZWU"&amp;"Nn6SuWm0c307h32SiGkd9BaeQWlAktfD3KO8/edit?usp=sharing"",""เพชรบูรณ์!R581"")+IMPORTRANGE(""https://docs.google.com/spreadsheets/d/1lOVebEIsI9qjGXl6EX66luk7wiuP2tBaryw-wKvv4e0/edit?usp=sharing"",""แพร่!R581"")+IMPORTRANGE(""https://docs.google.com/spreadshe"&amp;"ets/d/1dQrvX0vEcN7Gu0fnZ0B5S90AeR19zth4XlExFBeExMY/edit?usp=sharing"",""แม่ฮ่องสอน!R581"")+IMPORTRANGE(""https://docs.google.com/spreadsheets/d/1DY4XTNNwjluuxqdfdn6qvOSlMRrZqUtmYcZR0ttFiG4/edit?usp=sharing"",""ลำปาง!R581"")+IMPORTRANGE(""https://docs.goog"&amp;"le.com/spreadsheets/d/1ICwG78r0OFT8biBlxnBF8r7she7gNSzOvJ958PWT09c/edit?usp=sharing"",""ลำพูน!R581"")+IMPORTRANGE(""https://docs.google.com/spreadsheets/d/1B0f2xJpZUC6Z0xXnqKlZtEPzsf6L84eP1r1Q15seqRM/edit?usp=sharing"",""สุโขทัย!R581"")+IMPORTRANGE(""http"&amp;"s://docs.google.com/spreadsheets/d/1v0b9pFQCsKUVExMei7AgY2yQkdeNQvtOssygGsXbiKo/edit?usp=sharing"",""อุตรดิตถ์!R581"")+IMPORTRANGE(""https://docs.google.com/spreadsheets/d/1UsNK1e-WWiCo2PvGqdNfdme4m17_Ezd3J69EeeiQPD0/edit?usp=sharing"",""อุทัยธานี!R581"")"),0)</f>
        <v>0</v>
      </c>
      <c r="S581" s="46">
        <f ca="1">IFERROR(__xludf.DUMMYFUNCTION("IMPORTRANGE(""https://docs.google.com/spreadsheets/d/1jTcq05yEiRwXcBMLjiodW9e4biSGYWAHcDj22rKWQ3s/edit?usp=sharing"",""กำแพงเพชร!S581"")+IMPORTRANGE(""https://docs.google.com/spreadsheets/d/1KS0zmDSZPk8KnTAbGN-Xk6MtX1YRZD0ldgdt20K4CRk/edit?usp=sharing"","&amp;"""เชียงราย!S581"")+IMPORTRANGE(""https://docs.google.com/spreadsheets/d/1rEDxBtusbi64tE0zunoIbsTVV16HeL0oJ6trHQeQ7K8/edit?usp=sharing"",""เชียงใหม่!S581"")+IMPORTRANGE(""https://docs.google.com/spreadsheets/d/1W6MnUbDkMi6xHnHko_XkFDO9kkuL6Wqyc-6OCDFjW9I/e"&amp;"dit?usp=sharing"",""ตาก!S581"")+IMPORTRANGE(""https://docs.google.com/spreadsheets/d/1IQAWArduLkta9LpYo4a_ULsyqdta6-6aDDiwpUnQT6c/edit?usp=sharing"",""นครสวรรค์!S581"")+IMPORTRANGE(""https://docs.google.com/spreadsheets/d/10s13Sk5xrltsiR-Zkbmk5DwIaDIKO8Xl"&amp;"bJAfqyT7Gvg/edit?usp=sharing"",""น่าน!S581"")+IMPORTRANGE(""https://docs.google.com/spreadsheets/d/1uu4nAn4Dbi1XREnLKKotUANlKXa7yCgRcgq8HEzQYW8/edit?usp=sharing"",""พะเยา!S581"")+IMPORTRANGE(""https://docs.google.com/spreadsheets/d/1xfJKIQxVOaPDIICqsflNlL"&amp;"u3JacTDk1FP9RH4phX7mI/edit?usp=sharing"",""พิจิตร!S581"")+IMPORTRANGE(""https://docs.google.com/spreadsheets/d/1JtRfZkJMHtEhI5RdRHxYUG4FIZHqKDpNyIuN7A1Q0_k/edit?usp=sharing"",""พิษณุโลก!S581"")+IMPORTRANGE(""https://docs.google.com/spreadsheets/d/1xlcVZWU"&amp;"Nn6SuWm0c307h32SiGkd9BaeQWlAktfD3KO8/edit?usp=sharing"",""เพชรบูรณ์!S581"")+IMPORTRANGE(""https://docs.google.com/spreadsheets/d/1lOVebEIsI9qjGXl6EX66luk7wiuP2tBaryw-wKvv4e0/edit?usp=sharing"",""แพร่!S581"")+IMPORTRANGE(""https://docs.google.com/spreadshe"&amp;"ets/d/1dQrvX0vEcN7Gu0fnZ0B5S90AeR19zth4XlExFBeExMY/edit?usp=sharing"",""แม่ฮ่องสอน!S581"")+IMPORTRANGE(""https://docs.google.com/spreadsheets/d/1DY4XTNNwjluuxqdfdn6qvOSlMRrZqUtmYcZR0ttFiG4/edit?usp=sharing"",""ลำปาง!S581"")+IMPORTRANGE(""https://docs.goog"&amp;"le.com/spreadsheets/d/1ICwG78r0OFT8biBlxnBF8r7she7gNSzOvJ958PWT09c/edit?usp=sharing"",""ลำพูน!S581"")+IMPORTRANGE(""https://docs.google.com/spreadsheets/d/1B0f2xJpZUC6Z0xXnqKlZtEPzsf6L84eP1r1Q15seqRM/edit?usp=sharing"",""สุโขทัย!S581"")+IMPORTRANGE(""http"&amp;"s://docs.google.com/spreadsheets/d/1v0b9pFQCsKUVExMei7AgY2yQkdeNQvtOssygGsXbiKo/edit?usp=sharing"",""อุตรดิตถ์!S581"")+IMPORTRANGE(""https://docs.google.com/spreadsheets/d/1UsNK1e-WWiCo2PvGqdNfdme4m17_Ezd3J69EeeiQPD0/edit?usp=sharing"",""อุทัยธานี!S581"")"),0)</f>
        <v>0</v>
      </c>
      <c r="T581" s="46">
        <f t="shared" ca="1" si="412"/>
        <v>0</v>
      </c>
      <c r="U581" s="46">
        <f t="shared" ca="1" si="413"/>
        <v>0</v>
      </c>
    </row>
    <row r="582" spans="1:21" ht="18.75" x14ac:dyDescent="0.25">
      <c r="A582" s="128"/>
      <c r="B582" s="40"/>
      <c r="C582" s="40"/>
      <c r="D582" s="41" t="s">
        <v>23</v>
      </c>
      <c r="E582" s="40"/>
      <c r="F582" s="40"/>
      <c r="G582" s="42"/>
      <c r="H582" s="137" t="s">
        <v>14</v>
      </c>
      <c r="I582" s="135"/>
      <c r="J582" s="135"/>
      <c r="K582" s="136"/>
      <c r="L582" s="46">
        <f t="shared" ref="L582:N582" ca="1" si="420">L583+L584</f>
        <v>0</v>
      </c>
      <c r="M582" s="46">
        <f t="shared" ca="1" si="420"/>
        <v>0</v>
      </c>
      <c r="N582" s="46">
        <f t="shared" ca="1" si="420"/>
        <v>0</v>
      </c>
      <c r="O582" s="46">
        <f t="shared" ca="1" si="409"/>
        <v>0</v>
      </c>
      <c r="P582" s="46">
        <f t="shared" ca="1" si="410"/>
        <v>0</v>
      </c>
      <c r="Q582" s="46">
        <f t="shared" ref="Q582:S582" ca="1" si="421">Q583+Q584</f>
        <v>0</v>
      </c>
      <c r="R582" s="46">
        <f t="shared" ca="1" si="421"/>
        <v>0</v>
      </c>
      <c r="S582" s="46">
        <f t="shared" ca="1" si="421"/>
        <v>0</v>
      </c>
      <c r="T582" s="46">
        <f t="shared" ca="1" si="412"/>
        <v>0</v>
      </c>
      <c r="U582" s="46">
        <f t="shared" ca="1" si="413"/>
        <v>0</v>
      </c>
    </row>
    <row r="583" spans="1:21" ht="18.75" x14ac:dyDescent="0.25">
      <c r="A583" s="128"/>
      <c r="B583" s="40"/>
      <c r="C583" s="40"/>
      <c r="D583" s="40"/>
      <c r="E583" s="156" t="s">
        <v>20</v>
      </c>
      <c r="F583" s="40"/>
      <c r="G583" s="42"/>
      <c r="H583" s="159" t="s">
        <v>14</v>
      </c>
      <c r="I583" s="135"/>
      <c r="J583" s="135"/>
      <c r="K583" s="136"/>
      <c r="L583" s="48">
        <f ca="1">IFERROR(__xludf.DUMMYFUNCTION("IMPORTRANGE(""https://docs.google.com/spreadsheets/d/1jTcq05yEiRwXcBMLjiodW9e4biSGYWAHcDj22rKWQ3s/edit?usp=sharing"",""กำแพงเพชร!L583"")+IMPORTRANGE(""https://docs.google.com/spreadsheets/d/1KS0zmDSZPk8KnTAbGN-Xk6MtX1YRZD0ldgdt20K4CRk/edit?usp=sharing"","&amp;"""เชียงราย!L583"")+IMPORTRANGE(""https://docs.google.com/spreadsheets/d/1rEDxBtusbi64tE0zunoIbsTVV16HeL0oJ6trHQeQ7K8/edit?usp=sharing"",""เชียงใหม่!L583"")+IMPORTRANGE(""https://docs.google.com/spreadsheets/d/1W6MnUbDkMi6xHnHko_XkFDO9kkuL6Wqyc-6OCDFjW9I/e"&amp;"dit?usp=sharing"",""ตาก!L583"")+IMPORTRANGE(""https://docs.google.com/spreadsheets/d/1IQAWArduLkta9LpYo4a_ULsyqdta6-6aDDiwpUnQT6c/edit?usp=sharing"",""นครสวรรค์!L583"")+IMPORTRANGE(""https://docs.google.com/spreadsheets/d/10s13Sk5xrltsiR-Zkbmk5DwIaDIKO8Xl"&amp;"bJAfqyT7Gvg/edit?usp=sharing"",""น่าน!L583"")+IMPORTRANGE(""https://docs.google.com/spreadsheets/d/1uu4nAn4Dbi1XREnLKKotUANlKXa7yCgRcgq8HEzQYW8/edit?usp=sharing"",""พะเยา!L583"")+IMPORTRANGE(""https://docs.google.com/spreadsheets/d/1xfJKIQxVOaPDIICqsflNlL"&amp;"u3JacTDk1FP9RH4phX7mI/edit?usp=sharing"",""พิจิตร!L583"")+IMPORTRANGE(""https://docs.google.com/spreadsheets/d/1JtRfZkJMHtEhI5RdRHxYUG4FIZHqKDpNyIuN7A1Q0_k/edit?usp=sharing"",""พิษณุโลก!L583"")+IMPORTRANGE(""https://docs.google.com/spreadsheets/d/1xlcVZWU"&amp;"Nn6SuWm0c307h32SiGkd9BaeQWlAktfD3KO8/edit?usp=sharing"",""เพชรบูรณ์!L583"")+IMPORTRANGE(""https://docs.google.com/spreadsheets/d/1lOVebEIsI9qjGXl6EX66luk7wiuP2tBaryw-wKvv4e0/edit?usp=sharing"",""แพร่!L583"")+IMPORTRANGE(""https://docs.google.com/spreadshe"&amp;"ets/d/1dQrvX0vEcN7Gu0fnZ0B5S90AeR19zth4XlExFBeExMY/edit?usp=sharing"",""แม่ฮ่องสอน!L583"")+IMPORTRANGE(""https://docs.google.com/spreadsheets/d/1DY4XTNNwjluuxqdfdn6qvOSlMRrZqUtmYcZR0ttFiG4/edit?usp=sharing"",""ลำปาง!L583"")+IMPORTRANGE(""https://docs.goog"&amp;"le.com/spreadsheets/d/1ICwG78r0OFT8biBlxnBF8r7she7gNSzOvJ958PWT09c/edit?usp=sharing"",""ลำพูน!L583"")+IMPORTRANGE(""https://docs.google.com/spreadsheets/d/1B0f2xJpZUC6Z0xXnqKlZtEPzsf6L84eP1r1Q15seqRM/edit?usp=sharing"",""สุโขทัย!L583"")+IMPORTRANGE(""http"&amp;"s://docs.google.com/spreadsheets/d/1v0b9pFQCsKUVExMei7AgY2yQkdeNQvtOssygGsXbiKo/edit?usp=sharing"",""อุตรดิตถ์!L583"")+IMPORTRANGE(""https://docs.google.com/spreadsheets/d/1UsNK1e-WWiCo2PvGqdNfdme4m17_Ezd3J69EeeiQPD0/edit?usp=sharing"",""อุทัยธานี!L583"")"),0)</f>
        <v>0</v>
      </c>
      <c r="M583" s="48">
        <f ca="1">IFERROR(__xludf.DUMMYFUNCTION("IMPORTRANGE(""https://docs.google.com/spreadsheets/d/1jTcq05yEiRwXcBMLjiodW9e4biSGYWAHcDj22rKWQ3s/edit?usp=sharing"",""กำแพงเพชร!M583"")+IMPORTRANGE(""https://docs.google.com/spreadsheets/d/1KS0zmDSZPk8KnTAbGN-Xk6MtX1YRZD0ldgdt20K4CRk/edit?usp=sharing"","&amp;"""เชียงราย!M583"")+IMPORTRANGE(""https://docs.google.com/spreadsheets/d/1rEDxBtusbi64tE0zunoIbsTVV16HeL0oJ6trHQeQ7K8/edit?usp=sharing"",""เชียงใหม่!M583"")+IMPORTRANGE(""https://docs.google.com/spreadsheets/d/1W6MnUbDkMi6xHnHko_XkFDO9kkuL6Wqyc-6OCDFjW9I/e"&amp;"dit?usp=sharing"",""ตาก!M583"")+IMPORTRANGE(""https://docs.google.com/spreadsheets/d/1IQAWArduLkta9LpYo4a_ULsyqdta6-6aDDiwpUnQT6c/edit?usp=sharing"",""นครสวรรค์!M583"")+IMPORTRANGE(""https://docs.google.com/spreadsheets/d/10s13Sk5xrltsiR-Zkbmk5DwIaDIKO8Xl"&amp;"bJAfqyT7Gvg/edit?usp=sharing"",""น่าน!M583"")+IMPORTRANGE(""https://docs.google.com/spreadsheets/d/1uu4nAn4Dbi1XREnLKKotUANlKXa7yCgRcgq8HEzQYW8/edit?usp=sharing"",""พะเยา!M583"")+IMPORTRANGE(""https://docs.google.com/spreadsheets/d/1xfJKIQxVOaPDIICqsflNlL"&amp;"u3JacTDk1FP9RH4phX7mI/edit?usp=sharing"",""พิจิตร!M583"")+IMPORTRANGE(""https://docs.google.com/spreadsheets/d/1JtRfZkJMHtEhI5RdRHxYUG4FIZHqKDpNyIuN7A1Q0_k/edit?usp=sharing"",""พิษณุโลก!M583"")+IMPORTRANGE(""https://docs.google.com/spreadsheets/d/1xlcVZWU"&amp;"Nn6SuWm0c307h32SiGkd9BaeQWlAktfD3KO8/edit?usp=sharing"",""เพชรบูรณ์!M583"")+IMPORTRANGE(""https://docs.google.com/spreadsheets/d/1lOVebEIsI9qjGXl6EX66luk7wiuP2tBaryw-wKvv4e0/edit?usp=sharing"",""แพร่!M583"")+IMPORTRANGE(""https://docs.google.com/spreadshe"&amp;"ets/d/1dQrvX0vEcN7Gu0fnZ0B5S90AeR19zth4XlExFBeExMY/edit?usp=sharing"",""แม่ฮ่องสอน!M583"")+IMPORTRANGE(""https://docs.google.com/spreadsheets/d/1DY4XTNNwjluuxqdfdn6qvOSlMRrZqUtmYcZR0ttFiG4/edit?usp=sharing"",""ลำปาง!M583"")+IMPORTRANGE(""https://docs.goog"&amp;"le.com/spreadsheets/d/1ICwG78r0OFT8biBlxnBF8r7she7gNSzOvJ958PWT09c/edit?usp=sharing"",""ลำพูน!M583"")+IMPORTRANGE(""https://docs.google.com/spreadsheets/d/1B0f2xJpZUC6Z0xXnqKlZtEPzsf6L84eP1r1Q15seqRM/edit?usp=sharing"",""สุโขทัย!M583"")+IMPORTRANGE(""http"&amp;"s://docs.google.com/spreadsheets/d/1v0b9pFQCsKUVExMei7AgY2yQkdeNQvtOssygGsXbiKo/edit?usp=sharing"",""อุตรดิตถ์!M583"")+IMPORTRANGE(""https://docs.google.com/spreadsheets/d/1UsNK1e-WWiCo2PvGqdNfdme4m17_Ezd3J69EeeiQPD0/edit?usp=sharing"",""อุทัยธานี!M583"")"),0)</f>
        <v>0</v>
      </c>
      <c r="N583" s="48">
        <f ca="1">IFERROR(__xludf.DUMMYFUNCTION("IMPORTRANGE(""https://docs.google.com/spreadsheets/d/1jTcq05yEiRwXcBMLjiodW9e4biSGYWAHcDj22rKWQ3s/edit?usp=sharing"",""กำแพงเพชร!N583"")+IMPORTRANGE(""https://docs.google.com/spreadsheets/d/1KS0zmDSZPk8KnTAbGN-Xk6MtX1YRZD0ldgdt20K4CRk/edit?usp=sharing"","&amp;"""เชียงราย!N583"")+IMPORTRANGE(""https://docs.google.com/spreadsheets/d/1rEDxBtusbi64tE0zunoIbsTVV16HeL0oJ6trHQeQ7K8/edit?usp=sharing"",""เชียงใหม่!N583"")+IMPORTRANGE(""https://docs.google.com/spreadsheets/d/1W6MnUbDkMi6xHnHko_XkFDO9kkuL6Wqyc-6OCDFjW9I/e"&amp;"dit?usp=sharing"",""ตาก!N583"")+IMPORTRANGE(""https://docs.google.com/spreadsheets/d/1IQAWArduLkta9LpYo4a_ULsyqdta6-6aDDiwpUnQT6c/edit?usp=sharing"",""นครสวรรค์!N583"")+IMPORTRANGE(""https://docs.google.com/spreadsheets/d/10s13Sk5xrltsiR-Zkbmk5DwIaDIKO8Xl"&amp;"bJAfqyT7Gvg/edit?usp=sharing"",""น่าน!N583"")+IMPORTRANGE(""https://docs.google.com/spreadsheets/d/1uu4nAn4Dbi1XREnLKKotUANlKXa7yCgRcgq8HEzQYW8/edit?usp=sharing"",""พะเยา!N583"")+IMPORTRANGE(""https://docs.google.com/spreadsheets/d/1xfJKIQxVOaPDIICqsflNlL"&amp;"u3JacTDk1FP9RH4phX7mI/edit?usp=sharing"",""พิจิตร!N583"")+IMPORTRANGE(""https://docs.google.com/spreadsheets/d/1JtRfZkJMHtEhI5RdRHxYUG4FIZHqKDpNyIuN7A1Q0_k/edit?usp=sharing"",""พิษณุโลก!N583"")+IMPORTRANGE(""https://docs.google.com/spreadsheets/d/1xlcVZWU"&amp;"Nn6SuWm0c307h32SiGkd9BaeQWlAktfD3KO8/edit?usp=sharing"",""เพชรบูรณ์!N583"")+IMPORTRANGE(""https://docs.google.com/spreadsheets/d/1lOVebEIsI9qjGXl6EX66luk7wiuP2tBaryw-wKvv4e0/edit?usp=sharing"",""แพร่!N583"")+IMPORTRANGE(""https://docs.google.com/spreadshe"&amp;"ets/d/1dQrvX0vEcN7Gu0fnZ0B5S90AeR19zth4XlExFBeExMY/edit?usp=sharing"",""แม่ฮ่องสอน!N583"")+IMPORTRANGE(""https://docs.google.com/spreadsheets/d/1DY4XTNNwjluuxqdfdn6qvOSlMRrZqUtmYcZR0ttFiG4/edit?usp=sharing"",""ลำปาง!N583"")+IMPORTRANGE(""https://docs.goog"&amp;"le.com/spreadsheets/d/1ICwG78r0OFT8biBlxnBF8r7she7gNSzOvJ958PWT09c/edit?usp=sharing"",""ลำพูน!N583"")+IMPORTRANGE(""https://docs.google.com/spreadsheets/d/1B0f2xJpZUC6Z0xXnqKlZtEPzsf6L84eP1r1Q15seqRM/edit?usp=sharing"",""สุโขทัย!N583"")+IMPORTRANGE(""http"&amp;"s://docs.google.com/spreadsheets/d/1v0b9pFQCsKUVExMei7AgY2yQkdeNQvtOssygGsXbiKo/edit?usp=sharing"",""อุตรดิตถ์!N583"")+IMPORTRANGE(""https://docs.google.com/spreadsheets/d/1UsNK1e-WWiCo2PvGqdNfdme4m17_Ezd3J69EeeiQPD0/edit?usp=sharing"",""อุทัยธานี!N583"")"),0)</f>
        <v>0</v>
      </c>
      <c r="O583" s="48">
        <f t="shared" ca="1" si="409"/>
        <v>0</v>
      </c>
      <c r="P583" s="48">
        <f t="shared" ca="1" si="410"/>
        <v>0</v>
      </c>
      <c r="Q583" s="48">
        <f ca="1">IFERROR(__xludf.DUMMYFUNCTION("IMPORTRANGE(""https://docs.google.com/spreadsheets/d/1jTcq05yEiRwXcBMLjiodW9e4biSGYWAHcDj22rKWQ3s/edit?usp=sharing"",""กำแพงเพชร!Q583"")+IMPORTRANGE(""https://docs.google.com/spreadsheets/d/1KS0zmDSZPk8KnTAbGN-Xk6MtX1YRZD0ldgdt20K4CRk/edit?usp=sharing"","&amp;"""เชียงราย!Q583"")+IMPORTRANGE(""https://docs.google.com/spreadsheets/d/1rEDxBtusbi64tE0zunoIbsTVV16HeL0oJ6trHQeQ7K8/edit?usp=sharing"",""เชียงใหม่!Q583"")+IMPORTRANGE(""https://docs.google.com/spreadsheets/d/1W6MnUbDkMi6xHnHko_XkFDO9kkuL6Wqyc-6OCDFjW9I/e"&amp;"dit?usp=sharing"",""ตาก!Q583"")+IMPORTRANGE(""https://docs.google.com/spreadsheets/d/1IQAWArduLkta9LpYo4a_ULsyqdta6-6aDDiwpUnQT6c/edit?usp=sharing"",""นครสวรรค์!Q583"")+IMPORTRANGE(""https://docs.google.com/spreadsheets/d/10s13Sk5xrltsiR-Zkbmk5DwIaDIKO8Xl"&amp;"bJAfqyT7Gvg/edit?usp=sharing"",""น่าน!Q583"")+IMPORTRANGE(""https://docs.google.com/spreadsheets/d/1uu4nAn4Dbi1XREnLKKotUANlKXa7yCgRcgq8HEzQYW8/edit?usp=sharing"",""พะเยา!Q583"")+IMPORTRANGE(""https://docs.google.com/spreadsheets/d/1xfJKIQxVOaPDIICqsflNlL"&amp;"u3JacTDk1FP9RH4phX7mI/edit?usp=sharing"",""พิจิตร!Q583"")+IMPORTRANGE(""https://docs.google.com/spreadsheets/d/1JtRfZkJMHtEhI5RdRHxYUG4FIZHqKDpNyIuN7A1Q0_k/edit?usp=sharing"",""พิษณุโลก!Q583"")+IMPORTRANGE(""https://docs.google.com/spreadsheets/d/1xlcVZWU"&amp;"Nn6SuWm0c307h32SiGkd9BaeQWlAktfD3KO8/edit?usp=sharing"",""เพชรบูรณ์!Q583"")+IMPORTRANGE(""https://docs.google.com/spreadsheets/d/1lOVebEIsI9qjGXl6EX66luk7wiuP2tBaryw-wKvv4e0/edit?usp=sharing"",""แพร่!Q583"")+IMPORTRANGE(""https://docs.google.com/spreadshe"&amp;"ets/d/1dQrvX0vEcN7Gu0fnZ0B5S90AeR19zth4XlExFBeExMY/edit?usp=sharing"",""แม่ฮ่องสอน!Q583"")+IMPORTRANGE(""https://docs.google.com/spreadsheets/d/1DY4XTNNwjluuxqdfdn6qvOSlMRrZqUtmYcZR0ttFiG4/edit?usp=sharing"",""ลำปาง!Q583"")+IMPORTRANGE(""https://docs.goog"&amp;"le.com/spreadsheets/d/1ICwG78r0OFT8biBlxnBF8r7she7gNSzOvJ958PWT09c/edit?usp=sharing"",""ลำพูน!Q583"")+IMPORTRANGE(""https://docs.google.com/spreadsheets/d/1B0f2xJpZUC6Z0xXnqKlZtEPzsf6L84eP1r1Q15seqRM/edit?usp=sharing"",""สุโขทัย!Q583"")+IMPORTRANGE(""http"&amp;"s://docs.google.com/spreadsheets/d/1v0b9pFQCsKUVExMei7AgY2yQkdeNQvtOssygGsXbiKo/edit?usp=sharing"",""อุตรดิตถ์!Q583"")+IMPORTRANGE(""https://docs.google.com/spreadsheets/d/1UsNK1e-WWiCo2PvGqdNfdme4m17_Ezd3J69EeeiQPD0/edit?usp=sharing"",""อุทัยธานี!Q583"")"),0)</f>
        <v>0</v>
      </c>
      <c r="R583" s="48">
        <f ca="1">IFERROR(__xludf.DUMMYFUNCTION("IMPORTRANGE(""https://docs.google.com/spreadsheets/d/1jTcq05yEiRwXcBMLjiodW9e4biSGYWAHcDj22rKWQ3s/edit?usp=sharing"",""กำแพงเพชร!R583"")+IMPORTRANGE(""https://docs.google.com/spreadsheets/d/1KS0zmDSZPk8KnTAbGN-Xk6MtX1YRZD0ldgdt20K4CRk/edit?usp=sharing"","&amp;"""เชียงราย!R583"")+IMPORTRANGE(""https://docs.google.com/spreadsheets/d/1rEDxBtusbi64tE0zunoIbsTVV16HeL0oJ6trHQeQ7K8/edit?usp=sharing"",""เชียงใหม่!R583"")+IMPORTRANGE(""https://docs.google.com/spreadsheets/d/1W6MnUbDkMi6xHnHko_XkFDO9kkuL6Wqyc-6OCDFjW9I/e"&amp;"dit?usp=sharing"",""ตาก!R583"")+IMPORTRANGE(""https://docs.google.com/spreadsheets/d/1IQAWArduLkta9LpYo4a_ULsyqdta6-6aDDiwpUnQT6c/edit?usp=sharing"",""นครสวรรค์!R583"")+IMPORTRANGE(""https://docs.google.com/spreadsheets/d/10s13Sk5xrltsiR-Zkbmk5DwIaDIKO8Xl"&amp;"bJAfqyT7Gvg/edit?usp=sharing"",""น่าน!R583"")+IMPORTRANGE(""https://docs.google.com/spreadsheets/d/1uu4nAn4Dbi1XREnLKKotUANlKXa7yCgRcgq8HEzQYW8/edit?usp=sharing"",""พะเยา!R583"")+IMPORTRANGE(""https://docs.google.com/spreadsheets/d/1xfJKIQxVOaPDIICqsflNlL"&amp;"u3JacTDk1FP9RH4phX7mI/edit?usp=sharing"",""พิจิตร!R583"")+IMPORTRANGE(""https://docs.google.com/spreadsheets/d/1JtRfZkJMHtEhI5RdRHxYUG4FIZHqKDpNyIuN7A1Q0_k/edit?usp=sharing"",""พิษณุโลก!R583"")+IMPORTRANGE(""https://docs.google.com/spreadsheets/d/1xlcVZWU"&amp;"Nn6SuWm0c307h32SiGkd9BaeQWlAktfD3KO8/edit?usp=sharing"",""เพชรบูรณ์!R583"")+IMPORTRANGE(""https://docs.google.com/spreadsheets/d/1lOVebEIsI9qjGXl6EX66luk7wiuP2tBaryw-wKvv4e0/edit?usp=sharing"",""แพร่!R583"")+IMPORTRANGE(""https://docs.google.com/spreadshe"&amp;"ets/d/1dQrvX0vEcN7Gu0fnZ0B5S90AeR19zth4XlExFBeExMY/edit?usp=sharing"",""แม่ฮ่องสอน!R583"")+IMPORTRANGE(""https://docs.google.com/spreadsheets/d/1DY4XTNNwjluuxqdfdn6qvOSlMRrZqUtmYcZR0ttFiG4/edit?usp=sharing"",""ลำปาง!R583"")+IMPORTRANGE(""https://docs.goog"&amp;"le.com/spreadsheets/d/1ICwG78r0OFT8biBlxnBF8r7she7gNSzOvJ958PWT09c/edit?usp=sharing"",""ลำพูน!R583"")+IMPORTRANGE(""https://docs.google.com/spreadsheets/d/1B0f2xJpZUC6Z0xXnqKlZtEPzsf6L84eP1r1Q15seqRM/edit?usp=sharing"",""สุโขทัย!R583"")+IMPORTRANGE(""http"&amp;"s://docs.google.com/spreadsheets/d/1v0b9pFQCsKUVExMei7AgY2yQkdeNQvtOssygGsXbiKo/edit?usp=sharing"",""อุตรดิตถ์!R583"")+IMPORTRANGE(""https://docs.google.com/spreadsheets/d/1UsNK1e-WWiCo2PvGqdNfdme4m17_Ezd3J69EeeiQPD0/edit?usp=sharing"",""อุทัยธานี!R583"")"),0)</f>
        <v>0</v>
      </c>
      <c r="S583" s="48">
        <f ca="1">IFERROR(__xludf.DUMMYFUNCTION("IMPORTRANGE(""https://docs.google.com/spreadsheets/d/1jTcq05yEiRwXcBMLjiodW9e4biSGYWAHcDj22rKWQ3s/edit?usp=sharing"",""กำแพงเพชร!S583"")+IMPORTRANGE(""https://docs.google.com/spreadsheets/d/1KS0zmDSZPk8KnTAbGN-Xk6MtX1YRZD0ldgdt20K4CRk/edit?usp=sharing"","&amp;"""เชียงราย!S583"")+IMPORTRANGE(""https://docs.google.com/spreadsheets/d/1rEDxBtusbi64tE0zunoIbsTVV16HeL0oJ6trHQeQ7K8/edit?usp=sharing"",""เชียงใหม่!S583"")+IMPORTRANGE(""https://docs.google.com/spreadsheets/d/1W6MnUbDkMi6xHnHko_XkFDO9kkuL6Wqyc-6OCDFjW9I/e"&amp;"dit?usp=sharing"",""ตาก!S583"")+IMPORTRANGE(""https://docs.google.com/spreadsheets/d/1IQAWArduLkta9LpYo4a_ULsyqdta6-6aDDiwpUnQT6c/edit?usp=sharing"",""นครสวรรค์!S583"")+IMPORTRANGE(""https://docs.google.com/spreadsheets/d/10s13Sk5xrltsiR-Zkbmk5DwIaDIKO8Xl"&amp;"bJAfqyT7Gvg/edit?usp=sharing"",""น่าน!S583"")+IMPORTRANGE(""https://docs.google.com/spreadsheets/d/1uu4nAn4Dbi1XREnLKKotUANlKXa7yCgRcgq8HEzQYW8/edit?usp=sharing"",""พะเยา!S583"")+IMPORTRANGE(""https://docs.google.com/spreadsheets/d/1xfJKIQxVOaPDIICqsflNlL"&amp;"u3JacTDk1FP9RH4phX7mI/edit?usp=sharing"",""พิจิตร!S583"")+IMPORTRANGE(""https://docs.google.com/spreadsheets/d/1JtRfZkJMHtEhI5RdRHxYUG4FIZHqKDpNyIuN7A1Q0_k/edit?usp=sharing"",""พิษณุโลก!S583"")+IMPORTRANGE(""https://docs.google.com/spreadsheets/d/1xlcVZWU"&amp;"Nn6SuWm0c307h32SiGkd9BaeQWlAktfD3KO8/edit?usp=sharing"",""เพชรบูรณ์!S583"")+IMPORTRANGE(""https://docs.google.com/spreadsheets/d/1lOVebEIsI9qjGXl6EX66luk7wiuP2tBaryw-wKvv4e0/edit?usp=sharing"",""แพร่!S583"")+IMPORTRANGE(""https://docs.google.com/spreadshe"&amp;"ets/d/1dQrvX0vEcN7Gu0fnZ0B5S90AeR19zth4XlExFBeExMY/edit?usp=sharing"",""แม่ฮ่องสอน!S583"")+IMPORTRANGE(""https://docs.google.com/spreadsheets/d/1DY4XTNNwjluuxqdfdn6qvOSlMRrZqUtmYcZR0ttFiG4/edit?usp=sharing"",""ลำปาง!S583"")+IMPORTRANGE(""https://docs.goog"&amp;"le.com/spreadsheets/d/1ICwG78r0OFT8biBlxnBF8r7she7gNSzOvJ958PWT09c/edit?usp=sharing"",""ลำพูน!S583"")+IMPORTRANGE(""https://docs.google.com/spreadsheets/d/1B0f2xJpZUC6Z0xXnqKlZtEPzsf6L84eP1r1Q15seqRM/edit?usp=sharing"",""สุโขทัย!S583"")+IMPORTRANGE(""http"&amp;"s://docs.google.com/spreadsheets/d/1v0b9pFQCsKUVExMei7AgY2yQkdeNQvtOssygGsXbiKo/edit?usp=sharing"",""อุตรดิตถ์!S583"")+IMPORTRANGE(""https://docs.google.com/spreadsheets/d/1UsNK1e-WWiCo2PvGqdNfdme4m17_Ezd3J69EeeiQPD0/edit?usp=sharing"",""อุทัยธานี!S583"")"),0)</f>
        <v>0</v>
      </c>
      <c r="T583" s="48">
        <f t="shared" ca="1" si="412"/>
        <v>0</v>
      </c>
      <c r="U583" s="48">
        <f t="shared" ca="1" si="413"/>
        <v>0</v>
      </c>
    </row>
    <row r="584" spans="1:21" ht="18.75" x14ac:dyDescent="0.25">
      <c r="A584" s="128"/>
      <c r="B584" s="40"/>
      <c r="C584" s="40"/>
      <c r="D584" s="40"/>
      <c r="E584" s="47" t="s">
        <v>21</v>
      </c>
      <c r="F584" s="40"/>
      <c r="G584" s="42"/>
      <c r="H584" s="137" t="s">
        <v>14</v>
      </c>
      <c r="I584" s="135"/>
      <c r="J584" s="135"/>
      <c r="K584" s="136"/>
      <c r="L584" s="46">
        <f ca="1">IFERROR(__xludf.DUMMYFUNCTION("IMPORTRANGE(""https://docs.google.com/spreadsheets/d/1jTcq05yEiRwXcBMLjiodW9e4biSGYWAHcDj22rKWQ3s/edit?usp=sharing"",""กำแพงเพชร!L584"")+IMPORTRANGE(""https://docs.google.com/spreadsheets/d/1KS0zmDSZPk8KnTAbGN-Xk6MtX1YRZD0ldgdt20K4CRk/edit?usp=sharing"","&amp;"""เชียงราย!L584"")+IMPORTRANGE(""https://docs.google.com/spreadsheets/d/1rEDxBtusbi64tE0zunoIbsTVV16HeL0oJ6trHQeQ7K8/edit?usp=sharing"",""เชียงใหม่!L584"")+IMPORTRANGE(""https://docs.google.com/spreadsheets/d/1W6MnUbDkMi6xHnHko_XkFDO9kkuL6Wqyc-6OCDFjW9I/e"&amp;"dit?usp=sharing"",""ตาก!L584"")+IMPORTRANGE(""https://docs.google.com/spreadsheets/d/1IQAWArduLkta9LpYo4a_ULsyqdta6-6aDDiwpUnQT6c/edit?usp=sharing"",""นครสวรรค์!L584"")+IMPORTRANGE(""https://docs.google.com/spreadsheets/d/10s13Sk5xrltsiR-Zkbmk5DwIaDIKO8Xl"&amp;"bJAfqyT7Gvg/edit?usp=sharing"",""น่าน!L584"")+IMPORTRANGE(""https://docs.google.com/spreadsheets/d/1uu4nAn4Dbi1XREnLKKotUANlKXa7yCgRcgq8HEzQYW8/edit?usp=sharing"",""พะเยา!L584"")+IMPORTRANGE(""https://docs.google.com/spreadsheets/d/1xfJKIQxVOaPDIICqsflNlL"&amp;"u3JacTDk1FP9RH4phX7mI/edit?usp=sharing"",""พิจิตร!L584"")+IMPORTRANGE(""https://docs.google.com/spreadsheets/d/1JtRfZkJMHtEhI5RdRHxYUG4FIZHqKDpNyIuN7A1Q0_k/edit?usp=sharing"",""พิษณุโลก!L584"")+IMPORTRANGE(""https://docs.google.com/spreadsheets/d/1xlcVZWU"&amp;"Nn6SuWm0c307h32SiGkd9BaeQWlAktfD3KO8/edit?usp=sharing"",""เพชรบูรณ์!L584"")+IMPORTRANGE(""https://docs.google.com/spreadsheets/d/1lOVebEIsI9qjGXl6EX66luk7wiuP2tBaryw-wKvv4e0/edit?usp=sharing"",""แพร่!L584"")+IMPORTRANGE(""https://docs.google.com/spreadshe"&amp;"ets/d/1dQrvX0vEcN7Gu0fnZ0B5S90AeR19zth4XlExFBeExMY/edit?usp=sharing"",""แม่ฮ่องสอน!L584"")+IMPORTRANGE(""https://docs.google.com/spreadsheets/d/1DY4XTNNwjluuxqdfdn6qvOSlMRrZqUtmYcZR0ttFiG4/edit?usp=sharing"",""ลำปาง!L584"")+IMPORTRANGE(""https://docs.goog"&amp;"le.com/spreadsheets/d/1ICwG78r0OFT8biBlxnBF8r7she7gNSzOvJ958PWT09c/edit?usp=sharing"",""ลำพูน!L584"")+IMPORTRANGE(""https://docs.google.com/spreadsheets/d/1B0f2xJpZUC6Z0xXnqKlZtEPzsf6L84eP1r1Q15seqRM/edit?usp=sharing"",""สุโขทัย!L584"")+IMPORTRANGE(""http"&amp;"s://docs.google.com/spreadsheets/d/1v0b9pFQCsKUVExMei7AgY2yQkdeNQvtOssygGsXbiKo/edit?usp=sharing"",""อุตรดิตถ์!L584"")+IMPORTRANGE(""https://docs.google.com/spreadsheets/d/1UsNK1e-WWiCo2PvGqdNfdme4m17_Ezd3J69EeeiQPD0/edit?usp=sharing"",""อุทัยธานี!L584"")"),0)</f>
        <v>0</v>
      </c>
      <c r="M584" s="46">
        <f ca="1">IFERROR(__xludf.DUMMYFUNCTION("IMPORTRANGE(""https://docs.google.com/spreadsheets/d/1jTcq05yEiRwXcBMLjiodW9e4biSGYWAHcDj22rKWQ3s/edit?usp=sharing"",""กำแพงเพชร!M584"")+IMPORTRANGE(""https://docs.google.com/spreadsheets/d/1KS0zmDSZPk8KnTAbGN-Xk6MtX1YRZD0ldgdt20K4CRk/edit?usp=sharing"","&amp;"""เชียงราย!M584"")+IMPORTRANGE(""https://docs.google.com/spreadsheets/d/1rEDxBtusbi64tE0zunoIbsTVV16HeL0oJ6trHQeQ7K8/edit?usp=sharing"",""เชียงใหม่!M584"")+IMPORTRANGE(""https://docs.google.com/spreadsheets/d/1W6MnUbDkMi6xHnHko_XkFDO9kkuL6Wqyc-6OCDFjW9I/e"&amp;"dit?usp=sharing"",""ตาก!M584"")+IMPORTRANGE(""https://docs.google.com/spreadsheets/d/1IQAWArduLkta9LpYo4a_ULsyqdta6-6aDDiwpUnQT6c/edit?usp=sharing"",""นครสวรรค์!M584"")+IMPORTRANGE(""https://docs.google.com/spreadsheets/d/10s13Sk5xrltsiR-Zkbmk5DwIaDIKO8Xl"&amp;"bJAfqyT7Gvg/edit?usp=sharing"",""น่าน!M584"")+IMPORTRANGE(""https://docs.google.com/spreadsheets/d/1uu4nAn4Dbi1XREnLKKotUANlKXa7yCgRcgq8HEzQYW8/edit?usp=sharing"",""พะเยา!M584"")+IMPORTRANGE(""https://docs.google.com/spreadsheets/d/1xfJKIQxVOaPDIICqsflNlL"&amp;"u3JacTDk1FP9RH4phX7mI/edit?usp=sharing"",""พิจิตร!M584"")+IMPORTRANGE(""https://docs.google.com/spreadsheets/d/1JtRfZkJMHtEhI5RdRHxYUG4FIZHqKDpNyIuN7A1Q0_k/edit?usp=sharing"",""พิษณุโลก!M584"")+IMPORTRANGE(""https://docs.google.com/spreadsheets/d/1xlcVZWU"&amp;"Nn6SuWm0c307h32SiGkd9BaeQWlAktfD3KO8/edit?usp=sharing"",""เพชรบูรณ์!M584"")+IMPORTRANGE(""https://docs.google.com/spreadsheets/d/1lOVebEIsI9qjGXl6EX66luk7wiuP2tBaryw-wKvv4e0/edit?usp=sharing"",""แพร่!M584"")+IMPORTRANGE(""https://docs.google.com/spreadshe"&amp;"ets/d/1dQrvX0vEcN7Gu0fnZ0B5S90AeR19zth4XlExFBeExMY/edit?usp=sharing"",""แม่ฮ่องสอน!M584"")+IMPORTRANGE(""https://docs.google.com/spreadsheets/d/1DY4XTNNwjluuxqdfdn6qvOSlMRrZqUtmYcZR0ttFiG4/edit?usp=sharing"",""ลำปาง!M584"")+IMPORTRANGE(""https://docs.goog"&amp;"le.com/spreadsheets/d/1ICwG78r0OFT8biBlxnBF8r7she7gNSzOvJ958PWT09c/edit?usp=sharing"",""ลำพูน!M584"")+IMPORTRANGE(""https://docs.google.com/spreadsheets/d/1B0f2xJpZUC6Z0xXnqKlZtEPzsf6L84eP1r1Q15seqRM/edit?usp=sharing"",""สุโขทัย!M584"")+IMPORTRANGE(""http"&amp;"s://docs.google.com/spreadsheets/d/1v0b9pFQCsKUVExMei7AgY2yQkdeNQvtOssygGsXbiKo/edit?usp=sharing"",""อุตรดิตถ์!M584"")+IMPORTRANGE(""https://docs.google.com/spreadsheets/d/1UsNK1e-WWiCo2PvGqdNfdme4m17_Ezd3J69EeeiQPD0/edit?usp=sharing"",""อุทัยธานี!M584"")"),0)</f>
        <v>0</v>
      </c>
      <c r="N584" s="46">
        <f ca="1">IFERROR(__xludf.DUMMYFUNCTION("IMPORTRANGE(""https://docs.google.com/spreadsheets/d/1jTcq05yEiRwXcBMLjiodW9e4biSGYWAHcDj22rKWQ3s/edit?usp=sharing"",""กำแพงเพชร!N584"")+IMPORTRANGE(""https://docs.google.com/spreadsheets/d/1KS0zmDSZPk8KnTAbGN-Xk6MtX1YRZD0ldgdt20K4CRk/edit?usp=sharing"","&amp;"""เชียงราย!N584"")+IMPORTRANGE(""https://docs.google.com/spreadsheets/d/1rEDxBtusbi64tE0zunoIbsTVV16HeL0oJ6trHQeQ7K8/edit?usp=sharing"",""เชียงใหม่!N584"")+IMPORTRANGE(""https://docs.google.com/spreadsheets/d/1W6MnUbDkMi6xHnHko_XkFDO9kkuL6Wqyc-6OCDFjW9I/e"&amp;"dit?usp=sharing"",""ตาก!N584"")+IMPORTRANGE(""https://docs.google.com/spreadsheets/d/1IQAWArduLkta9LpYo4a_ULsyqdta6-6aDDiwpUnQT6c/edit?usp=sharing"",""นครสวรรค์!N584"")+IMPORTRANGE(""https://docs.google.com/spreadsheets/d/10s13Sk5xrltsiR-Zkbmk5DwIaDIKO8Xl"&amp;"bJAfqyT7Gvg/edit?usp=sharing"",""น่าน!N584"")+IMPORTRANGE(""https://docs.google.com/spreadsheets/d/1uu4nAn4Dbi1XREnLKKotUANlKXa7yCgRcgq8HEzQYW8/edit?usp=sharing"",""พะเยา!N584"")+IMPORTRANGE(""https://docs.google.com/spreadsheets/d/1xfJKIQxVOaPDIICqsflNlL"&amp;"u3JacTDk1FP9RH4phX7mI/edit?usp=sharing"",""พิจิตร!N584"")+IMPORTRANGE(""https://docs.google.com/spreadsheets/d/1JtRfZkJMHtEhI5RdRHxYUG4FIZHqKDpNyIuN7A1Q0_k/edit?usp=sharing"",""พิษณุโลก!N584"")+IMPORTRANGE(""https://docs.google.com/spreadsheets/d/1xlcVZWU"&amp;"Nn6SuWm0c307h32SiGkd9BaeQWlAktfD3KO8/edit?usp=sharing"",""เพชรบูรณ์!N584"")+IMPORTRANGE(""https://docs.google.com/spreadsheets/d/1lOVebEIsI9qjGXl6EX66luk7wiuP2tBaryw-wKvv4e0/edit?usp=sharing"",""แพร่!N584"")+IMPORTRANGE(""https://docs.google.com/spreadshe"&amp;"ets/d/1dQrvX0vEcN7Gu0fnZ0B5S90AeR19zth4XlExFBeExMY/edit?usp=sharing"",""แม่ฮ่องสอน!N584"")+IMPORTRANGE(""https://docs.google.com/spreadsheets/d/1DY4XTNNwjluuxqdfdn6qvOSlMRrZqUtmYcZR0ttFiG4/edit?usp=sharing"",""ลำปาง!N584"")+IMPORTRANGE(""https://docs.goog"&amp;"le.com/spreadsheets/d/1ICwG78r0OFT8biBlxnBF8r7she7gNSzOvJ958PWT09c/edit?usp=sharing"",""ลำพูน!N584"")+IMPORTRANGE(""https://docs.google.com/spreadsheets/d/1B0f2xJpZUC6Z0xXnqKlZtEPzsf6L84eP1r1Q15seqRM/edit?usp=sharing"",""สุโขทัย!N584"")+IMPORTRANGE(""http"&amp;"s://docs.google.com/spreadsheets/d/1v0b9pFQCsKUVExMei7AgY2yQkdeNQvtOssygGsXbiKo/edit?usp=sharing"",""อุตรดิตถ์!N584"")+IMPORTRANGE(""https://docs.google.com/spreadsheets/d/1UsNK1e-WWiCo2PvGqdNfdme4m17_Ezd3J69EeeiQPD0/edit?usp=sharing"",""อุทัยธานี!N584"")"),0)</f>
        <v>0</v>
      </c>
      <c r="O584" s="46">
        <f t="shared" ca="1" si="409"/>
        <v>0</v>
      </c>
      <c r="P584" s="46">
        <f t="shared" ca="1" si="410"/>
        <v>0</v>
      </c>
      <c r="Q584" s="46">
        <f ca="1">IFERROR(__xludf.DUMMYFUNCTION("IMPORTRANGE(""https://docs.google.com/spreadsheets/d/1jTcq05yEiRwXcBMLjiodW9e4biSGYWAHcDj22rKWQ3s/edit?usp=sharing"",""กำแพงเพชร!Q584"")+IMPORTRANGE(""https://docs.google.com/spreadsheets/d/1KS0zmDSZPk8KnTAbGN-Xk6MtX1YRZD0ldgdt20K4CRk/edit?usp=sharing"","&amp;"""เชียงราย!Q584"")+IMPORTRANGE(""https://docs.google.com/spreadsheets/d/1rEDxBtusbi64tE0zunoIbsTVV16HeL0oJ6trHQeQ7K8/edit?usp=sharing"",""เชียงใหม่!Q584"")+IMPORTRANGE(""https://docs.google.com/spreadsheets/d/1W6MnUbDkMi6xHnHko_XkFDO9kkuL6Wqyc-6OCDFjW9I/e"&amp;"dit?usp=sharing"",""ตาก!Q584"")+IMPORTRANGE(""https://docs.google.com/spreadsheets/d/1IQAWArduLkta9LpYo4a_ULsyqdta6-6aDDiwpUnQT6c/edit?usp=sharing"",""นครสวรรค์!Q584"")+IMPORTRANGE(""https://docs.google.com/spreadsheets/d/10s13Sk5xrltsiR-Zkbmk5DwIaDIKO8Xl"&amp;"bJAfqyT7Gvg/edit?usp=sharing"",""น่าน!Q584"")+IMPORTRANGE(""https://docs.google.com/spreadsheets/d/1uu4nAn4Dbi1XREnLKKotUANlKXa7yCgRcgq8HEzQYW8/edit?usp=sharing"",""พะเยา!Q584"")+IMPORTRANGE(""https://docs.google.com/spreadsheets/d/1xfJKIQxVOaPDIICqsflNlL"&amp;"u3JacTDk1FP9RH4phX7mI/edit?usp=sharing"",""พิจิตร!Q584"")+IMPORTRANGE(""https://docs.google.com/spreadsheets/d/1JtRfZkJMHtEhI5RdRHxYUG4FIZHqKDpNyIuN7A1Q0_k/edit?usp=sharing"",""พิษณุโลก!Q584"")+IMPORTRANGE(""https://docs.google.com/spreadsheets/d/1xlcVZWU"&amp;"Nn6SuWm0c307h32SiGkd9BaeQWlAktfD3KO8/edit?usp=sharing"",""เพชรบูรณ์!Q584"")+IMPORTRANGE(""https://docs.google.com/spreadsheets/d/1lOVebEIsI9qjGXl6EX66luk7wiuP2tBaryw-wKvv4e0/edit?usp=sharing"",""แพร่!Q584"")+IMPORTRANGE(""https://docs.google.com/spreadshe"&amp;"ets/d/1dQrvX0vEcN7Gu0fnZ0B5S90AeR19zth4XlExFBeExMY/edit?usp=sharing"",""แม่ฮ่องสอน!Q584"")+IMPORTRANGE(""https://docs.google.com/spreadsheets/d/1DY4XTNNwjluuxqdfdn6qvOSlMRrZqUtmYcZR0ttFiG4/edit?usp=sharing"",""ลำปาง!Q584"")+IMPORTRANGE(""https://docs.goog"&amp;"le.com/spreadsheets/d/1ICwG78r0OFT8biBlxnBF8r7she7gNSzOvJ958PWT09c/edit?usp=sharing"",""ลำพูน!Q584"")+IMPORTRANGE(""https://docs.google.com/spreadsheets/d/1B0f2xJpZUC6Z0xXnqKlZtEPzsf6L84eP1r1Q15seqRM/edit?usp=sharing"",""สุโขทัย!Q584"")+IMPORTRANGE(""http"&amp;"s://docs.google.com/spreadsheets/d/1v0b9pFQCsKUVExMei7AgY2yQkdeNQvtOssygGsXbiKo/edit?usp=sharing"",""อุตรดิตถ์!Q584"")+IMPORTRANGE(""https://docs.google.com/spreadsheets/d/1UsNK1e-WWiCo2PvGqdNfdme4m17_Ezd3J69EeeiQPD0/edit?usp=sharing"",""อุทัยธานี!Q584"")"),0)</f>
        <v>0</v>
      </c>
      <c r="R584" s="46">
        <f ca="1">IFERROR(__xludf.DUMMYFUNCTION("IMPORTRANGE(""https://docs.google.com/spreadsheets/d/1jTcq05yEiRwXcBMLjiodW9e4biSGYWAHcDj22rKWQ3s/edit?usp=sharing"",""กำแพงเพชร!R584"")+IMPORTRANGE(""https://docs.google.com/spreadsheets/d/1KS0zmDSZPk8KnTAbGN-Xk6MtX1YRZD0ldgdt20K4CRk/edit?usp=sharing"","&amp;"""เชียงราย!R584"")+IMPORTRANGE(""https://docs.google.com/spreadsheets/d/1rEDxBtusbi64tE0zunoIbsTVV16HeL0oJ6trHQeQ7K8/edit?usp=sharing"",""เชียงใหม่!R584"")+IMPORTRANGE(""https://docs.google.com/spreadsheets/d/1W6MnUbDkMi6xHnHko_XkFDO9kkuL6Wqyc-6OCDFjW9I/e"&amp;"dit?usp=sharing"",""ตาก!R584"")+IMPORTRANGE(""https://docs.google.com/spreadsheets/d/1IQAWArduLkta9LpYo4a_ULsyqdta6-6aDDiwpUnQT6c/edit?usp=sharing"",""นครสวรรค์!R584"")+IMPORTRANGE(""https://docs.google.com/spreadsheets/d/10s13Sk5xrltsiR-Zkbmk5DwIaDIKO8Xl"&amp;"bJAfqyT7Gvg/edit?usp=sharing"",""น่าน!R584"")+IMPORTRANGE(""https://docs.google.com/spreadsheets/d/1uu4nAn4Dbi1XREnLKKotUANlKXa7yCgRcgq8HEzQYW8/edit?usp=sharing"",""พะเยา!R584"")+IMPORTRANGE(""https://docs.google.com/spreadsheets/d/1xfJKIQxVOaPDIICqsflNlL"&amp;"u3JacTDk1FP9RH4phX7mI/edit?usp=sharing"",""พิจิตร!R584"")+IMPORTRANGE(""https://docs.google.com/spreadsheets/d/1JtRfZkJMHtEhI5RdRHxYUG4FIZHqKDpNyIuN7A1Q0_k/edit?usp=sharing"",""พิษณุโลก!R584"")+IMPORTRANGE(""https://docs.google.com/spreadsheets/d/1xlcVZWU"&amp;"Nn6SuWm0c307h32SiGkd9BaeQWlAktfD3KO8/edit?usp=sharing"",""เพชรบูรณ์!R584"")+IMPORTRANGE(""https://docs.google.com/spreadsheets/d/1lOVebEIsI9qjGXl6EX66luk7wiuP2tBaryw-wKvv4e0/edit?usp=sharing"",""แพร่!R584"")+IMPORTRANGE(""https://docs.google.com/spreadshe"&amp;"ets/d/1dQrvX0vEcN7Gu0fnZ0B5S90AeR19zth4XlExFBeExMY/edit?usp=sharing"",""แม่ฮ่องสอน!R584"")+IMPORTRANGE(""https://docs.google.com/spreadsheets/d/1DY4XTNNwjluuxqdfdn6qvOSlMRrZqUtmYcZR0ttFiG4/edit?usp=sharing"",""ลำปาง!R584"")+IMPORTRANGE(""https://docs.goog"&amp;"le.com/spreadsheets/d/1ICwG78r0OFT8biBlxnBF8r7she7gNSzOvJ958PWT09c/edit?usp=sharing"",""ลำพูน!R584"")+IMPORTRANGE(""https://docs.google.com/spreadsheets/d/1B0f2xJpZUC6Z0xXnqKlZtEPzsf6L84eP1r1Q15seqRM/edit?usp=sharing"",""สุโขทัย!R584"")+IMPORTRANGE(""http"&amp;"s://docs.google.com/spreadsheets/d/1v0b9pFQCsKUVExMei7AgY2yQkdeNQvtOssygGsXbiKo/edit?usp=sharing"",""อุตรดิตถ์!R584"")+IMPORTRANGE(""https://docs.google.com/spreadsheets/d/1UsNK1e-WWiCo2PvGqdNfdme4m17_Ezd3J69EeeiQPD0/edit?usp=sharing"",""อุทัยธานี!R584"")"),0)</f>
        <v>0</v>
      </c>
      <c r="S584" s="46">
        <f ca="1">IFERROR(__xludf.DUMMYFUNCTION("IMPORTRANGE(""https://docs.google.com/spreadsheets/d/1jTcq05yEiRwXcBMLjiodW9e4biSGYWAHcDj22rKWQ3s/edit?usp=sharing"",""กำแพงเพชร!S584"")+IMPORTRANGE(""https://docs.google.com/spreadsheets/d/1KS0zmDSZPk8KnTAbGN-Xk6MtX1YRZD0ldgdt20K4CRk/edit?usp=sharing"","&amp;"""เชียงราย!S584"")+IMPORTRANGE(""https://docs.google.com/spreadsheets/d/1rEDxBtusbi64tE0zunoIbsTVV16HeL0oJ6trHQeQ7K8/edit?usp=sharing"",""เชียงใหม่!S584"")+IMPORTRANGE(""https://docs.google.com/spreadsheets/d/1W6MnUbDkMi6xHnHko_XkFDO9kkuL6Wqyc-6OCDFjW9I/e"&amp;"dit?usp=sharing"",""ตาก!S584"")+IMPORTRANGE(""https://docs.google.com/spreadsheets/d/1IQAWArduLkta9LpYo4a_ULsyqdta6-6aDDiwpUnQT6c/edit?usp=sharing"",""นครสวรรค์!S584"")+IMPORTRANGE(""https://docs.google.com/spreadsheets/d/10s13Sk5xrltsiR-Zkbmk5DwIaDIKO8Xl"&amp;"bJAfqyT7Gvg/edit?usp=sharing"",""น่าน!S584"")+IMPORTRANGE(""https://docs.google.com/spreadsheets/d/1uu4nAn4Dbi1XREnLKKotUANlKXa7yCgRcgq8HEzQYW8/edit?usp=sharing"",""พะเยา!S584"")+IMPORTRANGE(""https://docs.google.com/spreadsheets/d/1xfJKIQxVOaPDIICqsflNlL"&amp;"u3JacTDk1FP9RH4phX7mI/edit?usp=sharing"",""พิจิตร!S584"")+IMPORTRANGE(""https://docs.google.com/spreadsheets/d/1JtRfZkJMHtEhI5RdRHxYUG4FIZHqKDpNyIuN7A1Q0_k/edit?usp=sharing"",""พิษณุโลก!S584"")+IMPORTRANGE(""https://docs.google.com/spreadsheets/d/1xlcVZWU"&amp;"Nn6SuWm0c307h32SiGkd9BaeQWlAktfD3KO8/edit?usp=sharing"",""เพชรบูรณ์!S584"")+IMPORTRANGE(""https://docs.google.com/spreadsheets/d/1lOVebEIsI9qjGXl6EX66luk7wiuP2tBaryw-wKvv4e0/edit?usp=sharing"",""แพร่!S584"")+IMPORTRANGE(""https://docs.google.com/spreadshe"&amp;"ets/d/1dQrvX0vEcN7Gu0fnZ0B5S90AeR19zth4XlExFBeExMY/edit?usp=sharing"",""แม่ฮ่องสอน!S584"")+IMPORTRANGE(""https://docs.google.com/spreadsheets/d/1DY4XTNNwjluuxqdfdn6qvOSlMRrZqUtmYcZR0ttFiG4/edit?usp=sharing"",""ลำปาง!S584"")+IMPORTRANGE(""https://docs.goog"&amp;"le.com/spreadsheets/d/1ICwG78r0OFT8biBlxnBF8r7she7gNSzOvJ958PWT09c/edit?usp=sharing"",""ลำพูน!S584"")+IMPORTRANGE(""https://docs.google.com/spreadsheets/d/1B0f2xJpZUC6Z0xXnqKlZtEPzsf6L84eP1r1Q15seqRM/edit?usp=sharing"",""สุโขทัย!S584"")+IMPORTRANGE(""http"&amp;"s://docs.google.com/spreadsheets/d/1v0b9pFQCsKUVExMei7AgY2yQkdeNQvtOssygGsXbiKo/edit?usp=sharing"",""อุตรดิตถ์!S584"")+IMPORTRANGE(""https://docs.google.com/spreadsheets/d/1UsNK1e-WWiCo2PvGqdNfdme4m17_Ezd3J69EeeiQPD0/edit?usp=sharing"",""อุทัยธานี!S584"")"),0)</f>
        <v>0</v>
      </c>
      <c r="T584" s="46">
        <f t="shared" ca="1" si="412"/>
        <v>0</v>
      </c>
      <c r="U584" s="46">
        <f t="shared" ca="1" si="413"/>
        <v>0</v>
      </c>
    </row>
    <row r="585" spans="1:21" ht="19.5" hidden="1" x14ac:dyDescent="0.3">
      <c r="A585" s="138"/>
      <c r="B585" s="139"/>
      <c r="C585" s="364" t="s">
        <v>18</v>
      </c>
      <c r="D585" s="140" t="s">
        <v>38</v>
      </c>
      <c r="E585" s="141"/>
      <c r="F585" s="141"/>
      <c r="G585" s="142"/>
      <c r="H585" s="143"/>
      <c r="I585" s="135"/>
      <c r="J585" s="44"/>
      <c r="K585" s="45"/>
      <c r="L585" s="45"/>
      <c r="M585" s="45"/>
      <c r="N585" s="45"/>
      <c r="O585" s="136"/>
      <c r="P585" s="136"/>
      <c r="Q585" s="45"/>
      <c r="R585" s="45"/>
      <c r="S585" s="45"/>
      <c r="T585" s="136"/>
      <c r="U585" s="136"/>
    </row>
    <row r="586" spans="1:21" ht="12.75" hidden="1" x14ac:dyDescent="0.2">
      <c r="A586" s="227"/>
      <c r="B586" s="229"/>
      <c r="C586" s="228"/>
      <c r="D586" s="229"/>
      <c r="E586" s="228"/>
      <c r="F586" s="229"/>
      <c r="G586" s="230"/>
      <c r="H586" s="230"/>
      <c r="I586" s="232"/>
      <c r="J586" s="232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</row>
    <row r="587" spans="1:21" ht="12.75" hidden="1" x14ac:dyDescent="0.2">
      <c r="A587" s="227"/>
      <c r="B587" s="229"/>
      <c r="C587" s="228"/>
      <c r="D587" s="229"/>
      <c r="E587" s="228"/>
      <c r="F587" s="229"/>
      <c r="G587" s="230"/>
      <c r="H587" s="230"/>
      <c r="I587" s="232"/>
      <c r="J587" s="232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</row>
    <row r="588" spans="1:21" ht="12.75" hidden="1" x14ac:dyDescent="0.2">
      <c r="A588" s="227"/>
      <c r="B588" s="228"/>
      <c r="C588" s="228"/>
      <c r="D588" s="229"/>
      <c r="E588" s="229"/>
      <c r="F588" s="229"/>
      <c r="G588" s="230"/>
      <c r="H588" s="231"/>
      <c r="I588" s="232"/>
      <c r="J588" s="232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</row>
    <row r="589" spans="1:21" ht="12.75" hidden="1" x14ac:dyDescent="0.2">
      <c r="A589" s="227"/>
      <c r="B589" s="228"/>
      <c r="C589" s="228"/>
      <c r="D589" s="229"/>
      <c r="E589" s="229"/>
      <c r="F589" s="229"/>
      <c r="G589" s="230"/>
      <c r="H589" s="231"/>
      <c r="I589" s="232"/>
      <c r="J589" s="232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</row>
    <row r="590" spans="1:21" ht="12.75" hidden="1" x14ac:dyDescent="0.2">
      <c r="A590" s="227"/>
      <c r="B590" s="228"/>
      <c r="C590" s="228"/>
      <c r="D590" s="229"/>
      <c r="E590" s="229"/>
      <c r="F590" s="229"/>
      <c r="G590" s="230"/>
      <c r="H590" s="231"/>
      <c r="I590" s="232"/>
      <c r="J590" s="232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</row>
    <row r="591" spans="1:21" ht="12.75" hidden="1" x14ac:dyDescent="0.2">
      <c r="A591" s="227"/>
      <c r="B591" s="228"/>
      <c r="C591" s="228"/>
      <c r="D591" s="229"/>
      <c r="E591" s="229"/>
      <c r="F591" s="229"/>
      <c r="G591" s="230"/>
      <c r="H591" s="231"/>
      <c r="I591" s="232"/>
      <c r="J591" s="232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</row>
    <row r="592" spans="1:21" ht="12.75" hidden="1" x14ac:dyDescent="0.2">
      <c r="A592" s="227"/>
      <c r="B592" s="228"/>
      <c r="C592" s="228"/>
      <c r="D592" s="229"/>
      <c r="E592" s="229"/>
      <c r="F592" s="229"/>
      <c r="G592" s="230"/>
      <c r="H592" s="231"/>
      <c r="I592" s="232"/>
      <c r="J592" s="232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  <c r="U592" s="233"/>
    </row>
    <row r="593" spans="1:21" ht="12.75" hidden="1" x14ac:dyDescent="0.2">
      <c r="A593" s="227"/>
      <c r="B593" s="228"/>
      <c r="C593" s="228"/>
      <c r="D593" s="229"/>
      <c r="E593" s="229"/>
      <c r="F593" s="229"/>
      <c r="G593" s="230"/>
      <c r="H593" s="231"/>
      <c r="I593" s="232"/>
      <c r="J593" s="232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</row>
    <row r="594" spans="1:21" ht="12.75" hidden="1" x14ac:dyDescent="0.2">
      <c r="A594" s="227"/>
      <c r="B594" s="228"/>
      <c r="C594" s="228"/>
      <c r="D594" s="229"/>
      <c r="E594" s="229"/>
      <c r="F594" s="229"/>
      <c r="G594" s="230"/>
      <c r="H594" s="231"/>
      <c r="I594" s="232"/>
      <c r="J594" s="232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</row>
    <row r="595" spans="1:21" ht="12.75" hidden="1" x14ac:dyDescent="0.2">
      <c r="A595" s="360"/>
      <c r="B595" s="316"/>
      <c r="C595" s="316"/>
      <c r="D595" s="361"/>
      <c r="E595" s="361"/>
      <c r="F595" s="361"/>
      <c r="G595" s="362"/>
      <c r="H595" s="317"/>
      <c r="I595" s="318"/>
      <c r="J595" s="318"/>
      <c r="K595" s="319"/>
      <c r="L595" s="319"/>
      <c r="M595" s="319"/>
      <c r="N595" s="319"/>
      <c r="O595" s="319"/>
      <c r="P595" s="319"/>
      <c r="Q595" s="319"/>
      <c r="R595" s="319"/>
      <c r="S595" s="319"/>
      <c r="T595" s="319"/>
      <c r="U595" s="319"/>
    </row>
    <row r="596" spans="1:21" s="460" customFormat="1" ht="19.5" x14ac:dyDescent="0.3">
      <c r="A596" s="453" t="s">
        <v>213</v>
      </c>
      <c r="B596" s="454"/>
      <c r="C596" s="455"/>
      <c r="D596" s="454"/>
      <c r="E596" s="454"/>
      <c r="F596" s="454"/>
      <c r="G596" s="454"/>
      <c r="H596" s="456"/>
      <c r="I596" s="457"/>
      <c r="J596" s="457"/>
      <c r="K596" s="458"/>
      <c r="L596" s="459"/>
      <c r="M596" s="459"/>
      <c r="N596" s="459"/>
      <c r="O596" s="459"/>
      <c r="P596" s="459"/>
      <c r="Q596" s="459"/>
      <c r="R596" s="459"/>
      <c r="S596" s="459"/>
      <c r="T596" s="459"/>
      <c r="U596" s="459"/>
    </row>
    <row r="597" spans="1:21" s="460" customFormat="1" ht="19.5" x14ac:dyDescent="0.3">
      <c r="A597" s="461"/>
      <c r="B597" s="462" t="s">
        <v>214</v>
      </c>
      <c r="C597" s="463"/>
      <c r="D597" s="464"/>
      <c r="E597" s="465"/>
      <c r="F597" s="465"/>
      <c r="G597" s="465"/>
      <c r="H597" s="466" t="s">
        <v>99</v>
      </c>
      <c r="I597" s="467"/>
      <c r="J597" s="468"/>
      <c r="K597" s="469"/>
      <c r="L597" s="469"/>
      <c r="M597" s="469"/>
      <c r="N597" s="469"/>
      <c r="O597" s="469"/>
      <c r="P597" s="469"/>
      <c r="Q597" s="469"/>
      <c r="R597" s="469"/>
      <c r="S597" s="469"/>
      <c r="T597" s="469"/>
      <c r="U597" s="469"/>
    </row>
    <row r="598" spans="1:21" s="460" customFormat="1" ht="19.5" x14ac:dyDescent="0.3">
      <c r="A598" s="470"/>
      <c r="B598" s="471" t="s">
        <v>215</v>
      </c>
      <c r="C598" s="464"/>
      <c r="D598" s="465"/>
      <c r="E598" s="465"/>
      <c r="F598" s="465"/>
      <c r="G598" s="472"/>
      <c r="H598" s="473" t="s">
        <v>35</v>
      </c>
      <c r="I598" s="468"/>
      <c r="J598" s="468"/>
      <c r="K598" s="469"/>
      <c r="L598" s="469"/>
      <c r="M598" s="469"/>
      <c r="N598" s="469"/>
      <c r="O598" s="469"/>
      <c r="P598" s="469"/>
      <c r="Q598" s="469"/>
      <c r="R598" s="469"/>
      <c r="S598" s="469"/>
      <c r="T598" s="469"/>
      <c r="U598" s="469"/>
    </row>
    <row r="599" spans="1:21" s="460" customFormat="1" ht="19.5" x14ac:dyDescent="0.3">
      <c r="A599" s="474"/>
      <c r="B599" s="475"/>
      <c r="C599" s="476" t="s">
        <v>18</v>
      </c>
      <c r="D599" s="1299" t="s">
        <v>19</v>
      </c>
      <c r="E599" s="1300"/>
      <c r="F599" s="1300"/>
      <c r="G599" s="1301"/>
      <c r="H599" s="480" t="s">
        <v>14</v>
      </c>
      <c r="I599" s="481"/>
      <c r="J599" s="481"/>
      <c r="K599" s="482"/>
      <c r="L599" s="483">
        <f t="shared" ref="L599:N599" ca="1" si="422">L600+L601</f>
        <v>104017</v>
      </c>
      <c r="M599" s="483">
        <f t="shared" ca="1" si="422"/>
        <v>0</v>
      </c>
      <c r="N599" s="483">
        <f t="shared" ca="1" si="422"/>
        <v>0</v>
      </c>
      <c r="O599" s="483">
        <f t="shared" ref="O599:O607" ca="1" si="423">IF(L599&gt;0,N599*100/L599,0)</f>
        <v>0</v>
      </c>
      <c r="P599" s="483">
        <f t="shared" ref="P599:P607" ca="1" si="424">IF(M599&gt;0,N599*100/M599,0)</f>
        <v>0</v>
      </c>
      <c r="Q599" s="483">
        <f t="shared" ref="Q599:S599" ca="1" si="425">Q600+Q601</f>
        <v>0</v>
      </c>
      <c r="R599" s="483">
        <f t="shared" ca="1" si="425"/>
        <v>0</v>
      </c>
      <c r="S599" s="483">
        <f t="shared" ca="1" si="425"/>
        <v>0</v>
      </c>
      <c r="T599" s="483">
        <f t="shared" ref="T599:T607" ca="1" si="426">IF(Q599&gt;0,S599*100/Q599,0)</f>
        <v>0</v>
      </c>
      <c r="U599" s="483">
        <f t="shared" ref="U599:U607" ca="1" si="427">IF(R599&gt;0,S599*100/R599,0)</f>
        <v>0</v>
      </c>
    </row>
    <row r="600" spans="1:21" s="460" customFormat="1" ht="18.75" x14ac:dyDescent="0.25">
      <c r="A600" s="474"/>
      <c r="B600" s="475"/>
      <c r="C600" s="475"/>
      <c r="D600" s="478"/>
      <c r="E600" s="484" t="s">
        <v>158</v>
      </c>
      <c r="F600" s="485"/>
      <c r="G600" s="486"/>
      <c r="H600" s="487" t="s">
        <v>14</v>
      </c>
      <c r="I600" s="481"/>
      <c r="J600" s="481"/>
      <c r="K600" s="482"/>
      <c r="L600" s="488">
        <f t="shared" ref="L600:N600" ca="1" si="428">L603+L606</f>
        <v>0</v>
      </c>
      <c r="M600" s="488">
        <f t="shared" ca="1" si="428"/>
        <v>0</v>
      </c>
      <c r="N600" s="488">
        <f t="shared" ca="1" si="428"/>
        <v>0</v>
      </c>
      <c r="O600" s="488">
        <f t="shared" ca="1" si="423"/>
        <v>0</v>
      </c>
      <c r="P600" s="488">
        <f t="shared" ca="1" si="424"/>
        <v>0</v>
      </c>
      <c r="Q600" s="488">
        <f t="shared" ref="Q600:S600" ca="1" si="429">Q603+Q606</f>
        <v>0</v>
      </c>
      <c r="R600" s="488">
        <f t="shared" ca="1" si="429"/>
        <v>0</v>
      </c>
      <c r="S600" s="488">
        <f t="shared" ca="1" si="429"/>
        <v>0</v>
      </c>
      <c r="T600" s="488">
        <f t="shared" ca="1" si="426"/>
        <v>0</v>
      </c>
      <c r="U600" s="488">
        <f t="shared" ca="1" si="427"/>
        <v>0</v>
      </c>
    </row>
    <row r="601" spans="1:21" s="460" customFormat="1" ht="18.75" x14ac:dyDescent="0.25">
      <c r="A601" s="474"/>
      <c r="B601" s="475"/>
      <c r="C601" s="475"/>
      <c r="D601" s="478"/>
      <c r="E601" s="484" t="s">
        <v>159</v>
      </c>
      <c r="F601" s="485"/>
      <c r="G601" s="486"/>
      <c r="H601" s="487" t="s">
        <v>14</v>
      </c>
      <c r="I601" s="481"/>
      <c r="J601" s="481"/>
      <c r="K601" s="482"/>
      <c r="L601" s="488">
        <f t="shared" ref="L601:N601" ca="1" si="430">L604+L607</f>
        <v>104017</v>
      </c>
      <c r="M601" s="488">
        <f t="shared" ca="1" si="430"/>
        <v>0</v>
      </c>
      <c r="N601" s="488">
        <f t="shared" ca="1" si="430"/>
        <v>0</v>
      </c>
      <c r="O601" s="488">
        <f t="shared" ca="1" si="423"/>
        <v>0</v>
      </c>
      <c r="P601" s="488">
        <f t="shared" ca="1" si="424"/>
        <v>0</v>
      </c>
      <c r="Q601" s="488">
        <f t="shared" ref="Q601:S601" ca="1" si="431">Q604+Q607</f>
        <v>0</v>
      </c>
      <c r="R601" s="488">
        <f t="shared" ca="1" si="431"/>
        <v>0</v>
      </c>
      <c r="S601" s="488">
        <f t="shared" ca="1" si="431"/>
        <v>0</v>
      </c>
      <c r="T601" s="488">
        <f t="shared" ca="1" si="426"/>
        <v>0</v>
      </c>
      <c r="U601" s="488">
        <f t="shared" ca="1" si="427"/>
        <v>0</v>
      </c>
    </row>
    <row r="602" spans="1:21" s="460" customFormat="1" ht="19.5" x14ac:dyDescent="0.3">
      <c r="A602" s="474"/>
      <c r="B602" s="475"/>
      <c r="C602" s="475"/>
      <c r="D602" s="477" t="s">
        <v>22</v>
      </c>
      <c r="E602" s="485"/>
      <c r="F602" s="485"/>
      <c r="G602" s="486"/>
      <c r="H602" s="480" t="s">
        <v>14</v>
      </c>
      <c r="I602" s="489"/>
      <c r="J602" s="489"/>
      <c r="K602" s="490"/>
      <c r="L602" s="488">
        <f t="shared" ref="L602:N602" ca="1" si="432">L603+L604</f>
        <v>104017</v>
      </c>
      <c r="M602" s="488">
        <f t="shared" ca="1" si="432"/>
        <v>0</v>
      </c>
      <c r="N602" s="488">
        <f t="shared" ca="1" si="432"/>
        <v>0</v>
      </c>
      <c r="O602" s="488">
        <f t="shared" ca="1" si="423"/>
        <v>0</v>
      </c>
      <c r="P602" s="488">
        <f t="shared" ca="1" si="424"/>
        <v>0</v>
      </c>
      <c r="Q602" s="488">
        <f t="shared" ref="Q602:S602" ca="1" si="433">Q603+Q604</f>
        <v>0</v>
      </c>
      <c r="R602" s="488">
        <f t="shared" ca="1" si="433"/>
        <v>0</v>
      </c>
      <c r="S602" s="488">
        <f t="shared" ca="1" si="433"/>
        <v>0</v>
      </c>
      <c r="T602" s="488">
        <f t="shared" ca="1" si="426"/>
        <v>0</v>
      </c>
      <c r="U602" s="488">
        <f t="shared" ca="1" si="427"/>
        <v>0</v>
      </c>
    </row>
    <row r="603" spans="1:21" s="460" customFormat="1" ht="18.75" x14ac:dyDescent="0.25">
      <c r="A603" s="474"/>
      <c r="B603" s="475"/>
      <c r="C603" s="475"/>
      <c r="D603" s="478"/>
      <c r="E603" s="484" t="s">
        <v>158</v>
      </c>
      <c r="F603" s="485"/>
      <c r="G603" s="486"/>
      <c r="H603" s="487" t="s">
        <v>14</v>
      </c>
      <c r="I603" s="481"/>
      <c r="J603" s="481"/>
      <c r="K603" s="482"/>
      <c r="L603" s="488">
        <f ca="1">IFERROR(__xludf.DUMMYFUNCTION("IMPORTRANGE(""https://docs.google.com/spreadsheets/d/1jTcq05yEiRwXcBMLjiodW9e4biSGYWAHcDj22rKWQ3s/edit?usp=sharing"",""กำแพงเพชร!L603"")+IMPORTRANGE(""https://docs.google.com/spreadsheets/d/1KS0zmDSZPk8KnTAbGN-Xk6MtX1YRZD0ldgdt20K4CRk/edit?usp=sharing"","&amp;"""เชียงราย!L603"")+IMPORTRANGE(""https://docs.google.com/spreadsheets/d/1rEDxBtusbi64tE0zunoIbsTVV16HeL0oJ6trHQeQ7K8/edit?usp=sharing"",""เชียงใหม่!L603"")+IMPORTRANGE(""https://docs.google.com/spreadsheets/d/1W6MnUbDkMi6xHnHko_XkFDO9kkuL6Wqyc-6OCDFjW9I/e"&amp;"dit?usp=sharing"",""ตาก!L603"")+IMPORTRANGE(""https://docs.google.com/spreadsheets/d/1IQAWArduLkta9LpYo4a_ULsyqdta6-6aDDiwpUnQT6c/edit?usp=sharing"",""นครสวรรค์!L603"")+IMPORTRANGE(""https://docs.google.com/spreadsheets/d/10s13Sk5xrltsiR-Zkbmk5DwIaDIKO8Xl"&amp;"bJAfqyT7Gvg/edit?usp=sharing"",""น่าน!L603"")+IMPORTRANGE(""https://docs.google.com/spreadsheets/d/1uu4nAn4Dbi1XREnLKKotUANlKXa7yCgRcgq8HEzQYW8/edit?usp=sharing"",""พะเยา!L603"")+IMPORTRANGE(""https://docs.google.com/spreadsheets/d/1xfJKIQxVOaPDIICqsflNlL"&amp;"u3JacTDk1FP9RH4phX7mI/edit?usp=sharing"",""พิจิตร!L603"")+IMPORTRANGE(""https://docs.google.com/spreadsheets/d/1JtRfZkJMHtEhI5RdRHxYUG4FIZHqKDpNyIuN7A1Q0_k/edit?usp=sharing"",""พิษณุโลก!L603"")+IMPORTRANGE(""https://docs.google.com/spreadsheets/d/1xlcVZWU"&amp;"Nn6SuWm0c307h32SiGkd9BaeQWlAktfD3KO8/edit?usp=sharing"",""เพชรบูรณ์!L603"")+IMPORTRANGE(""https://docs.google.com/spreadsheets/d/1lOVebEIsI9qjGXl6EX66luk7wiuP2tBaryw-wKvv4e0/edit?usp=sharing"",""แพร่!L603"")+IMPORTRANGE(""https://docs.google.com/spreadshe"&amp;"ets/d/1dQrvX0vEcN7Gu0fnZ0B5S90AeR19zth4XlExFBeExMY/edit?usp=sharing"",""แม่ฮ่องสอน!L603"")+IMPORTRANGE(""https://docs.google.com/spreadsheets/d/1DY4XTNNwjluuxqdfdn6qvOSlMRrZqUtmYcZR0ttFiG4/edit?usp=sharing"",""ลำปาง!L603"")+IMPORTRANGE(""https://docs.goog"&amp;"le.com/spreadsheets/d/1ICwG78r0OFT8biBlxnBF8r7she7gNSzOvJ958PWT09c/edit?usp=sharing"",""ลำพูน!L603"")+IMPORTRANGE(""https://docs.google.com/spreadsheets/d/1B0f2xJpZUC6Z0xXnqKlZtEPzsf6L84eP1r1Q15seqRM/edit?usp=sharing"",""สุโขทัย!L603"")+IMPORTRANGE(""http"&amp;"s://docs.google.com/spreadsheets/d/1v0b9pFQCsKUVExMei7AgY2yQkdeNQvtOssygGsXbiKo/edit?usp=sharing"",""อุตรดิตถ์!L603"")+IMPORTRANGE(""https://docs.google.com/spreadsheets/d/1UsNK1e-WWiCo2PvGqdNfdme4m17_Ezd3J69EeeiQPD0/edit?usp=sharing"",""อุทัยธานี!L603"")"),0)</f>
        <v>0</v>
      </c>
      <c r="M603" s="488">
        <f ca="1">IFERROR(__xludf.DUMMYFUNCTION("IMPORTRANGE(""https://docs.google.com/spreadsheets/d/1jTcq05yEiRwXcBMLjiodW9e4biSGYWAHcDj22rKWQ3s/edit?usp=sharing"",""กำแพงเพชร!M603"")+IMPORTRANGE(""https://docs.google.com/spreadsheets/d/1KS0zmDSZPk8KnTAbGN-Xk6MtX1YRZD0ldgdt20K4CRk/edit?usp=sharing"","&amp;"""เชียงราย!M603"")+IMPORTRANGE(""https://docs.google.com/spreadsheets/d/1rEDxBtusbi64tE0zunoIbsTVV16HeL0oJ6trHQeQ7K8/edit?usp=sharing"",""เชียงใหม่!M603"")+IMPORTRANGE(""https://docs.google.com/spreadsheets/d/1W6MnUbDkMi6xHnHko_XkFDO9kkuL6Wqyc-6OCDFjW9I/e"&amp;"dit?usp=sharing"",""ตาก!M603"")+IMPORTRANGE(""https://docs.google.com/spreadsheets/d/1IQAWArduLkta9LpYo4a_ULsyqdta6-6aDDiwpUnQT6c/edit?usp=sharing"",""นครสวรรค์!M603"")+IMPORTRANGE(""https://docs.google.com/spreadsheets/d/10s13Sk5xrltsiR-Zkbmk5DwIaDIKO8Xl"&amp;"bJAfqyT7Gvg/edit?usp=sharing"",""น่าน!M603"")+IMPORTRANGE(""https://docs.google.com/spreadsheets/d/1uu4nAn4Dbi1XREnLKKotUANlKXa7yCgRcgq8HEzQYW8/edit?usp=sharing"",""พะเยา!M603"")+IMPORTRANGE(""https://docs.google.com/spreadsheets/d/1xfJKIQxVOaPDIICqsflNlL"&amp;"u3JacTDk1FP9RH4phX7mI/edit?usp=sharing"",""พิจิตร!M603"")+IMPORTRANGE(""https://docs.google.com/spreadsheets/d/1JtRfZkJMHtEhI5RdRHxYUG4FIZHqKDpNyIuN7A1Q0_k/edit?usp=sharing"",""พิษณุโลก!M603"")+IMPORTRANGE(""https://docs.google.com/spreadsheets/d/1xlcVZWU"&amp;"Nn6SuWm0c307h32SiGkd9BaeQWlAktfD3KO8/edit?usp=sharing"",""เพชรบูรณ์!M603"")+IMPORTRANGE(""https://docs.google.com/spreadsheets/d/1lOVebEIsI9qjGXl6EX66luk7wiuP2tBaryw-wKvv4e0/edit?usp=sharing"",""แพร่!M603"")+IMPORTRANGE(""https://docs.google.com/spreadshe"&amp;"ets/d/1dQrvX0vEcN7Gu0fnZ0B5S90AeR19zth4XlExFBeExMY/edit?usp=sharing"",""แม่ฮ่องสอน!M603"")+IMPORTRANGE(""https://docs.google.com/spreadsheets/d/1DY4XTNNwjluuxqdfdn6qvOSlMRrZqUtmYcZR0ttFiG4/edit?usp=sharing"",""ลำปาง!M603"")+IMPORTRANGE(""https://docs.goog"&amp;"le.com/spreadsheets/d/1ICwG78r0OFT8biBlxnBF8r7she7gNSzOvJ958PWT09c/edit?usp=sharing"",""ลำพูน!M603"")+IMPORTRANGE(""https://docs.google.com/spreadsheets/d/1B0f2xJpZUC6Z0xXnqKlZtEPzsf6L84eP1r1Q15seqRM/edit?usp=sharing"",""สุโขทัย!M603"")+IMPORTRANGE(""http"&amp;"s://docs.google.com/spreadsheets/d/1v0b9pFQCsKUVExMei7AgY2yQkdeNQvtOssygGsXbiKo/edit?usp=sharing"",""อุตรดิตถ์!M603"")+IMPORTRANGE(""https://docs.google.com/spreadsheets/d/1UsNK1e-WWiCo2PvGqdNfdme4m17_Ezd3J69EeeiQPD0/edit?usp=sharing"",""อุทัยธานี!M603"")"),0)</f>
        <v>0</v>
      </c>
      <c r="N603" s="488">
        <f ca="1">IFERROR(__xludf.DUMMYFUNCTION("IMPORTRANGE(""https://docs.google.com/spreadsheets/d/1jTcq05yEiRwXcBMLjiodW9e4biSGYWAHcDj22rKWQ3s/edit?usp=sharing"",""กำแพงเพชร!N603"")+IMPORTRANGE(""https://docs.google.com/spreadsheets/d/1KS0zmDSZPk8KnTAbGN-Xk6MtX1YRZD0ldgdt20K4CRk/edit?usp=sharing"","&amp;"""เชียงราย!N603"")+IMPORTRANGE(""https://docs.google.com/spreadsheets/d/1rEDxBtusbi64tE0zunoIbsTVV16HeL0oJ6trHQeQ7K8/edit?usp=sharing"",""เชียงใหม่!N603"")+IMPORTRANGE(""https://docs.google.com/spreadsheets/d/1W6MnUbDkMi6xHnHko_XkFDO9kkuL6Wqyc-6OCDFjW9I/e"&amp;"dit?usp=sharing"",""ตาก!N603"")+IMPORTRANGE(""https://docs.google.com/spreadsheets/d/1IQAWArduLkta9LpYo4a_ULsyqdta6-6aDDiwpUnQT6c/edit?usp=sharing"",""นครสวรรค์!N603"")+IMPORTRANGE(""https://docs.google.com/spreadsheets/d/10s13Sk5xrltsiR-Zkbmk5DwIaDIKO8Xl"&amp;"bJAfqyT7Gvg/edit?usp=sharing"",""น่าน!N603"")+IMPORTRANGE(""https://docs.google.com/spreadsheets/d/1uu4nAn4Dbi1XREnLKKotUANlKXa7yCgRcgq8HEzQYW8/edit?usp=sharing"",""พะเยา!N603"")+IMPORTRANGE(""https://docs.google.com/spreadsheets/d/1xfJKIQxVOaPDIICqsflNlL"&amp;"u3JacTDk1FP9RH4phX7mI/edit?usp=sharing"",""พิจิตร!N603"")+IMPORTRANGE(""https://docs.google.com/spreadsheets/d/1JtRfZkJMHtEhI5RdRHxYUG4FIZHqKDpNyIuN7A1Q0_k/edit?usp=sharing"",""พิษณุโลก!N603"")+IMPORTRANGE(""https://docs.google.com/spreadsheets/d/1xlcVZWU"&amp;"Nn6SuWm0c307h32SiGkd9BaeQWlAktfD3KO8/edit?usp=sharing"",""เพชรบูรณ์!N603"")+IMPORTRANGE(""https://docs.google.com/spreadsheets/d/1lOVebEIsI9qjGXl6EX66luk7wiuP2tBaryw-wKvv4e0/edit?usp=sharing"",""แพร่!N603"")+IMPORTRANGE(""https://docs.google.com/spreadshe"&amp;"ets/d/1dQrvX0vEcN7Gu0fnZ0B5S90AeR19zth4XlExFBeExMY/edit?usp=sharing"",""แม่ฮ่องสอน!N603"")+IMPORTRANGE(""https://docs.google.com/spreadsheets/d/1DY4XTNNwjluuxqdfdn6qvOSlMRrZqUtmYcZR0ttFiG4/edit?usp=sharing"",""ลำปาง!N603"")+IMPORTRANGE(""https://docs.goog"&amp;"le.com/spreadsheets/d/1ICwG78r0OFT8biBlxnBF8r7she7gNSzOvJ958PWT09c/edit?usp=sharing"",""ลำพูน!N603"")+IMPORTRANGE(""https://docs.google.com/spreadsheets/d/1B0f2xJpZUC6Z0xXnqKlZtEPzsf6L84eP1r1Q15seqRM/edit?usp=sharing"",""สุโขทัย!N603"")+IMPORTRANGE(""http"&amp;"s://docs.google.com/spreadsheets/d/1v0b9pFQCsKUVExMei7AgY2yQkdeNQvtOssygGsXbiKo/edit?usp=sharing"",""อุตรดิตถ์!N603"")+IMPORTRANGE(""https://docs.google.com/spreadsheets/d/1UsNK1e-WWiCo2PvGqdNfdme4m17_Ezd3J69EeeiQPD0/edit?usp=sharing"",""อุทัยธานี!N603"")"),0)</f>
        <v>0</v>
      </c>
      <c r="O603" s="488">
        <f t="shared" ca="1" si="423"/>
        <v>0</v>
      </c>
      <c r="P603" s="488">
        <f t="shared" ca="1" si="424"/>
        <v>0</v>
      </c>
      <c r="Q603" s="488">
        <f ca="1">IFERROR(__xludf.DUMMYFUNCTION("IMPORTRANGE(""https://docs.google.com/spreadsheets/d/1jTcq05yEiRwXcBMLjiodW9e4biSGYWAHcDj22rKWQ3s/edit?usp=sharing"",""กำแพงเพชร!Q603"")+IMPORTRANGE(""https://docs.google.com/spreadsheets/d/1KS0zmDSZPk8KnTAbGN-Xk6MtX1YRZD0ldgdt20K4CRk/edit?usp=sharing"","&amp;"""เชียงราย!Q603"")+IMPORTRANGE(""https://docs.google.com/spreadsheets/d/1rEDxBtusbi64tE0zunoIbsTVV16HeL0oJ6trHQeQ7K8/edit?usp=sharing"",""เชียงใหม่!Q603"")+IMPORTRANGE(""https://docs.google.com/spreadsheets/d/1W6MnUbDkMi6xHnHko_XkFDO9kkuL6Wqyc-6OCDFjW9I/e"&amp;"dit?usp=sharing"",""ตาก!Q603"")+IMPORTRANGE(""https://docs.google.com/spreadsheets/d/1IQAWArduLkta9LpYo4a_ULsyqdta6-6aDDiwpUnQT6c/edit?usp=sharing"",""นครสวรรค์!Q603"")+IMPORTRANGE(""https://docs.google.com/spreadsheets/d/10s13Sk5xrltsiR-Zkbmk5DwIaDIKO8Xl"&amp;"bJAfqyT7Gvg/edit?usp=sharing"",""น่าน!Q603"")+IMPORTRANGE(""https://docs.google.com/spreadsheets/d/1uu4nAn4Dbi1XREnLKKotUANlKXa7yCgRcgq8HEzQYW8/edit?usp=sharing"",""พะเยา!Q603"")+IMPORTRANGE(""https://docs.google.com/spreadsheets/d/1xfJKIQxVOaPDIICqsflNlL"&amp;"u3JacTDk1FP9RH4phX7mI/edit?usp=sharing"",""พิจิตร!Q603"")+IMPORTRANGE(""https://docs.google.com/spreadsheets/d/1JtRfZkJMHtEhI5RdRHxYUG4FIZHqKDpNyIuN7A1Q0_k/edit?usp=sharing"",""พิษณุโลก!Q603"")+IMPORTRANGE(""https://docs.google.com/spreadsheets/d/1xlcVZWU"&amp;"Nn6SuWm0c307h32SiGkd9BaeQWlAktfD3KO8/edit?usp=sharing"",""เพชรบูรณ์!Q603"")+IMPORTRANGE(""https://docs.google.com/spreadsheets/d/1lOVebEIsI9qjGXl6EX66luk7wiuP2tBaryw-wKvv4e0/edit?usp=sharing"",""แพร่!Q603"")+IMPORTRANGE(""https://docs.google.com/spreadshe"&amp;"ets/d/1dQrvX0vEcN7Gu0fnZ0B5S90AeR19zth4XlExFBeExMY/edit?usp=sharing"",""แม่ฮ่องสอน!Q603"")+IMPORTRANGE(""https://docs.google.com/spreadsheets/d/1DY4XTNNwjluuxqdfdn6qvOSlMRrZqUtmYcZR0ttFiG4/edit?usp=sharing"",""ลำปาง!Q603"")+IMPORTRANGE(""https://docs.goog"&amp;"le.com/spreadsheets/d/1ICwG78r0OFT8biBlxnBF8r7she7gNSzOvJ958PWT09c/edit?usp=sharing"",""ลำพูน!Q603"")+IMPORTRANGE(""https://docs.google.com/spreadsheets/d/1B0f2xJpZUC6Z0xXnqKlZtEPzsf6L84eP1r1Q15seqRM/edit?usp=sharing"",""สุโขทัย!Q603"")+IMPORTRANGE(""http"&amp;"s://docs.google.com/spreadsheets/d/1v0b9pFQCsKUVExMei7AgY2yQkdeNQvtOssygGsXbiKo/edit?usp=sharing"",""อุตรดิตถ์!Q603"")+IMPORTRANGE(""https://docs.google.com/spreadsheets/d/1UsNK1e-WWiCo2PvGqdNfdme4m17_Ezd3J69EeeiQPD0/edit?usp=sharing"",""อุทัยธานี!Q603"")"),0)</f>
        <v>0</v>
      </c>
      <c r="R603" s="488">
        <f ca="1">IFERROR(__xludf.DUMMYFUNCTION("IMPORTRANGE(""https://docs.google.com/spreadsheets/d/1jTcq05yEiRwXcBMLjiodW9e4biSGYWAHcDj22rKWQ3s/edit?usp=sharing"",""กำแพงเพชร!R603"")+IMPORTRANGE(""https://docs.google.com/spreadsheets/d/1KS0zmDSZPk8KnTAbGN-Xk6MtX1YRZD0ldgdt20K4CRk/edit?usp=sharing"","&amp;"""เชียงราย!R603"")+IMPORTRANGE(""https://docs.google.com/spreadsheets/d/1rEDxBtusbi64tE0zunoIbsTVV16HeL0oJ6trHQeQ7K8/edit?usp=sharing"",""เชียงใหม่!R603"")+IMPORTRANGE(""https://docs.google.com/spreadsheets/d/1W6MnUbDkMi6xHnHko_XkFDO9kkuL6Wqyc-6OCDFjW9I/e"&amp;"dit?usp=sharing"",""ตาก!R603"")+IMPORTRANGE(""https://docs.google.com/spreadsheets/d/1IQAWArduLkta9LpYo4a_ULsyqdta6-6aDDiwpUnQT6c/edit?usp=sharing"",""นครสวรรค์!R603"")+IMPORTRANGE(""https://docs.google.com/spreadsheets/d/10s13Sk5xrltsiR-Zkbmk5DwIaDIKO8Xl"&amp;"bJAfqyT7Gvg/edit?usp=sharing"",""น่าน!R603"")+IMPORTRANGE(""https://docs.google.com/spreadsheets/d/1uu4nAn4Dbi1XREnLKKotUANlKXa7yCgRcgq8HEzQYW8/edit?usp=sharing"",""พะเยา!R603"")+IMPORTRANGE(""https://docs.google.com/spreadsheets/d/1xfJKIQxVOaPDIICqsflNlL"&amp;"u3JacTDk1FP9RH4phX7mI/edit?usp=sharing"",""พิจิตร!R603"")+IMPORTRANGE(""https://docs.google.com/spreadsheets/d/1JtRfZkJMHtEhI5RdRHxYUG4FIZHqKDpNyIuN7A1Q0_k/edit?usp=sharing"",""พิษณุโลก!R603"")+IMPORTRANGE(""https://docs.google.com/spreadsheets/d/1xlcVZWU"&amp;"Nn6SuWm0c307h32SiGkd9BaeQWlAktfD3KO8/edit?usp=sharing"",""เพชรบูรณ์!R603"")+IMPORTRANGE(""https://docs.google.com/spreadsheets/d/1lOVebEIsI9qjGXl6EX66luk7wiuP2tBaryw-wKvv4e0/edit?usp=sharing"",""แพร่!R603"")+IMPORTRANGE(""https://docs.google.com/spreadshe"&amp;"ets/d/1dQrvX0vEcN7Gu0fnZ0B5S90AeR19zth4XlExFBeExMY/edit?usp=sharing"",""แม่ฮ่องสอน!R603"")+IMPORTRANGE(""https://docs.google.com/spreadsheets/d/1DY4XTNNwjluuxqdfdn6qvOSlMRrZqUtmYcZR0ttFiG4/edit?usp=sharing"",""ลำปาง!R603"")+IMPORTRANGE(""https://docs.goog"&amp;"le.com/spreadsheets/d/1ICwG78r0OFT8biBlxnBF8r7she7gNSzOvJ958PWT09c/edit?usp=sharing"",""ลำพูน!R603"")+IMPORTRANGE(""https://docs.google.com/spreadsheets/d/1B0f2xJpZUC6Z0xXnqKlZtEPzsf6L84eP1r1Q15seqRM/edit?usp=sharing"",""สุโขทัย!R603"")+IMPORTRANGE(""http"&amp;"s://docs.google.com/spreadsheets/d/1v0b9pFQCsKUVExMei7AgY2yQkdeNQvtOssygGsXbiKo/edit?usp=sharing"",""อุตรดิตถ์!R603"")+IMPORTRANGE(""https://docs.google.com/spreadsheets/d/1UsNK1e-WWiCo2PvGqdNfdme4m17_Ezd3J69EeeiQPD0/edit?usp=sharing"",""อุทัยธานี!R603"")"),0)</f>
        <v>0</v>
      </c>
      <c r="S603" s="488">
        <f ca="1">IFERROR(__xludf.DUMMYFUNCTION("IMPORTRANGE(""https://docs.google.com/spreadsheets/d/1jTcq05yEiRwXcBMLjiodW9e4biSGYWAHcDj22rKWQ3s/edit?usp=sharing"",""กำแพงเพชร!S603"")+IMPORTRANGE(""https://docs.google.com/spreadsheets/d/1KS0zmDSZPk8KnTAbGN-Xk6MtX1YRZD0ldgdt20K4CRk/edit?usp=sharing"","&amp;"""เชียงราย!S603"")+IMPORTRANGE(""https://docs.google.com/spreadsheets/d/1rEDxBtusbi64tE0zunoIbsTVV16HeL0oJ6trHQeQ7K8/edit?usp=sharing"",""เชียงใหม่!S603"")+IMPORTRANGE(""https://docs.google.com/spreadsheets/d/1W6MnUbDkMi6xHnHko_XkFDO9kkuL6Wqyc-6OCDFjW9I/e"&amp;"dit?usp=sharing"",""ตาก!S603"")+IMPORTRANGE(""https://docs.google.com/spreadsheets/d/1IQAWArduLkta9LpYo4a_ULsyqdta6-6aDDiwpUnQT6c/edit?usp=sharing"",""นครสวรรค์!S603"")+IMPORTRANGE(""https://docs.google.com/spreadsheets/d/10s13Sk5xrltsiR-Zkbmk5DwIaDIKO8Xl"&amp;"bJAfqyT7Gvg/edit?usp=sharing"",""น่าน!S603"")+IMPORTRANGE(""https://docs.google.com/spreadsheets/d/1uu4nAn4Dbi1XREnLKKotUANlKXa7yCgRcgq8HEzQYW8/edit?usp=sharing"",""พะเยา!S603"")+IMPORTRANGE(""https://docs.google.com/spreadsheets/d/1xfJKIQxVOaPDIICqsflNlL"&amp;"u3JacTDk1FP9RH4phX7mI/edit?usp=sharing"",""พิจิตร!S603"")+IMPORTRANGE(""https://docs.google.com/spreadsheets/d/1JtRfZkJMHtEhI5RdRHxYUG4FIZHqKDpNyIuN7A1Q0_k/edit?usp=sharing"",""พิษณุโลก!S603"")+IMPORTRANGE(""https://docs.google.com/spreadsheets/d/1xlcVZWU"&amp;"Nn6SuWm0c307h32SiGkd9BaeQWlAktfD3KO8/edit?usp=sharing"",""เพชรบูรณ์!S603"")+IMPORTRANGE(""https://docs.google.com/spreadsheets/d/1lOVebEIsI9qjGXl6EX66luk7wiuP2tBaryw-wKvv4e0/edit?usp=sharing"",""แพร่!S603"")+IMPORTRANGE(""https://docs.google.com/spreadshe"&amp;"ets/d/1dQrvX0vEcN7Gu0fnZ0B5S90AeR19zth4XlExFBeExMY/edit?usp=sharing"",""แม่ฮ่องสอน!S603"")+IMPORTRANGE(""https://docs.google.com/spreadsheets/d/1DY4XTNNwjluuxqdfdn6qvOSlMRrZqUtmYcZR0ttFiG4/edit?usp=sharing"",""ลำปาง!S603"")+IMPORTRANGE(""https://docs.goog"&amp;"le.com/spreadsheets/d/1ICwG78r0OFT8biBlxnBF8r7she7gNSzOvJ958PWT09c/edit?usp=sharing"",""ลำพูน!S603"")+IMPORTRANGE(""https://docs.google.com/spreadsheets/d/1B0f2xJpZUC6Z0xXnqKlZtEPzsf6L84eP1r1Q15seqRM/edit?usp=sharing"",""สุโขทัย!S603"")+IMPORTRANGE(""http"&amp;"s://docs.google.com/spreadsheets/d/1v0b9pFQCsKUVExMei7AgY2yQkdeNQvtOssygGsXbiKo/edit?usp=sharing"",""อุตรดิตถ์!S603"")+IMPORTRANGE(""https://docs.google.com/spreadsheets/d/1UsNK1e-WWiCo2PvGqdNfdme4m17_Ezd3J69EeeiQPD0/edit?usp=sharing"",""อุทัยธานี!S603"")"),0)</f>
        <v>0</v>
      </c>
      <c r="T603" s="488">
        <f t="shared" ca="1" si="426"/>
        <v>0</v>
      </c>
      <c r="U603" s="488">
        <f t="shared" ca="1" si="427"/>
        <v>0</v>
      </c>
    </row>
    <row r="604" spans="1:21" s="460" customFormat="1" ht="18.75" x14ac:dyDescent="0.25">
      <c r="A604" s="474"/>
      <c r="B604" s="475"/>
      <c r="C604" s="475"/>
      <c r="D604" s="478"/>
      <c r="E604" s="484" t="s">
        <v>159</v>
      </c>
      <c r="F604" s="485"/>
      <c r="G604" s="486"/>
      <c r="H604" s="487" t="s">
        <v>14</v>
      </c>
      <c r="I604" s="481"/>
      <c r="J604" s="481"/>
      <c r="K604" s="482"/>
      <c r="L604" s="488">
        <f ca="1">IFERROR(__xludf.DUMMYFUNCTION("IMPORTRANGE(""https://docs.google.com/spreadsheets/d/1jTcq05yEiRwXcBMLjiodW9e4biSGYWAHcDj22rKWQ3s/edit?usp=sharing"",""กำแพงเพชร!L604"")+IMPORTRANGE(""https://docs.google.com/spreadsheets/d/1KS0zmDSZPk8KnTAbGN-Xk6MtX1YRZD0ldgdt20K4CRk/edit?usp=sharing"","&amp;"""เชียงราย!L604"")+IMPORTRANGE(""https://docs.google.com/spreadsheets/d/1rEDxBtusbi64tE0zunoIbsTVV16HeL0oJ6trHQeQ7K8/edit?usp=sharing"",""เชียงใหม่!L604"")+IMPORTRANGE(""https://docs.google.com/spreadsheets/d/1W6MnUbDkMi6xHnHko_XkFDO9kkuL6Wqyc-6OCDFjW9I/e"&amp;"dit?usp=sharing"",""ตาก!L604"")+IMPORTRANGE(""https://docs.google.com/spreadsheets/d/1IQAWArduLkta9LpYo4a_ULsyqdta6-6aDDiwpUnQT6c/edit?usp=sharing"",""นครสวรรค์!L604"")+IMPORTRANGE(""https://docs.google.com/spreadsheets/d/10s13Sk5xrltsiR-Zkbmk5DwIaDIKO8Xl"&amp;"bJAfqyT7Gvg/edit?usp=sharing"",""น่าน!L604"")+IMPORTRANGE(""https://docs.google.com/spreadsheets/d/1uu4nAn4Dbi1XREnLKKotUANlKXa7yCgRcgq8HEzQYW8/edit?usp=sharing"",""พะเยา!L604"")+IMPORTRANGE(""https://docs.google.com/spreadsheets/d/1xfJKIQxVOaPDIICqsflNlL"&amp;"u3JacTDk1FP9RH4phX7mI/edit?usp=sharing"",""พิจิตร!L604"")+IMPORTRANGE(""https://docs.google.com/spreadsheets/d/1JtRfZkJMHtEhI5RdRHxYUG4FIZHqKDpNyIuN7A1Q0_k/edit?usp=sharing"",""พิษณุโลก!L604"")+IMPORTRANGE(""https://docs.google.com/spreadsheets/d/1xlcVZWU"&amp;"Nn6SuWm0c307h32SiGkd9BaeQWlAktfD3KO8/edit?usp=sharing"",""เพชรบูรณ์!L604"")+IMPORTRANGE(""https://docs.google.com/spreadsheets/d/1lOVebEIsI9qjGXl6EX66luk7wiuP2tBaryw-wKvv4e0/edit?usp=sharing"",""แพร่!L604"")+IMPORTRANGE(""https://docs.google.com/spreadshe"&amp;"ets/d/1dQrvX0vEcN7Gu0fnZ0B5S90AeR19zth4XlExFBeExMY/edit?usp=sharing"",""แม่ฮ่องสอน!L604"")+IMPORTRANGE(""https://docs.google.com/spreadsheets/d/1DY4XTNNwjluuxqdfdn6qvOSlMRrZqUtmYcZR0ttFiG4/edit?usp=sharing"",""ลำปาง!L604"")+IMPORTRANGE(""https://docs.goog"&amp;"le.com/spreadsheets/d/1ICwG78r0OFT8biBlxnBF8r7she7gNSzOvJ958PWT09c/edit?usp=sharing"",""ลำพูน!L604"")+IMPORTRANGE(""https://docs.google.com/spreadsheets/d/1B0f2xJpZUC6Z0xXnqKlZtEPzsf6L84eP1r1Q15seqRM/edit?usp=sharing"",""สุโขทัย!L604"")+IMPORTRANGE(""http"&amp;"s://docs.google.com/spreadsheets/d/1v0b9pFQCsKUVExMei7AgY2yQkdeNQvtOssygGsXbiKo/edit?usp=sharing"",""อุตรดิตถ์!L604"")+IMPORTRANGE(""https://docs.google.com/spreadsheets/d/1UsNK1e-WWiCo2PvGqdNfdme4m17_Ezd3J69EeeiQPD0/edit?usp=sharing"",""อุทัยธานี!L604"")"),104017)</f>
        <v>104017</v>
      </c>
      <c r="M604" s="488">
        <f ca="1">IFERROR(__xludf.DUMMYFUNCTION("IMPORTRANGE(""https://docs.google.com/spreadsheets/d/1jTcq05yEiRwXcBMLjiodW9e4biSGYWAHcDj22rKWQ3s/edit?usp=sharing"",""กำแพงเพชร!M604"")+IMPORTRANGE(""https://docs.google.com/spreadsheets/d/1KS0zmDSZPk8KnTAbGN-Xk6MtX1YRZD0ldgdt20K4CRk/edit?usp=sharing"","&amp;"""เชียงราย!M604"")+IMPORTRANGE(""https://docs.google.com/spreadsheets/d/1rEDxBtusbi64tE0zunoIbsTVV16HeL0oJ6trHQeQ7K8/edit?usp=sharing"",""เชียงใหม่!M604"")+IMPORTRANGE(""https://docs.google.com/spreadsheets/d/1W6MnUbDkMi6xHnHko_XkFDO9kkuL6Wqyc-6OCDFjW9I/e"&amp;"dit?usp=sharing"",""ตาก!M604"")+IMPORTRANGE(""https://docs.google.com/spreadsheets/d/1IQAWArduLkta9LpYo4a_ULsyqdta6-6aDDiwpUnQT6c/edit?usp=sharing"",""นครสวรรค์!M604"")+IMPORTRANGE(""https://docs.google.com/spreadsheets/d/10s13Sk5xrltsiR-Zkbmk5DwIaDIKO8Xl"&amp;"bJAfqyT7Gvg/edit?usp=sharing"",""น่าน!M604"")+IMPORTRANGE(""https://docs.google.com/spreadsheets/d/1uu4nAn4Dbi1XREnLKKotUANlKXa7yCgRcgq8HEzQYW8/edit?usp=sharing"",""พะเยา!M604"")+IMPORTRANGE(""https://docs.google.com/spreadsheets/d/1xfJKIQxVOaPDIICqsflNlL"&amp;"u3JacTDk1FP9RH4phX7mI/edit?usp=sharing"",""พิจิตร!M604"")+IMPORTRANGE(""https://docs.google.com/spreadsheets/d/1JtRfZkJMHtEhI5RdRHxYUG4FIZHqKDpNyIuN7A1Q0_k/edit?usp=sharing"",""พิษณุโลก!M604"")+IMPORTRANGE(""https://docs.google.com/spreadsheets/d/1xlcVZWU"&amp;"Nn6SuWm0c307h32SiGkd9BaeQWlAktfD3KO8/edit?usp=sharing"",""เพชรบูรณ์!M604"")+IMPORTRANGE(""https://docs.google.com/spreadsheets/d/1lOVebEIsI9qjGXl6EX66luk7wiuP2tBaryw-wKvv4e0/edit?usp=sharing"",""แพร่!M604"")+IMPORTRANGE(""https://docs.google.com/spreadshe"&amp;"ets/d/1dQrvX0vEcN7Gu0fnZ0B5S90AeR19zth4XlExFBeExMY/edit?usp=sharing"",""แม่ฮ่องสอน!M604"")+IMPORTRANGE(""https://docs.google.com/spreadsheets/d/1DY4XTNNwjluuxqdfdn6qvOSlMRrZqUtmYcZR0ttFiG4/edit?usp=sharing"",""ลำปาง!M604"")+IMPORTRANGE(""https://docs.goog"&amp;"le.com/spreadsheets/d/1ICwG78r0OFT8biBlxnBF8r7she7gNSzOvJ958PWT09c/edit?usp=sharing"",""ลำพูน!M604"")+IMPORTRANGE(""https://docs.google.com/spreadsheets/d/1B0f2xJpZUC6Z0xXnqKlZtEPzsf6L84eP1r1Q15seqRM/edit?usp=sharing"",""สุโขทัย!M604"")+IMPORTRANGE(""http"&amp;"s://docs.google.com/spreadsheets/d/1v0b9pFQCsKUVExMei7AgY2yQkdeNQvtOssygGsXbiKo/edit?usp=sharing"",""อุตรดิตถ์!M604"")+IMPORTRANGE(""https://docs.google.com/spreadsheets/d/1UsNK1e-WWiCo2PvGqdNfdme4m17_Ezd3J69EeeiQPD0/edit?usp=sharing"",""อุทัยธานี!M604"")"),0)</f>
        <v>0</v>
      </c>
      <c r="N604" s="488">
        <f ca="1">IFERROR(__xludf.DUMMYFUNCTION("IMPORTRANGE(""https://docs.google.com/spreadsheets/d/1jTcq05yEiRwXcBMLjiodW9e4biSGYWAHcDj22rKWQ3s/edit?usp=sharing"",""กำแพงเพชร!N604"")+IMPORTRANGE(""https://docs.google.com/spreadsheets/d/1KS0zmDSZPk8KnTAbGN-Xk6MtX1YRZD0ldgdt20K4CRk/edit?usp=sharing"","&amp;"""เชียงราย!N604"")+IMPORTRANGE(""https://docs.google.com/spreadsheets/d/1rEDxBtusbi64tE0zunoIbsTVV16HeL0oJ6trHQeQ7K8/edit?usp=sharing"",""เชียงใหม่!N604"")+IMPORTRANGE(""https://docs.google.com/spreadsheets/d/1W6MnUbDkMi6xHnHko_XkFDO9kkuL6Wqyc-6OCDFjW9I/e"&amp;"dit?usp=sharing"",""ตาก!N604"")+IMPORTRANGE(""https://docs.google.com/spreadsheets/d/1IQAWArduLkta9LpYo4a_ULsyqdta6-6aDDiwpUnQT6c/edit?usp=sharing"",""นครสวรรค์!N604"")+IMPORTRANGE(""https://docs.google.com/spreadsheets/d/10s13Sk5xrltsiR-Zkbmk5DwIaDIKO8Xl"&amp;"bJAfqyT7Gvg/edit?usp=sharing"",""น่าน!N604"")+IMPORTRANGE(""https://docs.google.com/spreadsheets/d/1uu4nAn4Dbi1XREnLKKotUANlKXa7yCgRcgq8HEzQYW8/edit?usp=sharing"",""พะเยา!N604"")+IMPORTRANGE(""https://docs.google.com/spreadsheets/d/1xfJKIQxVOaPDIICqsflNlL"&amp;"u3JacTDk1FP9RH4phX7mI/edit?usp=sharing"",""พิจิตร!N604"")+IMPORTRANGE(""https://docs.google.com/spreadsheets/d/1JtRfZkJMHtEhI5RdRHxYUG4FIZHqKDpNyIuN7A1Q0_k/edit?usp=sharing"",""พิษณุโลก!N604"")+IMPORTRANGE(""https://docs.google.com/spreadsheets/d/1xlcVZWU"&amp;"Nn6SuWm0c307h32SiGkd9BaeQWlAktfD3KO8/edit?usp=sharing"",""เพชรบูรณ์!N604"")+IMPORTRANGE(""https://docs.google.com/spreadsheets/d/1lOVebEIsI9qjGXl6EX66luk7wiuP2tBaryw-wKvv4e0/edit?usp=sharing"",""แพร่!N604"")+IMPORTRANGE(""https://docs.google.com/spreadshe"&amp;"ets/d/1dQrvX0vEcN7Gu0fnZ0B5S90AeR19zth4XlExFBeExMY/edit?usp=sharing"",""แม่ฮ่องสอน!N604"")+IMPORTRANGE(""https://docs.google.com/spreadsheets/d/1DY4XTNNwjluuxqdfdn6qvOSlMRrZqUtmYcZR0ttFiG4/edit?usp=sharing"",""ลำปาง!N604"")+IMPORTRANGE(""https://docs.goog"&amp;"le.com/spreadsheets/d/1ICwG78r0OFT8biBlxnBF8r7she7gNSzOvJ958PWT09c/edit?usp=sharing"",""ลำพูน!N604"")+IMPORTRANGE(""https://docs.google.com/spreadsheets/d/1B0f2xJpZUC6Z0xXnqKlZtEPzsf6L84eP1r1Q15seqRM/edit?usp=sharing"",""สุโขทัย!N604"")+IMPORTRANGE(""http"&amp;"s://docs.google.com/spreadsheets/d/1v0b9pFQCsKUVExMei7AgY2yQkdeNQvtOssygGsXbiKo/edit?usp=sharing"",""อุตรดิตถ์!N604"")+IMPORTRANGE(""https://docs.google.com/spreadsheets/d/1UsNK1e-WWiCo2PvGqdNfdme4m17_Ezd3J69EeeiQPD0/edit?usp=sharing"",""อุทัยธานี!N604"")"),0)</f>
        <v>0</v>
      </c>
      <c r="O604" s="488">
        <f t="shared" ca="1" si="423"/>
        <v>0</v>
      </c>
      <c r="P604" s="488">
        <f t="shared" ca="1" si="424"/>
        <v>0</v>
      </c>
      <c r="Q604" s="488">
        <f ca="1">IFERROR(__xludf.DUMMYFUNCTION("IMPORTRANGE(""https://docs.google.com/spreadsheets/d/1jTcq05yEiRwXcBMLjiodW9e4biSGYWAHcDj22rKWQ3s/edit?usp=sharing"",""กำแพงเพชร!Q604"")+IMPORTRANGE(""https://docs.google.com/spreadsheets/d/1KS0zmDSZPk8KnTAbGN-Xk6MtX1YRZD0ldgdt20K4CRk/edit?usp=sharing"","&amp;"""เชียงราย!Q604"")+IMPORTRANGE(""https://docs.google.com/spreadsheets/d/1rEDxBtusbi64tE0zunoIbsTVV16HeL0oJ6trHQeQ7K8/edit?usp=sharing"",""เชียงใหม่!Q604"")+IMPORTRANGE(""https://docs.google.com/spreadsheets/d/1W6MnUbDkMi6xHnHko_XkFDO9kkuL6Wqyc-6OCDFjW9I/e"&amp;"dit?usp=sharing"",""ตาก!Q604"")+IMPORTRANGE(""https://docs.google.com/spreadsheets/d/1IQAWArduLkta9LpYo4a_ULsyqdta6-6aDDiwpUnQT6c/edit?usp=sharing"",""นครสวรรค์!Q604"")+IMPORTRANGE(""https://docs.google.com/spreadsheets/d/10s13Sk5xrltsiR-Zkbmk5DwIaDIKO8Xl"&amp;"bJAfqyT7Gvg/edit?usp=sharing"",""น่าน!Q604"")+IMPORTRANGE(""https://docs.google.com/spreadsheets/d/1uu4nAn4Dbi1XREnLKKotUANlKXa7yCgRcgq8HEzQYW8/edit?usp=sharing"",""พะเยา!Q604"")+IMPORTRANGE(""https://docs.google.com/spreadsheets/d/1xfJKIQxVOaPDIICqsflNlL"&amp;"u3JacTDk1FP9RH4phX7mI/edit?usp=sharing"",""พิจิตร!Q604"")+IMPORTRANGE(""https://docs.google.com/spreadsheets/d/1JtRfZkJMHtEhI5RdRHxYUG4FIZHqKDpNyIuN7A1Q0_k/edit?usp=sharing"",""พิษณุโลก!Q604"")+IMPORTRANGE(""https://docs.google.com/spreadsheets/d/1xlcVZWU"&amp;"Nn6SuWm0c307h32SiGkd9BaeQWlAktfD3KO8/edit?usp=sharing"",""เพชรบูรณ์!Q604"")+IMPORTRANGE(""https://docs.google.com/spreadsheets/d/1lOVebEIsI9qjGXl6EX66luk7wiuP2tBaryw-wKvv4e0/edit?usp=sharing"",""แพร่!Q604"")+IMPORTRANGE(""https://docs.google.com/spreadshe"&amp;"ets/d/1dQrvX0vEcN7Gu0fnZ0B5S90AeR19zth4XlExFBeExMY/edit?usp=sharing"",""แม่ฮ่องสอน!Q604"")+IMPORTRANGE(""https://docs.google.com/spreadsheets/d/1DY4XTNNwjluuxqdfdn6qvOSlMRrZqUtmYcZR0ttFiG4/edit?usp=sharing"",""ลำปาง!Q604"")+IMPORTRANGE(""https://docs.goog"&amp;"le.com/spreadsheets/d/1ICwG78r0OFT8biBlxnBF8r7she7gNSzOvJ958PWT09c/edit?usp=sharing"",""ลำพูน!Q604"")+IMPORTRANGE(""https://docs.google.com/spreadsheets/d/1B0f2xJpZUC6Z0xXnqKlZtEPzsf6L84eP1r1Q15seqRM/edit?usp=sharing"",""สุโขทัย!Q604"")+IMPORTRANGE(""http"&amp;"s://docs.google.com/spreadsheets/d/1v0b9pFQCsKUVExMei7AgY2yQkdeNQvtOssygGsXbiKo/edit?usp=sharing"",""อุตรดิตถ์!Q604"")+IMPORTRANGE(""https://docs.google.com/spreadsheets/d/1UsNK1e-WWiCo2PvGqdNfdme4m17_Ezd3J69EeeiQPD0/edit?usp=sharing"",""อุทัยธานี!Q604"")"),0)</f>
        <v>0</v>
      </c>
      <c r="R604" s="488">
        <f ca="1">IFERROR(__xludf.DUMMYFUNCTION("IMPORTRANGE(""https://docs.google.com/spreadsheets/d/1jTcq05yEiRwXcBMLjiodW9e4biSGYWAHcDj22rKWQ3s/edit?usp=sharing"",""กำแพงเพชร!R604"")+IMPORTRANGE(""https://docs.google.com/spreadsheets/d/1KS0zmDSZPk8KnTAbGN-Xk6MtX1YRZD0ldgdt20K4CRk/edit?usp=sharing"","&amp;"""เชียงราย!R604"")+IMPORTRANGE(""https://docs.google.com/spreadsheets/d/1rEDxBtusbi64tE0zunoIbsTVV16HeL0oJ6trHQeQ7K8/edit?usp=sharing"",""เชียงใหม่!R604"")+IMPORTRANGE(""https://docs.google.com/spreadsheets/d/1W6MnUbDkMi6xHnHko_XkFDO9kkuL6Wqyc-6OCDFjW9I/e"&amp;"dit?usp=sharing"",""ตาก!R604"")+IMPORTRANGE(""https://docs.google.com/spreadsheets/d/1IQAWArduLkta9LpYo4a_ULsyqdta6-6aDDiwpUnQT6c/edit?usp=sharing"",""นครสวรรค์!R604"")+IMPORTRANGE(""https://docs.google.com/spreadsheets/d/10s13Sk5xrltsiR-Zkbmk5DwIaDIKO8Xl"&amp;"bJAfqyT7Gvg/edit?usp=sharing"",""น่าน!R604"")+IMPORTRANGE(""https://docs.google.com/spreadsheets/d/1uu4nAn4Dbi1XREnLKKotUANlKXa7yCgRcgq8HEzQYW8/edit?usp=sharing"",""พะเยา!R604"")+IMPORTRANGE(""https://docs.google.com/spreadsheets/d/1xfJKIQxVOaPDIICqsflNlL"&amp;"u3JacTDk1FP9RH4phX7mI/edit?usp=sharing"",""พิจิตร!R604"")+IMPORTRANGE(""https://docs.google.com/spreadsheets/d/1JtRfZkJMHtEhI5RdRHxYUG4FIZHqKDpNyIuN7A1Q0_k/edit?usp=sharing"",""พิษณุโลก!R604"")+IMPORTRANGE(""https://docs.google.com/spreadsheets/d/1xlcVZWU"&amp;"Nn6SuWm0c307h32SiGkd9BaeQWlAktfD3KO8/edit?usp=sharing"",""เพชรบูรณ์!R604"")+IMPORTRANGE(""https://docs.google.com/spreadsheets/d/1lOVebEIsI9qjGXl6EX66luk7wiuP2tBaryw-wKvv4e0/edit?usp=sharing"",""แพร่!R604"")+IMPORTRANGE(""https://docs.google.com/spreadshe"&amp;"ets/d/1dQrvX0vEcN7Gu0fnZ0B5S90AeR19zth4XlExFBeExMY/edit?usp=sharing"",""แม่ฮ่องสอน!R604"")+IMPORTRANGE(""https://docs.google.com/spreadsheets/d/1DY4XTNNwjluuxqdfdn6qvOSlMRrZqUtmYcZR0ttFiG4/edit?usp=sharing"",""ลำปาง!R604"")+IMPORTRANGE(""https://docs.goog"&amp;"le.com/spreadsheets/d/1ICwG78r0OFT8biBlxnBF8r7she7gNSzOvJ958PWT09c/edit?usp=sharing"",""ลำพูน!R604"")+IMPORTRANGE(""https://docs.google.com/spreadsheets/d/1B0f2xJpZUC6Z0xXnqKlZtEPzsf6L84eP1r1Q15seqRM/edit?usp=sharing"",""สุโขทัย!R604"")+IMPORTRANGE(""http"&amp;"s://docs.google.com/spreadsheets/d/1v0b9pFQCsKUVExMei7AgY2yQkdeNQvtOssygGsXbiKo/edit?usp=sharing"",""อุตรดิตถ์!R604"")+IMPORTRANGE(""https://docs.google.com/spreadsheets/d/1UsNK1e-WWiCo2PvGqdNfdme4m17_Ezd3J69EeeiQPD0/edit?usp=sharing"",""อุทัยธานี!R604"")"),0)</f>
        <v>0</v>
      </c>
      <c r="S604" s="488">
        <f ca="1">IFERROR(__xludf.DUMMYFUNCTION("IMPORTRANGE(""https://docs.google.com/spreadsheets/d/1jTcq05yEiRwXcBMLjiodW9e4biSGYWAHcDj22rKWQ3s/edit?usp=sharing"",""กำแพงเพชร!S604"")+IMPORTRANGE(""https://docs.google.com/spreadsheets/d/1KS0zmDSZPk8KnTAbGN-Xk6MtX1YRZD0ldgdt20K4CRk/edit?usp=sharing"","&amp;"""เชียงราย!S604"")+IMPORTRANGE(""https://docs.google.com/spreadsheets/d/1rEDxBtusbi64tE0zunoIbsTVV16HeL0oJ6trHQeQ7K8/edit?usp=sharing"",""เชียงใหม่!S604"")+IMPORTRANGE(""https://docs.google.com/spreadsheets/d/1W6MnUbDkMi6xHnHko_XkFDO9kkuL6Wqyc-6OCDFjW9I/e"&amp;"dit?usp=sharing"",""ตาก!S604"")+IMPORTRANGE(""https://docs.google.com/spreadsheets/d/1IQAWArduLkta9LpYo4a_ULsyqdta6-6aDDiwpUnQT6c/edit?usp=sharing"",""นครสวรรค์!S604"")+IMPORTRANGE(""https://docs.google.com/spreadsheets/d/10s13Sk5xrltsiR-Zkbmk5DwIaDIKO8Xl"&amp;"bJAfqyT7Gvg/edit?usp=sharing"",""น่าน!S604"")+IMPORTRANGE(""https://docs.google.com/spreadsheets/d/1uu4nAn4Dbi1XREnLKKotUANlKXa7yCgRcgq8HEzQYW8/edit?usp=sharing"",""พะเยา!S604"")+IMPORTRANGE(""https://docs.google.com/spreadsheets/d/1xfJKIQxVOaPDIICqsflNlL"&amp;"u3JacTDk1FP9RH4phX7mI/edit?usp=sharing"",""พิจิตร!S604"")+IMPORTRANGE(""https://docs.google.com/spreadsheets/d/1JtRfZkJMHtEhI5RdRHxYUG4FIZHqKDpNyIuN7A1Q0_k/edit?usp=sharing"",""พิษณุโลก!S604"")+IMPORTRANGE(""https://docs.google.com/spreadsheets/d/1xlcVZWU"&amp;"Nn6SuWm0c307h32SiGkd9BaeQWlAktfD3KO8/edit?usp=sharing"",""เพชรบูรณ์!S604"")+IMPORTRANGE(""https://docs.google.com/spreadsheets/d/1lOVebEIsI9qjGXl6EX66luk7wiuP2tBaryw-wKvv4e0/edit?usp=sharing"",""แพร่!S604"")+IMPORTRANGE(""https://docs.google.com/spreadshe"&amp;"ets/d/1dQrvX0vEcN7Gu0fnZ0B5S90AeR19zth4XlExFBeExMY/edit?usp=sharing"",""แม่ฮ่องสอน!S604"")+IMPORTRANGE(""https://docs.google.com/spreadsheets/d/1DY4XTNNwjluuxqdfdn6qvOSlMRrZqUtmYcZR0ttFiG4/edit?usp=sharing"",""ลำปาง!S604"")+IMPORTRANGE(""https://docs.goog"&amp;"le.com/spreadsheets/d/1ICwG78r0OFT8biBlxnBF8r7she7gNSzOvJ958PWT09c/edit?usp=sharing"",""ลำพูน!S604"")+IMPORTRANGE(""https://docs.google.com/spreadsheets/d/1B0f2xJpZUC6Z0xXnqKlZtEPzsf6L84eP1r1Q15seqRM/edit?usp=sharing"",""สุโขทัย!S604"")+IMPORTRANGE(""http"&amp;"s://docs.google.com/spreadsheets/d/1v0b9pFQCsKUVExMei7AgY2yQkdeNQvtOssygGsXbiKo/edit?usp=sharing"",""อุตรดิตถ์!S604"")+IMPORTRANGE(""https://docs.google.com/spreadsheets/d/1UsNK1e-WWiCo2PvGqdNfdme4m17_Ezd3J69EeeiQPD0/edit?usp=sharing"",""อุทัยธานี!S604"")"),0)</f>
        <v>0</v>
      </c>
      <c r="T604" s="488">
        <f t="shared" ca="1" si="426"/>
        <v>0</v>
      </c>
      <c r="U604" s="488">
        <f t="shared" ca="1" si="427"/>
        <v>0</v>
      </c>
    </row>
    <row r="605" spans="1:21" s="460" customFormat="1" ht="19.5" x14ac:dyDescent="0.3">
      <c r="A605" s="474"/>
      <c r="B605" s="475"/>
      <c r="C605" s="475"/>
      <c r="D605" s="477" t="s">
        <v>23</v>
      </c>
      <c r="E605" s="475"/>
      <c r="F605" s="485"/>
      <c r="G605" s="486"/>
      <c r="H605" s="491" t="s">
        <v>14</v>
      </c>
      <c r="I605" s="489"/>
      <c r="J605" s="489"/>
      <c r="K605" s="490"/>
      <c r="L605" s="488">
        <f t="shared" ref="L605:N605" ca="1" si="434">L606+L607</f>
        <v>0</v>
      </c>
      <c r="M605" s="488">
        <f t="shared" ca="1" si="434"/>
        <v>0</v>
      </c>
      <c r="N605" s="488">
        <f t="shared" ca="1" si="434"/>
        <v>0</v>
      </c>
      <c r="O605" s="488">
        <f t="shared" ca="1" si="423"/>
        <v>0</v>
      </c>
      <c r="P605" s="488">
        <f t="shared" ca="1" si="424"/>
        <v>0</v>
      </c>
      <c r="Q605" s="488">
        <f t="shared" ref="Q605:S605" ca="1" si="435">Q606+Q607</f>
        <v>0</v>
      </c>
      <c r="R605" s="488">
        <f t="shared" ca="1" si="435"/>
        <v>0</v>
      </c>
      <c r="S605" s="488">
        <f t="shared" ca="1" si="435"/>
        <v>0</v>
      </c>
      <c r="T605" s="488">
        <f t="shared" ca="1" si="426"/>
        <v>0</v>
      </c>
      <c r="U605" s="488">
        <f t="shared" ca="1" si="427"/>
        <v>0</v>
      </c>
    </row>
    <row r="606" spans="1:21" s="460" customFormat="1" ht="18.75" x14ac:dyDescent="0.25">
      <c r="A606" s="474"/>
      <c r="B606" s="475"/>
      <c r="C606" s="475"/>
      <c r="D606" s="475"/>
      <c r="E606" s="492" t="s">
        <v>20</v>
      </c>
      <c r="F606" s="485"/>
      <c r="G606" s="486"/>
      <c r="H606" s="487" t="s">
        <v>14</v>
      </c>
      <c r="I606" s="489"/>
      <c r="J606" s="489"/>
      <c r="K606" s="490"/>
      <c r="L606" s="488">
        <f ca="1">IFERROR(__xludf.DUMMYFUNCTION("IMPORTRANGE(""https://docs.google.com/spreadsheets/d/1jTcq05yEiRwXcBMLjiodW9e4biSGYWAHcDj22rKWQ3s/edit?usp=sharing"",""กำแพงเพชร!L606"")+IMPORTRANGE(""https://docs.google.com/spreadsheets/d/1KS0zmDSZPk8KnTAbGN-Xk6MtX1YRZD0ldgdt20K4CRk/edit?usp=sharing"","&amp;"""เชียงราย!L606"")+IMPORTRANGE(""https://docs.google.com/spreadsheets/d/1rEDxBtusbi64tE0zunoIbsTVV16HeL0oJ6trHQeQ7K8/edit?usp=sharing"",""เชียงใหม่!L606"")+IMPORTRANGE(""https://docs.google.com/spreadsheets/d/1W6MnUbDkMi6xHnHko_XkFDO9kkuL6Wqyc-6OCDFjW9I/e"&amp;"dit?usp=sharing"",""ตาก!L606"")+IMPORTRANGE(""https://docs.google.com/spreadsheets/d/1IQAWArduLkta9LpYo4a_ULsyqdta6-6aDDiwpUnQT6c/edit?usp=sharing"",""นครสวรรค์!L606"")+IMPORTRANGE(""https://docs.google.com/spreadsheets/d/10s13Sk5xrltsiR-Zkbmk5DwIaDIKO8Xl"&amp;"bJAfqyT7Gvg/edit?usp=sharing"",""น่าน!L606"")+IMPORTRANGE(""https://docs.google.com/spreadsheets/d/1uu4nAn4Dbi1XREnLKKotUANlKXa7yCgRcgq8HEzQYW8/edit?usp=sharing"",""พะเยา!L606"")+IMPORTRANGE(""https://docs.google.com/spreadsheets/d/1xfJKIQxVOaPDIICqsflNlL"&amp;"u3JacTDk1FP9RH4phX7mI/edit?usp=sharing"",""พิจิตร!L606"")+IMPORTRANGE(""https://docs.google.com/spreadsheets/d/1JtRfZkJMHtEhI5RdRHxYUG4FIZHqKDpNyIuN7A1Q0_k/edit?usp=sharing"",""พิษณุโลก!L606"")+IMPORTRANGE(""https://docs.google.com/spreadsheets/d/1xlcVZWU"&amp;"Nn6SuWm0c307h32SiGkd9BaeQWlAktfD3KO8/edit?usp=sharing"",""เพชรบูรณ์!L606"")+IMPORTRANGE(""https://docs.google.com/spreadsheets/d/1lOVebEIsI9qjGXl6EX66luk7wiuP2tBaryw-wKvv4e0/edit?usp=sharing"",""แพร่!L606"")+IMPORTRANGE(""https://docs.google.com/spreadshe"&amp;"ets/d/1dQrvX0vEcN7Gu0fnZ0B5S90AeR19zth4XlExFBeExMY/edit?usp=sharing"",""แม่ฮ่องสอน!L606"")+IMPORTRANGE(""https://docs.google.com/spreadsheets/d/1DY4XTNNwjluuxqdfdn6qvOSlMRrZqUtmYcZR0ttFiG4/edit?usp=sharing"",""ลำปาง!L606"")+IMPORTRANGE(""https://docs.goog"&amp;"le.com/spreadsheets/d/1ICwG78r0OFT8biBlxnBF8r7she7gNSzOvJ958PWT09c/edit?usp=sharing"",""ลำพูน!L606"")+IMPORTRANGE(""https://docs.google.com/spreadsheets/d/1B0f2xJpZUC6Z0xXnqKlZtEPzsf6L84eP1r1Q15seqRM/edit?usp=sharing"",""สุโขทัย!L606"")+IMPORTRANGE(""http"&amp;"s://docs.google.com/spreadsheets/d/1v0b9pFQCsKUVExMei7AgY2yQkdeNQvtOssygGsXbiKo/edit?usp=sharing"",""อุตรดิตถ์!L606"")+IMPORTRANGE(""https://docs.google.com/spreadsheets/d/1UsNK1e-WWiCo2PvGqdNfdme4m17_Ezd3J69EeeiQPD0/edit?usp=sharing"",""อุทัยธานี!L606"")"),0)</f>
        <v>0</v>
      </c>
      <c r="M606" s="488">
        <f ca="1">IFERROR(__xludf.DUMMYFUNCTION("IMPORTRANGE(""https://docs.google.com/spreadsheets/d/1jTcq05yEiRwXcBMLjiodW9e4biSGYWAHcDj22rKWQ3s/edit?usp=sharing"",""กำแพงเพชร!M606"")+IMPORTRANGE(""https://docs.google.com/spreadsheets/d/1KS0zmDSZPk8KnTAbGN-Xk6MtX1YRZD0ldgdt20K4CRk/edit?usp=sharing"","&amp;"""เชียงราย!M606"")+IMPORTRANGE(""https://docs.google.com/spreadsheets/d/1rEDxBtusbi64tE0zunoIbsTVV16HeL0oJ6trHQeQ7K8/edit?usp=sharing"",""เชียงใหม่!M606"")+IMPORTRANGE(""https://docs.google.com/spreadsheets/d/1W6MnUbDkMi6xHnHko_XkFDO9kkuL6Wqyc-6OCDFjW9I/e"&amp;"dit?usp=sharing"",""ตาก!M606"")+IMPORTRANGE(""https://docs.google.com/spreadsheets/d/1IQAWArduLkta9LpYo4a_ULsyqdta6-6aDDiwpUnQT6c/edit?usp=sharing"",""นครสวรรค์!M606"")+IMPORTRANGE(""https://docs.google.com/spreadsheets/d/10s13Sk5xrltsiR-Zkbmk5DwIaDIKO8Xl"&amp;"bJAfqyT7Gvg/edit?usp=sharing"",""น่าน!M606"")+IMPORTRANGE(""https://docs.google.com/spreadsheets/d/1uu4nAn4Dbi1XREnLKKotUANlKXa7yCgRcgq8HEzQYW8/edit?usp=sharing"",""พะเยา!M606"")+IMPORTRANGE(""https://docs.google.com/spreadsheets/d/1xfJKIQxVOaPDIICqsflNlL"&amp;"u3JacTDk1FP9RH4phX7mI/edit?usp=sharing"",""พิจิตร!M606"")+IMPORTRANGE(""https://docs.google.com/spreadsheets/d/1JtRfZkJMHtEhI5RdRHxYUG4FIZHqKDpNyIuN7A1Q0_k/edit?usp=sharing"",""พิษณุโลก!M606"")+IMPORTRANGE(""https://docs.google.com/spreadsheets/d/1xlcVZWU"&amp;"Nn6SuWm0c307h32SiGkd9BaeQWlAktfD3KO8/edit?usp=sharing"",""เพชรบูรณ์!M606"")+IMPORTRANGE(""https://docs.google.com/spreadsheets/d/1lOVebEIsI9qjGXl6EX66luk7wiuP2tBaryw-wKvv4e0/edit?usp=sharing"",""แพร่!M606"")+IMPORTRANGE(""https://docs.google.com/spreadshe"&amp;"ets/d/1dQrvX0vEcN7Gu0fnZ0B5S90AeR19zth4XlExFBeExMY/edit?usp=sharing"",""แม่ฮ่องสอน!M606"")+IMPORTRANGE(""https://docs.google.com/spreadsheets/d/1DY4XTNNwjluuxqdfdn6qvOSlMRrZqUtmYcZR0ttFiG4/edit?usp=sharing"",""ลำปาง!M606"")+IMPORTRANGE(""https://docs.goog"&amp;"le.com/spreadsheets/d/1ICwG78r0OFT8biBlxnBF8r7she7gNSzOvJ958PWT09c/edit?usp=sharing"",""ลำพูน!M606"")+IMPORTRANGE(""https://docs.google.com/spreadsheets/d/1B0f2xJpZUC6Z0xXnqKlZtEPzsf6L84eP1r1Q15seqRM/edit?usp=sharing"",""สุโขทัย!M606"")+IMPORTRANGE(""http"&amp;"s://docs.google.com/spreadsheets/d/1v0b9pFQCsKUVExMei7AgY2yQkdeNQvtOssygGsXbiKo/edit?usp=sharing"",""อุตรดิตถ์!M606"")+IMPORTRANGE(""https://docs.google.com/spreadsheets/d/1UsNK1e-WWiCo2PvGqdNfdme4m17_Ezd3J69EeeiQPD0/edit?usp=sharing"",""อุทัยธานี!M606"")"),0)</f>
        <v>0</v>
      </c>
      <c r="N606" s="488">
        <f ca="1">IFERROR(__xludf.DUMMYFUNCTION("IMPORTRANGE(""https://docs.google.com/spreadsheets/d/1jTcq05yEiRwXcBMLjiodW9e4biSGYWAHcDj22rKWQ3s/edit?usp=sharing"",""กำแพงเพชร!N606"")+IMPORTRANGE(""https://docs.google.com/spreadsheets/d/1KS0zmDSZPk8KnTAbGN-Xk6MtX1YRZD0ldgdt20K4CRk/edit?usp=sharing"","&amp;"""เชียงราย!N606"")+IMPORTRANGE(""https://docs.google.com/spreadsheets/d/1rEDxBtusbi64tE0zunoIbsTVV16HeL0oJ6trHQeQ7K8/edit?usp=sharing"",""เชียงใหม่!N606"")+IMPORTRANGE(""https://docs.google.com/spreadsheets/d/1W6MnUbDkMi6xHnHko_XkFDO9kkuL6Wqyc-6OCDFjW9I/e"&amp;"dit?usp=sharing"",""ตาก!N606"")+IMPORTRANGE(""https://docs.google.com/spreadsheets/d/1IQAWArduLkta9LpYo4a_ULsyqdta6-6aDDiwpUnQT6c/edit?usp=sharing"",""นครสวรรค์!N606"")+IMPORTRANGE(""https://docs.google.com/spreadsheets/d/10s13Sk5xrltsiR-Zkbmk5DwIaDIKO8Xl"&amp;"bJAfqyT7Gvg/edit?usp=sharing"",""น่าน!N606"")+IMPORTRANGE(""https://docs.google.com/spreadsheets/d/1uu4nAn4Dbi1XREnLKKotUANlKXa7yCgRcgq8HEzQYW8/edit?usp=sharing"",""พะเยา!N606"")+IMPORTRANGE(""https://docs.google.com/spreadsheets/d/1xfJKIQxVOaPDIICqsflNlL"&amp;"u3JacTDk1FP9RH4phX7mI/edit?usp=sharing"",""พิจิตร!N606"")+IMPORTRANGE(""https://docs.google.com/spreadsheets/d/1JtRfZkJMHtEhI5RdRHxYUG4FIZHqKDpNyIuN7A1Q0_k/edit?usp=sharing"",""พิษณุโลก!N606"")+IMPORTRANGE(""https://docs.google.com/spreadsheets/d/1xlcVZWU"&amp;"Nn6SuWm0c307h32SiGkd9BaeQWlAktfD3KO8/edit?usp=sharing"",""เพชรบูรณ์!N606"")+IMPORTRANGE(""https://docs.google.com/spreadsheets/d/1lOVebEIsI9qjGXl6EX66luk7wiuP2tBaryw-wKvv4e0/edit?usp=sharing"",""แพร่!N606"")+IMPORTRANGE(""https://docs.google.com/spreadshe"&amp;"ets/d/1dQrvX0vEcN7Gu0fnZ0B5S90AeR19zth4XlExFBeExMY/edit?usp=sharing"",""แม่ฮ่องสอน!N606"")+IMPORTRANGE(""https://docs.google.com/spreadsheets/d/1DY4XTNNwjluuxqdfdn6qvOSlMRrZqUtmYcZR0ttFiG4/edit?usp=sharing"",""ลำปาง!N606"")+IMPORTRANGE(""https://docs.goog"&amp;"le.com/spreadsheets/d/1ICwG78r0OFT8biBlxnBF8r7she7gNSzOvJ958PWT09c/edit?usp=sharing"",""ลำพูน!N606"")+IMPORTRANGE(""https://docs.google.com/spreadsheets/d/1B0f2xJpZUC6Z0xXnqKlZtEPzsf6L84eP1r1Q15seqRM/edit?usp=sharing"",""สุโขทัย!N606"")+IMPORTRANGE(""http"&amp;"s://docs.google.com/spreadsheets/d/1v0b9pFQCsKUVExMei7AgY2yQkdeNQvtOssygGsXbiKo/edit?usp=sharing"",""อุตรดิตถ์!N606"")+IMPORTRANGE(""https://docs.google.com/spreadsheets/d/1UsNK1e-WWiCo2PvGqdNfdme4m17_Ezd3J69EeeiQPD0/edit?usp=sharing"",""อุทัยธานี!N606"")"),0)</f>
        <v>0</v>
      </c>
      <c r="O606" s="488">
        <f t="shared" ca="1" si="423"/>
        <v>0</v>
      </c>
      <c r="P606" s="488">
        <f t="shared" ca="1" si="424"/>
        <v>0</v>
      </c>
      <c r="Q606" s="488">
        <f ca="1">IFERROR(__xludf.DUMMYFUNCTION("IMPORTRANGE(""https://docs.google.com/spreadsheets/d/1jTcq05yEiRwXcBMLjiodW9e4biSGYWAHcDj22rKWQ3s/edit?usp=sharing"",""กำแพงเพชร!Q606"")+IMPORTRANGE(""https://docs.google.com/spreadsheets/d/1KS0zmDSZPk8KnTAbGN-Xk6MtX1YRZD0ldgdt20K4CRk/edit?usp=sharing"","&amp;"""เชียงราย!Q606"")+IMPORTRANGE(""https://docs.google.com/spreadsheets/d/1rEDxBtusbi64tE0zunoIbsTVV16HeL0oJ6trHQeQ7K8/edit?usp=sharing"",""เชียงใหม่!Q606"")+IMPORTRANGE(""https://docs.google.com/spreadsheets/d/1W6MnUbDkMi6xHnHko_XkFDO9kkuL6Wqyc-6OCDFjW9I/e"&amp;"dit?usp=sharing"",""ตาก!Q606"")+IMPORTRANGE(""https://docs.google.com/spreadsheets/d/1IQAWArduLkta9LpYo4a_ULsyqdta6-6aDDiwpUnQT6c/edit?usp=sharing"",""นครสวรรค์!Q606"")+IMPORTRANGE(""https://docs.google.com/spreadsheets/d/10s13Sk5xrltsiR-Zkbmk5DwIaDIKO8Xl"&amp;"bJAfqyT7Gvg/edit?usp=sharing"",""น่าน!Q606"")+IMPORTRANGE(""https://docs.google.com/spreadsheets/d/1uu4nAn4Dbi1XREnLKKotUANlKXa7yCgRcgq8HEzQYW8/edit?usp=sharing"",""พะเยา!Q606"")+IMPORTRANGE(""https://docs.google.com/spreadsheets/d/1xfJKIQxVOaPDIICqsflNlL"&amp;"u3JacTDk1FP9RH4phX7mI/edit?usp=sharing"",""พิจิตร!Q606"")+IMPORTRANGE(""https://docs.google.com/spreadsheets/d/1JtRfZkJMHtEhI5RdRHxYUG4FIZHqKDpNyIuN7A1Q0_k/edit?usp=sharing"",""พิษณุโลก!Q606"")+IMPORTRANGE(""https://docs.google.com/spreadsheets/d/1xlcVZWU"&amp;"Nn6SuWm0c307h32SiGkd9BaeQWlAktfD3KO8/edit?usp=sharing"",""เพชรบูรณ์!Q606"")+IMPORTRANGE(""https://docs.google.com/spreadsheets/d/1lOVebEIsI9qjGXl6EX66luk7wiuP2tBaryw-wKvv4e0/edit?usp=sharing"",""แพร่!Q606"")+IMPORTRANGE(""https://docs.google.com/spreadshe"&amp;"ets/d/1dQrvX0vEcN7Gu0fnZ0B5S90AeR19zth4XlExFBeExMY/edit?usp=sharing"",""แม่ฮ่องสอน!Q606"")+IMPORTRANGE(""https://docs.google.com/spreadsheets/d/1DY4XTNNwjluuxqdfdn6qvOSlMRrZqUtmYcZR0ttFiG4/edit?usp=sharing"",""ลำปาง!Q606"")+IMPORTRANGE(""https://docs.goog"&amp;"le.com/spreadsheets/d/1ICwG78r0OFT8biBlxnBF8r7she7gNSzOvJ958PWT09c/edit?usp=sharing"",""ลำพูน!Q606"")+IMPORTRANGE(""https://docs.google.com/spreadsheets/d/1B0f2xJpZUC6Z0xXnqKlZtEPzsf6L84eP1r1Q15seqRM/edit?usp=sharing"",""สุโขทัย!Q606"")+IMPORTRANGE(""http"&amp;"s://docs.google.com/spreadsheets/d/1v0b9pFQCsKUVExMei7AgY2yQkdeNQvtOssygGsXbiKo/edit?usp=sharing"",""อุตรดิตถ์!Q606"")+IMPORTRANGE(""https://docs.google.com/spreadsheets/d/1UsNK1e-WWiCo2PvGqdNfdme4m17_Ezd3J69EeeiQPD0/edit?usp=sharing"",""อุทัยธานี!Q606"")"),0)</f>
        <v>0</v>
      </c>
      <c r="R606" s="488">
        <f ca="1">IFERROR(__xludf.DUMMYFUNCTION("IMPORTRANGE(""https://docs.google.com/spreadsheets/d/1jTcq05yEiRwXcBMLjiodW9e4biSGYWAHcDj22rKWQ3s/edit?usp=sharing"",""กำแพงเพชร!R606"")+IMPORTRANGE(""https://docs.google.com/spreadsheets/d/1KS0zmDSZPk8KnTAbGN-Xk6MtX1YRZD0ldgdt20K4CRk/edit?usp=sharing"","&amp;"""เชียงราย!R606"")+IMPORTRANGE(""https://docs.google.com/spreadsheets/d/1rEDxBtusbi64tE0zunoIbsTVV16HeL0oJ6trHQeQ7K8/edit?usp=sharing"",""เชียงใหม่!R606"")+IMPORTRANGE(""https://docs.google.com/spreadsheets/d/1W6MnUbDkMi6xHnHko_XkFDO9kkuL6Wqyc-6OCDFjW9I/e"&amp;"dit?usp=sharing"",""ตาก!R606"")+IMPORTRANGE(""https://docs.google.com/spreadsheets/d/1IQAWArduLkta9LpYo4a_ULsyqdta6-6aDDiwpUnQT6c/edit?usp=sharing"",""นครสวรรค์!R606"")+IMPORTRANGE(""https://docs.google.com/spreadsheets/d/10s13Sk5xrltsiR-Zkbmk5DwIaDIKO8Xl"&amp;"bJAfqyT7Gvg/edit?usp=sharing"",""น่าน!R606"")+IMPORTRANGE(""https://docs.google.com/spreadsheets/d/1uu4nAn4Dbi1XREnLKKotUANlKXa7yCgRcgq8HEzQYW8/edit?usp=sharing"",""พะเยา!R606"")+IMPORTRANGE(""https://docs.google.com/spreadsheets/d/1xfJKIQxVOaPDIICqsflNlL"&amp;"u3JacTDk1FP9RH4phX7mI/edit?usp=sharing"",""พิจิตร!R606"")+IMPORTRANGE(""https://docs.google.com/spreadsheets/d/1JtRfZkJMHtEhI5RdRHxYUG4FIZHqKDpNyIuN7A1Q0_k/edit?usp=sharing"",""พิษณุโลก!R606"")+IMPORTRANGE(""https://docs.google.com/spreadsheets/d/1xlcVZWU"&amp;"Nn6SuWm0c307h32SiGkd9BaeQWlAktfD3KO8/edit?usp=sharing"",""เพชรบูรณ์!R606"")+IMPORTRANGE(""https://docs.google.com/spreadsheets/d/1lOVebEIsI9qjGXl6EX66luk7wiuP2tBaryw-wKvv4e0/edit?usp=sharing"",""แพร่!R606"")+IMPORTRANGE(""https://docs.google.com/spreadshe"&amp;"ets/d/1dQrvX0vEcN7Gu0fnZ0B5S90AeR19zth4XlExFBeExMY/edit?usp=sharing"",""แม่ฮ่องสอน!R606"")+IMPORTRANGE(""https://docs.google.com/spreadsheets/d/1DY4XTNNwjluuxqdfdn6qvOSlMRrZqUtmYcZR0ttFiG4/edit?usp=sharing"",""ลำปาง!R606"")+IMPORTRANGE(""https://docs.goog"&amp;"le.com/spreadsheets/d/1ICwG78r0OFT8biBlxnBF8r7she7gNSzOvJ958PWT09c/edit?usp=sharing"",""ลำพูน!R606"")+IMPORTRANGE(""https://docs.google.com/spreadsheets/d/1B0f2xJpZUC6Z0xXnqKlZtEPzsf6L84eP1r1Q15seqRM/edit?usp=sharing"",""สุโขทัย!R606"")+IMPORTRANGE(""http"&amp;"s://docs.google.com/spreadsheets/d/1v0b9pFQCsKUVExMei7AgY2yQkdeNQvtOssygGsXbiKo/edit?usp=sharing"",""อุตรดิตถ์!R606"")+IMPORTRANGE(""https://docs.google.com/spreadsheets/d/1UsNK1e-WWiCo2PvGqdNfdme4m17_Ezd3J69EeeiQPD0/edit?usp=sharing"",""อุทัยธานี!R606"")"),0)</f>
        <v>0</v>
      </c>
      <c r="S606" s="488">
        <f ca="1">IFERROR(__xludf.DUMMYFUNCTION("IMPORTRANGE(""https://docs.google.com/spreadsheets/d/1jTcq05yEiRwXcBMLjiodW9e4biSGYWAHcDj22rKWQ3s/edit?usp=sharing"",""กำแพงเพชร!S606"")+IMPORTRANGE(""https://docs.google.com/spreadsheets/d/1KS0zmDSZPk8KnTAbGN-Xk6MtX1YRZD0ldgdt20K4CRk/edit?usp=sharing"","&amp;"""เชียงราย!S606"")+IMPORTRANGE(""https://docs.google.com/spreadsheets/d/1rEDxBtusbi64tE0zunoIbsTVV16HeL0oJ6trHQeQ7K8/edit?usp=sharing"",""เชียงใหม่!S606"")+IMPORTRANGE(""https://docs.google.com/spreadsheets/d/1W6MnUbDkMi6xHnHko_XkFDO9kkuL6Wqyc-6OCDFjW9I/e"&amp;"dit?usp=sharing"",""ตาก!S606"")+IMPORTRANGE(""https://docs.google.com/spreadsheets/d/1IQAWArduLkta9LpYo4a_ULsyqdta6-6aDDiwpUnQT6c/edit?usp=sharing"",""นครสวรรค์!S606"")+IMPORTRANGE(""https://docs.google.com/spreadsheets/d/10s13Sk5xrltsiR-Zkbmk5DwIaDIKO8Xl"&amp;"bJAfqyT7Gvg/edit?usp=sharing"",""น่าน!S606"")+IMPORTRANGE(""https://docs.google.com/spreadsheets/d/1uu4nAn4Dbi1XREnLKKotUANlKXa7yCgRcgq8HEzQYW8/edit?usp=sharing"",""พะเยา!S606"")+IMPORTRANGE(""https://docs.google.com/spreadsheets/d/1xfJKIQxVOaPDIICqsflNlL"&amp;"u3JacTDk1FP9RH4phX7mI/edit?usp=sharing"",""พิจิตร!S606"")+IMPORTRANGE(""https://docs.google.com/spreadsheets/d/1JtRfZkJMHtEhI5RdRHxYUG4FIZHqKDpNyIuN7A1Q0_k/edit?usp=sharing"",""พิษณุโลก!S606"")+IMPORTRANGE(""https://docs.google.com/spreadsheets/d/1xlcVZWU"&amp;"Nn6SuWm0c307h32SiGkd9BaeQWlAktfD3KO8/edit?usp=sharing"",""เพชรบูรณ์!S606"")+IMPORTRANGE(""https://docs.google.com/spreadsheets/d/1lOVebEIsI9qjGXl6EX66luk7wiuP2tBaryw-wKvv4e0/edit?usp=sharing"",""แพร่!S606"")+IMPORTRANGE(""https://docs.google.com/spreadshe"&amp;"ets/d/1dQrvX0vEcN7Gu0fnZ0B5S90AeR19zth4XlExFBeExMY/edit?usp=sharing"",""แม่ฮ่องสอน!S606"")+IMPORTRANGE(""https://docs.google.com/spreadsheets/d/1DY4XTNNwjluuxqdfdn6qvOSlMRrZqUtmYcZR0ttFiG4/edit?usp=sharing"",""ลำปาง!S606"")+IMPORTRANGE(""https://docs.goog"&amp;"le.com/spreadsheets/d/1ICwG78r0OFT8biBlxnBF8r7she7gNSzOvJ958PWT09c/edit?usp=sharing"",""ลำพูน!S606"")+IMPORTRANGE(""https://docs.google.com/spreadsheets/d/1B0f2xJpZUC6Z0xXnqKlZtEPzsf6L84eP1r1Q15seqRM/edit?usp=sharing"",""สุโขทัย!S606"")+IMPORTRANGE(""http"&amp;"s://docs.google.com/spreadsheets/d/1v0b9pFQCsKUVExMei7AgY2yQkdeNQvtOssygGsXbiKo/edit?usp=sharing"",""อุตรดิตถ์!S606"")+IMPORTRANGE(""https://docs.google.com/spreadsheets/d/1UsNK1e-WWiCo2PvGqdNfdme4m17_Ezd3J69EeeiQPD0/edit?usp=sharing"",""อุทัยธานี!S606"")"),0)</f>
        <v>0</v>
      </c>
      <c r="T606" s="488">
        <f t="shared" ca="1" si="426"/>
        <v>0</v>
      </c>
      <c r="U606" s="488">
        <f t="shared" ca="1" si="427"/>
        <v>0</v>
      </c>
    </row>
    <row r="607" spans="1:21" s="460" customFormat="1" ht="18.75" x14ac:dyDescent="0.25">
      <c r="A607" s="474"/>
      <c r="B607" s="475"/>
      <c r="C607" s="475"/>
      <c r="D607" s="485"/>
      <c r="E607" s="492" t="s">
        <v>21</v>
      </c>
      <c r="F607" s="485"/>
      <c r="G607" s="486"/>
      <c r="H607" s="493" t="s">
        <v>14</v>
      </c>
      <c r="I607" s="489"/>
      <c r="J607" s="489"/>
      <c r="K607" s="490"/>
      <c r="L607" s="488">
        <f ca="1">IFERROR(__xludf.DUMMYFUNCTION("IMPORTRANGE(""https://docs.google.com/spreadsheets/d/1jTcq05yEiRwXcBMLjiodW9e4biSGYWAHcDj22rKWQ3s/edit?usp=sharing"",""กำแพงเพชร!L607"")+IMPORTRANGE(""https://docs.google.com/spreadsheets/d/1KS0zmDSZPk8KnTAbGN-Xk6MtX1YRZD0ldgdt20K4CRk/edit?usp=sharing"","&amp;"""เชียงราย!L607"")+IMPORTRANGE(""https://docs.google.com/spreadsheets/d/1rEDxBtusbi64tE0zunoIbsTVV16HeL0oJ6trHQeQ7K8/edit?usp=sharing"",""เชียงใหม่!L607"")+IMPORTRANGE(""https://docs.google.com/spreadsheets/d/1W6MnUbDkMi6xHnHko_XkFDO9kkuL6Wqyc-6OCDFjW9I/e"&amp;"dit?usp=sharing"",""ตาก!L607"")+IMPORTRANGE(""https://docs.google.com/spreadsheets/d/1IQAWArduLkta9LpYo4a_ULsyqdta6-6aDDiwpUnQT6c/edit?usp=sharing"",""นครสวรรค์!L607"")+IMPORTRANGE(""https://docs.google.com/spreadsheets/d/10s13Sk5xrltsiR-Zkbmk5DwIaDIKO8Xl"&amp;"bJAfqyT7Gvg/edit?usp=sharing"",""น่าน!L607"")+IMPORTRANGE(""https://docs.google.com/spreadsheets/d/1uu4nAn4Dbi1XREnLKKotUANlKXa7yCgRcgq8HEzQYW8/edit?usp=sharing"",""พะเยา!L607"")+IMPORTRANGE(""https://docs.google.com/spreadsheets/d/1xfJKIQxVOaPDIICqsflNlL"&amp;"u3JacTDk1FP9RH4phX7mI/edit?usp=sharing"",""พิจิตร!L607"")+IMPORTRANGE(""https://docs.google.com/spreadsheets/d/1JtRfZkJMHtEhI5RdRHxYUG4FIZHqKDpNyIuN7A1Q0_k/edit?usp=sharing"",""พิษณุโลก!L607"")+IMPORTRANGE(""https://docs.google.com/spreadsheets/d/1xlcVZWU"&amp;"Nn6SuWm0c307h32SiGkd9BaeQWlAktfD3KO8/edit?usp=sharing"",""เพชรบูรณ์!L607"")+IMPORTRANGE(""https://docs.google.com/spreadsheets/d/1lOVebEIsI9qjGXl6EX66luk7wiuP2tBaryw-wKvv4e0/edit?usp=sharing"",""แพร่!L607"")+IMPORTRANGE(""https://docs.google.com/spreadshe"&amp;"ets/d/1dQrvX0vEcN7Gu0fnZ0B5S90AeR19zth4XlExFBeExMY/edit?usp=sharing"",""แม่ฮ่องสอน!L607"")+IMPORTRANGE(""https://docs.google.com/spreadsheets/d/1DY4XTNNwjluuxqdfdn6qvOSlMRrZqUtmYcZR0ttFiG4/edit?usp=sharing"",""ลำปาง!L607"")+IMPORTRANGE(""https://docs.goog"&amp;"le.com/spreadsheets/d/1ICwG78r0OFT8biBlxnBF8r7she7gNSzOvJ958PWT09c/edit?usp=sharing"",""ลำพูน!L607"")+IMPORTRANGE(""https://docs.google.com/spreadsheets/d/1B0f2xJpZUC6Z0xXnqKlZtEPzsf6L84eP1r1Q15seqRM/edit?usp=sharing"",""สุโขทัย!L607"")+IMPORTRANGE(""http"&amp;"s://docs.google.com/spreadsheets/d/1v0b9pFQCsKUVExMei7AgY2yQkdeNQvtOssygGsXbiKo/edit?usp=sharing"",""อุตรดิตถ์!L607"")+IMPORTRANGE(""https://docs.google.com/spreadsheets/d/1UsNK1e-WWiCo2PvGqdNfdme4m17_Ezd3J69EeeiQPD0/edit?usp=sharing"",""อุทัยธานี!L607"")"),0)</f>
        <v>0</v>
      </c>
      <c r="M607" s="488">
        <f ca="1">IFERROR(__xludf.DUMMYFUNCTION("IMPORTRANGE(""https://docs.google.com/spreadsheets/d/1jTcq05yEiRwXcBMLjiodW9e4biSGYWAHcDj22rKWQ3s/edit?usp=sharing"",""กำแพงเพชร!M607"")+IMPORTRANGE(""https://docs.google.com/spreadsheets/d/1KS0zmDSZPk8KnTAbGN-Xk6MtX1YRZD0ldgdt20K4CRk/edit?usp=sharing"","&amp;"""เชียงราย!M607"")+IMPORTRANGE(""https://docs.google.com/spreadsheets/d/1rEDxBtusbi64tE0zunoIbsTVV16HeL0oJ6trHQeQ7K8/edit?usp=sharing"",""เชียงใหม่!M607"")+IMPORTRANGE(""https://docs.google.com/spreadsheets/d/1W6MnUbDkMi6xHnHko_XkFDO9kkuL6Wqyc-6OCDFjW9I/e"&amp;"dit?usp=sharing"",""ตาก!M607"")+IMPORTRANGE(""https://docs.google.com/spreadsheets/d/1IQAWArduLkta9LpYo4a_ULsyqdta6-6aDDiwpUnQT6c/edit?usp=sharing"",""นครสวรรค์!M607"")+IMPORTRANGE(""https://docs.google.com/spreadsheets/d/10s13Sk5xrltsiR-Zkbmk5DwIaDIKO8Xl"&amp;"bJAfqyT7Gvg/edit?usp=sharing"",""น่าน!M607"")+IMPORTRANGE(""https://docs.google.com/spreadsheets/d/1uu4nAn4Dbi1XREnLKKotUANlKXa7yCgRcgq8HEzQYW8/edit?usp=sharing"",""พะเยา!M607"")+IMPORTRANGE(""https://docs.google.com/spreadsheets/d/1xfJKIQxVOaPDIICqsflNlL"&amp;"u3JacTDk1FP9RH4phX7mI/edit?usp=sharing"",""พิจิตร!M607"")+IMPORTRANGE(""https://docs.google.com/spreadsheets/d/1JtRfZkJMHtEhI5RdRHxYUG4FIZHqKDpNyIuN7A1Q0_k/edit?usp=sharing"",""พิษณุโลก!M607"")+IMPORTRANGE(""https://docs.google.com/spreadsheets/d/1xlcVZWU"&amp;"Nn6SuWm0c307h32SiGkd9BaeQWlAktfD3KO8/edit?usp=sharing"",""เพชรบูรณ์!M607"")+IMPORTRANGE(""https://docs.google.com/spreadsheets/d/1lOVebEIsI9qjGXl6EX66luk7wiuP2tBaryw-wKvv4e0/edit?usp=sharing"",""แพร่!M607"")+IMPORTRANGE(""https://docs.google.com/spreadshe"&amp;"ets/d/1dQrvX0vEcN7Gu0fnZ0B5S90AeR19zth4XlExFBeExMY/edit?usp=sharing"",""แม่ฮ่องสอน!M607"")+IMPORTRANGE(""https://docs.google.com/spreadsheets/d/1DY4XTNNwjluuxqdfdn6qvOSlMRrZqUtmYcZR0ttFiG4/edit?usp=sharing"",""ลำปาง!M607"")+IMPORTRANGE(""https://docs.goog"&amp;"le.com/spreadsheets/d/1ICwG78r0OFT8biBlxnBF8r7she7gNSzOvJ958PWT09c/edit?usp=sharing"",""ลำพูน!M607"")+IMPORTRANGE(""https://docs.google.com/spreadsheets/d/1B0f2xJpZUC6Z0xXnqKlZtEPzsf6L84eP1r1Q15seqRM/edit?usp=sharing"",""สุโขทัย!M607"")+IMPORTRANGE(""http"&amp;"s://docs.google.com/spreadsheets/d/1v0b9pFQCsKUVExMei7AgY2yQkdeNQvtOssygGsXbiKo/edit?usp=sharing"",""อุตรดิตถ์!M607"")+IMPORTRANGE(""https://docs.google.com/spreadsheets/d/1UsNK1e-WWiCo2PvGqdNfdme4m17_Ezd3J69EeeiQPD0/edit?usp=sharing"",""อุทัยธานี!M607"")"),0)</f>
        <v>0</v>
      </c>
      <c r="N607" s="488">
        <f ca="1">IFERROR(__xludf.DUMMYFUNCTION("IMPORTRANGE(""https://docs.google.com/spreadsheets/d/1jTcq05yEiRwXcBMLjiodW9e4biSGYWAHcDj22rKWQ3s/edit?usp=sharing"",""กำแพงเพชร!N607"")+IMPORTRANGE(""https://docs.google.com/spreadsheets/d/1KS0zmDSZPk8KnTAbGN-Xk6MtX1YRZD0ldgdt20K4CRk/edit?usp=sharing"","&amp;"""เชียงราย!N607"")+IMPORTRANGE(""https://docs.google.com/spreadsheets/d/1rEDxBtusbi64tE0zunoIbsTVV16HeL0oJ6trHQeQ7K8/edit?usp=sharing"",""เชียงใหม่!N607"")+IMPORTRANGE(""https://docs.google.com/spreadsheets/d/1W6MnUbDkMi6xHnHko_XkFDO9kkuL6Wqyc-6OCDFjW9I/e"&amp;"dit?usp=sharing"",""ตาก!N607"")+IMPORTRANGE(""https://docs.google.com/spreadsheets/d/1IQAWArduLkta9LpYo4a_ULsyqdta6-6aDDiwpUnQT6c/edit?usp=sharing"",""นครสวรรค์!N607"")+IMPORTRANGE(""https://docs.google.com/spreadsheets/d/10s13Sk5xrltsiR-Zkbmk5DwIaDIKO8Xl"&amp;"bJAfqyT7Gvg/edit?usp=sharing"",""น่าน!N607"")+IMPORTRANGE(""https://docs.google.com/spreadsheets/d/1uu4nAn4Dbi1XREnLKKotUANlKXa7yCgRcgq8HEzQYW8/edit?usp=sharing"",""พะเยา!N607"")+IMPORTRANGE(""https://docs.google.com/spreadsheets/d/1xfJKIQxVOaPDIICqsflNlL"&amp;"u3JacTDk1FP9RH4phX7mI/edit?usp=sharing"",""พิจิตร!N607"")+IMPORTRANGE(""https://docs.google.com/spreadsheets/d/1JtRfZkJMHtEhI5RdRHxYUG4FIZHqKDpNyIuN7A1Q0_k/edit?usp=sharing"",""พิษณุโลก!N607"")+IMPORTRANGE(""https://docs.google.com/spreadsheets/d/1xlcVZWU"&amp;"Nn6SuWm0c307h32SiGkd9BaeQWlAktfD3KO8/edit?usp=sharing"",""เพชรบูรณ์!N607"")+IMPORTRANGE(""https://docs.google.com/spreadsheets/d/1lOVebEIsI9qjGXl6EX66luk7wiuP2tBaryw-wKvv4e0/edit?usp=sharing"",""แพร่!N607"")+IMPORTRANGE(""https://docs.google.com/spreadshe"&amp;"ets/d/1dQrvX0vEcN7Gu0fnZ0B5S90AeR19zth4XlExFBeExMY/edit?usp=sharing"",""แม่ฮ่องสอน!N607"")+IMPORTRANGE(""https://docs.google.com/spreadsheets/d/1DY4XTNNwjluuxqdfdn6qvOSlMRrZqUtmYcZR0ttFiG4/edit?usp=sharing"",""ลำปาง!N607"")+IMPORTRANGE(""https://docs.goog"&amp;"le.com/spreadsheets/d/1ICwG78r0OFT8biBlxnBF8r7she7gNSzOvJ958PWT09c/edit?usp=sharing"",""ลำพูน!N607"")+IMPORTRANGE(""https://docs.google.com/spreadsheets/d/1B0f2xJpZUC6Z0xXnqKlZtEPzsf6L84eP1r1Q15seqRM/edit?usp=sharing"",""สุโขทัย!N607"")+IMPORTRANGE(""http"&amp;"s://docs.google.com/spreadsheets/d/1v0b9pFQCsKUVExMei7AgY2yQkdeNQvtOssygGsXbiKo/edit?usp=sharing"",""อุตรดิตถ์!N607"")+IMPORTRANGE(""https://docs.google.com/spreadsheets/d/1UsNK1e-WWiCo2PvGqdNfdme4m17_Ezd3J69EeeiQPD0/edit?usp=sharing"",""อุทัยธานี!N607"")"),0)</f>
        <v>0</v>
      </c>
      <c r="O607" s="488">
        <f t="shared" ca="1" si="423"/>
        <v>0</v>
      </c>
      <c r="P607" s="488">
        <f t="shared" ca="1" si="424"/>
        <v>0</v>
      </c>
      <c r="Q607" s="488">
        <f ca="1">IFERROR(__xludf.DUMMYFUNCTION("IMPORTRANGE(""https://docs.google.com/spreadsheets/d/1jTcq05yEiRwXcBMLjiodW9e4biSGYWAHcDj22rKWQ3s/edit?usp=sharing"",""กำแพงเพชร!Q607"")+IMPORTRANGE(""https://docs.google.com/spreadsheets/d/1KS0zmDSZPk8KnTAbGN-Xk6MtX1YRZD0ldgdt20K4CRk/edit?usp=sharing"","&amp;"""เชียงราย!Q607"")+IMPORTRANGE(""https://docs.google.com/spreadsheets/d/1rEDxBtusbi64tE0zunoIbsTVV16HeL0oJ6trHQeQ7K8/edit?usp=sharing"",""เชียงใหม่!Q607"")+IMPORTRANGE(""https://docs.google.com/spreadsheets/d/1W6MnUbDkMi6xHnHko_XkFDO9kkuL6Wqyc-6OCDFjW9I/e"&amp;"dit?usp=sharing"",""ตาก!Q607"")+IMPORTRANGE(""https://docs.google.com/spreadsheets/d/1IQAWArduLkta9LpYo4a_ULsyqdta6-6aDDiwpUnQT6c/edit?usp=sharing"",""นครสวรรค์!Q607"")+IMPORTRANGE(""https://docs.google.com/spreadsheets/d/10s13Sk5xrltsiR-Zkbmk5DwIaDIKO8Xl"&amp;"bJAfqyT7Gvg/edit?usp=sharing"",""น่าน!Q607"")+IMPORTRANGE(""https://docs.google.com/spreadsheets/d/1uu4nAn4Dbi1XREnLKKotUANlKXa7yCgRcgq8HEzQYW8/edit?usp=sharing"",""พะเยา!Q607"")+IMPORTRANGE(""https://docs.google.com/spreadsheets/d/1xfJKIQxVOaPDIICqsflNlL"&amp;"u3JacTDk1FP9RH4phX7mI/edit?usp=sharing"",""พิจิตร!Q607"")+IMPORTRANGE(""https://docs.google.com/spreadsheets/d/1JtRfZkJMHtEhI5RdRHxYUG4FIZHqKDpNyIuN7A1Q0_k/edit?usp=sharing"",""พิษณุโลก!Q607"")+IMPORTRANGE(""https://docs.google.com/spreadsheets/d/1xlcVZWU"&amp;"Nn6SuWm0c307h32SiGkd9BaeQWlAktfD3KO8/edit?usp=sharing"",""เพชรบูรณ์!Q607"")+IMPORTRANGE(""https://docs.google.com/spreadsheets/d/1lOVebEIsI9qjGXl6EX66luk7wiuP2tBaryw-wKvv4e0/edit?usp=sharing"",""แพร่!Q607"")+IMPORTRANGE(""https://docs.google.com/spreadshe"&amp;"ets/d/1dQrvX0vEcN7Gu0fnZ0B5S90AeR19zth4XlExFBeExMY/edit?usp=sharing"",""แม่ฮ่องสอน!Q607"")+IMPORTRANGE(""https://docs.google.com/spreadsheets/d/1DY4XTNNwjluuxqdfdn6qvOSlMRrZqUtmYcZR0ttFiG4/edit?usp=sharing"",""ลำปาง!Q607"")+IMPORTRANGE(""https://docs.goog"&amp;"le.com/spreadsheets/d/1ICwG78r0OFT8biBlxnBF8r7she7gNSzOvJ958PWT09c/edit?usp=sharing"",""ลำพูน!Q607"")+IMPORTRANGE(""https://docs.google.com/spreadsheets/d/1B0f2xJpZUC6Z0xXnqKlZtEPzsf6L84eP1r1Q15seqRM/edit?usp=sharing"",""สุโขทัย!Q607"")+IMPORTRANGE(""http"&amp;"s://docs.google.com/spreadsheets/d/1v0b9pFQCsKUVExMei7AgY2yQkdeNQvtOssygGsXbiKo/edit?usp=sharing"",""อุตรดิตถ์!Q607"")+IMPORTRANGE(""https://docs.google.com/spreadsheets/d/1UsNK1e-WWiCo2PvGqdNfdme4m17_Ezd3J69EeeiQPD0/edit?usp=sharing"",""อุทัยธานี!Q607"")"),0)</f>
        <v>0</v>
      </c>
      <c r="R607" s="488">
        <f ca="1">IFERROR(__xludf.DUMMYFUNCTION("IMPORTRANGE(""https://docs.google.com/spreadsheets/d/1jTcq05yEiRwXcBMLjiodW9e4biSGYWAHcDj22rKWQ3s/edit?usp=sharing"",""กำแพงเพชร!R607"")+IMPORTRANGE(""https://docs.google.com/spreadsheets/d/1KS0zmDSZPk8KnTAbGN-Xk6MtX1YRZD0ldgdt20K4CRk/edit?usp=sharing"","&amp;"""เชียงราย!R607"")+IMPORTRANGE(""https://docs.google.com/spreadsheets/d/1rEDxBtusbi64tE0zunoIbsTVV16HeL0oJ6trHQeQ7K8/edit?usp=sharing"",""เชียงใหม่!R607"")+IMPORTRANGE(""https://docs.google.com/spreadsheets/d/1W6MnUbDkMi6xHnHko_XkFDO9kkuL6Wqyc-6OCDFjW9I/e"&amp;"dit?usp=sharing"",""ตาก!R607"")+IMPORTRANGE(""https://docs.google.com/spreadsheets/d/1IQAWArduLkta9LpYo4a_ULsyqdta6-6aDDiwpUnQT6c/edit?usp=sharing"",""นครสวรรค์!R607"")+IMPORTRANGE(""https://docs.google.com/spreadsheets/d/10s13Sk5xrltsiR-Zkbmk5DwIaDIKO8Xl"&amp;"bJAfqyT7Gvg/edit?usp=sharing"",""น่าน!R607"")+IMPORTRANGE(""https://docs.google.com/spreadsheets/d/1uu4nAn4Dbi1XREnLKKotUANlKXa7yCgRcgq8HEzQYW8/edit?usp=sharing"",""พะเยา!R607"")+IMPORTRANGE(""https://docs.google.com/spreadsheets/d/1xfJKIQxVOaPDIICqsflNlL"&amp;"u3JacTDk1FP9RH4phX7mI/edit?usp=sharing"",""พิจิตร!R607"")+IMPORTRANGE(""https://docs.google.com/spreadsheets/d/1JtRfZkJMHtEhI5RdRHxYUG4FIZHqKDpNyIuN7A1Q0_k/edit?usp=sharing"",""พิษณุโลก!R607"")+IMPORTRANGE(""https://docs.google.com/spreadsheets/d/1xlcVZWU"&amp;"Nn6SuWm0c307h32SiGkd9BaeQWlAktfD3KO8/edit?usp=sharing"",""เพชรบูรณ์!R607"")+IMPORTRANGE(""https://docs.google.com/spreadsheets/d/1lOVebEIsI9qjGXl6EX66luk7wiuP2tBaryw-wKvv4e0/edit?usp=sharing"",""แพร่!R607"")+IMPORTRANGE(""https://docs.google.com/spreadshe"&amp;"ets/d/1dQrvX0vEcN7Gu0fnZ0B5S90AeR19zth4XlExFBeExMY/edit?usp=sharing"",""แม่ฮ่องสอน!R607"")+IMPORTRANGE(""https://docs.google.com/spreadsheets/d/1DY4XTNNwjluuxqdfdn6qvOSlMRrZqUtmYcZR0ttFiG4/edit?usp=sharing"",""ลำปาง!R607"")+IMPORTRANGE(""https://docs.goog"&amp;"le.com/spreadsheets/d/1ICwG78r0OFT8biBlxnBF8r7she7gNSzOvJ958PWT09c/edit?usp=sharing"",""ลำพูน!R607"")+IMPORTRANGE(""https://docs.google.com/spreadsheets/d/1B0f2xJpZUC6Z0xXnqKlZtEPzsf6L84eP1r1Q15seqRM/edit?usp=sharing"",""สุโขทัย!R607"")+IMPORTRANGE(""http"&amp;"s://docs.google.com/spreadsheets/d/1v0b9pFQCsKUVExMei7AgY2yQkdeNQvtOssygGsXbiKo/edit?usp=sharing"",""อุตรดิตถ์!R607"")+IMPORTRANGE(""https://docs.google.com/spreadsheets/d/1UsNK1e-WWiCo2PvGqdNfdme4m17_Ezd3J69EeeiQPD0/edit?usp=sharing"",""อุทัยธานี!R607"")"),0)</f>
        <v>0</v>
      </c>
      <c r="S607" s="488">
        <f ca="1">IFERROR(__xludf.DUMMYFUNCTION("IMPORTRANGE(""https://docs.google.com/spreadsheets/d/1jTcq05yEiRwXcBMLjiodW9e4biSGYWAHcDj22rKWQ3s/edit?usp=sharing"",""กำแพงเพชร!S607"")+IMPORTRANGE(""https://docs.google.com/spreadsheets/d/1KS0zmDSZPk8KnTAbGN-Xk6MtX1YRZD0ldgdt20K4CRk/edit?usp=sharing"","&amp;"""เชียงราย!S607"")+IMPORTRANGE(""https://docs.google.com/spreadsheets/d/1rEDxBtusbi64tE0zunoIbsTVV16HeL0oJ6trHQeQ7K8/edit?usp=sharing"",""เชียงใหม่!S607"")+IMPORTRANGE(""https://docs.google.com/spreadsheets/d/1W6MnUbDkMi6xHnHko_XkFDO9kkuL6Wqyc-6OCDFjW9I/e"&amp;"dit?usp=sharing"",""ตาก!S607"")+IMPORTRANGE(""https://docs.google.com/spreadsheets/d/1IQAWArduLkta9LpYo4a_ULsyqdta6-6aDDiwpUnQT6c/edit?usp=sharing"",""นครสวรรค์!S607"")+IMPORTRANGE(""https://docs.google.com/spreadsheets/d/10s13Sk5xrltsiR-Zkbmk5DwIaDIKO8Xl"&amp;"bJAfqyT7Gvg/edit?usp=sharing"",""น่าน!S607"")+IMPORTRANGE(""https://docs.google.com/spreadsheets/d/1uu4nAn4Dbi1XREnLKKotUANlKXa7yCgRcgq8HEzQYW8/edit?usp=sharing"",""พะเยา!S607"")+IMPORTRANGE(""https://docs.google.com/spreadsheets/d/1xfJKIQxVOaPDIICqsflNlL"&amp;"u3JacTDk1FP9RH4phX7mI/edit?usp=sharing"",""พิจิตร!S607"")+IMPORTRANGE(""https://docs.google.com/spreadsheets/d/1JtRfZkJMHtEhI5RdRHxYUG4FIZHqKDpNyIuN7A1Q0_k/edit?usp=sharing"",""พิษณุโลก!S607"")+IMPORTRANGE(""https://docs.google.com/spreadsheets/d/1xlcVZWU"&amp;"Nn6SuWm0c307h32SiGkd9BaeQWlAktfD3KO8/edit?usp=sharing"",""เพชรบูรณ์!S607"")+IMPORTRANGE(""https://docs.google.com/spreadsheets/d/1lOVebEIsI9qjGXl6EX66luk7wiuP2tBaryw-wKvv4e0/edit?usp=sharing"",""แพร่!S607"")+IMPORTRANGE(""https://docs.google.com/spreadshe"&amp;"ets/d/1dQrvX0vEcN7Gu0fnZ0B5S90AeR19zth4XlExFBeExMY/edit?usp=sharing"",""แม่ฮ่องสอน!S607"")+IMPORTRANGE(""https://docs.google.com/spreadsheets/d/1DY4XTNNwjluuxqdfdn6qvOSlMRrZqUtmYcZR0ttFiG4/edit?usp=sharing"",""ลำปาง!S607"")+IMPORTRANGE(""https://docs.goog"&amp;"le.com/spreadsheets/d/1ICwG78r0OFT8biBlxnBF8r7she7gNSzOvJ958PWT09c/edit?usp=sharing"",""ลำพูน!S607"")+IMPORTRANGE(""https://docs.google.com/spreadsheets/d/1B0f2xJpZUC6Z0xXnqKlZtEPzsf6L84eP1r1Q15seqRM/edit?usp=sharing"",""สุโขทัย!S607"")+IMPORTRANGE(""http"&amp;"s://docs.google.com/spreadsheets/d/1v0b9pFQCsKUVExMei7AgY2yQkdeNQvtOssygGsXbiKo/edit?usp=sharing"",""อุตรดิตถ์!S607"")+IMPORTRANGE(""https://docs.google.com/spreadsheets/d/1UsNK1e-WWiCo2PvGqdNfdme4m17_Ezd3J69EeeiQPD0/edit?usp=sharing"",""อุทัยธานี!S607"")"),0)</f>
        <v>0</v>
      </c>
      <c r="T607" s="488">
        <f t="shared" ca="1" si="426"/>
        <v>0</v>
      </c>
      <c r="U607" s="488">
        <f t="shared" ca="1" si="427"/>
        <v>0</v>
      </c>
    </row>
    <row r="608" spans="1:21" s="460" customFormat="1" ht="19.5" x14ac:dyDescent="0.3">
      <c r="A608" s="494"/>
      <c r="B608" s="495"/>
      <c r="C608" s="476" t="s">
        <v>18</v>
      </c>
      <c r="D608" s="496" t="s">
        <v>38</v>
      </c>
      <c r="E608" s="497"/>
      <c r="F608" s="497"/>
      <c r="G608" s="498"/>
      <c r="H608" s="499"/>
      <c r="I608" s="489"/>
      <c r="J608" s="489"/>
      <c r="K608" s="490"/>
      <c r="L608" s="482"/>
      <c r="M608" s="482"/>
      <c r="N608" s="482"/>
      <c r="O608" s="482"/>
      <c r="P608" s="482"/>
      <c r="Q608" s="482"/>
      <c r="R608" s="482"/>
      <c r="S608" s="482"/>
      <c r="T608" s="482"/>
      <c r="U608" s="482"/>
    </row>
    <row r="609" spans="1:21" s="460" customFormat="1" ht="18.75" x14ac:dyDescent="0.25">
      <c r="A609" s="494"/>
      <c r="B609" s="495"/>
      <c r="C609" s="495"/>
      <c r="D609" s="500" t="s">
        <v>216</v>
      </c>
      <c r="E609" s="478"/>
      <c r="F609" s="478"/>
      <c r="G609" s="479"/>
      <c r="H609" s="487" t="s">
        <v>99</v>
      </c>
      <c r="I609" s="481"/>
      <c r="J609" s="481"/>
      <c r="K609" s="490"/>
      <c r="L609" s="482"/>
      <c r="M609" s="482"/>
      <c r="N609" s="482"/>
      <c r="O609" s="482"/>
      <c r="P609" s="482"/>
      <c r="Q609" s="482"/>
      <c r="R609" s="482"/>
      <c r="S609" s="482"/>
      <c r="T609" s="482"/>
      <c r="U609" s="482"/>
    </row>
    <row r="610" spans="1:21" s="460" customFormat="1" ht="19.5" x14ac:dyDescent="0.3">
      <c r="A610" s="494"/>
      <c r="B610" s="495"/>
      <c r="C610" s="495"/>
      <c r="D610" s="500" t="s">
        <v>217</v>
      </c>
      <c r="E610" s="478"/>
      <c r="F610" s="478"/>
      <c r="G610" s="479"/>
      <c r="H610" s="480" t="s">
        <v>35</v>
      </c>
      <c r="I610" s="481"/>
      <c r="J610" s="481"/>
      <c r="K610" s="490"/>
      <c r="L610" s="482"/>
      <c r="M610" s="482"/>
      <c r="N610" s="482"/>
      <c r="O610" s="482"/>
      <c r="P610" s="482"/>
      <c r="Q610" s="482"/>
      <c r="R610" s="482"/>
      <c r="S610" s="482"/>
      <c r="T610" s="482"/>
      <c r="U610" s="482"/>
    </row>
    <row r="611" spans="1:21" s="460" customFormat="1" ht="18.75" x14ac:dyDescent="0.25">
      <c r="A611" s="494"/>
      <c r="B611" s="495"/>
      <c r="C611" s="495"/>
      <c r="D611" s="495"/>
      <c r="E611" s="500" t="s">
        <v>218</v>
      </c>
      <c r="F611" s="478"/>
      <c r="G611" s="479"/>
      <c r="H611" s="493" t="s">
        <v>35</v>
      </c>
      <c r="I611" s="481"/>
      <c r="J611" s="481"/>
      <c r="K611" s="490"/>
      <c r="L611" s="482"/>
      <c r="M611" s="482"/>
      <c r="N611" s="482"/>
      <c r="O611" s="482"/>
      <c r="P611" s="482"/>
      <c r="Q611" s="482"/>
      <c r="R611" s="482"/>
      <c r="S611" s="482"/>
      <c r="T611" s="482"/>
      <c r="U611" s="482"/>
    </row>
    <row r="612" spans="1:21" s="460" customFormat="1" ht="18.75" x14ac:dyDescent="0.25">
      <c r="A612" s="501"/>
      <c r="B612" s="502"/>
      <c r="C612" s="502"/>
      <c r="D612" s="502"/>
      <c r="E612" s="503" t="s">
        <v>219</v>
      </c>
      <c r="F612" s="504"/>
      <c r="G612" s="505"/>
      <c r="H612" s="506" t="s">
        <v>35</v>
      </c>
      <c r="I612" s="507"/>
      <c r="J612" s="507"/>
      <c r="K612" s="508"/>
      <c r="L612" s="509"/>
      <c r="M612" s="509"/>
      <c r="N612" s="509"/>
      <c r="O612" s="509"/>
      <c r="P612" s="509"/>
      <c r="Q612" s="509"/>
      <c r="R612" s="509"/>
      <c r="S612" s="509"/>
      <c r="T612" s="509"/>
      <c r="U612" s="509"/>
    </row>
    <row r="613" spans="1:21" ht="19.5" x14ac:dyDescent="0.3">
      <c r="A613" s="380" t="s">
        <v>220</v>
      </c>
      <c r="B613" s="381"/>
      <c r="C613" s="381"/>
      <c r="D613" s="382"/>
      <c r="E613" s="382"/>
      <c r="F613" s="382"/>
      <c r="G613" s="383"/>
      <c r="H613" s="384"/>
      <c r="I613" s="385"/>
      <c r="J613" s="385"/>
      <c r="K613" s="386"/>
      <c r="L613" s="386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x14ac:dyDescent="0.3">
      <c r="A614" s="387"/>
      <c r="B614" s="388" t="s">
        <v>221</v>
      </c>
      <c r="C614" s="387"/>
      <c r="D614" s="389"/>
      <c r="E614" s="389"/>
      <c r="F614" s="389"/>
      <c r="G614" s="390"/>
      <c r="H614" s="391"/>
      <c r="I614" s="392"/>
      <c r="J614" s="392"/>
      <c r="K614" s="393"/>
      <c r="L614" s="393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222</v>
      </c>
      <c r="C615" s="394"/>
      <c r="D615" s="396"/>
      <c r="E615" s="396"/>
      <c r="F615" s="396"/>
      <c r="G615" s="397"/>
      <c r="H615" s="398" t="s">
        <v>46</v>
      </c>
      <c r="I615" s="399">
        <f t="shared" ref="I615:J615" ca="1" si="436">I626</f>
        <v>700</v>
      </c>
      <c r="J615" s="399">
        <f t="shared" ca="1" si="436"/>
        <v>0</v>
      </c>
      <c r="K615" s="400">
        <f ca="1">IF(I615&gt;0,J615*100/I615,0)</f>
        <v>0</v>
      </c>
      <c r="L615" s="401"/>
      <c r="M615" s="401"/>
      <c r="N615" s="401"/>
      <c r="O615" s="401"/>
      <c r="P615" s="401"/>
      <c r="Q615" s="401"/>
      <c r="R615" s="401"/>
      <c r="S615" s="401"/>
      <c r="T615" s="401"/>
      <c r="U615" s="401"/>
    </row>
    <row r="616" spans="1:21" ht="19.5" x14ac:dyDescent="0.3">
      <c r="A616" s="128"/>
      <c r="B616" s="158"/>
      <c r="C616" s="177" t="s">
        <v>18</v>
      </c>
      <c r="D616" s="1287" t="s">
        <v>19</v>
      </c>
      <c r="E616" s="1285"/>
      <c r="F616" s="1285"/>
      <c r="G616" s="1286"/>
      <c r="H616" s="221" t="s">
        <v>14</v>
      </c>
      <c r="I616" s="44"/>
      <c r="J616" s="44"/>
      <c r="K616" s="45"/>
      <c r="L616" s="132">
        <f t="shared" ref="L616:N616" ca="1" si="437">L617+L618</f>
        <v>0</v>
      </c>
      <c r="M616" s="132">
        <f t="shared" ca="1" si="437"/>
        <v>0</v>
      </c>
      <c r="N616" s="132">
        <f t="shared" ca="1" si="437"/>
        <v>0</v>
      </c>
      <c r="O616" s="132">
        <f t="shared" ref="O616:O624" ca="1" si="438">IF(L616&gt;0,N616*100/L616,0)</f>
        <v>0</v>
      </c>
      <c r="P616" s="132">
        <f t="shared" ref="P616:P624" ca="1" si="439">IF(M616&gt;0,N616*100/M616,0)</f>
        <v>0</v>
      </c>
      <c r="Q616" s="132">
        <f t="shared" ref="Q616:S616" ca="1" si="440">Q617+Q618</f>
        <v>101100</v>
      </c>
      <c r="R616" s="132">
        <f t="shared" ca="1" si="440"/>
        <v>101100</v>
      </c>
      <c r="S616" s="132">
        <f t="shared" ca="1" si="440"/>
        <v>7900</v>
      </c>
      <c r="T616" s="132">
        <f t="shared" ref="T616:T624" ca="1" si="441">IF(Q616&gt;0,S616*100/Q616,0)</f>
        <v>7.8140454995054398</v>
      </c>
      <c r="U616" s="132">
        <f t="shared" ref="U616:U624" ca="1" si="442">IF(R616&gt;0,S616*100/R616,0)</f>
        <v>7.8140454995054398</v>
      </c>
    </row>
    <row r="617" spans="1:21" ht="18.75" x14ac:dyDescent="0.25">
      <c r="A617" s="128"/>
      <c r="B617" s="158"/>
      <c r="C617" s="158"/>
      <c r="D617" s="145"/>
      <c r="E617" s="156" t="s">
        <v>158</v>
      </c>
      <c r="F617" s="40"/>
      <c r="G617" s="42"/>
      <c r="H617" s="159" t="s">
        <v>14</v>
      </c>
      <c r="I617" s="44"/>
      <c r="J617" s="44"/>
      <c r="K617" s="45"/>
      <c r="L617" s="48">
        <f t="shared" ref="L617:N617" ca="1" si="443">L620+L623</f>
        <v>0</v>
      </c>
      <c r="M617" s="48">
        <f t="shared" ca="1" si="443"/>
        <v>0</v>
      </c>
      <c r="N617" s="48">
        <f t="shared" ca="1" si="443"/>
        <v>0</v>
      </c>
      <c r="O617" s="48">
        <f t="shared" ca="1" si="438"/>
        <v>0</v>
      </c>
      <c r="P617" s="48">
        <f t="shared" ca="1" si="439"/>
        <v>0</v>
      </c>
      <c r="Q617" s="48">
        <f t="shared" ref="Q617:S617" ca="1" si="444">Q620+Q623</f>
        <v>0</v>
      </c>
      <c r="R617" s="48">
        <f t="shared" ca="1" si="444"/>
        <v>0</v>
      </c>
      <c r="S617" s="48">
        <f t="shared" ca="1" si="444"/>
        <v>0</v>
      </c>
      <c r="T617" s="48">
        <f t="shared" ca="1" si="441"/>
        <v>0</v>
      </c>
      <c r="U617" s="48">
        <f t="shared" ca="1" si="442"/>
        <v>0</v>
      </c>
    </row>
    <row r="618" spans="1:21" ht="18.75" x14ac:dyDescent="0.25">
      <c r="A618" s="128"/>
      <c r="B618" s="158"/>
      <c r="C618" s="158"/>
      <c r="D618" s="145"/>
      <c r="E618" s="47" t="s">
        <v>159</v>
      </c>
      <c r="F618" s="40"/>
      <c r="G618" s="42"/>
      <c r="H618" s="134" t="s">
        <v>14</v>
      </c>
      <c r="I618" s="44"/>
      <c r="J618" s="44"/>
      <c r="K618" s="45"/>
      <c r="L618" s="46">
        <f t="shared" ref="L618:N618" ca="1" si="445">L621+L624</f>
        <v>0</v>
      </c>
      <c r="M618" s="46">
        <f t="shared" ca="1" si="445"/>
        <v>0</v>
      </c>
      <c r="N618" s="46">
        <f t="shared" ca="1" si="445"/>
        <v>0</v>
      </c>
      <c r="O618" s="46">
        <f t="shared" ca="1" si="438"/>
        <v>0</v>
      </c>
      <c r="P618" s="46">
        <f t="shared" ca="1" si="439"/>
        <v>0</v>
      </c>
      <c r="Q618" s="46">
        <f t="shared" ref="Q618:S618" ca="1" si="446">Q621+Q624</f>
        <v>101100</v>
      </c>
      <c r="R618" s="46">
        <f t="shared" ca="1" si="446"/>
        <v>101100</v>
      </c>
      <c r="S618" s="46">
        <f t="shared" ca="1" si="446"/>
        <v>7900</v>
      </c>
      <c r="T618" s="46">
        <f t="shared" ca="1" si="441"/>
        <v>7.8140454995054398</v>
      </c>
      <c r="U618" s="46">
        <f t="shared" ca="1" si="442"/>
        <v>7.8140454995054398</v>
      </c>
    </row>
    <row r="619" spans="1:21" ht="18.75" x14ac:dyDescent="0.25">
      <c r="A619" s="128"/>
      <c r="B619" s="158"/>
      <c r="C619" s="158"/>
      <c r="D619" s="41" t="s">
        <v>22</v>
      </c>
      <c r="E619" s="40"/>
      <c r="F619" s="40"/>
      <c r="G619" s="42"/>
      <c r="H619" s="134" t="s">
        <v>14</v>
      </c>
      <c r="I619" s="135"/>
      <c r="J619" s="135"/>
      <c r="K619" s="136"/>
      <c r="L619" s="46">
        <f t="shared" ref="L619:N619" ca="1" si="447">L620+L621</f>
        <v>0</v>
      </c>
      <c r="M619" s="46">
        <f t="shared" ca="1" si="447"/>
        <v>0</v>
      </c>
      <c r="N619" s="46">
        <f t="shared" ca="1" si="447"/>
        <v>0</v>
      </c>
      <c r="O619" s="46">
        <f t="shared" ca="1" si="438"/>
        <v>0</v>
      </c>
      <c r="P619" s="46">
        <f t="shared" ca="1" si="439"/>
        <v>0</v>
      </c>
      <c r="Q619" s="46">
        <f t="shared" ref="Q619:S619" ca="1" si="448">Q620+Q621</f>
        <v>101100</v>
      </c>
      <c r="R619" s="46">
        <f t="shared" ca="1" si="448"/>
        <v>101100</v>
      </c>
      <c r="S619" s="46">
        <f t="shared" ca="1" si="448"/>
        <v>7900</v>
      </c>
      <c r="T619" s="46">
        <f t="shared" ca="1" si="441"/>
        <v>7.8140454995054398</v>
      </c>
      <c r="U619" s="46">
        <f t="shared" ca="1" si="442"/>
        <v>7.8140454995054398</v>
      </c>
    </row>
    <row r="620" spans="1:21" ht="18.75" x14ac:dyDescent="0.25">
      <c r="A620" s="128"/>
      <c r="B620" s="158"/>
      <c r="C620" s="158"/>
      <c r="D620" s="145"/>
      <c r="E620" s="156" t="s">
        <v>158</v>
      </c>
      <c r="F620" s="40"/>
      <c r="G620" s="42"/>
      <c r="H620" s="159" t="s">
        <v>14</v>
      </c>
      <c r="I620" s="44"/>
      <c r="J620" s="44"/>
      <c r="K620" s="45"/>
      <c r="L620" s="48">
        <f ca="1">IFERROR(__xludf.DUMMYFUNCTION("IMPORTRANGE(""https://docs.google.com/spreadsheets/d/1jTcq05yEiRwXcBMLjiodW9e4biSGYWAHcDj22rKWQ3s/edit?usp=sharing"",""กำแพงเพชร!L620"")+IMPORTRANGE(""https://docs.google.com/spreadsheets/d/1KS0zmDSZPk8KnTAbGN-Xk6MtX1YRZD0ldgdt20K4CRk/edit?usp=sharing"","&amp;"""เชียงราย!L620"")+IMPORTRANGE(""https://docs.google.com/spreadsheets/d/1rEDxBtusbi64tE0zunoIbsTVV16HeL0oJ6trHQeQ7K8/edit?usp=sharing"",""เชียงใหม่!L620"")+IMPORTRANGE(""https://docs.google.com/spreadsheets/d/1W6MnUbDkMi6xHnHko_XkFDO9kkuL6Wqyc-6OCDFjW9I/e"&amp;"dit?usp=sharing"",""ตาก!L620"")+IMPORTRANGE(""https://docs.google.com/spreadsheets/d/1IQAWArduLkta9LpYo4a_ULsyqdta6-6aDDiwpUnQT6c/edit?usp=sharing"",""นครสวรรค์!L620"")+IMPORTRANGE(""https://docs.google.com/spreadsheets/d/10s13Sk5xrltsiR-Zkbmk5DwIaDIKO8Xl"&amp;"bJAfqyT7Gvg/edit?usp=sharing"",""น่าน!L620"")+IMPORTRANGE(""https://docs.google.com/spreadsheets/d/1uu4nAn4Dbi1XREnLKKotUANlKXa7yCgRcgq8HEzQYW8/edit?usp=sharing"",""พะเยา!L620"")+IMPORTRANGE(""https://docs.google.com/spreadsheets/d/1xfJKIQxVOaPDIICqsflNlL"&amp;"u3JacTDk1FP9RH4phX7mI/edit?usp=sharing"",""พิจิตร!L620"")+IMPORTRANGE(""https://docs.google.com/spreadsheets/d/1JtRfZkJMHtEhI5RdRHxYUG4FIZHqKDpNyIuN7A1Q0_k/edit?usp=sharing"",""พิษณุโลก!L620"")+IMPORTRANGE(""https://docs.google.com/spreadsheets/d/1xlcVZWU"&amp;"Nn6SuWm0c307h32SiGkd9BaeQWlAktfD3KO8/edit?usp=sharing"",""เพชรบูรณ์!L620"")+IMPORTRANGE(""https://docs.google.com/spreadsheets/d/1lOVebEIsI9qjGXl6EX66luk7wiuP2tBaryw-wKvv4e0/edit?usp=sharing"",""แพร่!L620"")+IMPORTRANGE(""https://docs.google.com/spreadshe"&amp;"ets/d/1dQrvX0vEcN7Gu0fnZ0B5S90AeR19zth4XlExFBeExMY/edit?usp=sharing"",""แม่ฮ่องสอน!L620"")+IMPORTRANGE(""https://docs.google.com/spreadsheets/d/1DY4XTNNwjluuxqdfdn6qvOSlMRrZqUtmYcZR0ttFiG4/edit?usp=sharing"",""ลำปาง!L620"")+IMPORTRANGE(""https://docs.goog"&amp;"le.com/spreadsheets/d/1ICwG78r0OFT8biBlxnBF8r7she7gNSzOvJ958PWT09c/edit?usp=sharing"",""ลำพูน!L620"")+IMPORTRANGE(""https://docs.google.com/spreadsheets/d/1B0f2xJpZUC6Z0xXnqKlZtEPzsf6L84eP1r1Q15seqRM/edit?usp=sharing"",""สุโขทัย!L620"")+IMPORTRANGE(""http"&amp;"s://docs.google.com/spreadsheets/d/1v0b9pFQCsKUVExMei7AgY2yQkdeNQvtOssygGsXbiKo/edit?usp=sharing"",""อุตรดิตถ์!L620"")+IMPORTRANGE(""https://docs.google.com/spreadsheets/d/1UsNK1e-WWiCo2PvGqdNfdme4m17_Ezd3J69EeeiQPD0/edit?usp=sharing"",""อุทัยธานี!L620"")"),0)</f>
        <v>0</v>
      </c>
      <c r="M620" s="48">
        <f ca="1">IFERROR(__xludf.DUMMYFUNCTION("IMPORTRANGE(""https://docs.google.com/spreadsheets/d/1jTcq05yEiRwXcBMLjiodW9e4biSGYWAHcDj22rKWQ3s/edit?usp=sharing"",""กำแพงเพชร!M620"")+IMPORTRANGE(""https://docs.google.com/spreadsheets/d/1KS0zmDSZPk8KnTAbGN-Xk6MtX1YRZD0ldgdt20K4CRk/edit?usp=sharing"","&amp;"""เชียงราย!M620"")+IMPORTRANGE(""https://docs.google.com/spreadsheets/d/1rEDxBtusbi64tE0zunoIbsTVV16HeL0oJ6trHQeQ7K8/edit?usp=sharing"",""เชียงใหม่!M620"")+IMPORTRANGE(""https://docs.google.com/spreadsheets/d/1W6MnUbDkMi6xHnHko_XkFDO9kkuL6Wqyc-6OCDFjW9I/e"&amp;"dit?usp=sharing"",""ตาก!M620"")+IMPORTRANGE(""https://docs.google.com/spreadsheets/d/1IQAWArduLkta9LpYo4a_ULsyqdta6-6aDDiwpUnQT6c/edit?usp=sharing"",""นครสวรรค์!M620"")+IMPORTRANGE(""https://docs.google.com/spreadsheets/d/10s13Sk5xrltsiR-Zkbmk5DwIaDIKO8Xl"&amp;"bJAfqyT7Gvg/edit?usp=sharing"",""น่าน!M620"")+IMPORTRANGE(""https://docs.google.com/spreadsheets/d/1uu4nAn4Dbi1XREnLKKotUANlKXa7yCgRcgq8HEzQYW8/edit?usp=sharing"",""พะเยา!M620"")+IMPORTRANGE(""https://docs.google.com/spreadsheets/d/1xfJKIQxVOaPDIICqsflNlL"&amp;"u3JacTDk1FP9RH4phX7mI/edit?usp=sharing"",""พิจิตร!M620"")+IMPORTRANGE(""https://docs.google.com/spreadsheets/d/1JtRfZkJMHtEhI5RdRHxYUG4FIZHqKDpNyIuN7A1Q0_k/edit?usp=sharing"",""พิษณุโลก!M620"")+IMPORTRANGE(""https://docs.google.com/spreadsheets/d/1xlcVZWU"&amp;"Nn6SuWm0c307h32SiGkd9BaeQWlAktfD3KO8/edit?usp=sharing"",""เพชรบูรณ์!M620"")+IMPORTRANGE(""https://docs.google.com/spreadsheets/d/1lOVebEIsI9qjGXl6EX66luk7wiuP2tBaryw-wKvv4e0/edit?usp=sharing"",""แพร่!M620"")+IMPORTRANGE(""https://docs.google.com/spreadshe"&amp;"ets/d/1dQrvX0vEcN7Gu0fnZ0B5S90AeR19zth4XlExFBeExMY/edit?usp=sharing"",""แม่ฮ่องสอน!M620"")+IMPORTRANGE(""https://docs.google.com/spreadsheets/d/1DY4XTNNwjluuxqdfdn6qvOSlMRrZqUtmYcZR0ttFiG4/edit?usp=sharing"",""ลำปาง!M620"")+IMPORTRANGE(""https://docs.goog"&amp;"le.com/spreadsheets/d/1ICwG78r0OFT8biBlxnBF8r7she7gNSzOvJ958PWT09c/edit?usp=sharing"",""ลำพูน!M620"")+IMPORTRANGE(""https://docs.google.com/spreadsheets/d/1B0f2xJpZUC6Z0xXnqKlZtEPzsf6L84eP1r1Q15seqRM/edit?usp=sharing"",""สุโขทัย!M620"")+IMPORTRANGE(""http"&amp;"s://docs.google.com/spreadsheets/d/1v0b9pFQCsKUVExMei7AgY2yQkdeNQvtOssygGsXbiKo/edit?usp=sharing"",""อุตรดิตถ์!M620"")+IMPORTRANGE(""https://docs.google.com/spreadsheets/d/1UsNK1e-WWiCo2PvGqdNfdme4m17_Ezd3J69EeeiQPD0/edit?usp=sharing"",""อุทัยธานี!M620"")"),0)</f>
        <v>0</v>
      </c>
      <c r="N620" s="48">
        <f ca="1">IFERROR(__xludf.DUMMYFUNCTION("IMPORTRANGE(""https://docs.google.com/spreadsheets/d/1jTcq05yEiRwXcBMLjiodW9e4biSGYWAHcDj22rKWQ3s/edit?usp=sharing"",""กำแพงเพชร!N620"")+IMPORTRANGE(""https://docs.google.com/spreadsheets/d/1KS0zmDSZPk8KnTAbGN-Xk6MtX1YRZD0ldgdt20K4CRk/edit?usp=sharing"","&amp;"""เชียงราย!N620"")+IMPORTRANGE(""https://docs.google.com/spreadsheets/d/1rEDxBtusbi64tE0zunoIbsTVV16HeL0oJ6trHQeQ7K8/edit?usp=sharing"",""เชียงใหม่!N620"")+IMPORTRANGE(""https://docs.google.com/spreadsheets/d/1W6MnUbDkMi6xHnHko_XkFDO9kkuL6Wqyc-6OCDFjW9I/e"&amp;"dit?usp=sharing"",""ตาก!N620"")+IMPORTRANGE(""https://docs.google.com/spreadsheets/d/1IQAWArduLkta9LpYo4a_ULsyqdta6-6aDDiwpUnQT6c/edit?usp=sharing"",""นครสวรรค์!N620"")+IMPORTRANGE(""https://docs.google.com/spreadsheets/d/10s13Sk5xrltsiR-Zkbmk5DwIaDIKO8Xl"&amp;"bJAfqyT7Gvg/edit?usp=sharing"",""น่าน!N620"")+IMPORTRANGE(""https://docs.google.com/spreadsheets/d/1uu4nAn4Dbi1XREnLKKotUANlKXa7yCgRcgq8HEzQYW8/edit?usp=sharing"",""พะเยา!N620"")+IMPORTRANGE(""https://docs.google.com/spreadsheets/d/1xfJKIQxVOaPDIICqsflNlL"&amp;"u3JacTDk1FP9RH4phX7mI/edit?usp=sharing"",""พิจิตร!N620"")+IMPORTRANGE(""https://docs.google.com/spreadsheets/d/1JtRfZkJMHtEhI5RdRHxYUG4FIZHqKDpNyIuN7A1Q0_k/edit?usp=sharing"",""พิษณุโลก!N620"")+IMPORTRANGE(""https://docs.google.com/spreadsheets/d/1xlcVZWU"&amp;"Nn6SuWm0c307h32SiGkd9BaeQWlAktfD3KO8/edit?usp=sharing"",""เพชรบูรณ์!N620"")+IMPORTRANGE(""https://docs.google.com/spreadsheets/d/1lOVebEIsI9qjGXl6EX66luk7wiuP2tBaryw-wKvv4e0/edit?usp=sharing"",""แพร่!N620"")+IMPORTRANGE(""https://docs.google.com/spreadshe"&amp;"ets/d/1dQrvX0vEcN7Gu0fnZ0B5S90AeR19zth4XlExFBeExMY/edit?usp=sharing"",""แม่ฮ่องสอน!N620"")+IMPORTRANGE(""https://docs.google.com/spreadsheets/d/1DY4XTNNwjluuxqdfdn6qvOSlMRrZqUtmYcZR0ttFiG4/edit?usp=sharing"",""ลำปาง!N620"")+IMPORTRANGE(""https://docs.goog"&amp;"le.com/spreadsheets/d/1ICwG78r0OFT8biBlxnBF8r7she7gNSzOvJ958PWT09c/edit?usp=sharing"",""ลำพูน!N620"")+IMPORTRANGE(""https://docs.google.com/spreadsheets/d/1B0f2xJpZUC6Z0xXnqKlZtEPzsf6L84eP1r1Q15seqRM/edit?usp=sharing"",""สุโขทัย!N620"")+IMPORTRANGE(""http"&amp;"s://docs.google.com/spreadsheets/d/1v0b9pFQCsKUVExMei7AgY2yQkdeNQvtOssygGsXbiKo/edit?usp=sharing"",""อุตรดิตถ์!N620"")+IMPORTRANGE(""https://docs.google.com/spreadsheets/d/1UsNK1e-WWiCo2PvGqdNfdme4m17_Ezd3J69EeeiQPD0/edit?usp=sharing"",""อุทัยธานี!N620"")"),0)</f>
        <v>0</v>
      </c>
      <c r="O620" s="48">
        <f t="shared" ca="1" si="438"/>
        <v>0</v>
      </c>
      <c r="P620" s="48">
        <f t="shared" ca="1" si="439"/>
        <v>0</v>
      </c>
      <c r="Q620" s="48">
        <f ca="1">IFERROR(__xludf.DUMMYFUNCTION("IMPORTRANGE(""https://docs.google.com/spreadsheets/d/1jTcq05yEiRwXcBMLjiodW9e4biSGYWAHcDj22rKWQ3s/edit?usp=sharing"",""กำแพงเพชร!Q620"")+IMPORTRANGE(""https://docs.google.com/spreadsheets/d/1KS0zmDSZPk8KnTAbGN-Xk6MtX1YRZD0ldgdt20K4CRk/edit?usp=sharing"","&amp;"""เชียงราย!Q620"")+IMPORTRANGE(""https://docs.google.com/spreadsheets/d/1rEDxBtusbi64tE0zunoIbsTVV16HeL0oJ6trHQeQ7K8/edit?usp=sharing"",""เชียงใหม่!Q620"")+IMPORTRANGE(""https://docs.google.com/spreadsheets/d/1W6MnUbDkMi6xHnHko_XkFDO9kkuL6Wqyc-6OCDFjW9I/e"&amp;"dit?usp=sharing"",""ตาก!Q620"")+IMPORTRANGE(""https://docs.google.com/spreadsheets/d/1IQAWArduLkta9LpYo4a_ULsyqdta6-6aDDiwpUnQT6c/edit?usp=sharing"",""นครสวรรค์!Q620"")+IMPORTRANGE(""https://docs.google.com/spreadsheets/d/10s13Sk5xrltsiR-Zkbmk5DwIaDIKO8Xl"&amp;"bJAfqyT7Gvg/edit?usp=sharing"",""น่าน!Q620"")+IMPORTRANGE(""https://docs.google.com/spreadsheets/d/1uu4nAn4Dbi1XREnLKKotUANlKXa7yCgRcgq8HEzQYW8/edit?usp=sharing"",""พะเยา!Q620"")+IMPORTRANGE(""https://docs.google.com/spreadsheets/d/1xfJKIQxVOaPDIICqsflNlL"&amp;"u3JacTDk1FP9RH4phX7mI/edit?usp=sharing"",""พิจิตร!Q620"")+IMPORTRANGE(""https://docs.google.com/spreadsheets/d/1JtRfZkJMHtEhI5RdRHxYUG4FIZHqKDpNyIuN7A1Q0_k/edit?usp=sharing"",""พิษณุโลก!Q620"")+IMPORTRANGE(""https://docs.google.com/spreadsheets/d/1xlcVZWU"&amp;"Nn6SuWm0c307h32SiGkd9BaeQWlAktfD3KO8/edit?usp=sharing"",""เพชรบูรณ์!Q620"")+IMPORTRANGE(""https://docs.google.com/spreadsheets/d/1lOVebEIsI9qjGXl6EX66luk7wiuP2tBaryw-wKvv4e0/edit?usp=sharing"",""แพร่!Q620"")+IMPORTRANGE(""https://docs.google.com/spreadshe"&amp;"ets/d/1dQrvX0vEcN7Gu0fnZ0B5S90AeR19zth4XlExFBeExMY/edit?usp=sharing"",""แม่ฮ่องสอน!Q620"")+IMPORTRANGE(""https://docs.google.com/spreadsheets/d/1DY4XTNNwjluuxqdfdn6qvOSlMRrZqUtmYcZR0ttFiG4/edit?usp=sharing"",""ลำปาง!Q620"")+IMPORTRANGE(""https://docs.goog"&amp;"le.com/spreadsheets/d/1ICwG78r0OFT8biBlxnBF8r7she7gNSzOvJ958PWT09c/edit?usp=sharing"",""ลำพูน!Q620"")+IMPORTRANGE(""https://docs.google.com/spreadsheets/d/1B0f2xJpZUC6Z0xXnqKlZtEPzsf6L84eP1r1Q15seqRM/edit?usp=sharing"",""สุโขทัย!Q620"")+IMPORTRANGE(""http"&amp;"s://docs.google.com/spreadsheets/d/1v0b9pFQCsKUVExMei7AgY2yQkdeNQvtOssygGsXbiKo/edit?usp=sharing"",""อุตรดิตถ์!Q620"")+IMPORTRANGE(""https://docs.google.com/spreadsheets/d/1UsNK1e-WWiCo2PvGqdNfdme4m17_Ezd3J69EeeiQPD0/edit?usp=sharing"",""อุทัยธานี!Q620"")"),0)</f>
        <v>0</v>
      </c>
      <c r="R620" s="48">
        <f ca="1">IFERROR(__xludf.DUMMYFUNCTION("IMPORTRANGE(""https://docs.google.com/spreadsheets/d/1jTcq05yEiRwXcBMLjiodW9e4biSGYWAHcDj22rKWQ3s/edit?usp=sharing"",""กำแพงเพชร!R620"")+IMPORTRANGE(""https://docs.google.com/spreadsheets/d/1KS0zmDSZPk8KnTAbGN-Xk6MtX1YRZD0ldgdt20K4CRk/edit?usp=sharing"","&amp;"""เชียงราย!R620"")+IMPORTRANGE(""https://docs.google.com/spreadsheets/d/1rEDxBtusbi64tE0zunoIbsTVV16HeL0oJ6trHQeQ7K8/edit?usp=sharing"",""เชียงใหม่!R620"")+IMPORTRANGE(""https://docs.google.com/spreadsheets/d/1W6MnUbDkMi6xHnHko_XkFDO9kkuL6Wqyc-6OCDFjW9I/e"&amp;"dit?usp=sharing"",""ตาก!R620"")+IMPORTRANGE(""https://docs.google.com/spreadsheets/d/1IQAWArduLkta9LpYo4a_ULsyqdta6-6aDDiwpUnQT6c/edit?usp=sharing"",""นครสวรรค์!R620"")+IMPORTRANGE(""https://docs.google.com/spreadsheets/d/10s13Sk5xrltsiR-Zkbmk5DwIaDIKO8Xl"&amp;"bJAfqyT7Gvg/edit?usp=sharing"",""น่าน!R620"")+IMPORTRANGE(""https://docs.google.com/spreadsheets/d/1uu4nAn4Dbi1XREnLKKotUANlKXa7yCgRcgq8HEzQYW8/edit?usp=sharing"",""พะเยา!R620"")+IMPORTRANGE(""https://docs.google.com/spreadsheets/d/1xfJKIQxVOaPDIICqsflNlL"&amp;"u3JacTDk1FP9RH4phX7mI/edit?usp=sharing"",""พิจิตร!R620"")+IMPORTRANGE(""https://docs.google.com/spreadsheets/d/1JtRfZkJMHtEhI5RdRHxYUG4FIZHqKDpNyIuN7A1Q0_k/edit?usp=sharing"",""พิษณุโลก!R620"")+IMPORTRANGE(""https://docs.google.com/spreadsheets/d/1xlcVZWU"&amp;"Nn6SuWm0c307h32SiGkd9BaeQWlAktfD3KO8/edit?usp=sharing"",""เพชรบูรณ์!R620"")+IMPORTRANGE(""https://docs.google.com/spreadsheets/d/1lOVebEIsI9qjGXl6EX66luk7wiuP2tBaryw-wKvv4e0/edit?usp=sharing"",""แพร่!R620"")+IMPORTRANGE(""https://docs.google.com/spreadshe"&amp;"ets/d/1dQrvX0vEcN7Gu0fnZ0B5S90AeR19zth4XlExFBeExMY/edit?usp=sharing"",""แม่ฮ่องสอน!R620"")+IMPORTRANGE(""https://docs.google.com/spreadsheets/d/1DY4XTNNwjluuxqdfdn6qvOSlMRrZqUtmYcZR0ttFiG4/edit?usp=sharing"",""ลำปาง!R620"")+IMPORTRANGE(""https://docs.goog"&amp;"le.com/spreadsheets/d/1ICwG78r0OFT8biBlxnBF8r7she7gNSzOvJ958PWT09c/edit?usp=sharing"",""ลำพูน!R620"")+IMPORTRANGE(""https://docs.google.com/spreadsheets/d/1B0f2xJpZUC6Z0xXnqKlZtEPzsf6L84eP1r1Q15seqRM/edit?usp=sharing"",""สุโขทัย!R620"")+IMPORTRANGE(""http"&amp;"s://docs.google.com/spreadsheets/d/1v0b9pFQCsKUVExMei7AgY2yQkdeNQvtOssygGsXbiKo/edit?usp=sharing"",""อุตรดิตถ์!R620"")+IMPORTRANGE(""https://docs.google.com/spreadsheets/d/1UsNK1e-WWiCo2PvGqdNfdme4m17_Ezd3J69EeeiQPD0/edit?usp=sharing"",""อุทัยธานี!R620"")"),0)</f>
        <v>0</v>
      </c>
      <c r="S620" s="48">
        <f ca="1">IFERROR(__xludf.DUMMYFUNCTION("IMPORTRANGE(""https://docs.google.com/spreadsheets/d/1jTcq05yEiRwXcBMLjiodW9e4biSGYWAHcDj22rKWQ3s/edit?usp=sharing"",""กำแพงเพชร!S620"")+IMPORTRANGE(""https://docs.google.com/spreadsheets/d/1KS0zmDSZPk8KnTAbGN-Xk6MtX1YRZD0ldgdt20K4CRk/edit?usp=sharing"","&amp;"""เชียงราย!S620"")+IMPORTRANGE(""https://docs.google.com/spreadsheets/d/1rEDxBtusbi64tE0zunoIbsTVV16HeL0oJ6trHQeQ7K8/edit?usp=sharing"",""เชียงใหม่!S620"")+IMPORTRANGE(""https://docs.google.com/spreadsheets/d/1W6MnUbDkMi6xHnHko_XkFDO9kkuL6Wqyc-6OCDFjW9I/e"&amp;"dit?usp=sharing"",""ตาก!S620"")+IMPORTRANGE(""https://docs.google.com/spreadsheets/d/1IQAWArduLkta9LpYo4a_ULsyqdta6-6aDDiwpUnQT6c/edit?usp=sharing"",""นครสวรรค์!S620"")+IMPORTRANGE(""https://docs.google.com/spreadsheets/d/10s13Sk5xrltsiR-Zkbmk5DwIaDIKO8Xl"&amp;"bJAfqyT7Gvg/edit?usp=sharing"",""น่าน!S620"")+IMPORTRANGE(""https://docs.google.com/spreadsheets/d/1uu4nAn4Dbi1XREnLKKotUANlKXa7yCgRcgq8HEzQYW8/edit?usp=sharing"",""พะเยา!S620"")+IMPORTRANGE(""https://docs.google.com/spreadsheets/d/1xfJKIQxVOaPDIICqsflNlL"&amp;"u3JacTDk1FP9RH4phX7mI/edit?usp=sharing"",""พิจิตร!S620"")+IMPORTRANGE(""https://docs.google.com/spreadsheets/d/1JtRfZkJMHtEhI5RdRHxYUG4FIZHqKDpNyIuN7A1Q0_k/edit?usp=sharing"",""พิษณุโลก!S620"")+IMPORTRANGE(""https://docs.google.com/spreadsheets/d/1xlcVZWU"&amp;"Nn6SuWm0c307h32SiGkd9BaeQWlAktfD3KO8/edit?usp=sharing"",""เพชรบูรณ์!S620"")+IMPORTRANGE(""https://docs.google.com/spreadsheets/d/1lOVebEIsI9qjGXl6EX66luk7wiuP2tBaryw-wKvv4e0/edit?usp=sharing"",""แพร่!S620"")+IMPORTRANGE(""https://docs.google.com/spreadshe"&amp;"ets/d/1dQrvX0vEcN7Gu0fnZ0B5S90AeR19zth4XlExFBeExMY/edit?usp=sharing"",""แม่ฮ่องสอน!S620"")+IMPORTRANGE(""https://docs.google.com/spreadsheets/d/1DY4XTNNwjluuxqdfdn6qvOSlMRrZqUtmYcZR0ttFiG4/edit?usp=sharing"",""ลำปาง!S620"")+IMPORTRANGE(""https://docs.goog"&amp;"le.com/spreadsheets/d/1ICwG78r0OFT8biBlxnBF8r7she7gNSzOvJ958PWT09c/edit?usp=sharing"",""ลำพูน!S620"")+IMPORTRANGE(""https://docs.google.com/spreadsheets/d/1B0f2xJpZUC6Z0xXnqKlZtEPzsf6L84eP1r1Q15seqRM/edit?usp=sharing"",""สุโขทัย!S620"")+IMPORTRANGE(""http"&amp;"s://docs.google.com/spreadsheets/d/1v0b9pFQCsKUVExMei7AgY2yQkdeNQvtOssygGsXbiKo/edit?usp=sharing"",""อุตรดิตถ์!S620"")+IMPORTRANGE(""https://docs.google.com/spreadsheets/d/1UsNK1e-WWiCo2PvGqdNfdme4m17_Ezd3J69EeeiQPD0/edit?usp=sharing"",""อุทัยธานี!S620"")"),0)</f>
        <v>0</v>
      </c>
      <c r="T620" s="48">
        <f t="shared" ca="1" si="441"/>
        <v>0</v>
      </c>
      <c r="U620" s="48">
        <f t="shared" ca="1" si="442"/>
        <v>0</v>
      </c>
    </row>
    <row r="621" spans="1:21" ht="18.75" x14ac:dyDescent="0.25">
      <c r="A621" s="128"/>
      <c r="B621" s="158"/>
      <c r="C621" s="158"/>
      <c r="D621" s="145"/>
      <c r="E621" s="47" t="s">
        <v>159</v>
      </c>
      <c r="F621" s="40"/>
      <c r="G621" s="42"/>
      <c r="H621" s="134" t="s">
        <v>14</v>
      </c>
      <c r="I621" s="44"/>
      <c r="J621" s="44"/>
      <c r="K621" s="45"/>
      <c r="L621" s="46">
        <f ca="1">IFERROR(__xludf.DUMMYFUNCTION("IMPORTRANGE(""https://docs.google.com/spreadsheets/d/1jTcq05yEiRwXcBMLjiodW9e4biSGYWAHcDj22rKWQ3s/edit?usp=sharing"",""กำแพงเพชร!L621"")+IMPORTRANGE(""https://docs.google.com/spreadsheets/d/1KS0zmDSZPk8KnTAbGN-Xk6MtX1YRZD0ldgdt20K4CRk/edit?usp=sharing"","&amp;"""เชียงราย!L621"")+IMPORTRANGE(""https://docs.google.com/spreadsheets/d/1rEDxBtusbi64tE0zunoIbsTVV16HeL0oJ6trHQeQ7K8/edit?usp=sharing"",""เชียงใหม่!L621"")+IMPORTRANGE(""https://docs.google.com/spreadsheets/d/1W6MnUbDkMi6xHnHko_XkFDO9kkuL6Wqyc-6OCDFjW9I/e"&amp;"dit?usp=sharing"",""ตาก!L621"")+IMPORTRANGE(""https://docs.google.com/spreadsheets/d/1IQAWArduLkta9LpYo4a_ULsyqdta6-6aDDiwpUnQT6c/edit?usp=sharing"",""นครสวรรค์!L621"")+IMPORTRANGE(""https://docs.google.com/spreadsheets/d/10s13Sk5xrltsiR-Zkbmk5DwIaDIKO8Xl"&amp;"bJAfqyT7Gvg/edit?usp=sharing"",""น่าน!L621"")+IMPORTRANGE(""https://docs.google.com/spreadsheets/d/1uu4nAn4Dbi1XREnLKKotUANlKXa7yCgRcgq8HEzQYW8/edit?usp=sharing"",""พะเยา!L621"")+IMPORTRANGE(""https://docs.google.com/spreadsheets/d/1xfJKIQxVOaPDIICqsflNlL"&amp;"u3JacTDk1FP9RH4phX7mI/edit?usp=sharing"",""พิจิตร!L621"")+IMPORTRANGE(""https://docs.google.com/spreadsheets/d/1JtRfZkJMHtEhI5RdRHxYUG4FIZHqKDpNyIuN7A1Q0_k/edit?usp=sharing"",""พิษณุโลก!L621"")+IMPORTRANGE(""https://docs.google.com/spreadsheets/d/1xlcVZWU"&amp;"Nn6SuWm0c307h32SiGkd9BaeQWlAktfD3KO8/edit?usp=sharing"",""เพชรบูรณ์!L621"")+IMPORTRANGE(""https://docs.google.com/spreadsheets/d/1lOVebEIsI9qjGXl6EX66luk7wiuP2tBaryw-wKvv4e0/edit?usp=sharing"",""แพร่!L621"")+IMPORTRANGE(""https://docs.google.com/spreadshe"&amp;"ets/d/1dQrvX0vEcN7Gu0fnZ0B5S90AeR19zth4XlExFBeExMY/edit?usp=sharing"",""แม่ฮ่องสอน!L621"")+IMPORTRANGE(""https://docs.google.com/spreadsheets/d/1DY4XTNNwjluuxqdfdn6qvOSlMRrZqUtmYcZR0ttFiG4/edit?usp=sharing"",""ลำปาง!L621"")+IMPORTRANGE(""https://docs.goog"&amp;"le.com/spreadsheets/d/1ICwG78r0OFT8biBlxnBF8r7she7gNSzOvJ958PWT09c/edit?usp=sharing"",""ลำพูน!L621"")+IMPORTRANGE(""https://docs.google.com/spreadsheets/d/1B0f2xJpZUC6Z0xXnqKlZtEPzsf6L84eP1r1Q15seqRM/edit?usp=sharing"",""สุโขทัย!L621"")+IMPORTRANGE(""http"&amp;"s://docs.google.com/spreadsheets/d/1v0b9pFQCsKUVExMei7AgY2yQkdeNQvtOssygGsXbiKo/edit?usp=sharing"",""อุตรดิตถ์!L621"")+IMPORTRANGE(""https://docs.google.com/spreadsheets/d/1UsNK1e-WWiCo2PvGqdNfdme4m17_Ezd3J69EeeiQPD0/edit?usp=sharing"",""อุทัยธานี!L621"")"),0)</f>
        <v>0</v>
      </c>
      <c r="M621" s="46">
        <f ca="1">IFERROR(__xludf.DUMMYFUNCTION("IMPORTRANGE(""https://docs.google.com/spreadsheets/d/1jTcq05yEiRwXcBMLjiodW9e4biSGYWAHcDj22rKWQ3s/edit?usp=sharing"",""กำแพงเพชร!M621"")+IMPORTRANGE(""https://docs.google.com/spreadsheets/d/1KS0zmDSZPk8KnTAbGN-Xk6MtX1YRZD0ldgdt20K4CRk/edit?usp=sharing"","&amp;"""เชียงราย!M621"")+IMPORTRANGE(""https://docs.google.com/spreadsheets/d/1rEDxBtusbi64tE0zunoIbsTVV16HeL0oJ6trHQeQ7K8/edit?usp=sharing"",""เชียงใหม่!M621"")+IMPORTRANGE(""https://docs.google.com/spreadsheets/d/1W6MnUbDkMi6xHnHko_XkFDO9kkuL6Wqyc-6OCDFjW9I/e"&amp;"dit?usp=sharing"",""ตาก!M621"")+IMPORTRANGE(""https://docs.google.com/spreadsheets/d/1IQAWArduLkta9LpYo4a_ULsyqdta6-6aDDiwpUnQT6c/edit?usp=sharing"",""นครสวรรค์!M621"")+IMPORTRANGE(""https://docs.google.com/spreadsheets/d/10s13Sk5xrltsiR-Zkbmk5DwIaDIKO8Xl"&amp;"bJAfqyT7Gvg/edit?usp=sharing"",""น่าน!M621"")+IMPORTRANGE(""https://docs.google.com/spreadsheets/d/1uu4nAn4Dbi1XREnLKKotUANlKXa7yCgRcgq8HEzQYW8/edit?usp=sharing"",""พะเยา!M621"")+IMPORTRANGE(""https://docs.google.com/spreadsheets/d/1xfJKIQxVOaPDIICqsflNlL"&amp;"u3JacTDk1FP9RH4phX7mI/edit?usp=sharing"",""พิจิตร!M621"")+IMPORTRANGE(""https://docs.google.com/spreadsheets/d/1JtRfZkJMHtEhI5RdRHxYUG4FIZHqKDpNyIuN7A1Q0_k/edit?usp=sharing"",""พิษณุโลก!M621"")+IMPORTRANGE(""https://docs.google.com/spreadsheets/d/1xlcVZWU"&amp;"Nn6SuWm0c307h32SiGkd9BaeQWlAktfD3KO8/edit?usp=sharing"",""เพชรบูรณ์!M621"")+IMPORTRANGE(""https://docs.google.com/spreadsheets/d/1lOVebEIsI9qjGXl6EX66luk7wiuP2tBaryw-wKvv4e0/edit?usp=sharing"",""แพร่!M621"")+IMPORTRANGE(""https://docs.google.com/spreadshe"&amp;"ets/d/1dQrvX0vEcN7Gu0fnZ0B5S90AeR19zth4XlExFBeExMY/edit?usp=sharing"",""แม่ฮ่องสอน!M621"")+IMPORTRANGE(""https://docs.google.com/spreadsheets/d/1DY4XTNNwjluuxqdfdn6qvOSlMRrZqUtmYcZR0ttFiG4/edit?usp=sharing"",""ลำปาง!M621"")+IMPORTRANGE(""https://docs.goog"&amp;"le.com/spreadsheets/d/1ICwG78r0OFT8biBlxnBF8r7she7gNSzOvJ958PWT09c/edit?usp=sharing"",""ลำพูน!M621"")+IMPORTRANGE(""https://docs.google.com/spreadsheets/d/1B0f2xJpZUC6Z0xXnqKlZtEPzsf6L84eP1r1Q15seqRM/edit?usp=sharing"",""สุโขทัย!M621"")+IMPORTRANGE(""http"&amp;"s://docs.google.com/spreadsheets/d/1v0b9pFQCsKUVExMei7AgY2yQkdeNQvtOssygGsXbiKo/edit?usp=sharing"",""อุตรดิตถ์!M621"")+IMPORTRANGE(""https://docs.google.com/spreadsheets/d/1UsNK1e-WWiCo2PvGqdNfdme4m17_Ezd3J69EeeiQPD0/edit?usp=sharing"",""อุทัยธานี!M621"")"),0)</f>
        <v>0</v>
      </c>
      <c r="N621" s="46">
        <f ca="1">IFERROR(__xludf.DUMMYFUNCTION("IMPORTRANGE(""https://docs.google.com/spreadsheets/d/1jTcq05yEiRwXcBMLjiodW9e4biSGYWAHcDj22rKWQ3s/edit?usp=sharing"",""กำแพงเพชร!N621"")+IMPORTRANGE(""https://docs.google.com/spreadsheets/d/1KS0zmDSZPk8KnTAbGN-Xk6MtX1YRZD0ldgdt20K4CRk/edit?usp=sharing"","&amp;"""เชียงราย!N621"")+IMPORTRANGE(""https://docs.google.com/spreadsheets/d/1rEDxBtusbi64tE0zunoIbsTVV16HeL0oJ6trHQeQ7K8/edit?usp=sharing"",""เชียงใหม่!N621"")+IMPORTRANGE(""https://docs.google.com/spreadsheets/d/1W6MnUbDkMi6xHnHko_XkFDO9kkuL6Wqyc-6OCDFjW9I/e"&amp;"dit?usp=sharing"",""ตาก!N621"")+IMPORTRANGE(""https://docs.google.com/spreadsheets/d/1IQAWArduLkta9LpYo4a_ULsyqdta6-6aDDiwpUnQT6c/edit?usp=sharing"",""นครสวรรค์!N621"")+IMPORTRANGE(""https://docs.google.com/spreadsheets/d/10s13Sk5xrltsiR-Zkbmk5DwIaDIKO8Xl"&amp;"bJAfqyT7Gvg/edit?usp=sharing"",""น่าน!N621"")+IMPORTRANGE(""https://docs.google.com/spreadsheets/d/1uu4nAn4Dbi1XREnLKKotUANlKXa7yCgRcgq8HEzQYW8/edit?usp=sharing"",""พะเยา!N621"")+IMPORTRANGE(""https://docs.google.com/spreadsheets/d/1xfJKIQxVOaPDIICqsflNlL"&amp;"u3JacTDk1FP9RH4phX7mI/edit?usp=sharing"",""พิจิตร!N621"")+IMPORTRANGE(""https://docs.google.com/spreadsheets/d/1JtRfZkJMHtEhI5RdRHxYUG4FIZHqKDpNyIuN7A1Q0_k/edit?usp=sharing"",""พิษณุโลก!N621"")+IMPORTRANGE(""https://docs.google.com/spreadsheets/d/1xlcVZWU"&amp;"Nn6SuWm0c307h32SiGkd9BaeQWlAktfD3KO8/edit?usp=sharing"",""เพชรบูรณ์!N621"")+IMPORTRANGE(""https://docs.google.com/spreadsheets/d/1lOVebEIsI9qjGXl6EX66luk7wiuP2tBaryw-wKvv4e0/edit?usp=sharing"",""แพร่!N621"")+IMPORTRANGE(""https://docs.google.com/spreadshe"&amp;"ets/d/1dQrvX0vEcN7Gu0fnZ0B5S90AeR19zth4XlExFBeExMY/edit?usp=sharing"",""แม่ฮ่องสอน!N621"")+IMPORTRANGE(""https://docs.google.com/spreadsheets/d/1DY4XTNNwjluuxqdfdn6qvOSlMRrZqUtmYcZR0ttFiG4/edit?usp=sharing"",""ลำปาง!N621"")+IMPORTRANGE(""https://docs.goog"&amp;"le.com/spreadsheets/d/1ICwG78r0OFT8biBlxnBF8r7she7gNSzOvJ958PWT09c/edit?usp=sharing"",""ลำพูน!N621"")+IMPORTRANGE(""https://docs.google.com/spreadsheets/d/1B0f2xJpZUC6Z0xXnqKlZtEPzsf6L84eP1r1Q15seqRM/edit?usp=sharing"",""สุโขทัย!N621"")+IMPORTRANGE(""http"&amp;"s://docs.google.com/spreadsheets/d/1v0b9pFQCsKUVExMei7AgY2yQkdeNQvtOssygGsXbiKo/edit?usp=sharing"",""อุตรดิตถ์!N621"")+IMPORTRANGE(""https://docs.google.com/spreadsheets/d/1UsNK1e-WWiCo2PvGqdNfdme4m17_Ezd3J69EeeiQPD0/edit?usp=sharing"",""อุทัยธานี!N621"")"),0)</f>
        <v>0</v>
      </c>
      <c r="O621" s="46">
        <f t="shared" ca="1" si="438"/>
        <v>0</v>
      </c>
      <c r="P621" s="46">
        <f t="shared" ca="1" si="439"/>
        <v>0</v>
      </c>
      <c r="Q621" s="46">
        <f ca="1">IFERROR(__xludf.DUMMYFUNCTION("IMPORTRANGE(""https://docs.google.com/spreadsheets/d/1jTcq05yEiRwXcBMLjiodW9e4biSGYWAHcDj22rKWQ3s/edit?usp=sharing"",""กำแพงเพชร!Q621"")+IMPORTRANGE(""https://docs.google.com/spreadsheets/d/1KS0zmDSZPk8KnTAbGN-Xk6MtX1YRZD0ldgdt20K4CRk/edit?usp=sharing"","&amp;"""เชียงราย!Q621"")+IMPORTRANGE(""https://docs.google.com/spreadsheets/d/1rEDxBtusbi64tE0zunoIbsTVV16HeL0oJ6trHQeQ7K8/edit?usp=sharing"",""เชียงใหม่!Q621"")+IMPORTRANGE(""https://docs.google.com/spreadsheets/d/1W6MnUbDkMi6xHnHko_XkFDO9kkuL6Wqyc-6OCDFjW9I/e"&amp;"dit?usp=sharing"",""ตาก!Q621"")+IMPORTRANGE(""https://docs.google.com/spreadsheets/d/1IQAWArduLkta9LpYo4a_ULsyqdta6-6aDDiwpUnQT6c/edit?usp=sharing"",""นครสวรรค์!Q621"")+IMPORTRANGE(""https://docs.google.com/spreadsheets/d/10s13Sk5xrltsiR-Zkbmk5DwIaDIKO8Xl"&amp;"bJAfqyT7Gvg/edit?usp=sharing"",""น่าน!Q621"")+IMPORTRANGE(""https://docs.google.com/spreadsheets/d/1uu4nAn4Dbi1XREnLKKotUANlKXa7yCgRcgq8HEzQYW8/edit?usp=sharing"",""พะเยา!Q621"")+IMPORTRANGE(""https://docs.google.com/spreadsheets/d/1xfJKIQxVOaPDIICqsflNlL"&amp;"u3JacTDk1FP9RH4phX7mI/edit?usp=sharing"",""พิจิตร!Q621"")+IMPORTRANGE(""https://docs.google.com/spreadsheets/d/1JtRfZkJMHtEhI5RdRHxYUG4FIZHqKDpNyIuN7A1Q0_k/edit?usp=sharing"",""พิษณุโลก!Q621"")+IMPORTRANGE(""https://docs.google.com/spreadsheets/d/1xlcVZWU"&amp;"Nn6SuWm0c307h32SiGkd9BaeQWlAktfD3KO8/edit?usp=sharing"",""เพชรบูรณ์!Q621"")+IMPORTRANGE(""https://docs.google.com/spreadsheets/d/1lOVebEIsI9qjGXl6EX66luk7wiuP2tBaryw-wKvv4e0/edit?usp=sharing"",""แพร่!Q621"")+IMPORTRANGE(""https://docs.google.com/spreadshe"&amp;"ets/d/1dQrvX0vEcN7Gu0fnZ0B5S90AeR19zth4XlExFBeExMY/edit?usp=sharing"",""แม่ฮ่องสอน!Q621"")+IMPORTRANGE(""https://docs.google.com/spreadsheets/d/1DY4XTNNwjluuxqdfdn6qvOSlMRrZqUtmYcZR0ttFiG4/edit?usp=sharing"",""ลำปาง!Q621"")+IMPORTRANGE(""https://docs.goog"&amp;"le.com/spreadsheets/d/1ICwG78r0OFT8biBlxnBF8r7she7gNSzOvJ958PWT09c/edit?usp=sharing"",""ลำพูน!Q621"")+IMPORTRANGE(""https://docs.google.com/spreadsheets/d/1B0f2xJpZUC6Z0xXnqKlZtEPzsf6L84eP1r1Q15seqRM/edit?usp=sharing"",""สุโขทัย!Q621"")+IMPORTRANGE(""http"&amp;"s://docs.google.com/spreadsheets/d/1v0b9pFQCsKUVExMei7AgY2yQkdeNQvtOssygGsXbiKo/edit?usp=sharing"",""อุตรดิตถ์!Q621"")+IMPORTRANGE(""https://docs.google.com/spreadsheets/d/1UsNK1e-WWiCo2PvGqdNfdme4m17_Ezd3J69EeeiQPD0/edit?usp=sharing"",""อุทัยธานี!Q621"")"),101100)</f>
        <v>101100</v>
      </c>
      <c r="R621" s="46">
        <f ca="1">IFERROR(__xludf.DUMMYFUNCTION("IMPORTRANGE(""https://docs.google.com/spreadsheets/d/1jTcq05yEiRwXcBMLjiodW9e4biSGYWAHcDj22rKWQ3s/edit?usp=sharing"",""กำแพงเพชร!R621"")+IMPORTRANGE(""https://docs.google.com/spreadsheets/d/1KS0zmDSZPk8KnTAbGN-Xk6MtX1YRZD0ldgdt20K4CRk/edit?usp=sharing"","&amp;"""เชียงราย!R621"")+IMPORTRANGE(""https://docs.google.com/spreadsheets/d/1rEDxBtusbi64tE0zunoIbsTVV16HeL0oJ6trHQeQ7K8/edit?usp=sharing"",""เชียงใหม่!R621"")+IMPORTRANGE(""https://docs.google.com/spreadsheets/d/1W6MnUbDkMi6xHnHko_XkFDO9kkuL6Wqyc-6OCDFjW9I/e"&amp;"dit?usp=sharing"",""ตาก!R621"")+IMPORTRANGE(""https://docs.google.com/spreadsheets/d/1IQAWArduLkta9LpYo4a_ULsyqdta6-6aDDiwpUnQT6c/edit?usp=sharing"",""นครสวรรค์!R621"")+IMPORTRANGE(""https://docs.google.com/spreadsheets/d/10s13Sk5xrltsiR-Zkbmk5DwIaDIKO8Xl"&amp;"bJAfqyT7Gvg/edit?usp=sharing"",""น่าน!R621"")+IMPORTRANGE(""https://docs.google.com/spreadsheets/d/1uu4nAn4Dbi1XREnLKKotUANlKXa7yCgRcgq8HEzQYW8/edit?usp=sharing"",""พะเยา!R621"")+IMPORTRANGE(""https://docs.google.com/spreadsheets/d/1xfJKIQxVOaPDIICqsflNlL"&amp;"u3JacTDk1FP9RH4phX7mI/edit?usp=sharing"",""พิจิตร!R621"")+IMPORTRANGE(""https://docs.google.com/spreadsheets/d/1JtRfZkJMHtEhI5RdRHxYUG4FIZHqKDpNyIuN7A1Q0_k/edit?usp=sharing"",""พิษณุโลก!R621"")+IMPORTRANGE(""https://docs.google.com/spreadsheets/d/1xlcVZWU"&amp;"Nn6SuWm0c307h32SiGkd9BaeQWlAktfD3KO8/edit?usp=sharing"",""เพชรบูรณ์!R621"")+IMPORTRANGE(""https://docs.google.com/spreadsheets/d/1lOVebEIsI9qjGXl6EX66luk7wiuP2tBaryw-wKvv4e0/edit?usp=sharing"",""แพร่!R621"")+IMPORTRANGE(""https://docs.google.com/spreadshe"&amp;"ets/d/1dQrvX0vEcN7Gu0fnZ0B5S90AeR19zth4XlExFBeExMY/edit?usp=sharing"",""แม่ฮ่องสอน!R621"")+IMPORTRANGE(""https://docs.google.com/spreadsheets/d/1DY4XTNNwjluuxqdfdn6qvOSlMRrZqUtmYcZR0ttFiG4/edit?usp=sharing"",""ลำปาง!R621"")+IMPORTRANGE(""https://docs.goog"&amp;"le.com/spreadsheets/d/1ICwG78r0OFT8biBlxnBF8r7she7gNSzOvJ958PWT09c/edit?usp=sharing"",""ลำพูน!R621"")+IMPORTRANGE(""https://docs.google.com/spreadsheets/d/1B0f2xJpZUC6Z0xXnqKlZtEPzsf6L84eP1r1Q15seqRM/edit?usp=sharing"",""สุโขทัย!R621"")+IMPORTRANGE(""http"&amp;"s://docs.google.com/spreadsheets/d/1v0b9pFQCsKUVExMei7AgY2yQkdeNQvtOssygGsXbiKo/edit?usp=sharing"",""อุตรดิตถ์!R621"")+IMPORTRANGE(""https://docs.google.com/spreadsheets/d/1UsNK1e-WWiCo2PvGqdNfdme4m17_Ezd3J69EeeiQPD0/edit?usp=sharing"",""อุทัยธานี!R621"")"),101100)</f>
        <v>101100</v>
      </c>
      <c r="S621" s="46">
        <f ca="1">IFERROR(__xludf.DUMMYFUNCTION("IMPORTRANGE(""https://docs.google.com/spreadsheets/d/1jTcq05yEiRwXcBMLjiodW9e4biSGYWAHcDj22rKWQ3s/edit?usp=sharing"",""กำแพงเพชร!S621"")+IMPORTRANGE(""https://docs.google.com/spreadsheets/d/1KS0zmDSZPk8KnTAbGN-Xk6MtX1YRZD0ldgdt20K4CRk/edit?usp=sharing"","&amp;"""เชียงราย!S621"")+IMPORTRANGE(""https://docs.google.com/spreadsheets/d/1rEDxBtusbi64tE0zunoIbsTVV16HeL0oJ6trHQeQ7K8/edit?usp=sharing"",""เชียงใหม่!S621"")+IMPORTRANGE(""https://docs.google.com/spreadsheets/d/1W6MnUbDkMi6xHnHko_XkFDO9kkuL6Wqyc-6OCDFjW9I/e"&amp;"dit?usp=sharing"",""ตาก!S621"")+IMPORTRANGE(""https://docs.google.com/spreadsheets/d/1IQAWArduLkta9LpYo4a_ULsyqdta6-6aDDiwpUnQT6c/edit?usp=sharing"",""นครสวรรค์!S621"")+IMPORTRANGE(""https://docs.google.com/spreadsheets/d/10s13Sk5xrltsiR-Zkbmk5DwIaDIKO8Xl"&amp;"bJAfqyT7Gvg/edit?usp=sharing"",""น่าน!S621"")+IMPORTRANGE(""https://docs.google.com/spreadsheets/d/1uu4nAn4Dbi1XREnLKKotUANlKXa7yCgRcgq8HEzQYW8/edit?usp=sharing"",""พะเยา!S621"")+IMPORTRANGE(""https://docs.google.com/spreadsheets/d/1xfJKIQxVOaPDIICqsflNlL"&amp;"u3JacTDk1FP9RH4phX7mI/edit?usp=sharing"",""พิจิตร!S621"")+IMPORTRANGE(""https://docs.google.com/spreadsheets/d/1JtRfZkJMHtEhI5RdRHxYUG4FIZHqKDpNyIuN7A1Q0_k/edit?usp=sharing"",""พิษณุโลก!S621"")+IMPORTRANGE(""https://docs.google.com/spreadsheets/d/1xlcVZWU"&amp;"Nn6SuWm0c307h32SiGkd9BaeQWlAktfD3KO8/edit?usp=sharing"",""เพชรบูรณ์!S621"")+IMPORTRANGE(""https://docs.google.com/spreadsheets/d/1lOVebEIsI9qjGXl6EX66luk7wiuP2tBaryw-wKvv4e0/edit?usp=sharing"",""แพร่!S621"")+IMPORTRANGE(""https://docs.google.com/spreadshe"&amp;"ets/d/1dQrvX0vEcN7Gu0fnZ0B5S90AeR19zth4XlExFBeExMY/edit?usp=sharing"",""แม่ฮ่องสอน!S621"")+IMPORTRANGE(""https://docs.google.com/spreadsheets/d/1DY4XTNNwjluuxqdfdn6qvOSlMRrZqUtmYcZR0ttFiG4/edit?usp=sharing"",""ลำปาง!S621"")+IMPORTRANGE(""https://docs.goog"&amp;"le.com/spreadsheets/d/1ICwG78r0OFT8biBlxnBF8r7she7gNSzOvJ958PWT09c/edit?usp=sharing"",""ลำพูน!S621"")+IMPORTRANGE(""https://docs.google.com/spreadsheets/d/1B0f2xJpZUC6Z0xXnqKlZtEPzsf6L84eP1r1Q15seqRM/edit?usp=sharing"",""สุโขทัย!S621"")+IMPORTRANGE(""http"&amp;"s://docs.google.com/spreadsheets/d/1v0b9pFQCsKUVExMei7AgY2yQkdeNQvtOssygGsXbiKo/edit?usp=sharing"",""อุตรดิตถ์!S621"")+IMPORTRANGE(""https://docs.google.com/spreadsheets/d/1UsNK1e-WWiCo2PvGqdNfdme4m17_Ezd3J69EeeiQPD0/edit?usp=sharing"",""อุทัยธานี!S621"")"),7900)</f>
        <v>7900</v>
      </c>
      <c r="T621" s="46">
        <f t="shared" ca="1" si="441"/>
        <v>7.8140454995054398</v>
      </c>
      <c r="U621" s="46">
        <f t="shared" ca="1" si="442"/>
        <v>7.8140454995054398</v>
      </c>
    </row>
    <row r="622" spans="1:21" ht="18.75" x14ac:dyDescent="0.25">
      <c r="A622" s="128"/>
      <c r="B622" s="158"/>
      <c r="C622" s="158"/>
      <c r="D622" s="41" t="s">
        <v>23</v>
      </c>
      <c r="E622" s="40"/>
      <c r="F622" s="40"/>
      <c r="G622" s="42"/>
      <c r="H622" s="137" t="s">
        <v>14</v>
      </c>
      <c r="I622" s="135"/>
      <c r="J622" s="135"/>
      <c r="K622" s="136"/>
      <c r="L622" s="46">
        <f t="shared" ref="L622:N622" ca="1" si="449">L623+L624</f>
        <v>0</v>
      </c>
      <c r="M622" s="46">
        <f t="shared" ca="1" si="449"/>
        <v>0</v>
      </c>
      <c r="N622" s="46">
        <f t="shared" ca="1" si="449"/>
        <v>0</v>
      </c>
      <c r="O622" s="46">
        <f t="shared" ca="1" si="438"/>
        <v>0</v>
      </c>
      <c r="P622" s="46">
        <f t="shared" ca="1" si="439"/>
        <v>0</v>
      </c>
      <c r="Q622" s="46">
        <f t="shared" ref="Q622:S622" ca="1" si="450">Q623+Q624</f>
        <v>0</v>
      </c>
      <c r="R622" s="46">
        <f t="shared" ca="1" si="450"/>
        <v>0</v>
      </c>
      <c r="S622" s="46">
        <f t="shared" ca="1" si="450"/>
        <v>0</v>
      </c>
      <c r="T622" s="46">
        <f t="shared" ca="1" si="441"/>
        <v>0</v>
      </c>
      <c r="U622" s="46">
        <f t="shared" ca="1" si="442"/>
        <v>0</v>
      </c>
    </row>
    <row r="623" spans="1:21" ht="18.75" x14ac:dyDescent="0.25">
      <c r="A623" s="128"/>
      <c r="B623" s="158"/>
      <c r="C623" s="158"/>
      <c r="D623" s="158"/>
      <c r="E623" s="156" t="s">
        <v>20</v>
      </c>
      <c r="F623" s="40"/>
      <c r="G623" s="42"/>
      <c r="H623" s="159" t="s">
        <v>14</v>
      </c>
      <c r="I623" s="135"/>
      <c r="J623" s="135"/>
      <c r="K623" s="136"/>
      <c r="L623" s="48">
        <f ca="1">IFERROR(__xludf.DUMMYFUNCTION("IMPORTRANGE(""https://docs.google.com/spreadsheets/d/1jTcq05yEiRwXcBMLjiodW9e4biSGYWAHcDj22rKWQ3s/edit?usp=sharing"",""กำแพงเพชร!L623"")+IMPORTRANGE(""https://docs.google.com/spreadsheets/d/1KS0zmDSZPk8KnTAbGN-Xk6MtX1YRZD0ldgdt20K4CRk/edit?usp=sharing"","&amp;"""เชียงราย!L623"")+IMPORTRANGE(""https://docs.google.com/spreadsheets/d/1rEDxBtusbi64tE0zunoIbsTVV16HeL0oJ6trHQeQ7K8/edit?usp=sharing"",""เชียงใหม่!L623"")+IMPORTRANGE(""https://docs.google.com/spreadsheets/d/1W6MnUbDkMi6xHnHko_XkFDO9kkuL6Wqyc-6OCDFjW9I/e"&amp;"dit?usp=sharing"",""ตาก!L623"")+IMPORTRANGE(""https://docs.google.com/spreadsheets/d/1IQAWArduLkta9LpYo4a_ULsyqdta6-6aDDiwpUnQT6c/edit?usp=sharing"",""นครสวรรค์!L623"")+IMPORTRANGE(""https://docs.google.com/spreadsheets/d/10s13Sk5xrltsiR-Zkbmk5DwIaDIKO8Xl"&amp;"bJAfqyT7Gvg/edit?usp=sharing"",""น่าน!L623"")+IMPORTRANGE(""https://docs.google.com/spreadsheets/d/1uu4nAn4Dbi1XREnLKKotUANlKXa7yCgRcgq8HEzQYW8/edit?usp=sharing"",""พะเยา!L623"")+IMPORTRANGE(""https://docs.google.com/spreadsheets/d/1xfJKIQxVOaPDIICqsflNlL"&amp;"u3JacTDk1FP9RH4phX7mI/edit?usp=sharing"",""พิจิตร!L623"")+IMPORTRANGE(""https://docs.google.com/spreadsheets/d/1JtRfZkJMHtEhI5RdRHxYUG4FIZHqKDpNyIuN7A1Q0_k/edit?usp=sharing"",""พิษณุโลก!L623"")+IMPORTRANGE(""https://docs.google.com/spreadsheets/d/1xlcVZWU"&amp;"Nn6SuWm0c307h32SiGkd9BaeQWlAktfD3KO8/edit?usp=sharing"",""เพชรบูรณ์!L623"")+IMPORTRANGE(""https://docs.google.com/spreadsheets/d/1lOVebEIsI9qjGXl6EX66luk7wiuP2tBaryw-wKvv4e0/edit?usp=sharing"",""แพร่!L623"")+IMPORTRANGE(""https://docs.google.com/spreadshe"&amp;"ets/d/1dQrvX0vEcN7Gu0fnZ0B5S90AeR19zth4XlExFBeExMY/edit?usp=sharing"",""แม่ฮ่องสอน!L623"")+IMPORTRANGE(""https://docs.google.com/spreadsheets/d/1DY4XTNNwjluuxqdfdn6qvOSlMRrZqUtmYcZR0ttFiG4/edit?usp=sharing"",""ลำปาง!L623"")+IMPORTRANGE(""https://docs.goog"&amp;"le.com/spreadsheets/d/1ICwG78r0OFT8biBlxnBF8r7she7gNSzOvJ958PWT09c/edit?usp=sharing"",""ลำพูน!L623"")+IMPORTRANGE(""https://docs.google.com/spreadsheets/d/1B0f2xJpZUC6Z0xXnqKlZtEPzsf6L84eP1r1Q15seqRM/edit?usp=sharing"",""สุโขทัย!L623"")+IMPORTRANGE(""http"&amp;"s://docs.google.com/spreadsheets/d/1v0b9pFQCsKUVExMei7AgY2yQkdeNQvtOssygGsXbiKo/edit?usp=sharing"",""อุตรดิตถ์!L623"")+IMPORTRANGE(""https://docs.google.com/spreadsheets/d/1UsNK1e-WWiCo2PvGqdNfdme4m17_Ezd3J69EeeiQPD0/edit?usp=sharing"",""อุทัยธานี!L623"")"),0)</f>
        <v>0</v>
      </c>
      <c r="M623" s="48">
        <f ca="1">IFERROR(__xludf.DUMMYFUNCTION("IMPORTRANGE(""https://docs.google.com/spreadsheets/d/1jTcq05yEiRwXcBMLjiodW9e4biSGYWAHcDj22rKWQ3s/edit?usp=sharing"",""กำแพงเพชร!M623"")+IMPORTRANGE(""https://docs.google.com/spreadsheets/d/1KS0zmDSZPk8KnTAbGN-Xk6MtX1YRZD0ldgdt20K4CRk/edit?usp=sharing"","&amp;"""เชียงราย!M623"")+IMPORTRANGE(""https://docs.google.com/spreadsheets/d/1rEDxBtusbi64tE0zunoIbsTVV16HeL0oJ6trHQeQ7K8/edit?usp=sharing"",""เชียงใหม่!M623"")+IMPORTRANGE(""https://docs.google.com/spreadsheets/d/1W6MnUbDkMi6xHnHko_XkFDO9kkuL6Wqyc-6OCDFjW9I/e"&amp;"dit?usp=sharing"",""ตาก!M623"")+IMPORTRANGE(""https://docs.google.com/spreadsheets/d/1IQAWArduLkta9LpYo4a_ULsyqdta6-6aDDiwpUnQT6c/edit?usp=sharing"",""นครสวรรค์!M623"")+IMPORTRANGE(""https://docs.google.com/spreadsheets/d/10s13Sk5xrltsiR-Zkbmk5DwIaDIKO8Xl"&amp;"bJAfqyT7Gvg/edit?usp=sharing"",""น่าน!M623"")+IMPORTRANGE(""https://docs.google.com/spreadsheets/d/1uu4nAn4Dbi1XREnLKKotUANlKXa7yCgRcgq8HEzQYW8/edit?usp=sharing"",""พะเยา!M623"")+IMPORTRANGE(""https://docs.google.com/spreadsheets/d/1xfJKIQxVOaPDIICqsflNlL"&amp;"u3JacTDk1FP9RH4phX7mI/edit?usp=sharing"",""พิจิตร!M623"")+IMPORTRANGE(""https://docs.google.com/spreadsheets/d/1JtRfZkJMHtEhI5RdRHxYUG4FIZHqKDpNyIuN7A1Q0_k/edit?usp=sharing"",""พิษณุโลก!M623"")+IMPORTRANGE(""https://docs.google.com/spreadsheets/d/1xlcVZWU"&amp;"Nn6SuWm0c307h32SiGkd9BaeQWlAktfD3KO8/edit?usp=sharing"",""เพชรบูรณ์!M623"")+IMPORTRANGE(""https://docs.google.com/spreadsheets/d/1lOVebEIsI9qjGXl6EX66luk7wiuP2tBaryw-wKvv4e0/edit?usp=sharing"",""แพร่!M623"")+IMPORTRANGE(""https://docs.google.com/spreadshe"&amp;"ets/d/1dQrvX0vEcN7Gu0fnZ0B5S90AeR19zth4XlExFBeExMY/edit?usp=sharing"",""แม่ฮ่องสอน!M623"")+IMPORTRANGE(""https://docs.google.com/spreadsheets/d/1DY4XTNNwjluuxqdfdn6qvOSlMRrZqUtmYcZR0ttFiG4/edit?usp=sharing"",""ลำปาง!M623"")+IMPORTRANGE(""https://docs.goog"&amp;"le.com/spreadsheets/d/1ICwG78r0OFT8biBlxnBF8r7she7gNSzOvJ958PWT09c/edit?usp=sharing"",""ลำพูน!M623"")+IMPORTRANGE(""https://docs.google.com/spreadsheets/d/1B0f2xJpZUC6Z0xXnqKlZtEPzsf6L84eP1r1Q15seqRM/edit?usp=sharing"",""สุโขทัย!M623"")+IMPORTRANGE(""http"&amp;"s://docs.google.com/spreadsheets/d/1v0b9pFQCsKUVExMei7AgY2yQkdeNQvtOssygGsXbiKo/edit?usp=sharing"",""อุตรดิตถ์!M623"")+IMPORTRANGE(""https://docs.google.com/spreadsheets/d/1UsNK1e-WWiCo2PvGqdNfdme4m17_Ezd3J69EeeiQPD0/edit?usp=sharing"",""อุทัยธานี!M623"")"),0)</f>
        <v>0</v>
      </c>
      <c r="N623" s="48">
        <f ca="1">IFERROR(__xludf.DUMMYFUNCTION("IMPORTRANGE(""https://docs.google.com/spreadsheets/d/1jTcq05yEiRwXcBMLjiodW9e4biSGYWAHcDj22rKWQ3s/edit?usp=sharing"",""กำแพงเพชร!N623"")+IMPORTRANGE(""https://docs.google.com/spreadsheets/d/1KS0zmDSZPk8KnTAbGN-Xk6MtX1YRZD0ldgdt20K4CRk/edit?usp=sharing"","&amp;"""เชียงราย!N623"")+IMPORTRANGE(""https://docs.google.com/spreadsheets/d/1rEDxBtusbi64tE0zunoIbsTVV16HeL0oJ6trHQeQ7K8/edit?usp=sharing"",""เชียงใหม่!N623"")+IMPORTRANGE(""https://docs.google.com/spreadsheets/d/1W6MnUbDkMi6xHnHko_XkFDO9kkuL6Wqyc-6OCDFjW9I/e"&amp;"dit?usp=sharing"",""ตาก!N623"")+IMPORTRANGE(""https://docs.google.com/spreadsheets/d/1IQAWArduLkta9LpYo4a_ULsyqdta6-6aDDiwpUnQT6c/edit?usp=sharing"",""นครสวรรค์!N623"")+IMPORTRANGE(""https://docs.google.com/spreadsheets/d/10s13Sk5xrltsiR-Zkbmk5DwIaDIKO8Xl"&amp;"bJAfqyT7Gvg/edit?usp=sharing"",""น่าน!N623"")+IMPORTRANGE(""https://docs.google.com/spreadsheets/d/1uu4nAn4Dbi1XREnLKKotUANlKXa7yCgRcgq8HEzQYW8/edit?usp=sharing"",""พะเยา!N623"")+IMPORTRANGE(""https://docs.google.com/spreadsheets/d/1xfJKIQxVOaPDIICqsflNlL"&amp;"u3JacTDk1FP9RH4phX7mI/edit?usp=sharing"",""พิจิตร!N623"")+IMPORTRANGE(""https://docs.google.com/spreadsheets/d/1JtRfZkJMHtEhI5RdRHxYUG4FIZHqKDpNyIuN7A1Q0_k/edit?usp=sharing"",""พิษณุโลก!N623"")+IMPORTRANGE(""https://docs.google.com/spreadsheets/d/1xlcVZWU"&amp;"Nn6SuWm0c307h32SiGkd9BaeQWlAktfD3KO8/edit?usp=sharing"",""เพชรบูรณ์!N623"")+IMPORTRANGE(""https://docs.google.com/spreadsheets/d/1lOVebEIsI9qjGXl6EX66luk7wiuP2tBaryw-wKvv4e0/edit?usp=sharing"",""แพร่!N623"")+IMPORTRANGE(""https://docs.google.com/spreadshe"&amp;"ets/d/1dQrvX0vEcN7Gu0fnZ0B5S90AeR19zth4XlExFBeExMY/edit?usp=sharing"",""แม่ฮ่องสอน!N623"")+IMPORTRANGE(""https://docs.google.com/spreadsheets/d/1DY4XTNNwjluuxqdfdn6qvOSlMRrZqUtmYcZR0ttFiG4/edit?usp=sharing"",""ลำปาง!N623"")+IMPORTRANGE(""https://docs.goog"&amp;"le.com/spreadsheets/d/1ICwG78r0OFT8biBlxnBF8r7she7gNSzOvJ958PWT09c/edit?usp=sharing"",""ลำพูน!N623"")+IMPORTRANGE(""https://docs.google.com/spreadsheets/d/1B0f2xJpZUC6Z0xXnqKlZtEPzsf6L84eP1r1Q15seqRM/edit?usp=sharing"",""สุโขทัย!N623"")+IMPORTRANGE(""http"&amp;"s://docs.google.com/spreadsheets/d/1v0b9pFQCsKUVExMei7AgY2yQkdeNQvtOssygGsXbiKo/edit?usp=sharing"",""อุตรดิตถ์!N623"")+IMPORTRANGE(""https://docs.google.com/spreadsheets/d/1UsNK1e-WWiCo2PvGqdNfdme4m17_Ezd3J69EeeiQPD0/edit?usp=sharing"",""อุทัยธานี!N623"")"),0)</f>
        <v>0</v>
      </c>
      <c r="O623" s="48">
        <f t="shared" ca="1" si="438"/>
        <v>0</v>
      </c>
      <c r="P623" s="48">
        <f t="shared" ca="1" si="439"/>
        <v>0</v>
      </c>
      <c r="Q623" s="48">
        <f ca="1">IFERROR(__xludf.DUMMYFUNCTION("IMPORTRANGE(""https://docs.google.com/spreadsheets/d/1jTcq05yEiRwXcBMLjiodW9e4biSGYWAHcDj22rKWQ3s/edit?usp=sharing"",""กำแพงเพชร!Q623"")+IMPORTRANGE(""https://docs.google.com/spreadsheets/d/1KS0zmDSZPk8KnTAbGN-Xk6MtX1YRZD0ldgdt20K4CRk/edit?usp=sharing"","&amp;"""เชียงราย!Q623"")+IMPORTRANGE(""https://docs.google.com/spreadsheets/d/1rEDxBtusbi64tE0zunoIbsTVV16HeL0oJ6trHQeQ7K8/edit?usp=sharing"",""เชียงใหม่!Q623"")+IMPORTRANGE(""https://docs.google.com/spreadsheets/d/1W6MnUbDkMi6xHnHko_XkFDO9kkuL6Wqyc-6OCDFjW9I/e"&amp;"dit?usp=sharing"",""ตาก!Q623"")+IMPORTRANGE(""https://docs.google.com/spreadsheets/d/1IQAWArduLkta9LpYo4a_ULsyqdta6-6aDDiwpUnQT6c/edit?usp=sharing"",""นครสวรรค์!Q623"")+IMPORTRANGE(""https://docs.google.com/spreadsheets/d/10s13Sk5xrltsiR-Zkbmk5DwIaDIKO8Xl"&amp;"bJAfqyT7Gvg/edit?usp=sharing"",""น่าน!Q623"")+IMPORTRANGE(""https://docs.google.com/spreadsheets/d/1uu4nAn4Dbi1XREnLKKotUANlKXa7yCgRcgq8HEzQYW8/edit?usp=sharing"",""พะเยา!Q623"")+IMPORTRANGE(""https://docs.google.com/spreadsheets/d/1xfJKIQxVOaPDIICqsflNlL"&amp;"u3JacTDk1FP9RH4phX7mI/edit?usp=sharing"",""พิจิตร!Q623"")+IMPORTRANGE(""https://docs.google.com/spreadsheets/d/1JtRfZkJMHtEhI5RdRHxYUG4FIZHqKDpNyIuN7A1Q0_k/edit?usp=sharing"",""พิษณุโลก!Q623"")+IMPORTRANGE(""https://docs.google.com/spreadsheets/d/1xlcVZWU"&amp;"Nn6SuWm0c307h32SiGkd9BaeQWlAktfD3KO8/edit?usp=sharing"",""เพชรบูรณ์!Q623"")+IMPORTRANGE(""https://docs.google.com/spreadsheets/d/1lOVebEIsI9qjGXl6EX66luk7wiuP2tBaryw-wKvv4e0/edit?usp=sharing"",""แพร่!Q623"")+IMPORTRANGE(""https://docs.google.com/spreadshe"&amp;"ets/d/1dQrvX0vEcN7Gu0fnZ0B5S90AeR19zth4XlExFBeExMY/edit?usp=sharing"",""แม่ฮ่องสอน!Q623"")+IMPORTRANGE(""https://docs.google.com/spreadsheets/d/1DY4XTNNwjluuxqdfdn6qvOSlMRrZqUtmYcZR0ttFiG4/edit?usp=sharing"",""ลำปาง!Q623"")+IMPORTRANGE(""https://docs.goog"&amp;"le.com/spreadsheets/d/1ICwG78r0OFT8biBlxnBF8r7she7gNSzOvJ958PWT09c/edit?usp=sharing"",""ลำพูน!Q623"")+IMPORTRANGE(""https://docs.google.com/spreadsheets/d/1B0f2xJpZUC6Z0xXnqKlZtEPzsf6L84eP1r1Q15seqRM/edit?usp=sharing"",""สุโขทัย!Q623"")+IMPORTRANGE(""http"&amp;"s://docs.google.com/spreadsheets/d/1v0b9pFQCsKUVExMei7AgY2yQkdeNQvtOssygGsXbiKo/edit?usp=sharing"",""อุตรดิตถ์!Q623"")+IMPORTRANGE(""https://docs.google.com/spreadsheets/d/1UsNK1e-WWiCo2PvGqdNfdme4m17_Ezd3J69EeeiQPD0/edit?usp=sharing"",""อุทัยธานี!Q623"")"),0)</f>
        <v>0</v>
      </c>
      <c r="R623" s="48">
        <f ca="1">IFERROR(__xludf.DUMMYFUNCTION("IMPORTRANGE(""https://docs.google.com/spreadsheets/d/1jTcq05yEiRwXcBMLjiodW9e4biSGYWAHcDj22rKWQ3s/edit?usp=sharing"",""กำแพงเพชร!R623"")+IMPORTRANGE(""https://docs.google.com/spreadsheets/d/1KS0zmDSZPk8KnTAbGN-Xk6MtX1YRZD0ldgdt20K4CRk/edit?usp=sharing"","&amp;"""เชียงราย!R623"")+IMPORTRANGE(""https://docs.google.com/spreadsheets/d/1rEDxBtusbi64tE0zunoIbsTVV16HeL0oJ6trHQeQ7K8/edit?usp=sharing"",""เชียงใหม่!R623"")+IMPORTRANGE(""https://docs.google.com/spreadsheets/d/1W6MnUbDkMi6xHnHko_XkFDO9kkuL6Wqyc-6OCDFjW9I/e"&amp;"dit?usp=sharing"",""ตาก!R623"")+IMPORTRANGE(""https://docs.google.com/spreadsheets/d/1IQAWArduLkta9LpYo4a_ULsyqdta6-6aDDiwpUnQT6c/edit?usp=sharing"",""นครสวรรค์!R623"")+IMPORTRANGE(""https://docs.google.com/spreadsheets/d/10s13Sk5xrltsiR-Zkbmk5DwIaDIKO8Xl"&amp;"bJAfqyT7Gvg/edit?usp=sharing"",""น่าน!R623"")+IMPORTRANGE(""https://docs.google.com/spreadsheets/d/1uu4nAn4Dbi1XREnLKKotUANlKXa7yCgRcgq8HEzQYW8/edit?usp=sharing"",""พะเยา!R623"")+IMPORTRANGE(""https://docs.google.com/spreadsheets/d/1xfJKIQxVOaPDIICqsflNlL"&amp;"u3JacTDk1FP9RH4phX7mI/edit?usp=sharing"",""พิจิตร!R623"")+IMPORTRANGE(""https://docs.google.com/spreadsheets/d/1JtRfZkJMHtEhI5RdRHxYUG4FIZHqKDpNyIuN7A1Q0_k/edit?usp=sharing"",""พิษณุโลก!R623"")+IMPORTRANGE(""https://docs.google.com/spreadsheets/d/1xlcVZWU"&amp;"Nn6SuWm0c307h32SiGkd9BaeQWlAktfD3KO8/edit?usp=sharing"",""เพชรบูรณ์!R623"")+IMPORTRANGE(""https://docs.google.com/spreadsheets/d/1lOVebEIsI9qjGXl6EX66luk7wiuP2tBaryw-wKvv4e0/edit?usp=sharing"",""แพร่!R623"")+IMPORTRANGE(""https://docs.google.com/spreadshe"&amp;"ets/d/1dQrvX0vEcN7Gu0fnZ0B5S90AeR19zth4XlExFBeExMY/edit?usp=sharing"",""แม่ฮ่องสอน!R623"")+IMPORTRANGE(""https://docs.google.com/spreadsheets/d/1DY4XTNNwjluuxqdfdn6qvOSlMRrZqUtmYcZR0ttFiG4/edit?usp=sharing"",""ลำปาง!R623"")+IMPORTRANGE(""https://docs.goog"&amp;"le.com/spreadsheets/d/1ICwG78r0OFT8biBlxnBF8r7she7gNSzOvJ958PWT09c/edit?usp=sharing"",""ลำพูน!R623"")+IMPORTRANGE(""https://docs.google.com/spreadsheets/d/1B0f2xJpZUC6Z0xXnqKlZtEPzsf6L84eP1r1Q15seqRM/edit?usp=sharing"",""สุโขทัย!R623"")+IMPORTRANGE(""http"&amp;"s://docs.google.com/spreadsheets/d/1v0b9pFQCsKUVExMei7AgY2yQkdeNQvtOssygGsXbiKo/edit?usp=sharing"",""อุตรดิตถ์!R623"")+IMPORTRANGE(""https://docs.google.com/spreadsheets/d/1UsNK1e-WWiCo2PvGqdNfdme4m17_Ezd3J69EeeiQPD0/edit?usp=sharing"",""อุทัยธานี!R623"")"),0)</f>
        <v>0</v>
      </c>
      <c r="S623" s="48">
        <f ca="1">IFERROR(__xludf.DUMMYFUNCTION("IMPORTRANGE(""https://docs.google.com/spreadsheets/d/1jTcq05yEiRwXcBMLjiodW9e4biSGYWAHcDj22rKWQ3s/edit?usp=sharing"",""กำแพงเพชร!S623"")+IMPORTRANGE(""https://docs.google.com/spreadsheets/d/1KS0zmDSZPk8KnTAbGN-Xk6MtX1YRZD0ldgdt20K4CRk/edit?usp=sharing"","&amp;"""เชียงราย!S623"")+IMPORTRANGE(""https://docs.google.com/spreadsheets/d/1rEDxBtusbi64tE0zunoIbsTVV16HeL0oJ6trHQeQ7K8/edit?usp=sharing"",""เชียงใหม่!S623"")+IMPORTRANGE(""https://docs.google.com/spreadsheets/d/1W6MnUbDkMi6xHnHko_XkFDO9kkuL6Wqyc-6OCDFjW9I/e"&amp;"dit?usp=sharing"",""ตาก!S623"")+IMPORTRANGE(""https://docs.google.com/spreadsheets/d/1IQAWArduLkta9LpYo4a_ULsyqdta6-6aDDiwpUnQT6c/edit?usp=sharing"",""นครสวรรค์!S623"")+IMPORTRANGE(""https://docs.google.com/spreadsheets/d/10s13Sk5xrltsiR-Zkbmk5DwIaDIKO8Xl"&amp;"bJAfqyT7Gvg/edit?usp=sharing"",""น่าน!S623"")+IMPORTRANGE(""https://docs.google.com/spreadsheets/d/1uu4nAn4Dbi1XREnLKKotUANlKXa7yCgRcgq8HEzQYW8/edit?usp=sharing"",""พะเยา!S623"")+IMPORTRANGE(""https://docs.google.com/spreadsheets/d/1xfJKIQxVOaPDIICqsflNlL"&amp;"u3JacTDk1FP9RH4phX7mI/edit?usp=sharing"",""พิจิตร!S623"")+IMPORTRANGE(""https://docs.google.com/spreadsheets/d/1JtRfZkJMHtEhI5RdRHxYUG4FIZHqKDpNyIuN7A1Q0_k/edit?usp=sharing"",""พิษณุโลก!S623"")+IMPORTRANGE(""https://docs.google.com/spreadsheets/d/1xlcVZWU"&amp;"Nn6SuWm0c307h32SiGkd9BaeQWlAktfD3KO8/edit?usp=sharing"",""เพชรบูรณ์!S623"")+IMPORTRANGE(""https://docs.google.com/spreadsheets/d/1lOVebEIsI9qjGXl6EX66luk7wiuP2tBaryw-wKvv4e0/edit?usp=sharing"",""แพร่!S623"")+IMPORTRANGE(""https://docs.google.com/spreadshe"&amp;"ets/d/1dQrvX0vEcN7Gu0fnZ0B5S90AeR19zth4XlExFBeExMY/edit?usp=sharing"",""แม่ฮ่องสอน!S623"")+IMPORTRANGE(""https://docs.google.com/spreadsheets/d/1DY4XTNNwjluuxqdfdn6qvOSlMRrZqUtmYcZR0ttFiG4/edit?usp=sharing"",""ลำปาง!S623"")+IMPORTRANGE(""https://docs.goog"&amp;"le.com/spreadsheets/d/1ICwG78r0OFT8biBlxnBF8r7she7gNSzOvJ958PWT09c/edit?usp=sharing"",""ลำพูน!S623"")+IMPORTRANGE(""https://docs.google.com/spreadsheets/d/1B0f2xJpZUC6Z0xXnqKlZtEPzsf6L84eP1r1Q15seqRM/edit?usp=sharing"",""สุโขทัย!S623"")+IMPORTRANGE(""http"&amp;"s://docs.google.com/spreadsheets/d/1v0b9pFQCsKUVExMei7AgY2yQkdeNQvtOssygGsXbiKo/edit?usp=sharing"",""อุตรดิตถ์!S623"")+IMPORTRANGE(""https://docs.google.com/spreadsheets/d/1UsNK1e-WWiCo2PvGqdNfdme4m17_Ezd3J69EeeiQPD0/edit?usp=sharing"",""อุทัยธานี!S623"")"),0)</f>
        <v>0</v>
      </c>
      <c r="T623" s="48">
        <f t="shared" ca="1" si="441"/>
        <v>0</v>
      </c>
      <c r="U623" s="48">
        <f t="shared" ca="1" si="442"/>
        <v>0</v>
      </c>
    </row>
    <row r="624" spans="1:21" ht="18.75" x14ac:dyDescent="0.25">
      <c r="A624" s="128"/>
      <c r="B624" s="158"/>
      <c r="C624" s="158"/>
      <c r="D624" s="158"/>
      <c r="E624" s="47" t="s">
        <v>21</v>
      </c>
      <c r="F624" s="40"/>
      <c r="G624" s="42"/>
      <c r="H624" s="137" t="s">
        <v>14</v>
      </c>
      <c r="I624" s="135"/>
      <c r="J624" s="135"/>
      <c r="K624" s="136"/>
      <c r="L624" s="46">
        <f ca="1">IFERROR(__xludf.DUMMYFUNCTION("IMPORTRANGE(""https://docs.google.com/spreadsheets/d/1jTcq05yEiRwXcBMLjiodW9e4biSGYWAHcDj22rKWQ3s/edit?usp=sharing"",""กำแพงเพชร!L624"")+IMPORTRANGE(""https://docs.google.com/spreadsheets/d/1KS0zmDSZPk8KnTAbGN-Xk6MtX1YRZD0ldgdt20K4CRk/edit?usp=sharing"","&amp;"""เชียงราย!L624"")+IMPORTRANGE(""https://docs.google.com/spreadsheets/d/1rEDxBtusbi64tE0zunoIbsTVV16HeL0oJ6trHQeQ7K8/edit?usp=sharing"",""เชียงใหม่!L624"")+IMPORTRANGE(""https://docs.google.com/spreadsheets/d/1W6MnUbDkMi6xHnHko_XkFDO9kkuL6Wqyc-6OCDFjW9I/e"&amp;"dit?usp=sharing"",""ตาก!L624"")+IMPORTRANGE(""https://docs.google.com/spreadsheets/d/1IQAWArduLkta9LpYo4a_ULsyqdta6-6aDDiwpUnQT6c/edit?usp=sharing"",""นครสวรรค์!L624"")+IMPORTRANGE(""https://docs.google.com/spreadsheets/d/10s13Sk5xrltsiR-Zkbmk5DwIaDIKO8Xl"&amp;"bJAfqyT7Gvg/edit?usp=sharing"",""น่าน!L624"")+IMPORTRANGE(""https://docs.google.com/spreadsheets/d/1uu4nAn4Dbi1XREnLKKotUANlKXa7yCgRcgq8HEzQYW8/edit?usp=sharing"",""พะเยา!L624"")+IMPORTRANGE(""https://docs.google.com/spreadsheets/d/1xfJKIQxVOaPDIICqsflNlL"&amp;"u3JacTDk1FP9RH4phX7mI/edit?usp=sharing"",""พิจิตร!L624"")+IMPORTRANGE(""https://docs.google.com/spreadsheets/d/1JtRfZkJMHtEhI5RdRHxYUG4FIZHqKDpNyIuN7A1Q0_k/edit?usp=sharing"",""พิษณุโลก!L624"")+IMPORTRANGE(""https://docs.google.com/spreadsheets/d/1xlcVZWU"&amp;"Nn6SuWm0c307h32SiGkd9BaeQWlAktfD3KO8/edit?usp=sharing"",""เพชรบูรณ์!L624"")+IMPORTRANGE(""https://docs.google.com/spreadsheets/d/1lOVebEIsI9qjGXl6EX66luk7wiuP2tBaryw-wKvv4e0/edit?usp=sharing"",""แพร่!L624"")+IMPORTRANGE(""https://docs.google.com/spreadshe"&amp;"ets/d/1dQrvX0vEcN7Gu0fnZ0B5S90AeR19zth4XlExFBeExMY/edit?usp=sharing"",""แม่ฮ่องสอน!L624"")+IMPORTRANGE(""https://docs.google.com/spreadsheets/d/1DY4XTNNwjluuxqdfdn6qvOSlMRrZqUtmYcZR0ttFiG4/edit?usp=sharing"",""ลำปาง!L624"")+IMPORTRANGE(""https://docs.goog"&amp;"le.com/spreadsheets/d/1ICwG78r0OFT8biBlxnBF8r7she7gNSzOvJ958PWT09c/edit?usp=sharing"",""ลำพูน!L624"")+IMPORTRANGE(""https://docs.google.com/spreadsheets/d/1B0f2xJpZUC6Z0xXnqKlZtEPzsf6L84eP1r1Q15seqRM/edit?usp=sharing"",""สุโขทัย!L624"")+IMPORTRANGE(""http"&amp;"s://docs.google.com/spreadsheets/d/1v0b9pFQCsKUVExMei7AgY2yQkdeNQvtOssygGsXbiKo/edit?usp=sharing"",""อุตรดิตถ์!L624"")+IMPORTRANGE(""https://docs.google.com/spreadsheets/d/1UsNK1e-WWiCo2PvGqdNfdme4m17_Ezd3J69EeeiQPD0/edit?usp=sharing"",""อุทัยธานี!L624"")"),0)</f>
        <v>0</v>
      </c>
      <c r="M624" s="46">
        <f ca="1">IFERROR(__xludf.DUMMYFUNCTION("IMPORTRANGE(""https://docs.google.com/spreadsheets/d/1jTcq05yEiRwXcBMLjiodW9e4biSGYWAHcDj22rKWQ3s/edit?usp=sharing"",""กำแพงเพชร!M624"")+IMPORTRANGE(""https://docs.google.com/spreadsheets/d/1KS0zmDSZPk8KnTAbGN-Xk6MtX1YRZD0ldgdt20K4CRk/edit?usp=sharing"","&amp;"""เชียงราย!M624"")+IMPORTRANGE(""https://docs.google.com/spreadsheets/d/1rEDxBtusbi64tE0zunoIbsTVV16HeL0oJ6trHQeQ7K8/edit?usp=sharing"",""เชียงใหม่!M624"")+IMPORTRANGE(""https://docs.google.com/spreadsheets/d/1W6MnUbDkMi6xHnHko_XkFDO9kkuL6Wqyc-6OCDFjW9I/e"&amp;"dit?usp=sharing"",""ตาก!M624"")+IMPORTRANGE(""https://docs.google.com/spreadsheets/d/1IQAWArduLkta9LpYo4a_ULsyqdta6-6aDDiwpUnQT6c/edit?usp=sharing"",""นครสวรรค์!M624"")+IMPORTRANGE(""https://docs.google.com/spreadsheets/d/10s13Sk5xrltsiR-Zkbmk5DwIaDIKO8Xl"&amp;"bJAfqyT7Gvg/edit?usp=sharing"",""น่าน!M624"")+IMPORTRANGE(""https://docs.google.com/spreadsheets/d/1uu4nAn4Dbi1XREnLKKotUANlKXa7yCgRcgq8HEzQYW8/edit?usp=sharing"",""พะเยา!M624"")+IMPORTRANGE(""https://docs.google.com/spreadsheets/d/1xfJKIQxVOaPDIICqsflNlL"&amp;"u3JacTDk1FP9RH4phX7mI/edit?usp=sharing"",""พิจิตร!M624"")+IMPORTRANGE(""https://docs.google.com/spreadsheets/d/1JtRfZkJMHtEhI5RdRHxYUG4FIZHqKDpNyIuN7A1Q0_k/edit?usp=sharing"",""พิษณุโลก!M624"")+IMPORTRANGE(""https://docs.google.com/spreadsheets/d/1xlcVZWU"&amp;"Nn6SuWm0c307h32SiGkd9BaeQWlAktfD3KO8/edit?usp=sharing"",""เพชรบูรณ์!M624"")+IMPORTRANGE(""https://docs.google.com/spreadsheets/d/1lOVebEIsI9qjGXl6EX66luk7wiuP2tBaryw-wKvv4e0/edit?usp=sharing"",""แพร่!M624"")+IMPORTRANGE(""https://docs.google.com/spreadshe"&amp;"ets/d/1dQrvX0vEcN7Gu0fnZ0B5S90AeR19zth4XlExFBeExMY/edit?usp=sharing"",""แม่ฮ่องสอน!M624"")+IMPORTRANGE(""https://docs.google.com/spreadsheets/d/1DY4XTNNwjluuxqdfdn6qvOSlMRrZqUtmYcZR0ttFiG4/edit?usp=sharing"",""ลำปาง!M624"")+IMPORTRANGE(""https://docs.goog"&amp;"le.com/spreadsheets/d/1ICwG78r0OFT8biBlxnBF8r7she7gNSzOvJ958PWT09c/edit?usp=sharing"",""ลำพูน!M624"")+IMPORTRANGE(""https://docs.google.com/spreadsheets/d/1B0f2xJpZUC6Z0xXnqKlZtEPzsf6L84eP1r1Q15seqRM/edit?usp=sharing"",""สุโขทัย!M624"")+IMPORTRANGE(""http"&amp;"s://docs.google.com/spreadsheets/d/1v0b9pFQCsKUVExMei7AgY2yQkdeNQvtOssygGsXbiKo/edit?usp=sharing"",""อุตรดิตถ์!M624"")+IMPORTRANGE(""https://docs.google.com/spreadsheets/d/1UsNK1e-WWiCo2PvGqdNfdme4m17_Ezd3J69EeeiQPD0/edit?usp=sharing"",""อุทัยธานี!M624"")"),0)</f>
        <v>0</v>
      </c>
      <c r="N624" s="46">
        <f ca="1">IFERROR(__xludf.DUMMYFUNCTION("IMPORTRANGE(""https://docs.google.com/spreadsheets/d/1jTcq05yEiRwXcBMLjiodW9e4biSGYWAHcDj22rKWQ3s/edit?usp=sharing"",""กำแพงเพชร!N624"")+IMPORTRANGE(""https://docs.google.com/spreadsheets/d/1KS0zmDSZPk8KnTAbGN-Xk6MtX1YRZD0ldgdt20K4CRk/edit?usp=sharing"","&amp;"""เชียงราย!N624"")+IMPORTRANGE(""https://docs.google.com/spreadsheets/d/1rEDxBtusbi64tE0zunoIbsTVV16HeL0oJ6trHQeQ7K8/edit?usp=sharing"",""เชียงใหม่!N624"")+IMPORTRANGE(""https://docs.google.com/spreadsheets/d/1W6MnUbDkMi6xHnHko_XkFDO9kkuL6Wqyc-6OCDFjW9I/e"&amp;"dit?usp=sharing"",""ตาก!N624"")+IMPORTRANGE(""https://docs.google.com/spreadsheets/d/1IQAWArduLkta9LpYo4a_ULsyqdta6-6aDDiwpUnQT6c/edit?usp=sharing"",""นครสวรรค์!N624"")+IMPORTRANGE(""https://docs.google.com/spreadsheets/d/10s13Sk5xrltsiR-Zkbmk5DwIaDIKO8Xl"&amp;"bJAfqyT7Gvg/edit?usp=sharing"",""น่าน!N624"")+IMPORTRANGE(""https://docs.google.com/spreadsheets/d/1uu4nAn4Dbi1XREnLKKotUANlKXa7yCgRcgq8HEzQYW8/edit?usp=sharing"",""พะเยา!N624"")+IMPORTRANGE(""https://docs.google.com/spreadsheets/d/1xfJKIQxVOaPDIICqsflNlL"&amp;"u3JacTDk1FP9RH4phX7mI/edit?usp=sharing"",""พิจิตร!N624"")+IMPORTRANGE(""https://docs.google.com/spreadsheets/d/1JtRfZkJMHtEhI5RdRHxYUG4FIZHqKDpNyIuN7A1Q0_k/edit?usp=sharing"",""พิษณุโลก!N624"")+IMPORTRANGE(""https://docs.google.com/spreadsheets/d/1xlcVZWU"&amp;"Nn6SuWm0c307h32SiGkd9BaeQWlAktfD3KO8/edit?usp=sharing"",""เพชรบูรณ์!N624"")+IMPORTRANGE(""https://docs.google.com/spreadsheets/d/1lOVebEIsI9qjGXl6EX66luk7wiuP2tBaryw-wKvv4e0/edit?usp=sharing"",""แพร่!N624"")+IMPORTRANGE(""https://docs.google.com/spreadshe"&amp;"ets/d/1dQrvX0vEcN7Gu0fnZ0B5S90AeR19zth4XlExFBeExMY/edit?usp=sharing"",""แม่ฮ่องสอน!N624"")+IMPORTRANGE(""https://docs.google.com/spreadsheets/d/1DY4XTNNwjluuxqdfdn6qvOSlMRrZqUtmYcZR0ttFiG4/edit?usp=sharing"",""ลำปาง!N624"")+IMPORTRANGE(""https://docs.goog"&amp;"le.com/spreadsheets/d/1ICwG78r0OFT8biBlxnBF8r7she7gNSzOvJ958PWT09c/edit?usp=sharing"",""ลำพูน!N624"")+IMPORTRANGE(""https://docs.google.com/spreadsheets/d/1B0f2xJpZUC6Z0xXnqKlZtEPzsf6L84eP1r1Q15seqRM/edit?usp=sharing"",""สุโขทัย!N624"")+IMPORTRANGE(""http"&amp;"s://docs.google.com/spreadsheets/d/1v0b9pFQCsKUVExMei7AgY2yQkdeNQvtOssygGsXbiKo/edit?usp=sharing"",""อุตรดิตถ์!N624"")+IMPORTRANGE(""https://docs.google.com/spreadsheets/d/1UsNK1e-WWiCo2PvGqdNfdme4m17_Ezd3J69EeeiQPD0/edit?usp=sharing"",""อุทัยธานี!N624"")"),0)</f>
        <v>0</v>
      </c>
      <c r="O624" s="46">
        <f t="shared" ca="1" si="438"/>
        <v>0</v>
      </c>
      <c r="P624" s="46">
        <f t="shared" ca="1" si="439"/>
        <v>0</v>
      </c>
      <c r="Q624" s="46">
        <f ca="1">IFERROR(__xludf.DUMMYFUNCTION("IMPORTRANGE(""https://docs.google.com/spreadsheets/d/1jTcq05yEiRwXcBMLjiodW9e4biSGYWAHcDj22rKWQ3s/edit?usp=sharing"",""กำแพงเพชร!Q624"")+IMPORTRANGE(""https://docs.google.com/spreadsheets/d/1KS0zmDSZPk8KnTAbGN-Xk6MtX1YRZD0ldgdt20K4CRk/edit?usp=sharing"","&amp;"""เชียงราย!Q624"")+IMPORTRANGE(""https://docs.google.com/spreadsheets/d/1rEDxBtusbi64tE0zunoIbsTVV16HeL0oJ6trHQeQ7K8/edit?usp=sharing"",""เชียงใหม่!Q624"")+IMPORTRANGE(""https://docs.google.com/spreadsheets/d/1W6MnUbDkMi6xHnHko_XkFDO9kkuL6Wqyc-6OCDFjW9I/e"&amp;"dit?usp=sharing"",""ตาก!Q624"")+IMPORTRANGE(""https://docs.google.com/spreadsheets/d/1IQAWArduLkta9LpYo4a_ULsyqdta6-6aDDiwpUnQT6c/edit?usp=sharing"",""นครสวรรค์!Q624"")+IMPORTRANGE(""https://docs.google.com/spreadsheets/d/10s13Sk5xrltsiR-Zkbmk5DwIaDIKO8Xl"&amp;"bJAfqyT7Gvg/edit?usp=sharing"",""น่าน!Q624"")+IMPORTRANGE(""https://docs.google.com/spreadsheets/d/1uu4nAn4Dbi1XREnLKKotUANlKXa7yCgRcgq8HEzQYW8/edit?usp=sharing"",""พะเยา!Q624"")+IMPORTRANGE(""https://docs.google.com/spreadsheets/d/1xfJKIQxVOaPDIICqsflNlL"&amp;"u3JacTDk1FP9RH4phX7mI/edit?usp=sharing"",""พิจิตร!Q624"")+IMPORTRANGE(""https://docs.google.com/spreadsheets/d/1JtRfZkJMHtEhI5RdRHxYUG4FIZHqKDpNyIuN7A1Q0_k/edit?usp=sharing"",""พิษณุโลก!Q624"")+IMPORTRANGE(""https://docs.google.com/spreadsheets/d/1xlcVZWU"&amp;"Nn6SuWm0c307h32SiGkd9BaeQWlAktfD3KO8/edit?usp=sharing"",""เพชรบูรณ์!Q624"")+IMPORTRANGE(""https://docs.google.com/spreadsheets/d/1lOVebEIsI9qjGXl6EX66luk7wiuP2tBaryw-wKvv4e0/edit?usp=sharing"",""แพร่!Q624"")+IMPORTRANGE(""https://docs.google.com/spreadshe"&amp;"ets/d/1dQrvX0vEcN7Gu0fnZ0B5S90AeR19zth4XlExFBeExMY/edit?usp=sharing"",""แม่ฮ่องสอน!Q624"")+IMPORTRANGE(""https://docs.google.com/spreadsheets/d/1DY4XTNNwjluuxqdfdn6qvOSlMRrZqUtmYcZR0ttFiG4/edit?usp=sharing"",""ลำปาง!Q624"")+IMPORTRANGE(""https://docs.goog"&amp;"le.com/spreadsheets/d/1ICwG78r0OFT8biBlxnBF8r7she7gNSzOvJ958PWT09c/edit?usp=sharing"",""ลำพูน!Q624"")+IMPORTRANGE(""https://docs.google.com/spreadsheets/d/1B0f2xJpZUC6Z0xXnqKlZtEPzsf6L84eP1r1Q15seqRM/edit?usp=sharing"",""สุโขทัย!Q624"")+IMPORTRANGE(""http"&amp;"s://docs.google.com/spreadsheets/d/1v0b9pFQCsKUVExMei7AgY2yQkdeNQvtOssygGsXbiKo/edit?usp=sharing"",""อุตรดิตถ์!Q624"")+IMPORTRANGE(""https://docs.google.com/spreadsheets/d/1UsNK1e-WWiCo2PvGqdNfdme4m17_Ezd3J69EeeiQPD0/edit?usp=sharing"",""อุทัยธานี!Q624"")"),0)</f>
        <v>0</v>
      </c>
      <c r="R624" s="46">
        <f ca="1">IFERROR(__xludf.DUMMYFUNCTION("IMPORTRANGE(""https://docs.google.com/spreadsheets/d/1jTcq05yEiRwXcBMLjiodW9e4biSGYWAHcDj22rKWQ3s/edit?usp=sharing"",""กำแพงเพชร!R624"")+IMPORTRANGE(""https://docs.google.com/spreadsheets/d/1KS0zmDSZPk8KnTAbGN-Xk6MtX1YRZD0ldgdt20K4CRk/edit?usp=sharing"","&amp;"""เชียงราย!R624"")+IMPORTRANGE(""https://docs.google.com/spreadsheets/d/1rEDxBtusbi64tE0zunoIbsTVV16HeL0oJ6trHQeQ7K8/edit?usp=sharing"",""เชียงใหม่!R624"")+IMPORTRANGE(""https://docs.google.com/spreadsheets/d/1W6MnUbDkMi6xHnHko_XkFDO9kkuL6Wqyc-6OCDFjW9I/e"&amp;"dit?usp=sharing"",""ตาก!R624"")+IMPORTRANGE(""https://docs.google.com/spreadsheets/d/1IQAWArduLkta9LpYo4a_ULsyqdta6-6aDDiwpUnQT6c/edit?usp=sharing"",""นครสวรรค์!R624"")+IMPORTRANGE(""https://docs.google.com/spreadsheets/d/10s13Sk5xrltsiR-Zkbmk5DwIaDIKO8Xl"&amp;"bJAfqyT7Gvg/edit?usp=sharing"",""น่าน!R624"")+IMPORTRANGE(""https://docs.google.com/spreadsheets/d/1uu4nAn4Dbi1XREnLKKotUANlKXa7yCgRcgq8HEzQYW8/edit?usp=sharing"",""พะเยา!R624"")+IMPORTRANGE(""https://docs.google.com/spreadsheets/d/1xfJKIQxVOaPDIICqsflNlL"&amp;"u3JacTDk1FP9RH4phX7mI/edit?usp=sharing"",""พิจิตร!R624"")+IMPORTRANGE(""https://docs.google.com/spreadsheets/d/1JtRfZkJMHtEhI5RdRHxYUG4FIZHqKDpNyIuN7A1Q0_k/edit?usp=sharing"",""พิษณุโลก!R624"")+IMPORTRANGE(""https://docs.google.com/spreadsheets/d/1xlcVZWU"&amp;"Nn6SuWm0c307h32SiGkd9BaeQWlAktfD3KO8/edit?usp=sharing"",""เพชรบูรณ์!R624"")+IMPORTRANGE(""https://docs.google.com/spreadsheets/d/1lOVebEIsI9qjGXl6EX66luk7wiuP2tBaryw-wKvv4e0/edit?usp=sharing"",""แพร่!R624"")+IMPORTRANGE(""https://docs.google.com/spreadshe"&amp;"ets/d/1dQrvX0vEcN7Gu0fnZ0B5S90AeR19zth4XlExFBeExMY/edit?usp=sharing"",""แม่ฮ่องสอน!R624"")+IMPORTRANGE(""https://docs.google.com/spreadsheets/d/1DY4XTNNwjluuxqdfdn6qvOSlMRrZqUtmYcZR0ttFiG4/edit?usp=sharing"",""ลำปาง!R624"")+IMPORTRANGE(""https://docs.goog"&amp;"le.com/spreadsheets/d/1ICwG78r0OFT8biBlxnBF8r7she7gNSzOvJ958PWT09c/edit?usp=sharing"",""ลำพูน!R624"")+IMPORTRANGE(""https://docs.google.com/spreadsheets/d/1B0f2xJpZUC6Z0xXnqKlZtEPzsf6L84eP1r1Q15seqRM/edit?usp=sharing"",""สุโขทัย!R624"")+IMPORTRANGE(""http"&amp;"s://docs.google.com/spreadsheets/d/1v0b9pFQCsKUVExMei7AgY2yQkdeNQvtOssygGsXbiKo/edit?usp=sharing"",""อุตรดิตถ์!R624"")+IMPORTRANGE(""https://docs.google.com/spreadsheets/d/1UsNK1e-WWiCo2PvGqdNfdme4m17_Ezd3J69EeeiQPD0/edit?usp=sharing"",""อุทัยธานี!R624"")"),0)</f>
        <v>0</v>
      </c>
      <c r="S624" s="46">
        <f ca="1">IFERROR(__xludf.DUMMYFUNCTION("IMPORTRANGE(""https://docs.google.com/spreadsheets/d/1jTcq05yEiRwXcBMLjiodW9e4biSGYWAHcDj22rKWQ3s/edit?usp=sharing"",""กำแพงเพชร!S624"")+IMPORTRANGE(""https://docs.google.com/spreadsheets/d/1KS0zmDSZPk8KnTAbGN-Xk6MtX1YRZD0ldgdt20K4CRk/edit?usp=sharing"","&amp;"""เชียงราย!S624"")+IMPORTRANGE(""https://docs.google.com/spreadsheets/d/1rEDxBtusbi64tE0zunoIbsTVV16HeL0oJ6trHQeQ7K8/edit?usp=sharing"",""เชียงใหม่!S624"")+IMPORTRANGE(""https://docs.google.com/spreadsheets/d/1W6MnUbDkMi6xHnHko_XkFDO9kkuL6Wqyc-6OCDFjW9I/e"&amp;"dit?usp=sharing"",""ตาก!S624"")+IMPORTRANGE(""https://docs.google.com/spreadsheets/d/1IQAWArduLkta9LpYo4a_ULsyqdta6-6aDDiwpUnQT6c/edit?usp=sharing"",""นครสวรรค์!S624"")+IMPORTRANGE(""https://docs.google.com/spreadsheets/d/10s13Sk5xrltsiR-Zkbmk5DwIaDIKO8Xl"&amp;"bJAfqyT7Gvg/edit?usp=sharing"",""น่าน!S624"")+IMPORTRANGE(""https://docs.google.com/spreadsheets/d/1uu4nAn4Dbi1XREnLKKotUANlKXa7yCgRcgq8HEzQYW8/edit?usp=sharing"",""พะเยา!S624"")+IMPORTRANGE(""https://docs.google.com/spreadsheets/d/1xfJKIQxVOaPDIICqsflNlL"&amp;"u3JacTDk1FP9RH4phX7mI/edit?usp=sharing"",""พิจิตร!S624"")+IMPORTRANGE(""https://docs.google.com/spreadsheets/d/1JtRfZkJMHtEhI5RdRHxYUG4FIZHqKDpNyIuN7A1Q0_k/edit?usp=sharing"",""พิษณุโลก!S624"")+IMPORTRANGE(""https://docs.google.com/spreadsheets/d/1xlcVZWU"&amp;"Nn6SuWm0c307h32SiGkd9BaeQWlAktfD3KO8/edit?usp=sharing"",""เพชรบูรณ์!S624"")+IMPORTRANGE(""https://docs.google.com/spreadsheets/d/1lOVebEIsI9qjGXl6EX66luk7wiuP2tBaryw-wKvv4e0/edit?usp=sharing"",""แพร่!S624"")+IMPORTRANGE(""https://docs.google.com/spreadshe"&amp;"ets/d/1dQrvX0vEcN7Gu0fnZ0B5S90AeR19zth4XlExFBeExMY/edit?usp=sharing"",""แม่ฮ่องสอน!S624"")+IMPORTRANGE(""https://docs.google.com/spreadsheets/d/1DY4XTNNwjluuxqdfdn6qvOSlMRrZqUtmYcZR0ttFiG4/edit?usp=sharing"",""ลำปาง!S624"")+IMPORTRANGE(""https://docs.goog"&amp;"le.com/spreadsheets/d/1ICwG78r0OFT8biBlxnBF8r7she7gNSzOvJ958PWT09c/edit?usp=sharing"",""ลำพูน!S624"")+IMPORTRANGE(""https://docs.google.com/spreadsheets/d/1B0f2xJpZUC6Z0xXnqKlZtEPzsf6L84eP1r1Q15seqRM/edit?usp=sharing"",""สุโขทัย!S624"")+IMPORTRANGE(""http"&amp;"s://docs.google.com/spreadsheets/d/1v0b9pFQCsKUVExMei7AgY2yQkdeNQvtOssygGsXbiKo/edit?usp=sharing"",""อุตรดิตถ์!S624"")+IMPORTRANGE(""https://docs.google.com/spreadsheets/d/1UsNK1e-WWiCo2PvGqdNfdme4m17_Ezd3J69EeeiQPD0/edit?usp=sharing"",""อุทัยธานี!S624"")"),0)</f>
        <v>0</v>
      </c>
      <c r="T624" s="46">
        <f t="shared" ca="1" si="441"/>
        <v>0</v>
      </c>
      <c r="U624" s="46">
        <f t="shared" ca="1" si="442"/>
        <v>0</v>
      </c>
    </row>
    <row r="625" spans="1:21" ht="19.5" x14ac:dyDescent="0.3">
      <c r="A625" s="138"/>
      <c r="B625" s="139"/>
      <c r="C625" s="177" t="s">
        <v>18</v>
      </c>
      <c r="D625" s="402" t="s">
        <v>38</v>
      </c>
      <c r="E625" s="141"/>
      <c r="F625" s="141"/>
      <c r="G625" s="142"/>
      <c r="H625" s="178"/>
      <c r="I625" s="135"/>
      <c r="J625" s="135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03" t="s">
        <v>223</v>
      </c>
      <c r="E626" s="145"/>
      <c r="F626" s="145"/>
      <c r="G626" s="143"/>
      <c r="H626" s="404" t="s">
        <v>46</v>
      </c>
      <c r="I626" s="147">
        <f ca="1">IFERROR(__xludf.DUMMYFUNCTION("IMPORTRANGE(""https://docs.google.com/spreadsheets/d/1jTcq05yEiRwXcBMLjiodW9e4biSGYWAHcDj22rKWQ3s/edit?usp=sharing"",""กำแพงเพชร!I626"")+IMPORTRANGE(""https://docs.google.com/spreadsheets/d/1KS0zmDSZPk8KnTAbGN-Xk6MtX1YRZD0ldgdt20K4CRk/edit?usp=sharing"","&amp;"""เชียงราย!I626"")+IMPORTRANGE(""https://docs.google.com/spreadsheets/d/1rEDxBtusbi64tE0zunoIbsTVV16HeL0oJ6trHQeQ7K8/edit?usp=sharing"",""เชียงใหม่!I626"")+IMPORTRANGE(""https://docs.google.com/spreadsheets/d/1W6MnUbDkMi6xHnHko_XkFDO9kkuL6Wqyc-6OCDFjW9I/e"&amp;"dit?usp=sharing"",""ตาก!I626"")+IMPORTRANGE(""https://docs.google.com/spreadsheets/d/1IQAWArduLkta9LpYo4a_ULsyqdta6-6aDDiwpUnQT6c/edit?usp=sharing"",""นครสวรรค์!I626"")+IMPORTRANGE(""https://docs.google.com/spreadsheets/d/10s13Sk5xrltsiR-Zkbmk5DwIaDIKO8Xl"&amp;"bJAfqyT7Gvg/edit?usp=sharing"",""น่าน!I626"")+IMPORTRANGE(""https://docs.google.com/spreadsheets/d/1uu4nAn4Dbi1XREnLKKotUANlKXa7yCgRcgq8HEzQYW8/edit?usp=sharing"",""พะเยา!I626"")+IMPORTRANGE(""https://docs.google.com/spreadsheets/d/1xfJKIQxVOaPDIICqsflNlL"&amp;"u3JacTDk1FP9RH4phX7mI/edit?usp=sharing"",""พิจิตร!I626"")+IMPORTRANGE(""https://docs.google.com/spreadsheets/d/1JtRfZkJMHtEhI5RdRHxYUG4FIZHqKDpNyIuN7A1Q0_k/edit?usp=sharing"",""พิษณุโลก!I626"")+IMPORTRANGE(""https://docs.google.com/spreadsheets/d/1xlcVZWU"&amp;"Nn6SuWm0c307h32SiGkd9BaeQWlAktfD3KO8/edit?usp=sharing"",""เพชรบูรณ์!I626"")+IMPORTRANGE(""https://docs.google.com/spreadsheets/d/1lOVebEIsI9qjGXl6EX66luk7wiuP2tBaryw-wKvv4e0/edit?usp=sharing"",""แพร่!I626"")+IMPORTRANGE(""https://docs.google.com/spreadshe"&amp;"ets/d/1dQrvX0vEcN7Gu0fnZ0B5S90AeR19zth4XlExFBeExMY/edit?usp=sharing"",""แม่ฮ่องสอน!I626"")+IMPORTRANGE(""https://docs.google.com/spreadsheets/d/1DY4XTNNwjluuxqdfdn6qvOSlMRrZqUtmYcZR0ttFiG4/edit?usp=sharing"",""ลำปาง!I626"")+IMPORTRANGE(""https://docs.goog"&amp;"le.com/spreadsheets/d/1ICwG78r0OFT8biBlxnBF8r7she7gNSzOvJ958PWT09c/edit?usp=sharing"",""ลำพูน!I626"")+IMPORTRANGE(""https://docs.google.com/spreadsheets/d/1B0f2xJpZUC6Z0xXnqKlZtEPzsf6L84eP1r1Q15seqRM/edit?usp=sharing"",""สุโขทัย!I626"")+IMPORTRANGE(""http"&amp;"s://docs.google.com/spreadsheets/d/1v0b9pFQCsKUVExMei7AgY2yQkdeNQvtOssygGsXbiKo/edit?usp=sharing"",""อุตรดิตถ์!I626"")+IMPORTRANGE(""https://docs.google.com/spreadsheets/d/1UsNK1e-WWiCo2PvGqdNfdme4m17_Ezd3J69EeeiQPD0/edit?usp=sharing"",""อุทัยธานี!I626"")"),700)</f>
        <v>700</v>
      </c>
      <c r="J626" s="147">
        <f ca="1">J632</f>
        <v>0</v>
      </c>
      <c r="K626" s="132">
        <f ca="1">IF(I626&gt;0,J626*100/I626,0)</f>
        <v>0</v>
      </c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66">
        <f ca="1">IFERROR(__xludf.DUMMYFUNCTION("IMPORTRANGE(""https://docs.google.com/spreadsheets/d/1jTcq05yEiRwXcBMLjiodW9e4biSGYWAHcDj22rKWQ3s/edit?usp=sharing"",""กำแพงเพชร!I627"")+IMPORTRANGE(""https://docs.google.com/spreadsheets/d/1KS0zmDSZPk8KnTAbGN-Xk6MtX1YRZD0ldgdt20K4CRk/edit?usp=sharing"","&amp;"""เชียงราย!I627"")+IMPORTRANGE(""https://docs.google.com/spreadsheets/d/1rEDxBtusbi64tE0zunoIbsTVV16HeL0oJ6trHQeQ7K8/edit?usp=sharing"",""เชียงใหม่!I627"")+IMPORTRANGE(""https://docs.google.com/spreadsheets/d/1W6MnUbDkMi6xHnHko_XkFDO9kkuL6Wqyc-6OCDFjW9I/e"&amp;"dit?usp=sharing"",""ตาก!I627"")+IMPORTRANGE(""https://docs.google.com/spreadsheets/d/1IQAWArduLkta9LpYo4a_ULsyqdta6-6aDDiwpUnQT6c/edit?usp=sharing"",""นครสวรรค์!I627"")+IMPORTRANGE(""https://docs.google.com/spreadsheets/d/10s13Sk5xrltsiR-Zkbmk5DwIaDIKO8Xl"&amp;"bJAfqyT7Gvg/edit?usp=sharing"",""น่าน!I627"")+IMPORTRANGE(""https://docs.google.com/spreadsheets/d/1uu4nAn4Dbi1XREnLKKotUANlKXa7yCgRcgq8HEzQYW8/edit?usp=sharing"",""พะเยา!I627"")+IMPORTRANGE(""https://docs.google.com/spreadsheets/d/1xfJKIQxVOaPDIICqsflNlL"&amp;"u3JacTDk1FP9RH4phX7mI/edit?usp=sharing"",""พิจิตร!I627"")+IMPORTRANGE(""https://docs.google.com/spreadsheets/d/1JtRfZkJMHtEhI5RdRHxYUG4FIZHqKDpNyIuN7A1Q0_k/edit?usp=sharing"",""พิษณุโลก!I627"")+IMPORTRANGE(""https://docs.google.com/spreadsheets/d/1xlcVZWU"&amp;"Nn6SuWm0c307h32SiGkd9BaeQWlAktfD3KO8/edit?usp=sharing"",""เพชรบูรณ์!I627"")+IMPORTRANGE(""https://docs.google.com/spreadsheets/d/1lOVebEIsI9qjGXl6EX66luk7wiuP2tBaryw-wKvv4e0/edit?usp=sharing"",""แพร่!I627"")+IMPORTRANGE(""https://docs.google.com/spreadshe"&amp;"ets/d/1dQrvX0vEcN7Gu0fnZ0B5S90AeR19zth4XlExFBeExMY/edit?usp=sharing"",""แม่ฮ่องสอน!I627"")+IMPORTRANGE(""https://docs.google.com/spreadsheets/d/1DY4XTNNwjluuxqdfdn6qvOSlMRrZqUtmYcZR0ttFiG4/edit?usp=sharing"",""ลำปาง!I627"")+IMPORTRANGE(""https://docs.goog"&amp;"le.com/spreadsheets/d/1ICwG78r0OFT8biBlxnBF8r7she7gNSzOvJ958PWT09c/edit?usp=sharing"",""ลำพูน!I627"")+IMPORTRANGE(""https://docs.google.com/spreadsheets/d/1B0f2xJpZUC6Z0xXnqKlZtEPzsf6L84eP1r1Q15seqRM/edit?usp=sharing"",""สุโขทัย!I627"")+IMPORTRANGE(""http"&amp;"s://docs.google.com/spreadsheets/d/1v0b9pFQCsKUVExMei7AgY2yQkdeNQvtOssygGsXbiKo/edit?usp=sharing"",""อุตรดิตถ์!I627"")+IMPORTRANGE(""https://docs.google.com/spreadsheets/d/1UsNK1e-WWiCo2PvGqdNfdme4m17_Ezd3J69EeeiQPD0/edit?usp=sharing"",""อุทัยธานี!I627"")"),7)</f>
        <v>7</v>
      </c>
      <c r="J627" s="167">
        <f ca="1">IFERROR(__xludf.DUMMYFUNCTION("IMPORTRANGE(""https://docs.google.com/spreadsheets/d/1jTcq05yEiRwXcBMLjiodW9e4biSGYWAHcDj22rKWQ3s/edit?usp=sharing"",""กำแพงเพชร!J627"")+IMPORTRANGE(""https://docs.google.com/spreadsheets/d/1KS0zmDSZPk8KnTAbGN-Xk6MtX1YRZD0ldgdt20K4CRk/edit?usp=sharing"","&amp;"""เชียงราย!J627"")+IMPORTRANGE(""https://docs.google.com/spreadsheets/d/1rEDxBtusbi64tE0zunoIbsTVV16HeL0oJ6trHQeQ7K8/edit?usp=sharing"",""เชียงใหม่!J627"")+IMPORTRANGE(""https://docs.google.com/spreadsheets/d/1W6MnUbDkMi6xHnHko_XkFDO9kkuL6Wqyc-6OCDFjW9I/e"&amp;"dit?usp=sharing"",""ตาก!J627"")+IMPORTRANGE(""https://docs.google.com/spreadsheets/d/1IQAWArduLkta9LpYo4a_ULsyqdta6-6aDDiwpUnQT6c/edit?usp=sharing"",""นครสวรรค์!J627"")+IMPORTRANGE(""https://docs.google.com/spreadsheets/d/10s13Sk5xrltsiR-Zkbmk5DwIaDIKO8Xl"&amp;"bJAfqyT7Gvg/edit?usp=sharing"",""น่าน!J627"")+IMPORTRANGE(""https://docs.google.com/spreadsheets/d/1uu4nAn4Dbi1XREnLKKotUANlKXa7yCgRcgq8HEzQYW8/edit?usp=sharing"",""พะเยา!J627"")+IMPORTRANGE(""https://docs.google.com/spreadsheets/d/1xfJKIQxVOaPDIICqsflNlL"&amp;"u3JacTDk1FP9RH4phX7mI/edit?usp=sharing"",""พิจิตร!J627"")+IMPORTRANGE(""https://docs.google.com/spreadsheets/d/1JtRfZkJMHtEhI5RdRHxYUG4FIZHqKDpNyIuN7A1Q0_k/edit?usp=sharing"",""พิษณุโลก!J627"")+IMPORTRANGE(""https://docs.google.com/spreadsheets/d/1xlcVZWU"&amp;"Nn6SuWm0c307h32SiGkd9BaeQWlAktfD3KO8/edit?usp=sharing"",""เพชรบูรณ์!J627"")+IMPORTRANGE(""https://docs.google.com/spreadsheets/d/1lOVebEIsI9qjGXl6EX66luk7wiuP2tBaryw-wKvv4e0/edit?usp=sharing"",""แพร่!J627"")+IMPORTRANGE(""https://docs.google.com/spreadshe"&amp;"ets/d/1dQrvX0vEcN7Gu0fnZ0B5S90AeR19zth4XlExFBeExMY/edit?usp=sharing"",""แม่ฮ่องสอน!J627"")+IMPORTRANGE(""https://docs.google.com/spreadsheets/d/1DY4XTNNwjluuxqdfdn6qvOSlMRrZqUtmYcZR0ttFiG4/edit?usp=sharing"",""ลำปาง!J627"")+IMPORTRANGE(""https://docs.goog"&amp;"le.com/spreadsheets/d/1ICwG78r0OFT8biBlxnBF8r7she7gNSzOvJ958PWT09c/edit?usp=sharing"",""ลำพูน!J627"")+IMPORTRANGE(""https://docs.google.com/spreadsheets/d/1B0f2xJpZUC6Z0xXnqKlZtEPzsf6L84eP1r1Q15seqRM/edit?usp=sharing"",""สุโขทัย!J627"")+IMPORTRANGE(""http"&amp;"s://docs.google.com/spreadsheets/d/1v0b9pFQCsKUVExMei7AgY2yQkdeNQvtOssygGsXbiKo/edit?usp=sharing"",""อุตรดิตถ์!J627"")+IMPORTRANGE(""https://docs.google.com/spreadsheets/d/1UsNK1e-WWiCo2PvGqdNfdme4m17_Ezd3J69EeeiQPD0/edit?usp=sharing"",""อุทัยธานี!J627"")"),4)</f>
        <v>4</v>
      </c>
      <c r="K627" s="46">
        <f t="shared" ref="K627:K628" ca="1" si="451">IF(I627&gt;0,(J627*100)/I627,0)</f>
        <v>57.142857142857146</v>
      </c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66">
        <f ca="1">IFERROR(__xludf.DUMMYFUNCTION("IMPORTRANGE(""https://docs.google.com/spreadsheets/d/1jTcq05yEiRwXcBMLjiodW9e4biSGYWAHcDj22rKWQ3s/edit?usp=sharing"",""กำแพงเพชร!I628"")+IMPORTRANGE(""https://docs.google.com/spreadsheets/d/1KS0zmDSZPk8KnTAbGN-Xk6MtX1YRZD0ldgdt20K4CRk/edit?usp=sharing"","&amp;"""เชียงราย!I628"")+IMPORTRANGE(""https://docs.google.com/spreadsheets/d/1rEDxBtusbi64tE0zunoIbsTVV16HeL0oJ6trHQeQ7K8/edit?usp=sharing"",""เชียงใหม่!I628"")+IMPORTRANGE(""https://docs.google.com/spreadsheets/d/1W6MnUbDkMi6xHnHko_XkFDO9kkuL6Wqyc-6OCDFjW9I/e"&amp;"dit?usp=sharing"",""ตาก!I628"")+IMPORTRANGE(""https://docs.google.com/spreadsheets/d/1IQAWArduLkta9LpYo4a_ULsyqdta6-6aDDiwpUnQT6c/edit?usp=sharing"",""นครสวรรค์!I628"")+IMPORTRANGE(""https://docs.google.com/spreadsheets/d/10s13Sk5xrltsiR-Zkbmk5DwIaDIKO8Xl"&amp;"bJAfqyT7Gvg/edit?usp=sharing"",""น่าน!I628"")+IMPORTRANGE(""https://docs.google.com/spreadsheets/d/1uu4nAn4Dbi1XREnLKKotUANlKXa7yCgRcgq8HEzQYW8/edit?usp=sharing"",""พะเยา!I628"")+IMPORTRANGE(""https://docs.google.com/spreadsheets/d/1xfJKIQxVOaPDIICqsflNlL"&amp;"u3JacTDk1FP9RH4phX7mI/edit?usp=sharing"",""พิจิตร!I628"")+IMPORTRANGE(""https://docs.google.com/spreadsheets/d/1JtRfZkJMHtEhI5RdRHxYUG4FIZHqKDpNyIuN7A1Q0_k/edit?usp=sharing"",""พิษณุโลก!I628"")+IMPORTRANGE(""https://docs.google.com/spreadsheets/d/1xlcVZWU"&amp;"Nn6SuWm0c307h32SiGkd9BaeQWlAktfD3KO8/edit?usp=sharing"",""เพชรบูรณ์!I628"")+IMPORTRANGE(""https://docs.google.com/spreadsheets/d/1lOVebEIsI9qjGXl6EX66luk7wiuP2tBaryw-wKvv4e0/edit?usp=sharing"",""แพร่!I628"")+IMPORTRANGE(""https://docs.google.com/spreadshe"&amp;"ets/d/1dQrvX0vEcN7Gu0fnZ0B5S90AeR19zth4XlExFBeExMY/edit?usp=sharing"",""แม่ฮ่องสอน!I628"")+IMPORTRANGE(""https://docs.google.com/spreadsheets/d/1DY4XTNNwjluuxqdfdn6qvOSlMRrZqUtmYcZR0ttFiG4/edit?usp=sharing"",""ลำปาง!I628"")+IMPORTRANGE(""https://docs.goog"&amp;"le.com/spreadsheets/d/1ICwG78r0OFT8biBlxnBF8r7she7gNSzOvJ958PWT09c/edit?usp=sharing"",""ลำพูน!I628"")+IMPORTRANGE(""https://docs.google.com/spreadsheets/d/1B0f2xJpZUC6Z0xXnqKlZtEPzsf6L84eP1r1Q15seqRM/edit?usp=sharing"",""สุโขทัย!I628"")+IMPORTRANGE(""http"&amp;"s://docs.google.com/spreadsheets/d/1v0b9pFQCsKUVExMei7AgY2yQkdeNQvtOssygGsXbiKo/edit?usp=sharing"",""อุตรดิตถ์!I628"")+IMPORTRANGE(""https://docs.google.com/spreadsheets/d/1UsNK1e-WWiCo2PvGqdNfdme4m17_Ezd3J69EeeiQPD0/edit?usp=sharing"",""อุทัยธานี!I628"")"),7)</f>
        <v>7</v>
      </c>
      <c r="J628" s="167">
        <f ca="1">IFERROR(__xludf.DUMMYFUNCTION("IMPORTRANGE(""https://docs.google.com/spreadsheets/d/1jTcq05yEiRwXcBMLjiodW9e4biSGYWAHcDj22rKWQ3s/edit?usp=sharing"",""กำแพงเพชร!J628"")+IMPORTRANGE(""https://docs.google.com/spreadsheets/d/1KS0zmDSZPk8KnTAbGN-Xk6MtX1YRZD0ldgdt20K4CRk/edit?usp=sharing"","&amp;"""เชียงราย!J628"")+IMPORTRANGE(""https://docs.google.com/spreadsheets/d/1rEDxBtusbi64tE0zunoIbsTVV16HeL0oJ6trHQeQ7K8/edit?usp=sharing"",""เชียงใหม่!J628"")+IMPORTRANGE(""https://docs.google.com/spreadsheets/d/1W6MnUbDkMi6xHnHko_XkFDO9kkuL6Wqyc-6OCDFjW9I/e"&amp;"dit?usp=sharing"",""ตาก!J628"")+IMPORTRANGE(""https://docs.google.com/spreadsheets/d/1IQAWArduLkta9LpYo4a_ULsyqdta6-6aDDiwpUnQT6c/edit?usp=sharing"",""นครสวรรค์!J628"")+IMPORTRANGE(""https://docs.google.com/spreadsheets/d/10s13Sk5xrltsiR-Zkbmk5DwIaDIKO8Xl"&amp;"bJAfqyT7Gvg/edit?usp=sharing"",""น่าน!J628"")+IMPORTRANGE(""https://docs.google.com/spreadsheets/d/1uu4nAn4Dbi1XREnLKKotUANlKXa7yCgRcgq8HEzQYW8/edit?usp=sharing"",""พะเยา!J628"")+IMPORTRANGE(""https://docs.google.com/spreadsheets/d/1xfJKIQxVOaPDIICqsflNlL"&amp;"u3JacTDk1FP9RH4phX7mI/edit?usp=sharing"",""พิจิตร!J628"")+IMPORTRANGE(""https://docs.google.com/spreadsheets/d/1JtRfZkJMHtEhI5RdRHxYUG4FIZHqKDpNyIuN7A1Q0_k/edit?usp=sharing"",""พิษณุโลก!J628"")+IMPORTRANGE(""https://docs.google.com/spreadsheets/d/1xlcVZWU"&amp;"Nn6SuWm0c307h32SiGkd9BaeQWlAktfD3KO8/edit?usp=sharing"",""เพชรบูรณ์!J628"")+IMPORTRANGE(""https://docs.google.com/spreadsheets/d/1lOVebEIsI9qjGXl6EX66luk7wiuP2tBaryw-wKvv4e0/edit?usp=sharing"",""แพร่!J628"")+IMPORTRANGE(""https://docs.google.com/spreadshe"&amp;"ets/d/1dQrvX0vEcN7Gu0fnZ0B5S90AeR19zth4XlExFBeExMY/edit?usp=sharing"",""แม่ฮ่องสอน!J628"")+IMPORTRANGE(""https://docs.google.com/spreadsheets/d/1DY4XTNNwjluuxqdfdn6qvOSlMRrZqUtmYcZR0ttFiG4/edit?usp=sharing"",""ลำปาง!J628"")+IMPORTRANGE(""https://docs.goog"&amp;"le.com/spreadsheets/d/1ICwG78r0OFT8biBlxnBF8r7she7gNSzOvJ958PWT09c/edit?usp=sharing"",""ลำพูน!J628"")+IMPORTRANGE(""https://docs.google.com/spreadsheets/d/1B0f2xJpZUC6Z0xXnqKlZtEPzsf6L84eP1r1Q15seqRM/edit?usp=sharing"",""สุโขทัย!J628"")+IMPORTRANGE(""http"&amp;"s://docs.google.com/spreadsheets/d/1v0b9pFQCsKUVExMei7AgY2yQkdeNQvtOssygGsXbiKo/edit?usp=sharing"",""อุตรดิตถ์!J628"")+IMPORTRANGE(""https://docs.google.com/spreadsheets/d/1UsNK1e-WWiCo2PvGqdNfdme4m17_Ezd3J69EeeiQPD0/edit?usp=sharing"",""อุทัยธานี!J628"")"),4)</f>
        <v>4</v>
      </c>
      <c r="K628" s="46">
        <f t="shared" ca="1" si="451"/>
        <v>57.142857142857146</v>
      </c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4"/>
      <c r="J629" s="167">
        <f ca="1">IFERROR(__xludf.DUMMYFUNCTION("IMPORTRANGE(""https://docs.google.com/spreadsheets/d/1jTcq05yEiRwXcBMLjiodW9e4biSGYWAHcDj22rKWQ3s/edit?usp=sharing"",""กำแพงเพชร!J629"")+IMPORTRANGE(""https://docs.google.com/spreadsheets/d/1KS0zmDSZPk8KnTAbGN-Xk6MtX1YRZD0ldgdt20K4CRk/edit?usp=sharing"","&amp;"""เชียงราย!J629"")+IMPORTRANGE(""https://docs.google.com/spreadsheets/d/1rEDxBtusbi64tE0zunoIbsTVV16HeL0oJ6trHQeQ7K8/edit?usp=sharing"",""เชียงใหม่!J629"")+IMPORTRANGE(""https://docs.google.com/spreadsheets/d/1W6MnUbDkMi6xHnHko_XkFDO9kkuL6Wqyc-6OCDFjW9I/e"&amp;"dit?usp=sharing"",""ตาก!J629"")+IMPORTRANGE(""https://docs.google.com/spreadsheets/d/1IQAWArduLkta9LpYo4a_ULsyqdta6-6aDDiwpUnQT6c/edit?usp=sharing"",""นครสวรรค์!J629"")+IMPORTRANGE(""https://docs.google.com/spreadsheets/d/10s13Sk5xrltsiR-Zkbmk5DwIaDIKO8Xl"&amp;"bJAfqyT7Gvg/edit?usp=sharing"",""น่าน!J629"")+IMPORTRANGE(""https://docs.google.com/spreadsheets/d/1uu4nAn4Dbi1XREnLKKotUANlKXa7yCgRcgq8HEzQYW8/edit?usp=sharing"",""พะเยา!J629"")+IMPORTRANGE(""https://docs.google.com/spreadsheets/d/1xfJKIQxVOaPDIICqsflNlL"&amp;"u3JacTDk1FP9RH4phX7mI/edit?usp=sharing"",""พิจิตร!J629"")+IMPORTRANGE(""https://docs.google.com/spreadsheets/d/1JtRfZkJMHtEhI5RdRHxYUG4FIZHqKDpNyIuN7A1Q0_k/edit?usp=sharing"",""พิษณุโลก!J629"")+IMPORTRANGE(""https://docs.google.com/spreadsheets/d/1xlcVZWU"&amp;"Nn6SuWm0c307h32SiGkd9BaeQWlAktfD3KO8/edit?usp=sharing"",""เพชรบูรณ์!J629"")+IMPORTRANGE(""https://docs.google.com/spreadsheets/d/1lOVebEIsI9qjGXl6EX66luk7wiuP2tBaryw-wKvv4e0/edit?usp=sharing"",""แพร่!J629"")+IMPORTRANGE(""https://docs.google.com/spreadshe"&amp;"ets/d/1dQrvX0vEcN7Gu0fnZ0B5S90AeR19zth4XlExFBeExMY/edit?usp=sharing"",""แม่ฮ่องสอน!J629"")+IMPORTRANGE(""https://docs.google.com/spreadsheets/d/1DY4XTNNwjluuxqdfdn6qvOSlMRrZqUtmYcZR0ttFiG4/edit?usp=sharing"",""ลำปาง!J629"")+IMPORTRANGE(""https://docs.goog"&amp;"le.com/spreadsheets/d/1ICwG78r0OFT8biBlxnBF8r7she7gNSzOvJ958PWT09c/edit?usp=sharing"",""ลำพูน!J629"")+IMPORTRANGE(""https://docs.google.com/spreadsheets/d/1B0f2xJpZUC6Z0xXnqKlZtEPzsf6L84eP1r1Q15seqRM/edit?usp=sharing"",""สุโขทัย!J629"")+IMPORTRANGE(""http"&amp;"s://docs.google.com/spreadsheets/d/1v0b9pFQCsKUVExMei7AgY2yQkdeNQvtOssygGsXbiKo/edit?usp=sharing"",""อุตรดิตถ์!J629"")+IMPORTRANGE(""https://docs.google.com/spreadsheets/d/1UsNK1e-WWiCo2PvGqdNfdme4m17_Ezd3J69EeeiQPD0/edit?usp=sharing"",""อุทัยธานี!J629"")"),464.5)</f>
        <v>464.5</v>
      </c>
      <c r="K629" s="46">
        <f t="shared" ref="K629:K631" ca="1" si="452">IF(I$626&gt;0,J629*100/I$626,0)</f>
        <v>66.357142857142861</v>
      </c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4"/>
      <c r="J630" s="167">
        <f ca="1">IFERROR(__xludf.DUMMYFUNCTION("IMPORTRANGE(""https://docs.google.com/spreadsheets/d/1jTcq05yEiRwXcBMLjiodW9e4biSGYWAHcDj22rKWQ3s/edit?usp=sharing"",""กำแพงเพชร!J630"")+IMPORTRANGE(""https://docs.google.com/spreadsheets/d/1KS0zmDSZPk8KnTAbGN-Xk6MtX1YRZD0ldgdt20K4CRk/edit?usp=sharing"","&amp;"""เชียงราย!J630"")+IMPORTRANGE(""https://docs.google.com/spreadsheets/d/1rEDxBtusbi64tE0zunoIbsTVV16HeL0oJ6trHQeQ7K8/edit?usp=sharing"",""เชียงใหม่!J630"")+IMPORTRANGE(""https://docs.google.com/spreadsheets/d/1W6MnUbDkMi6xHnHko_XkFDO9kkuL6Wqyc-6OCDFjW9I/e"&amp;"dit?usp=sharing"",""ตาก!J630"")+IMPORTRANGE(""https://docs.google.com/spreadsheets/d/1IQAWArduLkta9LpYo4a_ULsyqdta6-6aDDiwpUnQT6c/edit?usp=sharing"",""นครสวรรค์!J630"")+IMPORTRANGE(""https://docs.google.com/spreadsheets/d/10s13Sk5xrltsiR-Zkbmk5DwIaDIKO8Xl"&amp;"bJAfqyT7Gvg/edit?usp=sharing"",""น่าน!J630"")+IMPORTRANGE(""https://docs.google.com/spreadsheets/d/1uu4nAn4Dbi1XREnLKKotUANlKXa7yCgRcgq8HEzQYW8/edit?usp=sharing"",""พะเยา!J630"")+IMPORTRANGE(""https://docs.google.com/spreadsheets/d/1xfJKIQxVOaPDIICqsflNlL"&amp;"u3JacTDk1FP9RH4phX7mI/edit?usp=sharing"",""พิจิตร!J630"")+IMPORTRANGE(""https://docs.google.com/spreadsheets/d/1JtRfZkJMHtEhI5RdRHxYUG4FIZHqKDpNyIuN7A1Q0_k/edit?usp=sharing"",""พิษณุโลก!J630"")+IMPORTRANGE(""https://docs.google.com/spreadsheets/d/1xlcVZWU"&amp;"Nn6SuWm0c307h32SiGkd9BaeQWlAktfD3KO8/edit?usp=sharing"",""เพชรบูรณ์!J630"")+IMPORTRANGE(""https://docs.google.com/spreadsheets/d/1lOVebEIsI9qjGXl6EX66luk7wiuP2tBaryw-wKvv4e0/edit?usp=sharing"",""แพร่!J630"")+IMPORTRANGE(""https://docs.google.com/spreadshe"&amp;"ets/d/1dQrvX0vEcN7Gu0fnZ0B5S90AeR19zth4XlExFBeExMY/edit?usp=sharing"",""แม่ฮ่องสอน!J630"")+IMPORTRANGE(""https://docs.google.com/spreadsheets/d/1DY4XTNNwjluuxqdfdn6qvOSlMRrZqUtmYcZR0ttFiG4/edit?usp=sharing"",""ลำปาง!J630"")+IMPORTRANGE(""https://docs.goog"&amp;"le.com/spreadsheets/d/1ICwG78r0OFT8biBlxnBF8r7she7gNSzOvJ958PWT09c/edit?usp=sharing"",""ลำพูน!J630"")+IMPORTRANGE(""https://docs.google.com/spreadsheets/d/1B0f2xJpZUC6Z0xXnqKlZtEPzsf6L84eP1r1Q15seqRM/edit?usp=sharing"",""สุโขทัย!J630"")+IMPORTRANGE(""http"&amp;"s://docs.google.com/spreadsheets/d/1v0b9pFQCsKUVExMei7AgY2yQkdeNQvtOssygGsXbiKo/edit?usp=sharing"",""อุตรดิตถ์!J630"")+IMPORTRANGE(""https://docs.google.com/spreadsheets/d/1UsNK1e-WWiCo2PvGqdNfdme4m17_Ezd3J69EeeiQPD0/edit?usp=sharing"",""อุทัยธานี!J630"")"),0)</f>
        <v>0</v>
      </c>
      <c r="K630" s="46">
        <f t="shared" ca="1" si="452"/>
        <v>0</v>
      </c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4"/>
      <c r="J631" s="167">
        <f ca="1">IFERROR(__xludf.DUMMYFUNCTION("IMPORTRANGE(""https://docs.google.com/spreadsheets/d/1jTcq05yEiRwXcBMLjiodW9e4biSGYWAHcDj22rKWQ3s/edit?usp=sharing"",""กำแพงเพชร!J631"")+IMPORTRANGE(""https://docs.google.com/spreadsheets/d/1KS0zmDSZPk8KnTAbGN-Xk6MtX1YRZD0ldgdt20K4CRk/edit?usp=sharing"","&amp;"""เชียงราย!J631"")+IMPORTRANGE(""https://docs.google.com/spreadsheets/d/1rEDxBtusbi64tE0zunoIbsTVV16HeL0oJ6trHQeQ7K8/edit?usp=sharing"",""เชียงใหม่!J631"")+IMPORTRANGE(""https://docs.google.com/spreadsheets/d/1W6MnUbDkMi6xHnHko_XkFDO9kkuL6Wqyc-6OCDFjW9I/e"&amp;"dit?usp=sharing"",""ตาก!J631"")+IMPORTRANGE(""https://docs.google.com/spreadsheets/d/1IQAWArduLkta9LpYo4a_ULsyqdta6-6aDDiwpUnQT6c/edit?usp=sharing"",""นครสวรรค์!J631"")+IMPORTRANGE(""https://docs.google.com/spreadsheets/d/10s13Sk5xrltsiR-Zkbmk5DwIaDIKO8Xl"&amp;"bJAfqyT7Gvg/edit?usp=sharing"",""น่าน!J631"")+IMPORTRANGE(""https://docs.google.com/spreadsheets/d/1uu4nAn4Dbi1XREnLKKotUANlKXa7yCgRcgq8HEzQYW8/edit?usp=sharing"",""พะเยา!J631"")+IMPORTRANGE(""https://docs.google.com/spreadsheets/d/1xfJKIQxVOaPDIICqsflNlL"&amp;"u3JacTDk1FP9RH4phX7mI/edit?usp=sharing"",""พิจิตร!J631"")+IMPORTRANGE(""https://docs.google.com/spreadsheets/d/1JtRfZkJMHtEhI5RdRHxYUG4FIZHqKDpNyIuN7A1Q0_k/edit?usp=sharing"",""พิษณุโลก!J631"")+IMPORTRANGE(""https://docs.google.com/spreadsheets/d/1xlcVZWU"&amp;"Nn6SuWm0c307h32SiGkd9BaeQWlAktfD3KO8/edit?usp=sharing"",""เพชรบูรณ์!J631"")+IMPORTRANGE(""https://docs.google.com/spreadsheets/d/1lOVebEIsI9qjGXl6EX66luk7wiuP2tBaryw-wKvv4e0/edit?usp=sharing"",""แพร่!J631"")+IMPORTRANGE(""https://docs.google.com/spreadshe"&amp;"ets/d/1dQrvX0vEcN7Gu0fnZ0B5S90AeR19zth4XlExFBeExMY/edit?usp=sharing"",""แม่ฮ่องสอน!J631"")+IMPORTRANGE(""https://docs.google.com/spreadsheets/d/1DY4XTNNwjluuxqdfdn6qvOSlMRrZqUtmYcZR0ttFiG4/edit?usp=sharing"",""ลำปาง!J631"")+IMPORTRANGE(""https://docs.goog"&amp;"le.com/spreadsheets/d/1ICwG78r0OFT8biBlxnBF8r7she7gNSzOvJ958PWT09c/edit?usp=sharing"",""ลำพูน!J631"")+IMPORTRANGE(""https://docs.google.com/spreadsheets/d/1B0f2xJpZUC6Z0xXnqKlZtEPzsf6L84eP1r1Q15seqRM/edit?usp=sharing"",""สุโขทัย!J631"")+IMPORTRANGE(""http"&amp;"s://docs.google.com/spreadsheets/d/1v0b9pFQCsKUVExMei7AgY2yQkdeNQvtOssygGsXbiKo/edit?usp=sharing"",""อุตรดิตถ์!J631"")+IMPORTRANGE(""https://docs.google.com/spreadsheets/d/1UsNK1e-WWiCo2PvGqdNfdme4m17_Ezd3J69EeeiQPD0/edit?usp=sharing"",""อุทัยธานี!J631"")"),0)</f>
        <v>0</v>
      </c>
      <c r="K631" s="46">
        <f t="shared" ca="1" si="452"/>
        <v>0</v>
      </c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4"/>
      <c r="J632" s="147">
        <f ca="1">J633+J634</f>
        <v>0</v>
      </c>
      <c r="K632" s="132">
        <f ca="1">IF(I626&gt;0,J632*100/I626,0)</f>
        <v>0</v>
      </c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4"/>
      <c r="J633" s="167">
        <f ca="1">IFERROR(__xludf.DUMMYFUNCTION("IMPORTRANGE(""https://docs.google.com/spreadsheets/d/1jTcq05yEiRwXcBMLjiodW9e4biSGYWAHcDj22rKWQ3s/edit?usp=sharing"",""กำแพงเพชร!J633"")+IMPORTRANGE(""https://docs.google.com/spreadsheets/d/1KS0zmDSZPk8KnTAbGN-Xk6MtX1YRZD0ldgdt20K4CRk/edit?usp=sharing"","&amp;"""เชียงราย!J633"")+IMPORTRANGE(""https://docs.google.com/spreadsheets/d/1rEDxBtusbi64tE0zunoIbsTVV16HeL0oJ6trHQeQ7K8/edit?usp=sharing"",""เชียงใหม่!J633"")+IMPORTRANGE(""https://docs.google.com/spreadsheets/d/1W6MnUbDkMi6xHnHko_XkFDO9kkuL6Wqyc-6OCDFjW9I/e"&amp;"dit?usp=sharing"",""ตาก!J633"")+IMPORTRANGE(""https://docs.google.com/spreadsheets/d/1IQAWArduLkta9LpYo4a_ULsyqdta6-6aDDiwpUnQT6c/edit?usp=sharing"",""นครสวรรค์!J633"")+IMPORTRANGE(""https://docs.google.com/spreadsheets/d/10s13Sk5xrltsiR-Zkbmk5DwIaDIKO8Xl"&amp;"bJAfqyT7Gvg/edit?usp=sharing"",""น่าน!J633"")+IMPORTRANGE(""https://docs.google.com/spreadsheets/d/1uu4nAn4Dbi1XREnLKKotUANlKXa7yCgRcgq8HEzQYW8/edit?usp=sharing"",""พะเยา!J633"")+IMPORTRANGE(""https://docs.google.com/spreadsheets/d/1xfJKIQxVOaPDIICqsflNlL"&amp;"u3JacTDk1FP9RH4phX7mI/edit?usp=sharing"",""พิจิตร!J633"")+IMPORTRANGE(""https://docs.google.com/spreadsheets/d/1JtRfZkJMHtEhI5RdRHxYUG4FIZHqKDpNyIuN7A1Q0_k/edit?usp=sharing"",""พิษณุโลก!J633"")+IMPORTRANGE(""https://docs.google.com/spreadsheets/d/1xlcVZWU"&amp;"Nn6SuWm0c307h32SiGkd9BaeQWlAktfD3KO8/edit?usp=sharing"",""เพชรบูรณ์!J633"")+IMPORTRANGE(""https://docs.google.com/spreadsheets/d/1lOVebEIsI9qjGXl6EX66luk7wiuP2tBaryw-wKvv4e0/edit?usp=sharing"",""แพร่!J633"")+IMPORTRANGE(""https://docs.google.com/spreadshe"&amp;"ets/d/1dQrvX0vEcN7Gu0fnZ0B5S90AeR19zth4XlExFBeExMY/edit?usp=sharing"",""แม่ฮ่องสอน!J633"")+IMPORTRANGE(""https://docs.google.com/spreadsheets/d/1DY4XTNNwjluuxqdfdn6qvOSlMRrZqUtmYcZR0ttFiG4/edit?usp=sharing"",""ลำปาง!J633"")+IMPORTRANGE(""https://docs.goog"&amp;"le.com/spreadsheets/d/1ICwG78r0OFT8biBlxnBF8r7she7gNSzOvJ958PWT09c/edit?usp=sharing"",""ลำพูน!J633"")+IMPORTRANGE(""https://docs.google.com/spreadsheets/d/1B0f2xJpZUC6Z0xXnqKlZtEPzsf6L84eP1r1Q15seqRM/edit?usp=sharing"",""สุโขทัย!J633"")+IMPORTRANGE(""http"&amp;"s://docs.google.com/spreadsheets/d/1v0b9pFQCsKUVExMei7AgY2yQkdeNQvtOssygGsXbiKo/edit?usp=sharing"",""อุตรดิตถ์!J633"")+IMPORTRANGE(""https://docs.google.com/spreadsheets/d/1UsNK1e-WWiCo2PvGqdNfdme4m17_Ezd3J69EeeiQPD0/edit?usp=sharing"",""อุทัยธานี!J633"")"),0)</f>
        <v>0</v>
      </c>
      <c r="K633" s="45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4"/>
      <c r="J634" s="167">
        <f ca="1">IFERROR(__xludf.DUMMYFUNCTION("IMPORTRANGE(""https://docs.google.com/spreadsheets/d/1jTcq05yEiRwXcBMLjiodW9e4biSGYWAHcDj22rKWQ3s/edit?usp=sharing"",""กำแพงเพชร!J634"")+IMPORTRANGE(""https://docs.google.com/spreadsheets/d/1KS0zmDSZPk8KnTAbGN-Xk6MtX1YRZD0ldgdt20K4CRk/edit?usp=sharing"","&amp;"""เชียงราย!J634"")+IMPORTRANGE(""https://docs.google.com/spreadsheets/d/1rEDxBtusbi64tE0zunoIbsTVV16HeL0oJ6trHQeQ7K8/edit?usp=sharing"",""เชียงใหม่!J634"")+IMPORTRANGE(""https://docs.google.com/spreadsheets/d/1W6MnUbDkMi6xHnHko_XkFDO9kkuL6Wqyc-6OCDFjW9I/e"&amp;"dit?usp=sharing"",""ตาก!J634"")+IMPORTRANGE(""https://docs.google.com/spreadsheets/d/1IQAWArduLkta9LpYo4a_ULsyqdta6-6aDDiwpUnQT6c/edit?usp=sharing"",""นครสวรรค์!J634"")+IMPORTRANGE(""https://docs.google.com/spreadsheets/d/10s13Sk5xrltsiR-Zkbmk5DwIaDIKO8Xl"&amp;"bJAfqyT7Gvg/edit?usp=sharing"",""น่าน!J634"")+IMPORTRANGE(""https://docs.google.com/spreadsheets/d/1uu4nAn4Dbi1XREnLKKotUANlKXa7yCgRcgq8HEzQYW8/edit?usp=sharing"",""พะเยา!J634"")+IMPORTRANGE(""https://docs.google.com/spreadsheets/d/1xfJKIQxVOaPDIICqsflNlL"&amp;"u3JacTDk1FP9RH4phX7mI/edit?usp=sharing"",""พิจิตร!J634"")+IMPORTRANGE(""https://docs.google.com/spreadsheets/d/1JtRfZkJMHtEhI5RdRHxYUG4FIZHqKDpNyIuN7A1Q0_k/edit?usp=sharing"",""พิษณุโลก!J634"")+IMPORTRANGE(""https://docs.google.com/spreadsheets/d/1xlcVZWU"&amp;"Nn6SuWm0c307h32SiGkd9BaeQWlAktfD3KO8/edit?usp=sharing"",""เพชรบูรณ์!J634"")+IMPORTRANGE(""https://docs.google.com/spreadsheets/d/1lOVebEIsI9qjGXl6EX66luk7wiuP2tBaryw-wKvv4e0/edit?usp=sharing"",""แพร่!J634"")+IMPORTRANGE(""https://docs.google.com/spreadshe"&amp;"ets/d/1dQrvX0vEcN7Gu0fnZ0B5S90AeR19zth4XlExFBeExMY/edit?usp=sharing"",""แม่ฮ่องสอน!J634"")+IMPORTRANGE(""https://docs.google.com/spreadsheets/d/1DY4XTNNwjluuxqdfdn6qvOSlMRrZqUtmYcZR0ttFiG4/edit?usp=sharing"",""ลำปาง!J634"")+IMPORTRANGE(""https://docs.goog"&amp;"le.com/spreadsheets/d/1ICwG78r0OFT8biBlxnBF8r7she7gNSzOvJ958PWT09c/edit?usp=sharing"",""ลำพูน!J634"")+IMPORTRANGE(""https://docs.google.com/spreadsheets/d/1B0f2xJpZUC6Z0xXnqKlZtEPzsf6L84eP1r1Q15seqRM/edit?usp=sharing"",""สุโขทัย!J634"")+IMPORTRANGE(""http"&amp;"s://docs.google.com/spreadsheets/d/1v0b9pFQCsKUVExMei7AgY2yQkdeNQvtOssygGsXbiKo/edit?usp=sharing"",""อุตรดิตถ์!J634"")+IMPORTRANGE(""https://docs.google.com/spreadsheets/d/1UsNK1e-WWiCo2PvGqdNfdme4m17_Ezd3J69EeeiQPD0/edit?usp=sharing"",""อุทัยธานี!J634"")"),0)</f>
        <v>0</v>
      </c>
      <c r="K634" s="45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03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jTcq05yEiRwXcBMLjiodW9e4biSGYWAHcDj22rKWQ3s/edit?usp=sharing"",""กำแพงเพชร!I635"")+IMPORTRANGE(""https://docs.google.com/spreadsheets/d/1KS0zmDSZPk8KnTAbGN-Xk6MtX1YRZD0ldgdt20K4CRk/edit?usp=sharing"","&amp;"""เชียงราย!I635"")+IMPORTRANGE(""https://docs.google.com/spreadsheets/d/1rEDxBtusbi64tE0zunoIbsTVV16HeL0oJ6trHQeQ7K8/edit?usp=sharing"",""เชียงใหม่!I635"")+IMPORTRANGE(""https://docs.google.com/spreadsheets/d/1W6MnUbDkMi6xHnHko_XkFDO9kkuL6Wqyc-6OCDFjW9I/e"&amp;"dit?usp=sharing"",""ตาก!I635"")+IMPORTRANGE(""https://docs.google.com/spreadsheets/d/1IQAWArduLkta9LpYo4a_ULsyqdta6-6aDDiwpUnQT6c/edit?usp=sharing"",""นครสวรรค์!I635"")+IMPORTRANGE(""https://docs.google.com/spreadsheets/d/10s13Sk5xrltsiR-Zkbmk5DwIaDIKO8Xl"&amp;"bJAfqyT7Gvg/edit?usp=sharing"",""น่าน!I635"")+IMPORTRANGE(""https://docs.google.com/spreadsheets/d/1uu4nAn4Dbi1XREnLKKotUANlKXa7yCgRcgq8HEzQYW8/edit?usp=sharing"",""พะเยา!I635"")+IMPORTRANGE(""https://docs.google.com/spreadsheets/d/1xfJKIQxVOaPDIICqsflNlL"&amp;"u3JacTDk1FP9RH4phX7mI/edit?usp=sharing"",""พิจิตร!I635"")+IMPORTRANGE(""https://docs.google.com/spreadsheets/d/1JtRfZkJMHtEhI5RdRHxYUG4FIZHqKDpNyIuN7A1Q0_k/edit?usp=sharing"",""พิษณุโลก!I635"")+IMPORTRANGE(""https://docs.google.com/spreadsheets/d/1xlcVZWU"&amp;"Nn6SuWm0c307h32SiGkd9BaeQWlAktfD3KO8/edit?usp=sharing"",""เพชรบูรณ์!I635"")+IMPORTRANGE(""https://docs.google.com/spreadsheets/d/1lOVebEIsI9qjGXl6EX66luk7wiuP2tBaryw-wKvv4e0/edit?usp=sharing"",""แพร่!I635"")+IMPORTRANGE(""https://docs.google.com/spreadshe"&amp;"ets/d/1dQrvX0vEcN7Gu0fnZ0B5S90AeR19zth4XlExFBeExMY/edit?usp=sharing"",""แม่ฮ่องสอน!I635"")+IMPORTRANGE(""https://docs.google.com/spreadsheets/d/1DY4XTNNwjluuxqdfdn6qvOSlMRrZqUtmYcZR0ttFiG4/edit?usp=sharing"",""ลำปาง!I635"")+IMPORTRANGE(""https://docs.goog"&amp;"le.com/spreadsheets/d/1ICwG78r0OFT8biBlxnBF8r7she7gNSzOvJ958PWT09c/edit?usp=sharing"",""ลำพูน!I635"")+IMPORTRANGE(""https://docs.google.com/spreadsheets/d/1B0f2xJpZUC6Z0xXnqKlZtEPzsf6L84eP1r1Q15seqRM/edit?usp=sharing"",""สุโขทัย!I635"")+IMPORTRANGE(""http"&amp;"s://docs.google.com/spreadsheets/d/1v0b9pFQCsKUVExMei7AgY2yQkdeNQvtOssygGsXbiKo/edit?usp=sharing"",""อุตรดิตถ์!I635"")+IMPORTRANGE(""https://docs.google.com/spreadsheets/d/1UsNK1e-WWiCo2PvGqdNfdme4m17_Ezd3J69EeeiQPD0/edit?usp=sharing"",""อุทัยธานี!I635"")"),0)</f>
        <v>0</v>
      </c>
      <c r="J635" s="147">
        <f ca="1">J636</f>
        <v>0</v>
      </c>
      <c r="K635" s="132">
        <f ca="1">IF(I635&gt;0,J635*100/I635,0)</f>
        <v>0</v>
      </c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4"/>
      <c r="J636" s="166">
        <f ca="1">J637+J638</f>
        <v>0</v>
      </c>
      <c r="K636" s="45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4"/>
      <c r="J637" s="167">
        <f ca="1">IFERROR(__xludf.DUMMYFUNCTION("IMPORTRANGE(""https://docs.google.com/spreadsheets/d/1jTcq05yEiRwXcBMLjiodW9e4biSGYWAHcDj22rKWQ3s/edit?usp=sharing"",""กำแพงเพชร!J637"")+IMPORTRANGE(""https://docs.google.com/spreadsheets/d/1KS0zmDSZPk8KnTAbGN-Xk6MtX1YRZD0ldgdt20K4CRk/edit?usp=sharing"","&amp;"""เชียงราย!J637"")+IMPORTRANGE(""https://docs.google.com/spreadsheets/d/1rEDxBtusbi64tE0zunoIbsTVV16HeL0oJ6trHQeQ7K8/edit?usp=sharing"",""เชียงใหม่!J637"")+IMPORTRANGE(""https://docs.google.com/spreadsheets/d/1W6MnUbDkMi6xHnHko_XkFDO9kkuL6Wqyc-6OCDFjW9I/e"&amp;"dit?usp=sharing"",""ตาก!J637"")+IMPORTRANGE(""https://docs.google.com/spreadsheets/d/1IQAWArduLkta9LpYo4a_ULsyqdta6-6aDDiwpUnQT6c/edit?usp=sharing"",""นครสวรรค์!J637"")+IMPORTRANGE(""https://docs.google.com/spreadsheets/d/10s13Sk5xrltsiR-Zkbmk5DwIaDIKO8Xl"&amp;"bJAfqyT7Gvg/edit?usp=sharing"",""น่าน!J637"")+IMPORTRANGE(""https://docs.google.com/spreadsheets/d/1uu4nAn4Dbi1XREnLKKotUANlKXa7yCgRcgq8HEzQYW8/edit?usp=sharing"",""พะเยา!J637"")+IMPORTRANGE(""https://docs.google.com/spreadsheets/d/1xfJKIQxVOaPDIICqsflNlL"&amp;"u3JacTDk1FP9RH4phX7mI/edit?usp=sharing"",""พิจิตร!J637"")+IMPORTRANGE(""https://docs.google.com/spreadsheets/d/1JtRfZkJMHtEhI5RdRHxYUG4FIZHqKDpNyIuN7A1Q0_k/edit?usp=sharing"",""พิษณุโลก!J637"")+IMPORTRANGE(""https://docs.google.com/spreadsheets/d/1xlcVZWU"&amp;"Nn6SuWm0c307h32SiGkd9BaeQWlAktfD3KO8/edit?usp=sharing"",""เพชรบูรณ์!J637"")+IMPORTRANGE(""https://docs.google.com/spreadsheets/d/1lOVebEIsI9qjGXl6EX66luk7wiuP2tBaryw-wKvv4e0/edit?usp=sharing"",""แพร่!J637"")+IMPORTRANGE(""https://docs.google.com/spreadshe"&amp;"ets/d/1dQrvX0vEcN7Gu0fnZ0B5S90AeR19zth4XlExFBeExMY/edit?usp=sharing"",""แม่ฮ่องสอน!J637"")+IMPORTRANGE(""https://docs.google.com/spreadsheets/d/1DY4XTNNwjluuxqdfdn6qvOSlMRrZqUtmYcZR0ttFiG4/edit?usp=sharing"",""ลำปาง!J637"")+IMPORTRANGE(""https://docs.goog"&amp;"le.com/spreadsheets/d/1ICwG78r0OFT8biBlxnBF8r7she7gNSzOvJ958PWT09c/edit?usp=sharing"",""ลำพูน!J637"")+IMPORTRANGE(""https://docs.google.com/spreadsheets/d/1B0f2xJpZUC6Z0xXnqKlZtEPzsf6L84eP1r1Q15seqRM/edit?usp=sharing"",""สุโขทัย!J637"")+IMPORTRANGE(""http"&amp;"s://docs.google.com/spreadsheets/d/1v0b9pFQCsKUVExMei7AgY2yQkdeNQvtOssygGsXbiKo/edit?usp=sharing"",""อุตรดิตถ์!J637"")+IMPORTRANGE(""https://docs.google.com/spreadsheets/d/1UsNK1e-WWiCo2PvGqdNfdme4m17_Ezd3J69EeeiQPD0/edit?usp=sharing"",""อุทัยธานี!J637"")"),0)</f>
        <v>0</v>
      </c>
      <c r="K637" s="45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4"/>
      <c r="J638" s="167">
        <f ca="1">IFERROR(__xludf.DUMMYFUNCTION("IMPORTRANGE(""https://docs.google.com/spreadsheets/d/1jTcq05yEiRwXcBMLjiodW9e4biSGYWAHcDj22rKWQ3s/edit?usp=sharing"",""กำแพงเพชร!J638"")+IMPORTRANGE(""https://docs.google.com/spreadsheets/d/1KS0zmDSZPk8KnTAbGN-Xk6MtX1YRZD0ldgdt20K4CRk/edit?usp=sharing"","&amp;"""เชียงราย!J638"")+IMPORTRANGE(""https://docs.google.com/spreadsheets/d/1rEDxBtusbi64tE0zunoIbsTVV16HeL0oJ6trHQeQ7K8/edit?usp=sharing"",""เชียงใหม่!J638"")+IMPORTRANGE(""https://docs.google.com/spreadsheets/d/1W6MnUbDkMi6xHnHko_XkFDO9kkuL6Wqyc-6OCDFjW9I/e"&amp;"dit?usp=sharing"",""ตาก!J638"")+IMPORTRANGE(""https://docs.google.com/spreadsheets/d/1IQAWArduLkta9LpYo4a_ULsyqdta6-6aDDiwpUnQT6c/edit?usp=sharing"",""นครสวรรค์!J638"")+IMPORTRANGE(""https://docs.google.com/spreadsheets/d/10s13Sk5xrltsiR-Zkbmk5DwIaDIKO8Xl"&amp;"bJAfqyT7Gvg/edit?usp=sharing"",""น่าน!J638"")+IMPORTRANGE(""https://docs.google.com/spreadsheets/d/1uu4nAn4Dbi1XREnLKKotUANlKXa7yCgRcgq8HEzQYW8/edit?usp=sharing"",""พะเยา!J638"")+IMPORTRANGE(""https://docs.google.com/spreadsheets/d/1xfJKIQxVOaPDIICqsflNlL"&amp;"u3JacTDk1FP9RH4phX7mI/edit?usp=sharing"",""พิจิตร!J638"")+IMPORTRANGE(""https://docs.google.com/spreadsheets/d/1JtRfZkJMHtEhI5RdRHxYUG4FIZHqKDpNyIuN7A1Q0_k/edit?usp=sharing"",""พิษณุโลก!J638"")+IMPORTRANGE(""https://docs.google.com/spreadsheets/d/1xlcVZWU"&amp;"Nn6SuWm0c307h32SiGkd9BaeQWlAktfD3KO8/edit?usp=sharing"",""เพชรบูรณ์!J638"")+IMPORTRANGE(""https://docs.google.com/spreadsheets/d/1lOVebEIsI9qjGXl6EX66luk7wiuP2tBaryw-wKvv4e0/edit?usp=sharing"",""แพร่!J638"")+IMPORTRANGE(""https://docs.google.com/spreadshe"&amp;"ets/d/1dQrvX0vEcN7Gu0fnZ0B5S90AeR19zth4XlExFBeExMY/edit?usp=sharing"",""แม่ฮ่องสอน!J638"")+IMPORTRANGE(""https://docs.google.com/spreadsheets/d/1DY4XTNNwjluuxqdfdn6qvOSlMRrZqUtmYcZR0ttFiG4/edit?usp=sharing"",""ลำปาง!J638"")+IMPORTRANGE(""https://docs.goog"&amp;"le.com/spreadsheets/d/1ICwG78r0OFT8biBlxnBF8r7she7gNSzOvJ958PWT09c/edit?usp=sharing"",""ลำพูน!J638"")+IMPORTRANGE(""https://docs.google.com/spreadsheets/d/1B0f2xJpZUC6Z0xXnqKlZtEPzsf6L84eP1r1Q15seqRM/edit?usp=sharing"",""สุโขทัย!J638"")+IMPORTRANGE(""http"&amp;"s://docs.google.com/spreadsheets/d/1v0b9pFQCsKUVExMei7AgY2yQkdeNQvtOssygGsXbiKo/edit?usp=sharing"",""อุตรดิตถ์!J638"")+IMPORTRANGE(""https://docs.google.com/spreadsheets/d/1UsNK1e-WWiCo2PvGqdNfdme4m17_Ezd3J69EeeiQPD0/edit?usp=sharing"",""อุทัยธานี!J638"")"),0)</f>
        <v>0</v>
      </c>
      <c r="K638" s="45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4"/>
      <c r="J639" s="167">
        <f ca="1">IFERROR(__xludf.DUMMYFUNCTION("IMPORTRANGE(""https://docs.google.com/spreadsheets/d/1jTcq05yEiRwXcBMLjiodW9e4biSGYWAHcDj22rKWQ3s/edit?usp=sharing"",""กำแพงเพชร!J639"")+IMPORTRANGE(""https://docs.google.com/spreadsheets/d/1KS0zmDSZPk8KnTAbGN-Xk6MtX1YRZD0ldgdt20K4CRk/edit?usp=sharing"","&amp;"""เชียงราย!J639"")+IMPORTRANGE(""https://docs.google.com/spreadsheets/d/1rEDxBtusbi64tE0zunoIbsTVV16HeL0oJ6trHQeQ7K8/edit?usp=sharing"",""เชียงใหม่!J639"")+IMPORTRANGE(""https://docs.google.com/spreadsheets/d/1W6MnUbDkMi6xHnHko_XkFDO9kkuL6Wqyc-6OCDFjW9I/e"&amp;"dit?usp=sharing"",""ตาก!J639"")+IMPORTRANGE(""https://docs.google.com/spreadsheets/d/1IQAWArduLkta9LpYo4a_ULsyqdta6-6aDDiwpUnQT6c/edit?usp=sharing"",""นครสวรรค์!J639"")+IMPORTRANGE(""https://docs.google.com/spreadsheets/d/10s13Sk5xrltsiR-Zkbmk5DwIaDIKO8Xl"&amp;"bJAfqyT7Gvg/edit?usp=sharing"",""น่าน!J639"")+IMPORTRANGE(""https://docs.google.com/spreadsheets/d/1uu4nAn4Dbi1XREnLKKotUANlKXa7yCgRcgq8HEzQYW8/edit?usp=sharing"",""พะเยา!J639"")+IMPORTRANGE(""https://docs.google.com/spreadsheets/d/1xfJKIQxVOaPDIICqsflNlL"&amp;"u3JacTDk1FP9RH4phX7mI/edit?usp=sharing"",""พิจิตร!J639"")+IMPORTRANGE(""https://docs.google.com/spreadsheets/d/1JtRfZkJMHtEhI5RdRHxYUG4FIZHqKDpNyIuN7A1Q0_k/edit?usp=sharing"",""พิษณุโลก!J639"")+IMPORTRANGE(""https://docs.google.com/spreadsheets/d/1xlcVZWU"&amp;"Nn6SuWm0c307h32SiGkd9BaeQWlAktfD3KO8/edit?usp=sharing"",""เพชรบูรณ์!J639"")+IMPORTRANGE(""https://docs.google.com/spreadsheets/d/1lOVebEIsI9qjGXl6EX66luk7wiuP2tBaryw-wKvv4e0/edit?usp=sharing"",""แพร่!J639"")+IMPORTRANGE(""https://docs.google.com/spreadshe"&amp;"ets/d/1dQrvX0vEcN7Gu0fnZ0B5S90AeR19zth4XlExFBeExMY/edit?usp=sharing"",""แม่ฮ่องสอน!J639"")+IMPORTRANGE(""https://docs.google.com/spreadsheets/d/1DY4XTNNwjluuxqdfdn6qvOSlMRrZqUtmYcZR0ttFiG4/edit?usp=sharing"",""ลำปาง!J639"")+IMPORTRANGE(""https://docs.goog"&amp;"le.com/spreadsheets/d/1ICwG78r0OFT8biBlxnBF8r7she7gNSzOvJ958PWT09c/edit?usp=sharing"",""ลำพูน!J639"")+IMPORTRANGE(""https://docs.google.com/spreadsheets/d/1B0f2xJpZUC6Z0xXnqKlZtEPzsf6L84eP1r1Q15seqRM/edit?usp=sharing"",""สุโขทัย!J639"")+IMPORTRANGE(""http"&amp;"s://docs.google.com/spreadsheets/d/1v0b9pFQCsKUVExMei7AgY2yQkdeNQvtOssygGsXbiKo/edit?usp=sharing"",""อุตรดิตถ์!J639"")+IMPORTRANGE(""https://docs.google.com/spreadsheets/d/1UsNK1e-WWiCo2PvGqdNfdme4m17_Ezd3J69EeeiQPD0/edit?usp=sharing"",""อุทัยธานี!J639"")"),0)</f>
        <v>0</v>
      </c>
      <c r="K639" s="45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4"/>
      <c r="J640" s="167">
        <f ca="1">IFERROR(__xludf.DUMMYFUNCTION("IMPORTRANGE(""https://docs.google.com/spreadsheets/d/1jTcq05yEiRwXcBMLjiodW9e4biSGYWAHcDj22rKWQ3s/edit?usp=sharing"",""กำแพงเพชร!J640"")+IMPORTRANGE(""https://docs.google.com/spreadsheets/d/1KS0zmDSZPk8KnTAbGN-Xk6MtX1YRZD0ldgdt20K4CRk/edit?usp=sharing"","&amp;"""เชียงราย!J640"")+IMPORTRANGE(""https://docs.google.com/spreadsheets/d/1rEDxBtusbi64tE0zunoIbsTVV16HeL0oJ6trHQeQ7K8/edit?usp=sharing"",""เชียงใหม่!J640"")+IMPORTRANGE(""https://docs.google.com/spreadsheets/d/1W6MnUbDkMi6xHnHko_XkFDO9kkuL6Wqyc-6OCDFjW9I/e"&amp;"dit?usp=sharing"",""ตาก!J640"")+IMPORTRANGE(""https://docs.google.com/spreadsheets/d/1IQAWArduLkta9LpYo4a_ULsyqdta6-6aDDiwpUnQT6c/edit?usp=sharing"",""นครสวรรค์!J640"")+IMPORTRANGE(""https://docs.google.com/spreadsheets/d/10s13Sk5xrltsiR-Zkbmk5DwIaDIKO8Xl"&amp;"bJAfqyT7Gvg/edit?usp=sharing"",""น่าน!J640"")+IMPORTRANGE(""https://docs.google.com/spreadsheets/d/1uu4nAn4Dbi1XREnLKKotUANlKXa7yCgRcgq8HEzQYW8/edit?usp=sharing"",""พะเยา!J640"")+IMPORTRANGE(""https://docs.google.com/spreadsheets/d/1xfJKIQxVOaPDIICqsflNlL"&amp;"u3JacTDk1FP9RH4phX7mI/edit?usp=sharing"",""พิจิตร!J640"")+IMPORTRANGE(""https://docs.google.com/spreadsheets/d/1JtRfZkJMHtEhI5RdRHxYUG4FIZHqKDpNyIuN7A1Q0_k/edit?usp=sharing"",""พิษณุโลก!J640"")+IMPORTRANGE(""https://docs.google.com/spreadsheets/d/1xlcVZWU"&amp;"Nn6SuWm0c307h32SiGkd9BaeQWlAktfD3KO8/edit?usp=sharing"",""เพชรบูรณ์!J640"")+IMPORTRANGE(""https://docs.google.com/spreadsheets/d/1lOVebEIsI9qjGXl6EX66luk7wiuP2tBaryw-wKvv4e0/edit?usp=sharing"",""แพร่!J640"")+IMPORTRANGE(""https://docs.google.com/spreadshe"&amp;"ets/d/1dQrvX0vEcN7Gu0fnZ0B5S90AeR19zth4XlExFBeExMY/edit?usp=sharing"",""แม่ฮ่องสอน!J640"")+IMPORTRANGE(""https://docs.google.com/spreadsheets/d/1DY4XTNNwjluuxqdfdn6qvOSlMRrZqUtmYcZR0ttFiG4/edit?usp=sharing"",""ลำปาง!J640"")+IMPORTRANGE(""https://docs.goog"&amp;"le.com/spreadsheets/d/1ICwG78r0OFT8biBlxnBF8r7she7gNSzOvJ958PWT09c/edit?usp=sharing"",""ลำพูน!J640"")+IMPORTRANGE(""https://docs.google.com/spreadsheets/d/1B0f2xJpZUC6Z0xXnqKlZtEPzsf6L84eP1r1Q15seqRM/edit?usp=sharing"",""สุโขทัย!J640"")+IMPORTRANGE(""http"&amp;"s://docs.google.com/spreadsheets/d/1v0b9pFQCsKUVExMei7AgY2yQkdeNQvtOssygGsXbiKo/edit?usp=sharing"",""อุตรดิตถ์!J640"")+IMPORTRANGE(""https://docs.google.com/spreadsheets/d/1UsNK1e-WWiCo2PvGqdNfdme4m17_Ezd3J69EeeiQPD0/edit?usp=sharing"",""อุทัยธานี!J640"")"),0)</f>
        <v>0</v>
      </c>
      <c r="K640" s="45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394"/>
      <c r="B641" s="395" t="s">
        <v>236</v>
      </c>
      <c r="C641" s="394"/>
      <c r="D641" s="396"/>
      <c r="E641" s="396"/>
      <c r="F641" s="396"/>
      <c r="G641" s="397"/>
      <c r="H641" s="405"/>
      <c r="I641" s="406"/>
      <c r="J641" s="406"/>
      <c r="K641" s="401"/>
      <c r="L641" s="401"/>
      <c r="M641" s="401"/>
      <c r="N641" s="401"/>
      <c r="O641" s="401"/>
      <c r="P641" s="401"/>
      <c r="Q641" s="401"/>
      <c r="R641" s="401"/>
      <c r="S641" s="401"/>
      <c r="T641" s="401"/>
      <c r="U641" s="401"/>
    </row>
    <row r="642" spans="1:21" ht="19.5" x14ac:dyDescent="0.3">
      <c r="A642" s="128"/>
      <c r="B642" s="158"/>
      <c r="C642" s="209" t="s">
        <v>18</v>
      </c>
      <c r="D642" s="1287" t="s">
        <v>19</v>
      </c>
      <c r="E642" s="1285"/>
      <c r="F642" s="1285"/>
      <c r="G642" s="1286"/>
      <c r="H642" s="221" t="s">
        <v>14</v>
      </c>
      <c r="I642" s="44"/>
      <c r="J642" s="44"/>
      <c r="K642" s="45"/>
      <c r="L642" s="132">
        <f t="shared" ref="L642:N642" ca="1" si="453">L643+L644</f>
        <v>0</v>
      </c>
      <c r="M642" s="132">
        <f t="shared" ca="1" si="453"/>
        <v>0</v>
      </c>
      <c r="N642" s="132">
        <f t="shared" ca="1" si="453"/>
        <v>0</v>
      </c>
      <c r="O642" s="132">
        <f t="shared" ref="O642:O650" ca="1" si="454">IF(L642&gt;0,N642*100/L642,0)</f>
        <v>0</v>
      </c>
      <c r="P642" s="132">
        <f t="shared" ref="P642:P650" ca="1" si="455">IF(M642&gt;0,N642*100/M642,0)</f>
        <v>0</v>
      </c>
      <c r="Q642" s="132">
        <f t="shared" ref="Q642:S642" ca="1" si="456">Q643+Q644</f>
        <v>389440</v>
      </c>
      <c r="R642" s="132">
        <f t="shared" ca="1" si="456"/>
        <v>389440</v>
      </c>
      <c r="S642" s="132">
        <f t="shared" ca="1" si="456"/>
        <v>20295</v>
      </c>
      <c r="T642" s="132">
        <f t="shared" ref="T642:T650" ca="1" si="457">IF(Q642&gt;0,S642*100/Q642,0)</f>
        <v>5.2113290879211176</v>
      </c>
      <c r="U642" s="132">
        <f t="shared" ref="U642:U650" ca="1" si="458">IF(R642&gt;0,S642*100/R642,0)</f>
        <v>5.2113290879211176</v>
      </c>
    </row>
    <row r="643" spans="1:21" ht="18.75" x14ac:dyDescent="0.25">
      <c r="A643" s="128"/>
      <c r="B643" s="158"/>
      <c r="C643" s="158"/>
      <c r="D643" s="145"/>
      <c r="E643" s="156" t="s">
        <v>158</v>
      </c>
      <c r="F643" s="40"/>
      <c r="G643" s="42"/>
      <c r="H643" s="159" t="s">
        <v>14</v>
      </c>
      <c r="I643" s="44"/>
      <c r="J643" s="44"/>
      <c r="K643" s="45"/>
      <c r="L643" s="48">
        <f t="shared" ref="L643:N643" ca="1" si="459">L646+L649</f>
        <v>0</v>
      </c>
      <c r="M643" s="48">
        <f t="shared" ca="1" si="459"/>
        <v>0</v>
      </c>
      <c r="N643" s="48">
        <f t="shared" ca="1" si="459"/>
        <v>0</v>
      </c>
      <c r="O643" s="48">
        <f t="shared" ca="1" si="454"/>
        <v>0</v>
      </c>
      <c r="P643" s="48">
        <f t="shared" ca="1" si="455"/>
        <v>0</v>
      </c>
      <c r="Q643" s="48">
        <f t="shared" ref="Q643:S643" ca="1" si="460">Q646+Q649</f>
        <v>0</v>
      </c>
      <c r="R643" s="48">
        <f t="shared" ca="1" si="460"/>
        <v>0</v>
      </c>
      <c r="S643" s="48">
        <f t="shared" ca="1" si="460"/>
        <v>0</v>
      </c>
      <c r="T643" s="48">
        <f t="shared" ca="1" si="457"/>
        <v>0</v>
      </c>
      <c r="U643" s="48">
        <f t="shared" ca="1" si="458"/>
        <v>0</v>
      </c>
    </row>
    <row r="644" spans="1:21" ht="18.75" x14ac:dyDescent="0.25">
      <c r="A644" s="128"/>
      <c r="B644" s="158"/>
      <c r="C644" s="158"/>
      <c r="D644" s="145"/>
      <c r="E644" s="47" t="s">
        <v>159</v>
      </c>
      <c r="F644" s="40"/>
      <c r="G644" s="42"/>
      <c r="H644" s="134" t="s">
        <v>14</v>
      </c>
      <c r="I644" s="44"/>
      <c r="J644" s="44"/>
      <c r="K644" s="45"/>
      <c r="L644" s="46">
        <f t="shared" ref="L644:N644" ca="1" si="461">L647+L650</f>
        <v>0</v>
      </c>
      <c r="M644" s="46">
        <f t="shared" ca="1" si="461"/>
        <v>0</v>
      </c>
      <c r="N644" s="46">
        <f t="shared" ca="1" si="461"/>
        <v>0</v>
      </c>
      <c r="O644" s="46">
        <f t="shared" ca="1" si="454"/>
        <v>0</v>
      </c>
      <c r="P644" s="46">
        <f t="shared" ca="1" si="455"/>
        <v>0</v>
      </c>
      <c r="Q644" s="46">
        <f t="shared" ref="Q644:S644" ca="1" si="462">Q647+Q650</f>
        <v>389440</v>
      </c>
      <c r="R644" s="46">
        <f t="shared" ca="1" si="462"/>
        <v>389440</v>
      </c>
      <c r="S644" s="46">
        <f t="shared" ca="1" si="462"/>
        <v>20295</v>
      </c>
      <c r="T644" s="46">
        <f t="shared" ca="1" si="457"/>
        <v>5.2113290879211176</v>
      </c>
      <c r="U644" s="46">
        <f t="shared" ca="1" si="458"/>
        <v>5.2113290879211176</v>
      </c>
    </row>
    <row r="645" spans="1:21" ht="18.75" x14ac:dyDescent="0.25">
      <c r="A645" s="128"/>
      <c r="B645" s="158"/>
      <c r="C645" s="158"/>
      <c r="D645" s="41" t="s">
        <v>22</v>
      </c>
      <c r="E645" s="40"/>
      <c r="F645" s="40"/>
      <c r="G645" s="42"/>
      <c r="H645" s="134" t="s">
        <v>14</v>
      </c>
      <c r="I645" s="135"/>
      <c r="J645" s="135"/>
      <c r="K645" s="136"/>
      <c r="L645" s="46">
        <f t="shared" ref="L645:N645" ca="1" si="463">L646+L647</f>
        <v>0</v>
      </c>
      <c r="M645" s="46">
        <f t="shared" ca="1" si="463"/>
        <v>0</v>
      </c>
      <c r="N645" s="46">
        <f t="shared" ca="1" si="463"/>
        <v>0</v>
      </c>
      <c r="O645" s="46">
        <f t="shared" ca="1" si="454"/>
        <v>0</v>
      </c>
      <c r="P645" s="46">
        <f t="shared" ca="1" si="455"/>
        <v>0</v>
      </c>
      <c r="Q645" s="46">
        <f t="shared" ref="Q645:S645" ca="1" si="464">Q646+Q647</f>
        <v>389440</v>
      </c>
      <c r="R645" s="46">
        <f t="shared" ca="1" si="464"/>
        <v>389440</v>
      </c>
      <c r="S645" s="46">
        <f t="shared" ca="1" si="464"/>
        <v>20295</v>
      </c>
      <c r="T645" s="46">
        <f t="shared" ca="1" si="457"/>
        <v>5.2113290879211176</v>
      </c>
      <c r="U645" s="46">
        <f t="shared" ca="1" si="458"/>
        <v>5.2113290879211176</v>
      </c>
    </row>
    <row r="646" spans="1:21" ht="18.75" x14ac:dyDescent="0.25">
      <c r="A646" s="128"/>
      <c r="B646" s="158"/>
      <c r="C646" s="158"/>
      <c r="D646" s="145"/>
      <c r="E646" s="156" t="s">
        <v>158</v>
      </c>
      <c r="F646" s="40"/>
      <c r="G646" s="42"/>
      <c r="H646" s="159" t="s">
        <v>14</v>
      </c>
      <c r="I646" s="44"/>
      <c r="J646" s="44"/>
      <c r="K646" s="45"/>
      <c r="L646" s="48">
        <f ca="1">IFERROR(__xludf.DUMMYFUNCTION("IMPORTRANGE(""https://docs.google.com/spreadsheets/d/1jTcq05yEiRwXcBMLjiodW9e4biSGYWAHcDj22rKWQ3s/edit?usp=sharing"",""กำแพงเพชร!L646"")+IMPORTRANGE(""https://docs.google.com/spreadsheets/d/1KS0zmDSZPk8KnTAbGN-Xk6MtX1YRZD0ldgdt20K4CRk/edit?usp=sharing"","&amp;"""เชียงราย!L646"")+IMPORTRANGE(""https://docs.google.com/spreadsheets/d/1rEDxBtusbi64tE0zunoIbsTVV16HeL0oJ6trHQeQ7K8/edit?usp=sharing"",""เชียงใหม่!L646"")+IMPORTRANGE(""https://docs.google.com/spreadsheets/d/1W6MnUbDkMi6xHnHko_XkFDO9kkuL6Wqyc-6OCDFjW9I/e"&amp;"dit?usp=sharing"",""ตาก!L646"")+IMPORTRANGE(""https://docs.google.com/spreadsheets/d/1IQAWArduLkta9LpYo4a_ULsyqdta6-6aDDiwpUnQT6c/edit?usp=sharing"",""นครสวรรค์!L646"")+IMPORTRANGE(""https://docs.google.com/spreadsheets/d/10s13Sk5xrltsiR-Zkbmk5DwIaDIKO8Xl"&amp;"bJAfqyT7Gvg/edit?usp=sharing"",""น่าน!L646"")+IMPORTRANGE(""https://docs.google.com/spreadsheets/d/1uu4nAn4Dbi1XREnLKKotUANlKXa7yCgRcgq8HEzQYW8/edit?usp=sharing"",""พะเยา!L646"")+IMPORTRANGE(""https://docs.google.com/spreadsheets/d/1xfJKIQxVOaPDIICqsflNlL"&amp;"u3JacTDk1FP9RH4phX7mI/edit?usp=sharing"",""พิจิตร!L646"")+IMPORTRANGE(""https://docs.google.com/spreadsheets/d/1JtRfZkJMHtEhI5RdRHxYUG4FIZHqKDpNyIuN7A1Q0_k/edit?usp=sharing"",""พิษณุโลก!L646"")+IMPORTRANGE(""https://docs.google.com/spreadsheets/d/1xlcVZWU"&amp;"Nn6SuWm0c307h32SiGkd9BaeQWlAktfD3KO8/edit?usp=sharing"",""เพชรบูรณ์!L646"")+IMPORTRANGE(""https://docs.google.com/spreadsheets/d/1lOVebEIsI9qjGXl6EX66luk7wiuP2tBaryw-wKvv4e0/edit?usp=sharing"",""แพร่!L646"")+IMPORTRANGE(""https://docs.google.com/spreadshe"&amp;"ets/d/1dQrvX0vEcN7Gu0fnZ0B5S90AeR19zth4XlExFBeExMY/edit?usp=sharing"",""แม่ฮ่องสอน!L646"")+IMPORTRANGE(""https://docs.google.com/spreadsheets/d/1DY4XTNNwjluuxqdfdn6qvOSlMRrZqUtmYcZR0ttFiG4/edit?usp=sharing"",""ลำปาง!L646"")+IMPORTRANGE(""https://docs.goog"&amp;"le.com/spreadsheets/d/1ICwG78r0OFT8biBlxnBF8r7she7gNSzOvJ958PWT09c/edit?usp=sharing"",""ลำพูน!L646"")+IMPORTRANGE(""https://docs.google.com/spreadsheets/d/1B0f2xJpZUC6Z0xXnqKlZtEPzsf6L84eP1r1Q15seqRM/edit?usp=sharing"",""สุโขทัย!L646"")+IMPORTRANGE(""http"&amp;"s://docs.google.com/spreadsheets/d/1v0b9pFQCsKUVExMei7AgY2yQkdeNQvtOssygGsXbiKo/edit?usp=sharing"",""อุตรดิตถ์!L646"")+IMPORTRANGE(""https://docs.google.com/spreadsheets/d/1UsNK1e-WWiCo2PvGqdNfdme4m17_Ezd3J69EeeiQPD0/edit?usp=sharing"",""อุทัยธานี!L646"")"),0)</f>
        <v>0</v>
      </c>
      <c r="M646" s="48">
        <f ca="1">IFERROR(__xludf.DUMMYFUNCTION("IMPORTRANGE(""https://docs.google.com/spreadsheets/d/1jTcq05yEiRwXcBMLjiodW9e4biSGYWAHcDj22rKWQ3s/edit?usp=sharing"",""กำแพงเพชร!M646"")+IMPORTRANGE(""https://docs.google.com/spreadsheets/d/1KS0zmDSZPk8KnTAbGN-Xk6MtX1YRZD0ldgdt20K4CRk/edit?usp=sharing"","&amp;"""เชียงราย!M646"")+IMPORTRANGE(""https://docs.google.com/spreadsheets/d/1rEDxBtusbi64tE0zunoIbsTVV16HeL0oJ6trHQeQ7K8/edit?usp=sharing"",""เชียงใหม่!M646"")+IMPORTRANGE(""https://docs.google.com/spreadsheets/d/1W6MnUbDkMi6xHnHko_XkFDO9kkuL6Wqyc-6OCDFjW9I/e"&amp;"dit?usp=sharing"",""ตาก!M646"")+IMPORTRANGE(""https://docs.google.com/spreadsheets/d/1IQAWArduLkta9LpYo4a_ULsyqdta6-6aDDiwpUnQT6c/edit?usp=sharing"",""นครสวรรค์!M646"")+IMPORTRANGE(""https://docs.google.com/spreadsheets/d/10s13Sk5xrltsiR-Zkbmk5DwIaDIKO8Xl"&amp;"bJAfqyT7Gvg/edit?usp=sharing"",""น่าน!M646"")+IMPORTRANGE(""https://docs.google.com/spreadsheets/d/1uu4nAn4Dbi1XREnLKKotUANlKXa7yCgRcgq8HEzQYW8/edit?usp=sharing"",""พะเยา!M646"")+IMPORTRANGE(""https://docs.google.com/spreadsheets/d/1xfJKIQxVOaPDIICqsflNlL"&amp;"u3JacTDk1FP9RH4phX7mI/edit?usp=sharing"",""พิจิตร!M646"")+IMPORTRANGE(""https://docs.google.com/spreadsheets/d/1JtRfZkJMHtEhI5RdRHxYUG4FIZHqKDpNyIuN7A1Q0_k/edit?usp=sharing"",""พิษณุโลก!M646"")+IMPORTRANGE(""https://docs.google.com/spreadsheets/d/1xlcVZWU"&amp;"Nn6SuWm0c307h32SiGkd9BaeQWlAktfD3KO8/edit?usp=sharing"",""เพชรบูรณ์!M646"")+IMPORTRANGE(""https://docs.google.com/spreadsheets/d/1lOVebEIsI9qjGXl6EX66luk7wiuP2tBaryw-wKvv4e0/edit?usp=sharing"",""แพร่!M646"")+IMPORTRANGE(""https://docs.google.com/spreadshe"&amp;"ets/d/1dQrvX0vEcN7Gu0fnZ0B5S90AeR19zth4XlExFBeExMY/edit?usp=sharing"",""แม่ฮ่องสอน!M646"")+IMPORTRANGE(""https://docs.google.com/spreadsheets/d/1DY4XTNNwjluuxqdfdn6qvOSlMRrZqUtmYcZR0ttFiG4/edit?usp=sharing"",""ลำปาง!M646"")+IMPORTRANGE(""https://docs.goog"&amp;"le.com/spreadsheets/d/1ICwG78r0OFT8biBlxnBF8r7she7gNSzOvJ958PWT09c/edit?usp=sharing"",""ลำพูน!M646"")+IMPORTRANGE(""https://docs.google.com/spreadsheets/d/1B0f2xJpZUC6Z0xXnqKlZtEPzsf6L84eP1r1Q15seqRM/edit?usp=sharing"",""สุโขทัย!M646"")+IMPORTRANGE(""http"&amp;"s://docs.google.com/spreadsheets/d/1v0b9pFQCsKUVExMei7AgY2yQkdeNQvtOssygGsXbiKo/edit?usp=sharing"",""อุตรดิตถ์!M646"")+IMPORTRANGE(""https://docs.google.com/spreadsheets/d/1UsNK1e-WWiCo2PvGqdNfdme4m17_Ezd3J69EeeiQPD0/edit?usp=sharing"",""อุทัยธานี!M646"")"),0)</f>
        <v>0</v>
      </c>
      <c r="N646" s="48">
        <f ca="1">IFERROR(__xludf.DUMMYFUNCTION("IMPORTRANGE(""https://docs.google.com/spreadsheets/d/1jTcq05yEiRwXcBMLjiodW9e4biSGYWAHcDj22rKWQ3s/edit?usp=sharing"",""กำแพงเพชร!N646"")+IMPORTRANGE(""https://docs.google.com/spreadsheets/d/1KS0zmDSZPk8KnTAbGN-Xk6MtX1YRZD0ldgdt20K4CRk/edit?usp=sharing"","&amp;"""เชียงราย!N646"")+IMPORTRANGE(""https://docs.google.com/spreadsheets/d/1rEDxBtusbi64tE0zunoIbsTVV16HeL0oJ6trHQeQ7K8/edit?usp=sharing"",""เชียงใหม่!N646"")+IMPORTRANGE(""https://docs.google.com/spreadsheets/d/1W6MnUbDkMi6xHnHko_XkFDO9kkuL6Wqyc-6OCDFjW9I/e"&amp;"dit?usp=sharing"",""ตาก!N646"")+IMPORTRANGE(""https://docs.google.com/spreadsheets/d/1IQAWArduLkta9LpYo4a_ULsyqdta6-6aDDiwpUnQT6c/edit?usp=sharing"",""นครสวรรค์!N646"")+IMPORTRANGE(""https://docs.google.com/spreadsheets/d/10s13Sk5xrltsiR-Zkbmk5DwIaDIKO8Xl"&amp;"bJAfqyT7Gvg/edit?usp=sharing"",""น่าน!N646"")+IMPORTRANGE(""https://docs.google.com/spreadsheets/d/1uu4nAn4Dbi1XREnLKKotUANlKXa7yCgRcgq8HEzQYW8/edit?usp=sharing"",""พะเยา!N646"")+IMPORTRANGE(""https://docs.google.com/spreadsheets/d/1xfJKIQxVOaPDIICqsflNlL"&amp;"u3JacTDk1FP9RH4phX7mI/edit?usp=sharing"",""พิจิตร!N646"")+IMPORTRANGE(""https://docs.google.com/spreadsheets/d/1JtRfZkJMHtEhI5RdRHxYUG4FIZHqKDpNyIuN7A1Q0_k/edit?usp=sharing"",""พิษณุโลก!N646"")+IMPORTRANGE(""https://docs.google.com/spreadsheets/d/1xlcVZWU"&amp;"Nn6SuWm0c307h32SiGkd9BaeQWlAktfD3KO8/edit?usp=sharing"",""เพชรบูรณ์!N646"")+IMPORTRANGE(""https://docs.google.com/spreadsheets/d/1lOVebEIsI9qjGXl6EX66luk7wiuP2tBaryw-wKvv4e0/edit?usp=sharing"",""แพร่!N646"")+IMPORTRANGE(""https://docs.google.com/spreadshe"&amp;"ets/d/1dQrvX0vEcN7Gu0fnZ0B5S90AeR19zth4XlExFBeExMY/edit?usp=sharing"",""แม่ฮ่องสอน!N646"")+IMPORTRANGE(""https://docs.google.com/spreadsheets/d/1DY4XTNNwjluuxqdfdn6qvOSlMRrZqUtmYcZR0ttFiG4/edit?usp=sharing"",""ลำปาง!N646"")+IMPORTRANGE(""https://docs.goog"&amp;"le.com/spreadsheets/d/1ICwG78r0OFT8biBlxnBF8r7she7gNSzOvJ958PWT09c/edit?usp=sharing"",""ลำพูน!N646"")+IMPORTRANGE(""https://docs.google.com/spreadsheets/d/1B0f2xJpZUC6Z0xXnqKlZtEPzsf6L84eP1r1Q15seqRM/edit?usp=sharing"",""สุโขทัย!N646"")+IMPORTRANGE(""http"&amp;"s://docs.google.com/spreadsheets/d/1v0b9pFQCsKUVExMei7AgY2yQkdeNQvtOssygGsXbiKo/edit?usp=sharing"",""อุตรดิตถ์!N646"")+IMPORTRANGE(""https://docs.google.com/spreadsheets/d/1UsNK1e-WWiCo2PvGqdNfdme4m17_Ezd3J69EeeiQPD0/edit?usp=sharing"",""อุทัยธานี!N646"")"),0)</f>
        <v>0</v>
      </c>
      <c r="O646" s="48">
        <f t="shared" ca="1" si="454"/>
        <v>0</v>
      </c>
      <c r="P646" s="48">
        <f t="shared" ca="1" si="455"/>
        <v>0</v>
      </c>
      <c r="Q646" s="48">
        <f ca="1">IFERROR(__xludf.DUMMYFUNCTION("IMPORTRANGE(""https://docs.google.com/spreadsheets/d/1jTcq05yEiRwXcBMLjiodW9e4biSGYWAHcDj22rKWQ3s/edit?usp=sharing"",""กำแพงเพชร!Q646"")+IMPORTRANGE(""https://docs.google.com/spreadsheets/d/1KS0zmDSZPk8KnTAbGN-Xk6MtX1YRZD0ldgdt20K4CRk/edit?usp=sharing"","&amp;"""เชียงราย!Q646"")+IMPORTRANGE(""https://docs.google.com/spreadsheets/d/1rEDxBtusbi64tE0zunoIbsTVV16HeL0oJ6trHQeQ7K8/edit?usp=sharing"",""เชียงใหม่!Q646"")+IMPORTRANGE(""https://docs.google.com/spreadsheets/d/1W6MnUbDkMi6xHnHko_XkFDO9kkuL6Wqyc-6OCDFjW9I/e"&amp;"dit?usp=sharing"",""ตาก!Q646"")+IMPORTRANGE(""https://docs.google.com/spreadsheets/d/1IQAWArduLkta9LpYo4a_ULsyqdta6-6aDDiwpUnQT6c/edit?usp=sharing"",""นครสวรรค์!Q646"")+IMPORTRANGE(""https://docs.google.com/spreadsheets/d/10s13Sk5xrltsiR-Zkbmk5DwIaDIKO8Xl"&amp;"bJAfqyT7Gvg/edit?usp=sharing"",""น่าน!Q646"")+IMPORTRANGE(""https://docs.google.com/spreadsheets/d/1uu4nAn4Dbi1XREnLKKotUANlKXa7yCgRcgq8HEzQYW8/edit?usp=sharing"",""พะเยา!Q646"")+IMPORTRANGE(""https://docs.google.com/spreadsheets/d/1xfJKIQxVOaPDIICqsflNlL"&amp;"u3JacTDk1FP9RH4phX7mI/edit?usp=sharing"",""พิจิตร!Q646"")+IMPORTRANGE(""https://docs.google.com/spreadsheets/d/1JtRfZkJMHtEhI5RdRHxYUG4FIZHqKDpNyIuN7A1Q0_k/edit?usp=sharing"",""พิษณุโลก!Q646"")+IMPORTRANGE(""https://docs.google.com/spreadsheets/d/1xlcVZWU"&amp;"Nn6SuWm0c307h32SiGkd9BaeQWlAktfD3KO8/edit?usp=sharing"",""เพชรบูรณ์!Q646"")+IMPORTRANGE(""https://docs.google.com/spreadsheets/d/1lOVebEIsI9qjGXl6EX66luk7wiuP2tBaryw-wKvv4e0/edit?usp=sharing"",""แพร่!Q646"")+IMPORTRANGE(""https://docs.google.com/spreadshe"&amp;"ets/d/1dQrvX0vEcN7Gu0fnZ0B5S90AeR19zth4XlExFBeExMY/edit?usp=sharing"",""แม่ฮ่องสอน!Q646"")+IMPORTRANGE(""https://docs.google.com/spreadsheets/d/1DY4XTNNwjluuxqdfdn6qvOSlMRrZqUtmYcZR0ttFiG4/edit?usp=sharing"",""ลำปาง!Q646"")+IMPORTRANGE(""https://docs.goog"&amp;"le.com/spreadsheets/d/1ICwG78r0OFT8biBlxnBF8r7she7gNSzOvJ958PWT09c/edit?usp=sharing"",""ลำพูน!Q646"")+IMPORTRANGE(""https://docs.google.com/spreadsheets/d/1B0f2xJpZUC6Z0xXnqKlZtEPzsf6L84eP1r1Q15seqRM/edit?usp=sharing"",""สุโขทัย!Q646"")+IMPORTRANGE(""http"&amp;"s://docs.google.com/spreadsheets/d/1v0b9pFQCsKUVExMei7AgY2yQkdeNQvtOssygGsXbiKo/edit?usp=sharing"",""อุตรดิตถ์!Q646"")+IMPORTRANGE(""https://docs.google.com/spreadsheets/d/1UsNK1e-WWiCo2PvGqdNfdme4m17_Ezd3J69EeeiQPD0/edit?usp=sharing"",""อุทัยธานี!Q646"")"),0)</f>
        <v>0</v>
      </c>
      <c r="R646" s="48">
        <f ca="1">IFERROR(__xludf.DUMMYFUNCTION("IMPORTRANGE(""https://docs.google.com/spreadsheets/d/1jTcq05yEiRwXcBMLjiodW9e4biSGYWAHcDj22rKWQ3s/edit?usp=sharing"",""กำแพงเพชร!R646"")+IMPORTRANGE(""https://docs.google.com/spreadsheets/d/1KS0zmDSZPk8KnTAbGN-Xk6MtX1YRZD0ldgdt20K4CRk/edit?usp=sharing"","&amp;"""เชียงราย!R646"")+IMPORTRANGE(""https://docs.google.com/spreadsheets/d/1rEDxBtusbi64tE0zunoIbsTVV16HeL0oJ6trHQeQ7K8/edit?usp=sharing"",""เชียงใหม่!R646"")+IMPORTRANGE(""https://docs.google.com/spreadsheets/d/1W6MnUbDkMi6xHnHko_XkFDO9kkuL6Wqyc-6OCDFjW9I/e"&amp;"dit?usp=sharing"",""ตาก!R646"")+IMPORTRANGE(""https://docs.google.com/spreadsheets/d/1IQAWArduLkta9LpYo4a_ULsyqdta6-6aDDiwpUnQT6c/edit?usp=sharing"",""นครสวรรค์!R646"")+IMPORTRANGE(""https://docs.google.com/spreadsheets/d/10s13Sk5xrltsiR-Zkbmk5DwIaDIKO8Xl"&amp;"bJAfqyT7Gvg/edit?usp=sharing"",""น่าน!R646"")+IMPORTRANGE(""https://docs.google.com/spreadsheets/d/1uu4nAn4Dbi1XREnLKKotUANlKXa7yCgRcgq8HEzQYW8/edit?usp=sharing"",""พะเยา!R646"")+IMPORTRANGE(""https://docs.google.com/spreadsheets/d/1xfJKIQxVOaPDIICqsflNlL"&amp;"u3JacTDk1FP9RH4phX7mI/edit?usp=sharing"",""พิจิตร!R646"")+IMPORTRANGE(""https://docs.google.com/spreadsheets/d/1JtRfZkJMHtEhI5RdRHxYUG4FIZHqKDpNyIuN7A1Q0_k/edit?usp=sharing"",""พิษณุโลก!R646"")+IMPORTRANGE(""https://docs.google.com/spreadsheets/d/1xlcVZWU"&amp;"Nn6SuWm0c307h32SiGkd9BaeQWlAktfD3KO8/edit?usp=sharing"",""เพชรบูรณ์!R646"")+IMPORTRANGE(""https://docs.google.com/spreadsheets/d/1lOVebEIsI9qjGXl6EX66luk7wiuP2tBaryw-wKvv4e0/edit?usp=sharing"",""แพร่!R646"")+IMPORTRANGE(""https://docs.google.com/spreadshe"&amp;"ets/d/1dQrvX0vEcN7Gu0fnZ0B5S90AeR19zth4XlExFBeExMY/edit?usp=sharing"",""แม่ฮ่องสอน!R646"")+IMPORTRANGE(""https://docs.google.com/spreadsheets/d/1DY4XTNNwjluuxqdfdn6qvOSlMRrZqUtmYcZR0ttFiG4/edit?usp=sharing"",""ลำปาง!R646"")+IMPORTRANGE(""https://docs.goog"&amp;"le.com/spreadsheets/d/1ICwG78r0OFT8biBlxnBF8r7she7gNSzOvJ958PWT09c/edit?usp=sharing"",""ลำพูน!R646"")+IMPORTRANGE(""https://docs.google.com/spreadsheets/d/1B0f2xJpZUC6Z0xXnqKlZtEPzsf6L84eP1r1Q15seqRM/edit?usp=sharing"",""สุโขทัย!R646"")+IMPORTRANGE(""http"&amp;"s://docs.google.com/spreadsheets/d/1v0b9pFQCsKUVExMei7AgY2yQkdeNQvtOssygGsXbiKo/edit?usp=sharing"",""อุตรดิตถ์!R646"")+IMPORTRANGE(""https://docs.google.com/spreadsheets/d/1UsNK1e-WWiCo2PvGqdNfdme4m17_Ezd3J69EeeiQPD0/edit?usp=sharing"",""อุทัยธานี!R646"")"),0)</f>
        <v>0</v>
      </c>
      <c r="S646" s="48">
        <f ca="1">IFERROR(__xludf.DUMMYFUNCTION("IMPORTRANGE(""https://docs.google.com/spreadsheets/d/1jTcq05yEiRwXcBMLjiodW9e4biSGYWAHcDj22rKWQ3s/edit?usp=sharing"",""กำแพงเพชร!S646"")+IMPORTRANGE(""https://docs.google.com/spreadsheets/d/1KS0zmDSZPk8KnTAbGN-Xk6MtX1YRZD0ldgdt20K4CRk/edit?usp=sharing"","&amp;"""เชียงราย!S646"")+IMPORTRANGE(""https://docs.google.com/spreadsheets/d/1rEDxBtusbi64tE0zunoIbsTVV16HeL0oJ6trHQeQ7K8/edit?usp=sharing"",""เชียงใหม่!S646"")+IMPORTRANGE(""https://docs.google.com/spreadsheets/d/1W6MnUbDkMi6xHnHko_XkFDO9kkuL6Wqyc-6OCDFjW9I/e"&amp;"dit?usp=sharing"",""ตาก!S646"")+IMPORTRANGE(""https://docs.google.com/spreadsheets/d/1IQAWArduLkta9LpYo4a_ULsyqdta6-6aDDiwpUnQT6c/edit?usp=sharing"",""นครสวรรค์!S646"")+IMPORTRANGE(""https://docs.google.com/spreadsheets/d/10s13Sk5xrltsiR-Zkbmk5DwIaDIKO8Xl"&amp;"bJAfqyT7Gvg/edit?usp=sharing"",""น่าน!S646"")+IMPORTRANGE(""https://docs.google.com/spreadsheets/d/1uu4nAn4Dbi1XREnLKKotUANlKXa7yCgRcgq8HEzQYW8/edit?usp=sharing"",""พะเยา!S646"")+IMPORTRANGE(""https://docs.google.com/spreadsheets/d/1xfJKIQxVOaPDIICqsflNlL"&amp;"u3JacTDk1FP9RH4phX7mI/edit?usp=sharing"",""พิจิตร!S646"")+IMPORTRANGE(""https://docs.google.com/spreadsheets/d/1JtRfZkJMHtEhI5RdRHxYUG4FIZHqKDpNyIuN7A1Q0_k/edit?usp=sharing"",""พิษณุโลก!S646"")+IMPORTRANGE(""https://docs.google.com/spreadsheets/d/1xlcVZWU"&amp;"Nn6SuWm0c307h32SiGkd9BaeQWlAktfD3KO8/edit?usp=sharing"",""เพชรบูรณ์!S646"")+IMPORTRANGE(""https://docs.google.com/spreadsheets/d/1lOVebEIsI9qjGXl6EX66luk7wiuP2tBaryw-wKvv4e0/edit?usp=sharing"",""แพร่!S646"")+IMPORTRANGE(""https://docs.google.com/spreadshe"&amp;"ets/d/1dQrvX0vEcN7Gu0fnZ0B5S90AeR19zth4XlExFBeExMY/edit?usp=sharing"",""แม่ฮ่องสอน!S646"")+IMPORTRANGE(""https://docs.google.com/spreadsheets/d/1DY4XTNNwjluuxqdfdn6qvOSlMRrZqUtmYcZR0ttFiG4/edit?usp=sharing"",""ลำปาง!S646"")+IMPORTRANGE(""https://docs.goog"&amp;"le.com/spreadsheets/d/1ICwG78r0OFT8biBlxnBF8r7she7gNSzOvJ958PWT09c/edit?usp=sharing"",""ลำพูน!S646"")+IMPORTRANGE(""https://docs.google.com/spreadsheets/d/1B0f2xJpZUC6Z0xXnqKlZtEPzsf6L84eP1r1Q15seqRM/edit?usp=sharing"",""สุโขทัย!S646"")+IMPORTRANGE(""http"&amp;"s://docs.google.com/spreadsheets/d/1v0b9pFQCsKUVExMei7AgY2yQkdeNQvtOssygGsXbiKo/edit?usp=sharing"",""อุตรดิตถ์!S646"")+IMPORTRANGE(""https://docs.google.com/spreadsheets/d/1UsNK1e-WWiCo2PvGqdNfdme4m17_Ezd3J69EeeiQPD0/edit?usp=sharing"",""อุทัยธานี!S646"")"),0)</f>
        <v>0</v>
      </c>
      <c r="T646" s="48">
        <f t="shared" ca="1" si="457"/>
        <v>0</v>
      </c>
      <c r="U646" s="48">
        <f t="shared" ca="1" si="458"/>
        <v>0</v>
      </c>
    </row>
    <row r="647" spans="1:21" ht="18.75" x14ac:dyDescent="0.25">
      <c r="A647" s="128"/>
      <c r="B647" s="158"/>
      <c r="C647" s="158"/>
      <c r="D647" s="145"/>
      <c r="E647" s="47" t="s">
        <v>159</v>
      </c>
      <c r="F647" s="40"/>
      <c r="G647" s="42"/>
      <c r="H647" s="134" t="s">
        <v>14</v>
      </c>
      <c r="I647" s="44"/>
      <c r="J647" s="44"/>
      <c r="K647" s="45"/>
      <c r="L647" s="46">
        <f ca="1">IFERROR(__xludf.DUMMYFUNCTION("IMPORTRANGE(""https://docs.google.com/spreadsheets/d/1jTcq05yEiRwXcBMLjiodW9e4biSGYWAHcDj22rKWQ3s/edit?usp=sharing"",""กำแพงเพชร!L647"")+IMPORTRANGE(""https://docs.google.com/spreadsheets/d/1KS0zmDSZPk8KnTAbGN-Xk6MtX1YRZD0ldgdt20K4CRk/edit?usp=sharing"","&amp;"""เชียงราย!L647"")+IMPORTRANGE(""https://docs.google.com/spreadsheets/d/1rEDxBtusbi64tE0zunoIbsTVV16HeL0oJ6trHQeQ7K8/edit?usp=sharing"",""เชียงใหม่!L647"")+IMPORTRANGE(""https://docs.google.com/spreadsheets/d/1W6MnUbDkMi6xHnHko_XkFDO9kkuL6Wqyc-6OCDFjW9I/e"&amp;"dit?usp=sharing"",""ตาก!L647"")+IMPORTRANGE(""https://docs.google.com/spreadsheets/d/1IQAWArduLkta9LpYo4a_ULsyqdta6-6aDDiwpUnQT6c/edit?usp=sharing"",""นครสวรรค์!L647"")+IMPORTRANGE(""https://docs.google.com/spreadsheets/d/10s13Sk5xrltsiR-Zkbmk5DwIaDIKO8Xl"&amp;"bJAfqyT7Gvg/edit?usp=sharing"",""น่าน!L647"")+IMPORTRANGE(""https://docs.google.com/spreadsheets/d/1uu4nAn4Dbi1XREnLKKotUANlKXa7yCgRcgq8HEzQYW8/edit?usp=sharing"",""พะเยา!L647"")+IMPORTRANGE(""https://docs.google.com/spreadsheets/d/1xfJKIQxVOaPDIICqsflNlL"&amp;"u3JacTDk1FP9RH4phX7mI/edit?usp=sharing"",""พิจิตร!L647"")+IMPORTRANGE(""https://docs.google.com/spreadsheets/d/1JtRfZkJMHtEhI5RdRHxYUG4FIZHqKDpNyIuN7A1Q0_k/edit?usp=sharing"",""พิษณุโลก!L647"")+IMPORTRANGE(""https://docs.google.com/spreadsheets/d/1xlcVZWU"&amp;"Nn6SuWm0c307h32SiGkd9BaeQWlAktfD3KO8/edit?usp=sharing"",""เพชรบูรณ์!L647"")+IMPORTRANGE(""https://docs.google.com/spreadsheets/d/1lOVebEIsI9qjGXl6EX66luk7wiuP2tBaryw-wKvv4e0/edit?usp=sharing"",""แพร่!L647"")+IMPORTRANGE(""https://docs.google.com/spreadshe"&amp;"ets/d/1dQrvX0vEcN7Gu0fnZ0B5S90AeR19zth4XlExFBeExMY/edit?usp=sharing"",""แม่ฮ่องสอน!L647"")+IMPORTRANGE(""https://docs.google.com/spreadsheets/d/1DY4XTNNwjluuxqdfdn6qvOSlMRrZqUtmYcZR0ttFiG4/edit?usp=sharing"",""ลำปาง!L647"")+IMPORTRANGE(""https://docs.goog"&amp;"le.com/spreadsheets/d/1ICwG78r0OFT8biBlxnBF8r7she7gNSzOvJ958PWT09c/edit?usp=sharing"",""ลำพูน!L647"")+IMPORTRANGE(""https://docs.google.com/spreadsheets/d/1B0f2xJpZUC6Z0xXnqKlZtEPzsf6L84eP1r1Q15seqRM/edit?usp=sharing"",""สุโขทัย!L647"")+IMPORTRANGE(""http"&amp;"s://docs.google.com/spreadsheets/d/1v0b9pFQCsKUVExMei7AgY2yQkdeNQvtOssygGsXbiKo/edit?usp=sharing"",""อุตรดิตถ์!L647"")+IMPORTRANGE(""https://docs.google.com/spreadsheets/d/1UsNK1e-WWiCo2PvGqdNfdme4m17_Ezd3J69EeeiQPD0/edit?usp=sharing"",""อุทัยธานี!L647"")"),0)</f>
        <v>0</v>
      </c>
      <c r="M647" s="46">
        <f ca="1">IFERROR(__xludf.DUMMYFUNCTION("IMPORTRANGE(""https://docs.google.com/spreadsheets/d/1jTcq05yEiRwXcBMLjiodW9e4biSGYWAHcDj22rKWQ3s/edit?usp=sharing"",""กำแพงเพชร!M647"")+IMPORTRANGE(""https://docs.google.com/spreadsheets/d/1KS0zmDSZPk8KnTAbGN-Xk6MtX1YRZD0ldgdt20K4CRk/edit?usp=sharing"","&amp;"""เชียงราย!M647"")+IMPORTRANGE(""https://docs.google.com/spreadsheets/d/1rEDxBtusbi64tE0zunoIbsTVV16HeL0oJ6trHQeQ7K8/edit?usp=sharing"",""เชียงใหม่!M647"")+IMPORTRANGE(""https://docs.google.com/spreadsheets/d/1W6MnUbDkMi6xHnHko_XkFDO9kkuL6Wqyc-6OCDFjW9I/e"&amp;"dit?usp=sharing"",""ตาก!M647"")+IMPORTRANGE(""https://docs.google.com/spreadsheets/d/1IQAWArduLkta9LpYo4a_ULsyqdta6-6aDDiwpUnQT6c/edit?usp=sharing"",""นครสวรรค์!M647"")+IMPORTRANGE(""https://docs.google.com/spreadsheets/d/10s13Sk5xrltsiR-Zkbmk5DwIaDIKO8Xl"&amp;"bJAfqyT7Gvg/edit?usp=sharing"",""น่าน!M647"")+IMPORTRANGE(""https://docs.google.com/spreadsheets/d/1uu4nAn4Dbi1XREnLKKotUANlKXa7yCgRcgq8HEzQYW8/edit?usp=sharing"",""พะเยา!M647"")+IMPORTRANGE(""https://docs.google.com/spreadsheets/d/1xfJKIQxVOaPDIICqsflNlL"&amp;"u3JacTDk1FP9RH4phX7mI/edit?usp=sharing"",""พิจิตร!M647"")+IMPORTRANGE(""https://docs.google.com/spreadsheets/d/1JtRfZkJMHtEhI5RdRHxYUG4FIZHqKDpNyIuN7A1Q0_k/edit?usp=sharing"",""พิษณุโลก!M647"")+IMPORTRANGE(""https://docs.google.com/spreadsheets/d/1xlcVZWU"&amp;"Nn6SuWm0c307h32SiGkd9BaeQWlAktfD3KO8/edit?usp=sharing"",""เพชรบูรณ์!M647"")+IMPORTRANGE(""https://docs.google.com/spreadsheets/d/1lOVebEIsI9qjGXl6EX66luk7wiuP2tBaryw-wKvv4e0/edit?usp=sharing"",""แพร่!M647"")+IMPORTRANGE(""https://docs.google.com/spreadshe"&amp;"ets/d/1dQrvX0vEcN7Gu0fnZ0B5S90AeR19zth4XlExFBeExMY/edit?usp=sharing"",""แม่ฮ่องสอน!M647"")+IMPORTRANGE(""https://docs.google.com/spreadsheets/d/1DY4XTNNwjluuxqdfdn6qvOSlMRrZqUtmYcZR0ttFiG4/edit?usp=sharing"",""ลำปาง!M647"")+IMPORTRANGE(""https://docs.goog"&amp;"le.com/spreadsheets/d/1ICwG78r0OFT8biBlxnBF8r7she7gNSzOvJ958PWT09c/edit?usp=sharing"",""ลำพูน!M647"")+IMPORTRANGE(""https://docs.google.com/spreadsheets/d/1B0f2xJpZUC6Z0xXnqKlZtEPzsf6L84eP1r1Q15seqRM/edit?usp=sharing"",""สุโขทัย!M647"")+IMPORTRANGE(""http"&amp;"s://docs.google.com/spreadsheets/d/1v0b9pFQCsKUVExMei7AgY2yQkdeNQvtOssygGsXbiKo/edit?usp=sharing"",""อุตรดิตถ์!M647"")+IMPORTRANGE(""https://docs.google.com/spreadsheets/d/1UsNK1e-WWiCo2PvGqdNfdme4m17_Ezd3J69EeeiQPD0/edit?usp=sharing"",""อุทัยธานี!M647"")"),0)</f>
        <v>0</v>
      </c>
      <c r="N647" s="46">
        <f ca="1">IFERROR(__xludf.DUMMYFUNCTION("IMPORTRANGE(""https://docs.google.com/spreadsheets/d/1jTcq05yEiRwXcBMLjiodW9e4biSGYWAHcDj22rKWQ3s/edit?usp=sharing"",""กำแพงเพชร!N647"")+IMPORTRANGE(""https://docs.google.com/spreadsheets/d/1KS0zmDSZPk8KnTAbGN-Xk6MtX1YRZD0ldgdt20K4CRk/edit?usp=sharing"","&amp;"""เชียงราย!N647"")+IMPORTRANGE(""https://docs.google.com/spreadsheets/d/1rEDxBtusbi64tE0zunoIbsTVV16HeL0oJ6trHQeQ7K8/edit?usp=sharing"",""เชียงใหม่!N647"")+IMPORTRANGE(""https://docs.google.com/spreadsheets/d/1W6MnUbDkMi6xHnHko_XkFDO9kkuL6Wqyc-6OCDFjW9I/e"&amp;"dit?usp=sharing"",""ตาก!N647"")+IMPORTRANGE(""https://docs.google.com/spreadsheets/d/1IQAWArduLkta9LpYo4a_ULsyqdta6-6aDDiwpUnQT6c/edit?usp=sharing"",""นครสวรรค์!N647"")+IMPORTRANGE(""https://docs.google.com/spreadsheets/d/10s13Sk5xrltsiR-Zkbmk5DwIaDIKO8Xl"&amp;"bJAfqyT7Gvg/edit?usp=sharing"",""น่าน!N647"")+IMPORTRANGE(""https://docs.google.com/spreadsheets/d/1uu4nAn4Dbi1XREnLKKotUANlKXa7yCgRcgq8HEzQYW8/edit?usp=sharing"",""พะเยา!N647"")+IMPORTRANGE(""https://docs.google.com/spreadsheets/d/1xfJKIQxVOaPDIICqsflNlL"&amp;"u3JacTDk1FP9RH4phX7mI/edit?usp=sharing"",""พิจิตร!N647"")+IMPORTRANGE(""https://docs.google.com/spreadsheets/d/1JtRfZkJMHtEhI5RdRHxYUG4FIZHqKDpNyIuN7A1Q0_k/edit?usp=sharing"",""พิษณุโลก!N647"")+IMPORTRANGE(""https://docs.google.com/spreadsheets/d/1xlcVZWU"&amp;"Nn6SuWm0c307h32SiGkd9BaeQWlAktfD3KO8/edit?usp=sharing"",""เพชรบูรณ์!N647"")+IMPORTRANGE(""https://docs.google.com/spreadsheets/d/1lOVebEIsI9qjGXl6EX66luk7wiuP2tBaryw-wKvv4e0/edit?usp=sharing"",""แพร่!N647"")+IMPORTRANGE(""https://docs.google.com/spreadshe"&amp;"ets/d/1dQrvX0vEcN7Gu0fnZ0B5S90AeR19zth4XlExFBeExMY/edit?usp=sharing"",""แม่ฮ่องสอน!N647"")+IMPORTRANGE(""https://docs.google.com/spreadsheets/d/1DY4XTNNwjluuxqdfdn6qvOSlMRrZqUtmYcZR0ttFiG4/edit?usp=sharing"",""ลำปาง!N647"")+IMPORTRANGE(""https://docs.goog"&amp;"le.com/spreadsheets/d/1ICwG78r0OFT8biBlxnBF8r7she7gNSzOvJ958PWT09c/edit?usp=sharing"",""ลำพูน!N647"")+IMPORTRANGE(""https://docs.google.com/spreadsheets/d/1B0f2xJpZUC6Z0xXnqKlZtEPzsf6L84eP1r1Q15seqRM/edit?usp=sharing"",""สุโขทัย!N647"")+IMPORTRANGE(""http"&amp;"s://docs.google.com/spreadsheets/d/1v0b9pFQCsKUVExMei7AgY2yQkdeNQvtOssygGsXbiKo/edit?usp=sharing"",""อุตรดิตถ์!N647"")+IMPORTRANGE(""https://docs.google.com/spreadsheets/d/1UsNK1e-WWiCo2PvGqdNfdme4m17_Ezd3J69EeeiQPD0/edit?usp=sharing"",""อุทัยธานี!N647"")"),0)</f>
        <v>0</v>
      </c>
      <c r="O647" s="46">
        <f t="shared" ca="1" si="454"/>
        <v>0</v>
      </c>
      <c r="P647" s="46">
        <f t="shared" ca="1" si="455"/>
        <v>0</v>
      </c>
      <c r="Q647" s="46">
        <f ca="1">IFERROR(__xludf.DUMMYFUNCTION("IMPORTRANGE(""https://docs.google.com/spreadsheets/d/1jTcq05yEiRwXcBMLjiodW9e4biSGYWAHcDj22rKWQ3s/edit?usp=sharing"",""กำแพงเพชร!Q647"")+IMPORTRANGE(""https://docs.google.com/spreadsheets/d/1KS0zmDSZPk8KnTAbGN-Xk6MtX1YRZD0ldgdt20K4CRk/edit?usp=sharing"","&amp;"""เชียงราย!Q647"")+IMPORTRANGE(""https://docs.google.com/spreadsheets/d/1rEDxBtusbi64tE0zunoIbsTVV16HeL0oJ6trHQeQ7K8/edit?usp=sharing"",""เชียงใหม่!Q647"")+IMPORTRANGE(""https://docs.google.com/spreadsheets/d/1W6MnUbDkMi6xHnHko_XkFDO9kkuL6Wqyc-6OCDFjW9I/e"&amp;"dit?usp=sharing"",""ตาก!Q647"")+IMPORTRANGE(""https://docs.google.com/spreadsheets/d/1IQAWArduLkta9LpYo4a_ULsyqdta6-6aDDiwpUnQT6c/edit?usp=sharing"",""นครสวรรค์!Q647"")+IMPORTRANGE(""https://docs.google.com/spreadsheets/d/10s13Sk5xrltsiR-Zkbmk5DwIaDIKO8Xl"&amp;"bJAfqyT7Gvg/edit?usp=sharing"",""น่าน!Q647"")+IMPORTRANGE(""https://docs.google.com/spreadsheets/d/1uu4nAn4Dbi1XREnLKKotUANlKXa7yCgRcgq8HEzQYW8/edit?usp=sharing"",""พะเยา!Q647"")+IMPORTRANGE(""https://docs.google.com/spreadsheets/d/1xfJKIQxVOaPDIICqsflNlL"&amp;"u3JacTDk1FP9RH4phX7mI/edit?usp=sharing"",""พิจิตร!Q647"")+IMPORTRANGE(""https://docs.google.com/spreadsheets/d/1JtRfZkJMHtEhI5RdRHxYUG4FIZHqKDpNyIuN7A1Q0_k/edit?usp=sharing"",""พิษณุโลก!Q647"")+IMPORTRANGE(""https://docs.google.com/spreadsheets/d/1xlcVZWU"&amp;"Nn6SuWm0c307h32SiGkd9BaeQWlAktfD3KO8/edit?usp=sharing"",""เพชรบูรณ์!Q647"")+IMPORTRANGE(""https://docs.google.com/spreadsheets/d/1lOVebEIsI9qjGXl6EX66luk7wiuP2tBaryw-wKvv4e0/edit?usp=sharing"",""แพร่!Q647"")+IMPORTRANGE(""https://docs.google.com/spreadshe"&amp;"ets/d/1dQrvX0vEcN7Gu0fnZ0B5S90AeR19zth4XlExFBeExMY/edit?usp=sharing"",""แม่ฮ่องสอน!Q647"")+IMPORTRANGE(""https://docs.google.com/spreadsheets/d/1DY4XTNNwjluuxqdfdn6qvOSlMRrZqUtmYcZR0ttFiG4/edit?usp=sharing"",""ลำปาง!Q647"")+IMPORTRANGE(""https://docs.goog"&amp;"le.com/spreadsheets/d/1ICwG78r0OFT8biBlxnBF8r7she7gNSzOvJ958PWT09c/edit?usp=sharing"",""ลำพูน!Q647"")+IMPORTRANGE(""https://docs.google.com/spreadsheets/d/1B0f2xJpZUC6Z0xXnqKlZtEPzsf6L84eP1r1Q15seqRM/edit?usp=sharing"",""สุโขทัย!Q647"")+IMPORTRANGE(""http"&amp;"s://docs.google.com/spreadsheets/d/1v0b9pFQCsKUVExMei7AgY2yQkdeNQvtOssygGsXbiKo/edit?usp=sharing"",""อุตรดิตถ์!Q647"")+IMPORTRANGE(""https://docs.google.com/spreadsheets/d/1UsNK1e-WWiCo2PvGqdNfdme4m17_Ezd3J69EeeiQPD0/edit?usp=sharing"",""อุทัยธานี!Q647"")"),389440)</f>
        <v>389440</v>
      </c>
      <c r="R647" s="46">
        <f ca="1">IFERROR(__xludf.DUMMYFUNCTION("IMPORTRANGE(""https://docs.google.com/spreadsheets/d/1jTcq05yEiRwXcBMLjiodW9e4biSGYWAHcDj22rKWQ3s/edit?usp=sharing"",""กำแพงเพชร!R647"")+IMPORTRANGE(""https://docs.google.com/spreadsheets/d/1KS0zmDSZPk8KnTAbGN-Xk6MtX1YRZD0ldgdt20K4CRk/edit?usp=sharing"","&amp;"""เชียงราย!R647"")+IMPORTRANGE(""https://docs.google.com/spreadsheets/d/1rEDxBtusbi64tE0zunoIbsTVV16HeL0oJ6trHQeQ7K8/edit?usp=sharing"",""เชียงใหม่!R647"")+IMPORTRANGE(""https://docs.google.com/spreadsheets/d/1W6MnUbDkMi6xHnHko_XkFDO9kkuL6Wqyc-6OCDFjW9I/e"&amp;"dit?usp=sharing"",""ตาก!R647"")+IMPORTRANGE(""https://docs.google.com/spreadsheets/d/1IQAWArduLkta9LpYo4a_ULsyqdta6-6aDDiwpUnQT6c/edit?usp=sharing"",""นครสวรรค์!R647"")+IMPORTRANGE(""https://docs.google.com/spreadsheets/d/10s13Sk5xrltsiR-Zkbmk5DwIaDIKO8Xl"&amp;"bJAfqyT7Gvg/edit?usp=sharing"",""น่าน!R647"")+IMPORTRANGE(""https://docs.google.com/spreadsheets/d/1uu4nAn4Dbi1XREnLKKotUANlKXa7yCgRcgq8HEzQYW8/edit?usp=sharing"",""พะเยา!R647"")+IMPORTRANGE(""https://docs.google.com/spreadsheets/d/1xfJKIQxVOaPDIICqsflNlL"&amp;"u3JacTDk1FP9RH4phX7mI/edit?usp=sharing"",""พิจิตร!R647"")+IMPORTRANGE(""https://docs.google.com/spreadsheets/d/1JtRfZkJMHtEhI5RdRHxYUG4FIZHqKDpNyIuN7A1Q0_k/edit?usp=sharing"",""พิษณุโลก!R647"")+IMPORTRANGE(""https://docs.google.com/spreadsheets/d/1xlcVZWU"&amp;"Nn6SuWm0c307h32SiGkd9BaeQWlAktfD3KO8/edit?usp=sharing"",""เพชรบูรณ์!R647"")+IMPORTRANGE(""https://docs.google.com/spreadsheets/d/1lOVebEIsI9qjGXl6EX66luk7wiuP2tBaryw-wKvv4e0/edit?usp=sharing"",""แพร่!R647"")+IMPORTRANGE(""https://docs.google.com/spreadshe"&amp;"ets/d/1dQrvX0vEcN7Gu0fnZ0B5S90AeR19zth4XlExFBeExMY/edit?usp=sharing"",""แม่ฮ่องสอน!R647"")+IMPORTRANGE(""https://docs.google.com/spreadsheets/d/1DY4XTNNwjluuxqdfdn6qvOSlMRrZqUtmYcZR0ttFiG4/edit?usp=sharing"",""ลำปาง!R647"")+IMPORTRANGE(""https://docs.goog"&amp;"le.com/spreadsheets/d/1ICwG78r0OFT8biBlxnBF8r7she7gNSzOvJ958PWT09c/edit?usp=sharing"",""ลำพูน!R647"")+IMPORTRANGE(""https://docs.google.com/spreadsheets/d/1B0f2xJpZUC6Z0xXnqKlZtEPzsf6L84eP1r1Q15seqRM/edit?usp=sharing"",""สุโขทัย!R647"")+IMPORTRANGE(""http"&amp;"s://docs.google.com/spreadsheets/d/1v0b9pFQCsKUVExMei7AgY2yQkdeNQvtOssygGsXbiKo/edit?usp=sharing"",""อุตรดิตถ์!R647"")+IMPORTRANGE(""https://docs.google.com/spreadsheets/d/1UsNK1e-WWiCo2PvGqdNfdme4m17_Ezd3J69EeeiQPD0/edit?usp=sharing"",""อุทัยธานี!R647"")"),389440)</f>
        <v>389440</v>
      </c>
      <c r="S647" s="46">
        <f ca="1">IFERROR(__xludf.DUMMYFUNCTION("IMPORTRANGE(""https://docs.google.com/spreadsheets/d/1jTcq05yEiRwXcBMLjiodW9e4biSGYWAHcDj22rKWQ3s/edit?usp=sharing"",""กำแพงเพชร!S647"")+IMPORTRANGE(""https://docs.google.com/spreadsheets/d/1KS0zmDSZPk8KnTAbGN-Xk6MtX1YRZD0ldgdt20K4CRk/edit?usp=sharing"","&amp;"""เชียงราย!S647"")+IMPORTRANGE(""https://docs.google.com/spreadsheets/d/1rEDxBtusbi64tE0zunoIbsTVV16HeL0oJ6trHQeQ7K8/edit?usp=sharing"",""เชียงใหม่!S647"")+IMPORTRANGE(""https://docs.google.com/spreadsheets/d/1W6MnUbDkMi6xHnHko_XkFDO9kkuL6Wqyc-6OCDFjW9I/e"&amp;"dit?usp=sharing"",""ตาก!S647"")+IMPORTRANGE(""https://docs.google.com/spreadsheets/d/1IQAWArduLkta9LpYo4a_ULsyqdta6-6aDDiwpUnQT6c/edit?usp=sharing"",""นครสวรรค์!S647"")+IMPORTRANGE(""https://docs.google.com/spreadsheets/d/10s13Sk5xrltsiR-Zkbmk5DwIaDIKO8Xl"&amp;"bJAfqyT7Gvg/edit?usp=sharing"",""น่าน!S647"")+IMPORTRANGE(""https://docs.google.com/spreadsheets/d/1uu4nAn4Dbi1XREnLKKotUANlKXa7yCgRcgq8HEzQYW8/edit?usp=sharing"",""พะเยา!S647"")+IMPORTRANGE(""https://docs.google.com/spreadsheets/d/1xfJKIQxVOaPDIICqsflNlL"&amp;"u3JacTDk1FP9RH4phX7mI/edit?usp=sharing"",""พิจิตร!S647"")+IMPORTRANGE(""https://docs.google.com/spreadsheets/d/1JtRfZkJMHtEhI5RdRHxYUG4FIZHqKDpNyIuN7A1Q0_k/edit?usp=sharing"",""พิษณุโลก!S647"")+IMPORTRANGE(""https://docs.google.com/spreadsheets/d/1xlcVZWU"&amp;"Nn6SuWm0c307h32SiGkd9BaeQWlAktfD3KO8/edit?usp=sharing"",""เพชรบูรณ์!S647"")+IMPORTRANGE(""https://docs.google.com/spreadsheets/d/1lOVebEIsI9qjGXl6EX66luk7wiuP2tBaryw-wKvv4e0/edit?usp=sharing"",""แพร่!S647"")+IMPORTRANGE(""https://docs.google.com/spreadshe"&amp;"ets/d/1dQrvX0vEcN7Gu0fnZ0B5S90AeR19zth4XlExFBeExMY/edit?usp=sharing"",""แม่ฮ่องสอน!S647"")+IMPORTRANGE(""https://docs.google.com/spreadsheets/d/1DY4XTNNwjluuxqdfdn6qvOSlMRrZqUtmYcZR0ttFiG4/edit?usp=sharing"",""ลำปาง!S647"")+IMPORTRANGE(""https://docs.goog"&amp;"le.com/spreadsheets/d/1ICwG78r0OFT8biBlxnBF8r7she7gNSzOvJ958PWT09c/edit?usp=sharing"",""ลำพูน!S647"")+IMPORTRANGE(""https://docs.google.com/spreadsheets/d/1B0f2xJpZUC6Z0xXnqKlZtEPzsf6L84eP1r1Q15seqRM/edit?usp=sharing"",""สุโขทัย!S647"")+IMPORTRANGE(""http"&amp;"s://docs.google.com/spreadsheets/d/1v0b9pFQCsKUVExMei7AgY2yQkdeNQvtOssygGsXbiKo/edit?usp=sharing"",""อุตรดิตถ์!S647"")+IMPORTRANGE(""https://docs.google.com/spreadsheets/d/1UsNK1e-WWiCo2PvGqdNfdme4m17_Ezd3J69EeeiQPD0/edit?usp=sharing"",""อุทัยธานี!S647"")"),20295)</f>
        <v>20295</v>
      </c>
      <c r="T647" s="46">
        <f t="shared" ca="1" si="457"/>
        <v>5.2113290879211176</v>
      </c>
      <c r="U647" s="46">
        <f t="shared" ca="1" si="458"/>
        <v>5.2113290879211176</v>
      </c>
    </row>
    <row r="648" spans="1:21" ht="18.75" x14ac:dyDescent="0.25">
      <c r="A648" s="128"/>
      <c r="B648" s="158"/>
      <c r="C648" s="158"/>
      <c r="D648" s="41" t="s">
        <v>23</v>
      </c>
      <c r="E648" s="40"/>
      <c r="F648" s="40"/>
      <c r="G648" s="42"/>
      <c r="H648" s="137" t="s">
        <v>14</v>
      </c>
      <c r="I648" s="135"/>
      <c r="J648" s="135"/>
      <c r="K648" s="136"/>
      <c r="L648" s="46">
        <f t="shared" ref="L648:N648" ca="1" si="465">L649+L650</f>
        <v>0</v>
      </c>
      <c r="M648" s="46">
        <f t="shared" ca="1" si="465"/>
        <v>0</v>
      </c>
      <c r="N648" s="46">
        <f t="shared" ca="1" si="465"/>
        <v>0</v>
      </c>
      <c r="O648" s="46">
        <f t="shared" ca="1" si="454"/>
        <v>0</v>
      </c>
      <c r="P648" s="46">
        <f t="shared" ca="1" si="455"/>
        <v>0</v>
      </c>
      <c r="Q648" s="46">
        <f t="shared" ref="Q648:S648" ca="1" si="466">Q649+Q650</f>
        <v>0</v>
      </c>
      <c r="R648" s="46">
        <f t="shared" ca="1" si="466"/>
        <v>0</v>
      </c>
      <c r="S648" s="46">
        <f t="shared" ca="1" si="466"/>
        <v>0</v>
      </c>
      <c r="T648" s="46">
        <f t="shared" ca="1" si="457"/>
        <v>0</v>
      </c>
      <c r="U648" s="46">
        <f t="shared" ca="1" si="458"/>
        <v>0</v>
      </c>
    </row>
    <row r="649" spans="1:21" ht="18.75" x14ac:dyDescent="0.25">
      <c r="A649" s="128"/>
      <c r="B649" s="158"/>
      <c r="C649" s="158"/>
      <c r="D649" s="40"/>
      <c r="E649" s="156" t="s">
        <v>20</v>
      </c>
      <c r="F649" s="40"/>
      <c r="G649" s="42"/>
      <c r="H649" s="159" t="s">
        <v>14</v>
      </c>
      <c r="I649" s="135"/>
      <c r="J649" s="135"/>
      <c r="K649" s="136"/>
      <c r="L649" s="48">
        <f ca="1">IFERROR(__xludf.DUMMYFUNCTION("IMPORTRANGE(""https://docs.google.com/spreadsheets/d/1jTcq05yEiRwXcBMLjiodW9e4biSGYWAHcDj22rKWQ3s/edit?usp=sharing"",""กำแพงเพชร!L649"")+IMPORTRANGE(""https://docs.google.com/spreadsheets/d/1KS0zmDSZPk8KnTAbGN-Xk6MtX1YRZD0ldgdt20K4CRk/edit?usp=sharing"","&amp;"""เชียงราย!L649"")+IMPORTRANGE(""https://docs.google.com/spreadsheets/d/1rEDxBtusbi64tE0zunoIbsTVV16HeL0oJ6trHQeQ7K8/edit?usp=sharing"",""เชียงใหม่!L649"")+IMPORTRANGE(""https://docs.google.com/spreadsheets/d/1W6MnUbDkMi6xHnHko_XkFDO9kkuL6Wqyc-6OCDFjW9I/e"&amp;"dit?usp=sharing"",""ตาก!L649"")+IMPORTRANGE(""https://docs.google.com/spreadsheets/d/1IQAWArduLkta9LpYo4a_ULsyqdta6-6aDDiwpUnQT6c/edit?usp=sharing"",""นครสวรรค์!L649"")+IMPORTRANGE(""https://docs.google.com/spreadsheets/d/10s13Sk5xrltsiR-Zkbmk5DwIaDIKO8Xl"&amp;"bJAfqyT7Gvg/edit?usp=sharing"",""น่าน!L649"")+IMPORTRANGE(""https://docs.google.com/spreadsheets/d/1uu4nAn4Dbi1XREnLKKotUANlKXa7yCgRcgq8HEzQYW8/edit?usp=sharing"",""พะเยา!L649"")+IMPORTRANGE(""https://docs.google.com/spreadsheets/d/1xfJKIQxVOaPDIICqsflNlL"&amp;"u3JacTDk1FP9RH4phX7mI/edit?usp=sharing"",""พิจิตร!L649"")+IMPORTRANGE(""https://docs.google.com/spreadsheets/d/1JtRfZkJMHtEhI5RdRHxYUG4FIZHqKDpNyIuN7A1Q0_k/edit?usp=sharing"",""พิษณุโลก!L649"")+IMPORTRANGE(""https://docs.google.com/spreadsheets/d/1xlcVZWU"&amp;"Nn6SuWm0c307h32SiGkd9BaeQWlAktfD3KO8/edit?usp=sharing"",""เพชรบูรณ์!L649"")+IMPORTRANGE(""https://docs.google.com/spreadsheets/d/1lOVebEIsI9qjGXl6EX66luk7wiuP2tBaryw-wKvv4e0/edit?usp=sharing"",""แพร่!L649"")+IMPORTRANGE(""https://docs.google.com/spreadshe"&amp;"ets/d/1dQrvX0vEcN7Gu0fnZ0B5S90AeR19zth4XlExFBeExMY/edit?usp=sharing"",""แม่ฮ่องสอน!L649"")+IMPORTRANGE(""https://docs.google.com/spreadsheets/d/1DY4XTNNwjluuxqdfdn6qvOSlMRrZqUtmYcZR0ttFiG4/edit?usp=sharing"",""ลำปาง!L649"")+IMPORTRANGE(""https://docs.goog"&amp;"le.com/spreadsheets/d/1ICwG78r0OFT8biBlxnBF8r7she7gNSzOvJ958PWT09c/edit?usp=sharing"",""ลำพูน!L649"")+IMPORTRANGE(""https://docs.google.com/spreadsheets/d/1B0f2xJpZUC6Z0xXnqKlZtEPzsf6L84eP1r1Q15seqRM/edit?usp=sharing"",""สุโขทัย!L649"")+IMPORTRANGE(""http"&amp;"s://docs.google.com/spreadsheets/d/1v0b9pFQCsKUVExMei7AgY2yQkdeNQvtOssygGsXbiKo/edit?usp=sharing"",""อุตรดิตถ์!L649"")+IMPORTRANGE(""https://docs.google.com/spreadsheets/d/1UsNK1e-WWiCo2PvGqdNfdme4m17_Ezd3J69EeeiQPD0/edit?usp=sharing"",""อุทัยธานี!L649"")"),0)</f>
        <v>0</v>
      </c>
      <c r="M649" s="48">
        <f ca="1">IFERROR(__xludf.DUMMYFUNCTION("IMPORTRANGE(""https://docs.google.com/spreadsheets/d/1jTcq05yEiRwXcBMLjiodW9e4biSGYWAHcDj22rKWQ3s/edit?usp=sharing"",""กำแพงเพชร!M649"")+IMPORTRANGE(""https://docs.google.com/spreadsheets/d/1KS0zmDSZPk8KnTAbGN-Xk6MtX1YRZD0ldgdt20K4CRk/edit?usp=sharing"","&amp;"""เชียงราย!M649"")+IMPORTRANGE(""https://docs.google.com/spreadsheets/d/1rEDxBtusbi64tE0zunoIbsTVV16HeL0oJ6trHQeQ7K8/edit?usp=sharing"",""เชียงใหม่!M649"")+IMPORTRANGE(""https://docs.google.com/spreadsheets/d/1W6MnUbDkMi6xHnHko_XkFDO9kkuL6Wqyc-6OCDFjW9I/e"&amp;"dit?usp=sharing"",""ตาก!M649"")+IMPORTRANGE(""https://docs.google.com/spreadsheets/d/1IQAWArduLkta9LpYo4a_ULsyqdta6-6aDDiwpUnQT6c/edit?usp=sharing"",""นครสวรรค์!M649"")+IMPORTRANGE(""https://docs.google.com/spreadsheets/d/10s13Sk5xrltsiR-Zkbmk5DwIaDIKO8Xl"&amp;"bJAfqyT7Gvg/edit?usp=sharing"",""น่าน!M649"")+IMPORTRANGE(""https://docs.google.com/spreadsheets/d/1uu4nAn4Dbi1XREnLKKotUANlKXa7yCgRcgq8HEzQYW8/edit?usp=sharing"",""พะเยา!M649"")+IMPORTRANGE(""https://docs.google.com/spreadsheets/d/1xfJKIQxVOaPDIICqsflNlL"&amp;"u3JacTDk1FP9RH4phX7mI/edit?usp=sharing"",""พิจิตร!M649"")+IMPORTRANGE(""https://docs.google.com/spreadsheets/d/1JtRfZkJMHtEhI5RdRHxYUG4FIZHqKDpNyIuN7A1Q0_k/edit?usp=sharing"",""พิษณุโลก!M649"")+IMPORTRANGE(""https://docs.google.com/spreadsheets/d/1xlcVZWU"&amp;"Nn6SuWm0c307h32SiGkd9BaeQWlAktfD3KO8/edit?usp=sharing"",""เพชรบูรณ์!M649"")+IMPORTRANGE(""https://docs.google.com/spreadsheets/d/1lOVebEIsI9qjGXl6EX66luk7wiuP2tBaryw-wKvv4e0/edit?usp=sharing"",""แพร่!M649"")+IMPORTRANGE(""https://docs.google.com/spreadshe"&amp;"ets/d/1dQrvX0vEcN7Gu0fnZ0B5S90AeR19zth4XlExFBeExMY/edit?usp=sharing"",""แม่ฮ่องสอน!M649"")+IMPORTRANGE(""https://docs.google.com/spreadsheets/d/1DY4XTNNwjluuxqdfdn6qvOSlMRrZqUtmYcZR0ttFiG4/edit?usp=sharing"",""ลำปาง!M649"")+IMPORTRANGE(""https://docs.goog"&amp;"le.com/spreadsheets/d/1ICwG78r0OFT8biBlxnBF8r7she7gNSzOvJ958PWT09c/edit?usp=sharing"",""ลำพูน!M649"")+IMPORTRANGE(""https://docs.google.com/spreadsheets/d/1B0f2xJpZUC6Z0xXnqKlZtEPzsf6L84eP1r1Q15seqRM/edit?usp=sharing"",""สุโขทัย!M649"")+IMPORTRANGE(""http"&amp;"s://docs.google.com/spreadsheets/d/1v0b9pFQCsKUVExMei7AgY2yQkdeNQvtOssygGsXbiKo/edit?usp=sharing"",""อุตรดิตถ์!M649"")+IMPORTRANGE(""https://docs.google.com/spreadsheets/d/1UsNK1e-WWiCo2PvGqdNfdme4m17_Ezd3J69EeeiQPD0/edit?usp=sharing"",""อุทัยธานี!M649"")"),0)</f>
        <v>0</v>
      </c>
      <c r="N649" s="48">
        <f ca="1">IFERROR(__xludf.DUMMYFUNCTION("IMPORTRANGE(""https://docs.google.com/spreadsheets/d/1jTcq05yEiRwXcBMLjiodW9e4biSGYWAHcDj22rKWQ3s/edit?usp=sharing"",""กำแพงเพชร!N649"")+IMPORTRANGE(""https://docs.google.com/spreadsheets/d/1KS0zmDSZPk8KnTAbGN-Xk6MtX1YRZD0ldgdt20K4CRk/edit?usp=sharing"","&amp;"""เชียงราย!N649"")+IMPORTRANGE(""https://docs.google.com/spreadsheets/d/1rEDxBtusbi64tE0zunoIbsTVV16HeL0oJ6trHQeQ7K8/edit?usp=sharing"",""เชียงใหม่!N649"")+IMPORTRANGE(""https://docs.google.com/spreadsheets/d/1W6MnUbDkMi6xHnHko_XkFDO9kkuL6Wqyc-6OCDFjW9I/e"&amp;"dit?usp=sharing"",""ตาก!N649"")+IMPORTRANGE(""https://docs.google.com/spreadsheets/d/1IQAWArduLkta9LpYo4a_ULsyqdta6-6aDDiwpUnQT6c/edit?usp=sharing"",""นครสวรรค์!N649"")+IMPORTRANGE(""https://docs.google.com/spreadsheets/d/10s13Sk5xrltsiR-Zkbmk5DwIaDIKO8Xl"&amp;"bJAfqyT7Gvg/edit?usp=sharing"",""น่าน!N649"")+IMPORTRANGE(""https://docs.google.com/spreadsheets/d/1uu4nAn4Dbi1XREnLKKotUANlKXa7yCgRcgq8HEzQYW8/edit?usp=sharing"",""พะเยา!N649"")+IMPORTRANGE(""https://docs.google.com/spreadsheets/d/1xfJKIQxVOaPDIICqsflNlL"&amp;"u3JacTDk1FP9RH4phX7mI/edit?usp=sharing"",""พิจิตร!N649"")+IMPORTRANGE(""https://docs.google.com/spreadsheets/d/1JtRfZkJMHtEhI5RdRHxYUG4FIZHqKDpNyIuN7A1Q0_k/edit?usp=sharing"",""พิษณุโลก!N649"")+IMPORTRANGE(""https://docs.google.com/spreadsheets/d/1xlcVZWU"&amp;"Nn6SuWm0c307h32SiGkd9BaeQWlAktfD3KO8/edit?usp=sharing"",""เพชรบูรณ์!N649"")+IMPORTRANGE(""https://docs.google.com/spreadsheets/d/1lOVebEIsI9qjGXl6EX66luk7wiuP2tBaryw-wKvv4e0/edit?usp=sharing"",""แพร่!N649"")+IMPORTRANGE(""https://docs.google.com/spreadshe"&amp;"ets/d/1dQrvX0vEcN7Gu0fnZ0B5S90AeR19zth4XlExFBeExMY/edit?usp=sharing"",""แม่ฮ่องสอน!N649"")+IMPORTRANGE(""https://docs.google.com/spreadsheets/d/1DY4XTNNwjluuxqdfdn6qvOSlMRrZqUtmYcZR0ttFiG4/edit?usp=sharing"",""ลำปาง!N649"")+IMPORTRANGE(""https://docs.goog"&amp;"le.com/spreadsheets/d/1ICwG78r0OFT8biBlxnBF8r7she7gNSzOvJ958PWT09c/edit?usp=sharing"",""ลำพูน!N649"")+IMPORTRANGE(""https://docs.google.com/spreadsheets/d/1B0f2xJpZUC6Z0xXnqKlZtEPzsf6L84eP1r1Q15seqRM/edit?usp=sharing"",""สุโขทัย!N649"")+IMPORTRANGE(""http"&amp;"s://docs.google.com/spreadsheets/d/1v0b9pFQCsKUVExMei7AgY2yQkdeNQvtOssygGsXbiKo/edit?usp=sharing"",""อุตรดิตถ์!N649"")+IMPORTRANGE(""https://docs.google.com/spreadsheets/d/1UsNK1e-WWiCo2PvGqdNfdme4m17_Ezd3J69EeeiQPD0/edit?usp=sharing"",""อุทัยธานี!N649"")"),0)</f>
        <v>0</v>
      </c>
      <c r="O649" s="48">
        <f t="shared" ca="1" si="454"/>
        <v>0</v>
      </c>
      <c r="P649" s="48">
        <f t="shared" ca="1" si="455"/>
        <v>0</v>
      </c>
      <c r="Q649" s="48">
        <f ca="1">IFERROR(__xludf.DUMMYFUNCTION("IMPORTRANGE(""https://docs.google.com/spreadsheets/d/1jTcq05yEiRwXcBMLjiodW9e4biSGYWAHcDj22rKWQ3s/edit?usp=sharing"",""กำแพงเพชร!Q649"")+IMPORTRANGE(""https://docs.google.com/spreadsheets/d/1KS0zmDSZPk8KnTAbGN-Xk6MtX1YRZD0ldgdt20K4CRk/edit?usp=sharing"","&amp;"""เชียงราย!Q649"")+IMPORTRANGE(""https://docs.google.com/spreadsheets/d/1rEDxBtusbi64tE0zunoIbsTVV16HeL0oJ6trHQeQ7K8/edit?usp=sharing"",""เชียงใหม่!Q649"")+IMPORTRANGE(""https://docs.google.com/spreadsheets/d/1W6MnUbDkMi6xHnHko_XkFDO9kkuL6Wqyc-6OCDFjW9I/e"&amp;"dit?usp=sharing"",""ตาก!Q649"")+IMPORTRANGE(""https://docs.google.com/spreadsheets/d/1IQAWArduLkta9LpYo4a_ULsyqdta6-6aDDiwpUnQT6c/edit?usp=sharing"",""นครสวรรค์!Q649"")+IMPORTRANGE(""https://docs.google.com/spreadsheets/d/10s13Sk5xrltsiR-Zkbmk5DwIaDIKO8Xl"&amp;"bJAfqyT7Gvg/edit?usp=sharing"",""น่าน!Q649"")+IMPORTRANGE(""https://docs.google.com/spreadsheets/d/1uu4nAn4Dbi1XREnLKKotUANlKXa7yCgRcgq8HEzQYW8/edit?usp=sharing"",""พะเยา!Q649"")+IMPORTRANGE(""https://docs.google.com/spreadsheets/d/1xfJKIQxVOaPDIICqsflNlL"&amp;"u3JacTDk1FP9RH4phX7mI/edit?usp=sharing"",""พิจิตร!Q649"")+IMPORTRANGE(""https://docs.google.com/spreadsheets/d/1JtRfZkJMHtEhI5RdRHxYUG4FIZHqKDpNyIuN7A1Q0_k/edit?usp=sharing"",""พิษณุโลก!Q649"")+IMPORTRANGE(""https://docs.google.com/spreadsheets/d/1xlcVZWU"&amp;"Nn6SuWm0c307h32SiGkd9BaeQWlAktfD3KO8/edit?usp=sharing"",""เพชรบูรณ์!Q649"")+IMPORTRANGE(""https://docs.google.com/spreadsheets/d/1lOVebEIsI9qjGXl6EX66luk7wiuP2tBaryw-wKvv4e0/edit?usp=sharing"",""แพร่!Q649"")+IMPORTRANGE(""https://docs.google.com/spreadshe"&amp;"ets/d/1dQrvX0vEcN7Gu0fnZ0B5S90AeR19zth4XlExFBeExMY/edit?usp=sharing"",""แม่ฮ่องสอน!Q649"")+IMPORTRANGE(""https://docs.google.com/spreadsheets/d/1DY4XTNNwjluuxqdfdn6qvOSlMRrZqUtmYcZR0ttFiG4/edit?usp=sharing"",""ลำปาง!Q649"")+IMPORTRANGE(""https://docs.goog"&amp;"le.com/spreadsheets/d/1ICwG78r0OFT8biBlxnBF8r7she7gNSzOvJ958PWT09c/edit?usp=sharing"",""ลำพูน!Q649"")+IMPORTRANGE(""https://docs.google.com/spreadsheets/d/1B0f2xJpZUC6Z0xXnqKlZtEPzsf6L84eP1r1Q15seqRM/edit?usp=sharing"",""สุโขทัย!Q649"")+IMPORTRANGE(""http"&amp;"s://docs.google.com/spreadsheets/d/1v0b9pFQCsKUVExMei7AgY2yQkdeNQvtOssygGsXbiKo/edit?usp=sharing"",""อุตรดิตถ์!Q649"")+IMPORTRANGE(""https://docs.google.com/spreadsheets/d/1UsNK1e-WWiCo2PvGqdNfdme4m17_Ezd3J69EeeiQPD0/edit?usp=sharing"",""อุทัยธานี!Q649"")"),0)</f>
        <v>0</v>
      </c>
      <c r="R649" s="48">
        <f ca="1">IFERROR(__xludf.DUMMYFUNCTION("IMPORTRANGE(""https://docs.google.com/spreadsheets/d/1jTcq05yEiRwXcBMLjiodW9e4biSGYWAHcDj22rKWQ3s/edit?usp=sharing"",""กำแพงเพชร!R649"")+IMPORTRANGE(""https://docs.google.com/spreadsheets/d/1KS0zmDSZPk8KnTAbGN-Xk6MtX1YRZD0ldgdt20K4CRk/edit?usp=sharing"","&amp;"""เชียงราย!R649"")+IMPORTRANGE(""https://docs.google.com/spreadsheets/d/1rEDxBtusbi64tE0zunoIbsTVV16HeL0oJ6trHQeQ7K8/edit?usp=sharing"",""เชียงใหม่!R649"")+IMPORTRANGE(""https://docs.google.com/spreadsheets/d/1W6MnUbDkMi6xHnHko_XkFDO9kkuL6Wqyc-6OCDFjW9I/e"&amp;"dit?usp=sharing"",""ตาก!R649"")+IMPORTRANGE(""https://docs.google.com/spreadsheets/d/1IQAWArduLkta9LpYo4a_ULsyqdta6-6aDDiwpUnQT6c/edit?usp=sharing"",""นครสวรรค์!R649"")+IMPORTRANGE(""https://docs.google.com/spreadsheets/d/10s13Sk5xrltsiR-Zkbmk5DwIaDIKO8Xl"&amp;"bJAfqyT7Gvg/edit?usp=sharing"",""น่าน!R649"")+IMPORTRANGE(""https://docs.google.com/spreadsheets/d/1uu4nAn4Dbi1XREnLKKotUANlKXa7yCgRcgq8HEzQYW8/edit?usp=sharing"",""พะเยา!R649"")+IMPORTRANGE(""https://docs.google.com/spreadsheets/d/1xfJKIQxVOaPDIICqsflNlL"&amp;"u3JacTDk1FP9RH4phX7mI/edit?usp=sharing"",""พิจิตร!R649"")+IMPORTRANGE(""https://docs.google.com/spreadsheets/d/1JtRfZkJMHtEhI5RdRHxYUG4FIZHqKDpNyIuN7A1Q0_k/edit?usp=sharing"",""พิษณุโลก!R649"")+IMPORTRANGE(""https://docs.google.com/spreadsheets/d/1xlcVZWU"&amp;"Nn6SuWm0c307h32SiGkd9BaeQWlAktfD3KO8/edit?usp=sharing"",""เพชรบูรณ์!R649"")+IMPORTRANGE(""https://docs.google.com/spreadsheets/d/1lOVebEIsI9qjGXl6EX66luk7wiuP2tBaryw-wKvv4e0/edit?usp=sharing"",""แพร่!R649"")+IMPORTRANGE(""https://docs.google.com/spreadshe"&amp;"ets/d/1dQrvX0vEcN7Gu0fnZ0B5S90AeR19zth4XlExFBeExMY/edit?usp=sharing"",""แม่ฮ่องสอน!R649"")+IMPORTRANGE(""https://docs.google.com/spreadsheets/d/1DY4XTNNwjluuxqdfdn6qvOSlMRrZqUtmYcZR0ttFiG4/edit?usp=sharing"",""ลำปาง!R649"")+IMPORTRANGE(""https://docs.goog"&amp;"le.com/spreadsheets/d/1ICwG78r0OFT8biBlxnBF8r7she7gNSzOvJ958PWT09c/edit?usp=sharing"",""ลำพูน!R649"")+IMPORTRANGE(""https://docs.google.com/spreadsheets/d/1B0f2xJpZUC6Z0xXnqKlZtEPzsf6L84eP1r1Q15seqRM/edit?usp=sharing"",""สุโขทัย!R649"")+IMPORTRANGE(""http"&amp;"s://docs.google.com/spreadsheets/d/1v0b9pFQCsKUVExMei7AgY2yQkdeNQvtOssygGsXbiKo/edit?usp=sharing"",""อุตรดิตถ์!R649"")+IMPORTRANGE(""https://docs.google.com/spreadsheets/d/1UsNK1e-WWiCo2PvGqdNfdme4m17_Ezd3J69EeeiQPD0/edit?usp=sharing"",""อุทัยธานี!R649"")"),0)</f>
        <v>0</v>
      </c>
      <c r="S649" s="48">
        <f ca="1">IFERROR(__xludf.DUMMYFUNCTION("IMPORTRANGE(""https://docs.google.com/spreadsheets/d/1jTcq05yEiRwXcBMLjiodW9e4biSGYWAHcDj22rKWQ3s/edit?usp=sharing"",""กำแพงเพชร!S649"")+IMPORTRANGE(""https://docs.google.com/spreadsheets/d/1KS0zmDSZPk8KnTAbGN-Xk6MtX1YRZD0ldgdt20K4CRk/edit?usp=sharing"","&amp;"""เชียงราย!S649"")+IMPORTRANGE(""https://docs.google.com/spreadsheets/d/1rEDxBtusbi64tE0zunoIbsTVV16HeL0oJ6trHQeQ7K8/edit?usp=sharing"",""เชียงใหม่!S649"")+IMPORTRANGE(""https://docs.google.com/spreadsheets/d/1W6MnUbDkMi6xHnHko_XkFDO9kkuL6Wqyc-6OCDFjW9I/e"&amp;"dit?usp=sharing"",""ตาก!S649"")+IMPORTRANGE(""https://docs.google.com/spreadsheets/d/1IQAWArduLkta9LpYo4a_ULsyqdta6-6aDDiwpUnQT6c/edit?usp=sharing"",""นครสวรรค์!S649"")+IMPORTRANGE(""https://docs.google.com/spreadsheets/d/10s13Sk5xrltsiR-Zkbmk5DwIaDIKO8Xl"&amp;"bJAfqyT7Gvg/edit?usp=sharing"",""น่าน!S649"")+IMPORTRANGE(""https://docs.google.com/spreadsheets/d/1uu4nAn4Dbi1XREnLKKotUANlKXa7yCgRcgq8HEzQYW8/edit?usp=sharing"",""พะเยา!S649"")+IMPORTRANGE(""https://docs.google.com/spreadsheets/d/1xfJKIQxVOaPDIICqsflNlL"&amp;"u3JacTDk1FP9RH4phX7mI/edit?usp=sharing"",""พิจิตร!S649"")+IMPORTRANGE(""https://docs.google.com/spreadsheets/d/1JtRfZkJMHtEhI5RdRHxYUG4FIZHqKDpNyIuN7A1Q0_k/edit?usp=sharing"",""พิษณุโลก!S649"")+IMPORTRANGE(""https://docs.google.com/spreadsheets/d/1xlcVZWU"&amp;"Nn6SuWm0c307h32SiGkd9BaeQWlAktfD3KO8/edit?usp=sharing"",""เพชรบูรณ์!S649"")+IMPORTRANGE(""https://docs.google.com/spreadsheets/d/1lOVebEIsI9qjGXl6EX66luk7wiuP2tBaryw-wKvv4e0/edit?usp=sharing"",""แพร่!S649"")+IMPORTRANGE(""https://docs.google.com/spreadshe"&amp;"ets/d/1dQrvX0vEcN7Gu0fnZ0B5S90AeR19zth4XlExFBeExMY/edit?usp=sharing"",""แม่ฮ่องสอน!S649"")+IMPORTRANGE(""https://docs.google.com/spreadsheets/d/1DY4XTNNwjluuxqdfdn6qvOSlMRrZqUtmYcZR0ttFiG4/edit?usp=sharing"",""ลำปาง!S649"")+IMPORTRANGE(""https://docs.goog"&amp;"le.com/spreadsheets/d/1ICwG78r0OFT8biBlxnBF8r7she7gNSzOvJ958PWT09c/edit?usp=sharing"",""ลำพูน!S649"")+IMPORTRANGE(""https://docs.google.com/spreadsheets/d/1B0f2xJpZUC6Z0xXnqKlZtEPzsf6L84eP1r1Q15seqRM/edit?usp=sharing"",""สุโขทัย!S649"")+IMPORTRANGE(""http"&amp;"s://docs.google.com/spreadsheets/d/1v0b9pFQCsKUVExMei7AgY2yQkdeNQvtOssygGsXbiKo/edit?usp=sharing"",""อุตรดิตถ์!S649"")+IMPORTRANGE(""https://docs.google.com/spreadsheets/d/1UsNK1e-WWiCo2PvGqdNfdme4m17_Ezd3J69EeeiQPD0/edit?usp=sharing"",""อุทัยธานี!S649"")"),0)</f>
        <v>0</v>
      </c>
      <c r="T649" s="48">
        <f t="shared" ca="1" si="457"/>
        <v>0</v>
      </c>
      <c r="U649" s="48">
        <f t="shared" ca="1" si="458"/>
        <v>0</v>
      </c>
    </row>
    <row r="650" spans="1:21" ht="18.75" x14ac:dyDescent="0.25">
      <c r="A650" s="128"/>
      <c r="B650" s="158"/>
      <c r="C650" s="158"/>
      <c r="D650" s="40"/>
      <c r="E650" s="47" t="s">
        <v>21</v>
      </c>
      <c r="F650" s="40"/>
      <c r="G650" s="42"/>
      <c r="H650" s="137" t="s">
        <v>14</v>
      </c>
      <c r="I650" s="135"/>
      <c r="J650" s="135"/>
      <c r="K650" s="136"/>
      <c r="L650" s="46">
        <f ca="1">IFERROR(__xludf.DUMMYFUNCTION("IMPORTRANGE(""https://docs.google.com/spreadsheets/d/1jTcq05yEiRwXcBMLjiodW9e4biSGYWAHcDj22rKWQ3s/edit?usp=sharing"",""กำแพงเพชร!L650"")+IMPORTRANGE(""https://docs.google.com/spreadsheets/d/1KS0zmDSZPk8KnTAbGN-Xk6MtX1YRZD0ldgdt20K4CRk/edit?usp=sharing"","&amp;"""เชียงราย!L650"")+IMPORTRANGE(""https://docs.google.com/spreadsheets/d/1rEDxBtusbi64tE0zunoIbsTVV16HeL0oJ6trHQeQ7K8/edit?usp=sharing"",""เชียงใหม่!L650"")+IMPORTRANGE(""https://docs.google.com/spreadsheets/d/1W6MnUbDkMi6xHnHko_XkFDO9kkuL6Wqyc-6OCDFjW9I/e"&amp;"dit?usp=sharing"",""ตาก!L650"")+IMPORTRANGE(""https://docs.google.com/spreadsheets/d/1IQAWArduLkta9LpYo4a_ULsyqdta6-6aDDiwpUnQT6c/edit?usp=sharing"",""นครสวรรค์!L650"")+IMPORTRANGE(""https://docs.google.com/spreadsheets/d/10s13Sk5xrltsiR-Zkbmk5DwIaDIKO8Xl"&amp;"bJAfqyT7Gvg/edit?usp=sharing"",""น่าน!L650"")+IMPORTRANGE(""https://docs.google.com/spreadsheets/d/1uu4nAn4Dbi1XREnLKKotUANlKXa7yCgRcgq8HEzQYW8/edit?usp=sharing"",""พะเยา!L650"")+IMPORTRANGE(""https://docs.google.com/spreadsheets/d/1xfJKIQxVOaPDIICqsflNlL"&amp;"u3JacTDk1FP9RH4phX7mI/edit?usp=sharing"",""พิจิตร!L650"")+IMPORTRANGE(""https://docs.google.com/spreadsheets/d/1JtRfZkJMHtEhI5RdRHxYUG4FIZHqKDpNyIuN7A1Q0_k/edit?usp=sharing"",""พิษณุโลก!L650"")+IMPORTRANGE(""https://docs.google.com/spreadsheets/d/1xlcVZWU"&amp;"Nn6SuWm0c307h32SiGkd9BaeQWlAktfD3KO8/edit?usp=sharing"",""เพชรบูรณ์!L650"")+IMPORTRANGE(""https://docs.google.com/spreadsheets/d/1lOVebEIsI9qjGXl6EX66luk7wiuP2tBaryw-wKvv4e0/edit?usp=sharing"",""แพร่!L650"")+IMPORTRANGE(""https://docs.google.com/spreadshe"&amp;"ets/d/1dQrvX0vEcN7Gu0fnZ0B5S90AeR19zth4XlExFBeExMY/edit?usp=sharing"",""แม่ฮ่องสอน!L650"")+IMPORTRANGE(""https://docs.google.com/spreadsheets/d/1DY4XTNNwjluuxqdfdn6qvOSlMRrZqUtmYcZR0ttFiG4/edit?usp=sharing"",""ลำปาง!L650"")+IMPORTRANGE(""https://docs.goog"&amp;"le.com/spreadsheets/d/1ICwG78r0OFT8biBlxnBF8r7she7gNSzOvJ958PWT09c/edit?usp=sharing"",""ลำพูน!L650"")+IMPORTRANGE(""https://docs.google.com/spreadsheets/d/1B0f2xJpZUC6Z0xXnqKlZtEPzsf6L84eP1r1Q15seqRM/edit?usp=sharing"",""สุโขทัย!L650"")+IMPORTRANGE(""http"&amp;"s://docs.google.com/spreadsheets/d/1v0b9pFQCsKUVExMei7AgY2yQkdeNQvtOssygGsXbiKo/edit?usp=sharing"",""อุตรดิตถ์!L650"")+IMPORTRANGE(""https://docs.google.com/spreadsheets/d/1UsNK1e-WWiCo2PvGqdNfdme4m17_Ezd3J69EeeiQPD0/edit?usp=sharing"",""อุทัยธานี!L650"")"),0)</f>
        <v>0</v>
      </c>
      <c r="M650" s="46">
        <f ca="1">IFERROR(__xludf.DUMMYFUNCTION("IMPORTRANGE(""https://docs.google.com/spreadsheets/d/1jTcq05yEiRwXcBMLjiodW9e4biSGYWAHcDj22rKWQ3s/edit?usp=sharing"",""กำแพงเพชร!M650"")+IMPORTRANGE(""https://docs.google.com/spreadsheets/d/1KS0zmDSZPk8KnTAbGN-Xk6MtX1YRZD0ldgdt20K4CRk/edit?usp=sharing"","&amp;"""เชียงราย!M650"")+IMPORTRANGE(""https://docs.google.com/spreadsheets/d/1rEDxBtusbi64tE0zunoIbsTVV16HeL0oJ6trHQeQ7K8/edit?usp=sharing"",""เชียงใหม่!M650"")+IMPORTRANGE(""https://docs.google.com/spreadsheets/d/1W6MnUbDkMi6xHnHko_XkFDO9kkuL6Wqyc-6OCDFjW9I/e"&amp;"dit?usp=sharing"",""ตาก!M650"")+IMPORTRANGE(""https://docs.google.com/spreadsheets/d/1IQAWArduLkta9LpYo4a_ULsyqdta6-6aDDiwpUnQT6c/edit?usp=sharing"",""นครสวรรค์!M650"")+IMPORTRANGE(""https://docs.google.com/spreadsheets/d/10s13Sk5xrltsiR-Zkbmk5DwIaDIKO8Xl"&amp;"bJAfqyT7Gvg/edit?usp=sharing"",""น่าน!M650"")+IMPORTRANGE(""https://docs.google.com/spreadsheets/d/1uu4nAn4Dbi1XREnLKKotUANlKXa7yCgRcgq8HEzQYW8/edit?usp=sharing"",""พะเยา!M650"")+IMPORTRANGE(""https://docs.google.com/spreadsheets/d/1xfJKIQxVOaPDIICqsflNlL"&amp;"u3JacTDk1FP9RH4phX7mI/edit?usp=sharing"",""พิจิตร!M650"")+IMPORTRANGE(""https://docs.google.com/spreadsheets/d/1JtRfZkJMHtEhI5RdRHxYUG4FIZHqKDpNyIuN7A1Q0_k/edit?usp=sharing"",""พิษณุโลก!M650"")+IMPORTRANGE(""https://docs.google.com/spreadsheets/d/1xlcVZWU"&amp;"Nn6SuWm0c307h32SiGkd9BaeQWlAktfD3KO8/edit?usp=sharing"",""เพชรบูรณ์!M650"")+IMPORTRANGE(""https://docs.google.com/spreadsheets/d/1lOVebEIsI9qjGXl6EX66luk7wiuP2tBaryw-wKvv4e0/edit?usp=sharing"",""แพร่!M650"")+IMPORTRANGE(""https://docs.google.com/spreadshe"&amp;"ets/d/1dQrvX0vEcN7Gu0fnZ0B5S90AeR19zth4XlExFBeExMY/edit?usp=sharing"",""แม่ฮ่องสอน!M650"")+IMPORTRANGE(""https://docs.google.com/spreadsheets/d/1DY4XTNNwjluuxqdfdn6qvOSlMRrZqUtmYcZR0ttFiG4/edit?usp=sharing"",""ลำปาง!M650"")+IMPORTRANGE(""https://docs.goog"&amp;"le.com/spreadsheets/d/1ICwG78r0OFT8biBlxnBF8r7she7gNSzOvJ958PWT09c/edit?usp=sharing"",""ลำพูน!M650"")+IMPORTRANGE(""https://docs.google.com/spreadsheets/d/1B0f2xJpZUC6Z0xXnqKlZtEPzsf6L84eP1r1Q15seqRM/edit?usp=sharing"",""สุโขทัย!M650"")+IMPORTRANGE(""http"&amp;"s://docs.google.com/spreadsheets/d/1v0b9pFQCsKUVExMei7AgY2yQkdeNQvtOssygGsXbiKo/edit?usp=sharing"",""อุตรดิตถ์!M650"")+IMPORTRANGE(""https://docs.google.com/spreadsheets/d/1UsNK1e-WWiCo2PvGqdNfdme4m17_Ezd3J69EeeiQPD0/edit?usp=sharing"",""อุทัยธานี!M650"")"),0)</f>
        <v>0</v>
      </c>
      <c r="N650" s="46">
        <f ca="1">IFERROR(__xludf.DUMMYFUNCTION("IMPORTRANGE(""https://docs.google.com/spreadsheets/d/1jTcq05yEiRwXcBMLjiodW9e4biSGYWAHcDj22rKWQ3s/edit?usp=sharing"",""กำแพงเพชร!N650"")+IMPORTRANGE(""https://docs.google.com/spreadsheets/d/1KS0zmDSZPk8KnTAbGN-Xk6MtX1YRZD0ldgdt20K4CRk/edit?usp=sharing"","&amp;"""เชียงราย!N650"")+IMPORTRANGE(""https://docs.google.com/spreadsheets/d/1rEDxBtusbi64tE0zunoIbsTVV16HeL0oJ6trHQeQ7K8/edit?usp=sharing"",""เชียงใหม่!N650"")+IMPORTRANGE(""https://docs.google.com/spreadsheets/d/1W6MnUbDkMi6xHnHko_XkFDO9kkuL6Wqyc-6OCDFjW9I/e"&amp;"dit?usp=sharing"",""ตาก!N650"")+IMPORTRANGE(""https://docs.google.com/spreadsheets/d/1IQAWArduLkta9LpYo4a_ULsyqdta6-6aDDiwpUnQT6c/edit?usp=sharing"",""นครสวรรค์!N650"")+IMPORTRANGE(""https://docs.google.com/spreadsheets/d/10s13Sk5xrltsiR-Zkbmk5DwIaDIKO8Xl"&amp;"bJAfqyT7Gvg/edit?usp=sharing"",""น่าน!N650"")+IMPORTRANGE(""https://docs.google.com/spreadsheets/d/1uu4nAn4Dbi1XREnLKKotUANlKXa7yCgRcgq8HEzQYW8/edit?usp=sharing"",""พะเยา!N650"")+IMPORTRANGE(""https://docs.google.com/spreadsheets/d/1xfJKIQxVOaPDIICqsflNlL"&amp;"u3JacTDk1FP9RH4phX7mI/edit?usp=sharing"",""พิจิตร!N650"")+IMPORTRANGE(""https://docs.google.com/spreadsheets/d/1JtRfZkJMHtEhI5RdRHxYUG4FIZHqKDpNyIuN7A1Q0_k/edit?usp=sharing"",""พิษณุโลก!N650"")+IMPORTRANGE(""https://docs.google.com/spreadsheets/d/1xlcVZWU"&amp;"Nn6SuWm0c307h32SiGkd9BaeQWlAktfD3KO8/edit?usp=sharing"",""เพชรบูรณ์!N650"")+IMPORTRANGE(""https://docs.google.com/spreadsheets/d/1lOVebEIsI9qjGXl6EX66luk7wiuP2tBaryw-wKvv4e0/edit?usp=sharing"",""แพร่!N650"")+IMPORTRANGE(""https://docs.google.com/spreadshe"&amp;"ets/d/1dQrvX0vEcN7Gu0fnZ0B5S90AeR19zth4XlExFBeExMY/edit?usp=sharing"",""แม่ฮ่องสอน!N650"")+IMPORTRANGE(""https://docs.google.com/spreadsheets/d/1DY4XTNNwjluuxqdfdn6qvOSlMRrZqUtmYcZR0ttFiG4/edit?usp=sharing"",""ลำปาง!N650"")+IMPORTRANGE(""https://docs.goog"&amp;"le.com/spreadsheets/d/1ICwG78r0OFT8biBlxnBF8r7she7gNSzOvJ958PWT09c/edit?usp=sharing"",""ลำพูน!N650"")+IMPORTRANGE(""https://docs.google.com/spreadsheets/d/1B0f2xJpZUC6Z0xXnqKlZtEPzsf6L84eP1r1Q15seqRM/edit?usp=sharing"",""สุโขทัย!N650"")+IMPORTRANGE(""http"&amp;"s://docs.google.com/spreadsheets/d/1v0b9pFQCsKUVExMei7AgY2yQkdeNQvtOssygGsXbiKo/edit?usp=sharing"",""อุตรดิตถ์!N650"")+IMPORTRANGE(""https://docs.google.com/spreadsheets/d/1UsNK1e-WWiCo2PvGqdNfdme4m17_Ezd3J69EeeiQPD0/edit?usp=sharing"",""อุทัยธานี!N650"")"),0)</f>
        <v>0</v>
      </c>
      <c r="O650" s="46">
        <f t="shared" ca="1" si="454"/>
        <v>0</v>
      </c>
      <c r="P650" s="46">
        <f t="shared" ca="1" si="455"/>
        <v>0</v>
      </c>
      <c r="Q650" s="46">
        <f ca="1">IFERROR(__xludf.DUMMYFUNCTION("IMPORTRANGE(""https://docs.google.com/spreadsheets/d/1jTcq05yEiRwXcBMLjiodW9e4biSGYWAHcDj22rKWQ3s/edit?usp=sharing"",""กำแพงเพชร!Q650"")+IMPORTRANGE(""https://docs.google.com/spreadsheets/d/1KS0zmDSZPk8KnTAbGN-Xk6MtX1YRZD0ldgdt20K4CRk/edit?usp=sharing"","&amp;"""เชียงราย!Q650"")+IMPORTRANGE(""https://docs.google.com/spreadsheets/d/1rEDxBtusbi64tE0zunoIbsTVV16HeL0oJ6trHQeQ7K8/edit?usp=sharing"",""เชียงใหม่!Q650"")+IMPORTRANGE(""https://docs.google.com/spreadsheets/d/1W6MnUbDkMi6xHnHko_XkFDO9kkuL6Wqyc-6OCDFjW9I/e"&amp;"dit?usp=sharing"",""ตาก!Q650"")+IMPORTRANGE(""https://docs.google.com/spreadsheets/d/1IQAWArduLkta9LpYo4a_ULsyqdta6-6aDDiwpUnQT6c/edit?usp=sharing"",""นครสวรรค์!Q650"")+IMPORTRANGE(""https://docs.google.com/spreadsheets/d/10s13Sk5xrltsiR-Zkbmk5DwIaDIKO8Xl"&amp;"bJAfqyT7Gvg/edit?usp=sharing"",""น่าน!Q650"")+IMPORTRANGE(""https://docs.google.com/spreadsheets/d/1uu4nAn4Dbi1XREnLKKotUANlKXa7yCgRcgq8HEzQYW8/edit?usp=sharing"",""พะเยา!Q650"")+IMPORTRANGE(""https://docs.google.com/spreadsheets/d/1xfJKIQxVOaPDIICqsflNlL"&amp;"u3JacTDk1FP9RH4phX7mI/edit?usp=sharing"",""พิจิตร!Q650"")+IMPORTRANGE(""https://docs.google.com/spreadsheets/d/1JtRfZkJMHtEhI5RdRHxYUG4FIZHqKDpNyIuN7A1Q0_k/edit?usp=sharing"",""พิษณุโลก!Q650"")+IMPORTRANGE(""https://docs.google.com/spreadsheets/d/1xlcVZWU"&amp;"Nn6SuWm0c307h32SiGkd9BaeQWlAktfD3KO8/edit?usp=sharing"",""เพชรบูรณ์!Q650"")+IMPORTRANGE(""https://docs.google.com/spreadsheets/d/1lOVebEIsI9qjGXl6EX66luk7wiuP2tBaryw-wKvv4e0/edit?usp=sharing"",""แพร่!Q650"")+IMPORTRANGE(""https://docs.google.com/spreadshe"&amp;"ets/d/1dQrvX0vEcN7Gu0fnZ0B5S90AeR19zth4XlExFBeExMY/edit?usp=sharing"",""แม่ฮ่องสอน!Q650"")+IMPORTRANGE(""https://docs.google.com/spreadsheets/d/1DY4XTNNwjluuxqdfdn6qvOSlMRrZqUtmYcZR0ttFiG4/edit?usp=sharing"",""ลำปาง!Q650"")+IMPORTRANGE(""https://docs.goog"&amp;"le.com/spreadsheets/d/1ICwG78r0OFT8biBlxnBF8r7she7gNSzOvJ958PWT09c/edit?usp=sharing"",""ลำพูน!Q650"")+IMPORTRANGE(""https://docs.google.com/spreadsheets/d/1B0f2xJpZUC6Z0xXnqKlZtEPzsf6L84eP1r1Q15seqRM/edit?usp=sharing"",""สุโขทัย!Q650"")+IMPORTRANGE(""http"&amp;"s://docs.google.com/spreadsheets/d/1v0b9pFQCsKUVExMei7AgY2yQkdeNQvtOssygGsXbiKo/edit?usp=sharing"",""อุตรดิตถ์!Q650"")+IMPORTRANGE(""https://docs.google.com/spreadsheets/d/1UsNK1e-WWiCo2PvGqdNfdme4m17_Ezd3J69EeeiQPD0/edit?usp=sharing"",""อุทัยธานี!Q650"")"),0)</f>
        <v>0</v>
      </c>
      <c r="R650" s="46">
        <f ca="1">IFERROR(__xludf.DUMMYFUNCTION("IMPORTRANGE(""https://docs.google.com/spreadsheets/d/1jTcq05yEiRwXcBMLjiodW9e4biSGYWAHcDj22rKWQ3s/edit?usp=sharing"",""กำแพงเพชร!R650"")+IMPORTRANGE(""https://docs.google.com/spreadsheets/d/1KS0zmDSZPk8KnTAbGN-Xk6MtX1YRZD0ldgdt20K4CRk/edit?usp=sharing"","&amp;"""เชียงราย!R650"")+IMPORTRANGE(""https://docs.google.com/spreadsheets/d/1rEDxBtusbi64tE0zunoIbsTVV16HeL0oJ6trHQeQ7K8/edit?usp=sharing"",""เชียงใหม่!R650"")+IMPORTRANGE(""https://docs.google.com/spreadsheets/d/1W6MnUbDkMi6xHnHko_XkFDO9kkuL6Wqyc-6OCDFjW9I/e"&amp;"dit?usp=sharing"",""ตาก!R650"")+IMPORTRANGE(""https://docs.google.com/spreadsheets/d/1IQAWArduLkta9LpYo4a_ULsyqdta6-6aDDiwpUnQT6c/edit?usp=sharing"",""นครสวรรค์!R650"")+IMPORTRANGE(""https://docs.google.com/spreadsheets/d/10s13Sk5xrltsiR-Zkbmk5DwIaDIKO8Xl"&amp;"bJAfqyT7Gvg/edit?usp=sharing"",""น่าน!R650"")+IMPORTRANGE(""https://docs.google.com/spreadsheets/d/1uu4nAn4Dbi1XREnLKKotUANlKXa7yCgRcgq8HEzQYW8/edit?usp=sharing"",""พะเยา!R650"")+IMPORTRANGE(""https://docs.google.com/spreadsheets/d/1xfJKIQxVOaPDIICqsflNlL"&amp;"u3JacTDk1FP9RH4phX7mI/edit?usp=sharing"",""พิจิตร!R650"")+IMPORTRANGE(""https://docs.google.com/spreadsheets/d/1JtRfZkJMHtEhI5RdRHxYUG4FIZHqKDpNyIuN7A1Q0_k/edit?usp=sharing"",""พิษณุโลก!R650"")+IMPORTRANGE(""https://docs.google.com/spreadsheets/d/1xlcVZWU"&amp;"Nn6SuWm0c307h32SiGkd9BaeQWlAktfD3KO8/edit?usp=sharing"",""เพชรบูรณ์!R650"")+IMPORTRANGE(""https://docs.google.com/spreadsheets/d/1lOVebEIsI9qjGXl6EX66luk7wiuP2tBaryw-wKvv4e0/edit?usp=sharing"",""แพร่!R650"")+IMPORTRANGE(""https://docs.google.com/spreadshe"&amp;"ets/d/1dQrvX0vEcN7Gu0fnZ0B5S90AeR19zth4XlExFBeExMY/edit?usp=sharing"",""แม่ฮ่องสอน!R650"")+IMPORTRANGE(""https://docs.google.com/spreadsheets/d/1DY4XTNNwjluuxqdfdn6qvOSlMRrZqUtmYcZR0ttFiG4/edit?usp=sharing"",""ลำปาง!R650"")+IMPORTRANGE(""https://docs.goog"&amp;"le.com/spreadsheets/d/1ICwG78r0OFT8biBlxnBF8r7she7gNSzOvJ958PWT09c/edit?usp=sharing"",""ลำพูน!R650"")+IMPORTRANGE(""https://docs.google.com/spreadsheets/d/1B0f2xJpZUC6Z0xXnqKlZtEPzsf6L84eP1r1Q15seqRM/edit?usp=sharing"",""สุโขทัย!R650"")+IMPORTRANGE(""http"&amp;"s://docs.google.com/spreadsheets/d/1v0b9pFQCsKUVExMei7AgY2yQkdeNQvtOssygGsXbiKo/edit?usp=sharing"",""อุตรดิตถ์!R650"")+IMPORTRANGE(""https://docs.google.com/spreadsheets/d/1UsNK1e-WWiCo2PvGqdNfdme4m17_Ezd3J69EeeiQPD0/edit?usp=sharing"",""อุทัยธานี!R650"")"),0)</f>
        <v>0</v>
      </c>
      <c r="S650" s="46">
        <f ca="1">IFERROR(__xludf.DUMMYFUNCTION("IMPORTRANGE(""https://docs.google.com/spreadsheets/d/1jTcq05yEiRwXcBMLjiodW9e4biSGYWAHcDj22rKWQ3s/edit?usp=sharing"",""กำแพงเพชร!S650"")+IMPORTRANGE(""https://docs.google.com/spreadsheets/d/1KS0zmDSZPk8KnTAbGN-Xk6MtX1YRZD0ldgdt20K4CRk/edit?usp=sharing"","&amp;"""เชียงราย!S650"")+IMPORTRANGE(""https://docs.google.com/spreadsheets/d/1rEDxBtusbi64tE0zunoIbsTVV16HeL0oJ6trHQeQ7K8/edit?usp=sharing"",""เชียงใหม่!S650"")+IMPORTRANGE(""https://docs.google.com/spreadsheets/d/1W6MnUbDkMi6xHnHko_XkFDO9kkuL6Wqyc-6OCDFjW9I/e"&amp;"dit?usp=sharing"",""ตาก!S650"")+IMPORTRANGE(""https://docs.google.com/spreadsheets/d/1IQAWArduLkta9LpYo4a_ULsyqdta6-6aDDiwpUnQT6c/edit?usp=sharing"",""นครสวรรค์!S650"")+IMPORTRANGE(""https://docs.google.com/spreadsheets/d/10s13Sk5xrltsiR-Zkbmk5DwIaDIKO8Xl"&amp;"bJAfqyT7Gvg/edit?usp=sharing"",""น่าน!S650"")+IMPORTRANGE(""https://docs.google.com/spreadsheets/d/1uu4nAn4Dbi1XREnLKKotUANlKXa7yCgRcgq8HEzQYW8/edit?usp=sharing"",""พะเยา!S650"")+IMPORTRANGE(""https://docs.google.com/spreadsheets/d/1xfJKIQxVOaPDIICqsflNlL"&amp;"u3JacTDk1FP9RH4phX7mI/edit?usp=sharing"",""พิจิตร!S650"")+IMPORTRANGE(""https://docs.google.com/spreadsheets/d/1JtRfZkJMHtEhI5RdRHxYUG4FIZHqKDpNyIuN7A1Q0_k/edit?usp=sharing"",""พิษณุโลก!S650"")+IMPORTRANGE(""https://docs.google.com/spreadsheets/d/1xlcVZWU"&amp;"Nn6SuWm0c307h32SiGkd9BaeQWlAktfD3KO8/edit?usp=sharing"",""เพชรบูรณ์!S650"")+IMPORTRANGE(""https://docs.google.com/spreadsheets/d/1lOVebEIsI9qjGXl6EX66luk7wiuP2tBaryw-wKvv4e0/edit?usp=sharing"",""แพร่!S650"")+IMPORTRANGE(""https://docs.google.com/spreadshe"&amp;"ets/d/1dQrvX0vEcN7Gu0fnZ0B5S90AeR19zth4XlExFBeExMY/edit?usp=sharing"",""แม่ฮ่องสอน!S650"")+IMPORTRANGE(""https://docs.google.com/spreadsheets/d/1DY4XTNNwjluuxqdfdn6qvOSlMRrZqUtmYcZR0ttFiG4/edit?usp=sharing"",""ลำปาง!S650"")+IMPORTRANGE(""https://docs.goog"&amp;"le.com/spreadsheets/d/1ICwG78r0OFT8biBlxnBF8r7she7gNSzOvJ958PWT09c/edit?usp=sharing"",""ลำพูน!S650"")+IMPORTRANGE(""https://docs.google.com/spreadsheets/d/1B0f2xJpZUC6Z0xXnqKlZtEPzsf6L84eP1r1Q15seqRM/edit?usp=sharing"",""สุโขทัย!S650"")+IMPORTRANGE(""http"&amp;"s://docs.google.com/spreadsheets/d/1v0b9pFQCsKUVExMei7AgY2yQkdeNQvtOssygGsXbiKo/edit?usp=sharing"",""อุตรดิตถ์!S650"")+IMPORTRANGE(""https://docs.google.com/spreadsheets/d/1UsNK1e-WWiCo2PvGqdNfdme4m17_Ezd3J69EeeiQPD0/edit?usp=sharing"",""อุทัยธานี!S650"")"),0)</f>
        <v>0</v>
      </c>
      <c r="T650" s="46">
        <f t="shared" ca="1" si="457"/>
        <v>0</v>
      </c>
      <c r="U650" s="46">
        <f t="shared" ca="1" si="458"/>
        <v>0</v>
      </c>
    </row>
    <row r="651" spans="1:21" ht="19.5" x14ac:dyDescent="0.3">
      <c r="A651" s="138"/>
      <c r="B651" s="139"/>
      <c r="C651" s="209" t="s">
        <v>18</v>
      </c>
      <c r="D651" s="407" t="s">
        <v>38</v>
      </c>
      <c r="E651" s="141"/>
      <c r="F651" s="141"/>
      <c r="G651" s="142"/>
      <c r="H651" s="178"/>
      <c r="I651" s="135"/>
      <c r="J651" s="135"/>
      <c r="K651" s="136"/>
      <c r="L651" s="136"/>
      <c r="M651" s="136"/>
      <c r="N651" s="136"/>
      <c r="O651" s="136"/>
      <c r="P651" s="136"/>
      <c r="Q651" s="45"/>
      <c r="R651" s="45"/>
      <c r="S651" s="45"/>
      <c r="T651" s="136"/>
      <c r="U651" s="136"/>
    </row>
    <row r="652" spans="1:21" ht="18.75" x14ac:dyDescent="0.25">
      <c r="A652" s="208"/>
      <c r="B652" s="158"/>
      <c r="C652" s="158"/>
      <c r="D652" s="47" t="s">
        <v>237</v>
      </c>
      <c r="E652" s="40"/>
      <c r="F652" s="40"/>
      <c r="G652" s="42"/>
      <c r="H652" s="137" t="s">
        <v>46</v>
      </c>
      <c r="I652" s="408">
        <f ca="1">IFERROR(__xludf.DUMMYFUNCTION("IMPORTRANGE(""https://docs.google.com/spreadsheets/d/1jTcq05yEiRwXcBMLjiodW9e4biSGYWAHcDj22rKWQ3s/edit?usp=sharing"",""กำแพงเพชร!I652"")+IMPORTRANGE(""https://docs.google.com/spreadsheets/d/1KS0zmDSZPk8KnTAbGN-Xk6MtX1YRZD0ldgdt20K4CRk/edit?usp=sharing"","&amp;"""เชียงราย!I652"")+IMPORTRANGE(""https://docs.google.com/spreadsheets/d/1rEDxBtusbi64tE0zunoIbsTVV16HeL0oJ6trHQeQ7K8/edit?usp=sharing"",""เชียงใหม่!I652"")+IMPORTRANGE(""https://docs.google.com/spreadsheets/d/1W6MnUbDkMi6xHnHko_XkFDO9kkuL6Wqyc-6OCDFjW9I/e"&amp;"dit?usp=sharing"",""ตาก!I652"")+IMPORTRANGE(""https://docs.google.com/spreadsheets/d/1IQAWArduLkta9LpYo4a_ULsyqdta6-6aDDiwpUnQT6c/edit?usp=sharing"",""นครสวรรค์!I652"")+IMPORTRANGE(""https://docs.google.com/spreadsheets/d/10s13Sk5xrltsiR-Zkbmk5DwIaDIKO8Xl"&amp;"bJAfqyT7Gvg/edit?usp=sharing"",""น่าน!I652"")+IMPORTRANGE(""https://docs.google.com/spreadsheets/d/1uu4nAn4Dbi1XREnLKKotUANlKXa7yCgRcgq8HEzQYW8/edit?usp=sharing"",""พะเยา!I652"")+IMPORTRANGE(""https://docs.google.com/spreadsheets/d/1xfJKIQxVOaPDIICqsflNlL"&amp;"u3JacTDk1FP9RH4phX7mI/edit?usp=sharing"",""พิจิตร!I652"")+IMPORTRANGE(""https://docs.google.com/spreadsheets/d/1JtRfZkJMHtEhI5RdRHxYUG4FIZHqKDpNyIuN7A1Q0_k/edit?usp=sharing"",""พิษณุโลก!I652"")+IMPORTRANGE(""https://docs.google.com/spreadsheets/d/1xlcVZWU"&amp;"Nn6SuWm0c307h32SiGkd9BaeQWlAktfD3KO8/edit?usp=sharing"",""เพชรบูรณ์!I652"")+IMPORTRANGE(""https://docs.google.com/spreadsheets/d/1lOVebEIsI9qjGXl6EX66luk7wiuP2tBaryw-wKvv4e0/edit?usp=sharing"",""แพร่!I652"")+IMPORTRANGE(""https://docs.google.com/spreadshe"&amp;"ets/d/1dQrvX0vEcN7Gu0fnZ0B5S90AeR19zth4XlExFBeExMY/edit?usp=sharing"",""แม่ฮ่องสอน!I652"")+IMPORTRANGE(""https://docs.google.com/spreadsheets/d/1DY4XTNNwjluuxqdfdn6qvOSlMRrZqUtmYcZR0ttFiG4/edit?usp=sharing"",""ลำปาง!I652"")+IMPORTRANGE(""https://docs.goog"&amp;"le.com/spreadsheets/d/1ICwG78r0OFT8biBlxnBF8r7she7gNSzOvJ958PWT09c/edit?usp=sharing"",""ลำพูน!I652"")+IMPORTRANGE(""https://docs.google.com/spreadsheets/d/1B0f2xJpZUC6Z0xXnqKlZtEPzsf6L84eP1r1Q15seqRM/edit?usp=sharing"",""สุโขทัย!I652"")+IMPORTRANGE(""http"&amp;"s://docs.google.com/spreadsheets/d/1v0b9pFQCsKUVExMei7AgY2yQkdeNQvtOssygGsXbiKo/edit?usp=sharing"",""อุตรดิตถ์!I652"")+IMPORTRANGE(""https://docs.google.com/spreadsheets/d/1UsNK1e-WWiCo2PvGqdNfdme4m17_Ezd3J69EeeiQPD0/edit?usp=sharing"",""อุทัยธานี!I652"")"),0)</f>
        <v>0</v>
      </c>
      <c r="J652" s="408">
        <f ca="1">IFERROR(__xludf.DUMMYFUNCTION("IMPORTRANGE(""https://docs.google.com/spreadsheets/d/1jTcq05yEiRwXcBMLjiodW9e4biSGYWAHcDj22rKWQ3s/edit?usp=sharing"",""กำแพงเพชร!J652"")+IMPORTRANGE(""https://docs.google.com/spreadsheets/d/1KS0zmDSZPk8KnTAbGN-Xk6MtX1YRZD0ldgdt20K4CRk/edit?usp=sharing"","&amp;"""เชียงราย!J652"")+IMPORTRANGE(""https://docs.google.com/spreadsheets/d/1rEDxBtusbi64tE0zunoIbsTVV16HeL0oJ6trHQeQ7K8/edit?usp=sharing"",""เชียงใหม่!J652"")+IMPORTRANGE(""https://docs.google.com/spreadsheets/d/1W6MnUbDkMi6xHnHko_XkFDO9kkuL6Wqyc-6OCDFjW9I/e"&amp;"dit?usp=sharing"",""ตาก!J652"")+IMPORTRANGE(""https://docs.google.com/spreadsheets/d/1IQAWArduLkta9LpYo4a_ULsyqdta6-6aDDiwpUnQT6c/edit?usp=sharing"",""นครสวรรค์!J652"")+IMPORTRANGE(""https://docs.google.com/spreadsheets/d/10s13Sk5xrltsiR-Zkbmk5DwIaDIKO8Xl"&amp;"bJAfqyT7Gvg/edit?usp=sharing"",""น่าน!J652"")+IMPORTRANGE(""https://docs.google.com/spreadsheets/d/1uu4nAn4Dbi1XREnLKKotUANlKXa7yCgRcgq8HEzQYW8/edit?usp=sharing"",""พะเยา!J652"")+IMPORTRANGE(""https://docs.google.com/spreadsheets/d/1xfJKIQxVOaPDIICqsflNlL"&amp;"u3JacTDk1FP9RH4phX7mI/edit?usp=sharing"",""พิจิตร!J652"")+IMPORTRANGE(""https://docs.google.com/spreadsheets/d/1JtRfZkJMHtEhI5RdRHxYUG4FIZHqKDpNyIuN7A1Q0_k/edit?usp=sharing"",""พิษณุโลก!J652"")+IMPORTRANGE(""https://docs.google.com/spreadsheets/d/1xlcVZWU"&amp;"Nn6SuWm0c307h32SiGkd9BaeQWlAktfD3KO8/edit?usp=sharing"",""เพชรบูรณ์!J652"")+IMPORTRANGE(""https://docs.google.com/spreadsheets/d/1lOVebEIsI9qjGXl6EX66luk7wiuP2tBaryw-wKvv4e0/edit?usp=sharing"",""แพร่!J652"")+IMPORTRANGE(""https://docs.google.com/spreadshe"&amp;"ets/d/1dQrvX0vEcN7Gu0fnZ0B5S90AeR19zth4XlExFBeExMY/edit?usp=sharing"",""แม่ฮ่องสอน!J652"")+IMPORTRANGE(""https://docs.google.com/spreadsheets/d/1DY4XTNNwjluuxqdfdn6qvOSlMRrZqUtmYcZR0ttFiG4/edit?usp=sharing"",""ลำปาง!J652"")+IMPORTRANGE(""https://docs.goog"&amp;"le.com/spreadsheets/d/1ICwG78r0OFT8biBlxnBF8r7she7gNSzOvJ958PWT09c/edit?usp=sharing"",""ลำพูน!J652"")+IMPORTRANGE(""https://docs.google.com/spreadsheets/d/1B0f2xJpZUC6Z0xXnqKlZtEPzsf6L84eP1r1Q15seqRM/edit?usp=sharing"",""สุโขทัย!J652"")+IMPORTRANGE(""http"&amp;"s://docs.google.com/spreadsheets/d/1v0b9pFQCsKUVExMei7AgY2yQkdeNQvtOssygGsXbiKo/edit?usp=sharing"",""อุตรดิตถ์!J652"")+IMPORTRANGE(""https://docs.google.com/spreadsheets/d/1UsNK1e-WWiCo2PvGqdNfdme4m17_Ezd3J69EeeiQPD0/edit?usp=sharing"",""อุทัยธานี!J652"")"),0)</f>
        <v>0</v>
      </c>
      <c r="K652" s="46">
        <f t="shared" ref="K652:K654" ca="1" si="467">IF(I652&gt;0,J652*100/I652,0)</f>
        <v>0</v>
      </c>
      <c r="L652" s="45"/>
      <c r="M652" s="45"/>
      <c r="N652" s="409"/>
      <c r="O652" s="45"/>
      <c r="P652" s="45"/>
      <c r="Q652" s="45"/>
      <c r="R652" s="45"/>
      <c r="S652" s="45"/>
      <c r="T652" s="45"/>
      <c r="U652" s="45"/>
    </row>
    <row r="653" spans="1:21" ht="18.75" x14ac:dyDescent="0.25">
      <c r="A653" s="208"/>
      <c r="B653" s="158"/>
      <c r="C653" s="158"/>
      <c r="D653" s="47" t="s">
        <v>238</v>
      </c>
      <c r="E653" s="40"/>
      <c r="F653" s="40"/>
      <c r="G653" s="42"/>
      <c r="H653" s="137" t="s">
        <v>35</v>
      </c>
      <c r="I653" s="408">
        <f ca="1">IFERROR(__xludf.DUMMYFUNCTION("IMPORTRANGE(""https://docs.google.com/spreadsheets/d/1jTcq05yEiRwXcBMLjiodW9e4biSGYWAHcDj22rKWQ3s/edit?usp=sharing"",""กำแพงเพชร!I653"")+IMPORTRANGE(""https://docs.google.com/spreadsheets/d/1KS0zmDSZPk8KnTAbGN-Xk6MtX1YRZD0ldgdt20K4CRk/edit?usp=sharing"","&amp;"""เชียงราย!I653"")+IMPORTRANGE(""https://docs.google.com/spreadsheets/d/1rEDxBtusbi64tE0zunoIbsTVV16HeL0oJ6trHQeQ7K8/edit?usp=sharing"",""เชียงใหม่!I653"")+IMPORTRANGE(""https://docs.google.com/spreadsheets/d/1W6MnUbDkMi6xHnHko_XkFDO9kkuL6Wqyc-6OCDFjW9I/e"&amp;"dit?usp=sharing"",""ตาก!I653"")+IMPORTRANGE(""https://docs.google.com/spreadsheets/d/1IQAWArduLkta9LpYo4a_ULsyqdta6-6aDDiwpUnQT6c/edit?usp=sharing"",""นครสวรรค์!I653"")+IMPORTRANGE(""https://docs.google.com/spreadsheets/d/10s13Sk5xrltsiR-Zkbmk5DwIaDIKO8Xl"&amp;"bJAfqyT7Gvg/edit?usp=sharing"",""น่าน!I653"")+IMPORTRANGE(""https://docs.google.com/spreadsheets/d/1uu4nAn4Dbi1XREnLKKotUANlKXa7yCgRcgq8HEzQYW8/edit?usp=sharing"",""พะเยา!I653"")+IMPORTRANGE(""https://docs.google.com/spreadsheets/d/1xfJKIQxVOaPDIICqsflNlL"&amp;"u3JacTDk1FP9RH4phX7mI/edit?usp=sharing"",""พิจิตร!I653"")+IMPORTRANGE(""https://docs.google.com/spreadsheets/d/1JtRfZkJMHtEhI5RdRHxYUG4FIZHqKDpNyIuN7A1Q0_k/edit?usp=sharing"",""พิษณุโลก!I653"")+IMPORTRANGE(""https://docs.google.com/spreadsheets/d/1xlcVZWU"&amp;"Nn6SuWm0c307h32SiGkd9BaeQWlAktfD3KO8/edit?usp=sharing"",""เพชรบูรณ์!I653"")+IMPORTRANGE(""https://docs.google.com/spreadsheets/d/1lOVebEIsI9qjGXl6EX66luk7wiuP2tBaryw-wKvv4e0/edit?usp=sharing"",""แพร่!I653"")+IMPORTRANGE(""https://docs.google.com/spreadshe"&amp;"ets/d/1dQrvX0vEcN7Gu0fnZ0B5S90AeR19zth4XlExFBeExMY/edit?usp=sharing"",""แม่ฮ่องสอน!I653"")+IMPORTRANGE(""https://docs.google.com/spreadsheets/d/1DY4XTNNwjluuxqdfdn6qvOSlMRrZqUtmYcZR0ttFiG4/edit?usp=sharing"",""ลำปาง!I653"")+IMPORTRANGE(""https://docs.goog"&amp;"le.com/spreadsheets/d/1ICwG78r0OFT8biBlxnBF8r7she7gNSzOvJ958PWT09c/edit?usp=sharing"",""ลำพูน!I653"")+IMPORTRANGE(""https://docs.google.com/spreadsheets/d/1B0f2xJpZUC6Z0xXnqKlZtEPzsf6L84eP1r1Q15seqRM/edit?usp=sharing"",""สุโขทัย!I653"")+IMPORTRANGE(""http"&amp;"s://docs.google.com/spreadsheets/d/1v0b9pFQCsKUVExMei7AgY2yQkdeNQvtOssygGsXbiKo/edit?usp=sharing"",""อุตรดิตถ์!I653"")+IMPORTRANGE(""https://docs.google.com/spreadsheets/d/1UsNK1e-WWiCo2PvGqdNfdme4m17_Ezd3J69EeeiQPD0/edit?usp=sharing"",""อุทัยธานี!I653"")"),103)</f>
        <v>103</v>
      </c>
      <c r="J653" s="408">
        <f ca="1">IFERROR(__xludf.DUMMYFUNCTION("IMPORTRANGE(""https://docs.google.com/spreadsheets/d/1jTcq05yEiRwXcBMLjiodW9e4biSGYWAHcDj22rKWQ3s/edit?usp=sharing"",""กำแพงเพชร!J653"")+IMPORTRANGE(""https://docs.google.com/spreadsheets/d/1KS0zmDSZPk8KnTAbGN-Xk6MtX1YRZD0ldgdt20K4CRk/edit?usp=sharing"","&amp;"""เชียงราย!J653"")+IMPORTRANGE(""https://docs.google.com/spreadsheets/d/1rEDxBtusbi64tE0zunoIbsTVV16HeL0oJ6trHQeQ7K8/edit?usp=sharing"",""เชียงใหม่!J653"")+IMPORTRANGE(""https://docs.google.com/spreadsheets/d/1W6MnUbDkMi6xHnHko_XkFDO9kkuL6Wqyc-6OCDFjW9I/e"&amp;"dit?usp=sharing"",""ตาก!J653"")+IMPORTRANGE(""https://docs.google.com/spreadsheets/d/1IQAWArduLkta9LpYo4a_ULsyqdta6-6aDDiwpUnQT6c/edit?usp=sharing"",""นครสวรรค์!J653"")+IMPORTRANGE(""https://docs.google.com/spreadsheets/d/10s13Sk5xrltsiR-Zkbmk5DwIaDIKO8Xl"&amp;"bJAfqyT7Gvg/edit?usp=sharing"",""น่าน!J653"")+IMPORTRANGE(""https://docs.google.com/spreadsheets/d/1uu4nAn4Dbi1XREnLKKotUANlKXa7yCgRcgq8HEzQYW8/edit?usp=sharing"",""พะเยา!J653"")+IMPORTRANGE(""https://docs.google.com/spreadsheets/d/1xfJKIQxVOaPDIICqsflNlL"&amp;"u3JacTDk1FP9RH4phX7mI/edit?usp=sharing"",""พิจิตร!J653"")+IMPORTRANGE(""https://docs.google.com/spreadsheets/d/1JtRfZkJMHtEhI5RdRHxYUG4FIZHqKDpNyIuN7A1Q0_k/edit?usp=sharing"",""พิษณุโลก!J653"")+IMPORTRANGE(""https://docs.google.com/spreadsheets/d/1xlcVZWU"&amp;"Nn6SuWm0c307h32SiGkd9BaeQWlAktfD3KO8/edit?usp=sharing"",""เพชรบูรณ์!J653"")+IMPORTRANGE(""https://docs.google.com/spreadsheets/d/1lOVebEIsI9qjGXl6EX66luk7wiuP2tBaryw-wKvv4e0/edit?usp=sharing"",""แพร่!J653"")+IMPORTRANGE(""https://docs.google.com/spreadshe"&amp;"ets/d/1dQrvX0vEcN7Gu0fnZ0B5S90AeR19zth4XlExFBeExMY/edit?usp=sharing"",""แม่ฮ่องสอน!J653"")+IMPORTRANGE(""https://docs.google.com/spreadsheets/d/1DY4XTNNwjluuxqdfdn6qvOSlMRrZqUtmYcZR0ttFiG4/edit?usp=sharing"",""ลำปาง!J653"")+IMPORTRANGE(""https://docs.goog"&amp;"le.com/spreadsheets/d/1ICwG78r0OFT8biBlxnBF8r7she7gNSzOvJ958PWT09c/edit?usp=sharing"",""ลำพูน!J653"")+IMPORTRANGE(""https://docs.google.com/spreadsheets/d/1B0f2xJpZUC6Z0xXnqKlZtEPzsf6L84eP1r1Q15seqRM/edit?usp=sharing"",""สุโขทัย!J653"")+IMPORTRANGE(""http"&amp;"s://docs.google.com/spreadsheets/d/1v0b9pFQCsKUVExMei7AgY2yQkdeNQvtOssygGsXbiKo/edit?usp=sharing"",""อุตรดิตถ์!J653"")+IMPORTRANGE(""https://docs.google.com/spreadsheets/d/1UsNK1e-WWiCo2PvGqdNfdme4m17_Ezd3J69EeeiQPD0/edit?usp=sharing"",""อุทัยธานี!J653"")"),0)</f>
        <v>0</v>
      </c>
      <c r="K653" s="46">
        <f t="shared" ca="1" si="467"/>
        <v>0</v>
      </c>
      <c r="L653" s="45"/>
      <c r="M653" s="45"/>
      <c r="N653" s="409"/>
      <c r="O653" s="45"/>
      <c r="P653" s="45"/>
      <c r="Q653" s="45"/>
      <c r="R653" s="45"/>
      <c r="S653" s="45"/>
      <c r="T653" s="45"/>
      <c r="U653" s="45"/>
    </row>
    <row r="654" spans="1:21" ht="19.5" x14ac:dyDescent="0.3">
      <c r="A654" s="208"/>
      <c r="B654" s="158"/>
      <c r="C654" s="158"/>
      <c r="D654" s="47" t="s">
        <v>239</v>
      </c>
      <c r="E654" s="40"/>
      <c r="F654" s="40"/>
      <c r="G654" s="42"/>
      <c r="H654" s="404" t="s">
        <v>46</v>
      </c>
      <c r="I654" s="410">
        <f ca="1">IFERROR(__xludf.DUMMYFUNCTION("IMPORTRANGE(""https://docs.google.com/spreadsheets/d/1jTcq05yEiRwXcBMLjiodW9e4biSGYWAHcDj22rKWQ3s/edit?usp=sharing"",""กำแพงเพชร!I654"")+IMPORTRANGE(""https://docs.google.com/spreadsheets/d/1KS0zmDSZPk8KnTAbGN-Xk6MtX1YRZD0ldgdt20K4CRk/edit?usp=sharing"","&amp;"""เชียงราย!I654"")+IMPORTRANGE(""https://docs.google.com/spreadsheets/d/1rEDxBtusbi64tE0zunoIbsTVV16HeL0oJ6trHQeQ7K8/edit?usp=sharing"",""เชียงใหม่!I654"")+IMPORTRANGE(""https://docs.google.com/spreadsheets/d/1W6MnUbDkMi6xHnHko_XkFDO9kkuL6Wqyc-6OCDFjW9I/e"&amp;"dit?usp=sharing"",""ตาก!I654"")+IMPORTRANGE(""https://docs.google.com/spreadsheets/d/1IQAWArduLkta9LpYo4a_ULsyqdta6-6aDDiwpUnQT6c/edit?usp=sharing"",""นครสวรรค์!I654"")+IMPORTRANGE(""https://docs.google.com/spreadsheets/d/10s13Sk5xrltsiR-Zkbmk5DwIaDIKO8Xl"&amp;"bJAfqyT7Gvg/edit?usp=sharing"",""น่าน!I654"")+IMPORTRANGE(""https://docs.google.com/spreadsheets/d/1uu4nAn4Dbi1XREnLKKotUANlKXa7yCgRcgq8HEzQYW8/edit?usp=sharing"",""พะเยา!I654"")+IMPORTRANGE(""https://docs.google.com/spreadsheets/d/1xfJKIQxVOaPDIICqsflNlL"&amp;"u3JacTDk1FP9RH4phX7mI/edit?usp=sharing"",""พิจิตร!I654"")+IMPORTRANGE(""https://docs.google.com/spreadsheets/d/1JtRfZkJMHtEhI5RdRHxYUG4FIZHqKDpNyIuN7A1Q0_k/edit?usp=sharing"",""พิษณุโลก!I654"")+IMPORTRANGE(""https://docs.google.com/spreadsheets/d/1xlcVZWU"&amp;"Nn6SuWm0c307h32SiGkd9BaeQWlAktfD3KO8/edit?usp=sharing"",""เพชรบูรณ์!I654"")+IMPORTRANGE(""https://docs.google.com/spreadsheets/d/1lOVebEIsI9qjGXl6EX66luk7wiuP2tBaryw-wKvv4e0/edit?usp=sharing"",""แพร่!I654"")+IMPORTRANGE(""https://docs.google.com/spreadshe"&amp;"ets/d/1dQrvX0vEcN7Gu0fnZ0B5S90AeR19zth4XlExFBeExMY/edit?usp=sharing"",""แม่ฮ่องสอน!I654"")+IMPORTRANGE(""https://docs.google.com/spreadsheets/d/1DY4XTNNwjluuxqdfdn6qvOSlMRrZqUtmYcZR0ttFiG4/edit?usp=sharing"",""ลำปาง!I654"")+IMPORTRANGE(""https://docs.goog"&amp;"le.com/spreadsheets/d/1ICwG78r0OFT8biBlxnBF8r7she7gNSzOvJ958PWT09c/edit?usp=sharing"",""ลำพูน!I654"")+IMPORTRANGE(""https://docs.google.com/spreadsheets/d/1B0f2xJpZUC6Z0xXnqKlZtEPzsf6L84eP1r1Q15seqRM/edit?usp=sharing"",""สุโขทัย!I654"")+IMPORTRANGE(""http"&amp;"s://docs.google.com/spreadsheets/d/1v0b9pFQCsKUVExMei7AgY2yQkdeNQvtOssygGsXbiKo/edit?usp=sharing"",""อุตรดิตถ์!I654"")+IMPORTRANGE(""https://docs.google.com/spreadsheets/d/1UsNK1e-WWiCo2PvGqdNfdme4m17_Ezd3J69EeeiQPD0/edit?usp=sharing"",""อุทัยธานี!I654"")"),2370)</f>
        <v>2370</v>
      </c>
      <c r="J654" s="147">
        <f ca="1">J657+J660</f>
        <v>478.44</v>
      </c>
      <c r="K654" s="132">
        <f t="shared" ca="1" si="467"/>
        <v>20.1873417721519</v>
      </c>
      <c r="L654" s="45"/>
      <c r="M654" s="45"/>
      <c r="N654" s="409"/>
      <c r="O654" s="45"/>
      <c r="P654" s="45"/>
      <c r="Q654" s="45"/>
      <c r="R654" s="45"/>
      <c r="S654" s="45"/>
      <c r="T654" s="45"/>
      <c r="U654" s="45"/>
    </row>
    <row r="655" spans="1:21" ht="18.75" x14ac:dyDescent="0.25">
      <c r="A655" s="208"/>
      <c r="B655" s="158"/>
      <c r="C655" s="158"/>
      <c r="D655" s="40"/>
      <c r="E655" s="47" t="s">
        <v>240</v>
      </c>
      <c r="F655" s="40"/>
      <c r="G655" s="42"/>
      <c r="H655" s="137" t="s">
        <v>35</v>
      </c>
      <c r="I655" s="180"/>
      <c r="J655" s="167">
        <f ca="1">IFERROR(__xludf.DUMMYFUNCTION("IMPORTRANGE(""https://docs.google.com/spreadsheets/d/1jTcq05yEiRwXcBMLjiodW9e4biSGYWAHcDj22rKWQ3s/edit?usp=sharing"",""กำแพงเพชร!J655"")+IMPORTRANGE(""https://docs.google.com/spreadsheets/d/1KS0zmDSZPk8KnTAbGN-Xk6MtX1YRZD0ldgdt20K4CRk/edit?usp=sharing"","&amp;"""เชียงราย!J655"")+IMPORTRANGE(""https://docs.google.com/spreadsheets/d/1rEDxBtusbi64tE0zunoIbsTVV16HeL0oJ6trHQeQ7K8/edit?usp=sharing"",""เชียงใหม่!J655"")+IMPORTRANGE(""https://docs.google.com/spreadsheets/d/1W6MnUbDkMi6xHnHko_XkFDO9kkuL6Wqyc-6OCDFjW9I/e"&amp;"dit?usp=sharing"",""ตาก!J655"")+IMPORTRANGE(""https://docs.google.com/spreadsheets/d/1IQAWArduLkta9LpYo4a_ULsyqdta6-6aDDiwpUnQT6c/edit?usp=sharing"",""นครสวรรค์!J655"")+IMPORTRANGE(""https://docs.google.com/spreadsheets/d/10s13Sk5xrltsiR-Zkbmk5DwIaDIKO8Xl"&amp;"bJAfqyT7Gvg/edit?usp=sharing"",""น่าน!J655"")+IMPORTRANGE(""https://docs.google.com/spreadsheets/d/1uu4nAn4Dbi1XREnLKKotUANlKXa7yCgRcgq8HEzQYW8/edit?usp=sharing"",""พะเยา!J655"")+IMPORTRANGE(""https://docs.google.com/spreadsheets/d/1xfJKIQxVOaPDIICqsflNlL"&amp;"u3JacTDk1FP9RH4phX7mI/edit?usp=sharing"",""พิจิตร!J655"")+IMPORTRANGE(""https://docs.google.com/spreadsheets/d/1JtRfZkJMHtEhI5RdRHxYUG4FIZHqKDpNyIuN7A1Q0_k/edit?usp=sharing"",""พิษณุโลก!J655"")+IMPORTRANGE(""https://docs.google.com/spreadsheets/d/1xlcVZWU"&amp;"Nn6SuWm0c307h32SiGkd9BaeQWlAktfD3KO8/edit?usp=sharing"",""เพชรบูรณ์!J655"")+IMPORTRANGE(""https://docs.google.com/spreadsheets/d/1lOVebEIsI9qjGXl6EX66luk7wiuP2tBaryw-wKvv4e0/edit?usp=sharing"",""แพร่!J655"")+IMPORTRANGE(""https://docs.google.com/spreadshe"&amp;"ets/d/1dQrvX0vEcN7Gu0fnZ0B5S90AeR19zth4XlExFBeExMY/edit?usp=sharing"",""แม่ฮ่องสอน!J655"")+IMPORTRANGE(""https://docs.google.com/spreadsheets/d/1DY4XTNNwjluuxqdfdn6qvOSlMRrZqUtmYcZR0ttFiG4/edit?usp=sharing"",""ลำปาง!J655"")+IMPORTRANGE(""https://docs.goog"&amp;"le.com/spreadsheets/d/1ICwG78r0OFT8biBlxnBF8r7she7gNSzOvJ958PWT09c/edit?usp=sharing"",""ลำพูน!J655"")+IMPORTRANGE(""https://docs.google.com/spreadsheets/d/1B0f2xJpZUC6Z0xXnqKlZtEPzsf6L84eP1r1Q15seqRM/edit?usp=sharing"",""สุโขทัย!J655"")+IMPORTRANGE(""http"&amp;"s://docs.google.com/spreadsheets/d/1v0b9pFQCsKUVExMei7AgY2yQkdeNQvtOssygGsXbiKo/edit?usp=sharing"",""อุตรดิตถ์!J655"")+IMPORTRANGE(""https://docs.google.com/spreadsheets/d/1UsNK1e-WWiCo2PvGqdNfdme4m17_Ezd3J69EeeiQPD0/edit?usp=sharing"",""อุทัยธานี!J655"")"),94)</f>
        <v>94</v>
      </c>
      <c r="K655" s="45"/>
      <c r="L655" s="45"/>
      <c r="M655" s="45"/>
      <c r="N655" s="409"/>
      <c r="O655" s="45"/>
      <c r="P655" s="45"/>
      <c r="Q655" s="45"/>
      <c r="R655" s="45"/>
      <c r="S655" s="45"/>
      <c r="T655" s="45"/>
      <c r="U655" s="45"/>
    </row>
    <row r="656" spans="1:21" ht="18.75" x14ac:dyDescent="0.25">
      <c r="A656" s="208"/>
      <c r="B656" s="158"/>
      <c r="C656" s="158"/>
      <c r="D656" s="40"/>
      <c r="E656" s="40"/>
      <c r="F656" s="40"/>
      <c r="G656" s="42"/>
      <c r="H656" s="137" t="s">
        <v>34</v>
      </c>
      <c r="I656" s="180"/>
      <c r="J656" s="167">
        <f ca="1">IFERROR(__xludf.DUMMYFUNCTION("IMPORTRANGE(""https://docs.google.com/spreadsheets/d/1jTcq05yEiRwXcBMLjiodW9e4biSGYWAHcDj22rKWQ3s/edit?usp=sharing"",""กำแพงเพชร!J656"")+IMPORTRANGE(""https://docs.google.com/spreadsheets/d/1KS0zmDSZPk8KnTAbGN-Xk6MtX1YRZD0ldgdt20K4CRk/edit?usp=sharing"","&amp;"""เชียงราย!J656"")+IMPORTRANGE(""https://docs.google.com/spreadsheets/d/1rEDxBtusbi64tE0zunoIbsTVV16HeL0oJ6trHQeQ7K8/edit?usp=sharing"",""เชียงใหม่!J656"")+IMPORTRANGE(""https://docs.google.com/spreadsheets/d/1W6MnUbDkMi6xHnHko_XkFDO9kkuL6Wqyc-6OCDFjW9I/e"&amp;"dit?usp=sharing"",""ตาก!J656"")+IMPORTRANGE(""https://docs.google.com/spreadsheets/d/1IQAWArduLkta9LpYo4a_ULsyqdta6-6aDDiwpUnQT6c/edit?usp=sharing"",""นครสวรรค์!J656"")+IMPORTRANGE(""https://docs.google.com/spreadsheets/d/10s13Sk5xrltsiR-Zkbmk5DwIaDIKO8Xl"&amp;"bJAfqyT7Gvg/edit?usp=sharing"",""น่าน!J656"")+IMPORTRANGE(""https://docs.google.com/spreadsheets/d/1uu4nAn4Dbi1XREnLKKotUANlKXa7yCgRcgq8HEzQYW8/edit?usp=sharing"",""พะเยา!J656"")+IMPORTRANGE(""https://docs.google.com/spreadsheets/d/1xfJKIQxVOaPDIICqsflNlL"&amp;"u3JacTDk1FP9RH4phX7mI/edit?usp=sharing"",""พิจิตร!J656"")+IMPORTRANGE(""https://docs.google.com/spreadsheets/d/1JtRfZkJMHtEhI5RdRHxYUG4FIZHqKDpNyIuN7A1Q0_k/edit?usp=sharing"",""พิษณุโลก!J656"")+IMPORTRANGE(""https://docs.google.com/spreadsheets/d/1xlcVZWU"&amp;"Nn6SuWm0c307h32SiGkd9BaeQWlAktfD3KO8/edit?usp=sharing"",""เพชรบูรณ์!J656"")+IMPORTRANGE(""https://docs.google.com/spreadsheets/d/1lOVebEIsI9qjGXl6EX66luk7wiuP2tBaryw-wKvv4e0/edit?usp=sharing"",""แพร่!J656"")+IMPORTRANGE(""https://docs.google.com/spreadshe"&amp;"ets/d/1dQrvX0vEcN7Gu0fnZ0B5S90AeR19zth4XlExFBeExMY/edit?usp=sharing"",""แม่ฮ่องสอน!J656"")+IMPORTRANGE(""https://docs.google.com/spreadsheets/d/1DY4XTNNwjluuxqdfdn6qvOSlMRrZqUtmYcZR0ttFiG4/edit?usp=sharing"",""ลำปาง!J656"")+IMPORTRANGE(""https://docs.goog"&amp;"le.com/spreadsheets/d/1ICwG78r0OFT8biBlxnBF8r7she7gNSzOvJ958PWT09c/edit?usp=sharing"",""ลำพูน!J656"")+IMPORTRANGE(""https://docs.google.com/spreadsheets/d/1B0f2xJpZUC6Z0xXnqKlZtEPzsf6L84eP1r1Q15seqRM/edit?usp=sharing"",""สุโขทัย!J656"")+IMPORTRANGE(""http"&amp;"s://docs.google.com/spreadsheets/d/1v0b9pFQCsKUVExMei7AgY2yQkdeNQvtOssygGsXbiKo/edit?usp=sharing"",""อุตรดิตถ์!J656"")+IMPORTRANGE(""https://docs.google.com/spreadsheets/d/1UsNK1e-WWiCo2PvGqdNfdme4m17_Ezd3J69EeeiQPD0/edit?usp=sharing"",""อุทัยธานี!J656"")"),101)</f>
        <v>101</v>
      </c>
      <c r="K656" s="45"/>
      <c r="L656" s="45"/>
      <c r="M656" s="45"/>
      <c r="N656" s="409"/>
      <c r="O656" s="45"/>
      <c r="P656" s="45"/>
      <c r="Q656" s="45"/>
      <c r="R656" s="45"/>
      <c r="S656" s="45"/>
      <c r="T656" s="45"/>
      <c r="U656" s="45"/>
    </row>
    <row r="657" spans="1:21" ht="18.75" x14ac:dyDescent="0.25">
      <c r="A657" s="208"/>
      <c r="B657" s="158"/>
      <c r="C657" s="158"/>
      <c r="D657" s="40"/>
      <c r="E657" s="40"/>
      <c r="F657" s="40"/>
      <c r="G657" s="42"/>
      <c r="H657" s="137" t="s">
        <v>46</v>
      </c>
      <c r="I657" s="408">
        <f ca="1">IFERROR(__xludf.DUMMYFUNCTION("IMPORTRANGE(""https://docs.google.com/spreadsheets/d/1jTcq05yEiRwXcBMLjiodW9e4biSGYWAHcDj22rKWQ3s/edit?usp=sharing"",""กำแพงเพชร!I657"")+IMPORTRANGE(""https://docs.google.com/spreadsheets/d/1KS0zmDSZPk8KnTAbGN-Xk6MtX1YRZD0ldgdt20K4CRk/edit?usp=sharing"","&amp;"""เชียงราย!I657"")+IMPORTRANGE(""https://docs.google.com/spreadsheets/d/1rEDxBtusbi64tE0zunoIbsTVV16HeL0oJ6trHQeQ7K8/edit?usp=sharing"",""เชียงใหม่!I657"")+IMPORTRANGE(""https://docs.google.com/spreadsheets/d/1W6MnUbDkMi6xHnHko_XkFDO9kkuL6Wqyc-6OCDFjW9I/e"&amp;"dit?usp=sharing"",""ตาก!I657"")+IMPORTRANGE(""https://docs.google.com/spreadsheets/d/1IQAWArduLkta9LpYo4a_ULsyqdta6-6aDDiwpUnQT6c/edit?usp=sharing"",""นครสวรรค์!I657"")+IMPORTRANGE(""https://docs.google.com/spreadsheets/d/10s13Sk5xrltsiR-Zkbmk5DwIaDIKO8Xl"&amp;"bJAfqyT7Gvg/edit?usp=sharing"",""น่าน!I657"")+IMPORTRANGE(""https://docs.google.com/spreadsheets/d/1uu4nAn4Dbi1XREnLKKotUANlKXa7yCgRcgq8HEzQYW8/edit?usp=sharing"",""พะเยา!I657"")+IMPORTRANGE(""https://docs.google.com/spreadsheets/d/1xfJKIQxVOaPDIICqsflNlL"&amp;"u3JacTDk1FP9RH4phX7mI/edit?usp=sharing"",""พิจิตร!I657"")+IMPORTRANGE(""https://docs.google.com/spreadsheets/d/1JtRfZkJMHtEhI5RdRHxYUG4FIZHqKDpNyIuN7A1Q0_k/edit?usp=sharing"",""พิษณุโลก!I657"")+IMPORTRANGE(""https://docs.google.com/spreadsheets/d/1xlcVZWU"&amp;"Nn6SuWm0c307h32SiGkd9BaeQWlAktfD3KO8/edit?usp=sharing"",""เพชรบูรณ์!I657"")+IMPORTRANGE(""https://docs.google.com/spreadsheets/d/1lOVebEIsI9qjGXl6EX66luk7wiuP2tBaryw-wKvv4e0/edit?usp=sharing"",""แพร่!I657"")+IMPORTRANGE(""https://docs.google.com/spreadshe"&amp;"ets/d/1dQrvX0vEcN7Gu0fnZ0B5S90AeR19zth4XlExFBeExMY/edit?usp=sharing"",""แม่ฮ่องสอน!I657"")+IMPORTRANGE(""https://docs.google.com/spreadsheets/d/1DY4XTNNwjluuxqdfdn6qvOSlMRrZqUtmYcZR0ttFiG4/edit?usp=sharing"",""ลำปาง!I657"")+IMPORTRANGE(""https://docs.goog"&amp;"le.com/spreadsheets/d/1ICwG78r0OFT8biBlxnBF8r7she7gNSzOvJ958PWT09c/edit?usp=sharing"",""ลำพูน!I657"")+IMPORTRANGE(""https://docs.google.com/spreadsheets/d/1B0f2xJpZUC6Z0xXnqKlZtEPzsf6L84eP1r1Q15seqRM/edit?usp=sharing"",""สุโขทัย!I657"")+IMPORTRANGE(""http"&amp;"s://docs.google.com/spreadsheets/d/1v0b9pFQCsKUVExMei7AgY2yQkdeNQvtOssygGsXbiKo/edit?usp=sharing"",""อุตรดิตถ์!I657"")+IMPORTRANGE(""https://docs.google.com/spreadsheets/d/1UsNK1e-WWiCo2PvGqdNfdme4m17_Ezd3J69EeeiQPD0/edit?usp=sharing"",""อุทัยธานี!I657"")"),1831)</f>
        <v>1831</v>
      </c>
      <c r="J657" s="408">
        <f ca="1">IFERROR(__xludf.DUMMYFUNCTION("IMPORTRANGE(""https://docs.google.com/spreadsheets/d/1jTcq05yEiRwXcBMLjiodW9e4biSGYWAHcDj22rKWQ3s/edit?usp=sharing"",""กำแพงเพชร!J657"")+IMPORTRANGE(""https://docs.google.com/spreadsheets/d/1KS0zmDSZPk8KnTAbGN-Xk6MtX1YRZD0ldgdt20K4CRk/edit?usp=sharing"","&amp;"""เชียงราย!J657"")+IMPORTRANGE(""https://docs.google.com/spreadsheets/d/1rEDxBtusbi64tE0zunoIbsTVV16HeL0oJ6trHQeQ7K8/edit?usp=sharing"",""เชียงใหม่!J657"")+IMPORTRANGE(""https://docs.google.com/spreadsheets/d/1W6MnUbDkMi6xHnHko_XkFDO9kkuL6Wqyc-6OCDFjW9I/e"&amp;"dit?usp=sharing"",""ตาก!J657"")+IMPORTRANGE(""https://docs.google.com/spreadsheets/d/1IQAWArduLkta9LpYo4a_ULsyqdta6-6aDDiwpUnQT6c/edit?usp=sharing"",""นครสวรรค์!J657"")+IMPORTRANGE(""https://docs.google.com/spreadsheets/d/10s13Sk5xrltsiR-Zkbmk5DwIaDIKO8Xl"&amp;"bJAfqyT7Gvg/edit?usp=sharing"",""น่าน!J657"")+IMPORTRANGE(""https://docs.google.com/spreadsheets/d/1uu4nAn4Dbi1XREnLKKotUANlKXa7yCgRcgq8HEzQYW8/edit?usp=sharing"",""พะเยา!J657"")+IMPORTRANGE(""https://docs.google.com/spreadsheets/d/1xfJKIQxVOaPDIICqsflNlL"&amp;"u3JacTDk1FP9RH4phX7mI/edit?usp=sharing"",""พิจิตร!J657"")+IMPORTRANGE(""https://docs.google.com/spreadsheets/d/1JtRfZkJMHtEhI5RdRHxYUG4FIZHqKDpNyIuN7A1Q0_k/edit?usp=sharing"",""พิษณุโลก!J657"")+IMPORTRANGE(""https://docs.google.com/spreadsheets/d/1xlcVZWU"&amp;"Nn6SuWm0c307h32SiGkd9BaeQWlAktfD3KO8/edit?usp=sharing"",""เพชรบูรณ์!J657"")+IMPORTRANGE(""https://docs.google.com/spreadsheets/d/1lOVebEIsI9qjGXl6EX66luk7wiuP2tBaryw-wKvv4e0/edit?usp=sharing"",""แพร่!J657"")+IMPORTRANGE(""https://docs.google.com/spreadshe"&amp;"ets/d/1dQrvX0vEcN7Gu0fnZ0B5S90AeR19zth4XlExFBeExMY/edit?usp=sharing"",""แม่ฮ่องสอน!J657"")+IMPORTRANGE(""https://docs.google.com/spreadsheets/d/1DY4XTNNwjluuxqdfdn6qvOSlMRrZqUtmYcZR0ttFiG4/edit?usp=sharing"",""ลำปาง!J657"")+IMPORTRANGE(""https://docs.goog"&amp;"le.com/spreadsheets/d/1ICwG78r0OFT8biBlxnBF8r7she7gNSzOvJ958PWT09c/edit?usp=sharing"",""ลำพูน!J657"")+IMPORTRANGE(""https://docs.google.com/spreadsheets/d/1B0f2xJpZUC6Z0xXnqKlZtEPzsf6L84eP1r1Q15seqRM/edit?usp=sharing"",""สุโขทัย!J657"")+IMPORTRANGE(""http"&amp;"s://docs.google.com/spreadsheets/d/1v0b9pFQCsKUVExMei7AgY2yQkdeNQvtOssygGsXbiKo/edit?usp=sharing"",""อุตรดิตถ์!J657"")+IMPORTRANGE(""https://docs.google.com/spreadsheets/d/1UsNK1e-WWiCo2PvGqdNfdme4m17_Ezd3J69EeeiQPD0/edit?usp=sharing"",""อุทัยธานี!J657"")"),401.67)</f>
        <v>401.67</v>
      </c>
      <c r="K657" s="45"/>
      <c r="L657" s="45"/>
      <c r="M657" s="45"/>
      <c r="N657" s="409"/>
      <c r="O657" s="45"/>
      <c r="P657" s="45"/>
      <c r="Q657" s="45"/>
      <c r="R657" s="45"/>
      <c r="S657" s="45"/>
      <c r="T657" s="45"/>
      <c r="U657" s="45"/>
    </row>
    <row r="658" spans="1:21" ht="18.75" x14ac:dyDescent="0.25">
      <c r="A658" s="208"/>
      <c r="B658" s="158"/>
      <c r="C658" s="158"/>
      <c r="D658" s="40"/>
      <c r="E658" s="47" t="s">
        <v>241</v>
      </c>
      <c r="F658" s="40"/>
      <c r="G658" s="42"/>
      <c r="H658" s="137" t="s">
        <v>35</v>
      </c>
      <c r="I658" s="180"/>
      <c r="J658" s="167">
        <f ca="1">IFERROR(__xludf.DUMMYFUNCTION("IMPORTRANGE(""https://docs.google.com/spreadsheets/d/1jTcq05yEiRwXcBMLjiodW9e4biSGYWAHcDj22rKWQ3s/edit?usp=sharing"",""กำแพงเพชร!J658"")+IMPORTRANGE(""https://docs.google.com/spreadsheets/d/1KS0zmDSZPk8KnTAbGN-Xk6MtX1YRZD0ldgdt20K4CRk/edit?usp=sharing"","&amp;"""เชียงราย!J658"")+IMPORTRANGE(""https://docs.google.com/spreadsheets/d/1rEDxBtusbi64tE0zunoIbsTVV16HeL0oJ6trHQeQ7K8/edit?usp=sharing"",""เชียงใหม่!J658"")+IMPORTRANGE(""https://docs.google.com/spreadsheets/d/1W6MnUbDkMi6xHnHko_XkFDO9kkuL6Wqyc-6OCDFjW9I/e"&amp;"dit?usp=sharing"",""ตาก!J658"")+IMPORTRANGE(""https://docs.google.com/spreadsheets/d/1IQAWArduLkta9LpYo4a_ULsyqdta6-6aDDiwpUnQT6c/edit?usp=sharing"",""นครสวรรค์!J658"")+IMPORTRANGE(""https://docs.google.com/spreadsheets/d/10s13Sk5xrltsiR-Zkbmk5DwIaDIKO8Xl"&amp;"bJAfqyT7Gvg/edit?usp=sharing"",""น่าน!J658"")+IMPORTRANGE(""https://docs.google.com/spreadsheets/d/1uu4nAn4Dbi1XREnLKKotUANlKXa7yCgRcgq8HEzQYW8/edit?usp=sharing"",""พะเยา!J658"")+IMPORTRANGE(""https://docs.google.com/spreadsheets/d/1xfJKIQxVOaPDIICqsflNlL"&amp;"u3JacTDk1FP9RH4phX7mI/edit?usp=sharing"",""พิจิตร!J658"")+IMPORTRANGE(""https://docs.google.com/spreadsheets/d/1JtRfZkJMHtEhI5RdRHxYUG4FIZHqKDpNyIuN7A1Q0_k/edit?usp=sharing"",""พิษณุโลก!J658"")+IMPORTRANGE(""https://docs.google.com/spreadsheets/d/1xlcVZWU"&amp;"Nn6SuWm0c307h32SiGkd9BaeQWlAktfD3KO8/edit?usp=sharing"",""เพชรบูรณ์!J658"")+IMPORTRANGE(""https://docs.google.com/spreadsheets/d/1lOVebEIsI9qjGXl6EX66luk7wiuP2tBaryw-wKvv4e0/edit?usp=sharing"",""แพร่!J658"")+IMPORTRANGE(""https://docs.google.com/spreadshe"&amp;"ets/d/1dQrvX0vEcN7Gu0fnZ0B5S90AeR19zth4XlExFBeExMY/edit?usp=sharing"",""แม่ฮ่องสอน!J658"")+IMPORTRANGE(""https://docs.google.com/spreadsheets/d/1DY4XTNNwjluuxqdfdn6qvOSlMRrZqUtmYcZR0ttFiG4/edit?usp=sharing"",""ลำปาง!J658"")+IMPORTRANGE(""https://docs.goog"&amp;"le.com/spreadsheets/d/1ICwG78r0OFT8biBlxnBF8r7she7gNSzOvJ958PWT09c/edit?usp=sharing"",""ลำพูน!J658"")+IMPORTRANGE(""https://docs.google.com/spreadsheets/d/1B0f2xJpZUC6Z0xXnqKlZtEPzsf6L84eP1r1Q15seqRM/edit?usp=sharing"",""สุโขทัย!J658"")+IMPORTRANGE(""http"&amp;"s://docs.google.com/spreadsheets/d/1v0b9pFQCsKUVExMei7AgY2yQkdeNQvtOssygGsXbiKo/edit?usp=sharing"",""อุตรดิตถ์!J658"")+IMPORTRANGE(""https://docs.google.com/spreadsheets/d/1UsNK1e-WWiCo2PvGqdNfdme4m17_Ezd3J69EeeiQPD0/edit?usp=sharing"",""อุทัยธานี!J658"")"),4)</f>
        <v>4</v>
      </c>
      <c r="K658" s="45"/>
      <c r="L658" s="45"/>
      <c r="M658" s="45"/>
      <c r="N658" s="409"/>
      <c r="O658" s="45"/>
      <c r="P658" s="45"/>
      <c r="Q658" s="45"/>
      <c r="R658" s="45"/>
      <c r="S658" s="45"/>
      <c r="T658" s="45"/>
      <c r="U658" s="45"/>
    </row>
    <row r="659" spans="1:21" ht="18.75" x14ac:dyDescent="0.25">
      <c r="A659" s="208"/>
      <c r="B659" s="158"/>
      <c r="C659" s="158"/>
      <c r="D659" s="40"/>
      <c r="E659" s="40"/>
      <c r="F659" s="40"/>
      <c r="G659" s="42"/>
      <c r="H659" s="137" t="s">
        <v>34</v>
      </c>
      <c r="I659" s="180"/>
      <c r="J659" s="167">
        <f ca="1">IFERROR(__xludf.DUMMYFUNCTION("IMPORTRANGE(""https://docs.google.com/spreadsheets/d/1jTcq05yEiRwXcBMLjiodW9e4biSGYWAHcDj22rKWQ3s/edit?usp=sharing"",""กำแพงเพชร!J659"")+IMPORTRANGE(""https://docs.google.com/spreadsheets/d/1KS0zmDSZPk8KnTAbGN-Xk6MtX1YRZD0ldgdt20K4CRk/edit?usp=sharing"","&amp;"""เชียงราย!J659"")+IMPORTRANGE(""https://docs.google.com/spreadsheets/d/1rEDxBtusbi64tE0zunoIbsTVV16HeL0oJ6trHQeQ7K8/edit?usp=sharing"",""เชียงใหม่!J659"")+IMPORTRANGE(""https://docs.google.com/spreadsheets/d/1W6MnUbDkMi6xHnHko_XkFDO9kkuL6Wqyc-6OCDFjW9I/e"&amp;"dit?usp=sharing"",""ตาก!J659"")+IMPORTRANGE(""https://docs.google.com/spreadsheets/d/1IQAWArduLkta9LpYo4a_ULsyqdta6-6aDDiwpUnQT6c/edit?usp=sharing"",""นครสวรรค์!J659"")+IMPORTRANGE(""https://docs.google.com/spreadsheets/d/10s13Sk5xrltsiR-Zkbmk5DwIaDIKO8Xl"&amp;"bJAfqyT7Gvg/edit?usp=sharing"",""น่าน!J659"")+IMPORTRANGE(""https://docs.google.com/spreadsheets/d/1uu4nAn4Dbi1XREnLKKotUANlKXa7yCgRcgq8HEzQYW8/edit?usp=sharing"",""พะเยา!J659"")+IMPORTRANGE(""https://docs.google.com/spreadsheets/d/1xfJKIQxVOaPDIICqsflNlL"&amp;"u3JacTDk1FP9RH4phX7mI/edit?usp=sharing"",""พิจิตร!J659"")+IMPORTRANGE(""https://docs.google.com/spreadsheets/d/1JtRfZkJMHtEhI5RdRHxYUG4FIZHqKDpNyIuN7A1Q0_k/edit?usp=sharing"",""พิษณุโลก!J659"")+IMPORTRANGE(""https://docs.google.com/spreadsheets/d/1xlcVZWU"&amp;"Nn6SuWm0c307h32SiGkd9BaeQWlAktfD3KO8/edit?usp=sharing"",""เพชรบูรณ์!J659"")+IMPORTRANGE(""https://docs.google.com/spreadsheets/d/1lOVebEIsI9qjGXl6EX66luk7wiuP2tBaryw-wKvv4e0/edit?usp=sharing"",""แพร่!J659"")+IMPORTRANGE(""https://docs.google.com/spreadshe"&amp;"ets/d/1dQrvX0vEcN7Gu0fnZ0B5S90AeR19zth4XlExFBeExMY/edit?usp=sharing"",""แม่ฮ่องสอน!J659"")+IMPORTRANGE(""https://docs.google.com/spreadsheets/d/1DY4XTNNwjluuxqdfdn6qvOSlMRrZqUtmYcZR0ttFiG4/edit?usp=sharing"",""ลำปาง!J659"")+IMPORTRANGE(""https://docs.goog"&amp;"le.com/spreadsheets/d/1ICwG78r0OFT8biBlxnBF8r7she7gNSzOvJ958PWT09c/edit?usp=sharing"",""ลำพูน!J659"")+IMPORTRANGE(""https://docs.google.com/spreadsheets/d/1B0f2xJpZUC6Z0xXnqKlZtEPzsf6L84eP1r1Q15seqRM/edit?usp=sharing"",""สุโขทัย!J659"")+IMPORTRANGE(""http"&amp;"s://docs.google.com/spreadsheets/d/1v0b9pFQCsKUVExMei7AgY2yQkdeNQvtOssygGsXbiKo/edit?usp=sharing"",""อุตรดิตถ์!J659"")+IMPORTRANGE(""https://docs.google.com/spreadsheets/d/1UsNK1e-WWiCo2PvGqdNfdme4m17_Ezd3J69EeeiQPD0/edit?usp=sharing"",""อุทัยธานี!J659"")"),4)</f>
        <v>4</v>
      </c>
      <c r="K659" s="45"/>
      <c r="L659" s="45"/>
      <c r="M659" s="45"/>
      <c r="N659" s="409"/>
      <c r="O659" s="45"/>
      <c r="P659" s="45"/>
      <c r="Q659" s="45"/>
      <c r="R659" s="45"/>
      <c r="S659" s="45"/>
      <c r="T659" s="45"/>
      <c r="U659" s="45"/>
    </row>
    <row r="660" spans="1:21" ht="18.75" x14ac:dyDescent="0.25">
      <c r="A660" s="208"/>
      <c r="B660" s="158"/>
      <c r="C660" s="158"/>
      <c r="D660" s="40"/>
      <c r="E660" s="40"/>
      <c r="F660" s="40"/>
      <c r="G660" s="42"/>
      <c r="H660" s="137" t="s">
        <v>46</v>
      </c>
      <c r="I660" s="408">
        <f ca="1">IFERROR(__xludf.DUMMYFUNCTION("IMPORTRANGE(""https://docs.google.com/spreadsheets/d/1jTcq05yEiRwXcBMLjiodW9e4biSGYWAHcDj22rKWQ3s/edit?usp=sharing"",""กำแพงเพชร!I660"")+IMPORTRANGE(""https://docs.google.com/spreadsheets/d/1KS0zmDSZPk8KnTAbGN-Xk6MtX1YRZD0ldgdt20K4CRk/edit?usp=sharing"","&amp;"""เชียงราย!I660"")+IMPORTRANGE(""https://docs.google.com/spreadsheets/d/1rEDxBtusbi64tE0zunoIbsTVV16HeL0oJ6trHQeQ7K8/edit?usp=sharing"",""เชียงใหม่!I660"")+IMPORTRANGE(""https://docs.google.com/spreadsheets/d/1W6MnUbDkMi6xHnHko_XkFDO9kkuL6Wqyc-6OCDFjW9I/e"&amp;"dit?usp=sharing"",""ตาก!I660"")+IMPORTRANGE(""https://docs.google.com/spreadsheets/d/1IQAWArduLkta9LpYo4a_ULsyqdta6-6aDDiwpUnQT6c/edit?usp=sharing"",""นครสวรรค์!I660"")+IMPORTRANGE(""https://docs.google.com/spreadsheets/d/10s13Sk5xrltsiR-Zkbmk5DwIaDIKO8Xl"&amp;"bJAfqyT7Gvg/edit?usp=sharing"",""น่าน!I660"")+IMPORTRANGE(""https://docs.google.com/spreadsheets/d/1uu4nAn4Dbi1XREnLKKotUANlKXa7yCgRcgq8HEzQYW8/edit?usp=sharing"",""พะเยา!I660"")+IMPORTRANGE(""https://docs.google.com/spreadsheets/d/1xfJKIQxVOaPDIICqsflNlL"&amp;"u3JacTDk1FP9RH4phX7mI/edit?usp=sharing"",""พิจิตร!I660"")+IMPORTRANGE(""https://docs.google.com/spreadsheets/d/1JtRfZkJMHtEhI5RdRHxYUG4FIZHqKDpNyIuN7A1Q0_k/edit?usp=sharing"",""พิษณุโลก!I660"")+IMPORTRANGE(""https://docs.google.com/spreadsheets/d/1xlcVZWU"&amp;"Nn6SuWm0c307h32SiGkd9BaeQWlAktfD3KO8/edit?usp=sharing"",""เพชรบูรณ์!I660"")+IMPORTRANGE(""https://docs.google.com/spreadsheets/d/1lOVebEIsI9qjGXl6EX66luk7wiuP2tBaryw-wKvv4e0/edit?usp=sharing"",""แพร่!I660"")+IMPORTRANGE(""https://docs.google.com/spreadshe"&amp;"ets/d/1dQrvX0vEcN7Gu0fnZ0B5S90AeR19zth4XlExFBeExMY/edit?usp=sharing"",""แม่ฮ่องสอน!I660"")+IMPORTRANGE(""https://docs.google.com/spreadsheets/d/1DY4XTNNwjluuxqdfdn6qvOSlMRrZqUtmYcZR0ttFiG4/edit?usp=sharing"",""ลำปาง!I660"")+IMPORTRANGE(""https://docs.goog"&amp;"le.com/spreadsheets/d/1ICwG78r0OFT8biBlxnBF8r7she7gNSzOvJ958PWT09c/edit?usp=sharing"",""ลำพูน!I660"")+IMPORTRANGE(""https://docs.google.com/spreadsheets/d/1B0f2xJpZUC6Z0xXnqKlZtEPzsf6L84eP1r1Q15seqRM/edit?usp=sharing"",""สุโขทัย!I660"")+IMPORTRANGE(""http"&amp;"s://docs.google.com/spreadsheets/d/1v0b9pFQCsKUVExMei7AgY2yQkdeNQvtOssygGsXbiKo/edit?usp=sharing"",""อุตรดิตถ์!I660"")+IMPORTRANGE(""https://docs.google.com/spreadsheets/d/1UsNK1e-WWiCo2PvGqdNfdme4m17_Ezd3J69EeeiQPD0/edit?usp=sharing"",""อุทัยธานี!I660"")"),539)</f>
        <v>539</v>
      </c>
      <c r="J660" s="411">
        <f ca="1">IFERROR(__xludf.DUMMYFUNCTION("IMPORTRANGE(""https://docs.google.com/spreadsheets/d/1jTcq05yEiRwXcBMLjiodW9e4biSGYWAHcDj22rKWQ3s/edit?usp=sharing"",""กำแพงเพชร!J660"")+IMPORTRANGE(""https://docs.google.com/spreadsheets/d/1KS0zmDSZPk8KnTAbGN-Xk6MtX1YRZD0ldgdt20K4CRk/edit?usp=sharing"","&amp;"""เชียงราย!J660"")+IMPORTRANGE(""https://docs.google.com/spreadsheets/d/1rEDxBtusbi64tE0zunoIbsTVV16HeL0oJ6trHQeQ7K8/edit?usp=sharing"",""เชียงใหม่!J660"")+IMPORTRANGE(""https://docs.google.com/spreadsheets/d/1W6MnUbDkMi6xHnHko_XkFDO9kkuL6Wqyc-6OCDFjW9I/e"&amp;"dit?usp=sharing"",""ตาก!J660"")+IMPORTRANGE(""https://docs.google.com/spreadsheets/d/1IQAWArduLkta9LpYo4a_ULsyqdta6-6aDDiwpUnQT6c/edit?usp=sharing"",""นครสวรรค์!J660"")+IMPORTRANGE(""https://docs.google.com/spreadsheets/d/10s13Sk5xrltsiR-Zkbmk5DwIaDIKO8Xl"&amp;"bJAfqyT7Gvg/edit?usp=sharing"",""น่าน!J660"")+IMPORTRANGE(""https://docs.google.com/spreadsheets/d/1uu4nAn4Dbi1XREnLKKotUANlKXa7yCgRcgq8HEzQYW8/edit?usp=sharing"",""พะเยา!J660"")+IMPORTRANGE(""https://docs.google.com/spreadsheets/d/1xfJKIQxVOaPDIICqsflNlL"&amp;"u3JacTDk1FP9RH4phX7mI/edit?usp=sharing"",""พิจิตร!J660"")+IMPORTRANGE(""https://docs.google.com/spreadsheets/d/1JtRfZkJMHtEhI5RdRHxYUG4FIZHqKDpNyIuN7A1Q0_k/edit?usp=sharing"",""พิษณุโลก!J660"")+IMPORTRANGE(""https://docs.google.com/spreadsheets/d/1xlcVZWU"&amp;"Nn6SuWm0c307h32SiGkd9BaeQWlAktfD3KO8/edit?usp=sharing"",""เพชรบูรณ์!J660"")+IMPORTRANGE(""https://docs.google.com/spreadsheets/d/1lOVebEIsI9qjGXl6EX66luk7wiuP2tBaryw-wKvv4e0/edit?usp=sharing"",""แพร่!J660"")+IMPORTRANGE(""https://docs.google.com/spreadshe"&amp;"ets/d/1dQrvX0vEcN7Gu0fnZ0B5S90AeR19zth4XlExFBeExMY/edit?usp=sharing"",""แม่ฮ่องสอน!J660"")+IMPORTRANGE(""https://docs.google.com/spreadsheets/d/1DY4XTNNwjluuxqdfdn6qvOSlMRrZqUtmYcZR0ttFiG4/edit?usp=sharing"",""ลำปาง!J660"")+IMPORTRANGE(""https://docs.goog"&amp;"le.com/spreadsheets/d/1ICwG78r0OFT8biBlxnBF8r7she7gNSzOvJ958PWT09c/edit?usp=sharing"",""ลำพูน!J660"")+IMPORTRANGE(""https://docs.google.com/spreadsheets/d/1B0f2xJpZUC6Z0xXnqKlZtEPzsf6L84eP1r1Q15seqRM/edit?usp=sharing"",""สุโขทัย!J660"")+IMPORTRANGE(""http"&amp;"s://docs.google.com/spreadsheets/d/1v0b9pFQCsKUVExMei7AgY2yQkdeNQvtOssygGsXbiKo/edit?usp=sharing"",""อุตรดิตถ์!J660"")+IMPORTRANGE(""https://docs.google.com/spreadsheets/d/1UsNK1e-WWiCo2PvGqdNfdme4m17_Ezd3J69EeeiQPD0/edit?usp=sharing"",""อุทัยธานี!J660"")"),76.77)</f>
        <v>76.77</v>
      </c>
      <c r="K660" s="45"/>
      <c r="L660" s="45"/>
      <c r="M660" s="45"/>
      <c r="N660" s="409"/>
      <c r="O660" s="45"/>
      <c r="P660" s="45"/>
      <c r="Q660" s="45"/>
      <c r="R660" s="45"/>
      <c r="S660" s="45"/>
      <c r="T660" s="45"/>
      <c r="U660" s="45"/>
    </row>
    <row r="661" spans="1:21" ht="19.5" x14ac:dyDescent="0.3">
      <c r="A661" s="208"/>
      <c r="B661" s="158"/>
      <c r="C661" s="158"/>
      <c r="D661" s="332" t="s">
        <v>242</v>
      </c>
      <c r="E661" s="40"/>
      <c r="F661" s="40"/>
      <c r="G661" s="42"/>
      <c r="H661" s="404" t="s">
        <v>46</v>
      </c>
      <c r="I661" s="410">
        <f ca="1">IFERROR(__xludf.DUMMYFUNCTION("IMPORTRANGE(""https://docs.google.com/spreadsheets/d/1jTcq05yEiRwXcBMLjiodW9e4biSGYWAHcDj22rKWQ3s/edit?usp=sharing"",""กำแพงเพชร!I661"")+IMPORTRANGE(""https://docs.google.com/spreadsheets/d/1KS0zmDSZPk8KnTAbGN-Xk6MtX1YRZD0ldgdt20K4CRk/edit?usp=sharing"","&amp;"""เชียงราย!I661"")+IMPORTRANGE(""https://docs.google.com/spreadsheets/d/1rEDxBtusbi64tE0zunoIbsTVV16HeL0oJ6trHQeQ7K8/edit?usp=sharing"",""เชียงใหม่!I661"")+IMPORTRANGE(""https://docs.google.com/spreadsheets/d/1W6MnUbDkMi6xHnHko_XkFDO9kkuL6Wqyc-6OCDFjW9I/e"&amp;"dit?usp=sharing"",""ตาก!I661"")+IMPORTRANGE(""https://docs.google.com/spreadsheets/d/1IQAWArduLkta9LpYo4a_ULsyqdta6-6aDDiwpUnQT6c/edit?usp=sharing"",""นครสวรรค์!I661"")+IMPORTRANGE(""https://docs.google.com/spreadsheets/d/10s13Sk5xrltsiR-Zkbmk5DwIaDIKO8Xl"&amp;"bJAfqyT7Gvg/edit?usp=sharing"",""น่าน!I661"")+IMPORTRANGE(""https://docs.google.com/spreadsheets/d/1uu4nAn4Dbi1XREnLKKotUANlKXa7yCgRcgq8HEzQYW8/edit?usp=sharing"",""พะเยา!I661"")+IMPORTRANGE(""https://docs.google.com/spreadsheets/d/1xfJKIQxVOaPDIICqsflNlL"&amp;"u3JacTDk1FP9RH4phX7mI/edit?usp=sharing"",""พิจิตร!I661"")+IMPORTRANGE(""https://docs.google.com/spreadsheets/d/1JtRfZkJMHtEhI5RdRHxYUG4FIZHqKDpNyIuN7A1Q0_k/edit?usp=sharing"",""พิษณุโลก!I661"")+IMPORTRANGE(""https://docs.google.com/spreadsheets/d/1xlcVZWU"&amp;"Nn6SuWm0c307h32SiGkd9BaeQWlAktfD3KO8/edit?usp=sharing"",""เพชรบูรณ์!I661"")+IMPORTRANGE(""https://docs.google.com/spreadsheets/d/1lOVebEIsI9qjGXl6EX66luk7wiuP2tBaryw-wKvv4e0/edit?usp=sharing"",""แพร่!I661"")+IMPORTRANGE(""https://docs.google.com/spreadshe"&amp;"ets/d/1dQrvX0vEcN7Gu0fnZ0B5S90AeR19zth4XlExFBeExMY/edit?usp=sharing"",""แม่ฮ่องสอน!I661"")+IMPORTRANGE(""https://docs.google.com/spreadsheets/d/1DY4XTNNwjluuxqdfdn6qvOSlMRrZqUtmYcZR0ttFiG4/edit?usp=sharing"",""ลำปาง!I661"")+IMPORTRANGE(""https://docs.goog"&amp;"le.com/spreadsheets/d/1ICwG78r0OFT8biBlxnBF8r7she7gNSzOvJ958PWT09c/edit?usp=sharing"",""ลำพูน!I661"")+IMPORTRANGE(""https://docs.google.com/spreadsheets/d/1B0f2xJpZUC6Z0xXnqKlZtEPzsf6L84eP1r1Q15seqRM/edit?usp=sharing"",""สุโขทัย!I661"")+IMPORTRANGE(""http"&amp;"s://docs.google.com/spreadsheets/d/1v0b9pFQCsKUVExMei7AgY2yQkdeNQvtOssygGsXbiKo/edit?usp=sharing"",""อุตรดิตถ์!I661"")+IMPORTRANGE(""https://docs.google.com/spreadsheets/d/1UsNK1e-WWiCo2PvGqdNfdme4m17_Ezd3J69EeeiQPD0/edit?usp=sharing"",""อุทัยธานี!I661"")"),2490)</f>
        <v>2490</v>
      </c>
      <c r="J661" s="147">
        <f ca="1">J667+J670</f>
        <v>586</v>
      </c>
      <c r="K661" s="132">
        <f ca="1">IF(I661&gt;0,J661*100/I661,0)</f>
        <v>23.53413654618474</v>
      </c>
      <c r="L661" s="45"/>
      <c r="M661" s="45"/>
      <c r="N661" s="409"/>
      <c r="O661" s="45"/>
      <c r="P661" s="45"/>
      <c r="Q661" s="45"/>
      <c r="R661" s="45"/>
      <c r="S661" s="45"/>
      <c r="T661" s="45"/>
      <c r="U661" s="45"/>
    </row>
    <row r="662" spans="1:21" ht="18.75" x14ac:dyDescent="0.25">
      <c r="A662" s="208"/>
      <c r="B662" s="158"/>
      <c r="C662" s="158"/>
      <c r="D662" s="40"/>
      <c r="E662" s="47" t="s">
        <v>243</v>
      </c>
      <c r="F662" s="40"/>
      <c r="G662" s="42"/>
      <c r="H662" s="137" t="s">
        <v>34</v>
      </c>
      <c r="I662" s="180"/>
      <c r="J662" s="167">
        <f ca="1">IFERROR(__xludf.DUMMYFUNCTION("IMPORTRANGE(""https://docs.google.com/spreadsheets/d/1jTcq05yEiRwXcBMLjiodW9e4biSGYWAHcDj22rKWQ3s/edit?usp=sharing"",""กำแพงเพชร!J662"")+IMPORTRANGE(""https://docs.google.com/spreadsheets/d/1KS0zmDSZPk8KnTAbGN-Xk6MtX1YRZD0ldgdt20K4CRk/edit?usp=sharing"","&amp;"""เชียงราย!J662"")+IMPORTRANGE(""https://docs.google.com/spreadsheets/d/1rEDxBtusbi64tE0zunoIbsTVV16HeL0oJ6trHQeQ7K8/edit?usp=sharing"",""เชียงใหม่!J662"")+IMPORTRANGE(""https://docs.google.com/spreadsheets/d/1W6MnUbDkMi6xHnHko_XkFDO9kkuL6Wqyc-6OCDFjW9I/e"&amp;"dit?usp=sharing"",""ตาก!J662"")+IMPORTRANGE(""https://docs.google.com/spreadsheets/d/1IQAWArduLkta9LpYo4a_ULsyqdta6-6aDDiwpUnQT6c/edit?usp=sharing"",""นครสวรรค์!J662"")+IMPORTRANGE(""https://docs.google.com/spreadsheets/d/10s13Sk5xrltsiR-Zkbmk5DwIaDIKO8Xl"&amp;"bJAfqyT7Gvg/edit?usp=sharing"",""น่าน!J662"")+IMPORTRANGE(""https://docs.google.com/spreadsheets/d/1uu4nAn4Dbi1XREnLKKotUANlKXa7yCgRcgq8HEzQYW8/edit?usp=sharing"",""พะเยา!J662"")+IMPORTRANGE(""https://docs.google.com/spreadsheets/d/1xfJKIQxVOaPDIICqsflNlL"&amp;"u3JacTDk1FP9RH4phX7mI/edit?usp=sharing"",""พิจิตร!J662"")+IMPORTRANGE(""https://docs.google.com/spreadsheets/d/1JtRfZkJMHtEhI5RdRHxYUG4FIZHqKDpNyIuN7A1Q0_k/edit?usp=sharing"",""พิษณุโลก!J662"")+IMPORTRANGE(""https://docs.google.com/spreadsheets/d/1xlcVZWU"&amp;"Nn6SuWm0c307h32SiGkd9BaeQWlAktfD3KO8/edit?usp=sharing"",""เพชรบูรณ์!J662"")+IMPORTRANGE(""https://docs.google.com/spreadsheets/d/1lOVebEIsI9qjGXl6EX66luk7wiuP2tBaryw-wKvv4e0/edit?usp=sharing"",""แพร่!J662"")+IMPORTRANGE(""https://docs.google.com/spreadshe"&amp;"ets/d/1dQrvX0vEcN7Gu0fnZ0B5S90AeR19zth4XlExFBeExMY/edit?usp=sharing"",""แม่ฮ่องสอน!J662"")+IMPORTRANGE(""https://docs.google.com/spreadsheets/d/1DY4XTNNwjluuxqdfdn6qvOSlMRrZqUtmYcZR0ttFiG4/edit?usp=sharing"",""ลำปาง!J662"")+IMPORTRANGE(""https://docs.goog"&amp;"le.com/spreadsheets/d/1ICwG78r0OFT8biBlxnBF8r7she7gNSzOvJ958PWT09c/edit?usp=sharing"",""ลำพูน!J662"")+IMPORTRANGE(""https://docs.google.com/spreadsheets/d/1B0f2xJpZUC6Z0xXnqKlZtEPzsf6L84eP1r1Q15seqRM/edit?usp=sharing"",""สุโขทัย!J662"")+IMPORTRANGE(""http"&amp;"s://docs.google.com/spreadsheets/d/1v0b9pFQCsKUVExMei7AgY2yQkdeNQvtOssygGsXbiKo/edit?usp=sharing"",""อุตรดิตถ์!J662"")+IMPORTRANGE(""https://docs.google.com/spreadsheets/d/1UsNK1e-WWiCo2PvGqdNfdme4m17_Ezd3J69EeeiQPD0/edit?usp=sharing"",""อุทัยธานี!J662"")"),3)</f>
        <v>3</v>
      </c>
      <c r="K662" s="45"/>
      <c r="L662" s="409"/>
      <c r="M662" s="409"/>
      <c r="N662" s="409"/>
      <c r="O662" s="45"/>
      <c r="P662" s="45"/>
      <c r="Q662" s="409"/>
      <c r="R662" s="409"/>
      <c r="S662" s="409"/>
      <c r="T662" s="45"/>
      <c r="U662" s="45"/>
    </row>
    <row r="663" spans="1:21" ht="18.75" x14ac:dyDescent="0.25">
      <c r="A663" s="208"/>
      <c r="B663" s="158"/>
      <c r="C663" s="158"/>
      <c r="D663" s="40"/>
      <c r="E663" s="40"/>
      <c r="F663" s="40"/>
      <c r="G663" s="42"/>
      <c r="H663" s="137" t="s">
        <v>46</v>
      </c>
      <c r="I663" s="180"/>
      <c r="J663" s="167">
        <f ca="1">IFERROR(__xludf.DUMMYFUNCTION("IMPORTRANGE(""https://docs.google.com/spreadsheets/d/1jTcq05yEiRwXcBMLjiodW9e4biSGYWAHcDj22rKWQ3s/edit?usp=sharing"",""กำแพงเพชร!J663"")+IMPORTRANGE(""https://docs.google.com/spreadsheets/d/1KS0zmDSZPk8KnTAbGN-Xk6MtX1YRZD0ldgdt20K4CRk/edit?usp=sharing"","&amp;"""เชียงราย!J663"")+IMPORTRANGE(""https://docs.google.com/spreadsheets/d/1rEDxBtusbi64tE0zunoIbsTVV16HeL0oJ6trHQeQ7K8/edit?usp=sharing"",""เชียงใหม่!J663"")+IMPORTRANGE(""https://docs.google.com/spreadsheets/d/1W6MnUbDkMi6xHnHko_XkFDO9kkuL6Wqyc-6OCDFjW9I/e"&amp;"dit?usp=sharing"",""ตาก!J663"")+IMPORTRANGE(""https://docs.google.com/spreadsheets/d/1IQAWArduLkta9LpYo4a_ULsyqdta6-6aDDiwpUnQT6c/edit?usp=sharing"",""นครสวรรค์!J663"")+IMPORTRANGE(""https://docs.google.com/spreadsheets/d/10s13Sk5xrltsiR-Zkbmk5DwIaDIKO8Xl"&amp;"bJAfqyT7Gvg/edit?usp=sharing"",""น่าน!J663"")+IMPORTRANGE(""https://docs.google.com/spreadsheets/d/1uu4nAn4Dbi1XREnLKKotUANlKXa7yCgRcgq8HEzQYW8/edit?usp=sharing"",""พะเยา!J663"")+IMPORTRANGE(""https://docs.google.com/spreadsheets/d/1xfJKIQxVOaPDIICqsflNlL"&amp;"u3JacTDk1FP9RH4phX7mI/edit?usp=sharing"",""พิจิตร!J663"")+IMPORTRANGE(""https://docs.google.com/spreadsheets/d/1JtRfZkJMHtEhI5RdRHxYUG4FIZHqKDpNyIuN7A1Q0_k/edit?usp=sharing"",""พิษณุโลก!J663"")+IMPORTRANGE(""https://docs.google.com/spreadsheets/d/1xlcVZWU"&amp;"Nn6SuWm0c307h32SiGkd9BaeQWlAktfD3KO8/edit?usp=sharing"",""เพชรบูรณ์!J663"")+IMPORTRANGE(""https://docs.google.com/spreadsheets/d/1lOVebEIsI9qjGXl6EX66luk7wiuP2tBaryw-wKvv4e0/edit?usp=sharing"",""แพร่!J663"")+IMPORTRANGE(""https://docs.google.com/spreadshe"&amp;"ets/d/1dQrvX0vEcN7Gu0fnZ0B5S90AeR19zth4XlExFBeExMY/edit?usp=sharing"",""แม่ฮ่องสอน!J663"")+IMPORTRANGE(""https://docs.google.com/spreadsheets/d/1DY4XTNNwjluuxqdfdn6qvOSlMRrZqUtmYcZR0ttFiG4/edit?usp=sharing"",""ลำปาง!J663"")+IMPORTRANGE(""https://docs.goog"&amp;"le.com/spreadsheets/d/1ICwG78r0OFT8biBlxnBF8r7she7gNSzOvJ958PWT09c/edit?usp=sharing"",""ลำพูน!J663"")+IMPORTRANGE(""https://docs.google.com/spreadsheets/d/1B0f2xJpZUC6Z0xXnqKlZtEPzsf6L84eP1r1Q15seqRM/edit?usp=sharing"",""สุโขทัย!J663"")+IMPORTRANGE(""http"&amp;"s://docs.google.com/spreadsheets/d/1v0b9pFQCsKUVExMei7AgY2yQkdeNQvtOssygGsXbiKo/edit?usp=sharing"",""อุตรดิตถ์!J663"")+IMPORTRANGE(""https://docs.google.com/spreadsheets/d/1UsNK1e-WWiCo2PvGqdNfdme4m17_Ezd3J69EeeiQPD0/edit?usp=sharing"",""อุทัยธานี!J663"")"),64)</f>
        <v>64</v>
      </c>
      <c r="K663" s="45"/>
      <c r="L663" s="409"/>
      <c r="M663" s="409"/>
      <c r="N663" s="409"/>
      <c r="O663" s="45"/>
      <c r="P663" s="45"/>
      <c r="Q663" s="409"/>
      <c r="R663" s="409"/>
      <c r="S663" s="409"/>
      <c r="T663" s="45"/>
      <c r="U663" s="45"/>
    </row>
    <row r="664" spans="1:21" ht="18.75" x14ac:dyDescent="0.25">
      <c r="A664" s="208"/>
      <c r="B664" s="158"/>
      <c r="C664" s="158"/>
      <c r="D664" s="40"/>
      <c r="E664" s="47" t="s">
        <v>244</v>
      </c>
      <c r="F664" s="40"/>
      <c r="G664" s="42"/>
      <c r="H664" s="178"/>
      <c r="I664" s="180"/>
      <c r="J664" s="44"/>
      <c r="K664" s="45"/>
      <c r="L664" s="409"/>
      <c r="M664" s="409"/>
      <c r="N664" s="409"/>
      <c r="O664" s="45"/>
      <c r="P664" s="45"/>
      <c r="Q664" s="409"/>
      <c r="R664" s="409"/>
      <c r="S664" s="409"/>
      <c r="T664" s="45"/>
      <c r="U664" s="45"/>
    </row>
    <row r="665" spans="1:21" ht="18.75" x14ac:dyDescent="0.25">
      <c r="A665" s="208"/>
      <c r="B665" s="158"/>
      <c r="C665" s="158"/>
      <c r="D665" s="40"/>
      <c r="E665" s="40"/>
      <c r="F665" s="47" t="s">
        <v>245</v>
      </c>
      <c r="G665" s="42"/>
      <c r="H665" s="137" t="s">
        <v>35</v>
      </c>
      <c r="I665" s="180"/>
      <c r="J665" s="167">
        <f ca="1">IFERROR(__xludf.DUMMYFUNCTION("IMPORTRANGE(""https://docs.google.com/spreadsheets/d/1jTcq05yEiRwXcBMLjiodW9e4biSGYWAHcDj22rKWQ3s/edit?usp=sharing"",""กำแพงเพชร!J665"")+IMPORTRANGE(""https://docs.google.com/spreadsheets/d/1KS0zmDSZPk8KnTAbGN-Xk6MtX1YRZD0ldgdt20K4CRk/edit?usp=sharing"","&amp;"""เชียงราย!J665"")+IMPORTRANGE(""https://docs.google.com/spreadsheets/d/1rEDxBtusbi64tE0zunoIbsTVV16HeL0oJ6trHQeQ7K8/edit?usp=sharing"",""เชียงใหม่!J665"")+IMPORTRANGE(""https://docs.google.com/spreadsheets/d/1W6MnUbDkMi6xHnHko_XkFDO9kkuL6Wqyc-6OCDFjW9I/e"&amp;"dit?usp=sharing"",""ตาก!J665"")+IMPORTRANGE(""https://docs.google.com/spreadsheets/d/1IQAWArduLkta9LpYo4a_ULsyqdta6-6aDDiwpUnQT6c/edit?usp=sharing"",""นครสวรรค์!J665"")+IMPORTRANGE(""https://docs.google.com/spreadsheets/d/10s13Sk5xrltsiR-Zkbmk5DwIaDIKO8Xl"&amp;"bJAfqyT7Gvg/edit?usp=sharing"",""น่าน!J665"")+IMPORTRANGE(""https://docs.google.com/spreadsheets/d/1uu4nAn4Dbi1XREnLKKotUANlKXa7yCgRcgq8HEzQYW8/edit?usp=sharing"",""พะเยา!J665"")+IMPORTRANGE(""https://docs.google.com/spreadsheets/d/1xfJKIQxVOaPDIICqsflNlL"&amp;"u3JacTDk1FP9RH4phX7mI/edit?usp=sharing"",""พิจิตร!J665"")+IMPORTRANGE(""https://docs.google.com/spreadsheets/d/1JtRfZkJMHtEhI5RdRHxYUG4FIZHqKDpNyIuN7A1Q0_k/edit?usp=sharing"",""พิษณุโลก!J665"")+IMPORTRANGE(""https://docs.google.com/spreadsheets/d/1xlcVZWU"&amp;"Nn6SuWm0c307h32SiGkd9BaeQWlAktfD3KO8/edit?usp=sharing"",""เพชรบูรณ์!J665"")+IMPORTRANGE(""https://docs.google.com/spreadsheets/d/1lOVebEIsI9qjGXl6EX66luk7wiuP2tBaryw-wKvv4e0/edit?usp=sharing"",""แพร่!J665"")+IMPORTRANGE(""https://docs.google.com/spreadshe"&amp;"ets/d/1dQrvX0vEcN7Gu0fnZ0B5S90AeR19zth4XlExFBeExMY/edit?usp=sharing"",""แม่ฮ่องสอน!J665"")+IMPORTRANGE(""https://docs.google.com/spreadsheets/d/1DY4XTNNwjluuxqdfdn6qvOSlMRrZqUtmYcZR0ttFiG4/edit?usp=sharing"",""ลำปาง!J665"")+IMPORTRANGE(""https://docs.goog"&amp;"le.com/spreadsheets/d/1ICwG78r0OFT8biBlxnBF8r7she7gNSzOvJ958PWT09c/edit?usp=sharing"",""ลำพูน!J665"")+IMPORTRANGE(""https://docs.google.com/spreadsheets/d/1B0f2xJpZUC6Z0xXnqKlZtEPzsf6L84eP1r1Q15seqRM/edit?usp=sharing"",""สุโขทัย!J665"")+IMPORTRANGE(""http"&amp;"s://docs.google.com/spreadsheets/d/1v0b9pFQCsKUVExMei7AgY2yQkdeNQvtOssygGsXbiKo/edit?usp=sharing"",""อุตรดิตถ์!J665"")+IMPORTRANGE(""https://docs.google.com/spreadsheets/d/1UsNK1e-WWiCo2PvGqdNfdme4m17_Ezd3J69EeeiQPD0/edit?usp=sharing"",""อุทัยธานี!J665"")"),65)</f>
        <v>65</v>
      </c>
      <c r="K665" s="45"/>
      <c r="L665" s="409"/>
      <c r="M665" s="409"/>
      <c r="N665" s="409"/>
      <c r="O665" s="45"/>
      <c r="P665" s="45"/>
      <c r="Q665" s="409"/>
      <c r="R665" s="409"/>
      <c r="S665" s="409"/>
      <c r="T665" s="45"/>
      <c r="U665" s="45"/>
    </row>
    <row r="666" spans="1:21" ht="18.75" x14ac:dyDescent="0.25">
      <c r="A666" s="208"/>
      <c r="B666" s="158"/>
      <c r="C666" s="158"/>
      <c r="D666" s="40"/>
      <c r="E666" s="40"/>
      <c r="F666" s="40"/>
      <c r="G666" s="42"/>
      <c r="H666" s="137" t="s">
        <v>34</v>
      </c>
      <c r="I666" s="180"/>
      <c r="J666" s="167">
        <f ca="1">IFERROR(__xludf.DUMMYFUNCTION("IMPORTRANGE(""https://docs.google.com/spreadsheets/d/1jTcq05yEiRwXcBMLjiodW9e4biSGYWAHcDj22rKWQ3s/edit?usp=sharing"",""กำแพงเพชร!J666"")+IMPORTRANGE(""https://docs.google.com/spreadsheets/d/1KS0zmDSZPk8KnTAbGN-Xk6MtX1YRZD0ldgdt20K4CRk/edit?usp=sharing"","&amp;"""เชียงราย!J666"")+IMPORTRANGE(""https://docs.google.com/spreadsheets/d/1rEDxBtusbi64tE0zunoIbsTVV16HeL0oJ6trHQeQ7K8/edit?usp=sharing"",""เชียงใหม่!J666"")+IMPORTRANGE(""https://docs.google.com/spreadsheets/d/1W6MnUbDkMi6xHnHko_XkFDO9kkuL6Wqyc-6OCDFjW9I/e"&amp;"dit?usp=sharing"",""ตาก!J666"")+IMPORTRANGE(""https://docs.google.com/spreadsheets/d/1IQAWArduLkta9LpYo4a_ULsyqdta6-6aDDiwpUnQT6c/edit?usp=sharing"",""นครสวรรค์!J666"")+IMPORTRANGE(""https://docs.google.com/spreadsheets/d/10s13Sk5xrltsiR-Zkbmk5DwIaDIKO8Xl"&amp;"bJAfqyT7Gvg/edit?usp=sharing"",""น่าน!J666"")+IMPORTRANGE(""https://docs.google.com/spreadsheets/d/1uu4nAn4Dbi1XREnLKKotUANlKXa7yCgRcgq8HEzQYW8/edit?usp=sharing"",""พะเยา!J666"")+IMPORTRANGE(""https://docs.google.com/spreadsheets/d/1xfJKIQxVOaPDIICqsflNlL"&amp;"u3JacTDk1FP9RH4phX7mI/edit?usp=sharing"",""พิจิตร!J666"")+IMPORTRANGE(""https://docs.google.com/spreadsheets/d/1JtRfZkJMHtEhI5RdRHxYUG4FIZHqKDpNyIuN7A1Q0_k/edit?usp=sharing"",""พิษณุโลก!J666"")+IMPORTRANGE(""https://docs.google.com/spreadsheets/d/1xlcVZWU"&amp;"Nn6SuWm0c307h32SiGkd9BaeQWlAktfD3KO8/edit?usp=sharing"",""เพชรบูรณ์!J666"")+IMPORTRANGE(""https://docs.google.com/spreadsheets/d/1lOVebEIsI9qjGXl6EX66luk7wiuP2tBaryw-wKvv4e0/edit?usp=sharing"",""แพร่!J666"")+IMPORTRANGE(""https://docs.google.com/spreadshe"&amp;"ets/d/1dQrvX0vEcN7Gu0fnZ0B5S90AeR19zth4XlExFBeExMY/edit?usp=sharing"",""แม่ฮ่องสอน!J666"")+IMPORTRANGE(""https://docs.google.com/spreadsheets/d/1DY4XTNNwjluuxqdfdn6qvOSlMRrZqUtmYcZR0ttFiG4/edit?usp=sharing"",""ลำปาง!J666"")+IMPORTRANGE(""https://docs.goog"&amp;"le.com/spreadsheets/d/1ICwG78r0OFT8biBlxnBF8r7she7gNSzOvJ958PWT09c/edit?usp=sharing"",""ลำพูน!J666"")+IMPORTRANGE(""https://docs.google.com/spreadsheets/d/1B0f2xJpZUC6Z0xXnqKlZtEPzsf6L84eP1r1Q15seqRM/edit?usp=sharing"",""สุโขทัย!J666"")+IMPORTRANGE(""http"&amp;"s://docs.google.com/spreadsheets/d/1v0b9pFQCsKUVExMei7AgY2yQkdeNQvtOssygGsXbiKo/edit?usp=sharing"",""อุตรดิตถ์!J666"")+IMPORTRANGE(""https://docs.google.com/spreadsheets/d/1UsNK1e-WWiCo2PvGqdNfdme4m17_Ezd3J69EeeiQPD0/edit?usp=sharing"",""อุทัยธานี!J666"")"),66)</f>
        <v>66</v>
      </c>
      <c r="K666" s="45"/>
      <c r="L666" s="409"/>
      <c r="M666" s="409"/>
      <c r="N666" s="409"/>
      <c r="O666" s="45"/>
      <c r="P666" s="45"/>
      <c r="Q666" s="409"/>
      <c r="R666" s="409"/>
      <c r="S666" s="409"/>
      <c r="T666" s="45"/>
      <c r="U666" s="45"/>
    </row>
    <row r="667" spans="1:21" ht="18.75" x14ac:dyDescent="0.25">
      <c r="A667" s="208"/>
      <c r="B667" s="158"/>
      <c r="C667" s="158"/>
      <c r="D667" s="40"/>
      <c r="E667" s="40"/>
      <c r="F667" s="40"/>
      <c r="G667" s="42"/>
      <c r="H667" s="137" t="s">
        <v>46</v>
      </c>
      <c r="I667" s="180"/>
      <c r="J667" s="167">
        <f ca="1">IFERROR(__xludf.DUMMYFUNCTION("IMPORTRANGE(""https://docs.google.com/spreadsheets/d/1jTcq05yEiRwXcBMLjiodW9e4biSGYWAHcDj22rKWQ3s/edit?usp=sharing"",""กำแพงเพชร!J667"")+IMPORTRANGE(""https://docs.google.com/spreadsheets/d/1KS0zmDSZPk8KnTAbGN-Xk6MtX1YRZD0ldgdt20K4CRk/edit?usp=sharing"","&amp;"""เชียงราย!J667"")+IMPORTRANGE(""https://docs.google.com/spreadsheets/d/1rEDxBtusbi64tE0zunoIbsTVV16HeL0oJ6trHQeQ7K8/edit?usp=sharing"",""เชียงใหม่!J667"")+IMPORTRANGE(""https://docs.google.com/spreadsheets/d/1W6MnUbDkMi6xHnHko_XkFDO9kkuL6Wqyc-6OCDFjW9I/e"&amp;"dit?usp=sharing"",""ตาก!J667"")+IMPORTRANGE(""https://docs.google.com/spreadsheets/d/1IQAWArduLkta9LpYo4a_ULsyqdta6-6aDDiwpUnQT6c/edit?usp=sharing"",""นครสวรรค์!J667"")+IMPORTRANGE(""https://docs.google.com/spreadsheets/d/10s13Sk5xrltsiR-Zkbmk5DwIaDIKO8Xl"&amp;"bJAfqyT7Gvg/edit?usp=sharing"",""น่าน!J667"")+IMPORTRANGE(""https://docs.google.com/spreadsheets/d/1uu4nAn4Dbi1XREnLKKotUANlKXa7yCgRcgq8HEzQYW8/edit?usp=sharing"",""พะเยา!J667"")+IMPORTRANGE(""https://docs.google.com/spreadsheets/d/1xfJKIQxVOaPDIICqsflNlL"&amp;"u3JacTDk1FP9RH4phX7mI/edit?usp=sharing"",""พิจิตร!J667"")+IMPORTRANGE(""https://docs.google.com/spreadsheets/d/1JtRfZkJMHtEhI5RdRHxYUG4FIZHqKDpNyIuN7A1Q0_k/edit?usp=sharing"",""พิษณุโลก!J667"")+IMPORTRANGE(""https://docs.google.com/spreadsheets/d/1xlcVZWU"&amp;"Nn6SuWm0c307h32SiGkd9BaeQWlAktfD3KO8/edit?usp=sharing"",""เพชรบูรณ์!J667"")+IMPORTRANGE(""https://docs.google.com/spreadsheets/d/1lOVebEIsI9qjGXl6EX66luk7wiuP2tBaryw-wKvv4e0/edit?usp=sharing"",""แพร่!J667"")+IMPORTRANGE(""https://docs.google.com/spreadshe"&amp;"ets/d/1dQrvX0vEcN7Gu0fnZ0B5S90AeR19zth4XlExFBeExMY/edit?usp=sharing"",""แม่ฮ่องสอน!J667"")+IMPORTRANGE(""https://docs.google.com/spreadsheets/d/1DY4XTNNwjluuxqdfdn6qvOSlMRrZqUtmYcZR0ttFiG4/edit?usp=sharing"",""ลำปาง!J667"")+IMPORTRANGE(""https://docs.goog"&amp;"le.com/spreadsheets/d/1ICwG78r0OFT8biBlxnBF8r7she7gNSzOvJ958PWT09c/edit?usp=sharing"",""ลำพูน!J667"")+IMPORTRANGE(""https://docs.google.com/spreadsheets/d/1B0f2xJpZUC6Z0xXnqKlZtEPzsf6L84eP1r1Q15seqRM/edit?usp=sharing"",""สุโขทัย!J667"")+IMPORTRANGE(""http"&amp;"s://docs.google.com/spreadsheets/d/1v0b9pFQCsKUVExMei7AgY2yQkdeNQvtOssygGsXbiKo/edit?usp=sharing"",""อุตรดิตถ์!J667"")+IMPORTRANGE(""https://docs.google.com/spreadsheets/d/1UsNK1e-WWiCo2PvGqdNfdme4m17_Ezd3J69EeeiQPD0/edit?usp=sharing"",""อุทัยธานี!J667"")"),586)</f>
        <v>586</v>
      </c>
      <c r="K667" s="45"/>
      <c r="L667" s="409"/>
      <c r="M667" s="409"/>
      <c r="N667" s="409"/>
      <c r="O667" s="45"/>
      <c r="P667" s="45"/>
      <c r="Q667" s="409"/>
      <c r="R667" s="409"/>
      <c r="S667" s="409"/>
      <c r="T667" s="45"/>
      <c r="U667" s="45"/>
    </row>
    <row r="668" spans="1:21" ht="18.75" x14ac:dyDescent="0.25">
      <c r="A668" s="208"/>
      <c r="B668" s="158"/>
      <c r="C668" s="158"/>
      <c r="D668" s="40"/>
      <c r="E668" s="40"/>
      <c r="F668" s="47" t="s">
        <v>246</v>
      </c>
      <c r="G668" s="42"/>
      <c r="H668" s="137" t="s">
        <v>35</v>
      </c>
      <c r="I668" s="180"/>
      <c r="J668" s="167">
        <f ca="1">IFERROR(__xludf.DUMMYFUNCTION("IMPORTRANGE(""https://docs.google.com/spreadsheets/d/1jTcq05yEiRwXcBMLjiodW9e4biSGYWAHcDj22rKWQ3s/edit?usp=sharing"",""กำแพงเพชร!J668"")+IMPORTRANGE(""https://docs.google.com/spreadsheets/d/1KS0zmDSZPk8KnTAbGN-Xk6MtX1YRZD0ldgdt20K4CRk/edit?usp=sharing"","&amp;"""เชียงราย!J668"")+IMPORTRANGE(""https://docs.google.com/spreadsheets/d/1rEDxBtusbi64tE0zunoIbsTVV16HeL0oJ6trHQeQ7K8/edit?usp=sharing"",""เชียงใหม่!J668"")+IMPORTRANGE(""https://docs.google.com/spreadsheets/d/1W6MnUbDkMi6xHnHko_XkFDO9kkuL6Wqyc-6OCDFjW9I/e"&amp;"dit?usp=sharing"",""ตาก!J668"")+IMPORTRANGE(""https://docs.google.com/spreadsheets/d/1IQAWArduLkta9LpYo4a_ULsyqdta6-6aDDiwpUnQT6c/edit?usp=sharing"",""นครสวรรค์!J668"")+IMPORTRANGE(""https://docs.google.com/spreadsheets/d/10s13Sk5xrltsiR-Zkbmk5DwIaDIKO8Xl"&amp;"bJAfqyT7Gvg/edit?usp=sharing"",""น่าน!J668"")+IMPORTRANGE(""https://docs.google.com/spreadsheets/d/1uu4nAn4Dbi1XREnLKKotUANlKXa7yCgRcgq8HEzQYW8/edit?usp=sharing"",""พะเยา!J668"")+IMPORTRANGE(""https://docs.google.com/spreadsheets/d/1xfJKIQxVOaPDIICqsflNlL"&amp;"u3JacTDk1FP9RH4phX7mI/edit?usp=sharing"",""พิจิตร!J668"")+IMPORTRANGE(""https://docs.google.com/spreadsheets/d/1JtRfZkJMHtEhI5RdRHxYUG4FIZHqKDpNyIuN7A1Q0_k/edit?usp=sharing"",""พิษณุโลก!J668"")+IMPORTRANGE(""https://docs.google.com/spreadsheets/d/1xlcVZWU"&amp;"Nn6SuWm0c307h32SiGkd9BaeQWlAktfD3KO8/edit?usp=sharing"",""เพชรบูรณ์!J668"")+IMPORTRANGE(""https://docs.google.com/spreadsheets/d/1lOVebEIsI9qjGXl6EX66luk7wiuP2tBaryw-wKvv4e0/edit?usp=sharing"",""แพร่!J668"")+IMPORTRANGE(""https://docs.google.com/spreadshe"&amp;"ets/d/1dQrvX0vEcN7Gu0fnZ0B5S90AeR19zth4XlExFBeExMY/edit?usp=sharing"",""แม่ฮ่องสอน!J668"")+IMPORTRANGE(""https://docs.google.com/spreadsheets/d/1DY4XTNNwjluuxqdfdn6qvOSlMRrZqUtmYcZR0ttFiG4/edit?usp=sharing"",""ลำปาง!J668"")+IMPORTRANGE(""https://docs.goog"&amp;"le.com/spreadsheets/d/1ICwG78r0OFT8biBlxnBF8r7she7gNSzOvJ958PWT09c/edit?usp=sharing"",""ลำพูน!J668"")+IMPORTRANGE(""https://docs.google.com/spreadsheets/d/1B0f2xJpZUC6Z0xXnqKlZtEPzsf6L84eP1r1Q15seqRM/edit?usp=sharing"",""สุโขทัย!J668"")+IMPORTRANGE(""http"&amp;"s://docs.google.com/spreadsheets/d/1v0b9pFQCsKUVExMei7AgY2yQkdeNQvtOssygGsXbiKo/edit?usp=sharing"",""อุตรดิตถ์!J668"")+IMPORTRANGE(""https://docs.google.com/spreadsheets/d/1UsNK1e-WWiCo2PvGqdNfdme4m17_Ezd3J69EeeiQPD0/edit?usp=sharing"",""อุทัยธานี!J668"")"),0)</f>
        <v>0</v>
      </c>
      <c r="K668" s="45"/>
      <c r="L668" s="409"/>
      <c r="M668" s="409"/>
      <c r="N668" s="409"/>
      <c r="O668" s="45"/>
      <c r="P668" s="45"/>
      <c r="Q668" s="409"/>
      <c r="R668" s="409"/>
      <c r="S668" s="409"/>
      <c r="T668" s="45"/>
      <c r="U668" s="45"/>
    </row>
    <row r="669" spans="1:21" ht="18.75" x14ac:dyDescent="0.25">
      <c r="A669" s="208"/>
      <c r="B669" s="158"/>
      <c r="C669" s="158"/>
      <c r="D669" s="40"/>
      <c r="E669" s="40"/>
      <c r="F669" s="40"/>
      <c r="G669" s="42"/>
      <c r="H669" s="137" t="s">
        <v>34</v>
      </c>
      <c r="I669" s="180"/>
      <c r="J669" s="167">
        <f ca="1">IFERROR(__xludf.DUMMYFUNCTION("IMPORTRANGE(""https://docs.google.com/spreadsheets/d/1jTcq05yEiRwXcBMLjiodW9e4biSGYWAHcDj22rKWQ3s/edit?usp=sharing"",""กำแพงเพชร!J669"")+IMPORTRANGE(""https://docs.google.com/spreadsheets/d/1KS0zmDSZPk8KnTAbGN-Xk6MtX1YRZD0ldgdt20K4CRk/edit?usp=sharing"","&amp;"""เชียงราย!J669"")+IMPORTRANGE(""https://docs.google.com/spreadsheets/d/1rEDxBtusbi64tE0zunoIbsTVV16HeL0oJ6trHQeQ7K8/edit?usp=sharing"",""เชียงใหม่!J669"")+IMPORTRANGE(""https://docs.google.com/spreadsheets/d/1W6MnUbDkMi6xHnHko_XkFDO9kkuL6Wqyc-6OCDFjW9I/e"&amp;"dit?usp=sharing"",""ตาก!J669"")+IMPORTRANGE(""https://docs.google.com/spreadsheets/d/1IQAWArduLkta9LpYo4a_ULsyqdta6-6aDDiwpUnQT6c/edit?usp=sharing"",""นครสวรรค์!J669"")+IMPORTRANGE(""https://docs.google.com/spreadsheets/d/10s13Sk5xrltsiR-Zkbmk5DwIaDIKO8Xl"&amp;"bJAfqyT7Gvg/edit?usp=sharing"",""น่าน!J669"")+IMPORTRANGE(""https://docs.google.com/spreadsheets/d/1uu4nAn4Dbi1XREnLKKotUANlKXa7yCgRcgq8HEzQYW8/edit?usp=sharing"",""พะเยา!J669"")+IMPORTRANGE(""https://docs.google.com/spreadsheets/d/1xfJKIQxVOaPDIICqsflNlL"&amp;"u3JacTDk1FP9RH4phX7mI/edit?usp=sharing"",""พิจิตร!J669"")+IMPORTRANGE(""https://docs.google.com/spreadsheets/d/1JtRfZkJMHtEhI5RdRHxYUG4FIZHqKDpNyIuN7A1Q0_k/edit?usp=sharing"",""พิษณุโลก!J669"")+IMPORTRANGE(""https://docs.google.com/spreadsheets/d/1xlcVZWU"&amp;"Nn6SuWm0c307h32SiGkd9BaeQWlAktfD3KO8/edit?usp=sharing"",""เพชรบูรณ์!J669"")+IMPORTRANGE(""https://docs.google.com/spreadsheets/d/1lOVebEIsI9qjGXl6EX66luk7wiuP2tBaryw-wKvv4e0/edit?usp=sharing"",""แพร่!J669"")+IMPORTRANGE(""https://docs.google.com/spreadshe"&amp;"ets/d/1dQrvX0vEcN7Gu0fnZ0B5S90AeR19zth4XlExFBeExMY/edit?usp=sharing"",""แม่ฮ่องสอน!J669"")+IMPORTRANGE(""https://docs.google.com/spreadsheets/d/1DY4XTNNwjluuxqdfdn6qvOSlMRrZqUtmYcZR0ttFiG4/edit?usp=sharing"",""ลำปาง!J669"")+IMPORTRANGE(""https://docs.goog"&amp;"le.com/spreadsheets/d/1ICwG78r0OFT8biBlxnBF8r7she7gNSzOvJ958PWT09c/edit?usp=sharing"",""ลำพูน!J669"")+IMPORTRANGE(""https://docs.google.com/spreadsheets/d/1B0f2xJpZUC6Z0xXnqKlZtEPzsf6L84eP1r1Q15seqRM/edit?usp=sharing"",""สุโขทัย!J669"")+IMPORTRANGE(""http"&amp;"s://docs.google.com/spreadsheets/d/1v0b9pFQCsKUVExMei7AgY2yQkdeNQvtOssygGsXbiKo/edit?usp=sharing"",""อุตรดิตถ์!J669"")+IMPORTRANGE(""https://docs.google.com/spreadsheets/d/1UsNK1e-WWiCo2PvGqdNfdme4m17_Ezd3J69EeeiQPD0/edit?usp=sharing"",""อุทัยธานี!J669"")"),0)</f>
        <v>0</v>
      </c>
      <c r="K669" s="45"/>
      <c r="L669" s="409"/>
      <c r="M669" s="409"/>
      <c r="N669" s="409"/>
      <c r="O669" s="45"/>
      <c r="P669" s="45"/>
      <c r="Q669" s="409"/>
      <c r="R669" s="409"/>
      <c r="S669" s="409"/>
      <c r="T669" s="45"/>
      <c r="U669" s="45"/>
    </row>
    <row r="670" spans="1:21" ht="18.75" x14ac:dyDescent="0.25">
      <c r="A670" s="208"/>
      <c r="B670" s="158"/>
      <c r="C670" s="158"/>
      <c r="D670" s="40"/>
      <c r="E670" s="40"/>
      <c r="F670" s="40"/>
      <c r="G670" s="42"/>
      <c r="H670" s="137" t="s">
        <v>46</v>
      </c>
      <c r="I670" s="180"/>
      <c r="J670" s="167">
        <f ca="1">IFERROR(__xludf.DUMMYFUNCTION("IMPORTRANGE(""https://docs.google.com/spreadsheets/d/1jTcq05yEiRwXcBMLjiodW9e4biSGYWAHcDj22rKWQ3s/edit?usp=sharing"",""กำแพงเพชร!J670"")+IMPORTRANGE(""https://docs.google.com/spreadsheets/d/1KS0zmDSZPk8KnTAbGN-Xk6MtX1YRZD0ldgdt20K4CRk/edit?usp=sharing"","&amp;"""เชียงราย!J670"")+IMPORTRANGE(""https://docs.google.com/spreadsheets/d/1rEDxBtusbi64tE0zunoIbsTVV16HeL0oJ6trHQeQ7K8/edit?usp=sharing"",""เชียงใหม่!J670"")+IMPORTRANGE(""https://docs.google.com/spreadsheets/d/1W6MnUbDkMi6xHnHko_XkFDO9kkuL6Wqyc-6OCDFjW9I/e"&amp;"dit?usp=sharing"",""ตาก!J670"")+IMPORTRANGE(""https://docs.google.com/spreadsheets/d/1IQAWArduLkta9LpYo4a_ULsyqdta6-6aDDiwpUnQT6c/edit?usp=sharing"",""นครสวรรค์!J670"")+IMPORTRANGE(""https://docs.google.com/spreadsheets/d/10s13Sk5xrltsiR-Zkbmk5DwIaDIKO8Xl"&amp;"bJAfqyT7Gvg/edit?usp=sharing"",""น่าน!J670"")+IMPORTRANGE(""https://docs.google.com/spreadsheets/d/1uu4nAn4Dbi1XREnLKKotUANlKXa7yCgRcgq8HEzQYW8/edit?usp=sharing"",""พะเยา!J670"")+IMPORTRANGE(""https://docs.google.com/spreadsheets/d/1xfJKIQxVOaPDIICqsflNlL"&amp;"u3JacTDk1FP9RH4phX7mI/edit?usp=sharing"",""พิจิตร!J670"")+IMPORTRANGE(""https://docs.google.com/spreadsheets/d/1JtRfZkJMHtEhI5RdRHxYUG4FIZHqKDpNyIuN7A1Q0_k/edit?usp=sharing"",""พิษณุโลก!J670"")+IMPORTRANGE(""https://docs.google.com/spreadsheets/d/1xlcVZWU"&amp;"Nn6SuWm0c307h32SiGkd9BaeQWlAktfD3KO8/edit?usp=sharing"",""เพชรบูรณ์!J670"")+IMPORTRANGE(""https://docs.google.com/spreadsheets/d/1lOVebEIsI9qjGXl6EX66luk7wiuP2tBaryw-wKvv4e0/edit?usp=sharing"",""แพร่!J670"")+IMPORTRANGE(""https://docs.google.com/spreadshe"&amp;"ets/d/1dQrvX0vEcN7Gu0fnZ0B5S90AeR19zth4XlExFBeExMY/edit?usp=sharing"",""แม่ฮ่องสอน!J670"")+IMPORTRANGE(""https://docs.google.com/spreadsheets/d/1DY4XTNNwjluuxqdfdn6qvOSlMRrZqUtmYcZR0ttFiG4/edit?usp=sharing"",""ลำปาง!J670"")+IMPORTRANGE(""https://docs.goog"&amp;"le.com/spreadsheets/d/1ICwG78r0OFT8biBlxnBF8r7she7gNSzOvJ958PWT09c/edit?usp=sharing"",""ลำพูน!J670"")+IMPORTRANGE(""https://docs.google.com/spreadsheets/d/1B0f2xJpZUC6Z0xXnqKlZtEPzsf6L84eP1r1Q15seqRM/edit?usp=sharing"",""สุโขทัย!J670"")+IMPORTRANGE(""http"&amp;"s://docs.google.com/spreadsheets/d/1v0b9pFQCsKUVExMei7AgY2yQkdeNQvtOssygGsXbiKo/edit?usp=sharing"",""อุตรดิตถ์!J670"")+IMPORTRANGE(""https://docs.google.com/spreadsheets/d/1UsNK1e-WWiCo2PvGqdNfdme4m17_Ezd3J69EeeiQPD0/edit?usp=sharing"",""อุทัยธานี!J670"")"),0)</f>
        <v>0</v>
      </c>
      <c r="K670" s="45"/>
      <c r="L670" s="409"/>
      <c r="M670" s="409"/>
      <c r="N670" s="409"/>
      <c r="O670" s="45"/>
      <c r="P670" s="45"/>
      <c r="Q670" s="409"/>
      <c r="R670" s="409"/>
      <c r="S670" s="409"/>
      <c r="T670" s="45"/>
      <c r="U670" s="45"/>
    </row>
    <row r="671" spans="1:21" ht="18.75" x14ac:dyDescent="0.25">
      <c r="A671" s="208"/>
      <c r="B671" s="158"/>
      <c r="C671" s="158"/>
      <c r="D671" s="47" t="s">
        <v>247</v>
      </c>
      <c r="E671" s="40"/>
      <c r="F671" s="40"/>
      <c r="G671" s="42"/>
      <c r="H671" s="137" t="s">
        <v>35</v>
      </c>
      <c r="I671" s="180"/>
      <c r="J671" s="166">
        <f ca="1">IFERROR(__xludf.DUMMYFUNCTION("IMPORTRANGE(""https://docs.google.com/spreadsheets/d/1jTcq05yEiRwXcBMLjiodW9e4biSGYWAHcDj22rKWQ3s/edit?usp=sharing"",""กำแพงเพชร!J671"")+IMPORTRANGE(""https://docs.google.com/spreadsheets/d/1KS0zmDSZPk8KnTAbGN-Xk6MtX1YRZD0ldgdt20K4CRk/edit?usp=sharing"","&amp;"""เชียงราย!J671"")+IMPORTRANGE(""https://docs.google.com/spreadsheets/d/1rEDxBtusbi64tE0zunoIbsTVV16HeL0oJ6trHQeQ7K8/edit?usp=sharing"",""เชียงใหม่!J671"")+IMPORTRANGE(""https://docs.google.com/spreadsheets/d/1W6MnUbDkMi6xHnHko_XkFDO9kkuL6Wqyc-6OCDFjW9I/e"&amp;"dit?usp=sharing"",""ตาก!J671"")+IMPORTRANGE(""https://docs.google.com/spreadsheets/d/1IQAWArduLkta9LpYo4a_ULsyqdta6-6aDDiwpUnQT6c/edit?usp=sharing"",""นครสวรรค์!J671"")+IMPORTRANGE(""https://docs.google.com/spreadsheets/d/10s13Sk5xrltsiR-Zkbmk5DwIaDIKO8Xl"&amp;"bJAfqyT7Gvg/edit?usp=sharing"",""น่าน!J671"")+IMPORTRANGE(""https://docs.google.com/spreadsheets/d/1uu4nAn4Dbi1XREnLKKotUANlKXa7yCgRcgq8HEzQYW8/edit?usp=sharing"",""พะเยา!J671"")+IMPORTRANGE(""https://docs.google.com/spreadsheets/d/1xfJKIQxVOaPDIICqsflNlL"&amp;"u3JacTDk1FP9RH4phX7mI/edit?usp=sharing"",""พิจิตร!J671"")+IMPORTRANGE(""https://docs.google.com/spreadsheets/d/1JtRfZkJMHtEhI5RdRHxYUG4FIZHqKDpNyIuN7A1Q0_k/edit?usp=sharing"",""พิษณุโลก!J671"")+IMPORTRANGE(""https://docs.google.com/spreadsheets/d/1xlcVZWU"&amp;"Nn6SuWm0c307h32SiGkd9BaeQWlAktfD3KO8/edit?usp=sharing"",""เพชรบูรณ์!J671"")+IMPORTRANGE(""https://docs.google.com/spreadsheets/d/1lOVebEIsI9qjGXl6EX66luk7wiuP2tBaryw-wKvv4e0/edit?usp=sharing"",""แพร่!J671"")+IMPORTRANGE(""https://docs.google.com/spreadshe"&amp;"ets/d/1dQrvX0vEcN7Gu0fnZ0B5S90AeR19zth4XlExFBeExMY/edit?usp=sharing"",""แม่ฮ่องสอน!J671"")+IMPORTRANGE(""https://docs.google.com/spreadsheets/d/1DY4XTNNwjluuxqdfdn6qvOSlMRrZqUtmYcZR0ttFiG4/edit?usp=sharing"",""ลำปาง!J671"")+IMPORTRANGE(""https://docs.goog"&amp;"le.com/spreadsheets/d/1ICwG78r0OFT8biBlxnBF8r7she7gNSzOvJ958PWT09c/edit?usp=sharing"",""ลำพูน!J671"")+IMPORTRANGE(""https://docs.google.com/spreadsheets/d/1B0f2xJpZUC6Z0xXnqKlZtEPzsf6L84eP1r1Q15seqRM/edit?usp=sharing"",""สุโขทัย!J671"")+IMPORTRANGE(""http"&amp;"s://docs.google.com/spreadsheets/d/1v0b9pFQCsKUVExMei7AgY2yQkdeNQvtOssygGsXbiKo/edit?usp=sharing"",""อุตรดิตถ์!J671"")+IMPORTRANGE(""https://docs.google.com/spreadsheets/d/1UsNK1e-WWiCo2PvGqdNfdme4m17_Ezd3J69EeeiQPD0/edit?usp=sharing"",""อุทัยธานี!J671"")"),36)</f>
        <v>36</v>
      </c>
      <c r="K671" s="45"/>
      <c r="L671" s="45"/>
      <c r="M671" s="45"/>
      <c r="N671" s="409"/>
      <c r="O671" s="45"/>
      <c r="P671" s="45"/>
      <c r="Q671" s="45"/>
      <c r="R671" s="45"/>
      <c r="S671" s="45"/>
      <c r="T671" s="45"/>
      <c r="U671" s="45"/>
    </row>
    <row r="672" spans="1:21" ht="18.75" x14ac:dyDescent="0.25">
      <c r="A672" s="208"/>
      <c r="B672" s="158"/>
      <c r="C672" s="158"/>
      <c r="D672" s="40"/>
      <c r="E672" s="40"/>
      <c r="F672" s="40"/>
      <c r="G672" s="42"/>
      <c r="H672" s="137" t="s">
        <v>34</v>
      </c>
      <c r="I672" s="180"/>
      <c r="J672" s="166">
        <f ca="1">IFERROR(__xludf.DUMMYFUNCTION("IMPORTRANGE(""https://docs.google.com/spreadsheets/d/1jTcq05yEiRwXcBMLjiodW9e4biSGYWAHcDj22rKWQ3s/edit?usp=sharing"",""กำแพงเพชร!J672"")+IMPORTRANGE(""https://docs.google.com/spreadsheets/d/1KS0zmDSZPk8KnTAbGN-Xk6MtX1YRZD0ldgdt20K4CRk/edit?usp=sharing"","&amp;"""เชียงราย!J672"")+IMPORTRANGE(""https://docs.google.com/spreadsheets/d/1rEDxBtusbi64tE0zunoIbsTVV16HeL0oJ6trHQeQ7K8/edit?usp=sharing"",""เชียงใหม่!J672"")+IMPORTRANGE(""https://docs.google.com/spreadsheets/d/1W6MnUbDkMi6xHnHko_XkFDO9kkuL6Wqyc-6OCDFjW9I/e"&amp;"dit?usp=sharing"",""ตาก!J672"")+IMPORTRANGE(""https://docs.google.com/spreadsheets/d/1IQAWArduLkta9LpYo4a_ULsyqdta6-6aDDiwpUnQT6c/edit?usp=sharing"",""นครสวรรค์!J672"")+IMPORTRANGE(""https://docs.google.com/spreadsheets/d/10s13Sk5xrltsiR-Zkbmk5DwIaDIKO8Xl"&amp;"bJAfqyT7Gvg/edit?usp=sharing"",""น่าน!J672"")+IMPORTRANGE(""https://docs.google.com/spreadsheets/d/1uu4nAn4Dbi1XREnLKKotUANlKXa7yCgRcgq8HEzQYW8/edit?usp=sharing"",""พะเยา!J672"")+IMPORTRANGE(""https://docs.google.com/spreadsheets/d/1xfJKIQxVOaPDIICqsflNlL"&amp;"u3JacTDk1FP9RH4phX7mI/edit?usp=sharing"",""พิจิตร!J672"")+IMPORTRANGE(""https://docs.google.com/spreadsheets/d/1JtRfZkJMHtEhI5RdRHxYUG4FIZHqKDpNyIuN7A1Q0_k/edit?usp=sharing"",""พิษณุโลก!J672"")+IMPORTRANGE(""https://docs.google.com/spreadsheets/d/1xlcVZWU"&amp;"Nn6SuWm0c307h32SiGkd9BaeQWlAktfD3KO8/edit?usp=sharing"",""เพชรบูรณ์!J672"")+IMPORTRANGE(""https://docs.google.com/spreadsheets/d/1lOVebEIsI9qjGXl6EX66luk7wiuP2tBaryw-wKvv4e0/edit?usp=sharing"",""แพร่!J672"")+IMPORTRANGE(""https://docs.google.com/spreadshe"&amp;"ets/d/1dQrvX0vEcN7Gu0fnZ0B5S90AeR19zth4XlExFBeExMY/edit?usp=sharing"",""แม่ฮ่องสอน!J672"")+IMPORTRANGE(""https://docs.google.com/spreadsheets/d/1DY4XTNNwjluuxqdfdn6qvOSlMRrZqUtmYcZR0ttFiG4/edit?usp=sharing"",""ลำปาง!J672"")+IMPORTRANGE(""https://docs.goog"&amp;"le.com/spreadsheets/d/1ICwG78r0OFT8biBlxnBF8r7she7gNSzOvJ958PWT09c/edit?usp=sharing"",""ลำพูน!J672"")+IMPORTRANGE(""https://docs.google.com/spreadsheets/d/1B0f2xJpZUC6Z0xXnqKlZtEPzsf6L84eP1r1Q15seqRM/edit?usp=sharing"",""สุโขทัย!J672"")+IMPORTRANGE(""http"&amp;"s://docs.google.com/spreadsheets/d/1v0b9pFQCsKUVExMei7AgY2yQkdeNQvtOssygGsXbiKo/edit?usp=sharing"",""อุตรดิตถ์!J672"")+IMPORTRANGE(""https://docs.google.com/spreadsheets/d/1UsNK1e-WWiCo2PvGqdNfdme4m17_Ezd3J69EeeiQPD0/edit?usp=sharing"",""อุทัยธานี!J672"")"),38)</f>
        <v>38</v>
      </c>
      <c r="K672" s="45"/>
      <c r="L672" s="409"/>
      <c r="M672" s="409"/>
      <c r="N672" s="409"/>
      <c r="O672" s="45"/>
      <c r="P672" s="45"/>
      <c r="Q672" s="409"/>
      <c r="R672" s="409"/>
      <c r="S672" s="409"/>
      <c r="T672" s="45"/>
      <c r="U672" s="45"/>
    </row>
    <row r="673" spans="1:21" ht="18.75" x14ac:dyDescent="0.25">
      <c r="A673" s="208"/>
      <c r="B673" s="158"/>
      <c r="C673" s="158"/>
      <c r="D673" s="40"/>
      <c r="E673" s="40"/>
      <c r="F673" s="40"/>
      <c r="G673" s="42"/>
      <c r="H673" s="137" t="s">
        <v>46</v>
      </c>
      <c r="I673" s="408">
        <f ca="1">IFERROR(__xludf.DUMMYFUNCTION("IMPORTRANGE(""https://docs.google.com/spreadsheets/d/1jTcq05yEiRwXcBMLjiodW9e4biSGYWAHcDj22rKWQ3s/edit?usp=sharing"",""กำแพงเพชร!I673"")+IMPORTRANGE(""https://docs.google.com/spreadsheets/d/1KS0zmDSZPk8KnTAbGN-Xk6MtX1YRZD0ldgdt20K4CRk/edit?usp=sharing"","&amp;"""เชียงราย!I673"")+IMPORTRANGE(""https://docs.google.com/spreadsheets/d/1rEDxBtusbi64tE0zunoIbsTVV16HeL0oJ6trHQeQ7K8/edit?usp=sharing"",""เชียงใหม่!I673"")+IMPORTRANGE(""https://docs.google.com/spreadsheets/d/1W6MnUbDkMi6xHnHko_XkFDO9kkuL6Wqyc-6OCDFjW9I/e"&amp;"dit?usp=sharing"",""ตาก!I673"")+IMPORTRANGE(""https://docs.google.com/spreadsheets/d/1IQAWArduLkta9LpYo4a_ULsyqdta6-6aDDiwpUnQT6c/edit?usp=sharing"",""นครสวรรค์!I673"")+IMPORTRANGE(""https://docs.google.com/spreadsheets/d/10s13Sk5xrltsiR-Zkbmk5DwIaDIKO8Xl"&amp;"bJAfqyT7Gvg/edit?usp=sharing"",""น่าน!I673"")+IMPORTRANGE(""https://docs.google.com/spreadsheets/d/1uu4nAn4Dbi1XREnLKKotUANlKXa7yCgRcgq8HEzQYW8/edit?usp=sharing"",""พะเยา!I673"")+IMPORTRANGE(""https://docs.google.com/spreadsheets/d/1xfJKIQxVOaPDIICqsflNlL"&amp;"u3JacTDk1FP9RH4phX7mI/edit?usp=sharing"",""พิจิตร!I673"")+IMPORTRANGE(""https://docs.google.com/spreadsheets/d/1JtRfZkJMHtEhI5RdRHxYUG4FIZHqKDpNyIuN7A1Q0_k/edit?usp=sharing"",""พิษณุโลก!I673"")+IMPORTRANGE(""https://docs.google.com/spreadsheets/d/1xlcVZWU"&amp;"Nn6SuWm0c307h32SiGkd9BaeQWlAktfD3KO8/edit?usp=sharing"",""เพชรบูรณ์!I673"")+IMPORTRANGE(""https://docs.google.com/spreadsheets/d/1lOVebEIsI9qjGXl6EX66luk7wiuP2tBaryw-wKvv4e0/edit?usp=sharing"",""แพร่!I673"")+IMPORTRANGE(""https://docs.google.com/spreadshe"&amp;"ets/d/1dQrvX0vEcN7Gu0fnZ0B5S90AeR19zth4XlExFBeExMY/edit?usp=sharing"",""แม่ฮ่องสอน!I673"")+IMPORTRANGE(""https://docs.google.com/spreadsheets/d/1DY4XTNNwjluuxqdfdn6qvOSlMRrZqUtmYcZR0ttFiG4/edit?usp=sharing"",""ลำปาง!I673"")+IMPORTRANGE(""https://docs.goog"&amp;"le.com/spreadsheets/d/1ICwG78r0OFT8biBlxnBF8r7she7gNSzOvJ958PWT09c/edit?usp=sharing"",""ลำพูน!I673"")+IMPORTRANGE(""https://docs.google.com/spreadsheets/d/1B0f2xJpZUC6Z0xXnqKlZtEPzsf6L84eP1r1Q15seqRM/edit?usp=sharing"",""สุโขทัย!I673"")+IMPORTRANGE(""http"&amp;"s://docs.google.com/spreadsheets/d/1v0b9pFQCsKUVExMei7AgY2yQkdeNQvtOssygGsXbiKo/edit?usp=sharing"",""อุตรดิตถ์!I673"")+IMPORTRANGE(""https://docs.google.com/spreadsheets/d/1UsNK1e-WWiCo2PvGqdNfdme4m17_Ezd3J69EeeiQPD0/edit?usp=sharing"",""อุทัยธานี!I673"")"),2932)</f>
        <v>2932</v>
      </c>
      <c r="J673" s="408">
        <f ca="1">IFERROR(__xludf.DUMMYFUNCTION("IMPORTRANGE(""https://docs.google.com/spreadsheets/d/1jTcq05yEiRwXcBMLjiodW9e4biSGYWAHcDj22rKWQ3s/edit?usp=sharing"",""กำแพงเพชร!J673"")+IMPORTRANGE(""https://docs.google.com/spreadsheets/d/1KS0zmDSZPk8KnTAbGN-Xk6MtX1YRZD0ldgdt20K4CRk/edit?usp=sharing"","&amp;"""เชียงราย!J673"")+IMPORTRANGE(""https://docs.google.com/spreadsheets/d/1rEDxBtusbi64tE0zunoIbsTVV16HeL0oJ6trHQeQ7K8/edit?usp=sharing"",""เชียงใหม่!J673"")+IMPORTRANGE(""https://docs.google.com/spreadsheets/d/1W6MnUbDkMi6xHnHko_XkFDO9kkuL6Wqyc-6OCDFjW9I/e"&amp;"dit?usp=sharing"",""ตาก!J673"")+IMPORTRANGE(""https://docs.google.com/spreadsheets/d/1IQAWArduLkta9LpYo4a_ULsyqdta6-6aDDiwpUnQT6c/edit?usp=sharing"",""นครสวรรค์!J673"")+IMPORTRANGE(""https://docs.google.com/spreadsheets/d/10s13Sk5xrltsiR-Zkbmk5DwIaDIKO8Xl"&amp;"bJAfqyT7Gvg/edit?usp=sharing"",""น่าน!J673"")+IMPORTRANGE(""https://docs.google.com/spreadsheets/d/1uu4nAn4Dbi1XREnLKKotUANlKXa7yCgRcgq8HEzQYW8/edit?usp=sharing"",""พะเยา!J673"")+IMPORTRANGE(""https://docs.google.com/spreadsheets/d/1xfJKIQxVOaPDIICqsflNlL"&amp;"u3JacTDk1FP9RH4phX7mI/edit?usp=sharing"",""พิจิตร!J673"")+IMPORTRANGE(""https://docs.google.com/spreadsheets/d/1JtRfZkJMHtEhI5RdRHxYUG4FIZHqKDpNyIuN7A1Q0_k/edit?usp=sharing"",""พิษณุโลก!J673"")+IMPORTRANGE(""https://docs.google.com/spreadsheets/d/1xlcVZWU"&amp;"Nn6SuWm0c307h32SiGkd9BaeQWlAktfD3KO8/edit?usp=sharing"",""เพชรบูรณ์!J673"")+IMPORTRANGE(""https://docs.google.com/spreadsheets/d/1lOVebEIsI9qjGXl6EX66luk7wiuP2tBaryw-wKvv4e0/edit?usp=sharing"",""แพร่!J673"")+IMPORTRANGE(""https://docs.google.com/spreadshe"&amp;"ets/d/1dQrvX0vEcN7Gu0fnZ0B5S90AeR19zth4XlExFBeExMY/edit?usp=sharing"",""แม่ฮ่องสอน!J673"")+IMPORTRANGE(""https://docs.google.com/spreadsheets/d/1DY4XTNNwjluuxqdfdn6qvOSlMRrZqUtmYcZR0ttFiG4/edit?usp=sharing"",""ลำปาง!J673"")+IMPORTRANGE(""https://docs.goog"&amp;"le.com/spreadsheets/d/1ICwG78r0OFT8biBlxnBF8r7she7gNSzOvJ958PWT09c/edit?usp=sharing"",""ลำพูน!J673"")+IMPORTRANGE(""https://docs.google.com/spreadsheets/d/1B0f2xJpZUC6Z0xXnqKlZtEPzsf6L84eP1r1Q15seqRM/edit?usp=sharing"",""สุโขทัย!J673"")+IMPORTRANGE(""http"&amp;"s://docs.google.com/spreadsheets/d/1v0b9pFQCsKUVExMei7AgY2yQkdeNQvtOssygGsXbiKo/edit?usp=sharing"",""อุตรดิตถ์!J673"")+IMPORTRANGE(""https://docs.google.com/spreadsheets/d/1UsNK1e-WWiCo2PvGqdNfdme4m17_Ezd3J69EeeiQPD0/edit?usp=sharing"",""อุทัยธานี!J673"")"),642.11)</f>
        <v>642.11</v>
      </c>
      <c r="K673" s="46">
        <f t="shared" ref="K673:K676" ca="1" si="468">IF(I673&gt;0,J673*100/I673,0)</f>
        <v>21.90006821282401</v>
      </c>
      <c r="L673" s="409"/>
      <c r="M673" s="409"/>
      <c r="N673" s="409"/>
      <c r="O673" s="45"/>
      <c r="P673" s="45"/>
      <c r="Q673" s="409"/>
      <c r="R673" s="409"/>
      <c r="S673" s="409"/>
      <c r="T673" s="45"/>
      <c r="U673" s="45"/>
    </row>
    <row r="674" spans="1:21" ht="19.5" x14ac:dyDescent="0.3">
      <c r="A674" s="208"/>
      <c r="B674" s="158"/>
      <c r="C674" s="158"/>
      <c r="D674" s="47" t="s">
        <v>248</v>
      </c>
      <c r="E674" s="40"/>
      <c r="F674" s="40"/>
      <c r="G674" s="42"/>
      <c r="H674" s="404" t="s">
        <v>35</v>
      </c>
      <c r="I674" s="410">
        <f ca="1">IFERROR(__xludf.DUMMYFUNCTION("IMPORTRANGE(""https://docs.google.com/spreadsheets/d/1jTcq05yEiRwXcBMLjiodW9e4biSGYWAHcDj22rKWQ3s/edit?usp=sharing"",""กำแพงเพชร!I674"")+IMPORTRANGE(""https://docs.google.com/spreadsheets/d/1KS0zmDSZPk8KnTAbGN-Xk6MtX1YRZD0ldgdt20K4CRk/edit?usp=sharing"","&amp;"""เชียงราย!I674"")+IMPORTRANGE(""https://docs.google.com/spreadsheets/d/1rEDxBtusbi64tE0zunoIbsTVV16HeL0oJ6trHQeQ7K8/edit?usp=sharing"",""เชียงใหม่!I674"")+IMPORTRANGE(""https://docs.google.com/spreadsheets/d/1W6MnUbDkMi6xHnHko_XkFDO9kkuL6Wqyc-6OCDFjW9I/e"&amp;"dit?usp=sharing"",""ตาก!I674"")+IMPORTRANGE(""https://docs.google.com/spreadsheets/d/1IQAWArduLkta9LpYo4a_ULsyqdta6-6aDDiwpUnQT6c/edit?usp=sharing"",""นครสวรรค์!I674"")+IMPORTRANGE(""https://docs.google.com/spreadsheets/d/10s13Sk5xrltsiR-Zkbmk5DwIaDIKO8Xl"&amp;"bJAfqyT7Gvg/edit?usp=sharing"",""น่าน!I674"")+IMPORTRANGE(""https://docs.google.com/spreadsheets/d/1uu4nAn4Dbi1XREnLKKotUANlKXa7yCgRcgq8HEzQYW8/edit?usp=sharing"",""พะเยา!I674"")+IMPORTRANGE(""https://docs.google.com/spreadsheets/d/1xfJKIQxVOaPDIICqsflNlL"&amp;"u3JacTDk1FP9RH4phX7mI/edit?usp=sharing"",""พิจิตร!I674"")+IMPORTRANGE(""https://docs.google.com/spreadsheets/d/1JtRfZkJMHtEhI5RdRHxYUG4FIZHqKDpNyIuN7A1Q0_k/edit?usp=sharing"",""พิษณุโลก!I674"")+IMPORTRANGE(""https://docs.google.com/spreadsheets/d/1xlcVZWU"&amp;"Nn6SuWm0c307h32SiGkd9BaeQWlAktfD3KO8/edit?usp=sharing"",""เพชรบูรณ์!I674"")+IMPORTRANGE(""https://docs.google.com/spreadsheets/d/1lOVebEIsI9qjGXl6EX66luk7wiuP2tBaryw-wKvv4e0/edit?usp=sharing"",""แพร่!I674"")+IMPORTRANGE(""https://docs.google.com/spreadshe"&amp;"ets/d/1dQrvX0vEcN7Gu0fnZ0B5S90AeR19zth4XlExFBeExMY/edit?usp=sharing"",""แม่ฮ่องสอน!I674"")+IMPORTRANGE(""https://docs.google.com/spreadsheets/d/1DY4XTNNwjluuxqdfdn6qvOSlMRrZqUtmYcZR0ttFiG4/edit?usp=sharing"",""ลำปาง!I674"")+IMPORTRANGE(""https://docs.goog"&amp;"le.com/spreadsheets/d/1ICwG78r0OFT8biBlxnBF8r7she7gNSzOvJ958PWT09c/edit?usp=sharing"",""ลำพูน!I674"")+IMPORTRANGE(""https://docs.google.com/spreadsheets/d/1B0f2xJpZUC6Z0xXnqKlZtEPzsf6L84eP1r1Q15seqRM/edit?usp=sharing"",""สุโขทัย!I674"")+IMPORTRANGE(""http"&amp;"s://docs.google.com/spreadsheets/d/1v0b9pFQCsKUVExMei7AgY2yQkdeNQvtOssygGsXbiKo/edit?usp=sharing"",""อุตรดิตถ์!I674"")+IMPORTRANGE(""https://docs.google.com/spreadsheets/d/1UsNK1e-WWiCo2PvGqdNfdme4m17_Ezd3J69EeeiQPD0/edit?usp=sharing"",""อุทัยธานี!I674"")"),98)</f>
        <v>98</v>
      </c>
      <c r="J674" s="147">
        <f ca="1">J676+J679</f>
        <v>15</v>
      </c>
      <c r="K674" s="132">
        <f t="shared" ca="1" si="468"/>
        <v>15.306122448979592</v>
      </c>
      <c r="L674" s="409"/>
      <c r="M674" s="409"/>
      <c r="N674" s="409"/>
      <c r="O674" s="45"/>
      <c r="P674" s="45"/>
      <c r="Q674" s="409"/>
      <c r="R674" s="409"/>
      <c r="S674" s="409"/>
      <c r="T674" s="45"/>
      <c r="U674" s="45"/>
    </row>
    <row r="675" spans="1:21" ht="19.5" x14ac:dyDescent="0.3">
      <c r="A675" s="208"/>
      <c r="B675" s="158"/>
      <c r="C675" s="158"/>
      <c r="D675" s="40"/>
      <c r="E675" s="40"/>
      <c r="F675" s="40"/>
      <c r="G675" s="42"/>
      <c r="H675" s="404" t="s">
        <v>46</v>
      </c>
      <c r="I675" s="410">
        <f ca="1">IFERROR(__xludf.DUMMYFUNCTION("IMPORTRANGE(""https://docs.google.com/spreadsheets/d/1jTcq05yEiRwXcBMLjiodW9e4biSGYWAHcDj22rKWQ3s/edit?usp=sharing"",""กำแพงเพชร!I675"")+IMPORTRANGE(""https://docs.google.com/spreadsheets/d/1KS0zmDSZPk8KnTAbGN-Xk6MtX1YRZD0ldgdt20K4CRk/edit?usp=sharing"","&amp;"""เชียงราย!I675"")+IMPORTRANGE(""https://docs.google.com/spreadsheets/d/1rEDxBtusbi64tE0zunoIbsTVV16HeL0oJ6trHQeQ7K8/edit?usp=sharing"",""เชียงใหม่!I675"")+IMPORTRANGE(""https://docs.google.com/spreadsheets/d/1W6MnUbDkMi6xHnHko_XkFDO9kkuL6Wqyc-6OCDFjW9I/e"&amp;"dit?usp=sharing"",""ตาก!I675"")+IMPORTRANGE(""https://docs.google.com/spreadsheets/d/1IQAWArduLkta9LpYo4a_ULsyqdta6-6aDDiwpUnQT6c/edit?usp=sharing"",""นครสวรรค์!I675"")+IMPORTRANGE(""https://docs.google.com/spreadsheets/d/10s13Sk5xrltsiR-Zkbmk5DwIaDIKO8Xl"&amp;"bJAfqyT7Gvg/edit?usp=sharing"",""น่าน!I675"")+IMPORTRANGE(""https://docs.google.com/spreadsheets/d/1uu4nAn4Dbi1XREnLKKotUANlKXa7yCgRcgq8HEzQYW8/edit?usp=sharing"",""พะเยา!I675"")+IMPORTRANGE(""https://docs.google.com/spreadsheets/d/1xfJKIQxVOaPDIICqsflNlL"&amp;"u3JacTDk1FP9RH4phX7mI/edit?usp=sharing"",""พิจิตร!I675"")+IMPORTRANGE(""https://docs.google.com/spreadsheets/d/1JtRfZkJMHtEhI5RdRHxYUG4FIZHqKDpNyIuN7A1Q0_k/edit?usp=sharing"",""พิษณุโลก!I675"")+IMPORTRANGE(""https://docs.google.com/spreadsheets/d/1xlcVZWU"&amp;"Nn6SuWm0c307h32SiGkd9BaeQWlAktfD3KO8/edit?usp=sharing"",""เพชรบูรณ์!I675"")+IMPORTRANGE(""https://docs.google.com/spreadsheets/d/1lOVebEIsI9qjGXl6EX66luk7wiuP2tBaryw-wKvv4e0/edit?usp=sharing"",""แพร่!I675"")+IMPORTRANGE(""https://docs.google.com/spreadshe"&amp;"ets/d/1dQrvX0vEcN7Gu0fnZ0B5S90AeR19zth4XlExFBeExMY/edit?usp=sharing"",""แม่ฮ่องสอน!I675"")+IMPORTRANGE(""https://docs.google.com/spreadsheets/d/1DY4XTNNwjluuxqdfdn6qvOSlMRrZqUtmYcZR0ttFiG4/edit?usp=sharing"",""ลำปาง!I675"")+IMPORTRANGE(""https://docs.goog"&amp;"le.com/spreadsheets/d/1ICwG78r0OFT8biBlxnBF8r7she7gNSzOvJ958PWT09c/edit?usp=sharing"",""ลำพูน!I675"")+IMPORTRANGE(""https://docs.google.com/spreadsheets/d/1B0f2xJpZUC6Z0xXnqKlZtEPzsf6L84eP1r1Q15seqRM/edit?usp=sharing"",""สุโขทัย!I675"")+IMPORTRANGE(""http"&amp;"s://docs.google.com/spreadsheets/d/1v0b9pFQCsKUVExMei7AgY2yQkdeNQvtOssygGsXbiKo/edit?usp=sharing"",""อุตรดิตถ์!I675"")+IMPORTRANGE(""https://docs.google.com/spreadsheets/d/1UsNK1e-WWiCo2PvGqdNfdme4m17_Ezd3J69EeeiQPD0/edit?usp=sharing"",""อุทัยธานี!I675"")"),1629)</f>
        <v>1629</v>
      </c>
      <c r="J675" s="147">
        <f ca="1">J678+J681</f>
        <v>308.82</v>
      </c>
      <c r="K675" s="132">
        <f t="shared" ca="1" si="468"/>
        <v>18.957642725598525</v>
      </c>
      <c r="L675" s="45"/>
      <c r="M675" s="45"/>
      <c r="N675" s="409"/>
      <c r="O675" s="45"/>
      <c r="P675" s="45"/>
      <c r="Q675" s="45"/>
      <c r="R675" s="45"/>
      <c r="S675" s="45"/>
      <c r="T675" s="45"/>
      <c r="U675" s="45"/>
    </row>
    <row r="676" spans="1:21" ht="18.75" x14ac:dyDescent="0.25">
      <c r="A676" s="208"/>
      <c r="B676" s="158"/>
      <c r="C676" s="158"/>
      <c r="D676" s="40"/>
      <c r="E676" s="47" t="s">
        <v>249</v>
      </c>
      <c r="F676" s="40"/>
      <c r="G676" s="42"/>
      <c r="H676" s="137" t="s">
        <v>35</v>
      </c>
      <c r="I676" s="408">
        <f ca="1">IFERROR(__xludf.DUMMYFUNCTION("IMPORTRANGE(""https://docs.google.com/spreadsheets/d/1jTcq05yEiRwXcBMLjiodW9e4biSGYWAHcDj22rKWQ3s/edit?usp=sharing"",""กำแพงเพชร!I676"")+IMPORTRANGE(""https://docs.google.com/spreadsheets/d/1KS0zmDSZPk8KnTAbGN-Xk6MtX1YRZD0ldgdt20K4CRk/edit?usp=sharing"","&amp;"""เชียงราย!I676"")+IMPORTRANGE(""https://docs.google.com/spreadsheets/d/1rEDxBtusbi64tE0zunoIbsTVV16HeL0oJ6trHQeQ7K8/edit?usp=sharing"",""เชียงใหม่!I676"")+IMPORTRANGE(""https://docs.google.com/spreadsheets/d/1W6MnUbDkMi6xHnHko_XkFDO9kkuL6Wqyc-6OCDFjW9I/e"&amp;"dit?usp=sharing"",""ตาก!I676"")+IMPORTRANGE(""https://docs.google.com/spreadsheets/d/1IQAWArduLkta9LpYo4a_ULsyqdta6-6aDDiwpUnQT6c/edit?usp=sharing"",""นครสวรรค์!I676"")+IMPORTRANGE(""https://docs.google.com/spreadsheets/d/10s13Sk5xrltsiR-Zkbmk5DwIaDIKO8Xl"&amp;"bJAfqyT7Gvg/edit?usp=sharing"",""น่าน!I676"")+IMPORTRANGE(""https://docs.google.com/spreadsheets/d/1uu4nAn4Dbi1XREnLKKotUANlKXa7yCgRcgq8HEzQYW8/edit?usp=sharing"",""พะเยา!I676"")+IMPORTRANGE(""https://docs.google.com/spreadsheets/d/1xfJKIQxVOaPDIICqsflNlL"&amp;"u3JacTDk1FP9RH4phX7mI/edit?usp=sharing"",""พิจิตร!I676"")+IMPORTRANGE(""https://docs.google.com/spreadsheets/d/1JtRfZkJMHtEhI5RdRHxYUG4FIZHqKDpNyIuN7A1Q0_k/edit?usp=sharing"",""พิษณุโลก!I676"")+IMPORTRANGE(""https://docs.google.com/spreadsheets/d/1xlcVZWU"&amp;"Nn6SuWm0c307h32SiGkd9BaeQWlAktfD3KO8/edit?usp=sharing"",""เพชรบูรณ์!I676"")+IMPORTRANGE(""https://docs.google.com/spreadsheets/d/1lOVebEIsI9qjGXl6EX66luk7wiuP2tBaryw-wKvv4e0/edit?usp=sharing"",""แพร่!I676"")+IMPORTRANGE(""https://docs.google.com/spreadshe"&amp;"ets/d/1dQrvX0vEcN7Gu0fnZ0B5S90AeR19zth4XlExFBeExMY/edit?usp=sharing"",""แม่ฮ่องสอน!I676"")+IMPORTRANGE(""https://docs.google.com/spreadsheets/d/1DY4XTNNwjluuxqdfdn6qvOSlMRrZqUtmYcZR0ttFiG4/edit?usp=sharing"",""ลำปาง!I676"")+IMPORTRANGE(""https://docs.goog"&amp;"le.com/spreadsheets/d/1ICwG78r0OFT8biBlxnBF8r7she7gNSzOvJ958PWT09c/edit?usp=sharing"",""ลำพูน!I676"")+IMPORTRANGE(""https://docs.google.com/spreadsheets/d/1B0f2xJpZUC6Z0xXnqKlZtEPzsf6L84eP1r1Q15seqRM/edit?usp=sharing"",""สุโขทัย!I676"")+IMPORTRANGE(""http"&amp;"s://docs.google.com/spreadsheets/d/1v0b9pFQCsKUVExMei7AgY2yQkdeNQvtOssygGsXbiKo/edit?usp=sharing"",""อุตรดิตถ์!I676"")+IMPORTRANGE(""https://docs.google.com/spreadsheets/d/1UsNK1e-WWiCo2PvGqdNfdme4m17_Ezd3J69EeeiQPD0/edit?usp=sharing"",""อุทัยธานี!I676"")"),86)</f>
        <v>86</v>
      </c>
      <c r="J676" s="408">
        <f ca="1">IFERROR(__xludf.DUMMYFUNCTION("IMPORTRANGE(""https://docs.google.com/spreadsheets/d/1jTcq05yEiRwXcBMLjiodW9e4biSGYWAHcDj22rKWQ3s/edit?usp=sharing"",""กำแพงเพชร!J676"")+IMPORTRANGE(""https://docs.google.com/spreadsheets/d/1KS0zmDSZPk8KnTAbGN-Xk6MtX1YRZD0ldgdt20K4CRk/edit?usp=sharing"","&amp;"""เชียงราย!J676"")+IMPORTRANGE(""https://docs.google.com/spreadsheets/d/1rEDxBtusbi64tE0zunoIbsTVV16HeL0oJ6trHQeQ7K8/edit?usp=sharing"",""เชียงใหม่!J676"")+IMPORTRANGE(""https://docs.google.com/spreadsheets/d/1W6MnUbDkMi6xHnHko_XkFDO9kkuL6Wqyc-6OCDFjW9I/e"&amp;"dit?usp=sharing"",""ตาก!J676"")+IMPORTRANGE(""https://docs.google.com/spreadsheets/d/1IQAWArduLkta9LpYo4a_ULsyqdta6-6aDDiwpUnQT6c/edit?usp=sharing"",""นครสวรรค์!J676"")+IMPORTRANGE(""https://docs.google.com/spreadsheets/d/10s13Sk5xrltsiR-Zkbmk5DwIaDIKO8Xl"&amp;"bJAfqyT7Gvg/edit?usp=sharing"",""น่าน!J676"")+IMPORTRANGE(""https://docs.google.com/spreadsheets/d/1uu4nAn4Dbi1XREnLKKotUANlKXa7yCgRcgq8HEzQYW8/edit?usp=sharing"",""พะเยา!J676"")+IMPORTRANGE(""https://docs.google.com/spreadsheets/d/1xfJKIQxVOaPDIICqsflNlL"&amp;"u3JacTDk1FP9RH4phX7mI/edit?usp=sharing"",""พิจิตร!J676"")+IMPORTRANGE(""https://docs.google.com/spreadsheets/d/1JtRfZkJMHtEhI5RdRHxYUG4FIZHqKDpNyIuN7A1Q0_k/edit?usp=sharing"",""พิษณุโลก!J676"")+IMPORTRANGE(""https://docs.google.com/spreadsheets/d/1xlcVZWU"&amp;"Nn6SuWm0c307h32SiGkd9BaeQWlAktfD3KO8/edit?usp=sharing"",""เพชรบูรณ์!J676"")+IMPORTRANGE(""https://docs.google.com/spreadsheets/d/1lOVebEIsI9qjGXl6EX66luk7wiuP2tBaryw-wKvv4e0/edit?usp=sharing"",""แพร่!J676"")+IMPORTRANGE(""https://docs.google.com/spreadshe"&amp;"ets/d/1dQrvX0vEcN7Gu0fnZ0B5S90AeR19zth4XlExFBeExMY/edit?usp=sharing"",""แม่ฮ่องสอน!J676"")+IMPORTRANGE(""https://docs.google.com/spreadsheets/d/1DY4XTNNwjluuxqdfdn6qvOSlMRrZqUtmYcZR0ttFiG4/edit?usp=sharing"",""ลำปาง!J676"")+IMPORTRANGE(""https://docs.goog"&amp;"le.com/spreadsheets/d/1ICwG78r0OFT8biBlxnBF8r7she7gNSzOvJ958PWT09c/edit?usp=sharing"",""ลำพูน!J676"")+IMPORTRANGE(""https://docs.google.com/spreadsheets/d/1B0f2xJpZUC6Z0xXnqKlZtEPzsf6L84eP1r1Q15seqRM/edit?usp=sharing"",""สุโขทัย!J676"")+IMPORTRANGE(""http"&amp;"s://docs.google.com/spreadsheets/d/1v0b9pFQCsKUVExMei7AgY2yQkdeNQvtOssygGsXbiKo/edit?usp=sharing"",""อุตรดิตถ์!J676"")+IMPORTRANGE(""https://docs.google.com/spreadsheets/d/1UsNK1e-WWiCo2PvGqdNfdme4m17_Ezd3J69EeeiQPD0/edit?usp=sharing"",""อุทัยธานี!J676"")"),15)</f>
        <v>15</v>
      </c>
      <c r="K676" s="46">
        <f t="shared" ca="1" si="468"/>
        <v>17.441860465116278</v>
      </c>
      <c r="L676" s="45"/>
      <c r="M676" s="45"/>
      <c r="N676" s="409"/>
      <c r="O676" s="45"/>
      <c r="P676" s="45"/>
      <c r="Q676" s="45"/>
      <c r="R676" s="45"/>
      <c r="S676" s="45"/>
      <c r="T676" s="45"/>
      <c r="U676" s="45"/>
    </row>
    <row r="677" spans="1:21" ht="18.75" x14ac:dyDescent="0.25">
      <c r="A677" s="208"/>
      <c r="B677" s="158"/>
      <c r="C677" s="158"/>
      <c r="D677" s="40"/>
      <c r="E677" s="40"/>
      <c r="F677" s="40"/>
      <c r="G677" s="42"/>
      <c r="H677" s="137" t="s">
        <v>34</v>
      </c>
      <c r="I677" s="180"/>
      <c r="J677" s="166">
        <f ca="1">IFERROR(__xludf.DUMMYFUNCTION("IMPORTRANGE(""https://docs.google.com/spreadsheets/d/1jTcq05yEiRwXcBMLjiodW9e4biSGYWAHcDj22rKWQ3s/edit?usp=sharing"",""กำแพงเพชร!J677"")+IMPORTRANGE(""https://docs.google.com/spreadsheets/d/1KS0zmDSZPk8KnTAbGN-Xk6MtX1YRZD0ldgdt20K4CRk/edit?usp=sharing"","&amp;"""เชียงราย!J677"")+IMPORTRANGE(""https://docs.google.com/spreadsheets/d/1rEDxBtusbi64tE0zunoIbsTVV16HeL0oJ6trHQeQ7K8/edit?usp=sharing"",""เชียงใหม่!J677"")+IMPORTRANGE(""https://docs.google.com/spreadsheets/d/1W6MnUbDkMi6xHnHko_XkFDO9kkuL6Wqyc-6OCDFjW9I/e"&amp;"dit?usp=sharing"",""ตาก!J677"")+IMPORTRANGE(""https://docs.google.com/spreadsheets/d/1IQAWArduLkta9LpYo4a_ULsyqdta6-6aDDiwpUnQT6c/edit?usp=sharing"",""นครสวรรค์!J677"")+IMPORTRANGE(""https://docs.google.com/spreadsheets/d/10s13Sk5xrltsiR-Zkbmk5DwIaDIKO8Xl"&amp;"bJAfqyT7Gvg/edit?usp=sharing"",""น่าน!J677"")+IMPORTRANGE(""https://docs.google.com/spreadsheets/d/1uu4nAn4Dbi1XREnLKKotUANlKXa7yCgRcgq8HEzQYW8/edit?usp=sharing"",""พะเยา!J677"")+IMPORTRANGE(""https://docs.google.com/spreadsheets/d/1xfJKIQxVOaPDIICqsflNlL"&amp;"u3JacTDk1FP9RH4phX7mI/edit?usp=sharing"",""พิจิตร!J677"")+IMPORTRANGE(""https://docs.google.com/spreadsheets/d/1JtRfZkJMHtEhI5RdRHxYUG4FIZHqKDpNyIuN7A1Q0_k/edit?usp=sharing"",""พิษณุโลก!J677"")+IMPORTRANGE(""https://docs.google.com/spreadsheets/d/1xlcVZWU"&amp;"Nn6SuWm0c307h32SiGkd9BaeQWlAktfD3KO8/edit?usp=sharing"",""เพชรบูรณ์!J677"")+IMPORTRANGE(""https://docs.google.com/spreadsheets/d/1lOVebEIsI9qjGXl6EX66luk7wiuP2tBaryw-wKvv4e0/edit?usp=sharing"",""แพร่!J677"")+IMPORTRANGE(""https://docs.google.com/spreadshe"&amp;"ets/d/1dQrvX0vEcN7Gu0fnZ0B5S90AeR19zth4XlExFBeExMY/edit?usp=sharing"",""แม่ฮ่องสอน!J677"")+IMPORTRANGE(""https://docs.google.com/spreadsheets/d/1DY4XTNNwjluuxqdfdn6qvOSlMRrZqUtmYcZR0ttFiG4/edit?usp=sharing"",""ลำปาง!J677"")+IMPORTRANGE(""https://docs.goog"&amp;"le.com/spreadsheets/d/1ICwG78r0OFT8biBlxnBF8r7she7gNSzOvJ958PWT09c/edit?usp=sharing"",""ลำพูน!J677"")+IMPORTRANGE(""https://docs.google.com/spreadsheets/d/1B0f2xJpZUC6Z0xXnqKlZtEPzsf6L84eP1r1Q15seqRM/edit?usp=sharing"",""สุโขทัย!J677"")+IMPORTRANGE(""http"&amp;"s://docs.google.com/spreadsheets/d/1v0b9pFQCsKUVExMei7AgY2yQkdeNQvtOssygGsXbiKo/edit?usp=sharing"",""อุตรดิตถ์!J677"")+IMPORTRANGE(""https://docs.google.com/spreadsheets/d/1UsNK1e-WWiCo2PvGqdNfdme4m17_Ezd3J69EeeiQPD0/edit?usp=sharing"",""อุทัยธานี!J677"")"),18)</f>
        <v>18</v>
      </c>
      <c r="K677" s="45"/>
      <c r="L677" s="409"/>
      <c r="M677" s="409"/>
      <c r="N677" s="409"/>
      <c r="O677" s="45"/>
      <c r="P677" s="45"/>
      <c r="Q677" s="409"/>
      <c r="R677" s="409"/>
      <c r="S677" s="409"/>
      <c r="T677" s="45"/>
      <c r="U677" s="45"/>
    </row>
    <row r="678" spans="1:21" ht="18.75" x14ac:dyDescent="0.25">
      <c r="A678" s="208"/>
      <c r="B678" s="158"/>
      <c r="C678" s="158"/>
      <c r="D678" s="40"/>
      <c r="E678" s="40"/>
      <c r="F678" s="40"/>
      <c r="G678" s="42"/>
      <c r="H678" s="137" t="s">
        <v>46</v>
      </c>
      <c r="I678" s="408">
        <f ca="1">IFERROR(__xludf.DUMMYFUNCTION("IMPORTRANGE(""https://docs.google.com/spreadsheets/d/1jTcq05yEiRwXcBMLjiodW9e4biSGYWAHcDj22rKWQ3s/edit?usp=sharing"",""กำแพงเพชร!I678"")+IMPORTRANGE(""https://docs.google.com/spreadsheets/d/1KS0zmDSZPk8KnTAbGN-Xk6MtX1YRZD0ldgdt20K4CRk/edit?usp=sharing"","&amp;"""เชียงราย!I678"")+IMPORTRANGE(""https://docs.google.com/spreadsheets/d/1rEDxBtusbi64tE0zunoIbsTVV16HeL0oJ6trHQeQ7K8/edit?usp=sharing"",""เชียงใหม่!I678"")+IMPORTRANGE(""https://docs.google.com/spreadsheets/d/1W6MnUbDkMi6xHnHko_XkFDO9kkuL6Wqyc-6OCDFjW9I/e"&amp;"dit?usp=sharing"",""ตาก!I678"")+IMPORTRANGE(""https://docs.google.com/spreadsheets/d/1IQAWArduLkta9LpYo4a_ULsyqdta6-6aDDiwpUnQT6c/edit?usp=sharing"",""นครสวรรค์!I678"")+IMPORTRANGE(""https://docs.google.com/spreadsheets/d/10s13Sk5xrltsiR-Zkbmk5DwIaDIKO8Xl"&amp;"bJAfqyT7Gvg/edit?usp=sharing"",""น่าน!I678"")+IMPORTRANGE(""https://docs.google.com/spreadsheets/d/1uu4nAn4Dbi1XREnLKKotUANlKXa7yCgRcgq8HEzQYW8/edit?usp=sharing"",""พะเยา!I678"")+IMPORTRANGE(""https://docs.google.com/spreadsheets/d/1xfJKIQxVOaPDIICqsflNlL"&amp;"u3JacTDk1FP9RH4phX7mI/edit?usp=sharing"",""พิจิตร!I678"")+IMPORTRANGE(""https://docs.google.com/spreadsheets/d/1JtRfZkJMHtEhI5RdRHxYUG4FIZHqKDpNyIuN7A1Q0_k/edit?usp=sharing"",""พิษณุโลก!I678"")+IMPORTRANGE(""https://docs.google.com/spreadsheets/d/1xlcVZWU"&amp;"Nn6SuWm0c307h32SiGkd9BaeQWlAktfD3KO8/edit?usp=sharing"",""เพชรบูรณ์!I678"")+IMPORTRANGE(""https://docs.google.com/spreadsheets/d/1lOVebEIsI9qjGXl6EX66luk7wiuP2tBaryw-wKvv4e0/edit?usp=sharing"",""แพร่!I678"")+IMPORTRANGE(""https://docs.google.com/spreadshe"&amp;"ets/d/1dQrvX0vEcN7Gu0fnZ0B5S90AeR19zth4XlExFBeExMY/edit?usp=sharing"",""แม่ฮ่องสอน!I678"")+IMPORTRANGE(""https://docs.google.com/spreadsheets/d/1DY4XTNNwjluuxqdfdn6qvOSlMRrZqUtmYcZR0ttFiG4/edit?usp=sharing"",""ลำปาง!I678"")+IMPORTRANGE(""https://docs.goog"&amp;"le.com/spreadsheets/d/1ICwG78r0OFT8biBlxnBF8r7she7gNSzOvJ958PWT09c/edit?usp=sharing"",""ลำพูน!I678"")+IMPORTRANGE(""https://docs.google.com/spreadsheets/d/1B0f2xJpZUC6Z0xXnqKlZtEPzsf6L84eP1r1Q15seqRM/edit?usp=sharing"",""สุโขทัย!I678"")+IMPORTRANGE(""http"&amp;"s://docs.google.com/spreadsheets/d/1v0b9pFQCsKUVExMei7AgY2yQkdeNQvtOssygGsXbiKo/edit?usp=sharing"",""อุตรดิตถ์!I678"")+IMPORTRANGE(""https://docs.google.com/spreadsheets/d/1UsNK1e-WWiCo2PvGqdNfdme4m17_Ezd3J69EeeiQPD0/edit?usp=sharing"",""อุทัยธานี!I678"")"),1509)</f>
        <v>1509</v>
      </c>
      <c r="J678" s="408">
        <f ca="1">IFERROR(__xludf.DUMMYFUNCTION("IMPORTRANGE(""https://docs.google.com/spreadsheets/d/1jTcq05yEiRwXcBMLjiodW9e4biSGYWAHcDj22rKWQ3s/edit?usp=sharing"",""กำแพงเพชร!J678"")+IMPORTRANGE(""https://docs.google.com/spreadsheets/d/1KS0zmDSZPk8KnTAbGN-Xk6MtX1YRZD0ldgdt20K4CRk/edit?usp=sharing"","&amp;"""เชียงราย!J678"")+IMPORTRANGE(""https://docs.google.com/spreadsheets/d/1rEDxBtusbi64tE0zunoIbsTVV16HeL0oJ6trHQeQ7K8/edit?usp=sharing"",""เชียงใหม่!J678"")+IMPORTRANGE(""https://docs.google.com/spreadsheets/d/1W6MnUbDkMi6xHnHko_XkFDO9kkuL6Wqyc-6OCDFjW9I/e"&amp;"dit?usp=sharing"",""ตาก!J678"")+IMPORTRANGE(""https://docs.google.com/spreadsheets/d/1IQAWArduLkta9LpYo4a_ULsyqdta6-6aDDiwpUnQT6c/edit?usp=sharing"",""นครสวรรค์!J678"")+IMPORTRANGE(""https://docs.google.com/spreadsheets/d/10s13Sk5xrltsiR-Zkbmk5DwIaDIKO8Xl"&amp;"bJAfqyT7Gvg/edit?usp=sharing"",""น่าน!J678"")+IMPORTRANGE(""https://docs.google.com/spreadsheets/d/1uu4nAn4Dbi1XREnLKKotUANlKXa7yCgRcgq8HEzQYW8/edit?usp=sharing"",""พะเยา!J678"")+IMPORTRANGE(""https://docs.google.com/spreadsheets/d/1xfJKIQxVOaPDIICqsflNlL"&amp;"u3JacTDk1FP9RH4phX7mI/edit?usp=sharing"",""พิจิตร!J678"")+IMPORTRANGE(""https://docs.google.com/spreadsheets/d/1JtRfZkJMHtEhI5RdRHxYUG4FIZHqKDpNyIuN7A1Q0_k/edit?usp=sharing"",""พิษณุโลก!J678"")+IMPORTRANGE(""https://docs.google.com/spreadsheets/d/1xlcVZWU"&amp;"Nn6SuWm0c307h32SiGkd9BaeQWlAktfD3KO8/edit?usp=sharing"",""เพชรบูรณ์!J678"")+IMPORTRANGE(""https://docs.google.com/spreadsheets/d/1lOVebEIsI9qjGXl6EX66luk7wiuP2tBaryw-wKvv4e0/edit?usp=sharing"",""แพร่!J678"")+IMPORTRANGE(""https://docs.google.com/spreadshe"&amp;"ets/d/1dQrvX0vEcN7Gu0fnZ0B5S90AeR19zth4XlExFBeExMY/edit?usp=sharing"",""แม่ฮ่องสอน!J678"")+IMPORTRANGE(""https://docs.google.com/spreadsheets/d/1DY4XTNNwjluuxqdfdn6qvOSlMRrZqUtmYcZR0ttFiG4/edit?usp=sharing"",""ลำปาง!J678"")+IMPORTRANGE(""https://docs.goog"&amp;"le.com/spreadsheets/d/1ICwG78r0OFT8biBlxnBF8r7she7gNSzOvJ958PWT09c/edit?usp=sharing"",""ลำพูน!J678"")+IMPORTRANGE(""https://docs.google.com/spreadsheets/d/1B0f2xJpZUC6Z0xXnqKlZtEPzsf6L84eP1r1Q15seqRM/edit?usp=sharing"",""สุโขทัย!J678"")+IMPORTRANGE(""http"&amp;"s://docs.google.com/spreadsheets/d/1v0b9pFQCsKUVExMei7AgY2yQkdeNQvtOssygGsXbiKo/edit?usp=sharing"",""อุตรดิตถ์!J678"")+IMPORTRANGE(""https://docs.google.com/spreadsheets/d/1UsNK1e-WWiCo2PvGqdNfdme4m17_Ezd3J69EeeiQPD0/edit?usp=sharing"",""อุทัยธานี!J678"")"),308.82)</f>
        <v>308.82</v>
      </c>
      <c r="K678" s="46">
        <f t="shared" ref="K678:K679" ca="1" si="469">IF(I678&gt;0,J678*100/I678,0)</f>
        <v>20.465208747514911</v>
      </c>
      <c r="L678" s="409"/>
      <c r="M678" s="409"/>
      <c r="N678" s="409"/>
      <c r="O678" s="45"/>
      <c r="P678" s="45"/>
      <c r="Q678" s="409"/>
      <c r="R678" s="409"/>
      <c r="S678" s="409"/>
      <c r="T678" s="45"/>
      <c r="U678" s="45"/>
    </row>
    <row r="679" spans="1:21" ht="18.75" x14ac:dyDescent="0.25">
      <c r="A679" s="208"/>
      <c r="B679" s="158"/>
      <c r="C679" s="158"/>
      <c r="D679" s="40"/>
      <c r="E679" s="47" t="s">
        <v>250</v>
      </c>
      <c r="F679" s="40"/>
      <c r="G679" s="42"/>
      <c r="H679" s="137" t="s">
        <v>35</v>
      </c>
      <c r="I679" s="408">
        <f ca="1">IFERROR(__xludf.DUMMYFUNCTION("IMPORTRANGE(""https://docs.google.com/spreadsheets/d/1jTcq05yEiRwXcBMLjiodW9e4biSGYWAHcDj22rKWQ3s/edit?usp=sharing"",""กำแพงเพชร!I679"")+IMPORTRANGE(""https://docs.google.com/spreadsheets/d/1KS0zmDSZPk8KnTAbGN-Xk6MtX1YRZD0ldgdt20K4CRk/edit?usp=sharing"","&amp;"""เชียงราย!I679"")+IMPORTRANGE(""https://docs.google.com/spreadsheets/d/1rEDxBtusbi64tE0zunoIbsTVV16HeL0oJ6trHQeQ7K8/edit?usp=sharing"",""เชียงใหม่!I679"")+IMPORTRANGE(""https://docs.google.com/spreadsheets/d/1W6MnUbDkMi6xHnHko_XkFDO9kkuL6Wqyc-6OCDFjW9I/e"&amp;"dit?usp=sharing"",""ตาก!I679"")+IMPORTRANGE(""https://docs.google.com/spreadsheets/d/1IQAWArduLkta9LpYo4a_ULsyqdta6-6aDDiwpUnQT6c/edit?usp=sharing"",""นครสวรรค์!I679"")+IMPORTRANGE(""https://docs.google.com/spreadsheets/d/10s13Sk5xrltsiR-Zkbmk5DwIaDIKO8Xl"&amp;"bJAfqyT7Gvg/edit?usp=sharing"",""น่าน!I679"")+IMPORTRANGE(""https://docs.google.com/spreadsheets/d/1uu4nAn4Dbi1XREnLKKotUANlKXa7yCgRcgq8HEzQYW8/edit?usp=sharing"",""พะเยา!I679"")+IMPORTRANGE(""https://docs.google.com/spreadsheets/d/1xfJKIQxVOaPDIICqsflNlL"&amp;"u3JacTDk1FP9RH4phX7mI/edit?usp=sharing"",""พิจิตร!I679"")+IMPORTRANGE(""https://docs.google.com/spreadsheets/d/1JtRfZkJMHtEhI5RdRHxYUG4FIZHqKDpNyIuN7A1Q0_k/edit?usp=sharing"",""พิษณุโลก!I679"")+IMPORTRANGE(""https://docs.google.com/spreadsheets/d/1xlcVZWU"&amp;"Nn6SuWm0c307h32SiGkd9BaeQWlAktfD3KO8/edit?usp=sharing"",""เพชรบูรณ์!I679"")+IMPORTRANGE(""https://docs.google.com/spreadsheets/d/1lOVebEIsI9qjGXl6EX66luk7wiuP2tBaryw-wKvv4e0/edit?usp=sharing"",""แพร่!I679"")+IMPORTRANGE(""https://docs.google.com/spreadshe"&amp;"ets/d/1dQrvX0vEcN7Gu0fnZ0B5S90AeR19zth4XlExFBeExMY/edit?usp=sharing"",""แม่ฮ่องสอน!I679"")+IMPORTRANGE(""https://docs.google.com/spreadsheets/d/1DY4XTNNwjluuxqdfdn6qvOSlMRrZqUtmYcZR0ttFiG4/edit?usp=sharing"",""ลำปาง!I679"")+IMPORTRANGE(""https://docs.goog"&amp;"le.com/spreadsheets/d/1ICwG78r0OFT8biBlxnBF8r7she7gNSzOvJ958PWT09c/edit?usp=sharing"",""ลำพูน!I679"")+IMPORTRANGE(""https://docs.google.com/spreadsheets/d/1B0f2xJpZUC6Z0xXnqKlZtEPzsf6L84eP1r1Q15seqRM/edit?usp=sharing"",""สุโขทัย!I679"")+IMPORTRANGE(""http"&amp;"s://docs.google.com/spreadsheets/d/1v0b9pFQCsKUVExMei7AgY2yQkdeNQvtOssygGsXbiKo/edit?usp=sharing"",""อุตรดิตถ์!I679"")+IMPORTRANGE(""https://docs.google.com/spreadsheets/d/1UsNK1e-WWiCo2PvGqdNfdme4m17_Ezd3J69EeeiQPD0/edit?usp=sharing"",""อุทัยธานี!I679"")"),12)</f>
        <v>12</v>
      </c>
      <c r="J679" s="408">
        <f ca="1">IFERROR(__xludf.DUMMYFUNCTION("IMPORTRANGE(""https://docs.google.com/spreadsheets/d/1jTcq05yEiRwXcBMLjiodW9e4biSGYWAHcDj22rKWQ3s/edit?usp=sharing"",""กำแพงเพชร!J679"")+IMPORTRANGE(""https://docs.google.com/spreadsheets/d/1KS0zmDSZPk8KnTAbGN-Xk6MtX1YRZD0ldgdt20K4CRk/edit?usp=sharing"","&amp;"""เชียงราย!J679"")+IMPORTRANGE(""https://docs.google.com/spreadsheets/d/1rEDxBtusbi64tE0zunoIbsTVV16HeL0oJ6trHQeQ7K8/edit?usp=sharing"",""เชียงใหม่!J679"")+IMPORTRANGE(""https://docs.google.com/spreadsheets/d/1W6MnUbDkMi6xHnHko_XkFDO9kkuL6Wqyc-6OCDFjW9I/e"&amp;"dit?usp=sharing"",""ตาก!J679"")+IMPORTRANGE(""https://docs.google.com/spreadsheets/d/1IQAWArduLkta9LpYo4a_ULsyqdta6-6aDDiwpUnQT6c/edit?usp=sharing"",""นครสวรรค์!J679"")+IMPORTRANGE(""https://docs.google.com/spreadsheets/d/10s13Sk5xrltsiR-Zkbmk5DwIaDIKO8Xl"&amp;"bJAfqyT7Gvg/edit?usp=sharing"",""น่าน!J679"")+IMPORTRANGE(""https://docs.google.com/spreadsheets/d/1uu4nAn4Dbi1XREnLKKotUANlKXa7yCgRcgq8HEzQYW8/edit?usp=sharing"",""พะเยา!J679"")+IMPORTRANGE(""https://docs.google.com/spreadsheets/d/1xfJKIQxVOaPDIICqsflNlL"&amp;"u3JacTDk1FP9RH4phX7mI/edit?usp=sharing"",""พิจิตร!J679"")+IMPORTRANGE(""https://docs.google.com/spreadsheets/d/1JtRfZkJMHtEhI5RdRHxYUG4FIZHqKDpNyIuN7A1Q0_k/edit?usp=sharing"",""พิษณุโลก!J679"")+IMPORTRANGE(""https://docs.google.com/spreadsheets/d/1xlcVZWU"&amp;"Nn6SuWm0c307h32SiGkd9BaeQWlAktfD3KO8/edit?usp=sharing"",""เพชรบูรณ์!J679"")+IMPORTRANGE(""https://docs.google.com/spreadsheets/d/1lOVebEIsI9qjGXl6EX66luk7wiuP2tBaryw-wKvv4e0/edit?usp=sharing"",""แพร่!J679"")+IMPORTRANGE(""https://docs.google.com/spreadshe"&amp;"ets/d/1dQrvX0vEcN7Gu0fnZ0B5S90AeR19zth4XlExFBeExMY/edit?usp=sharing"",""แม่ฮ่องสอน!J679"")+IMPORTRANGE(""https://docs.google.com/spreadsheets/d/1DY4XTNNwjluuxqdfdn6qvOSlMRrZqUtmYcZR0ttFiG4/edit?usp=sharing"",""ลำปาง!J679"")+IMPORTRANGE(""https://docs.goog"&amp;"le.com/spreadsheets/d/1ICwG78r0OFT8biBlxnBF8r7she7gNSzOvJ958PWT09c/edit?usp=sharing"",""ลำพูน!J679"")+IMPORTRANGE(""https://docs.google.com/spreadsheets/d/1B0f2xJpZUC6Z0xXnqKlZtEPzsf6L84eP1r1Q15seqRM/edit?usp=sharing"",""สุโขทัย!J679"")+IMPORTRANGE(""http"&amp;"s://docs.google.com/spreadsheets/d/1v0b9pFQCsKUVExMei7AgY2yQkdeNQvtOssygGsXbiKo/edit?usp=sharing"",""อุตรดิตถ์!J679"")+IMPORTRANGE(""https://docs.google.com/spreadsheets/d/1UsNK1e-WWiCo2PvGqdNfdme4m17_Ezd3J69EeeiQPD0/edit?usp=sharing"",""อุทัยธานี!J679"")"),0)</f>
        <v>0</v>
      </c>
      <c r="K679" s="46">
        <f t="shared" ca="1" si="469"/>
        <v>0</v>
      </c>
      <c r="L679" s="45"/>
      <c r="M679" s="45"/>
      <c r="N679" s="409"/>
      <c r="O679" s="45"/>
      <c r="P679" s="45"/>
      <c r="Q679" s="45"/>
      <c r="R679" s="45"/>
      <c r="S679" s="45"/>
      <c r="T679" s="45"/>
      <c r="U679" s="45"/>
    </row>
    <row r="680" spans="1:21" ht="18.75" x14ac:dyDescent="0.25">
      <c r="A680" s="208"/>
      <c r="B680" s="158"/>
      <c r="C680" s="158"/>
      <c r="D680" s="40"/>
      <c r="E680" s="40"/>
      <c r="F680" s="40"/>
      <c r="G680" s="42"/>
      <c r="H680" s="137" t="s">
        <v>34</v>
      </c>
      <c r="I680" s="180"/>
      <c r="J680" s="166">
        <f ca="1">IFERROR(__xludf.DUMMYFUNCTION("IMPORTRANGE(""https://docs.google.com/spreadsheets/d/1jTcq05yEiRwXcBMLjiodW9e4biSGYWAHcDj22rKWQ3s/edit?usp=sharing"",""กำแพงเพชร!J680"")+IMPORTRANGE(""https://docs.google.com/spreadsheets/d/1KS0zmDSZPk8KnTAbGN-Xk6MtX1YRZD0ldgdt20K4CRk/edit?usp=sharing"","&amp;"""เชียงราย!J680"")+IMPORTRANGE(""https://docs.google.com/spreadsheets/d/1rEDxBtusbi64tE0zunoIbsTVV16HeL0oJ6trHQeQ7K8/edit?usp=sharing"",""เชียงใหม่!J680"")+IMPORTRANGE(""https://docs.google.com/spreadsheets/d/1W6MnUbDkMi6xHnHko_XkFDO9kkuL6Wqyc-6OCDFjW9I/e"&amp;"dit?usp=sharing"",""ตาก!J680"")+IMPORTRANGE(""https://docs.google.com/spreadsheets/d/1IQAWArduLkta9LpYo4a_ULsyqdta6-6aDDiwpUnQT6c/edit?usp=sharing"",""นครสวรรค์!J680"")+IMPORTRANGE(""https://docs.google.com/spreadsheets/d/10s13Sk5xrltsiR-Zkbmk5DwIaDIKO8Xl"&amp;"bJAfqyT7Gvg/edit?usp=sharing"",""น่าน!J680"")+IMPORTRANGE(""https://docs.google.com/spreadsheets/d/1uu4nAn4Dbi1XREnLKKotUANlKXa7yCgRcgq8HEzQYW8/edit?usp=sharing"",""พะเยา!J680"")+IMPORTRANGE(""https://docs.google.com/spreadsheets/d/1xfJKIQxVOaPDIICqsflNlL"&amp;"u3JacTDk1FP9RH4phX7mI/edit?usp=sharing"",""พิจิตร!J680"")+IMPORTRANGE(""https://docs.google.com/spreadsheets/d/1JtRfZkJMHtEhI5RdRHxYUG4FIZHqKDpNyIuN7A1Q0_k/edit?usp=sharing"",""พิษณุโลก!J680"")+IMPORTRANGE(""https://docs.google.com/spreadsheets/d/1xlcVZWU"&amp;"Nn6SuWm0c307h32SiGkd9BaeQWlAktfD3KO8/edit?usp=sharing"",""เพชรบูรณ์!J680"")+IMPORTRANGE(""https://docs.google.com/spreadsheets/d/1lOVebEIsI9qjGXl6EX66luk7wiuP2tBaryw-wKvv4e0/edit?usp=sharing"",""แพร่!J680"")+IMPORTRANGE(""https://docs.google.com/spreadshe"&amp;"ets/d/1dQrvX0vEcN7Gu0fnZ0B5S90AeR19zth4XlExFBeExMY/edit?usp=sharing"",""แม่ฮ่องสอน!J680"")+IMPORTRANGE(""https://docs.google.com/spreadsheets/d/1DY4XTNNwjluuxqdfdn6qvOSlMRrZqUtmYcZR0ttFiG4/edit?usp=sharing"",""ลำปาง!J680"")+IMPORTRANGE(""https://docs.goog"&amp;"le.com/spreadsheets/d/1ICwG78r0OFT8biBlxnBF8r7she7gNSzOvJ958PWT09c/edit?usp=sharing"",""ลำพูน!J680"")+IMPORTRANGE(""https://docs.google.com/spreadsheets/d/1B0f2xJpZUC6Z0xXnqKlZtEPzsf6L84eP1r1Q15seqRM/edit?usp=sharing"",""สุโขทัย!J680"")+IMPORTRANGE(""http"&amp;"s://docs.google.com/spreadsheets/d/1v0b9pFQCsKUVExMei7AgY2yQkdeNQvtOssygGsXbiKo/edit?usp=sharing"",""อุตรดิตถ์!J680"")+IMPORTRANGE(""https://docs.google.com/spreadsheets/d/1UsNK1e-WWiCo2PvGqdNfdme4m17_Ezd3J69EeeiQPD0/edit?usp=sharing"",""อุทัยธานี!J680"")"),0)</f>
        <v>0</v>
      </c>
      <c r="K680" s="45"/>
      <c r="L680" s="409"/>
      <c r="M680" s="409"/>
      <c r="N680" s="409"/>
      <c r="O680" s="45"/>
      <c r="P680" s="45"/>
      <c r="Q680" s="409"/>
      <c r="R680" s="409"/>
      <c r="S680" s="409"/>
      <c r="T680" s="45"/>
      <c r="U680" s="45"/>
    </row>
    <row r="681" spans="1:21" ht="18.75" x14ac:dyDescent="0.25">
      <c r="A681" s="208"/>
      <c r="B681" s="158"/>
      <c r="C681" s="158"/>
      <c r="D681" s="40"/>
      <c r="E681" s="40"/>
      <c r="F681" s="40"/>
      <c r="G681" s="42"/>
      <c r="H681" s="137" t="s">
        <v>46</v>
      </c>
      <c r="I681" s="408">
        <f ca="1">IFERROR(__xludf.DUMMYFUNCTION("IMPORTRANGE(""https://docs.google.com/spreadsheets/d/1jTcq05yEiRwXcBMLjiodW9e4biSGYWAHcDj22rKWQ3s/edit?usp=sharing"",""กำแพงเพชร!I681"")+IMPORTRANGE(""https://docs.google.com/spreadsheets/d/1KS0zmDSZPk8KnTAbGN-Xk6MtX1YRZD0ldgdt20K4CRk/edit?usp=sharing"","&amp;"""เชียงราย!I681"")+IMPORTRANGE(""https://docs.google.com/spreadsheets/d/1rEDxBtusbi64tE0zunoIbsTVV16HeL0oJ6trHQeQ7K8/edit?usp=sharing"",""เชียงใหม่!I681"")+IMPORTRANGE(""https://docs.google.com/spreadsheets/d/1W6MnUbDkMi6xHnHko_XkFDO9kkuL6Wqyc-6OCDFjW9I/e"&amp;"dit?usp=sharing"",""ตาก!I681"")+IMPORTRANGE(""https://docs.google.com/spreadsheets/d/1IQAWArduLkta9LpYo4a_ULsyqdta6-6aDDiwpUnQT6c/edit?usp=sharing"",""นครสวรรค์!I681"")+IMPORTRANGE(""https://docs.google.com/spreadsheets/d/10s13Sk5xrltsiR-Zkbmk5DwIaDIKO8Xl"&amp;"bJAfqyT7Gvg/edit?usp=sharing"",""น่าน!I681"")+IMPORTRANGE(""https://docs.google.com/spreadsheets/d/1uu4nAn4Dbi1XREnLKKotUANlKXa7yCgRcgq8HEzQYW8/edit?usp=sharing"",""พะเยา!I681"")+IMPORTRANGE(""https://docs.google.com/spreadsheets/d/1xfJKIQxVOaPDIICqsflNlL"&amp;"u3JacTDk1FP9RH4phX7mI/edit?usp=sharing"",""พิจิตร!I681"")+IMPORTRANGE(""https://docs.google.com/spreadsheets/d/1JtRfZkJMHtEhI5RdRHxYUG4FIZHqKDpNyIuN7A1Q0_k/edit?usp=sharing"",""พิษณุโลก!I681"")+IMPORTRANGE(""https://docs.google.com/spreadsheets/d/1xlcVZWU"&amp;"Nn6SuWm0c307h32SiGkd9BaeQWlAktfD3KO8/edit?usp=sharing"",""เพชรบูรณ์!I681"")+IMPORTRANGE(""https://docs.google.com/spreadsheets/d/1lOVebEIsI9qjGXl6EX66luk7wiuP2tBaryw-wKvv4e0/edit?usp=sharing"",""แพร่!I681"")+IMPORTRANGE(""https://docs.google.com/spreadshe"&amp;"ets/d/1dQrvX0vEcN7Gu0fnZ0B5S90AeR19zth4XlExFBeExMY/edit?usp=sharing"",""แม่ฮ่องสอน!I681"")+IMPORTRANGE(""https://docs.google.com/spreadsheets/d/1DY4XTNNwjluuxqdfdn6qvOSlMRrZqUtmYcZR0ttFiG4/edit?usp=sharing"",""ลำปาง!I681"")+IMPORTRANGE(""https://docs.goog"&amp;"le.com/spreadsheets/d/1ICwG78r0OFT8biBlxnBF8r7she7gNSzOvJ958PWT09c/edit?usp=sharing"",""ลำพูน!I681"")+IMPORTRANGE(""https://docs.google.com/spreadsheets/d/1B0f2xJpZUC6Z0xXnqKlZtEPzsf6L84eP1r1Q15seqRM/edit?usp=sharing"",""สุโขทัย!I681"")+IMPORTRANGE(""http"&amp;"s://docs.google.com/spreadsheets/d/1v0b9pFQCsKUVExMei7AgY2yQkdeNQvtOssygGsXbiKo/edit?usp=sharing"",""อุตรดิตถ์!I681"")+IMPORTRANGE(""https://docs.google.com/spreadsheets/d/1UsNK1e-WWiCo2PvGqdNfdme4m17_Ezd3J69EeeiQPD0/edit?usp=sharing"",""อุทัยธานี!I681"")"),120)</f>
        <v>120</v>
      </c>
      <c r="J681" s="408">
        <f ca="1">IFERROR(__xludf.DUMMYFUNCTION("IMPORTRANGE(""https://docs.google.com/spreadsheets/d/1jTcq05yEiRwXcBMLjiodW9e4biSGYWAHcDj22rKWQ3s/edit?usp=sharing"",""กำแพงเพชร!J681"")+IMPORTRANGE(""https://docs.google.com/spreadsheets/d/1KS0zmDSZPk8KnTAbGN-Xk6MtX1YRZD0ldgdt20K4CRk/edit?usp=sharing"","&amp;"""เชียงราย!J681"")+IMPORTRANGE(""https://docs.google.com/spreadsheets/d/1rEDxBtusbi64tE0zunoIbsTVV16HeL0oJ6trHQeQ7K8/edit?usp=sharing"",""เชียงใหม่!J681"")+IMPORTRANGE(""https://docs.google.com/spreadsheets/d/1W6MnUbDkMi6xHnHko_XkFDO9kkuL6Wqyc-6OCDFjW9I/e"&amp;"dit?usp=sharing"",""ตาก!J681"")+IMPORTRANGE(""https://docs.google.com/spreadsheets/d/1IQAWArduLkta9LpYo4a_ULsyqdta6-6aDDiwpUnQT6c/edit?usp=sharing"",""นครสวรรค์!J681"")+IMPORTRANGE(""https://docs.google.com/spreadsheets/d/10s13Sk5xrltsiR-Zkbmk5DwIaDIKO8Xl"&amp;"bJAfqyT7Gvg/edit?usp=sharing"",""น่าน!J681"")+IMPORTRANGE(""https://docs.google.com/spreadsheets/d/1uu4nAn4Dbi1XREnLKKotUANlKXa7yCgRcgq8HEzQYW8/edit?usp=sharing"",""พะเยา!J681"")+IMPORTRANGE(""https://docs.google.com/spreadsheets/d/1xfJKIQxVOaPDIICqsflNlL"&amp;"u3JacTDk1FP9RH4phX7mI/edit?usp=sharing"",""พิจิตร!J681"")+IMPORTRANGE(""https://docs.google.com/spreadsheets/d/1JtRfZkJMHtEhI5RdRHxYUG4FIZHqKDpNyIuN7A1Q0_k/edit?usp=sharing"",""พิษณุโลก!J681"")+IMPORTRANGE(""https://docs.google.com/spreadsheets/d/1xlcVZWU"&amp;"Nn6SuWm0c307h32SiGkd9BaeQWlAktfD3KO8/edit?usp=sharing"",""เพชรบูรณ์!J681"")+IMPORTRANGE(""https://docs.google.com/spreadsheets/d/1lOVebEIsI9qjGXl6EX66luk7wiuP2tBaryw-wKvv4e0/edit?usp=sharing"",""แพร่!J681"")+IMPORTRANGE(""https://docs.google.com/spreadshe"&amp;"ets/d/1dQrvX0vEcN7Gu0fnZ0B5S90AeR19zth4XlExFBeExMY/edit?usp=sharing"",""แม่ฮ่องสอน!J681"")+IMPORTRANGE(""https://docs.google.com/spreadsheets/d/1DY4XTNNwjluuxqdfdn6qvOSlMRrZqUtmYcZR0ttFiG4/edit?usp=sharing"",""ลำปาง!J681"")+IMPORTRANGE(""https://docs.goog"&amp;"le.com/spreadsheets/d/1ICwG78r0OFT8biBlxnBF8r7she7gNSzOvJ958PWT09c/edit?usp=sharing"",""ลำพูน!J681"")+IMPORTRANGE(""https://docs.google.com/spreadsheets/d/1B0f2xJpZUC6Z0xXnqKlZtEPzsf6L84eP1r1Q15seqRM/edit?usp=sharing"",""สุโขทัย!J681"")+IMPORTRANGE(""http"&amp;"s://docs.google.com/spreadsheets/d/1v0b9pFQCsKUVExMei7AgY2yQkdeNQvtOssygGsXbiKo/edit?usp=sharing"",""อุตรดิตถ์!J681"")+IMPORTRANGE(""https://docs.google.com/spreadsheets/d/1UsNK1e-WWiCo2PvGqdNfdme4m17_Ezd3J69EeeiQPD0/edit?usp=sharing"",""อุทัยธานี!J681"")"),0)</f>
        <v>0</v>
      </c>
      <c r="K681" s="46">
        <f t="shared" ref="K681:K682" ca="1" si="470">IF(I681&gt;0,J681*100/I681,0)</f>
        <v>0</v>
      </c>
      <c r="L681" s="409"/>
      <c r="M681" s="409"/>
      <c r="N681" s="409"/>
      <c r="O681" s="45"/>
      <c r="P681" s="45"/>
      <c r="Q681" s="409"/>
      <c r="R681" s="409"/>
      <c r="S681" s="409"/>
      <c r="T681" s="45"/>
      <c r="U681" s="45"/>
    </row>
    <row r="682" spans="1:21" ht="19.5" x14ac:dyDescent="0.3">
      <c r="A682" s="208"/>
      <c r="B682" s="158"/>
      <c r="C682" s="158"/>
      <c r="D682" s="47" t="s">
        <v>251</v>
      </c>
      <c r="E682" s="40"/>
      <c r="F682" s="40"/>
      <c r="G682" s="42"/>
      <c r="H682" s="404" t="s">
        <v>46</v>
      </c>
      <c r="I682" s="410">
        <f ca="1">IFERROR(__xludf.DUMMYFUNCTION("IMPORTRANGE(""https://docs.google.com/spreadsheets/d/1jTcq05yEiRwXcBMLjiodW9e4biSGYWAHcDj22rKWQ3s/edit?usp=sharing"",""กำแพงเพชร!I682"")+IMPORTRANGE(""https://docs.google.com/spreadsheets/d/1KS0zmDSZPk8KnTAbGN-Xk6MtX1YRZD0ldgdt20K4CRk/edit?usp=sharing"","&amp;"""เชียงราย!I682"")+IMPORTRANGE(""https://docs.google.com/spreadsheets/d/1rEDxBtusbi64tE0zunoIbsTVV16HeL0oJ6trHQeQ7K8/edit?usp=sharing"",""เชียงใหม่!I682"")+IMPORTRANGE(""https://docs.google.com/spreadsheets/d/1W6MnUbDkMi6xHnHko_XkFDO9kkuL6Wqyc-6OCDFjW9I/e"&amp;"dit?usp=sharing"",""ตาก!I682"")+IMPORTRANGE(""https://docs.google.com/spreadsheets/d/1IQAWArduLkta9LpYo4a_ULsyqdta6-6aDDiwpUnQT6c/edit?usp=sharing"",""นครสวรรค์!I682"")+IMPORTRANGE(""https://docs.google.com/spreadsheets/d/10s13Sk5xrltsiR-Zkbmk5DwIaDIKO8Xl"&amp;"bJAfqyT7Gvg/edit?usp=sharing"",""น่าน!I682"")+IMPORTRANGE(""https://docs.google.com/spreadsheets/d/1uu4nAn4Dbi1XREnLKKotUANlKXa7yCgRcgq8HEzQYW8/edit?usp=sharing"",""พะเยา!I682"")+IMPORTRANGE(""https://docs.google.com/spreadsheets/d/1xfJKIQxVOaPDIICqsflNlL"&amp;"u3JacTDk1FP9RH4phX7mI/edit?usp=sharing"",""พิจิตร!I682"")+IMPORTRANGE(""https://docs.google.com/spreadsheets/d/1JtRfZkJMHtEhI5RdRHxYUG4FIZHqKDpNyIuN7A1Q0_k/edit?usp=sharing"",""พิษณุโลก!I682"")+IMPORTRANGE(""https://docs.google.com/spreadsheets/d/1xlcVZWU"&amp;"Nn6SuWm0c307h32SiGkd9BaeQWlAktfD3KO8/edit?usp=sharing"",""เพชรบูรณ์!I682"")+IMPORTRANGE(""https://docs.google.com/spreadsheets/d/1lOVebEIsI9qjGXl6EX66luk7wiuP2tBaryw-wKvv4e0/edit?usp=sharing"",""แพร่!I682"")+IMPORTRANGE(""https://docs.google.com/spreadshe"&amp;"ets/d/1dQrvX0vEcN7Gu0fnZ0B5S90AeR19zth4XlExFBeExMY/edit?usp=sharing"",""แม่ฮ่องสอน!I682"")+IMPORTRANGE(""https://docs.google.com/spreadsheets/d/1DY4XTNNwjluuxqdfdn6qvOSlMRrZqUtmYcZR0ttFiG4/edit?usp=sharing"",""ลำปาง!I682"")+IMPORTRANGE(""https://docs.goog"&amp;"le.com/spreadsheets/d/1ICwG78r0OFT8biBlxnBF8r7she7gNSzOvJ958PWT09c/edit?usp=sharing"",""ลำพูน!I682"")+IMPORTRANGE(""https://docs.google.com/spreadsheets/d/1B0f2xJpZUC6Z0xXnqKlZtEPzsf6L84eP1r1Q15seqRM/edit?usp=sharing"",""สุโขทัย!I682"")+IMPORTRANGE(""http"&amp;"s://docs.google.com/spreadsheets/d/1v0b9pFQCsKUVExMei7AgY2yQkdeNQvtOssygGsXbiKo/edit?usp=sharing"",""อุตรดิตถ์!I682"")+IMPORTRANGE(""https://docs.google.com/spreadsheets/d/1UsNK1e-WWiCo2PvGqdNfdme4m17_Ezd3J69EeeiQPD0/edit?usp=sharing"",""อุทัยธานี!I682"")"),204)</f>
        <v>204</v>
      </c>
      <c r="J682" s="147">
        <f ca="1">J685+J688</f>
        <v>95</v>
      </c>
      <c r="K682" s="132">
        <f t="shared" ca="1" si="470"/>
        <v>46.568627450980394</v>
      </c>
      <c r="L682" s="45"/>
      <c r="M682" s="45"/>
      <c r="N682" s="409"/>
      <c r="O682" s="45"/>
      <c r="P682" s="45"/>
      <c r="Q682" s="45"/>
      <c r="R682" s="45"/>
      <c r="S682" s="45"/>
      <c r="T682" s="45"/>
      <c r="U682" s="45"/>
    </row>
    <row r="683" spans="1:21" ht="18.75" x14ac:dyDescent="0.25">
      <c r="A683" s="208"/>
      <c r="B683" s="158"/>
      <c r="C683" s="158"/>
      <c r="D683" s="40"/>
      <c r="E683" s="47" t="s">
        <v>252</v>
      </c>
      <c r="F683" s="40"/>
      <c r="G683" s="42"/>
      <c r="H683" s="137" t="s">
        <v>35</v>
      </c>
      <c r="I683" s="180"/>
      <c r="J683" s="167">
        <f ca="1">IFERROR(__xludf.DUMMYFUNCTION("IMPORTRANGE(""https://docs.google.com/spreadsheets/d/1jTcq05yEiRwXcBMLjiodW9e4biSGYWAHcDj22rKWQ3s/edit?usp=sharing"",""กำแพงเพชร!J683"")+IMPORTRANGE(""https://docs.google.com/spreadsheets/d/1KS0zmDSZPk8KnTAbGN-Xk6MtX1YRZD0ldgdt20K4CRk/edit?usp=sharing"","&amp;"""เชียงราย!J683"")+IMPORTRANGE(""https://docs.google.com/spreadsheets/d/1rEDxBtusbi64tE0zunoIbsTVV16HeL0oJ6trHQeQ7K8/edit?usp=sharing"",""เชียงใหม่!J683"")+IMPORTRANGE(""https://docs.google.com/spreadsheets/d/1W6MnUbDkMi6xHnHko_XkFDO9kkuL6Wqyc-6OCDFjW9I/e"&amp;"dit?usp=sharing"",""ตาก!J683"")+IMPORTRANGE(""https://docs.google.com/spreadsheets/d/1IQAWArduLkta9LpYo4a_ULsyqdta6-6aDDiwpUnQT6c/edit?usp=sharing"",""นครสวรรค์!J683"")+IMPORTRANGE(""https://docs.google.com/spreadsheets/d/10s13Sk5xrltsiR-Zkbmk5DwIaDIKO8Xl"&amp;"bJAfqyT7Gvg/edit?usp=sharing"",""น่าน!J683"")+IMPORTRANGE(""https://docs.google.com/spreadsheets/d/1uu4nAn4Dbi1XREnLKKotUANlKXa7yCgRcgq8HEzQYW8/edit?usp=sharing"",""พะเยา!J683"")+IMPORTRANGE(""https://docs.google.com/spreadsheets/d/1xfJKIQxVOaPDIICqsflNlL"&amp;"u3JacTDk1FP9RH4phX7mI/edit?usp=sharing"",""พิจิตร!J683"")+IMPORTRANGE(""https://docs.google.com/spreadsheets/d/1JtRfZkJMHtEhI5RdRHxYUG4FIZHqKDpNyIuN7A1Q0_k/edit?usp=sharing"",""พิษณุโลก!J683"")+IMPORTRANGE(""https://docs.google.com/spreadsheets/d/1xlcVZWU"&amp;"Nn6SuWm0c307h32SiGkd9BaeQWlAktfD3KO8/edit?usp=sharing"",""เพชรบูรณ์!J683"")+IMPORTRANGE(""https://docs.google.com/spreadsheets/d/1lOVebEIsI9qjGXl6EX66luk7wiuP2tBaryw-wKvv4e0/edit?usp=sharing"",""แพร่!J683"")+IMPORTRANGE(""https://docs.google.com/spreadshe"&amp;"ets/d/1dQrvX0vEcN7Gu0fnZ0B5S90AeR19zth4XlExFBeExMY/edit?usp=sharing"",""แม่ฮ่องสอน!J683"")+IMPORTRANGE(""https://docs.google.com/spreadsheets/d/1DY4XTNNwjluuxqdfdn6qvOSlMRrZqUtmYcZR0ttFiG4/edit?usp=sharing"",""ลำปาง!J683"")+IMPORTRANGE(""https://docs.goog"&amp;"le.com/spreadsheets/d/1ICwG78r0OFT8biBlxnBF8r7she7gNSzOvJ958PWT09c/edit?usp=sharing"",""ลำพูน!J683"")+IMPORTRANGE(""https://docs.google.com/spreadsheets/d/1B0f2xJpZUC6Z0xXnqKlZtEPzsf6L84eP1r1Q15seqRM/edit?usp=sharing"",""สุโขทัย!J683"")+IMPORTRANGE(""http"&amp;"s://docs.google.com/spreadsheets/d/1v0b9pFQCsKUVExMei7AgY2yQkdeNQvtOssygGsXbiKo/edit?usp=sharing"",""อุตรดิตถ์!J683"")+IMPORTRANGE(""https://docs.google.com/spreadsheets/d/1UsNK1e-WWiCo2PvGqdNfdme4m17_Ezd3J69EeeiQPD0/edit?usp=sharing"",""อุทัยธานี!J683"")"),3)</f>
        <v>3</v>
      </c>
      <c r="K683" s="45"/>
      <c r="L683" s="409"/>
      <c r="M683" s="409"/>
      <c r="N683" s="409"/>
      <c r="O683" s="45"/>
      <c r="P683" s="45"/>
      <c r="Q683" s="409"/>
      <c r="R683" s="409"/>
      <c r="S683" s="409"/>
      <c r="T683" s="45"/>
      <c r="U683" s="45"/>
    </row>
    <row r="684" spans="1:21" ht="18.75" x14ac:dyDescent="0.25">
      <c r="A684" s="208"/>
      <c r="B684" s="158"/>
      <c r="C684" s="158"/>
      <c r="D684" s="40"/>
      <c r="E684" s="40"/>
      <c r="F684" s="40"/>
      <c r="G684" s="42"/>
      <c r="H684" s="137" t="s">
        <v>34</v>
      </c>
      <c r="I684" s="180"/>
      <c r="J684" s="167">
        <f ca="1">IFERROR(__xludf.DUMMYFUNCTION("IMPORTRANGE(""https://docs.google.com/spreadsheets/d/1jTcq05yEiRwXcBMLjiodW9e4biSGYWAHcDj22rKWQ3s/edit?usp=sharing"",""กำแพงเพชร!J684"")+IMPORTRANGE(""https://docs.google.com/spreadsheets/d/1KS0zmDSZPk8KnTAbGN-Xk6MtX1YRZD0ldgdt20K4CRk/edit?usp=sharing"","&amp;"""เชียงราย!J684"")+IMPORTRANGE(""https://docs.google.com/spreadsheets/d/1rEDxBtusbi64tE0zunoIbsTVV16HeL0oJ6trHQeQ7K8/edit?usp=sharing"",""เชียงใหม่!J684"")+IMPORTRANGE(""https://docs.google.com/spreadsheets/d/1W6MnUbDkMi6xHnHko_XkFDO9kkuL6Wqyc-6OCDFjW9I/e"&amp;"dit?usp=sharing"",""ตาก!J684"")+IMPORTRANGE(""https://docs.google.com/spreadsheets/d/1IQAWArduLkta9LpYo4a_ULsyqdta6-6aDDiwpUnQT6c/edit?usp=sharing"",""นครสวรรค์!J684"")+IMPORTRANGE(""https://docs.google.com/spreadsheets/d/10s13Sk5xrltsiR-Zkbmk5DwIaDIKO8Xl"&amp;"bJAfqyT7Gvg/edit?usp=sharing"",""น่าน!J684"")+IMPORTRANGE(""https://docs.google.com/spreadsheets/d/1uu4nAn4Dbi1XREnLKKotUANlKXa7yCgRcgq8HEzQYW8/edit?usp=sharing"",""พะเยา!J684"")+IMPORTRANGE(""https://docs.google.com/spreadsheets/d/1xfJKIQxVOaPDIICqsflNlL"&amp;"u3JacTDk1FP9RH4phX7mI/edit?usp=sharing"",""พิจิตร!J684"")+IMPORTRANGE(""https://docs.google.com/spreadsheets/d/1JtRfZkJMHtEhI5RdRHxYUG4FIZHqKDpNyIuN7A1Q0_k/edit?usp=sharing"",""พิษณุโลก!J684"")+IMPORTRANGE(""https://docs.google.com/spreadsheets/d/1xlcVZWU"&amp;"Nn6SuWm0c307h32SiGkd9BaeQWlAktfD3KO8/edit?usp=sharing"",""เพชรบูรณ์!J684"")+IMPORTRANGE(""https://docs.google.com/spreadsheets/d/1lOVebEIsI9qjGXl6EX66luk7wiuP2tBaryw-wKvv4e0/edit?usp=sharing"",""แพร่!J684"")+IMPORTRANGE(""https://docs.google.com/spreadshe"&amp;"ets/d/1dQrvX0vEcN7Gu0fnZ0B5S90AeR19zth4XlExFBeExMY/edit?usp=sharing"",""แม่ฮ่องสอน!J684"")+IMPORTRANGE(""https://docs.google.com/spreadsheets/d/1DY4XTNNwjluuxqdfdn6qvOSlMRrZqUtmYcZR0ttFiG4/edit?usp=sharing"",""ลำปาง!J684"")+IMPORTRANGE(""https://docs.goog"&amp;"le.com/spreadsheets/d/1ICwG78r0OFT8biBlxnBF8r7she7gNSzOvJ958PWT09c/edit?usp=sharing"",""ลำพูน!J684"")+IMPORTRANGE(""https://docs.google.com/spreadsheets/d/1B0f2xJpZUC6Z0xXnqKlZtEPzsf6L84eP1r1Q15seqRM/edit?usp=sharing"",""สุโขทัย!J684"")+IMPORTRANGE(""http"&amp;"s://docs.google.com/spreadsheets/d/1v0b9pFQCsKUVExMei7AgY2yQkdeNQvtOssygGsXbiKo/edit?usp=sharing"",""อุตรดิตถ์!J684"")+IMPORTRANGE(""https://docs.google.com/spreadsheets/d/1UsNK1e-WWiCo2PvGqdNfdme4m17_Ezd3J69EeeiQPD0/edit?usp=sharing"",""อุทัยธานี!J684"")"),3)</f>
        <v>3</v>
      </c>
      <c r="K684" s="45"/>
      <c r="L684" s="409"/>
      <c r="M684" s="409"/>
      <c r="N684" s="409"/>
      <c r="O684" s="45"/>
      <c r="P684" s="45"/>
      <c r="Q684" s="409"/>
      <c r="R684" s="409"/>
      <c r="S684" s="409"/>
      <c r="T684" s="45"/>
      <c r="U684" s="45"/>
    </row>
    <row r="685" spans="1:21" ht="18.75" x14ac:dyDescent="0.25">
      <c r="A685" s="208"/>
      <c r="B685" s="158"/>
      <c r="C685" s="158"/>
      <c r="D685" s="40"/>
      <c r="E685" s="40"/>
      <c r="F685" s="40"/>
      <c r="G685" s="42"/>
      <c r="H685" s="137" t="s">
        <v>46</v>
      </c>
      <c r="I685" s="180"/>
      <c r="J685" s="167">
        <f ca="1">IFERROR(__xludf.DUMMYFUNCTION("IMPORTRANGE(""https://docs.google.com/spreadsheets/d/1jTcq05yEiRwXcBMLjiodW9e4biSGYWAHcDj22rKWQ3s/edit?usp=sharing"",""กำแพงเพชร!J685"")+IMPORTRANGE(""https://docs.google.com/spreadsheets/d/1KS0zmDSZPk8KnTAbGN-Xk6MtX1YRZD0ldgdt20K4CRk/edit?usp=sharing"","&amp;"""เชียงราย!J685"")+IMPORTRANGE(""https://docs.google.com/spreadsheets/d/1rEDxBtusbi64tE0zunoIbsTVV16HeL0oJ6trHQeQ7K8/edit?usp=sharing"",""เชียงใหม่!J685"")+IMPORTRANGE(""https://docs.google.com/spreadsheets/d/1W6MnUbDkMi6xHnHko_XkFDO9kkuL6Wqyc-6OCDFjW9I/e"&amp;"dit?usp=sharing"",""ตาก!J685"")+IMPORTRANGE(""https://docs.google.com/spreadsheets/d/1IQAWArduLkta9LpYo4a_ULsyqdta6-6aDDiwpUnQT6c/edit?usp=sharing"",""นครสวรรค์!J685"")+IMPORTRANGE(""https://docs.google.com/spreadsheets/d/10s13Sk5xrltsiR-Zkbmk5DwIaDIKO8Xl"&amp;"bJAfqyT7Gvg/edit?usp=sharing"",""น่าน!J685"")+IMPORTRANGE(""https://docs.google.com/spreadsheets/d/1uu4nAn4Dbi1XREnLKKotUANlKXa7yCgRcgq8HEzQYW8/edit?usp=sharing"",""พะเยา!J685"")+IMPORTRANGE(""https://docs.google.com/spreadsheets/d/1xfJKIQxVOaPDIICqsflNlL"&amp;"u3JacTDk1FP9RH4phX7mI/edit?usp=sharing"",""พิจิตร!J685"")+IMPORTRANGE(""https://docs.google.com/spreadsheets/d/1JtRfZkJMHtEhI5RdRHxYUG4FIZHqKDpNyIuN7A1Q0_k/edit?usp=sharing"",""พิษณุโลก!J685"")+IMPORTRANGE(""https://docs.google.com/spreadsheets/d/1xlcVZWU"&amp;"Nn6SuWm0c307h32SiGkd9BaeQWlAktfD3KO8/edit?usp=sharing"",""เพชรบูรณ์!J685"")+IMPORTRANGE(""https://docs.google.com/spreadsheets/d/1lOVebEIsI9qjGXl6EX66luk7wiuP2tBaryw-wKvv4e0/edit?usp=sharing"",""แพร่!J685"")+IMPORTRANGE(""https://docs.google.com/spreadshe"&amp;"ets/d/1dQrvX0vEcN7Gu0fnZ0B5S90AeR19zth4XlExFBeExMY/edit?usp=sharing"",""แม่ฮ่องสอน!J685"")+IMPORTRANGE(""https://docs.google.com/spreadsheets/d/1DY4XTNNwjluuxqdfdn6qvOSlMRrZqUtmYcZR0ttFiG4/edit?usp=sharing"",""ลำปาง!J685"")+IMPORTRANGE(""https://docs.goog"&amp;"le.com/spreadsheets/d/1ICwG78r0OFT8biBlxnBF8r7she7gNSzOvJ958PWT09c/edit?usp=sharing"",""ลำพูน!J685"")+IMPORTRANGE(""https://docs.google.com/spreadsheets/d/1B0f2xJpZUC6Z0xXnqKlZtEPzsf6L84eP1r1Q15seqRM/edit?usp=sharing"",""สุโขทัย!J685"")+IMPORTRANGE(""http"&amp;"s://docs.google.com/spreadsheets/d/1v0b9pFQCsKUVExMei7AgY2yQkdeNQvtOssygGsXbiKo/edit?usp=sharing"",""อุตรดิตถ์!J685"")+IMPORTRANGE(""https://docs.google.com/spreadsheets/d/1UsNK1e-WWiCo2PvGqdNfdme4m17_Ezd3J69EeeiQPD0/edit?usp=sharing"",""อุทัยธานี!J685"")"),65)</f>
        <v>65</v>
      </c>
      <c r="K685" s="45"/>
      <c r="L685" s="409"/>
      <c r="M685" s="409"/>
      <c r="N685" s="409"/>
      <c r="O685" s="45"/>
      <c r="P685" s="45"/>
      <c r="Q685" s="409"/>
      <c r="R685" s="409"/>
      <c r="S685" s="409"/>
      <c r="T685" s="45"/>
      <c r="U685" s="45"/>
    </row>
    <row r="686" spans="1:21" ht="18.75" x14ac:dyDescent="0.25">
      <c r="A686" s="208"/>
      <c r="B686" s="158"/>
      <c r="C686" s="158"/>
      <c r="D686" s="40"/>
      <c r="E686" s="47" t="s">
        <v>253</v>
      </c>
      <c r="F686" s="40"/>
      <c r="G686" s="42"/>
      <c r="H686" s="137" t="s">
        <v>35</v>
      </c>
      <c r="I686" s="180"/>
      <c r="J686" s="167">
        <f ca="1">IFERROR(__xludf.DUMMYFUNCTION("IMPORTRANGE(""https://docs.google.com/spreadsheets/d/1jTcq05yEiRwXcBMLjiodW9e4biSGYWAHcDj22rKWQ3s/edit?usp=sharing"",""กำแพงเพชร!J686"")+IMPORTRANGE(""https://docs.google.com/spreadsheets/d/1KS0zmDSZPk8KnTAbGN-Xk6MtX1YRZD0ldgdt20K4CRk/edit?usp=sharing"","&amp;"""เชียงราย!J686"")+IMPORTRANGE(""https://docs.google.com/spreadsheets/d/1rEDxBtusbi64tE0zunoIbsTVV16HeL0oJ6trHQeQ7K8/edit?usp=sharing"",""เชียงใหม่!J686"")+IMPORTRANGE(""https://docs.google.com/spreadsheets/d/1W6MnUbDkMi6xHnHko_XkFDO9kkuL6Wqyc-6OCDFjW9I/e"&amp;"dit?usp=sharing"",""ตาก!J686"")+IMPORTRANGE(""https://docs.google.com/spreadsheets/d/1IQAWArduLkta9LpYo4a_ULsyqdta6-6aDDiwpUnQT6c/edit?usp=sharing"",""นครสวรรค์!J686"")+IMPORTRANGE(""https://docs.google.com/spreadsheets/d/10s13Sk5xrltsiR-Zkbmk5DwIaDIKO8Xl"&amp;"bJAfqyT7Gvg/edit?usp=sharing"",""น่าน!J686"")+IMPORTRANGE(""https://docs.google.com/spreadsheets/d/1uu4nAn4Dbi1XREnLKKotUANlKXa7yCgRcgq8HEzQYW8/edit?usp=sharing"",""พะเยา!J686"")+IMPORTRANGE(""https://docs.google.com/spreadsheets/d/1xfJKIQxVOaPDIICqsflNlL"&amp;"u3JacTDk1FP9RH4phX7mI/edit?usp=sharing"",""พิจิตร!J686"")+IMPORTRANGE(""https://docs.google.com/spreadsheets/d/1JtRfZkJMHtEhI5RdRHxYUG4FIZHqKDpNyIuN7A1Q0_k/edit?usp=sharing"",""พิษณุโลก!J686"")+IMPORTRANGE(""https://docs.google.com/spreadsheets/d/1xlcVZWU"&amp;"Nn6SuWm0c307h32SiGkd9BaeQWlAktfD3KO8/edit?usp=sharing"",""เพชรบูรณ์!J686"")+IMPORTRANGE(""https://docs.google.com/spreadsheets/d/1lOVebEIsI9qjGXl6EX66luk7wiuP2tBaryw-wKvv4e0/edit?usp=sharing"",""แพร่!J686"")+IMPORTRANGE(""https://docs.google.com/spreadshe"&amp;"ets/d/1dQrvX0vEcN7Gu0fnZ0B5S90AeR19zth4XlExFBeExMY/edit?usp=sharing"",""แม่ฮ่องสอน!J686"")+IMPORTRANGE(""https://docs.google.com/spreadsheets/d/1DY4XTNNwjluuxqdfdn6qvOSlMRrZqUtmYcZR0ttFiG4/edit?usp=sharing"",""ลำปาง!J686"")+IMPORTRANGE(""https://docs.goog"&amp;"le.com/spreadsheets/d/1ICwG78r0OFT8biBlxnBF8r7she7gNSzOvJ958PWT09c/edit?usp=sharing"",""ลำพูน!J686"")+IMPORTRANGE(""https://docs.google.com/spreadsheets/d/1B0f2xJpZUC6Z0xXnqKlZtEPzsf6L84eP1r1Q15seqRM/edit?usp=sharing"",""สุโขทัย!J686"")+IMPORTRANGE(""http"&amp;"s://docs.google.com/spreadsheets/d/1v0b9pFQCsKUVExMei7AgY2yQkdeNQvtOssygGsXbiKo/edit?usp=sharing"",""อุตรดิตถ์!J686"")+IMPORTRANGE(""https://docs.google.com/spreadsheets/d/1UsNK1e-WWiCo2PvGqdNfdme4m17_Ezd3J69EeeiQPD0/edit?usp=sharing"",""อุทัยธานี!J686"")"),2)</f>
        <v>2</v>
      </c>
      <c r="K686" s="45"/>
      <c r="L686" s="409"/>
      <c r="M686" s="409"/>
      <c r="N686" s="409"/>
      <c r="O686" s="45"/>
      <c r="P686" s="45"/>
      <c r="Q686" s="409"/>
      <c r="R686" s="409"/>
      <c r="S686" s="409"/>
      <c r="T686" s="45"/>
      <c r="U686" s="45"/>
    </row>
    <row r="687" spans="1:21" ht="18.75" x14ac:dyDescent="0.25">
      <c r="A687" s="208"/>
      <c r="B687" s="158"/>
      <c r="C687" s="158"/>
      <c r="D687" s="40"/>
      <c r="E687" s="40"/>
      <c r="F687" s="40"/>
      <c r="G687" s="42"/>
      <c r="H687" s="137" t="s">
        <v>34</v>
      </c>
      <c r="I687" s="180"/>
      <c r="J687" s="167">
        <f ca="1">IFERROR(__xludf.DUMMYFUNCTION("IMPORTRANGE(""https://docs.google.com/spreadsheets/d/1jTcq05yEiRwXcBMLjiodW9e4biSGYWAHcDj22rKWQ3s/edit?usp=sharing"",""กำแพงเพชร!J687"")+IMPORTRANGE(""https://docs.google.com/spreadsheets/d/1KS0zmDSZPk8KnTAbGN-Xk6MtX1YRZD0ldgdt20K4CRk/edit?usp=sharing"","&amp;"""เชียงราย!J687"")+IMPORTRANGE(""https://docs.google.com/spreadsheets/d/1rEDxBtusbi64tE0zunoIbsTVV16HeL0oJ6trHQeQ7K8/edit?usp=sharing"",""เชียงใหม่!J687"")+IMPORTRANGE(""https://docs.google.com/spreadsheets/d/1W6MnUbDkMi6xHnHko_XkFDO9kkuL6Wqyc-6OCDFjW9I/e"&amp;"dit?usp=sharing"",""ตาก!J687"")+IMPORTRANGE(""https://docs.google.com/spreadsheets/d/1IQAWArduLkta9LpYo4a_ULsyqdta6-6aDDiwpUnQT6c/edit?usp=sharing"",""นครสวรรค์!J687"")+IMPORTRANGE(""https://docs.google.com/spreadsheets/d/10s13Sk5xrltsiR-Zkbmk5DwIaDIKO8Xl"&amp;"bJAfqyT7Gvg/edit?usp=sharing"",""น่าน!J687"")+IMPORTRANGE(""https://docs.google.com/spreadsheets/d/1uu4nAn4Dbi1XREnLKKotUANlKXa7yCgRcgq8HEzQYW8/edit?usp=sharing"",""พะเยา!J687"")+IMPORTRANGE(""https://docs.google.com/spreadsheets/d/1xfJKIQxVOaPDIICqsflNlL"&amp;"u3JacTDk1FP9RH4phX7mI/edit?usp=sharing"",""พิจิตร!J687"")+IMPORTRANGE(""https://docs.google.com/spreadsheets/d/1JtRfZkJMHtEhI5RdRHxYUG4FIZHqKDpNyIuN7A1Q0_k/edit?usp=sharing"",""พิษณุโลก!J687"")+IMPORTRANGE(""https://docs.google.com/spreadsheets/d/1xlcVZWU"&amp;"Nn6SuWm0c307h32SiGkd9BaeQWlAktfD3KO8/edit?usp=sharing"",""เพชรบูรณ์!J687"")+IMPORTRANGE(""https://docs.google.com/spreadsheets/d/1lOVebEIsI9qjGXl6EX66luk7wiuP2tBaryw-wKvv4e0/edit?usp=sharing"",""แพร่!J687"")+IMPORTRANGE(""https://docs.google.com/spreadshe"&amp;"ets/d/1dQrvX0vEcN7Gu0fnZ0B5S90AeR19zth4XlExFBeExMY/edit?usp=sharing"",""แม่ฮ่องสอน!J687"")+IMPORTRANGE(""https://docs.google.com/spreadsheets/d/1DY4XTNNwjluuxqdfdn6qvOSlMRrZqUtmYcZR0ttFiG4/edit?usp=sharing"",""ลำปาง!J687"")+IMPORTRANGE(""https://docs.goog"&amp;"le.com/spreadsheets/d/1ICwG78r0OFT8biBlxnBF8r7she7gNSzOvJ958PWT09c/edit?usp=sharing"",""ลำพูน!J687"")+IMPORTRANGE(""https://docs.google.com/spreadsheets/d/1B0f2xJpZUC6Z0xXnqKlZtEPzsf6L84eP1r1Q15seqRM/edit?usp=sharing"",""สุโขทัย!J687"")+IMPORTRANGE(""http"&amp;"s://docs.google.com/spreadsheets/d/1v0b9pFQCsKUVExMei7AgY2yQkdeNQvtOssygGsXbiKo/edit?usp=sharing"",""อุตรดิตถ์!J687"")+IMPORTRANGE(""https://docs.google.com/spreadsheets/d/1UsNK1e-WWiCo2PvGqdNfdme4m17_Ezd3J69EeeiQPD0/edit?usp=sharing"",""อุทัยธานี!J687"")"),2)</f>
        <v>2</v>
      </c>
      <c r="K687" s="45"/>
      <c r="L687" s="409"/>
      <c r="M687" s="409"/>
      <c r="N687" s="409"/>
      <c r="O687" s="45"/>
      <c r="P687" s="45"/>
      <c r="Q687" s="409"/>
      <c r="R687" s="409"/>
      <c r="S687" s="409"/>
      <c r="T687" s="45"/>
      <c r="U687" s="45"/>
    </row>
    <row r="688" spans="1:21" ht="19.5" x14ac:dyDescent="0.3">
      <c r="A688" s="249"/>
      <c r="B688" s="412" t="s">
        <v>254</v>
      </c>
      <c r="C688" s="250"/>
      <c r="D688" s="252"/>
      <c r="E688" s="252"/>
      <c r="F688" s="252"/>
      <c r="G688" s="253"/>
      <c r="H688" s="186" t="s">
        <v>46</v>
      </c>
      <c r="I688" s="330"/>
      <c r="J688" s="334">
        <f ca="1">IFERROR(__xludf.DUMMYFUNCTION("IMPORTRANGE(""https://docs.google.com/spreadsheets/d/1jTcq05yEiRwXcBMLjiodW9e4biSGYWAHcDj22rKWQ3s/edit?usp=sharing"",""กำแพงเพชร!J688"")+IMPORTRANGE(""https://docs.google.com/spreadsheets/d/1KS0zmDSZPk8KnTAbGN-Xk6MtX1YRZD0ldgdt20K4CRk/edit?usp=sharing"","&amp;"""เชียงราย!J688"")+IMPORTRANGE(""https://docs.google.com/spreadsheets/d/1rEDxBtusbi64tE0zunoIbsTVV16HeL0oJ6trHQeQ7K8/edit?usp=sharing"",""เชียงใหม่!J688"")+IMPORTRANGE(""https://docs.google.com/spreadsheets/d/1W6MnUbDkMi6xHnHko_XkFDO9kkuL6Wqyc-6OCDFjW9I/e"&amp;"dit?usp=sharing"",""ตาก!J688"")+IMPORTRANGE(""https://docs.google.com/spreadsheets/d/1IQAWArduLkta9LpYo4a_ULsyqdta6-6aDDiwpUnQT6c/edit?usp=sharing"",""นครสวรรค์!J688"")+IMPORTRANGE(""https://docs.google.com/spreadsheets/d/10s13Sk5xrltsiR-Zkbmk5DwIaDIKO8Xl"&amp;"bJAfqyT7Gvg/edit?usp=sharing"",""น่าน!J688"")+IMPORTRANGE(""https://docs.google.com/spreadsheets/d/1uu4nAn4Dbi1XREnLKKotUANlKXa7yCgRcgq8HEzQYW8/edit?usp=sharing"",""พะเยา!J688"")+IMPORTRANGE(""https://docs.google.com/spreadsheets/d/1xfJKIQxVOaPDIICqsflNlL"&amp;"u3JacTDk1FP9RH4phX7mI/edit?usp=sharing"",""พิจิตร!J688"")+IMPORTRANGE(""https://docs.google.com/spreadsheets/d/1JtRfZkJMHtEhI5RdRHxYUG4FIZHqKDpNyIuN7A1Q0_k/edit?usp=sharing"",""พิษณุโลก!J688"")+IMPORTRANGE(""https://docs.google.com/spreadsheets/d/1xlcVZWU"&amp;"Nn6SuWm0c307h32SiGkd9BaeQWlAktfD3KO8/edit?usp=sharing"",""เพชรบูรณ์!J688"")+IMPORTRANGE(""https://docs.google.com/spreadsheets/d/1lOVebEIsI9qjGXl6EX66luk7wiuP2tBaryw-wKvv4e0/edit?usp=sharing"",""แพร่!J688"")+IMPORTRANGE(""https://docs.google.com/spreadshe"&amp;"ets/d/1dQrvX0vEcN7Gu0fnZ0B5S90AeR19zth4XlExFBeExMY/edit?usp=sharing"",""แม่ฮ่องสอน!J688"")+IMPORTRANGE(""https://docs.google.com/spreadsheets/d/1DY4XTNNwjluuxqdfdn6qvOSlMRrZqUtmYcZR0ttFiG4/edit?usp=sharing"",""ลำปาง!J688"")+IMPORTRANGE(""https://docs.goog"&amp;"le.com/spreadsheets/d/1ICwG78r0OFT8biBlxnBF8r7she7gNSzOvJ958PWT09c/edit?usp=sharing"",""ลำพูน!J688"")+IMPORTRANGE(""https://docs.google.com/spreadsheets/d/1B0f2xJpZUC6Z0xXnqKlZtEPzsf6L84eP1r1Q15seqRM/edit?usp=sharing"",""สุโขทัย!J688"")+IMPORTRANGE(""http"&amp;"s://docs.google.com/spreadsheets/d/1v0b9pFQCsKUVExMei7AgY2yQkdeNQvtOssygGsXbiKo/edit?usp=sharing"",""อุตรดิตถ์!J688"")+IMPORTRANGE(""https://docs.google.com/spreadsheets/d/1UsNK1e-WWiCo2PvGqdNfdme4m17_Ezd3J69EeeiQPD0/edit?usp=sharing"",""อุทัยธานี!J688"")"),30)</f>
        <v>30</v>
      </c>
      <c r="K688" s="3"/>
      <c r="L688" s="413"/>
      <c r="M688" s="413"/>
      <c r="N688" s="413"/>
      <c r="O688" s="3"/>
      <c r="P688" s="3"/>
      <c r="Q688" s="413"/>
      <c r="R688" s="413"/>
      <c r="S688" s="413"/>
      <c r="T688" s="3"/>
      <c r="U688" s="3"/>
    </row>
    <row r="689" spans="1:21" ht="19.5" x14ac:dyDescent="0.3">
      <c r="A689" s="387"/>
      <c r="B689" s="388" t="s">
        <v>255</v>
      </c>
      <c r="C689" s="387"/>
      <c r="D689" s="389"/>
      <c r="E689" s="389"/>
      <c r="F689" s="389"/>
      <c r="G689" s="390"/>
      <c r="H689" s="414" t="s">
        <v>35</v>
      </c>
      <c r="I689" s="415">
        <f t="shared" ref="I689:J689" ca="1" si="471">I707</f>
        <v>1455</v>
      </c>
      <c r="J689" s="415">
        <f t="shared" ca="1" si="471"/>
        <v>213</v>
      </c>
      <c r="K689" s="416">
        <f ca="1">IF(I689&gt;0,J689*100/I689,0)</f>
        <v>14.639175257731958</v>
      </c>
      <c r="L689" s="393"/>
      <c r="M689" s="393"/>
      <c r="N689" s="393"/>
      <c r="O689" s="393"/>
      <c r="P689" s="393"/>
      <c r="Q689" s="393"/>
      <c r="R689" s="393"/>
      <c r="S689" s="393"/>
      <c r="T689" s="393"/>
      <c r="U689" s="393"/>
    </row>
    <row r="690" spans="1:21" ht="19.5" x14ac:dyDescent="0.3">
      <c r="A690" s="128"/>
      <c r="B690" s="158"/>
      <c r="C690" s="177" t="s">
        <v>18</v>
      </c>
      <c r="D690" s="1287" t="s">
        <v>19</v>
      </c>
      <c r="E690" s="1285"/>
      <c r="F690" s="1285"/>
      <c r="G690" s="1286"/>
      <c r="H690" s="221" t="s">
        <v>14</v>
      </c>
      <c r="I690" s="44"/>
      <c r="J690" s="44"/>
      <c r="K690" s="45"/>
      <c r="L690" s="132">
        <f t="shared" ref="L690:N690" ca="1" si="472">L691+L692</f>
        <v>0</v>
      </c>
      <c r="M690" s="132">
        <f t="shared" ca="1" si="472"/>
        <v>0</v>
      </c>
      <c r="N690" s="132">
        <f t="shared" ca="1" si="472"/>
        <v>0</v>
      </c>
      <c r="O690" s="132">
        <f t="shared" ref="O690:O698" ca="1" si="473">IF(L690&gt;0,N690*100/L690,0)</f>
        <v>0</v>
      </c>
      <c r="P690" s="132">
        <f t="shared" ref="P690:P698" ca="1" si="474">IF(M690&gt;0,N690*100/M690,0)</f>
        <v>0</v>
      </c>
      <c r="Q690" s="132">
        <f t="shared" ref="Q690:S690" ca="1" si="475">Q691+Q692</f>
        <v>3406990</v>
      </c>
      <c r="R690" s="132">
        <f t="shared" ca="1" si="475"/>
        <v>3406990</v>
      </c>
      <c r="S690" s="132">
        <f t="shared" ca="1" si="475"/>
        <v>1098170.5</v>
      </c>
      <c r="T690" s="132">
        <f t="shared" ref="T690:T698" ca="1" si="476">IF(Q690&gt;0,S690*100/Q690,0)</f>
        <v>32.232865373834379</v>
      </c>
      <c r="U690" s="132">
        <f t="shared" ref="U690:U698" ca="1" si="477">IF(R690&gt;0,S690*100/R690,0)</f>
        <v>32.232865373834379</v>
      </c>
    </row>
    <row r="691" spans="1:21" ht="18.75" x14ac:dyDescent="0.25">
      <c r="A691" s="128"/>
      <c r="B691" s="158"/>
      <c r="C691" s="158"/>
      <c r="D691" s="145"/>
      <c r="E691" s="156" t="s">
        <v>158</v>
      </c>
      <c r="F691" s="40"/>
      <c r="G691" s="42"/>
      <c r="H691" s="159" t="s">
        <v>14</v>
      </c>
      <c r="I691" s="44"/>
      <c r="J691" s="44"/>
      <c r="K691" s="45"/>
      <c r="L691" s="48">
        <f t="shared" ref="L691:N691" ca="1" si="478">L694+L697</f>
        <v>0</v>
      </c>
      <c r="M691" s="48">
        <f t="shared" ca="1" si="478"/>
        <v>0</v>
      </c>
      <c r="N691" s="48">
        <f t="shared" ca="1" si="478"/>
        <v>0</v>
      </c>
      <c r="O691" s="48">
        <f t="shared" ca="1" si="473"/>
        <v>0</v>
      </c>
      <c r="P691" s="48">
        <f t="shared" ca="1" si="474"/>
        <v>0</v>
      </c>
      <c r="Q691" s="48">
        <f t="shared" ref="Q691:S691" ca="1" si="479">Q694+Q697</f>
        <v>0</v>
      </c>
      <c r="R691" s="48">
        <f t="shared" ca="1" si="479"/>
        <v>0</v>
      </c>
      <c r="S691" s="48">
        <f t="shared" ca="1" si="479"/>
        <v>0</v>
      </c>
      <c r="T691" s="48">
        <f t="shared" ca="1" si="476"/>
        <v>0</v>
      </c>
      <c r="U691" s="48">
        <f t="shared" ca="1" si="477"/>
        <v>0</v>
      </c>
    </row>
    <row r="692" spans="1:21" ht="18.75" x14ac:dyDescent="0.25">
      <c r="A692" s="128"/>
      <c r="B692" s="158"/>
      <c r="C692" s="158"/>
      <c r="D692" s="145"/>
      <c r="E692" s="47" t="s">
        <v>159</v>
      </c>
      <c r="F692" s="40"/>
      <c r="G692" s="42"/>
      <c r="H692" s="134" t="s">
        <v>14</v>
      </c>
      <c r="I692" s="44"/>
      <c r="J692" s="44"/>
      <c r="K692" s="45"/>
      <c r="L692" s="46">
        <f t="shared" ref="L692:N692" ca="1" si="480">L695+L698</f>
        <v>0</v>
      </c>
      <c r="M692" s="46">
        <f t="shared" ca="1" si="480"/>
        <v>0</v>
      </c>
      <c r="N692" s="46">
        <f t="shared" ca="1" si="480"/>
        <v>0</v>
      </c>
      <c r="O692" s="46">
        <f t="shared" ca="1" si="473"/>
        <v>0</v>
      </c>
      <c r="P692" s="46">
        <f t="shared" ca="1" si="474"/>
        <v>0</v>
      </c>
      <c r="Q692" s="46">
        <f t="shared" ref="Q692:S692" ca="1" si="481">Q695+Q698</f>
        <v>3406990</v>
      </c>
      <c r="R692" s="46">
        <f t="shared" ca="1" si="481"/>
        <v>3406990</v>
      </c>
      <c r="S692" s="46">
        <f t="shared" ca="1" si="481"/>
        <v>1098170.5</v>
      </c>
      <c r="T692" s="46">
        <f t="shared" ca="1" si="476"/>
        <v>32.232865373834379</v>
      </c>
      <c r="U692" s="46">
        <f t="shared" ca="1" si="477"/>
        <v>32.232865373834379</v>
      </c>
    </row>
    <row r="693" spans="1:21" ht="18.75" x14ac:dyDescent="0.25">
      <c r="A693" s="128"/>
      <c r="B693" s="158"/>
      <c r="C693" s="158"/>
      <c r="D693" s="41" t="s">
        <v>22</v>
      </c>
      <c r="E693" s="40"/>
      <c r="F693" s="40"/>
      <c r="G693" s="42"/>
      <c r="H693" s="134" t="s">
        <v>14</v>
      </c>
      <c r="I693" s="135"/>
      <c r="J693" s="135"/>
      <c r="K693" s="136"/>
      <c r="L693" s="46">
        <f t="shared" ref="L693:N693" ca="1" si="482">L694+L695</f>
        <v>0</v>
      </c>
      <c r="M693" s="46">
        <f t="shared" ca="1" si="482"/>
        <v>0</v>
      </c>
      <c r="N693" s="46">
        <f t="shared" ca="1" si="482"/>
        <v>0</v>
      </c>
      <c r="O693" s="46">
        <f t="shared" ca="1" si="473"/>
        <v>0</v>
      </c>
      <c r="P693" s="46">
        <f t="shared" ca="1" si="474"/>
        <v>0</v>
      </c>
      <c r="Q693" s="46">
        <f t="shared" ref="Q693:S693" ca="1" si="483">Q694+Q695</f>
        <v>3406990</v>
      </c>
      <c r="R693" s="46">
        <f t="shared" ca="1" si="483"/>
        <v>3406990</v>
      </c>
      <c r="S693" s="46">
        <f t="shared" ca="1" si="483"/>
        <v>1098170.5</v>
      </c>
      <c r="T693" s="46">
        <f t="shared" ca="1" si="476"/>
        <v>32.232865373834379</v>
      </c>
      <c r="U693" s="46">
        <f t="shared" ca="1" si="477"/>
        <v>32.232865373834379</v>
      </c>
    </row>
    <row r="694" spans="1:21" ht="18.75" x14ac:dyDescent="0.25">
      <c r="A694" s="128"/>
      <c r="B694" s="158"/>
      <c r="C694" s="158"/>
      <c r="D694" s="145"/>
      <c r="E694" s="156" t="s">
        <v>158</v>
      </c>
      <c r="F694" s="40"/>
      <c r="G694" s="42"/>
      <c r="H694" s="159" t="s">
        <v>14</v>
      </c>
      <c r="I694" s="44"/>
      <c r="J694" s="44"/>
      <c r="K694" s="45"/>
      <c r="L694" s="48">
        <f ca="1">IFERROR(__xludf.DUMMYFUNCTION("IMPORTRANGE(""https://docs.google.com/spreadsheets/d/1jTcq05yEiRwXcBMLjiodW9e4biSGYWAHcDj22rKWQ3s/edit?usp=sharing"",""กำแพงเพชร!L694"")+IMPORTRANGE(""https://docs.google.com/spreadsheets/d/1KS0zmDSZPk8KnTAbGN-Xk6MtX1YRZD0ldgdt20K4CRk/edit?usp=sharing"","&amp;"""เชียงราย!L694"")+IMPORTRANGE(""https://docs.google.com/spreadsheets/d/1rEDxBtusbi64tE0zunoIbsTVV16HeL0oJ6trHQeQ7K8/edit?usp=sharing"",""เชียงใหม่!L694"")+IMPORTRANGE(""https://docs.google.com/spreadsheets/d/1W6MnUbDkMi6xHnHko_XkFDO9kkuL6Wqyc-6OCDFjW9I/e"&amp;"dit?usp=sharing"",""ตาก!L694"")+IMPORTRANGE(""https://docs.google.com/spreadsheets/d/1IQAWArduLkta9LpYo4a_ULsyqdta6-6aDDiwpUnQT6c/edit?usp=sharing"",""นครสวรรค์!L694"")+IMPORTRANGE(""https://docs.google.com/spreadsheets/d/10s13Sk5xrltsiR-Zkbmk5DwIaDIKO8Xl"&amp;"bJAfqyT7Gvg/edit?usp=sharing"",""น่าน!L694"")+IMPORTRANGE(""https://docs.google.com/spreadsheets/d/1uu4nAn4Dbi1XREnLKKotUANlKXa7yCgRcgq8HEzQYW8/edit?usp=sharing"",""พะเยา!L694"")+IMPORTRANGE(""https://docs.google.com/spreadsheets/d/1xfJKIQxVOaPDIICqsflNlL"&amp;"u3JacTDk1FP9RH4phX7mI/edit?usp=sharing"",""พิจิตร!L694"")+IMPORTRANGE(""https://docs.google.com/spreadsheets/d/1JtRfZkJMHtEhI5RdRHxYUG4FIZHqKDpNyIuN7A1Q0_k/edit?usp=sharing"",""พิษณุโลก!L694"")+IMPORTRANGE(""https://docs.google.com/spreadsheets/d/1xlcVZWU"&amp;"Nn6SuWm0c307h32SiGkd9BaeQWlAktfD3KO8/edit?usp=sharing"",""เพชรบูรณ์!L694"")+IMPORTRANGE(""https://docs.google.com/spreadsheets/d/1lOVebEIsI9qjGXl6EX66luk7wiuP2tBaryw-wKvv4e0/edit?usp=sharing"",""แพร่!L694"")+IMPORTRANGE(""https://docs.google.com/spreadshe"&amp;"ets/d/1dQrvX0vEcN7Gu0fnZ0B5S90AeR19zth4XlExFBeExMY/edit?usp=sharing"",""แม่ฮ่องสอน!L694"")+IMPORTRANGE(""https://docs.google.com/spreadsheets/d/1DY4XTNNwjluuxqdfdn6qvOSlMRrZqUtmYcZR0ttFiG4/edit?usp=sharing"",""ลำปาง!L694"")+IMPORTRANGE(""https://docs.goog"&amp;"le.com/spreadsheets/d/1ICwG78r0OFT8biBlxnBF8r7she7gNSzOvJ958PWT09c/edit?usp=sharing"",""ลำพูน!L694"")+IMPORTRANGE(""https://docs.google.com/spreadsheets/d/1B0f2xJpZUC6Z0xXnqKlZtEPzsf6L84eP1r1Q15seqRM/edit?usp=sharing"",""สุโขทัย!L694"")+IMPORTRANGE(""http"&amp;"s://docs.google.com/spreadsheets/d/1v0b9pFQCsKUVExMei7AgY2yQkdeNQvtOssygGsXbiKo/edit?usp=sharing"",""อุตรดิตถ์!L694"")+IMPORTRANGE(""https://docs.google.com/spreadsheets/d/1UsNK1e-WWiCo2PvGqdNfdme4m17_Ezd3J69EeeiQPD0/edit?usp=sharing"",""อุทัยธานี!L694"")"),0)</f>
        <v>0</v>
      </c>
      <c r="M694" s="48">
        <f ca="1">IFERROR(__xludf.DUMMYFUNCTION("IMPORTRANGE(""https://docs.google.com/spreadsheets/d/1jTcq05yEiRwXcBMLjiodW9e4biSGYWAHcDj22rKWQ3s/edit?usp=sharing"",""กำแพงเพชร!M694"")+IMPORTRANGE(""https://docs.google.com/spreadsheets/d/1KS0zmDSZPk8KnTAbGN-Xk6MtX1YRZD0ldgdt20K4CRk/edit?usp=sharing"","&amp;"""เชียงราย!M694"")+IMPORTRANGE(""https://docs.google.com/spreadsheets/d/1rEDxBtusbi64tE0zunoIbsTVV16HeL0oJ6trHQeQ7K8/edit?usp=sharing"",""เชียงใหม่!M694"")+IMPORTRANGE(""https://docs.google.com/spreadsheets/d/1W6MnUbDkMi6xHnHko_XkFDO9kkuL6Wqyc-6OCDFjW9I/e"&amp;"dit?usp=sharing"",""ตาก!M694"")+IMPORTRANGE(""https://docs.google.com/spreadsheets/d/1IQAWArduLkta9LpYo4a_ULsyqdta6-6aDDiwpUnQT6c/edit?usp=sharing"",""นครสวรรค์!M694"")+IMPORTRANGE(""https://docs.google.com/spreadsheets/d/10s13Sk5xrltsiR-Zkbmk5DwIaDIKO8Xl"&amp;"bJAfqyT7Gvg/edit?usp=sharing"",""น่าน!M694"")+IMPORTRANGE(""https://docs.google.com/spreadsheets/d/1uu4nAn4Dbi1XREnLKKotUANlKXa7yCgRcgq8HEzQYW8/edit?usp=sharing"",""พะเยา!M694"")+IMPORTRANGE(""https://docs.google.com/spreadsheets/d/1xfJKIQxVOaPDIICqsflNlL"&amp;"u3JacTDk1FP9RH4phX7mI/edit?usp=sharing"",""พิจิตร!M694"")+IMPORTRANGE(""https://docs.google.com/spreadsheets/d/1JtRfZkJMHtEhI5RdRHxYUG4FIZHqKDpNyIuN7A1Q0_k/edit?usp=sharing"",""พิษณุโลก!M694"")+IMPORTRANGE(""https://docs.google.com/spreadsheets/d/1xlcVZWU"&amp;"Nn6SuWm0c307h32SiGkd9BaeQWlAktfD3KO8/edit?usp=sharing"",""เพชรบูรณ์!M694"")+IMPORTRANGE(""https://docs.google.com/spreadsheets/d/1lOVebEIsI9qjGXl6EX66luk7wiuP2tBaryw-wKvv4e0/edit?usp=sharing"",""แพร่!M694"")+IMPORTRANGE(""https://docs.google.com/spreadshe"&amp;"ets/d/1dQrvX0vEcN7Gu0fnZ0B5S90AeR19zth4XlExFBeExMY/edit?usp=sharing"",""แม่ฮ่องสอน!M694"")+IMPORTRANGE(""https://docs.google.com/spreadsheets/d/1DY4XTNNwjluuxqdfdn6qvOSlMRrZqUtmYcZR0ttFiG4/edit?usp=sharing"",""ลำปาง!M694"")+IMPORTRANGE(""https://docs.goog"&amp;"le.com/spreadsheets/d/1ICwG78r0OFT8biBlxnBF8r7she7gNSzOvJ958PWT09c/edit?usp=sharing"",""ลำพูน!M694"")+IMPORTRANGE(""https://docs.google.com/spreadsheets/d/1B0f2xJpZUC6Z0xXnqKlZtEPzsf6L84eP1r1Q15seqRM/edit?usp=sharing"",""สุโขทัย!M694"")+IMPORTRANGE(""http"&amp;"s://docs.google.com/spreadsheets/d/1v0b9pFQCsKUVExMei7AgY2yQkdeNQvtOssygGsXbiKo/edit?usp=sharing"",""อุตรดิตถ์!M694"")+IMPORTRANGE(""https://docs.google.com/spreadsheets/d/1UsNK1e-WWiCo2PvGqdNfdme4m17_Ezd3J69EeeiQPD0/edit?usp=sharing"",""อุทัยธานี!M694"")"),0)</f>
        <v>0</v>
      </c>
      <c r="N694" s="48">
        <f ca="1">IFERROR(__xludf.DUMMYFUNCTION("IMPORTRANGE(""https://docs.google.com/spreadsheets/d/1jTcq05yEiRwXcBMLjiodW9e4biSGYWAHcDj22rKWQ3s/edit?usp=sharing"",""กำแพงเพชร!N694"")+IMPORTRANGE(""https://docs.google.com/spreadsheets/d/1KS0zmDSZPk8KnTAbGN-Xk6MtX1YRZD0ldgdt20K4CRk/edit?usp=sharing"","&amp;"""เชียงราย!N694"")+IMPORTRANGE(""https://docs.google.com/spreadsheets/d/1rEDxBtusbi64tE0zunoIbsTVV16HeL0oJ6trHQeQ7K8/edit?usp=sharing"",""เชียงใหม่!N694"")+IMPORTRANGE(""https://docs.google.com/spreadsheets/d/1W6MnUbDkMi6xHnHko_XkFDO9kkuL6Wqyc-6OCDFjW9I/e"&amp;"dit?usp=sharing"",""ตาก!N694"")+IMPORTRANGE(""https://docs.google.com/spreadsheets/d/1IQAWArduLkta9LpYo4a_ULsyqdta6-6aDDiwpUnQT6c/edit?usp=sharing"",""นครสวรรค์!N694"")+IMPORTRANGE(""https://docs.google.com/spreadsheets/d/10s13Sk5xrltsiR-Zkbmk5DwIaDIKO8Xl"&amp;"bJAfqyT7Gvg/edit?usp=sharing"",""น่าน!N694"")+IMPORTRANGE(""https://docs.google.com/spreadsheets/d/1uu4nAn4Dbi1XREnLKKotUANlKXa7yCgRcgq8HEzQYW8/edit?usp=sharing"",""พะเยา!N694"")+IMPORTRANGE(""https://docs.google.com/spreadsheets/d/1xfJKIQxVOaPDIICqsflNlL"&amp;"u3JacTDk1FP9RH4phX7mI/edit?usp=sharing"",""พิจิตร!N694"")+IMPORTRANGE(""https://docs.google.com/spreadsheets/d/1JtRfZkJMHtEhI5RdRHxYUG4FIZHqKDpNyIuN7A1Q0_k/edit?usp=sharing"",""พิษณุโลก!N694"")+IMPORTRANGE(""https://docs.google.com/spreadsheets/d/1xlcVZWU"&amp;"Nn6SuWm0c307h32SiGkd9BaeQWlAktfD3KO8/edit?usp=sharing"",""เพชรบูรณ์!N694"")+IMPORTRANGE(""https://docs.google.com/spreadsheets/d/1lOVebEIsI9qjGXl6EX66luk7wiuP2tBaryw-wKvv4e0/edit?usp=sharing"",""แพร่!N694"")+IMPORTRANGE(""https://docs.google.com/spreadshe"&amp;"ets/d/1dQrvX0vEcN7Gu0fnZ0B5S90AeR19zth4XlExFBeExMY/edit?usp=sharing"",""แม่ฮ่องสอน!N694"")+IMPORTRANGE(""https://docs.google.com/spreadsheets/d/1DY4XTNNwjluuxqdfdn6qvOSlMRrZqUtmYcZR0ttFiG4/edit?usp=sharing"",""ลำปาง!N694"")+IMPORTRANGE(""https://docs.goog"&amp;"le.com/spreadsheets/d/1ICwG78r0OFT8biBlxnBF8r7she7gNSzOvJ958PWT09c/edit?usp=sharing"",""ลำพูน!N694"")+IMPORTRANGE(""https://docs.google.com/spreadsheets/d/1B0f2xJpZUC6Z0xXnqKlZtEPzsf6L84eP1r1Q15seqRM/edit?usp=sharing"",""สุโขทัย!N694"")+IMPORTRANGE(""http"&amp;"s://docs.google.com/spreadsheets/d/1v0b9pFQCsKUVExMei7AgY2yQkdeNQvtOssygGsXbiKo/edit?usp=sharing"",""อุตรดิตถ์!N694"")+IMPORTRANGE(""https://docs.google.com/spreadsheets/d/1UsNK1e-WWiCo2PvGqdNfdme4m17_Ezd3J69EeeiQPD0/edit?usp=sharing"",""อุทัยธานี!N694"")"),0)</f>
        <v>0</v>
      </c>
      <c r="O694" s="48">
        <f t="shared" ca="1" si="473"/>
        <v>0</v>
      </c>
      <c r="P694" s="48">
        <f t="shared" ca="1" si="474"/>
        <v>0</v>
      </c>
      <c r="Q694" s="48">
        <f ca="1">IFERROR(__xludf.DUMMYFUNCTION("IMPORTRANGE(""https://docs.google.com/spreadsheets/d/1jTcq05yEiRwXcBMLjiodW9e4biSGYWAHcDj22rKWQ3s/edit?usp=sharing"",""กำแพงเพชร!Q694"")+IMPORTRANGE(""https://docs.google.com/spreadsheets/d/1KS0zmDSZPk8KnTAbGN-Xk6MtX1YRZD0ldgdt20K4CRk/edit?usp=sharing"","&amp;"""เชียงราย!Q694"")+IMPORTRANGE(""https://docs.google.com/spreadsheets/d/1rEDxBtusbi64tE0zunoIbsTVV16HeL0oJ6trHQeQ7K8/edit?usp=sharing"",""เชียงใหม่!Q694"")+IMPORTRANGE(""https://docs.google.com/spreadsheets/d/1W6MnUbDkMi6xHnHko_XkFDO9kkuL6Wqyc-6OCDFjW9I/e"&amp;"dit?usp=sharing"",""ตาก!Q694"")+IMPORTRANGE(""https://docs.google.com/spreadsheets/d/1IQAWArduLkta9LpYo4a_ULsyqdta6-6aDDiwpUnQT6c/edit?usp=sharing"",""นครสวรรค์!Q694"")+IMPORTRANGE(""https://docs.google.com/spreadsheets/d/10s13Sk5xrltsiR-Zkbmk5DwIaDIKO8Xl"&amp;"bJAfqyT7Gvg/edit?usp=sharing"",""น่าน!Q694"")+IMPORTRANGE(""https://docs.google.com/spreadsheets/d/1uu4nAn4Dbi1XREnLKKotUANlKXa7yCgRcgq8HEzQYW8/edit?usp=sharing"",""พะเยา!Q694"")+IMPORTRANGE(""https://docs.google.com/spreadsheets/d/1xfJKIQxVOaPDIICqsflNlL"&amp;"u3JacTDk1FP9RH4phX7mI/edit?usp=sharing"",""พิจิตร!Q694"")+IMPORTRANGE(""https://docs.google.com/spreadsheets/d/1JtRfZkJMHtEhI5RdRHxYUG4FIZHqKDpNyIuN7A1Q0_k/edit?usp=sharing"",""พิษณุโลก!Q694"")+IMPORTRANGE(""https://docs.google.com/spreadsheets/d/1xlcVZWU"&amp;"Nn6SuWm0c307h32SiGkd9BaeQWlAktfD3KO8/edit?usp=sharing"",""เพชรบูรณ์!Q694"")+IMPORTRANGE(""https://docs.google.com/spreadsheets/d/1lOVebEIsI9qjGXl6EX66luk7wiuP2tBaryw-wKvv4e0/edit?usp=sharing"",""แพร่!Q694"")+IMPORTRANGE(""https://docs.google.com/spreadshe"&amp;"ets/d/1dQrvX0vEcN7Gu0fnZ0B5S90AeR19zth4XlExFBeExMY/edit?usp=sharing"",""แม่ฮ่องสอน!Q694"")+IMPORTRANGE(""https://docs.google.com/spreadsheets/d/1DY4XTNNwjluuxqdfdn6qvOSlMRrZqUtmYcZR0ttFiG4/edit?usp=sharing"",""ลำปาง!Q694"")+IMPORTRANGE(""https://docs.goog"&amp;"le.com/spreadsheets/d/1ICwG78r0OFT8biBlxnBF8r7she7gNSzOvJ958PWT09c/edit?usp=sharing"",""ลำพูน!Q694"")+IMPORTRANGE(""https://docs.google.com/spreadsheets/d/1B0f2xJpZUC6Z0xXnqKlZtEPzsf6L84eP1r1Q15seqRM/edit?usp=sharing"",""สุโขทัย!Q694"")+IMPORTRANGE(""http"&amp;"s://docs.google.com/spreadsheets/d/1v0b9pFQCsKUVExMei7AgY2yQkdeNQvtOssygGsXbiKo/edit?usp=sharing"",""อุตรดิตถ์!Q694"")+IMPORTRANGE(""https://docs.google.com/spreadsheets/d/1UsNK1e-WWiCo2PvGqdNfdme4m17_Ezd3J69EeeiQPD0/edit?usp=sharing"",""อุทัยธานี!Q694"")"),0)</f>
        <v>0</v>
      </c>
      <c r="R694" s="48">
        <f ca="1">IFERROR(__xludf.DUMMYFUNCTION("IMPORTRANGE(""https://docs.google.com/spreadsheets/d/1jTcq05yEiRwXcBMLjiodW9e4biSGYWAHcDj22rKWQ3s/edit?usp=sharing"",""กำแพงเพชร!R694"")+IMPORTRANGE(""https://docs.google.com/spreadsheets/d/1KS0zmDSZPk8KnTAbGN-Xk6MtX1YRZD0ldgdt20K4CRk/edit?usp=sharing"","&amp;"""เชียงราย!R694"")+IMPORTRANGE(""https://docs.google.com/spreadsheets/d/1rEDxBtusbi64tE0zunoIbsTVV16HeL0oJ6trHQeQ7K8/edit?usp=sharing"",""เชียงใหม่!R694"")+IMPORTRANGE(""https://docs.google.com/spreadsheets/d/1W6MnUbDkMi6xHnHko_XkFDO9kkuL6Wqyc-6OCDFjW9I/e"&amp;"dit?usp=sharing"",""ตาก!R694"")+IMPORTRANGE(""https://docs.google.com/spreadsheets/d/1IQAWArduLkta9LpYo4a_ULsyqdta6-6aDDiwpUnQT6c/edit?usp=sharing"",""นครสวรรค์!R694"")+IMPORTRANGE(""https://docs.google.com/spreadsheets/d/10s13Sk5xrltsiR-Zkbmk5DwIaDIKO8Xl"&amp;"bJAfqyT7Gvg/edit?usp=sharing"",""น่าน!R694"")+IMPORTRANGE(""https://docs.google.com/spreadsheets/d/1uu4nAn4Dbi1XREnLKKotUANlKXa7yCgRcgq8HEzQYW8/edit?usp=sharing"",""พะเยา!R694"")+IMPORTRANGE(""https://docs.google.com/spreadsheets/d/1xfJKIQxVOaPDIICqsflNlL"&amp;"u3JacTDk1FP9RH4phX7mI/edit?usp=sharing"",""พิจิตร!R694"")+IMPORTRANGE(""https://docs.google.com/spreadsheets/d/1JtRfZkJMHtEhI5RdRHxYUG4FIZHqKDpNyIuN7A1Q0_k/edit?usp=sharing"",""พิษณุโลก!R694"")+IMPORTRANGE(""https://docs.google.com/spreadsheets/d/1xlcVZWU"&amp;"Nn6SuWm0c307h32SiGkd9BaeQWlAktfD3KO8/edit?usp=sharing"",""เพชรบูรณ์!R694"")+IMPORTRANGE(""https://docs.google.com/spreadsheets/d/1lOVebEIsI9qjGXl6EX66luk7wiuP2tBaryw-wKvv4e0/edit?usp=sharing"",""แพร่!R694"")+IMPORTRANGE(""https://docs.google.com/spreadshe"&amp;"ets/d/1dQrvX0vEcN7Gu0fnZ0B5S90AeR19zth4XlExFBeExMY/edit?usp=sharing"",""แม่ฮ่องสอน!R694"")+IMPORTRANGE(""https://docs.google.com/spreadsheets/d/1DY4XTNNwjluuxqdfdn6qvOSlMRrZqUtmYcZR0ttFiG4/edit?usp=sharing"",""ลำปาง!R694"")+IMPORTRANGE(""https://docs.goog"&amp;"le.com/spreadsheets/d/1ICwG78r0OFT8biBlxnBF8r7she7gNSzOvJ958PWT09c/edit?usp=sharing"",""ลำพูน!R694"")+IMPORTRANGE(""https://docs.google.com/spreadsheets/d/1B0f2xJpZUC6Z0xXnqKlZtEPzsf6L84eP1r1Q15seqRM/edit?usp=sharing"",""สุโขทัย!R694"")+IMPORTRANGE(""http"&amp;"s://docs.google.com/spreadsheets/d/1v0b9pFQCsKUVExMei7AgY2yQkdeNQvtOssygGsXbiKo/edit?usp=sharing"",""อุตรดิตถ์!R694"")+IMPORTRANGE(""https://docs.google.com/spreadsheets/d/1UsNK1e-WWiCo2PvGqdNfdme4m17_Ezd3J69EeeiQPD0/edit?usp=sharing"",""อุทัยธานี!R694"")"),0)</f>
        <v>0</v>
      </c>
      <c r="S694" s="48">
        <f ca="1">IFERROR(__xludf.DUMMYFUNCTION("IMPORTRANGE(""https://docs.google.com/spreadsheets/d/1jTcq05yEiRwXcBMLjiodW9e4biSGYWAHcDj22rKWQ3s/edit?usp=sharing"",""กำแพงเพชร!S694"")+IMPORTRANGE(""https://docs.google.com/spreadsheets/d/1KS0zmDSZPk8KnTAbGN-Xk6MtX1YRZD0ldgdt20K4CRk/edit?usp=sharing"","&amp;"""เชียงราย!S694"")+IMPORTRANGE(""https://docs.google.com/spreadsheets/d/1rEDxBtusbi64tE0zunoIbsTVV16HeL0oJ6trHQeQ7K8/edit?usp=sharing"",""เชียงใหม่!S694"")+IMPORTRANGE(""https://docs.google.com/spreadsheets/d/1W6MnUbDkMi6xHnHko_XkFDO9kkuL6Wqyc-6OCDFjW9I/e"&amp;"dit?usp=sharing"",""ตาก!S694"")+IMPORTRANGE(""https://docs.google.com/spreadsheets/d/1IQAWArduLkta9LpYo4a_ULsyqdta6-6aDDiwpUnQT6c/edit?usp=sharing"",""นครสวรรค์!S694"")+IMPORTRANGE(""https://docs.google.com/spreadsheets/d/10s13Sk5xrltsiR-Zkbmk5DwIaDIKO8Xl"&amp;"bJAfqyT7Gvg/edit?usp=sharing"",""น่าน!S694"")+IMPORTRANGE(""https://docs.google.com/spreadsheets/d/1uu4nAn4Dbi1XREnLKKotUANlKXa7yCgRcgq8HEzQYW8/edit?usp=sharing"",""พะเยา!S694"")+IMPORTRANGE(""https://docs.google.com/spreadsheets/d/1xfJKIQxVOaPDIICqsflNlL"&amp;"u3JacTDk1FP9RH4phX7mI/edit?usp=sharing"",""พิจิตร!S694"")+IMPORTRANGE(""https://docs.google.com/spreadsheets/d/1JtRfZkJMHtEhI5RdRHxYUG4FIZHqKDpNyIuN7A1Q0_k/edit?usp=sharing"",""พิษณุโลก!S694"")+IMPORTRANGE(""https://docs.google.com/spreadsheets/d/1xlcVZWU"&amp;"Nn6SuWm0c307h32SiGkd9BaeQWlAktfD3KO8/edit?usp=sharing"",""เพชรบูรณ์!S694"")+IMPORTRANGE(""https://docs.google.com/spreadsheets/d/1lOVebEIsI9qjGXl6EX66luk7wiuP2tBaryw-wKvv4e0/edit?usp=sharing"",""แพร่!S694"")+IMPORTRANGE(""https://docs.google.com/spreadshe"&amp;"ets/d/1dQrvX0vEcN7Gu0fnZ0B5S90AeR19zth4XlExFBeExMY/edit?usp=sharing"",""แม่ฮ่องสอน!S694"")+IMPORTRANGE(""https://docs.google.com/spreadsheets/d/1DY4XTNNwjluuxqdfdn6qvOSlMRrZqUtmYcZR0ttFiG4/edit?usp=sharing"",""ลำปาง!S694"")+IMPORTRANGE(""https://docs.goog"&amp;"le.com/spreadsheets/d/1ICwG78r0OFT8biBlxnBF8r7she7gNSzOvJ958PWT09c/edit?usp=sharing"",""ลำพูน!S694"")+IMPORTRANGE(""https://docs.google.com/spreadsheets/d/1B0f2xJpZUC6Z0xXnqKlZtEPzsf6L84eP1r1Q15seqRM/edit?usp=sharing"",""สุโขทัย!S694"")+IMPORTRANGE(""http"&amp;"s://docs.google.com/spreadsheets/d/1v0b9pFQCsKUVExMei7AgY2yQkdeNQvtOssygGsXbiKo/edit?usp=sharing"",""อุตรดิตถ์!S694"")+IMPORTRANGE(""https://docs.google.com/spreadsheets/d/1UsNK1e-WWiCo2PvGqdNfdme4m17_Ezd3J69EeeiQPD0/edit?usp=sharing"",""อุทัยธานี!S694"")"),0)</f>
        <v>0</v>
      </c>
      <c r="T694" s="48">
        <f t="shared" ca="1" si="476"/>
        <v>0</v>
      </c>
      <c r="U694" s="48">
        <f t="shared" ca="1" si="477"/>
        <v>0</v>
      </c>
    </row>
    <row r="695" spans="1:21" ht="18.75" x14ac:dyDescent="0.25">
      <c r="A695" s="128"/>
      <c r="B695" s="158"/>
      <c r="C695" s="158"/>
      <c r="D695" s="145"/>
      <c r="E695" s="47" t="s">
        <v>159</v>
      </c>
      <c r="F695" s="40"/>
      <c r="G695" s="42"/>
      <c r="H695" s="134" t="s">
        <v>14</v>
      </c>
      <c r="I695" s="44"/>
      <c r="J695" s="44"/>
      <c r="K695" s="45"/>
      <c r="L695" s="46">
        <f ca="1">IFERROR(__xludf.DUMMYFUNCTION("IMPORTRANGE(""https://docs.google.com/spreadsheets/d/1jTcq05yEiRwXcBMLjiodW9e4biSGYWAHcDj22rKWQ3s/edit?usp=sharing"",""กำแพงเพชร!L695"")+IMPORTRANGE(""https://docs.google.com/spreadsheets/d/1KS0zmDSZPk8KnTAbGN-Xk6MtX1YRZD0ldgdt20K4CRk/edit?usp=sharing"","&amp;"""เชียงราย!L695"")+IMPORTRANGE(""https://docs.google.com/spreadsheets/d/1rEDxBtusbi64tE0zunoIbsTVV16HeL0oJ6trHQeQ7K8/edit?usp=sharing"",""เชียงใหม่!L695"")+IMPORTRANGE(""https://docs.google.com/spreadsheets/d/1W6MnUbDkMi6xHnHko_XkFDO9kkuL6Wqyc-6OCDFjW9I/e"&amp;"dit?usp=sharing"",""ตาก!L695"")+IMPORTRANGE(""https://docs.google.com/spreadsheets/d/1IQAWArduLkta9LpYo4a_ULsyqdta6-6aDDiwpUnQT6c/edit?usp=sharing"",""นครสวรรค์!L695"")+IMPORTRANGE(""https://docs.google.com/spreadsheets/d/10s13Sk5xrltsiR-Zkbmk5DwIaDIKO8Xl"&amp;"bJAfqyT7Gvg/edit?usp=sharing"",""น่าน!L695"")+IMPORTRANGE(""https://docs.google.com/spreadsheets/d/1uu4nAn4Dbi1XREnLKKotUANlKXa7yCgRcgq8HEzQYW8/edit?usp=sharing"",""พะเยา!L695"")+IMPORTRANGE(""https://docs.google.com/spreadsheets/d/1xfJKIQxVOaPDIICqsflNlL"&amp;"u3JacTDk1FP9RH4phX7mI/edit?usp=sharing"",""พิจิตร!L695"")+IMPORTRANGE(""https://docs.google.com/spreadsheets/d/1JtRfZkJMHtEhI5RdRHxYUG4FIZHqKDpNyIuN7A1Q0_k/edit?usp=sharing"",""พิษณุโลก!L695"")+IMPORTRANGE(""https://docs.google.com/spreadsheets/d/1xlcVZWU"&amp;"Nn6SuWm0c307h32SiGkd9BaeQWlAktfD3KO8/edit?usp=sharing"",""เพชรบูรณ์!L695"")+IMPORTRANGE(""https://docs.google.com/spreadsheets/d/1lOVebEIsI9qjGXl6EX66luk7wiuP2tBaryw-wKvv4e0/edit?usp=sharing"",""แพร่!L695"")+IMPORTRANGE(""https://docs.google.com/spreadshe"&amp;"ets/d/1dQrvX0vEcN7Gu0fnZ0B5S90AeR19zth4XlExFBeExMY/edit?usp=sharing"",""แม่ฮ่องสอน!L695"")+IMPORTRANGE(""https://docs.google.com/spreadsheets/d/1DY4XTNNwjluuxqdfdn6qvOSlMRrZqUtmYcZR0ttFiG4/edit?usp=sharing"",""ลำปาง!L695"")+IMPORTRANGE(""https://docs.goog"&amp;"le.com/spreadsheets/d/1ICwG78r0OFT8biBlxnBF8r7she7gNSzOvJ958PWT09c/edit?usp=sharing"",""ลำพูน!L695"")+IMPORTRANGE(""https://docs.google.com/spreadsheets/d/1B0f2xJpZUC6Z0xXnqKlZtEPzsf6L84eP1r1Q15seqRM/edit?usp=sharing"",""สุโขทัย!L695"")+IMPORTRANGE(""http"&amp;"s://docs.google.com/spreadsheets/d/1v0b9pFQCsKUVExMei7AgY2yQkdeNQvtOssygGsXbiKo/edit?usp=sharing"",""อุตรดิตถ์!L695"")+IMPORTRANGE(""https://docs.google.com/spreadsheets/d/1UsNK1e-WWiCo2PvGqdNfdme4m17_Ezd3J69EeeiQPD0/edit?usp=sharing"",""อุทัยธานี!L695"")"),0)</f>
        <v>0</v>
      </c>
      <c r="M695" s="46">
        <f ca="1">IFERROR(__xludf.DUMMYFUNCTION("IMPORTRANGE(""https://docs.google.com/spreadsheets/d/1jTcq05yEiRwXcBMLjiodW9e4biSGYWAHcDj22rKWQ3s/edit?usp=sharing"",""กำแพงเพชร!M695"")+IMPORTRANGE(""https://docs.google.com/spreadsheets/d/1KS0zmDSZPk8KnTAbGN-Xk6MtX1YRZD0ldgdt20K4CRk/edit?usp=sharing"","&amp;"""เชียงราย!M695"")+IMPORTRANGE(""https://docs.google.com/spreadsheets/d/1rEDxBtusbi64tE0zunoIbsTVV16HeL0oJ6trHQeQ7K8/edit?usp=sharing"",""เชียงใหม่!M695"")+IMPORTRANGE(""https://docs.google.com/spreadsheets/d/1W6MnUbDkMi6xHnHko_XkFDO9kkuL6Wqyc-6OCDFjW9I/e"&amp;"dit?usp=sharing"",""ตาก!M695"")+IMPORTRANGE(""https://docs.google.com/spreadsheets/d/1IQAWArduLkta9LpYo4a_ULsyqdta6-6aDDiwpUnQT6c/edit?usp=sharing"",""นครสวรรค์!M695"")+IMPORTRANGE(""https://docs.google.com/spreadsheets/d/10s13Sk5xrltsiR-Zkbmk5DwIaDIKO8Xl"&amp;"bJAfqyT7Gvg/edit?usp=sharing"",""น่าน!M695"")+IMPORTRANGE(""https://docs.google.com/spreadsheets/d/1uu4nAn4Dbi1XREnLKKotUANlKXa7yCgRcgq8HEzQYW8/edit?usp=sharing"",""พะเยา!M695"")+IMPORTRANGE(""https://docs.google.com/spreadsheets/d/1xfJKIQxVOaPDIICqsflNlL"&amp;"u3JacTDk1FP9RH4phX7mI/edit?usp=sharing"",""พิจิตร!M695"")+IMPORTRANGE(""https://docs.google.com/spreadsheets/d/1JtRfZkJMHtEhI5RdRHxYUG4FIZHqKDpNyIuN7A1Q0_k/edit?usp=sharing"",""พิษณุโลก!M695"")+IMPORTRANGE(""https://docs.google.com/spreadsheets/d/1xlcVZWU"&amp;"Nn6SuWm0c307h32SiGkd9BaeQWlAktfD3KO8/edit?usp=sharing"",""เพชรบูรณ์!M695"")+IMPORTRANGE(""https://docs.google.com/spreadsheets/d/1lOVebEIsI9qjGXl6EX66luk7wiuP2tBaryw-wKvv4e0/edit?usp=sharing"",""แพร่!M695"")+IMPORTRANGE(""https://docs.google.com/spreadshe"&amp;"ets/d/1dQrvX0vEcN7Gu0fnZ0B5S90AeR19zth4XlExFBeExMY/edit?usp=sharing"",""แม่ฮ่องสอน!M695"")+IMPORTRANGE(""https://docs.google.com/spreadsheets/d/1DY4XTNNwjluuxqdfdn6qvOSlMRrZqUtmYcZR0ttFiG4/edit?usp=sharing"",""ลำปาง!M695"")+IMPORTRANGE(""https://docs.goog"&amp;"le.com/spreadsheets/d/1ICwG78r0OFT8biBlxnBF8r7she7gNSzOvJ958PWT09c/edit?usp=sharing"",""ลำพูน!M695"")+IMPORTRANGE(""https://docs.google.com/spreadsheets/d/1B0f2xJpZUC6Z0xXnqKlZtEPzsf6L84eP1r1Q15seqRM/edit?usp=sharing"",""สุโขทัย!M695"")+IMPORTRANGE(""http"&amp;"s://docs.google.com/spreadsheets/d/1v0b9pFQCsKUVExMei7AgY2yQkdeNQvtOssygGsXbiKo/edit?usp=sharing"",""อุตรดิตถ์!M695"")+IMPORTRANGE(""https://docs.google.com/spreadsheets/d/1UsNK1e-WWiCo2PvGqdNfdme4m17_Ezd3J69EeeiQPD0/edit?usp=sharing"",""อุทัยธานี!M695"")"),0)</f>
        <v>0</v>
      </c>
      <c r="N695" s="46">
        <f ca="1">IFERROR(__xludf.DUMMYFUNCTION("IMPORTRANGE(""https://docs.google.com/spreadsheets/d/1jTcq05yEiRwXcBMLjiodW9e4biSGYWAHcDj22rKWQ3s/edit?usp=sharing"",""กำแพงเพชร!N695"")+IMPORTRANGE(""https://docs.google.com/spreadsheets/d/1KS0zmDSZPk8KnTAbGN-Xk6MtX1YRZD0ldgdt20K4CRk/edit?usp=sharing"","&amp;"""เชียงราย!N695"")+IMPORTRANGE(""https://docs.google.com/spreadsheets/d/1rEDxBtusbi64tE0zunoIbsTVV16HeL0oJ6trHQeQ7K8/edit?usp=sharing"",""เชียงใหม่!N695"")+IMPORTRANGE(""https://docs.google.com/spreadsheets/d/1W6MnUbDkMi6xHnHko_XkFDO9kkuL6Wqyc-6OCDFjW9I/e"&amp;"dit?usp=sharing"",""ตาก!N695"")+IMPORTRANGE(""https://docs.google.com/spreadsheets/d/1IQAWArduLkta9LpYo4a_ULsyqdta6-6aDDiwpUnQT6c/edit?usp=sharing"",""นครสวรรค์!N695"")+IMPORTRANGE(""https://docs.google.com/spreadsheets/d/10s13Sk5xrltsiR-Zkbmk5DwIaDIKO8Xl"&amp;"bJAfqyT7Gvg/edit?usp=sharing"",""น่าน!N695"")+IMPORTRANGE(""https://docs.google.com/spreadsheets/d/1uu4nAn4Dbi1XREnLKKotUANlKXa7yCgRcgq8HEzQYW8/edit?usp=sharing"",""พะเยา!N695"")+IMPORTRANGE(""https://docs.google.com/spreadsheets/d/1xfJKIQxVOaPDIICqsflNlL"&amp;"u3JacTDk1FP9RH4phX7mI/edit?usp=sharing"",""พิจิตร!N695"")+IMPORTRANGE(""https://docs.google.com/spreadsheets/d/1JtRfZkJMHtEhI5RdRHxYUG4FIZHqKDpNyIuN7A1Q0_k/edit?usp=sharing"",""พิษณุโลก!N695"")+IMPORTRANGE(""https://docs.google.com/spreadsheets/d/1xlcVZWU"&amp;"Nn6SuWm0c307h32SiGkd9BaeQWlAktfD3KO8/edit?usp=sharing"",""เพชรบูรณ์!N695"")+IMPORTRANGE(""https://docs.google.com/spreadsheets/d/1lOVebEIsI9qjGXl6EX66luk7wiuP2tBaryw-wKvv4e0/edit?usp=sharing"",""แพร่!N695"")+IMPORTRANGE(""https://docs.google.com/spreadshe"&amp;"ets/d/1dQrvX0vEcN7Gu0fnZ0B5S90AeR19zth4XlExFBeExMY/edit?usp=sharing"",""แม่ฮ่องสอน!N695"")+IMPORTRANGE(""https://docs.google.com/spreadsheets/d/1DY4XTNNwjluuxqdfdn6qvOSlMRrZqUtmYcZR0ttFiG4/edit?usp=sharing"",""ลำปาง!N695"")+IMPORTRANGE(""https://docs.goog"&amp;"le.com/spreadsheets/d/1ICwG78r0OFT8biBlxnBF8r7she7gNSzOvJ958PWT09c/edit?usp=sharing"",""ลำพูน!N695"")+IMPORTRANGE(""https://docs.google.com/spreadsheets/d/1B0f2xJpZUC6Z0xXnqKlZtEPzsf6L84eP1r1Q15seqRM/edit?usp=sharing"",""สุโขทัย!N695"")+IMPORTRANGE(""http"&amp;"s://docs.google.com/spreadsheets/d/1v0b9pFQCsKUVExMei7AgY2yQkdeNQvtOssygGsXbiKo/edit?usp=sharing"",""อุตรดิตถ์!N695"")+IMPORTRANGE(""https://docs.google.com/spreadsheets/d/1UsNK1e-WWiCo2PvGqdNfdme4m17_Ezd3J69EeeiQPD0/edit?usp=sharing"",""อุทัยธานี!N695"")"),0)</f>
        <v>0</v>
      </c>
      <c r="O695" s="46">
        <f t="shared" ca="1" si="473"/>
        <v>0</v>
      </c>
      <c r="P695" s="46">
        <f t="shared" ca="1" si="474"/>
        <v>0</v>
      </c>
      <c r="Q695" s="46">
        <f ca="1">IFERROR(__xludf.DUMMYFUNCTION("IMPORTRANGE(""https://docs.google.com/spreadsheets/d/1jTcq05yEiRwXcBMLjiodW9e4biSGYWAHcDj22rKWQ3s/edit?usp=sharing"",""กำแพงเพชร!Q695"")+IMPORTRANGE(""https://docs.google.com/spreadsheets/d/1KS0zmDSZPk8KnTAbGN-Xk6MtX1YRZD0ldgdt20K4CRk/edit?usp=sharing"","&amp;"""เชียงราย!Q695"")+IMPORTRANGE(""https://docs.google.com/spreadsheets/d/1rEDxBtusbi64tE0zunoIbsTVV16HeL0oJ6trHQeQ7K8/edit?usp=sharing"",""เชียงใหม่!Q695"")+IMPORTRANGE(""https://docs.google.com/spreadsheets/d/1W6MnUbDkMi6xHnHko_XkFDO9kkuL6Wqyc-6OCDFjW9I/e"&amp;"dit?usp=sharing"",""ตาก!Q695"")+IMPORTRANGE(""https://docs.google.com/spreadsheets/d/1IQAWArduLkta9LpYo4a_ULsyqdta6-6aDDiwpUnQT6c/edit?usp=sharing"",""นครสวรรค์!Q695"")+IMPORTRANGE(""https://docs.google.com/spreadsheets/d/10s13Sk5xrltsiR-Zkbmk5DwIaDIKO8Xl"&amp;"bJAfqyT7Gvg/edit?usp=sharing"",""น่าน!Q695"")+IMPORTRANGE(""https://docs.google.com/spreadsheets/d/1uu4nAn4Dbi1XREnLKKotUANlKXa7yCgRcgq8HEzQYW8/edit?usp=sharing"",""พะเยา!Q695"")+IMPORTRANGE(""https://docs.google.com/spreadsheets/d/1xfJKIQxVOaPDIICqsflNlL"&amp;"u3JacTDk1FP9RH4phX7mI/edit?usp=sharing"",""พิจิตร!Q695"")+IMPORTRANGE(""https://docs.google.com/spreadsheets/d/1JtRfZkJMHtEhI5RdRHxYUG4FIZHqKDpNyIuN7A1Q0_k/edit?usp=sharing"",""พิษณุโลก!Q695"")+IMPORTRANGE(""https://docs.google.com/spreadsheets/d/1xlcVZWU"&amp;"Nn6SuWm0c307h32SiGkd9BaeQWlAktfD3KO8/edit?usp=sharing"",""เพชรบูรณ์!Q695"")+IMPORTRANGE(""https://docs.google.com/spreadsheets/d/1lOVebEIsI9qjGXl6EX66luk7wiuP2tBaryw-wKvv4e0/edit?usp=sharing"",""แพร่!Q695"")+IMPORTRANGE(""https://docs.google.com/spreadshe"&amp;"ets/d/1dQrvX0vEcN7Gu0fnZ0B5S90AeR19zth4XlExFBeExMY/edit?usp=sharing"",""แม่ฮ่องสอน!Q695"")+IMPORTRANGE(""https://docs.google.com/spreadsheets/d/1DY4XTNNwjluuxqdfdn6qvOSlMRrZqUtmYcZR0ttFiG4/edit?usp=sharing"",""ลำปาง!Q695"")+IMPORTRANGE(""https://docs.goog"&amp;"le.com/spreadsheets/d/1ICwG78r0OFT8biBlxnBF8r7she7gNSzOvJ958PWT09c/edit?usp=sharing"",""ลำพูน!Q695"")+IMPORTRANGE(""https://docs.google.com/spreadsheets/d/1B0f2xJpZUC6Z0xXnqKlZtEPzsf6L84eP1r1Q15seqRM/edit?usp=sharing"",""สุโขทัย!Q695"")+IMPORTRANGE(""http"&amp;"s://docs.google.com/spreadsheets/d/1v0b9pFQCsKUVExMei7AgY2yQkdeNQvtOssygGsXbiKo/edit?usp=sharing"",""อุตรดิตถ์!Q695"")+IMPORTRANGE(""https://docs.google.com/spreadsheets/d/1UsNK1e-WWiCo2PvGqdNfdme4m17_Ezd3J69EeeiQPD0/edit?usp=sharing"",""อุทัยธานี!Q695"")"),3406990)</f>
        <v>3406990</v>
      </c>
      <c r="R695" s="46">
        <f ca="1">IFERROR(__xludf.DUMMYFUNCTION("IMPORTRANGE(""https://docs.google.com/spreadsheets/d/1jTcq05yEiRwXcBMLjiodW9e4biSGYWAHcDj22rKWQ3s/edit?usp=sharing"",""กำแพงเพชร!R695"")+IMPORTRANGE(""https://docs.google.com/spreadsheets/d/1KS0zmDSZPk8KnTAbGN-Xk6MtX1YRZD0ldgdt20K4CRk/edit?usp=sharing"","&amp;"""เชียงราย!R695"")+IMPORTRANGE(""https://docs.google.com/spreadsheets/d/1rEDxBtusbi64tE0zunoIbsTVV16HeL0oJ6trHQeQ7K8/edit?usp=sharing"",""เชียงใหม่!R695"")+IMPORTRANGE(""https://docs.google.com/spreadsheets/d/1W6MnUbDkMi6xHnHko_XkFDO9kkuL6Wqyc-6OCDFjW9I/e"&amp;"dit?usp=sharing"",""ตาก!R695"")+IMPORTRANGE(""https://docs.google.com/spreadsheets/d/1IQAWArduLkta9LpYo4a_ULsyqdta6-6aDDiwpUnQT6c/edit?usp=sharing"",""นครสวรรค์!R695"")+IMPORTRANGE(""https://docs.google.com/spreadsheets/d/10s13Sk5xrltsiR-Zkbmk5DwIaDIKO8Xl"&amp;"bJAfqyT7Gvg/edit?usp=sharing"",""น่าน!R695"")+IMPORTRANGE(""https://docs.google.com/spreadsheets/d/1uu4nAn4Dbi1XREnLKKotUANlKXa7yCgRcgq8HEzQYW8/edit?usp=sharing"",""พะเยา!R695"")+IMPORTRANGE(""https://docs.google.com/spreadsheets/d/1xfJKIQxVOaPDIICqsflNlL"&amp;"u3JacTDk1FP9RH4phX7mI/edit?usp=sharing"",""พิจิตร!R695"")+IMPORTRANGE(""https://docs.google.com/spreadsheets/d/1JtRfZkJMHtEhI5RdRHxYUG4FIZHqKDpNyIuN7A1Q0_k/edit?usp=sharing"",""พิษณุโลก!R695"")+IMPORTRANGE(""https://docs.google.com/spreadsheets/d/1xlcVZWU"&amp;"Nn6SuWm0c307h32SiGkd9BaeQWlAktfD3KO8/edit?usp=sharing"",""เพชรบูรณ์!R695"")+IMPORTRANGE(""https://docs.google.com/spreadsheets/d/1lOVebEIsI9qjGXl6EX66luk7wiuP2tBaryw-wKvv4e0/edit?usp=sharing"",""แพร่!R695"")+IMPORTRANGE(""https://docs.google.com/spreadshe"&amp;"ets/d/1dQrvX0vEcN7Gu0fnZ0B5S90AeR19zth4XlExFBeExMY/edit?usp=sharing"",""แม่ฮ่องสอน!R695"")+IMPORTRANGE(""https://docs.google.com/spreadsheets/d/1DY4XTNNwjluuxqdfdn6qvOSlMRrZqUtmYcZR0ttFiG4/edit?usp=sharing"",""ลำปาง!R695"")+IMPORTRANGE(""https://docs.goog"&amp;"le.com/spreadsheets/d/1ICwG78r0OFT8biBlxnBF8r7she7gNSzOvJ958PWT09c/edit?usp=sharing"",""ลำพูน!R695"")+IMPORTRANGE(""https://docs.google.com/spreadsheets/d/1B0f2xJpZUC6Z0xXnqKlZtEPzsf6L84eP1r1Q15seqRM/edit?usp=sharing"",""สุโขทัย!R695"")+IMPORTRANGE(""http"&amp;"s://docs.google.com/spreadsheets/d/1v0b9pFQCsKUVExMei7AgY2yQkdeNQvtOssygGsXbiKo/edit?usp=sharing"",""อุตรดิตถ์!R695"")+IMPORTRANGE(""https://docs.google.com/spreadsheets/d/1UsNK1e-WWiCo2PvGqdNfdme4m17_Ezd3J69EeeiQPD0/edit?usp=sharing"",""อุทัยธานี!R695"")"),3406990)</f>
        <v>3406990</v>
      </c>
      <c r="S695" s="46">
        <f ca="1">IFERROR(__xludf.DUMMYFUNCTION("IMPORTRANGE(""https://docs.google.com/spreadsheets/d/1jTcq05yEiRwXcBMLjiodW9e4biSGYWAHcDj22rKWQ3s/edit?usp=sharing"",""กำแพงเพชร!S695"")+IMPORTRANGE(""https://docs.google.com/spreadsheets/d/1KS0zmDSZPk8KnTAbGN-Xk6MtX1YRZD0ldgdt20K4CRk/edit?usp=sharing"","&amp;"""เชียงราย!S695"")+IMPORTRANGE(""https://docs.google.com/spreadsheets/d/1rEDxBtusbi64tE0zunoIbsTVV16HeL0oJ6trHQeQ7K8/edit?usp=sharing"",""เชียงใหม่!S695"")+IMPORTRANGE(""https://docs.google.com/spreadsheets/d/1W6MnUbDkMi6xHnHko_XkFDO9kkuL6Wqyc-6OCDFjW9I/e"&amp;"dit?usp=sharing"",""ตาก!S695"")+IMPORTRANGE(""https://docs.google.com/spreadsheets/d/1IQAWArduLkta9LpYo4a_ULsyqdta6-6aDDiwpUnQT6c/edit?usp=sharing"",""นครสวรรค์!S695"")+IMPORTRANGE(""https://docs.google.com/spreadsheets/d/10s13Sk5xrltsiR-Zkbmk5DwIaDIKO8Xl"&amp;"bJAfqyT7Gvg/edit?usp=sharing"",""น่าน!S695"")+IMPORTRANGE(""https://docs.google.com/spreadsheets/d/1uu4nAn4Dbi1XREnLKKotUANlKXa7yCgRcgq8HEzQYW8/edit?usp=sharing"",""พะเยา!S695"")+IMPORTRANGE(""https://docs.google.com/spreadsheets/d/1xfJKIQxVOaPDIICqsflNlL"&amp;"u3JacTDk1FP9RH4phX7mI/edit?usp=sharing"",""พิจิตร!S695"")+IMPORTRANGE(""https://docs.google.com/spreadsheets/d/1JtRfZkJMHtEhI5RdRHxYUG4FIZHqKDpNyIuN7A1Q0_k/edit?usp=sharing"",""พิษณุโลก!S695"")+IMPORTRANGE(""https://docs.google.com/spreadsheets/d/1xlcVZWU"&amp;"Nn6SuWm0c307h32SiGkd9BaeQWlAktfD3KO8/edit?usp=sharing"",""เพชรบูรณ์!S695"")+IMPORTRANGE(""https://docs.google.com/spreadsheets/d/1lOVebEIsI9qjGXl6EX66luk7wiuP2tBaryw-wKvv4e0/edit?usp=sharing"",""แพร่!S695"")+IMPORTRANGE(""https://docs.google.com/spreadshe"&amp;"ets/d/1dQrvX0vEcN7Gu0fnZ0B5S90AeR19zth4XlExFBeExMY/edit?usp=sharing"",""แม่ฮ่องสอน!S695"")+IMPORTRANGE(""https://docs.google.com/spreadsheets/d/1DY4XTNNwjluuxqdfdn6qvOSlMRrZqUtmYcZR0ttFiG4/edit?usp=sharing"",""ลำปาง!S695"")+IMPORTRANGE(""https://docs.goog"&amp;"le.com/spreadsheets/d/1ICwG78r0OFT8biBlxnBF8r7she7gNSzOvJ958PWT09c/edit?usp=sharing"",""ลำพูน!S695"")+IMPORTRANGE(""https://docs.google.com/spreadsheets/d/1B0f2xJpZUC6Z0xXnqKlZtEPzsf6L84eP1r1Q15seqRM/edit?usp=sharing"",""สุโขทัย!S695"")+IMPORTRANGE(""http"&amp;"s://docs.google.com/spreadsheets/d/1v0b9pFQCsKUVExMei7AgY2yQkdeNQvtOssygGsXbiKo/edit?usp=sharing"",""อุตรดิตถ์!S695"")+IMPORTRANGE(""https://docs.google.com/spreadsheets/d/1UsNK1e-WWiCo2PvGqdNfdme4m17_Ezd3J69EeeiQPD0/edit?usp=sharing"",""อุทัยธานี!S695"")"),1098170.5)</f>
        <v>1098170.5</v>
      </c>
      <c r="T695" s="46">
        <f t="shared" ca="1" si="476"/>
        <v>32.232865373834379</v>
      </c>
      <c r="U695" s="46">
        <f t="shared" ca="1" si="477"/>
        <v>32.232865373834379</v>
      </c>
    </row>
    <row r="696" spans="1:21" ht="18.75" x14ac:dyDescent="0.25">
      <c r="A696" s="128"/>
      <c r="B696" s="158"/>
      <c r="C696" s="158"/>
      <c r="D696" s="41" t="s">
        <v>23</v>
      </c>
      <c r="E696" s="40"/>
      <c r="F696" s="40"/>
      <c r="G696" s="42"/>
      <c r="H696" s="137" t="s">
        <v>14</v>
      </c>
      <c r="I696" s="135"/>
      <c r="J696" s="135"/>
      <c r="K696" s="136"/>
      <c r="L696" s="46">
        <f t="shared" ref="L696:N696" ca="1" si="484">L697+L698</f>
        <v>0</v>
      </c>
      <c r="M696" s="46">
        <f t="shared" ca="1" si="484"/>
        <v>0</v>
      </c>
      <c r="N696" s="46">
        <f t="shared" ca="1" si="484"/>
        <v>0</v>
      </c>
      <c r="O696" s="46">
        <f t="shared" ca="1" si="473"/>
        <v>0</v>
      </c>
      <c r="P696" s="46">
        <f t="shared" ca="1" si="474"/>
        <v>0</v>
      </c>
      <c r="Q696" s="46">
        <f t="shared" ref="Q696:S696" ca="1" si="485">Q697+Q698</f>
        <v>0</v>
      </c>
      <c r="R696" s="46">
        <f t="shared" ca="1" si="485"/>
        <v>0</v>
      </c>
      <c r="S696" s="46">
        <f t="shared" ca="1" si="485"/>
        <v>0</v>
      </c>
      <c r="T696" s="46">
        <f t="shared" ca="1" si="476"/>
        <v>0</v>
      </c>
      <c r="U696" s="46">
        <f t="shared" ca="1" si="477"/>
        <v>0</v>
      </c>
    </row>
    <row r="697" spans="1:21" ht="18.75" x14ac:dyDescent="0.25">
      <c r="A697" s="128"/>
      <c r="B697" s="158"/>
      <c r="C697" s="158"/>
      <c r="D697" s="40"/>
      <c r="E697" s="156" t="s">
        <v>20</v>
      </c>
      <c r="F697" s="40"/>
      <c r="G697" s="42"/>
      <c r="H697" s="159" t="s">
        <v>14</v>
      </c>
      <c r="I697" s="135"/>
      <c r="J697" s="135"/>
      <c r="K697" s="136"/>
      <c r="L697" s="48">
        <f ca="1">IFERROR(__xludf.DUMMYFUNCTION("IMPORTRANGE(""https://docs.google.com/spreadsheets/d/1jTcq05yEiRwXcBMLjiodW9e4biSGYWAHcDj22rKWQ3s/edit?usp=sharing"",""กำแพงเพชร!L697"")+IMPORTRANGE(""https://docs.google.com/spreadsheets/d/1KS0zmDSZPk8KnTAbGN-Xk6MtX1YRZD0ldgdt20K4CRk/edit?usp=sharing"","&amp;"""เชียงราย!L697"")+IMPORTRANGE(""https://docs.google.com/spreadsheets/d/1rEDxBtusbi64tE0zunoIbsTVV16HeL0oJ6trHQeQ7K8/edit?usp=sharing"",""เชียงใหม่!L697"")+IMPORTRANGE(""https://docs.google.com/spreadsheets/d/1W6MnUbDkMi6xHnHko_XkFDO9kkuL6Wqyc-6OCDFjW9I/e"&amp;"dit?usp=sharing"",""ตาก!L697"")+IMPORTRANGE(""https://docs.google.com/spreadsheets/d/1IQAWArduLkta9LpYo4a_ULsyqdta6-6aDDiwpUnQT6c/edit?usp=sharing"",""นครสวรรค์!L697"")+IMPORTRANGE(""https://docs.google.com/spreadsheets/d/10s13Sk5xrltsiR-Zkbmk5DwIaDIKO8Xl"&amp;"bJAfqyT7Gvg/edit?usp=sharing"",""น่าน!L697"")+IMPORTRANGE(""https://docs.google.com/spreadsheets/d/1uu4nAn4Dbi1XREnLKKotUANlKXa7yCgRcgq8HEzQYW8/edit?usp=sharing"",""พะเยา!L697"")+IMPORTRANGE(""https://docs.google.com/spreadsheets/d/1xfJKIQxVOaPDIICqsflNlL"&amp;"u3JacTDk1FP9RH4phX7mI/edit?usp=sharing"",""พิจิตร!L697"")+IMPORTRANGE(""https://docs.google.com/spreadsheets/d/1JtRfZkJMHtEhI5RdRHxYUG4FIZHqKDpNyIuN7A1Q0_k/edit?usp=sharing"",""พิษณุโลก!L697"")+IMPORTRANGE(""https://docs.google.com/spreadsheets/d/1xlcVZWU"&amp;"Nn6SuWm0c307h32SiGkd9BaeQWlAktfD3KO8/edit?usp=sharing"",""เพชรบูรณ์!L697"")+IMPORTRANGE(""https://docs.google.com/spreadsheets/d/1lOVebEIsI9qjGXl6EX66luk7wiuP2tBaryw-wKvv4e0/edit?usp=sharing"",""แพร่!L697"")+IMPORTRANGE(""https://docs.google.com/spreadshe"&amp;"ets/d/1dQrvX0vEcN7Gu0fnZ0B5S90AeR19zth4XlExFBeExMY/edit?usp=sharing"",""แม่ฮ่องสอน!L697"")+IMPORTRANGE(""https://docs.google.com/spreadsheets/d/1DY4XTNNwjluuxqdfdn6qvOSlMRrZqUtmYcZR0ttFiG4/edit?usp=sharing"",""ลำปาง!L697"")+IMPORTRANGE(""https://docs.goog"&amp;"le.com/spreadsheets/d/1ICwG78r0OFT8biBlxnBF8r7she7gNSzOvJ958PWT09c/edit?usp=sharing"",""ลำพูน!L697"")+IMPORTRANGE(""https://docs.google.com/spreadsheets/d/1B0f2xJpZUC6Z0xXnqKlZtEPzsf6L84eP1r1Q15seqRM/edit?usp=sharing"",""สุโขทัย!L697"")+IMPORTRANGE(""http"&amp;"s://docs.google.com/spreadsheets/d/1v0b9pFQCsKUVExMei7AgY2yQkdeNQvtOssygGsXbiKo/edit?usp=sharing"",""อุตรดิตถ์!L697"")+IMPORTRANGE(""https://docs.google.com/spreadsheets/d/1UsNK1e-WWiCo2PvGqdNfdme4m17_Ezd3J69EeeiQPD0/edit?usp=sharing"",""อุทัยธานี!L697"")"),0)</f>
        <v>0</v>
      </c>
      <c r="M697" s="48">
        <f ca="1">IFERROR(__xludf.DUMMYFUNCTION("IMPORTRANGE(""https://docs.google.com/spreadsheets/d/1jTcq05yEiRwXcBMLjiodW9e4biSGYWAHcDj22rKWQ3s/edit?usp=sharing"",""กำแพงเพชร!M697"")+IMPORTRANGE(""https://docs.google.com/spreadsheets/d/1KS0zmDSZPk8KnTAbGN-Xk6MtX1YRZD0ldgdt20K4CRk/edit?usp=sharing"","&amp;"""เชียงราย!M697"")+IMPORTRANGE(""https://docs.google.com/spreadsheets/d/1rEDxBtusbi64tE0zunoIbsTVV16HeL0oJ6trHQeQ7K8/edit?usp=sharing"",""เชียงใหม่!M697"")+IMPORTRANGE(""https://docs.google.com/spreadsheets/d/1W6MnUbDkMi6xHnHko_XkFDO9kkuL6Wqyc-6OCDFjW9I/e"&amp;"dit?usp=sharing"",""ตาก!M697"")+IMPORTRANGE(""https://docs.google.com/spreadsheets/d/1IQAWArduLkta9LpYo4a_ULsyqdta6-6aDDiwpUnQT6c/edit?usp=sharing"",""นครสวรรค์!M697"")+IMPORTRANGE(""https://docs.google.com/spreadsheets/d/10s13Sk5xrltsiR-Zkbmk5DwIaDIKO8Xl"&amp;"bJAfqyT7Gvg/edit?usp=sharing"",""น่าน!M697"")+IMPORTRANGE(""https://docs.google.com/spreadsheets/d/1uu4nAn4Dbi1XREnLKKotUANlKXa7yCgRcgq8HEzQYW8/edit?usp=sharing"",""พะเยา!M697"")+IMPORTRANGE(""https://docs.google.com/spreadsheets/d/1xfJKIQxVOaPDIICqsflNlL"&amp;"u3JacTDk1FP9RH4phX7mI/edit?usp=sharing"",""พิจิตร!M697"")+IMPORTRANGE(""https://docs.google.com/spreadsheets/d/1JtRfZkJMHtEhI5RdRHxYUG4FIZHqKDpNyIuN7A1Q0_k/edit?usp=sharing"",""พิษณุโลก!M697"")+IMPORTRANGE(""https://docs.google.com/spreadsheets/d/1xlcVZWU"&amp;"Nn6SuWm0c307h32SiGkd9BaeQWlAktfD3KO8/edit?usp=sharing"",""เพชรบูรณ์!M697"")+IMPORTRANGE(""https://docs.google.com/spreadsheets/d/1lOVebEIsI9qjGXl6EX66luk7wiuP2tBaryw-wKvv4e0/edit?usp=sharing"",""แพร่!M697"")+IMPORTRANGE(""https://docs.google.com/spreadshe"&amp;"ets/d/1dQrvX0vEcN7Gu0fnZ0B5S90AeR19zth4XlExFBeExMY/edit?usp=sharing"",""แม่ฮ่องสอน!M697"")+IMPORTRANGE(""https://docs.google.com/spreadsheets/d/1DY4XTNNwjluuxqdfdn6qvOSlMRrZqUtmYcZR0ttFiG4/edit?usp=sharing"",""ลำปาง!M697"")+IMPORTRANGE(""https://docs.goog"&amp;"le.com/spreadsheets/d/1ICwG78r0OFT8biBlxnBF8r7she7gNSzOvJ958PWT09c/edit?usp=sharing"",""ลำพูน!M697"")+IMPORTRANGE(""https://docs.google.com/spreadsheets/d/1B0f2xJpZUC6Z0xXnqKlZtEPzsf6L84eP1r1Q15seqRM/edit?usp=sharing"",""สุโขทัย!M697"")+IMPORTRANGE(""http"&amp;"s://docs.google.com/spreadsheets/d/1v0b9pFQCsKUVExMei7AgY2yQkdeNQvtOssygGsXbiKo/edit?usp=sharing"",""อุตรดิตถ์!M697"")+IMPORTRANGE(""https://docs.google.com/spreadsheets/d/1UsNK1e-WWiCo2PvGqdNfdme4m17_Ezd3J69EeeiQPD0/edit?usp=sharing"",""อุทัยธานี!M697"")"),0)</f>
        <v>0</v>
      </c>
      <c r="N697" s="48">
        <f ca="1">IFERROR(__xludf.DUMMYFUNCTION("IMPORTRANGE(""https://docs.google.com/spreadsheets/d/1jTcq05yEiRwXcBMLjiodW9e4biSGYWAHcDj22rKWQ3s/edit?usp=sharing"",""กำแพงเพชร!N697"")+IMPORTRANGE(""https://docs.google.com/spreadsheets/d/1KS0zmDSZPk8KnTAbGN-Xk6MtX1YRZD0ldgdt20K4CRk/edit?usp=sharing"","&amp;"""เชียงราย!N697"")+IMPORTRANGE(""https://docs.google.com/spreadsheets/d/1rEDxBtusbi64tE0zunoIbsTVV16HeL0oJ6trHQeQ7K8/edit?usp=sharing"",""เชียงใหม่!N697"")+IMPORTRANGE(""https://docs.google.com/spreadsheets/d/1W6MnUbDkMi6xHnHko_XkFDO9kkuL6Wqyc-6OCDFjW9I/e"&amp;"dit?usp=sharing"",""ตาก!N697"")+IMPORTRANGE(""https://docs.google.com/spreadsheets/d/1IQAWArduLkta9LpYo4a_ULsyqdta6-6aDDiwpUnQT6c/edit?usp=sharing"",""นครสวรรค์!N697"")+IMPORTRANGE(""https://docs.google.com/spreadsheets/d/10s13Sk5xrltsiR-Zkbmk5DwIaDIKO8Xl"&amp;"bJAfqyT7Gvg/edit?usp=sharing"",""น่าน!N697"")+IMPORTRANGE(""https://docs.google.com/spreadsheets/d/1uu4nAn4Dbi1XREnLKKotUANlKXa7yCgRcgq8HEzQYW8/edit?usp=sharing"",""พะเยา!N697"")+IMPORTRANGE(""https://docs.google.com/spreadsheets/d/1xfJKIQxVOaPDIICqsflNlL"&amp;"u3JacTDk1FP9RH4phX7mI/edit?usp=sharing"",""พิจิตร!N697"")+IMPORTRANGE(""https://docs.google.com/spreadsheets/d/1JtRfZkJMHtEhI5RdRHxYUG4FIZHqKDpNyIuN7A1Q0_k/edit?usp=sharing"",""พิษณุโลก!N697"")+IMPORTRANGE(""https://docs.google.com/spreadsheets/d/1xlcVZWU"&amp;"Nn6SuWm0c307h32SiGkd9BaeQWlAktfD3KO8/edit?usp=sharing"",""เพชรบูรณ์!N697"")+IMPORTRANGE(""https://docs.google.com/spreadsheets/d/1lOVebEIsI9qjGXl6EX66luk7wiuP2tBaryw-wKvv4e0/edit?usp=sharing"",""แพร่!N697"")+IMPORTRANGE(""https://docs.google.com/spreadshe"&amp;"ets/d/1dQrvX0vEcN7Gu0fnZ0B5S90AeR19zth4XlExFBeExMY/edit?usp=sharing"",""แม่ฮ่องสอน!N697"")+IMPORTRANGE(""https://docs.google.com/spreadsheets/d/1DY4XTNNwjluuxqdfdn6qvOSlMRrZqUtmYcZR0ttFiG4/edit?usp=sharing"",""ลำปาง!N697"")+IMPORTRANGE(""https://docs.goog"&amp;"le.com/spreadsheets/d/1ICwG78r0OFT8biBlxnBF8r7she7gNSzOvJ958PWT09c/edit?usp=sharing"",""ลำพูน!N697"")+IMPORTRANGE(""https://docs.google.com/spreadsheets/d/1B0f2xJpZUC6Z0xXnqKlZtEPzsf6L84eP1r1Q15seqRM/edit?usp=sharing"",""สุโขทัย!N697"")+IMPORTRANGE(""http"&amp;"s://docs.google.com/spreadsheets/d/1v0b9pFQCsKUVExMei7AgY2yQkdeNQvtOssygGsXbiKo/edit?usp=sharing"",""อุตรดิตถ์!N697"")+IMPORTRANGE(""https://docs.google.com/spreadsheets/d/1UsNK1e-WWiCo2PvGqdNfdme4m17_Ezd3J69EeeiQPD0/edit?usp=sharing"",""อุทัยธานี!N697"")"),0)</f>
        <v>0</v>
      </c>
      <c r="O697" s="48">
        <f t="shared" ca="1" si="473"/>
        <v>0</v>
      </c>
      <c r="P697" s="48">
        <f t="shared" ca="1" si="474"/>
        <v>0</v>
      </c>
      <c r="Q697" s="48">
        <f ca="1">IFERROR(__xludf.DUMMYFUNCTION("IMPORTRANGE(""https://docs.google.com/spreadsheets/d/1jTcq05yEiRwXcBMLjiodW9e4biSGYWAHcDj22rKWQ3s/edit?usp=sharing"",""กำแพงเพชร!Q697"")+IMPORTRANGE(""https://docs.google.com/spreadsheets/d/1KS0zmDSZPk8KnTAbGN-Xk6MtX1YRZD0ldgdt20K4CRk/edit?usp=sharing"","&amp;"""เชียงราย!Q697"")+IMPORTRANGE(""https://docs.google.com/spreadsheets/d/1rEDxBtusbi64tE0zunoIbsTVV16HeL0oJ6trHQeQ7K8/edit?usp=sharing"",""เชียงใหม่!Q697"")+IMPORTRANGE(""https://docs.google.com/spreadsheets/d/1W6MnUbDkMi6xHnHko_XkFDO9kkuL6Wqyc-6OCDFjW9I/e"&amp;"dit?usp=sharing"",""ตาก!Q697"")+IMPORTRANGE(""https://docs.google.com/spreadsheets/d/1IQAWArduLkta9LpYo4a_ULsyqdta6-6aDDiwpUnQT6c/edit?usp=sharing"",""นครสวรรค์!Q697"")+IMPORTRANGE(""https://docs.google.com/spreadsheets/d/10s13Sk5xrltsiR-Zkbmk5DwIaDIKO8Xl"&amp;"bJAfqyT7Gvg/edit?usp=sharing"",""น่าน!Q697"")+IMPORTRANGE(""https://docs.google.com/spreadsheets/d/1uu4nAn4Dbi1XREnLKKotUANlKXa7yCgRcgq8HEzQYW8/edit?usp=sharing"",""พะเยา!Q697"")+IMPORTRANGE(""https://docs.google.com/spreadsheets/d/1xfJKIQxVOaPDIICqsflNlL"&amp;"u3JacTDk1FP9RH4phX7mI/edit?usp=sharing"",""พิจิตร!Q697"")+IMPORTRANGE(""https://docs.google.com/spreadsheets/d/1JtRfZkJMHtEhI5RdRHxYUG4FIZHqKDpNyIuN7A1Q0_k/edit?usp=sharing"",""พิษณุโลก!Q697"")+IMPORTRANGE(""https://docs.google.com/spreadsheets/d/1xlcVZWU"&amp;"Nn6SuWm0c307h32SiGkd9BaeQWlAktfD3KO8/edit?usp=sharing"",""เพชรบูรณ์!Q697"")+IMPORTRANGE(""https://docs.google.com/spreadsheets/d/1lOVebEIsI9qjGXl6EX66luk7wiuP2tBaryw-wKvv4e0/edit?usp=sharing"",""แพร่!Q697"")+IMPORTRANGE(""https://docs.google.com/spreadshe"&amp;"ets/d/1dQrvX0vEcN7Gu0fnZ0B5S90AeR19zth4XlExFBeExMY/edit?usp=sharing"",""แม่ฮ่องสอน!Q697"")+IMPORTRANGE(""https://docs.google.com/spreadsheets/d/1DY4XTNNwjluuxqdfdn6qvOSlMRrZqUtmYcZR0ttFiG4/edit?usp=sharing"",""ลำปาง!Q697"")+IMPORTRANGE(""https://docs.goog"&amp;"le.com/spreadsheets/d/1ICwG78r0OFT8biBlxnBF8r7she7gNSzOvJ958PWT09c/edit?usp=sharing"",""ลำพูน!Q697"")+IMPORTRANGE(""https://docs.google.com/spreadsheets/d/1B0f2xJpZUC6Z0xXnqKlZtEPzsf6L84eP1r1Q15seqRM/edit?usp=sharing"",""สุโขทัย!Q697"")+IMPORTRANGE(""http"&amp;"s://docs.google.com/spreadsheets/d/1v0b9pFQCsKUVExMei7AgY2yQkdeNQvtOssygGsXbiKo/edit?usp=sharing"",""อุตรดิตถ์!Q697"")+IMPORTRANGE(""https://docs.google.com/spreadsheets/d/1UsNK1e-WWiCo2PvGqdNfdme4m17_Ezd3J69EeeiQPD0/edit?usp=sharing"",""อุทัยธานี!Q697"")"),0)</f>
        <v>0</v>
      </c>
      <c r="R697" s="48">
        <f ca="1">IFERROR(__xludf.DUMMYFUNCTION("IMPORTRANGE(""https://docs.google.com/spreadsheets/d/1jTcq05yEiRwXcBMLjiodW9e4biSGYWAHcDj22rKWQ3s/edit?usp=sharing"",""กำแพงเพชร!R697"")+IMPORTRANGE(""https://docs.google.com/spreadsheets/d/1KS0zmDSZPk8KnTAbGN-Xk6MtX1YRZD0ldgdt20K4CRk/edit?usp=sharing"","&amp;"""เชียงราย!R697"")+IMPORTRANGE(""https://docs.google.com/spreadsheets/d/1rEDxBtusbi64tE0zunoIbsTVV16HeL0oJ6trHQeQ7K8/edit?usp=sharing"",""เชียงใหม่!R697"")+IMPORTRANGE(""https://docs.google.com/spreadsheets/d/1W6MnUbDkMi6xHnHko_XkFDO9kkuL6Wqyc-6OCDFjW9I/e"&amp;"dit?usp=sharing"",""ตาก!R697"")+IMPORTRANGE(""https://docs.google.com/spreadsheets/d/1IQAWArduLkta9LpYo4a_ULsyqdta6-6aDDiwpUnQT6c/edit?usp=sharing"",""นครสวรรค์!R697"")+IMPORTRANGE(""https://docs.google.com/spreadsheets/d/10s13Sk5xrltsiR-Zkbmk5DwIaDIKO8Xl"&amp;"bJAfqyT7Gvg/edit?usp=sharing"",""น่าน!R697"")+IMPORTRANGE(""https://docs.google.com/spreadsheets/d/1uu4nAn4Dbi1XREnLKKotUANlKXa7yCgRcgq8HEzQYW8/edit?usp=sharing"",""พะเยา!R697"")+IMPORTRANGE(""https://docs.google.com/spreadsheets/d/1xfJKIQxVOaPDIICqsflNlL"&amp;"u3JacTDk1FP9RH4phX7mI/edit?usp=sharing"",""พิจิตร!R697"")+IMPORTRANGE(""https://docs.google.com/spreadsheets/d/1JtRfZkJMHtEhI5RdRHxYUG4FIZHqKDpNyIuN7A1Q0_k/edit?usp=sharing"",""พิษณุโลก!R697"")+IMPORTRANGE(""https://docs.google.com/spreadsheets/d/1xlcVZWU"&amp;"Nn6SuWm0c307h32SiGkd9BaeQWlAktfD3KO8/edit?usp=sharing"",""เพชรบูรณ์!R697"")+IMPORTRANGE(""https://docs.google.com/spreadsheets/d/1lOVebEIsI9qjGXl6EX66luk7wiuP2tBaryw-wKvv4e0/edit?usp=sharing"",""แพร่!R697"")+IMPORTRANGE(""https://docs.google.com/spreadshe"&amp;"ets/d/1dQrvX0vEcN7Gu0fnZ0B5S90AeR19zth4XlExFBeExMY/edit?usp=sharing"",""แม่ฮ่องสอน!R697"")+IMPORTRANGE(""https://docs.google.com/spreadsheets/d/1DY4XTNNwjluuxqdfdn6qvOSlMRrZqUtmYcZR0ttFiG4/edit?usp=sharing"",""ลำปาง!R697"")+IMPORTRANGE(""https://docs.goog"&amp;"le.com/spreadsheets/d/1ICwG78r0OFT8biBlxnBF8r7she7gNSzOvJ958PWT09c/edit?usp=sharing"",""ลำพูน!R697"")+IMPORTRANGE(""https://docs.google.com/spreadsheets/d/1B0f2xJpZUC6Z0xXnqKlZtEPzsf6L84eP1r1Q15seqRM/edit?usp=sharing"",""สุโขทัย!R697"")+IMPORTRANGE(""http"&amp;"s://docs.google.com/spreadsheets/d/1v0b9pFQCsKUVExMei7AgY2yQkdeNQvtOssygGsXbiKo/edit?usp=sharing"",""อุตรดิตถ์!R697"")+IMPORTRANGE(""https://docs.google.com/spreadsheets/d/1UsNK1e-WWiCo2PvGqdNfdme4m17_Ezd3J69EeeiQPD0/edit?usp=sharing"",""อุทัยธานี!R697"")"),0)</f>
        <v>0</v>
      </c>
      <c r="S697" s="48">
        <f ca="1">IFERROR(__xludf.DUMMYFUNCTION("IMPORTRANGE(""https://docs.google.com/spreadsheets/d/1jTcq05yEiRwXcBMLjiodW9e4biSGYWAHcDj22rKWQ3s/edit?usp=sharing"",""กำแพงเพชร!S697"")+IMPORTRANGE(""https://docs.google.com/spreadsheets/d/1KS0zmDSZPk8KnTAbGN-Xk6MtX1YRZD0ldgdt20K4CRk/edit?usp=sharing"","&amp;"""เชียงราย!S697"")+IMPORTRANGE(""https://docs.google.com/spreadsheets/d/1rEDxBtusbi64tE0zunoIbsTVV16HeL0oJ6trHQeQ7K8/edit?usp=sharing"",""เชียงใหม่!S697"")+IMPORTRANGE(""https://docs.google.com/spreadsheets/d/1W6MnUbDkMi6xHnHko_XkFDO9kkuL6Wqyc-6OCDFjW9I/e"&amp;"dit?usp=sharing"",""ตาก!S697"")+IMPORTRANGE(""https://docs.google.com/spreadsheets/d/1IQAWArduLkta9LpYo4a_ULsyqdta6-6aDDiwpUnQT6c/edit?usp=sharing"",""นครสวรรค์!S697"")+IMPORTRANGE(""https://docs.google.com/spreadsheets/d/10s13Sk5xrltsiR-Zkbmk5DwIaDIKO8Xl"&amp;"bJAfqyT7Gvg/edit?usp=sharing"",""น่าน!S697"")+IMPORTRANGE(""https://docs.google.com/spreadsheets/d/1uu4nAn4Dbi1XREnLKKotUANlKXa7yCgRcgq8HEzQYW8/edit?usp=sharing"",""พะเยา!S697"")+IMPORTRANGE(""https://docs.google.com/spreadsheets/d/1xfJKIQxVOaPDIICqsflNlL"&amp;"u3JacTDk1FP9RH4phX7mI/edit?usp=sharing"",""พิจิตร!S697"")+IMPORTRANGE(""https://docs.google.com/spreadsheets/d/1JtRfZkJMHtEhI5RdRHxYUG4FIZHqKDpNyIuN7A1Q0_k/edit?usp=sharing"",""พิษณุโลก!S697"")+IMPORTRANGE(""https://docs.google.com/spreadsheets/d/1xlcVZWU"&amp;"Nn6SuWm0c307h32SiGkd9BaeQWlAktfD3KO8/edit?usp=sharing"",""เพชรบูรณ์!S697"")+IMPORTRANGE(""https://docs.google.com/spreadsheets/d/1lOVebEIsI9qjGXl6EX66luk7wiuP2tBaryw-wKvv4e0/edit?usp=sharing"",""แพร่!S697"")+IMPORTRANGE(""https://docs.google.com/spreadshe"&amp;"ets/d/1dQrvX0vEcN7Gu0fnZ0B5S90AeR19zth4XlExFBeExMY/edit?usp=sharing"",""แม่ฮ่องสอน!S697"")+IMPORTRANGE(""https://docs.google.com/spreadsheets/d/1DY4XTNNwjluuxqdfdn6qvOSlMRrZqUtmYcZR0ttFiG4/edit?usp=sharing"",""ลำปาง!S697"")+IMPORTRANGE(""https://docs.goog"&amp;"le.com/spreadsheets/d/1ICwG78r0OFT8biBlxnBF8r7she7gNSzOvJ958PWT09c/edit?usp=sharing"",""ลำพูน!S697"")+IMPORTRANGE(""https://docs.google.com/spreadsheets/d/1B0f2xJpZUC6Z0xXnqKlZtEPzsf6L84eP1r1Q15seqRM/edit?usp=sharing"",""สุโขทัย!S697"")+IMPORTRANGE(""http"&amp;"s://docs.google.com/spreadsheets/d/1v0b9pFQCsKUVExMei7AgY2yQkdeNQvtOssygGsXbiKo/edit?usp=sharing"",""อุตรดิตถ์!S697"")+IMPORTRANGE(""https://docs.google.com/spreadsheets/d/1UsNK1e-WWiCo2PvGqdNfdme4m17_Ezd3J69EeeiQPD0/edit?usp=sharing"",""อุทัยธานี!S697"")"),0)</f>
        <v>0</v>
      </c>
      <c r="T697" s="48">
        <f t="shared" ca="1" si="476"/>
        <v>0</v>
      </c>
      <c r="U697" s="48">
        <f t="shared" ca="1" si="477"/>
        <v>0</v>
      </c>
    </row>
    <row r="698" spans="1:21" ht="18.75" x14ac:dyDescent="0.25">
      <c r="A698" s="128"/>
      <c r="B698" s="158"/>
      <c r="C698" s="158"/>
      <c r="D698" s="40"/>
      <c r="E698" s="47" t="s">
        <v>21</v>
      </c>
      <c r="F698" s="40"/>
      <c r="G698" s="42"/>
      <c r="H698" s="137" t="s">
        <v>14</v>
      </c>
      <c r="I698" s="135"/>
      <c r="J698" s="135"/>
      <c r="K698" s="136"/>
      <c r="L698" s="46">
        <f ca="1">IFERROR(__xludf.DUMMYFUNCTION("IMPORTRANGE(""https://docs.google.com/spreadsheets/d/1jTcq05yEiRwXcBMLjiodW9e4biSGYWAHcDj22rKWQ3s/edit?usp=sharing"",""กำแพงเพชร!L698"")+IMPORTRANGE(""https://docs.google.com/spreadsheets/d/1KS0zmDSZPk8KnTAbGN-Xk6MtX1YRZD0ldgdt20K4CRk/edit?usp=sharing"","&amp;"""เชียงราย!L698"")+IMPORTRANGE(""https://docs.google.com/spreadsheets/d/1rEDxBtusbi64tE0zunoIbsTVV16HeL0oJ6trHQeQ7K8/edit?usp=sharing"",""เชียงใหม่!L698"")+IMPORTRANGE(""https://docs.google.com/spreadsheets/d/1W6MnUbDkMi6xHnHko_XkFDO9kkuL6Wqyc-6OCDFjW9I/e"&amp;"dit?usp=sharing"",""ตาก!L698"")+IMPORTRANGE(""https://docs.google.com/spreadsheets/d/1IQAWArduLkta9LpYo4a_ULsyqdta6-6aDDiwpUnQT6c/edit?usp=sharing"",""นครสวรรค์!L698"")+IMPORTRANGE(""https://docs.google.com/spreadsheets/d/10s13Sk5xrltsiR-Zkbmk5DwIaDIKO8Xl"&amp;"bJAfqyT7Gvg/edit?usp=sharing"",""น่าน!L698"")+IMPORTRANGE(""https://docs.google.com/spreadsheets/d/1uu4nAn4Dbi1XREnLKKotUANlKXa7yCgRcgq8HEzQYW8/edit?usp=sharing"",""พะเยา!L698"")+IMPORTRANGE(""https://docs.google.com/spreadsheets/d/1xfJKIQxVOaPDIICqsflNlL"&amp;"u3JacTDk1FP9RH4phX7mI/edit?usp=sharing"",""พิจิตร!L698"")+IMPORTRANGE(""https://docs.google.com/spreadsheets/d/1JtRfZkJMHtEhI5RdRHxYUG4FIZHqKDpNyIuN7A1Q0_k/edit?usp=sharing"",""พิษณุโลก!L698"")+IMPORTRANGE(""https://docs.google.com/spreadsheets/d/1xlcVZWU"&amp;"Nn6SuWm0c307h32SiGkd9BaeQWlAktfD3KO8/edit?usp=sharing"",""เพชรบูรณ์!L698"")+IMPORTRANGE(""https://docs.google.com/spreadsheets/d/1lOVebEIsI9qjGXl6EX66luk7wiuP2tBaryw-wKvv4e0/edit?usp=sharing"",""แพร่!L698"")+IMPORTRANGE(""https://docs.google.com/spreadshe"&amp;"ets/d/1dQrvX0vEcN7Gu0fnZ0B5S90AeR19zth4XlExFBeExMY/edit?usp=sharing"",""แม่ฮ่องสอน!L698"")+IMPORTRANGE(""https://docs.google.com/spreadsheets/d/1DY4XTNNwjluuxqdfdn6qvOSlMRrZqUtmYcZR0ttFiG4/edit?usp=sharing"",""ลำปาง!L698"")+IMPORTRANGE(""https://docs.goog"&amp;"le.com/spreadsheets/d/1ICwG78r0OFT8biBlxnBF8r7she7gNSzOvJ958PWT09c/edit?usp=sharing"",""ลำพูน!L698"")+IMPORTRANGE(""https://docs.google.com/spreadsheets/d/1B0f2xJpZUC6Z0xXnqKlZtEPzsf6L84eP1r1Q15seqRM/edit?usp=sharing"",""สุโขทัย!L698"")+IMPORTRANGE(""http"&amp;"s://docs.google.com/spreadsheets/d/1v0b9pFQCsKUVExMei7AgY2yQkdeNQvtOssygGsXbiKo/edit?usp=sharing"",""อุตรดิตถ์!L698"")+IMPORTRANGE(""https://docs.google.com/spreadsheets/d/1UsNK1e-WWiCo2PvGqdNfdme4m17_Ezd3J69EeeiQPD0/edit?usp=sharing"",""อุทัยธานี!L698"")"),0)</f>
        <v>0</v>
      </c>
      <c r="M698" s="46">
        <f ca="1">IFERROR(__xludf.DUMMYFUNCTION("IMPORTRANGE(""https://docs.google.com/spreadsheets/d/1jTcq05yEiRwXcBMLjiodW9e4biSGYWAHcDj22rKWQ3s/edit?usp=sharing"",""กำแพงเพชร!M698"")+IMPORTRANGE(""https://docs.google.com/spreadsheets/d/1KS0zmDSZPk8KnTAbGN-Xk6MtX1YRZD0ldgdt20K4CRk/edit?usp=sharing"","&amp;"""เชียงราย!M698"")+IMPORTRANGE(""https://docs.google.com/spreadsheets/d/1rEDxBtusbi64tE0zunoIbsTVV16HeL0oJ6trHQeQ7K8/edit?usp=sharing"",""เชียงใหม่!M698"")+IMPORTRANGE(""https://docs.google.com/spreadsheets/d/1W6MnUbDkMi6xHnHko_XkFDO9kkuL6Wqyc-6OCDFjW9I/e"&amp;"dit?usp=sharing"",""ตาก!M698"")+IMPORTRANGE(""https://docs.google.com/spreadsheets/d/1IQAWArduLkta9LpYo4a_ULsyqdta6-6aDDiwpUnQT6c/edit?usp=sharing"",""นครสวรรค์!M698"")+IMPORTRANGE(""https://docs.google.com/spreadsheets/d/10s13Sk5xrltsiR-Zkbmk5DwIaDIKO8Xl"&amp;"bJAfqyT7Gvg/edit?usp=sharing"",""น่าน!M698"")+IMPORTRANGE(""https://docs.google.com/spreadsheets/d/1uu4nAn4Dbi1XREnLKKotUANlKXa7yCgRcgq8HEzQYW8/edit?usp=sharing"",""พะเยา!M698"")+IMPORTRANGE(""https://docs.google.com/spreadsheets/d/1xfJKIQxVOaPDIICqsflNlL"&amp;"u3JacTDk1FP9RH4phX7mI/edit?usp=sharing"",""พิจิตร!M698"")+IMPORTRANGE(""https://docs.google.com/spreadsheets/d/1JtRfZkJMHtEhI5RdRHxYUG4FIZHqKDpNyIuN7A1Q0_k/edit?usp=sharing"",""พิษณุโลก!M698"")+IMPORTRANGE(""https://docs.google.com/spreadsheets/d/1xlcVZWU"&amp;"Nn6SuWm0c307h32SiGkd9BaeQWlAktfD3KO8/edit?usp=sharing"",""เพชรบูรณ์!M698"")+IMPORTRANGE(""https://docs.google.com/spreadsheets/d/1lOVebEIsI9qjGXl6EX66luk7wiuP2tBaryw-wKvv4e0/edit?usp=sharing"",""แพร่!M698"")+IMPORTRANGE(""https://docs.google.com/spreadshe"&amp;"ets/d/1dQrvX0vEcN7Gu0fnZ0B5S90AeR19zth4XlExFBeExMY/edit?usp=sharing"",""แม่ฮ่องสอน!M698"")+IMPORTRANGE(""https://docs.google.com/spreadsheets/d/1DY4XTNNwjluuxqdfdn6qvOSlMRrZqUtmYcZR0ttFiG4/edit?usp=sharing"",""ลำปาง!M698"")+IMPORTRANGE(""https://docs.goog"&amp;"le.com/spreadsheets/d/1ICwG78r0OFT8biBlxnBF8r7she7gNSzOvJ958PWT09c/edit?usp=sharing"",""ลำพูน!M698"")+IMPORTRANGE(""https://docs.google.com/spreadsheets/d/1B0f2xJpZUC6Z0xXnqKlZtEPzsf6L84eP1r1Q15seqRM/edit?usp=sharing"",""สุโขทัย!M698"")+IMPORTRANGE(""http"&amp;"s://docs.google.com/spreadsheets/d/1v0b9pFQCsKUVExMei7AgY2yQkdeNQvtOssygGsXbiKo/edit?usp=sharing"",""อุตรดิตถ์!M698"")+IMPORTRANGE(""https://docs.google.com/spreadsheets/d/1UsNK1e-WWiCo2PvGqdNfdme4m17_Ezd3J69EeeiQPD0/edit?usp=sharing"",""อุทัยธานี!M698"")"),0)</f>
        <v>0</v>
      </c>
      <c r="N698" s="46">
        <f ca="1">IFERROR(__xludf.DUMMYFUNCTION("IMPORTRANGE(""https://docs.google.com/spreadsheets/d/1jTcq05yEiRwXcBMLjiodW9e4biSGYWAHcDj22rKWQ3s/edit?usp=sharing"",""กำแพงเพชร!N698"")+IMPORTRANGE(""https://docs.google.com/spreadsheets/d/1KS0zmDSZPk8KnTAbGN-Xk6MtX1YRZD0ldgdt20K4CRk/edit?usp=sharing"","&amp;"""เชียงราย!N698"")+IMPORTRANGE(""https://docs.google.com/spreadsheets/d/1rEDxBtusbi64tE0zunoIbsTVV16HeL0oJ6trHQeQ7K8/edit?usp=sharing"",""เชียงใหม่!N698"")+IMPORTRANGE(""https://docs.google.com/spreadsheets/d/1W6MnUbDkMi6xHnHko_XkFDO9kkuL6Wqyc-6OCDFjW9I/e"&amp;"dit?usp=sharing"",""ตาก!N698"")+IMPORTRANGE(""https://docs.google.com/spreadsheets/d/1IQAWArduLkta9LpYo4a_ULsyqdta6-6aDDiwpUnQT6c/edit?usp=sharing"",""นครสวรรค์!N698"")+IMPORTRANGE(""https://docs.google.com/spreadsheets/d/10s13Sk5xrltsiR-Zkbmk5DwIaDIKO8Xl"&amp;"bJAfqyT7Gvg/edit?usp=sharing"",""น่าน!N698"")+IMPORTRANGE(""https://docs.google.com/spreadsheets/d/1uu4nAn4Dbi1XREnLKKotUANlKXa7yCgRcgq8HEzQYW8/edit?usp=sharing"",""พะเยา!N698"")+IMPORTRANGE(""https://docs.google.com/spreadsheets/d/1xfJKIQxVOaPDIICqsflNlL"&amp;"u3JacTDk1FP9RH4phX7mI/edit?usp=sharing"",""พิจิตร!N698"")+IMPORTRANGE(""https://docs.google.com/spreadsheets/d/1JtRfZkJMHtEhI5RdRHxYUG4FIZHqKDpNyIuN7A1Q0_k/edit?usp=sharing"",""พิษณุโลก!N698"")+IMPORTRANGE(""https://docs.google.com/spreadsheets/d/1xlcVZWU"&amp;"Nn6SuWm0c307h32SiGkd9BaeQWlAktfD3KO8/edit?usp=sharing"",""เพชรบูรณ์!N698"")+IMPORTRANGE(""https://docs.google.com/spreadsheets/d/1lOVebEIsI9qjGXl6EX66luk7wiuP2tBaryw-wKvv4e0/edit?usp=sharing"",""แพร่!N698"")+IMPORTRANGE(""https://docs.google.com/spreadshe"&amp;"ets/d/1dQrvX0vEcN7Gu0fnZ0B5S90AeR19zth4XlExFBeExMY/edit?usp=sharing"",""แม่ฮ่องสอน!N698"")+IMPORTRANGE(""https://docs.google.com/spreadsheets/d/1DY4XTNNwjluuxqdfdn6qvOSlMRrZqUtmYcZR0ttFiG4/edit?usp=sharing"",""ลำปาง!N698"")+IMPORTRANGE(""https://docs.goog"&amp;"le.com/spreadsheets/d/1ICwG78r0OFT8biBlxnBF8r7she7gNSzOvJ958PWT09c/edit?usp=sharing"",""ลำพูน!N698"")+IMPORTRANGE(""https://docs.google.com/spreadsheets/d/1B0f2xJpZUC6Z0xXnqKlZtEPzsf6L84eP1r1Q15seqRM/edit?usp=sharing"",""สุโขทัย!N698"")+IMPORTRANGE(""http"&amp;"s://docs.google.com/spreadsheets/d/1v0b9pFQCsKUVExMei7AgY2yQkdeNQvtOssygGsXbiKo/edit?usp=sharing"",""อุตรดิตถ์!N698"")+IMPORTRANGE(""https://docs.google.com/spreadsheets/d/1UsNK1e-WWiCo2PvGqdNfdme4m17_Ezd3J69EeeiQPD0/edit?usp=sharing"",""อุทัยธานี!N698"")"),0)</f>
        <v>0</v>
      </c>
      <c r="O698" s="46">
        <f t="shared" ca="1" si="473"/>
        <v>0</v>
      </c>
      <c r="P698" s="46">
        <f t="shared" ca="1" si="474"/>
        <v>0</v>
      </c>
      <c r="Q698" s="46">
        <f ca="1">IFERROR(__xludf.DUMMYFUNCTION("IMPORTRANGE(""https://docs.google.com/spreadsheets/d/1jTcq05yEiRwXcBMLjiodW9e4biSGYWAHcDj22rKWQ3s/edit?usp=sharing"",""กำแพงเพชร!Q698"")+IMPORTRANGE(""https://docs.google.com/spreadsheets/d/1KS0zmDSZPk8KnTAbGN-Xk6MtX1YRZD0ldgdt20K4CRk/edit?usp=sharing"","&amp;"""เชียงราย!Q698"")+IMPORTRANGE(""https://docs.google.com/spreadsheets/d/1rEDxBtusbi64tE0zunoIbsTVV16HeL0oJ6trHQeQ7K8/edit?usp=sharing"",""เชียงใหม่!Q698"")+IMPORTRANGE(""https://docs.google.com/spreadsheets/d/1W6MnUbDkMi6xHnHko_XkFDO9kkuL6Wqyc-6OCDFjW9I/e"&amp;"dit?usp=sharing"",""ตาก!Q698"")+IMPORTRANGE(""https://docs.google.com/spreadsheets/d/1IQAWArduLkta9LpYo4a_ULsyqdta6-6aDDiwpUnQT6c/edit?usp=sharing"",""นครสวรรค์!Q698"")+IMPORTRANGE(""https://docs.google.com/spreadsheets/d/10s13Sk5xrltsiR-Zkbmk5DwIaDIKO8Xl"&amp;"bJAfqyT7Gvg/edit?usp=sharing"",""น่าน!Q698"")+IMPORTRANGE(""https://docs.google.com/spreadsheets/d/1uu4nAn4Dbi1XREnLKKotUANlKXa7yCgRcgq8HEzQYW8/edit?usp=sharing"",""พะเยา!Q698"")+IMPORTRANGE(""https://docs.google.com/spreadsheets/d/1xfJKIQxVOaPDIICqsflNlL"&amp;"u3JacTDk1FP9RH4phX7mI/edit?usp=sharing"",""พิจิตร!Q698"")+IMPORTRANGE(""https://docs.google.com/spreadsheets/d/1JtRfZkJMHtEhI5RdRHxYUG4FIZHqKDpNyIuN7A1Q0_k/edit?usp=sharing"",""พิษณุโลก!Q698"")+IMPORTRANGE(""https://docs.google.com/spreadsheets/d/1xlcVZWU"&amp;"Nn6SuWm0c307h32SiGkd9BaeQWlAktfD3KO8/edit?usp=sharing"",""เพชรบูรณ์!Q698"")+IMPORTRANGE(""https://docs.google.com/spreadsheets/d/1lOVebEIsI9qjGXl6EX66luk7wiuP2tBaryw-wKvv4e0/edit?usp=sharing"",""แพร่!Q698"")+IMPORTRANGE(""https://docs.google.com/spreadshe"&amp;"ets/d/1dQrvX0vEcN7Gu0fnZ0B5S90AeR19zth4XlExFBeExMY/edit?usp=sharing"",""แม่ฮ่องสอน!Q698"")+IMPORTRANGE(""https://docs.google.com/spreadsheets/d/1DY4XTNNwjluuxqdfdn6qvOSlMRrZqUtmYcZR0ttFiG4/edit?usp=sharing"",""ลำปาง!Q698"")+IMPORTRANGE(""https://docs.goog"&amp;"le.com/spreadsheets/d/1ICwG78r0OFT8biBlxnBF8r7she7gNSzOvJ958PWT09c/edit?usp=sharing"",""ลำพูน!Q698"")+IMPORTRANGE(""https://docs.google.com/spreadsheets/d/1B0f2xJpZUC6Z0xXnqKlZtEPzsf6L84eP1r1Q15seqRM/edit?usp=sharing"",""สุโขทัย!Q698"")+IMPORTRANGE(""http"&amp;"s://docs.google.com/spreadsheets/d/1v0b9pFQCsKUVExMei7AgY2yQkdeNQvtOssygGsXbiKo/edit?usp=sharing"",""อุตรดิตถ์!Q698"")+IMPORTRANGE(""https://docs.google.com/spreadsheets/d/1UsNK1e-WWiCo2PvGqdNfdme4m17_Ezd3J69EeeiQPD0/edit?usp=sharing"",""อุทัยธานี!Q698"")"),0)</f>
        <v>0</v>
      </c>
      <c r="R698" s="46">
        <f ca="1">IFERROR(__xludf.DUMMYFUNCTION("IMPORTRANGE(""https://docs.google.com/spreadsheets/d/1jTcq05yEiRwXcBMLjiodW9e4biSGYWAHcDj22rKWQ3s/edit?usp=sharing"",""กำแพงเพชร!R698"")+IMPORTRANGE(""https://docs.google.com/spreadsheets/d/1KS0zmDSZPk8KnTAbGN-Xk6MtX1YRZD0ldgdt20K4CRk/edit?usp=sharing"","&amp;"""เชียงราย!R698"")+IMPORTRANGE(""https://docs.google.com/spreadsheets/d/1rEDxBtusbi64tE0zunoIbsTVV16HeL0oJ6trHQeQ7K8/edit?usp=sharing"",""เชียงใหม่!R698"")+IMPORTRANGE(""https://docs.google.com/spreadsheets/d/1W6MnUbDkMi6xHnHko_XkFDO9kkuL6Wqyc-6OCDFjW9I/e"&amp;"dit?usp=sharing"",""ตาก!R698"")+IMPORTRANGE(""https://docs.google.com/spreadsheets/d/1IQAWArduLkta9LpYo4a_ULsyqdta6-6aDDiwpUnQT6c/edit?usp=sharing"",""นครสวรรค์!R698"")+IMPORTRANGE(""https://docs.google.com/spreadsheets/d/10s13Sk5xrltsiR-Zkbmk5DwIaDIKO8Xl"&amp;"bJAfqyT7Gvg/edit?usp=sharing"",""น่าน!R698"")+IMPORTRANGE(""https://docs.google.com/spreadsheets/d/1uu4nAn4Dbi1XREnLKKotUANlKXa7yCgRcgq8HEzQYW8/edit?usp=sharing"",""พะเยา!R698"")+IMPORTRANGE(""https://docs.google.com/spreadsheets/d/1xfJKIQxVOaPDIICqsflNlL"&amp;"u3JacTDk1FP9RH4phX7mI/edit?usp=sharing"",""พิจิตร!R698"")+IMPORTRANGE(""https://docs.google.com/spreadsheets/d/1JtRfZkJMHtEhI5RdRHxYUG4FIZHqKDpNyIuN7A1Q0_k/edit?usp=sharing"",""พิษณุโลก!R698"")+IMPORTRANGE(""https://docs.google.com/spreadsheets/d/1xlcVZWU"&amp;"Nn6SuWm0c307h32SiGkd9BaeQWlAktfD3KO8/edit?usp=sharing"",""เพชรบูรณ์!R698"")+IMPORTRANGE(""https://docs.google.com/spreadsheets/d/1lOVebEIsI9qjGXl6EX66luk7wiuP2tBaryw-wKvv4e0/edit?usp=sharing"",""แพร่!R698"")+IMPORTRANGE(""https://docs.google.com/spreadshe"&amp;"ets/d/1dQrvX0vEcN7Gu0fnZ0B5S90AeR19zth4XlExFBeExMY/edit?usp=sharing"",""แม่ฮ่องสอน!R698"")+IMPORTRANGE(""https://docs.google.com/spreadsheets/d/1DY4XTNNwjluuxqdfdn6qvOSlMRrZqUtmYcZR0ttFiG4/edit?usp=sharing"",""ลำปาง!R698"")+IMPORTRANGE(""https://docs.goog"&amp;"le.com/spreadsheets/d/1ICwG78r0OFT8biBlxnBF8r7she7gNSzOvJ958PWT09c/edit?usp=sharing"",""ลำพูน!R698"")+IMPORTRANGE(""https://docs.google.com/spreadsheets/d/1B0f2xJpZUC6Z0xXnqKlZtEPzsf6L84eP1r1Q15seqRM/edit?usp=sharing"",""สุโขทัย!R698"")+IMPORTRANGE(""http"&amp;"s://docs.google.com/spreadsheets/d/1v0b9pFQCsKUVExMei7AgY2yQkdeNQvtOssygGsXbiKo/edit?usp=sharing"",""อุตรดิตถ์!R698"")+IMPORTRANGE(""https://docs.google.com/spreadsheets/d/1UsNK1e-WWiCo2PvGqdNfdme4m17_Ezd3J69EeeiQPD0/edit?usp=sharing"",""อุทัยธานี!R698"")"),0)</f>
        <v>0</v>
      </c>
      <c r="S698" s="46">
        <f ca="1">IFERROR(__xludf.DUMMYFUNCTION("IMPORTRANGE(""https://docs.google.com/spreadsheets/d/1jTcq05yEiRwXcBMLjiodW9e4biSGYWAHcDj22rKWQ3s/edit?usp=sharing"",""กำแพงเพชร!S698"")+IMPORTRANGE(""https://docs.google.com/spreadsheets/d/1KS0zmDSZPk8KnTAbGN-Xk6MtX1YRZD0ldgdt20K4CRk/edit?usp=sharing"","&amp;"""เชียงราย!S698"")+IMPORTRANGE(""https://docs.google.com/spreadsheets/d/1rEDxBtusbi64tE0zunoIbsTVV16HeL0oJ6trHQeQ7K8/edit?usp=sharing"",""เชียงใหม่!S698"")+IMPORTRANGE(""https://docs.google.com/spreadsheets/d/1W6MnUbDkMi6xHnHko_XkFDO9kkuL6Wqyc-6OCDFjW9I/e"&amp;"dit?usp=sharing"",""ตาก!S698"")+IMPORTRANGE(""https://docs.google.com/spreadsheets/d/1IQAWArduLkta9LpYo4a_ULsyqdta6-6aDDiwpUnQT6c/edit?usp=sharing"",""นครสวรรค์!S698"")+IMPORTRANGE(""https://docs.google.com/spreadsheets/d/10s13Sk5xrltsiR-Zkbmk5DwIaDIKO8Xl"&amp;"bJAfqyT7Gvg/edit?usp=sharing"",""น่าน!S698"")+IMPORTRANGE(""https://docs.google.com/spreadsheets/d/1uu4nAn4Dbi1XREnLKKotUANlKXa7yCgRcgq8HEzQYW8/edit?usp=sharing"",""พะเยา!S698"")+IMPORTRANGE(""https://docs.google.com/spreadsheets/d/1xfJKIQxVOaPDIICqsflNlL"&amp;"u3JacTDk1FP9RH4phX7mI/edit?usp=sharing"",""พิจิตร!S698"")+IMPORTRANGE(""https://docs.google.com/spreadsheets/d/1JtRfZkJMHtEhI5RdRHxYUG4FIZHqKDpNyIuN7A1Q0_k/edit?usp=sharing"",""พิษณุโลก!S698"")+IMPORTRANGE(""https://docs.google.com/spreadsheets/d/1xlcVZWU"&amp;"Nn6SuWm0c307h32SiGkd9BaeQWlAktfD3KO8/edit?usp=sharing"",""เพชรบูรณ์!S698"")+IMPORTRANGE(""https://docs.google.com/spreadsheets/d/1lOVebEIsI9qjGXl6EX66luk7wiuP2tBaryw-wKvv4e0/edit?usp=sharing"",""แพร่!S698"")+IMPORTRANGE(""https://docs.google.com/spreadshe"&amp;"ets/d/1dQrvX0vEcN7Gu0fnZ0B5S90AeR19zth4XlExFBeExMY/edit?usp=sharing"",""แม่ฮ่องสอน!S698"")+IMPORTRANGE(""https://docs.google.com/spreadsheets/d/1DY4XTNNwjluuxqdfdn6qvOSlMRrZqUtmYcZR0ttFiG4/edit?usp=sharing"",""ลำปาง!S698"")+IMPORTRANGE(""https://docs.goog"&amp;"le.com/spreadsheets/d/1ICwG78r0OFT8biBlxnBF8r7she7gNSzOvJ958PWT09c/edit?usp=sharing"",""ลำพูน!S698"")+IMPORTRANGE(""https://docs.google.com/spreadsheets/d/1B0f2xJpZUC6Z0xXnqKlZtEPzsf6L84eP1r1Q15seqRM/edit?usp=sharing"",""สุโขทัย!S698"")+IMPORTRANGE(""http"&amp;"s://docs.google.com/spreadsheets/d/1v0b9pFQCsKUVExMei7AgY2yQkdeNQvtOssygGsXbiKo/edit?usp=sharing"",""อุตรดิตถ์!S698"")+IMPORTRANGE(""https://docs.google.com/spreadsheets/d/1UsNK1e-WWiCo2PvGqdNfdme4m17_Ezd3J69EeeiQPD0/edit?usp=sharing"",""อุทัยธานี!S698"")"),0)</f>
        <v>0</v>
      </c>
      <c r="T698" s="46">
        <f t="shared" ca="1" si="476"/>
        <v>0</v>
      </c>
      <c r="U698" s="46">
        <f t="shared" ca="1" si="477"/>
        <v>0</v>
      </c>
    </row>
    <row r="699" spans="1:21" ht="19.5" x14ac:dyDescent="0.3">
      <c r="A699" s="138"/>
      <c r="B699" s="139"/>
      <c r="C699" s="177" t="s">
        <v>18</v>
      </c>
      <c r="D699" s="140" t="s">
        <v>38</v>
      </c>
      <c r="E699" s="141"/>
      <c r="F699" s="141"/>
      <c r="G699" s="141"/>
      <c r="H699" s="178"/>
      <c r="I699" s="135"/>
      <c r="J699" s="135"/>
      <c r="K699" s="136"/>
      <c r="L699" s="45"/>
      <c r="M699" s="45"/>
      <c r="N699" s="45"/>
      <c r="O699" s="45"/>
      <c r="P699" s="45"/>
      <c r="Q699" s="45"/>
      <c r="R699" s="45"/>
      <c r="S699" s="45"/>
      <c r="T699" s="45"/>
      <c r="U699" s="45"/>
    </row>
    <row r="700" spans="1:21" ht="18.75" x14ac:dyDescent="0.25">
      <c r="A700" s="208"/>
      <c r="B700" s="158"/>
      <c r="C700" s="158"/>
      <c r="D700" s="145"/>
      <c r="E700" s="144" t="s">
        <v>256</v>
      </c>
      <c r="F700" s="145"/>
      <c r="G700" s="143"/>
      <c r="H700" s="137" t="s">
        <v>257</v>
      </c>
      <c r="I700" s="166">
        <f ca="1">IFERROR(__xludf.DUMMYFUNCTION("IMPORTRANGE(""https://docs.google.com/spreadsheets/d/1jTcq05yEiRwXcBMLjiodW9e4biSGYWAHcDj22rKWQ3s/edit?usp=sharing"",""กำแพงเพชร!I700"")+IMPORTRANGE(""https://docs.google.com/spreadsheets/d/1KS0zmDSZPk8KnTAbGN-Xk6MtX1YRZD0ldgdt20K4CRk/edit?usp=sharing"","&amp;"""เชียงราย!I700"")+IMPORTRANGE(""https://docs.google.com/spreadsheets/d/1rEDxBtusbi64tE0zunoIbsTVV16HeL0oJ6trHQeQ7K8/edit?usp=sharing"",""เชียงใหม่!I700"")+IMPORTRANGE(""https://docs.google.com/spreadsheets/d/1W6MnUbDkMi6xHnHko_XkFDO9kkuL6Wqyc-6OCDFjW9I/e"&amp;"dit?usp=sharing"",""ตาก!I700"")+IMPORTRANGE(""https://docs.google.com/spreadsheets/d/1IQAWArduLkta9LpYo4a_ULsyqdta6-6aDDiwpUnQT6c/edit?usp=sharing"",""นครสวรรค์!I700"")+IMPORTRANGE(""https://docs.google.com/spreadsheets/d/10s13Sk5xrltsiR-Zkbmk5DwIaDIKO8Xl"&amp;"bJAfqyT7Gvg/edit?usp=sharing"",""น่าน!I700"")+IMPORTRANGE(""https://docs.google.com/spreadsheets/d/1uu4nAn4Dbi1XREnLKKotUANlKXa7yCgRcgq8HEzQYW8/edit?usp=sharing"",""พะเยา!I700"")+IMPORTRANGE(""https://docs.google.com/spreadsheets/d/1xfJKIQxVOaPDIICqsflNlL"&amp;"u3JacTDk1FP9RH4phX7mI/edit?usp=sharing"",""พิจิตร!I700"")+IMPORTRANGE(""https://docs.google.com/spreadsheets/d/1JtRfZkJMHtEhI5RdRHxYUG4FIZHqKDpNyIuN7A1Q0_k/edit?usp=sharing"",""พิษณุโลก!I700"")+IMPORTRANGE(""https://docs.google.com/spreadsheets/d/1xlcVZWU"&amp;"Nn6SuWm0c307h32SiGkd9BaeQWlAktfD3KO8/edit?usp=sharing"",""เพชรบูรณ์!I700"")+IMPORTRANGE(""https://docs.google.com/spreadsheets/d/1lOVebEIsI9qjGXl6EX66luk7wiuP2tBaryw-wKvv4e0/edit?usp=sharing"",""แพร่!I700"")+IMPORTRANGE(""https://docs.google.com/spreadshe"&amp;"ets/d/1dQrvX0vEcN7Gu0fnZ0B5S90AeR19zth4XlExFBeExMY/edit?usp=sharing"",""แม่ฮ่องสอน!I700"")+IMPORTRANGE(""https://docs.google.com/spreadsheets/d/1DY4XTNNwjluuxqdfdn6qvOSlMRrZqUtmYcZR0ttFiG4/edit?usp=sharing"",""ลำปาง!I700"")+IMPORTRANGE(""https://docs.goog"&amp;"le.com/spreadsheets/d/1ICwG78r0OFT8biBlxnBF8r7she7gNSzOvJ958PWT09c/edit?usp=sharing"",""ลำพูน!I700"")+IMPORTRANGE(""https://docs.google.com/spreadsheets/d/1B0f2xJpZUC6Z0xXnqKlZtEPzsf6L84eP1r1Q15seqRM/edit?usp=sharing"",""สุโขทัย!I700"")+IMPORTRANGE(""http"&amp;"s://docs.google.com/spreadsheets/d/1v0b9pFQCsKUVExMei7AgY2yQkdeNQvtOssygGsXbiKo/edit?usp=sharing"",""อุตรดิตถ์!I700"")+IMPORTRANGE(""https://docs.google.com/spreadsheets/d/1UsNK1e-WWiCo2PvGqdNfdme4m17_Ezd3J69EeeiQPD0/edit?usp=sharing"",""อุทัยธานี!I700"")"),13)</f>
        <v>13</v>
      </c>
      <c r="J700" s="167">
        <f ca="1">IFERROR(__xludf.DUMMYFUNCTION("IMPORTRANGE(""https://docs.google.com/spreadsheets/d/1jTcq05yEiRwXcBMLjiodW9e4biSGYWAHcDj22rKWQ3s/edit?usp=sharing"",""กำแพงเพชร!J700"")+IMPORTRANGE(""https://docs.google.com/spreadsheets/d/1KS0zmDSZPk8KnTAbGN-Xk6MtX1YRZD0ldgdt20K4CRk/edit?usp=sharing"","&amp;"""เชียงราย!J700"")+IMPORTRANGE(""https://docs.google.com/spreadsheets/d/1rEDxBtusbi64tE0zunoIbsTVV16HeL0oJ6trHQeQ7K8/edit?usp=sharing"",""เชียงใหม่!J700"")+IMPORTRANGE(""https://docs.google.com/spreadsheets/d/1W6MnUbDkMi6xHnHko_XkFDO9kkuL6Wqyc-6OCDFjW9I/e"&amp;"dit?usp=sharing"",""ตาก!J700"")+IMPORTRANGE(""https://docs.google.com/spreadsheets/d/1IQAWArduLkta9LpYo4a_ULsyqdta6-6aDDiwpUnQT6c/edit?usp=sharing"",""นครสวรรค์!J700"")+IMPORTRANGE(""https://docs.google.com/spreadsheets/d/10s13Sk5xrltsiR-Zkbmk5DwIaDIKO8Xl"&amp;"bJAfqyT7Gvg/edit?usp=sharing"",""น่าน!J700"")+IMPORTRANGE(""https://docs.google.com/spreadsheets/d/1uu4nAn4Dbi1XREnLKKotUANlKXa7yCgRcgq8HEzQYW8/edit?usp=sharing"",""พะเยา!J700"")+IMPORTRANGE(""https://docs.google.com/spreadsheets/d/1xfJKIQxVOaPDIICqsflNlL"&amp;"u3JacTDk1FP9RH4phX7mI/edit?usp=sharing"",""พิจิตร!J700"")+IMPORTRANGE(""https://docs.google.com/spreadsheets/d/1JtRfZkJMHtEhI5RdRHxYUG4FIZHqKDpNyIuN7A1Q0_k/edit?usp=sharing"",""พิษณุโลก!J700"")+IMPORTRANGE(""https://docs.google.com/spreadsheets/d/1xlcVZWU"&amp;"Nn6SuWm0c307h32SiGkd9BaeQWlAktfD3KO8/edit?usp=sharing"",""เพชรบูรณ์!J700"")+IMPORTRANGE(""https://docs.google.com/spreadsheets/d/1lOVebEIsI9qjGXl6EX66luk7wiuP2tBaryw-wKvv4e0/edit?usp=sharing"",""แพร่!J700"")+IMPORTRANGE(""https://docs.google.com/spreadshe"&amp;"ets/d/1dQrvX0vEcN7Gu0fnZ0B5S90AeR19zth4XlExFBeExMY/edit?usp=sharing"",""แม่ฮ่องสอน!J700"")+IMPORTRANGE(""https://docs.google.com/spreadsheets/d/1DY4XTNNwjluuxqdfdn6qvOSlMRrZqUtmYcZR0ttFiG4/edit?usp=sharing"",""ลำปาง!J700"")+IMPORTRANGE(""https://docs.goog"&amp;"le.com/spreadsheets/d/1ICwG78r0OFT8biBlxnBF8r7she7gNSzOvJ958PWT09c/edit?usp=sharing"",""ลำพูน!J700"")+IMPORTRANGE(""https://docs.google.com/spreadsheets/d/1B0f2xJpZUC6Z0xXnqKlZtEPzsf6L84eP1r1Q15seqRM/edit?usp=sharing"",""สุโขทัย!J700"")+IMPORTRANGE(""http"&amp;"s://docs.google.com/spreadsheets/d/1v0b9pFQCsKUVExMei7AgY2yQkdeNQvtOssygGsXbiKo/edit?usp=sharing"",""อุตรดิตถ์!J700"")+IMPORTRANGE(""https://docs.google.com/spreadsheets/d/1UsNK1e-WWiCo2PvGqdNfdme4m17_Ezd3J69EeeiQPD0/edit?usp=sharing"",""อุทัยธานี!J700"")"),0)</f>
        <v>0</v>
      </c>
      <c r="K700" s="152">
        <f t="shared" ref="K700:K710" ca="1" si="486">IF(I700&gt;0,J700*100/I700,0)</f>
        <v>0</v>
      </c>
      <c r="L700" s="136"/>
      <c r="M700" s="136"/>
      <c r="N700" s="45"/>
      <c r="O700" s="136"/>
      <c r="P700" s="136"/>
      <c r="Q700" s="136"/>
      <c r="R700" s="136"/>
      <c r="S700" s="136"/>
      <c r="T700" s="136"/>
      <c r="U700" s="136"/>
    </row>
    <row r="701" spans="1:21" ht="19.5" x14ac:dyDescent="0.3">
      <c r="A701" s="208"/>
      <c r="B701" s="158"/>
      <c r="C701" s="158"/>
      <c r="D701" s="145"/>
      <c r="E701" s="417" t="s">
        <v>258</v>
      </c>
      <c r="F701" s="145"/>
      <c r="G701" s="143"/>
      <c r="H701" s="131" t="s">
        <v>35</v>
      </c>
      <c r="I701" s="147">
        <f t="shared" ref="I701:J701" ca="1" si="487">I703+I705</f>
        <v>1517</v>
      </c>
      <c r="J701" s="147">
        <f t="shared" ca="1" si="487"/>
        <v>363</v>
      </c>
      <c r="K701" s="132">
        <f t="shared" ca="1" si="486"/>
        <v>23.928806855636125</v>
      </c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08"/>
      <c r="B702" s="158"/>
      <c r="C702" s="158"/>
      <c r="D702" s="145"/>
      <c r="E702" s="145"/>
      <c r="F702" s="145"/>
      <c r="G702" s="143"/>
      <c r="H702" s="131" t="s">
        <v>46</v>
      </c>
      <c r="I702" s="328">
        <v>0</v>
      </c>
      <c r="J702" s="147">
        <f ca="1">J704+J706</f>
        <v>321.97000000000003</v>
      </c>
      <c r="K702" s="132">
        <f t="shared" si="486"/>
        <v>0</v>
      </c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08"/>
      <c r="B703" s="158"/>
      <c r="C703" s="158"/>
      <c r="D703" s="145"/>
      <c r="E703" s="145"/>
      <c r="F703" s="144" t="s">
        <v>259</v>
      </c>
      <c r="G703" s="143"/>
      <c r="H703" s="137" t="s">
        <v>35</v>
      </c>
      <c r="I703" s="166">
        <f ca="1">IFERROR(__xludf.DUMMYFUNCTION("IMPORTRANGE(""https://docs.google.com/spreadsheets/d/1jTcq05yEiRwXcBMLjiodW9e4biSGYWAHcDj22rKWQ3s/edit?usp=sharing"",""กำแพงเพชร!I703"")+IMPORTRANGE(""https://docs.google.com/spreadsheets/d/1KS0zmDSZPk8KnTAbGN-Xk6MtX1YRZD0ldgdt20K4CRk/edit?usp=sharing"","&amp;"""เชียงราย!I703"")+IMPORTRANGE(""https://docs.google.com/spreadsheets/d/1rEDxBtusbi64tE0zunoIbsTVV16HeL0oJ6trHQeQ7K8/edit?usp=sharing"",""เชียงใหม่!I703"")+IMPORTRANGE(""https://docs.google.com/spreadsheets/d/1W6MnUbDkMi6xHnHko_XkFDO9kkuL6Wqyc-6OCDFjW9I/e"&amp;"dit?usp=sharing"",""ตาก!I703"")+IMPORTRANGE(""https://docs.google.com/spreadsheets/d/1IQAWArduLkta9LpYo4a_ULsyqdta6-6aDDiwpUnQT6c/edit?usp=sharing"",""นครสวรรค์!I703"")+IMPORTRANGE(""https://docs.google.com/spreadsheets/d/10s13Sk5xrltsiR-Zkbmk5DwIaDIKO8Xl"&amp;"bJAfqyT7Gvg/edit?usp=sharing"",""น่าน!I703"")+IMPORTRANGE(""https://docs.google.com/spreadsheets/d/1uu4nAn4Dbi1XREnLKKotUANlKXa7yCgRcgq8HEzQYW8/edit?usp=sharing"",""พะเยา!I703"")+IMPORTRANGE(""https://docs.google.com/spreadsheets/d/1xfJKIQxVOaPDIICqsflNlL"&amp;"u3JacTDk1FP9RH4phX7mI/edit?usp=sharing"",""พิจิตร!I703"")+IMPORTRANGE(""https://docs.google.com/spreadsheets/d/1JtRfZkJMHtEhI5RdRHxYUG4FIZHqKDpNyIuN7A1Q0_k/edit?usp=sharing"",""พิษณุโลก!I703"")+IMPORTRANGE(""https://docs.google.com/spreadsheets/d/1xlcVZWU"&amp;"Nn6SuWm0c307h32SiGkd9BaeQWlAktfD3KO8/edit?usp=sharing"",""เพชรบูรณ์!I703"")+IMPORTRANGE(""https://docs.google.com/spreadsheets/d/1lOVebEIsI9qjGXl6EX66luk7wiuP2tBaryw-wKvv4e0/edit?usp=sharing"",""แพร่!I703"")+IMPORTRANGE(""https://docs.google.com/spreadshe"&amp;"ets/d/1dQrvX0vEcN7Gu0fnZ0B5S90AeR19zth4XlExFBeExMY/edit?usp=sharing"",""แม่ฮ่องสอน!I703"")+IMPORTRANGE(""https://docs.google.com/spreadsheets/d/1DY4XTNNwjluuxqdfdn6qvOSlMRrZqUtmYcZR0ttFiG4/edit?usp=sharing"",""ลำปาง!I703"")+IMPORTRANGE(""https://docs.goog"&amp;"le.com/spreadsheets/d/1ICwG78r0OFT8biBlxnBF8r7she7gNSzOvJ958PWT09c/edit?usp=sharing"",""ลำพูน!I703"")+IMPORTRANGE(""https://docs.google.com/spreadsheets/d/1B0f2xJpZUC6Z0xXnqKlZtEPzsf6L84eP1r1Q15seqRM/edit?usp=sharing"",""สุโขทัย!I703"")+IMPORTRANGE(""http"&amp;"s://docs.google.com/spreadsheets/d/1v0b9pFQCsKUVExMei7AgY2yQkdeNQvtOssygGsXbiKo/edit?usp=sharing"",""อุตรดิตถ์!I703"")+IMPORTRANGE(""https://docs.google.com/spreadsheets/d/1UsNK1e-WWiCo2PvGqdNfdme4m17_Ezd3J69EeeiQPD0/edit?usp=sharing"",""อุทัยธานี!I703"")"),1455)</f>
        <v>1455</v>
      </c>
      <c r="J703" s="166">
        <f ca="1">IFERROR(__xludf.DUMMYFUNCTION("IMPORTRANGE(""https://docs.google.com/spreadsheets/d/1jTcq05yEiRwXcBMLjiodW9e4biSGYWAHcDj22rKWQ3s/edit?usp=sharing"",""กำแพงเพชร!J703"")+IMPORTRANGE(""https://docs.google.com/spreadsheets/d/1KS0zmDSZPk8KnTAbGN-Xk6MtX1YRZD0ldgdt20K4CRk/edit?usp=sharing"","&amp;"""เชียงราย!J703"")+IMPORTRANGE(""https://docs.google.com/spreadsheets/d/1rEDxBtusbi64tE0zunoIbsTVV16HeL0oJ6trHQeQ7K8/edit?usp=sharing"",""เชียงใหม่!J703"")+IMPORTRANGE(""https://docs.google.com/spreadsheets/d/1W6MnUbDkMi6xHnHko_XkFDO9kkuL6Wqyc-6OCDFjW9I/e"&amp;"dit?usp=sharing"",""ตาก!J703"")+IMPORTRANGE(""https://docs.google.com/spreadsheets/d/1IQAWArduLkta9LpYo4a_ULsyqdta6-6aDDiwpUnQT6c/edit?usp=sharing"",""นครสวรรค์!J703"")+IMPORTRANGE(""https://docs.google.com/spreadsheets/d/10s13Sk5xrltsiR-Zkbmk5DwIaDIKO8Xl"&amp;"bJAfqyT7Gvg/edit?usp=sharing"",""น่าน!J703"")+IMPORTRANGE(""https://docs.google.com/spreadsheets/d/1uu4nAn4Dbi1XREnLKKotUANlKXa7yCgRcgq8HEzQYW8/edit?usp=sharing"",""พะเยา!J703"")+IMPORTRANGE(""https://docs.google.com/spreadsheets/d/1xfJKIQxVOaPDIICqsflNlL"&amp;"u3JacTDk1FP9RH4phX7mI/edit?usp=sharing"",""พิจิตร!J703"")+IMPORTRANGE(""https://docs.google.com/spreadsheets/d/1JtRfZkJMHtEhI5RdRHxYUG4FIZHqKDpNyIuN7A1Q0_k/edit?usp=sharing"",""พิษณุโลก!J703"")+IMPORTRANGE(""https://docs.google.com/spreadsheets/d/1xlcVZWU"&amp;"Nn6SuWm0c307h32SiGkd9BaeQWlAktfD3KO8/edit?usp=sharing"",""เพชรบูรณ์!J703"")+IMPORTRANGE(""https://docs.google.com/spreadsheets/d/1lOVebEIsI9qjGXl6EX66luk7wiuP2tBaryw-wKvv4e0/edit?usp=sharing"",""แพร่!J703"")+IMPORTRANGE(""https://docs.google.com/spreadshe"&amp;"ets/d/1dQrvX0vEcN7Gu0fnZ0B5S90AeR19zth4XlExFBeExMY/edit?usp=sharing"",""แม่ฮ่องสอน!J703"")+IMPORTRANGE(""https://docs.google.com/spreadsheets/d/1DY4XTNNwjluuxqdfdn6qvOSlMRrZqUtmYcZR0ttFiG4/edit?usp=sharing"",""ลำปาง!J703"")+IMPORTRANGE(""https://docs.goog"&amp;"le.com/spreadsheets/d/1ICwG78r0OFT8biBlxnBF8r7she7gNSzOvJ958PWT09c/edit?usp=sharing"",""ลำพูน!J703"")+IMPORTRANGE(""https://docs.google.com/spreadsheets/d/1B0f2xJpZUC6Z0xXnqKlZtEPzsf6L84eP1r1Q15seqRM/edit?usp=sharing"",""สุโขทัย!J703"")+IMPORTRANGE(""http"&amp;"s://docs.google.com/spreadsheets/d/1v0b9pFQCsKUVExMei7AgY2yQkdeNQvtOssygGsXbiKo/edit?usp=sharing"",""อุตรดิตถ์!J703"")+IMPORTRANGE(""https://docs.google.com/spreadsheets/d/1UsNK1e-WWiCo2PvGqdNfdme4m17_Ezd3J69EeeiQPD0/edit?usp=sharing"",""อุทัยธานี!J703"")"),363)</f>
        <v>363</v>
      </c>
      <c r="K703" s="46">
        <f t="shared" ca="1" si="486"/>
        <v>24.948453608247423</v>
      </c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8"/>
      <c r="B704" s="158"/>
      <c r="C704" s="158"/>
      <c r="D704" s="145"/>
      <c r="E704" s="145"/>
      <c r="F704" s="145"/>
      <c r="G704" s="143"/>
      <c r="H704" s="137" t="s">
        <v>46</v>
      </c>
      <c r="I704" s="184">
        <v>0</v>
      </c>
      <c r="J704" s="166">
        <f ca="1">IFERROR(__xludf.DUMMYFUNCTION("IMPORTRANGE(""https://docs.google.com/spreadsheets/d/1jTcq05yEiRwXcBMLjiodW9e4biSGYWAHcDj22rKWQ3s/edit?usp=sharing"",""กำแพงเพชร!J704"")+IMPORTRANGE(""https://docs.google.com/spreadsheets/d/1KS0zmDSZPk8KnTAbGN-Xk6MtX1YRZD0ldgdt20K4CRk/edit?usp=sharing"","&amp;"""เชียงราย!J704"")+IMPORTRANGE(""https://docs.google.com/spreadsheets/d/1rEDxBtusbi64tE0zunoIbsTVV16HeL0oJ6trHQeQ7K8/edit?usp=sharing"",""เชียงใหม่!J704"")+IMPORTRANGE(""https://docs.google.com/spreadsheets/d/1W6MnUbDkMi6xHnHko_XkFDO9kkuL6Wqyc-6OCDFjW9I/e"&amp;"dit?usp=sharing"",""ตาก!J704"")+IMPORTRANGE(""https://docs.google.com/spreadsheets/d/1IQAWArduLkta9LpYo4a_ULsyqdta6-6aDDiwpUnQT6c/edit?usp=sharing"",""นครสวรรค์!J704"")+IMPORTRANGE(""https://docs.google.com/spreadsheets/d/10s13Sk5xrltsiR-Zkbmk5DwIaDIKO8Xl"&amp;"bJAfqyT7Gvg/edit?usp=sharing"",""น่าน!J704"")+IMPORTRANGE(""https://docs.google.com/spreadsheets/d/1uu4nAn4Dbi1XREnLKKotUANlKXa7yCgRcgq8HEzQYW8/edit?usp=sharing"",""พะเยา!J704"")+IMPORTRANGE(""https://docs.google.com/spreadsheets/d/1xfJKIQxVOaPDIICqsflNlL"&amp;"u3JacTDk1FP9RH4phX7mI/edit?usp=sharing"",""พิจิตร!J704"")+IMPORTRANGE(""https://docs.google.com/spreadsheets/d/1JtRfZkJMHtEhI5RdRHxYUG4FIZHqKDpNyIuN7A1Q0_k/edit?usp=sharing"",""พิษณุโลก!J704"")+IMPORTRANGE(""https://docs.google.com/spreadsheets/d/1xlcVZWU"&amp;"Nn6SuWm0c307h32SiGkd9BaeQWlAktfD3KO8/edit?usp=sharing"",""เพชรบูรณ์!J704"")+IMPORTRANGE(""https://docs.google.com/spreadsheets/d/1lOVebEIsI9qjGXl6EX66luk7wiuP2tBaryw-wKvv4e0/edit?usp=sharing"",""แพร่!J704"")+IMPORTRANGE(""https://docs.google.com/spreadshe"&amp;"ets/d/1dQrvX0vEcN7Gu0fnZ0B5S90AeR19zth4XlExFBeExMY/edit?usp=sharing"",""แม่ฮ่องสอน!J704"")+IMPORTRANGE(""https://docs.google.com/spreadsheets/d/1DY4XTNNwjluuxqdfdn6qvOSlMRrZqUtmYcZR0ttFiG4/edit?usp=sharing"",""ลำปาง!J704"")+IMPORTRANGE(""https://docs.goog"&amp;"le.com/spreadsheets/d/1ICwG78r0OFT8biBlxnBF8r7she7gNSzOvJ958PWT09c/edit?usp=sharing"",""ลำพูน!J704"")+IMPORTRANGE(""https://docs.google.com/spreadsheets/d/1B0f2xJpZUC6Z0xXnqKlZtEPzsf6L84eP1r1Q15seqRM/edit?usp=sharing"",""สุโขทัย!J704"")+IMPORTRANGE(""http"&amp;"s://docs.google.com/spreadsheets/d/1v0b9pFQCsKUVExMei7AgY2yQkdeNQvtOssygGsXbiKo/edit?usp=sharing"",""อุตรดิตถ์!J704"")+IMPORTRANGE(""https://docs.google.com/spreadsheets/d/1UsNK1e-WWiCo2PvGqdNfdme4m17_Ezd3J69EeeiQPD0/edit?usp=sharing"",""อุทัยธานี!J704"")"),321.97)</f>
        <v>321.97000000000003</v>
      </c>
      <c r="K704" s="46">
        <f t="shared" si="486"/>
        <v>0</v>
      </c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8"/>
      <c r="B705" s="158"/>
      <c r="C705" s="158"/>
      <c r="D705" s="145"/>
      <c r="E705" s="145"/>
      <c r="F705" s="144" t="s">
        <v>260</v>
      </c>
      <c r="G705" s="143"/>
      <c r="H705" s="137" t="s">
        <v>35</v>
      </c>
      <c r="I705" s="166">
        <f ca="1">IFERROR(__xludf.DUMMYFUNCTION("IMPORTRANGE(""https://docs.google.com/spreadsheets/d/1jTcq05yEiRwXcBMLjiodW9e4biSGYWAHcDj22rKWQ3s/edit?usp=sharing"",""กำแพงเพชร!I705"")+IMPORTRANGE(""https://docs.google.com/spreadsheets/d/1KS0zmDSZPk8KnTAbGN-Xk6MtX1YRZD0ldgdt20K4CRk/edit?usp=sharing"","&amp;"""เชียงราย!I705"")+IMPORTRANGE(""https://docs.google.com/spreadsheets/d/1rEDxBtusbi64tE0zunoIbsTVV16HeL0oJ6trHQeQ7K8/edit?usp=sharing"",""เชียงใหม่!I705"")+IMPORTRANGE(""https://docs.google.com/spreadsheets/d/1W6MnUbDkMi6xHnHko_XkFDO9kkuL6Wqyc-6OCDFjW9I/e"&amp;"dit?usp=sharing"",""ตาก!I705"")+IMPORTRANGE(""https://docs.google.com/spreadsheets/d/1IQAWArduLkta9LpYo4a_ULsyqdta6-6aDDiwpUnQT6c/edit?usp=sharing"",""นครสวรรค์!I705"")+IMPORTRANGE(""https://docs.google.com/spreadsheets/d/10s13Sk5xrltsiR-Zkbmk5DwIaDIKO8Xl"&amp;"bJAfqyT7Gvg/edit?usp=sharing"",""น่าน!I705"")+IMPORTRANGE(""https://docs.google.com/spreadsheets/d/1uu4nAn4Dbi1XREnLKKotUANlKXa7yCgRcgq8HEzQYW8/edit?usp=sharing"",""พะเยา!I705"")+IMPORTRANGE(""https://docs.google.com/spreadsheets/d/1xfJKIQxVOaPDIICqsflNlL"&amp;"u3JacTDk1FP9RH4phX7mI/edit?usp=sharing"",""พิจิตร!I705"")+IMPORTRANGE(""https://docs.google.com/spreadsheets/d/1JtRfZkJMHtEhI5RdRHxYUG4FIZHqKDpNyIuN7A1Q0_k/edit?usp=sharing"",""พิษณุโลก!I705"")+IMPORTRANGE(""https://docs.google.com/spreadsheets/d/1xlcVZWU"&amp;"Nn6SuWm0c307h32SiGkd9BaeQWlAktfD3KO8/edit?usp=sharing"",""เพชรบูรณ์!I705"")+IMPORTRANGE(""https://docs.google.com/spreadsheets/d/1lOVebEIsI9qjGXl6EX66luk7wiuP2tBaryw-wKvv4e0/edit?usp=sharing"",""แพร่!I705"")+IMPORTRANGE(""https://docs.google.com/spreadshe"&amp;"ets/d/1dQrvX0vEcN7Gu0fnZ0B5S90AeR19zth4XlExFBeExMY/edit?usp=sharing"",""แม่ฮ่องสอน!I705"")+IMPORTRANGE(""https://docs.google.com/spreadsheets/d/1DY4XTNNwjluuxqdfdn6qvOSlMRrZqUtmYcZR0ttFiG4/edit?usp=sharing"",""ลำปาง!I705"")+IMPORTRANGE(""https://docs.goog"&amp;"le.com/spreadsheets/d/1ICwG78r0OFT8biBlxnBF8r7she7gNSzOvJ958PWT09c/edit?usp=sharing"",""ลำพูน!I705"")+IMPORTRANGE(""https://docs.google.com/spreadsheets/d/1B0f2xJpZUC6Z0xXnqKlZtEPzsf6L84eP1r1Q15seqRM/edit?usp=sharing"",""สุโขทัย!I705"")+IMPORTRANGE(""http"&amp;"s://docs.google.com/spreadsheets/d/1v0b9pFQCsKUVExMei7AgY2yQkdeNQvtOssygGsXbiKo/edit?usp=sharing"",""อุตรดิตถ์!I705"")+IMPORTRANGE(""https://docs.google.com/spreadsheets/d/1UsNK1e-WWiCo2PvGqdNfdme4m17_Ezd3J69EeeiQPD0/edit?usp=sharing"",""อุทัยธานี!I705"")"),62)</f>
        <v>62</v>
      </c>
      <c r="J705" s="166">
        <f ca="1">IFERROR(__xludf.DUMMYFUNCTION("IMPORTRANGE(""https://docs.google.com/spreadsheets/d/1jTcq05yEiRwXcBMLjiodW9e4biSGYWAHcDj22rKWQ3s/edit?usp=sharing"",""กำแพงเพชร!J705"")+IMPORTRANGE(""https://docs.google.com/spreadsheets/d/1KS0zmDSZPk8KnTAbGN-Xk6MtX1YRZD0ldgdt20K4CRk/edit?usp=sharing"","&amp;"""เชียงราย!J705"")+IMPORTRANGE(""https://docs.google.com/spreadsheets/d/1rEDxBtusbi64tE0zunoIbsTVV16HeL0oJ6trHQeQ7K8/edit?usp=sharing"",""เชียงใหม่!J705"")+IMPORTRANGE(""https://docs.google.com/spreadsheets/d/1W6MnUbDkMi6xHnHko_XkFDO9kkuL6Wqyc-6OCDFjW9I/e"&amp;"dit?usp=sharing"",""ตาก!J705"")+IMPORTRANGE(""https://docs.google.com/spreadsheets/d/1IQAWArduLkta9LpYo4a_ULsyqdta6-6aDDiwpUnQT6c/edit?usp=sharing"",""นครสวรรค์!J705"")+IMPORTRANGE(""https://docs.google.com/spreadsheets/d/10s13Sk5xrltsiR-Zkbmk5DwIaDIKO8Xl"&amp;"bJAfqyT7Gvg/edit?usp=sharing"",""น่าน!J705"")+IMPORTRANGE(""https://docs.google.com/spreadsheets/d/1uu4nAn4Dbi1XREnLKKotUANlKXa7yCgRcgq8HEzQYW8/edit?usp=sharing"",""พะเยา!J705"")+IMPORTRANGE(""https://docs.google.com/spreadsheets/d/1xfJKIQxVOaPDIICqsflNlL"&amp;"u3JacTDk1FP9RH4phX7mI/edit?usp=sharing"",""พิจิตร!J705"")+IMPORTRANGE(""https://docs.google.com/spreadsheets/d/1JtRfZkJMHtEhI5RdRHxYUG4FIZHqKDpNyIuN7A1Q0_k/edit?usp=sharing"",""พิษณุโลก!J705"")+IMPORTRANGE(""https://docs.google.com/spreadsheets/d/1xlcVZWU"&amp;"Nn6SuWm0c307h32SiGkd9BaeQWlAktfD3KO8/edit?usp=sharing"",""เพชรบูรณ์!J705"")+IMPORTRANGE(""https://docs.google.com/spreadsheets/d/1lOVebEIsI9qjGXl6EX66luk7wiuP2tBaryw-wKvv4e0/edit?usp=sharing"",""แพร่!J705"")+IMPORTRANGE(""https://docs.google.com/spreadshe"&amp;"ets/d/1dQrvX0vEcN7Gu0fnZ0B5S90AeR19zth4XlExFBeExMY/edit?usp=sharing"",""แม่ฮ่องสอน!J705"")+IMPORTRANGE(""https://docs.google.com/spreadsheets/d/1DY4XTNNwjluuxqdfdn6qvOSlMRrZqUtmYcZR0ttFiG4/edit?usp=sharing"",""ลำปาง!J705"")+IMPORTRANGE(""https://docs.goog"&amp;"le.com/spreadsheets/d/1ICwG78r0OFT8biBlxnBF8r7she7gNSzOvJ958PWT09c/edit?usp=sharing"",""ลำพูน!J705"")+IMPORTRANGE(""https://docs.google.com/spreadsheets/d/1B0f2xJpZUC6Z0xXnqKlZtEPzsf6L84eP1r1Q15seqRM/edit?usp=sharing"",""สุโขทัย!J705"")+IMPORTRANGE(""http"&amp;"s://docs.google.com/spreadsheets/d/1v0b9pFQCsKUVExMei7AgY2yQkdeNQvtOssygGsXbiKo/edit?usp=sharing"",""อุตรดิตถ์!J705"")+IMPORTRANGE(""https://docs.google.com/spreadsheets/d/1UsNK1e-WWiCo2PvGqdNfdme4m17_Ezd3J69EeeiQPD0/edit?usp=sharing"",""อุทัยธานี!J705"")"),0)</f>
        <v>0</v>
      </c>
      <c r="K705" s="152">
        <f t="shared" ca="1" si="486"/>
        <v>0</v>
      </c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8"/>
      <c r="B706" s="158"/>
      <c r="C706" s="158"/>
      <c r="D706" s="145"/>
      <c r="E706" s="145"/>
      <c r="F706" s="145"/>
      <c r="G706" s="143"/>
      <c r="H706" s="137" t="s">
        <v>46</v>
      </c>
      <c r="I706" s="184">
        <v>0</v>
      </c>
      <c r="J706" s="166">
        <f ca="1">IFERROR(__xludf.DUMMYFUNCTION("IMPORTRANGE(""https://docs.google.com/spreadsheets/d/1jTcq05yEiRwXcBMLjiodW9e4biSGYWAHcDj22rKWQ3s/edit?usp=sharing"",""กำแพงเพชร!J706"")+IMPORTRANGE(""https://docs.google.com/spreadsheets/d/1KS0zmDSZPk8KnTAbGN-Xk6MtX1YRZD0ldgdt20K4CRk/edit?usp=sharing"","&amp;"""เชียงราย!J706"")+IMPORTRANGE(""https://docs.google.com/spreadsheets/d/1rEDxBtusbi64tE0zunoIbsTVV16HeL0oJ6trHQeQ7K8/edit?usp=sharing"",""เชียงใหม่!J706"")+IMPORTRANGE(""https://docs.google.com/spreadsheets/d/1W6MnUbDkMi6xHnHko_XkFDO9kkuL6Wqyc-6OCDFjW9I/e"&amp;"dit?usp=sharing"",""ตาก!J706"")+IMPORTRANGE(""https://docs.google.com/spreadsheets/d/1IQAWArduLkta9LpYo4a_ULsyqdta6-6aDDiwpUnQT6c/edit?usp=sharing"",""นครสวรรค์!J706"")+IMPORTRANGE(""https://docs.google.com/spreadsheets/d/10s13Sk5xrltsiR-Zkbmk5DwIaDIKO8Xl"&amp;"bJAfqyT7Gvg/edit?usp=sharing"",""น่าน!J706"")+IMPORTRANGE(""https://docs.google.com/spreadsheets/d/1uu4nAn4Dbi1XREnLKKotUANlKXa7yCgRcgq8HEzQYW8/edit?usp=sharing"",""พะเยา!J706"")+IMPORTRANGE(""https://docs.google.com/spreadsheets/d/1xfJKIQxVOaPDIICqsflNlL"&amp;"u3JacTDk1FP9RH4phX7mI/edit?usp=sharing"",""พิจิตร!J706"")+IMPORTRANGE(""https://docs.google.com/spreadsheets/d/1JtRfZkJMHtEhI5RdRHxYUG4FIZHqKDpNyIuN7A1Q0_k/edit?usp=sharing"",""พิษณุโลก!J706"")+IMPORTRANGE(""https://docs.google.com/spreadsheets/d/1xlcVZWU"&amp;"Nn6SuWm0c307h32SiGkd9BaeQWlAktfD3KO8/edit?usp=sharing"",""เพชรบูรณ์!J706"")+IMPORTRANGE(""https://docs.google.com/spreadsheets/d/1lOVebEIsI9qjGXl6EX66luk7wiuP2tBaryw-wKvv4e0/edit?usp=sharing"",""แพร่!J706"")+IMPORTRANGE(""https://docs.google.com/spreadshe"&amp;"ets/d/1dQrvX0vEcN7Gu0fnZ0B5S90AeR19zth4XlExFBeExMY/edit?usp=sharing"",""แม่ฮ่องสอน!J706"")+IMPORTRANGE(""https://docs.google.com/spreadsheets/d/1DY4XTNNwjluuxqdfdn6qvOSlMRrZqUtmYcZR0ttFiG4/edit?usp=sharing"",""ลำปาง!J706"")+IMPORTRANGE(""https://docs.goog"&amp;"le.com/spreadsheets/d/1ICwG78r0OFT8biBlxnBF8r7she7gNSzOvJ958PWT09c/edit?usp=sharing"",""ลำพูน!J706"")+IMPORTRANGE(""https://docs.google.com/spreadsheets/d/1B0f2xJpZUC6Z0xXnqKlZtEPzsf6L84eP1r1Q15seqRM/edit?usp=sharing"",""สุโขทัย!J706"")+IMPORTRANGE(""http"&amp;"s://docs.google.com/spreadsheets/d/1v0b9pFQCsKUVExMei7AgY2yQkdeNQvtOssygGsXbiKo/edit?usp=sharing"",""อุตรดิตถ์!J706"")+IMPORTRANGE(""https://docs.google.com/spreadsheets/d/1UsNK1e-WWiCo2PvGqdNfdme4m17_Ezd3J69EeeiQPD0/edit?usp=sharing"",""อุทัยธานี!J706"")"),0)</f>
        <v>0</v>
      </c>
      <c r="K706" s="46">
        <f t="shared" si="486"/>
        <v>0</v>
      </c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8"/>
      <c r="B707" s="158"/>
      <c r="C707" s="158"/>
      <c r="D707" s="145"/>
      <c r="E707" s="144" t="s">
        <v>261</v>
      </c>
      <c r="F707" s="145"/>
      <c r="G707" s="143"/>
      <c r="H707" s="134" t="s">
        <v>35</v>
      </c>
      <c r="I707" s="166">
        <f ca="1">IFERROR(__xludf.DUMMYFUNCTION("IMPORTRANGE(""https://docs.google.com/spreadsheets/d/1jTcq05yEiRwXcBMLjiodW9e4biSGYWAHcDj22rKWQ3s/edit?usp=sharing"",""กำแพงเพชร!I707"")+IMPORTRANGE(""https://docs.google.com/spreadsheets/d/1KS0zmDSZPk8KnTAbGN-Xk6MtX1YRZD0ldgdt20K4CRk/edit?usp=sharing"","&amp;"""เชียงราย!I707"")+IMPORTRANGE(""https://docs.google.com/spreadsheets/d/1rEDxBtusbi64tE0zunoIbsTVV16HeL0oJ6trHQeQ7K8/edit?usp=sharing"",""เชียงใหม่!I707"")+IMPORTRANGE(""https://docs.google.com/spreadsheets/d/1W6MnUbDkMi6xHnHko_XkFDO9kkuL6Wqyc-6OCDFjW9I/e"&amp;"dit?usp=sharing"",""ตาก!I707"")+IMPORTRANGE(""https://docs.google.com/spreadsheets/d/1IQAWArduLkta9LpYo4a_ULsyqdta6-6aDDiwpUnQT6c/edit?usp=sharing"",""นครสวรรค์!I707"")+IMPORTRANGE(""https://docs.google.com/spreadsheets/d/10s13Sk5xrltsiR-Zkbmk5DwIaDIKO8Xl"&amp;"bJAfqyT7Gvg/edit?usp=sharing"",""น่าน!I707"")+IMPORTRANGE(""https://docs.google.com/spreadsheets/d/1uu4nAn4Dbi1XREnLKKotUANlKXa7yCgRcgq8HEzQYW8/edit?usp=sharing"",""พะเยา!I707"")+IMPORTRANGE(""https://docs.google.com/spreadsheets/d/1xfJKIQxVOaPDIICqsflNlL"&amp;"u3JacTDk1FP9RH4phX7mI/edit?usp=sharing"",""พิจิตร!I707"")+IMPORTRANGE(""https://docs.google.com/spreadsheets/d/1JtRfZkJMHtEhI5RdRHxYUG4FIZHqKDpNyIuN7A1Q0_k/edit?usp=sharing"",""พิษณุโลก!I707"")+IMPORTRANGE(""https://docs.google.com/spreadsheets/d/1xlcVZWU"&amp;"Nn6SuWm0c307h32SiGkd9BaeQWlAktfD3KO8/edit?usp=sharing"",""เพชรบูรณ์!I707"")+IMPORTRANGE(""https://docs.google.com/spreadsheets/d/1lOVebEIsI9qjGXl6EX66luk7wiuP2tBaryw-wKvv4e0/edit?usp=sharing"",""แพร่!I707"")+IMPORTRANGE(""https://docs.google.com/spreadshe"&amp;"ets/d/1dQrvX0vEcN7Gu0fnZ0B5S90AeR19zth4XlExFBeExMY/edit?usp=sharing"",""แม่ฮ่องสอน!I707"")+IMPORTRANGE(""https://docs.google.com/spreadsheets/d/1DY4XTNNwjluuxqdfdn6qvOSlMRrZqUtmYcZR0ttFiG4/edit?usp=sharing"",""ลำปาง!I707"")+IMPORTRANGE(""https://docs.goog"&amp;"le.com/spreadsheets/d/1ICwG78r0OFT8biBlxnBF8r7she7gNSzOvJ958PWT09c/edit?usp=sharing"",""ลำพูน!I707"")+IMPORTRANGE(""https://docs.google.com/spreadsheets/d/1B0f2xJpZUC6Z0xXnqKlZtEPzsf6L84eP1r1Q15seqRM/edit?usp=sharing"",""สุโขทัย!I707"")+IMPORTRANGE(""http"&amp;"s://docs.google.com/spreadsheets/d/1v0b9pFQCsKUVExMei7AgY2yQkdeNQvtOssygGsXbiKo/edit?usp=sharing"",""อุตรดิตถ์!I707"")+IMPORTRANGE(""https://docs.google.com/spreadsheets/d/1UsNK1e-WWiCo2PvGqdNfdme4m17_Ezd3J69EeeiQPD0/edit?usp=sharing"",""อุทัยธานี!I707"")"),1455)</f>
        <v>1455</v>
      </c>
      <c r="J707" s="166">
        <f ca="1">IFERROR(__xludf.DUMMYFUNCTION("IMPORTRANGE(""https://docs.google.com/spreadsheets/d/1jTcq05yEiRwXcBMLjiodW9e4biSGYWAHcDj22rKWQ3s/edit?usp=sharing"",""กำแพงเพชร!J707"")+IMPORTRANGE(""https://docs.google.com/spreadsheets/d/1KS0zmDSZPk8KnTAbGN-Xk6MtX1YRZD0ldgdt20K4CRk/edit?usp=sharing"","&amp;"""เชียงราย!J707"")+IMPORTRANGE(""https://docs.google.com/spreadsheets/d/1rEDxBtusbi64tE0zunoIbsTVV16HeL0oJ6trHQeQ7K8/edit?usp=sharing"",""เชียงใหม่!J707"")+IMPORTRANGE(""https://docs.google.com/spreadsheets/d/1W6MnUbDkMi6xHnHko_XkFDO9kkuL6Wqyc-6OCDFjW9I/e"&amp;"dit?usp=sharing"",""ตาก!J707"")+IMPORTRANGE(""https://docs.google.com/spreadsheets/d/1IQAWArduLkta9LpYo4a_ULsyqdta6-6aDDiwpUnQT6c/edit?usp=sharing"",""นครสวรรค์!J707"")+IMPORTRANGE(""https://docs.google.com/spreadsheets/d/10s13Sk5xrltsiR-Zkbmk5DwIaDIKO8Xl"&amp;"bJAfqyT7Gvg/edit?usp=sharing"",""น่าน!J707"")+IMPORTRANGE(""https://docs.google.com/spreadsheets/d/1uu4nAn4Dbi1XREnLKKotUANlKXa7yCgRcgq8HEzQYW8/edit?usp=sharing"",""พะเยา!J707"")+IMPORTRANGE(""https://docs.google.com/spreadsheets/d/1xfJKIQxVOaPDIICqsflNlL"&amp;"u3JacTDk1FP9RH4phX7mI/edit?usp=sharing"",""พิจิตร!J707"")+IMPORTRANGE(""https://docs.google.com/spreadsheets/d/1JtRfZkJMHtEhI5RdRHxYUG4FIZHqKDpNyIuN7A1Q0_k/edit?usp=sharing"",""พิษณุโลก!J707"")+IMPORTRANGE(""https://docs.google.com/spreadsheets/d/1xlcVZWU"&amp;"Nn6SuWm0c307h32SiGkd9BaeQWlAktfD3KO8/edit?usp=sharing"",""เพชรบูรณ์!J707"")+IMPORTRANGE(""https://docs.google.com/spreadsheets/d/1lOVebEIsI9qjGXl6EX66luk7wiuP2tBaryw-wKvv4e0/edit?usp=sharing"",""แพร่!J707"")+IMPORTRANGE(""https://docs.google.com/spreadshe"&amp;"ets/d/1dQrvX0vEcN7Gu0fnZ0B5S90AeR19zth4XlExFBeExMY/edit?usp=sharing"",""แม่ฮ่องสอน!J707"")+IMPORTRANGE(""https://docs.google.com/spreadsheets/d/1DY4XTNNwjluuxqdfdn6qvOSlMRrZqUtmYcZR0ttFiG4/edit?usp=sharing"",""ลำปาง!J707"")+IMPORTRANGE(""https://docs.goog"&amp;"le.com/spreadsheets/d/1ICwG78r0OFT8biBlxnBF8r7she7gNSzOvJ958PWT09c/edit?usp=sharing"",""ลำพูน!J707"")+IMPORTRANGE(""https://docs.google.com/spreadsheets/d/1B0f2xJpZUC6Z0xXnqKlZtEPzsf6L84eP1r1Q15seqRM/edit?usp=sharing"",""สุโขทัย!J707"")+IMPORTRANGE(""http"&amp;"s://docs.google.com/spreadsheets/d/1v0b9pFQCsKUVExMei7AgY2yQkdeNQvtOssygGsXbiKo/edit?usp=sharing"",""อุตรดิตถ์!J707"")+IMPORTRANGE(""https://docs.google.com/spreadsheets/d/1UsNK1e-WWiCo2PvGqdNfdme4m17_Ezd3J69EeeiQPD0/edit?usp=sharing"",""อุทัยธานี!J707"")"),213)</f>
        <v>213</v>
      </c>
      <c r="K707" s="46">
        <f t="shared" ca="1" si="486"/>
        <v>14.639175257731958</v>
      </c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8"/>
      <c r="B708" s="158"/>
      <c r="C708" s="158"/>
      <c r="D708" s="145"/>
      <c r="E708" s="418" t="s">
        <v>262</v>
      </c>
      <c r="F708" s="145"/>
      <c r="G708" s="143"/>
      <c r="H708" s="134" t="s">
        <v>46</v>
      </c>
      <c r="I708" s="184">
        <v>0</v>
      </c>
      <c r="J708" s="166">
        <f ca="1">IFERROR(__xludf.DUMMYFUNCTION("IMPORTRANGE(""https://docs.google.com/spreadsheets/d/1jTcq05yEiRwXcBMLjiodW9e4biSGYWAHcDj22rKWQ3s/edit?usp=sharing"",""กำแพงเพชร!J708"")+IMPORTRANGE(""https://docs.google.com/spreadsheets/d/1KS0zmDSZPk8KnTAbGN-Xk6MtX1YRZD0ldgdt20K4CRk/edit?usp=sharing"","&amp;"""เชียงราย!J708"")+IMPORTRANGE(""https://docs.google.com/spreadsheets/d/1rEDxBtusbi64tE0zunoIbsTVV16HeL0oJ6trHQeQ7K8/edit?usp=sharing"",""เชียงใหม่!J708"")+IMPORTRANGE(""https://docs.google.com/spreadsheets/d/1W6MnUbDkMi6xHnHko_XkFDO9kkuL6Wqyc-6OCDFjW9I/e"&amp;"dit?usp=sharing"",""ตาก!J708"")+IMPORTRANGE(""https://docs.google.com/spreadsheets/d/1IQAWArduLkta9LpYo4a_ULsyqdta6-6aDDiwpUnQT6c/edit?usp=sharing"",""นครสวรรค์!J708"")+IMPORTRANGE(""https://docs.google.com/spreadsheets/d/10s13Sk5xrltsiR-Zkbmk5DwIaDIKO8Xl"&amp;"bJAfqyT7Gvg/edit?usp=sharing"",""น่าน!J708"")+IMPORTRANGE(""https://docs.google.com/spreadsheets/d/1uu4nAn4Dbi1XREnLKKotUANlKXa7yCgRcgq8HEzQYW8/edit?usp=sharing"",""พะเยา!J708"")+IMPORTRANGE(""https://docs.google.com/spreadsheets/d/1xfJKIQxVOaPDIICqsflNlL"&amp;"u3JacTDk1FP9RH4phX7mI/edit?usp=sharing"",""พิจิตร!J708"")+IMPORTRANGE(""https://docs.google.com/spreadsheets/d/1JtRfZkJMHtEhI5RdRHxYUG4FIZHqKDpNyIuN7A1Q0_k/edit?usp=sharing"",""พิษณุโลก!J708"")+IMPORTRANGE(""https://docs.google.com/spreadsheets/d/1xlcVZWU"&amp;"Nn6SuWm0c307h32SiGkd9BaeQWlAktfD3KO8/edit?usp=sharing"",""เพชรบูรณ์!J708"")+IMPORTRANGE(""https://docs.google.com/spreadsheets/d/1lOVebEIsI9qjGXl6EX66luk7wiuP2tBaryw-wKvv4e0/edit?usp=sharing"",""แพร่!J708"")+IMPORTRANGE(""https://docs.google.com/spreadshe"&amp;"ets/d/1dQrvX0vEcN7Gu0fnZ0B5S90AeR19zth4XlExFBeExMY/edit?usp=sharing"",""แม่ฮ่องสอน!J708"")+IMPORTRANGE(""https://docs.google.com/spreadsheets/d/1DY4XTNNwjluuxqdfdn6qvOSlMRrZqUtmYcZR0ttFiG4/edit?usp=sharing"",""ลำปาง!J708"")+IMPORTRANGE(""https://docs.goog"&amp;"le.com/spreadsheets/d/1ICwG78r0OFT8biBlxnBF8r7she7gNSzOvJ958PWT09c/edit?usp=sharing"",""ลำพูน!J708"")+IMPORTRANGE(""https://docs.google.com/spreadsheets/d/1B0f2xJpZUC6Z0xXnqKlZtEPzsf6L84eP1r1Q15seqRM/edit?usp=sharing"",""สุโขทัย!J708"")+IMPORTRANGE(""http"&amp;"s://docs.google.com/spreadsheets/d/1v0b9pFQCsKUVExMei7AgY2yQkdeNQvtOssygGsXbiKo/edit?usp=sharing"",""อุตรดิตถ์!J708"")+IMPORTRANGE(""https://docs.google.com/spreadsheets/d/1UsNK1e-WWiCo2PvGqdNfdme4m17_Ezd3J69EeeiQPD0/edit?usp=sharing"",""อุทัยธานี!J708"")"),176)</f>
        <v>176</v>
      </c>
      <c r="K708" s="46">
        <f t="shared" si="486"/>
        <v>0</v>
      </c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8"/>
      <c r="B709" s="158"/>
      <c r="C709" s="158"/>
      <c r="D709" s="40"/>
      <c r="E709" s="47" t="s">
        <v>263</v>
      </c>
      <c r="F709" s="40"/>
      <c r="G709" s="42"/>
      <c r="H709" s="175" t="s">
        <v>35</v>
      </c>
      <c r="I709" s="166">
        <f ca="1">IFERROR(__xludf.DUMMYFUNCTION("IMPORTRANGE(""https://docs.google.com/spreadsheets/d/1jTcq05yEiRwXcBMLjiodW9e4biSGYWAHcDj22rKWQ3s/edit?usp=sharing"",""กำแพงเพชร!I709"")+IMPORTRANGE(""https://docs.google.com/spreadsheets/d/1KS0zmDSZPk8KnTAbGN-Xk6MtX1YRZD0ldgdt20K4CRk/edit?usp=sharing"","&amp;"""เชียงราย!I709"")+IMPORTRANGE(""https://docs.google.com/spreadsheets/d/1rEDxBtusbi64tE0zunoIbsTVV16HeL0oJ6trHQeQ7K8/edit?usp=sharing"",""เชียงใหม่!I709"")+IMPORTRANGE(""https://docs.google.com/spreadsheets/d/1W6MnUbDkMi6xHnHko_XkFDO9kkuL6Wqyc-6OCDFjW9I/e"&amp;"dit?usp=sharing"",""ตาก!I709"")+IMPORTRANGE(""https://docs.google.com/spreadsheets/d/1IQAWArduLkta9LpYo4a_ULsyqdta6-6aDDiwpUnQT6c/edit?usp=sharing"",""นครสวรรค์!I709"")+IMPORTRANGE(""https://docs.google.com/spreadsheets/d/10s13Sk5xrltsiR-Zkbmk5DwIaDIKO8Xl"&amp;"bJAfqyT7Gvg/edit?usp=sharing"",""น่าน!I709"")+IMPORTRANGE(""https://docs.google.com/spreadsheets/d/1uu4nAn4Dbi1XREnLKKotUANlKXa7yCgRcgq8HEzQYW8/edit?usp=sharing"",""พะเยา!I709"")+IMPORTRANGE(""https://docs.google.com/spreadsheets/d/1xfJKIQxVOaPDIICqsflNlL"&amp;"u3JacTDk1FP9RH4phX7mI/edit?usp=sharing"",""พิจิตร!I709"")+IMPORTRANGE(""https://docs.google.com/spreadsheets/d/1JtRfZkJMHtEhI5RdRHxYUG4FIZHqKDpNyIuN7A1Q0_k/edit?usp=sharing"",""พิษณุโลก!I709"")+IMPORTRANGE(""https://docs.google.com/spreadsheets/d/1xlcVZWU"&amp;"Nn6SuWm0c307h32SiGkd9BaeQWlAktfD3KO8/edit?usp=sharing"",""เพชรบูรณ์!I709"")+IMPORTRANGE(""https://docs.google.com/spreadsheets/d/1lOVebEIsI9qjGXl6EX66luk7wiuP2tBaryw-wKvv4e0/edit?usp=sharing"",""แพร่!I709"")+IMPORTRANGE(""https://docs.google.com/spreadshe"&amp;"ets/d/1dQrvX0vEcN7Gu0fnZ0B5S90AeR19zth4XlExFBeExMY/edit?usp=sharing"",""แม่ฮ่องสอน!I709"")+IMPORTRANGE(""https://docs.google.com/spreadsheets/d/1DY4XTNNwjluuxqdfdn6qvOSlMRrZqUtmYcZR0ttFiG4/edit?usp=sharing"",""ลำปาง!I709"")+IMPORTRANGE(""https://docs.goog"&amp;"le.com/spreadsheets/d/1ICwG78r0OFT8biBlxnBF8r7she7gNSzOvJ958PWT09c/edit?usp=sharing"",""ลำพูน!I709"")+IMPORTRANGE(""https://docs.google.com/spreadsheets/d/1B0f2xJpZUC6Z0xXnqKlZtEPzsf6L84eP1r1Q15seqRM/edit?usp=sharing"",""สุโขทัย!I709"")+IMPORTRANGE(""http"&amp;"s://docs.google.com/spreadsheets/d/1v0b9pFQCsKUVExMei7AgY2yQkdeNQvtOssygGsXbiKo/edit?usp=sharing"",""อุตรดิตถ์!I709"")+IMPORTRANGE(""https://docs.google.com/spreadsheets/d/1UsNK1e-WWiCo2PvGqdNfdme4m17_Ezd3J69EeeiQPD0/edit?usp=sharing"",""อุทัยธานี!I709"")"),62)</f>
        <v>62</v>
      </c>
      <c r="J709" s="166">
        <f ca="1">IFERROR(__xludf.DUMMYFUNCTION("IMPORTRANGE(""https://docs.google.com/spreadsheets/d/1jTcq05yEiRwXcBMLjiodW9e4biSGYWAHcDj22rKWQ3s/edit?usp=sharing"",""กำแพงเพชร!J709"")+IMPORTRANGE(""https://docs.google.com/spreadsheets/d/1KS0zmDSZPk8KnTAbGN-Xk6MtX1YRZD0ldgdt20K4CRk/edit?usp=sharing"","&amp;"""เชียงราย!J709"")+IMPORTRANGE(""https://docs.google.com/spreadsheets/d/1rEDxBtusbi64tE0zunoIbsTVV16HeL0oJ6trHQeQ7K8/edit?usp=sharing"",""เชียงใหม่!J709"")+IMPORTRANGE(""https://docs.google.com/spreadsheets/d/1W6MnUbDkMi6xHnHko_XkFDO9kkuL6Wqyc-6OCDFjW9I/e"&amp;"dit?usp=sharing"",""ตาก!J709"")+IMPORTRANGE(""https://docs.google.com/spreadsheets/d/1IQAWArduLkta9LpYo4a_ULsyqdta6-6aDDiwpUnQT6c/edit?usp=sharing"",""นครสวรรค์!J709"")+IMPORTRANGE(""https://docs.google.com/spreadsheets/d/10s13Sk5xrltsiR-Zkbmk5DwIaDIKO8Xl"&amp;"bJAfqyT7Gvg/edit?usp=sharing"",""น่าน!J709"")+IMPORTRANGE(""https://docs.google.com/spreadsheets/d/1uu4nAn4Dbi1XREnLKKotUANlKXa7yCgRcgq8HEzQYW8/edit?usp=sharing"",""พะเยา!J709"")+IMPORTRANGE(""https://docs.google.com/spreadsheets/d/1xfJKIQxVOaPDIICqsflNlL"&amp;"u3JacTDk1FP9RH4phX7mI/edit?usp=sharing"",""พิจิตร!J709"")+IMPORTRANGE(""https://docs.google.com/spreadsheets/d/1JtRfZkJMHtEhI5RdRHxYUG4FIZHqKDpNyIuN7A1Q0_k/edit?usp=sharing"",""พิษณุโลก!J709"")+IMPORTRANGE(""https://docs.google.com/spreadsheets/d/1xlcVZWU"&amp;"Nn6SuWm0c307h32SiGkd9BaeQWlAktfD3KO8/edit?usp=sharing"",""เพชรบูรณ์!J709"")+IMPORTRANGE(""https://docs.google.com/spreadsheets/d/1lOVebEIsI9qjGXl6EX66luk7wiuP2tBaryw-wKvv4e0/edit?usp=sharing"",""แพร่!J709"")+IMPORTRANGE(""https://docs.google.com/spreadshe"&amp;"ets/d/1dQrvX0vEcN7Gu0fnZ0B5S90AeR19zth4XlExFBeExMY/edit?usp=sharing"",""แม่ฮ่องสอน!J709"")+IMPORTRANGE(""https://docs.google.com/spreadsheets/d/1DY4XTNNwjluuxqdfdn6qvOSlMRrZqUtmYcZR0ttFiG4/edit?usp=sharing"",""ลำปาง!J709"")+IMPORTRANGE(""https://docs.goog"&amp;"le.com/spreadsheets/d/1ICwG78r0OFT8biBlxnBF8r7she7gNSzOvJ958PWT09c/edit?usp=sharing"",""ลำพูน!J709"")+IMPORTRANGE(""https://docs.google.com/spreadsheets/d/1B0f2xJpZUC6Z0xXnqKlZtEPzsf6L84eP1r1Q15seqRM/edit?usp=sharing"",""สุโขทัย!J709"")+IMPORTRANGE(""http"&amp;"s://docs.google.com/spreadsheets/d/1v0b9pFQCsKUVExMei7AgY2yQkdeNQvtOssygGsXbiKo/edit?usp=sharing"",""อุตรดิตถ์!J709"")+IMPORTRANGE(""https://docs.google.com/spreadsheets/d/1UsNK1e-WWiCo2PvGqdNfdme4m17_Ezd3J69EeeiQPD0/edit?usp=sharing"",""อุทัยธานี!J709"")"),49)</f>
        <v>49</v>
      </c>
      <c r="K709" s="46">
        <f t="shared" ca="1" si="486"/>
        <v>79.032258064516128</v>
      </c>
      <c r="L709" s="45"/>
      <c r="M709" s="45"/>
      <c r="N709" s="45"/>
      <c r="O709" s="45"/>
      <c r="P709" s="45"/>
      <c r="Q709" s="45"/>
      <c r="R709" s="45"/>
      <c r="S709" s="45"/>
      <c r="T709" s="45"/>
      <c r="U709" s="45"/>
    </row>
    <row r="710" spans="1:21" ht="18.75" x14ac:dyDescent="0.25">
      <c r="A710" s="208"/>
      <c r="B710" s="158"/>
      <c r="C710" s="158"/>
      <c r="D710" s="40"/>
      <c r="E710" s="418" t="s">
        <v>264</v>
      </c>
      <c r="F710" s="40"/>
      <c r="G710" s="42"/>
      <c r="H710" s="175" t="s">
        <v>46</v>
      </c>
      <c r="I710" s="184">
        <v>0</v>
      </c>
      <c r="J710" s="166">
        <f ca="1">IFERROR(__xludf.DUMMYFUNCTION("IMPORTRANGE(""https://docs.google.com/spreadsheets/d/1jTcq05yEiRwXcBMLjiodW9e4biSGYWAHcDj22rKWQ3s/edit?usp=sharing"",""กำแพงเพชร!J710"")+IMPORTRANGE(""https://docs.google.com/spreadsheets/d/1KS0zmDSZPk8KnTAbGN-Xk6MtX1YRZD0ldgdt20K4CRk/edit?usp=sharing"","&amp;"""เชียงราย!J710"")+IMPORTRANGE(""https://docs.google.com/spreadsheets/d/1rEDxBtusbi64tE0zunoIbsTVV16HeL0oJ6trHQeQ7K8/edit?usp=sharing"",""เชียงใหม่!J710"")+IMPORTRANGE(""https://docs.google.com/spreadsheets/d/1W6MnUbDkMi6xHnHko_XkFDO9kkuL6Wqyc-6OCDFjW9I/e"&amp;"dit?usp=sharing"",""ตาก!J710"")+IMPORTRANGE(""https://docs.google.com/spreadsheets/d/1IQAWArduLkta9LpYo4a_ULsyqdta6-6aDDiwpUnQT6c/edit?usp=sharing"",""นครสวรรค์!J710"")+IMPORTRANGE(""https://docs.google.com/spreadsheets/d/10s13Sk5xrltsiR-Zkbmk5DwIaDIKO8Xl"&amp;"bJAfqyT7Gvg/edit?usp=sharing"",""น่าน!J710"")+IMPORTRANGE(""https://docs.google.com/spreadsheets/d/1uu4nAn4Dbi1XREnLKKotUANlKXa7yCgRcgq8HEzQYW8/edit?usp=sharing"",""พะเยา!J710"")+IMPORTRANGE(""https://docs.google.com/spreadsheets/d/1xfJKIQxVOaPDIICqsflNlL"&amp;"u3JacTDk1FP9RH4phX7mI/edit?usp=sharing"",""พิจิตร!J710"")+IMPORTRANGE(""https://docs.google.com/spreadsheets/d/1JtRfZkJMHtEhI5RdRHxYUG4FIZHqKDpNyIuN7A1Q0_k/edit?usp=sharing"",""พิษณุโลก!J710"")+IMPORTRANGE(""https://docs.google.com/spreadsheets/d/1xlcVZWU"&amp;"Nn6SuWm0c307h32SiGkd9BaeQWlAktfD3KO8/edit?usp=sharing"",""เพชรบูรณ์!J710"")+IMPORTRANGE(""https://docs.google.com/spreadsheets/d/1lOVebEIsI9qjGXl6EX66luk7wiuP2tBaryw-wKvv4e0/edit?usp=sharing"",""แพร่!J710"")+IMPORTRANGE(""https://docs.google.com/spreadshe"&amp;"ets/d/1dQrvX0vEcN7Gu0fnZ0B5S90AeR19zth4XlExFBeExMY/edit?usp=sharing"",""แม่ฮ่องสอน!J710"")+IMPORTRANGE(""https://docs.google.com/spreadsheets/d/1DY4XTNNwjluuxqdfdn6qvOSlMRrZqUtmYcZR0ttFiG4/edit?usp=sharing"",""ลำปาง!J710"")+IMPORTRANGE(""https://docs.goog"&amp;"le.com/spreadsheets/d/1ICwG78r0OFT8biBlxnBF8r7she7gNSzOvJ958PWT09c/edit?usp=sharing"",""ลำพูน!J710"")+IMPORTRANGE(""https://docs.google.com/spreadsheets/d/1B0f2xJpZUC6Z0xXnqKlZtEPzsf6L84eP1r1Q15seqRM/edit?usp=sharing"",""สุโขทัย!J710"")+IMPORTRANGE(""http"&amp;"s://docs.google.com/spreadsheets/d/1v0b9pFQCsKUVExMei7AgY2yQkdeNQvtOssygGsXbiKo/edit?usp=sharing"",""อุตรดิตถ์!J710"")+IMPORTRANGE(""https://docs.google.com/spreadsheets/d/1UsNK1e-WWiCo2PvGqdNfdme4m17_Ezd3J69EeeiQPD0/edit?usp=sharing"",""อุทัยธานี!J710"")"),0)</f>
        <v>0</v>
      </c>
      <c r="K710" s="46">
        <f t="shared" si="486"/>
        <v>0</v>
      </c>
      <c r="L710" s="45"/>
      <c r="M710" s="45"/>
      <c r="N710" s="45"/>
      <c r="O710" s="45"/>
      <c r="P710" s="45"/>
      <c r="Q710" s="45"/>
      <c r="R710" s="45"/>
      <c r="S710" s="45"/>
      <c r="T710" s="45"/>
      <c r="U710" s="45"/>
    </row>
    <row r="711" spans="1:21" ht="12.75" hidden="1" x14ac:dyDescent="0.2">
      <c r="A711" s="360"/>
      <c r="B711" s="316"/>
      <c r="C711" s="316"/>
      <c r="D711" s="361"/>
      <c r="E711" s="361"/>
      <c r="F711" s="361"/>
      <c r="G711" s="362"/>
      <c r="H711" s="317"/>
      <c r="I711" s="318"/>
      <c r="J711" s="318"/>
      <c r="K711" s="319"/>
      <c r="L711" s="319"/>
      <c r="M711" s="319"/>
      <c r="N711" s="319"/>
      <c r="O711" s="319"/>
      <c r="P711" s="319"/>
      <c r="Q711" s="319"/>
      <c r="R711" s="319"/>
      <c r="S711" s="319"/>
      <c r="T711" s="319"/>
      <c r="U711" s="319"/>
    </row>
    <row r="712" spans="1:21" ht="19.5" hidden="1" x14ac:dyDescent="0.3">
      <c r="A712" s="387"/>
      <c r="B712" s="419" t="s">
        <v>265</v>
      </c>
      <c r="C712" s="387"/>
      <c r="D712" s="389"/>
      <c r="E712" s="389"/>
      <c r="F712" s="389"/>
      <c r="G712" s="390"/>
      <c r="H712" s="420" t="s">
        <v>46</v>
      </c>
      <c r="I712" s="392"/>
      <c r="J712" s="392">
        <f>J724</f>
        <v>0</v>
      </c>
      <c r="K712" s="421">
        <f>IF(I712&gt;0,J712*100/I712,0)</f>
        <v>0</v>
      </c>
      <c r="L712" s="393"/>
      <c r="M712" s="393"/>
      <c r="N712" s="393"/>
      <c r="O712" s="393"/>
      <c r="P712" s="393"/>
      <c r="Q712" s="393"/>
      <c r="R712" s="393"/>
      <c r="S712" s="393"/>
      <c r="T712" s="393"/>
      <c r="U712" s="393"/>
    </row>
    <row r="713" spans="1:21" ht="19.5" hidden="1" x14ac:dyDescent="0.3">
      <c r="A713" s="387"/>
      <c r="B713" s="419" t="s">
        <v>266</v>
      </c>
      <c r="C713" s="387"/>
      <c r="D713" s="389"/>
      <c r="E713" s="389"/>
      <c r="F713" s="389"/>
      <c r="G713" s="390"/>
      <c r="H713" s="391"/>
      <c r="I713" s="392"/>
      <c r="J713" s="392"/>
      <c r="K713" s="393"/>
      <c r="L713" s="393"/>
      <c r="M713" s="393"/>
      <c r="N713" s="393"/>
      <c r="O713" s="393"/>
      <c r="P713" s="393"/>
      <c r="Q713" s="393"/>
      <c r="R713" s="393"/>
      <c r="S713" s="393"/>
      <c r="T713" s="393"/>
      <c r="U713" s="393"/>
    </row>
    <row r="714" spans="1:21" ht="19.5" hidden="1" x14ac:dyDescent="0.3">
      <c r="A714" s="128"/>
      <c r="B714" s="158"/>
      <c r="C714" s="314" t="s">
        <v>18</v>
      </c>
      <c r="D714" s="1284" t="s">
        <v>19</v>
      </c>
      <c r="E714" s="1285"/>
      <c r="F714" s="1285"/>
      <c r="G714" s="1286"/>
      <c r="H714" s="375" t="s">
        <v>14</v>
      </c>
      <c r="I714" s="44"/>
      <c r="J714" s="44"/>
      <c r="K714" s="45"/>
      <c r="L714" s="132">
        <f t="shared" ref="L714:N714" ca="1" si="488">L715+L716</f>
        <v>0</v>
      </c>
      <c r="M714" s="132">
        <f t="shared" ca="1" si="488"/>
        <v>0</v>
      </c>
      <c r="N714" s="132">
        <f t="shared" ca="1" si="488"/>
        <v>0</v>
      </c>
      <c r="O714" s="132">
        <f t="shared" ref="O714:O722" ca="1" si="489">IF(L714&gt;0,N714*100/L714,0)</f>
        <v>0</v>
      </c>
      <c r="P714" s="132">
        <f t="shared" ref="P714:P722" ca="1" si="490">IF(M714&gt;0,N714*100/M714,0)</f>
        <v>0</v>
      </c>
      <c r="Q714" s="132">
        <f t="shared" ref="Q714:S714" ca="1" si="491">Q715+Q716</f>
        <v>0</v>
      </c>
      <c r="R714" s="132">
        <f t="shared" ca="1" si="491"/>
        <v>0</v>
      </c>
      <c r="S714" s="132">
        <f t="shared" ca="1" si="491"/>
        <v>0</v>
      </c>
      <c r="T714" s="132">
        <f t="shared" ref="T714:T722" ca="1" si="492">IF(Q714&gt;0,S714*100/Q714,0)</f>
        <v>0</v>
      </c>
      <c r="U714" s="132">
        <f t="shared" ref="U714:U722" ca="1" si="493">IF(R714&gt;0,S714*100/R714,0)</f>
        <v>0</v>
      </c>
    </row>
    <row r="715" spans="1:21" ht="18.75" hidden="1" x14ac:dyDescent="0.25">
      <c r="A715" s="128"/>
      <c r="B715" s="158"/>
      <c r="C715" s="158"/>
      <c r="D715" s="145"/>
      <c r="E715" s="156" t="s">
        <v>158</v>
      </c>
      <c r="F715" s="40"/>
      <c r="G715" s="42"/>
      <c r="H715" s="159" t="s">
        <v>14</v>
      </c>
      <c r="I715" s="44"/>
      <c r="J715" s="44"/>
      <c r="K715" s="45"/>
      <c r="L715" s="48">
        <f t="shared" ref="L715:N715" ca="1" si="494">L718+L721</f>
        <v>0</v>
      </c>
      <c r="M715" s="48">
        <f t="shared" ca="1" si="494"/>
        <v>0</v>
      </c>
      <c r="N715" s="48">
        <f t="shared" ca="1" si="494"/>
        <v>0</v>
      </c>
      <c r="O715" s="48">
        <f t="shared" ca="1" si="489"/>
        <v>0</v>
      </c>
      <c r="P715" s="48">
        <f t="shared" ca="1" si="490"/>
        <v>0</v>
      </c>
      <c r="Q715" s="48">
        <f t="shared" ref="Q715:S715" ca="1" si="495">Q718+Q721</f>
        <v>0</v>
      </c>
      <c r="R715" s="48">
        <f t="shared" ca="1" si="495"/>
        <v>0</v>
      </c>
      <c r="S715" s="48">
        <f t="shared" ca="1" si="495"/>
        <v>0</v>
      </c>
      <c r="T715" s="48">
        <f t="shared" ca="1" si="492"/>
        <v>0</v>
      </c>
      <c r="U715" s="48">
        <f t="shared" ca="1" si="493"/>
        <v>0</v>
      </c>
    </row>
    <row r="716" spans="1:21" ht="18.75" hidden="1" x14ac:dyDescent="0.25">
      <c r="A716" s="128"/>
      <c r="B716" s="158"/>
      <c r="C716" s="158"/>
      <c r="D716" s="145"/>
      <c r="E716" s="156" t="s">
        <v>159</v>
      </c>
      <c r="F716" s="40"/>
      <c r="G716" s="42"/>
      <c r="H716" s="159" t="s">
        <v>14</v>
      </c>
      <c r="I716" s="44"/>
      <c r="J716" s="44"/>
      <c r="K716" s="45"/>
      <c r="L716" s="46">
        <f t="shared" ref="L716:N716" ca="1" si="496">L719+L722</f>
        <v>0</v>
      </c>
      <c r="M716" s="46">
        <f t="shared" ca="1" si="496"/>
        <v>0</v>
      </c>
      <c r="N716" s="46">
        <f t="shared" ca="1" si="496"/>
        <v>0</v>
      </c>
      <c r="O716" s="46">
        <f t="shared" ca="1" si="489"/>
        <v>0</v>
      </c>
      <c r="P716" s="46">
        <f t="shared" ca="1" si="490"/>
        <v>0</v>
      </c>
      <c r="Q716" s="46">
        <f t="shared" ref="Q716:S716" ca="1" si="497">Q719+Q722</f>
        <v>0</v>
      </c>
      <c r="R716" s="46">
        <f t="shared" ca="1" si="497"/>
        <v>0</v>
      </c>
      <c r="S716" s="46">
        <f t="shared" ca="1" si="497"/>
        <v>0</v>
      </c>
      <c r="T716" s="46">
        <f t="shared" ca="1" si="492"/>
        <v>0</v>
      </c>
      <c r="U716" s="46">
        <f t="shared" ca="1" si="493"/>
        <v>0</v>
      </c>
    </row>
    <row r="717" spans="1:21" ht="19.5" hidden="1" x14ac:dyDescent="0.3">
      <c r="A717" s="128"/>
      <c r="B717" s="158"/>
      <c r="C717" s="158"/>
      <c r="D717" s="376" t="s">
        <v>22</v>
      </c>
      <c r="E717" s="40"/>
      <c r="F717" s="40"/>
      <c r="G717" s="42"/>
      <c r="H717" s="375" t="s">
        <v>14</v>
      </c>
      <c r="I717" s="135"/>
      <c r="J717" s="135"/>
      <c r="K717" s="136"/>
      <c r="L717" s="46">
        <f t="shared" ref="L717:N717" ca="1" si="498">L718+L719</f>
        <v>0</v>
      </c>
      <c r="M717" s="46">
        <f t="shared" ca="1" si="498"/>
        <v>0</v>
      </c>
      <c r="N717" s="46">
        <f t="shared" ca="1" si="498"/>
        <v>0</v>
      </c>
      <c r="O717" s="46">
        <f t="shared" ca="1" si="489"/>
        <v>0</v>
      </c>
      <c r="P717" s="46">
        <f t="shared" ca="1" si="490"/>
        <v>0</v>
      </c>
      <c r="Q717" s="46">
        <f t="shared" ref="Q717:S717" ca="1" si="499">Q718+Q719</f>
        <v>0</v>
      </c>
      <c r="R717" s="46">
        <f t="shared" ca="1" si="499"/>
        <v>0</v>
      </c>
      <c r="S717" s="46">
        <f t="shared" ca="1" si="499"/>
        <v>0</v>
      </c>
      <c r="T717" s="46">
        <f t="shared" ca="1" si="492"/>
        <v>0</v>
      </c>
      <c r="U717" s="46">
        <f t="shared" ca="1" si="493"/>
        <v>0</v>
      </c>
    </row>
    <row r="718" spans="1:21" ht="18.75" hidden="1" x14ac:dyDescent="0.25">
      <c r="A718" s="128"/>
      <c r="B718" s="158"/>
      <c r="C718" s="158"/>
      <c r="D718" s="145"/>
      <c r="E718" s="156" t="s">
        <v>158</v>
      </c>
      <c r="F718" s="40"/>
      <c r="G718" s="42"/>
      <c r="H718" s="159" t="s">
        <v>14</v>
      </c>
      <c r="I718" s="44"/>
      <c r="J718" s="44"/>
      <c r="K718" s="45"/>
      <c r="L718" s="48">
        <f ca="1">IFERROR(__xludf.DUMMYFUNCTION("IMPORTRANGE(""https://docs.google.com/spreadsheets/d/1jTcq05yEiRwXcBMLjiodW9e4biSGYWAHcDj22rKWQ3s/edit?usp=sharing"",""กำแพงเพชร!L718"")+IMPORTRANGE(""https://docs.google.com/spreadsheets/d/1KS0zmDSZPk8KnTAbGN-Xk6MtX1YRZD0ldgdt20K4CRk/edit?usp=sharing"","&amp;"""เชียงราย!L718"")+IMPORTRANGE(""https://docs.google.com/spreadsheets/d/1rEDxBtusbi64tE0zunoIbsTVV16HeL0oJ6trHQeQ7K8/edit?usp=sharing"",""เชียงใหม่!L718"")+IMPORTRANGE(""https://docs.google.com/spreadsheets/d/1W6MnUbDkMi6xHnHko_XkFDO9kkuL6Wqyc-6OCDFjW9I/e"&amp;"dit?usp=sharing"",""ตาก!L718"")+IMPORTRANGE(""https://docs.google.com/spreadsheets/d/1IQAWArduLkta9LpYo4a_ULsyqdta6-6aDDiwpUnQT6c/edit?usp=sharing"",""นครสวรรค์!L718"")+IMPORTRANGE(""https://docs.google.com/spreadsheets/d/10s13Sk5xrltsiR-Zkbmk5DwIaDIKO8Xl"&amp;"bJAfqyT7Gvg/edit?usp=sharing"",""น่าน!L718"")+IMPORTRANGE(""https://docs.google.com/spreadsheets/d/1uu4nAn4Dbi1XREnLKKotUANlKXa7yCgRcgq8HEzQYW8/edit?usp=sharing"",""พะเยา!L718"")+IMPORTRANGE(""https://docs.google.com/spreadsheets/d/1xfJKIQxVOaPDIICqsflNlL"&amp;"u3JacTDk1FP9RH4phX7mI/edit?usp=sharing"",""พิจิตร!L718"")+IMPORTRANGE(""https://docs.google.com/spreadsheets/d/1JtRfZkJMHtEhI5RdRHxYUG4FIZHqKDpNyIuN7A1Q0_k/edit?usp=sharing"",""พิษณุโลก!L718"")+IMPORTRANGE(""https://docs.google.com/spreadsheets/d/1xlcVZWU"&amp;"Nn6SuWm0c307h32SiGkd9BaeQWlAktfD3KO8/edit?usp=sharing"",""เพชรบูรณ์!L718"")+IMPORTRANGE(""https://docs.google.com/spreadsheets/d/1lOVebEIsI9qjGXl6EX66luk7wiuP2tBaryw-wKvv4e0/edit?usp=sharing"",""แพร่!L718"")+IMPORTRANGE(""https://docs.google.com/spreadshe"&amp;"ets/d/1dQrvX0vEcN7Gu0fnZ0B5S90AeR19zth4XlExFBeExMY/edit?usp=sharing"",""แม่ฮ่องสอน!L718"")+IMPORTRANGE(""https://docs.google.com/spreadsheets/d/1DY4XTNNwjluuxqdfdn6qvOSlMRrZqUtmYcZR0ttFiG4/edit?usp=sharing"",""ลำปาง!L718"")+IMPORTRANGE(""https://docs.goog"&amp;"le.com/spreadsheets/d/1ICwG78r0OFT8biBlxnBF8r7she7gNSzOvJ958PWT09c/edit?usp=sharing"",""ลำพูน!L718"")+IMPORTRANGE(""https://docs.google.com/spreadsheets/d/1B0f2xJpZUC6Z0xXnqKlZtEPzsf6L84eP1r1Q15seqRM/edit?usp=sharing"",""สุโขทัย!L718"")+IMPORTRANGE(""http"&amp;"s://docs.google.com/spreadsheets/d/1v0b9pFQCsKUVExMei7AgY2yQkdeNQvtOssygGsXbiKo/edit?usp=sharing"",""อุตรดิตถ์!L718"")+IMPORTRANGE(""https://docs.google.com/spreadsheets/d/1UsNK1e-WWiCo2PvGqdNfdme4m17_Ezd3J69EeeiQPD0/edit?usp=sharing"",""อุทัยธานี!L718"")"),0)</f>
        <v>0</v>
      </c>
      <c r="M718" s="48">
        <f ca="1">IFERROR(__xludf.DUMMYFUNCTION("IMPORTRANGE(""https://docs.google.com/spreadsheets/d/1jTcq05yEiRwXcBMLjiodW9e4biSGYWAHcDj22rKWQ3s/edit?usp=sharing"",""กำแพงเพชร!M718"")+IMPORTRANGE(""https://docs.google.com/spreadsheets/d/1KS0zmDSZPk8KnTAbGN-Xk6MtX1YRZD0ldgdt20K4CRk/edit?usp=sharing"","&amp;"""เชียงราย!M718"")+IMPORTRANGE(""https://docs.google.com/spreadsheets/d/1rEDxBtusbi64tE0zunoIbsTVV16HeL0oJ6trHQeQ7K8/edit?usp=sharing"",""เชียงใหม่!M718"")+IMPORTRANGE(""https://docs.google.com/spreadsheets/d/1W6MnUbDkMi6xHnHko_XkFDO9kkuL6Wqyc-6OCDFjW9I/e"&amp;"dit?usp=sharing"",""ตาก!M718"")+IMPORTRANGE(""https://docs.google.com/spreadsheets/d/1IQAWArduLkta9LpYo4a_ULsyqdta6-6aDDiwpUnQT6c/edit?usp=sharing"",""นครสวรรค์!M718"")+IMPORTRANGE(""https://docs.google.com/spreadsheets/d/10s13Sk5xrltsiR-Zkbmk5DwIaDIKO8Xl"&amp;"bJAfqyT7Gvg/edit?usp=sharing"",""น่าน!M718"")+IMPORTRANGE(""https://docs.google.com/spreadsheets/d/1uu4nAn4Dbi1XREnLKKotUANlKXa7yCgRcgq8HEzQYW8/edit?usp=sharing"",""พะเยา!M718"")+IMPORTRANGE(""https://docs.google.com/spreadsheets/d/1xfJKIQxVOaPDIICqsflNlL"&amp;"u3JacTDk1FP9RH4phX7mI/edit?usp=sharing"",""พิจิตร!M718"")+IMPORTRANGE(""https://docs.google.com/spreadsheets/d/1JtRfZkJMHtEhI5RdRHxYUG4FIZHqKDpNyIuN7A1Q0_k/edit?usp=sharing"",""พิษณุโลก!M718"")+IMPORTRANGE(""https://docs.google.com/spreadsheets/d/1xlcVZWU"&amp;"Nn6SuWm0c307h32SiGkd9BaeQWlAktfD3KO8/edit?usp=sharing"",""เพชรบูรณ์!M718"")+IMPORTRANGE(""https://docs.google.com/spreadsheets/d/1lOVebEIsI9qjGXl6EX66luk7wiuP2tBaryw-wKvv4e0/edit?usp=sharing"",""แพร่!M718"")+IMPORTRANGE(""https://docs.google.com/spreadshe"&amp;"ets/d/1dQrvX0vEcN7Gu0fnZ0B5S90AeR19zth4XlExFBeExMY/edit?usp=sharing"",""แม่ฮ่องสอน!M718"")+IMPORTRANGE(""https://docs.google.com/spreadsheets/d/1DY4XTNNwjluuxqdfdn6qvOSlMRrZqUtmYcZR0ttFiG4/edit?usp=sharing"",""ลำปาง!M718"")+IMPORTRANGE(""https://docs.goog"&amp;"le.com/spreadsheets/d/1ICwG78r0OFT8biBlxnBF8r7she7gNSzOvJ958PWT09c/edit?usp=sharing"",""ลำพูน!M718"")+IMPORTRANGE(""https://docs.google.com/spreadsheets/d/1B0f2xJpZUC6Z0xXnqKlZtEPzsf6L84eP1r1Q15seqRM/edit?usp=sharing"",""สุโขทัย!M718"")+IMPORTRANGE(""http"&amp;"s://docs.google.com/spreadsheets/d/1v0b9pFQCsKUVExMei7AgY2yQkdeNQvtOssygGsXbiKo/edit?usp=sharing"",""อุตรดิตถ์!M718"")+IMPORTRANGE(""https://docs.google.com/spreadsheets/d/1UsNK1e-WWiCo2PvGqdNfdme4m17_Ezd3J69EeeiQPD0/edit?usp=sharing"",""อุทัยธานี!M718"")"),0)</f>
        <v>0</v>
      </c>
      <c r="N718" s="48">
        <f ca="1">IFERROR(__xludf.DUMMYFUNCTION("IMPORTRANGE(""https://docs.google.com/spreadsheets/d/1jTcq05yEiRwXcBMLjiodW9e4biSGYWAHcDj22rKWQ3s/edit?usp=sharing"",""กำแพงเพชร!N718"")+IMPORTRANGE(""https://docs.google.com/spreadsheets/d/1KS0zmDSZPk8KnTAbGN-Xk6MtX1YRZD0ldgdt20K4CRk/edit?usp=sharing"","&amp;"""เชียงราย!N718"")+IMPORTRANGE(""https://docs.google.com/spreadsheets/d/1rEDxBtusbi64tE0zunoIbsTVV16HeL0oJ6trHQeQ7K8/edit?usp=sharing"",""เชียงใหม่!N718"")+IMPORTRANGE(""https://docs.google.com/spreadsheets/d/1W6MnUbDkMi6xHnHko_XkFDO9kkuL6Wqyc-6OCDFjW9I/e"&amp;"dit?usp=sharing"",""ตาก!N718"")+IMPORTRANGE(""https://docs.google.com/spreadsheets/d/1IQAWArduLkta9LpYo4a_ULsyqdta6-6aDDiwpUnQT6c/edit?usp=sharing"",""นครสวรรค์!N718"")+IMPORTRANGE(""https://docs.google.com/spreadsheets/d/10s13Sk5xrltsiR-Zkbmk5DwIaDIKO8Xl"&amp;"bJAfqyT7Gvg/edit?usp=sharing"",""น่าน!N718"")+IMPORTRANGE(""https://docs.google.com/spreadsheets/d/1uu4nAn4Dbi1XREnLKKotUANlKXa7yCgRcgq8HEzQYW8/edit?usp=sharing"",""พะเยา!N718"")+IMPORTRANGE(""https://docs.google.com/spreadsheets/d/1xfJKIQxVOaPDIICqsflNlL"&amp;"u3JacTDk1FP9RH4phX7mI/edit?usp=sharing"",""พิจิตร!N718"")+IMPORTRANGE(""https://docs.google.com/spreadsheets/d/1JtRfZkJMHtEhI5RdRHxYUG4FIZHqKDpNyIuN7A1Q0_k/edit?usp=sharing"",""พิษณุโลก!N718"")+IMPORTRANGE(""https://docs.google.com/spreadsheets/d/1xlcVZWU"&amp;"Nn6SuWm0c307h32SiGkd9BaeQWlAktfD3KO8/edit?usp=sharing"",""เพชรบูรณ์!N718"")+IMPORTRANGE(""https://docs.google.com/spreadsheets/d/1lOVebEIsI9qjGXl6EX66luk7wiuP2tBaryw-wKvv4e0/edit?usp=sharing"",""แพร่!N718"")+IMPORTRANGE(""https://docs.google.com/spreadshe"&amp;"ets/d/1dQrvX0vEcN7Gu0fnZ0B5S90AeR19zth4XlExFBeExMY/edit?usp=sharing"",""แม่ฮ่องสอน!N718"")+IMPORTRANGE(""https://docs.google.com/spreadsheets/d/1DY4XTNNwjluuxqdfdn6qvOSlMRrZqUtmYcZR0ttFiG4/edit?usp=sharing"",""ลำปาง!N718"")+IMPORTRANGE(""https://docs.goog"&amp;"le.com/spreadsheets/d/1ICwG78r0OFT8biBlxnBF8r7she7gNSzOvJ958PWT09c/edit?usp=sharing"",""ลำพูน!N718"")+IMPORTRANGE(""https://docs.google.com/spreadsheets/d/1B0f2xJpZUC6Z0xXnqKlZtEPzsf6L84eP1r1Q15seqRM/edit?usp=sharing"",""สุโขทัย!N718"")+IMPORTRANGE(""http"&amp;"s://docs.google.com/spreadsheets/d/1v0b9pFQCsKUVExMei7AgY2yQkdeNQvtOssygGsXbiKo/edit?usp=sharing"",""อุตรดิตถ์!N718"")+IMPORTRANGE(""https://docs.google.com/spreadsheets/d/1UsNK1e-WWiCo2PvGqdNfdme4m17_Ezd3J69EeeiQPD0/edit?usp=sharing"",""อุทัยธานี!N718"")"),0)</f>
        <v>0</v>
      </c>
      <c r="O718" s="48">
        <f t="shared" ca="1" si="489"/>
        <v>0</v>
      </c>
      <c r="P718" s="48">
        <f t="shared" ca="1" si="490"/>
        <v>0</v>
      </c>
      <c r="Q718" s="48">
        <f ca="1">IFERROR(__xludf.DUMMYFUNCTION("IMPORTRANGE(""https://docs.google.com/spreadsheets/d/1jTcq05yEiRwXcBMLjiodW9e4biSGYWAHcDj22rKWQ3s/edit?usp=sharing"",""กำแพงเพชร!Q718"")+IMPORTRANGE(""https://docs.google.com/spreadsheets/d/1KS0zmDSZPk8KnTAbGN-Xk6MtX1YRZD0ldgdt20K4CRk/edit?usp=sharing"","&amp;"""เชียงราย!Q718"")+IMPORTRANGE(""https://docs.google.com/spreadsheets/d/1rEDxBtusbi64tE0zunoIbsTVV16HeL0oJ6trHQeQ7K8/edit?usp=sharing"",""เชียงใหม่!Q718"")+IMPORTRANGE(""https://docs.google.com/spreadsheets/d/1W6MnUbDkMi6xHnHko_XkFDO9kkuL6Wqyc-6OCDFjW9I/e"&amp;"dit?usp=sharing"",""ตาก!Q718"")+IMPORTRANGE(""https://docs.google.com/spreadsheets/d/1IQAWArduLkta9LpYo4a_ULsyqdta6-6aDDiwpUnQT6c/edit?usp=sharing"",""นครสวรรค์!Q718"")+IMPORTRANGE(""https://docs.google.com/spreadsheets/d/10s13Sk5xrltsiR-Zkbmk5DwIaDIKO8Xl"&amp;"bJAfqyT7Gvg/edit?usp=sharing"",""น่าน!Q718"")+IMPORTRANGE(""https://docs.google.com/spreadsheets/d/1uu4nAn4Dbi1XREnLKKotUANlKXa7yCgRcgq8HEzQYW8/edit?usp=sharing"",""พะเยา!Q718"")+IMPORTRANGE(""https://docs.google.com/spreadsheets/d/1xfJKIQxVOaPDIICqsflNlL"&amp;"u3JacTDk1FP9RH4phX7mI/edit?usp=sharing"",""พิจิตร!Q718"")+IMPORTRANGE(""https://docs.google.com/spreadsheets/d/1JtRfZkJMHtEhI5RdRHxYUG4FIZHqKDpNyIuN7A1Q0_k/edit?usp=sharing"",""พิษณุโลก!Q718"")+IMPORTRANGE(""https://docs.google.com/spreadsheets/d/1xlcVZWU"&amp;"Nn6SuWm0c307h32SiGkd9BaeQWlAktfD3KO8/edit?usp=sharing"",""เพชรบูรณ์!Q718"")+IMPORTRANGE(""https://docs.google.com/spreadsheets/d/1lOVebEIsI9qjGXl6EX66luk7wiuP2tBaryw-wKvv4e0/edit?usp=sharing"",""แพร่!Q718"")+IMPORTRANGE(""https://docs.google.com/spreadshe"&amp;"ets/d/1dQrvX0vEcN7Gu0fnZ0B5S90AeR19zth4XlExFBeExMY/edit?usp=sharing"",""แม่ฮ่องสอน!Q718"")+IMPORTRANGE(""https://docs.google.com/spreadsheets/d/1DY4XTNNwjluuxqdfdn6qvOSlMRrZqUtmYcZR0ttFiG4/edit?usp=sharing"",""ลำปาง!Q718"")+IMPORTRANGE(""https://docs.goog"&amp;"le.com/spreadsheets/d/1ICwG78r0OFT8biBlxnBF8r7she7gNSzOvJ958PWT09c/edit?usp=sharing"",""ลำพูน!Q718"")+IMPORTRANGE(""https://docs.google.com/spreadsheets/d/1B0f2xJpZUC6Z0xXnqKlZtEPzsf6L84eP1r1Q15seqRM/edit?usp=sharing"",""สุโขทัย!Q718"")+IMPORTRANGE(""http"&amp;"s://docs.google.com/spreadsheets/d/1v0b9pFQCsKUVExMei7AgY2yQkdeNQvtOssygGsXbiKo/edit?usp=sharing"",""อุตรดิตถ์!Q718"")+IMPORTRANGE(""https://docs.google.com/spreadsheets/d/1UsNK1e-WWiCo2PvGqdNfdme4m17_Ezd3J69EeeiQPD0/edit?usp=sharing"",""อุทัยธานี!Q718"")"),0)</f>
        <v>0</v>
      </c>
      <c r="R718" s="48">
        <f ca="1">IFERROR(__xludf.DUMMYFUNCTION("IMPORTRANGE(""https://docs.google.com/spreadsheets/d/1jTcq05yEiRwXcBMLjiodW9e4biSGYWAHcDj22rKWQ3s/edit?usp=sharing"",""กำแพงเพชร!R718"")+IMPORTRANGE(""https://docs.google.com/spreadsheets/d/1KS0zmDSZPk8KnTAbGN-Xk6MtX1YRZD0ldgdt20K4CRk/edit?usp=sharing"","&amp;"""เชียงราย!R718"")+IMPORTRANGE(""https://docs.google.com/spreadsheets/d/1rEDxBtusbi64tE0zunoIbsTVV16HeL0oJ6trHQeQ7K8/edit?usp=sharing"",""เชียงใหม่!R718"")+IMPORTRANGE(""https://docs.google.com/spreadsheets/d/1W6MnUbDkMi6xHnHko_XkFDO9kkuL6Wqyc-6OCDFjW9I/e"&amp;"dit?usp=sharing"",""ตาก!R718"")+IMPORTRANGE(""https://docs.google.com/spreadsheets/d/1IQAWArduLkta9LpYo4a_ULsyqdta6-6aDDiwpUnQT6c/edit?usp=sharing"",""นครสวรรค์!R718"")+IMPORTRANGE(""https://docs.google.com/spreadsheets/d/10s13Sk5xrltsiR-Zkbmk5DwIaDIKO8Xl"&amp;"bJAfqyT7Gvg/edit?usp=sharing"",""น่าน!R718"")+IMPORTRANGE(""https://docs.google.com/spreadsheets/d/1uu4nAn4Dbi1XREnLKKotUANlKXa7yCgRcgq8HEzQYW8/edit?usp=sharing"",""พะเยา!R718"")+IMPORTRANGE(""https://docs.google.com/spreadsheets/d/1xfJKIQxVOaPDIICqsflNlL"&amp;"u3JacTDk1FP9RH4phX7mI/edit?usp=sharing"",""พิจิตร!R718"")+IMPORTRANGE(""https://docs.google.com/spreadsheets/d/1JtRfZkJMHtEhI5RdRHxYUG4FIZHqKDpNyIuN7A1Q0_k/edit?usp=sharing"",""พิษณุโลก!R718"")+IMPORTRANGE(""https://docs.google.com/spreadsheets/d/1xlcVZWU"&amp;"Nn6SuWm0c307h32SiGkd9BaeQWlAktfD3KO8/edit?usp=sharing"",""เพชรบูรณ์!R718"")+IMPORTRANGE(""https://docs.google.com/spreadsheets/d/1lOVebEIsI9qjGXl6EX66luk7wiuP2tBaryw-wKvv4e0/edit?usp=sharing"",""แพร่!R718"")+IMPORTRANGE(""https://docs.google.com/spreadshe"&amp;"ets/d/1dQrvX0vEcN7Gu0fnZ0B5S90AeR19zth4XlExFBeExMY/edit?usp=sharing"",""แม่ฮ่องสอน!R718"")+IMPORTRANGE(""https://docs.google.com/spreadsheets/d/1DY4XTNNwjluuxqdfdn6qvOSlMRrZqUtmYcZR0ttFiG4/edit?usp=sharing"",""ลำปาง!R718"")+IMPORTRANGE(""https://docs.goog"&amp;"le.com/spreadsheets/d/1ICwG78r0OFT8biBlxnBF8r7she7gNSzOvJ958PWT09c/edit?usp=sharing"",""ลำพูน!R718"")+IMPORTRANGE(""https://docs.google.com/spreadsheets/d/1B0f2xJpZUC6Z0xXnqKlZtEPzsf6L84eP1r1Q15seqRM/edit?usp=sharing"",""สุโขทัย!R718"")+IMPORTRANGE(""http"&amp;"s://docs.google.com/spreadsheets/d/1v0b9pFQCsKUVExMei7AgY2yQkdeNQvtOssygGsXbiKo/edit?usp=sharing"",""อุตรดิตถ์!R718"")+IMPORTRANGE(""https://docs.google.com/spreadsheets/d/1UsNK1e-WWiCo2PvGqdNfdme4m17_Ezd3J69EeeiQPD0/edit?usp=sharing"",""อุทัยธานี!R718"")"),0)</f>
        <v>0</v>
      </c>
      <c r="S718" s="48">
        <f ca="1">IFERROR(__xludf.DUMMYFUNCTION("IMPORTRANGE(""https://docs.google.com/spreadsheets/d/1jTcq05yEiRwXcBMLjiodW9e4biSGYWAHcDj22rKWQ3s/edit?usp=sharing"",""กำแพงเพชร!S718"")+IMPORTRANGE(""https://docs.google.com/spreadsheets/d/1KS0zmDSZPk8KnTAbGN-Xk6MtX1YRZD0ldgdt20K4CRk/edit?usp=sharing"","&amp;"""เชียงราย!S718"")+IMPORTRANGE(""https://docs.google.com/spreadsheets/d/1rEDxBtusbi64tE0zunoIbsTVV16HeL0oJ6trHQeQ7K8/edit?usp=sharing"",""เชียงใหม่!S718"")+IMPORTRANGE(""https://docs.google.com/spreadsheets/d/1W6MnUbDkMi6xHnHko_XkFDO9kkuL6Wqyc-6OCDFjW9I/e"&amp;"dit?usp=sharing"",""ตาก!S718"")+IMPORTRANGE(""https://docs.google.com/spreadsheets/d/1IQAWArduLkta9LpYo4a_ULsyqdta6-6aDDiwpUnQT6c/edit?usp=sharing"",""นครสวรรค์!S718"")+IMPORTRANGE(""https://docs.google.com/spreadsheets/d/10s13Sk5xrltsiR-Zkbmk5DwIaDIKO8Xl"&amp;"bJAfqyT7Gvg/edit?usp=sharing"",""น่าน!S718"")+IMPORTRANGE(""https://docs.google.com/spreadsheets/d/1uu4nAn4Dbi1XREnLKKotUANlKXa7yCgRcgq8HEzQYW8/edit?usp=sharing"",""พะเยา!S718"")+IMPORTRANGE(""https://docs.google.com/spreadsheets/d/1xfJKIQxVOaPDIICqsflNlL"&amp;"u3JacTDk1FP9RH4phX7mI/edit?usp=sharing"",""พิจิตร!S718"")+IMPORTRANGE(""https://docs.google.com/spreadsheets/d/1JtRfZkJMHtEhI5RdRHxYUG4FIZHqKDpNyIuN7A1Q0_k/edit?usp=sharing"",""พิษณุโลก!S718"")+IMPORTRANGE(""https://docs.google.com/spreadsheets/d/1xlcVZWU"&amp;"Nn6SuWm0c307h32SiGkd9BaeQWlAktfD3KO8/edit?usp=sharing"",""เพชรบูรณ์!S718"")+IMPORTRANGE(""https://docs.google.com/spreadsheets/d/1lOVebEIsI9qjGXl6EX66luk7wiuP2tBaryw-wKvv4e0/edit?usp=sharing"",""แพร่!S718"")+IMPORTRANGE(""https://docs.google.com/spreadshe"&amp;"ets/d/1dQrvX0vEcN7Gu0fnZ0B5S90AeR19zth4XlExFBeExMY/edit?usp=sharing"",""แม่ฮ่องสอน!S718"")+IMPORTRANGE(""https://docs.google.com/spreadsheets/d/1DY4XTNNwjluuxqdfdn6qvOSlMRrZqUtmYcZR0ttFiG4/edit?usp=sharing"",""ลำปาง!S718"")+IMPORTRANGE(""https://docs.goog"&amp;"le.com/spreadsheets/d/1ICwG78r0OFT8biBlxnBF8r7she7gNSzOvJ958PWT09c/edit?usp=sharing"",""ลำพูน!S718"")+IMPORTRANGE(""https://docs.google.com/spreadsheets/d/1B0f2xJpZUC6Z0xXnqKlZtEPzsf6L84eP1r1Q15seqRM/edit?usp=sharing"",""สุโขทัย!S718"")+IMPORTRANGE(""http"&amp;"s://docs.google.com/spreadsheets/d/1v0b9pFQCsKUVExMei7AgY2yQkdeNQvtOssygGsXbiKo/edit?usp=sharing"",""อุตรดิตถ์!S718"")+IMPORTRANGE(""https://docs.google.com/spreadsheets/d/1UsNK1e-WWiCo2PvGqdNfdme4m17_Ezd3J69EeeiQPD0/edit?usp=sharing"",""อุทัยธานี!S718"")"),0)</f>
        <v>0</v>
      </c>
      <c r="T718" s="48">
        <f t="shared" ca="1" si="492"/>
        <v>0</v>
      </c>
      <c r="U718" s="48">
        <f t="shared" ca="1" si="493"/>
        <v>0</v>
      </c>
    </row>
    <row r="719" spans="1:21" ht="18.75" hidden="1" x14ac:dyDescent="0.25">
      <c r="A719" s="128"/>
      <c r="B719" s="158"/>
      <c r="C719" s="158"/>
      <c r="D719" s="145"/>
      <c r="E719" s="156" t="s">
        <v>159</v>
      </c>
      <c r="F719" s="40"/>
      <c r="G719" s="42"/>
      <c r="H719" s="159" t="s">
        <v>14</v>
      </c>
      <c r="I719" s="44"/>
      <c r="J719" s="44"/>
      <c r="K719" s="45"/>
      <c r="L719" s="46">
        <f ca="1">IFERROR(__xludf.DUMMYFUNCTION("IMPORTRANGE(""https://docs.google.com/spreadsheets/d/1jTcq05yEiRwXcBMLjiodW9e4biSGYWAHcDj22rKWQ3s/edit?usp=sharing"",""กำแพงเพชร!L719"")+IMPORTRANGE(""https://docs.google.com/spreadsheets/d/1KS0zmDSZPk8KnTAbGN-Xk6MtX1YRZD0ldgdt20K4CRk/edit?usp=sharing"","&amp;"""เชียงราย!L719"")+IMPORTRANGE(""https://docs.google.com/spreadsheets/d/1rEDxBtusbi64tE0zunoIbsTVV16HeL0oJ6trHQeQ7K8/edit?usp=sharing"",""เชียงใหม่!L719"")+IMPORTRANGE(""https://docs.google.com/spreadsheets/d/1W6MnUbDkMi6xHnHko_XkFDO9kkuL6Wqyc-6OCDFjW9I/e"&amp;"dit?usp=sharing"",""ตาก!L719"")+IMPORTRANGE(""https://docs.google.com/spreadsheets/d/1IQAWArduLkta9LpYo4a_ULsyqdta6-6aDDiwpUnQT6c/edit?usp=sharing"",""นครสวรรค์!L719"")+IMPORTRANGE(""https://docs.google.com/spreadsheets/d/10s13Sk5xrltsiR-Zkbmk5DwIaDIKO8Xl"&amp;"bJAfqyT7Gvg/edit?usp=sharing"",""น่าน!L719"")+IMPORTRANGE(""https://docs.google.com/spreadsheets/d/1uu4nAn4Dbi1XREnLKKotUANlKXa7yCgRcgq8HEzQYW8/edit?usp=sharing"",""พะเยา!L719"")+IMPORTRANGE(""https://docs.google.com/spreadsheets/d/1xfJKIQxVOaPDIICqsflNlL"&amp;"u3JacTDk1FP9RH4phX7mI/edit?usp=sharing"",""พิจิตร!L719"")+IMPORTRANGE(""https://docs.google.com/spreadsheets/d/1JtRfZkJMHtEhI5RdRHxYUG4FIZHqKDpNyIuN7A1Q0_k/edit?usp=sharing"",""พิษณุโลก!L719"")+IMPORTRANGE(""https://docs.google.com/spreadsheets/d/1xlcVZWU"&amp;"Nn6SuWm0c307h32SiGkd9BaeQWlAktfD3KO8/edit?usp=sharing"",""เพชรบูรณ์!L719"")+IMPORTRANGE(""https://docs.google.com/spreadsheets/d/1lOVebEIsI9qjGXl6EX66luk7wiuP2tBaryw-wKvv4e0/edit?usp=sharing"",""แพร่!L719"")+IMPORTRANGE(""https://docs.google.com/spreadshe"&amp;"ets/d/1dQrvX0vEcN7Gu0fnZ0B5S90AeR19zth4XlExFBeExMY/edit?usp=sharing"",""แม่ฮ่องสอน!L719"")+IMPORTRANGE(""https://docs.google.com/spreadsheets/d/1DY4XTNNwjluuxqdfdn6qvOSlMRrZqUtmYcZR0ttFiG4/edit?usp=sharing"",""ลำปาง!L719"")+IMPORTRANGE(""https://docs.goog"&amp;"le.com/spreadsheets/d/1ICwG78r0OFT8biBlxnBF8r7she7gNSzOvJ958PWT09c/edit?usp=sharing"",""ลำพูน!L719"")+IMPORTRANGE(""https://docs.google.com/spreadsheets/d/1B0f2xJpZUC6Z0xXnqKlZtEPzsf6L84eP1r1Q15seqRM/edit?usp=sharing"",""สุโขทัย!L719"")+IMPORTRANGE(""http"&amp;"s://docs.google.com/spreadsheets/d/1v0b9pFQCsKUVExMei7AgY2yQkdeNQvtOssygGsXbiKo/edit?usp=sharing"",""อุตรดิตถ์!L719"")+IMPORTRANGE(""https://docs.google.com/spreadsheets/d/1UsNK1e-WWiCo2PvGqdNfdme4m17_Ezd3J69EeeiQPD0/edit?usp=sharing"",""อุทัยธานี!L719"")"),0)</f>
        <v>0</v>
      </c>
      <c r="M719" s="46">
        <f ca="1">IFERROR(__xludf.DUMMYFUNCTION("IMPORTRANGE(""https://docs.google.com/spreadsheets/d/1jTcq05yEiRwXcBMLjiodW9e4biSGYWAHcDj22rKWQ3s/edit?usp=sharing"",""กำแพงเพชร!M719"")+IMPORTRANGE(""https://docs.google.com/spreadsheets/d/1KS0zmDSZPk8KnTAbGN-Xk6MtX1YRZD0ldgdt20K4CRk/edit?usp=sharing"","&amp;"""เชียงราย!M719"")+IMPORTRANGE(""https://docs.google.com/spreadsheets/d/1rEDxBtusbi64tE0zunoIbsTVV16HeL0oJ6trHQeQ7K8/edit?usp=sharing"",""เชียงใหม่!M719"")+IMPORTRANGE(""https://docs.google.com/spreadsheets/d/1W6MnUbDkMi6xHnHko_XkFDO9kkuL6Wqyc-6OCDFjW9I/e"&amp;"dit?usp=sharing"",""ตาก!M719"")+IMPORTRANGE(""https://docs.google.com/spreadsheets/d/1IQAWArduLkta9LpYo4a_ULsyqdta6-6aDDiwpUnQT6c/edit?usp=sharing"",""นครสวรรค์!M719"")+IMPORTRANGE(""https://docs.google.com/spreadsheets/d/10s13Sk5xrltsiR-Zkbmk5DwIaDIKO8Xl"&amp;"bJAfqyT7Gvg/edit?usp=sharing"",""น่าน!M719"")+IMPORTRANGE(""https://docs.google.com/spreadsheets/d/1uu4nAn4Dbi1XREnLKKotUANlKXa7yCgRcgq8HEzQYW8/edit?usp=sharing"",""พะเยา!M719"")+IMPORTRANGE(""https://docs.google.com/spreadsheets/d/1xfJKIQxVOaPDIICqsflNlL"&amp;"u3JacTDk1FP9RH4phX7mI/edit?usp=sharing"",""พิจิตร!M719"")+IMPORTRANGE(""https://docs.google.com/spreadsheets/d/1JtRfZkJMHtEhI5RdRHxYUG4FIZHqKDpNyIuN7A1Q0_k/edit?usp=sharing"",""พิษณุโลก!M719"")+IMPORTRANGE(""https://docs.google.com/spreadsheets/d/1xlcVZWU"&amp;"Nn6SuWm0c307h32SiGkd9BaeQWlAktfD3KO8/edit?usp=sharing"",""เพชรบูรณ์!M719"")+IMPORTRANGE(""https://docs.google.com/spreadsheets/d/1lOVebEIsI9qjGXl6EX66luk7wiuP2tBaryw-wKvv4e0/edit?usp=sharing"",""แพร่!M719"")+IMPORTRANGE(""https://docs.google.com/spreadshe"&amp;"ets/d/1dQrvX0vEcN7Gu0fnZ0B5S90AeR19zth4XlExFBeExMY/edit?usp=sharing"",""แม่ฮ่องสอน!M719"")+IMPORTRANGE(""https://docs.google.com/spreadsheets/d/1DY4XTNNwjluuxqdfdn6qvOSlMRrZqUtmYcZR0ttFiG4/edit?usp=sharing"",""ลำปาง!M719"")+IMPORTRANGE(""https://docs.goog"&amp;"le.com/spreadsheets/d/1ICwG78r0OFT8biBlxnBF8r7she7gNSzOvJ958PWT09c/edit?usp=sharing"",""ลำพูน!M719"")+IMPORTRANGE(""https://docs.google.com/spreadsheets/d/1B0f2xJpZUC6Z0xXnqKlZtEPzsf6L84eP1r1Q15seqRM/edit?usp=sharing"",""สุโขทัย!M719"")+IMPORTRANGE(""http"&amp;"s://docs.google.com/spreadsheets/d/1v0b9pFQCsKUVExMei7AgY2yQkdeNQvtOssygGsXbiKo/edit?usp=sharing"",""อุตรดิตถ์!M719"")+IMPORTRANGE(""https://docs.google.com/spreadsheets/d/1UsNK1e-WWiCo2PvGqdNfdme4m17_Ezd3J69EeeiQPD0/edit?usp=sharing"",""อุทัยธานี!M719"")"),0)</f>
        <v>0</v>
      </c>
      <c r="N719" s="46">
        <f ca="1">IFERROR(__xludf.DUMMYFUNCTION("IMPORTRANGE(""https://docs.google.com/spreadsheets/d/1jTcq05yEiRwXcBMLjiodW9e4biSGYWAHcDj22rKWQ3s/edit?usp=sharing"",""กำแพงเพชร!N719"")+IMPORTRANGE(""https://docs.google.com/spreadsheets/d/1KS0zmDSZPk8KnTAbGN-Xk6MtX1YRZD0ldgdt20K4CRk/edit?usp=sharing"","&amp;"""เชียงราย!N719"")+IMPORTRANGE(""https://docs.google.com/spreadsheets/d/1rEDxBtusbi64tE0zunoIbsTVV16HeL0oJ6trHQeQ7K8/edit?usp=sharing"",""เชียงใหม่!N719"")+IMPORTRANGE(""https://docs.google.com/spreadsheets/d/1W6MnUbDkMi6xHnHko_XkFDO9kkuL6Wqyc-6OCDFjW9I/e"&amp;"dit?usp=sharing"",""ตาก!N719"")+IMPORTRANGE(""https://docs.google.com/spreadsheets/d/1IQAWArduLkta9LpYo4a_ULsyqdta6-6aDDiwpUnQT6c/edit?usp=sharing"",""นครสวรรค์!N719"")+IMPORTRANGE(""https://docs.google.com/spreadsheets/d/10s13Sk5xrltsiR-Zkbmk5DwIaDIKO8Xl"&amp;"bJAfqyT7Gvg/edit?usp=sharing"",""น่าน!N719"")+IMPORTRANGE(""https://docs.google.com/spreadsheets/d/1uu4nAn4Dbi1XREnLKKotUANlKXa7yCgRcgq8HEzQYW8/edit?usp=sharing"",""พะเยา!N719"")+IMPORTRANGE(""https://docs.google.com/spreadsheets/d/1xfJKIQxVOaPDIICqsflNlL"&amp;"u3JacTDk1FP9RH4phX7mI/edit?usp=sharing"",""พิจิตร!N719"")+IMPORTRANGE(""https://docs.google.com/spreadsheets/d/1JtRfZkJMHtEhI5RdRHxYUG4FIZHqKDpNyIuN7A1Q0_k/edit?usp=sharing"",""พิษณุโลก!N719"")+IMPORTRANGE(""https://docs.google.com/spreadsheets/d/1xlcVZWU"&amp;"Nn6SuWm0c307h32SiGkd9BaeQWlAktfD3KO8/edit?usp=sharing"",""เพชรบูรณ์!N719"")+IMPORTRANGE(""https://docs.google.com/spreadsheets/d/1lOVebEIsI9qjGXl6EX66luk7wiuP2tBaryw-wKvv4e0/edit?usp=sharing"",""แพร่!N719"")+IMPORTRANGE(""https://docs.google.com/spreadshe"&amp;"ets/d/1dQrvX0vEcN7Gu0fnZ0B5S90AeR19zth4XlExFBeExMY/edit?usp=sharing"",""แม่ฮ่องสอน!N719"")+IMPORTRANGE(""https://docs.google.com/spreadsheets/d/1DY4XTNNwjluuxqdfdn6qvOSlMRrZqUtmYcZR0ttFiG4/edit?usp=sharing"",""ลำปาง!N719"")+IMPORTRANGE(""https://docs.goog"&amp;"le.com/spreadsheets/d/1ICwG78r0OFT8biBlxnBF8r7she7gNSzOvJ958PWT09c/edit?usp=sharing"",""ลำพูน!N719"")+IMPORTRANGE(""https://docs.google.com/spreadsheets/d/1B0f2xJpZUC6Z0xXnqKlZtEPzsf6L84eP1r1Q15seqRM/edit?usp=sharing"",""สุโขทัย!N719"")+IMPORTRANGE(""http"&amp;"s://docs.google.com/spreadsheets/d/1v0b9pFQCsKUVExMei7AgY2yQkdeNQvtOssygGsXbiKo/edit?usp=sharing"",""อุตรดิตถ์!N719"")+IMPORTRANGE(""https://docs.google.com/spreadsheets/d/1UsNK1e-WWiCo2PvGqdNfdme4m17_Ezd3J69EeeiQPD0/edit?usp=sharing"",""อุทัยธานี!N719"")"),0)</f>
        <v>0</v>
      </c>
      <c r="O719" s="46">
        <f t="shared" ca="1" si="489"/>
        <v>0</v>
      </c>
      <c r="P719" s="46">
        <f t="shared" ca="1" si="490"/>
        <v>0</v>
      </c>
      <c r="Q719" s="46">
        <f ca="1">IFERROR(__xludf.DUMMYFUNCTION("IMPORTRANGE(""https://docs.google.com/spreadsheets/d/1jTcq05yEiRwXcBMLjiodW9e4biSGYWAHcDj22rKWQ3s/edit?usp=sharing"",""กำแพงเพชร!Q719"")+IMPORTRANGE(""https://docs.google.com/spreadsheets/d/1KS0zmDSZPk8KnTAbGN-Xk6MtX1YRZD0ldgdt20K4CRk/edit?usp=sharing"","&amp;"""เชียงราย!Q719"")+IMPORTRANGE(""https://docs.google.com/spreadsheets/d/1rEDxBtusbi64tE0zunoIbsTVV16HeL0oJ6trHQeQ7K8/edit?usp=sharing"",""เชียงใหม่!Q719"")+IMPORTRANGE(""https://docs.google.com/spreadsheets/d/1W6MnUbDkMi6xHnHko_XkFDO9kkuL6Wqyc-6OCDFjW9I/e"&amp;"dit?usp=sharing"",""ตาก!Q719"")+IMPORTRANGE(""https://docs.google.com/spreadsheets/d/1IQAWArduLkta9LpYo4a_ULsyqdta6-6aDDiwpUnQT6c/edit?usp=sharing"",""นครสวรรค์!Q719"")+IMPORTRANGE(""https://docs.google.com/spreadsheets/d/10s13Sk5xrltsiR-Zkbmk5DwIaDIKO8Xl"&amp;"bJAfqyT7Gvg/edit?usp=sharing"",""น่าน!Q719"")+IMPORTRANGE(""https://docs.google.com/spreadsheets/d/1uu4nAn4Dbi1XREnLKKotUANlKXa7yCgRcgq8HEzQYW8/edit?usp=sharing"",""พะเยา!Q719"")+IMPORTRANGE(""https://docs.google.com/spreadsheets/d/1xfJKIQxVOaPDIICqsflNlL"&amp;"u3JacTDk1FP9RH4phX7mI/edit?usp=sharing"",""พิจิตร!Q719"")+IMPORTRANGE(""https://docs.google.com/spreadsheets/d/1JtRfZkJMHtEhI5RdRHxYUG4FIZHqKDpNyIuN7A1Q0_k/edit?usp=sharing"",""พิษณุโลก!Q719"")+IMPORTRANGE(""https://docs.google.com/spreadsheets/d/1xlcVZWU"&amp;"Nn6SuWm0c307h32SiGkd9BaeQWlAktfD3KO8/edit?usp=sharing"",""เพชรบูรณ์!Q719"")+IMPORTRANGE(""https://docs.google.com/spreadsheets/d/1lOVebEIsI9qjGXl6EX66luk7wiuP2tBaryw-wKvv4e0/edit?usp=sharing"",""แพร่!Q719"")+IMPORTRANGE(""https://docs.google.com/spreadshe"&amp;"ets/d/1dQrvX0vEcN7Gu0fnZ0B5S90AeR19zth4XlExFBeExMY/edit?usp=sharing"",""แม่ฮ่องสอน!Q719"")+IMPORTRANGE(""https://docs.google.com/spreadsheets/d/1DY4XTNNwjluuxqdfdn6qvOSlMRrZqUtmYcZR0ttFiG4/edit?usp=sharing"",""ลำปาง!Q719"")+IMPORTRANGE(""https://docs.goog"&amp;"le.com/spreadsheets/d/1ICwG78r0OFT8biBlxnBF8r7she7gNSzOvJ958PWT09c/edit?usp=sharing"",""ลำพูน!Q719"")+IMPORTRANGE(""https://docs.google.com/spreadsheets/d/1B0f2xJpZUC6Z0xXnqKlZtEPzsf6L84eP1r1Q15seqRM/edit?usp=sharing"",""สุโขทัย!Q719"")+IMPORTRANGE(""http"&amp;"s://docs.google.com/spreadsheets/d/1v0b9pFQCsKUVExMei7AgY2yQkdeNQvtOssygGsXbiKo/edit?usp=sharing"",""อุตรดิตถ์!Q719"")+IMPORTRANGE(""https://docs.google.com/spreadsheets/d/1UsNK1e-WWiCo2PvGqdNfdme4m17_Ezd3J69EeeiQPD0/edit?usp=sharing"",""อุทัยธานี!Q719"")"),0)</f>
        <v>0</v>
      </c>
      <c r="R719" s="46">
        <f ca="1">IFERROR(__xludf.DUMMYFUNCTION("IMPORTRANGE(""https://docs.google.com/spreadsheets/d/1jTcq05yEiRwXcBMLjiodW9e4biSGYWAHcDj22rKWQ3s/edit?usp=sharing"",""กำแพงเพชร!R719"")+IMPORTRANGE(""https://docs.google.com/spreadsheets/d/1KS0zmDSZPk8KnTAbGN-Xk6MtX1YRZD0ldgdt20K4CRk/edit?usp=sharing"","&amp;"""เชียงราย!R719"")+IMPORTRANGE(""https://docs.google.com/spreadsheets/d/1rEDxBtusbi64tE0zunoIbsTVV16HeL0oJ6trHQeQ7K8/edit?usp=sharing"",""เชียงใหม่!R719"")+IMPORTRANGE(""https://docs.google.com/spreadsheets/d/1W6MnUbDkMi6xHnHko_XkFDO9kkuL6Wqyc-6OCDFjW9I/e"&amp;"dit?usp=sharing"",""ตาก!R719"")+IMPORTRANGE(""https://docs.google.com/spreadsheets/d/1IQAWArduLkta9LpYo4a_ULsyqdta6-6aDDiwpUnQT6c/edit?usp=sharing"",""นครสวรรค์!R719"")+IMPORTRANGE(""https://docs.google.com/spreadsheets/d/10s13Sk5xrltsiR-Zkbmk5DwIaDIKO8Xl"&amp;"bJAfqyT7Gvg/edit?usp=sharing"",""น่าน!R719"")+IMPORTRANGE(""https://docs.google.com/spreadsheets/d/1uu4nAn4Dbi1XREnLKKotUANlKXa7yCgRcgq8HEzQYW8/edit?usp=sharing"",""พะเยา!R719"")+IMPORTRANGE(""https://docs.google.com/spreadsheets/d/1xfJKIQxVOaPDIICqsflNlL"&amp;"u3JacTDk1FP9RH4phX7mI/edit?usp=sharing"",""พิจิตร!R719"")+IMPORTRANGE(""https://docs.google.com/spreadsheets/d/1JtRfZkJMHtEhI5RdRHxYUG4FIZHqKDpNyIuN7A1Q0_k/edit?usp=sharing"",""พิษณุโลก!R719"")+IMPORTRANGE(""https://docs.google.com/spreadsheets/d/1xlcVZWU"&amp;"Nn6SuWm0c307h32SiGkd9BaeQWlAktfD3KO8/edit?usp=sharing"",""เพชรบูรณ์!R719"")+IMPORTRANGE(""https://docs.google.com/spreadsheets/d/1lOVebEIsI9qjGXl6EX66luk7wiuP2tBaryw-wKvv4e0/edit?usp=sharing"",""แพร่!R719"")+IMPORTRANGE(""https://docs.google.com/spreadshe"&amp;"ets/d/1dQrvX0vEcN7Gu0fnZ0B5S90AeR19zth4XlExFBeExMY/edit?usp=sharing"",""แม่ฮ่องสอน!R719"")+IMPORTRANGE(""https://docs.google.com/spreadsheets/d/1DY4XTNNwjluuxqdfdn6qvOSlMRrZqUtmYcZR0ttFiG4/edit?usp=sharing"",""ลำปาง!R719"")+IMPORTRANGE(""https://docs.goog"&amp;"le.com/spreadsheets/d/1ICwG78r0OFT8biBlxnBF8r7she7gNSzOvJ958PWT09c/edit?usp=sharing"",""ลำพูน!R719"")+IMPORTRANGE(""https://docs.google.com/spreadsheets/d/1B0f2xJpZUC6Z0xXnqKlZtEPzsf6L84eP1r1Q15seqRM/edit?usp=sharing"",""สุโขทัย!R719"")+IMPORTRANGE(""http"&amp;"s://docs.google.com/spreadsheets/d/1v0b9pFQCsKUVExMei7AgY2yQkdeNQvtOssygGsXbiKo/edit?usp=sharing"",""อุตรดิตถ์!R719"")+IMPORTRANGE(""https://docs.google.com/spreadsheets/d/1UsNK1e-WWiCo2PvGqdNfdme4m17_Ezd3J69EeeiQPD0/edit?usp=sharing"",""อุทัยธานี!R719"")"),0)</f>
        <v>0</v>
      </c>
      <c r="S719" s="46">
        <f ca="1">IFERROR(__xludf.DUMMYFUNCTION("IMPORTRANGE(""https://docs.google.com/spreadsheets/d/1jTcq05yEiRwXcBMLjiodW9e4biSGYWAHcDj22rKWQ3s/edit?usp=sharing"",""กำแพงเพชร!S719"")+IMPORTRANGE(""https://docs.google.com/spreadsheets/d/1KS0zmDSZPk8KnTAbGN-Xk6MtX1YRZD0ldgdt20K4CRk/edit?usp=sharing"","&amp;"""เชียงราย!S719"")+IMPORTRANGE(""https://docs.google.com/spreadsheets/d/1rEDxBtusbi64tE0zunoIbsTVV16HeL0oJ6trHQeQ7K8/edit?usp=sharing"",""เชียงใหม่!S719"")+IMPORTRANGE(""https://docs.google.com/spreadsheets/d/1W6MnUbDkMi6xHnHko_XkFDO9kkuL6Wqyc-6OCDFjW9I/e"&amp;"dit?usp=sharing"",""ตาก!S719"")+IMPORTRANGE(""https://docs.google.com/spreadsheets/d/1IQAWArduLkta9LpYo4a_ULsyqdta6-6aDDiwpUnQT6c/edit?usp=sharing"",""นครสวรรค์!S719"")+IMPORTRANGE(""https://docs.google.com/spreadsheets/d/10s13Sk5xrltsiR-Zkbmk5DwIaDIKO8Xl"&amp;"bJAfqyT7Gvg/edit?usp=sharing"",""น่าน!S719"")+IMPORTRANGE(""https://docs.google.com/spreadsheets/d/1uu4nAn4Dbi1XREnLKKotUANlKXa7yCgRcgq8HEzQYW8/edit?usp=sharing"",""พะเยา!S719"")+IMPORTRANGE(""https://docs.google.com/spreadsheets/d/1xfJKIQxVOaPDIICqsflNlL"&amp;"u3JacTDk1FP9RH4phX7mI/edit?usp=sharing"",""พิจิตร!S719"")+IMPORTRANGE(""https://docs.google.com/spreadsheets/d/1JtRfZkJMHtEhI5RdRHxYUG4FIZHqKDpNyIuN7A1Q0_k/edit?usp=sharing"",""พิษณุโลก!S719"")+IMPORTRANGE(""https://docs.google.com/spreadsheets/d/1xlcVZWU"&amp;"Nn6SuWm0c307h32SiGkd9BaeQWlAktfD3KO8/edit?usp=sharing"",""เพชรบูรณ์!S719"")+IMPORTRANGE(""https://docs.google.com/spreadsheets/d/1lOVebEIsI9qjGXl6EX66luk7wiuP2tBaryw-wKvv4e0/edit?usp=sharing"",""แพร่!S719"")+IMPORTRANGE(""https://docs.google.com/spreadshe"&amp;"ets/d/1dQrvX0vEcN7Gu0fnZ0B5S90AeR19zth4XlExFBeExMY/edit?usp=sharing"",""แม่ฮ่องสอน!S719"")+IMPORTRANGE(""https://docs.google.com/spreadsheets/d/1DY4XTNNwjluuxqdfdn6qvOSlMRrZqUtmYcZR0ttFiG4/edit?usp=sharing"",""ลำปาง!S719"")+IMPORTRANGE(""https://docs.goog"&amp;"le.com/spreadsheets/d/1ICwG78r0OFT8biBlxnBF8r7she7gNSzOvJ958PWT09c/edit?usp=sharing"",""ลำพูน!S719"")+IMPORTRANGE(""https://docs.google.com/spreadsheets/d/1B0f2xJpZUC6Z0xXnqKlZtEPzsf6L84eP1r1Q15seqRM/edit?usp=sharing"",""สุโขทัย!S719"")+IMPORTRANGE(""http"&amp;"s://docs.google.com/spreadsheets/d/1v0b9pFQCsKUVExMei7AgY2yQkdeNQvtOssygGsXbiKo/edit?usp=sharing"",""อุตรดิตถ์!S719"")+IMPORTRANGE(""https://docs.google.com/spreadsheets/d/1UsNK1e-WWiCo2PvGqdNfdme4m17_Ezd3J69EeeiQPD0/edit?usp=sharing"",""อุทัยธานี!S719"")"),0)</f>
        <v>0</v>
      </c>
      <c r="T719" s="46">
        <f t="shared" ca="1" si="492"/>
        <v>0</v>
      </c>
      <c r="U719" s="46">
        <f t="shared" ca="1" si="493"/>
        <v>0</v>
      </c>
    </row>
    <row r="720" spans="1:21" ht="19.5" hidden="1" x14ac:dyDescent="0.3">
      <c r="A720" s="128"/>
      <c r="B720" s="158"/>
      <c r="C720" s="158"/>
      <c r="D720" s="376" t="s">
        <v>23</v>
      </c>
      <c r="E720" s="40"/>
      <c r="F720" s="40"/>
      <c r="G720" s="42"/>
      <c r="H720" s="377" t="s">
        <v>14</v>
      </c>
      <c r="I720" s="135"/>
      <c r="J720" s="135"/>
      <c r="K720" s="136"/>
      <c r="L720" s="46">
        <f t="shared" ref="L720:N720" ca="1" si="500">L721+L722</f>
        <v>0</v>
      </c>
      <c r="M720" s="46">
        <f t="shared" ca="1" si="500"/>
        <v>0</v>
      </c>
      <c r="N720" s="46">
        <f t="shared" ca="1" si="500"/>
        <v>0</v>
      </c>
      <c r="O720" s="46">
        <f t="shared" ca="1" si="489"/>
        <v>0</v>
      </c>
      <c r="P720" s="46">
        <f t="shared" ca="1" si="490"/>
        <v>0</v>
      </c>
      <c r="Q720" s="46">
        <f t="shared" ref="Q720:S720" ca="1" si="501">Q721+Q722</f>
        <v>0</v>
      </c>
      <c r="R720" s="46">
        <f t="shared" ca="1" si="501"/>
        <v>0</v>
      </c>
      <c r="S720" s="46">
        <f t="shared" ca="1" si="501"/>
        <v>0</v>
      </c>
      <c r="T720" s="46">
        <f t="shared" ca="1" si="492"/>
        <v>0</v>
      </c>
      <c r="U720" s="46">
        <f t="shared" ca="1" si="493"/>
        <v>0</v>
      </c>
    </row>
    <row r="721" spans="1:21" ht="18.75" hidden="1" x14ac:dyDescent="0.25">
      <c r="A721" s="128"/>
      <c r="B721" s="158"/>
      <c r="C721" s="158"/>
      <c r="D721" s="40"/>
      <c r="E721" s="156" t="s">
        <v>20</v>
      </c>
      <c r="F721" s="40"/>
      <c r="G721" s="42"/>
      <c r="H721" s="159" t="s">
        <v>14</v>
      </c>
      <c r="I721" s="135"/>
      <c r="J721" s="135"/>
      <c r="K721" s="136"/>
      <c r="L721" s="48">
        <f ca="1">IFERROR(__xludf.DUMMYFUNCTION("IMPORTRANGE(""https://docs.google.com/spreadsheets/d/1jTcq05yEiRwXcBMLjiodW9e4biSGYWAHcDj22rKWQ3s/edit?usp=sharing"",""กำแพงเพชร!L721"")+IMPORTRANGE(""https://docs.google.com/spreadsheets/d/1KS0zmDSZPk8KnTAbGN-Xk6MtX1YRZD0ldgdt20K4CRk/edit?usp=sharing"","&amp;"""เชียงราย!L721"")+IMPORTRANGE(""https://docs.google.com/spreadsheets/d/1rEDxBtusbi64tE0zunoIbsTVV16HeL0oJ6trHQeQ7K8/edit?usp=sharing"",""เชียงใหม่!L721"")+IMPORTRANGE(""https://docs.google.com/spreadsheets/d/1W6MnUbDkMi6xHnHko_XkFDO9kkuL6Wqyc-6OCDFjW9I/e"&amp;"dit?usp=sharing"",""ตาก!L721"")+IMPORTRANGE(""https://docs.google.com/spreadsheets/d/1IQAWArduLkta9LpYo4a_ULsyqdta6-6aDDiwpUnQT6c/edit?usp=sharing"",""นครสวรรค์!L721"")+IMPORTRANGE(""https://docs.google.com/spreadsheets/d/10s13Sk5xrltsiR-Zkbmk5DwIaDIKO8Xl"&amp;"bJAfqyT7Gvg/edit?usp=sharing"",""น่าน!L721"")+IMPORTRANGE(""https://docs.google.com/spreadsheets/d/1uu4nAn4Dbi1XREnLKKotUANlKXa7yCgRcgq8HEzQYW8/edit?usp=sharing"",""พะเยา!L721"")+IMPORTRANGE(""https://docs.google.com/spreadsheets/d/1xfJKIQxVOaPDIICqsflNlL"&amp;"u3JacTDk1FP9RH4phX7mI/edit?usp=sharing"",""พิจิตร!L721"")+IMPORTRANGE(""https://docs.google.com/spreadsheets/d/1JtRfZkJMHtEhI5RdRHxYUG4FIZHqKDpNyIuN7A1Q0_k/edit?usp=sharing"",""พิษณุโลก!L721"")+IMPORTRANGE(""https://docs.google.com/spreadsheets/d/1xlcVZWU"&amp;"Nn6SuWm0c307h32SiGkd9BaeQWlAktfD3KO8/edit?usp=sharing"",""เพชรบูรณ์!L721"")+IMPORTRANGE(""https://docs.google.com/spreadsheets/d/1lOVebEIsI9qjGXl6EX66luk7wiuP2tBaryw-wKvv4e0/edit?usp=sharing"",""แพร่!L721"")+IMPORTRANGE(""https://docs.google.com/spreadshe"&amp;"ets/d/1dQrvX0vEcN7Gu0fnZ0B5S90AeR19zth4XlExFBeExMY/edit?usp=sharing"",""แม่ฮ่องสอน!L721"")+IMPORTRANGE(""https://docs.google.com/spreadsheets/d/1DY4XTNNwjluuxqdfdn6qvOSlMRrZqUtmYcZR0ttFiG4/edit?usp=sharing"",""ลำปาง!L721"")+IMPORTRANGE(""https://docs.goog"&amp;"le.com/spreadsheets/d/1ICwG78r0OFT8biBlxnBF8r7she7gNSzOvJ958PWT09c/edit?usp=sharing"",""ลำพูน!L721"")+IMPORTRANGE(""https://docs.google.com/spreadsheets/d/1B0f2xJpZUC6Z0xXnqKlZtEPzsf6L84eP1r1Q15seqRM/edit?usp=sharing"",""สุโขทัย!L721"")+IMPORTRANGE(""http"&amp;"s://docs.google.com/spreadsheets/d/1v0b9pFQCsKUVExMei7AgY2yQkdeNQvtOssygGsXbiKo/edit?usp=sharing"",""อุตรดิตถ์!L721"")+IMPORTRANGE(""https://docs.google.com/spreadsheets/d/1UsNK1e-WWiCo2PvGqdNfdme4m17_Ezd3J69EeeiQPD0/edit?usp=sharing"",""อุทัยธานี!L721"")"),0)</f>
        <v>0</v>
      </c>
      <c r="M721" s="48">
        <f ca="1">IFERROR(__xludf.DUMMYFUNCTION("IMPORTRANGE(""https://docs.google.com/spreadsheets/d/1jTcq05yEiRwXcBMLjiodW9e4biSGYWAHcDj22rKWQ3s/edit?usp=sharing"",""กำแพงเพชร!M721"")+IMPORTRANGE(""https://docs.google.com/spreadsheets/d/1KS0zmDSZPk8KnTAbGN-Xk6MtX1YRZD0ldgdt20K4CRk/edit?usp=sharing"","&amp;"""เชียงราย!M721"")+IMPORTRANGE(""https://docs.google.com/spreadsheets/d/1rEDxBtusbi64tE0zunoIbsTVV16HeL0oJ6trHQeQ7K8/edit?usp=sharing"",""เชียงใหม่!M721"")+IMPORTRANGE(""https://docs.google.com/spreadsheets/d/1W6MnUbDkMi6xHnHko_XkFDO9kkuL6Wqyc-6OCDFjW9I/e"&amp;"dit?usp=sharing"",""ตาก!M721"")+IMPORTRANGE(""https://docs.google.com/spreadsheets/d/1IQAWArduLkta9LpYo4a_ULsyqdta6-6aDDiwpUnQT6c/edit?usp=sharing"",""นครสวรรค์!M721"")+IMPORTRANGE(""https://docs.google.com/spreadsheets/d/10s13Sk5xrltsiR-Zkbmk5DwIaDIKO8Xl"&amp;"bJAfqyT7Gvg/edit?usp=sharing"",""น่าน!M721"")+IMPORTRANGE(""https://docs.google.com/spreadsheets/d/1uu4nAn4Dbi1XREnLKKotUANlKXa7yCgRcgq8HEzQYW8/edit?usp=sharing"",""พะเยา!M721"")+IMPORTRANGE(""https://docs.google.com/spreadsheets/d/1xfJKIQxVOaPDIICqsflNlL"&amp;"u3JacTDk1FP9RH4phX7mI/edit?usp=sharing"",""พิจิตร!M721"")+IMPORTRANGE(""https://docs.google.com/spreadsheets/d/1JtRfZkJMHtEhI5RdRHxYUG4FIZHqKDpNyIuN7A1Q0_k/edit?usp=sharing"",""พิษณุโลก!M721"")+IMPORTRANGE(""https://docs.google.com/spreadsheets/d/1xlcVZWU"&amp;"Nn6SuWm0c307h32SiGkd9BaeQWlAktfD3KO8/edit?usp=sharing"",""เพชรบูรณ์!M721"")+IMPORTRANGE(""https://docs.google.com/spreadsheets/d/1lOVebEIsI9qjGXl6EX66luk7wiuP2tBaryw-wKvv4e0/edit?usp=sharing"",""แพร่!M721"")+IMPORTRANGE(""https://docs.google.com/spreadshe"&amp;"ets/d/1dQrvX0vEcN7Gu0fnZ0B5S90AeR19zth4XlExFBeExMY/edit?usp=sharing"",""แม่ฮ่องสอน!M721"")+IMPORTRANGE(""https://docs.google.com/spreadsheets/d/1DY4XTNNwjluuxqdfdn6qvOSlMRrZqUtmYcZR0ttFiG4/edit?usp=sharing"",""ลำปาง!M721"")+IMPORTRANGE(""https://docs.goog"&amp;"le.com/spreadsheets/d/1ICwG78r0OFT8biBlxnBF8r7she7gNSzOvJ958PWT09c/edit?usp=sharing"",""ลำพูน!M721"")+IMPORTRANGE(""https://docs.google.com/spreadsheets/d/1B0f2xJpZUC6Z0xXnqKlZtEPzsf6L84eP1r1Q15seqRM/edit?usp=sharing"",""สุโขทัย!M721"")+IMPORTRANGE(""http"&amp;"s://docs.google.com/spreadsheets/d/1v0b9pFQCsKUVExMei7AgY2yQkdeNQvtOssygGsXbiKo/edit?usp=sharing"",""อุตรดิตถ์!M721"")+IMPORTRANGE(""https://docs.google.com/spreadsheets/d/1UsNK1e-WWiCo2PvGqdNfdme4m17_Ezd3J69EeeiQPD0/edit?usp=sharing"",""อุทัยธานี!M721"")"),0)</f>
        <v>0</v>
      </c>
      <c r="N721" s="48">
        <f ca="1">IFERROR(__xludf.DUMMYFUNCTION("IMPORTRANGE(""https://docs.google.com/spreadsheets/d/1jTcq05yEiRwXcBMLjiodW9e4biSGYWAHcDj22rKWQ3s/edit?usp=sharing"",""กำแพงเพชร!N721"")+IMPORTRANGE(""https://docs.google.com/spreadsheets/d/1KS0zmDSZPk8KnTAbGN-Xk6MtX1YRZD0ldgdt20K4CRk/edit?usp=sharing"","&amp;"""เชียงราย!N721"")+IMPORTRANGE(""https://docs.google.com/spreadsheets/d/1rEDxBtusbi64tE0zunoIbsTVV16HeL0oJ6trHQeQ7K8/edit?usp=sharing"",""เชียงใหม่!N721"")+IMPORTRANGE(""https://docs.google.com/spreadsheets/d/1W6MnUbDkMi6xHnHko_XkFDO9kkuL6Wqyc-6OCDFjW9I/e"&amp;"dit?usp=sharing"",""ตาก!N721"")+IMPORTRANGE(""https://docs.google.com/spreadsheets/d/1IQAWArduLkta9LpYo4a_ULsyqdta6-6aDDiwpUnQT6c/edit?usp=sharing"",""นครสวรรค์!N721"")+IMPORTRANGE(""https://docs.google.com/spreadsheets/d/10s13Sk5xrltsiR-Zkbmk5DwIaDIKO8Xl"&amp;"bJAfqyT7Gvg/edit?usp=sharing"",""น่าน!N721"")+IMPORTRANGE(""https://docs.google.com/spreadsheets/d/1uu4nAn4Dbi1XREnLKKotUANlKXa7yCgRcgq8HEzQYW8/edit?usp=sharing"",""พะเยา!N721"")+IMPORTRANGE(""https://docs.google.com/spreadsheets/d/1xfJKIQxVOaPDIICqsflNlL"&amp;"u3JacTDk1FP9RH4phX7mI/edit?usp=sharing"",""พิจิตร!N721"")+IMPORTRANGE(""https://docs.google.com/spreadsheets/d/1JtRfZkJMHtEhI5RdRHxYUG4FIZHqKDpNyIuN7A1Q0_k/edit?usp=sharing"",""พิษณุโลก!N721"")+IMPORTRANGE(""https://docs.google.com/spreadsheets/d/1xlcVZWU"&amp;"Nn6SuWm0c307h32SiGkd9BaeQWlAktfD3KO8/edit?usp=sharing"",""เพชรบูรณ์!N721"")+IMPORTRANGE(""https://docs.google.com/spreadsheets/d/1lOVebEIsI9qjGXl6EX66luk7wiuP2tBaryw-wKvv4e0/edit?usp=sharing"",""แพร่!N721"")+IMPORTRANGE(""https://docs.google.com/spreadshe"&amp;"ets/d/1dQrvX0vEcN7Gu0fnZ0B5S90AeR19zth4XlExFBeExMY/edit?usp=sharing"",""แม่ฮ่องสอน!N721"")+IMPORTRANGE(""https://docs.google.com/spreadsheets/d/1DY4XTNNwjluuxqdfdn6qvOSlMRrZqUtmYcZR0ttFiG4/edit?usp=sharing"",""ลำปาง!N721"")+IMPORTRANGE(""https://docs.goog"&amp;"le.com/spreadsheets/d/1ICwG78r0OFT8biBlxnBF8r7she7gNSzOvJ958PWT09c/edit?usp=sharing"",""ลำพูน!N721"")+IMPORTRANGE(""https://docs.google.com/spreadsheets/d/1B0f2xJpZUC6Z0xXnqKlZtEPzsf6L84eP1r1Q15seqRM/edit?usp=sharing"",""สุโขทัย!N721"")+IMPORTRANGE(""http"&amp;"s://docs.google.com/spreadsheets/d/1v0b9pFQCsKUVExMei7AgY2yQkdeNQvtOssygGsXbiKo/edit?usp=sharing"",""อุตรดิตถ์!N721"")+IMPORTRANGE(""https://docs.google.com/spreadsheets/d/1UsNK1e-WWiCo2PvGqdNfdme4m17_Ezd3J69EeeiQPD0/edit?usp=sharing"",""อุทัยธานี!N721"")"),0)</f>
        <v>0</v>
      </c>
      <c r="O721" s="48">
        <f t="shared" ca="1" si="489"/>
        <v>0</v>
      </c>
      <c r="P721" s="48">
        <f t="shared" ca="1" si="490"/>
        <v>0</v>
      </c>
      <c r="Q721" s="48">
        <f ca="1">IFERROR(__xludf.DUMMYFUNCTION("IMPORTRANGE(""https://docs.google.com/spreadsheets/d/1jTcq05yEiRwXcBMLjiodW9e4biSGYWAHcDj22rKWQ3s/edit?usp=sharing"",""กำแพงเพชร!Q721"")+IMPORTRANGE(""https://docs.google.com/spreadsheets/d/1KS0zmDSZPk8KnTAbGN-Xk6MtX1YRZD0ldgdt20K4CRk/edit?usp=sharing"","&amp;"""เชียงราย!Q721"")+IMPORTRANGE(""https://docs.google.com/spreadsheets/d/1rEDxBtusbi64tE0zunoIbsTVV16HeL0oJ6trHQeQ7K8/edit?usp=sharing"",""เชียงใหม่!Q721"")+IMPORTRANGE(""https://docs.google.com/spreadsheets/d/1W6MnUbDkMi6xHnHko_XkFDO9kkuL6Wqyc-6OCDFjW9I/e"&amp;"dit?usp=sharing"",""ตาก!Q721"")+IMPORTRANGE(""https://docs.google.com/spreadsheets/d/1IQAWArduLkta9LpYo4a_ULsyqdta6-6aDDiwpUnQT6c/edit?usp=sharing"",""นครสวรรค์!Q721"")+IMPORTRANGE(""https://docs.google.com/spreadsheets/d/10s13Sk5xrltsiR-Zkbmk5DwIaDIKO8Xl"&amp;"bJAfqyT7Gvg/edit?usp=sharing"",""น่าน!Q721"")+IMPORTRANGE(""https://docs.google.com/spreadsheets/d/1uu4nAn4Dbi1XREnLKKotUANlKXa7yCgRcgq8HEzQYW8/edit?usp=sharing"",""พะเยา!Q721"")+IMPORTRANGE(""https://docs.google.com/spreadsheets/d/1xfJKIQxVOaPDIICqsflNlL"&amp;"u3JacTDk1FP9RH4phX7mI/edit?usp=sharing"",""พิจิตร!Q721"")+IMPORTRANGE(""https://docs.google.com/spreadsheets/d/1JtRfZkJMHtEhI5RdRHxYUG4FIZHqKDpNyIuN7A1Q0_k/edit?usp=sharing"",""พิษณุโลก!Q721"")+IMPORTRANGE(""https://docs.google.com/spreadsheets/d/1xlcVZWU"&amp;"Nn6SuWm0c307h32SiGkd9BaeQWlAktfD3KO8/edit?usp=sharing"",""เพชรบูรณ์!Q721"")+IMPORTRANGE(""https://docs.google.com/spreadsheets/d/1lOVebEIsI9qjGXl6EX66luk7wiuP2tBaryw-wKvv4e0/edit?usp=sharing"",""แพร่!Q721"")+IMPORTRANGE(""https://docs.google.com/spreadshe"&amp;"ets/d/1dQrvX0vEcN7Gu0fnZ0B5S90AeR19zth4XlExFBeExMY/edit?usp=sharing"",""แม่ฮ่องสอน!Q721"")+IMPORTRANGE(""https://docs.google.com/spreadsheets/d/1DY4XTNNwjluuxqdfdn6qvOSlMRrZqUtmYcZR0ttFiG4/edit?usp=sharing"",""ลำปาง!Q721"")+IMPORTRANGE(""https://docs.goog"&amp;"le.com/spreadsheets/d/1ICwG78r0OFT8biBlxnBF8r7she7gNSzOvJ958PWT09c/edit?usp=sharing"",""ลำพูน!Q721"")+IMPORTRANGE(""https://docs.google.com/spreadsheets/d/1B0f2xJpZUC6Z0xXnqKlZtEPzsf6L84eP1r1Q15seqRM/edit?usp=sharing"",""สุโขทัย!Q721"")+IMPORTRANGE(""http"&amp;"s://docs.google.com/spreadsheets/d/1v0b9pFQCsKUVExMei7AgY2yQkdeNQvtOssygGsXbiKo/edit?usp=sharing"",""อุตรดิตถ์!Q721"")+IMPORTRANGE(""https://docs.google.com/spreadsheets/d/1UsNK1e-WWiCo2PvGqdNfdme4m17_Ezd3J69EeeiQPD0/edit?usp=sharing"",""อุทัยธานี!Q721"")"),0)</f>
        <v>0</v>
      </c>
      <c r="R721" s="48">
        <f ca="1">IFERROR(__xludf.DUMMYFUNCTION("IMPORTRANGE(""https://docs.google.com/spreadsheets/d/1jTcq05yEiRwXcBMLjiodW9e4biSGYWAHcDj22rKWQ3s/edit?usp=sharing"",""กำแพงเพชร!R721"")+IMPORTRANGE(""https://docs.google.com/spreadsheets/d/1KS0zmDSZPk8KnTAbGN-Xk6MtX1YRZD0ldgdt20K4CRk/edit?usp=sharing"","&amp;"""เชียงราย!R721"")+IMPORTRANGE(""https://docs.google.com/spreadsheets/d/1rEDxBtusbi64tE0zunoIbsTVV16HeL0oJ6trHQeQ7K8/edit?usp=sharing"",""เชียงใหม่!R721"")+IMPORTRANGE(""https://docs.google.com/spreadsheets/d/1W6MnUbDkMi6xHnHko_XkFDO9kkuL6Wqyc-6OCDFjW9I/e"&amp;"dit?usp=sharing"",""ตาก!R721"")+IMPORTRANGE(""https://docs.google.com/spreadsheets/d/1IQAWArduLkta9LpYo4a_ULsyqdta6-6aDDiwpUnQT6c/edit?usp=sharing"",""นครสวรรค์!R721"")+IMPORTRANGE(""https://docs.google.com/spreadsheets/d/10s13Sk5xrltsiR-Zkbmk5DwIaDIKO8Xl"&amp;"bJAfqyT7Gvg/edit?usp=sharing"",""น่าน!R721"")+IMPORTRANGE(""https://docs.google.com/spreadsheets/d/1uu4nAn4Dbi1XREnLKKotUANlKXa7yCgRcgq8HEzQYW8/edit?usp=sharing"",""พะเยา!R721"")+IMPORTRANGE(""https://docs.google.com/spreadsheets/d/1xfJKIQxVOaPDIICqsflNlL"&amp;"u3JacTDk1FP9RH4phX7mI/edit?usp=sharing"",""พิจิตร!R721"")+IMPORTRANGE(""https://docs.google.com/spreadsheets/d/1JtRfZkJMHtEhI5RdRHxYUG4FIZHqKDpNyIuN7A1Q0_k/edit?usp=sharing"",""พิษณุโลก!R721"")+IMPORTRANGE(""https://docs.google.com/spreadsheets/d/1xlcVZWU"&amp;"Nn6SuWm0c307h32SiGkd9BaeQWlAktfD3KO8/edit?usp=sharing"",""เพชรบูรณ์!R721"")+IMPORTRANGE(""https://docs.google.com/spreadsheets/d/1lOVebEIsI9qjGXl6EX66luk7wiuP2tBaryw-wKvv4e0/edit?usp=sharing"",""แพร่!R721"")+IMPORTRANGE(""https://docs.google.com/spreadshe"&amp;"ets/d/1dQrvX0vEcN7Gu0fnZ0B5S90AeR19zth4XlExFBeExMY/edit?usp=sharing"",""แม่ฮ่องสอน!R721"")+IMPORTRANGE(""https://docs.google.com/spreadsheets/d/1DY4XTNNwjluuxqdfdn6qvOSlMRrZqUtmYcZR0ttFiG4/edit?usp=sharing"",""ลำปาง!R721"")+IMPORTRANGE(""https://docs.goog"&amp;"le.com/spreadsheets/d/1ICwG78r0OFT8biBlxnBF8r7she7gNSzOvJ958PWT09c/edit?usp=sharing"",""ลำพูน!R721"")+IMPORTRANGE(""https://docs.google.com/spreadsheets/d/1B0f2xJpZUC6Z0xXnqKlZtEPzsf6L84eP1r1Q15seqRM/edit?usp=sharing"",""สุโขทัย!R721"")+IMPORTRANGE(""http"&amp;"s://docs.google.com/spreadsheets/d/1v0b9pFQCsKUVExMei7AgY2yQkdeNQvtOssygGsXbiKo/edit?usp=sharing"",""อุตรดิตถ์!R721"")+IMPORTRANGE(""https://docs.google.com/spreadsheets/d/1UsNK1e-WWiCo2PvGqdNfdme4m17_Ezd3J69EeeiQPD0/edit?usp=sharing"",""อุทัยธานี!R721"")"),0)</f>
        <v>0</v>
      </c>
      <c r="S721" s="48">
        <f ca="1">IFERROR(__xludf.DUMMYFUNCTION("IMPORTRANGE(""https://docs.google.com/spreadsheets/d/1jTcq05yEiRwXcBMLjiodW9e4biSGYWAHcDj22rKWQ3s/edit?usp=sharing"",""กำแพงเพชร!S721"")+IMPORTRANGE(""https://docs.google.com/spreadsheets/d/1KS0zmDSZPk8KnTAbGN-Xk6MtX1YRZD0ldgdt20K4CRk/edit?usp=sharing"","&amp;"""เชียงราย!S721"")+IMPORTRANGE(""https://docs.google.com/spreadsheets/d/1rEDxBtusbi64tE0zunoIbsTVV16HeL0oJ6trHQeQ7K8/edit?usp=sharing"",""เชียงใหม่!S721"")+IMPORTRANGE(""https://docs.google.com/spreadsheets/d/1W6MnUbDkMi6xHnHko_XkFDO9kkuL6Wqyc-6OCDFjW9I/e"&amp;"dit?usp=sharing"",""ตาก!S721"")+IMPORTRANGE(""https://docs.google.com/spreadsheets/d/1IQAWArduLkta9LpYo4a_ULsyqdta6-6aDDiwpUnQT6c/edit?usp=sharing"",""นครสวรรค์!S721"")+IMPORTRANGE(""https://docs.google.com/spreadsheets/d/10s13Sk5xrltsiR-Zkbmk5DwIaDIKO8Xl"&amp;"bJAfqyT7Gvg/edit?usp=sharing"",""น่าน!S721"")+IMPORTRANGE(""https://docs.google.com/spreadsheets/d/1uu4nAn4Dbi1XREnLKKotUANlKXa7yCgRcgq8HEzQYW8/edit?usp=sharing"",""พะเยา!S721"")+IMPORTRANGE(""https://docs.google.com/spreadsheets/d/1xfJKIQxVOaPDIICqsflNlL"&amp;"u3JacTDk1FP9RH4phX7mI/edit?usp=sharing"",""พิจิตร!S721"")+IMPORTRANGE(""https://docs.google.com/spreadsheets/d/1JtRfZkJMHtEhI5RdRHxYUG4FIZHqKDpNyIuN7A1Q0_k/edit?usp=sharing"",""พิษณุโลก!S721"")+IMPORTRANGE(""https://docs.google.com/spreadsheets/d/1xlcVZWU"&amp;"Nn6SuWm0c307h32SiGkd9BaeQWlAktfD3KO8/edit?usp=sharing"",""เพชรบูรณ์!S721"")+IMPORTRANGE(""https://docs.google.com/spreadsheets/d/1lOVebEIsI9qjGXl6EX66luk7wiuP2tBaryw-wKvv4e0/edit?usp=sharing"",""แพร่!S721"")+IMPORTRANGE(""https://docs.google.com/spreadshe"&amp;"ets/d/1dQrvX0vEcN7Gu0fnZ0B5S90AeR19zth4XlExFBeExMY/edit?usp=sharing"",""แม่ฮ่องสอน!S721"")+IMPORTRANGE(""https://docs.google.com/spreadsheets/d/1DY4XTNNwjluuxqdfdn6qvOSlMRrZqUtmYcZR0ttFiG4/edit?usp=sharing"",""ลำปาง!S721"")+IMPORTRANGE(""https://docs.goog"&amp;"le.com/spreadsheets/d/1ICwG78r0OFT8biBlxnBF8r7she7gNSzOvJ958PWT09c/edit?usp=sharing"",""ลำพูน!S721"")+IMPORTRANGE(""https://docs.google.com/spreadsheets/d/1B0f2xJpZUC6Z0xXnqKlZtEPzsf6L84eP1r1Q15seqRM/edit?usp=sharing"",""สุโขทัย!S721"")+IMPORTRANGE(""http"&amp;"s://docs.google.com/spreadsheets/d/1v0b9pFQCsKUVExMei7AgY2yQkdeNQvtOssygGsXbiKo/edit?usp=sharing"",""อุตรดิตถ์!S721"")+IMPORTRANGE(""https://docs.google.com/spreadsheets/d/1UsNK1e-WWiCo2PvGqdNfdme4m17_Ezd3J69EeeiQPD0/edit?usp=sharing"",""อุทัยธานี!S721"")"),0)</f>
        <v>0</v>
      </c>
      <c r="T721" s="48">
        <f t="shared" ca="1" si="492"/>
        <v>0</v>
      </c>
      <c r="U721" s="48">
        <f t="shared" ca="1" si="493"/>
        <v>0</v>
      </c>
    </row>
    <row r="722" spans="1:21" ht="18.75" hidden="1" x14ac:dyDescent="0.25">
      <c r="A722" s="128"/>
      <c r="B722" s="158"/>
      <c r="C722" s="158"/>
      <c r="D722" s="40"/>
      <c r="E722" s="156" t="s">
        <v>21</v>
      </c>
      <c r="F722" s="40"/>
      <c r="G722" s="42"/>
      <c r="H722" s="378" t="s">
        <v>14</v>
      </c>
      <c r="I722" s="135"/>
      <c r="J722" s="135"/>
      <c r="K722" s="136"/>
      <c r="L722" s="46">
        <f ca="1">IFERROR(__xludf.DUMMYFUNCTION("IMPORTRANGE(""https://docs.google.com/spreadsheets/d/1jTcq05yEiRwXcBMLjiodW9e4biSGYWAHcDj22rKWQ3s/edit?usp=sharing"",""กำแพงเพชร!L722"")+IMPORTRANGE(""https://docs.google.com/spreadsheets/d/1KS0zmDSZPk8KnTAbGN-Xk6MtX1YRZD0ldgdt20K4CRk/edit?usp=sharing"","&amp;"""เชียงราย!L722"")+IMPORTRANGE(""https://docs.google.com/spreadsheets/d/1rEDxBtusbi64tE0zunoIbsTVV16HeL0oJ6trHQeQ7K8/edit?usp=sharing"",""เชียงใหม่!L722"")+IMPORTRANGE(""https://docs.google.com/spreadsheets/d/1W6MnUbDkMi6xHnHko_XkFDO9kkuL6Wqyc-6OCDFjW9I/e"&amp;"dit?usp=sharing"",""ตาก!L722"")+IMPORTRANGE(""https://docs.google.com/spreadsheets/d/1IQAWArduLkta9LpYo4a_ULsyqdta6-6aDDiwpUnQT6c/edit?usp=sharing"",""นครสวรรค์!L722"")+IMPORTRANGE(""https://docs.google.com/spreadsheets/d/10s13Sk5xrltsiR-Zkbmk5DwIaDIKO8Xl"&amp;"bJAfqyT7Gvg/edit?usp=sharing"",""น่าน!L722"")+IMPORTRANGE(""https://docs.google.com/spreadsheets/d/1uu4nAn4Dbi1XREnLKKotUANlKXa7yCgRcgq8HEzQYW8/edit?usp=sharing"",""พะเยา!L722"")+IMPORTRANGE(""https://docs.google.com/spreadsheets/d/1xfJKIQxVOaPDIICqsflNlL"&amp;"u3JacTDk1FP9RH4phX7mI/edit?usp=sharing"",""พิจิตร!L722"")+IMPORTRANGE(""https://docs.google.com/spreadsheets/d/1JtRfZkJMHtEhI5RdRHxYUG4FIZHqKDpNyIuN7A1Q0_k/edit?usp=sharing"",""พิษณุโลก!L722"")+IMPORTRANGE(""https://docs.google.com/spreadsheets/d/1xlcVZWU"&amp;"Nn6SuWm0c307h32SiGkd9BaeQWlAktfD3KO8/edit?usp=sharing"",""เพชรบูรณ์!L722"")+IMPORTRANGE(""https://docs.google.com/spreadsheets/d/1lOVebEIsI9qjGXl6EX66luk7wiuP2tBaryw-wKvv4e0/edit?usp=sharing"",""แพร่!L722"")+IMPORTRANGE(""https://docs.google.com/spreadshe"&amp;"ets/d/1dQrvX0vEcN7Gu0fnZ0B5S90AeR19zth4XlExFBeExMY/edit?usp=sharing"",""แม่ฮ่องสอน!L722"")+IMPORTRANGE(""https://docs.google.com/spreadsheets/d/1DY4XTNNwjluuxqdfdn6qvOSlMRrZqUtmYcZR0ttFiG4/edit?usp=sharing"",""ลำปาง!L722"")+IMPORTRANGE(""https://docs.goog"&amp;"le.com/spreadsheets/d/1ICwG78r0OFT8biBlxnBF8r7she7gNSzOvJ958PWT09c/edit?usp=sharing"",""ลำพูน!L722"")+IMPORTRANGE(""https://docs.google.com/spreadsheets/d/1B0f2xJpZUC6Z0xXnqKlZtEPzsf6L84eP1r1Q15seqRM/edit?usp=sharing"",""สุโขทัย!L722"")+IMPORTRANGE(""http"&amp;"s://docs.google.com/spreadsheets/d/1v0b9pFQCsKUVExMei7AgY2yQkdeNQvtOssygGsXbiKo/edit?usp=sharing"",""อุตรดิตถ์!L722"")+IMPORTRANGE(""https://docs.google.com/spreadsheets/d/1UsNK1e-WWiCo2PvGqdNfdme4m17_Ezd3J69EeeiQPD0/edit?usp=sharing"",""อุทัยธานี!L722"")"),0)</f>
        <v>0</v>
      </c>
      <c r="M722" s="46">
        <f ca="1">IFERROR(__xludf.DUMMYFUNCTION("IMPORTRANGE(""https://docs.google.com/spreadsheets/d/1jTcq05yEiRwXcBMLjiodW9e4biSGYWAHcDj22rKWQ3s/edit?usp=sharing"",""กำแพงเพชร!M722"")+IMPORTRANGE(""https://docs.google.com/spreadsheets/d/1KS0zmDSZPk8KnTAbGN-Xk6MtX1YRZD0ldgdt20K4CRk/edit?usp=sharing"","&amp;"""เชียงราย!M722"")+IMPORTRANGE(""https://docs.google.com/spreadsheets/d/1rEDxBtusbi64tE0zunoIbsTVV16HeL0oJ6trHQeQ7K8/edit?usp=sharing"",""เชียงใหม่!M722"")+IMPORTRANGE(""https://docs.google.com/spreadsheets/d/1W6MnUbDkMi6xHnHko_XkFDO9kkuL6Wqyc-6OCDFjW9I/e"&amp;"dit?usp=sharing"",""ตาก!M722"")+IMPORTRANGE(""https://docs.google.com/spreadsheets/d/1IQAWArduLkta9LpYo4a_ULsyqdta6-6aDDiwpUnQT6c/edit?usp=sharing"",""นครสวรรค์!M722"")+IMPORTRANGE(""https://docs.google.com/spreadsheets/d/10s13Sk5xrltsiR-Zkbmk5DwIaDIKO8Xl"&amp;"bJAfqyT7Gvg/edit?usp=sharing"",""น่าน!M722"")+IMPORTRANGE(""https://docs.google.com/spreadsheets/d/1uu4nAn4Dbi1XREnLKKotUANlKXa7yCgRcgq8HEzQYW8/edit?usp=sharing"",""พะเยา!M722"")+IMPORTRANGE(""https://docs.google.com/spreadsheets/d/1xfJKIQxVOaPDIICqsflNlL"&amp;"u3JacTDk1FP9RH4phX7mI/edit?usp=sharing"",""พิจิตร!M722"")+IMPORTRANGE(""https://docs.google.com/spreadsheets/d/1JtRfZkJMHtEhI5RdRHxYUG4FIZHqKDpNyIuN7A1Q0_k/edit?usp=sharing"",""พิษณุโลก!M722"")+IMPORTRANGE(""https://docs.google.com/spreadsheets/d/1xlcVZWU"&amp;"Nn6SuWm0c307h32SiGkd9BaeQWlAktfD3KO8/edit?usp=sharing"",""เพชรบูรณ์!M722"")+IMPORTRANGE(""https://docs.google.com/spreadsheets/d/1lOVebEIsI9qjGXl6EX66luk7wiuP2tBaryw-wKvv4e0/edit?usp=sharing"",""แพร่!M722"")+IMPORTRANGE(""https://docs.google.com/spreadshe"&amp;"ets/d/1dQrvX0vEcN7Gu0fnZ0B5S90AeR19zth4XlExFBeExMY/edit?usp=sharing"",""แม่ฮ่องสอน!M722"")+IMPORTRANGE(""https://docs.google.com/spreadsheets/d/1DY4XTNNwjluuxqdfdn6qvOSlMRrZqUtmYcZR0ttFiG4/edit?usp=sharing"",""ลำปาง!M722"")+IMPORTRANGE(""https://docs.goog"&amp;"le.com/spreadsheets/d/1ICwG78r0OFT8biBlxnBF8r7she7gNSzOvJ958PWT09c/edit?usp=sharing"",""ลำพูน!M722"")+IMPORTRANGE(""https://docs.google.com/spreadsheets/d/1B0f2xJpZUC6Z0xXnqKlZtEPzsf6L84eP1r1Q15seqRM/edit?usp=sharing"",""สุโขทัย!M722"")+IMPORTRANGE(""http"&amp;"s://docs.google.com/spreadsheets/d/1v0b9pFQCsKUVExMei7AgY2yQkdeNQvtOssygGsXbiKo/edit?usp=sharing"",""อุตรดิตถ์!M722"")+IMPORTRANGE(""https://docs.google.com/spreadsheets/d/1UsNK1e-WWiCo2PvGqdNfdme4m17_Ezd3J69EeeiQPD0/edit?usp=sharing"",""อุทัยธานี!M722"")"),0)</f>
        <v>0</v>
      </c>
      <c r="N722" s="46">
        <f ca="1">IFERROR(__xludf.DUMMYFUNCTION("IMPORTRANGE(""https://docs.google.com/spreadsheets/d/1jTcq05yEiRwXcBMLjiodW9e4biSGYWAHcDj22rKWQ3s/edit?usp=sharing"",""กำแพงเพชร!N722"")+IMPORTRANGE(""https://docs.google.com/spreadsheets/d/1KS0zmDSZPk8KnTAbGN-Xk6MtX1YRZD0ldgdt20K4CRk/edit?usp=sharing"","&amp;"""เชียงราย!N722"")+IMPORTRANGE(""https://docs.google.com/spreadsheets/d/1rEDxBtusbi64tE0zunoIbsTVV16HeL0oJ6trHQeQ7K8/edit?usp=sharing"",""เชียงใหม่!N722"")+IMPORTRANGE(""https://docs.google.com/spreadsheets/d/1W6MnUbDkMi6xHnHko_XkFDO9kkuL6Wqyc-6OCDFjW9I/e"&amp;"dit?usp=sharing"",""ตาก!N722"")+IMPORTRANGE(""https://docs.google.com/spreadsheets/d/1IQAWArduLkta9LpYo4a_ULsyqdta6-6aDDiwpUnQT6c/edit?usp=sharing"",""นครสวรรค์!N722"")+IMPORTRANGE(""https://docs.google.com/spreadsheets/d/10s13Sk5xrltsiR-Zkbmk5DwIaDIKO8Xl"&amp;"bJAfqyT7Gvg/edit?usp=sharing"",""น่าน!N722"")+IMPORTRANGE(""https://docs.google.com/spreadsheets/d/1uu4nAn4Dbi1XREnLKKotUANlKXa7yCgRcgq8HEzQYW8/edit?usp=sharing"",""พะเยา!N722"")+IMPORTRANGE(""https://docs.google.com/spreadsheets/d/1xfJKIQxVOaPDIICqsflNlL"&amp;"u3JacTDk1FP9RH4phX7mI/edit?usp=sharing"",""พิจิตร!N722"")+IMPORTRANGE(""https://docs.google.com/spreadsheets/d/1JtRfZkJMHtEhI5RdRHxYUG4FIZHqKDpNyIuN7A1Q0_k/edit?usp=sharing"",""พิษณุโลก!N722"")+IMPORTRANGE(""https://docs.google.com/spreadsheets/d/1xlcVZWU"&amp;"Nn6SuWm0c307h32SiGkd9BaeQWlAktfD3KO8/edit?usp=sharing"",""เพชรบูรณ์!N722"")+IMPORTRANGE(""https://docs.google.com/spreadsheets/d/1lOVebEIsI9qjGXl6EX66luk7wiuP2tBaryw-wKvv4e0/edit?usp=sharing"",""แพร่!N722"")+IMPORTRANGE(""https://docs.google.com/spreadshe"&amp;"ets/d/1dQrvX0vEcN7Gu0fnZ0B5S90AeR19zth4XlExFBeExMY/edit?usp=sharing"",""แม่ฮ่องสอน!N722"")+IMPORTRANGE(""https://docs.google.com/spreadsheets/d/1DY4XTNNwjluuxqdfdn6qvOSlMRrZqUtmYcZR0ttFiG4/edit?usp=sharing"",""ลำปาง!N722"")+IMPORTRANGE(""https://docs.goog"&amp;"le.com/spreadsheets/d/1ICwG78r0OFT8biBlxnBF8r7she7gNSzOvJ958PWT09c/edit?usp=sharing"",""ลำพูน!N722"")+IMPORTRANGE(""https://docs.google.com/spreadsheets/d/1B0f2xJpZUC6Z0xXnqKlZtEPzsf6L84eP1r1Q15seqRM/edit?usp=sharing"",""สุโขทัย!N722"")+IMPORTRANGE(""http"&amp;"s://docs.google.com/spreadsheets/d/1v0b9pFQCsKUVExMei7AgY2yQkdeNQvtOssygGsXbiKo/edit?usp=sharing"",""อุตรดิตถ์!N722"")+IMPORTRANGE(""https://docs.google.com/spreadsheets/d/1UsNK1e-WWiCo2PvGqdNfdme4m17_Ezd3J69EeeiQPD0/edit?usp=sharing"",""อุทัยธานี!N722"")"),0)</f>
        <v>0</v>
      </c>
      <c r="O722" s="46">
        <f t="shared" ca="1" si="489"/>
        <v>0</v>
      </c>
      <c r="P722" s="46">
        <f t="shared" ca="1" si="490"/>
        <v>0</v>
      </c>
      <c r="Q722" s="46">
        <f ca="1">IFERROR(__xludf.DUMMYFUNCTION("IMPORTRANGE(""https://docs.google.com/spreadsheets/d/1jTcq05yEiRwXcBMLjiodW9e4biSGYWAHcDj22rKWQ3s/edit?usp=sharing"",""กำแพงเพชร!Q722"")+IMPORTRANGE(""https://docs.google.com/spreadsheets/d/1KS0zmDSZPk8KnTAbGN-Xk6MtX1YRZD0ldgdt20K4CRk/edit?usp=sharing"","&amp;"""เชียงราย!Q722"")+IMPORTRANGE(""https://docs.google.com/spreadsheets/d/1rEDxBtusbi64tE0zunoIbsTVV16HeL0oJ6trHQeQ7K8/edit?usp=sharing"",""เชียงใหม่!Q722"")+IMPORTRANGE(""https://docs.google.com/spreadsheets/d/1W6MnUbDkMi6xHnHko_XkFDO9kkuL6Wqyc-6OCDFjW9I/e"&amp;"dit?usp=sharing"",""ตาก!Q722"")+IMPORTRANGE(""https://docs.google.com/spreadsheets/d/1IQAWArduLkta9LpYo4a_ULsyqdta6-6aDDiwpUnQT6c/edit?usp=sharing"",""นครสวรรค์!Q722"")+IMPORTRANGE(""https://docs.google.com/spreadsheets/d/10s13Sk5xrltsiR-Zkbmk5DwIaDIKO8Xl"&amp;"bJAfqyT7Gvg/edit?usp=sharing"",""น่าน!Q722"")+IMPORTRANGE(""https://docs.google.com/spreadsheets/d/1uu4nAn4Dbi1XREnLKKotUANlKXa7yCgRcgq8HEzQYW8/edit?usp=sharing"",""พะเยา!Q722"")+IMPORTRANGE(""https://docs.google.com/spreadsheets/d/1xfJKIQxVOaPDIICqsflNlL"&amp;"u3JacTDk1FP9RH4phX7mI/edit?usp=sharing"",""พิจิตร!Q722"")+IMPORTRANGE(""https://docs.google.com/spreadsheets/d/1JtRfZkJMHtEhI5RdRHxYUG4FIZHqKDpNyIuN7A1Q0_k/edit?usp=sharing"",""พิษณุโลก!Q722"")+IMPORTRANGE(""https://docs.google.com/spreadsheets/d/1xlcVZWU"&amp;"Nn6SuWm0c307h32SiGkd9BaeQWlAktfD3KO8/edit?usp=sharing"",""เพชรบูรณ์!Q722"")+IMPORTRANGE(""https://docs.google.com/spreadsheets/d/1lOVebEIsI9qjGXl6EX66luk7wiuP2tBaryw-wKvv4e0/edit?usp=sharing"",""แพร่!Q722"")+IMPORTRANGE(""https://docs.google.com/spreadshe"&amp;"ets/d/1dQrvX0vEcN7Gu0fnZ0B5S90AeR19zth4XlExFBeExMY/edit?usp=sharing"",""แม่ฮ่องสอน!Q722"")+IMPORTRANGE(""https://docs.google.com/spreadsheets/d/1DY4XTNNwjluuxqdfdn6qvOSlMRrZqUtmYcZR0ttFiG4/edit?usp=sharing"",""ลำปาง!Q722"")+IMPORTRANGE(""https://docs.goog"&amp;"le.com/spreadsheets/d/1ICwG78r0OFT8biBlxnBF8r7she7gNSzOvJ958PWT09c/edit?usp=sharing"",""ลำพูน!Q722"")+IMPORTRANGE(""https://docs.google.com/spreadsheets/d/1B0f2xJpZUC6Z0xXnqKlZtEPzsf6L84eP1r1Q15seqRM/edit?usp=sharing"",""สุโขทัย!Q722"")+IMPORTRANGE(""http"&amp;"s://docs.google.com/spreadsheets/d/1v0b9pFQCsKUVExMei7AgY2yQkdeNQvtOssygGsXbiKo/edit?usp=sharing"",""อุตรดิตถ์!Q722"")+IMPORTRANGE(""https://docs.google.com/spreadsheets/d/1UsNK1e-WWiCo2PvGqdNfdme4m17_Ezd3J69EeeiQPD0/edit?usp=sharing"",""อุทัยธานี!Q722"")"),0)</f>
        <v>0</v>
      </c>
      <c r="R722" s="46">
        <f ca="1">IFERROR(__xludf.DUMMYFUNCTION("IMPORTRANGE(""https://docs.google.com/spreadsheets/d/1jTcq05yEiRwXcBMLjiodW9e4biSGYWAHcDj22rKWQ3s/edit?usp=sharing"",""กำแพงเพชร!R722"")+IMPORTRANGE(""https://docs.google.com/spreadsheets/d/1KS0zmDSZPk8KnTAbGN-Xk6MtX1YRZD0ldgdt20K4CRk/edit?usp=sharing"","&amp;"""เชียงราย!R722"")+IMPORTRANGE(""https://docs.google.com/spreadsheets/d/1rEDxBtusbi64tE0zunoIbsTVV16HeL0oJ6trHQeQ7K8/edit?usp=sharing"",""เชียงใหม่!R722"")+IMPORTRANGE(""https://docs.google.com/spreadsheets/d/1W6MnUbDkMi6xHnHko_XkFDO9kkuL6Wqyc-6OCDFjW9I/e"&amp;"dit?usp=sharing"",""ตาก!R722"")+IMPORTRANGE(""https://docs.google.com/spreadsheets/d/1IQAWArduLkta9LpYo4a_ULsyqdta6-6aDDiwpUnQT6c/edit?usp=sharing"",""นครสวรรค์!R722"")+IMPORTRANGE(""https://docs.google.com/spreadsheets/d/10s13Sk5xrltsiR-Zkbmk5DwIaDIKO8Xl"&amp;"bJAfqyT7Gvg/edit?usp=sharing"",""น่าน!R722"")+IMPORTRANGE(""https://docs.google.com/spreadsheets/d/1uu4nAn4Dbi1XREnLKKotUANlKXa7yCgRcgq8HEzQYW8/edit?usp=sharing"",""พะเยา!R722"")+IMPORTRANGE(""https://docs.google.com/spreadsheets/d/1xfJKIQxVOaPDIICqsflNlL"&amp;"u3JacTDk1FP9RH4phX7mI/edit?usp=sharing"",""พิจิตร!R722"")+IMPORTRANGE(""https://docs.google.com/spreadsheets/d/1JtRfZkJMHtEhI5RdRHxYUG4FIZHqKDpNyIuN7A1Q0_k/edit?usp=sharing"",""พิษณุโลก!R722"")+IMPORTRANGE(""https://docs.google.com/spreadsheets/d/1xlcVZWU"&amp;"Nn6SuWm0c307h32SiGkd9BaeQWlAktfD3KO8/edit?usp=sharing"",""เพชรบูรณ์!R722"")+IMPORTRANGE(""https://docs.google.com/spreadsheets/d/1lOVebEIsI9qjGXl6EX66luk7wiuP2tBaryw-wKvv4e0/edit?usp=sharing"",""แพร่!R722"")+IMPORTRANGE(""https://docs.google.com/spreadshe"&amp;"ets/d/1dQrvX0vEcN7Gu0fnZ0B5S90AeR19zth4XlExFBeExMY/edit?usp=sharing"",""แม่ฮ่องสอน!R722"")+IMPORTRANGE(""https://docs.google.com/spreadsheets/d/1DY4XTNNwjluuxqdfdn6qvOSlMRrZqUtmYcZR0ttFiG4/edit?usp=sharing"",""ลำปาง!R722"")+IMPORTRANGE(""https://docs.goog"&amp;"le.com/spreadsheets/d/1ICwG78r0OFT8biBlxnBF8r7she7gNSzOvJ958PWT09c/edit?usp=sharing"",""ลำพูน!R722"")+IMPORTRANGE(""https://docs.google.com/spreadsheets/d/1B0f2xJpZUC6Z0xXnqKlZtEPzsf6L84eP1r1Q15seqRM/edit?usp=sharing"",""สุโขทัย!R722"")+IMPORTRANGE(""http"&amp;"s://docs.google.com/spreadsheets/d/1v0b9pFQCsKUVExMei7AgY2yQkdeNQvtOssygGsXbiKo/edit?usp=sharing"",""อุตรดิตถ์!R722"")+IMPORTRANGE(""https://docs.google.com/spreadsheets/d/1UsNK1e-WWiCo2PvGqdNfdme4m17_Ezd3J69EeeiQPD0/edit?usp=sharing"",""อุทัยธานี!R722"")"),0)</f>
        <v>0</v>
      </c>
      <c r="S722" s="46">
        <f ca="1">IFERROR(__xludf.DUMMYFUNCTION("IMPORTRANGE(""https://docs.google.com/spreadsheets/d/1jTcq05yEiRwXcBMLjiodW9e4biSGYWAHcDj22rKWQ3s/edit?usp=sharing"",""กำแพงเพชร!S722"")+IMPORTRANGE(""https://docs.google.com/spreadsheets/d/1KS0zmDSZPk8KnTAbGN-Xk6MtX1YRZD0ldgdt20K4CRk/edit?usp=sharing"","&amp;"""เชียงราย!S722"")+IMPORTRANGE(""https://docs.google.com/spreadsheets/d/1rEDxBtusbi64tE0zunoIbsTVV16HeL0oJ6trHQeQ7K8/edit?usp=sharing"",""เชียงใหม่!S722"")+IMPORTRANGE(""https://docs.google.com/spreadsheets/d/1W6MnUbDkMi6xHnHko_XkFDO9kkuL6Wqyc-6OCDFjW9I/e"&amp;"dit?usp=sharing"",""ตาก!S722"")+IMPORTRANGE(""https://docs.google.com/spreadsheets/d/1IQAWArduLkta9LpYo4a_ULsyqdta6-6aDDiwpUnQT6c/edit?usp=sharing"",""นครสวรรค์!S722"")+IMPORTRANGE(""https://docs.google.com/spreadsheets/d/10s13Sk5xrltsiR-Zkbmk5DwIaDIKO8Xl"&amp;"bJAfqyT7Gvg/edit?usp=sharing"",""น่าน!S722"")+IMPORTRANGE(""https://docs.google.com/spreadsheets/d/1uu4nAn4Dbi1XREnLKKotUANlKXa7yCgRcgq8HEzQYW8/edit?usp=sharing"",""พะเยา!S722"")+IMPORTRANGE(""https://docs.google.com/spreadsheets/d/1xfJKIQxVOaPDIICqsflNlL"&amp;"u3JacTDk1FP9RH4phX7mI/edit?usp=sharing"",""พิจิตร!S722"")+IMPORTRANGE(""https://docs.google.com/spreadsheets/d/1JtRfZkJMHtEhI5RdRHxYUG4FIZHqKDpNyIuN7A1Q0_k/edit?usp=sharing"",""พิษณุโลก!S722"")+IMPORTRANGE(""https://docs.google.com/spreadsheets/d/1xlcVZWU"&amp;"Nn6SuWm0c307h32SiGkd9BaeQWlAktfD3KO8/edit?usp=sharing"",""เพชรบูรณ์!S722"")+IMPORTRANGE(""https://docs.google.com/spreadsheets/d/1lOVebEIsI9qjGXl6EX66luk7wiuP2tBaryw-wKvv4e0/edit?usp=sharing"",""แพร่!S722"")+IMPORTRANGE(""https://docs.google.com/spreadshe"&amp;"ets/d/1dQrvX0vEcN7Gu0fnZ0B5S90AeR19zth4XlExFBeExMY/edit?usp=sharing"",""แม่ฮ่องสอน!S722"")+IMPORTRANGE(""https://docs.google.com/spreadsheets/d/1DY4XTNNwjluuxqdfdn6qvOSlMRrZqUtmYcZR0ttFiG4/edit?usp=sharing"",""ลำปาง!S722"")+IMPORTRANGE(""https://docs.goog"&amp;"le.com/spreadsheets/d/1ICwG78r0OFT8biBlxnBF8r7she7gNSzOvJ958PWT09c/edit?usp=sharing"",""ลำพูน!S722"")+IMPORTRANGE(""https://docs.google.com/spreadsheets/d/1B0f2xJpZUC6Z0xXnqKlZtEPzsf6L84eP1r1Q15seqRM/edit?usp=sharing"",""สุโขทัย!S722"")+IMPORTRANGE(""http"&amp;"s://docs.google.com/spreadsheets/d/1v0b9pFQCsKUVExMei7AgY2yQkdeNQvtOssygGsXbiKo/edit?usp=sharing"",""อุตรดิตถ์!S722"")+IMPORTRANGE(""https://docs.google.com/spreadsheets/d/1UsNK1e-WWiCo2PvGqdNfdme4m17_Ezd3J69EeeiQPD0/edit?usp=sharing"",""อุทัยธานี!S722"")"),0)</f>
        <v>0</v>
      </c>
      <c r="T722" s="46">
        <f t="shared" ca="1" si="492"/>
        <v>0</v>
      </c>
      <c r="U722" s="46">
        <f t="shared" ca="1" si="493"/>
        <v>0</v>
      </c>
    </row>
    <row r="723" spans="1:21" ht="19.5" hidden="1" x14ac:dyDescent="0.3">
      <c r="A723" s="138"/>
      <c r="B723" s="139"/>
      <c r="C723" s="314" t="s">
        <v>18</v>
      </c>
      <c r="D723" s="422" t="s">
        <v>38</v>
      </c>
      <c r="E723" s="141"/>
      <c r="F723" s="141"/>
      <c r="G723" s="142"/>
      <c r="H723" s="178"/>
      <c r="I723" s="135"/>
      <c r="J723" s="135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08"/>
      <c r="B724" s="158"/>
      <c r="C724" s="158"/>
      <c r="D724" s="40"/>
      <c r="E724" s="156" t="s">
        <v>267</v>
      </c>
      <c r="F724" s="40"/>
      <c r="G724" s="42"/>
      <c r="H724" s="159" t="s">
        <v>46</v>
      </c>
      <c r="I724" s="423">
        <v>0</v>
      </c>
      <c r="J724" s="44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</row>
    <row r="725" spans="1:21" ht="18.75" hidden="1" x14ac:dyDescent="0.25">
      <c r="A725" s="329"/>
      <c r="B725" s="2"/>
      <c r="C725" s="2"/>
      <c r="D725" s="1"/>
      <c r="E725" s="424" t="s">
        <v>268</v>
      </c>
      <c r="F725" s="1"/>
      <c r="G725" s="52"/>
      <c r="H725" s="425" t="s">
        <v>46</v>
      </c>
      <c r="I725" s="426">
        <v>0</v>
      </c>
      <c r="J725" s="54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9.5" x14ac:dyDescent="0.3">
      <c r="A726" s="387"/>
      <c r="B726" s="388" t="s">
        <v>269</v>
      </c>
      <c r="C726" s="387"/>
      <c r="D726" s="389"/>
      <c r="E726" s="389"/>
      <c r="F726" s="389"/>
      <c r="G726" s="390"/>
      <c r="H726" s="427" t="s">
        <v>35</v>
      </c>
      <c r="I726" s="428">
        <f ca="1">IFERROR(__xludf.DUMMYFUNCTION("IMPORTRANGE(""https://docs.google.com/spreadsheets/d/1jTcq05yEiRwXcBMLjiodW9e4biSGYWAHcDj22rKWQ3s/edit?usp=sharing"",""กำแพงเพชร!I726"")+IMPORTRANGE(""https://docs.google.com/spreadsheets/d/1KS0zmDSZPk8KnTAbGN-Xk6MtX1YRZD0ldgdt20K4CRk/edit?usp=sharing"","&amp;"""เชียงราย!I726"")+IMPORTRANGE(""https://docs.google.com/spreadsheets/d/1rEDxBtusbi64tE0zunoIbsTVV16HeL0oJ6trHQeQ7K8/edit?usp=sharing"",""เชียงใหม่!I726"")+IMPORTRANGE(""https://docs.google.com/spreadsheets/d/1W6MnUbDkMi6xHnHko_XkFDO9kkuL6Wqyc-6OCDFjW9I/e"&amp;"dit?usp=sharing"",""ตาก!I726"")+IMPORTRANGE(""https://docs.google.com/spreadsheets/d/1IQAWArduLkta9LpYo4a_ULsyqdta6-6aDDiwpUnQT6c/edit?usp=sharing"",""นครสวรรค์!I726"")+IMPORTRANGE(""https://docs.google.com/spreadsheets/d/10s13Sk5xrltsiR-Zkbmk5DwIaDIKO8Xl"&amp;"bJAfqyT7Gvg/edit?usp=sharing"",""น่าน!I726"")+IMPORTRANGE(""https://docs.google.com/spreadsheets/d/1uu4nAn4Dbi1XREnLKKotUANlKXa7yCgRcgq8HEzQYW8/edit?usp=sharing"",""พะเยา!I726"")+IMPORTRANGE(""https://docs.google.com/spreadsheets/d/1xfJKIQxVOaPDIICqsflNlL"&amp;"u3JacTDk1FP9RH4phX7mI/edit?usp=sharing"",""พิจิตร!I726"")+IMPORTRANGE(""https://docs.google.com/spreadsheets/d/1JtRfZkJMHtEhI5RdRHxYUG4FIZHqKDpNyIuN7A1Q0_k/edit?usp=sharing"",""พิษณุโลก!I726"")+IMPORTRANGE(""https://docs.google.com/spreadsheets/d/1xlcVZWU"&amp;"Nn6SuWm0c307h32SiGkd9BaeQWlAktfD3KO8/edit?usp=sharing"",""เพชรบูรณ์!I726"")+IMPORTRANGE(""https://docs.google.com/spreadsheets/d/1lOVebEIsI9qjGXl6EX66luk7wiuP2tBaryw-wKvv4e0/edit?usp=sharing"",""แพร่!I726"")+IMPORTRANGE(""https://docs.google.com/spreadshe"&amp;"ets/d/1dQrvX0vEcN7Gu0fnZ0B5S90AeR19zth4XlExFBeExMY/edit?usp=sharing"",""แม่ฮ่องสอน!I726"")+IMPORTRANGE(""https://docs.google.com/spreadsheets/d/1DY4XTNNwjluuxqdfdn6qvOSlMRrZqUtmYcZR0ttFiG4/edit?usp=sharing"",""ลำปาง!I726"")+IMPORTRANGE(""https://docs.goog"&amp;"le.com/spreadsheets/d/1ICwG78r0OFT8biBlxnBF8r7she7gNSzOvJ958PWT09c/edit?usp=sharing"",""ลำพูน!I726"")+IMPORTRANGE(""https://docs.google.com/spreadsheets/d/1B0f2xJpZUC6Z0xXnqKlZtEPzsf6L84eP1r1Q15seqRM/edit?usp=sharing"",""สุโขทัย!I726"")+IMPORTRANGE(""http"&amp;"s://docs.google.com/spreadsheets/d/1v0b9pFQCsKUVExMei7AgY2yQkdeNQvtOssygGsXbiKo/edit?usp=sharing"",""อุตรดิตถ์!I726"")+IMPORTRANGE(""https://docs.google.com/spreadsheets/d/1UsNK1e-WWiCo2PvGqdNfdme4m17_Ezd3J69EeeiQPD0/edit?usp=sharing"",""อุทัยธานี!I726"")"),1436)</f>
        <v>1436</v>
      </c>
      <c r="J726" s="428">
        <f ca="1">J742+J746+J749</f>
        <v>1045</v>
      </c>
      <c r="K726" s="416">
        <f t="shared" ref="K726:K727" ca="1" si="502">IF(I726&gt;0,J726*100/I726,0)</f>
        <v>72.771587743732596</v>
      </c>
      <c r="L726" s="393"/>
      <c r="M726" s="393"/>
      <c r="N726" s="393"/>
      <c r="O726" s="393"/>
      <c r="P726" s="393"/>
      <c r="Q726" s="393"/>
      <c r="R726" s="393"/>
      <c r="S726" s="393"/>
      <c r="T726" s="393"/>
      <c r="U726" s="393"/>
    </row>
    <row r="727" spans="1:21" ht="19.5" x14ac:dyDescent="0.3">
      <c r="A727" s="429"/>
      <c r="B727" s="387"/>
      <c r="C727" s="387"/>
      <c r="D727" s="389"/>
      <c r="E727" s="389"/>
      <c r="F727" s="389"/>
      <c r="G727" s="390"/>
      <c r="H727" s="427" t="s">
        <v>46</v>
      </c>
      <c r="I727" s="428">
        <f ca="1">IFERROR(__xludf.DUMMYFUNCTION("IMPORTRANGE(""https://docs.google.com/spreadsheets/d/1jTcq05yEiRwXcBMLjiodW9e4biSGYWAHcDj22rKWQ3s/edit?usp=sharing"",""กำแพงเพชร!I727"")+IMPORTRANGE(""https://docs.google.com/spreadsheets/d/1KS0zmDSZPk8KnTAbGN-Xk6MtX1YRZD0ldgdt20K4CRk/edit?usp=sharing"","&amp;"""เชียงราย!I727"")+IMPORTRANGE(""https://docs.google.com/spreadsheets/d/1rEDxBtusbi64tE0zunoIbsTVV16HeL0oJ6trHQeQ7K8/edit?usp=sharing"",""เชียงใหม่!I727"")+IMPORTRANGE(""https://docs.google.com/spreadsheets/d/1W6MnUbDkMi6xHnHko_XkFDO9kkuL6Wqyc-6OCDFjW9I/e"&amp;"dit?usp=sharing"",""ตาก!I727"")+IMPORTRANGE(""https://docs.google.com/spreadsheets/d/1IQAWArduLkta9LpYo4a_ULsyqdta6-6aDDiwpUnQT6c/edit?usp=sharing"",""นครสวรรค์!I727"")+IMPORTRANGE(""https://docs.google.com/spreadsheets/d/10s13Sk5xrltsiR-Zkbmk5DwIaDIKO8Xl"&amp;"bJAfqyT7Gvg/edit?usp=sharing"",""น่าน!I727"")+IMPORTRANGE(""https://docs.google.com/spreadsheets/d/1uu4nAn4Dbi1XREnLKKotUANlKXa7yCgRcgq8HEzQYW8/edit?usp=sharing"",""พะเยา!I727"")+IMPORTRANGE(""https://docs.google.com/spreadsheets/d/1xfJKIQxVOaPDIICqsflNlL"&amp;"u3JacTDk1FP9RH4phX7mI/edit?usp=sharing"",""พิจิตร!I727"")+IMPORTRANGE(""https://docs.google.com/spreadsheets/d/1JtRfZkJMHtEhI5RdRHxYUG4FIZHqKDpNyIuN7A1Q0_k/edit?usp=sharing"",""พิษณุโลก!I727"")+IMPORTRANGE(""https://docs.google.com/spreadsheets/d/1xlcVZWU"&amp;"Nn6SuWm0c307h32SiGkd9BaeQWlAktfD3KO8/edit?usp=sharing"",""เพชรบูรณ์!I727"")+IMPORTRANGE(""https://docs.google.com/spreadsheets/d/1lOVebEIsI9qjGXl6EX66luk7wiuP2tBaryw-wKvv4e0/edit?usp=sharing"",""แพร่!I727"")+IMPORTRANGE(""https://docs.google.com/spreadshe"&amp;"ets/d/1dQrvX0vEcN7Gu0fnZ0B5S90AeR19zth4XlExFBeExMY/edit?usp=sharing"",""แม่ฮ่องสอน!I727"")+IMPORTRANGE(""https://docs.google.com/spreadsheets/d/1DY4XTNNwjluuxqdfdn6qvOSlMRrZqUtmYcZR0ttFiG4/edit?usp=sharing"",""ลำปาง!I727"")+IMPORTRANGE(""https://docs.goog"&amp;"le.com/spreadsheets/d/1ICwG78r0OFT8biBlxnBF8r7she7gNSzOvJ958PWT09c/edit?usp=sharing"",""ลำพูน!I727"")+IMPORTRANGE(""https://docs.google.com/spreadsheets/d/1B0f2xJpZUC6Z0xXnqKlZtEPzsf6L84eP1r1Q15seqRM/edit?usp=sharing"",""สุโขทัย!I727"")+IMPORTRANGE(""http"&amp;"s://docs.google.com/spreadsheets/d/1v0b9pFQCsKUVExMei7AgY2yQkdeNQvtOssygGsXbiKo/edit?usp=sharing"",""อุตรดิตถ์!I727"")+IMPORTRANGE(""https://docs.google.com/spreadsheets/d/1UsNK1e-WWiCo2PvGqdNfdme4m17_Ezd3J69EeeiQPD0/edit?usp=sharing"",""อุทัยธานี!I727"")"),14000)</f>
        <v>14000</v>
      </c>
      <c r="J727" s="428">
        <f ca="1">J752+J755</f>
        <v>400</v>
      </c>
      <c r="K727" s="416">
        <f t="shared" ca="1" si="502"/>
        <v>2.8571428571428572</v>
      </c>
      <c r="L727" s="393"/>
      <c r="M727" s="393"/>
      <c r="N727" s="393"/>
      <c r="O727" s="393"/>
      <c r="P727" s="393"/>
      <c r="Q727" s="393"/>
      <c r="R727" s="393"/>
      <c r="S727" s="393"/>
      <c r="T727" s="393"/>
      <c r="U727" s="393"/>
    </row>
    <row r="728" spans="1:21" ht="19.5" x14ac:dyDescent="0.3">
      <c r="A728" s="128"/>
      <c r="B728" s="158"/>
      <c r="C728" s="177" t="s">
        <v>18</v>
      </c>
      <c r="D728" s="1287" t="s">
        <v>19</v>
      </c>
      <c r="E728" s="1285"/>
      <c r="F728" s="1285"/>
      <c r="G728" s="1286"/>
      <c r="H728" s="221" t="s">
        <v>14</v>
      </c>
      <c r="I728" s="44"/>
      <c r="J728" s="44"/>
      <c r="K728" s="45"/>
      <c r="L728" s="132">
        <f t="shared" ref="L728:N728" ca="1" si="503">L729+L730</f>
        <v>0</v>
      </c>
      <c r="M728" s="132">
        <f t="shared" ca="1" si="503"/>
        <v>0</v>
      </c>
      <c r="N728" s="132">
        <f t="shared" ca="1" si="503"/>
        <v>0</v>
      </c>
      <c r="O728" s="132">
        <f t="shared" ref="O728:O736" ca="1" si="504">IF(L728&gt;0,N728*100/L728,0)</f>
        <v>0</v>
      </c>
      <c r="P728" s="132">
        <f t="shared" ref="P728:P736" ca="1" si="505">IF(M728&gt;0,N728*100/M728,0)</f>
        <v>0</v>
      </c>
      <c r="Q728" s="132">
        <f t="shared" ref="Q728:S728" ca="1" si="506">Q729+Q730</f>
        <v>11271490</v>
      </c>
      <c r="R728" s="132">
        <f t="shared" ca="1" si="506"/>
        <v>11271490</v>
      </c>
      <c r="S728" s="132">
        <f t="shared" ca="1" si="506"/>
        <v>1367324.16</v>
      </c>
      <c r="T728" s="132">
        <f t="shared" ref="T728:T736" ca="1" si="507">IF(Q728&gt;0,S728*100/Q728,0)</f>
        <v>12.130819971450093</v>
      </c>
      <c r="U728" s="132">
        <f t="shared" ref="U728:U736" ca="1" si="508">IF(R728&gt;0,S728*100/R728,0)</f>
        <v>12.130819971450093</v>
      </c>
    </row>
    <row r="729" spans="1:21" ht="18.75" x14ac:dyDescent="0.25">
      <c r="A729" s="128"/>
      <c r="B729" s="158"/>
      <c r="C729" s="158"/>
      <c r="D729" s="145"/>
      <c r="E729" s="156" t="s">
        <v>158</v>
      </c>
      <c r="F729" s="40"/>
      <c r="G729" s="42"/>
      <c r="H729" s="159" t="s">
        <v>14</v>
      </c>
      <c r="I729" s="44"/>
      <c r="J729" s="44"/>
      <c r="K729" s="45"/>
      <c r="L729" s="48">
        <f t="shared" ref="L729:N729" ca="1" si="509">L732+L735</f>
        <v>0</v>
      </c>
      <c r="M729" s="48">
        <f t="shared" ca="1" si="509"/>
        <v>0</v>
      </c>
      <c r="N729" s="48">
        <f t="shared" ca="1" si="509"/>
        <v>0</v>
      </c>
      <c r="O729" s="48">
        <f t="shared" ca="1" si="504"/>
        <v>0</v>
      </c>
      <c r="P729" s="48">
        <f t="shared" ca="1" si="505"/>
        <v>0</v>
      </c>
      <c r="Q729" s="48">
        <f t="shared" ref="Q729:S729" ca="1" si="510">Q732+Q735</f>
        <v>0</v>
      </c>
      <c r="R729" s="48">
        <f t="shared" ca="1" si="510"/>
        <v>0</v>
      </c>
      <c r="S729" s="48">
        <f t="shared" ca="1" si="510"/>
        <v>0</v>
      </c>
      <c r="T729" s="48">
        <f t="shared" ca="1" si="507"/>
        <v>0</v>
      </c>
      <c r="U729" s="48">
        <f t="shared" ca="1" si="508"/>
        <v>0</v>
      </c>
    </row>
    <row r="730" spans="1:21" ht="18.75" x14ac:dyDescent="0.25">
      <c r="A730" s="128"/>
      <c r="B730" s="158"/>
      <c r="C730" s="158"/>
      <c r="D730" s="145"/>
      <c r="E730" s="47" t="s">
        <v>159</v>
      </c>
      <c r="F730" s="40"/>
      <c r="G730" s="42"/>
      <c r="H730" s="134" t="s">
        <v>14</v>
      </c>
      <c r="I730" s="44"/>
      <c r="J730" s="44"/>
      <c r="K730" s="45"/>
      <c r="L730" s="46">
        <f t="shared" ref="L730:N730" ca="1" si="511">L733+L736</f>
        <v>0</v>
      </c>
      <c r="M730" s="46">
        <f t="shared" ca="1" si="511"/>
        <v>0</v>
      </c>
      <c r="N730" s="46">
        <f t="shared" ca="1" si="511"/>
        <v>0</v>
      </c>
      <c r="O730" s="46">
        <f t="shared" ca="1" si="504"/>
        <v>0</v>
      </c>
      <c r="P730" s="46">
        <f t="shared" ca="1" si="505"/>
        <v>0</v>
      </c>
      <c r="Q730" s="46">
        <f t="shared" ref="Q730:S730" ca="1" si="512">Q733+Q736</f>
        <v>11271490</v>
      </c>
      <c r="R730" s="46">
        <f t="shared" ca="1" si="512"/>
        <v>11271490</v>
      </c>
      <c r="S730" s="46">
        <f t="shared" ca="1" si="512"/>
        <v>1367324.16</v>
      </c>
      <c r="T730" s="46">
        <f t="shared" ca="1" si="507"/>
        <v>12.130819971450093</v>
      </c>
      <c r="U730" s="46">
        <f t="shared" ca="1" si="508"/>
        <v>12.130819971450093</v>
      </c>
    </row>
    <row r="731" spans="1:21" ht="18.75" x14ac:dyDescent="0.25">
      <c r="A731" s="128"/>
      <c r="B731" s="158"/>
      <c r="C731" s="158"/>
      <c r="D731" s="41" t="s">
        <v>22</v>
      </c>
      <c r="E731" s="40"/>
      <c r="F731" s="40"/>
      <c r="G731" s="42"/>
      <c r="H731" s="134" t="s">
        <v>14</v>
      </c>
      <c r="I731" s="135"/>
      <c r="J731" s="135"/>
      <c r="K731" s="136"/>
      <c r="L731" s="46">
        <f t="shared" ref="L731:N731" ca="1" si="513">L732+L733</f>
        <v>0</v>
      </c>
      <c r="M731" s="46">
        <f t="shared" ca="1" si="513"/>
        <v>0</v>
      </c>
      <c r="N731" s="46">
        <f t="shared" ca="1" si="513"/>
        <v>0</v>
      </c>
      <c r="O731" s="46">
        <f t="shared" ca="1" si="504"/>
        <v>0</v>
      </c>
      <c r="P731" s="46">
        <f t="shared" ca="1" si="505"/>
        <v>0</v>
      </c>
      <c r="Q731" s="46">
        <f t="shared" ref="Q731:S731" ca="1" si="514">Q732+Q733</f>
        <v>11271490</v>
      </c>
      <c r="R731" s="46">
        <f t="shared" ca="1" si="514"/>
        <v>11271490</v>
      </c>
      <c r="S731" s="46">
        <f t="shared" ca="1" si="514"/>
        <v>1367324.16</v>
      </c>
      <c r="T731" s="46">
        <f t="shared" ca="1" si="507"/>
        <v>12.130819971450093</v>
      </c>
      <c r="U731" s="46">
        <f t="shared" ca="1" si="508"/>
        <v>12.130819971450093</v>
      </c>
    </row>
    <row r="732" spans="1:21" ht="18.75" x14ac:dyDescent="0.25">
      <c r="A732" s="128"/>
      <c r="B732" s="158"/>
      <c r="C732" s="158"/>
      <c r="D732" s="145"/>
      <c r="E732" s="156" t="s">
        <v>158</v>
      </c>
      <c r="F732" s="40"/>
      <c r="G732" s="42"/>
      <c r="H732" s="159" t="s">
        <v>14</v>
      </c>
      <c r="I732" s="44"/>
      <c r="J732" s="44"/>
      <c r="K732" s="45"/>
      <c r="L732" s="48">
        <f ca="1">IFERROR(__xludf.DUMMYFUNCTION("IMPORTRANGE(""https://docs.google.com/spreadsheets/d/1jTcq05yEiRwXcBMLjiodW9e4biSGYWAHcDj22rKWQ3s/edit?usp=sharing"",""กำแพงเพชร!L732"")+IMPORTRANGE(""https://docs.google.com/spreadsheets/d/1KS0zmDSZPk8KnTAbGN-Xk6MtX1YRZD0ldgdt20K4CRk/edit?usp=sharing"","&amp;"""เชียงราย!L732"")+IMPORTRANGE(""https://docs.google.com/spreadsheets/d/1rEDxBtusbi64tE0zunoIbsTVV16HeL0oJ6trHQeQ7K8/edit?usp=sharing"",""เชียงใหม่!L732"")+IMPORTRANGE(""https://docs.google.com/spreadsheets/d/1W6MnUbDkMi6xHnHko_XkFDO9kkuL6Wqyc-6OCDFjW9I/e"&amp;"dit?usp=sharing"",""ตาก!L732"")+IMPORTRANGE(""https://docs.google.com/spreadsheets/d/1IQAWArduLkta9LpYo4a_ULsyqdta6-6aDDiwpUnQT6c/edit?usp=sharing"",""นครสวรรค์!L732"")+IMPORTRANGE(""https://docs.google.com/spreadsheets/d/10s13Sk5xrltsiR-Zkbmk5DwIaDIKO8Xl"&amp;"bJAfqyT7Gvg/edit?usp=sharing"",""น่าน!L732"")+IMPORTRANGE(""https://docs.google.com/spreadsheets/d/1uu4nAn4Dbi1XREnLKKotUANlKXa7yCgRcgq8HEzQYW8/edit?usp=sharing"",""พะเยา!L732"")+IMPORTRANGE(""https://docs.google.com/spreadsheets/d/1xfJKIQxVOaPDIICqsflNlL"&amp;"u3JacTDk1FP9RH4phX7mI/edit?usp=sharing"",""พิจิตร!L732"")+IMPORTRANGE(""https://docs.google.com/spreadsheets/d/1JtRfZkJMHtEhI5RdRHxYUG4FIZHqKDpNyIuN7A1Q0_k/edit?usp=sharing"",""พิษณุโลก!L732"")+IMPORTRANGE(""https://docs.google.com/spreadsheets/d/1xlcVZWU"&amp;"Nn6SuWm0c307h32SiGkd9BaeQWlAktfD3KO8/edit?usp=sharing"",""เพชรบูรณ์!L732"")+IMPORTRANGE(""https://docs.google.com/spreadsheets/d/1lOVebEIsI9qjGXl6EX66luk7wiuP2tBaryw-wKvv4e0/edit?usp=sharing"",""แพร่!L732"")+IMPORTRANGE(""https://docs.google.com/spreadshe"&amp;"ets/d/1dQrvX0vEcN7Gu0fnZ0B5S90AeR19zth4XlExFBeExMY/edit?usp=sharing"",""แม่ฮ่องสอน!L732"")+IMPORTRANGE(""https://docs.google.com/spreadsheets/d/1DY4XTNNwjluuxqdfdn6qvOSlMRrZqUtmYcZR0ttFiG4/edit?usp=sharing"",""ลำปาง!L732"")+IMPORTRANGE(""https://docs.goog"&amp;"le.com/spreadsheets/d/1ICwG78r0OFT8biBlxnBF8r7she7gNSzOvJ958PWT09c/edit?usp=sharing"",""ลำพูน!L732"")+IMPORTRANGE(""https://docs.google.com/spreadsheets/d/1B0f2xJpZUC6Z0xXnqKlZtEPzsf6L84eP1r1Q15seqRM/edit?usp=sharing"",""สุโขทัย!L732"")+IMPORTRANGE(""http"&amp;"s://docs.google.com/spreadsheets/d/1v0b9pFQCsKUVExMei7AgY2yQkdeNQvtOssygGsXbiKo/edit?usp=sharing"",""อุตรดิตถ์!L732"")+IMPORTRANGE(""https://docs.google.com/spreadsheets/d/1UsNK1e-WWiCo2PvGqdNfdme4m17_Ezd3J69EeeiQPD0/edit?usp=sharing"",""อุทัยธานี!L732"")"),0)</f>
        <v>0</v>
      </c>
      <c r="M732" s="48">
        <f ca="1">IFERROR(__xludf.DUMMYFUNCTION("IMPORTRANGE(""https://docs.google.com/spreadsheets/d/1jTcq05yEiRwXcBMLjiodW9e4biSGYWAHcDj22rKWQ3s/edit?usp=sharing"",""กำแพงเพชร!M732"")+IMPORTRANGE(""https://docs.google.com/spreadsheets/d/1KS0zmDSZPk8KnTAbGN-Xk6MtX1YRZD0ldgdt20K4CRk/edit?usp=sharing"","&amp;"""เชียงราย!M732"")+IMPORTRANGE(""https://docs.google.com/spreadsheets/d/1rEDxBtusbi64tE0zunoIbsTVV16HeL0oJ6trHQeQ7K8/edit?usp=sharing"",""เชียงใหม่!M732"")+IMPORTRANGE(""https://docs.google.com/spreadsheets/d/1W6MnUbDkMi6xHnHko_XkFDO9kkuL6Wqyc-6OCDFjW9I/e"&amp;"dit?usp=sharing"",""ตาก!M732"")+IMPORTRANGE(""https://docs.google.com/spreadsheets/d/1IQAWArduLkta9LpYo4a_ULsyqdta6-6aDDiwpUnQT6c/edit?usp=sharing"",""นครสวรรค์!M732"")+IMPORTRANGE(""https://docs.google.com/spreadsheets/d/10s13Sk5xrltsiR-Zkbmk5DwIaDIKO8Xl"&amp;"bJAfqyT7Gvg/edit?usp=sharing"",""น่าน!M732"")+IMPORTRANGE(""https://docs.google.com/spreadsheets/d/1uu4nAn4Dbi1XREnLKKotUANlKXa7yCgRcgq8HEzQYW8/edit?usp=sharing"",""พะเยา!M732"")+IMPORTRANGE(""https://docs.google.com/spreadsheets/d/1xfJKIQxVOaPDIICqsflNlL"&amp;"u3JacTDk1FP9RH4phX7mI/edit?usp=sharing"",""พิจิตร!M732"")+IMPORTRANGE(""https://docs.google.com/spreadsheets/d/1JtRfZkJMHtEhI5RdRHxYUG4FIZHqKDpNyIuN7A1Q0_k/edit?usp=sharing"",""พิษณุโลก!M732"")+IMPORTRANGE(""https://docs.google.com/spreadsheets/d/1xlcVZWU"&amp;"Nn6SuWm0c307h32SiGkd9BaeQWlAktfD3KO8/edit?usp=sharing"",""เพชรบูรณ์!M732"")+IMPORTRANGE(""https://docs.google.com/spreadsheets/d/1lOVebEIsI9qjGXl6EX66luk7wiuP2tBaryw-wKvv4e0/edit?usp=sharing"",""แพร่!M732"")+IMPORTRANGE(""https://docs.google.com/spreadshe"&amp;"ets/d/1dQrvX0vEcN7Gu0fnZ0B5S90AeR19zth4XlExFBeExMY/edit?usp=sharing"",""แม่ฮ่องสอน!M732"")+IMPORTRANGE(""https://docs.google.com/spreadsheets/d/1DY4XTNNwjluuxqdfdn6qvOSlMRrZqUtmYcZR0ttFiG4/edit?usp=sharing"",""ลำปาง!M732"")+IMPORTRANGE(""https://docs.goog"&amp;"le.com/spreadsheets/d/1ICwG78r0OFT8biBlxnBF8r7she7gNSzOvJ958PWT09c/edit?usp=sharing"",""ลำพูน!M732"")+IMPORTRANGE(""https://docs.google.com/spreadsheets/d/1B0f2xJpZUC6Z0xXnqKlZtEPzsf6L84eP1r1Q15seqRM/edit?usp=sharing"",""สุโขทัย!M732"")+IMPORTRANGE(""http"&amp;"s://docs.google.com/spreadsheets/d/1v0b9pFQCsKUVExMei7AgY2yQkdeNQvtOssygGsXbiKo/edit?usp=sharing"",""อุตรดิตถ์!M732"")+IMPORTRANGE(""https://docs.google.com/spreadsheets/d/1UsNK1e-WWiCo2PvGqdNfdme4m17_Ezd3J69EeeiQPD0/edit?usp=sharing"",""อุทัยธานี!M732"")"),0)</f>
        <v>0</v>
      </c>
      <c r="N732" s="48">
        <f ca="1">IFERROR(__xludf.DUMMYFUNCTION("IMPORTRANGE(""https://docs.google.com/spreadsheets/d/1jTcq05yEiRwXcBMLjiodW9e4biSGYWAHcDj22rKWQ3s/edit?usp=sharing"",""กำแพงเพชร!N732"")+IMPORTRANGE(""https://docs.google.com/spreadsheets/d/1KS0zmDSZPk8KnTAbGN-Xk6MtX1YRZD0ldgdt20K4CRk/edit?usp=sharing"","&amp;"""เชียงราย!N732"")+IMPORTRANGE(""https://docs.google.com/spreadsheets/d/1rEDxBtusbi64tE0zunoIbsTVV16HeL0oJ6trHQeQ7K8/edit?usp=sharing"",""เชียงใหม่!N732"")+IMPORTRANGE(""https://docs.google.com/spreadsheets/d/1W6MnUbDkMi6xHnHko_XkFDO9kkuL6Wqyc-6OCDFjW9I/e"&amp;"dit?usp=sharing"",""ตาก!N732"")+IMPORTRANGE(""https://docs.google.com/spreadsheets/d/1IQAWArduLkta9LpYo4a_ULsyqdta6-6aDDiwpUnQT6c/edit?usp=sharing"",""นครสวรรค์!N732"")+IMPORTRANGE(""https://docs.google.com/spreadsheets/d/10s13Sk5xrltsiR-Zkbmk5DwIaDIKO8Xl"&amp;"bJAfqyT7Gvg/edit?usp=sharing"",""น่าน!N732"")+IMPORTRANGE(""https://docs.google.com/spreadsheets/d/1uu4nAn4Dbi1XREnLKKotUANlKXa7yCgRcgq8HEzQYW8/edit?usp=sharing"",""พะเยา!N732"")+IMPORTRANGE(""https://docs.google.com/spreadsheets/d/1xfJKIQxVOaPDIICqsflNlL"&amp;"u3JacTDk1FP9RH4phX7mI/edit?usp=sharing"",""พิจิตร!N732"")+IMPORTRANGE(""https://docs.google.com/spreadsheets/d/1JtRfZkJMHtEhI5RdRHxYUG4FIZHqKDpNyIuN7A1Q0_k/edit?usp=sharing"",""พิษณุโลก!N732"")+IMPORTRANGE(""https://docs.google.com/spreadsheets/d/1xlcVZWU"&amp;"Nn6SuWm0c307h32SiGkd9BaeQWlAktfD3KO8/edit?usp=sharing"",""เพชรบูรณ์!N732"")+IMPORTRANGE(""https://docs.google.com/spreadsheets/d/1lOVebEIsI9qjGXl6EX66luk7wiuP2tBaryw-wKvv4e0/edit?usp=sharing"",""แพร่!N732"")+IMPORTRANGE(""https://docs.google.com/spreadshe"&amp;"ets/d/1dQrvX0vEcN7Gu0fnZ0B5S90AeR19zth4XlExFBeExMY/edit?usp=sharing"",""แม่ฮ่องสอน!N732"")+IMPORTRANGE(""https://docs.google.com/spreadsheets/d/1DY4XTNNwjluuxqdfdn6qvOSlMRrZqUtmYcZR0ttFiG4/edit?usp=sharing"",""ลำปาง!N732"")+IMPORTRANGE(""https://docs.goog"&amp;"le.com/spreadsheets/d/1ICwG78r0OFT8biBlxnBF8r7she7gNSzOvJ958PWT09c/edit?usp=sharing"",""ลำพูน!N732"")+IMPORTRANGE(""https://docs.google.com/spreadsheets/d/1B0f2xJpZUC6Z0xXnqKlZtEPzsf6L84eP1r1Q15seqRM/edit?usp=sharing"",""สุโขทัย!N732"")+IMPORTRANGE(""http"&amp;"s://docs.google.com/spreadsheets/d/1v0b9pFQCsKUVExMei7AgY2yQkdeNQvtOssygGsXbiKo/edit?usp=sharing"",""อุตรดิตถ์!N732"")+IMPORTRANGE(""https://docs.google.com/spreadsheets/d/1UsNK1e-WWiCo2PvGqdNfdme4m17_Ezd3J69EeeiQPD0/edit?usp=sharing"",""อุทัยธานี!N732"")"),0)</f>
        <v>0</v>
      </c>
      <c r="O732" s="48">
        <f t="shared" ca="1" si="504"/>
        <v>0</v>
      </c>
      <c r="P732" s="48">
        <f t="shared" ca="1" si="505"/>
        <v>0</v>
      </c>
      <c r="Q732" s="48">
        <f ca="1">IFERROR(__xludf.DUMMYFUNCTION("IMPORTRANGE(""https://docs.google.com/spreadsheets/d/1jTcq05yEiRwXcBMLjiodW9e4biSGYWAHcDj22rKWQ3s/edit?usp=sharing"",""กำแพงเพชร!Q732"")+IMPORTRANGE(""https://docs.google.com/spreadsheets/d/1KS0zmDSZPk8KnTAbGN-Xk6MtX1YRZD0ldgdt20K4CRk/edit?usp=sharing"","&amp;"""เชียงราย!Q732"")+IMPORTRANGE(""https://docs.google.com/spreadsheets/d/1rEDxBtusbi64tE0zunoIbsTVV16HeL0oJ6trHQeQ7K8/edit?usp=sharing"",""เชียงใหม่!Q732"")+IMPORTRANGE(""https://docs.google.com/spreadsheets/d/1W6MnUbDkMi6xHnHko_XkFDO9kkuL6Wqyc-6OCDFjW9I/e"&amp;"dit?usp=sharing"",""ตาก!Q732"")+IMPORTRANGE(""https://docs.google.com/spreadsheets/d/1IQAWArduLkta9LpYo4a_ULsyqdta6-6aDDiwpUnQT6c/edit?usp=sharing"",""นครสวรรค์!Q732"")+IMPORTRANGE(""https://docs.google.com/spreadsheets/d/10s13Sk5xrltsiR-Zkbmk5DwIaDIKO8Xl"&amp;"bJAfqyT7Gvg/edit?usp=sharing"",""น่าน!Q732"")+IMPORTRANGE(""https://docs.google.com/spreadsheets/d/1uu4nAn4Dbi1XREnLKKotUANlKXa7yCgRcgq8HEzQYW8/edit?usp=sharing"",""พะเยา!Q732"")+IMPORTRANGE(""https://docs.google.com/spreadsheets/d/1xfJKIQxVOaPDIICqsflNlL"&amp;"u3JacTDk1FP9RH4phX7mI/edit?usp=sharing"",""พิจิตร!Q732"")+IMPORTRANGE(""https://docs.google.com/spreadsheets/d/1JtRfZkJMHtEhI5RdRHxYUG4FIZHqKDpNyIuN7A1Q0_k/edit?usp=sharing"",""พิษณุโลก!Q732"")+IMPORTRANGE(""https://docs.google.com/spreadsheets/d/1xlcVZWU"&amp;"Nn6SuWm0c307h32SiGkd9BaeQWlAktfD3KO8/edit?usp=sharing"",""เพชรบูรณ์!Q732"")+IMPORTRANGE(""https://docs.google.com/spreadsheets/d/1lOVebEIsI9qjGXl6EX66luk7wiuP2tBaryw-wKvv4e0/edit?usp=sharing"",""แพร่!Q732"")+IMPORTRANGE(""https://docs.google.com/spreadshe"&amp;"ets/d/1dQrvX0vEcN7Gu0fnZ0B5S90AeR19zth4XlExFBeExMY/edit?usp=sharing"",""แม่ฮ่องสอน!Q732"")+IMPORTRANGE(""https://docs.google.com/spreadsheets/d/1DY4XTNNwjluuxqdfdn6qvOSlMRrZqUtmYcZR0ttFiG4/edit?usp=sharing"",""ลำปาง!Q732"")+IMPORTRANGE(""https://docs.goog"&amp;"le.com/spreadsheets/d/1ICwG78r0OFT8biBlxnBF8r7she7gNSzOvJ958PWT09c/edit?usp=sharing"",""ลำพูน!Q732"")+IMPORTRANGE(""https://docs.google.com/spreadsheets/d/1B0f2xJpZUC6Z0xXnqKlZtEPzsf6L84eP1r1Q15seqRM/edit?usp=sharing"",""สุโขทัย!Q732"")+IMPORTRANGE(""http"&amp;"s://docs.google.com/spreadsheets/d/1v0b9pFQCsKUVExMei7AgY2yQkdeNQvtOssygGsXbiKo/edit?usp=sharing"",""อุตรดิตถ์!Q732"")+IMPORTRANGE(""https://docs.google.com/spreadsheets/d/1UsNK1e-WWiCo2PvGqdNfdme4m17_Ezd3J69EeeiQPD0/edit?usp=sharing"",""อุทัยธานี!Q732"")"),0)</f>
        <v>0</v>
      </c>
      <c r="R732" s="48">
        <f ca="1">IFERROR(__xludf.DUMMYFUNCTION("IMPORTRANGE(""https://docs.google.com/spreadsheets/d/1jTcq05yEiRwXcBMLjiodW9e4biSGYWAHcDj22rKWQ3s/edit?usp=sharing"",""กำแพงเพชร!R732"")+IMPORTRANGE(""https://docs.google.com/spreadsheets/d/1KS0zmDSZPk8KnTAbGN-Xk6MtX1YRZD0ldgdt20K4CRk/edit?usp=sharing"","&amp;"""เชียงราย!R732"")+IMPORTRANGE(""https://docs.google.com/spreadsheets/d/1rEDxBtusbi64tE0zunoIbsTVV16HeL0oJ6trHQeQ7K8/edit?usp=sharing"",""เชียงใหม่!R732"")+IMPORTRANGE(""https://docs.google.com/spreadsheets/d/1W6MnUbDkMi6xHnHko_XkFDO9kkuL6Wqyc-6OCDFjW9I/e"&amp;"dit?usp=sharing"",""ตาก!R732"")+IMPORTRANGE(""https://docs.google.com/spreadsheets/d/1IQAWArduLkta9LpYo4a_ULsyqdta6-6aDDiwpUnQT6c/edit?usp=sharing"",""นครสวรรค์!R732"")+IMPORTRANGE(""https://docs.google.com/spreadsheets/d/10s13Sk5xrltsiR-Zkbmk5DwIaDIKO8Xl"&amp;"bJAfqyT7Gvg/edit?usp=sharing"",""น่าน!R732"")+IMPORTRANGE(""https://docs.google.com/spreadsheets/d/1uu4nAn4Dbi1XREnLKKotUANlKXa7yCgRcgq8HEzQYW8/edit?usp=sharing"",""พะเยา!R732"")+IMPORTRANGE(""https://docs.google.com/spreadsheets/d/1xfJKIQxVOaPDIICqsflNlL"&amp;"u3JacTDk1FP9RH4phX7mI/edit?usp=sharing"",""พิจิตร!R732"")+IMPORTRANGE(""https://docs.google.com/spreadsheets/d/1JtRfZkJMHtEhI5RdRHxYUG4FIZHqKDpNyIuN7A1Q0_k/edit?usp=sharing"",""พิษณุโลก!R732"")+IMPORTRANGE(""https://docs.google.com/spreadsheets/d/1xlcVZWU"&amp;"Nn6SuWm0c307h32SiGkd9BaeQWlAktfD3KO8/edit?usp=sharing"",""เพชรบูรณ์!R732"")+IMPORTRANGE(""https://docs.google.com/spreadsheets/d/1lOVebEIsI9qjGXl6EX66luk7wiuP2tBaryw-wKvv4e0/edit?usp=sharing"",""แพร่!R732"")+IMPORTRANGE(""https://docs.google.com/spreadshe"&amp;"ets/d/1dQrvX0vEcN7Gu0fnZ0B5S90AeR19zth4XlExFBeExMY/edit?usp=sharing"",""แม่ฮ่องสอน!R732"")+IMPORTRANGE(""https://docs.google.com/spreadsheets/d/1DY4XTNNwjluuxqdfdn6qvOSlMRrZqUtmYcZR0ttFiG4/edit?usp=sharing"",""ลำปาง!R732"")+IMPORTRANGE(""https://docs.goog"&amp;"le.com/spreadsheets/d/1ICwG78r0OFT8biBlxnBF8r7she7gNSzOvJ958PWT09c/edit?usp=sharing"",""ลำพูน!R732"")+IMPORTRANGE(""https://docs.google.com/spreadsheets/d/1B0f2xJpZUC6Z0xXnqKlZtEPzsf6L84eP1r1Q15seqRM/edit?usp=sharing"",""สุโขทัย!R732"")+IMPORTRANGE(""http"&amp;"s://docs.google.com/spreadsheets/d/1v0b9pFQCsKUVExMei7AgY2yQkdeNQvtOssygGsXbiKo/edit?usp=sharing"",""อุตรดิตถ์!R732"")+IMPORTRANGE(""https://docs.google.com/spreadsheets/d/1UsNK1e-WWiCo2PvGqdNfdme4m17_Ezd3J69EeeiQPD0/edit?usp=sharing"",""อุทัยธานี!R732"")"),0)</f>
        <v>0</v>
      </c>
      <c r="S732" s="48">
        <f ca="1">IFERROR(__xludf.DUMMYFUNCTION("IMPORTRANGE(""https://docs.google.com/spreadsheets/d/1jTcq05yEiRwXcBMLjiodW9e4biSGYWAHcDj22rKWQ3s/edit?usp=sharing"",""กำแพงเพชร!S732"")+IMPORTRANGE(""https://docs.google.com/spreadsheets/d/1KS0zmDSZPk8KnTAbGN-Xk6MtX1YRZD0ldgdt20K4CRk/edit?usp=sharing"","&amp;"""เชียงราย!S732"")+IMPORTRANGE(""https://docs.google.com/spreadsheets/d/1rEDxBtusbi64tE0zunoIbsTVV16HeL0oJ6trHQeQ7K8/edit?usp=sharing"",""เชียงใหม่!S732"")+IMPORTRANGE(""https://docs.google.com/spreadsheets/d/1W6MnUbDkMi6xHnHko_XkFDO9kkuL6Wqyc-6OCDFjW9I/e"&amp;"dit?usp=sharing"",""ตาก!S732"")+IMPORTRANGE(""https://docs.google.com/spreadsheets/d/1IQAWArduLkta9LpYo4a_ULsyqdta6-6aDDiwpUnQT6c/edit?usp=sharing"",""นครสวรรค์!S732"")+IMPORTRANGE(""https://docs.google.com/spreadsheets/d/10s13Sk5xrltsiR-Zkbmk5DwIaDIKO8Xl"&amp;"bJAfqyT7Gvg/edit?usp=sharing"",""น่าน!S732"")+IMPORTRANGE(""https://docs.google.com/spreadsheets/d/1uu4nAn4Dbi1XREnLKKotUANlKXa7yCgRcgq8HEzQYW8/edit?usp=sharing"",""พะเยา!S732"")+IMPORTRANGE(""https://docs.google.com/spreadsheets/d/1xfJKIQxVOaPDIICqsflNlL"&amp;"u3JacTDk1FP9RH4phX7mI/edit?usp=sharing"",""พิจิตร!S732"")+IMPORTRANGE(""https://docs.google.com/spreadsheets/d/1JtRfZkJMHtEhI5RdRHxYUG4FIZHqKDpNyIuN7A1Q0_k/edit?usp=sharing"",""พิษณุโลก!S732"")+IMPORTRANGE(""https://docs.google.com/spreadsheets/d/1xlcVZWU"&amp;"Nn6SuWm0c307h32SiGkd9BaeQWlAktfD3KO8/edit?usp=sharing"",""เพชรบูรณ์!S732"")+IMPORTRANGE(""https://docs.google.com/spreadsheets/d/1lOVebEIsI9qjGXl6EX66luk7wiuP2tBaryw-wKvv4e0/edit?usp=sharing"",""แพร่!S732"")+IMPORTRANGE(""https://docs.google.com/spreadshe"&amp;"ets/d/1dQrvX0vEcN7Gu0fnZ0B5S90AeR19zth4XlExFBeExMY/edit?usp=sharing"",""แม่ฮ่องสอน!S732"")+IMPORTRANGE(""https://docs.google.com/spreadsheets/d/1DY4XTNNwjluuxqdfdn6qvOSlMRrZqUtmYcZR0ttFiG4/edit?usp=sharing"",""ลำปาง!S732"")+IMPORTRANGE(""https://docs.goog"&amp;"le.com/spreadsheets/d/1ICwG78r0OFT8biBlxnBF8r7she7gNSzOvJ958PWT09c/edit?usp=sharing"",""ลำพูน!S732"")+IMPORTRANGE(""https://docs.google.com/spreadsheets/d/1B0f2xJpZUC6Z0xXnqKlZtEPzsf6L84eP1r1Q15seqRM/edit?usp=sharing"",""สุโขทัย!S732"")+IMPORTRANGE(""http"&amp;"s://docs.google.com/spreadsheets/d/1v0b9pFQCsKUVExMei7AgY2yQkdeNQvtOssygGsXbiKo/edit?usp=sharing"",""อุตรดิตถ์!S732"")+IMPORTRANGE(""https://docs.google.com/spreadsheets/d/1UsNK1e-WWiCo2PvGqdNfdme4m17_Ezd3J69EeeiQPD0/edit?usp=sharing"",""อุทัยธานี!S732"")"),0)</f>
        <v>0</v>
      </c>
      <c r="T732" s="48">
        <f t="shared" ca="1" si="507"/>
        <v>0</v>
      </c>
      <c r="U732" s="48">
        <f t="shared" ca="1" si="508"/>
        <v>0</v>
      </c>
    </row>
    <row r="733" spans="1:21" ht="18.75" x14ac:dyDescent="0.25">
      <c r="A733" s="128"/>
      <c r="B733" s="158"/>
      <c r="C733" s="158"/>
      <c r="D733" s="145"/>
      <c r="E733" s="47" t="s">
        <v>159</v>
      </c>
      <c r="F733" s="40"/>
      <c r="G733" s="42"/>
      <c r="H733" s="134" t="s">
        <v>14</v>
      </c>
      <c r="I733" s="44"/>
      <c r="J733" s="44"/>
      <c r="K733" s="45"/>
      <c r="L733" s="46">
        <f ca="1">IFERROR(__xludf.DUMMYFUNCTION("IMPORTRANGE(""https://docs.google.com/spreadsheets/d/1jTcq05yEiRwXcBMLjiodW9e4biSGYWAHcDj22rKWQ3s/edit?usp=sharing"",""กำแพงเพชร!L733"")+IMPORTRANGE(""https://docs.google.com/spreadsheets/d/1KS0zmDSZPk8KnTAbGN-Xk6MtX1YRZD0ldgdt20K4CRk/edit?usp=sharing"","&amp;"""เชียงราย!L733"")+IMPORTRANGE(""https://docs.google.com/spreadsheets/d/1rEDxBtusbi64tE0zunoIbsTVV16HeL0oJ6trHQeQ7K8/edit?usp=sharing"",""เชียงใหม่!L733"")+IMPORTRANGE(""https://docs.google.com/spreadsheets/d/1W6MnUbDkMi6xHnHko_XkFDO9kkuL6Wqyc-6OCDFjW9I/e"&amp;"dit?usp=sharing"",""ตาก!L733"")+IMPORTRANGE(""https://docs.google.com/spreadsheets/d/1IQAWArduLkta9LpYo4a_ULsyqdta6-6aDDiwpUnQT6c/edit?usp=sharing"",""นครสวรรค์!L733"")+IMPORTRANGE(""https://docs.google.com/spreadsheets/d/10s13Sk5xrltsiR-Zkbmk5DwIaDIKO8Xl"&amp;"bJAfqyT7Gvg/edit?usp=sharing"",""น่าน!L733"")+IMPORTRANGE(""https://docs.google.com/spreadsheets/d/1uu4nAn4Dbi1XREnLKKotUANlKXa7yCgRcgq8HEzQYW8/edit?usp=sharing"",""พะเยา!L733"")+IMPORTRANGE(""https://docs.google.com/spreadsheets/d/1xfJKIQxVOaPDIICqsflNlL"&amp;"u3JacTDk1FP9RH4phX7mI/edit?usp=sharing"",""พิจิตร!L733"")+IMPORTRANGE(""https://docs.google.com/spreadsheets/d/1JtRfZkJMHtEhI5RdRHxYUG4FIZHqKDpNyIuN7A1Q0_k/edit?usp=sharing"",""พิษณุโลก!L733"")+IMPORTRANGE(""https://docs.google.com/spreadsheets/d/1xlcVZWU"&amp;"Nn6SuWm0c307h32SiGkd9BaeQWlAktfD3KO8/edit?usp=sharing"",""เพชรบูรณ์!L733"")+IMPORTRANGE(""https://docs.google.com/spreadsheets/d/1lOVebEIsI9qjGXl6EX66luk7wiuP2tBaryw-wKvv4e0/edit?usp=sharing"",""แพร่!L733"")+IMPORTRANGE(""https://docs.google.com/spreadshe"&amp;"ets/d/1dQrvX0vEcN7Gu0fnZ0B5S90AeR19zth4XlExFBeExMY/edit?usp=sharing"",""แม่ฮ่องสอน!L733"")+IMPORTRANGE(""https://docs.google.com/spreadsheets/d/1DY4XTNNwjluuxqdfdn6qvOSlMRrZqUtmYcZR0ttFiG4/edit?usp=sharing"",""ลำปาง!L733"")+IMPORTRANGE(""https://docs.goog"&amp;"le.com/spreadsheets/d/1ICwG78r0OFT8biBlxnBF8r7she7gNSzOvJ958PWT09c/edit?usp=sharing"",""ลำพูน!L733"")+IMPORTRANGE(""https://docs.google.com/spreadsheets/d/1B0f2xJpZUC6Z0xXnqKlZtEPzsf6L84eP1r1Q15seqRM/edit?usp=sharing"",""สุโขทัย!L733"")+IMPORTRANGE(""http"&amp;"s://docs.google.com/spreadsheets/d/1v0b9pFQCsKUVExMei7AgY2yQkdeNQvtOssygGsXbiKo/edit?usp=sharing"",""อุตรดิตถ์!L733"")+IMPORTRANGE(""https://docs.google.com/spreadsheets/d/1UsNK1e-WWiCo2PvGqdNfdme4m17_Ezd3J69EeeiQPD0/edit?usp=sharing"",""อุทัยธานี!L733"")"),0)</f>
        <v>0</v>
      </c>
      <c r="M733" s="46">
        <f ca="1">IFERROR(__xludf.DUMMYFUNCTION("IMPORTRANGE(""https://docs.google.com/spreadsheets/d/1jTcq05yEiRwXcBMLjiodW9e4biSGYWAHcDj22rKWQ3s/edit?usp=sharing"",""กำแพงเพชร!M733"")+IMPORTRANGE(""https://docs.google.com/spreadsheets/d/1KS0zmDSZPk8KnTAbGN-Xk6MtX1YRZD0ldgdt20K4CRk/edit?usp=sharing"","&amp;"""เชียงราย!M733"")+IMPORTRANGE(""https://docs.google.com/spreadsheets/d/1rEDxBtusbi64tE0zunoIbsTVV16HeL0oJ6trHQeQ7K8/edit?usp=sharing"",""เชียงใหม่!M733"")+IMPORTRANGE(""https://docs.google.com/spreadsheets/d/1W6MnUbDkMi6xHnHko_XkFDO9kkuL6Wqyc-6OCDFjW9I/e"&amp;"dit?usp=sharing"",""ตาก!M733"")+IMPORTRANGE(""https://docs.google.com/spreadsheets/d/1IQAWArduLkta9LpYo4a_ULsyqdta6-6aDDiwpUnQT6c/edit?usp=sharing"",""นครสวรรค์!M733"")+IMPORTRANGE(""https://docs.google.com/spreadsheets/d/10s13Sk5xrltsiR-Zkbmk5DwIaDIKO8Xl"&amp;"bJAfqyT7Gvg/edit?usp=sharing"",""น่าน!M733"")+IMPORTRANGE(""https://docs.google.com/spreadsheets/d/1uu4nAn4Dbi1XREnLKKotUANlKXa7yCgRcgq8HEzQYW8/edit?usp=sharing"",""พะเยา!M733"")+IMPORTRANGE(""https://docs.google.com/spreadsheets/d/1xfJKIQxVOaPDIICqsflNlL"&amp;"u3JacTDk1FP9RH4phX7mI/edit?usp=sharing"",""พิจิตร!M733"")+IMPORTRANGE(""https://docs.google.com/spreadsheets/d/1JtRfZkJMHtEhI5RdRHxYUG4FIZHqKDpNyIuN7A1Q0_k/edit?usp=sharing"",""พิษณุโลก!M733"")+IMPORTRANGE(""https://docs.google.com/spreadsheets/d/1xlcVZWU"&amp;"Nn6SuWm0c307h32SiGkd9BaeQWlAktfD3KO8/edit?usp=sharing"",""เพชรบูรณ์!M733"")+IMPORTRANGE(""https://docs.google.com/spreadsheets/d/1lOVebEIsI9qjGXl6EX66luk7wiuP2tBaryw-wKvv4e0/edit?usp=sharing"",""แพร่!M733"")+IMPORTRANGE(""https://docs.google.com/spreadshe"&amp;"ets/d/1dQrvX0vEcN7Gu0fnZ0B5S90AeR19zth4XlExFBeExMY/edit?usp=sharing"",""แม่ฮ่องสอน!M733"")+IMPORTRANGE(""https://docs.google.com/spreadsheets/d/1DY4XTNNwjluuxqdfdn6qvOSlMRrZqUtmYcZR0ttFiG4/edit?usp=sharing"",""ลำปาง!M733"")+IMPORTRANGE(""https://docs.goog"&amp;"le.com/spreadsheets/d/1ICwG78r0OFT8biBlxnBF8r7she7gNSzOvJ958PWT09c/edit?usp=sharing"",""ลำพูน!M733"")+IMPORTRANGE(""https://docs.google.com/spreadsheets/d/1B0f2xJpZUC6Z0xXnqKlZtEPzsf6L84eP1r1Q15seqRM/edit?usp=sharing"",""สุโขทัย!M733"")+IMPORTRANGE(""http"&amp;"s://docs.google.com/spreadsheets/d/1v0b9pFQCsKUVExMei7AgY2yQkdeNQvtOssygGsXbiKo/edit?usp=sharing"",""อุตรดิตถ์!M733"")+IMPORTRANGE(""https://docs.google.com/spreadsheets/d/1UsNK1e-WWiCo2PvGqdNfdme4m17_Ezd3J69EeeiQPD0/edit?usp=sharing"",""อุทัยธานี!M733"")"),0)</f>
        <v>0</v>
      </c>
      <c r="N733" s="46">
        <f ca="1">IFERROR(__xludf.DUMMYFUNCTION("IMPORTRANGE(""https://docs.google.com/spreadsheets/d/1jTcq05yEiRwXcBMLjiodW9e4biSGYWAHcDj22rKWQ3s/edit?usp=sharing"",""กำแพงเพชร!N733"")+IMPORTRANGE(""https://docs.google.com/spreadsheets/d/1KS0zmDSZPk8KnTAbGN-Xk6MtX1YRZD0ldgdt20K4CRk/edit?usp=sharing"","&amp;"""เชียงราย!N733"")+IMPORTRANGE(""https://docs.google.com/spreadsheets/d/1rEDxBtusbi64tE0zunoIbsTVV16HeL0oJ6trHQeQ7K8/edit?usp=sharing"",""เชียงใหม่!N733"")+IMPORTRANGE(""https://docs.google.com/spreadsheets/d/1W6MnUbDkMi6xHnHko_XkFDO9kkuL6Wqyc-6OCDFjW9I/e"&amp;"dit?usp=sharing"",""ตาก!N733"")+IMPORTRANGE(""https://docs.google.com/spreadsheets/d/1IQAWArduLkta9LpYo4a_ULsyqdta6-6aDDiwpUnQT6c/edit?usp=sharing"",""นครสวรรค์!N733"")+IMPORTRANGE(""https://docs.google.com/spreadsheets/d/10s13Sk5xrltsiR-Zkbmk5DwIaDIKO8Xl"&amp;"bJAfqyT7Gvg/edit?usp=sharing"",""น่าน!N733"")+IMPORTRANGE(""https://docs.google.com/spreadsheets/d/1uu4nAn4Dbi1XREnLKKotUANlKXa7yCgRcgq8HEzQYW8/edit?usp=sharing"",""พะเยา!N733"")+IMPORTRANGE(""https://docs.google.com/spreadsheets/d/1xfJKIQxVOaPDIICqsflNlL"&amp;"u3JacTDk1FP9RH4phX7mI/edit?usp=sharing"",""พิจิตร!N733"")+IMPORTRANGE(""https://docs.google.com/spreadsheets/d/1JtRfZkJMHtEhI5RdRHxYUG4FIZHqKDpNyIuN7A1Q0_k/edit?usp=sharing"",""พิษณุโลก!N733"")+IMPORTRANGE(""https://docs.google.com/spreadsheets/d/1xlcVZWU"&amp;"Nn6SuWm0c307h32SiGkd9BaeQWlAktfD3KO8/edit?usp=sharing"",""เพชรบูรณ์!N733"")+IMPORTRANGE(""https://docs.google.com/spreadsheets/d/1lOVebEIsI9qjGXl6EX66luk7wiuP2tBaryw-wKvv4e0/edit?usp=sharing"",""แพร่!N733"")+IMPORTRANGE(""https://docs.google.com/spreadshe"&amp;"ets/d/1dQrvX0vEcN7Gu0fnZ0B5S90AeR19zth4XlExFBeExMY/edit?usp=sharing"",""แม่ฮ่องสอน!N733"")+IMPORTRANGE(""https://docs.google.com/spreadsheets/d/1DY4XTNNwjluuxqdfdn6qvOSlMRrZqUtmYcZR0ttFiG4/edit?usp=sharing"",""ลำปาง!N733"")+IMPORTRANGE(""https://docs.goog"&amp;"le.com/spreadsheets/d/1ICwG78r0OFT8biBlxnBF8r7she7gNSzOvJ958PWT09c/edit?usp=sharing"",""ลำพูน!N733"")+IMPORTRANGE(""https://docs.google.com/spreadsheets/d/1B0f2xJpZUC6Z0xXnqKlZtEPzsf6L84eP1r1Q15seqRM/edit?usp=sharing"",""สุโขทัย!N733"")+IMPORTRANGE(""http"&amp;"s://docs.google.com/spreadsheets/d/1v0b9pFQCsKUVExMei7AgY2yQkdeNQvtOssygGsXbiKo/edit?usp=sharing"",""อุตรดิตถ์!N733"")+IMPORTRANGE(""https://docs.google.com/spreadsheets/d/1UsNK1e-WWiCo2PvGqdNfdme4m17_Ezd3J69EeeiQPD0/edit?usp=sharing"",""อุทัยธานี!N733"")"),0)</f>
        <v>0</v>
      </c>
      <c r="O733" s="46">
        <f t="shared" ca="1" si="504"/>
        <v>0</v>
      </c>
      <c r="P733" s="46">
        <f t="shared" ca="1" si="505"/>
        <v>0</v>
      </c>
      <c r="Q733" s="46">
        <f ca="1">IFERROR(__xludf.DUMMYFUNCTION("IMPORTRANGE(""https://docs.google.com/spreadsheets/d/1jTcq05yEiRwXcBMLjiodW9e4biSGYWAHcDj22rKWQ3s/edit?usp=sharing"",""กำแพงเพชร!Q733"")+IMPORTRANGE(""https://docs.google.com/spreadsheets/d/1KS0zmDSZPk8KnTAbGN-Xk6MtX1YRZD0ldgdt20K4CRk/edit?usp=sharing"","&amp;"""เชียงราย!Q733"")+IMPORTRANGE(""https://docs.google.com/spreadsheets/d/1rEDxBtusbi64tE0zunoIbsTVV16HeL0oJ6trHQeQ7K8/edit?usp=sharing"",""เชียงใหม่!Q733"")+IMPORTRANGE(""https://docs.google.com/spreadsheets/d/1W6MnUbDkMi6xHnHko_XkFDO9kkuL6Wqyc-6OCDFjW9I/e"&amp;"dit?usp=sharing"",""ตาก!Q733"")+IMPORTRANGE(""https://docs.google.com/spreadsheets/d/1IQAWArduLkta9LpYo4a_ULsyqdta6-6aDDiwpUnQT6c/edit?usp=sharing"",""นครสวรรค์!Q733"")+IMPORTRANGE(""https://docs.google.com/spreadsheets/d/10s13Sk5xrltsiR-Zkbmk5DwIaDIKO8Xl"&amp;"bJAfqyT7Gvg/edit?usp=sharing"",""น่าน!Q733"")+IMPORTRANGE(""https://docs.google.com/spreadsheets/d/1uu4nAn4Dbi1XREnLKKotUANlKXa7yCgRcgq8HEzQYW8/edit?usp=sharing"",""พะเยา!Q733"")+IMPORTRANGE(""https://docs.google.com/spreadsheets/d/1xfJKIQxVOaPDIICqsflNlL"&amp;"u3JacTDk1FP9RH4phX7mI/edit?usp=sharing"",""พิจิตร!Q733"")+IMPORTRANGE(""https://docs.google.com/spreadsheets/d/1JtRfZkJMHtEhI5RdRHxYUG4FIZHqKDpNyIuN7A1Q0_k/edit?usp=sharing"",""พิษณุโลก!Q733"")+IMPORTRANGE(""https://docs.google.com/spreadsheets/d/1xlcVZWU"&amp;"Nn6SuWm0c307h32SiGkd9BaeQWlAktfD3KO8/edit?usp=sharing"",""เพชรบูรณ์!Q733"")+IMPORTRANGE(""https://docs.google.com/spreadsheets/d/1lOVebEIsI9qjGXl6EX66luk7wiuP2tBaryw-wKvv4e0/edit?usp=sharing"",""แพร่!Q733"")+IMPORTRANGE(""https://docs.google.com/spreadshe"&amp;"ets/d/1dQrvX0vEcN7Gu0fnZ0B5S90AeR19zth4XlExFBeExMY/edit?usp=sharing"",""แม่ฮ่องสอน!Q733"")+IMPORTRANGE(""https://docs.google.com/spreadsheets/d/1DY4XTNNwjluuxqdfdn6qvOSlMRrZqUtmYcZR0ttFiG4/edit?usp=sharing"",""ลำปาง!Q733"")+IMPORTRANGE(""https://docs.goog"&amp;"le.com/spreadsheets/d/1ICwG78r0OFT8biBlxnBF8r7she7gNSzOvJ958PWT09c/edit?usp=sharing"",""ลำพูน!Q733"")+IMPORTRANGE(""https://docs.google.com/spreadsheets/d/1B0f2xJpZUC6Z0xXnqKlZtEPzsf6L84eP1r1Q15seqRM/edit?usp=sharing"",""สุโขทัย!Q733"")+IMPORTRANGE(""http"&amp;"s://docs.google.com/spreadsheets/d/1v0b9pFQCsKUVExMei7AgY2yQkdeNQvtOssygGsXbiKo/edit?usp=sharing"",""อุตรดิตถ์!Q733"")+IMPORTRANGE(""https://docs.google.com/spreadsheets/d/1UsNK1e-WWiCo2PvGqdNfdme4m17_Ezd3J69EeeiQPD0/edit?usp=sharing"",""อุทัยธานี!Q733"")"),11271490)</f>
        <v>11271490</v>
      </c>
      <c r="R733" s="46">
        <f ca="1">IFERROR(__xludf.DUMMYFUNCTION("IMPORTRANGE(""https://docs.google.com/spreadsheets/d/1jTcq05yEiRwXcBMLjiodW9e4biSGYWAHcDj22rKWQ3s/edit?usp=sharing"",""กำแพงเพชร!R733"")+IMPORTRANGE(""https://docs.google.com/spreadsheets/d/1KS0zmDSZPk8KnTAbGN-Xk6MtX1YRZD0ldgdt20K4CRk/edit?usp=sharing"","&amp;"""เชียงราย!R733"")+IMPORTRANGE(""https://docs.google.com/spreadsheets/d/1rEDxBtusbi64tE0zunoIbsTVV16HeL0oJ6trHQeQ7K8/edit?usp=sharing"",""เชียงใหม่!R733"")+IMPORTRANGE(""https://docs.google.com/spreadsheets/d/1W6MnUbDkMi6xHnHko_XkFDO9kkuL6Wqyc-6OCDFjW9I/e"&amp;"dit?usp=sharing"",""ตาก!R733"")+IMPORTRANGE(""https://docs.google.com/spreadsheets/d/1IQAWArduLkta9LpYo4a_ULsyqdta6-6aDDiwpUnQT6c/edit?usp=sharing"",""นครสวรรค์!R733"")+IMPORTRANGE(""https://docs.google.com/spreadsheets/d/10s13Sk5xrltsiR-Zkbmk5DwIaDIKO8Xl"&amp;"bJAfqyT7Gvg/edit?usp=sharing"",""น่าน!R733"")+IMPORTRANGE(""https://docs.google.com/spreadsheets/d/1uu4nAn4Dbi1XREnLKKotUANlKXa7yCgRcgq8HEzQYW8/edit?usp=sharing"",""พะเยา!R733"")+IMPORTRANGE(""https://docs.google.com/spreadsheets/d/1xfJKIQxVOaPDIICqsflNlL"&amp;"u3JacTDk1FP9RH4phX7mI/edit?usp=sharing"",""พิจิตร!R733"")+IMPORTRANGE(""https://docs.google.com/spreadsheets/d/1JtRfZkJMHtEhI5RdRHxYUG4FIZHqKDpNyIuN7A1Q0_k/edit?usp=sharing"",""พิษณุโลก!R733"")+IMPORTRANGE(""https://docs.google.com/spreadsheets/d/1xlcVZWU"&amp;"Nn6SuWm0c307h32SiGkd9BaeQWlAktfD3KO8/edit?usp=sharing"",""เพชรบูรณ์!R733"")+IMPORTRANGE(""https://docs.google.com/spreadsheets/d/1lOVebEIsI9qjGXl6EX66luk7wiuP2tBaryw-wKvv4e0/edit?usp=sharing"",""แพร่!R733"")+IMPORTRANGE(""https://docs.google.com/spreadshe"&amp;"ets/d/1dQrvX0vEcN7Gu0fnZ0B5S90AeR19zth4XlExFBeExMY/edit?usp=sharing"",""แม่ฮ่องสอน!R733"")+IMPORTRANGE(""https://docs.google.com/spreadsheets/d/1DY4XTNNwjluuxqdfdn6qvOSlMRrZqUtmYcZR0ttFiG4/edit?usp=sharing"",""ลำปาง!R733"")+IMPORTRANGE(""https://docs.goog"&amp;"le.com/spreadsheets/d/1ICwG78r0OFT8biBlxnBF8r7she7gNSzOvJ958PWT09c/edit?usp=sharing"",""ลำพูน!R733"")+IMPORTRANGE(""https://docs.google.com/spreadsheets/d/1B0f2xJpZUC6Z0xXnqKlZtEPzsf6L84eP1r1Q15seqRM/edit?usp=sharing"",""สุโขทัย!R733"")+IMPORTRANGE(""http"&amp;"s://docs.google.com/spreadsheets/d/1v0b9pFQCsKUVExMei7AgY2yQkdeNQvtOssygGsXbiKo/edit?usp=sharing"",""อุตรดิตถ์!R733"")+IMPORTRANGE(""https://docs.google.com/spreadsheets/d/1UsNK1e-WWiCo2PvGqdNfdme4m17_Ezd3J69EeeiQPD0/edit?usp=sharing"",""อุทัยธานี!R733"")"),11271490)</f>
        <v>11271490</v>
      </c>
      <c r="S733" s="46">
        <f ca="1">IFERROR(__xludf.DUMMYFUNCTION("IMPORTRANGE(""https://docs.google.com/spreadsheets/d/1jTcq05yEiRwXcBMLjiodW9e4biSGYWAHcDj22rKWQ3s/edit?usp=sharing"",""กำแพงเพชร!S733"")+IMPORTRANGE(""https://docs.google.com/spreadsheets/d/1KS0zmDSZPk8KnTAbGN-Xk6MtX1YRZD0ldgdt20K4CRk/edit?usp=sharing"","&amp;"""เชียงราย!S733"")+IMPORTRANGE(""https://docs.google.com/spreadsheets/d/1rEDxBtusbi64tE0zunoIbsTVV16HeL0oJ6trHQeQ7K8/edit?usp=sharing"",""เชียงใหม่!S733"")+IMPORTRANGE(""https://docs.google.com/spreadsheets/d/1W6MnUbDkMi6xHnHko_XkFDO9kkuL6Wqyc-6OCDFjW9I/e"&amp;"dit?usp=sharing"",""ตาก!S733"")+IMPORTRANGE(""https://docs.google.com/spreadsheets/d/1IQAWArduLkta9LpYo4a_ULsyqdta6-6aDDiwpUnQT6c/edit?usp=sharing"",""นครสวรรค์!S733"")+IMPORTRANGE(""https://docs.google.com/spreadsheets/d/10s13Sk5xrltsiR-Zkbmk5DwIaDIKO8Xl"&amp;"bJAfqyT7Gvg/edit?usp=sharing"",""น่าน!S733"")+IMPORTRANGE(""https://docs.google.com/spreadsheets/d/1uu4nAn4Dbi1XREnLKKotUANlKXa7yCgRcgq8HEzQYW8/edit?usp=sharing"",""พะเยา!S733"")+IMPORTRANGE(""https://docs.google.com/spreadsheets/d/1xfJKIQxVOaPDIICqsflNlL"&amp;"u3JacTDk1FP9RH4phX7mI/edit?usp=sharing"",""พิจิตร!S733"")+IMPORTRANGE(""https://docs.google.com/spreadsheets/d/1JtRfZkJMHtEhI5RdRHxYUG4FIZHqKDpNyIuN7A1Q0_k/edit?usp=sharing"",""พิษณุโลก!S733"")+IMPORTRANGE(""https://docs.google.com/spreadsheets/d/1xlcVZWU"&amp;"Nn6SuWm0c307h32SiGkd9BaeQWlAktfD3KO8/edit?usp=sharing"",""เพชรบูรณ์!S733"")+IMPORTRANGE(""https://docs.google.com/spreadsheets/d/1lOVebEIsI9qjGXl6EX66luk7wiuP2tBaryw-wKvv4e0/edit?usp=sharing"",""แพร่!S733"")+IMPORTRANGE(""https://docs.google.com/spreadshe"&amp;"ets/d/1dQrvX0vEcN7Gu0fnZ0B5S90AeR19zth4XlExFBeExMY/edit?usp=sharing"",""แม่ฮ่องสอน!S733"")+IMPORTRANGE(""https://docs.google.com/spreadsheets/d/1DY4XTNNwjluuxqdfdn6qvOSlMRrZqUtmYcZR0ttFiG4/edit?usp=sharing"",""ลำปาง!S733"")+IMPORTRANGE(""https://docs.goog"&amp;"le.com/spreadsheets/d/1ICwG78r0OFT8biBlxnBF8r7she7gNSzOvJ958PWT09c/edit?usp=sharing"",""ลำพูน!S733"")+IMPORTRANGE(""https://docs.google.com/spreadsheets/d/1B0f2xJpZUC6Z0xXnqKlZtEPzsf6L84eP1r1Q15seqRM/edit?usp=sharing"",""สุโขทัย!S733"")+IMPORTRANGE(""http"&amp;"s://docs.google.com/spreadsheets/d/1v0b9pFQCsKUVExMei7AgY2yQkdeNQvtOssygGsXbiKo/edit?usp=sharing"",""อุตรดิตถ์!S733"")+IMPORTRANGE(""https://docs.google.com/spreadsheets/d/1UsNK1e-WWiCo2PvGqdNfdme4m17_Ezd3J69EeeiQPD0/edit?usp=sharing"",""อุทัยธานี!S733"")"),1367324.16)</f>
        <v>1367324.16</v>
      </c>
      <c r="T733" s="46">
        <f t="shared" ca="1" si="507"/>
        <v>12.130819971450093</v>
      </c>
      <c r="U733" s="46">
        <f t="shared" ca="1" si="508"/>
        <v>12.130819971450093</v>
      </c>
    </row>
    <row r="734" spans="1:21" ht="18.75" x14ac:dyDescent="0.25">
      <c r="A734" s="128"/>
      <c r="B734" s="158"/>
      <c r="C734" s="158"/>
      <c r="D734" s="41" t="s">
        <v>23</v>
      </c>
      <c r="E734" s="158"/>
      <c r="F734" s="158"/>
      <c r="G734" s="42"/>
      <c r="H734" s="137" t="s">
        <v>14</v>
      </c>
      <c r="I734" s="135"/>
      <c r="J734" s="135"/>
      <c r="K734" s="136"/>
      <c r="L734" s="46">
        <f t="shared" ref="L734:N734" ca="1" si="515">L735+L736</f>
        <v>0</v>
      </c>
      <c r="M734" s="46">
        <f t="shared" ca="1" si="515"/>
        <v>0</v>
      </c>
      <c r="N734" s="46">
        <f t="shared" ca="1" si="515"/>
        <v>0</v>
      </c>
      <c r="O734" s="46">
        <f t="shared" ca="1" si="504"/>
        <v>0</v>
      </c>
      <c r="P734" s="46">
        <f t="shared" ca="1" si="505"/>
        <v>0</v>
      </c>
      <c r="Q734" s="46">
        <f t="shared" ref="Q734:S734" ca="1" si="516">Q735+Q736</f>
        <v>0</v>
      </c>
      <c r="R734" s="46">
        <f t="shared" ca="1" si="516"/>
        <v>0</v>
      </c>
      <c r="S734" s="46">
        <f t="shared" ca="1" si="516"/>
        <v>0</v>
      </c>
      <c r="T734" s="46">
        <f t="shared" ca="1" si="507"/>
        <v>0</v>
      </c>
      <c r="U734" s="46">
        <f t="shared" ca="1" si="508"/>
        <v>0</v>
      </c>
    </row>
    <row r="735" spans="1:21" ht="18.75" x14ac:dyDescent="0.25">
      <c r="A735" s="128"/>
      <c r="B735" s="158"/>
      <c r="C735" s="158"/>
      <c r="D735" s="158"/>
      <c r="E735" s="314" t="s">
        <v>20</v>
      </c>
      <c r="F735" s="158"/>
      <c r="G735" s="42"/>
      <c r="H735" s="159" t="s">
        <v>14</v>
      </c>
      <c r="I735" s="135"/>
      <c r="J735" s="135"/>
      <c r="K735" s="136"/>
      <c r="L735" s="48">
        <f ca="1">IFERROR(__xludf.DUMMYFUNCTION("IMPORTRANGE(""https://docs.google.com/spreadsheets/d/1jTcq05yEiRwXcBMLjiodW9e4biSGYWAHcDj22rKWQ3s/edit?usp=sharing"",""กำแพงเพชร!L735"")+IMPORTRANGE(""https://docs.google.com/spreadsheets/d/1KS0zmDSZPk8KnTAbGN-Xk6MtX1YRZD0ldgdt20K4CRk/edit?usp=sharing"","&amp;"""เชียงราย!L735"")+IMPORTRANGE(""https://docs.google.com/spreadsheets/d/1rEDxBtusbi64tE0zunoIbsTVV16HeL0oJ6trHQeQ7K8/edit?usp=sharing"",""เชียงใหม่!L735"")+IMPORTRANGE(""https://docs.google.com/spreadsheets/d/1W6MnUbDkMi6xHnHko_XkFDO9kkuL6Wqyc-6OCDFjW9I/e"&amp;"dit?usp=sharing"",""ตาก!L735"")+IMPORTRANGE(""https://docs.google.com/spreadsheets/d/1IQAWArduLkta9LpYo4a_ULsyqdta6-6aDDiwpUnQT6c/edit?usp=sharing"",""นครสวรรค์!L735"")+IMPORTRANGE(""https://docs.google.com/spreadsheets/d/10s13Sk5xrltsiR-Zkbmk5DwIaDIKO8Xl"&amp;"bJAfqyT7Gvg/edit?usp=sharing"",""น่าน!L735"")+IMPORTRANGE(""https://docs.google.com/spreadsheets/d/1uu4nAn4Dbi1XREnLKKotUANlKXa7yCgRcgq8HEzQYW8/edit?usp=sharing"",""พะเยา!L735"")+IMPORTRANGE(""https://docs.google.com/spreadsheets/d/1xfJKIQxVOaPDIICqsflNlL"&amp;"u3JacTDk1FP9RH4phX7mI/edit?usp=sharing"",""พิจิตร!L735"")+IMPORTRANGE(""https://docs.google.com/spreadsheets/d/1JtRfZkJMHtEhI5RdRHxYUG4FIZHqKDpNyIuN7A1Q0_k/edit?usp=sharing"",""พิษณุโลก!L735"")+IMPORTRANGE(""https://docs.google.com/spreadsheets/d/1xlcVZWU"&amp;"Nn6SuWm0c307h32SiGkd9BaeQWlAktfD3KO8/edit?usp=sharing"",""เพชรบูรณ์!L735"")+IMPORTRANGE(""https://docs.google.com/spreadsheets/d/1lOVebEIsI9qjGXl6EX66luk7wiuP2tBaryw-wKvv4e0/edit?usp=sharing"",""แพร่!L735"")+IMPORTRANGE(""https://docs.google.com/spreadshe"&amp;"ets/d/1dQrvX0vEcN7Gu0fnZ0B5S90AeR19zth4XlExFBeExMY/edit?usp=sharing"",""แม่ฮ่องสอน!L735"")+IMPORTRANGE(""https://docs.google.com/spreadsheets/d/1DY4XTNNwjluuxqdfdn6qvOSlMRrZqUtmYcZR0ttFiG4/edit?usp=sharing"",""ลำปาง!L735"")+IMPORTRANGE(""https://docs.goog"&amp;"le.com/spreadsheets/d/1ICwG78r0OFT8biBlxnBF8r7she7gNSzOvJ958PWT09c/edit?usp=sharing"",""ลำพูน!L735"")+IMPORTRANGE(""https://docs.google.com/spreadsheets/d/1B0f2xJpZUC6Z0xXnqKlZtEPzsf6L84eP1r1Q15seqRM/edit?usp=sharing"",""สุโขทัย!L735"")+IMPORTRANGE(""http"&amp;"s://docs.google.com/spreadsheets/d/1v0b9pFQCsKUVExMei7AgY2yQkdeNQvtOssygGsXbiKo/edit?usp=sharing"",""อุตรดิตถ์!L735"")+IMPORTRANGE(""https://docs.google.com/spreadsheets/d/1UsNK1e-WWiCo2PvGqdNfdme4m17_Ezd3J69EeeiQPD0/edit?usp=sharing"",""อุทัยธานี!L735"")"),0)</f>
        <v>0</v>
      </c>
      <c r="M735" s="48">
        <f ca="1">IFERROR(__xludf.DUMMYFUNCTION("IMPORTRANGE(""https://docs.google.com/spreadsheets/d/1jTcq05yEiRwXcBMLjiodW9e4biSGYWAHcDj22rKWQ3s/edit?usp=sharing"",""กำแพงเพชร!M735"")+IMPORTRANGE(""https://docs.google.com/spreadsheets/d/1KS0zmDSZPk8KnTAbGN-Xk6MtX1YRZD0ldgdt20K4CRk/edit?usp=sharing"","&amp;"""เชียงราย!M735"")+IMPORTRANGE(""https://docs.google.com/spreadsheets/d/1rEDxBtusbi64tE0zunoIbsTVV16HeL0oJ6trHQeQ7K8/edit?usp=sharing"",""เชียงใหม่!M735"")+IMPORTRANGE(""https://docs.google.com/spreadsheets/d/1W6MnUbDkMi6xHnHko_XkFDO9kkuL6Wqyc-6OCDFjW9I/e"&amp;"dit?usp=sharing"",""ตาก!M735"")+IMPORTRANGE(""https://docs.google.com/spreadsheets/d/1IQAWArduLkta9LpYo4a_ULsyqdta6-6aDDiwpUnQT6c/edit?usp=sharing"",""นครสวรรค์!M735"")+IMPORTRANGE(""https://docs.google.com/spreadsheets/d/10s13Sk5xrltsiR-Zkbmk5DwIaDIKO8Xl"&amp;"bJAfqyT7Gvg/edit?usp=sharing"",""น่าน!M735"")+IMPORTRANGE(""https://docs.google.com/spreadsheets/d/1uu4nAn4Dbi1XREnLKKotUANlKXa7yCgRcgq8HEzQYW8/edit?usp=sharing"",""พะเยา!M735"")+IMPORTRANGE(""https://docs.google.com/spreadsheets/d/1xfJKIQxVOaPDIICqsflNlL"&amp;"u3JacTDk1FP9RH4phX7mI/edit?usp=sharing"",""พิจิตร!M735"")+IMPORTRANGE(""https://docs.google.com/spreadsheets/d/1JtRfZkJMHtEhI5RdRHxYUG4FIZHqKDpNyIuN7A1Q0_k/edit?usp=sharing"",""พิษณุโลก!M735"")+IMPORTRANGE(""https://docs.google.com/spreadsheets/d/1xlcVZWU"&amp;"Nn6SuWm0c307h32SiGkd9BaeQWlAktfD3KO8/edit?usp=sharing"",""เพชรบูรณ์!M735"")+IMPORTRANGE(""https://docs.google.com/spreadsheets/d/1lOVebEIsI9qjGXl6EX66luk7wiuP2tBaryw-wKvv4e0/edit?usp=sharing"",""แพร่!M735"")+IMPORTRANGE(""https://docs.google.com/spreadshe"&amp;"ets/d/1dQrvX0vEcN7Gu0fnZ0B5S90AeR19zth4XlExFBeExMY/edit?usp=sharing"",""แม่ฮ่องสอน!M735"")+IMPORTRANGE(""https://docs.google.com/spreadsheets/d/1DY4XTNNwjluuxqdfdn6qvOSlMRrZqUtmYcZR0ttFiG4/edit?usp=sharing"",""ลำปาง!M735"")+IMPORTRANGE(""https://docs.goog"&amp;"le.com/spreadsheets/d/1ICwG78r0OFT8biBlxnBF8r7she7gNSzOvJ958PWT09c/edit?usp=sharing"",""ลำพูน!M735"")+IMPORTRANGE(""https://docs.google.com/spreadsheets/d/1B0f2xJpZUC6Z0xXnqKlZtEPzsf6L84eP1r1Q15seqRM/edit?usp=sharing"",""สุโขทัย!M735"")+IMPORTRANGE(""http"&amp;"s://docs.google.com/spreadsheets/d/1v0b9pFQCsKUVExMei7AgY2yQkdeNQvtOssygGsXbiKo/edit?usp=sharing"",""อุตรดิตถ์!M735"")+IMPORTRANGE(""https://docs.google.com/spreadsheets/d/1UsNK1e-WWiCo2PvGqdNfdme4m17_Ezd3J69EeeiQPD0/edit?usp=sharing"",""อุทัยธานี!M735"")"),0)</f>
        <v>0</v>
      </c>
      <c r="N735" s="48">
        <f ca="1">IFERROR(__xludf.DUMMYFUNCTION("IMPORTRANGE(""https://docs.google.com/spreadsheets/d/1jTcq05yEiRwXcBMLjiodW9e4biSGYWAHcDj22rKWQ3s/edit?usp=sharing"",""กำแพงเพชร!N735"")+IMPORTRANGE(""https://docs.google.com/spreadsheets/d/1KS0zmDSZPk8KnTAbGN-Xk6MtX1YRZD0ldgdt20K4CRk/edit?usp=sharing"","&amp;"""เชียงราย!N735"")+IMPORTRANGE(""https://docs.google.com/spreadsheets/d/1rEDxBtusbi64tE0zunoIbsTVV16HeL0oJ6trHQeQ7K8/edit?usp=sharing"",""เชียงใหม่!N735"")+IMPORTRANGE(""https://docs.google.com/spreadsheets/d/1W6MnUbDkMi6xHnHko_XkFDO9kkuL6Wqyc-6OCDFjW9I/e"&amp;"dit?usp=sharing"",""ตาก!N735"")+IMPORTRANGE(""https://docs.google.com/spreadsheets/d/1IQAWArduLkta9LpYo4a_ULsyqdta6-6aDDiwpUnQT6c/edit?usp=sharing"",""นครสวรรค์!N735"")+IMPORTRANGE(""https://docs.google.com/spreadsheets/d/10s13Sk5xrltsiR-Zkbmk5DwIaDIKO8Xl"&amp;"bJAfqyT7Gvg/edit?usp=sharing"",""น่าน!N735"")+IMPORTRANGE(""https://docs.google.com/spreadsheets/d/1uu4nAn4Dbi1XREnLKKotUANlKXa7yCgRcgq8HEzQYW8/edit?usp=sharing"",""พะเยา!N735"")+IMPORTRANGE(""https://docs.google.com/spreadsheets/d/1xfJKIQxVOaPDIICqsflNlL"&amp;"u3JacTDk1FP9RH4phX7mI/edit?usp=sharing"",""พิจิตร!N735"")+IMPORTRANGE(""https://docs.google.com/spreadsheets/d/1JtRfZkJMHtEhI5RdRHxYUG4FIZHqKDpNyIuN7A1Q0_k/edit?usp=sharing"",""พิษณุโลก!N735"")+IMPORTRANGE(""https://docs.google.com/spreadsheets/d/1xlcVZWU"&amp;"Nn6SuWm0c307h32SiGkd9BaeQWlAktfD3KO8/edit?usp=sharing"",""เพชรบูรณ์!N735"")+IMPORTRANGE(""https://docs.google.com/spreadsheets/d/1lOVebEIsI9qjGXl6EX66luk7wiuP2tBaryw-wKvv4e0/edit?usp=sharing"",""แพร่!N735"")+IMPORTRANGE(""https://docs.google.com/spreadshe"&amp;"ets/d/1dQrvX0vEcN7Gu0fnZ0B5S90AeR19zth4XlExFBeExMY/edit?usp=sharing"",""แม่ฮ่องสอน!N735"")+IMPORTRANGE(""https://docs.google.com/spreadsheets/d/1DY4XTNNwjluuxqdfdn6qvOSlMRrZqUtmYcZR0ttFiG4/edit?usp=sharing"",""ลำปาง!N735"")+IMPORTRANGE(""https://docs.goog"&amp;"le.com/spreadsheets/d/1ICwG78r0OFT8biBlxnBF8r7she7gNSzOvJ958PWT09c/edit?usp=sharing"",""ลำพูน!N735"")+IMPORTRANGE(""https://docs.google.com/spreadsheets/d/1B0f2xJpZUC6Z0xXnqKlZtEPzsf6L84eP1r1Q15seqRM/edit?usp=sharing"",""สุโขทัย!N735"")+IMPORTRANGE(""http"&amp;"s://docs.google.com/spreadsheets/d/1v0b9pFQCsKUVExMei7AgY2yQkdeNQvtOssygGsXbiKo/edit?usp=sharing"",""อุตรดิตถ์!N735"")+IMPORTRANGE(""https://docs.google.com/spreadsheets/d/1UsNK1e-WWiCo2PvGqdNfdme4m17_Ezd3J69EeeiQPD0/edit?usp=sharing"",""อุทัยธานี!N735"")"),0)</f>
        <v>0</v>
      </c>
      <c r="O735" s="48">
        <f t="shared" ca="1" si="504"/>
        <v>0</v>
      </c>
      <c r="P735" s="48">
        <f t="shared" ca="1" si="505"/>
        <v>0</v>
      </c>
      <c r="Q735" s="48">
        <f ca="1">IFERROR(__xludf.DUMMYFUNCTION("IMPORTRANGE(""https://docs.google.com/spreadsheets/d/1jTcq05yEiRwXcBMLjiodW9e4biSGYWAHcDj22rKWQ3s/edit?usp=sharing"",""กำแพงเพชร!Q735"")+IMPORTRANGE(""https://docs.google.com/spreadsheets/d/1KS0zmDSZPk8KnTAbGN-Xk6MtX1YRZD0ldgdt20K4CRk/edit?usp=sharing"","&amp;"""เชียงราย!Q735"")+IMPORTRANGE(""https://docs.google.com/spreadsheets/d/1rEDxBtusbi64tE0zunoIbsTVV16HeL0oJ6trHQeQ7K8/edit?usp=sharing"",""เชียงใหม่!Q735"")+IMPORTRANGE(""https://docs.google.com/spreadsheets/d/1W6MnUbDkMi6xHnHko_XkFDO9kkuL6Wqyc-6OCDFjW9I/e"&amp;"dit?usp=sharing"",""ตาก!Q735"")+IMPORTRANGE(""https://docs.google.com/spreadsheets/d/1IQAWArduLkta9LpYo4a_ULsyqdta6-6aDDiwpUnQT6c/edit?usp=sharing"",""นครสวรรค์!Q735"")+IMPORTRANGE(""https://docs.google.com/spreadsheets/d/10s13Sk5xrltsiR-Zkbmk5DwIaDIKO8Xl"&amp;"bJAfqyT7Gvg/edit?usp=sharing"",""น่าน!Q735"")+IMPORTRANGE(""https://docs.google.com/spreadsheets/d/1uu4nAn4Dbi1XREnLKKotUANlKXa7yCgRcgq8HEzQYW8/edit?usp=sharing"",""พะเยา!Q735"")+IMPORTRANGE(""https://docs.google.com/spreadsheets/d/1xfJKIQxVOaPDIICqsflNlL"&amp;"u3JacTDk1FP9RH4phX7mI/edit?usp=sharing"",""พิจิตร!Q735"")+IMPORTRANGE(""https://docs.google.com/spreadsheets/d/1JtRfZkJMHtEhI5RdRHxYUG4FIZHqKDpNyIuN7A1Q0_k/edit?usp=sharing"",""พิษณุโลก!Q735"")+IMPORTRANGE(""https://docs.google.com/spreadsheets/d/1xlcVZWU"&amp;"Nn6SuWm0c307h32SiGkd9BaeQWlAktfD3KO8/edit?usp=sharing"",""เพชรบูรณ์!Q735"")+IMPORTRANGE(""https://docs.google.com/spreadsheets/d/1lOVebEIsI9qjGXl6EX66luk7wiuP2tBaryw-wKvv4e0/edit?usp=sharing"",""แพร่!Q735"")+IMPORTRANGE(""https://docs.google.com/spreadshe"&amp;"ets/d/1dQrvX0vEcN7Gu0fnZ0B5S90AeR19zth4XlExFBeExMY/edit?usp=sharing"",""แม่ฮ่องสอน!Q735"")+IMPORTRANGE(""https://docs.google.com/spreadsheets/d/1DY4XTNNwjluuxqdfdn6qvOSlMRrZqUtmYcZR0ttFiG4/edit?usp=sharing"",""ลำปาง!Q735"")+IMPORTRANGE(""https://docs.goog"&amp;"le.com/spreadsheets/d/1ICwG78r0OFT8biBlxnBF8r7she7gNSzOvJ958PWT09c/edit?usp=sharing"",""ลำพูน!Q735"")+IMPORTRANGE(""https://docs.google.com/spreadsheets/d/1B0f2xJpZUC6Z0xXnqKlZtEPzsf6L84eP1r1Q15seqRM/edit?usp=sharing"",""สุโขทัย!Q735"")+IMPORTRANGE(""http"&amp;"s://docs.google.com/spreadsheets/d/1v0b9pFQCsKUVExMei7AgY2yQkdeNQvtOssygGsXbiKo/edit?usp=sharing"",""อุตรดิตถ์!Q735"")+IMPORTRANGE(""https://docs.google.com/spreadsheets/d/1UsNK1e-WWiCo2PvGqdNfdme4m17_Ezd3J69EeeiQPD0/edit?usp=sharing"",""อุทัยธานี!Q735"")"),0)</f>
        <v>0</v>
      </c>
      <c r="R735" s="48">
        <f ca="1">IFERROR(__xludf.DUMMYFUNCTION("IMPORTRANGE(""https://docs.google.com/spreadsheets/d/1jTcq05yEiRwXcBMLjiodW9e4biSGYWAHcDj22rKWQ3s/edit?usp=sharing"",""กำแพงเพชร!R735"")+IMPORTRANGE(""https://docs.google.com/spreadsheets/d/1KS0zmDSZPk8KnTAbGN-Xk6MtX1YRZD0ldgdt20K4CRk/edit?usp=sharing"","&amp;"""เชียงราย!R735"")+IMPORTRANGE(""https://docs.google.com/spreadsheets/d/1rEDxBtusbi64tE0zunoIbsTVV16HeL0oJ6trHQeQ7K8/edit?usp=sharing"",""เชียงใหม่!R735"")+IMPORTRANGE(""https://docs.google.com/spreadsheets/d/1W6MnUbDkMi6xHnHko_XkFDO9kkuL6Wqyc-6OCDFjW9I/e"&amp;"dit?usp=sharing"",""ตาก!R735"")+IMPORTRANGE(""https://docs.google.com/spreadsheets/d/1IQAWArduLkta9LpYo4a_ULsyqdta6-6aDDiwpUnQT6c/edit?usp=sharing"",""นครสวรรค์!R735"")+IMPORTRANGE(""https://docs.google.com/spreadsheets/d/10s13Sk5xrltsiR-Zkbmk5DwIaDIKO8Xl"&amp;"bJAfqyT7Gvg/edit?usp=sharing"",""น่าน!R735"")+IMPORTRANGE(""https://docs.google.com/spreadsheets/d/1uu4nAn4Dbi1XREnLKKotUANlKXa7yCgRcgq8HEzQYW8/edit?usp=sharing"",""พะเยา!R735"")+IMPORTRANGE(""https://docs.google.com/spreadsheets/d/1xfJKIQxVOaPDIICqsflNlL"&amp;"u3JacTDk1FP9RH4phX7mI/edit?usp=sharing"",""พิจิตร!R735"")+IMPORTRANGE(""https://docs.google.com/spreadsheets/d/1JtRfZkJMHtEhI5RdRHxYUG4FIZHqKDpNyIuN7A1Q0_k/edit?usp=sharing"",""พิษณุโลก!R735"")+IMPORTRANGE(""https://docs.google.com/spreadsheets/d/1xlcVZWU"&amp;"Nn6SuWm0c307h32SiGkd9BaeQWlAktfD3KO8/edit?usp=sharing"",""เพชรบูรณ์!R735"")+IMPORTRANGE(""https://docs.google.com/spreadsheets/d/1lOVebEIsI9qjGXl6EX66luk7wiuP2tBaryw-wKvv4e0/edit?usp=sharing"",""แพร่!R735"")+IMPORTRANGE(""https://docs.google.com/spreadshe"&amp;"ets/d/1dQrvX0vEcN7Gu0fnZ0B5S90AeR19zth4XlExFBeExMY/edit?usp=sharing"",""แม่ฮ่องสอน!R735"")+IMPORTRANGE(""https://docs.google.com/spreadsheets/d/1DY4XTNNwjluuxqdfdn6qvOSlMRrZqUtmYcZR0ttFiG4/edit?usp=sharing"",""ลำปาง!R735"")+IMPORTRANGE(""https://docs.goog"&amp;"le.com/spreadsheets/d/1ICwG78r0OFT8biBlxnBF8r7she7gNSzOvJ958PWT09c/edit?usp=sharing"",""ลำพูน!R735"")+IMPORTRANGE(""https://docs.google.com/spreadsheets/d/1B0f2xJpZUC6Z0xXnqKlZtEPzsf6L84eP1r1Q15seqRM/edit?usp=sharing"",""สุโขทัย!R735"")+IMPORTRANGE(""http"&amp;"s://docs.google.com/spreadsheets/d/1v0b9pFQCsKUVExMei7AgY2yQkdeNQvtOssygGsXbiKo/edit?usp=sharing"",""อุตรดิตถ์!R735"")+IMPORTRANGE(""https://docs.google.com/spreadsheets/d/1UsNK1e-WWiCo2PvGqdNfdme4m17_Ezd3J69EeeiQPD0/edit?usp=sharing"",""อุทัยธานี!R735"")"),0)</f>
        <v>0</v>
      </c>
      <c r="S735" s="48">
        <f ca="1">IFERROR(__xludf.DUMMYFUNCTION("IMPORTRANGE(""https://docs.google.com/spreadsheets/d/1jTcq05yEiRwXcBMLjiodW9e4biSGYWAHcDj22rKWQ3s/edit?usp=sharing"",""กำแพงเพชร!S735"")+IMPORTRANGE(""https://docs.google.com/spreadsheets/d/1KS0zmDSZPk8KnTAbGN-Xk6MtX1YRZD0ldgdt20K4CRk/edit?usp=sharing"","&amp;"""เชียงราย!S735"")+IMPORTRANGE(""https://docs.google.com/spreadsheets/d/1rEDxBtusbi64tE0zunoIbsTVV16HeL0oJ6trHQeQ7K8/edit?usp=sharing"",""เชียงใหม่!S735"")+IMPORTRANGE(""https://docs.google.com/spreadsheets/d/1W6MnUbDkMi6xHnHko_XkFDO9kkuL6Wqyc-6OCDFjW9I/e"&amp;"dit?usp=sharing"",""ตาก!S735"")+IMPORTRANGE(""https://docs.google.com/spreadsheets/d/1IQAWArduLkta9LpYo4a_ULsyqdta6-6aDDiwpUnQT6c/edit?usp=sharing"",""นครสวรรค์!S735"")+IMPORTRANGE(""https://docs.google.com/spreadsheets/d/10s13Sk5xrltsiR-Zkbmk5DwIaDIKO8Xl"&amp;"bJAfqyT7Gvg/edit?usp=sharing"",""น่าน!S735"")+IMPORTRANGE(""https://docs.google.com/spreadsheets/d/1uu4nAn4Dbi1XREnLKKotUANlKXa7yCgRcgq8HEzQYW8/edit?usp=sharing"",""พะเยา!S735"")+IMPORTRANGE(""https://docs.google.com/spreadsheets/d/1xfJKIQxVOaPDIICqsflNlL"&amp;"u3JacTDk1FP9RH4phX7mI/edit?usp=sharing"",""พิจิตร!S735"")+IMPORTRANGE(""https://docs.google.com/spreadsheets/d/1JtRfZkJMHtEhI5RdRHxYUG4FIZHqKDpNyIuN7A1Q0_k/edit?usp=sharing"",""พิษณุโลก!S735"")+IMPORTRANGE(""https://docs.google.com/spreadsheets/d/1xlcVZWU"&amp;"Nn6SuWm0c307h32SiGkd9BaeQWlAktfD3KO8/edit?usp=sharing"",""เพชรบูรณ์!S735"")+IMPORTRANGE(""https://docs.google.com/spreadsheets/d/1lOVebEIsI9qjGXl6EX66luk7wiuP2tBaryw-wKvv4e0/edit?usp=sharing"",""แพร่!S735"")+IMPORTRANGE(""https://docs.google.com/spreadshe"&amp;"ets/d/1dQrvX0vEcN7Gu0fnZ0B5S90AeR19zth4XlExFBeExMY/edit?usp=sharing"",""แม่ฮ่องสอน!S735"")+IMPORTRANGE(""https://docs.google.com/spreadsheets/d/1DY4XTNNwjluuxqdfdn6qvOSlMRrZqUtmYcZR0ttFiG4/edit?usp=sharing"",""ลำปาง!S735"")+IMPORTRANGE(""https://docs.goog"&amp;"le.com/spreadsheets/d/1ICwG78r0OFT8biBlxnBF8r7she7gNSzOvJ958PWT09c/edit?usp=sharing"",""ลำพูน!S735"")+IMPORTRANGE(""https://docs.google.com/spreadsheets/d/1B0f2xJpZUC6Z0xXnqKlZtEPzsf6L84eP1r1Q15seqRM/edit?usp=sharing"",""สุโขทัย!S735"")+IMPORTRANGE(""http"&amp;"s://docs.google.com/spreadsheets/d/1v0b9pFQCsKUVExMei7AgY2yQkdeNQvtOssygGsXbiKo/edit?usp=sharing"",""อุตรดิตถ์!S735"")+IMPORTRANGE(""https://docs.google.com/spreadsheets/d/1UsNK1e-WWiCo2PvGqdNfdme4m17_Ezd3J69EeeiQPD0/edit?usp=sharing"",""อุทัยธานี!S735"")"),0)</f>
        <v>0</v>
      </c>
      <c r="T735" s="48">
        <f t="shared" ca="1" si="507"/>
        <v>0</v>
      </c>
      <c r="U735" s="48">
        <f t="shared" ca="1" si="508"/>
        <v>0</v>
      </c>
    </row>
    <row r="736" spans="1:21" ht="18.75" x14ac:dyDescent="0.25">
      <c r="A736" s="128"/>
      <c r="B736" s="158"/>
      <c r="C736" s="158"/>
      <c r="D736" s="158"/>
      <c r="E736" s="209" t="s">
        <v>21</v>
      </c>
      <c r="F736" s="158"/>
      <c r="G736" s="42"/>
      <c r="H736" s="137" t="s">
        <v>14</v>
      </c>
      <c r="I736" s="135"/>
      <c r="J736" s="135"/>
      <c r="K736" s="136"/>
      <c r="L736" s="46">
        <f ca="1">IFERROR(__xludf.DUMMYFUNCTION("IMPORTRANGE(""https://docs.google.com/spreadsheets/d/1jTcq05yEiRwXcBMLjiodW9e4biSGYWAHcDj22rKWQ3s/edit?usp=sharing"",""กำแพงเพชร!L736"")+IMPORTRANGE(""https://docs.google.com/spreadsheets/d/1KS0zmDSZPk8KnTAbGN-Xk6MtX1YRZD0ldgdt20K4CRk/edit?usp=sharing"","&amp;"""เชียงราย!L736"")+IMPORTRANGE(""https://docs.google.com/spreadsheets/d/1rEDxBtusbi64tE0zunoIbsTVV16HeL0oJ6trHQeQ7K8/edit?usp=sharing"",""เชียงใหม่!L736"")+IMPORTRANGE(""https://docs.google.com/spreadsheets/d/1W6MnUbDkMi6xHnHko_XkFDO9kkuL6Wqyc-6OCDFjW9I/e"&amp;"dit?usp=sharing"",""ตาก!L736"")+IMPORTRANGE(""https://docs.google.com/spreadsheets/d/1IQAWArduLkta9LpYo4a_ULsyqdta6-6aDDiwpUnQT6c/edit?usp=sharing"",""นครสวรรค์!L736"")+IMPORTRANGE(""https://docs.google.com/spreadsheets/d/10s13Sk5xrltsiR-Zkbmk5DwIaDIKO8Xl"&amp;"bJAfqyT7Gvg/edit?usp=sharing"",""น่าน!L736"")+IMPORTRANGE(""https://docs.google.com/spreadsheets/d/1uu4nAn4Dbi1XREnLKKotUANlKXa7yCgRcgq8HEzQYW8/edit?usp=sharing"",""พะเยา!L736"")+IMPORTRANGE(""https://docs.google.com/spreadsheets/d/1xfJKIQxVOaPDIICqsflNlL"&amp;"u3JacTDk1FP9RH4phX7mI/edit?usp=sharing"",""พิจิตร!L736"")+IMPORTRANGE(""https://docs.google.com/spreadsheets/d/1JtRfZkJMHtEhI5RdRHxYUG4FIZHqKDpNyIuN7A1Q0_k/edit?usp=sharing"",""พิษณุโลก!L736"")+IMPORTRANGE(""https://docs.google.com/spreadsheets/d/1xlcVZWU"&amp;"Nn6SuWm0c307h32SiGkd9BaeQWlAktfD3KO8/edit?usp=sharing"",""เพชรบูรณ์!L736"")+IMPORTRANGE(""https://docs.google.com/spreadsheets/d/1lOVebEIsI9qjGXl6EX66luk7wiuP2tBaryw-wKvv4e0/edit?usp=sharing"",""แพร่!L736"")+IMPORTRANGE(""https://docs.google.com/spreadshe"&amp;"ets/d/1dQrvX0vEcN7Gu0fnZ0B5S90AeR19zth4XlExFBeExMY/edit?usp=sharing"",""แม่ฮ่องสอน!L736"")+IMPORTRANGE(""https://docs.google.com/spreadsheets/d/1DY4XTNNwjluuxqdfdn6qvOSlMRrZqUtmYcZR0ttFiG4/edit?usp=sharing"",""ลำปาง!L736"")+IMPORTRANGE(""https://docs.goog"&amp;"le.com/spreadsheets/d/1ICwG78r0OFT8biBlxnBF8r7she7gNSzOvJ958PWT09c/edit?usp=sharing"",""ลำพูน!L736"")+IMPORTRANGE(""https://docs.google.com/spreadsheets/d/1B0f2xJpZUC6Z0xXnqKlZtEPzsf6L84eP1r1Q15seqRM/edit?usp=sharing"",""สุโขทัย!L736"")+IMPORTRANGE(""http"&amp;"s://docs.google.com/spreadsheets/d/1v0b9pFQCsKUVExMei7AgY2yQkdeNQvtOssygGsXbiKo/edit?usp=sharing"",""อุตรดิตถ์!L736"")+IMPORTRANGE(""https://docs.google.com/spreadsheets/d/1UsNK1e-WWiCo2PvGqdNfdme4m17_Ezd3J69EeeiQPD0/edit?usp=sharing"",""อุทัยธานี!L736"")"),0)</f>
        <v>0</v>
      </c>
      <c r="M736" s="46">
        <f ca="1">IFERROR(__xludf.DUMMYFUNCTION("IMPORTRANGE(""https://docs.google.com/spreadsheets/d/1jTcq05yEiRwXcBMLjiodW9e4biSGYWAHcDj22rKWQ3s/edit?usp=sharing"",""กำแพงเพชร!M736"")+IMPORTRANGE(""https://docs.google.com/spreadsheets/d/1KS0zmDSZPk8KnTAbGN-Xk6MtX1YRZD0ldgdt20K4CRk/edit?usp=sharing"","&amp;"""เชียงราย!M736"")+IMPORTRANGE(""https://docs.google.com/spreadsheets/d/1rEDxBtusbi64tE0zunoIbsTVV16HeL0oJ6trHQeQ7K8/edit?usp=sharing"",""เชียงใหม่!M736"")+IMPORTRANGE(""https://docs.google.com/spreadsheets/d/1W6MnUbDkMi6xHnHko_XkFDO9kkuL6Wqyc-6OCDFjW9I/e"&amp;"dit?usp=sharing"",""ตาก!M736"")+IMPORTRANGE(""https://docs.google.com/spreadsheets/d/1IQAWArduLkta9LpYo4a_ULsyqdta6-6aDDiwpUnQT6c/edit?usp=sharing"",""นครสวรรค์!M736"")+IMPORTRANGE(""https://docs.google.com/spreadsheets/d/10s13Sk5xrltsiR-Zkbmk5DwIaDIKO8Xl"&amp;"bJAfqyT7Gvg/edit?usp=sharing"",""น่าน!M736"")+IMPORTRANGE(""https://docs.google.com/spreadsheets/d/1uu4nAn4Dbi1XREnLKKotUANlKXa7yCgRcgq8HEzQYW8/edit?usp=sharing"",""พะเยา!M736"")+IMPORTRANGE(""https://docs.google.com/spreadsheets/d/1xfJKIQxVOaPDIICqsflNlL"&amp;"u3JacTDk1FP9RH4phX7mI/edit?usp=sharing"",""พิจิตร!M736"")+IMPORTRANGE(""https://docs.google.com/spreadsheets/d/1JtRfZkJMHtEhI5RdRHxYUG4FIZHqKDpNyIuN7A1Q0_k/edit?usp=sharing"",""พิษณุโลก!M736"")+IMPORTRANGE(""https://docs.google.com/spreadsheets/d/1xlcVZWU"&amp;"Nn6SuWm0c307h32SiGkd9BaeQWlAktfD3KO8/edit?usp=sharing"",""เพชรบูรณ์!M736"")+IMPORTRANGE(""https://docs.google.com/spreadsheets/d/1lOVebEIsI9qjGXl6EX66luk7wiuP2tBaryw-wKvv4e0/edit?usp=sharing"",""แพร่!M736"")+IMPORTRANGE(""https://docs.google.com/spreadshe"&amp;"ets/d/1dQrvX0vEcN7Gu0fnZ0B5S90AeR19zth4XlExFBeExMY/edit?usp=sharing"",""แม่ฮ่องสอน!M736"")+IMPORTRANGE(""https://docs.google.com/spreadsheets/d/1DY4XTNNwjluuxqdfdn6qvOSlMRrZqUtmYcZR0ttFiG4/edit?usp=sharing"",""ลำปาง!M736"")+IMPORTRANGE(""https://docs.goog"&amp;"le.com/spreadsheets/d/1ICwG78r0OFT8biBlxnBF8r7she7gNSzOvJ958PWT09c/edit?usp=sharing"",""ลำพูน!M736"")+IMPORTRANGE(""https://docs.google.com/spreadsheets/d/1B0f2xJpZUC6Z0xXnqKlZtEPzsf6L84eP1r1Q15seqRM/edit?usp=sharing"",""สุโขทัย!M736"")+IMPORTRANGE(""http"&amp;"s://docs.google.com/spreadsheets/d/1v0b9pFQCsKUVExMei7AgY2yQkdeNQvtOssygGsXbiKo/edit?usp=sharing"",""อุตรดิตถ์!M736"")+IMPORTRANGE(""https://docs.google.com/spreadsheets/d/1UsNK1e-WWiCo2PvGqdNfdme4m17_Ezd3J69EeeiQPD0/edit?usp=sharing"",""อุทัยธานี!M736"")"),0)</f>
        <v>0</v>
      </c>
      <c r="N736" s="46">
        <f ca="1">IFERROR(__xludf.DUMMYFUNCTION("IMPORTRANGE(""https://docs.google.com/spreadsheets/d/1jTcq05yEiRwXcBMLjiodW9e4biSGYWAHcDj22rKWQ3s/edit?usp=sharing"",""กำแพงเพชร!N736"")+IMPORTRANGE(""https://docs.google.com/spreadsheets/d/1KS0zmDSZPk8KnTAbGN-Xk6MtX1YRZD0ldgdt20K4CRk/edit?usp=sharing"","&amp;"""เชียงราย!N736"")+IMPORTRANGE(""https://docs.google.com/spreadsheets/d/1rEDxBtusbi64tE0zunoIbsTVV16HeL0oJ6trHQeQ7K8/edit?usp=sharing"",""เชียงใหม่!N736"")+IMPORTRANGE(""https://docs.google.com/spreadsheets/d/1W6MnUbDkMi6xHnHko_XkFDO9kkuL6Wqyc-6OCDFjW9I/e"&amp;"dit?usp=sharing"",""ตาก!N736"")+IMPORTRANGE(""https://docs.google.com/spreadsheets/d/1IQAWArduLkta9LpYo4a_ULsyqdta6-6aDDiwpUnQT6c/edit?usp=sharing"",""นครสวรรค์!N736"")+IMPORTRANGE(""https://docs.google.com/spreadsheets/d/10s13Sk5xrltsiR-Zkbmk5DwIaDIKO8Xl"&amp;"bJAfqyT7Gvg/edit?usp=sharing"",""น่าน!N736"")+IMPORTRANGE(""https://docs.google.com/spreadsheets/d/1uu4nAn4Dbi1XREnLKKotUANlKXa7yCgRcgq8HEzQYW8/edit?usp=sharing"",""พะเยา!N736"")+IMPORTRANGE(""https://docs.google.com/spreadsheets/d/1xfJKIQxVOaPDIICqsflNlL"&amp;"u3JacTDk1FP9RH4phX7mI/edit?usp=sharing"",""พิจิตร!N736"")+IMPORTRANGE(""https://docs.google.com/spreadsheets/d/1JtRfZkJMHtEhI5RdRHxYUG4FIZHqKDpNyIuN7A1Q0_k/edit?usp=sharing"",""พิษณุโลก!N736"")+IMPORTRANGE(""https://docs.google.com/spreadsheets/d/1xlcVZWU"&amp;"Nn6SuWm0c307h32SiGkd9BaeQWlAktfD3KO8/edit?usp=sharing"",""เพชรบูรณ์!N736"")+IMPORTRANGE(""https://docs.google.com/spreadsheets/d/1lOVebEIsI9qjGXl6EX66luk7wiuP2tBaryw-wKvv4e0/edit?usp=sharing"",""แพร่!N736"")+IMPORTRANGE(""https://docs.google.com/spreadshe"&amp;"ets/d/1dQrvX0vEcN7Gu0fnZ0B5S90AeR19zth4XlExFBeExMY/edit?usp=sharing"",""แม่ฮ่องสอน!N736"")+IMPORTRANGE(""https://docs.google.com/spreadsheets/d/1DY4XTNNwjluuxqdfdn6qvOSlMRrZqUtmYcZR0ttFiG4/edit?usp=sharing"",""ลำปาง!N736"")+IMPORTRANGE(""https://docs.goog"&amp;"le.com/spreadsheets/d/1ICwG78r0OFT8biBlxnBF8r7she7gNSzOvJ958PWT09c/edit?usp=sharing"",""ลำพูน!N736"")+IMPORTRANGE(""https://docs.google.com/spreadsheets/d/1B0f2xJpZUC6Z0xXnqKlZtEPzsf6L84eP1r1Q15seqRM/edit?usp=sharing"",""สุโขทัย!N736"")+IMPORTRANGE(""http"&amp;"s://docs.google.com/spreadsheets/d/1v0b9pFQCsKUVExMei7AgY2yQkdeNQvtOssygGsXbiKo/edit?usp=sharing"",""อุตรดิตถ์!N736"")+IMPORTRANGE(""https://docs.google.com/spreadsheets/d/1UsNK1e-WWiCo2PvGqdNfdme4m17_Ezd3J69EeeiQPD0/edit?usp=sharing"",""อุทัยธานี!N736"")"),0)</f>
        <v>0</v>
      </c>
      <c r="O736" s="46">
        <f t="shared" ca="1" si="504"/>
        <v>0</v>
      </c>
      <c r="P736" s="46">
        <f t="shared" ca="1" si="505"/>
        <v>0</v>
      </c>
      <c r="Q736" s="46">
        <f ca="1">IFERROR(__xludf.DUMMYFUNCTION("IMPORTRANGE(""https://docs.google.com/spreadsheets/d/1jTcq05yEiRwXcBMLjiodW9e4biSGYWAHcDj22rKWQ3s/edit?usp=sharing"",""กำแพงเพชร!Q736"")+IMPORTRANGE(""https://docs.google.com/spreadsheets/d/1KS0zmDSZPk8KnTAbGN-Xk6MtX1YRZD0ldgdt20K4CRk/edit?usp=sharing"","&amp;"""เชียงราย!Q736"")+IMPORTRANGE(""https://docs.google.com/spreadsheets/d/1rEDxBtusbi64tE0zunoIbsTVV16HeL0oJ6trHQeQ7K8/edit?usp=sharing"",""เชียงใหม่!Q736"")+IMPORTRANGE(""https://docs.google.com/spreadsheets/d/1W6MnUbDkMi6xHnHko_XkFDO9kkuL6Wqyc-6OCDFjW9I/e"&amp;"dit?usp=sharing"",""ตาก!Q736"")+IMPORTRANGE(""https://docs.google.com/spreadsheets/d/1IQAWArduLkta9LpYo4a_ULsyqdta6-6aDDiwpUnQT6c/edit?usp=sharing"",""นครสวรรค์!Q736"")+IMPORTRANGE(""https://docs.google.com/spreadsheets/d/10s13Sk5xrltsiR-Zkbmk5DwIaDIKO8Xl"&amp;"bJAfqyT7Gvg/edit?usp=sharing"",""น่าน!Q736"")+IMPORTRANGE(""https://docs.google.com/spreadsheets/d/1uu4nAn4Dbi1XREnLKKotUANlKXa7yCgRcgq8HEzQYW8/edit?usp=sharing"",""พะเยา!Q736"")+IMPORTRANGE(""https://docs.google.com/spreadsheets/d/1xfJKIQxVOaPDIICqsflNlL"&amp;"u3JacTDk1FP9RH4phX7mI/edit?usp=sharing"",""พิจิตร!Q736"")+IMPORTRANGE(""https://docs.google.com/spreadsheets/d/1JtRfZkJMHtEhI5RdRHxYUG4FIZHqKDpNyIuN7A1Q0_k/edit?usp=sharing"",""พิษณุโลก!Q736"")+IMPORTRANGE(""https://docs.google.com/spreadsheets/d/1xlcVZWU"&amp;"Nn6SuWm0c307h32SiGkd9BaeQWlAktfD3KO8/edit?usp=sharing"",""เพชรบูรณ์!Q736"")+IMPORTRANGE(""https://docs.google.com/spreadsheets/d/1lOVebEIsI9qjGXl6EX66luk7wiuP2tBaryw-wKvv4e0/edit?usp=sharing"",""แพร่!Q736"")+IMPORTRANGE(""https://docs.google.com/spreadshe"&amp;"ets/d/1dQrvX0vEcN7Gu0fnZ0B5S90AeR19zth4XlExFBeExMY/edit?usp=sharing"",""แม่ฮ่องสอน!Q736"")+IMPORTRANGE(""https://docs.google.com/spreadsheets/d/1DY4XTNNwjluuxqdfdn6qvOSlMRrZqUtmYcZR0ttFiG4/edit?usp=sharing"",""ลำปาง!Q736"")+IMPORTRANGE(""https://docs.goog"&amp;"le.com/spreadsheets/d/1ICwG78r0OFT8biBlxnBF8r7she7gNSzOvJ958PWT09c/edit?usp=sharing"",""ลำพูน!Q736"")+IMPORTRANGE(""https://docs.google.com/spreadsheets/d/1B0f2xJpZUC6Z0xXnqKlZtEPzsf6L84eP1r1Q15seqRM/edit?usp=sharing"",""สุโขทัย!Q736"")+IMPORTRANGE(""http"&amp;"s://docs.google.com/spreadsheets/d/1v0b9pFQCsKUVExMei7AgY2yQkdeNQvtOssygGsXbiKo/edit?usp=sharing"",""อุตรดิตถ์!Q736"")+IMPORTRANGE(""https://docs.google.com/spreadsheets/d/1UsNK1e-WWiCo2PvGqdNfdme4m17_Ezd3J69EeeiQPD0/edit?usp=sharing"",""อุทัยธานี!Q736"")"),0)</f>
        <v>0</v>
      </c>
      <c r="R736" s="46">
        <f ca="1">IFERROR(__xludf.DUMMYFUNCTION("IMPORTRANGE(""https://docs.google.com/spreadsheets/d/1jTcq05yEiRwXcBMLjiodW9e4biSGYWAHcDj22rKWQ3s/edit?usp=sharing"",""กำแพงเพชร!R736"")+IMPORTRANGE(""https://docs.google.com/spreadsheets/d/1KS0zmDSZPk8KnTAbGN-Xk6MtX1YRZD0ldgdt20K4CRk/edit?usp=sharing"","&amp;"""เชียงราย!R736"")+IMPORTRANGE(""https://docs.google.com/spreadsheets/d/1rEDxBtusbi64tE0zunoIbsTVV16HeL0oJ6trHQeQ7K8/edit?usp=sharing"",""เชียงใหม่!R736"")+IMPORTRANGE(""https://docs.google.com/spreadsheets/d/1W6MnUbDkMi6xHnHko_XkFDO9kkuL6Wqyc-6OCDFjW9I/e"&amp;"dit?usp=sharing"",""ตาก!R736"")+IMPORTRANGE(""https://docs.google.com/spreadsheets/d/1IQAWArduLkta9LpYo4a_ULsyqdta6-6aDDiwpUnQT6c/edit?usp=sharing"",""นครสวรรค์!R736"")+IMPORTRANGE(""https://docs.google.com/spreadsheets/d/10s13Sk5xrltsiR-Zkbmk5DwIaDIKO8Xl"&amp;"bJAfqyT7Gvg/edit?usp=sharing"",""น่าน!R736"")+IMPORTRANGE(""https://docs.google.com/spreadsheets/d/1uu4nAn4Dbi1XREnLKKotUANlKXa7yCgRcgq8HEzQYW8/edit?usp=sharing"",""พะเยา!R736"")+IMPORTRANGE(""https://docs.google.com/spreadsheets/d/1xfJKIQxVOaPDIICqsflNlL"&amp;"u3JacTDk1FP9RH4phX7mI/edit?usp=sharing"",""พิจิตร!R736"")+IMPORTRANGE(""https://docs.google.com/spreadsheets/d/1JtRfZkJMHtEhI5RdRHxYUG4FIZHqKDpNyIuN7A1Q0_k/edit?usp=sharing"",""พิษณุโลก!R736"")+IMPORTRANGE(""https://docs.google.com/spreadsheets/d/1xlcVZWU"&amp;"Nn6SuWm0c307h32SiGkd9BaeQWlAktfD3KO8/edit?usp=sharing"",""เพชรบูรณ์!R736"")+IMPORTRANGE(""https://docs.google.com/spreadsheets/d/1lOVebEIsI9qjGXl6EX66luk7wiuP2tBaryw-wKvv4e0/edit?usp=sharing"",""แพร่!R736"")+IMPORTRANGE(""https://docs.google.com/spreadshe"&amp;"ets/d/1dQrvX0vEcN7Gu0fnZ0B5S90AeR19zth4XlExFBeExMY/edit?usp=sharing"",""แม่ฮ่องสอน!R736"")+IMPORTRANGE(""https://docs.google.com/spreadsheets/d/1DY4XTNNwjluuxqdfdn6qvOSlMRrZqUtmYcZR0ttFiG4/edit?usp=sharing"",""ลำปาง!R736"")+IMPORTRANGE(""https://docs.goog"&amp;"le.com/spreadsheets/d/1ICwG78r0OFT8biBlxnBF8r7she7gNSzOvJ958PWT09c/edit?usp=sharing"",""ลำพูน!R736"")+IMPORTRANGE(""https://docs.google.com/spreadsheets/d/1B0f2xJpZUC6Z0xXnqKlZtEPzsf6L84eP1r1Q15seqRM/edit?usp=sharing"",""สุโขทัย!R736"")+IMPORTRANGE(""http"&amp;"s://docs.google.com/spreadsheets/d/1v0b9pFQCsKUVExMei7AgY2yQkdeNQvtOssygGsXbiKo/edit?usp=sharing"",""อุตรดิตถ์!R736"")+IMPORTRANGE(""https://docs.google.com/spreadsheets/d/1UsNK1e-WWiCo2PvGqdNfdme4m17_Ezd3J69EeeiQPD0/edit?usp=sharing"",""อุทัยธานี!R736"")"),0)</f>
        <v>0</v>
      </c>
      <c r="S736" s="46">
        <f ca="1">IFERROR(__xludf.DUMMYFUNCTION("IMPORTRANGE(""https://docs.google.com/spreadsheets/d/1jTcq05yEiRwXcBMLjiodW9e4biSGYWAHcDj22rKWQ3s/edit?usp=sharing"",""กำแพงเพชร!S736"")+IMPORTRANGE(""https://docs.google.com/spreadsheets/d/1KS0zmDSZPk8KnTAbGN-Xk6MtX1YRZD0ldgdt20K4CRk/edit?usp=sharing"","&amp;"""เชียงราย!S736"")+IMPORTRANGE(""https://docs.google.com/spreadsheets/d/1rEDxBtusbi64tE0zunoIbsTVV16HeL0oJ6trHQeQ7K8/edit?usp=sharing"",""เชียงใหม่!S736"")+IMPORTRANGE(""https://docs.google.com/spreadsheets/d/1W6MnUbDkMi6xHnHko_XkFDO9kkuL6Wqyc-6OCDFjW9I/e"&amp;"dit?usp=sharing"",""ตาก!S736"")+IMPORTRANGE(""https://docs.google.com/spreadsheets/d/1IQAWArduLkta9LpYo4a_ULsyqdta6-6aDDiwpUnQT6c/edit?usp=sharing"",""นครสวรรค์!S736"")+IMPORTRANGE(""https://docs.google.com/spreadsheets/d/10s13Sk5xrltsiR-Zkbmk5DwIaDIKO8Xl"&amp;"bJAfqyT7Gvg/edit?usp=sharing"",""น่าน!S736"")+IMPORTRANGE(""https://docs.google.com/spreadsheets/d/1uu4nAn4Dbi1XREnLKKotUANlKXa7yCgRcgq8HEzQYW8/edit?usp=sharing"",""พะเยา!S736"")+IMPORTRANGE(""https://docs.google.com/spreadsheets/d/1xfJKIQxVOaPDIICqsflNlL"&amp;"u3JacTDk1FP9RH4phX7mI/edit?usp=sharing"",""พิจิตร!S736"")+IMPORTRANGE(""https://docs.google.com/spreadsheets/d/1JtRfZkJMHtEhI5RdRHxYUG4FIZHqKDpNyIuN7A1Q0_k/edit?usp=sharing"",""พิษณุโลก!S736"")+IMPORTRANGE(""https://docs.google.com/spreadsheets/d/1xlcVZWU"&amp;"Nn6SuWm0c307h32SiGkd9BaeQWlAktfD3KO8/edit?usp=sharing"",""เพชรบูรณ์!S736"")+IMPORTRANGE(""https://docs.google.com/spreadsheets/d/1lOVebEIsI9qjGXl6EX66luk7wiuP2tBaryw-wKvv4e0/edit?usp=sharing"",""แพร่!S736"")+IMPORTRANGE(""https://docs.google.com/spreadshe"&amp;"ets/d/1dQrvX0vEcN7Gu0fnZ0B5S90AeR19zth4XlExFBeExMY/edit?usp=sharing"",""แม่ฮ่องสอน!S736"")+IMPORTRANGE(""https://docs.google.com/spreadsheets/d/1DY4XTNNwjluuxqdfdn6qvOSlMRrZqUtmYcZR0ttFiG4/edit?usp=sharing"",""ลำปาง!S736"")+IMPORTRANGE(""https://docs.goog"&amp;"le.com/spreadsheets/d/1ICwG78r0OFT8biBlxnBF8r7she7gNSzOvJ958PWT09c/edit?usp=sharing"",""ลำพูน!S736"")+IMPORTRANGE(""https://docs.google.com/spreadsheets/d/1B0f2xJpZUC6Z0xXnqKlZtEPzsf6L84eP1r1Q15seqRM/edit?usp=sharing"",""สุโขทัย!S736"")+IMPORTRANGE(""http"&amp;"s://docs.google.com/spreadsheets/d/1v0b9pFQCsKUVExMei7AgY2yQkdeNQvtOssygGsXbiKo/edit?usp=sharing"",""อุตรดิตถ์!S736"")+IMPORTRANGE(""https://docs.google.com/spreadsheets/d/1UsNK1e-WWiCo2PvGqdNfdme4m17_Ezd3J69EeeiQPD0/edit?usp=sharing"",""อุทัยธานี!S736"")"),0)</f>
        <v>0</v>
      </c>
      <c r="T736" s="46">
        <f t="shared" ca="1" si="507"/>
        <v>0</v>
      </c>
      <c r="U736" s="46">
        <f t="shared" ca="1" si="508"/>
        <v>0</v>
      </c>
    </row>
    <row r="737" spans="1:21" ht="19.5" x14ac:dyDescent="0.3">
      <c r="A737" s="138"/>
      <c r="B737" s="139"/>
      <c r="C737" s="177" t="s">
        <v>18</v>
      </c>
      <c r="D737" s="313" t="s">
        <v>38</v>
      </c>
      <c r="E737" s="203"/>
      <c r="F737" s="141"/>
      <c r="G737" s="142"/>
      <c r="H737" s="178"/>
      <c r="I737" s="44"/>
      <c r="J737" s="44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</row>
    <row r="738" spans="1:21" ht="19.5" x14ac:dyDescent="0.3">
      <c r="A738" s="138"/>
      <c r="B738" s="139"/>
      <c r="C738" s="139"/>
      <c r="D738" s="430" t="s">
        <v>121</v>
      </c>
      <c r="E738" s="139"/>
      <c r="F738" s="139"/>
      <c r="G738" s="143"/>
      <c r="H738" s="180"/>
      <c r="I738" s="44"/>
      <c r="J738" s="44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</row>
    <row r="739" spans="1:21" ht="18.75" x14ac:dyDescent="0.25">
      <c r="A739" s="138"/>
      <c r="B739" s="139"/>
      <c r="C739" s="139"/>
      <c r="D739" s="139"/>
      <c r="E739" s="403" t="s">
        <v>270</v>
      </c>
      <c r="F739" s="139"/>
      <c r="G739" s="143"/>
      <c r="H739" s="180"/>
      <c r="I739" s="44"/>
      <c r="J739" s="44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</row>
    <row r="740" spans="1:21" ht="18.75" x14ac:dyDescent="0.25">
      <c r="A740" s="138"/>
      <c r="B740" s="139"/>
      <c r="C740" s="139"/>
      <c r="D740" s="139"/>
      <c r="E740" s="139"/>
      <c r="F740" s="403" t="s">
        <v>271</v>
      </c>
      <c r="G740" s="143"/>
      <c r="H740" s="133" t="s">
        <v>46</v>
      </c>
      <c r="I740" s="166">
        <f ca="1">IFERROR(__xludf.DUMMYFUNCTION("IMPORTRANGE(""https://docs.google.com/spreadsheets/d/1jTcq05yEiRwXcBMLjiodW9e4biSGYWAHcDj22rKWQ3s/edit?usp=sharing"",""กำแพงเพชร!I740"")+IMPORTRANGE(""https://docs.google.com/spreadsheets/d/1KS0zmDSZPk8KnTAbGN-Xk6MtX1YRZD0ldgdt20K4CRk/edit?usp=sharing"","&amp;"""เชียงราย!I740"")+IMPORTRANGE(""https://docs.google.com/spreadsheets/d/1rEDxBtusbi64tE0zunoIbsTVV16HeL0oJ6trHQeQ7K8/edit?usp=sharing"",""เชียงใหม่!I740"")+IMPORTRANGE(""https://docs.google.com/spreadsheets/d/1W6MnUbDkMi6xHnHko_XkFDO9kkuL6Wqyc-6OCDFjW9I/e"&amp;"dit?usp=sharing"",""ตาก!I740"")+IMPORTRANGE(""https://docs.google.com/spreadsheets/d/1IQAWArduLkta9LpYo4a_ULsyqdta6-6aDDiwpUnQT6c/edit?usp=sharing"",""นครสวรรค์!I740"")+IMPORTRANGE(""https://docs.google.com/spreadsheets/d/10s13Sk5xrltsiR-Zkbmk5DwIaDIKO8Xl"&amp;"bJAfqyT7Gvg/edit?usp=sharing"",""น่าน!I740"")+IMPORTRANGE(""https://docs.google.com/spreadsheets/d/1uu4nAn4Dbi1XREnLKKotUANlKXa7yCgRcgq8HEzQYW8/edit?usp=sharing"",""พะเยา!I740"")+IMPORTRANGE(""https://docs.google.com/spreadsheets/d/1xfJKIQxVOaPDIICqsflNlL"&amp;"u3JacTDk1FP9RH4phX7mI/edit?usp=sharing"",""พิจิตร!I740"")+IMPORTRANGE(""https://docs.google.com/spreadsheets/d/1JtRfZkJMHtEhI5RdRHxYUG4FIZHqKDpNyIuN7A1Q0_k/edit?usp=sharing"",""พิษณุโลก!I740"")+IMPORTRANGE(""https://docs.google.com/spreadsheets/d/1xlcVZWU"&amp;"Nn6SuWm0c307h32SiGkd9BaeQWlAktfD3KO8/edit?usp=sharing"",""เพชรบูรณ์!I740"")+IMPORTRANGE(""https://docs.google.com/spreadsheets/d/1lOVebEIsI9qjGXl6EX66luk7wiuP2tBaryw-wKvv4e0/edit?usp=sharing"",""แพร่!I740"")+IMPORTRANGE(""https://docs.google.com/spreadshe"&amp;"ets/d/1dQrvX0vEcN7Gu0fnZ0B5S90AeR19zth4XlExFBeExMY/edit?usp=sharing"",""แม่ฮ่องสอน!I740"")+IMPORTRANGE(""https://docs.google.com/spreadsheets/d/1DY4XTNNwjluuxqdfdn6qvOSlMRrZqUtmYcZR0ttFiG4/edit?usp=sharing"",""ลำปาง!I740"")+IMPORTRANGE(""https://docs.goog"&amp;"le.com/spreadsheets/d/1ICwG78r0OFT8biBlxnBF8r7she7gNSzOvJ958PWT09c/edit?usp=sharing"",""ลำพูน!I740"")+IMPORTRANGE(""https://docs.google.com/spreadsheets/d/1B0f2xJpZUC6Z0xXnqKlZtEPzsf6L84eP1r1Q15seqRM/edit?usp=sharing"",""สุโขทัย!I740"")+IMPORTRANGE(""http"&amp;"s://docs.google.com/spreadsheets/d/1v0b9pFQCsKUVExMei7AgY2yQkdeNQvtOssygGsXbiKo/edit?usp=sharing"",""อุตรดิตถ์!I740"")+IMPORTRANGE(""https://docs.google.com/spreadsheets/d/1UsNK1e-WWiCo2PvGqdNfdme4m17_Ezd3J69EeeiQPD0/edit?usp=sharing"",""อุทัยธานี!I740"")"),11200)</f>
        <v>11200</v>
      </c>
      <c r="J740" s="167">
        <f ca="1">IFERROR(__xludf.DUMMYFUNCTION("IMPORTRANGE(""https://docs.google.com/spreadsheets/d/1jTcq05yEiRwXcBMLjiodW9e4biSGYWAHcDj22rKWQ3s/edit?usp=sharing"",""กำแพงเพชร!J740"")+IMPORTRANGE(""https://docs.google.com/spreadsheets/d/1KS0zmDSZPk8KnTAbGN-Xk6MtX1YRZD0ldgdt20K4CRk/edit?usp=sharing"","&amp;"""เชียงราย!J740"")+IMPORTRANGE(""https://docs.google.com/spreadsheets/d/1rEDxBtusbi64tE0zunoIbsTVV16HeL0oJ6trHQeQ7K8/edit?usp=sharing"",""เชียงใหม่!J740"")+IMPORTRANGE(""https://docs.google.com/spreadsheets/d/1W6MnUbDkMi6xHnHko_XkFDO9kkuL6Wqyc-6OCDFjW9I/e"&amp;"dit?usp=sharing"",""ตาก!J740"")+IMPORTRANGE(""https://docs.google.com/spreadsheets/d/1IQAWArduLkta9LpYo4a_ULsyqdta6-6aDDiwpUnQT6c/edit?usp=sharing"",""นครสวรรค์!J740"")+IMPORTRANGE(""https://docs.google.com/spreadsheets/d/10s13Sk5xrltsiR-Zkbmk5DwIaDIKO8Xl"&amp;"bJAfqyT7Gvg/edit?usp=sharing"",""น่าน!J740"")+IMPORTRANGE(""https://docs.google.com/spreadsheets/d/1uu4nAn4Dbi1XREnLKKotUANlKXa7yCgRcgq8HEzQYW8/edit?usp=sharing"",""พะเยา!J740"")+IMPORTRANGE(""https://docs.google.com/spreadsheets/d/1xfJKIQxVOaPDIICqsflNlL"&amp;"u3JacTDk1FP9RH4phX7mI/edit?usp=sharing"",""พิจิตร!J740"")+IMPORTRANGE(""https://docs.google.com/spreadsheets/d/1JtRfZkJMHtEhI5RdRHxYUG4FIZHqKDpNyIuN7A1Q0_k/edit?usp=sharing"",""พิษณุโลก!J740"")+IMPORTRANGE(""https://docs.google.com/spreadsheets/d/1xlcVZWU"&amp;"Nn6SuWm0c307h32SiGkd9BaeQWlAktfD3KO8/edit?usp=sharing"",""เพชรบูรณ์!J740"")+IMPORTRANGE(""https://docs.google.com/spreadsheets/d/1lOVebEIsI9qjGXl6EX66luk7wiuP2tBaryw-wKvv4e0/edit?usp=sharing"",""แพร่!J740"")+IMPORTRANGE(""https://docs.google.com/spreadshe"&amp;"ets/d/1dQrvX0vEcN7Gu0fnZ0B5S90AeR19zth4XlExFBeExMY/edit?usp=sharing"",""แม่ฮ่องสอน!J740"")+IMPORTRANGE(""https://docs.google.com/spreadsheets/d/1DY4XTNNwjluuxqdfdn6qvOSlMRrZqUtmYcZR0ttFiG4/edit?usp=sharing"",""ลำปาง!J740"")+IMPORTRANGE(""https://docs.goog"&amp;"le.com/spreadsheets/d/1ICwG78r0OFT8biBlxnBF8r7she7gNSzOvJ958PWT09c/edit?usp=sharing"",""ลำพูน!J740"")+IMPORTRANGE(""https://docs.google.com/spreadsheets/d/1B0f2xJpZUC6Z0xXnqKlZtEPzsf6L84eP1r1Q15seqRM/edit?usp=sharing"",""สุโขทัย!J740"")+IMPORTRANGE(""http"&amp;"s://docs.google.com/spreadsheets/d/1v0b9pFQCsKUVExMei7AgY2yQkdeNQvtOssygGsXbiKo/edit?usp=sharing"",""อุตรดิตถ์!J740"")+IMPORTRANGE(""https://docs.google.com/spreadsheets/d/1UsNK1e-WWiCo2PvGqdNfdme4m17_Ezd3J69EeeiQPD0/edit?usp=sharing"",""อุทัยธานี!J740"")"),5720)</f>
        <v>5720</v>
      </c>
      <c r="K740" s="46">
        <f ca="1">IF(I740&gt;0,J740*100/I740,0)</f>
        <v>51.071428571428569</v>
      </c>
      <c r="L740" s="45"/>
      <c r="M740" s="45"/>
      <c r="N740" s="45"/>
      <c r="O740" s="45"/>
      <c r="P740" s="45"/>
      <c r="Q740" s="45"/>
      <c r="R740" s="45"/>
      <c r="S740" s="45"/>
      <c r="T740" s="45"/>
      <c r="U740" s="45"/>
    </row>
    <row r="741" spans="1:21" ht="18.75" x14ac:dyDescent="0.25">
      <c r="A741" s="138"/>
      <c r="B741" s="139"/>
      <c r="C741" s="139"/>
      <c r="D741" s="139"/>
      <c r="E741" s="139"/>
      <c r="F741" s="403" t="s">
        <v>272</v>
      </c>
      <c r="G741" s="143"/>
      <c r="H741" s="133" t="s">
        <v>35</v>
      </c>
      <c r="I741" s="44"/>
      <c r="J741" s="167">
        <f ca="1">IFERROR(__xludf.DUMMYFUNCTION("IMPORTRANGE(""https://docs.google.com/spreadsheets/d/1jTcq05yEiRwXcBMLjiodW9e4biSGYWAHcDj22rKWQ3s/edit?usp=sharing"",""กำแพงเพชร!J741"")+IMPORTRANGE(""https://docs.google.com/spreadsheets/d/1KS0zmDSZPk8KnTAbGN-Xk6MtX1YRZD0ldgdt20K4CRk/edit?usp=sharing"","&amp;"""เชียงราย!J741"")+IMPORTRANGE(""https://docs.google.com/spreadsheets/d/1rEDxBtusbi64tE0zunoIbsTVV16HeL0oJ6trHQeQ7K8/edit?usp=sharing"",""เชียงใหม่!J741"")+IMPORTRANGE(""https://docs.google.com/spreadsheets/d/1W6MnUbDkMi6xHnHko_XkFDO9kkuL6Wqyc-6OCDFjW9I/e"&amp;"dit?usp=sharing"",""ตาก!J741"")+IMPORTRANGE(""https://docs.google.com/spreadsheets/d/1IQAWArduLkta9LpYo4a_ULsyqdta6-6aDDiwpUnQT6c/edit?usp=sharing"",""นครสวรรค์!J741"")+IMPORTRANGE(""https://docs.google.com/spreadsheets/d/10s13Sk5xrltsiR-Zkbmk5DwIaDIKO8Xl"&amp;"bJAfqyT7Gvg/edit?usp=sharing"",""น่าน!J741"")+IMPORTRANGE(""https://docs.google.com/spreadsheets/d/1uu4nAn4Dbi1XREnLKKotUANlKXa7yCgRcgq8HEzQYW8/edit?usp=sharing"",""พะเยา!J741"")+IMPORTRANGE(""https://docs.google.com/spreadsheets/d/1xfJKIQxVOaPDIICqsflNlL"&amp;"u3JacTDk1FP9RH4phX7mI/edit?usp=sharing"",""พิจิตร!J741"")+IMPORTRANGE(""https://docs.google.com/spreadsheets/d/1JtRfZkJMHtEhI5RdRHxYUG4FIZHqKDpNyIuN7A1Q0_k/edit?usp=sharing"",""พิษณุโลก!J741"")+IMPORTRANGE(""https://docs.google.com/spreadsheets/d/1xlcVZWU"&amp;"Nn6SuWm0c307h32SiGkd9BaeQWlAktfD3KO8/edit?usp=sharing"",""เพชรบูรณ์!J741"")+IMPORTRANGE(""https://docs.google.com/spreadsheets/d/1lOVebEIsI9qjGXl6EX66luk7wiuP2tBaryw-wKvv4e0/edit?usp=sharing"",""แพร่!J741"")+IMPORTRANGE(""https://docs.google.com/spreadshe"&amp;"ets/d/1dQrvX0vEcN7Gu0fnZ0B5S90AeR19zth4XlExFBeExMY/edit?usp=sharing"",""แม่ฮ่องสอน!J741"")+IMPORTRANGE(""https://docs.google.com/spreadsheets/d/1DY4XTNNwjluuxqdfdn6qvOSlMRrZqUtmYcZR0ttFiG4/edit?usp=sharing"",""ลำปาง!J741"")+IMPORTRANGE(""https://docs.goog"&amp;"le.com/spreadsheets/d/1ICwG78r0OFT8biBlxnBF8r7she7gNSzOvJ958PWT09c/edit?usp=sharing"",""ลำพูน!J741"")+IMPORTRANGE(""https://docs.google.com/spreadsheets/d/1B0f2xJpZUC6Z0xXnqKlZtEPzsf6L84eP1r1Q15seqRM/edit?usp=sharing"",""สุโขทัย!J741"")+IMPORTRANGE(""http"&amp;"s://docs.google.com/spreadsheets/d/1v0b9pFQCsKUVExMei7AgY2yQkdeNQvtOssygGsXbiKo/edit?usp=sharing"",""อุตรดิตถ์!J741"")+IMPORTRANGE(""https://docs.google.com/spreadsheets/d/1UsNK1e-WWiCo2PvGqdNfdme4m17_Ezd3J69EeeiQPD0/edit?usp=sharing"",""อุทัยธานี!J741"")"),312)</f>
        <v>312</v>
      </c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</row>
    <row r="742" spans="1:21" ht="18.75" x14ac:dyDescent="0.25">
      <c r="A742" s="138"/>
      <c r="B742" s="139"/>
      <c r="C742" s="139"/>
      <c r="D742" s="139"/>
      <c r="E742" s="139"/>
      <c r="F742" s="403" t="s">
        <v>273</v>
      </c>
      <c r="G742" s="143"/>
      <c r="H742" s="133" t="s">
        <v>35</v>
      </c>
      <c r="I742" s="166">
        <f ca="1">IFERROR(__xludf.DUMMYFUNCTION("IMPORTRANGE(""https://docs.google.com/spreadsheets/d/1jTcq05yEiRwXcBMLjiodW9e4biSGYWAHcDj22rKWQ3s/edit?usp=sharing"",""กำแพงเพชร!I742"")+IMPORTRANGE(""https://docs.google.com/spreadsheets/d/1KS0zmDSZPk8KnTAbGN-Xk6MtX1YRZD0ldgdt20K4CRk/edit?usp=sharing"","&amp;"""เชียงราย!I742"")+IMPORTRANGE(""https://docs.google.com/spreadsheets/d/1rEDxBtusbi64tE0zunoIbsTVV16HeL0oJ6trHQeQ7K8/edit?usp=sharing"",""เชียงใหม่!I742"")+IMPORTRANGE(""https://docs.google.com/spreadsheets/d/1W6MnUbDkMi6xHnHko_XkFDO9kkuL6Wqyc-6OCDFjW9I/e"&amp;"dit?usp=sharing"",""ตาก!I742"")+IMPORTRANGE(""https://docs.google.com/spreadsheets/d/1IQAWArduLkta9LpYo4a_ULsyqdta6-6aDDiwpUnQT6c/edit?usp=sharing"",""นครสวรรค์!I742"")+IMPORTRANGE(""https://docs.google.com/spreadsheets/d/10s13Sk5xrltsiR-Zkbmk5DwIaDIKO8Xl"&amp;"bJAfqyT7Gvg/edit?usp=sharing"",""น่าน!I742"")+IMPORTRANGE(""https://docs.google.com/spreadsheets/d/1uu4nAn4Dbi1XREnLKKotUANlKXa7yCgRcgq8HEzQYW8/edit?usp=sharing"",""พะเยา!I742"")+IMPORTRANGE(""https://docs.google.com/spreadsheets/d/1xfJKIQxVOaPDIICqsflNlL"&amp;"u3JacTDk1FP9RH4phX7mI/edit?usp=sharing"",""พิจิตร!I742"")+IMPORTRANGE(""https://docs.google.com/spreadsheets/d/1JtRfZkJMHtEhI5RdRHxYUG4FIZHqKDpNyIuN7A1Q0_k/edit?usp=sharing"",""พิษณุโลก!I742"")+IMPORTRANGE(""https://docs.google.com/spreadsheets/d/1xlcVZWU"&amp;"Nn6SuWm0c307h32SiGkd9BaeQWlAktfD3KO8/edit?usp=sharing"",""เพชรบูรณ์!I742"")+IMPORTRANGE(""https://docs.google.com/spreadsheets/d/1lOVebEIsI9qjGXl6EX66luk7wiuP2tBaryw-wKvv4e0/edit?usp=sharing"",""แพร่!I742"")+IMPORTRANGE(""https://docs.google.com/spreadshe"&amp;"ets/d/1dQrvX0vEcN7Gu0fnZ0B5S90AeR19zth4XlExFBeExMY/edit?usp=sharing"",""แม่ฮ่องสอน!I742"")+IMPORTRANGE(""https://docs.google.com/spreadsheets/d/1DY4XTNNwjluuxqdfdn6qvOSlMRrZqUtmYcZR0ttFiG4/edit?usp=sharing"",""ลำปาง!I742"")+IMPORTRANGE(""https://docs.goog"&amp;"le.com/spreadsheets/d/1ICwG78r0OFT8biBlxnBF8r7she7gNSzOvJ958PWT09c/edit?usp=sharing"",""ลำพูน!I742"")+IMPORTRANGE(""https://docs.google.com/spreadsheets/d/1B0f2xJpZUC6Z0xXnqKlZtEPzsf6L84eP1r1Q15seqRM/edit?usp=sharing"",""สุโขทัย!I742"")+IMPORTRANGE(""http"&amp;"s://docs.google.com/spreadsheets/d/1v0b9pFQCsKUVExMei7AgY2yQkdeNQvtOssygGsXbiKo/edit?usp=sharing"",""อุตรดิตถ์!I742"")+IMPORTRANGE(""https://docs.google.com/spreadsheets/d/1UsNK1e-WWiCo2PvGqdNfdme4m17_Ezd3J69EeeiQPD0/edit?usp=sharing"",""อุทัยธานี!I742"")"),1120)</f>
        <v>1120</v>
      </c>
      <c r="J742" s="167">
        <f ca="1">IFERROR(__xludf.DUMMYFUNCTION("IMPORTRANGE(""https://docs.google.com/spreadsheets/d/1jTcq05yEiRwXcBMLjiodW9e4biSGYWAHcDj22rKWQ3s/edit?usp=sharing"",""กำแพงเพชร!J742"")+IMPORTRANGE(""https://docs.google.com/spreadsheets/d/1KS0zmDSZPk8KnTAbGN-Xk6MtX1YRZD0ldgdt20K4CRk/edit?usp=sharing"","&amp;"""เชียงราย!J742"")+IMPORTRANGE(""https://docs.google.com/spreadsheets/d/1rEDxBtusbi64tE0zunoIbsTVV16HeL0oJ6trHQeQ7K8/edit?usp=sharing"",""เชียงใหม่!J742"")+IMPORTRANGE(""https://docs.google.com/spreadsheets/d/1W6MnUbDkMi6xHnHko_XkFDO9kkuL6Wqyc-6OCDFjW9I/e"&amp;"dit?usp=sharing"",""ตาก!J742"")+IMPORTRANGE(""https://docs.google.com/spreadsheets/d/1IQAWArduLkta9LpYo4a_ULsyqdta6-6aDDiwpUnQT6c/edit?usp=sharing"",""นครสวรรค์!J742"")+IMPORTRANGE(""https://docs.google.com/spreadsheets/d/10s13Sk5xrltsiR-Zkbmk5DwIaDIKO8Xl"&amp;"bJAfqyT7Gvg/edit?usp=sharing"",""น่าน!J742"")+IMPORTRANGE(""https://docs.google.com/spreadsheets/d/1uu4nAn4Dbi1XREnLKKotUANlKXa7yCgRcgq8HEzQYW8/edit?usp=sharing"",""พะเยา!J742"")+IMPORTRANGE(""https://docs.google.com/spreadsheets/d/1xfJKIQxVOaPDIICqsflNlL"&amp;"u3JacTDk1FP9RH4phX7mI/edit?usp=sharing"",""พิจิตร!J742"")+IMPORTRANGE(""https://docs.google.com/spreadsheets/d/1JtRfZkJMHtEhI5RdRHxYUG4FIZHqKDpNyIuN7A1Q0_k/edit?usp=sharing"",""พิษณุโลก!J742"")+IMPORTRANGE(""https://docs.google.com/spreadsheets/d/1xlcVZWU"&amp;"Nn6SuWm0c307h32SiGkd9BaeQWlAktfD3KO8/edit?usp=sharing"",""เพชรบูรณ์!J742"")+IMPORTRANGE(""https://docs.google.com/spreadsheets/d/1lOVebEIsI9qjGXl6EX66luk7wiuP2tBaryw-wKvv4e0/edit?usp=sharing"",""แพร่!J742"")+IMPORTRANGE(""https://docs.google.com/spreadshe"&amp;"ets/d/1dQrvX0vEcN7Gu0fnZ0B5S90AeR19zth4XlExFBeExMY/edit?usp=sharing"",""แม่ฮ่องสอน!J742"")+IMPORTRANGE(""https://docs.google.com/spreadsheets/d/1DY4XTNNwjluuxqdfdn6qvOSlMRrZqUtmYcZR0ttFiG4/edit?usp=sharing"",""ลำปาง!J742"")+IMPORTRANGE(""https://docs.goog"&amp;"le.com/spreadsheets/d/1ICwG78r0OFT8biBlxnBF8r7she7gNSzOvJ958PWT09c/edit?usp=sharing"",""ลำพูน!J742"")+IMPORTRANGE(""https://docs.google.com/spreadsheets/d/1B0f2xJpZUC6Z0xXnqKlZtEPzsf6L84eP1r1Q15seqRM/edit?usp=sharing"",""สุโขทัย!J742"")+IMPORTRANGE(""http"&amp;"s://docs.google.com/spreadsheets/d/1v0b9pFQCsKUVExMei7AgY2yQkdeNQvtOssygGsXbiKo/edit?usp=sharing"",""อุตรดิตถ์!J742"")+IMPORTRANGE(""https://docs.google.com/spreadsheets/d/1UsNK1e-WWiCo2PvGqdNfdme4m17_Ezd3J69EeeiQPD0/edit?usp=sharing"",""อุทัยธานี!J742"")"),871)</f>
        <v>871</v>
      </c>
      <c r="K742" s="46">
        <f ca="1">IF(I742&gt;0,J742*100/I742,0)</f>
        <v>77.767857142857139</v>
      </c>
      <c r="L742" s="45"/>
      <c r="M742" s="45"/>
      <c r="N742" s="45"/>
      <c r="O742" s="45"/>
      <c r="P742" s="45"/>
      <c r="Q742" s="45"/>
      <c r="R742" s="45"/>
      <c r="S742" s="45"/>
      <c r="T742" s="45"/>
      <c r="U742" s="45"/>
    </row>
    <row r="743" spans="1:21" ht="18.75" x14ac:dyDescent="0.25">
      <c r="A743" s="138"/>
      <c r="B743" s="139"/>
      <c r="C743" s="139"/>
      <c r="D743" s="139"/>
      <c r="E743" s="403" t="s">
        <v>274</v>
      </c>
      <c r="F743" s="139"/>
      <c r="G743" s="143"/>
      <c r="H743" s="180"/>
      <c r="I743" s="44"/>
      <c r="J743" s="44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</row>
    <row r="744" spans="1:21" ht="18.75" x14ac:dyDescent="0.25">
      <c r="A744" s="138"/>
      <c r="B744" s="139"/>
      <c r="C744" s="139"/>
      <c r="D744" s="139"/>
      <c r="E744" s="139"/>
      <c r="F744" s="403" t="s">
        <v>271</v>
      </c>
      <c r="G744" s="143"/>
      <c r="H744" s="133" t="s">
        <v>46</v>
      </c>
      <c r="I744" s="166">
        <f ca="1">IFERROR(__xludf.DUMMYFUNCTION("IMPORTRANGE(""https://docs.google.com/spreadsheets/d/1jTcq05yEiRwXcBMLjiodW9e4biSGYWAHcDj22rKWQ3s/edit?usp=sharing"",""กำแพงเพชร!I744"")+IMPORTRANGE(""https://docs.google.com/spreadsheets/d/1KS0zmDSZPk8KnTAbGN-Xk6MtX1YRZD0ldgdt20K4CRk/edit?usp=sharing"","&amp;"""เชียงราย!I744"")+IMPORTRANGE(""https://docs.google.com/spreadsheets/d/1rEDxBtusbi64tE0zunoIbsTVV16HeL0oJ6trHQeQ7K8/edit?usp=sharing"",""เชียงใหม่!I744"")+IMPORTRANGE(""https://docs.google.com/spreadsheets/d/1W6MnUbDkMi6xHnHko_XkFDO9kkuL6Wqyc-6OCDFjW9I/e"&amp;"dit?usp=sharing"",""ตาก!I744"")+IMPORTRANGE(""https://docs.google.com/spreadsheets/d/1IQAWArduLkta9LpYo4a_ULsyqdta6-6aDDiwpUnQT6c/edit?usp=sharing"",""นครสวรรค์!I744"")+IMPORTRANGE(""https://docs.google.com/spreadsheets/d/10s13Sk5xrltsiR-Zkbmk5DwIaDIKO8Xl"&amp;"bJAfqyT7Gvg/edit?usp=sharing"",""น่าน!I744"")+IMPORTRANGE(""https://docs.google.com/spreadsheets/d/1uu4nAn4Dbi1XREnLKKotUANlKXa7yCgRcgq8HEzQYW8/edit?usp=sharing"",""พะเยา!I744"")+IMPORTRANGE(""https://docs.google.com/spreadsheets/d/1xfJKIQxVOaPDIICqsflNlL"&amp;"u3JacTDk1FP9RH4phX7mI/edit?usp=sharing"",""พิจิตร!I744"")+IMPORTRANGE(""https://docs.google.com/spreadsheets/d/1JtRfZkJMHtEhI5RdRHxYUG4FIZHqKDpNyIuN7A1Q0_k/edit?usp=sharing"",""พิษณุโลก!I744"")+IMPORTRANGE(""https://docs.google.com/spreadsheets/d/1xlcVZWU"&amp;"Nn6SuWm0c307h32SiGkd9BaeQWlAktfD3KO8/edit?usp=sharing"",""เพชรบูรณ์!I744"")+IMPORTRANGE(""https://docs.google.com/spreadsheets/d/1lOVebEIsI9qjGXl6EX66luk7wiuP2tBaryw-wKvv4e0/edit?usp=sharing"",""แพร่!I744"")+IMPORTRANGE(""https://docs.google.com/spreadshe"&amp;"ets/d/1dQrvX0vEcN7Gu0fnZ0B5S90AeR19zth4XlExFBeExMY/edit?usp=sharing"",""แม่ฮ่องสอน!I744"")+IMPORTRANGE(""https://docs.google.com/spreadsheets/d/1DY4XTNNwjluuxqdfdn6qvOSlMRrZqUtmYcZR0ttFiG4/edit?usp=sharing"",""ลำปาง!I744"")+IMPORTRANGE(""https://docs.goog"&amp;"le.com/spreadsheets/d/1ICwG78r0OFT8biBlxnBF8r7she7gNSzOvJ958PWT09c/edit?usp=sharing"",""ลำพูน!I744"")+IMPORTRANGE(""https://docs.google.com/spreadsheets/d/1B0f2xJpZUC6Z0xXnqKlZtEPzsf6L84eP1r1Q15seqRM/edit?usp=sharing"",""สุโขทัย!I744"")+IMPORTRANGE(""http"&amp;"s://docs.google.com/spreadsheets/d/1v0b9pFQCsKUVExMei7AgY2yQkdeNQvtOssygGsXbiKo/edit?usp=sharing"",""อุตรดิตถ์!I744"")+IMPORTRANGE(""https://docs.google.com/spreadsheets/d/1UsNK1e-WWiCo2PvGqdNfdme4m17_Ezd3J69EeeiQPD0/edit?usp=sharing"",""อุทัยธานี!I744"")"),2800)</f>
        <v>2800</v>
      </c>
      <c r="J744" s="167">
        <f ca="1">IFERROR(__xludf.DUMMYFUNCTION("IMPORTRANGE(""https://docs.google.com/spreadsheets/d/1jTcq05yEiRwXcBMLjiodW9e4biSGYWAHcDj22rKWQ3s/edit?usp=sharing"",""กำแพงเพชร!J744"")+IMPORTRANGE(""https://docs.google.com/spreadsheets/d/1KS0zmDSZPk8KnTAbGN-Xk6MtX1YRZD0ldgdt20K4CRk/edit?usp=sharing"","&amp;"""เชียงราย!J744"")+IMPORTRANGE(""https://docs.google.com/spreadsheets/d/1rEDxBtusbi64tE0zunoIbsTVV16HeL0oJ6trHQeQ7K8/edit?usp=sharing"",""เชียงใหม่!J744"")+IMPORTRANGE(""https://docs.google.com/spreadsheets/d/1W6MnUbDkMi6xHnHko_XkFDO9kkuL6Wqyc-6OCDFjW9I/e"&amp;"dit?usp=sharing"",""ตาก!J744"")+IMPORTRANGE(""https://docs.google.com/spreadsheets/d/1IQAWArduLkta9LpYo4a_ULsyqdta6-6aDDiwpUnQT6c/edit?usp=sharing"",""นครสวรรค์!J744"")+IMPORTRANGE(""https://docs.google.com/spreadsheets/d/10s13Sk5xrltsiR-Zkbmk5DwIaDIKO8Xl"&amp;"bJAfqyT7Gvg/edit?usp=sharing"",""น่าน!J744"")+IMPORTRANGE(""https://docs.google.com/spreadsheets/d/1uu4nAn4Dbi1XREnLKKotUANlKXa7yCgRcgq8HEzQYW8/edit?usp=sharing"",""พะเยา!J744"")+IMPORTRANGE(""https://docs.google.com/spreadsheets/d/1xfJKIQxVOaPDIICqsflNlL"&amp;"u3JacTDk1FP9RH4phX7mI/edit?usp=sharing"",""พิจิตร!J744"")+IMPORTRANGE(""https://docs.google.com/spreadsheets/d/1JtRfZkJMHtEhI5RdRHxYUG4FIZHqKDpNyIuN7A1Q0_k/edit?usp=sharing"",""พิษณุโลก!J744"")+IMPORTRANGE(""https://docs.google.com/spreadsheets/d/1xlcVZWU"&amp;"Nn6SuWm0c307h32SiGkd9BaeQWlAktfD3KO8/edit?usp=sharing"",""เพชรบูรณ์!J744"")+IMPORTRANGE(""https://docs.google.com/spreadsheets/d/1lOVebEIsI9qjGXl6EX66luk7wiuP2tBaryw-wKvv4e0/edit?usp=sharing"",""แพร่!J744"")+IMPORTRANGE(""https://docs.google.com/spreadshe"&amp;"ets/d/1dQrvX0vEcN7Gu0fnZ0B5S90AeR19zth4XlExFBeExMY/edit?usp=sharing"",""แม่ฮ่องสอน!J744"")+IMPORTRANGE(""https://docs.google.com/spreadsheets/d/1DY4XTNNwjluuxqdfdn6qvOSlMRrZqUtmYcZR0ttFiG4/edit?usp=sharing"",""ลำปาง!J744"")+IMPORTRANGE(""https://docs.goog"&amp;"le.com/spreadsheets/d/1ICwG78r0OFT8biBlxnBF8r7she7gNSzOvJ958PWT09c/edit?usp=sharing"",""ลำพูน!J744"")+IMPORTRANGE(""https://docs.google.com/spreadsheets/d/1B0f2xJpZUC6Z0xXnqKlZtEPzsf6L84eP1r1Q15seqRM/edit?usp=sharing"",""สุโขทัย!J744"")+IMPORTRANGE(""http"&amp;"s://docs.google.com/spreadsheets/d/1v0b9pFQCsKUVExMei7AgY2yQkdeNQvtOssygGsXbiKo/edit?usp=sharing"",""อุตรดิตถ์!J744"")+IMPORTRANGE(""https://docs.google.com/spreadsheets/d/1UsNK1e-WWiCo2PvGqdNfdme4m17_Ezd3J69EeeiQPD0/edit?usp=sharing"",""อุทัยธานี!J744"")"),1030)</f>
        <v>1030</v>
      </c>
      <c r="K744" s="46">
        <f ca="1">IF(I744&gt;0,J744*100/I744,0)</f>
        <v>36.785714285714285</v>
      </c>
      <c r="L744" s="45"/>
      <c r="M744" s="45"/>
      <c r="N744" s="45"/>
      <c r="O744" s="45"/>
      <c r="P744" s="45"/>
      <c r="Q744" s="45"/>
      <c r="R744" s="45"/>
      <c r="S744" s="45"/>
      <c r="T744" s="45"/>
      <c r="U744" s="45"/>
    </row>
    <row r="745" spans="1:21" ht="18.75" x14ac:dyDescent="0.25">
      <c r="A745" s="138"/>
      <c r="B745" s="139"/>
      <c r="C745" s="139"/>
      <c r="D745" s="139"/>
      <c r="E745" s="139"/>
      <c r="F745" s="403" t="s">
        <v>275</v>
      </c>
      <c r="G745" s="143"/>
      <c r="H745" s="133" t="s">
        <v>35</v>
      </c>
      <c r="I745" s="44"/>
      <c r="J745" s="167">
        <f ca="1">IFERROR(__xludf.DUMMYFUNCTION("IMPORTRANGE(""https://docs.google.com/spreadsheets/d/1jTcq05yEiRwXcBMLjiodW9e4biSGYWAHcDj22rKWQ3s/edit?usp=sharing"",""กำแพงเพชร!J745"")+IMPORTRANGE(""https://docs.google.com/spreadsheets/d/1KS0zmDSZPk8KnTAbGN-Xk6MtX1YRZD0ldgdt20K4CRk/edit?usp=sharing"","&amp;"""เชียงราย!J745"")+IMPORTRANGE(""https://docs.google.com/spreadsheets/d/1rEDxBtusbi64tE0zunoIbsTVV16HeL0oJ6trHQeQ7K8/edit?usp=sharing"",""เชียงใหม่!J745"")+IMPORTRANGE(""https://docs.google.com/spreadsheets/d/1W6MnUbDkMi6xHnHko_XkFDO9kkuL6Wqyc-6OCDFjW9I/e"&amp;"dit?usp=sharing"",""ตาก!J745"")+IMPORTRANGE(""https://docs.google.com/spreadsheets/d/1IQAWArduLkta9LpYo4a_ULsyqdta6-6aDDiwpUnQT6c/edit?usp=sharing"",""นครสวรรค์!J745"")+IMPORTRANGE(""https://docs.google.com/spreadsheets/d/10s13Sk5xrltsiR-Zkbmk5DwIaDIKO8Xl"&amp;"bJAfqyT7Gvg/edit?usp=sharing"",""น่าน!J745"")+IMPORTRANGE(""https://docs.google.com/spreadsheets/d/1uu4nAn4Dbi1XREnLKKotUANlKXa7yCgRcgq8HEzQYW8/edit?usp=sharing"",""พะเยา!J745"")+IMPORTRANGE(""https://docs.google.com/spreadsheets/d/1xfJKIQxVOaPDIICqsflNlL"&amp;"u3JacTDk1FP9RH4phX7mI/edit?usp=sharing"",""พิจิตร!J745"")+IMPORTRANGE(""https://docs.google.com/spreadsheets/d/1JtRfZkJMHtEhI5RdRHxYUG4FIZHqKDpNyIuN7A1Q0_k/edit?usp=sharing"",""พิษณุโลก!J745"")+IMPORTRANGE(""https://docs.google.com/spreadsheets/d/1xlcVZWU"&amp;"Nn6SuWm0c307h32SiGkd9BaeQWlAktfD3KO8/edit?usp=sharing"",""เพชรบูรณ์!J745"")+IMPORTRANGE(""https://docs.google.com/spreadsheets/d/1lOVebEIsI9qjGXl6EX66luk7wiuP2tBaryw-wKvv4e0/edit?usp=sharing"",""แพร่!J745"")+IMPORTRANGE(""https://docs.google.com/spreadshe"&amp;"ets/d/1dQrvX0vEcN7Gu0fnZ0B5S90AeR19zth4XlExFBeExMY/edit?usp=sharing"",""แม่ฮ่องสอน!J745"")+IMPORTRANGE(""https://docs.google.com/spreadsheets/d/1DY4XTNNwjluuxqdfdn6qvOSlMRrZqUtmYcZR0ttFiG4/edit?usp=sharing"",""ลำปาง!J745"")+IMPORTRANGE(""https://docs.goog"&amp;"le.com/spreadsheets/d/1ICwG78r0OFT8biBlxnBF8r7she7gNSzOvJ958PWT09c/edit?usp=sharing"",""ลำพูน!J745"")+IMPORTRANGE(""https://docs.google.com/spreadsheets/d/1B0f2xJpZUC6Z0xXnqKlZtEPzsf6L84eP1r1Q15seqRM/edit?usp=sharing"",""สุโขทัย!J745"")+IMPORTRANGE(""http"&amp;"s://docs.google.com/spreadsheets/d/1v0b9pFQCsKUVExMei7AgY2yQkdeNQvtOssygGsXbiKo/edit?usp=sharing"",""อุตรดิตถ์!J745"")+IMPORTRANGE(""https://docs.google.com/spreadsheets/d/1UsNK1e-WWiCo2PvGqdNfdme4m17_Ezd3J69EeeiQPD0/edit?usp=sharing"",""อุทัยธานี!J745"")"),75)</f>
        <v>75</v>
      </c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</row>
    <row r="746" spans="1:21" ht="18.75" x14ac:dyDescent="0.25">
      <c r="A746" s="138"/>
      <c r="B746" s="139"/>
      <c r="C746" s="139"/>
      <c r="D746" s="139"/>
      <c r="E746" s="139"/>
      <c r="F746" s="403" t="s">
        <v>276</v>
      </c>
      <c r="G746" s="143"/>
      <c r="H746" s="133" t="s">
        <v>35</v>
      </c>
      <c r="I746" s="166">
        <f ca="1">IFERROR(__xludf.DUMMYFUNCTION("IMPORTRANGE(""https://docs.google.com/spreadsheets/d/1jTcq05yEiRwXcBMLjiodW9e4biSGYWAHcDj22rKWQ3s/edit?usp=sharing"",""กำแพงเพชร!I746"")+IMPORTRANGE(""https://docs.google.com/spreadsheets/d/1KS0zmDSZPk8KnTAbGN-Xk6MtX1YRZD0ldgdt20K4CRk/edit?usp=sharing"","&amp;"""เชียงราย!I746"")+IMPORTRANGE(""https://docs.google.com/spreadsheets/d/1rEDxBtusbi64tE0zunoIbsTVV16HeL0oJ6trHQeQ7K8/edit?usp=sharing"",""เชียงใหม่!I746"")+IMPORTRANGE(""https://docs.google.com/spreadsheets/d/1W6MnUbDkMi6xHnHko_XkFDO9kkuL6Wqyc-6OCDFjW9I/e"&amp;"dit?usp=sharing"",""ตาก!I746"")+IMPORTRANGE(""https://docs.google.com/spreadsheets/d/1IQAWArduLkta9LpYo4a_ULsyqdta6-6aDDiwpUnQT6c/edit?usp=sharing"",""นครสวรรค์!I746"")+IMPORTRANGE(""https://docs.google.com/spreadsheets/d/10s13Sk5xrltsiR-Zkbmk5DwIaDIKO8Xl"&amp;"bJAfqyT7Gvg/edit?usp=sharing"",""น่าน!I746"")+IMPORTRANGE(""https://docs.google.com/spreadsheets/d/1uu4nAn4Dbi1XREnLKKotUANlKXa7yCgRcgq8HEzQYW8/edit?usp=sharing"",""พะเยา!I746"")+IMPORTRANGE(""https://docs.google.com/spreadsheets/d/1xfJKIQxVOaPDIICqsflNlL"&amp;"u3JacTDk1FP9RH4phX7mI/edit?usp=sharing"",""พิจิตร!I746"")+IMPORTRANGE(""https://docs.google.com/spreadsheets/d/1JtRfZkJMHtEhI5RdRHxYUG4FIZHqKDpNyIuN7A1Q0_k/edit?usp=sharing"",""พิษณุโลก!I746"")+IMPORTRANGE(""https://docs.google.com/spreadsheets/d/1xlcVZWU"&amp;"Nn6SuWm0c307h32SiGkd9BaeQWlAktfD3KO8/edit?usp=sharing"",""เพชรบูรณ์!I746"")+IMPORTRANGE(""https://docs.google.com/spreadsheets/d/1lOVebEIsI9qjGXl6EX66luk7wiuP2tBaryw-wKvv4e0/edit?usp=sharing"",""แพร่!I746"")+IMPORTRANGE(""https://docs.google.com/spreadshe"&amp;"ets/d/1dQrvX0vEcN7Gu0fnZ0B5S90AeR19zth4XlExFBeExMY/edit?usp=sharing"",""แม่ฮ่องสอน!I746"")+IMPORTRANGE(""https://docs.google.com/spreadsheets/d/1DY4XTNNwjluuxqdfdn6qvOSlMRrZqUtmYcZR0ttFiG4/edit?usp=sharing"",""ลำปาง!I746"")+IMPORTRANGE(""https://docs.goog"&amp;"le.com/spreadsheets/d/1ICwG78r0OFT8biBlxnBF8r7she7gNSzOvJ958PWT09c/edit?usp=sharing"",""ลำพูน!I746"")+IMPORTRANGE(""https://docs.google.com/spreadsheets/d/1B0f2xJpZUC6Z0xXnqKlZtEPzsf6L84eP1r1Q15seqRM/edit?usp=sharing"",""สุโขทัย!I746"")+IMPORTRANGE(""http"&amp;"s://docs.google.com/spreadsheets/d/1v0b9pFQCsKUVExMei7AgY2yQkdeNQvtOssygGsXbiKo/edit?usp=sharing"",""อุตรดิตถ์!I746"")+IMPORTRANGE(""https://docs.google.com/spreadsheets/d/1UsNK1e-WWiCo2PvGqdNfdme4m17_Ezd3J69EeeiQPD0/edit?usp=sharing"",""อุทัยธานี!I746"")"),280)</f>
        <v>280</v>
      </c>
      <c r="J746" s="167">
        <f ca="1">IFERROR(__xludf.DUMMYFUNCTION("IMPORTRANGE(""https://docs.google.com/spreadsheets/d/1jTcq05yEiRwXcBMLjiodW9e4biSGYWAHcDj22rKWQ3s/edit?usp=sharing"",""กำแพงเพชร!J746"")+IMPORTRANGE(""https://docs.google.com/spreadsheets/d/1KS0zmDSZPk8KnTAbGN-Xk6MtX1YRZD0ldgdt20K4CRk/edit?usp=sharing"","&amp;"""เชียงราย!J746"")+IMPORTRANGE(""https://docs.google.com/spreadsheets/d/1rEDxBtusbi64tE0zunoIbsTVV16HeL0oJ6trHQeQ7K8/edit?usp=sharing"",""เชียงใหม่!J746"")+IMPORTRANGE(""https://docs.google.com/spreadsheets/d/1W6MnUbDkMi6xHnHko_XkFDO9kkuL6Wqyc-6OCDFjW9I/e"&amp;"dit?usp=sharing"",""ตาก!J746"")+IMPORTRANGE(""https://docs.google.com/spreadsheets/d/1IQAWArduLkta9LpYo4a_ULsyqdta6-6aDDiwpUnQT6c/edit?usp=sharing"",""นครสวรรค์!J746"")+IMPORTRANGE(""https://docs.google.com/spreadsheets/d/10s13Sk5xrltsiR-Zkbmk5DwIaDIKO8Xl"&amp;"bJAfqyT7Gvg/edit?usp=sharing"",""น่าน!J746"")+IMPORTRANGE(""https://docs.google.com/spreadsheets/d/1uu4nAn4Dbi1XREnLKKotUANlKXa7yCgRcgq8HEzQYW8/edit?usp=sharing"",""พะเยา!J746"")+IMPORTRANGE(""https://docs.google.com/spreadsheets/d/1xfJKIQxVOaPDIICqsflNlL"&amp;"u3JacTDk1FP9RH4phX7mI/edit?usp=sharing"",""พิจิตร!J746"")+IMPORTRANGE(""https://docs.google.com/spreadsheets/d/1JtRfZkJMHtEhI5RdRHxYUG4FIZHqKDpNyIuN7A1Q0_k/edit?usp=sharing"",""พิษณุโลก!J746"")+IMPORTRANGE(""https://docs.google.com/spreadsheets/d/1xlcVZWU"&amp;"Nn6SuWm0c307h32SiGkd9BaeQWlAktfD3KO8/edit?usp=sharing"",""เพชรบูรณ์!J746"")+IMPORTRANGE(""https://docs.google.com/spreadsheets/d/1lOVebEIsI9qjGXl6EX66luk7wiuP2tBaryw-wKvv4e0/edit?usp=sharing"",""แพร่!J746"")+IMPORTRANGE(""https://docs.google.com/spreadshe"&amp;"ets/d/1dQrvX0vEcN7Gu0fnZ0B5S90AeR19zth4XlExFBeExMY/edit?usp=sharing"",""แม่ฮ่องสอน!J746"")+IMPORTRANGE(""https://docs.google.com/spreadsheets/d/1DY4XTNNwjluuxqdfdn6qvOSlMRrZqUtmYcZR0ttFiG4/edit?usp=sharing"",""ลำปาง!J746"")+IMPORTRANGE(""https://docs.goog"&amp;"le.com/spreadsheets/d/1ICwG78r0OFT8biBlxnBF8r7she7gNSzOvJ958PWT09c/edit?usp=sharing"",""ลำพูน!J746"")+IMPORTRANGE(""https://docs.google.com/spreadsheets/d/1B0f2xJpZUC6Z0xXnqKlZtEPzsf6L84eP1r1Q15seqRM/edit?usp=sharing"",""สุโขทัย!J746"")+IMPORTRANGE(""http"&amp;"s://docs.google.com/spreadsheets/d/1v0b9pFQCsKUVExMei7AgY2yQkdeNQvtOssygGsXbiKo/edit?usp=sharing"",""อุตรดิตถ์!J746"")+IMPORTRANGE(""https://docs.google.com/spreadsheets/d/1UsNK1e-WWiCo2PvGqdNfdme4m17_Ezd3J69EeeiQPD0/edit?usp=sharing"",""อุทัยธานี!J746"")"),167)</f>
        <v>167</v>
      </c>
      <c r="K746" s="46">
        <f ca="1">IF(I746&gt;0,J746*100/I746,0)</f>
        <v>59.642857142857146</v>
      </c>
      <c r="L746" s="45"/>
      <c r="M746" s="45"/>
      <c r="N746" s="45"/>
      <c r="O746" s="45"/>
      <c r="P746" s="45"/>
      <c r="Q746" s="45"/>
      <c r="R746" s="45"/>
      <c r="S746" s="45"/>
      <c r="T746" s="45"/>
      <c r="U746" s="45"/>
    </row>
    <row r="747" spans="1:21" ht="18.75" x14ac:dyDescent="0.25">
      <c r="A747" s="138"/>
      <c r="B747" s="139"/>
      <c r="C747" s="139"/>
      <c r="D747" s="139"/>
      <c r="E747" s="403" t="s">
        <v>277</v>
      </c>
      <c r="F747" s="145"/>
      <c r="G747" s="143"/>
      <c r="H747" s="180"/>
      <c r="I747" s="44"/>
      <c r="J747" s="44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</row>
    <row r="748" spans="1:21" ht="18.75" x14ac:dyDescent="0.25">
      <c r="A748" s="138"/>
      <c r="B748" s="139"/>
      <c r="C748" s="139"/>
      <c r="D748" s="139"/>
      <c r="E748" s="139"/>
      <c r="F748" s="403" t="s">
        <v>278</v>
      </c>
      <c r="G748" s="143"/>
      <c r="H748" s="133" t="s">
        <v>35</v>
      </c>
      <c r="I748" s="44"/>
      <c r="J748" s="167">
        <f ca="1">IFERROR(__xludf.DUMMYFUNCTION("IMPORTRANGE(""https://docs.google.com/spreadsheets/d/1jTcq05yEiRwXcBMLjiodW9e4biSGYWAHcDj22rKWQ3s/edit?usp=sharing"",""กำแพงเพชร!J748"")+IMPORTRANGE(""https://docs.google.com/spreadsheets/d/1KS0zmDSZPk8KnTAbGN-Xk6MtX1YRZD0ldgdt20K4CRk/edit?usp=sharing"","&amp;"""เชียงราย!J748"")+IMPORTRANGE(""https://docs.google.com/spreadsheets/d/1rEDxBtusbi64tE0zunoIbsTVV16HeL0oJ6trHQeQ7K8/edit?usp=sharing"",""เชียงใหม่!J748"")+IMPORTRANGE(""https://docs.google.com/spreadsheets/d/1W6MnUbDkMi6xHnHko_XkFDO9kkuL6Wqyc-6OCDFjW9I/e"&amp;"dit?usp=sharing"",""ตาก!J748"")+IMPORTRANGE(""https://docs.google.com/spreadsheets/d/1IQAWArduLkta9LpYo4a_ULsyqdta6-6aDDiwpUnQT6c/edit?usp=sharing"",""นครสวรรค์!J748"")+IMPORTRANGE(""https://docs.google.com/spreadsheets/d/10s13Sk5xrltsiR-Zkbmk5DwIaDIKO8Xl"&amp;"bJAfqyT7Gvg/edit?usp=sharing"",""น่าน!J748"")+IMPORTRANGE(""https://docs.google.com/spreadsheets/d/1uu4nAn4Dbi1XREnLKKotUANlKXa7yCgRcgq8HEzQYW8/edit?usp=sharing"",""พะเยา!J748"")+IMPORTRANGE(""https://docs.google.com/spreadsheets/d/1xfJKIQxVOaPDIICqsflNlL"&amp;"u3JacTDk1FP9RH4phX7mI/edit?usp=sharing"",""พิจิตร!J748"")+IMPORTRANGE(""https://docs.google.com/spreadsheets/d/1JtRfZkJMHtEhI5RdRHxYUG4FIZHqKDpNyIuN7A1Q0_k/edit?usp=sharing"",""พิษณุโลก!J748"")+IMPORTRANGE(""https://docs.google.com/spreadsheets/d/1xlcVZWU"&amp;"Nn6SuWm0c307h32SiGkd9BaeQWlAktfD3KO8/edit?usp=sharing"",""เพชรบูรณ์!J748"")+IMPORTRANGE(""https://docs.google.com/spreadsheets/d/1lOVebEIsI9qjGXl6EX66luk7wiuP2tBaryw-wKvv4e0/edit?usp=sharing"",""แพร่!J748"")+IMPORTRANGE(""https://docs.google.com/spreadshe"&amp;"ets/d/1dQrvX0vEcN7Gu0fnZ0B5S90AeR19zth4XlExFBeExMY/edit?usp=sharing"",""แม่ฮ่องสอน!J748"")+IMPORTRANGE(""https://docs.google.com/spreadsheets/d/1DY4XTNNwjluuxqdfdn6qvOSlMRrZqUtmYcZR0ttFiG4/edit?usp=sharing"",""ลำปาง!J748"")+IMPORTRANGE(""https://docs.goog"&amp;"le.com/spreadsheets/d/1ICwG78r0OFT8biBlxnBF8r7she7gNSzOvJ958PWT09c/edit?usp=sharing"",""ลำพูน!J748"")+IMPORTRANGE(""https://docs.google.com/spreadsheets/d/1B0f2xJpZUC6Z0xXnqKlZtEPzsf6L84eP1r1Q15seqRM/edit?usp=sharing"",""สุโขทัย!J748"")+IMPORTRANGE(""http"&amp;"s://docs.google.com/spreadsheets/d/1v0b9pFQCsKUVExMei7AgY2yQkdeNQvtOssygGsXbiKo/edit?usp=sharing"",""อุตรดิตถ์!J748"")+IMPORTRANGE(""https://docs.google.com/spreadsheets/d/1UsNK1e-WWiCo2PvGqdNfdme4m17_Ezd3J69EeeiQPD0/edit?usp=sharing"",""อุทัยธานี!J748"")"),3)</f>
        <v>3</v>
      </c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</row>
    <row r="749" spans="1:21" ht="18.75" x14ac:dyDescent="0.25">
      <c r="A749" s="138"/>
      <c r="B749" s="139"/>
      <c r="C749" s="139"/>
      <c r="D749" s="139"/>
      <c r="E749" s="139"/>
      <c r="F749" s="403" t="s">
        <v>279</v>
      </c>
      <c r="G749" s="143"/>
      <c r="H749" s="133" t="s">
        <v>35</v>
      </c>
      <c r="I749" s="166">
        <f ca="1">IFERROR(__xludf.DUMMYFUNCTION("IMPORTRANGE(""https://docs.google.com/spreadsheets/d/1jTcq05yEiRwXcBMLjiodW9e4biSGYWAHcDj22rKWQ3s/edit?usp=sharing"",""กำแพงเพชร!I749"")+IMPORTRANGE(""https://docs.google.com/spreadsheets/d/1KS0zmDSZPk8KnTAbGN-Xk6MtX1YRZD0ldgdt20K4CRk/edit?usp=sharing"","&amp;"""เชียงราย!I749"")+IMPORTRANGE(""https://docs.google.com/spreadsheets/d/1rEDxBtusbi64tE0zunoIbsTVV16HeL0oJ6trHQeQ7K8/edit?usp=sharing"",""เชียงใหม่!I749"")+IMPORTRANGE(""https://docs.google.com/spreadsheets/d/1W6MnUbDkMi6xHnHko_XkFDO9kkuL6Wqyc-6OCDFjW9I/e"&amp;"dit?usp=sharing"",""ตาก!I749"")+IMPORTRANGE(""https://docs.google.com/spreadsheets/d/1IQAWArduLkta9LpYo4a_ULsyqdta6-6aDDiwpUnQT6c/edit?usp=sharing"",""นครสวรรค์!I749"")+IMPORTRANGE(""https://docs.google.com/spreadsheets/d/10s13Sk5xrltsiR-Zkbmk5DwIaDIKO8Xl"&amp;"bJAfqyT7Gvg/edit?usp=sharing"",""น่าน!I749"")+IMPORTRANGE(""https://docs.google.com/spreadsheets/d/1uu4nAn4Dbi1XREnLKKotUANlKXa7yCgRcgq8HEzQYW8/edit?usp=sharing"",""พะเยา!I749"")+IMPORTRANGE(""https://docs.google.com/spreadsheets/d/1xfJKIQxVOaPDIICqsflNlL"&amp;"u3JacTDk1FP9RH4phX7mI/edit?usp=sharing"",""พิจิตร!I749"")+IMPORTRANGE(""https://docs.google.com/spreadsheets/d/1JtRfZkJMHtEhI5RdRHxYUG4FIZHqKDpNyIuN7A1Q0_k/edit?usp=sharing"",""พิษณุโลก!I749"")+IMPORTRANGE(""https://docs.google.com/spreadsheets/d/1xlcVZWU"&amp;"Nn6SuWm0c307h32SiGkd9BaeQWlAktfD3KO8/edit?usp=sharing"",""เพชรบูรณ์!I749"")+IMPORTRANGE(""https://docs.google.com/spreadsheets/d/1lOVebEIsI9qjGXl6EX66luk7wiuP2tBaryw-wKvv4e0/edit?usp=sharing"",""แพร่!I749"")+IMPORTRANGE(""https://docs.google.com/spreadshe"&amp;"ets/d/1dQrvX0vEcN7Gu0fnZ0B5S90AeR19zth4XlExFBeExMY/edit?usp=sharing"",""แม่ฮ่องสอน!I749"")+IMPORTRANGE(""https://docs.google.com/spreadsheets/d/1DY4XTNNwjluuxqdfdn6qvOSlMRrZqUtmYcZR0ttFiG4/edit?usp=sharing"",""ลำปาง!I749"")+IMPORTRANGE(""https://docs.goog"&amp;"le.com/spreadsheets/d/1ICwG78r0OFT8biBlxnBF8r7she7gNSzOvJ958PWT09c/edit?usp=sharing"",""ลำพูน!I749"")+IMPORTRANGE(""https://docs.google.com/spreadsheets/d/1B0f2xJpZUC6Z0xXnqKlZtEPzsf6L84eP1r1Q15seqRM/edit?usp=sharing"",""สุโขทัย!I749"")+IMPORTRANGE(""http"&amp;"s://docs.google.com/spreadsheets/d/1v0b9pFQCsKUVExMei7AgY2yQkdeNQvtOssygGsXbiKo/edit?usp=sharing"",""อุตรดิตถ์!I749"")+IMPORTRANGE(""https://docs.google.com/spreadsheets/d/1UsNK1e-WWiCo2PvGqdNfdme4m17_Ezd3J69EeeiQPD0/edit?usp=sharing"",""อุทัยธานี!I749"")"),36)</f>
        <v>36</v>
      </c>
      <c r="J749" s="167">
        <f ca="1">IFERROR(__xludf.DUMMYFUNCTION("IMPORTRANGE(""https://docs.google.com/spreadsheets/d/1jTcq05yEiRwXcBMLjiodW9e4biSGYWAHcDj22rKWQ3s/edit?usp=sharing"",""กำแพงเพชร!J749"")+IMPORTRANGE(""https://docs.google.com/spreadsheets/d/1KS0zmDSZPk8KnTAbGN-Xk6MtX1YRZD0ldgdt20K4CRk/edit?usp=sharing"","&amp;"""เชียงราย!J749"")+IMPORTRANGE(""https://docs.google.com/spreadsheets/d/1rEDxBtusbi64tE0zunoIbsTVV16HeL0oJ6trHQeQ7K8/edit?usp=sharing"",""เชียงใหม่!J749"")+IMPORTRANGE(""https://docs.google.com/spreadsheets/d/1W6MnUbDkMi6xHnHko_XkFDO9kkuL6Wqyc-6OCDFjW9I/e"&amp;"dit?usp=sharing"",""ตาก!J749"")+IMPORTRANGE(""https://docs.google.com/spreadsheets/d/1IQAWArduLkta9LpYo4a_ULsyqdta6-6aDDiwpUnQT6c/edit?usp=sharing"",""นครสวรรค์!J749"")+IMPORTRANGE(""https://docs.google.com/spreadsheets/d/10s13Sk5xrltsiR-Zkbmk5DwIaDIKO8Xl"&amp;"bJAfqyT7Gvg/edit?usp=sharing"",""น่าน!J749"")+IMPORTRANGE(""https://docs.google.com/spreadsheets/d/1uu4nAn4Dbi1XREnLKKotUANlKXa7yCgRcgq8HEzQYW8/edit?usp=sharing"",""พะเยา!J749"")+IMPORTRANGE(""https://docs.google.com/spreadsheets/d/1xfJKIQxVOaPDIICqsflNlL"&amp;"u3JacTDk1FP9RH4phX7mI/edit?usp=sharing"",""พิจิตร!J749"")+IMPORTRANGE(""https://docs.google.com/spreadsheets/d/1JtRfZkJMHtEhI5RdRHxYUG4FIZHqKDpNyIuN7A1Q0_k/edit?usp=sharing"",""พิษณุโลก!J749"")+IMPORTRANGE(""https://docs.google.com/spreadsheets/d/1xlcVZWU"&amp;"Nn6SuWm0c307h32SiGkd9BaeQWlAktfD3KO8/edit?usp=sharing"",""เพชรบูรณ์!J749"")+IMPORTRANGE(""https://docs.google.com/spreadsheets/d/1lOVebEIsI9qjGXl6EX66luk7wiuP2tBaryw-wKvv4e0/edit?usp=sharing"",""แพร่!J749"")+IMPORTRANGE(""https://docs.google.com/spreadshe"&amp;"ets/d/1dQrvX0vEcN7Gu0fnZ0B5S90AeR19zth4XlExFBeExMY/edit?usp=sharing"",""แม่ฮ่องสอน!J749"")+IMPORTRANGE(""https://docs.google.com/spreadsheets/d/1DY4XTNNwjluuxqdfdn6qvOSlMRrZqUtmYcZR0ttFiG4/edit?usp=sharing"",""ลำปาง!J749"")+IMPORTRANGE(""https://docs.goog"&amp;"le.com/spreadsheets/d/1ICwG78r0OFT8biBlxnBF8r7she7gNSzOvJ958PWT09c/edit?usp=sharing"",""ลำพูน!J749"")+IMPORTRANGE(""https://docs.google.com/spreadsheets/d/1B0f2xJpZUC6Z0xXnqKlZtEPzsf6L84eP1r1Q15seqRM/edit?usp=sharing"",""สุโขทัย!J749"")+IMPORTRANGE(""http"&amp;"s://docs.google.com/spreadsheets/d/1v0b9pFQCsKUVExMei7AgY2yQkdeNQvtOssygGsXbiKo/edit?usp=sharing"",""อุตรดิตถ์!J749"")+IMPORTRANGE(""https://docs.google.com/spreadsheets/d/1UsNK1e-WWiCo2PvGqdNfdme4m17_Ezd3J69EeeiQPD0/edit?usp=sharing"",""อุทัยธานี!J749"")"),7)</f>
        <v>7</v>
      </c>
      <c r="K749" s="46">
        <f ca="1">IF(I749&gt;0,J749*100/I749,0)</f>
        <v>19.444444444444443</v>
      </c>
      <c r="L749" s="45"/>
      <c r="M749" s="45"/>
      <c r="N749" s="45"/>
      <c r="O749" s="45"/>
      <c r="P749" s="45"/>
      <c r="Q749" s="45"/>
      <c r="R749" s="45"/>
      <c r="S749" s="45"/>
      <c r="T749" s="45"/>
      <c r="U749" s="45"/>
    </row>
    <row r="750" spans="1:21" ht="19.5" x14ac:dyDescent="0.3">
      <c r="A750" s="138"/>
      <c r="B750" s="139"/>
      <c r="C750" s="139"/>
      <c r="D750" s="430" t="s">
        <v>50</v>
      </c>
      <c r="E750" s="139"/>
      <c r="F750" s="145"/>
      <c r="G750" s="143"/>
      <c r="H750" s="180"/>
      <c r="I750" s="44"/>
      <c r="J750" s="44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</row>
    <row r="751" spans="1:21" ht="18.75" x14ac:dyDescent="0.25">
      <c r="A751" s="138"/>
      <c r="B751" s="139"/>
      <c r="C751" s="139"/>
      <c r="D751" s="139"/>
      <c r="E751" s="403" t="s">
        <v>270</v>
      </c>
      <c r="F751" s="145"/>
      <c r="G751" s="143"/>
      <c r="H751" s="180"/>
      <c r="I751" s="44"/>
      <c r="J751" s="44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</row>
    <row r="752" spans="1:21" ht="18.75" x14ac:dyDescent="0.25">
      <c r="A752" s="138"/>
      <c r="B752" s="139"/>
      <c r="C752" s="139"/>
      <c r="D752" s="139"/>
      <c r="E752" s="139"/>
      <c r="F752" s="149" t="s">
        <v>280</v>
      </c>
      <c r="G752" s="143"/>
      <c r="H752" s="133" t="s">
        <v>46</v>
      </c>
      <c r="I752" s="166">
        <f ca="1">IFERROR(__xludf.DUMMYFUNCTION("IMPORTRANGE(""https://docs.google.com/spreadsheets/d/1jTcq05yEiRwXcBMLjiodW9e4biSGYWAHcDj22rKWQ3s/edit?usp=sharing"",""กำแพงเพชร!I752"")+IMPORTRANGE(""https://docs.google.com/spreadsheets/d/1KS0zmDSZPk8KnTAbGN-Xk6MtX1YRZD0ldgdt20K4CRk/edit?usp=sharing"","&amp;"""เชียงราย!I752"")+IMPORTRANGE(""https://docs.google.com/spreadsheets/d/1rEDxBtusbi64tE0zunoIbsTVV16HeL0oJ6trHQeQ7K8/edit?usp=sharing"",""เชียงใหม่!I752"")+IMPORTRANGE(""https://docs.google.com/spreadsheets/d/1W6MnUbDkMi6xHnHko_XkFDO9kkuL6Wqyc-6OCDFjW9I/e"&amp;"dit?usp=sharing"",""ตาก!I752"")+IMPORTRANGE(""https://docs.google.com/spreadsheets/d/1IQAWArduLkta9LpYo4a_ULsyqdta6-6aDDiwpUnQT6c/edit?usp=sharing"",""นครสวรรค์!I752"")+IMPORTRANGE(""https://docs.google.com/spreadsheets/d/10s13Sk5xrltsiR-Zkbmk5DwIaDIKO8Xl"&amp;"bJAfqyT7Gvg/edit?usp=sharing"",""น่าน!I752"")+IMPORTRANGE(""https://docs.google.com/spreadsheets/d/1uu4nAn4Dbi1XREnLKKotUANlKXa7yCgRcgq8HEzQYW8/edit?usp=sharing"",""พะเยา!I752"")+IMPORTRANGE(""https://docs.google.com/spreadsheets/d/1xfJKIQxVOaPDIICqsflNlL"&amp;"u3JacTDk1FP9RH4phX7mI/edit?usp=sharing"",""พิจิตร!I752"")+IMPORTRANGE(""https://docs.google.com/spreadsheets/d/1JtRfZkJMHtEhI5RdRHxYUG4FIZHqKDpNyIuN7A1Q0_k/edit?usp=sharing"",""พิษณุโลก!I752"")+IMPORTRANGE(""https://docs.google.com/spreadsheets/d/1xlcVZWU"&amp;"Nn6SuWm0c307h32SiGkd9BaeQWlAktfD3KO8/edit?usp=sharing"",""เพชรบูรณ์!I752"")+IMPORTRANGE(""https://docs.google.com/spreadsheets/d/1lOVebEIsI9qjGXl6EX66luk7wiuP2tBaryw-wKvv4e0/edit?usp=sharing"",""แพร่!I752"")+IMPORTRANGE(""https://docs.google.com/spreadshe"&amp;"ets/d/1dQrvX0vEcN7Gu0fnZ0B5S90AeR19zth4XlExFBeExMY/edit?usp=sharing"",""แม่ฮ่องสอน!I752"")+IMPORTRANGE(""https://docs.google.com/spreadsheets/d/1DY4XTNNwjluuxqdfdn6qvOSlMRrZqUtmYcZR0ttFiG4/edit?usp=sharing"",""ลำปาง!I752"")+IMPORTRANGE(""https://docs.goog"&amp;"le.com/spreadsheets/d/1ICwG78r0OFT8biBlxnBF8r7she7gNSzOvJ958PWT09c/edit?usp=sharing"",""ลำพูน!I752"")+IMPORTRANGE(""https://docs.google.com/spreadsheets/d/1B0f2xJpZUC6Z0xXnqKlZtEPzsf6L84eP1r1Q15seqRM/edit?usp=sharing"",""สุโขทัย!I752"")+IMPORTRANGE(""http"&amp;"s://docs.google.com/spreadsheets/d/1v0b9pFQCsKUVExMei7AgY2yQkdeNQvtOssygGsXbiKo/edit?usp=sharing"",""อุตรดิตถ์!I752"")+IMPORTRANGE(""https://docs.google.com/spreadsheets/d/1UsNK1e-WWiCo2PvGqdNfdme4m17_Ezd3J69EeeiQPD0/edit?usp=sharing"",""อุทัยธานี!I752"")"),11200)</f>
        <v>11200</v>
      </c>
      <c r="J752" s="167">
        <f ca="1">IFERROR(__xludf.DUMMYFUNCTION("IMPORTRANGE(""https://docs.google.com/spreadsheets/d/1jTcq05yEiRwXcBMLjiodW9e4biSGYWAHcDj22rKWQ3s/edit?usp=sharing"",""กำแพงเพชร!J752"")+IMPORTRANGE(""https://docs.google.com/spreadsheets/d/1KS0zmDSZPk8KnTAbGN-Xk6MtX1YRZD0ldgdt20K4CRk/edit?usp=sharing"","&amp;"""เชียงราย!J752"")+IMPORTRANGE(""https://docs.google.com/spreadsheets/d/1rEDxBtusbi64tE0zunoIbsTVV16HeL0oJ6trHQeQ7K8/edit?usp=sharing"",""เชียงใหม่!J752"")+IMPORTRANGE(""https://docs.google.com/spreadsheets/d/1W6MnUbDkMi6xHnHko_XkFDO9kkuL6Wqyc-6OCDFjW9I/e"&amp;"dit?usp=sharing"",""ตาก!J752"")+IMPORTRANGE(""https://docs.google.com/spreadsheets/d/1IQAWArduLkta9LpYo4a_ULsyqdta6-6aDDiwpUnQT6c/edit?usp=sharing"",""นครสวรรค์!J752"")+IMPORTRANGE(""https://docs.google.com/spreadsheets/d/10s13Sk5xrltsiR-Zkbmk5DwIaDIKO8Xl"&amp;"bJAfqyT7Gvg/edit?usp=sharing"",""น่าน!J752"")+IMPORTRANGE(""https://docs.google.com/spreadsheets/d/1uu4nAn4Dbi1XREnLKKotUANlKXa7yCgRcgq8HEzQYW8/edit?usp=sharing"",""พะเยา!J752"")+IMPORTRANGE(""https://docs.google.com/spreadsheets/d/1xfJKIQxVOaPDIICqsflNlL"&amp;"u3JacTDk1FP9RH4phX7mI/edit?usp=sharing"",""พิจิตร!J752"")+IMPORTRANGE(""https://docs.google.com/spreadsheets/d/1JtRfZkJMHtEhI5RdRHxYUG4FIZHqKDpNyIuN7A1Q0_k/edit?usp=sharing"",""พิษณุโลก!J752"")+IMPORTRANGE(""https://docs.google.com/spreadsheets/d/1xlcVZWU"&amp;"Nn6SuWm0c307h32SiGkd9BaeQWlAktfD3KO8/edit?usp=sharing"",""เพชรบูรณ์!J752"")+IMPORTRANGE(""https://docs.google.com/spreadsheets/d/1lOVebEIsI9qjGXl6EX66luk7wiuP2tBaryw-wKvv4e0/edit?usp=sharing"",""แพร่!J752"")+IMPORTRANGE(""https://docs.google.com/spreadshe"&amp;"ets/d/1dQrvX0vEcN7Gu0fnZ0B5S90AeR19zth4XlExFBeExMY/edit?usp=sharing"",""แม่ฮ่องสอน!J752"")+IMPORTRANGE(""https://docs.google.com/spreadsheets/d/1DY4XTNNwjluuxqdfdn6qvOSlMRrZqUtmYcZR0ttFiG4/edit?usp=sharing"",""ลำปาง!J752"")+IMPORTRANGE(""https://docs.goog"&amp;"le.com/spreadsheets/d/1ICwG78r0OFT8biBlxnBF8r7she7gNSzOvJ958PWT09c/edit?usp=sharing"",""ลำพูน!J752"")+IMPORTRANGE(""https://docs.google.com/spreadsheets/d/1B0f2xJpZUC6Z0xXnqKlZtEPzsf6L84eP1r1Q15seqRM/edit?usp=sharing"",""สุโขทัย!J752"")+IMPORTRANGE(""http"&amp;"s://docs.google.com/spreadsheets/d/1v0b9pFQCsKUVExMei7AgY2yQkdeNQvtOssygGsXbiKo/edit?usp=sharing"",""อุตรดิตถ์!J752"")+IMPORTRANGE(""https://docs.google.com/spreadsheets/d/1UsNK1e-WWiCo2PvGqdNfdme4m17_Ezd3J69EeeiQPD0/edit?usp=sharing"",""อุทัยธานี!J752"")"),320)</f>
        <v>320</v>
      </c>
      <c r="K752" s="46">
        <f ca="1">IF(I752&gt;0,J752*100/I752,0)</f>
        <v>2.8571428571428572</v>
      </c>
      <c r="L752" s="45"/>
      <c r="M752" s="45"/>
      <c r="N752" s="45"/>
      <c r="O752" s="45"/>
      <c r="P752" s="45"/>
      <c r="Q752" s="45"/>
      <c r="R752" s="45"/>
      <c r="S752" s="45"/>
      <c r="T752" s="45"/>
      <c r="U752" s="45"/>
    </row>
    <row r="753" spans="1:21" ht="18.75" x14ac:dyDescent="0.25">
      <c r="A753" s="138"/>
      <c r="B753" s="139"/>
      <c r="C753" s="139"/>
      <c r="D753" s="139"/>
      <c r="E753" s="139"/>
      <c r="F753" s="149" t="s">
        <v>281</v>
      </c>
      <c r="G753" s="143"/>
      <c r="H753" s="133" t="s">
        <v>46</v>
      </c>
      <c r="I753" s="44"/>
      <c r="J753" s="167">
        <f ca="1">IFERROR(__xludf.DUMMYFUNCTION("IMPORTRANGE(""https://docs.google.com/spreadsheets/d/1jTcq05yEiRwXcBMLjiodW9e4biSGYWAHcDj22rKWQ3s/edit?usp=sharing"",""กำแพงเพชร!J753"")+IMPORTRANGE(""https://docs.google.com/spreadsheets/d/1KS0zmDSZPk8KnTAbGN-Xk6MtX1YRZD0ldgdt20K4CRk/edit?usp=sharing"","&amp;"""เชียงราย!J753"")+IMPORTRANGE(""https://docs.google.com/spreadsheets/d/1rEDxBtusbi64tE0zunoIbsTVV16HeL0oJ6trHQeQ7K8/edit?usp=sharing"",""เชียงใหม่!J753"")+IMPORTRANGE(""https://docs.google.com/spreadsheets/d/1W6MnUbDkMi6xHnHko_XkFDO9kkuL6Wqyc-6OCDFjW9I/e"&amp;"dit?usp=sharing"",""ตาก!J753"")+IMPORTRANGE(""https://docs.google.com/spreadsheets/d/1IQAWArduLkta9LpYo4a_ULsyqdta6-6aDDiwpUnQT6c/edit?usp=sharing"",""นครสวรรค์!J753"")+IMPORTRANGE(""https://docs.google.com/spreadsheets/d/10s13Sk5xrltsiR-Zkbmk5DwIaDIKO8Xl"&amp;"bJAfqyT7Gvg/edit?usp=sharing"",""น่าน!J753"")+IMPORTRANGE(""https://docs.google.com/spreadsheets/d/1uu4nAn4Dbi1XREnLKKotUANlKXa7yCgRcgq8HEzQYW8/edit?usp=sharing"",""พะเยา!J753"")+IMPORTRANGE(""https://docs.google.com/spreadsheets/d/1xfJKIQxVOaPDIICqsflNlL"&amp;"u3JacTDk1FP9RH4phX7mI/edit?usp=sharing"",""พิจิตร!J753"")+IMPORTRANGE(""https://docs.google.com/spreadsheets/d/1JtRfZkJMHtEhI5RdRHxYUG4FIZHqKDpNyIuN7A1Q0_k/edit?usp=sharing"",""พิษณุโลก!J753"")+IMPORTRANGE(""https://docs.google.com/spreadsheets/d/1xlcVZWU"&amp;"Nn6SuWm0c307h32SiGkd9BaeQWlAktfD3KO8/edit?usp=sharing"",""เพชรบูรณ์!J753"")+IMPORTRANGE(""https://docs.google.com/spreadsheets/d/1lOVebEIsI9qjGXl6EX66luk7wiuP2tBaryw-wKvv4e0/edit?usp=sharing"",""แพร่!J753"")+IMPORTRANGE(""https://docs.google.com/spreadshe"&amp;"ets/d/1dQrvX0vEcN7Gu0fnZ0B5S90AeR19zth4XlExFBeExMY/edit?usp=sharing"",""แม่ฮ่องสอน!J753"")+IMPORTRANGE(""https://docs.google.com/spreadsheets/d/1DY4XTNNwjluuxqdfdn6qvOSlMRrZqUtmYcZR0ttFiG4/edit?usp=sharing"",""ลำปาง!J753"")+IMPORTRANGE(""https://docs.goog"&amp;"le.com/spreadsheets/d/1ICwG78r0OFT8biBlxnBF8r7she7gNSzOvJ958PWT09c/edit?usp=sharing"",""ลำพูน!J753"")+IMPORTRANGE(""https://docs.google.com/spreadsheets/d/1B0f2xJpZUC6Z0xXnqKlZtEPzsf6L84eP1r1Q15seqRM/edit?usp=sharing"",""สุโขทัย!J753"")+IMPORTRANGE(""http"&amp;"s://docs.google.com/spreadsheets/d/1v0b9pFQCsKUVExMei7AgY2yQkdeNQvtOssygGsXbiKo/edit?usp=sharing"",""อุตรดิตถ์!J753"")+IMPORTRANGE(""https://docs.google.com/spreadsheets/d/1UsNK1e-WWiCo2PvGqdNfdme4m17_Ezd3J69EeeiQPD0/edit?usp=sharing"",""อุทัยธานี!J753"")"),0)</f>
        <v>0</v>
      </c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</row>
    <row r="754" spans="1:21" ht="18.75" x14ac:dyDescent="0.25">
      <c r="A754" s="138"/>
      <c r="B754" s="139"/>
      <c r="C754" s="139"/>
      <c r="D754" s="139"/>
      <c r="E754" s="403" t="s">
        <v>274</v>
      </c>
      <c r="F754" s="145"/>
      <c r="G754" s="143"/>
      <c r="H754" s="180"/>
      <c r="I754" s="44"/>
      <c r="J754" s="44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</row>
    <row r="755" spans="1:21" ht="18.75" x14ac:dyDescent="0.25">
      <c r="A755" s="138"/>
      <c r="B755" s="139"/>
      <c r="C755" s="139"/>
      <c r="D755" s="139"/>
      <c r="E755" s="145"/>
      <c r="F755" s="149" t="s">
        <v>282</v>
      </c>
      <c r="G755" s="143"/>
      <c r="H755" s="133" t="s">
        <v>46</v>
      </c>
      <c r="I755" s="166">
        <f ca="1">IFERROR(__xludf.DUMMYFUNCTION("IMPORTRANGE(""https://docs.google.com/spreadsheets/d/1jTcq05yEiRwXcBMLjiodW9e4biSGYWAHcDj22rKWQ3s/edit?usp=sharing"",""กำแพงเพชร!I755"")+IMPORTRANGE(""https://docs.google.com/spreadsheets/d/1KS0zmDSZPk8KnTAbGN-Xk6MtX1YRZD0ldgdt20K4CRk/edit?usp=sharing"","&amp;"""เชียงราย!I755"")+IMPORTRANGE(""https://docs.google.com/spreadsheets/d/1rEDxBtusbi64tE0zunoIbsTVV16HeL0oJ6trHQeQ7K8/edit?usp=sharing"",""เชียงใหม่!I755"")+IMPORTRANGE(""https://docs.google.com/spreadsheets/d/1W6MnUbDkMi6xHnHko_XkFDO9kkuL6Wqyc-6OCDFjW9I/e"&amp;"dit?usp=sharing"",""ตาก!I755"")+IMPORTRANGE(""https://docs.google.com/spreadsheets/d/1IQAWArduLkta9LpYo4a_ULsyqdta6-6aDDiwpUnQT6c/edit?usp=sharing"",""นครสวรรค์!I755"")+IMPORTRANGE(""https://docs.google.com/spreadsheets/d/10s13Sk5xrltsiR-Zkbmk5DwIaDIKO8Xl"&amp;"bJAfqyT7Gvg/edit?usp=sharing"",""น่าน!I755"")+IMPORTRANGE(""https://docs.google.com/spreadsheets/d/1uu4nAn4Dbi1XREnLKKotUANlKXa7yCgRcgq8HEzQYW8/edit?usp=sharing"",""พะเยา!I755"")+IMPORTRANGE(""https://docs.google.com/spreadsheets/d/1xfJKIQxVOaPDIICqsflNlL"&amp;"u3JacTDk1FP9RH4phX7mI/edit?usp=sharing"",""พิจิตร!I755"")+IMPORTRANGE(""https://docs.google.com/spreadsheets/d/1JtRfZkJMHtEhI5RdRHxYUG4FIZHqKDpNyIuN7A1Q0_k/edit?usp=sharing"",""พิษณุโลก!I755"")+IMPORTRANGE(""https://docs.google.com/spreadsheets/d/1xlcVZWU"&amp;"Nn6SuWm0c307h32SiGkd9BaeQWlAktfD3KO8/edit?usp=sharing"",""เพชรบูรณ์!I755"")+IMPORTRANGE(""https://docs.google.com/spreadsheets/d/1lOVebEIsI9qjGXl6EX66luk7wiuP2tBaryw-wKvv4e0/edit?usp=sharing"",""แพร่!I755"")+IMPORTRANGE(""https://docs.google.com/spreadshe"&amp;"ets/d/1dQrvX0vEcN7Gu0fnZ0B5S90AeR19zth4XlExFBeExMY/edit?usp=sharing"",""แม่ฮ่องสอน!I755"")+IMPORTRANGE(""https://docs.google.com/spreadsheets/d/1DY4XTNNwjluuxqdfdn6qvOSlMRrZqUtmYcZR0ttFiG4/edit?usp=sharing"",""ลำปาง!I755"")+IMPORTRANGE(""https://docs.goog"&amp;"le.com/spreadsheets/d/1ICwG78r0OFT8biBlxnBF8r7she7gNSzOvJ958PWT09c/edit?usp=sharing"",""ลำพูน!I755"")+IMPORTRANGE(""https://docs.google.com/spreadsheets/d/1B0f2xJpZUC6Z0xXnqKlZtEPzsf6L84eP1r1Q15seqRM/edit?usp=sharing"",""สุโขทัย!I755"")+IMPORTRANGE(""http"&amp;"s://docs.google.com/spreadsheets/d/1v0b9pFQCsKUVExMei7AgY2yQkdeNQvtOssygGsXbiKo/edit?usp=sharing"",""อุตรดิตถ์!I755"")+IMPORTRANGE(""https://docs.google.com/spreadsheets/d/1UsNK1e-WWiCo2PvGqdNfdme4m17_Ezd3J69EeeiQPD0/edit?usp=sharing"",""อุทัยธานี!I755"")"),2800)</f>
        <v>2800</v>
      </c>
      <c r="J755" s="167">
        <f ca="1">IFERROR(__xludf.DUMMYFUNCTION("IMPORTRANGE(""https://docs.google.com/spreadsheets/d/1jTcq05yEiRwXcBMLjiodW9e4biSGYWAHcDj22rKWQ3s/edit?usp=sharing"",""กำแพงเพชร!J755"")+IMPORTRANGE(""https://docs.google.com/spreadsheets/d/1KS0zmDSZPk8KnTAbGN-Xk6MtX1YRZD0ldgdt20K4CRk/edit?usp=sharing"","&amp;"""เชียงราย!J755"")+IMPORTRANGE(""https://docs.google.com/spreadsheets/d/1rEDxBtusbi64tE0zunoIbsTVV16HeL0oJ6trHQeQ7K8/edit?usp=sharing"",""เชียงใหม่!J755"")+IMPORTRANGE(""https://docs.google.com/spreadsheets/d/1W6MnUbDkMi6xHnHko_XkFDO9kkuL6Wqyc-6OCDFjW9I/e"&amp;"dit?usp=sharing"",""ตาก!J755"")+IMPORTRANGE(""https://docs.google.com/spreadsheets/d/1IQAWArduLkta9LpYo4a_ULsyqdta6-6aDDiwpUnQT6c/edit?usp=sharing"",""นครสวรรค์!J755"")+IMPORTRANGE(""https://docs.google.com/spreadsheets/d/10s13Sk5xrltsiR-Zkbmk5DwIaDIKO8Xl"&amp;"bJAfqyT7Gvg/edit?usp=sharing"",""น่าน!J755"")+IMPORTRANGE(""https://docs.google.com/spreadsheets/d/1uu4nAn4Dbi1XREnLKKotUANlKXa7yCgRcgq8HEzQYW8/edit?usp=sharing"",""พะเยา!J755"")+IMPORTRANGE(""https://docs.google.com/spreadsheets/d/1xfJKIQxVOaPDIICqsflNlL"&amp;"u3JacTDk1FP9RH4phX7mI/edit?usp=sharing"",""พิจิตร!J755"")+IMPORTRANGE(""https://docs.google.com/spreadsheets/d/1JtRfZkJMHtEhI5RdRHxYUG4FIZHqKDpNyIuN7A1Q0_k/edit?usp=sharing"",""พิษณุโลก!J755"")+IMPORTRANGE(""https://docs.google.com/spreadsheets/d/1xlcVZWU"&amp;"Nn6SuWm0c307h32SiGkd9BaeQWlAktfD3KO8/edit?usp=sharing"",""เพชรบูรณ์!J755"")+IMPORTRANGE(""https://docs.google.com/spreadsheets/d/1lOVebEIsI9qjGXl6EX66luk7wiuP2tBaryw-wKvv4e0/edit?usp=sharing"",""แพร่!J755"")+IMPORTRANGE(""https://docs.google.com/spreadshe"&amp;"ets/d/1dQrvX0vEcN7Gu0fnZ0B5S90AeR19zth4XlExFBeExMY/edit?usp=sharing"",""แม่ฮ่องสอน!J755"")+IMPORTRANGE(""https://docs.google.com/spreadsheets/d/1DY4XTNNwjluuxqdfdn6qvOSlMRrZqUtmYcZR0ttFiG4/edit?usp=sharing"",""ลำปาง!J755"")+IMPORTRANGE(""https://docs.goog"&amp;"le.com/spreadsheets/d/1ICwG78r0OFT8biBlxnBF8r7she7gNSzOvJ958PWT09c/edit?usp=sharing"",""ลำพูน!J755"")+IMPORTRANGE(""https://docs.google.com/spreadsheets/d/1B0f2xJpZUC6Z0xXnqKlZtEPzsf6L84eP1r1Q15seqRM/edit?usp=sharing"",""สุโขทัย!J755"")+IMPORTRANGE(""http"&amp;"s://docs.google.com/spreadsheets/d/1v0b9pFQCsKUVExMei7AgY2yQkdeNQvtOssygGsXbiKo/edit?usp=sharing"",""อุตรดิตถ์!J755"")+IMPORTRANGE(""https://docs.google.com/spreadsheets/d/1UsNK1e-WWiCo2PvGqdNfdme4m17_Ezd3J69EeeiQPD0/edit?usp=sharing"",""อุทัยธานี!J755"")"),80)</f>
        <v>80</v>
      </c>
      <c r="K755" s="46">
        <f ca="1">IF(I755&gt;0,J755*100/I755,0)</f>
        <v>2.8571428571428572</v>
      </c>
      <c r="L755" s="45"/>
      <c r="M755" s="45"/>
      <c r="N755" s="45"/>
      <c r="O755" s="45"/>
      <c r="P755" s="45"/>
      <c r="Q755" s="45"/>
      <c r="R755" s="45"/>
      <c r="S755" s="45"/>
      <c r="T755" s="45"/>
      <c r="U755" s="45"/>
    </row>
    <row r="756" spans="1:21" ht="18.75" x14ac:dyDescent="0.25">
      <c r="A756" s="138"/>
      <c r="B756" s="139"/>
      <c r="C756" s="139"/>
      <c r="D756" s="139"/>
      <c r="E756" s="145"/>
      <c r="F756" s="149" t="s">
        <v>283</v>
      </c>
      <c r="G756" s="143"/>
      <c r="H756" s="133" t="s">
        <v>46</v>
      </c>
      <c r="I756" s="44"/>
      <c r="J756" s="167">
        <f ca="1">IFERROR(__xludf.DUMMYFUNCTION("IMPORTRANGE(""https://docs.google.com/spreadsheets/d/1jTcq05yEiRwXcBMLjiodW9e4biSGYWAHcDj22rKWQ3s/edit?usp=sharing"",""กำแพงเพชร!J756"")+IMPORTRANGE(""https://docs.google.com/spreadsheets/d/1KS0zmDSZPk8KnTAbGN-Xk6MtX1YRZD0ldgdt20K4CRk/edit?usp=sharing"","&amp;"""เชียงราย!J756"")+IMPORTRANGE(""https://docs.google.com/spreadsheets/d/1rEDxBtusbi64tE0zunoIbsTVV16HeL0oJ6trHQeQ7K8/edit?usp=sharing"",""เชียงใหม่!J756"")+IMPORTRANGE(""https://docs.google.com/spreadsheets/d/1W6MnUbDkMi6xHnHko_XkFDO9kkuL6Wqyc-6OCDFjW9I/e"&amp;"dit?usp=sharing"",""ตาก!J756"")+IMPORTRANGE(""https://docs.google.com/spreadsheets/d/1IQAWArduLkta9LpYo4a_ULsyqdta6-6aDDiwpUnQT6c/edit?usp=sharing"",""นครสวรรค์!J756"")+IMPORTRANGE(""https://docs.google.com/spreadsheets/d/10s13Sk5xrltsiR-Zkbmk5DwIaDIKO8Xl"&amp;"bJAfqyT7Gvg/edit?usp=sharing"",""น่าน!J756"")+IMPORTRANGE(""https://docs.google.com/spreadsheets/d/1uu4nAn4Dbi1XREnLKKotUANlKXa7yCgRcgq8HEzQYW8/edit?usp=sharing"",""พะเยา!J756"")+IMPORTRANGE(""https://docs.google.com/spreadsheets/d/1xfJKIQxVOaPDIICqsflNlL"&amp;"u3JacTDk1FP9RH4phX7mI/edit?usp=sharing"",""พิจิตร!J756"")+IMPORTRANGE(""https://docs.google.com/spreadsheets/d/1JtRfZkJMHtEhI5RdRHxYUG4FIZHqKDpNyIuN7A1Q0_k/edit?usp=sharing"",""พิษณุโลก!J756"")+IMPORTRANGE(""https://docs.google.com/spreadsheets/d/1xlcVZWU"&amp;"Nn6SuWm0c307h32SiGkd9BaeQWlAktfD3KO8/edit?usp=sharing"",""เพชรบูรณ์!J756"")+IMPORTRANGE(""https://docs.google.com/spreadsheets/d/1lOVebEIsI9qjGXl6EX66luk7wiuP2tBaryw-wKvv4e0/edit?usp=sharing"",""แพร่!J756"")+IMPORTRANGE(""https://docs.google.com/spreadshe"&amp;"ets/d/1dQrvX0vEcN7Gu0fnZ0B5S90AeR19zth4XlExFBeExMY/edit?usp=sharing"",""แม่ฮ่องสอน!J756"")+IMPORTRANGE(""https://docs.google.com/spreadsheets/d/1DY4XTNNwjluuxqdfdn6qvOSlMRrZqUtmYcZR0ttFiG4/edit?usp=sharing"",""ลำปาง!J756"")+IMPORTRANGE(""https://docs.goog"&amp;"le.com/spreadsheets/d/1ICwG78r0OFT8biBlxnBF8r7she7gNSzOvJ958PWT09c/edit?usp=sharing"",""ลำพูน!J756"")+IMPORTRANGE(""https://docs.google.com/spreadsheets/d/1B0f2xJpZUC6Z0xXnqKlZtEPzsf6L84eP1r1Q15seqRM/edit?usp=sharing"",""สุโขทัย!J756"")+IMPORTRANGE(""http"&amp;"s://docs.google.com/spreadsheets/d/1v0b9pFQCsKUVExMei7AgY2yQkdeNQvtOssygGsXbiKo/edit?usp=sharing"",""อุตรดิตถ์!J756"")+IMPORTRANGE(""https://docs.google.com/spreadsheets/d/1UsNK1e-WWiCo2PvGqdNfdme4m17_Ezd3J69EeeiQPD0/edit?usp=sharing"",""อุทัยธานี!J756"")"),0)</f>
        <v>0</v>
      </c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</row>
    <row r="757" spans="1:21" ht="18.75" x14ac:dyDescent="0.25">
      <c r="A757" s="431"/>
      <c r="B757" s="431"/>
      <c r="C757" s="431"/>
      <c r="D757" s="431"/>
      <c r="E757" s="432" t="s">
        <v>284</v>
      </c>
      <c r="F757" s="433"/>
      <c r="G757" s="434"/>
      <c r="H757" s="435" t="s">
        <v>35</v>
      </c>
      <c r="I757" s="436"/>
      <c r="J757" s="437">
        <f ca="1">IFERROR(__xludf.DUMMYFUNCTION("IMPORTRANGE(""https://docs.google.com/spreadsheets/d/1jTcq05yEiRwXcBMLjiodW9e4biSGYWAHcDj22rKWQ3s/edit?usp=sharing"",""กำแพงเพชร!J757"")+IMPORTRANGE(""https://docs.google.com/spreadsheets/d/1KS0zmDSZPk8KnTAbGN-Xk6MtX1YRZD0ldgdt20K4CRk/edit?usp=sharing"","&amp;"""เชียงราย!J757"")+IMPORTRANGE(""https://docs.google.com/spreadsheets/d/1rEDxBtusbi64tE0zunoIbsTVV16HeL0oJ6trHQeQ7K8/edit?usp=sharing"",""เชียงใหม่!J757"")+IMPORTRANGE(""https://docs.google.com/spreadsheets/d/1W6MnUbDkMi6xHnHko_XkFDO9kkuL6Wqyc-6OCDFjW9I/e"&amp;"dit?usp=sharing"",""ตาก!J757"")+IMPORTRANGE(""https://docs.google.com/spreadsheets/d/1IQAWArduLkta9LpYo4a_ULsyqdta6-6aDDiwpUnQT6c/edit?usp=sharing"",""นครสวรรค์!J757"")+IMPORTRANGE(""https://docs.google.com/spreadsheets/d/10s13Sk5xrltsiR-Zkbmk5DwIaDIKO8Xl"&amp;"bJAfqyT7Gvg/edit?usp=sharing"",""น่าน!J757"")+IMPORTRANGE(""https://docs.google.com/spreadsheets/d/1uu4nAn4Dbi1XREnLKKotUANlKXa7yCgRcgq8HEzQYW8/edit?usp=sharing"",""พะเยา!J757"")+IMPORTRANGE(""https://docs.google.com/spreadsheets/d/1xfJKIQxVOaPDIICqsflNlL"&amp;"u3JacTDk1FP9RH4phX7mI/edit?usp=sharing"",""พิจิตร!J757"")+IMPORTRANGE(""https://docs.google.com/spreadsheets/d/1JtRfZkJMHtEhI5RdRHxYUG4FIZHqKDpNyIuN7A1Q0_k/edit?usp=sharing"",""พิษณุโลก!J757"")+IMPORTRANGE(""https://docs.google.com/spreadsheets/d/1xlcVZWU"&amp;"Nn6SuWm0c307h32SiGkd9BaeQWlAktfD3KO8/edit?usp=sharing"",""เพชรบูรณ์!J757"")+IMPORTRANGE(""https://docs.google.com/spreadsheets/d/1lOVebEIsI9qjGXl6EX66luk7wiuP2tBaryw-wKvv4e0/edit?usp=sharing"",""แพร่!J757"")+IMPORTRANGE(""https://docs.google.com/spreadshe"&amp;"ets/d/1dQrvX0vEcN7Gu0fnZ0B5S90AeR19zth4XlExFBeExMY/edit?usp=sharing"",""แม่ฮ่องสอน!J757"")+IMPORTRANGE(""https://docs.google.com/spreadsheets/d/1DY4XTNNwjluuxqdfdn6qvOSlMRrZqUtmYcZR0ttFiG4/edit?usp=sharing"",""ลำปาง!J757"")+IMPORTRANGE(""https://docs.goog"&amp;"le.com/spreadsheets/d/1ICwG78r0OFT8biBlxnBF8r7she7gNSzOvJ958PWT09c/edit?usp=sharing"",""ลำพูน!J757"")+IMPORTRANGE(""https://docs.google.com/spreadsheets/d/1B0f2xJpZUC6Z0xXnqKlZtEPzsf6L84eP1r1Q15seqRM/edit?usp=sharing"",""สุโขทัย!J757"")+IMPORTRANGE(""http"&amp;"s://docs.google.com/spreadsheets/d/1v0b9pFQCsKUVExMei7AgY2yQkdeNQvtOssygGsXbiKo/edit?usp=sharing"",""อุตรดิตถ์!J757"")+IMPORTRANGE(""https://docs.google.com/spreadsheets/d/1UsNK1e-WWiCo2PvGqdNfdme4m17_Ezd3J69EeeiQPD0/edit?usp=sharing"",""อุทัยธานี!J757"")"),0)</f>
        <v>0</v>
      </c>
      <c r="K757" s="438"/>
      <c r="L757" s="438"/>
      <c r="M757" s="438"/>
      <c r="N757" s="438"/>
      <c r="O757" s="438"/>
      <c r="P757" s="438"/>
      <c r="Q757" s="438"/>
      <c r="R757" s="438"/>
      <c r="S757" s="438"/>
      <c r="T757" s="438"/>
      <c r="U757" s="438"/>
    </row>
    <row r="758" spans="1:21" ht="19.5" x14ac:dyDescent="0.3">
      <c r="A758" s="387"/>
      <c r="B758" s="388" t="s">
        <v>285</v>
      </c>
      <c r="C758" s="387"/>
      <c r="D758" s="389"/>
      <c r="E758" s="389"/>
      <c r="F758" s="389"/>
      <c r="G758" s="390"/>
      <c r="H758" s="427" t="s">
        <v>35</v>
      </c>
      <c r="I758" s="428">
        <f t="shared" ref="I758:J758" ca="1" si="517">I772</f>
        <v>1115</v>
      </c>
      <c r="J758" s="428">
        <f t="shared" ca="1" si="517"/>
        <v>634</v>
      </c>
      <c r="K758" s="416">
        <f t="shared" ref="K758:K759" ca="1" si="518">IF(I758&gt;0,J758*100/I758,0)</f>
        <v>56.860986547085204</v>
      </c>
      <c r="L758" s="393"/>
      <c r="M758" s="393"/>
      <c r="N758" s="393"/>
      <c r="O758" s="393"/>
      <c r="P758" s="393"/>
      <c r="Q758" s="393"/>
      <c r="R758" s="393"/>
      <c r="S758" s="393"/>
      <c r="T758" s="393"/>
      <c r="U758" s="393"/>
    </row>
    <row r="759" spans="1:21" ht="19.5" x14ac:dyDescent="0.3">
      <c r="A759" s="429"/>
      <c r="B759" s="387"/>
      <c r="C759" s="387"/>
      <c r="D759" s="389"/>
      <c r="E759" s="389"/>
      <c r="F759" s="389"/>
      <c r="G759" s="390"/>
      <c r="H759" s="427" t="s">
        <v>46</v>
      </c>
      <c r="I759" s="428">
        <f t="shared" ref="I759:J759" ca="1" si="519">I774</f>
        <v>3235</v>
      </c>
      <c r="J759" s="428">
        <f t="shared" ca="1" si="519"/>
        <v>1183</v>
      </c>
      <c r="K759" s="416">
        <f t="shared" ca="1" si="518"/>
        <v>36.568778979907265</v>
      </c>
      <c r="L759" s="393"/>
      <c r="M759" s="393"/>
      <c r="N759" s="393"/>
      <c r="O759" s="393"/>
      <c r="P759" s="393"/>
      <c r="Q759" s="393"/>
      <c r="R759" s="393"/>
      <c r="S759" s="393"/>
      <c r="T759" s="393"/>
      <c r="U759" s="393"/>
    </row>
    <row r="760" spans="1:21" ht="19.5" x14ac:dyDescent="0.3">
      <c r="A760" s="128"/>
      <c r="B760" s="158"/>
      <c r="C760" s="177" t="s">
        <v>18</v>
      </c>
      <c r="D760" s="1287" t="s">
        <v>19</v>
      </c>
      <c r="E760" s="1285"/>
      <c r="F760" s="1285"/>
      <c r="G760" s="1286"/>
      <c r="H760" s="221" t="s">
        <v>14</v>
      </c>
      <c r="I760" s="44"/>
      <c r="J760" s="44"/>
      <c r="K760" s="45"/>
      <c r="L760" s="132">
        <f t="shared" ref="L760:N760" ca="1" si="520">L761+L762</f>
        <v>0</v>
      </c>
      <c r="M760" s="132">
        <f t="shared" ca="1" si="520"/>
        <v>0</v>
      </c>
      <c r="N760" s="132">
        <f t="shared" ca="1" si="520"/>
        <v>0</v>
      </c>
      <c r="O760" s="132">
        <f t="shared" ref="O760:O768" ca="1" si="521">IF(L760&gt;0,N760*100/L760,0)</f>
        <v>0</v>
      </c>
      <c r="P760" s="132">
        <f t="shared" ref="P760:P768" ca="1" si="522">IF(M760&gt;0,N760*100/M760,0)</f>
        <v>0</v>
      </c>
      <c r="Q760" s="132">
        <f t="shared" ref="Q760:S760" ca="1" si="523">Q761+Q762</f>
        <v>8462790</v>
      </c>
      <c r="R760" s="132">
        <f t="shared" ca="1" si="523"/>
        <v>8462790</v>
      </c>
      <c r="S760" s="132">
        <f t="shared" ca="1" si="523"/>
        <v>2263883.79</v>
      </c>
      <c r="T760" s="132">
        <f t="shared" ref="T760:T768" ca="1" si="524">IF(Q760&gt;0,S760*100/Q760,0)</f>
        <v>26.751033524405074</v>
      </c>
      <c r="U760" s="132">
        <f t="shared" ref="U760:U768" ca="1" si="525">IF(R760&gt;0,S760*100/R760,0)</f>
        <v>26.751033524405074</v>
      </c>
    </row>
    <row r="761" spans="1:21" ht="18.75" x14ac:dyDescent="0.25">
      <c r="A761" s="128"/>
      <c r="B761" s="158"/>
      <c r="C761" s="158"/>
      <c r="D761" s="145"/>
      <c r="E761" s="156" t="s">
        <v>158</v>
      </c>
      <c r="F761" s="40"/>
      <c r="G761" s="42"/>
      <c r="H761" s="159" t="s">
        <v>14</v>
      </c>
      <c r="I761" s="44"/>
      <c r="J761" s="44"/>
      <c r="K761" s="45"/>
      <c r="L761" s="48">
        <f t="shared" ref="L761:N761" ca="1" si="526">L764+L767</f>
        <v>0</v>
      </c>
      <c r="M761" s="48">
        <f t="shared" ca="1" si="526"/>
        <v>0</v>
      </c>
      <c r="N761" s="48">
        <f t="shared" ca="1" si="526"/>
        <v>0</v>
      </c>
      <c r="O761" s="48">
        <f t="shared" ca="1" si="521"/>
        <v>0</v>
      </c>
      <c r="P761" s="48">
        <f t="shared" ca="1" si="522"/>
        <v>0</v>
      </c>
      <c r="Q761" s="48">
        <f t="shared" ref="Q761:S761" ca="1" si="527">Q764+Q767</f>
        <v>0</v>
      </c>
      <c r="R761" s="48">
        <f t="shared" ca="1" si="527"/>
        <v>0</v>
      </c>
      <c r="S761" s="48">
        <f t="shared" ca="1" si="527"/>
        <v>0</v>
      </c>
      <c r="T761" s="48">
        <f t="shared" ca="1" si="524"/>
        <v>0</v>
      </c>
      <c r="U761" s="48">
        <f t="shared" ca="1" si="525"/>
        <v>0</v>
      </c>
    </row>
    <row r="762" spans="1:21" ht="18.75" x14ac:dyDescent="0.25">
      <c r="A762" s="128"/>
      <c r="B762" s="158"/>
      <c r="C762" s="174"/>
      <c r="D762" s="145"/>
      <c r="E762" s="47" t="s">
        <v>159</v>
      </c>
      <c r="F762" s="40"/>
      <c r="G762" s="42"/>
      <c r="H762" s="134" t="s">
        <v>14</v>
      </c>
      <c r="I762" s="44"/>
      <c r="J762" s="44"/>
      <c r="K762" s="45"/>
      <c r="L762" s="46">
        <f t="shared" ref="L762:N762" ca="1" si="528">L765+L768</f>
        <v>0</v>
      </c>
      <c r="M762" s="46">
        <f t="shared" ca="1" si="528"/>
        <v>0</v>
      </c>
      <c r="N762" s="46">
        <f t="shared" ca="1" si="528"/>
        <v>0</v>
      </c>
      <c r="O762" s="46">
        <f t="shared" ca="1" si="521"/>
        <v>0</v>
      </c>
      <c r="P762" s="46">
        <f t="shared" ca="1" si="522"/>
        <v>0</v>
      </c>
      <c r="Q762" s="46">
        <f t="shared" ref="Q762:S762" ca="1" si="529">Q765+Q768</f>
        <v>8462790</v>
      </c>
      <c r="R762" s="46">
        <f t="shared" ca="1" si="529"/>
        <v>8462790</v>
      </c>
      <c r="S762" s="46">
        <f t="shared" ca="1" si="529"/>
        <v>2263883.79</v>
      </c>
      <c r="T762" s="46">
        <f t="shared" ca="1" si="524"/>
        <v>26.751033524405074</v>
      </c>
      <c r="U762" s="46">
        <f t="shared" ca="1" si="525"/>
        <v>26.751033524405074</v>
      </c>
    </row>
    <row r="763" spans="1:21" ht="18.75" x14ac:dyDescent="0.25">
      <c r="A763" s="128"/>
      <c r="B763" s="158"/>
      <c r="C763" s="174"/>
      <c r="D763" s="41" t="s">
        <v>22</v>
      </c>
      <c r="E763" s="40"/>
      <c r="F763" s="40"/>
      <c r="G763" s="42"/>
      <c r="H763" s="134" t="s">
        <v>14</v>
      </c>
      <c r="I763" s="135"/>
      <c r="J763" s="135"/>
      <c r="K763" s="136"/>
      <c r="L763" s="46">
        <f t="shared" ref="L763:N763" ca="1" si="530">L764+L765</f>
        <v>0</v>
      </c>
      <c r="M763" s="46">
        <f t="shared" ca="1" si="530"/>
        <v>0</v>
      </c>
      <c r="N763" s="46">
        <f t="shared" ca="1" si="530"/>
        <v>0</v>
      </c>
      <c r="O763" s="46">
        <f t="shared" ca="1" si="521"/>
        <v>0</v>
      </c>
      <c r="P763" s="46">
        <f t="shared" ca="1" si="522"/>
        <v>0</v>
      </c>
      <c r="Q763" s="46">
        <f t="shared" ref="Q763:S763" ca="1" si="531">Q764+Q765</f>
        <v>8462790</v>
      </c>
      <c r="R763" s="46">
        <f t="shared" ca="1" si="531"/>
        <v>8462790</v>
      </c>
      <c r="S763" s="46">
        <f t="shared" ca="1" si="531"/>
        <v>2263883.79</v>
      </c>
      <c r="T763" s="46">
        <f t="shared" ca="1" si="524"/>
        <v>26.751033524405074</v>
      </c>
      <c r="U763" s="46">
        <f t="shared" ca="1" si="525"/>
        <v>26.751033524405074</v>
      </c>
    </row>
    <row r="764" spans="1:21" ht="18.75" x14ac:dyDescent="0.25">
      <c r="A764" s="128"/>
      <c r="B764" s="158"/>
      <c r="C764" s="174"/>
      <c r="D764" s="145"/>
      <c r="E764" s="156" t="s">
        <v>158</v>
      </c>
      <c r="F764" s="40"/>
      <c r="G764" s="42"/>
      <c r="H764" s="159" t="s">
        <v>14</v>
      </c>
      <c r="I764" s="44"/>
      <c r="J764" s="44"/>
      <c r="K764" s="45"/>
      <c r="L764" s="48">
        <f ca="1">IFERROR(__xludf.DUMMYFUNCTION("IMPORTRANGE(""https://docs.google.com/spreadsheets/d/1jTcq05yEiRwXcBMLjiodW9e4biSGYWAHcDj22rKWQ3s/edit?usp=sharing"",""กำแพงเพชร!L764"")+IMPORTRANGE(""https://docs.google.com/spreadsheets/d/1KS0zmDSZPk8KnTAbGN-Xk6MtX1YRZD0ldgdt20K4CRk/edit?usp=sharing"","&amp;"""เชียงราย!L764"")+IMPORTRANGE(""https://docs.google.com/spreadsheets/d/1rEDxBtusbi64tE0zunoIbsTVV16HeL0oJ6trHQeQ7K8/edit?usp=sharing"",""เชียงใหม่!L764"")+IMPORTRANGE(""https://docs.google.com/spreadsheets/d/1W6MnUbDkMi6xHnHko_XkFDO9kkuL6Wqyc-6OCDFjW9I/e"&amp;"dit?usp=sharing"",""ตาก!L764"")+IMPORTRANGE(""https://docs.google.com/spreadsheets/d/1IQAWArduLkta9LpYo4a_ULsyqdta6-6aDDiwpUnQT6c/edit?usp=sharing"",""นครสวรรค์!L764"")+IMPORTRANGE(""https://docs.google.com/spreadsheets/d/10s13Sk5xrltsiR-Zkbmk5DwIaDIKO8Xl"&amp;"bJAfqyT7Gvg/edit?usp=sharing"",""น่าน!L764"")+IMPORTRANGE(""https://docs.google.com/spreadsheets/d/1uu4nAn4Dbi1XREnLKKotUANlKXa7yCgRcgq8HEzQYW8/edit?usp=sharing"",""พะเยา!L764"")+IMPORTRANGE(""https://docs.google.com/spreadsheets/d/1xfJKIQxVOaPDIICqsflNlL"&amp;"u3JacTDk1FP9RH4phX7mI/edit?usp=sharing"",""พิจิตร!L764"")+IMPORTRANGE(""https://docs.google.com/spreadsheets/d/1JtRfZkJMHtEhI5RdRHxYUG4FIZHqKDpNyIuN7A1Q0_k/edit?usp=sharing"",""พิษณุโลก!L764"")+IMPORTRANGE(""https://docs.google.com/spreadsheets/d/1xlcVZWU"&amp;"Nn6SuWm0c307h32SiGkd9BaeQWlAktfD3KO8/edit?usp=sharing"",""เพชรบูรณ์!L764"")+IMPORTRANGE(""https://docs.google.com/spreadsheets/d/1lOVebEIsI9qjGXl6EX66luk7wiuP2tBaryw-wKvv4e0/edit?usp=sharing"",""แพร่!L764"")+IMPORTRANGE(""https://docs.google.com/spreadshe"&amp;"ets/d/1dQrvX0vEcN7Gu0fnZ0B5S90AeR19zth4XlExFBeExMY/edit?usp=sharing"",""แม่ฮ่องสอน!L764"")+IMPORTRANGE(""https://docs.google.com/spreadsheets/d/1DY4XTNNwjluuxqdfdn6qvOSlMRrZqUtmYcZR0ttFiG4/edit?usp=sharing"",""ลำปาง!L764"")+IMPORTRANGE(""https://docs.goog"&amp;"le.com/spreadsheets/d/1ICwG78r0OFT8biBlxnBF8r7she7gNSzOvJ958PWT09c/edit?usp=sharing"",""ลำพูน!L764"")+IMPORTRANGE(""https://docs.google.com/spreadsheets/d/1B0f2xJpZUC6Z0xXnqKlZtEPzsf6L84eP1r1Q15seqRM/edit?usp=sharing"",""สุโขทัย!L764"")+IMPORTRANGE(""http"&amp;"s://docs.google.com/spreadsheets/d/1v0b9pFQCsKUVExMei7AgY2yQkdeNQvtOssygGsXbiKo/edit?usp=sharing"",""อุตรดิตถ์!L764"")+IMPORTRANGE(""https://docs.google.com/spreadsheets/d/1UsNK1e-WWiCo2PvGqdNfdme4m17_Ezd3J69EeeiQPD0/edit?usp=sharing"",""อุทัยธานี!L764"")"),0)</f>
        <v>0</v>
      </c>
      <c r="M764" s="48">
        <f ca="1">IFERROR(__xludf.DUMMYFUNCTION("IMPORTRANGE(""https://docs.google.com/spreadsheets/d/1jTcq05yEiRwXcBMLjiodW9e4biSGYWAHcDj22rKWQ3s/edit?usp=sharing"",""กำแพงเพชร!M764"")+IMPORTRANGE(""https://docs.google.com/spreadsheets/d/1KS0zmDSZPk8KnTAbGN-Xk6MtX1YRZD0ldgdt20K4CRk/edit?usp=sharing"","&amp;"""เชียงราย!M764"")+IMPORTRANGE(""https://docs.google.com/spreadsheets/d/1rEDxBtusbi64tE0zunoIbsTVV16HeL0oJ6trHQeQ7K8/edit?usp=sharing"",""เชียงใหม่!M764"")+IMPORTRANGE(""https://docs.google.com/spreadsheets/d/1W6MnUbDkMi6xHnHko_XkFDO9kkuL6Wqyc-6OCDFjW9I/e"&amp;"dit?usp=sharing"",""ตาก!M764"")+IMPORTRANGE(""https://docs.google.com/spreadsheets/d/1IQAWArduLkta9LpYo4a_ULsyqdta6-6aDDiwpUnQT6c/edit?usp=sharing"",""นครสวรรค์!M764"")+IMPORTRANGE(""https://docs.google.com/spreadsheets/d/10s13Sk5xrltsiR-Zkbmk5DwIaDIKO8Xl"&amp;"bJAfqyT7Gvg/edit?usp=sharing"",""น่าน!M764"")+IMPORTRANGE(""https://docs.google.com/spreadsheets/d/1uu4nAn4Dbi1XREnLKKotUANlKXa7yCgRcgq8HEzQYW8/edit?usp=sharing"",""พะเยา!M764"")+IMPORTRANGE(""https://docs.google.com/spreadsheets/d/1xfJKIQxVOaPDIICqsflNlL"&amp;"u3JacTDk1FP9RH4phX7mI/edit?usp=sharing"",""พิจิตร!M764"")+IMPORTRANGE(""https://docs.google.com/spreadsheets/d/1JtRfZkJMHtEhI5RdRHxYUG4FIZHqKDpNyIuN7A1Q0_k/edit?usp=sharing"",""พิษณุโลก!M764"")+IMPORTRANGE(""https://docs.google.com/spreadsheets/d/1xlcVZWU"&amp;"Nn6SuWm0c307h32SiGkd9BaeQWlAktfD3KO8/edit?usp=sharing"",""เพชรบูรณ์!M764"")+IMPORTRANGE(""https://docs.google.com/spreadsheets/d/1lOVebEIsI9qjGXl6EX66luk7wiuP2tBaryw-wKvv4e0/edit?usp=sharing"",""แพร่!M764"")+IMPORTRANGE(""https://docs.google.com/spreadshe"&amp;"ets/d/1dQrvX0vEcN7Gu0fnZ0B5S90AeR19zth4XlExFBeExMY/edit?usp=sharing"",""แม่ฮ่องสอน!M764"")+IMPORTRANGE(""https://docs.google.com/spreadsheets/d/1DY4XTNNwjluuxqdfdn6qvOSlMRrZqUtmYcZR0ttFiG4/edit?usp=sharing"",""ลำปาง!M764"")+IMPORTRANGE(""https://docs.goog"&amp;"le.com/spreadsheets/d/1ICwG78r0OFT8biBlxnBF8r7she7gNSzOvJ958PWT09c/edit?usp=sharing"",""ลำพูน!M764"")+IMPORTRANGE(""https://docs.google.com/spreadsheets/d/1B0f2xJpZUC6Z0xXnqKlZtEPzsf6L84eP1r1Q15seqRM/edit?usp=sharing"",""สุโขทัย!M764"")+IMPORTRANGE(""http"&amp;"s://docs.google.com/spreadsheets/d/1v0b9pFQCsKUVExMei7AgY2yQkdeNQvtOssygGsXbiKo/edit?usp=sharing"",""อุตรดิตถ์!M764"")+IMPORTRANGE(""https://docs.google.com/spreadsheets/d/1UsNK1e-WWiCo2PvGqdNfdme4m17_Ezd3J69EeeiQPD0/edit?usp=sharing"",""อุทัยธานี!M764"")"),0)</f>
        <v>0</v>
      </c>
      <c r="N764" s="48">
        <f ca="1">IFERROR(__xludf.DUMMYFUNCTION("IMPORTRANGE(""https://docs.google.com/spreadsheets/d/1jTcq05yEiRwXcBMLjiodW9e4biSGYWAHcDj22rKWQ3s/edit?usp=sharing"",""กำแพงเพชร!N764"")+IMPORTRANGE(""https://docs.google.com/spreadsheets/d/1KS0zmDSZPk8KnTAbGN-Xk6MtX1YRZD0ldgdt20K4CRk/edit?usp=sharing"","&amp;"""เชียงราย!N764"")+IMPORTRANGE(""https://docs.google.com/spreadsheets/d/1rEDxBtusbi64tE0zunoIbsTVV16HeL0oJ6trHQeQ7K8/edit?usp=sharing"",""เชียงใหม่!N764"")+IMPORTRANGE(""https://docs.google.com/spreadsheets/d/1W6MnUbDkMi6xHnHko_XkFDO9kkuL6Wqyc-6OCDFjW9I/e"&amp;"dit?usp=sharing"",""ตาก!N764"")+IMPORTRANGE(""https://docs.google.com/spreadsheets/d/1IQAWArduLkta9LpYo4a_ULsyqdta6-6aDDiwpUnQT6c/edit?usp=sharing"",""นครสวรรค์!N764"")+IMPORTRANGE(""https://docs.google.com/spreadsheets/d/10s13Sk5xrltsiR-Zkbmk5DwIaDIKO8Xl"&amp;"bJAfqyT7Gvg/edit?usp=sharing"",""น่าน!N764"")+IMPORTRANGE(""https://docs.google.com/spreadsheets/d/1uu4nAn4Dbi1XREnLKKotUANlKXa7yCgRcgq8HEzQYW8/edit?usp=sharing"",""พะเยา!N764"")+IMPORTRANGE(""https://docs.google.com/spreadsheets/d/1xfJKIQxVOaPDIICqsflNlL"&amp;"u3JacTDk1FP9RH4phX7mI/edit?usp=sharing"",""พิจิตร!N764"")+IMPORTRANGE(""https://docs.google.com/spreadsheets/d/1JtRfZkJMHtEhI5RdRHxYUG4FIZHqKDpNyIuN7A1Q0_k/edit?usp=sharing"",""พิษณุโลก!N764"")+IMPORTRANGE(""https://docs.google.com/spreadsheets/d/1xlcVZWU"&amp;"Nn6SuWm0c307h32SiGkd9BaeQWlAktfD3KO8/edit?usp=sharing"",""เพชรบูรณ์!N764"")+IMPORTRANGE(""https://docs.google.com/spreadsheets/d/1lOVebEIsI9qjGXl6EX66luk7wiuP2tBaryw-wKvv4e0/edit?usp=sharing"",""แพร่!N764"")+IMPORTRANGE(""https://docs.google.com/spreadshe"&amp;"ets/d/1dQrvX0vEcN7Gu0fnZ0B5S90AeR19zth4XlExFBeExMY/edit?usp=sharing"",""แม่ฮ่องสอน!N764"")+IMPORTRANGE(""https://docs.google.com/spreadsheets/d/1DY4XTNNwjluuxqdfdn6qvOSlMRrZqUtmYcZR0ttFiG4/edit?usp=sharing"",""ลำปาง!N764"")+IMPORTRANGE(""https://docs.goog"&amp;"le.com/spreadsheets/d/1ICwG78r0OFT8biBlxnBF8r7she7gNSzOvJ958PWT09c/edit?usp=sharing"",""ลำพูน!N764"")+IMPORTRANGE(""https://docs.google.com/spreadsheets/d/1B0f2xJpZUC6Z0xXnqKlZtEPzsf6L84eP1r1Q15seqRM/edit?usp=sharing"",""สุโขทัย!N764"")+IMPORTRANGE(""http"&amp;"s://docs.google.com/spreadsheets/d/1v0b9pFQCsKUVExMei7AgY2yQkdeNQvtOssygGsXbiKo/edit?usp=sharing"",""อุตรดิตถ์!N764"")+IMPORTRANGE(""https://docs.google.com/spreadsheets/d/1UsNK1e-WWiCo2PvGqdNfdme4m17_Ezd3J69EeeiQPD0/edit?usp=sharing"",""อุทัยธานี!N764"")"),0)</f>
        <v>0</v>
      </c>
      <c r="O764" s="48">
        <f t="shared" ca="1" si="521"/>
        <v>0</v>
      </c>
      <c r="P764" s="48">
        <f t="shared" ca="1" si="522"/>
        <v>0</v>
      </c>
      <c r="Q764" s="48">
        <f ca="1">IFERROR(__xludf.DUMMYFUNCTION("IMPORTRANGE(""https://docs.google.com/spreadsheets/d/1jTcq05yEiRwXcBMLjiodW9e4biSGYWAHcDj22rKWQ3s/edit?usp=sharing"",""กำแพงเพชร!Q764"")+IMPORTRANGE(""https://docs.google.com/spreadsheets/d/1KS0zmDSZPk8KnTAbGN-Xk6MtX1YRZD0ldgdt20K4CRk/edit?usp=sharing"","&amp;"""เชียงราย!Q764"")+IMPORTRANGE(""https://docs.google.com/spreadsheets/d/1rEDxBtusbi64tE0zunoIbsTVV16HeL0oJ6trHQeQ7K8/edit?usp=sharing"",""เชียงใหม่!Q764"")+IMPORTRANGE(""https://docs.google.com/spreadsheets/d/1W6MnUbDkMi6xHnHko_XkFDO9kkuL6Wqyc-6OCDFjW9I/e"&amp;"dit?usp=sharing"",""ตาก!Q764"")+IMPORTRANGE(""https://docs.google.com/spreadsheets/d/1IQAWArduLkta9LpYo4a_ULsyqdta6-6aDDiwpUnQT6c/edit?usp=sharing"",""นครสวรรค์!Q764"")+IMPORTRANGE(""https://docs.google.com/spreadsheets/d/10s13Sk5xrltsiR-Zkbmk5DwIaDIKO8Xl"&amp;"bJAfqyT7Gvg/edit?usp=sharing"",""น่าน!Q764"")+IMPORTRANGE(""https://docs.google.com/spreadsheets/d/1uu4nAn4Dbi1XREnLKKotUANlKXa7yCgRcgq8HEzQYW8/edit?usp=sharing"",""พะเยา!Q764"")+IMPORTRANGE(""https://docs.google.com/spreadsheets/d/1xfJKIQxVOaPDIICqsflNlL"&amp;"u3JacTDk1FP9RH4phX7mI/edit?usp=sharing"",""พิจิตร!Q764"")+IMPORTRANGE(""https://docs.google.com/spreadsheets/d/1JtRfZkJMHtEhI5RdRHxYUG4FIZHqKDpNyIuN7A1Q0_k/edit?usp=sharing"",""พิษณุโลก!Q764"")+IMPORTRANGE(""https://docs.google.com/spreadsheets/d/1xlcVZWU"&amp;"Nn6SuWm0c307h32SiGkd9BaeQWlAktfD3KO8/edit?usp=sharing"",""เพชรบูรณ์!Q764"")+IMPORTRANGE(""https://docs.google.com/spreadsheets/d/1lOVebEIsI9qjGXl6EX66luk7wiuP2tBaryw-wKvv4e0/edit?usp=sharing"",""แพร่!Q764"")+IMPORTRANGE(""https://docs.google.com/spreadshe"&amp;"ets/d/1dQrvX0vEcN7Gu0fnZ0B5S90AeR19zth4XlExFBeExMY/edit?usp=sharing"",""แม่ฮ่องสอน!Q764"")+IMPORTRANGE(""https://docs.google.com/spreadsheets/d/1DY4XTNNwjluuxqdfdn6qvOSlMRrZqUtmYcZR0ttFiG4/edit?usp=sharing"",""ลำปาง!Q764"")+IMPORTRANGE(""https://docs.goog"&amp;"le.com/spreadsheets/d/1ICwG78r0OFT8biBlxnBF8r7she7gNSzOvJ958PWT09c/edit?usp=sharing"",""ลำพูน!Q764"")+IMPORTRANGE(""https://docs.google.com/spreadsheets/d/1B0f2xJpZUC6Z0xXnqKlZtEPzsf6L84eP1r1Q15seqRM/edit?usp=sharing"",""สุโขทัย!Q764"")+IMPORTRANGE(""http"&amp;"s://docs.google.com/spreadsheets/d/1v0b9pFQCsKUVExMei7AgY2yQkdeNQvtOssygGsXbiKo/edit?usp=sharing"",""อุตรดิตถ์!Q764"")+IMPORTRANGE(""https://docs.google.com/spreadsheets/d/1UsNK1e-WWiCo2PvGqdNfdme4m17_Ezd3J69EeeiQPD0/edit?usp=sharing"",""อุทัยธานี!Q764"")"),0)</f>
        <v>0</v>
      </c>
      <c r="R764" s="48">
        <f ca="1">IFERROR(__xludf.DUMMYFUNCTION("IMPORTRANGE(""https://docs.google.com/spreadsheets/d/1jTcq05yEiRwXcBMLjiodW9e4biSGYWAHcDj22rKWQ3s/edit?usp=sharing"",""กำแพงเพชร!R764"")+IMPORTRANGE(""https://docs.google.com/spreadsheets/d/1KS0zmDSZPk8KnTAbGN-Xk6MtX1YRZD0ldgdt20K4CRk/edit?usp=sharing"","&amp;"""เชียงราย!R764"")+IMPORTRANGE(""https://docs.google.com/spreadsheets/d/1rEDxBtusbi64tE0zunoIbsTVV16HeL0oJ6trHQeQ7K8/edit?usp=sharing"",""เชียงใหม่!R764"")+IMPORTRANGE(""https://docs.google.com/spreadsheets/d/1W6MnUbDkMi6xHnHko_XkFDO9kkuL6Wqyc-6OCDFjW9I/e"&amp;"dit?usp=sharing"",""ตาก!R764"")+IMPORTRANGE(""https://docs.google.com/spreadsheets/d/1IQAWArduLkta9LpYo4a_ULsyqdta6-6aDDiwpUnQT6c/edit?usp=sharing"",""นครสวรรค์!R764"")+IMPORTRANGE(""https://docs.google.com/spreadsheets/d/10s13Sk5xrltsiR-Zkbmk5DwIaDIKO8Xl"&amp;"bJAfqyT7Gvg/edit?usp=sharing"",""น่าน!R764"")+IMPORTRANGE(""https://docs.google.com/spreadsheets/d/1uu4nAn4Dbi1XREnLKKotUANlKXa7yCgRcgq8HEzQYW8/edit?usp=sharing"",""พะเยา!R764"")+IMPORTRANGE(""https://docs.google.com/spreadsheets/d/1xfJKIQxVOaPDIICqsflNlL"&amp;"u3JacTDk1FP9RH4phX7mI/edit?usp=sharing"",""พิจิตร!R764"")+IMPORTRANGE(""https://docs.google.com/spreadsheets/d/1JtRfZkJMHtEhI5RdRHxYUG4FIZHqKDpNyIuN7A1Q0_k/edit?usp=sharing"",""พิษณุโลก!R764"")+IMPORTRANGE(""https://docs.google.com/spreadsheets/d/1xlcVZWU"&amp;"Nn6SuWm0c307h32SiGkd9BaeQWlAktfD3KO8/edit?usp=sharing"",""เพชรบูรณ์!R764"")+IMPORTRANGE(""https://docs.google.com/spreadsheets/d/1lOVebEIsI9qjGXl6EX66luk7wiuP2tBaryw-wKvv4e0/edit?usp=sharing"",""แพร่!R764"")+IMPORTRANGE(""https://docs.google.com/spreadshe"&amp;"ets/d/1dQrvX0vEcN7Gu0fnZ0B5S90AeR19zth4XlExFBeExMY/edit?usp=sharing"",""แม่ฮ่องสอน!R764"")+IMPORTRANGE(""https://docs.google.com/spreadsheets/d/1DY4XTNNwjluuxqdfdn6qvOSlMRrZqUtmYcZR0ttFiG4/edit?usp=sharing"",""ลำปาง!R764"")+IMPORTRANGE(""https://docs.goog"&amp;"le.com/spreadsheets/d/1ICwG78r0OFT8biBlxnBF8r7she7gNSzOvJ958PWT09c/edit?usp=sharing"",""ลำพูน!R764"")+IMPORTRANGE(""https://docs.google.com/spreadsheets/d/1B0f2xJpZUC6Z0xXnqKlZtEPzsf6L84eP1r1Q15seqRM/edit?usp=sharing"",""สุโขทัย!R764"")+IMPORTRANGE(""http"&amp;"s://docs.google.com/spreadsheets/d/1v0b9pFQCsKUVExMei7AgY2yQkdeNQvtOssygGsXbiKo/edit?usp=sharing"",""อุตรดิตถ์!R764"")+IMPORTRANGE(""https://docs.google.com/spreadsheets/d/1UsNK1e-WWiCo2PvGqdNfdme4m17_Ezd3J69EeeiQPD0/edit?usp=sharing"",""อุทัยธานี!R764"")"),0)</f>
        <v>0</v>
      </c>
      <c r="S764" s="48">
        <f ca="1">IFERROR(__xludf.DUMMYFUNCTION("IMPORTRANGE(""https://docs.google.com/spreadsheets/d/1jTcq05yEiRwXcBMLjiodW9e4biSGYWAHcDj22rKWQ3s/edit?usp=sharing"",""กำแพงเพชร!S764"")+IMPORTRANGE(""https://docs.google.com/spreadsheets/d/1KS0zmDSZPk8KnTAbGN-Xk6MtX1YRZD0ldgdt20K4CRk/edit?usp=sharing"","&amp;"""เชียงราย!S764"")+IMPORTRANGE(""https://docs.google.com/spreadsheets/d/1rEDxBtusbi64tE0zunoIbsTVV16HeL0oJ6trHQeQ7K8/edit?usp=sharing"",""เชียงใหม่!S764"")+IMPORTRANGE(""https://docs.google.com/spreadsheets/d/1W6MnUbDkMi6xHnHko_XkFDO9kkuL6Wqyc-6OCDFjW9I/e"&amp;"dit?usp=sharing"",""ตาก!S764"")+IMPORTRANGE(""https://docs.google.com/spreadsheets/d/1IQAWArduLkta9LpYo4a_ULsyqdta6-6aDDiwpUnQT6c/edit?usp=sharing"",""นครสวรรค์!S764"")+IMPORTRANGE(""https://docs.google.com/spreadsheets/d/10s13Sk5xrltsiR-Zkbmk5DwIaDIKO8Xl"&amp;"bJAfqyT7Gvg/edit?usp=sharing"",""น่าน!S764"")+IMPORTRANGE(""https://docs.google.com/spreadsheets/d/1uu4nAn4Dbi1XREnLKKotUANlKXa7yCgRcgq8HEzQYW8/edit?usp=sharing"",""พะเยา!S764"")+IMPORTRANGE(""https://docs.google.com/spreadsheets/d/1xfJKIQxVOaPDIICqsflNlL"&amp;"u3JacTDk1FP9RH4phX7mI/edit?usp=sharing"",""พิจิตร!S764"")+IMPORTRANGE(""https://docs.google.com/spreadsheets/d/1JtRfZkJMHtEhI5RdRHxYUG4FIZHqKDpNyIuN7A1Q0_k/edit?usp=sharing"",""พิษณุโลก!S764"")+IMPORTRANGE(""https://docs.google.com/spreadsheets/d/1xlcVZWU"&amp;"Nn6SuWm0c307h32SiGkd9BaeQWlAktfD3KO8/edit?usp=sharing"",""เพชรบูรณ์!S764"")+IMPORTRANGE(""https://docs.google.com/spreadsheets/d/1lOVebEIsI9qjGXl6EX66luk7wiuP2tBaryw-wKvv4e0/edit?usp=sharing"",""แพร่!S764"")+IMPORTRANGE(""https://docs.google.com/spreadshe"&amp;"ets/d/1dQrvX0vEcN7Gu0fnZ0B5S90AeR19zth4XlExFBeExMY/edit?usp=sharing"",""แม่ฮ่องสอน!S764"")+IMPORTRANGE(""https://docs.google.com/spreadsheets/d/1DY4XTNNwjluuxqdfdn6qvOSlMRrZqUtmYcZR0ttFiG4/edit?usp=sharing"",""ลำปาง!S764"")+IMPORTRANGE(""https://docs.goog"&amp;"le.com/spreadsheets/d/1ICwG78r0OFT8biBlxnBF8r7she7gNSzOvJ958PWT09c/edit?usp=sharing"",""ลำพูน!S764"")+IMPORTRANGE(""https://docs.google.com/spreadsheets/d/1B0f2xJpZUC6Z0xXnqKlZtEPzsf6L84eP1r1Q15seqRM/edit?usp=sharing"",""สุโขทัย!S764"")+IMPORTRANGE(""http"&amp;"s://docs.google.com/spreadsheets/d/1v0b9pFQCsKUVExMei7AgY2yQkdeNQvtOssygGsXbiKo/edit?usp=sharing"",""อุตรดิตถ์!S764"")+IMPORTRANGE(""https://docs.google.com/spreadsheets/d/1UsNK1e-WWiCo2PvGqdNfdme4m17_Ezd3J69EeeiQPD0/edit?usp=sharing"",""อุทัยธานี!S764"")"),0)</f>
        <v>0</v>
      </c>
      <c r="T764" s="48">
        <f t="shared" ca="1" si="524"/>
        <v>0</v>
      </c>
      <c r="U764" s="48">
        <f t="shared" ca="1" si="525"/>
        <v>0</v>
      </c>
    </row>
    <row r="765" spans="1:21" ht="18.75" x14ac:dyDescent="0.25">
      <c r="A765" s="128"/>
      <c r="B765" s="158"/>
      <c r="C765" s="174"/>
      <c r="D765" s="145"/>
      <c r="E765" s="47" t="s">
        <v>159</v>
      </c>
      <c r="F765" s="40"/>
      <c r="G765" s="42"/>
      <c r="H765" s="134" t="s">
        <v>14</v>
      </c>
      <c r="I765" s="44"/>
      <c r="J765" s="44"/>
      <c r="K765" s="45"/>
      <c r="L765" s="46">
        <f ca="1">IFERROR(__xludf.DUMMYFUNCTION("IMPORTRANGE(""https://docs.google.com/spreadsheets/d/1jTcq05yEiRwXcBMLjiodW9e4biSGYWAHcDj22rKWQ3s/edit?usp=sharing"",""กำแพงเพชร!L765"")+IMPORTRANGE(""https://docs.google.com/spreadsheets/d/1KS0zmDSZPk8KnTAbGN-Xk6MtX1YRZD0ldgdt20K4CRk/edit?usp=sharing"","&amp;"""เชียงราย!L765"")+IMPORTRANGE(""https://docs.google.com/spreadsheets/d/1rEDxBtusbi64tE0zunoIbsTVV16HeL0oJ6trHQeQ7K8/edit?usp=sharing"",""เชียงใหม่!L765"")+IMPORTRANGE(""https://docs.google.com/spreadsheets/d/1W6MnUbDkMi6xHnHko_XkFDO9kkuL6Wqyc-6OCDFjW9I/e"&amp;"dit?usp=sharing"",""ตาก!L765"")+IMPORTRANGE(""https://docs.google.com/spreadsheets/d/1IQAWArduLkta9LpYo4a_ULsyqdta6-6aDDiwpUnQT6c/edit?usp=sharing"",""นครสวรรค์!L765"")+IMPORTRANGE(""https://docs.google.com/spreadsheets/d/10s13Sk5xrltsiR-Zkbmk5DwIaDIKO8Xl"&amp;"bJAfqyT7Gvg/edit?usp=sharing"",""น่าน!L765"")+IMPORTRANGE(""https://docs.google.com/spreadsheets/d/1uu4nAn4Dbi1XREnLKKotUANlKXa7yCgRcgq8HEzQYW8/edit?usp=sharing"",""พะเยา!L765"")+IMPORTRANGE(""https://docs.google.com/spreadsheets/d/1xfJKIQxVOaPDIICqsflNlL"&amp;"u3JacTDk1FP9RH4phX7mI/edit?usp=sharing"",""พิจิตร!L765"")+IMPORTRANGE(""https://docs.google.com/spreadsheets/d/1JtRfZkJMHtEhI5RdRHxYUG4FIZHqKDpNyIuN7A1Q0_k/edit?usp=sharing"",""พิษณุโลก!L765"")+IMPORTRANGE(""https://docs.google.com/spreadsheets/d/1xlcVZWU"&amp;"Nn6SuWm0c307h32SiGkd9BaeQWlAktfD3KO8/edit?usp=sharing"",""เพชรบูรณ์!L765"")+IMPORTRANGE(""https://docs.google.com/spreadsheets/d/1lOVebEIsI9qjGXl6EX66luk7wiuP2tBaryw-wKvv4e0/edit?usp=sharing"",""แพร่!L765"")+IMPORTRANGE(""https://docs.google.com/spreadshe"&amp;"ets/d/1dQrvX0vEcN7Gu0fnZ0B5S90AeR19zth4XlExFBeExMY/edit?usp=sharing"",""แม่ฮ่องสอน!L765"")+IMPORTRANGE(""https://docs.google.com/spreadsheets/d/1DY4XTNNwjluuxqdfdn6qvOSlMRrZqUtmYcZR0ttFiG4/edit?usp=sharing"",""ลำปาง!L765"")+IMPORTRANGE(""https://docs.goog"&amp;"le.com/spreadsheets/d/1ICwG78r0OFT8biBlxnBF8r7she7gNSzOvJ958PWT09c/edit?usp=sharing"",""ลำพูน!L765"")+IMPORTRANGE(""https://docs.google.com/spreadsheets/d/1B0f2xJpZUC6Z0xXnqKlZtEPzsf6L84eP1r1Q15seqRM/edit?usp=sharing"",""สุโขทัย!L765"")+IMPORTRANGE(""http"&amp;"s://docs.google.com/spreadsheets/d/1v0b9pFQCsKUVExMei7AgY2yQkdeNQvtOssygGsXbiKo/edit?usp=sharing"",""อุตรดิตถ์!L765"")+IMPORTRANGE(""https://docs.google.com/spreadsheets/d/1UsNK1e-WWiCo2PvGqdNfdme4m17_Ezd3J69EeeiQPD0/edit?usp=sharing"",""อุทัยธานี!L765"")"),0)</f>
        <v>0</v>
      </c>
      <c r="M765" s="46">
        <f ca="1">IFERROR(__xludf.DUMMYFUNCTION("IMPORTRANGE(""https://docs.google.com/spreadsheets/d/1jTcq05yEiRwXcBMLjiodW9e4biSGYWAHcDj22rKWQ3s/edit?usp=sharing"",""กำแพงเพชร!M765"")+IMPORTRANGE(""https://docs.google.com/spreadsheets/d/1KS0zmDSZPk8KnTAbGN-Xk6MtX1YRZD0ldgdt20K4CRk/edit?usp=sharing"","&amp;"""เชียงราย!M765"")+IMPORTRANGE(""https://docs.google.com/spreadsheets/d/1rEDxBtusbi64tE0zunoIbsTVV16HeL0oJ6trHQeQ7K8/edit?usp=sharing"",""เชียงใหม่!M765"")+IMPORTRANGE(""https://docs.google.com/spreadsheets/d/1W6MnUbDkMi6xHnHko_XkFDO9kkuL6Wqyc-6OCDFjW9I/e"&amp;"dit?usp=sharing"",""ตาก!M765"")+IMPORTRANGE(""https://docs.google.com/spreadsheets/d/1IQAWArduLkta9LpYo4a_ULsyqdta6-6aDDiwpUnQT6c/edit?usp=sharing"",""นครสวรรค์!M765"")+IMPORTRANGE(""https://docs.google.com/spreadsheets/d/10s13Sk5xrltsiR-Zkbmk5DwIaDIKO8Xl"&amp;"bJAfqyT7Gvg/edit?usp=sharing"",""น่าน!M765"")+IMPORTRANGE(""https://docs.google.com/spreadsheets/d/1uu4nAn4Dbi1XREnLKKotUANlKXa7yCgRcgq8HEzQYW8/edit?usp=sharing"",""พะเยา!M765"")+IMPORTRANGE(""https://docs.google.com/spreadsheets/d/1xfJKIQxVOaPDIICqsflNlL"&amp;"u3JacTDk1FP9RH4phX7mI/edit?usp=sharing"",""พิจิตร!M765"")+IMPORTRANGE(""https://docs.google.com/spreadsheets/d/1JtRfZkJMHtEhI5RdRHxYUG4FIZHqKDpNyIuN7A1Q0_k/edit?usp=sharing"",""พิษณุโลก!M765"")+IMPORTRANGE(""https://docs.google.com/spreadsheets/d/1xlcVZWU"&amp;"Nn6SuWm0c307h32SiGkd9BaeQWlAktfD3KO8/edit?usp=sharing"",""เพชรบูรณ์!M765"")+IMPORTRANGE(""https://docs.google.com/spreadsheets/d/1lOVebEIsI9qjGXl6EX66luk7wiuP2tBaryw-wKvv4e0/edit?usp=sharing"",""แพร่!M765"")+IMPORTRANGE(""https://docs.google.com/spreadshe"&amp;"ets/d/1dQrvX0vEcN7Gu0fnZ0B5S90AeR19zth4XlExFBeExMY/edit?usp=sharing"",""แม่ฮ่องสอน!M765"")+IMPORTRANGE(""https://docs.google.com/spreadsheets/d/1DY4XTNNwjluuxqdfdn6qvOSlMRrZqUtmYcZR0ttFiG4/edit?usp=sharing"",""ลำปาง!M765"")+IMPORTRANGE(""https://docs.goog"&amp;"le.com/spreadsheets/d/1ICwG78r0OFT8biBlxnBF8r7she7gNSzOvJ958PWT09c/edit?usp=sharing"",""ลำพูน!M765"")+IMPORTRANGE(""https://docs.google.com/spreadsheets/d/1B0f2xJpZUC6Z0xXnqKlZtEPzsf6L84eP1r1Q15seqRM/edit?usp=sharing"",""สุโขทัย!M765"")+IMPORTRANGE(""http"&amp;"s://docs.google.com/spreadsheets/d/1v0b9pFQCsKUVExMei7AgY2yQkdeNQvtOssygGsXbiKo/edit?usp=sharing"",""อุตรดิตถ์!M765"")+IMPORTRANGE(""https://docs.google.com/spreadsheets/d/1UsNK1e-WWiCo2PvGqdNfdme4m17_Ezd3J69EeeiQPD0/edit?usp=sharing"",""อุทัยธานี!M765"")"),0)</f>
        <v>0</v>
      </c>
      <c r="N765" s="46">
        <f ca="1">IFERROR(__xludf.DUMMYFUNCTION("IMPORTRANGE(""https://docs.google.com/spreadsheets/d/1jTcq05yEiRwXcBMLjiodW9e4biSGYWAHcDj22rKWQ3s/edit?usp=sharing"",""กำแพงเพชร!N765"")+IMPORTRANGE(""https://docs.google.com/spreadsheets/d/1KS0zmDSZPk8KnTAbGN-Xk6MtX1YRZD0ldgdt20K4CRk/edit?usp=sharing"","&amp;"""เชียงราย!N765"")+IMPORTRANGE(""https://docs.google.com/spreadsheets/d/1rEDxBtusbi64tE0zunoIbsTVV16HeL0oJ6trHQeQ7K8/edit?usp=sharing"",""เชียงใหม่!N765"")+IMPORTRANGE(""https://docs.google.com/spreadsheets/d/1W6MnUbDkMi6xHnHko_XkFDO9kkuL6Wqyc-6OCDFjW9I/e"&amp;"dit?usp=sharing"",""ตาก!N765"")+IMPORTRANGE(""https://docs.google.com/spreadsheets/d/1IQAWArduLkta9LpYo4a_ULsyqdta6-6aDDiwpUnQT6c/edit?usp=sharing"",""นครสวรรค์!N765"")+IMPORTRANGE(""https://docs.google.com/spreadsheets/d/10s13Sk5xrltsiR-Zkbmk5DwIaDIKO8Xl"&amp;"bJAfqyT7Gvg/edit?usp=sharing"",""น่าน!N765"")+IMPORTRANGE(""https://docs.google.com/spreadsheets/d/1uu4nAn4Dbi1XREnLKKotUANlKXa7yCgRcgq8HEzQYW8/edit?usp=sharing"",""พะเยา!N765"")+IMPORTRANGE(""https://docs.google.com/spreadsheets/d/1xfJKIQxVOaPDIICqsflNlL"&amp;"u3JacTDk1FP9RH4phX7mI/edit?usp=sharing"",""พิจิตร!N765"")+IMPORTRANGE(""https://docs.google.com/spreadsheets/d/1JtRfZkJMHtEhI5RdRHxYUG4FIZHqKDpNyIuN7A1Q0_k/edit?usp=sharing"",""พิษณุโลก!N765"")+IMPORTRANGE(""https://docs.google.com/spreadsheets/d/1xlcVZWU"&amp;"Nn6SuWm0c307h32SiGkd9BaeQWlAktfD3KO8/edit?usp=sharing"",""เพชรบูรณ์!N765"")+IMPORTRANGE(""https://docs.google.com/spreadsheets/d/1lOVebEIsI9qjGXl6EX66luk7wiuP2tBaryw-wKvv4e0/edit?usp=sharing"",""แพร่!N765"")+IMPORTRANGE(""https://docs.google.com/spreadshe"&amp;"ets/d/1dQrvX0vEcN7Gu0fnZ0B5S90AeR19zth4XlExFBeExMY/edit?usp=sharing"",""แม่ฮ่องสอน!N765"")+IMPORTRANGE(""https://docs.google.com/spreadsheets/d/1DY4XTNNwjluuxqdfdn6qvOSlMRrZqUtmYcZR0ttFiG4/edit?usp=sharing"",""ลำปาง!N765"")+IMPORTRANGE(""https://docs.goog"&amp;"le.com/spreadsheets/d/1ICwG78r0OFT8biBlxnBF8r7she7gNSzOvJ958PWT09c/edit?usp=sharing"",""ลำพูน!N765"")+IMPORTRANGE(""https://docs.google.com/spreadsheets/d/1B0f2xJpZUC6Z0xXnqKlZtEPzsf6L84eP1r1Q15seqRM/edit?usp=sharing"",""สุโขทัย!N765"")+IMPORTRANGE(""http"&amp;"s://docs.google.com/spreadsheets/d/1v0b9pFQCsKUVExMei7AgY2yQkdeNQvtOssygGsXbiKo/edit?usp=sharing"",""อุตรดิตถ์!N765"")+IMPORTRANGE(""https://docs.google.com/spreadsheets/d/1UsNK1e-WWiCo2PvGqdNfdme4m17_Ezd3J69EeeiQPD0/edit?usp=sharing"",""อุทัยธานี!N765"")"),0)</f>
        <v>0</v>
      </c>
      <c r="O765" s="46">
        <f t="shared" ca="1" si="521"/>
        <v>0</v>
      </c>
      <c r="P765" s="46">
        <f t="shared" ca="1" si="522"/>
        <v>0</v>
      </c>
      <c r="Q765" s="46">
        <f ca="1">IFERROR(__xludf.DUMMYFUNCTION("IMPORTRANGE(""https://docs.google.com/spreadsheets/d/1jTcq05yEiRwXcBMLjiodW9e4biSGYWAHcDj22rKWQ3s/edit?usp=sharing"",""กำแพงเพชร!Q765"")+IMPORTRANGE(""https://docs.google.com/spreadsheets/d/1KS0zmDSZPk8KnTAbGN-Xk6MtX1YRZD0ldgdt20K4CRk/edit?usp=sharing"","&amp;"""เชียงราย!Q765"")+IMPORTRANGE(""https://docs.google.com/spreadsheets/d/1rEDxBtusbi64tE0zunoIbsTVV16HeL0oJ6trHQeQ7K8/edit?usp=sharing"",""เชียงใหม่!Q765"")+IMPORTRANGE(""https://docs.google.com/spreadsheets/d/1W6MnUbDkMi6xHnHko_XkFDO9kkuL6Wqyc-6OCDFjW9I/e"&amp;"dit?usp=sharing"",""ตาก!Q765"")+IMPORTRANGE(""https://docs.google.com/spreadsheets/d/1IQAWArduLkta9LpYo4a_ULsyqdta6-6aDDiwpUnQT6c/edit?usp=sharing"",""นครสวรรค์!Q765"")+IMPORTRANGE(""https://docs.google.com/spreadsheets/d/10s13Sk5xrltsiR-Zkbmk5DwIaDIKO8Xl"&amp;"bJAfqyT7Gvg/edit?usp=sharing"",""น่าน!Q765"")+IMPORTRANGE(""https://docs.google.com/spreadsheets/d/1uu4nAn4Dbi1XREnLKKotUANlKXa7yCgRcgq8HEzQYW8/edit?usp=sharing"",""พะเยา!Q765"")+IMPORTRANGE(""https://docs.google.com/spreadsheets/d/1xfJKIQxVOaPDIICqsflNlL"&amp;"u3JacTDk1FP9RH4phX7mI/edit?usp=sharing"",""พิจิตร!Q765"")+IMPORTRANGE(""https://docs.google.com/spreadsheets/d/1JtRfZkJMHtEhI5RdRHxYUG4FIZHqKDpNyIuN7A1Q0_k/edit?usp=sharing"",""พิษณุโลก!Q765"")+IMPORTRANGE(""https://docs.google.com/spreadsheets/d/1xlcVZWU"&amp;"Nn6SuWm0c307h32SiGkd9BaeQWlAktfD3KO8/edit?usp=sharing"",""เพชรบูรณ์!Q765"")+IMPORTRANGE(""https://docs.google.com/spreadsheets/d/1lOVebEIsI9qjGXl6EX66luk7wiuP2tBaryw-wKvv4e0/edit?usp=sharing"",""แพร่!Q765"")+IMPORTRANGE(""https://docs.google.com/spreadshe"&amp;"ets/d/1dQrvX0vEcN7Gu0fnZ0B5S90AeR19zth4XlExFBeExMY/edit?usp=sharing"",""แม่ฮ่องสอน!Q765"")+IMPORTRANGE(""https://docs.google.com/spreadsheets/d/1DY4XTNNwjluuxqdfdn6qvOSlMRrZqUtmYcZR0ttFiG4/edit?usp=sharing"",""ลำปาง!Q765"")+IMPORTRANGE(""https://docs.goog"&amp;"le.com/spreadsheets/d/1ICwG78r0OFT8biBlxnBF8r7she7gNSzOvJ958PWT09c/edit?usp=sharing"",""ลำพูน!Q765"")+IMPORTRANGE(""https://docs.google.com/spreadsheets/d/1B0f2xJpZUC6Z0xXnqKlZtEPzsf6L84eP1r1Q15seqRM/edit?usp=sharing"",""สุโขทัย!Q765"")+IMPORTRANGE(""http"&amp;"s://docs.google.com/spreadsheets/d/1v0b9pFQCsKUVExMei7AgY2yQkdeNQvtOssygGsXbiKo/edit?usp=sharing"",""อุตรดิตถ์!Q765"")+IMPORTRANGE(""https://docs.google.com/spreadsheets/d/1UsNK1e-WWiCo2PvGqdNfdme4m17_Ezd3J69EeeiQPD0/edit?usp=sharing"",""อุทัยธานี!Q765"")"),8462790)</f>
        <v>8462790</v>
      </c>
      <c r="R765" s="46">
        <f ca="1">IFERROR(__xludf.DUMMYFUNCTION("IMPORTRANGE(""https://docs.google.com/spreadsheets/d/1jTcq05yEiRwXcBMLjiodW9e4biSGYWAHcDj22rKWQ3s/edit?usp=sharing"",""กำแพงเพชร!R765"")+IMPORTRANGE(""https://docs.google.com/spreadsheets/d/1KS0zmDSZPk8KnTAbGN-Xk6MtX1YRZD0ldgdt20K4CRk/edit?usp=sharing"","&amp;"""เชียงราย!R765"")+IMPORTRANGE(""https://docs.google.com/spreadsheets/d/1rEDxBtusbi64tE0zunoIbsTVV16HeL0oJ6trHQeQ7K8/edit?usp=sharing"",""เชียงใหม่!R765"")+IMPORTRANGE(""https://docs.google.com/spreadsheets/d/1W6MnUbDkMi6xHnHko_XkFDO9kkuL6Wqyc-6OCDFjW9I/e"&amp;"dit?usp=sharing"",""ตาก!R765"")+IMPORTRANGE(""https://docs.google.com/spreadsheets/d/1IQAWArduLkta9LpYo4a_ULsyqdta6-6aDDiwpUnQT6c/edit?usp=sharing"",""นครสวรรค์!R765"")+IMPORTRANGE(""https://docs.google.com/spreadsheets/d/10s13Sk5xrltsiR-Zkbmk5DwIaDIKO8Xl"&amp;"bJAfqyT7Gvg/edit?usp=sharing"",""น่าน!R765"")+IMPORTRANGE(""https://docs.google.com/spreadsheets/d/1uu4nAn4Dbi1XREnLKKotUANlKXa7yCgRcgq8HEzQYW8/edit?usp=sharing"",""พะเยา!R765"")+IMPORTRANGE(""https://docs.google.com/spreadsheets/d/1xfJKIQxVOaPDIICqsflNlL"&amp;"u3JacTDk1FP9RH4phX7mI/edit?usp=sharing"",""พิจิตร!R765"")+IMPORTRANGE(""https://docs.google.com/spreadsheets/d/1JtRfZkJMHtEhI5RdRHxYUG4FIZHqKDpNyIuN7A1Q0_k/edit?usp=sharing"",""พิษณุโลก!R765"")+IMPORTRANGE(""https://docs.google.com/spreadsheets/d/1xlcVZWU"&amp;"Nn6SuWm0c307h32SiGkd9BaeQWlAktfD3KO8/edit?usp=sharing"",""เพชรบูรณ์!R765"")+IMPORTRANGE(""https://docs.google.com/spreadsheets/d/1lOVebEIsI9qjGXl6EX66luk7wiuP2tBaryw-wKvv4e0/edit?usp=sharing"",""แพร่!R765"")+IMPORTRANGE(""https://docs.google.com/spreadshe"&amp;"ets/d/1dQrvX0vEcN7Gu0fnZ0B5S90AeR19zth4XlExFBeExMY/edit?usp=sharing"",""แม่ฮ่องสอน!R765"")+IMPORTRANGE(""https://docs.google.com/spreadsheets/d/1DY4XTNNwjluuxqdfdn6qvOSlMRrZqUtmYcZR0ttFiG4/edit?usp=sharing"",""ลำปาง!R765"")+IMPORTRANGE(""https://docs.goog"&amp;"le.com/spreadsheets/d/1ICwG78r0OFT8biBlxnBF8r7she7gNSzOvJ958PWT09c/edit?usp=sharing"",""ลำพูน!R765"")+IMPORTRANGE(""https://docs.google.com/spreadsheets/d/1B0f2xJpZUC6Z0xXnqKlZtEPzsf6L84eP1r1Q15seqRM/edit?usp=sharing"",""สุโขทัย!R765"")+IMPORTRANGE(""http"&amp;"s://docs.google.com/spreadsheets/d/1v0b9pFQCsKUVExMei7AgY2yQkdeNQvtOssygGsXbiKo/edit?usp=sharing"",""อุตรดิตถ์!R765"")+IMPORTRANGE(""https://docs.google.com/spreadsheets/d/1UsNK1e-WWiCo2PvGqdNfdme4m17_Ezd3J69EeeiQPD0/edit?usp=sharing"",""อุทัยธานี!R765"")"),8462790)</f>
        <v>8462790</v>
      </c>
      <c r="S765" s="46">
        <f ca="1">IFERROR(__xludf.DUMMYFUNCTION("IMPORTRANGE(""https://docs.google.com/spreadsheets/d/1jTcq05yEiRwXcBMLjiodW9e4biSGYWAHcDj22rKWQ3s/edit?usp=sharing"",""กำแพงเพชร!S765"")+IMPORTRANGE(""https://docs.google.com/spreadsheets/d/1KS0zmDSZPk8KnTAbGN-Xk6MtX1YRZD0ldgdt20K4CRk/edit?usp=sharing"","&amp;"""เชียงราย!S765"")+IMPORTRANGE(""https://docs.google.com/spreadsheets/d/1rEDxBtusbi64tE0zunoIbsTVV16HeL0oJ6trHQeQ7K8/edit?usp=sharing"",""เชียงใหม่!S765"")+IMPORTRANGE(""https://docs.google.com/spreadsheets/d/1W6MnUbDkMi6xHnHko_XkFDO9kkuL6Wqyc-6OCDFjW9I/e"&amp;"dit?usp=sharing"",""ตาก!S765"")+IMPORTRANGE(""https://docs.google.com/spreadsheets/d/1IQAWArduLkta9LpYo4a_ULsyqdta6-6aDDiwpUnQT6c/edit?usp=sharing"",""นครสวรรค์!S765"")+IMPORTRANGE(""https://docs.google.com/spreadsheets/d/10s13Sk5xrltsiR-Zkbmk5DwIaDIKO8Xl"&amp;"bJAfqyT7Gvg/edit?usp=sharing"",""น่าน!S765"")+IMPORTRANGE(""https://docs.google.com/spreadsheets/d/1uu4nAn4Dbi1XREnLKKotUANlKXa7yCgRcgq8HEzQYW8/edit?usp=sharing"",""พะเยา!S765"")+IMPORTRANGE(""https://docs.google.com/spreadsheets/d/1xfJKIQxVOaPDIICqsflNlL"&amp;"u3JacTDk1FP9RH4phX7mI/edit?usp=sharing"",""พิจิตร!S765"")+IMPORTRANGE(""https://docs.google.com/spreadsheets/d/1JtRfZkJMHtEhI5RdRHxYUG4FIZHqKDpNyIuN7A1Q0_k/edit?usp=sharing"",""พิษณุโลก!S765"")+IMPORTRANGE(""https://docs.google.com/spreadsheets/d/1xlcVZWU"&amp;"Nn6SuWm0c307h32SiGkd9BaeQWlAktfD3KO8/edit?usp=sharing"",""เพชรบูรณ์!S765"")+IMPORTRANGE(""https://docs.google.com/spreadsheets/d/1lOVebEIsI9qjGXl6EX66luk7wiuP2tBaryw-wKvv4e0/edit?usp=sharing"",""แพร่!S765"")+IMPORTRANGE(""https://docs.google.com/spreadshe"&amp;"ets/d/1dQrvX0vEcN7Gu0fnZ0B5S90AeR19zth4XlExFBeExMY/edit?usp=sharing"",""แม่ฮ่องสอน!S765"")+IMPORTRANGE(""https://docs.google.com/spreadsheets/d/1DY4XTNNwjluuxqdfdn6qvOSlMRrZqUtmYcZR0ttFiG4/edit?usp=sharing"",""ลำปาง!S765"")+IMPORTRANGE(""https://docs.goog"&amp;"le.com/spreadsheets/d/1ICwG78r0OFT8biBlxnBF8r7she7gNSzOvJ958PWT09c/edit?usp=sharing"",""ลำพูน!S765"")+IMPORTRANGE(""https://docs.google.com/spreadsheets/d/1B0f2xJpZUC6Z0xXnqKlZtEPzsf6L84eP1r1Q15seqRM/edit?usp=sharing"",""สุโขทัย!S765"")+IMPORTRANGE(""http"&amp;"s://docs.google.com/spreadsheets/d/1v0b9pFQCsKUVExMei7AgY2yQkdeNQvtOssygGsXbiKo/edit?usp=sharing"",""อุตรดิตถ์!S765"")+IMPORTRANGE(""https://docs.google.com/spreadsheets/d/1UsNK1e-WWiCo2PvGqdNfdme4m17_Ezd3J69EeeiQPD0/edit?usp=sharing"",""อุทัยธานี!S765"")"),2263883.79)</f>
        <v>2263883.79</v>
      </c>
      <c r="T765" s="46">
        <f t="shared" ca="1" si="524"/>
        <v>26.751033524405074</v>
      </c>
      <c r="U765" s="46">
        <f t="shared" ca="1" si="525"/>
        <v>26.751033524405074</v>
      </c>
    </row>
    <row r="766" spans="1:21" ht="18.75" x14ac:dyDescent="0.25">
      <c r="A766" s="128"/>
      <c r="B766" s="158"/>
      <c r="C766" s="158"/>
      <c r="D766" s="41" t="s">
        <v>23</v>
      </c>
      <c r="E766" s="158"/>
      <c r="F766" s="40"/>
      <c r="G766" s="42"/>
      <c r="H766" s="137" t="s">
        <v>14</v>
      </c>
      <c r="I766" s="135"/>
      <c r="J766" s="135"/>
      <c r="K766" s="136"/>
      <c r="L766" s="46">
        <f t="shared" ref="L766:N766" ca="1" si="532">L767+L768</f>
        <v>0</v>
      </c>
      <c r="M766" s="46">
        <f t="shared" ca="1" si="532"/>
        <v>0</v>
      </c>
      <c r="N766" s="46">
        <f t="shared" ca="1" si="532"/>
        <v>0</v>
      </c>
      <c r="O766" s="46">
        <f t="shared" ca="1" si="521"/>
        <v>0</v>
      </c>
      <c r="P766" s="46">
        <f t="shared" ca="1" si="522"/>
        <v>0</v>
      </c>
      <c r="Q766" s="46">
        <f t="shared" ref="Q766:S766" ca="1" si="533">Q767+Q768</f>
        <v>0</v>
      </c>
      <c r="R766" s="46">
        <f t="shared" ca="1" si="533"/>
        <v>0</v>
      </c>
      <c r="S766" s="46">
        <f t="shared" ca="1" si="533"/>
        <v>0</v>
      </c>
      <c r="T766" s="46">
        <f t="shared" ca="1" si="524"/>
        <v>0</v>
      </c>
      <c r="U766" s="46">
        <f t="shared" ca="1" si="525"/>
        <v>0</v>
      </c>
    </row>
    <row r="767" spans="1:21" ht="18.75" x14ac:dyDescent="0.25">
      <c r="A767" s="128"/>
      <c r="B767" s="158"/>
      <c r="C767" s="158"/>
      <c r="D767" s="158"/>
      <c r="E767" s="314" t="s">
        <v>20</v>
      </c>
      <c r="F767" s="40"/>
      <c r="G767" s="42"/>
      <c r="H767" s="159" t="s">
        <v>14</v>
      </c>
      <c r="I767" s="135"/>
      <c r="J767" s="135"/>
      <c r="K767" s="136"/>
      <c r="L767" s="48">
        <f ca="1">IFERROR(__xludf.DUMMYFUNCTION("IMPORTRANGE(""https://docs.google.com/spreadsheets/d/1jTcq05yEiRwXcBMLjiodW9e4biSGYWAHcDj22rKWQ3s/edit?usp=sharing"",""กำแพงเพชร!L767"")+IMPORTRANGE(""https://docs.google.com/spreadsheets/d/1KS0zmDSZPk8KnTAbGN-Xk6MtX1YRZD0ldgdt20K4CRk/edit?usp=sharing"","&amp;"""เชียงราย!L767"")+IMPORTRANGE(""https://docs.google.com/spreadsheets/d/1rEDxBtusbi64tE0zunoIbsTVV16HeL0oJ6trHQeQ7K8/edit?usp=sharing"",""เชียงใหม่!L767"")+IMPORTRANGE(""https://docs.google.com/spreadsheets/d/1W6MnUbDkMi6xHnHko_XkFDO9kkuL6Wqyc-6OCDFjW9I/e"&amp;"dit?usp=sharing"",""ตาก!L767"")+IMPORTRANGE(""https://docs.google.com/spreadsheets/d/1IQAWArduLkta9LpYo4a_ULsyqdta6-6aDDiwpUnQT6c/edit?usp=sharing"",""นครสวรรค์!L767"")+IMPORTRANGE(""https://docs.google.com/spreadsheets/d/10s13Sk5xrltsiR-Zkbmk5DwIaDIKO8Xl"&amp;"bJAfqyT7Gvg/edit?usp=sharing"",""น่าน!L767"")+IMPORTRANGE(""https://docs.google.com/spreadsheets/d/1uu4nAn4Dbi1XREnLKKotUANlKXa7yCgRcgq8HEzQYW8/edit?usp=sharing"",""พะเยา!L767"")+IMPORTRANGE(""https://docs.google.com/spreadsheets/d/1xfJKIQxVOaPDIICqsflNlL"&amp;"u3JacTDk1FP9RH4phX7mI/edit?usp=sharing"",""พิจิตร!L767"")+IMPORTRANGE(""https://docs.google.com/spreadsheets/d/1JtRfZkJMHtEhI5RdRHxYUG4FIZHqKDpNyIuN7A1Q0_k/edit?usp=sharing"",""พิษณุโลก!L767"")+IMPORTRANGE(""https://docs.google.com/spreadsheets/d/1xlcVZWU"&amp;"Nn6SuWm0c307h32SiGkd9BaeQWlAktfD3KO8/edit?usp=sharing"",""เพชรบูรณ์!L767"")+IMPORTRANGE(""https://docs.google.com/spreadsheets/d/1lOVebEIsI9qjGXl6EX66luk7wiuP2tBaryw-wKvv4e0/edit?usp=sharing"",""แพร่!L767"")+IMPORTRANGE(""https://docs.google.com/spreadshe"&amp;"ets/d/1dQrvX0vEcN7Gu0fnZ0B5S90AeR19zth4XlExFBeExMY/edit?usp=sharing"",""แม่ฮ่องสอน!L767"")+IMPORTRANGE(""https://docs.google.com/spreadsheets/d/1DY4XTNNwjluuxqdfdn6qvOSlMRrZqUtmYcZR0ttFiG4/edit?usp=sharing"",""ลำปาง!L767"")+IMPORTRANGE(""https://docs.goog"&amp;"le.com/spreadsheets/d/1ICwG78r0OFT8biBlxnBF8r7she7gNSzOvJ958PWT09c/edit?usp=sharing"",""ลำพูน!L767"")+IMPORTRANGE(""https://docs.google.com/spreadsheets/d/1B0f2xJpZUC6Z0xXnqKlZtEPzsf6L84eP1r1Q15seqRM/edit?usp=sharing"",""สุโขทัย!L767"")+IMPORTRANGE(""http"&amp;"s://docs.google.com/spreadsheets/d/1v0b9pFQCsKUVExMei7AgY2yQkdeNQvtOssygGsXbiKo/edit?usp=sharing"",""อุตรดิตถ์!L767"")+IMPORTRANGE(""https://docs.google.com/spreadsheets/d/1UsNK1e-WWiCo2PvGqdNfdme4m17_Ezd3J69EeeiQPD0/edit?usp=sharing"",""อุทัยธานี!L767"")"),0)</f>
        <v>0</v>
      </c>
      <c r="M767" s="48">
        <f ca="1">IFERROR(__xludf.DUMMYFUNCTION("IMPORTRANGE(""https://docs.google.com/spreadsheets/d/1jTcq05yEiRwXcBMLjiodW9e4biSGYWAHcDj22rKWQ3s/edit?usp=sharing"",""กำแพงเพชร!M767"")+IMPORTRANGE(""https://docs.google.com/spreadsheets/d/1KS0zmDSZPk8KnTAbGN-Xk6MtX1YRZD0ldgdt20K4CRk/edit?usp=sharing"","&amp;"""เชียงราย!M767"")+IMPORTRANGE(""https://docs.google.com/spreadsheets/d/1rEDxBtusbi64tE0zunoIbsTVV16HeL0oJ6trHQeQ7K8/edit?usp=sharing"",""เชียงใหม่!M767"")+IMPORTRANGE(""https://docs.google.com/spreadsheets/d/1W6MnUbDkMi6xHnHko_XkFDO9kkuL6Wqyc-6OCDFjW9I/e"&amp;"dit?usp=sharing"",""ตาก!M767"")+IMPORTRANGE(""https://docs.google.com/spreadsheets/d/1IQAWArduLkta9LpYo4a_ULsyqdta6-6aDDiwpUnQT6c/edit?usp=sharing"",""นครสวรรค์!M767"")+IMPORTRANGE(""https://docs.google.com/spreadsheets/d/10s13Sk5xrltsiR-Zkbmk5DwIaDIKO8Xl"&amp;"bJAfqyT7Gvg/edit?usp=sharing"",""น่าน!M767"")+IMPORTRANGE(""https://docs.google.com/spreadsheets/d/1uu4nAn4Dbi1XREnLKKotUANlKXa7yCgRcgq8HEzQYW8/edit?usp=sharing"",""พะเยา!M767"")+IMPORTRANGE(""https://docs.google.com/spreadsheets/d/1xfJKIQxVOaPDIICqsflNlL"&amp;"u3JacTDk1FP9RH4phX7mI/edit?usp=sharing"",""พิจิตร!M767"")+IMPORTRANGE(""https://docs.google.com/spreadsheets/d/1JtRfZkJMHtEhI5RdRHxYUG4FIZHqKDpNyIuN7A1Q0_k/edit?usp=sharing"",""พิษณุโลก!M767"")+IMPORTRANGE(""https://docs.google.com/spreadsheets/d/1xlcVZWU"&amp;"Nn6SuWm0c307h32SiGkd9BaeQWlAktfD3KO8/edit?usp=sharing"",""เพชรบูรณ์!M767"")+IMPORTRANGE(""https://docs.google.com/spreadsheets/d/1lOVebEIsI9qjGXl6EX66luk7wiuP2tBaryw-wKvv4e0/edit?usp=sharing"",""แพร่!M767"")+IMPORTRANGE(""https://docs.google.com/spreadshe"&amp;"ets/d/1dQrvX0vEcN7Gu0fnZ0B5S90AeR19zth4XlExFBeExMY/edit?usp=sharing"",""แม่ฮ่องสอน!M767"")+IMPORTRANGE(""https://docs.google.com/spreadsheets/d/1DY4XTNNwjluuxqdfdn6qvOSlMRrZqUtmYcZR0ttFiG4/edit?usp=sharing"",""ลำปาง!M767"")+IMPORTRANGE(""https://docs.goog"&amp;"le.com/spreadsheets/d/1ICwG78r0OFT8biBlxnBF8r7she7gNSzOvJ958PWT09c/edit?usp=sharing"",""ลำพูน!M767"")+IMPORTRANGE(""https://docs.google.com/spreadsheets/d/1B0f2xJpZUC6Z0xXnqKlZtEPzsf6L84eP1r1Q15seqRM/edit?usp=sharing"",""สุโขทัย!M767"")+IMPORTRANGE(""http"&amp;"s://docs.google.com/spreadsheets/d/1v0b9pFQCsKUVExMei7AgY2yQkdeNQvtOssygGsXbiKo/edit?usp=sharing"",""อุตรดิตถ์!M767"")+IMPORTRANGE(""https://docs.google.com/spreadsheets/d/1UsNK1e-WWiCo2PvGqdNfdme4m17_Ezd3J69EeeiQPD0/edit?usp=sharing"",""อุทัยธานี!M767"")"),0)</f>
        <v>0</v>
      </c>
      <c r="N767" s="48">
        <f ca="1">IFERROR(__xludf.DUMMYFUNCTION("IMPORTRANGE(""https://docs.google.com/spreadsheets/d/1jTcq05yEiRwXcBMLjiodW9e4biSGYWAHcDj22rKWQ3s/edit?usp=sharing"",""กำแพงเพชร!N767"")+IMPORTRANGE(""https://docs.google.com/spreadsheets/d/1KS0zmDSZPk8KnTAbGN-Xk6MtX1YRZD0ldgdt20K4CRk/edit?usp=sharing"","&amp;"""เชียงราย!N767"")+IMPORTRANGE(""https://docs.google.com/spreadsheets/d/1rEDxBtusbi64tE0zunoIbsTVV16HeL0oJ6trHQeQ7K8/edit?usp=sharing"",""เชียงใหม่!N767"")+IMPORTRANGE(""https://docs.google.com/spreadsheets/d/1W6MnUbDkMi6xHnHko_XkFDO9kkuL6Wqyc-6OCDFjW9I/e"&amp;"dit?usp=sharing"",""ตาก!N767"")+IMPORTRANGE(""https://docs.google.com/spreadsheets/d/1IQAWArduLkta9LpYo4a_ULsyqdta6-6aDDiwpUnQT6c/edit?usp=sharing"",""นครสวรรค์!N767"")+IMPORTRANGE(""https://docs.google.com/spreadsheets/d/10s13Sk5xrltsiR-Zkbmk5DwIaDIKO8Xl"&amp;"bJAfqyT7Gvg/edit?usp=sharing"",""น่าน!N767"")+IMPORTRANGE(""https://docs.google.com/spreadsheets/d/1uu4nAn4Dbi1XREnLKKotUANlKXa7yCgRcgq8HEzQYW8/edit?usp=sharing"",""พะเยา!N767"")+IMPORTRANGE(""https://docs.google.com/spreadsheets/d/1xfJKIQxVOaPDIICqsflNlL"&amp;"u3JacTDk1FP9RH4phX7mI/edit?usp=sharing"",""พิจิตร!N767"")+IMPORTRANGE(""https://docs.google.com/spreadsheets/d/1JtRfZkJMHtEhI5RdRHxYUG4FIZHqKDpNyIuN7A1Q0_k/edit?usp=sharing"",""พิษณุโลก!N767"")+IMPORTRANGE(""https://docs.google.com/spreadsheets/d/1xlcVZWU"&amp;"Nn6SuWm0c307h32SiGkd9BaeQWlAktfD3KO8/edit?usp=sharing"",""เพชรบูรณ์!N767"")+IMPORTRANGE(""https://docs.google.com/spreadsheets/d/1lOVebEIsI9qjGXl6EX66luk7wiuP2tBaryw-wKvv4e0/edit?usp=sharing"",""แพร่!N767"")+IMPORTRANGE(""https://docs.google.com/spreadshe"&amp;"ets/d/1dQrvX0vEcN7Gu0fnZ0B5S90AeR19zth4XlExFBeExMY/edit?usp=sharing"",""แม่ฮ่องสอน!N767"")+IMPORTRANGE(""https://docs.google.com/spreadsheets/d/1DY4XTNNwjluuxqdfdn6qvOSlMRrZqUtmYcZR0ttFiG4/edit?usp=sharing"",""ลำปาง!N767"")+IMPORTRANGE(""https://docs.goog"&amp;"le.com/spreadsheets/d/1ICwG78r0OFT8biBlxnBF8r7she7gNSzOvJ958PWT09c/edit?usp=sharing"",""ลำพูน!N767"")+IMPORTRANGE(""https://docs.google.com/spreadsheets/d/1B0f2xJpZUC6Z0xXnqKlZtEPzsf6L84eP1r1Q15seqRM/edit?usp=sharing"",""สุโขทัย!N767"")+IMPORTRANGE(""http"&amp;"s://docs.google.com/spreadsheets/d/1v0b9pFQCsKUVExMei7AgY2yQkdeNQvtOssygGsXbiKo/edit?usp=sharing"",""อุตรดิตถ์!N767"")+IMPORTRANGE(""https://docs.google.com/spreadsheets/d/1UsNK1e-WWiCo2PvGqdNfdme4m17_Ezd3J69EeeiQPD0/edit?usp=sharing"",""อุทัยธานี!N767"")"),0)</f>
        <v>0</v>
      </c>
      <c r="O767" s="48">
        <f t="shared" ca="1" si="521"/>
        <v>0</v>
      </c>
      <c r="P767" s="48">
        <f t="shared" ca="1" si="522"/>
        <v>0</v>
      </c>
      <c r="Q767" s="48">
        <f ca="1">IFERROR(__xludf.DUMMYFUNCTION("IMPORTRANGE(""https://docs.google.com/spreadsheets/d/1jTcq05yEiRwXcBMLjiodW9e4biSGYWAHcDj22rKWQ3s/edit?usp=sharing"",""กำแพงเพชร!Q767"")+IMPORTRANGE(""https://docs.google.com/spreadsheets/d/1KS0zmDSZPk8KnTAbGN-Xk6MtX1YRZD0ldgdt20K4CRk/edit?usp=sharing"","&amp;"""เชียงราย!Q767"")+IMPORTRANGE(""https://docs.google.com/spreadsheets/d/1rEDxBtusbi64tE0zunoIbsTVV16HeL0oJ6trHQeQ7K8/edit?usp=sharing"",""เชียงใหม่!Q767"")+IMPORTRANGE(""https://docs.google.com/spreadsheets/d/1W6MnUbDkMi6xHnHko_XkFDO9kkuL6Wqyc-6OCDFjW9I/e"&amp;"dit?usp=sharing"",""ตาก!Q767"")+IMPORTRANGE(""https://docs.google.com/spreadsheets/d/1IQAWArduLkta9LpYo4a_ULsyqdta6-6aDDiwpUnQT6c/edit?usp=sharing"",""นครสวรรค์!Q767"")+IMPORTRANGE(""https://docs.google.com/spreadsheets/d/10s13Sk5xrltsiR-Zkbmk5DwIaDIKO8Xl"&amp;"bJAfqyT7Gvg/edit?usp=sharing"",""น่าน!Q767"")+IMPORTRANGE(""https://docs.google.com/spreadsheets/d/1uu4nAn4Dbi1XREnLKKotUANlKXa7yCgRcgq8HEzQYW8/edit?usp=sharing"",""พะเยา!Q767"")+IMPORTRANGE(""https://docs.google.com/spreadsheets/d/1xfJKIQxVOaPDIICqsflNlL"&amp;"u3JacTDk1FP9RH4phX7mI/edit?usp=sharing"",""พิจิตร!Q767"")+IMPORTRANGE(""https://docs.google.com/spreadsheets/d/1JtRfZkJMHtEhI5RdRHxYUG4FIZHqKDpNyIuN7A1Q0_k/edit?usp=sharing"",""พิษณุโลก!Q767"")+IMPORTRANGE(""https://docs.google.com/spreadsheets/d/1xlcVZWU"&amp;"Nn6SuWm0c307h32SiGkd9BaeQWlAktfD3KO8/edit?usp=sharing"",""เพชรบูรณ์!Q767"")+IMPORTRANGE(""https://docs.google.com/spreadsheets/d/1lOVebEIsI9qjGXl6EX66luk7wiuP2tBaryw-wKvv4e0/edit?usp=sharing"",""แพร่!Q767"")+IMPORTRANGE(""https://docs.google.com/spreadshe"&amp;"ets/d/1dQrvX0vEcN7Gu0fnZ0B5S90AeR19zth4XlExFBeExMY/edit?usp=sharing"",""แม่ฮ่องสอน!Q767"")+IMPORTRANGE(""https://docs.google.com/spreadsheets/d/1DY4XTNNwjluuxqdfdn6qvOSlMRrZqUtmYcZR0ttFiG4/edit?usp=sharing"",""ลำปาง!Q767"")+IMPORTRANGE(""https://docs.goog"&amp;"le.com/spreadsheets/d/1ICwG78r0OFT8biBlxnBF8r7she7gNSzOvJ958PWT09c/edit?usp=sharing"",""ลำพูน!Q767"")+IMPORTRANGE(""https://docs.google.com/spreadsheets/d/1B0f2xJpZUC6Z0xXnqKlZtEPzsf6L84eP1r1Q15seqRM/edit?usp=sharing"",""สุโขทัย!Q767"")+IMPORTRANGE(""http"&amp;"s://docs.google.com/spreadsheets/d/1v0b9pFQCsKUVExMei7AgY2yQkdeNQvtOssygGsXbiKo/edit?usp=sharing"",""อุตรดิตถ์!Q767"")+IMPORTRANGE(""https://docs.google.com/spreadsheets/d/1UsNK1e-WWiCo2PvGqdNfdme4m17_Ezd3J69EeeiQPD0/edit?usp=sharing"",""อุทัยธานี!Q767"")"),0)</f>
        <v>0</v>
      </c>
      <c r="R767" s="48">
        <f ca="1">IFERROR(__xludf.DUMMYFUNCTION("IMPORTRANGE(""https://docs.google.com/spreadsheets/d/1jTcq05yEiRwXcBMLjiodW9e4biSGYWAHcDj22rKWQ3s/edit?usp=sharing"",""กำแพงเพชร!R767"")+IMPORTRANGE(""https://docs.google.com/spreadsheets/d/1KS0zmDSZPk8KnTAbGN-Xk6MtX1YRZD0ldgdt20K4CRk/edit?usp=sharing"","&amp;"""เชียงราย!R767"")+IMPORTRANGE(""https://docs.google.com/spreadsheets/d/1rEDxBtusbi64tE0zunoIbsTVV16HeL0oJ6trHQeQ7K8/edit?usp=sharing"",""เชียงใหม่!R767"")+IMPORTRANGE(""https://docs.google.com/spreadsheets/d/1W6MnUbDkMi6xHnHko_XkFDO9kkuL6Wqyc-6OCDFjW9I/e"&amp;"dit?usp=sharing"",""ตาก!R767"")+IMPORTRANGE(""https://docs.google.com/spreadsheets/d/1IQAWArduLkta9LpYo4a_ULsyqdta6-6aDDiwpUnQT6c/edit?usp=sharing"",""นครสวรรค์!R767"")+IMPORTRANGE(""https://docs.google.com/spreadsheets/d/10s13Sk5xrltsiR-Zkbmk5DwIaDIKO8Xl"&amp;"bJAfqyT7Gvg/edit?usp=sharing"",""น่าน!R767"")+IMPORTRANGE(""https://docs.google.com/spreadsheets/d/1uu4nAn4Dbi1XREnLKKotUANlKXa7yCgRcgq8HEzQYW8/edit?usp=sharing"",""พะเยา!R767"")+IMPORTRANGE(""https://docs.google.com/spreadsheets/d/1xfJKIQxVOaPDIICqsflNlL"&amp;"u3JacTDk1FP9RH4phX7mI/edit?usp=sharing"",""พิจิตร!R767"")+IMPORTRANGE(""https://docs.google.com/spreadsheets/d/1JtRfZkJMHtEhI5RdRHxYUG4FIZHqKDpNyIuN7A1Q0_k/edit?usp=sharing"",""พิษณุโลก!R767"")+IMPORTRANGE(""https://docs.google.com/spreadsheets/d/1xlcVZWU"&amp;"Nn6SuWm0c307h32SiGkd9BaeQWlAktfD3KO8/edit?usp=sharing"",""เพชรบูรณ์!R767"")+IMPORTRANGE(""https://docs.google.com/spreadsheets/d/1lOVebEIsI9qjGXl6EX66luk7wiuP2tBaryw-wKvv4e0/edit?usp=sharing"",""แพร่!R767"")+IMPORTRANGE(""https://docs.google.com/spreadshe"&amp;"ets/d/1dQrvX0vEcN7Gu0fnZ0B5S90AeR19zth4XlExFBeExMY/edit?usp=sharing"",""แม่ฮ่องสอน!R767"")+IMPORTRANGE(""https://docs.google.com/spreadsheets/d/1DY4XTNNwjluuxqdfdn6qvOSlMRrZqUtmYcZR0ttFiG4/edit?usp=sharing"",""ลำปาง!R767"")+IMPORTRANGE(""https://docs.goog"&amp;"le.com/spreadsheets/d/1ICwG78r0OFT8biBlxnBF8r7she7gNSzOvJ958PWT09c/edit?usp=sharing"",""ลำพูน!R767"")+IMPORTRANGE(""https://docs.google.com/spreadsheets/d/1B0f2xJpZUC6Z0xXnqKlZtEPzsf6L84eP1r1Q15seqRM/edit?usp=sharing"",""สุโขทัย!R767"")+IMPORTRANGE(""http"&amp;"s://docs.google.com/spreadsheets/d/1v0b9pFQCsKUVExMei7AgY2yQkdeNQvtOssygGsXbiKo/edit?usp=sharing"",""อุตรดิตถ์!R767"")+IMPORTRANGE(""https://docs.google.com/spreadsheets/d/1UsNK1e-WWiCo2PvGqdNfdme4m17_Ezd3J69EeeiQPD0/edit?usp=sharing"",""อุทัยธานี!R767"")"),0)</f>
        <v>0</v>
      </c>
      <c r="S767" s="48">
        <f ca="1">IFERROR(__xludf.DUMMYFUNCTION("IMPORTRANGE(""https://docs.google.com/spreadsheets/d/1jTcq05yEiRwXcBMLjiodW9e4biSGYWAHcDj22rKWQ3s/edit?usp=sharing"",""กำแพงเพชร!S767"")+IMPORTRANGE(""https://docs.google.com/spreadsheets/d/1KS0zmDSZPk8KnTAbGN-Xk6MtX1YRZD0ldgdt20K4CRk/edit?usp=sharing"","&amp;"""เชียงราย!S767"")+IMPORTRANGE(""https://docs.google.com/spreadsheets/d/1rEDxBtusbi64tE0zunoIbsTVV16HeL0oJ6trHQeQ7K8/edit?usp=sharing"",""เชียงใหม่!S767"")+IMPORTRANGE(""https://docs.google.com/spreadsheets/d/1W6MnUbDkMi6xHnHko_XkFDO9kkuL6Wqyc-6OCDFjW9I/e"&amp;"dit?usp=sharing"",""ตาก!S767"")+IMPORTRANGE(""https://docs.google.com/spreadsheets/d/1IQAWArduLkta9LpYo4a_ULsyqdta6-6aDDiwpUnQT6c/edit?usp=sharing"",""นครสวรรค์!S767"")+IMPORTRANGE(""https://docs.google.com/spreadsheets/d/10s13Sk5xrltsiR-Zkbmk5DwIaDIKO8Xl"&amp;"bJAfqyT7Gvg/edit?usp=sharing"",""น่าน!S767"")+IMPORTRANGE(""https://docs.google.com/spreadsheets/d/1uu4nAn4Dbi1XREnLKKotUANlKXa7yCgRcgq8HEzQYW8/edit?usp=sharing"",""พะเยา!S767"")+IMPORTRANGE(""https://docs.google.com/spreadsheets/d/1xfJKIQxVOaPDIICqsflNlL"&amp;"u3JacTDk1FP9RH4phX7mI/edit?usp=sharing"",""พิจิตร!S767"")+IMPORTRANGE(""https://docs.google.com/spreadsheets/d/1JtRfZkJMHtEhI5RdRHxYUG4FIZHqKDpNyIuN7A1Q0_k/edit?usp=sharing"",""พิษณุโลก!S767"")+IMPORTRANGE(""https://docs.google.com/spreadsheets/d/1xlcVZWU"&amp;"Nn6SuWm0c307h32SiGkd9BaeQWlAktfD3KO8/edit?usp=sharing"",""เพชรบูรณ์!S767"")+IMPORTRANGE(""https://docs.google.com/spreadsheets/d/1lOVebEIsI9qjGXl6EX66luk7wiuP2tBaryw-wKvv4e0/edit?usp=sharing"",""แพร่!S767"")+IMPORTRANGE(""https://docs.google.com/spreadshe"&amp;"ets/d/1dQrvX0vEcN7Gu0fnZ0B5S90AeR19zth4XlExFBeExMY/edit?usp=sharing"",""แม่ฮ่องสอน!S767"")+IMPORTRANGE(""https://docs.google.com/spreadsheets/d/1DY4XTNNwjluuxqdfdn6qvOSlMRrZqUtmYcZR0ttFiG4/edit?usp=sharing"",""ลำปาง!S767"")+IMPORTRANGE(""https://docs.goog"&amp;"le.com/spreadsheets/d/1ICwG78r0OFT8biBlxnBF8r7she7gNSzOvJ958PWT09c/edit?usp=sharing"",""ลำพูน!S767"")+IMPORTRANGE(""https://docs.google.com/spreadsheets/d/1B0f2xJpZUC6Z0xXnqKlZtEPzsf6L84eP1r1Q15seqRM/edit?usp=sharing"",""สุโขทัย!S767"")+IMPORTRANGE(""http"&amp;"s://docs.google.com/spreadsheets/d/1v0b9pFQCsKUVExMei7AgY2yQkdeNQvtOssygGsXbiKo/edit?usp=sharing"",""อุตรดิตถ์!S767"")+IMPORTRANGE(""https://docs.google.com/spreadsheets/d/1UsNK1e-WWiCo2PvGqdNfdme4m17_Ezd3J69EeeiQPD0/edit?usp=sharing"",""อุทัยธานี!S767"")"),0)</f>
        <v>0</v>
      </c>
      <c r="T767" s="48">
        <f t="shared" ca="1" si="524"/>
        <v>0</v>
      </c>
      <c r="U767" s="48">
        <f t="shared" ca="1" si="525"/>
        <v>0</v>
      </c>
    </row>
    <row r="768" spans="1:21" ht="18.75" x14ac:dyDescent="0.25">
      <c r="A768" s="128"/>
      <c r="B768" s="158"/>
      <c r="C768" s="158"/>
      <c r="D768" s="158"/>
      <c r="E768" s="209" t="s">
        <v>21</v>
      </c>
      <c r="F768" s="40"/>
      <c r="G768" s="42"/>
      <c r="H768" s="137" t="s">
        <v>14</v>
      </c>
      <c r="I768" s="135"/>
      <c r="J768" s="135"/>
      <c r="K768" s="136"/>
      <c r="L768" s="46">
        <f ca="1">IFERROR(__xludf.DUMMYFUNCTION("IMPORTRANGE(""https://docs.google.com/spreadsheets/d/1jTcq05yEiRwXcBMLjiodW9e4biSGYWAHcDj22rKWQ3s/edit?usp=sharing"",""กำแพงเพชร!L768"")+IMPORTRANGE(""https://docs.google.com/spreadsheets/d/1KS0zmDSZPk8KnTAbGN-Xk6MtX1YRZD0ldgdt20K4CRk/edit?usp=sharing"","&amp;"""เชียงราย!L768"")+IMPORTRANGE(""https://docs.google.com/spreadsheets/d/1rEDxBtusbi64tE0zunoIbsTVV16HeL0oJ6trHQeQ7K8/edit?usp=sharing"",""เชียงใหม่!L768"")+IMPORTRANGE(""https://docs.google.com/spreadsheets/d/1W6MnUbDkMi6xHnHko_XkFDO9kkuL6Wqyc-6OCDFjW9I/e"&amp;"dit?usp=sharing"",""ตาก!L768"")+IMPORTRANGE(""https://docs.google.com/spreadsheets/d/1IQAWArduLkta9LpYo4a_ULsyqdta6-6aDDiwpUnQT6c/edit?usp=sharing"",""นครสวรรค์!L768"")+IMPORTRANGE(""https://docs.google.com/spreadsheets/d/10s13Sk5xrltsiR-Zkbmk5DwIaDIKO8Xl"&amp;"bJAfqyT7Gvg/edit?usp=sharing"",""น่าน!L768"")+IMPORTRANGE(""https://docs.google.com/spreadsheets/d/1uu4nAn4Dbi1XREnLKKotUANlKXa7yCgRcgq8HEzQYW8/edit?usp=sharing"",""พะเยา!L768"")+IMPORTRANGE(""https://docs.google.com/spreadsheets/d/1xfJKIQxVOaPDIICqsflNlL"&amp;"u3JacTDk1FP9RH4phX7mI/edit?usp=sharing"",""พิจิตร!L768"")+IMPORTRANGE(""https://docs.google.com/spreadsheets/d/1JtRfZkJMHtEhI5RdRHxYUG4FIZHqKDpNyIuN7A1Q0_k/edit?usp=sharing"",""พิษณุโลก!L768"")+IMPORTRANGE(""https://docs.google.com/spreadsheets/d/1xlcVZWU"&amp;"Nn6SuWm0c307h32SiGkd9BaeQWlAktfD3KO8/edit?usp=sharing"",""เพชรบูรณ์!L768"")+IMPORTRANGE(""https://docs.google.com/spreadsheets/d/1lOVebEIsI9qjGXl6EX66luk7wiuP2tBaryw-wKvv4e0/edit?usp=sharing"",""แพร่!L768"")+IMPORTRANGE(""https://docs.google.com/spreadshe"&amp;"ets/d/1dQrvX0vEcN7Gu0fnZ0B5S90AeR19zth4XlExFBeExMY/edit?usp=sharing"",""แม่ฮ่องสอน!L768"")+IMPORTRANGE(""https://docs.google.com/spreadsheets/d/1DY4XTNNwjluuxqdfdn6qvOSlMRrZqUtmYcZR0ttFiG4/edit?usp=sharing"",""ลำปาง!L768"")+IMPORTRANGE(""https://docs.goog"&amp;"le.com/spreadsheets/d/1ICwG78r0OFT8biBlxnBF8r7she7gNSzOvJ958PWT09c/edit?usp=sharing"",""ลำพูน!L768"")+IMPORTRANGE(""https://docs.google.com/spreadsheets/d/1B0f2xJpZUC6Z0xXnqKlZtEPzsf6L84eP1r1Q15seqRM/edit?usp=sharing"",""สุโขทัย!L768"")+IMPORTRANGE(""http"&amp;"s://docs.google.com/spreadsheets/d/1v0b9pFQCsKUVExMei7AgY2yQkdeNQvtOssygGsXbiKo/edit?usp=sharing"",""อุตรดิตถ์!L768"")+IMPORTRANGE(""https://docs.google.com/spreadsheets/d/1UsNK1e-WWiCo2PvGqdNfdme4m17_Ezd3J69EeeiQPD0/edit?usp=sharing"",""อุทัยธานี!L768"")"),0)</f>
        <v>0</v>
      </c>
      <c r="M768" s="46">
        <f ca="1">IFERROR(__xludf.DUMMYFUNCTION("IMPORTRANGE(""https://docs.google.com/spreadsheets/d/1jTcq05yEiRwXcBMLjiodW9e4biSGYWAHcDj22rKWQ3s/edit?usp=sharing"",""กำแพงเพชร!M768"")+IMPORTRANGE(""https://docs.google.com/spreadsheets/d/1KS0zmDSZPk8KnTAbGN-Xk6MtX1YRZD0ldgdt20K4CRk/edit?usp=sharing"","&amp;"""เชียงราย!M768"")+IMPORTRANGE(""https://docs.google.com/spreadsheets/d/1rEDxBtusbi64tE0zunoIbsTVV16HeL0oJ6trHQeQ7K8/edit?usp=sharing"",""เชียงใหม่!M768"")+IMPORTRANGE(""https://docs.google.com/spreadsheets/d/1W6MnUbDkMi6xHnHko_XkFDO9kkuL6Wqyc-6OCDFjW9I/e"&amp;"dit?usp=sharing"",""ตาก!M768"")+IMPORTRANGE(""https://docs.google.com/spreadsheets/d/1IQAWArduLkta9LpYo4a_ULsyqdta6-6aDDiwpUnQT6c/edit?usp=sharing"",""นครสวรรค์!M768"")+IMPORTRANGE(""https://docs.google.com/spreadsheets/d/10s13Sk5xrltsiR-Zkbmk5DwIaDIKO8Xl"&amp;"bJAfqyT7Gvg/edit?usp=sharing"",""น่าน!M768"")+IMPORTRANGE(""https://docs.google.com/spreadsheets/d/1uu4nAn4Dbi1XREnLKKotUANlKXa7yCgRcgq8HEzQYW8/edit?usp=sharing"",""พะเยา!M768"")+IMPORTRANGE(""https://docs.google.com/spreadsheets/d/1xfJKIQxVOaPDIICqsflNlL"&amp;"u3JacTDk1FP9RH4phX7mI/edit?usp=sharing"",""พิจิตร!M768"")+IMPORTRANGE(""https://docs.google.com/spreadsheets/d/1JtRfZkJMHtEhI5RdRHxYUG4FIZHqKDpNyIuN7A1Q0_k/edit?usp=sharing"",""พิษณุโลก!M768"")+IMPORTRANGE(""https://docs.google.com/spreadsheets/d/1xlcVZWU"&amp;"Nn6SuWm0c307h32SiGkd9BaeQWlAktfD3KO8/edit?usp=sharing"",""เพชรบูรณ์!M768"")+IMPORTRANGE(""https://docs.google.com/spreadsheets/d/1lOVebEIsI9qjGXl6EX66luk7wiuP2tBaryw-wKvv4e0/edit?usp=sharing"",""แพร่!M768"")+IMPORTRANGE(""https://docs.google.com/spreadshe"&amp;"ets/d/1dQrvX0vEcN7Gu0fnZ0B5S90AeR19zth4XlExFBeExMY/edit?usp=sharing"",""แม่ฮ่องสอน!M768"")+IMPORTRANGE(""https://docs.google.com/spreadsheets/d/1DY4XTNNwjluuxqdfdn6qvOSlMRrZqUtmYcZR0ttFiG4/edit?usp=sharing"",""ลำปาง!M768"")+IMPORTRANGE(""https://docs.goog"&amp;"le.com/spreadsheets/d/1ICwG78r0OFT8biBlxnBF8r7she7gNSzOvJ958PWT09c/edit?usp=sharing"",""ลำพูน!M768"")+IMPORTRANGE(""https://docs.google.com/spreadsheets/d/1B0f2xJpZUC6Z0xXnqKlZtEPzsf6L84eP1r1Q15seqRM/edit?usp=sharing"",""สุโขทัย!M768"")+IMPORTRANGE(""http"&amp;"s://docs.google.com/spreadsheets/d/1v0b9pFQCsKUVExMei7AgY2yQkdeNQvtOssygGsXbiKo/edit?usp=sharing"",""อุตรดิตถ์!M768"")+IMPORTRANGE(""https://docs.google.com/spreadsheets/d/1UsNK1e-WWiCo2PvGqdNfdme4m17_Ezd3J69EeeiQPD0/edit?usp=sharing"",""อุทัยธานี!M768"")"),0)</f>
        <v>0</v>
      </c>
      <c r="N768" s="46">
        <f ca="1">IFERROR(__xludf.DUMMYFUNCTION("IMPORTRANGE(""https://docs.google.com/spreadsheets/d/1jTcq05yEiRwXcBMLjiodW9e4biSGYWAHcDj22rKWQ3s/edit?usp=sharing"",""กำแพงเพชร!N768"")+IMPORTRANGE(""https://docs.google.com/spreadsheets/d/1KS0zmDSZPk8KnTAbGN-Xk6MtX1YRZD0ldgdt20K4CRk/edit?usp=sharing"","&amp;"""เชียงราย!N768"")+IMPORTRANGE(""https://docs.google.com/spreadsheets/d/1rEDxBtusbi64tE0zunoIbsTVV16HeL0oJ6trHQeQ7K8/edit?usp=sharing"",""เชียงใหม่!N768"")+IMPORTRANGE(""https://docs.google.com/spreadsheets/d/1W6MnUbDkMi6xHnHko_XkFDO9kkuL6Wqyc-6OCDFjW9I/e"&amp;"dit?usp=sharing"",""ตาก!N768"")+IMPORTRANGE(""https://docs.google.com/spreadsheets/d/1IQAWArduLkta9LpYo4a_ULsyqdta6-6aDDiwpUnQT6c/edit?usp=sharing"",""นครสวรรค์!N768"")+IMPORTRANGE(""https://docs.google.com/spreadsheets/d/10s13Sk5xrltsiR-Zkbmk5DwIaDIKO8Xl"&amp;"bJAfqyT7Gvg/edit?usp=sharing"",""น่าน!N768"")+IMPORTRANGE(""https://docs.google.com/spreadsheets/d/1uu4nAn4Dbi1XREnLKKotUANlKXa7yCgRcgq8HEzQYW8/edit?usp=sharing"",""พะเยา!N768"")+IMPORTRANGE(""https://docs.google.com/spreadsheets/d/1xfJKIQxVOaPDIICqsflNlL"&amp;"u3JacTDk1FP9RH4phX7mI/edit?usp=sharing"",""พิจิตร!N768"")+IMPORTRANGE(""https://docs.google.com/spreadsheets/d/1JtRfZkJMHtEhI5RdRHxYUG4FIZHqKDpNyIuN7A1Q0_k/edit?usp=sharing"",""พิษณุโลก!N768"")+IMPORTRANGE(""https://docs.google.com/spreadsheets/d/1xlcVZWU"&amp;"Nn6SuWm0c307h32SiGkd9BaeQWlAktfD3KO8/edit?usp=sharing"",""เพชรบูรณ์!N768"")+IMPORTRANGE(""https://docs.google.com/spreadsheets/d/1lOVebEIsI9qjGXl6EX66luk7wiuP2tBaryw-wKvv4e0/edit?usp=sharing"",""แพร่!N768"")+IMPORTRANGE(""https://docs.google.com/spreadshe"&amp;"ets/d/1dQrvX0vEcN7Gu0fnZ0B5S90AeR19zth4XlExFBeExMY/edit?usp=sharing"",""แม่ฮ่องสอน!N768"")+IMPORTRANGE(""https://docs.google.com/spreadsheets/d/1DY4XTNNwjluuxqdfdn6qvOSlMRrZqUtmYcZR0ttFiG4/edit?usp=sharing"",""ลำปาง!N768"")+IMPORTRANGE(""https://docs.goog"&amp;"le.com/spreadsheets/d/1ICwG78r0OFT8biBlxnBF8r7she7gNSzOvJ958PWT09c/edit?usp=sharing"",""ลำพูน!N768"")+IMPORTRANGE(""https://docs.google.com/spreadsheets/d/1B0f2xJpZUC6Z0xXnqKlZtEPzsf6L84eP1r1Q15seqRM/edit?usp=sharing"",""สุโขทัย!N768"")+IMPORTRANGE(""http"&amp;"s://docs.google.com/spreadsheets/d/1v0b9pFQCsKUVExMei7AgY2yQkdeNQvtOssygGsXbiKo/edit?usp=sharing"",""อุตรดิตถ์!N768"")+IMPORTRANGE(""https://docs.google.com/spreadsheets/d/1UsNK1e-WWiCo2PvGqdNfdme4m17_Ezd3J69EeeiQPD0/edit?usp=sharing"",""อุทัยธานี!N768"")"),0)</f>
        <v>0</v>
      </c>
      <c r="O768" s="46">
        <f t="shared" ca="1" si="521"/>
        <v>0</v>
      </c>
      <c r="P768" s="46">
        <f t="shared" ca="1" si="522"/>
        <v>0</v>
      </c>
      <c r="Q768" s="46">
        <f ca="1">IFERROR(__xludf.DUMMYFUNCTION("IMPORTRANGE(""https://docs.google.com/spreadsheets/d/1jTcq05yEiRwXcBMLjiodW9e4biSGYWAHcDj22rKWQ3s/edit?usp=sharing"",""กำแพงเพชร!Q768"")+IMPORTRANGE(""https://docs.google.com/spreadsheets/d/1KS0zmDSZPk8KnTAbGN-Xk6MtX1YRZD0ldgdt20K4CRk/edit?usp=sharing"","&amp;"""เชียงราย!Q768"")+IMPORTRANGE(""https://docs.google.com/spreadsheets/d/1rEDxBtusbi64tE0zunoIbsTVV16HeL0oJ6trHQeQ7K8/edit?usp=sharing"",""เชียงใหม่!Q768"")+IMPORTRANGE(""https://docs.google.com/spreadsheets/d/1W6MnUbDkMi6xHnHko_XkFDO9kkuL6Wqyc-6OCDFjW9I/e"&amp;"dit?usp=sharing"",""ตาก!Q768"")+IMPORTRANGE(""https://docs.google.com/spreadsheets/d/1IQAWArduLkta9LpYo4a_ULsyqdta6-6aDDiwpUnQT6c/edit?usp=sharing"",""นครสวรรค์!Q768"")+IMPORTRANGE(""https://docs.google.com/spreadsheets/d/10s13Sk5xrltsiR-Zkbmk5DwIaDIKO8Xl"&amp;"bJAfqyT7Gvg/edit?usp=sharing"",""น่าน!Q768"")+IMPORTRANGE(""https://docs.google.com/spreadsheets/d/1uu4nAn4Dbi1XREnLKKotUANlKXa7yCgRcgq8HEzQYW8/edit?usp=sharing"",""พะเยา!Q768"")+IMPORTRANGE(""https://docs.google.com/spreadsheets/d/1xfJKIQxVOaPDIICqsflNlL"&amp;"u3JacTDk1FP9RH4phX7mI/edit?usp=sharing"",""พิจิตร!Q768"")+IMPORTRANGE(""https://docs.google.com/spreadsheets/d/1JtRfZkJMHtEhI5RdRHxYUG4FIZHqKDpNyIuN7A1Q0_k/edit?usp=sharing"",""พิษณุโลก!Q768"")+IMPORTRANGE(""https://docs.google.com/spreadsheets/d/1xlcVZWU"&amp;"Nn6SuWm0c307h32SiGkd9BaeQWlAktfD3KO8/edit?usp=sharing"",""เพชรบูรณ์!Q768"")+IMPORTRANGE(""https://docs.google.com/spreadsheets/d/1lOVebEIsI9qjGXl6EX66luk7wiuP2tBaryw-wKvv4e0/edit?usp=sharing"",""แพร่!Q768"")+IMPORTRANGE(""https://docs.google.com/spreadshe"&amp;"ets/d/1dQrvX0vEcN7Gu0fnZ0B5S90AeR19zth4XlExFBeExMY/edit?usp=sharing"",""แม่ฮ่องสอน!Q768"")+IMPORTRANGE(""https://docs.google.com/spreadsheets/d/1DY4XTNNwjluuxqdfdn6qvOSlMRrZqUtmYcZR0ttFiG4/edit?usp=sharing"",""ลำปาง!Q768"")+IMPORTRANGE(""https://docs.goog"&amp;"le.com/spreadsheets/d/1ICwG78r0OFT8biBlxnBF8r7she7gNSzOvJ958PWT09c/edit?usp=sharing"",""ลำพูน!Q768"")+IMPORTRANGE(""https://docs.google.com/spreadsheets/d/1B0f2xJpZUC6Z0xXnqKlZtEPzsf6L84eP1r1Q15seqRM/edit?usp=sharing"",""สุโขทัย!Q768"")+IMPORTRANGE(""http"&amp;"s://docs.google.com/spreadsheets/d/1v0b9pFQCsKUVExMei7AgY2yQkdeNQvtOssygGsXbiKo/edit?usp=sharing"",""อุตรดิตถ์!Q768"")+IMPORTRANGE(""https://docs.google.com/spreadsheets/d/1UsNK1e-WWiCo2PvGqdNfdme4m17_Ezd3J69EeeiQPD0/edit?usp=sharing"",""อุทัยธานี!Q768"")"),0)</f>
        <v>0</v>
      </c>
      <c r="R768" s="46">
        <f ca="1">IFERROR(__xludf.DUMMYFUNCTION("IMPORTRANGE(""https://docs.google.com/spreadsheets/d/1jTcq05yEiRwXcBMLjiodW9e4biSGYWAHcDj22rKWQ3s/edit?usp=sharing"",""กำแพงเพชร!R768"")+IMPORTRANGE(""https://docs.google.com/spreadsheets/d/1KS0zmDSZPk8KnTAbGN-Xk6MtX1YRZD0ldgdt20K4CRk/edit?usp=sharing"","&amp;"""เชียงราย!R768"")+IMPORTRANGE(""https://docs.google.com/spreadsheets/d/1rEDxBtusbi64tE0zunoIbsTVV16HeL0oJ6trHQeQ7K8/edit?usp=sharing"",""เชียงใหม่!R768"")+IMPORTRANGE(""https://docs.google.com/spreadsheets/d/1W6MnUbDkMi6xHnHko_XkFDO9kkuL6Wqyc-6OCDFjW9I/e"&amp;"dit?usp=sharing"",""ตาก!R768"")+IMPORTRANGE(""https://docs.google.com/spreadsheets/d/1IQAWArduLkta9LpYo4a_ULsyqdta6-6aDDiwpUnQT6c/edit?usp=sharing"",""นครสวรรค์!R768"")+IMPORTRANGE(""https://docs.google.com/spreadsheets/d/10s13Sk5xrltsiR-Zkbmk5DwIaDIKO8Xl"&amp;"bJAfqyT7Gvg/edit?usp=sharing"",""น่าน!R768"")+IMPORTRANGE(""https://docs.google.com/spreadsheets/d/1uu4nAn4Dbi1XREnLKKotUANlKXa7yCgRcgq8HEzQYW8/edit?usp=sharing"",""พะเยา!R768"")+IMPORTRANGE(""https://docs.google.com/spreadsheets/d/1xfJKIQxVOaPDIICqsflNlL"&amp;"u3JacTDk1FP9RH4phX7mI/edit?usp=sharing"",""พิจิตร!R768"")+IMPORTRANGE(""https://docs.google.com/spreadsheets/d/1JtRfZkJMHtEhI5RdRHxYUG4FIZHqKDpNyIuN7A1Q0_k/edit?usp=sharing"",""พิษณุโลก!R768"")+IMPORTRANGE(""https://docs.google.com/spreadsheets/d/1xlcVZWU"&amp;"Nn6SuWm0c307h32SiGkd9BaeQWlAktfD3KO8/edit?usp=sharing"",""เพชรบูรณ์!R768"")+IMPORTRANGE(""https://docs.google.com/spreadsheets/d/1lOVebEIsI9qjGXl6EX66luk7wiuP2tBaryw-wKvv4e0/edit?usp=sharing"",""แพร่!R768"")+IMPORTRANGE(""https://docs.google.com/spreadshe"&amp;"ets/d/1dQrvX0vEcN7Gu0fnZ0B5S90AeR19zth4XlExFBeExMY/edit?usp=sharing"",""แม่ฮ่องสอน!R768"")+IMPORTRANGE(""https://docs.google.com/spreadsheets/d/1DY4XTNNwjluuxqdfdn6qvOSlMRrZqUtmYcZR0ttFiG4/edit?usp=sharing"",""ลำปาง!R768"")+IMPORTRANGE(""https://docs.goog"&amp;"le.com/spreadsheets/d/1ICwG78r0OFT8biBlxnBF8r7she7gNSzOvJ958PWT09c/edit?usp=sharing"",""ลำพูน!R768"")+IMPORTRANGE(""https://docs.google.com/spreadsheets/d/1B0f2xJpZUC6Z0xXnqKlZtEPzsf6L84eP1r1Q15seqRM/edit?usp=sharing"",""สุโขทัย!R768"")+IMPORTRANGE(""http"&amp;"s://docs.google.com/spreadsheets/d/1v0b9pFQCsKUVExMei7AgY2yQkdeNQvtOssygGsXbiKo/edit?usp=sharing"",""อุตรดิตถ์!R768"")+IMPORTRANGE(""https://docs.google.com/spreadsheets/d/1UsNK1e-WWiCo2PvGqdNfdme4m17_Ezd3J69EeeiQPD0/edit?usp=sharing"",""อุทัยธานี!R768"")"),0)</f>
        <v>0</v>
      </c>
      <c r="S768" s="46">
        <f ca="1">IFERROR(__xludf.DUMMYFUNCTION("IMPORTRANGE(""https://docs.google.com/spreadsheets/d/1jTcq05yEiRwXcBMLjiodW9e4biSGYWAHcDj22rKWQ3s/edit?usp=sharing"",""กำแพงเพชร!S768"")+IMPORTRANGE(""https://docs.google.com/spreadsheets/d/1KS0zmDSZPk8KnTAbGN-Xk6MtX1YRZD0ldgdt20K4CRk/edit?usp=sharing"","&amp;"""เชียงราย!S768"")+IMPORTRANGE(""https://docs.google.com/spreadsheets/d/1rEDxBtusbi64tE0zunoIbsTVV16HeL0oJ6trHQeQ7K8/edit?usp=sharing"",""เชียงใหม่!S768"")+IMPORTRANGE(""https://docs.google.com/spreadsheets/d/1W6MnUbDkMi6xHnHko_XkFDO9kkuL6Wqyc-6OCDFjW9I/e"&amp;"dit?usp=sharing"",""ตาก!S768"")+IMPORTRANGE(""https://docs.google.com/spreadsheets/d/1IQAWArduLkta9LpYo4a_ULsyqdta6-6aDDiwpUnQT6c/edit?usp=sharing"",""นครสวรรค์!S768"")+IMPORTRANGE(""https://docs.google.com/spreadsheets/d/10s13Sk5xrltsiR-Zkbmk5DwIaDIKO8Xl"&amp;"bJAfqyT7Gvg/edit?usp=sharing"",""น่าน!S768"")+IMPORTRANGE(""https://docs.google.com/spreadsheets/d/1uu4nAn4Dbi1XREnLKKotUANlKXa7yCgRcgq8HEzQYW8/edit?usp=sharing"",""พะเยา!S768"")+IMPORTRANGE(""https://docs.google.com/spreadsheets/d/1xfJKIQxVOaPDIICqsflNlL"&amp;"u3JacTDk1FP9RH4phX7mI/edit?usp=sharing"",""พิจิตร!S768"")+IMPORTRANGE(""https://docs.google.com/spreadsheets/d/1JtRfZkJMHtEhI5RdRHxYUG4FIZHqKDpNyIuN7A1Q0_k/edit?usp=sharing"",""พิษณุโลก!S768"")+IMPORTRANGE(""https://docs.google.com/spreadsheets/d/1xlcVZWU"&amp;"Nn6SuWm0c307h32SiGkd9BaeQWlAktfD3KO8/edit?usp=sharing"",""เพชรบูรณ์!S768"")+IMPORTRANGE(""https://docs.google.com/spreadsheets/d/1lOVebEIsI9qjGXl6EX66luk7wiuP2tBaryw-wKvv4e0/edit?usp=sharing"",""แพร่!S768"")+IMPORTRANGE(""https://docs.google.com/spreadshe"&amp;"ets/d/1dQrvX0vEcN7Gu0fnZ0B5S90AeR19zth4XlExFBeExMY/edit?usp=sharing"",""แม่ฮ่องสอน!S768"")+IMPORTRANGE(""https://docs.google.com/spreadsheets/d/1DY4XTNNwjluuxqdfdn6qvOSlMRrZqUtmYcZR0ttFiG4/edit?usp=sharing"",""ลำปาง!S768"")+IMPORTRANGE(""https://docs.goog"&amp;"le.com/spreadsheets/d/1ICwG78r0OFT8biBlxnBF8r7she7gNSzOvJ958PWT09c/edit?usp=sharing"",""ลำพูน!S768"")+IMPORTRANGE(""https://docs.google.com/spreadsheets/d/1B0f2xJpZUC6Z0xXnqKlZtEPzsf6L84eP1r1Q15seqRM/edit?usp=sharing"",""สุโขทัย!S768"")+IMPORTRANGE(""http"&amp;"s://docs.google.com/spreadsheets/d/1v0b9pFQCsKUVExMei7AgY2yQkdeNQvtOssygGsXbiKo/edit?usp=sharing"",""อุตรดิตถ์!S768"")+IMPORTRANGE(""https://docs.google.com/spreadsheets/d/1UsNK1e-WWiCo2PvGqdNfdme4m17_Ezd3J69EeeiQPD0/edit?usp=sharing"",""อุทัยธานี!S768"")"),0)</f>
        <v>0</v>
      </c>
      <c r="T768" s="46">
        <f t="shared" ca="1" si="524"/>
        <v>0</v>
      </c>
      <c r="U768" s="46">
        <f t="shared" ca="1" si="525"/>
        <v>0</v>
      </c>
    </row>
    <row r="769" spans="1:21" ht="19.5" x14ac:dyDescent="0.3">
      <c r="A769" s="138"/>
      <c r="B769" s="139"/>
      <c r="C769" s="439" t="s">
        <v>18</v>
      </c>
      <c r="D769" s="402" t="s">
        <v>38</v>
      </c>
      <c r="E769" s="203"/>
      <c r="F769" s="141"/>
      <c r="G769" s="142"/>
      <c r="H769" s="178"/>
      <c r="I769" s="44"/>
      <c r="J769" s="44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</row>
    <row r="770" spans="1:21" ht="18.75" x14ac:dyDescent="0.25">
      <c r="A770" s="138"/>
      <c r="B770" s="139"/>
      <c r="C770" s="139"/>
      <c r="D770" s="379" t="s">
        <v>286</v>
      </c>
      <c r="E770" s="139"/>
      <c r="F770" s="145"/>
      <c r="G770" s="143"/>
      <c r="H770" s="378" t="s">
        <v>35</v>
      </c>
      <c r="I770" s="315">
        <f ca="1">IFERROR(__xludf.DUMMYFUNCTION("IMPORTRANGE(""https://docs.google.com/spreadsheets/d/1jTcq05yEiRwXcBMLjiodW9e4biSGYWAHcDj22rKWQ3s/edit?usp=sharing"",""กำแพงเพชร!I770"")+IMPORTRANGE(""https://docs.google.com/spreadsheets/d/1KS0zmDSZPk8KnTAbGN-Xk6MtX1YRZD0ldgdt20K4CRk/edit?usp=sharing"","&amp;"""เชียงราย!I770"")+IMPORTRANGE(""https://docs.google.com/spreadsheets/d/1rEDxBtusbi64tE0zunoIbsTVV16HeL0oJ6trHQeQ7K8/edit?usp=sharing"",""เชียงใหม่!I770"")+IMPORTRANGE(""https://docs.google.com/spreadsheets/d/1W6MnUbDkMi6xHnHko_XkFDO9kkuL6Wqyc-6OCDFjW9I/e"&amp;"dit?usp=sharing"",""ตาก!I770"")+IMPORTRANGE(""https://docs.google.com/spreadsheets/d/1IQAWArduLkta9LpYo4a_ULsyqdta6-6aDDiwpUnQT6c/edit?usp=sharing"",""นครสวรรค์!I770"")+IMPORTRANGE(""https://docs.google.com/spreadsheets/d/10s13Sk5xrltsiR-Zkbmk5DwIaDIKO8Xl"&amp;"bJAfqyT7Gvg/edit?usp=sharing"",""น่าน!I770"")+IMPORTRANGE(""https://docs.google.com/spreadsheets/d/1uu4nAn4Dbi1XREnLKKotUANlKXa7yCgRcgq8HEzQYW8/edit?usp=sharing"",""พะเยา!I770"")+IMPORTRANGE(""https://docs.google.com/spreadsheets/d/1xfJKIQxVOaPDIICqsflNlL"&amp;"u3JacTDk1FP9RH4phX7mI/edit?usp=sharing"",""พิจิตร!I770"")+IMPORTRANGE(""https://docs.google.com/spreadsheets/d/1JtRfZkJMHtEhI5RdRHxYUG4FIZHqKDpNyIuN7A1Q0_k/edit?usp=sharing"",""พิษณุโลก!I770"")+IMPORTRANGE(""https://docs.google.com/spreadsheets/d/1xlcVZWU"&amp;"Nn6SuWm0c307h32SiGkd9BaeQWlAktfD3KO8/edit?usp=sharing"",""เพชรบูรณ์!I770"")+IMPORTRANGE(""https://docs.google.com/spreadsheets/d/1lOVebEIsI9qjGXl6EX66luk7wiuP2tBaryw-wKvv4e0/edit?usp=sharing"",""แพร่!I770"")+IMPORTRANGE(""https://docs.google.com/spreadshe"&amp;"ets/d/1dQrvX0vEcN7Gu0fnZ0B5S90AeR19zth4XlExFBeExMY/edit?usp=sharing"",""แม่ฮ่องสอน!I770"")+IMPORTRANGE(""https://docs.google.com/spreadsheets/d/1DY4XTNNwjluuxqdfdn6qvOSlMRrZqUtmYcZR0ttFiG4/edit?usp=sharing"",""ลำปาง!I770"")+IMPORTRANGE(""https://docs.goog"&amp;"le.com/spreadsheets/d/1ICwG78r0OFT8biBlxnBF8r7she7gNSzOvJ958PWT09c/edit?usp=sharing"",""ลำพูน!I770"")+IMPORTRANGE(""https://docs.google.com/spreadsheets/d/1B0f2xJpZUC6Z0xXnqKlZtEPzsf6L84eP1r1Q15seqRM/edit?usp=sharing"",""สุโขทัย!I770"")+IMPORTRANGE(""http"&amp;"s://docs.google.com/spreadsheets/d/1v0b9pFQCsKUVExMei7AgY2yQkdeNQvtOssygGsXbiKo/edit?usp=sharing"",""อุตรดิตถ์!I770"")+IMPORTRANGE(""https://docs.google.com/spreadsheets/d/1UsNK1e-WWiCo2PvGqdNfdme4m17_Ezd3J69EeeiQPD0/edit?usp=sharing"",""อุทัยธานี!I770"")"),0)</f>
        <v>0</v>
      </c>
      <c r="J770" s="315">
        <f ca="1">IFERROR(__xludf.DUMMYFUNCTION("IMPORTRANGE(""https://docs.google.com/spreadsheets/d/1jTcq05yEiRwXcBMLjiodW9e4biSGYWAHcDj22rKWQ3s/edit?usp=sharing"",""กำแพงเพชร!J770"")+IMPORTRANGE(""https://docs.google.com/spreadsheets/d/1KS0zmDSZPk8KnTAbGN-Xk6MtX1YRZD0ldgdt20K4CRk/edit?usp=sharing"","&amp;"""เชียงราย!J770"")+IMPORTRANGE(""https://docs.google.com/spreadsheets/d/1rEDxBtusbi64tE0zunoIbsTVV16HeL0oJ6trHQeQ7K8/edit?usp=sharing"",""เชียงใหม่!J770"")+IMPORTRANGE(""https://docs.google.com/spreadsheets/d/1W6MnUbDkMi6xHnHko_XkFDO9kkuL6Wqyc-6OCDFjW9I/e"&amp;"dit?usp=sharing"",""ตาก!J770"")+IMPORTRANGE(""https://docs.google.com/spreadsheets/d/1IQAWArduLkta9LpYo4a_ULsyqdta6-6aDDiwpUnQT6c/edit?usp=sharing"",""นครสวรรค์!J770"")+IMPORTRANGE(""https://docs.google.com/spreadsheets/d/10s13Sk5xrltsiR-Zkbmk5DwIaDIKO8Xl"&amp;"bJAfqyT7Gvg/edit?usp=sharing"",""น่าน!J770"")+IMPORTRANGE(""https://docs.google.com/spreadsheets/d/1uu4nAn4Dbi1XREnLKKotUANlKXa7yCgRcgq8HEzQYW8/edit?usp=sharing"",""พะเยา!J770"")+IMPORTRANGE(""https://docs.google.com/spreadsheets/d/1xfJKIQxVOaPDIICqsflNlL"&amp;"u3JacTDk1FP9RH4phX7mI/edit?usp=sharing"",""พิจิตร!J770"")+IMPORTRANGE(""https://docs.google.com/spreadsheets/d/1JtRfZkJMHtEhI5RdRHxYUG4FIZHqKDpNyIuN7A1Q0_k/edit?usp=sharing"",""พิษณุโลก!J770"")+IMPORTRANGE(""https://docs.google.com/spreadsheets/d/1xlcVZWU"&amp;"Nn6SuWm0c307h32SiGkd9BaeQWlAktfD3KO8/edit?usp=sharing"",""เพชรบูรณ์!J770"")+IMPORTRANGE(""https://docs.google.com/spreadsheets/d/1lOVebEIsI9qjGXl6EX66luk7wiuP2tBaryw-wKvv4e0/edit?usp=sharing"",""แพร่!J770"")+IMPORTRANGE(""https://docs.google.com/spreadshe"&amp;"ets/d/1dQrvX0vEcN7Gu0fnZ0B5S90AeR19zth4XlExFBeExMY/edit?usp=sharing"",""แม่ฮ่องสอน!J770"")+IMPORTRANGE(""https://docs.google.com/spreadsheets/d/1DY4XTNNwjluuxqdfdn6qvOSlMRrZqUtmYcZR0ttFiG4/edit?usp=sharing"",""ลำปาง!J770"")+IMPORTRANGE(""https://docs.goog"&amp;"le.com/spreadsheets/d/1ICwG78r0OFT8biBlxnBF8r7she7gNSzOvJ958PWT09c/edit?usp=sharing"",""ลำพูน!J770"")+IMPORTRANGE(""https://docs.google.com/spreadsheets/d/1B0f2xJpZUC6Z0xXnqKlZtEPzsf6L84eP1r1Q15seqRM/edit?usp=sharing"",""สุโขทัย!J770"")+IMPORTRANGE(""http"&amp;"s://docs.google.com/spreadsheets/d/1v0b9pFQCsKUVExMei7AgY2yQkdeNQvtOssygGsXbiKo/edit?usp=sharing"",""อุตรดิตถ์!J770"")+IMPORTRANGE(""https://docs.google.com/spreadsheets/d/1UsNK1e-WWiCo2PvGqdNfdme4m17_Ezd3J69EeeiQPD0/edit?usp=sharing"",""อุทัยธานี!J770"")"),0)</f>
        <v>0</v>
      </c>
      <c r="K770" s="48">
        <f ca="1">IF(I770&gt;0,J770*100/I770,0)</f>
        <v>0</v>
      </c>
      <c r="L770" s="45"/>
      <c r="M770" s="45"/>
      <c r="N770" s="45"/>
      <c r="O770" s="45"/>
      <c r="P770" s="45"/>
      <c r="Q770" s="45"/>
      <c r="R770" s="45"/>
      <c r="S770" s="45"/>
      <c r="T770" s="45"/>
      <c r="U770" s="45"/>
    </row>
    <row r="771" spans="1:21" ht="18.75" x14ac:dyDescent="0.25">
      <c r="A771" s="138"/>
      <c r="B771" s="139"/>
      <c r="C771" s="139"/>
      <c r="D771" s="379" t="s">
        <v>287</v>
      </c>
      <c r="E771" s="139"/>
      <c r="F771" s="145"/>
      <c r="G771" s="143"/>
      <c r="H771" s="178"/>
      <c r="I771" s="44"/>
      <c r="J771" s="44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</row>
    <row r="772" spans="1:21" ht="18.75" x14ac:dyDescent="0.25">
      <c r="A772" s="138"/>
      <c r="B772" s="139"/>
      <c r="C772" s="139"/>
      <c r="D772" s="403" t="s">
        <v>288</v>
      </c>
      <c r="E772" s="139"/>
      <c r="F772" s="145"/>
      <c r="G772" s="143"/>
      <c r="H772" s="137" t="s">
        <v>35</v>
      </c>
      <c r="I772" s="166">
        <f ca="1">IFERROR(__xludf.DUMMYFUNCTION("IMPORTRANGE(""https://docs.google.com/spreadsheets/d/1jTcq05yEiRwXcBMLjiodW9e4biSGYWAHcDj22rKWQ3s/edit?usp=sharing"",""กำแพงเพชร!I772"")+IMPORTRANGE(""https://docs.google.com/spreadsheets/d/1KS0zmDSZPk8KnTAbGN-Xk6MtX1YRZD0ldgdt20K4CRk/edit?usp=sharing"","&amp;"""เชียงราย!I772"")+IMPORTRANGE(""https://docs.google.com/spreadsheets/d/1rEDxBtusbi64tE0zunoIbsTVV16HeL0oJ6trHQeQ7K8/edit?usp=sharing"",""เชียงใหม่!I772"")+IMPORTRANGE(""https://docs.google.com/spreadsheets/d/1W6MnUbDkMi6xHnHko_XkFDO9kkuL6Wqyc-6OCDFjW9I/e"&amp;"dit?usp=sharing"",""ตาก!I772"")+IMPORTRANGE(""https://docs.google.com/spreadsheets/d/1IQAWArduLkta9LpYo4a_ULsyqdta6-6aDDiwpUnQT6c/edit?usp=sharing"",""นครสวรรค์!I772"")+IMPORTRANGE(""https://docs.google.com/spreadsheets/d/10s13Sk5xrltsiR-Zkbmk5DwIaDIKO8Xl"&amp;"bJAfqyT7Gvg/edit?usp=sharing"",""น่าน!I772"")+IMPORTRANGE(""https://docs.google.com/spreadsheets/d/1uu4nAn4Dbi1XREnLKKotUANlKXa7yCgRcgq8HEzQYW8/edit?usp=sharing"",""พะเยา!I772"")+IMPORTRANGE(""https://docs.google.com/spreadsheets/d/1xfJKIQxVOaPDIICqsflNlL"&amp;"u3JacTDk1FP9RH4phX7mI/edit?usp=sharing"",""พิจิตร!I772"")+IMPORTRANGE(""https://docs.google.com/spreadsheets/d/1JtRfZkJMHtEhI5RdRHxYUG4FIZHqKDpNyIuN7A1Q0_k/edit?usp=sharing"",""พิษณุโลก!I772"")+IMPORTRANGE(""https://docs.google.com/spreadsheets/d/1xlcVZWU"&amp;"Nn6SuWm0c307h32SiGkd9BaeQWlAktfD3KO8/edit?usp=sharing"",""เพชรบูรณ์!I772"")+IMPORTRANGE(""https://docs.google.com/spreadsheets/d/1lOVebEIsI9qjGXl6EX66luk7wiuP2tBaryw-wKvv4e0/edit?usp=sharing"",""แพร่!I772"")+IMPORTRANGE(""https://docs.google.com/spreadshe"&amp;"ets/d/1dQrvX0vEcN7Gu0fnZ0B5S90AeR19zth4XlExFBeExMY/edit?usp=sharing"",""แม่ฮ่องสอน!I772"")+IMPORTRANGE(""https://docs.google.com/spreadsheets/d/1DY4XTNNwjluuxqdfdn6qvOSlMRrZqUtmYcZR0ttFiG4/edit?usp=sharing"",""ลำปาง!I772"")+IMPORTRANGE(""https://docs.goog"&amp;"le.com/spreadsheets/d/1ICwG78r0OFT8biBlxnBF8r7she7gNSzOvJ958PWT09c/edit?usp=sharing"",""ลำพูน!I772"")+IMPORTRANGE(""https://docs.google.com/spreadsheets/d/1B0f2xJpZUC6Z0xXnqKlZtEPzsf6L84eP1r1Q15seqRM/edit?usp=sharing"",""สุโขทัย!I772"")+IMPORTRANGE(""http"&amp;"s://docs.google.com/spreadsheets/d/1v0b9pFQCsKUVExMei7AgY2yQkdeNQvtOssygGsXbiKo/edit?usp=sharing"",""อุตรดิตถ์!I772"")+IMPORTRANGE(""https://docs.google.com/spreadsheets/d/1UsNK1e-WWiCo2PvGqdNfdme4m17_Ezd3J69EeeiQPD0/edit?usp=sharing"",""อุทัยธานี!I772"")"),1115)</f>
        <v>1115</v>
      </c>
      <c r="J772" s="167">
        <f ca="1">IFERROR(__xludf.DUMMYFUNCTION("IMPORTRANGE(""https://docs.google.com/spreadsheets/d/1jTcq05yEiRwXcBMLjiodW9e4biSGYWAHcDj22rKWQ3s/edit?usp=sharing"",""กำแพงเพชร!J772"")+IMPORTRANGE(""https://docs.google.com/spreadsheets/d/1KS0zmDSZPk8KnTAbGN-Xk6MtX1YRZD0ldgdt20K4CRk/edit?usp=sharing"","&amp;"""เชียงราย!J772"")+IMPORTRANGE(""https://docs.google.com/spreadsheets/d/1rEDxBtusbi64tE0zunoIbsTVV16HeL0oJ6trHQeQ7K8/edit?usp=sharing"",""เชียงใหม่!J772"")+IMPORTRANGE(""https://docs.google.com/spreadsheets/d/1W6MnUbDkMi6xHnHko_XkFDO9kkuL6Wqyc-6OCDFjW9I/e"&amp;"dit?usp=sharing"",""ตาก!J772"")+IMPORTRANGE(""https://docs.google.com/spreadsheets/d/1IQAWArduLkta9LpYo4a_ULsyqdta6-6aDDiwpUnQT6c/edit?usp=sharing"",""นครสวรรค์!J772"")+IMPORTRANGE(""https://docs.google.com/spreadsheets/d/10s13Sk5xrltsiR-Zkbmk5DwIaDIKO8Xl"&amp;"bJAfqyT7Gvg/edit?usp=sharing"",""น่าน!J772"")+IMPORTRANGE(""https://docs.google.com/spreadsheets/d/1uu4nAn4Dbi1XREnLKKotUANlKXa7yCgRcgq8HEzQYW8/edit?usp=sharing"",""พะเยา!J772"")+IMPORTRANGE(""https://docs.google.com/spreadsheets/d/1xfJKIQxVOaPDIICqsflNlL"&amp;"u3JacTDk1FP9RH4phX7mI/edit?usp=sharing"",""พิจิตร!J772"")+IMPORTRANGE(""https://docs.google.com/spreadsheets/d/1JtRfZkJMHtEhI5RdRHxYUG4FIZHqKDpNyIuN7A1Q0_k/edit?usp=sharing"",""พิษณุโลก!J772"")+IMPORTRANGE(""https://docs.google.com/spreadsheets/d/1xlcVZWU"&amp;"Nn6SuWm0c307h32SiGkd9BaeQWlAktfD3KO8/edit?usp=sharing"",""เพชรบูรณ์!J772"")+IMPORTRANGE(""https://docs.google.com/spreadsheets/d/1lOVebEIsI9qjGXl6EX66luk7wiuP2tBaryw-wKvv4e0/edit?usp=sharing"",""แพร่!J772"")+IMPORTRANGE(""https://docs.google.com/spreadshe"&amp;"ets/d/1dQrvX0vEcN7Gu0fnZ0B5S90AeR19zth4XlExFBeExMY/edit?usp=sharing"",""แม่ฮ่องสอน!J772"")+IMPORTRANGE(""https://docs.google.com/spreadsheets/d/1DY4XTNNwjluuxqdfdn6qvOSlMRrZqUtmYcZR0ttFiG4/edit?usp=sharing"",""ลำปาง!J772"")+IMPORTRANGE(""https://docs.goog"&amp;"le.com/spreadsheets/d/1ICwG78r0OFT8biBlxnBF8r7she7gNSzOvJ958PWT09c/edit?usp=sharing"",""ลำพูน!J772"")+IMPORTRANGE(""https://docs.google.com/spreadsheets/d/1B0f2xJpZUC6Z0xXnqKlZtEPzsf6L84eP1r1Q15seqRM/edit?usp=sharing"",""สุโขทัย!J772"")+IMPORTRANGE(""http"&amp;"s://docs.google.com/spreadsheets/d/1v0b9pFQCsKUVExMei7AgY2yQkdeNQvtOssygGsXbiKo/edit?usp=sharing"",""อุตรดิตถ์!J772"")+IMPORTRANGE(""https://docs.google.com/spreadsheets/d/1UsNK1e-WWiCo2PvGqdNfdme4m17_Ezd3J69EeeiQPD0/edit?usp=sharing"",""อุทัยธานี!J772"")"),634)</f>
        <v>634</v>
      </c>
      <c r="K772" s="46">
        <f ca="1">IF(I772&gt;0,J772*100/I772,0)</f>
        <v>56.860986547085204</v>
      </c>
      <c r="L772" s="45"/>
      <c r="M772" s="45"/>
      <c r="N772" s="45"/>
      <c r="O772" s="45"/>
      <c r="P772" s="45"/>
      <c r="Q772" s="45"/>
      <c r="R772" s="45"/>
      <c r="S772" s="45"/>
      <c r="T772" s="45"/>
      <c r="U772" s="45"/>
    </row>
    <row r="773" spans="1:21" ht="18.75" x14ac:dyDescent="0.25">
      <c r="A773" s="138"/>
      <c r="B773" s="139"/>
      <c r="C773" s="139"/>
      <c r="D773" s="403" t="s">
        <v>289</v>
      </c>
      <c r="E773" s="139"/>
      <c r="F773" s="145"/>
      <c r="G773" s="143"/>
      <c r="H773" s="178"/>
      <c r="I773" s="44"/>
      <c r="J773" s="44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</row>
    <row r="774" spans="1:21" ht="18.75" x14ac:dyDescent="0.25">
      <c r="A774" s="138"/>
      <c r="B774" s="139"/>
      <c r="C774" s="139"/>
      <c r="D774" s="403" t="s">
        <v>290</v>
      </c>
      <c r="E774" s="139"/>
      <c r="F774" s="145"/>
      <c r="G774" s="143"/>
      <c r="H774" s="137" t="s">
        <v>46</v>
      </c>
      <c r="I774" s="166">
        <f ca="1">IFERROR(__xludf.DUMMYFUNCTION("IMPORTRANGE(""https://docs.google.com/spreadsheets/d/1jTcq05yEiRwXcBMLjiodW9e4biSGYWAHcDj22rKWQ3s/edit?usp=sharing"",""กำแพงเพชร!I774"")+IMPORTRANGE(""https://docs.google.com/spreadsheets/d/1KS0zmDSZPk8KnTAbGN-Xk6MtX1YRZD0ldgdt20K4CRk/edit?usp=sharing"","&amp;"""เชียงราย!I774"")+IMPORTRANGE(""https://docs.google.com/spreadsheets/d/1rEDxBtusbi64tE0zunoIbsTVV16HeL0oJ6trHQeQ7K8/edit?usp=sharing"",""เชียงใหม่!I774"")+IMPORTRANGE(""https://docs.google.com/spreadsheets/d/1W6MnUbDkMi6xHnHko_XkFDO9kkuL6Wqyc-6OCDFjW9I/e"&amp;"dit?usp=sharing"",""ตาก!I774"")+IMPORTRANGE(""https://docs.google.com/spreadsheets/d/1IQAWArduLkta9LpYo4a_ULsyqdta6-6aDDiwpUnQT6c/edit?usp=sharing"",""นครสวรรค์!I774"")+IMPORTRANGE(""https://docs.google.com/spreadsheets/d/10s13Sk5xrltsiR-Zkbmk5DwIaDIKO8Xl"&amp;"bJAfqyT7Gvg/edit?usp=sharing"",""น่าน!I774"")+IMPORTRANGE(""https://docs.google.com/spreadsheets/d/1uu4nAn4Dbi1XREnLKKotUANlKXa7yCgRcgq8HEzQYW8/edit?usp=sharing"",""พะเยา!I774"")+IMPORTRANGE(""https://docs.google.com/spreadsheets/d/1xfJKIQxVOaPDIICqsflNlL"&amp;"u3JacTDk1FP9RH4phX7mI/edit?usp=sharing"",""พิจิตร!I774"")+IMPORTRANGE(""https://docs.google.com/spreadsheets/d/1JtRfZkJMHtEhI5RdRHxYUG4FIZHqKDpNyIuN7A1Q0_k/edit?usp=sharing"",""พิษณุโลก!I774"")+IMPORTRANGE(""https://docs.google.com/spreadsheets/d/1xlcVZWU"&amp;"Nn6SuWm0c307h32SiGkd9BaeQWlAktfD3KO8/edit?usp=sharing"",""เพชรบูรณ์!I774"")+IMPORTRANGE(""https://docs.google.com/spreadsheets/d/1lOVebEIsI9qjGXl6EX66luk7wiuP2tBaryw-wKvv4e0/edit?usp=sharing"",""แพร่!I774"")+IMPORTRANGE(""https://docs.google.com/spreadshe"&amp;"ets/d/1dQrvX0vEcN7Gu0fnZ0B5S90AeR19zth4XlExFBeExMY/edit?usp=sharing"",""แม่ฮ่องสอน!I774"")+IMPORTRANGE(""https://docs.google.com/spreadsheets/d/1DY4XTNNwjluuxqdfdn6qvOSlMRrZqUtmYcZR0ttFiG4/edit?usp=sharing"",""ลำปาง!I774"")+IMPORTRANGE(""https://docs.goog"&amp;"le.com/spreadsheets/d/1ICwG78r0OFT8biBlxnBF8r7she7gNSzOvJ958PWT09c/edit?usp=sharing"",""ลำพูน!I774"")+IMPORTRANGE(""https://docs.google.com/spreadsheets/d/1B0f2xJpZUC6Z0xXnqKlZtEPzsf6L84eP1r1Q15seqRM/edit?usp=sharing"",""สุโขทัย!I774"")+IMPORTRANGE(""http"&amp;"s://docs.google.com/spreadsheets/d/1v0b9pFQCsKUVExMei7AgY2yQkdeNQvtOssygGsXbiKo/edit?usp=sharing"",""อุตรดิตถ์!I774"")+IMPORTRANGE(""https://docs.google.com/spreadsheets/d/1UsNK1e-WWiCo2PvGqdNfdme4m17_Ezd3J69EeeiQPD0/edit?usp=sharing"",""อุทัยธานี!I774"")"),3235)</f>
        <v>3235</v>
      </c>
      <c r="J774" s="167">
        <f ca="1">IFERROR(__xludf.DUMMYFUNCTION("IMPORTRANGE(""https://docs.google.com/spreadsheets/d/1jTcq05yEiRwXcBMLjiodW9e4biSGYWAHcDj22rKWQ3s/edit?usp=sharing"",""กำแพงเพชร!J774"")+IMPORTRANGE(""https://docs.google.com/spreadsheets/d/1KS0zmDSZPk8KnTAbGN-Xk6MtX1YRZD0ldgdt20K4CRk/edit?usp=sharing"","&amp;"""เชียงราย!J774"")+IMPORTRANGE(""https://docs.google.com/spreadsheets/d/1rEDxBtusbi64tE0zunoIbsTVV16HeL0oJ6trHQeQ7K8/edit?usp=sharing"",""เชียงใหม่!J774"")+IMPORTRANGE(""https://docs.google.com/spreadsheets/d/1W6MnUbDkMi6xHnHko_XkFDO9kkuL6Wqyc-6OCDFjW9I/e"&amp;"dit?usp=sharing"",""ตาก!J774"")+IMPORTRANGE(""https://docs.google.com/spreadsheets/d/1IQAWArduLkta9LpYo4a_ULsyqdta6-6aDDiwpUnQT6c/edit?usp=sharing"",""นครสวรรค์!J774"")+IMPORTRANGE(""https://docs.google.com/spreadsheets/d/10s13Sk5xrltsiR-Zkbmk5DwIaDIKO8Xl"&amp;"bJAfqyT7Gvg/edit?usp=sharing"",""น่าน!J774"")+IMPORTRANGE(""https://docs.google.com/spreadsheets/d/1uu4nAn4Dbi1XREnLKKotUANlKXa7yCgRcgq8HEzQYW8/edit?usp=sharing"",""พะเยา!J774"")+IMPORTRANGE(""https://docs.google.com/spreadsheets/d/1xfJKIQxVOaPDIICqsflNlL"&amp;"u3JacTDk1FP9RH4phX7mI/edit?usp=sharing"",""พิจิตร!J774"")+IMPORTRANGE(""https://docs.google.com/spreadsheets/d/1JtRfZkJMHtEhI5RdRHxYUG4FIZHqKDpNyIuN7A1Q0_k/edit?usp=sharing"",""พิษณุโลก!J774"")+IMPORTRANGE(""https://docs.google.com/spreadsheets/d/1xlcVZWU"&amp;"Nn6SuWm0c307h32SiGkd9BaeQWlAktfD3KO8/edit?usp=sharing"",""เพชรบูรณ์!J774"")+IMPORTRANGE(""https://docs.google.com/spreadsheets/d/1lOVebEIsI9qjGXl6EX66luk7wiuP2tBaryw-wKvv4e0/edit?usp=sharing"",""แพร่!J774"")+IMPORTRANGE(""https://docs.google.com/spreadshe"&amp;"ets/d/1dQrvX0vEcN7Gu0fnZ0B5S90AeR19zth4XlExFBeExMY/edit?usp=sharing"",""แม่ฮ่องสอน!J774"")+IMPORTRANGE(""https://docs.google.com/spreadsheets/d/1DY4XTNNwjluuxqdfdn6qvOSlMRrZqUtmYcZR0ttFiG4/edit?usp=sharing"",""ลำปาง!J774"")+IMPORTRANGE(""https://docs.goog"&amp;"le.com/spreadsheets/d/1ICwG78r0OFT8biBlxnBF8r7she7gNSzOvJ958PWT09c/edit?usp=sharing"",""ลำพูน!J774"")+IMPORTRANGE(""https://docs.google.com/spreadsheets/d/1B0f2xJpZUC6Z0xXnqKlZtEPzsf6L84eP1r1Q15seqRM/edit?usp=sharing"",""สุโขทัย!J774"")+IMPORTRANGE(""http"&amp;"s://docs.google.com/spreadsheets/d/1v0b9pFQCsKUVExMei7AgY2yQkdeNQvtOssygGsXbiKo/edit?usp=sharing"",""อุตรดิตถ์!J774"")+IMPORTRANGE(""https://docs.google.com/spreadsheets/d/1UsNK1e-WWiCo2PvGqdNfdme4m17_Ezd3J69EeeiQPD0/edit?usp=sharing"",""อุทัยธานี!J774"")"),1183)</f>
        <v>1183</v>
      </c>
      <c r="K774" s="46">
        <f ca="1">IF(I774&gt;0,J774*100/I774,0)</f>
        <v>36.568778979907265</v>
      </c>
      <c r="L774" s="45"/>
      <c r="M774" s="45"/>
      <c r="N774" s="45"/>
      <c r="O774" s="45"/>
      <c r="P774" s="45"/>
      <c r="Q774" s="45"/>
      <c r="R774" s="45"/>
      <c r="S774" s="45"/>
      <c r="T774" s="45"/>
      <c r="U774" s="45"/>
    </row>
    <row r="775" spans="1:21" ht="18.75" x14ac:dyDescent="0.25">
      <c r="A775" s="138"/>
      <c r="B775" s="139"/>
      <c r="C775" s="139"/>
      <c r="D775" s="403" t="s">
        <v>50</v>
      </c>
      <c r="E775" s="145"/>
      <c r="F775" s="40"/>
      <c r="G775" s="42"/>
      <c r="H775" s="137" t="s">
        <v>46</v>
      </c>
      <c r="I775" s="166">
        <f ca="1">IFERROR(__xludf.DUMMYFUNCTION("IMPORTRANGE(""https://docs.google.com/spreadsheets/d/1jTcq05yEiRwXcBMLjiodW9e4biSGYWAHcDj22rKWQ3s/edit?usp=sharing"",""กำแพงเพชร!I775"")+IMPORTRANGE(""https://docs.google.com/spreadsheets/d/1KS0zmDSZPk8KnTAbGN-Xk6MtX1YRZD0ldgdt20K4CRk/edit?usp=sharing"","&amp;"""เชียงราย!I775"")+IMPORTRANGE(""https://docs.google.com/spreadsheets/d/1rEDxBtusbi64tE0zunoIbsTVV16HeL0oJ6trHQeQ7K8/edit?usp=sharing"",""เชียงใหม่!I775"")+IMPORTRANGE(""https://docs.google.com/spreadsheets/d/1W6MnUbDkMi6xHnHko_XkFDO9kkuL6Wqyc-6OCDFjW9I/e"&amp;"dit?usp=sharing"",""ตาก!I775"")+IMPORTRANGE(""https://docs.google.com/spreadsheets/d/1IQAWArduLkta9LpYo4a_ULsyqdta6-6aDDiwpUnQT6c/edit?usp=sharing"",""นครสวรรค์!I775"")+IMPORTRANGE(""https://docs.google.com/spreadsheets/d/10s13Sk5xrltsiR-Zkbmk5DwIaDIKO8Xl"&amp;"bJAfqyT7Gvg/edit?usp=sharing"",""น่าน!I775"")+IMPORTRANGE(""https://docs.google.com/spreadsheets/d/1uu4nAn4Dbi1XREnLKKotUANlKXa7yCgRcgq8HEzQYW8/edit?usp=sharing"",""พะเยา!I775"")+IMPORTRANGE(""https://docs.google.com/spreadsheets/d/1xfJKIQxVOaPDIICqsflNlL"&amp;"u3JacTDk1FP9RH4phX7mI/edit?usp=sharing"",""พิจิตร!I775"")+IMPORTRANGE(""https://docs.google.com/spreadsheets/d/1JtRfZkJMHtEhI5RdRHxYUG4FIZHqKDpNyIuN7A1Q0_k/edit?usp=sharing"",""พิษณุโลก!I775"")+IMPORTRANGE(""https://docs.google.com/spreadsheets/d/1xlcVZWU"&amp;"Nn6SuWm0c307h32SiGkd9BaeQWlAktfD3KO8/edit?usp=sharing"",""เพชรบูรณ์!I775"")+IMPORTRANGE(""https://docs.google.com/spreadsheets/d/1lOVebEIsI9qjGXl6EX66luk7wiuP2tBaryw-wKvv4e0/edit?usp=sharing"",""แพร่!I775"")+IMPORTRANGE(""https://docs.google.com/spreadshe"&amp;"ets/d/1dQrvX0vEcN7Gu0fnZ0B5S90AeR19zth4XlExFBeExMY/edit?usp=sharing"",""แม่ฮ่องสอน!I775"")+IMPORTRANGE(""https://docs.google.com/spreadsheets/d/1DY4XTNNwjluuxqdfdn6qvOSlMRrZqUtmYcZR0ttFiG4/edit?usp=sharing"",""ลำปาง!I775"")+IMPORTRANGE(""https://docs.goog"&amp;"le.com/spreadsheets/d/1ICwG78r0OFT8biBlxnBF8r7she7gNSzOvJ958PWT09c/edit?usp=sharing"",""ลำพูน!I775"")+IMPORTRANGE(""https://docs.google.com/spreadsheets/d/1B0f2xJpZUC6Z0xXnqKlZtEPzsf6L84eP1r1Q15seqRM/edit?usp=sharing"",""สุโขทัย!I775"")+IMPORTRANGE(""http"&amp;"s://docs.google.com/spreadsheets/d/1v0b9pFQCsKUVExMei7AgY2yQkdeNQvtOssygGsXbiKo/edit?usp=sharing"",""อุตรดิตถ์!I775"")+IMPORTRANGE(""https://docs.google.com/spreadsheets/d/1UsNK1e-WWiCo2PvGqdNfdme4m17_Ezd3J69EeeiQPD0/edit?usp=sharing"",""อุทัยธานี!I775"")"),3235)</f>
        <v>3235</v>
      </c>
      <c r="J775" s="167">
        <f ca="1">IFERROR(__xludf.DUMMYFUNCTION("IMPORTRANGE(""https://docs.google.com/spreadsheets/d/1jTcq05yEiRwXcBMLjiodW9e4biSGYWAHcDj22rKWQ3s/edit?usp=sharing"",""กำแพงเพชร!J775"")+IMPORTRANGE(""https://docs.google.com/spreadsheets/d/1KS0zmDSZPk8KnTAbGN-Xk6MtX1YRZD0ldgdt20K4CRk/edit?usp=sharing"","&amp;"""เชียงราย!J775"")+IMPORTRANGE(""https://docs.google.com/spreadsheets/d/1rEDxBtusbi64tE0zunoIbsTVV16HeL0oJ6trHQeQ7K8/edit?usp=sharing"",""เชียงใหม่!J775"")+IMPORTRANGE(""https://docs.google.com/spreadsheets/d/1W6MnUbDkMi6xHnHko_XkFDO9kkuL6Wqyc-6OCDFjW9I/e"&amp;"dit?usp=sharing"",""ตาก!J775"")+IMPORTRANGE(""https://docs.google.com/spreadsheets/d/1IQAWArduLkta9LpYo4a_ULsyqdta6-6aDDiwpUnQT6c/edit?usp=sharing"",""นครสวรรค์!J775"")+IMPORTRANGE(""https://docs.google.com/spreadsheets/d/10s13Sk5xrltsiR-Zkbmk5DwIaDIKO8Xl"&amp;"bJAfqyT7Gvg/edit?usp=sharing"",""น่าน!J775"")+IMPORTRANGE(""https://docs.google.com/spreadsheets/d/1uu4nAn4Dbi1XREnLKKotUANlKXa7yCgRcgq8HEzQYW8/edit?usp=sharing"",""พะเยา!J775"")+IMPORTRANGE(""https://docs.google.com/spreadsheets/d/1xfJKIQxVOaPDIICqsflNlL"&amp;"u3JacTDk1FP9RH4phX7mI/edit?usp=sharing"",""พิจิตร!J775"")+IMPORTRANGE(""https://docs.google.com/spreadsheets/d/1JtRfZkJMHtEhI5RdRHxYUG4FIZHqKDpNyIuN7A1Q0_k/edit?usp=sharing"",""พิษณุโลก!J775"")+IMPORTRANGE(""https://docs.google.com/spreadsheets/d/1xlcVZWU"&amp;"Nn6SuWm0c307h32SiGkd9BaeQWlAktfD3KO8/edit?usp=sharing"",""เพชรบูรณ์!J775"")+IMPORTRANGE(""https://docs.google.com/spreadsheets/d/1lOVebEIsI9qjGXl6EX66luk7wiuP2tBaryw-wKvv4e0/edit?usp=sharing"",""แพร่!J775"")+IMPORTRANGE(""https://docs.google.com/spreadshe"&amp;"ets/d/1dQrvX0vEcN7Gu0fnZ0B5S90AeR19zth4XlExFBeExMY/edit?usp=sharing"",""แม่ฮ่องสอน!J775"")+IMPORTRANGE(""https://docs.google.com/spreadsheets/d/1DY4XTNNwjluuxqdfdn6qvOSlMRrZqUtmYcZR0ttFiG4/edit?usp=sharing"",""ลำปาง!J775"")+IMPORTRANGE(""https://docs.goog"&amp;"le.com/spreadsheets/d/1ICwG78r0OFT8biBlxnBF8r7she7gNSzOvJ958PWT09c/edit?usp=sharing"",""ลำพูน!J775"")+IMPORTRANGE(""https://docs.google.com/spreadsheets/d/1B0f2xJpZUC6Z0xXnqKlZtEPzsf6L84eP1r1Q15seqRM/edit?usp=sharing"",""สุโขทัย!J775"")+IMPORTRANGE(""http"&amp;"s://docs.google.com/spreadsheets/d/1v0b9pFQCsKUVExMei7AgY2yQkdeNQvtOssygGsXbiKo/edit?usp=sharing"",""อุตรดิตถ์!J775"")+IMPORTRANGE(""https://docs.google.com/spreadsheets/d/1UsNK1e-WWiCo2PvGqdNfdme4m17_Ezd3J69EeeiQPD0/edit?usp=sharing"",""อุทัยธานี!J775"")"),380)</f>
        <v>380</v>
      </c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</row>
    <row r="776" spans="1:21" ht="18.75" x14ac:dyDescent="0.25">
      <c r="A776" s="249"/>
      <c r="B776" s="250"/>
      <c r="C776" s="250"/>
      <c r="D776" s="250"/>
      <c r="E776" s="252"/>
      <c r="F776" s="252"/>
      <c r="G776" s="52"/>
      <c r="H776" s="186" t="s">
        <v>35</v>
      </c>
      <c r="I776" s="187">
        <f ca="1">IFERROR(__xludf.DUMMYFUNCTION("IMPORTRANGE(""https://docs.google.com/spreadsheets/d/1jTcq05yEiRwXcBMLjiodW9e4biSGYWAHcDj22rKWQ3s/edit?usp=sharing"",""กำแพงเพชร!I776"")+IMPORTRANGE(""https://docs.google.com/spreadsheets/d/1KS0zmDSZPk8KnTAbGN-Xk6MtX1YRZD0ldgdt20K4CRk/edit?usp=sharing"","&amp;"""เชียงราย!I776"")+IMPORTRANGE(""https://docs.google.com/spreadsheets/d/1rEDxBtusbi64tE0zunoIbsTVV16HeL0oJ6trHQeQ7K8/edit?usp=sharing"",""เชียงใหม่!I776"")+IMPORTRANGE(""https://docs.google.com/spreadsheets/d/1W6MnUbDkMi6xHnHko_XkFDO9kkuL6Wqyc-6OCDFjW9I/e"&amp;"dit?usp=sharing"",""ตาก!I776"")+IMPORTRANGE(""https://docs.google.com/spreadsheets/d/1IQAWArduLkta9LpYo4a_ULsyqdta6-6aDDiwpUnQT6c/edit?usp=sharing"",""นครสวรรค์!I776"")+IMPORTRANGE(""https://docs.google.com/spreadsheets/d/10s13Sk5xrltsiR-Zkbmk5DwIaDIKO8Xl"&amp;"bJAfqyT7Gvg/edit?usp=sharing"",""น่าน!I776"")+IMPORTRANGE(""https://docs.google.com/spreadsheets/d/1uu4nAn4Dbi1XREnLKKotUANlKXa7yCgRcgq8HEzQYW8/edit?usp=sharing"",""พะเยา!I776"")+IMPORTRANGE(""https://docs.google.com/spreadsheets/d/1xfJKIQxVOaPDIICqsflNlL"&amp;"u3JacTDk1FP9RH4phX7mI/edit?usp=sharing"",""พิจิตร!I776"")+IMPORTRANGE(""https://docs.google.com/spreadsheets/d/1JtRfZkJMHtEhI5RdRHxYUG4FIZHqKDpNyIuN7A1Q0_k/edit?usp=sharing"",""พิษณุโลก!I776"")+IMPORTRANGE(""https://docs.google.com/spreadsheets/d/1xlcVZWU"&amp;"Nn6SuWm0c307h32SiGkd9BaeQWlAktfD3KO8/edit?usp=sharing"",""เพชรบูรณ์!I776"")+IMPORTRANGE(""https://docs.google.com/spreadsheets/d/1lOVebEIsI9qjGXl6EX66luk7wiuP2tBaryw-wKvv4e0/edit?usp=sharing"",""แพร่!I776"")+IMPORTRANGE(""https://docs.google.com/spreadshe"&amp;"ets/d/1dQrvX0vEcN7Gu0fnZ0B5S90AeR19zth4XlExFBeExMY/edit?usp=sharing"",""แม่ฮ่องสอน!I776"")+IMPORTRANGE(""https://docs.google.com/spreadsheets/d/1DY4XTNNwjluuxqdfdn6qvOSlMRrZqUtmYcZR0ttFiG4/edit?usp=sharing"",""ลำปาง!I776"")+IMPORTRANGE(""https://docs.goog"&amp;"le.com/spreadsheets/d/1ICwG78r0OFT8biBlxnBF8r7she7gNSzOvJ958PWT09c/edit?usp=sharing"",""ลำพูน!I776"")+IMPORTRANGE(""https://docs.google.com/spreadsheets/d/1B0f2xJpZUC6Z0xXnqKlZtEPzsf6L84eP1r1Q15seqRM/edit?usp=sharing"",""สุโขทัย!I776"")+IMPORTRANGE(""http"&amp;"s://docs.google.com/spreadsheets/d/1v0b9pFQCsKUVExMei7AgY2yQkdeNQvtOssygGsXbiKo/edit?usp=sharing"",""อุตรดิตถ์!I776"")+IMPORTRANGE(""https://docs.google.com/spreadsheets/d/1UsNK1e-WWiCo2PvGqdNfdme4m17_Ezd3J69EeeiQPD0/edit?usp=sharing"",""อุทัยธานี!I776"")"),1115)</f>
        <v>1115</v>
      </c>
      <c r="J776" s="334">
        <f ca="1">IFERROR(__xludf.DUMMYFUNCTION("IMPORTRANGE(""https://docs.google.com/spreadsheets/d/1jTcq05yEiRwXcBMLjiodW9e4biSGYWAHcDj22rKWQ3s/edit?usp=sharing"",""กำแพงเพชร!J776"")+IMPORTRANGE(""https://docs.google.com/spreadsheets/d/1KS0zmDSZPk8KnTAbGN-Xk6MtX1YRZD0ldgdt20K4CRk/edit?usp=sharing"","&amp;"""เชียงราย!J776"")+IMPORTRANGE(""https://docs.google.com/spreadsheets/d/1rEDxBtusbi64tE0zunoIbsTVV16HeL0oJ6trHQeQ7K8/edit?usp=sharing"",""เชียงใหม่!J776"")+IMPORTRANGE(""https://docs.google.com/spreadsheets/d/1W6MnUbDkMi6xHnHko_XkFDO9kkuL6Wqyc-6OCDFjW9I/e"&amp;"dit?usp=sharing"",""ตาก!J776"")+IMPORTRANGE(""https://docs.google.com/spreadsheets/d/1IQAWArduLkta9LpYo4a_ULsyqdta6-6aDDiwpUnQT6c/edit?usp=sharing"",""นครสวรรค์!J776"")+IMPORTRANGE(""https://docs.google.com/spreadsheets/d/10s13Sk5xrltsiR-Zkbmk5DwIaDIKO8Xl"&amp;"bJAfqyT7Gvg/edit?usp=sharing"",""น่าน!J776"")+IMPORTRANGE(""https://docs.google.com/spreadsheets/d/1uu4nAn4Dbi1XREnLKKotUANlKXa7yCgRcgq8HEzQYW8/edit?usp=sharing"",""พะเยา!J776"")+IMPORTRANGE(""https://docs.google.com/spreadsheets/d/1xfJKIQxVOaPDIICqsflNlL"&amp;"u3JacTDk1FP9RH4phX7mI/edit?usp=sharing"",""พิจิตร!J776"")+IMPORTRANGE(""https://docs.google.com/spreadsheets/d/1JtRfZkJMHtEhI5RdRHxYUG4FIZHqKDpNyIuN7A1Q0_k/edit?usp=sharing"",""พิษณุโลก!J776"")+IMPORTRANGE(""https://docs.google.com/spreadsheets/d/1xlcVZWU"&amp;"Nn6SuWm0c307h32SiGkd9BaeQWlAktfD3KO8/edit?usp=sharing"",""เพชรบูรณ์!J776"")+IMPORTRANGE(""https://docs.google.com/spreadsheets/d/1lOVebEIsI9qjGXl6EX66luk7wiuP2tBaryw-wKvv4e0/edit?usp=sharing"",""แพร่!J776"")+IMPORTRANGE(""https://docs.google.com/spreadshe"&amp;"ets/d/1dQrvX0vEcN7Gu0fnZ0B5S90AeR19zth4XlExFBeExMY/edit?usp=sharing"",""แม่ฮ่องสอน!J776"")+IMPORTRANGE(""https://docs.google.com/spreadsheets/d/1DY4XTNNwjluuxqdfdn6qvOSlMRrZqUtmYcZR0ttFiG4/edit?usp=sharing"",""ลำปาง!J776"")+IMPORTRANGE(""https://docs.goog"&amp;"le.com/spreadsheets/d/1ICwG78r0OFT8biBlxnBF8r7she7gNSzOvJ958PWT09c/edit?usp=sharing"",""ลำพูน!J776"")+IMPORTRANGE(""https://docs.google.com/spreadsheets/d/1B0f2xJpZUC6Z0xXnqKlZtEPzsf6L84eP1r1Q15seqRM/edit?usp=sharing"",""สุโขทัย!J776"")+IMPORTRANGE(""http"&amp;"s://docs.google.com/spreadsheets/d/1v0b9pFQCsKUVExMei7AgY2yQkdeNQvtOssygGsXbiKo/edit?usp=sharing"",""อุตรดิตถ์!J776"")+IMPORTRANGE(""https://docs.google.com/spreadsheets/d/1UsNK1e-WWiCo2PvGqdNfdme4m17_Ezd3J69EeeiQPD0/edit?usp=sharing"",""อุทัยธานี!J776"")"),210)</f>
        <v>210</v>
      </c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9.5" x14ac:dyDescent="0.3">
      <c r="A777" s="440" t="s">
        <v>291</v>
      </c>
      <c r="B777" s="441"/>
      <c r="C777" s="441"/>
      <c r="D777" s="441"/>
      <c r="E777" s="442"/>
      <c r="F777" s="442"/>
      <c r="G777" s="443"/>
      <c r="H777" s="444" t="str">
        <f ca="1">IFERROR(__xludf.DUMMYFUNCTION("IMPORTRANGE(""https://docs.google.com/spreadsheets/d/1gNPQPjxUj63ZZXIIIm2aX4x3w7PhAZpC9JuXdbpWwUQ/edit?usp=sharing"",""Sheet1!b2"")")," (ข้อมูล ณ 31 มี.ค. 67)")</f>
        <v xml:space="preserve"> (ข้อมูล ณ 31 มี.ค. 67)</v>
      </c>
      <c r="I777" s="445"/>
      <c r="J777" s="446"/>
      <c r="K777" s="447"/>
      <c r="L777" s="447"/>
      <c r="M777" s="447"/>
      <c r="N777" s="447"/>
      <c r="O777" s="447"/>
      <c r="P777" s="447"/>
      <c r="Q777" s="447"/>
      <c r="R777" s="447"/>
      <c r="S777" s="447"/>
      <c r="T777" s="447"/>
      <c r="U777" s="447"/>
    </row>
    <row r="778" spans="1:21" ht="18.75" x14ac:dyDescent="0.25">
      <c r="A778" s="208"/>
      <c r="B778" s="209" t="s">
        <v>292</v>
      </c>
      <c r="C778" s="158"/>
      <c r="D778" s="158"/>
      <c r="E778" s="40"/>
      <c r="F778" s="40"/>
      <c r="G778" s="42"/>
      <c r="H778" s="133" t="s">
        <v>14</v>
      </c>
      <c r="I778" s="184">
        <f ca="1">IFERROR(__xludf.DUMMYFUNCTION("IMPORTRANGE(""https://docs.google.com/spreadsheets/d/1jTcq05yEiRwXcBMLjiodW9e4biSGYWAHcDj22rKWQ3s/edit?usp=sharing"",""กำแพงเพชร!I778"")+IMPORTRANGE(""https://docs.google.com/spreadsheets/d/1KS0zmDSZPk8KnTAbGN-Xk6MtX1YRZD0ldgdt20K4CRk/edit?usp=sharing"","&amp;"""เชียงราย!I778"")+IMPORTRANGE(""https://docs.google.com/spreadsheets/d/1rEDxBtusbi64tE0zunoIbsTVV16HeL0oJ6trHQeQ7K8/edit?usp=sharing"",""เชียงใหม่!I778"")+IMPORTRANGE(""https://docs.google.com/spreadsheets/d/1W6MnUbDkMi6xHnHko_XkFDO9kkuL6Wqyc-6OCDFjW9I/e"&amp;"dit?usp=sharing"",""ตาก!I778"")+IMPORTRANGE(""https://docs.google.com/spreadsheets/d/1IQAWArduLkta9LpYo4a_ULsyqdta6-6aDDiwpUnQT6c/edit?usp=sharing"",""นครสวรรค์!I778"")+IMPORTRANGE(""https://docs.google.com/spreadsheets/d/10s13Sk5xrltsiR-Zkbmk5DwIaDIKO8Xl"&amp;"bJAfqyT7Gvg/edit?usp=sharing"",""น่าน!I778"")+IMPORTRANGE(""https://docs.google.com/spreadsheets/d/1uu4nAn4Dbi1XREnLKKotUANlKXa7yCgRcgq8HEzQYW8/edit?usp=sharing"",""พะเยา!I778"")+IMPORTRANGE(""https://docs.google.com/spreadsheets/d/1xfJKIQxVOaPDIICqsflNlL"&amp;"u3JacTDk1FP9RH4phX7mI/edit?usp=sharing"",""พิจิตร!I778"")+IMPORTRANGE(""https://docs.google.com/spreadsheets/d/1JtRfZkJMHtEhI5RdRHxYUG4FIZHqKDpNyIuN7A1Q0_k/edit?usp=sharing"",""พิษณุโลก!I778"")+IMPORTRANGE(""https://docs.google.com/spreadsheets/d/1xlcVZWU"&amp;"Nn6SuWm0c307h32SiGkd9BaeQWlAktfD3KO8/edit?usp=sharing"",""เพชรบูรณ์!I778"")+IMPORTRANGE(""https://docs.google.com/spreadsheets/d/1lOVebEIsI9qjGXl6EX66luk7wiuP2tBaryw-wKvv4e0/edit?usp=sharing"",""แพร่!I778"")+IMPORTRANGE(""https://docs.google.com/spreadshe"&amp;"ets/d/1dQrvX0vEcN7Gu0fnZ0B5S90AeR19zth4XlExFBeExMY/edit?usp=sharing"",""แม่ฮ่องสอน!I778"")+IMPORTRANGE(""https://docs.google.com/spreadsheets/d/1DY4XTNNwjluuxqdfdn6qvOSlMRrZqUtmYcZR0ttFiG4/edit?usp=sharing"",""ลำปาง!I778"")+IMPORTRANGE(""https://docs.goog"&amp;"le.com/spreadsheets/d/1ICwG78r0OFT8biBlxnBF8r7she7gNSzOvJ958PWT09c/edit?usp=sharing"",""ลำพูน!I778"")+IMPORTRANGE(""https://docs.google.com/spreadsheets/d/1B0f2xJpZUC6Z0xXnqKlZtEPzsf6L84eP1r1Q15seqRM/edit?usp=sharing"",""สุโขทัย!I778"")+IMPORTRANGE(""http"&amp;"s://docs.google.com/spreadsheets/d/1v0b9pFQCsKUVExMei7AgY2yQkdeNQvtOssygGsXbiKo/edit?usp=sharing"",""อุตรดิตถ์!I778"")+IMPORTRANGE(""https://docs.google.com/spreadsheets/d/1UsNK1e-WWiCo2PvGqdNfdme4m17_Ezd3J69EeeiQPD0/edit?usp=sharing"",""อุทัยธานี!I778"")"),77852173.82)</f>
        <v>77852173.819999993</v>
      </c>
      <c r="J778" s="184">
        <f ca="1">IFERROR(__xludf.DUMMYFUNCTION("IMPORTRANGE(""https://docs.google.com/spreadsheets/d/1jTcq05yEiRwXcBMLjiodW9e4biSGYWAHcDj22rKWQ3s/edit?usp=sharing"",""กำแพงเพชร!J778"")+IMPORTRANGE(""https://docs.google.com/spreadsheets/d/1KS0zmDSZPk8KnTAbGN-Xk6MtX1YRZD0ldgdt20K4CRk/edit?usp=sharing"","&amp;"""เชียงราย!J778"")+IMPORTRANGE(""https://docs.google.com/spreadsheets/d/1rEDxBtusbi64tE0zunoIbsTVV16HeL0oJ6trHQeQ7K8/edit?usp=sharing"",""เชียงใหม่!J778"")+IMPORTRANGE(""https://docs.google.com/spreadsheets/d/1W6MnUbDkMi6xHnHko_XkFDO9kkuL6Wqyc-6OCDFjW9I/e"&amp;"dit?usp=sharing"",""ตาก!J778"")+IMPORTRANGE(""https://docs.google.com/spreadsheets/d/1IQAWArduLkta9LpYo4a_ULsyqdta6-6aDDiwpUnQT6c/edit?usp=sharing"",""นครสวรรค์!J778"")+IMPORTRANGE(""https://docs.google.com/spreadsheets/d/10s13Sk5xrltsiR-Zkbmk5DwIaDIKO8Xl"&amp;"bJAfqyT7Gvg/edit?usp=sharing"",""น่าน!J778"")+IMPORTRANGE(""https://docs.google.com/spreadsheets/d/1uu4nAn4Dbi1XREnLKKotUANlKXa7yCgRcgq8HEzQYW8/edit?usp=sharing"",""พะเยา!J778"")+IMPORTRANGE(""https://docs.google.com/spreadsheets/d/1xfJKIQxVOaPDIICqsflNlL"&amp;"u3JacTDk1FP9RH4phX7mI/edit?usp=sharing"",""พิจิตร!J778"")+IMPORTRANGE(""https://docs.google.com/spreadsheets/d/1JtRfZkJMHtEhI5RdRHxYUG4FIZHqKDpNyIuN7A1Q0_k/edit?usp=sharing"",""พิษณุโลก!J778"")+IMPORTRANGE(""https://docs.google.com/spreadsheets/d/1xlcVZWU"&amp;"Nn6SuWm0c307h32SiGkd9BaeQWlAktfD3KO8/edit?usp=sharing"",""เพชรบูรณ์!J778"")+IMPORTRANGE(""https://docs.google.com/spreadsheets/d/1lOVebEIsI9qjGXl6EX66luk7wiuP2tBaryw-wKvv4e0/edit?usp=sharing"",""แพร่!J778"")+IMPORTRANGE(""https://docs.google.com/spreadshe"&amp;"ets/d/1dQrvX0vEcN7Gu0fnZ0B5S90AeR19zth4XlExFBeExMY/edit?usp=sharing"",""แม่ฮ่องสอน!J778"")+IMPORTRANGE(""https://docs.google.com/spreadsheets/d/1DY4XTNNwjluuxqdfdn6qvOSlMRrZqUtmYcZR0ttFiG4/edit?usp=sharing"",""ลำปาง!J778"")+IMPORTRANGE(""https://docs.goog"&amp;"le.com/spreadsheets/d/1ICwG78r0OFT8biBlxnBF8r7she7gNSzOvJ958PWT09c/edit?usp=sharing"",""ลำพูน!J778"")+IMPORTRANGE(""https://docs.google.com/spreadsheets/d/1B0f2xJpZUC6Z0xXnqKlZtEPzsf6L84eP1r1Q15seqRM/edit?usp=sharing"",""สุโขทัย!J778"")+IMPORTRANGE(""http"&amp;"s://docs.google.com/spreadsheets/d/1v0b9pFQCsKUVExMei7AgY2yQkdeNQvtOssygGsXbiKo/edit?usp=sharing"",""อุตรดิตถ์!J778"")+IMPORTRANGE(""https://docs.google.com/spreadsheets/d/1UsNK1e-WWiCo2PvGqdNfdme4m17_Ezd3J69EeeiQPD0/edit?usp=sharing"",""อุทัยธานี!J778"")"),23718920.25)</f>
        <v>23718920.25</v>
      </c>
      <c r="K778" s="224">
        <f t="shared" ref="K778:K785" ca="1" si="534">IF(I778&gt;0,J778*100/I778,0)</f>
        <v>30.466612666256314</v>
      </c>
      <c r="L778" s="45"/>
      <c r="M778" s="45"/>
      <c r="N778" s="45"/>
      <c r="O778" s="45"/>
      <c r="P778" s="45"/>
      <c r="Q778" s="45"/>
      <c r="R778" s="45"/>
      <c r="S778" s="45"/>
      <c r="T778" s="45"/>
      <c r="U778" s="45"/>
    </row>
    <row r="779" spans="1:21" ht="18.75" x14ac:dyDescent="0.25">
      <c r="A779" s="208"/>
      <c r="B779" s="158"/>
      <c r="C779" s="158"/>
      <c r="D779" s="158"/>
      <c r="E779" s="40"/>
      <c r="F779" s="40"/>
      <c r="G779" s="42"/>
      <c r="H779" s="133" t="s">
        <v>35</v>
      </c>
      <c r="I779" s="184">
        <f ca="1">IFERROR(__xludf.DUMMYFUNCTION("IMPORTRANGE(""https://docs.google.com/spreadsheets/d/1jTcq05yEiRwXcBMLjiodW9e4biSGYWAHcDj22rKWQ3s/edit?usp=sharing"",""กำแพงเพชร!I779"")+IMPORTRANGE(""https://docs.google.com/spreadsheets/d/1KS0zmDSZPk8KnTAbGN-Xk6MtX1YRZD0ldgdt20K4CRk/edit?usp=sharing"","&amp;"""เชียงราย!I779"")+IMPORTRANGE(""https://docs.google.com/spreadsheets/d/1rEDxBtusbi64tE0zunoIbsTVV16HeL0oJ6trHQeQ7K8/edit?usp=sharing"",""เชียงใหม่!I779"")+IMPORTRANGE(""https://docs.google.com/spreadsheets/d/1W6MnUbDkMi6xHnHko_XkFDO9kkuL6Wqyc-6OCDFjW9I/e"&amp;"dit?usp=sharing"",""ตาก!I779"")+IMPORTRANGE(""https://docs.google.com/spreadsheets/d/1IQAWArduLkta9LpYo4a_ULsyqdta6-6aDDiwpUnQT6c/edit?usp=sharing"",""นครสวรรค์!I779"")+IMPORTRANGE(""https://docs.google.com/spreadsheets/d/10s13Sk5xrltsiR-Zkbmk5DwIaDIKO8Xl"&amp;"bJAfqyT7Gvg/edit?usp=sharing"",""น่าน!I779"")+IMPORTRANGE(""https://docs.google.com/spreadsheets/d/1uu4nAn4Dbi1XREnLKKotUANlKXa7yCgRcgq8HEzQYW8/edit?usp=sharing"",""พะเยา!I779"")+IMPORTRANGE(""https://docs.google.com/spreadsheets/d/1xfJKIQxVOaPDIICqsflNlL"&amp;"u3JacTDk1FP9RH4phX7mI/edit?usp=sharing"",""พิจิตร!I779"")+IMPORTRANGE(""https://docs.google.com/spreadsheets/d/1JtRfZkJMHtEhI5RdRHxYUG4FIZHqKDpNyIuN7A1Q0_k/edit?usp=sharing"",""พิษณุโลก!I779"")+IMPORTRANGE(""https://docs.google.com/spreadsheets/d/1xlcVZWU"&amp;"Nn6SuWm0c307h32SiGkd9BaeQWlAktfD3KO8/edit?usp=sharing"",""เพชรบูรณ์!I779"")+IMPORTRANGE(""https://docs.google.com/spreadsheets/d/1lOVebEIsI9qjGXl6EX66luk7wiuP2tBaryw-wKvv4e0/edit?usp=sharing"",""แพร่!I779"")+IMPORTRANGE(""https://docs.google.com/spreadshe"&amp;"ets/d/1dQrvX0vEcN7Gu0fnZ0B5S90AeR19zth4XlExFBeExMY/edit?usp=sharing"",""แม่ฮ่องสอน!I779"")+IMPORTRANGE(""https://docs.google.com/spreadsheets/d/1DY4XTNNwjluuxqdfdn6qvOSlMRrZqUtmYcZR0ttFiG4/edit?usp=sharing"",""ลำปาง!I779"")+IMPORTRANGE(""https://docs.goog"&amp;"le.com/spreadsheets/d/1ICwG78r0OFT8biBlxnBF8r7she7gNSzOvJ958PWT09c/edit?usp=sharing"",""ลำพูน!I779"")+IMPORTRANGE(""https://docs.google.com/spreadsheets/d/1B0f2xJpZUC6Z0xXnqKlZtEPzsf6L84eP1r1Q15seqRM/edit?usp=sharing"",""สุโขทัย!I779"")+IMPORTRANGE(""http"&amp;"s://docs.google.com/spreadsheets/d/1v0b9pFQCsKUVExMei7AgY2yQkdeNQvtOssygGsXbiKo/edit?usp=sharing"",""อุตรดิตถ์!I779"")+IMPORTRANGE(""https://docs.google.com/spreadsheets/d/1UsNK1e-WWiCo2PvGqdNfdme4m17_Ezd3J69EeeiQPD0/edit?usp=sharing"",""อุทัยธานี!I779"")"),3782)</f>
        <v>3782</v>
      </c>
      <c r="J779" s="184">
        <f ca="1">IFERROR(__xludf.DUMMYFUNCTION("IMPORTRANGE(""https://docs.google.com/spreadsheets/d/1jTcq05yEiRwXcBMLjiodW9e4biSGYWAHcDj22rKWQ3s/edit?usp=sharing"",""กำแพงเพชร!J779"")+IMPORTRANGE(""https://docs.google.com/spreadsheets/d/1KS0zmDSZPk8KnTAbGN-Xk6MtX1YRZD0ldgdt20K4CRk/edit?usp=sharing"","&amp;"""เชียงราย!J779"")+IMPORTRANGE(""https://docs.google.com/spreadsheets/d/1rEDxBtusbi64tE0zunoIbsTVV16HeL0oJ6trHQeQ7K8/edit?usp=sharing"",""เชียงใหม่!J779"")+IMPORTRANGE(""https://docs.google.com/spreadsheets/d/1W6MnUbDkMi6xHnHko_XkFDO9kkuL6Wqyc-6OCDFjW9I/e"&amp;"dit?usp=sharing"",""ตาก!J779"")+IMPORTRANGE(""https://docs.google.com/spreadsheets/d/1IQAWArduLkta9LpYo4a_ULsyqdta6-6aDDiwpUnQT6c/edit?usp=sharing"",""นครสวรรค์!J779"")+IMPORTRANGE(""https://docs.google.com/spreadsheets/d/10s13Sk5xrltsiR-Zkbmk5DwIaDIKO8Xl"&amp;"bJAfqyT7Gvg/edit?usp=sharing"",""น่าน!J779"")+IMPORTRANGE(""https://docs.google.com/spreadsheets/d/1uu4nAn4Dbi1XREnLKKotUANlKXa7yCgRcgq8HEzQYW8/edit?usp=sharing"",""พะเยา!J779"")+IMPORTRANGE(""https://docs.google.com/spreadsheets/d/1xfJKIQxVOaPDIICqsflNlL"&amp;"u3JacTDk1FP9RH4phX7mI/edit?usp=sharing"",""พิจิตร!J779"")+IMPORTRANGE(""https://docs.google.com/spreadsheets/d/1JtRfZkJMHtEhI5RdRHxYUG4FIZHqKDpNyIuN7A1Q0_k/edit?usp=sharing"",""พิษณุโลก!J779"")+IMPORTRANGE(""https://docs.google.com/spreadsheets/d/1xlcVZWU"&amp;"Nn6SuWm0c307h32SiGkd9BaeQWlAktfD3KO8/edit?usp=sharing"",""เพชรบูรณ์!J779"")+IMPORTRANGE(""https://docs.google.com/spreadsheets/d/1lOVebEIsI9qjGXl6EX66luk7wiuP2tBaryw-wKvv4e0/edit?usp=sharing"",""แพร่!J779"")+IMPORTRANGE(""https://docs.google.com/spreadshe"&amp;"ets/d/1dQrvX0vEcN7Gu0fnZ0B5S90AeR19zth4XlExFBeExMY/edit?usp=sharing"",""แม่ฮ่องสอน!J779"")+IMPORTRANGE(""https://docs.google.com/spreadsheets/d/1DY4XTNNwjluuxqdfdn6qvOSlMRrZqUtmYcZR0ttFiG4/edit?usp=sharing"",""ลำปาง!J779"")+IMPORTRANGE(""https://docs.goog"&amp;"le.com/spreadsheets/d/1ICwG78r0OFT8biBlxnBF8r7she7gNSzOvJ958PWT09c/edit?usp=sharing"",""ลำพูน!J779"")+IMPORTRANGE(""https://docs.google.com/spreadsheets/d/1B0f2xJpZUC6Z0xXnqKlZtEPzsf6L84eP1r1Q15seqRM/edit?usp=sharing"",""สุโขทัย!J779"")+IMPORTRANGE(""http"&amp;"s://docs.google.com/spreadsheets/d/1v0b9pFQCsKUVExMei7AgY2yQkdeNQvtOssygGsXbiKo/edit?usp=sharing"",""อุตรดิตถ์!J779"")+IMPORTRANGE(""https://docs.google.com/spreadsheets/d/1UsNK1e-WWiCo2PvGqdNfdme4m17_Ezd3J69EeeiQPD0/edit?usp=sharing"",""อุทัยธานี!J779"")"),1924)</f>
        <v>1924</v>
      </c>
      <c r="K779" s="224">
        <f t="shared" ca="1" si="534"/>
        <v>50.872554204124803</v>
      </c>
      <c r="L779" s="45"/>
      <c r="M779" s="45"/>
      <c r="N779" s="45"/>
      <c r="O779" s="45"/>
      <c r="P779" s="45"/>
      <c r="Q779" s="45"/>
      <c r="R779" s="45"/>
      <c r="S779" s="45"/>
      <c r="T779" s="45"/>
      <c r="U779" s="45"/>
    </row>
    <row r="780" spans="1:21" ht="18.75" x14ac:dyDescent="0.25">
      <c r="A780" s="208"/>
      <c r="B780" s="209" t="s">
        <v>293</v>
      </c>
      <c r="C780" s="158"/>
      <c r="D780" s="158"/>
      <c r="E780" s="40"/>
      <c r="F780" s="40"/>
      <c r="G780" s="42"/>
      <c r="H780" s="133" t="s">
        <v>14</v>
      </c>
      <c r="I780" s="184">
        <f ca="1">IFERROR(__xludf.DUMMYFUNCTION("IMPORTRANGE(""https://docs.google.com/spreadsheets/d/1jTcq05yEiRwXcBMLjiodW9e4biSGYWAHcDj22rKWQ3s/edit?usp=sharing"",""กำแพงเพชร!I780"")+IMPORTRANGE(""https://docs.google.com/spreadsheets/d/1KS0zmDSZPk8KnTAbGN-Xk6MtX1YRZD0ldgdt20K4CRk/edit?usp=sharing"","&amp;"""เชียงราย!I780"")+IMPORTRANGE(""https://docs.google.com/spreadsheets/d/1rEDxBtusbi64tE0zunoIbsTVV16HeL0oJ6trHQeQ7K8/edit?usp=sharing"",""เชียงใหม่!I780"")+IMPORTRANGE(""https://docs.google.com/spreadsheets/d/1W6MnUbDkMi6xHnHko_XkFDO9kkuL6Wqyc-6OCDFjW9I/e"&amp;"dit?usp=sharing"",""ตาก!I780"")+IMPORTRANGE(""https://docs.google.com/spreadsheets/d/1IQAWArduLkta9LpYo4a_ULsyqdta6-6aDDiwpUnQT6c/edit?usp=sharing"",""นครสวรรค์!I780"")+IMPORTRANGE(""https://docs.google.com/spreadsheets/d/10s13Sk5xrltsiR-Zkbmk5DwIaDIKO8Xl"&amp;"bJAfqyT7Gvg/edit?usp=sharing"",""น่าน!I780"")+IMPORTRANGE(""https://docs.google.com/spreadsheets/d/1uu4nAn4Dbi1XREnLKKotUANlKXa7yCgRcgq8HEzQYW8/edit?usp=sharing"",""พะเยา!I780"")+IMPORTRANGE(""https://docs.google.com/spreadsheets/d/1xfJKIQxVOaPDIICqsflNlL"&amp;"u3JacTDk1FP9RH4phX7mI/edit?usp=sharing"",""พิจิตร!I780"")+IMPORTRANGE(""https://docs.google.com/spreadsheets/d/1JtRfZkJMHtEhI5RdRHxYUG4FIZHqKDpNyIuN7A1Q0_k/edit?usp=sharing"",""พิษณุโลก!I780"")+IMPORTRANGE(""https://docs.google.com/spreadsheets/d/1xlcVZWU"&amp;"Nn6SuWm0c307h32SiGkd9BaeQWlAktfD3KO8/edit?usp=sharing"",""เพชรบูรณ์!I780"")+IMPORTRANGE(""https://docs.google.com/spreadsheets/d/1lOVebEIsI9qjGXl6EX66luk7wiuP2tBaryw-wKvv4e0/edit?usp=sharing"",""แพร่!I780"")+IMPORTRANGE(""https://docs.google.com/spreadshe"&amp;"ets/d/1dQrvX0vEcN7Gu0fnZ0B5S90AeR19zth4XlExFBeExMY/edit?usp=sharing"",""แม่ฮ่องสอน!I780"")+IMPORTRANGE(""https://docs.google.com/spreadsheets/d/1DY4XTNNwjluuxqdfdn6qvOSlMRrZqUtmYcZR0ttFiG4/edit?usp=sharing"",""ลำปาง!I780"")+IMPORTRANGE(""https://docs.goog"&amp;"le.com/spreadsheets/d/1ICwG78r0OFT8biBlxnBF8r7she7gNSzOvJ958PWT09c/edit?usp=sharing"",""ลำพูน!I780"")+IMPORTRANGE(""https://docs.google.com/spreadsheets/d/1B0f2xJpZUC6Z0xXnqKlZtEPzsf6L84eP1r1Q15seqRM/edit?usp=sharing"",""สุโขทัย!I780"")+IMPORTRANGE(""http"&amp;"s://docs.google.com/spreadsheets/d/1v0b9pFQCsKUVExMei7AgY2yQkdeNQvtOssygGsXbiKo/edit?usp=sharing"",""อุตรดิตถ์!I780"")+IMPORTRANGE(""https://docs.google.com/spreadsheets/d/1UsNK1e-WWiCo2PvGqdNfdme4m17_Ezd3J69EeeiQPD0/edit?usp=sharing"",""อุทัยธานี!I780"")"),107490388.96)</f>
        <v>107490388.95999999</v>
      </c>
      <c r="J780" s="184">
        <f ca="1">IFERROR(__xludf.DUMMYFUNCTION("IMPORTRANGE(""https://docs.google.com/spreadsheets/d/1jTcq05yEiRwXcBMLjiodW9e4biSGYWAHcDj22rKWQ3s/edit?usp=sharing"",""กำแพงเพชร!J780"")+IMPORTRANGE(""https://docs.google.com/spreadsheets/d/1KS0zmDSZPk8KnTAbGN-Xk6MtX1YRZD0ldgdt20K4CRk/edit?usp=sharing"","&amp;"""เชียงราย!J780"")+IMPORTRANGE(""https://docs.google.com/spreadsheets/d/1rEDxBtusbi64tE0zunoIbsTVV16HeL0oJ6trHQeQ7K8/edit?usp=sharing"",""เชียงใหม่!J780"")+IMPORTRANGE(""https://docs.google.com/spreadsheets/d/1W6MnUbDkMi6xHnHko_XkFDO9kkuL6Wqyc-6OCDFjW9I/e"&amp;"dit?usp=sharing"",""ตาก!J780"")+IMPORTRANGE(""https://docs.google.com/spreadsheets/d/1IQAWArduLkta9LpYo4a_ULsyqdta6-6aDDiwpUnQT6c/edit?usp=sharing"",""นครสวรรค์!J780"")+IMPORTRANGE(""https://docs.google.com/spreadsheets/d/10s13Sk5xrltsiR-Zkbmk5DwIaDIKO8Xl"&amp;"bJAfqyT7Gvg/edit?usp=sharing"",""น่าน!J780"")+IMPORTRANGE(""https://docs.google.com/spreadsheets/d/1uu4nAn4Dbi1XREnLKKotUANlKXa7yCgRcgq8HEzQYW8/edit?usp=sharing"",""พะเยา!J780"")+IMPORTRANGE(""https://docs.google.com/spreadsheets/d/1xfJKIQxVOaPDIICqsflNlL"&amp;"u3JacTDk1FP9RH4phX7mI/edit?usp=sharing"",""พิจิตร!J780"")+IMPORTRANGE(""https://docs.google.com/spreadsheets/d/1JtRfZkJMHtEhI5RdRHxYUG4FIZHqKDpNyIuN7A1Q0_k/edit?usp=sharing"",""พิษณุโลก!J780"")+IMPORTRANGE(""https://docs.google.com/spreadsheets/d/1xlcVZWU"&amp;"Nn6SuWm0c307h32SiGkd9BaeQWlAktfD3KO8/edit?usp=sharing"",""เพชรบูรณ์!J780"")+IMPORTRANGE(""https://docs.google.com/spreadsheets/d/1lOVebEIsI9qjGXl6EX66luk7wiuP2tBaryw-wKvv4e0/edit?usp=sharing"",""แพร่!J780"")+IMPORTRANGE(""https://docs.google.com/spreadshe"&amp;"ets/d/1dQrvX0vEcN7Gu0fnZ0B5S90AeR19zth4XlExFBeExMY/edit?usp=sharing"",""แม่ฮ่องสอน!J780"")+IMPORTRANGE(""https://docs.google.com/spreadsheets/d/1DY4XTNNwjluuxqdfdn6qvOSlMRrZqUtmYcZR0ttFiG4/edit?usp=sharing"",""ลำปาง!J780"")+IMPORTRANGE(""https://docs.goog"&amp;"le.com/spreadsheets/d/1ICwG78r0OFT8biBlxnBF8r7she7gNSzOvJ958PWT09c/edit?usp=sharing"",""ลำพูน!J780"")+IMPORTRANGE(""https://docs.google.com/spreadsheets/d/1B0f2xJpZUC6Z0xXnqKlZtEPzsf6L84eP1r1Q15seqRM/edit?usp=sharing"",""สุโขทัย!J780"")+IMPORTRANGE(""http"&amp;"s://docs.google.com/spreadsheets/d/1v0b9pFQCsKUVExMei7AgY2yQkdeNQvtOssygGsXbiKo/edit?usp=sharing"",""อุตรดิตถ์!J780"")+IMPORTRANGE(""https://docs.google.com/spreadsheets/d/1UsNK1e-WWiCo2PvGqdNfdme4m17_Ezd3J69EeeiQPD0/edit?usp=sharing"",""อุทัยธานี!J780"")"),6194309.65999999)</f>
        <v>6194309.6599999899</v>
      </c>
      <c r="K780" s="224">
        <f t="shared" ca="1" si="534"/>
        <v>5.7626637320152003</v>
      </c>
      <c r="L780" s="45"/>
      <c r="M780" s="45"/>
      <c r="N780" s="45"/>
      <c r="O780" s="45"/>
      <c r="P780" s="45"/>
      <c r="Q780" s="45"/>
      <c r="R780" s="45"/>
      <c r="S780" s="45"/>
      <c r="T780" s="45"/>
      <c r="U780" s="45"/>
    </row>
    <row r="781" spans="1:21" ht="18.75" x14ac:dyDescent="0.25">
      <c r="A781" s="208"/>
      <c r="B781" s="158"/>
      <c r="C781" s="158"/>
      <c r="D781" s="158"/>
      <c r="E781" s="40"/>
      <c r="F781" s="40"/>
      <c r="G781" s="42"/>
      <c r="H781" s="133" t="s">
        <v>35</v>
      </c>
      <c r="I781" s="184">
        <f ca="1">IFERROR(__xludf.DUMMYFUNCTION("IMPORTRANGE(""https://docs.google.com/spreadsheets/d/1jTcq05yEiRwXcBMLjiodW9e4biSGYWAHcDj22rKWQ3s/edit?usp=sharing"",""กำแพงเพชร!I781"")+IMPORTRANGE(""https://docs.google.com/spreadsheets/d/1KS0zmDSZPk8KnTAbGN-Xk6MtX1YRZD0ldgdt20K4CRk/edit?usp=sharing"","&amp;"""เชียงราย!I781"")+IMPORTRANGE(""https://docs.google.com/spreadsheets/d/1rEDxBtusbi64tE0zunoIbsTVV16HeL0oJ6trHQeQ7K8/edit?usp=sharing"",""เชียงใหม่!I781"")+IMPORTRANGE(""https://docs.google.com/spreadsheets/d/1W6MnUbDkMi6xHnHko_XkFDO9kkuL6Wqyc-6OCDFjW9I/e"&amp;"dit?usp=sharing"",""ตาก!I781"")+IMPORTRANGE(""https://docs.google.com/spreadsheets/d/1IQAWArduLkta9LpYo4a_ULsyqdta6-6aDDiwpUnQT6c/edit?usp=sharing"",""นครสวรรค์!I781"")+IMPORTRANGE(""https://docs.google.com/spreadsheets/d/10s13Sk5xrltsiR-Zkbmk5DwIaDIKO8Xl"&amp;"bJAfqyT7Gvg/edit?usp=sharing"",""น่าน!I781"")+IMPORTRANGE(""https://docs.google.com/spreadsheets/d/1uu4nAn4Dbi1XREnLKKotUANlKXa7yCgRcgq8HEzQYW8/edit?usp=sharing"",""พะเยา!I781"")+IMPORTRANGE(""https://docs.google.com/spreadsheets/d/1xfJKIQxVOaPDIICqsflNlL"&amp;"u3JacTDk1FP9RH4phX7mI/edit?usp=sharing"",""พิจิตร!I781"")+IMPORTRANGE(""https://docs.google.com/spreadsheets/d/1JtRfZkJMHtEhI5RdRHxYUG4FIZHqKDpNyIuN7A1Q0_k/edit?usp=sharing"",""พิษณุโลก!I781"")+IMPORTRANGE(""https://docs.google.com/spreadsheets/d/1xlcVZWU"&amp;"Nn6SuWm0c307h32SiGkd9BaeQWlAktfD3KO8/edit?usp=sharing"",""เพชรบูรณ์!I781"")+IMPORTRANGE(""https://docs.google.com/spreadsheets/d/1lOVebEIsI9qjGXl6EX66luk7wiuP2tBaryw-wKvv4e0/edit?usp=sharing"",""แพร่!I781"")+IMPORTRANGE(""https://docs.google.com/spreadshe"&amp;"ets/d/1dQrvX0vEcN7Gu0fnZ0B5S90AeR19zth4XlExFBeExMY/edit?usp=sharing"",""แม่ฮ่องสอน!I781"")+IMPORTRANGE(""https://docs.google.com/spreadsheets/d/1DY4XTNNwjluuxqdfdn6qvOSlMRrZqUtmYcZR0ttFiG4/edit?usp=sharing"",""ลำปาง!I781"")+IMPORTRANGE(""https://docs.goog"&amp;"le.com/spreadsheets/d/1ICwG78r0OFT8biBlxnBF8r7she7gNSzOvJ958PWT09c/edit?usp=sharing"",""ลำพูน!I781"")+IMPORTRANGE(""https://docs.google.com/spreadsheets/d/1B0f2xJpZUC6Z0xXnqKlZtEPzsf6L84eP1r1Q15seqRM/edit?usp=sharing"",""สุโขทัย!I781"")+IMPORTRANGE(""http"&amp;"s://docs.google.com/spreadsheets/d/1v0b9pFQCsKUVExMei7AgY2yQkdeNQvtOssygGsXbiKo/edit?usp=sharing"",""อุตรดิตถ์!I781"")+IMPORTRANGE(""https://docs.google.com/spreadsheets/d/1UsNK1e-WWiCo2PvGqdNfdme4m17_Ezd3J69EeeiQPD0/edit?usp=sharing"",""อุทัยธานี!I781"")"),4200)</f>
        <v>4200</v>
      </c>
      <c r="J781" s="184">
        <f ca="1">IFERROR(__xludf.DUMMYFUNCTION("IMPORTRANGE(""https://docs.google.com/spreadsheets/d/1jTcq05yEiRwXcBMLjiodW9e4biSGYWAHcDj22rKWQ3s/edit?usp=sharing"",""กำแพงเพชร!J781"")+IMPORTRANGE(""https://docs.google.com/spreadsheets/d/1KS0zmDSZPk8KnTAbGN-Xk6MtX1YRZD0ldgdt20K4CRk/edit?usp=sharing"","&amp;"""เชียงราย!J781"")+IMPORTRANGE(""https://docs.google.com/spreadsheets/d/1rEDxBtusbi64tE0zunoIbsTVV16HeL0oJ6trHQeQ7K8/edit?usp=sharing"",""เชียงใหม่!J781"")+IMPORTRANGE(""https://docs.google.com/spreadsheets/d/1W6MnUbDkMi6xHnHko_XkFDO9kkuL6Wqyc-6OCDFjW9I/e"&amp;"dit?usp=sharing"",""ตาก!J781"")+IMPORTRANGE(""https://docs.google.com/spreadsheets/d/1IQAWArduLkta9LpYo4a_ULsyqdta6-6aDDiwpUnQT6c/edit?usp=sharing"",""นครสวรรค์!J781"")+IMPORTRANGE(""https://docs.google.com/spreadsheets/d/10s13Sk5xrltsiR-Zkbmk5DwIaDIKO8Xl"&amp;"bJAfqyT7Gvg/edit?usp=sharing"",""น่าน!J781"")+IMPORTRANGE(""https://docs.google.com/spreadsheets/d/1uu4nAn4Dbi1XREnLKKotUANlKXa7yCgRcgq8HEzQYW8/edit?usp=sharing"",""พะเยา!J781"")+IMPORTRANGE(""https://docs.google.com/spreadsheets/d/1xfJKIQxVOaPDIICqsflNlL"&amp;"u3JacTDk1FP9RH4phX7mI/edit?usp=sharing"",""พิจิตร!J781"")+IMPORTRANGE(""https://docs.google.com/spreadsheets/d/1JtRfZkJMHtEhI5RdRHxYUG4FIZHqKDpNyIuN7A1Q0_k/edit?usp=sharing"",""พิษณุโลก!J781"")+IMPORTRANGE(""https://docs.google.com/spreadsheets/d/1xlcVZWU"&amp;"Nn6SuWm0c307h32SiGkd9BaeQWlAktfD3KO8/edit?usp=sharing"",""เพชรบูรณ์!J781"")+IMPORTRANGE(""https://docs.google.com/spreadsheets/d/1lOVebEIsI9qjGXl6EX66luk7wiuP2tBaryw-wKvv4e0/edit?usp=sharing"",""แพร่!J781"")+IMPORTRANGE(""https://docs.google.com/spreadshe"&amp;"ets/d/1dQrvX0vEcN7Gu0fnZ0B5S90AeR19zth4XlExFBeExMY/edit?usp=sharing"",""แม่ฮ่องสอน!J781"")+IMPORTRANGE(""https://docs.google.com/spreadsheets/d/1DY4XTNNwjluuxqdfdn6qvOSlMRrZqUtmYcZR0ttFiG4/edit?usp=sharing"",""ลำปาง!J781"")+IMPORTRANGE(""https://docs.goog"&amp;"le.com/spreadsheets/d/1ICwG78r0OFT8biBlxnBF8r7she7gNSzOvJ958PWT09c/edit?usp=sharing"",""ลำพูน!J781"")+IMPORTRANGE(""https://docs.google.com/spreadsheets/d/1B0f2xJpZUC6Z0xXnqKlZtEPzsf6L84eP1r1Q15seqRM/edit?usp=sharing"",""สุโขทัย!J781"")+IMPORTRANGE(""http"&amp;"s://docs.google.com/spreadsheets/d/1v0b9pFQCsKUVExMei7AgY2yQkdeNQvtOssygGsXbiKo/edit?usp=sharing"",""อุตรดิตถ์!J781"")+IMPORTRANGE(""https://docs.google.com/spreadsheets/d/1UsNK1e-WWiCo2PvGqdNfdme4m17_Ezd3J69EeeiQPD0/edit?usp=sharing"",""อุทัยธานี!J781"")"),1122)</f>
        <v>1122</v>
      </c>
      <c r="K781" s="224">
        <f t="shared" ca="1" si="534"/>
        <v>26.714285714285715</v>
      </c>
      <c r="L781" s="45"/>
      <c r="M781" s="45"/>
      <c r="N781" s="45"/>
      <c r="O781" s="45"/>
      <c r="P781" s="45"/>
      <c r="Q781" s="45"/>
      <c r="R781" s="45"/>
      <c r="S781" s="45"/>
      <c r="T781" s="45"/>
      <c r="U781" s="45"/>
    </row>
    <row r="782" spans="1:21" ht="18.75" x14ac:dyDescent="0.25">
      <c r="A782" s="208"/>
      <c r="B782" s="209" t="s">
        <v>294</v>
      </c>
      <c r="C782" s="158"/>
      <c r="D782" s="158"/>
      <c r="E782" s="40"/>
      <c r="F782" s="40"/>
      <c r="G782" s="42"/>
      <c r="H782" s="133" t="s">
        <v>14</v>
      </c>
      <c r="I782" s="184">
        <f ca="1">IFERROR(__xludf.DUMMYFUNCTION("IMPORTRANGE(""https://docs.google.com/spreadsheets/d/1jTcq05yEiRwXcBMLjiodW9e4biSGYWAHcDj22rKWQ3s/edit?usp=sharing"",""กำแพงเพชร!I782"")+IMPORTRANGE(""https://docs.google.com/spreadsheets/d/1KS0zmDSZPk8KnTAbGN-Xk6MtX1YRZD0ldgdt20K4CRk/edit?usp=sharing"","&amp;"""เชียงราย!I782"")+IMPORTRANGE(""https://docs.google.com/spreadsheets/d/1rEDxBtusbi64tE0zunoIbsTVV16HeL0oJ6trHQeQ7K8/edit?usp=sharing"",""เชียงใหม่!I782"")+IMPORTRANGE(""https://docs.google.com/spreadsheets/d/1W6MnUbDkMi6xHnHko_XkFDO9kkuL6Wqyc-6OCDFjW9I/e"&amp;"dit?usp=sharing"",""ตาก!I782"")+IMPORTRANGE(""https://docs.google.com/spreadsheets/d/1IQAWArduLkta9LpYo4a_ULsyqdta6-6aDDiwpUnQT6c/edit?usp=sharing"",""นครสวรรค์!I782"")+IMPORTRANGE(""https://docs.google.com/spreadsheets/d/10s13Sk5xrltsiR-Zkbmk5DwIaDIKO8Xl"&amp;"bJAfqyT7Gvg/edit?usp=sharing"",""น่าน!I782"")+IMPORTRANGE(""https://docs.google.com/spreadsheets/d/1uu4nAn4Dbi1XREnLKKotUANlKXa7yCgRcgq8HEzQYW8/edit?usp=sharing"",""พะเยา!I782"")+IMPORTRANGE(""https://docs.google.com/spreadsheets/d/1xfJKIQxVOaPDIICqsflNlL"&amp;"u3JacTDk1FP9RH4phX7mI/edit?usp=sharing"",""พิจิตร!I782"")+IMPORTRANGE(""https://docs.google.com/spreadsheets/d/1JtRfZkJMHtEhI5RdRHxYUG4FIZHqKDpNyIuN7A1Q0_k/edit?usp=sharing"",""พิษณุโลก!I782"")+IMPORTRANGE(""https://docs.google.com/spreadsheets/d/1xlcVZWU"&amp;"Nn6SuWm0c307h32SiGkd9BaeQWlAktfD3KO8/edit?usp=sharing"",""เพชรบูรณ์!I782"")+IMPORTRANGE(""https://docs.google.com/spreadsheets/d/1lOVebEIsI9qjGXl6EX66luk7wiuP2tBaryw-wKvv4e0/edit?usp=sharing"",""แพร่!I782"")+IMPORTRANGE(""https://docs.google.com/spreadshe"&amp;"ets/d/1dQrvX0vEcN7Gu0fnZ0B5S90AeR19zth4XlExFBeExMY/edit?usp=sharing"",""แม่ฮ่องสอน!I782"")+IMPORTRANGE(""https://docs.google.com/spreadsheets/d/1DY4XTNNwjluuxqdfdn6qvOSlMRrZqUtmYcZR0ttFiG4/edit?usp=sharing"",""ลำปาง!I782"")+IMPORTRANGE(""https://docs.goog"&amp;"le.com/spreadsheets/d/1ICwG78r0OFT8biBlxnBF8r7she7gNSzOvJ958PWT09c/edit?usp=sharing"",""ลำพูน!I782"")+IMPORTRANGE(""https://docs.google.com/spreadsheets/d/1B0f2xJpZUC6Z0xXnqKlZtEPzsf6L84eP1r1Q15seqRM/edit?usp=sharing"",""สุโขทัย!I782"")+IMPORTRANGE(""http"&amp;"s://docs.google.com/spreadsheets/d/1v0b9pFQCsKUVExMei7AgY2yQkdeNQvtOssygGsXbiKo/edit?usp=sharing"",""อุตรดิตถ์!I782"")+IMPORTRANGE(""https://docs.google.com/spreadsheets/d/1UsNK1e-WWiCo2PvGqdNfdme4m17_Ezd3J69EeeiQPD0/edit?usp=sharing"",""อุทัยธานี!I782"")"),54243964.2099999)</f>
        <v>54243964.209999897</v>
      </c>
      <c r="J782" s="184">
        <f ca="1">IFERROR(__xludf.DUMMYFUNCTION("IMPORTRANGE(""https://docs.google.com/spreadsheets/d/1jTcq05yEiRwXcBMLjiodW9e4biSGYWAHcDj22rKWQ3s/edit?usp=sharing"",""กำแพงเพชร!J782"")+IMPORTRANGE(""https://docs.google.com/spreadsheets/d/1KS0zmDSZPk8KnTAbGN-Xk6MtX1YRZD0ldgdt20K4CRk/edit?usp=sharing"","&amp;"""เชียงราย!J782"")+IMPORTRANGE(""https://docs.google.com/spreadsheets/d/1rEDxBtusbi64tE0zunoIbsTVV16HeL0oJ6trHQeQ7K8/edit?usp=sharing"",""เชียงใหม่!J782"")+IMPORTRANGE(""https://docs.google.com/spreadsheets/d/1W6MnUbDkMi6xHnHko_XkFDO9kkuL6Wqyc-6OCDFjW9I/e"&amp;"dit?usp=sharing"",""ตาก!J782"")+IMPORTRANGE(""https://docs.google.com/spreadsheets/d/1IQAWArduLkta9LpYo4a_ULsyqdta6-6aDDiwpUnQT6c/edit?usp=sharing"",""นครสวรรค์!J782"")+IMPORTRANGE(""https://docs.google.com/spreadsheets/d/10s13Sk5xrltsiR-Zkbmk5DwIaDIKO8Xl"&amp;"bJAfqyT7Gvg/edit?usp=sharing"",""น่าน!J782"")+IMPORTRANGE(""https://docs.google.com/spreadsheets/d/1uu4nAn4Dbi1XREnLKKotUANlKXa7yCgRcgq8HEzQYW8/edit?usp=sharing"",""พะเยา!J782"")+IMPORTRANGE(""https://docs.google.com/spreadsheets/d/1xfJKIQxVOaPDIICqsflNlL"&amp;"u3JacTDk1FP9RH4phX7mI/edit?usp=sharing"",""พิจิตร!J782"")+IMPORTRANGE(""https://docs.google.com/spreadsheets/d/1JtRfZkJMHtEhI5RdRHxYUG4FIZHqKDpNyIuN7A1Q0_k/edit?usp=sharing"",""พิษณุโลก!J782"")+IMPORTRANGE(""https://docs.google.com/spreadsheets/d/1xlcVZWU"&amp;"Nn6SuWm0c307h32SiGkd9BaeQWlAktfD3KO8/edit?usp=sharing"",""เพชรบูรณ์!J782"")+IMPORTRANGE(""https://docs.google.com/spreadsheets/d/1lOVebEIsI9qjGXl6EX66luk7wiuP2tBaryw-wKvv4e0/edit?usp=sharing"",""แพร่!J782"")+IMPORTRANGE(""https://docs.google.com/spreadshe"&amp;"ets/d/1dQrvX0vEcN7Gu0fnZ0B5S90AeR19zth4XlExFBeExMY/edit?usp=sharing"",""แม่ฮ่องสอน!J782"")+IMPORTRANGE(""https://docs.google.com/spreadsheets/d/1DY4XTNNwjluuxqdfdn6qvOSlMRrZqUtmYcZR0ttFiG4/edit?usp=sharing"",""ลำปาง!J782"")+IMPORTRANGE(""https://docs.goog"&amp;"le.com/spreadsheets/d/1ICwG78r0OFT8biBlxnBF8r7she7gNSzOvJ958PWT09c/edit?usp=sharing"",""ลำพูน!J782"")+IMPORTRANGE(""https://docs.google.com/spreadsheets/d/1B0f2xJpZUC6Z0xXnqKlZtEPzsf6L84eP1r1Q15seqRM/edit?usp=sharing"",""สุโขทัย!J782"")+IMPORTRANGE(""http"&amp;"s://docs.google.com/spreadsheets/d/1v0b9pFQCsKUVExMei7AgY2yQkdeNQvtOssygGsXbiKo/edit?usp=sharing"",""อุตรดิตถ์!J782"")+IMPORTRANGE(""https://docs.google.com/spreadsheets/d/1UsNK1e-WWiCo2PvGqdNfdme4m17_Ezd3J69EeeiQPD0/edit?usp=sharing"",""อุทัยธานี!J782"")"),14655131.82)</f>
        <v>14655131.82</v>
      </c>
      <c r="K782" s="224">
        <f t="shared" ca="1" si="534"/>
        <v>27.017073758223447</v>
      </c>
      <c r="L782" s="45"/>
      <c r="M782" s="45"/>
      <c r="N782" s="45"/>
      <c r="O782" s="45"/>
      <c r="P782" s="45"/>
      <c r="Q782" s="45"/>
      <c r="R782" s="45"/>
      <c r="S782" s="45"/>
      <c r="T782" s="45"/>
      <c r="U782" s="45"/>
    </row>
    <row r="783" spans="1:21" ht="18.75" x14ac:dyDescent="0.25">
      <c r="A783" s="208"/>
      <c r="B783" s="158"/>
      <c r="C783" s="158"/>
      <c r="D783" s="158"/>
      <c r="E783" s="40"/>
      <c r="F783" s="40"/>
      <c r="G783" s="42"/>
      <c r="H783" s="133" t="s">
        <v>35</v>
      </c>
      <c r="I783" s="184">
        <f ca="1">IFERROR(__xludf.DUMMYFUNCTION("IMPORTRANGE(""https://docs.google.com/spreadsheets/d/1jTcq05yEiRwXcBMLjiodW9e4biSGYWAHcDj22rKWQ3s/edit?usp=sharing"",""กำแพงเพชร!I783"")+IMPORTRANGE(""https://docs.google.com/spreadsheets/d/1KS0zmDSZPk8KnTAbGN-Xk6MtX1YRZD0ldgdt20K4CRk/edit?usp=sharing"","&amp;"""เชียงราย!I783"")+IMPORTRANGE(""https://docs.google.com/spreadsheets/d/1rEDxBtusbi64tE0zunoIbsTVV16HeL0oJ6trHQeQ7K8/edit?usp=sharing"",""เชียงใหม่!I783"")+IMPORTRANGE(""https://docs.google.com/spreadsheets/d/1W6MnUbDkMi6xHnHko_XkFDO9kkuL6Wqyc-6OCDFjW9I/e"&amp;"dit?usp=sharing"",""ตาก!I783"")+IMPORTRANGE(""https://docs.google.com/spreadsheets/d/1IQAWArduLkta9LpYo4a_ULsyqdta6-6aDDiwpUnQT6c/edit?usp=sharing"",""นครสวรรค์!I783"")+IMPORTRANGE(""https://docs.google.com/spreadsheets/d/10s13Sk5xrltsiR-Zkbmk5DwIaDIKO8Xl"&amp;"bJAfqyT7Gvg/edit?usp=sharing"",""น่าน!I783"")+IMPORTRANGE(""https://docs.google.com/spreadsheets/d/1uu4nAn4Dbi1XREnLKKotUANlKXa7yCgRcgq8HEzQYW8/edit?usp=sharing"",""พะเยา!I783"")+IMPORTRANGE(""https://docs.google.com/spreadsheets/d/1xfJKIQxVOaPDIICqsflNlL"&amp;"u3JacTDk1FP9RH4phX7mI/edit?usp=sharing"",""พิจิตร!I783"")+IMPORTRANGE(""https://docs.google.com/spreadsheets/d/1JtRfZkJMHtEhI5RdRHxYUG4FIZHqKDpNyIuN7A1Q0_k/edit?usp=sharing"",""พิษณุโลก!I783"")+IMPORTRANGE(""https://docs.google.com/spreadsheets/d/1xlcVZWU"&amp;"Nn6SuWm0c307h32SiGkd9BaeQWlAktfD3KO8/edit?usp=sharing"",""เพชรบูรณ์!I783"")+IMPORTRANGE(""https://docs.google.com/spreadsheets/d/1lOVebEIsI9qjGXl6EX66luk7wiuP2tBaryw-wKvv4e0/edit?usp=sharing"",""แพร่!I783"")+IMPORTRANGE(""https://docs.google.com/spreadshe"&amp;"ets/d/1dQrvX0vEcN7Gu0fnZ0B5S90AeR19zth4XlExFBeExMY/edit?usp=sharing"",""แม่ฮ่องสอน!I783"")+IMPORTRANGE(""https://docs.google.com/spreadsheets/d/1DY4XTNNwjluuxqdfdn6qvOSlMRrZqUtmYcZR0ttFiG4/edit?usp=sharing"",""ลำปาง!I783"")+IMPORTRANGE(""https://docs.goog"&amp;"le.com/spreadsheets/d/1ICwG78r0OFT8biBlxnBF8r7she7gNSzOvJ958PWT09c/edit?usp=sharing"",""ลำพูน!I783"")+IMPORTRANGE(""https://docs.google.com/spreadsheets/d/1B0f2xJpZUC6Z0xXnqKlZtEPzsf6L84eP1r1Q15seqRM/edit?usp=sharing"",""สุโขทัย!I783"")+IMPORTRANGE(""http"&amp;"s://docs.google.com/spreadsheets/d/1v0b9pFQCsKUVExMei7AgY2yQkdeNQvtOssygGsXbiKo/edit?usp=sharing"",""อุตรดิตถ์!I783"")+IMPORTRANGE(""https://docs.google.com/spreadsheets/d/1UsNK1e-WWiCo2PvGqdNfdme4m17_Ezd3J69EeeiQPD0/edit?usp=sharing"",""อุทัยธานี!I783"")"),4702)</f>
        <v>4702</v>
      </c>
      <c r="J783" s="184">
        <f ca="1">IFERROR(__xludf.DUMMYFUNCTION("IMPORTRANGE(""https://docs.google.com/spreadsheets/d/1jTcq05yEiRwXcBMLjiodW9e4biSGYWAHcDj22rKWQ3s/edit?usp=sharing"",""กำแพงเพชร!J783"")+IMPORTRANGE(""https://docs.google.com/spreadsheets/d/1KS0zmDSZPk8KnTAbGN-Xk6MtX1YRZD0ldgdt20K4CRk/edit?usp=sharing"","&amp;"""เชียงราย!J783"")+IMPORTRANGE(""https://docs.google.com/spreadsheets/d/1rEDxBtusbi64tE0zunoIbsTVV16HeL0oJ6trHQeQ7K8/edit?usp=sharing"",""เชียงใหม่!J783"")+IMPORTRANGE(""https://docs.google.com/spreadsheets/d/1W6MnUbDkMi6xHnHko_XkFDO9kkuL6Wqyc-6OCDFjW9I/e"&amp;"dit?usp=sharing"",""ตาก!J783"")+IMPORTRANGE(""https://docs.google.com/spreadsheets/d/1IQAWArduLkta9LpYo4a_ULsyqdta6-6aDDiwpUnQT6c/edit?usp=sharing"",""นครสวรรค์!J783"")+IMPORTRANGE(""https://docs.google.com/spreadsheets/d/10s13Sk5xrltsiR-Zkbmk5DwIaDIKO8Xl"&amp;"bJAfqyT7Gvg/edit?usp=sharing"",""น่าน!J783"")+IMPORTRANGE(""https://docs.google.com/spreadsheets/d/1uu4nAn4Dbi1XREnLKKotUANlKXa7yCgRcgq8HEzQYW8/edit?usp=sharing"",""พะเยา!J783"")+IMPORTRANGE(""https://docs.google.com/spreadsheets/d/1xfJKIQxVOaPDIICqsflNlL"&amp;"u3JacTDk1FP9RH4phX7mI/edit?usp=sharing"",""พิจิตร!J783"")+IMPORTRANGE(""https://docs.google.com/spreadsheets/d/1JtRfZkJMHtEhI5RdRHxYUG4FIZHqKDpNyIuN7A1Q0_k/edit?usp=sharing"",""พิษณุโลก!J783"")+IMPORTRANGE(""https://docs.google.com/spreadsheets/d/1xlcVZWU"&amp;"Nn6SuWm0c307h32SiGkd9BaeQWlAktfD3KO8/edit?usp=sharing"",""เพชรบูรณ์!J783"")+IMPORTRANGE(""https://docs.google.com/spreadsheets/d/1lOVebEIsI9qjGXl6EX66luk7wiuP2tBaryw-wKvv4e0/edit?usp=sharing"",""แพร่!J783"")+IMPORTRANGE(""https://docs.google.com/spreadshe"&amp;"ets/d/1dQrvX0vEcN7Gu0fnZ0B5S90AeR19zth4XlExFBeExMY/edit?usp=sharing"",""แม่ฮ่องสอน!J783"")+IMPORTRANGE(""https://docs.google.com/spreadsheets/d/1DY4XTNNwjluuxqdfdn6qvOSlMRrZqUtmYcZR0ttFiG4/edit?usp=sharing"",""ลำปาง!J783"")+IMPORTRANGE(""https://docs.goog"&amp;"le.com/spreadsheets/d/1ICwG78r0OFT8biBlxnBF8r7she7gNSzOvJ958PWT09c/edit?usp=sharing"",""ลำพูน!J783"")+IMPORTRANGE(""https://docs.google.com/spreadsheets/d/1B0f2xJpZUC6Z0xXnqKlZtEPzsf6L84eP1r1Q15seqRM/edit?usp=sharing"",""สุโขทัย!J783"")+IMPORTRANGE(""http"&amp;"s://docs.google.com/spreadsheets/d/1v0b9pFQCsKUVExMei7AgY2yQkdeNQvtOssygGsXbiKo/edit?usp=sharing"",""อุตรดิตถ์!J783"")+IMPORTRANGE(""https://docs.google.com/spreadsheets/d/1UsNK1e-WWiCo2PvGqdNfdme4m17_Ezd3J69EeeiQPD0/edit?usp=sharing"",""อุทัยธานี!J783"")"),2727)</f>
        <v>2727</v>
      </c>
      <c r="K783" s="224">
        <f t="shared" ca="1" si="534"/>
        <v>57.996597192683964</v>
      </c>
      <c r="L783" s="45"/>
      <c r="M783" s="45"/>
      <c r="N783" s="45"/>
      <c r="O783" s="45"/>
      <c r="P783" s="45"/>
      <c r="Q783" s="45"/>
      <c r="R783" s="45"/>
      <c r="S783" s="45"/>
      <c r="T783" s="45"/>
      <c r="U783" s="45"/>
    </row>
    <row r="784" spans="1:21" ht="18.75" x14ac:dyDescent="0.25">
      <c r="A784" s="208"/>
      <c r="B784" s="209" t="s">
        <v>295</v>
      </c>
      <c r="C784" s="158"/>
      <c r="D784" s="158"/>
      <c r="E784" s="40"/>
      <c r="F784" s="40"/>
      <c r="G784" s="42"/>
      <c r="H784" s="133" t="s">
        <v>14</v>
      </c>
      <c r="I784" s="184">
        <f ca="1">IFERROR(__xludf.DUMMYFUNCTION("IMPORTRANGE(""https://docs.google.com/spreadsheets/d/1jTcq05yEiRwXcBMLjiodW9e4biSGYWAHcDj22rKWQ3s/edit?usp=sharing"",""กำแพงเพชร!I784"")+IMPORTRANGE(""https://docs.google.com/spreadsheets/d/1KS0zmDSZPk8KnTAbGN-Xk6MtX1YRZD0ldgdt20K4CRk/edit?usp=sharing"","&amp;"""เชียงราย!I784"")+IMPORTRANGE(""https://docs.google.com/spreadsheets/d/1rEDxBtusbi64tE0zunoIbsTVV16HeL0oJ6trHQeQ7K8/edit?usp=sharing"",""เชียงใหม่!I784"")+IMPORTRANGE(""https://docs.google.com/spreadsheets/d/1W6MnUbDkMi6xHnHko_XkFDO9kkuL6Wqyc-6OCDFjW9I/e"&amp;"dit?usp=sharing"",""ตาก!I784"")+IMPORTRANGE(""https://docs.google.com/spreadsheets/d/1IQAWArduLkta9LpYo4a_ULsyqdta6-6aDDiwpUnQT6c/edit?usp=sharing"",""นครสวรรค์!I784"")+IMPORTRANGE(""https://docs.google.com/spreadsheets/d/10s13Sk5xrltsiR-Zkbmk5DwIaDIKO8Xl"&amp;"bJAfqyT7Gvg/edit?usp=sharing"",""น่าน!I784"")+IMPORTRANGE(""https://docs.google.com/spreadsheets/d/1uu4nAn4Dbi1XREnLKKotUANlKXa7yCgRcgq8HEzQYW8/edit?usp=sharing"",""พะเยา!I784"")+IMPORTRANGE(""https://docs.google.com/spreadsheets/d/1xfJKIQxVOaPDIICqsflNlL"&amp;"u3JacTDk1FP9RH4phX7mI/edit?usp=sharing"",""พิจิตร!I784"")+IMPORTRANGE(""https://docs.google.com/spreadsheets/d/1JtRfZkJMHtEhI5RdRHxYUG4FIZHqKDpNyIuN7A1Q0_k/edit?usp=sharing"",""พิษณุโลก!I784"")+IMPORTRANGE(""https://docs.google.com/spreadsheets/d/1xlcVZWU"&amp;"Nn6SuWm0c307h32SiGkd9BaeQWlAktfD3KO8/edit?usp=sharing"",""เพชรบูรณ์!I784"")+IMPORTRANGE(""https://docs.google.com/spreadsheets/d/1lOVebEIsI9qjGXl6EX66luk7wiuP2tBaryw-wKvv4e0/edit?usp=sharing"",""แพร่!I784"")+IMPORTRANGE(""https://docs.google.com/spreadshe"&amp;"ets/d/1dQrvX0vEcN7Gu0fnZ0B5S90AeR19zth4XlExFBeExMY/edit?usp=sharing"",""แม่ฮ่องสอน!I784"")+IMPORTRANGE(""https://docs.google.com/spreadsheets/d/1DY4XTNNwjluuxqdfdn6qvOSlMRrZqUtmYcZR0ttFiG4/edit?usp=sharing"",""ลำปาง!I784"")+IMPORTRANGE(""https://docs.goog"&amp;"le.com/spreadsheets/d/1ICwG78r0OFT8biBlxnBF8r7she7gNSzOvJ958PWT09c/edit?usp=sharing"",""ลำพูน!I784"")+IMPORTRANGE(""https://docs.google.com/spreadsheets/d/1B0f2xJpZUC6Z0xXnqKlZtEPzsf6L84eP1r1Q15seqRM/edit?usp=sharing"",""สุโขทัย!I784"")+IMPORTRANGE(""http"&amp;"s://docs.google.com/spreadsheets/d/1v0b9pFQCsKUVExMei7AgY2yQkdeNQvtOssygGsXbiKo/edit?usp=sharing"",""อุตรดิตถ์!I784"")+IMPORTRANGE(""https://docs.google.com/spreadsheets/d/1UsNK1e-WWiCo2PvGqdNfdme4m17_Ezd3J69EeeiQPD0/edit?usp=sharing"",""อุทัยธานี!I784"")"),111024000)</f>
        <v>111024000</v>
      </c>
      <c r="J784" s="184">
        <f ca="1">IFERROR(__xludf.DUMMYFUNCTION("IMPORTRANGE(""https://docs.google.com/spreadsheets/d/1jTcq05yEiRwXcBMLjiodW9e4biSGYWAHcDj22rKWQ3s/edit?usp=sharing"",""กำแพงเพชร!J784"")+IMPORTRANGE(""https://docs.google.com/spreadsheets/d/1KS0zmDSZPk8KnTAbGN-Xk6MtX1YRZD0ldgdt20K4CRk/edit?usp=sharing"","&amp;"""เชียงราย!J784"")+IMPORTRANGE(""https://docs.google.com/spreadsheets/d/1rEDxBtusbi64tE0zunoIbsTVV16HeL0oJ6trHQeQ7K8/edit?usp=sharing"",""เชียงใหม่!J784"")+IMPORTRANGE(""https://docs.google.com/spreadsheets/d/1W6MnUbDkMi6xHnHko_XkFDO9kkuL6Wqyc-6OCDFjW9I/e"&amp;"dit?usp=sharing"",""ตาก!J784"")+IMPORTRANGE(""https://docs.google.com/spreadsheets/d/1IQAWArduLkta9LpYo4a_ULsyqdta6-6aDDiwpUnQT6c/edit?usp=sharing"",""นครสวรรค์!J784"")+IMPORTRANGE(""https://docs.google.com/spreadsheets/d/10s13Sk5xrltsiR-Zkbmk5DwIaDIKO8Xl"&amp;"bJAfqyT7Gvg/edit?usp=sharing"",""น่าน!J784"")+IMPORTRANGE(""https://docs.google.com/spreadsheets/d/1uu4nAn4Dbi1XREnLKKotUANlKXa7yCgRcgq8HEzQYW8/edit?usp=sharing"",""พะเยา!J784"")+IMPORTRANGE(""https://docs.google.com/spreadsheets/d/1xfJKIQxVOaPDIICqsflNlL"&amp;"u3JacTDk1FP9RH4phX7mI/edit?usp=sharing"",""พิจิตร!J784"")+IMPORTRANGE(""https://docs.google.com/spreadsheets/d/1JtRfZkJMHtEhI5RdRHxYUG4FIZHqKDpNyIuN7A1Q0_k/edit?usp=sharing"",""พิษณุโลก!J784"")+IMPORTRANGE(""https://docs.google.com/spreadsheets/d/1xlcVZWU"&amp;"Nn6SuWm0c307h32SiGkd9BaeQWlAktfD3KO8/edit?usp=sharing"",""เพชรบูรณ์!J784"")+IMPORTRANGE(""https://docs.google.com/spreadsheets/d/1lOVebEIsI9qjGXl6EX66luk7wiuP2tBaryw-wKvv4e0/edit?usp=sharing"",""แพร่!J784"")+IMPORTRANGE(""https://docs.google.com/spreadshe"&amp;"ets/d/1dQrvX0vEcN7Gu0fnZ0B5S90AeR19zth4XlExFBeExMY/edit?usp=sharing"",""แม่ฮ่องสอน!J784"")+IMPORTRANGE(""https://docs.google.com/spreadsheets/d/1DY4XTNNwjluuxqdfdn6qvOSlMRrZqUtmYcZR0ttFiG4/edit?usp=sharing"",""ลำปาง!J784"")+IMPORTRANGE(""https://docs.goog"&amp;"le.com/spreadsheets/d/1ICwG78r0OFT8biBlxnBF8r7she7gNSzOvJ958PWT09c/edit?usp=sharing"",""ลำพูน!J784"")+IMPORTRANGE(""https://docs.google.com/spreadsheets/d/1B0f2xJpZUC6Z0xXnqKlZtEPzsf6L84eP1r1Q15seqRM/edit?usp=sharing"",""สุโขทัย!J784"")+IMPORTRANGE(""http"&amp;"s://docs.google.com/spreadsheets/d/1v0b9pFQCsKUVExMei7AgY2yQkdeNQvtOssygGsXbiKo/edit?usp=sharing"",""อุตรดิตถ์!J784"")+IMPORTRANGE(""https://docs.google.com/spreadsheets/d/1UsNK1e-WWiCo2PvGqdNfdme4m17_Ezd3J69EeeiQPD0/edit?usp=sharing"",""อุทัยธานี!J784"")"),28492000)</f>
        <v>28492000</v>
      </c>
      <c r="K784" s="224">
        <f t="shared" ca="1" si="534"/>
        <v>25.662919729067589</v>
      </c>
      <c r="L784" s="45"/>
      <c r="M784" s="45"/>
      <c r="N784" s="45"/>
      <c r="O784" s="45"/>
      <c r="P784" s="45"/>
      <c r="Q784" s="45"/>
      <c r="R784" s="45"/>
      <c r="S784" s="45"/>
      <c r="T784" s="45"/>
      <c r="U784" s="45"/>
    </row>
    <row r="785" spans="1:21" ht="18.75" x14ac:dyDescent="0.25">
      <c r="A785" s="329"/>
      <c r="B785" s="2"/>
      <c r="C785" s="2"/>
      <c r="D785" s="2"/>
      <c r="E785" s="1"/>
      <c r="F785" s="1"/>
      <c r="G785" s="52"/>
      <c r="H785" s="331" t="s">
        <v>35</v>
      </c>
      <c r="I785" s="188">
        <f ca="1">IFERROR(__xludf.DUMMYFUNCTION("IMPORTRANGE(""https://docs.google.com/spreadsheets/d/1jTcq05yEiRwXcBMLjiodW9e4biSGYWAHcDj22rKWQ3s/edit?usp=sharing"",""กำแพงเพชร!I785"")+IMPORTRANGE(""https://docs.google.com/spreadsheets/d/1KS0zmDSZPk8KnTAbGN-Xk6MtX1YRZD0ldgdt20K4CRk/edit?usp=sharing"","&amp;"""เชียงราย!I785"")+IMPORTRANGE(""https://docs.google.com/spreadsheets/d/1rEDxBtusbi64tE0zunoIbsTVV16HeL0oJ6trHQeQ7K8/edit?usp=sharing"",""เชียงใหม่!I785"")+IMPORTRANGE(""https://docs.google.com/spreadsheets/d/1W6MnUbDkMi6xHnHko_XkFDO9kkuL6Wqyc-6OCDFjW9I/e"&amp;"dit?usp=sharing"",""ตาก!I785"")+IMPORTRANGE(""https://docs.google.com/spreadsheets/d/1IQAWArduLkta9LpYo4a_ULsyqdta6-6aDDiwpUnQT6c/edit?usp=sharing"",""นครสวรรค์!I785"")+IMPORTRANGE(""https://docs.google.com/spreadsheets/d/10s13Sk5xrltsiR-Zkbmk5DwIaDIKO8Xl"&amp;"bJAfqyT7Gvg/edit?usp=sharing"",""น่าน!I785"")+IMPORTRANGE(""https://docs.google.com/spreadsheets/d/1uu4nAn4Dbi1XREnLKKotUANlKXa7yCgRcgq8HEzQYW8/edit?usp=sharing"",""พะเยา!I785"")+IMPORTRANGE(""https://docs.google.com/spreadsheets/d/1xfJKIQxVOaPDIICqsflNlL"&amp;"u3JacTDk1FP9RH4phX7mI/edit?usp=sharing"",""พิจิตร!I785"")+IMPORTRANGE(""https://docs.google.com/spreadsheets/d/1JtRfZkJMHtEhI5RdRHxYUG4FIZHqKDpNyIuN7A1Q0_k/edit?usp=sharing"",""พิษณุโลก!I785"")+IMPORTRANGE(""https://docs.google.com/spreadsheets/d/1xlcVZWU"&amp;"Nn6SuWm0c307h32SiGkd9BaeQWlAktfD3KO8/edit?usp=sharing"",""เพชรบูรณ์!I785"")+IMPORTRANGE(""https://docs.google.com/spreadsheets/d/1lOVebEIsI9qjGXl6EX66luk7wiuP2tBaryw-wKvv4e0/edit?usp=sharing"",""แพร่!I785"")+IMPORTRANGE(""https://docs.google.com/spreadshe"&amp;"ets/d/1dQrvX0vEcN7Gu0fnZ0B5S90AeR19zth4XlExFBeExMY/edit?usp=sharing"",""แม่ฮ่องสอน!I785"")+IMPORTRANGE(""https://docs.google.com/spreadsheets/d/1DY4XTNNwjluuxqdfdn6qvOSlMRrZqUtmYcZR0ttFiG4/edit?usp=sharing"",""ลำปาง!I785"")+IMPORTRANGE(""https://docs.goog"&amp;"le.com/spreadsheets/d/1ICwG78r0OFT8biBlxnBF8r7she7gNSzOvJ958PWT09c/edit?usp=sharing"",""ลำพูน!I785"")+IMPORTRANGE(""https://docs.google.com/spreadsheets/d/1B0f2xJpZUC6Z0xXnqKlZtEPzsf6L84eP1r1Q15seqRM/edit?usp=sharing"",""สุโขทัย!I785"")+IMPORTRANGE(""http"&amp;"s://docs.google.com/spreadsheets/d/1v0b9pFQCsKUVExMei7AgY2yQkdeNQvtOssygGsXbiKo/edit?usp=sharing"",""อุตรดิตถ์!I785"")+IMPORTRANGE(""https://docs.google.com/spreadsheets/d/1UsNK1e-WWiCo2PvGqdNfdme4m17_Ezd3J69EeeiQPD0/edit?usp=sharing"",""อุทัยธานี!I785"")"),3859)</f>
        <v>3859</v>
      </c>
      <c r="J785" s="188">
        <f ca="1">IFERROR(__xludf.DUMMYFUNCTION("IMPORTRANGE(""https://docs.google.com/spreadsheets/d/1jTcq05yEiRwXcBMLjiodW9e4biSGYWAHcDj22rKWQ3s/edit?usp=sharing"",""กำแพงเพชร!J785"")+IMPORTRANGE(""https://docs.google.com/spreadsheets/d/1KS0zmDSZPk8KnTAbGN-Xk6MtX1YRZD0ldgdt20K4CRk/edit?usp=sharing"","&amp;"""เชียงราย!J785"")+IMPORTRANGE(""https://docs.google.com/spreadsheets/d/1rEDxBtusbi64tE0zunoIbsTVV16HeL0oJ6trHQeQ7K8/edit?usp=sharing"",""เชียงใหม่!J785"")+IMPORTRANGE(""https://docs.google.com/spreadsheets/d/1W6MnUbDkMi6xHnHko_XkFDO9kkuL6Wqyc-6OCDFjW9I/e"&amp;"dit?usp=sharing"",""ตาก!J785"")+IMPORTRANGE(""https://docs.google.com/spreadsheets/d/1IQAWArduLkta9LpYo4a_ULsyqdta6-6aDDiwpUnQT6c/edit?usp=sharing"",""นครสวรรค์!J785"")+IMPORTRANGE(""https://docs.google.com/spreadsheets/d/10s13Sk5xrltsiR-Zkbmk5DwIaDIKO8Xl"&amp;"bJAfqyT7Gvg/edit?usp=sharing"",""น่าน!J785"")+IMPORTRANGE(""https://docs.google.com/spreadsheets/d/1uu4nAn4Dbi1XREnLKKotUANlKXa7yCgRcgq8HEzQYW8/edit?usp=sharing"",""พะเยา!J785"")+IMPORTRANGE(""https://docs.google.com/spreadsheets/d/1xfJKIQxVOaPDIICqsflNlL"&amp;"u3JacTDk1FP9RH4phX7mI/edit?usp=sharing"",""พิจิตร!J785"")+IMPORTRANGE(""https://docs.google.com/spreadsheets/d/1JtRfZkJMHtEhI5RdRHxYUG4FIZHqKDpNyIuN7A1Q0_k/edit?usp=sharing"",""พิษณุโลก!J785"")+IMPORTRANGE(""https://docs.google.com/spreadsheets/d/1xlcVZWU"&amp;"Nn6SuWm0c307h32SiGkd9BaeQWlAktfD3KO8/edit?usp=sharing"",""เพชรบูรณ์!J785"")+IMPORTRANGE(""https://docs.google.com/spreadsheets/d/1lOVebEIsI9qjGXl6EX66luk7wiuP2tBaryw-wKvv4e0/edit?usp=sharing"",""แพร่!J785"")+IMPORTRANGE(""https://docs.google.com/spreadshe"&amp;"ets/d/1dQrvX0vEcN7Gu0fnZ0B5S90AeR19zth4XlExFBeExMY/edit?usp=sharing"",""แม่ฮ่องสอน!J785"")+IMPORTRANGE(""https://docs.google.com/spreadsheets/d/1DY4XTNNwjluuxqdfdn6qvOSlMRrZqUtmYcZR0ttFiG4/edit?usp=sharing"",""ลำปาง!J785"")+IMPORTRANGE(""https://docs.goog"&amp;"le.com/spreadsheets/d/1ICwG78r0OFT8biBlxnBF8r7she7gNSzOvJ958PWT09c/edit?usp=sharing"",""ลำพูน!J785"")+IMPORTRANGE(""https://docs.google.com/spreadsheets/d/1B0f2xJpZUC6Z0xXnqKlZtEPzsf6L84eP1r1Q15seqRM/edit?usp=sharing"",""สุโขทัย!J785"")+IMPORTRANGE(""http"&amp;"s://docs.google.com/spreadsheets/d/1v0b9pFQCsKUVExMei7AgY2yQkdeNQvtOssygGsXbiKo/edit?usp=sharing"",""อุตรดิตถ์!J785"")+IMPORTRANGE(""https://docs.google.com/spreadsheets/d/1UsNK1e-WWiCo2PvGqdNfdme4m17_Ezd3J69EeeiQPD0/edit?usp=sharing"",""อุทัยธานี!J785"")"),860)</f>
        <v>860</v>
      </c>
      <c r="K785" s="448">
        <f t="shared" ca="1" si="534"/>
        <v>22.285566208862399</v>
      </c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2.75" x14ac:dyDescent="0.2">
      <c r="A786" s="449"/>
      <c r="B786" s="449"/>
      <c r="C786" s="449"/>
      <c r="D786" s="449"/>
      <c r="E786" s="165"/>
      <c r="F786" s="165"/>
      <c r="G786" s="165"/>
      <c r="H786" s="449"/>
      <c r="I786" s="450"/>
      <c r="J786" s="450"/>
      <c r="K786" s="451"/>
      <c r="L786" s="451"/>
      <c r="M786" s="451"/>
      <c r="N786" s="451"/>
      <c r="O786" s="451"/>
      <c r="P786" s="451"/>
      <c r="Q786" s="451"/>
      <c r="R786" s="451"/>
      <c r="S786" s="451"/>
      <c r="T786" s="451"/>
      <c r="U786" s="451"/>
    </row>
    <row r="787" spans="1:21" ht="16.5" x14ac:dyDescent="0.25">
      <c r="A787" s="452" t="s">
        <v>296</v>
      </c>
      <c r="B787" s="449"/>
      <c r="C787" s="449"/>
      <c r="D787" s="449"/>
      <c r="E787" s="165"/>
      <c r="F787" s="165"/>
      <c r="G787" s="165"/>
      <c r="H787" s="449"/>
      <c r="I787" s="450"/>
      <c r="J787" s="450"/>
      <c r="K787" s="451"/>
      <c r="L787" s="451"/>
      <c r="M787" s="451"/>
      <c r="N787" s="451"/>
      <c r="O787" s="451"/>
      <c r="P787" s="451"/>
      <c r="Q787" s="451"/>
      <c r="R787" s="451"/>
      <c r="S787" s="451"/>
      <c r="T787" s="451"/>
      <c r="U787" s="451"/>
    </row>
    <row r="788" spans="1:21" ht="16.5" x14ac:dyDescent="0.25">
      <c r="A788" s="452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 xml:space="preserve">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449"/>
      <c r="C788" s="449"/>
      <c r="D788" s="449"/>
      <c r="E788" s="165"/>
      <c r="F788" s="165"/>
      <c r="G788" s="165"/>
      <c r="H788" s="449"/>
      <c r="I788" s="450"/>
      <c r="J788" s="450"/>
      <c r="K788" s="451"/>
      <c r="L788" s="451"/>
      <c r="M788" s="451"/>
      <c r="N788" s="451"/>
      <c r="O788" s="451"/>
      <c r="P788" s="451"/>
      <c r="Q788" s="451"/>
      <c r="R788" s="451"/>
      <c r="S788" s="451"/>
      <c r="T788" s="451"/>
      <c r="U788" s="451"/>
    </row>
    <row r="789" spans="1:21" ht="16.5" x14ac:dyDescent="0.25">
      <c r="A789" s="45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449"/>
      <c r="C789" s="449"/>
      <c r="D789" s="449"/>
      <c r="E789" s="165"/>
      <c r="F789" s="165"/>
      <c r="G789" s="165"/>
      <c r="H789" s="449"/>
      <c r="I789" s="450"/>
      <c r="J789" s="450"/>
      <c r="K789" s="451"/>
      <c r="L789" s="451"/>
      <c r="M789" s="451"/>
      <c r="N789" s="451"/>
      <c r="O789" s="451"/>
      <c r="P789" s="451"/>
      <c r="Q789" s="451"/>
      <c r="R789" s="451"/>
      <c r="S789" s="451"/>
      <c r="T789" s="451"/>
      <c r="U789" s="451"/>
    </row>
  </sheetData>
  <mergeCells count="25">
    <mergeCell ref="N5:P5"/>
    <mergeCell ref="Q5:R5"/>
    <mergeCell ref="L4:P4"/>
    <mergeCell ref="Q4:U4"/>
    <mergeCell ref="I5:K5"/>
    <mergeCell ref="L5:M5"/>
    <mergeCell ref="S5:U5"/>
    <mergeCell ref="A1:U1"/>
    <mergeCell ref="A2:U2"/>
    <mergeCell ref="A3:U3"/>
    <mergeCell ref="D714:G714"/>
    <mergeCell ref="D728:G728"/>
    <mergeCell ref="D760:G760"/>
    <mergeCell ref="A5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</mergeCells>
  <pageMargins left="0.70866141732283472" right="0.70866141732283472" top="0.74803149606299213" bottom="0.74803149606299213" header="0.31496062992125984" footer="0.31496062992125984"/>
  <pageSetup paperSize="9" scale="24" fitToHeight="0" orientation="portrait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710E-BE28-44FD-8A39-A9FDEFBE68F4}">
  <sheetPr>
    <outlinePr summaryBelow="0" summaryRight="0"/>
  </sheetPr>
  <dimension ref="A1:U789"/>
  <sheetViews>
    <sheetView view="pageBreakPreview" zoomScale="60" zoomScaleNormal="100" workbookViewId="0">
      <pane xSplit="8" ySplit="6" topLeftCell="I1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style="511" customWidth="1"/>
    <col min="7" max="7" width="61.42578125" style="511" customWidth="1"/>
    <col min="8" max="8" width="9.42578125" style="511" customWidth="1"/>
    <col min="9" max="11" width="15.140625" style="511" customWidth="1"/>
    <col min="12" max="14" width="21.28515625" style="511" bestFit="1" customWidth="1"/>
    <col min="15" max="15" width="19.28515625" style="511" bestFit="1" customWidth="1"/>
    <col min="16" max="16" width="20.85546875" style="511" bestFit="1" customWidth="1"/>
    <col min="17" max="18" width="21.28515625" style="511" bestFit="1" customWidth="1"/>
    <col min="19" max="19" width="18.7109375" style="511" bestFit="1" customWidth="1"/>
    <col min="20" max="20" width="19.28515625" style="511" bestFit="1" customWidth="1"/>
    <col min="21" max="21" width="20.85546875" style="511" bestFit="1" customWidth="1"/>
    <col min="22" max="16384" width="12.5703125" style="511"/>
  </cols>
  <sheetData>
    <row r="1" spans="1:21" ht="15.75" customHeight="1" x14ac:dyDescent="0.3">
      <c r="A1" s="1321" t="s">
        <v>0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  <c r="R1" s="1321"/>
      <c r="S1" s="1321"/>
      <c r="T1" s="1321"/>
      <c r="U1" s="1321"/>
    </row>
    <row r="2" spans="1:21" ht="15.75" customHeight="1" x14ac:dyDescent="0.3">
      <c r="A2" s="1321" t="s">
        <v>297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</row>
    <row r="3" spans="1:21" ht="15.75" customHeight="1" x14ac:dyDescent="0.3">
      <c r="A3" s="1321" t="s">
        <v>350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</row>
    <row r="4" spans="1:21" ht="15.75" customHeight="1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4"/>
      <c r="K4" s="515"/>
      <c r="L4" s="1323" t="s">
        <v>2</v>
      </c>
      <c r="M4" s="1314"/>
      <c r="N4" s="1314"/>
      <c r="O4" s="1314"/>
      <c r="P4" s="1317"/>
      <c r="Q4" s="1324" t="s">
        <v>3</v>
      </c>
      <c r="R4" s="1314"/>
      <c r="S4" s="1314"/>
      <c r="T4" s="1314"/>
      <c r="U4" s="1317"/>
    </row>
    <row r="5" spans="1:21" ht="15.75" customHeight="1" x14ac:dyDescent="0.3">
      <c r="A5" s="1325" t="s">
        <v>4</v>
      </c>
      <c r="B5" s="1322"/>
      <c r="C5" s="1322"/>
      <c r="D5" s="1322"/>
      <c r="E5" s="1322"/>
      <c r="F5" s="1322"/>
      <c r="G5" s="1326"/>
      <c r="H5" s="516" t="s">
        <v>5</v>
      </c>
      <c r="I5" s="1328" t="s">
        <v>6</v>
      </c>
      <c r="J5" s="1314"/>
      <c r="K5" s="1317"/>
      <c r="L5" s="1329" t="s">
        <v>7</v>
      </c>
      <c r="M5" s="1317"/>
      <c r="N5" s="1330" t="s">
        <v>8</v>
      </c>
      <c r="O5" s="1314"/>
      <c r="P5" s="1317"/>
      <c r="Q5" s="1331" t="s">
        <v>7</v>
      </c>
      <c r="R5" s="1317"/>
      <c r="S5" s="1330" t="s">
        <v>8</v>
      </c>
      <c r="T5" s="1314"/>
      <c r="U5" s="1317"/>
    </row>
    <row r="6" spans="1:21" ht="15.75" customHeight="1" x14ac:dyDescent="0.3">
      <c r="A6" s="1327"/>
      <c r="B6" s="1314"/>
      <c r="C6" s="1314"/>
      <c r="D6" s="1314"/>
      <c r="E6" s="1314"/>
      <c r="F6" s="1314"/>
      <c r="G6" s="1317"/>
      <c r="H6" s="517"/>
      <c r="I6" s="518" t="s">
        <v>9</v>
      </c>
      <c r="J6" s="519" t="s">
        <v>10</v>
      </c>
      <c r="K6" s="518" t="s">
        <v>11</v>
      </c>
      <c r="L6" s="520" t="s">
        <v>12</v>
      </c>
      <c r="M6" s="521" t="s">
        <v>13</v>
      </c>
      <c r="N6" s="522" t="s">
        <v>14</v>
      </c>
      <c r="O6" s="523" t="s">
        <v>15</v>
      </c>
      <c r="P6" s="524" t="s">
        <v>16</v>
      </c>
      <c r="Q6" s="525" t="s">
        <v>12</v>
      </c>
      <c r="R6" s="521" t="s">
        <v>13</v>
      </c>
      <c r="S6" s="522" t="s">
        <v>14</v>
      </c>
      <c r="T6" s="523" t="s">
        <v>15</v>
      </c>
      <c r="U6" s="524" t="s">
        <v>16</v>
      </c>
    </row>
    <row r="7" spans="1:21" ht="12.75" hidden="1" x14ac:dyDescent="0.2">
      <c r="A7" s="1316"/>
      <c r="B7" s="1314"/>
      <c r="C7" s="1314"/>
      <c r="D7" s="1314"/>
      <c r="E7" s="1314"/>
      <c r="F7" s="1314"/>
      <c r="G7" s="1317"/>
      <c r="H7" s="526"/>
      <c r="I7" s="527"/>
      <c r="J7" s="527"/>
      <c r="K7" s="528"/>
      <c r="L7" s="529"/>
      <c r="M7" s="528"/>
      <c r="N7" s="528"/>
      <c r="O7" s="528"/>
      <c r="P7" s="528"/>
      <c r="Q7" s="528"/>
      <c r="R7" s="528"/>
      <c r="S7" s="528"/>
      <c r="T7" s="528"/>
      <c r="U7" s="528"/>
    </row>
    <row r="8" spans="1:21" ht="12.75" hidden="1" x14ac:dyDescent="0.2">
      <c r="A8" s="530"/>
      <c r="B8" s="531"/>
      <c r="C8" s="531"/>
      <c r="D8" s="531"/>
      <c r="E8" s="531"/>
      <c r="F8" s="531"/>
      <c r="G8" s="532"/>
      <c r="H8" s="532"/>
      <c r="I8" s="533"/>
      <c r="J8" s="533"/>
      <c r="K8" s="534"/>
      <c r="L8" s="535"/>
      <c r="M8" s="534"/>
      <c r="N8" s="534"/>
      <c r="O8" s="534"/>
      <c r="P8" s="534"/>
      <c r="Q8" s="534"/>
      <c r="R8" s="534"/>
      <c r="S8" s="534"/>
      <c r="T8" s="534"/>
      <c r="U8" s="534"/>
    </row>
    <row r="9" spans="1:21" ht="12.75" hidden="1" x14ac:dyDescent="0.2">
      <c r="A9" s="530"/>
      <c r="B9" s="531"/>
      <c r="C9" s="531"/>
      <c r="D9" s="531"/>
      <c r="E9" s="531"/>
      <c r="F9" s="531"/>
      <c r="G9" s="532"/>
      <c r="H9" s="532"/>
      <c r="I9" s="533"/>
      <c r="J9" s="533"/>
      <c r="K9" s="534"/>
      <c r="L9" s="535"/>
      <c r="M9" s="534"/>
      <c r="N9" s="534"/>
      <c r="O9" s="534"/>
      <c r="P9" s="534"/>
      <c r="Q9" s="534"/>
      <c r="R9" s="534"/>
      <c r="S9" s="534"/>
      <c r="T9" s="534"/>
      <c r="U9" s="534"/>
    </row>
    <row r="10" spans="1:21" ht="12.75" hidden="1" x14ac:dyDescent="0.2">
      <c r="A10" s="530"/>
      <c r="B10" s="531"/>
      <c r="C10" s="531"/>
      <c r="D10" s="531"/>
      <c r="E10" s="531"/>
      <c r="F10" s="531"/>
      <c r="G10" s="532"/>
      <c r="H10" s="532"/>
      <c r="I10" s="533"/>
      <c r="J10" s="533"/>
      <c r="K10" s="534"/>
      <c r="L10" s="535"/>
      <c r="M10" s="534"/>
      <c r="N10" s="534"/>
      <c r="O10" s="534"/>
      <c r="P10" s="534"/>
      <c r="Q10" s="534"/>
      <c r="R10" s="534"/>
      <c r="S10" s="534"/>
      <c r="T10" s="534"/>
      <c r="U10" s="534"/>
    </row>
    <row r="11" spans="1:21" ht="12.75" hidden="1" x14ac:dyDescent="0.2">
      <c r="A11" s="530"/>
      <c r="B11" s="531"/>
      <c r="C11" s="531"/>
      <c r="D11" s="531"/>
      <c r="E11" s="531"/>
      <c r="F11" s="531"/>
      <c r="G11" s="532"/>
      <c r="H11" s="532"/>
      <c r="I11" s="533"/>
      <c r="J11" s="533"/>
      <c r="K11" s="534"/>
      <c r="L11" s="535"/>
      <c r="M11" s="534"/>
      <c r="N11" s="534"/>
      <c r="O11" s="534"/>
      <c r="P11" s="534"/>
      <c r="Q11" s="534"/>
      <c r="R11" s="534"/>
      <c r="S11" s="534"/>
      <c r="T11" s="534"/>
      <c r="U11" s="534"/>
    </row>
    <row r="12" spans="1:21" ht="12.75" hidden="1" x14ac:dyDescent="0.2">
      <c r="A12" s="530"/>
      <c r="B12" s="531"/>
      <c r="C12" s="531"/>
      <c r="D12" s="531"/>
      <c r="E12" s="531"/>
      <c r="F12" s="531"/>
      <c r="G12" s="532"/>
      <c r="H12" s="532"/>
      <c r="I12" s="533"/>
      <c r="J12" s="533"/>
      <c r="K12" s="534"/>
      <c r="L12" s="535"/>
      <c r="M12" s="534"/>
      <c r="N12" s="534"/>
      <c r="O12" s="534"/>
      <c r="P12" s="534"/>
      <c r="Q12" s="534"/>
      <c r="R12" s="534"/>
      <c r="S12" s="534"/>
      <c r="T12" s="534"/>
      <c r="U12" s="534"/>
    </row>
    <row r="13" spans="1:21" ht="12.75" hidden="1" x14ac:dyDescent="0.2">
      <c r="A13" s="530"/>
      <c r="B13" s="531"/>
      <c r="C13" s="531"/>
      <c r="D13" s="531"/>
      <c r="E13" s="531"/>
      <c r="F13" s="531"/>
      <c r="G13" s="532"/>
      <c r="H13" s="532"/>
      <c r="I13" s="533"/>
      <c r="J13" s="533"/>
      <c r="K13" s="534"/>
      <c r="L13" s="535"/>
      <c r="M13" s="534"/>
      <c r="N13" s="534"/>
      <c r="O13" s="534"/>
      <c r="P13" s="534"/>
      <c r="Q13" s="534"/>
      <c r="R13" s="534"/>
      <c r="S13" s="534"/>
      <c r="T13" s="534"/>
      <c r="U13" s="534"/>
    </row>
    <row r="14" spans="1:21" ht="12.75" hidden="1" x14ac:dyDescent="0.2">
      <c r="A14" s="530"/>
      <c r="B14" s="531"/>
      <c r="C14" s="531"/>
      <c r="D14" s="531"/>
      <c r="E14" s="531"/>
      <c r="F14" s="531"/>
      <c r="G14" s="532"/>
      <c r="H14" s="532"/>
      <c r="I14" s="533"/>
      <c r="J14" s="533"/>
      <c r="K14" s="534"/>
      <c r="L14" s="535"/>
      <c r="M14" s="534"/>
      <c r="N14" s="534"/>
      <c r="O14" s="534"/>
      <c r="P14" s="534"/>
      <c r="Q14" s="534"/>
      <c r="R14" s="534"/>
      <c r="S14" s="534"/>
      <c r="T14" s="534"/>
      <c r="U14" s="534"/>
    </row>
    <row r="15" spans="1:21" ht="12.75" hidden="1" x14ac:dyDescent="0.2">
      <c r="A15" s="530"/>
      <c r="B15" s="531"/>
      <c r="C15" s="531"/>
      <c r="D15" s="531"/>
      <c r="E15" s="531"/>
      <c r="F15" s="531"/>
      <c r="G15" s="532"/>
      <c r="H15" s="532"/>
      <c r="I15" s="533"/>
      <c r="J15" s="533"/>
      <c r="K15" s="534"/>
      <c r="L15" s="535"/>
      <c r="M15" s="534"/>
      <c r="N15" s="534"/>
      <c r="O15" s="534"/>
      <c r="P15" s="534"/>
      <c r="Q15" s="534"/>
      <c r="R15" s="534"/>
      <c r="S15" s="534"/>
      <c r="T15" s="534"/>
      <c r="U15" s="534"/>
    </row>
    <row r="16" spans="1:21" ht="12.75" hidden="1" x14ac:dyDescent="0.2">
      <c r="A16" s="536"/>
      <c r="B16" s="537"/>
      <c r="C16" s="537"/>
      <c r="D16" s="537"/>
      <c r="E16" s="537"/>
      <c r="F16" s="537"/>
      <c r="G16" s="526"/>
      <c r="H16" s="526"/>
      <c r="I16" s="527"/>
      <c r="J16" s="527"/>
      <c r="K16" s="528"/>
      <c r="L16" s="529"/>
      <c r="M16" s="528"/>
      <c r="N16" s="528"/>
      <c r="O16" s="528"/>
      <c r="P16" s="528"/>
      <c r="Q16" s="528"/>
      <c r="R16" s="528"/>
      <c r="S16" s="528"/>
      <c r="T16" s="528"/>
      <c r="U16" s="528"/>
    </row>
    <row r="17" spans="1:21" ht="15.75" customHeight="1" x14ac:dyDescent="0.3">
      <c r="A17" s="1318" t="s">
        <v>298</v>
      </c>
      <c r="B17" s="1314"/>
      <c r="C17" s="1314"/>
      <c r="D17" s="1314"/>
      <c r="E17" s="1314"/>
      <c r="F17" s="1314"/>
      <c r="G17" s="1317"/>
      <c r="H17" s="538"/>
      <c r="I17" s="539"/>
      <c r="J17" s="539"/>
      <c r="K17" s="540"/>
      <c r="L17" s="541"/>
      <c r="M17" s="540"/>
      <c r="N17" s="540"/>
      <c r="O17" s="540"/>
      <c r="P17" s="540"/>
      <c r="Q17" s="540"/>
      <c r="R17" s="540"/>
      <c r="S17" s="540"/>
      <c r="T17" s="540"/>
      <c r="U17" s="540"/>
    </row>
    <row r="18" spans="1:21" ht="15.75" customHeight="1" x14ac:dyDescent="0.3">
      <c r="A18" s="542"/>
      <c r="B18" s="543"/>
      <c r="C18" s="544" t="s">
        <v>18</v>
      </c>
      <c r="D18" s="545" t="s">
        <v>19</v>
      </c>
      <c r="E18" s="543"/>
      <c r="F18" s="543"/>
      <c r="G18" s="546"/>
      <c r="H18" s="547" t="s">
        <v>14</v>
      </c>
      <c r="I18" s="548"/>
      <c r="J18" s="548"/>
      <c r="K18" s="549"/>
      <c r="L18" s="550">
        <f t="shared" ref="L18:N18" ca="1" si="0">L19+L20</f>
        <v>3131202</v>
      </c>
      <c r="M18" s="551">
        <f t="shared" ca="1" si="0"/>
        <v>2877922</v>
      </c>
      <c r="N18" s="551">
        <f t="shared" ca="1" si="0"/>
        <v>2022192.03</v>
      </c>
      <c r="O18" s="551">
        <f t="shared" ref="O18:O26" ca="1" si="1">IF(L18&gt;0,N18*100/L18,0)</f>
        <v>64.581972993118939</v>
      </c>
      <c r="P18" s="551">
        <f t="shared" ref="P18:P26" ca="1" si="2">IF(M18&gt;0,N18*100/M18,0)</f>
        <v>70.265699695822192</v>
      </c>
      <c r="Q18" s="551">
        <f t="shared" ref="Q18:S18" ca="1" si="3">Q19+Q20</f>
        <v>3355744.24</v>
      </c>
      <c r="R18" s="551">
        <f t="shared" ca="1" si="3"/>
        <v>3355744</v>
      </c>
      <c r="S18" s="551">
        <f t="shared" ca="1" si="3"/>
        <v>710760</v>
      </c>
      <c r="T18" s="551">
        <f t="shared" ref="T18:T26" ca="1" si="4">IF(Q18&gt;0,S18*100/Q18,0)</f>
        <v>21.180398420351604</v>
      </c>
      <c r="U18" s="551">
        <f t="shared" ref="U18:U26" ca="1" si="5">IF(R18&gt;0,S18*100/R18,0)</f>
        <v>21.180399935155961</v>
      </c>
    </row>
    <row r="19" spans="1:21" ht="15.75" customHeight="1" x14ac:dyDescent="0.25">
      <c r="A19" s="542"/>
      <c r="B19" s="543"/>
      <c r="C19" s="543"/>
      <c r="D19" s="543"/>
      <c r="E19" s="552" t="s">
        <v>20</v>
      </c>
      <c r="F19" s="543"/>
      <c r="G19" s="546"/>
      <c r="H19" s="553" t="s">
        <v>14</v>
      </c>
      <c r="I19" s="548"/>
      <c r="J19" s="548"/>
      <c r="K19" s="549"/>
      <c r="L19" s="554">
        <f t="shared" ref="L19:N20" si="6">L22+L25</f>
        <v>0</v>
      </c>
      <c r="M19" s="555">
        <f t="shared" si="6"/>
        <v>0</v>
      </c>
      <c r="N19" s="555">
        <f t="shared" si="6"/>
        <v>0</v>
      </c>
      <c r="O19" s="555">
        <f t="shared" si="1"/>
        <v>0</v>
      </c>
      <c r="P19" s="555">
        <f t="shared" si="2"/>
        <v>0</v>
      </c>
      <c r="Q19" s="555">
        <f t="shared" ref="Q19:S20" si="7">Q22+Q25</f>
        <v>0</v>
      </c>
      <c r="R19" s="555">
        <f t="shared" si="7"/>
        <v>0</v>
      </c>
      <c r="S19" s="555">
        <f t="shared" si="7"/>
        <v>0</v>
      </c>
      <c r="T19" s="555">
        <f t="shared" si="4"/>
        <v>0</v>
      </c>
      <c r="U19" s="555">
        <f t="shared" si="5"/>
        <v>0</v>
      </c>
    </row>
    <row r="20" spans="1:21" ht="15.75" customHeight="1" x14ac:dyDescent="0.25">
      <c r="A20" s="542"/>
      <c r="B20" s="543"/>
      <c r="C20" s="543"/>
      <c r="D20" s="543"/>
      <c r="E20" s="556" t="s">
        <v>21</v>
      </c>
      <c r="F20" s="543"/>
      <c r="G20" s="546"/>
      <c r="H20" s="557" t="s">
        <v>14</v>
      </c>
      <c r="I20" s="548"/>
      <c r="J20" s="548"/>
      <c r="K20" s="549"/>
      <c r="L20" s="558">
        <f t="shared" ca="1" si="6"/>
        <v>3131202</v>
      </c>
      <c r="M20" s="559">
        <f t="shared" ca="1" si="6"/>
        <v>2877922</v>
      </c>
      <c r="N20" s="559">
        <f t="shared" ca="1" si="6"/>
        <v>2022192.03</v>
      </c>
      <c r="O20" s="559">
        <f t="shared" ca="1" si="1"/>
        <v>64.581972993118939</v>
      </c>
      <c r="P20" s="559">
        <f t="shared" ca="1" si="2"/>
        <v>70.265699695822192</v>
      </c>
      <c r="Q20" s="559">
        <f t="shared" ca="1" si="7"/>
        <v>3355744.24</v>
      </c>
      <c r="R20" s="559">
        <f t="shared" ca="1" si="7"/>
        <v>3355744</v>
      </c>
      <c r="S20" s="559">
        <f t="shared" ca="1" si="7"/>
        <v>710760</v>
      </c>
      <c r="T20" s="559">
        <f t="shared" ca="1" si="4"/>
        <v>21.180398420351604</v>
      </c>
      <c r="U20" s="559">
        <f t="shared" ca="1" si="5"/>
        <v>21.180399935155961</v>
      </c>
    </row>
    <row r="21" spans="1:21" ht="15.75" customHeight="1" x14ac:dyDescent="0.25">
      <c r="A21" s="560"/>
      <c r="B21" s="561"/>
      <c r="C21" s="561"/>
      <c r="D21" s="562" t="s">
        <v>22</v>
      </c>
      <c r="E21" s="561"/>
      <c r="F21" s="561"/>
      <c r="G21" s="563"/>
      <c r="H21" s="564" t="s">
        <v>14</v>
      </c>
      <c r="I21" s="565"/>
      <c r="J21" s="565"/>
      <c r="K21" s="566"/>
      <c r="L21" s="567">
        <f t="shared" ref="L21:N21" ca="1" si="8">L22+L23</f>
        <v>3131202</v>
      </c>
      <c r="M21" s="568">
        <f t="shared" ca="1" si="8"/>
        <v>2877922</v>
      </c>
      <c r="N21" s="568">
        <f t="shared" ca="1" si="8"/>
        <v>2022192.03</v>
      </c>
      <c r="O21" s="568">
        <f t="shared" ca="1" si="1"/>
        <v>64.581972993118939</v>
      </c>
      <c r="P21" s="568">
        <f t="shared" ca="1" si="2"/>
        <v>70.265699695822192</v>
      </c>
      <c r="Q21" s="568">
        <f t="shared" ref="Q21:S21" ca="1" si="9">Q22+Q23</f>
        <v>3355744.24</v>
      </c>
      <c r="R21" s="568">
        <f t="shared" ca="1" si="9"/>
        <v>3355744</v>
      </c>
      <c r="S21" s="568">
        <f t="shared" ca="1" si="9"/>
        <v>710760</v>
      </c>
      <c r="T21" s="568">
        <f t="shared" ca="1" si="4"/>
        <v>21.180398420351604</v>
      </c>
      <c r="U21" s="568">
        <f t="shared" ca="1" si="5"/>
        <v>21.180399935155961</v>
      </c>
    </row>
    <row r="22" spans="1:21" ht="15.75" customHeight="1" x14ac:dyDescent="0.25">
      <c r="A22" s="560"/>
      <c r="B22" s="561"/>
      <c r="C22" s="561"/>
      <c r="D22" s="561"/>
      <c r="E22" s="569" t="s">
        <v>20</v>
      </c>
      <c r="F22" s="561"/>
      <c r="G22" s="563"/>
      <c r="H22" s="570" t="s">
        <v>14</v>
      </c>
      <c r="I22" s="565"/>
      <c r="J22" s="565"/>
      <c r="K22" s="566"/>
      <c r="L22" s="571">
        <f t="shared" ref="L22:N23" si="10">L48+L63+L76+L98+L129+L143+L161+L190+L177+L270+L286+L307+L324+L337+L360+L517</f>
        <v>0</v>
      </c>
      <c r="M22" s="572">
        <f t="shared" si="10"/>
        <v>0</v>
      </c>
      <c r="N22" s="572">
        <f t="shared" si="10"/>
        <v>0</v>
      </c>
      <c r="O22" s="572">
        <f t="shared" si="1"/>
        <v>0</v>
      </c>
      <c r="P22" s="572">
        <f t="shared" si="2"/>
        <v>0</v>
      </c>
      <c r="Q22" s="572">
        <f t="shared" ref="Q22:S23" si="11">Q76+Q98+Q121+Q143+Q161+Q177+Q190+Q270+Q286+Q307+Q337+Q379+Q396+Q417+Q497+Q603+Q620+Q646+Q694+Q718+Q732+Q764</f>
        <v>0</v>
      </c>
      <c r="R22" s="572">
        <f t="shared" si="11"/>
        <v>0</v>
      </c>
      <c r="S22" s="572">
        <f t="shared" si="11"/>
        <v>0</v>
      </c>
      <c r="T22" s="572">
        <f t="shared" si="4"/>
        <v>0</v>
      </c>
      <c r="U22" s="572">
        <f t="shared" si="5"/>
        <v>0</v>
      </c>
    </row>
    <row r="23" spans="1:21" ht="15.75" customHeight="1" x14ac:dyDescent="0.25">
      <c r="A23" s="560"/>
      <c r="B23" s="561"/>
      <c r="C23" s="561"/>
      <c r="D23" s="561"/>
      <c r="E23" s="573" t="s">
        <v>21</v>
      </c>
      <c r="F23" s="561"/>
      <c r="G23" s="563"/>
      <c r="H23" s="564" t="s">
        <v>14</v>
      </c>
      <c r="I23" s="565"/>
      <c r="J23" s="565"/>
      <c r="K23" s="566"/>
      <c r="L23" s="567">
        <f t="shared" ca="1" si="10"/>
        <v>3131202</v>
      </c>
      <c r="M23" s="568">
        <f t="shared" ca="1" si="10"/>
        <v>2877922</v>
      </c>
      <c r="N23" s="568">
        <f t="shared" ca="1" si="10"/>
        <v>2022192.03</v>
      </c>
      <c r="O23" s="568">
        <f t="shared" ca="1" si="1"/>
        <v>64.581972993118939</v>
      </c>
      <c r="P23" s="568">
        <f t="shared" ca="1" si="2"/>
        <v>70.265699695822192</v>
      </c>
      <c r="Q23" s="568">
        <f t="shared" ca="1" si="11"/>
        <v>3355744.24</v>
      </c>
      <c r="R23" s="568">
        <f t="shared" ca="1" si="11"/>
        <v>3355744</v>
      </c>
      <c r="S23" s="568">
        <f t="shared" ca="1" si="11"/>
        <v>710760</v>
      </c>
      <c r="T23" s="568">
        <f t="shared" ca="1" si="4"/>
        <v>21.180398420351604</v>
      </c>
      <c r="U23" s="568">
        <f t="shared" ca="1" si="5"/>
        <v>21.180399935155961</v>
      </c>
    </row>
    <row r="24" spans="1:21" ht="15.75" customHeight="1" x14ac:dyDescent="0.25">
      <c r="A24" s="560"/>
      <c r="B24" s="561"/>
      <c r="C24" s="561"/>
      <c r="D24" s="562" t="s">
        <v>23</v>
      </c>
      <c r="E24" s="561"/>
      <c r="F24" s="561"/>
      <c r="G24" s="563"/>
      <c r="H24" s="564" t="s">
        <v>14</v>
      </c>
      <c r="I24" s="565"/>
      <c r="J24" s="565"/>
      <c r="K24" s="566"/>
      <c r="L24" s="567">
        <f t="shared" ref="L24:N24" ca="1" si="12">L25+L26</f>
        <v>0</v>
      </c>
      <c r="M24" s="568">
        <f t="shared" ca="1" si="12"/>
        <v>0</v>
      </c>
      <c r="N24" s="568">
        <f t="shared" ca="1" si="12"/>
        <v>0</v>
      </c>
      <c r="O24" s="568">
        <f t="shared" ca="1" si="1"/>
        <v>0</v>
      </c>
      <c r="P24" s="568">
        <f t="shared" ca="1" si="2"/>
        <v>0</v>
      </c>
      <c r="Q24" s="568">
        <f t="shared" ref="Q24:S24" ca="1" si="13">Q25+Q26</f>
        <v>0</v>
      </c>
      <c r="R24" s="568">
        <f t="shared" ca="1" si="13"/>
        <v>0</v>
      </c>
      <c r="S24" s="568">
        <f t="shared" ca="1" si="13"/>
        <v>0</v>
      </c>
      <c r="T24" s="568">
        <f t="shared" ca="1" si="4"/>
        <v>0</v>
      </c>
      <c r="U24" s="568">
        <f t="shared" ca="1" si="5"/>
        <v>0</v>
      </c>
    </row>
    <row r="25" spans="1:21" ht="15.75" customHeight="1" x14ac:dyDescent="0.25">
      <c r="A25" s="560"/>
      <c r="B25" s="561"/>
      <c r="C25" s="561"/>
      <c r="D25" s="561"/>
      <c r="E25" s="569" t="s">
        <v>20</v>
      </c>
      <c r="F25" s="561"/>
      <c r="G25" s="563"/>
      <c r="H25" s="570" t="s">
        <v>14</v>
      </c>
      <c r="I25" s="565"/>
      <c r="J25" s="565"/>
      <c r="K25" s="566"/>
      <c r="L25" s="571">
        <f t="shared" ref="L25:N26" si="14">L51+L66+L79+L101+L132+L146+L164+L193+L180+L273+L289+L310+L327+L340+L363+L520</f>
        <v>0</v>
      </c>
      <c r="M25" s="572">
        <f t="shared" si="14"/>
        <v>0</v>
      </c>
      <c r="N25" s="572">
        <f t="shared" si="14"/>
        <v>0</v>
      </c>
      <c r="O25" s="572">
        <f t="shared" si="1"/>
        <v>0</v>
      </c>
      <c r="P25" s="572">
        <f t="shared" si="2"/>
        <v>0</v>
      </c>
      <c r="Q25" s="572">
        <f t="shared" ref="Q25:S26" si="15">Q79+Q101+Q124+Q146+Q164+Q180+Q193+Q273+Q289+Q310+Q340+Q382+Q399+Q420+Q500+Q606+Q623+Q649+Q697+Q721+Q735+Q767</f>
        <v>0</v>
      </c>
      <c r="R25" s="572">
        <f t="shared" si="15"/>
        <v>0</v>
      </c>
      <c r="S25" s="572">
        <f t="shared" si="15"/>
        <v>0</v>
      </c>
      <c r="T25" s="572">
        <f t="shared" si="4"/>
        <v>0</v>
      </c>
      <c r="U25" s="572">
        <f t="shared" si="5"/>
        <v>0</v>
      </c>
    </row>
    <row r="26" spans="1:21" ht="15.75" customHeight="1" x14ac:dyDescent="0.25">
      <c r="A26" s="560"/>
      <c r="B26" s="561"/>
      <c r="C26" s="561"/>
      <c r="D26" s="561"/>
      <c r="E26" s="573" t="s">
        <v>21</v>
      </c>
      <c r="F26" s="561"/>
      <c r="G26" s="563"/>
      <c r="H26" s="564" t="s">
        <v>14</v>
      </c>
      <c r="I26" s="565"/>
      <c r="J26" s="565"/>
      <c r="K26" s="566"/>
      <c r="L26" s="567">
        <f t="shared" ca="1" si="14"/>
        <v>0</v>
      </c>
      <c r="M26" s="568">
        <f t="shared" ca="1" si="14"/>
        <v>0</v>
      </c>
      <c r="N26" s="568">
        <f t="shared" ca="1" si="14"/>
        <v>0</v>
      </c>
      <c r="O26" s="568">
        <f t="shared" ca="1" si="1"/>
        <v>0</v>
      </c>
      <c r="P26" s="568">
        <f t="shared" ca="1" si="2"/>
        <v>0</v>
      </c>
      <c r="Q26" s="572">
        <f t="shared" ca="1" si="15"/>
        <v>0</v>
      </c>
      <c r="R26" s="572">
        <f t="shared" ca="1" si="15"/>
        <v>0</v>
      </c>
      <c r="S26" s="572">
        <f t="shared" ca="1" si="15"/>
        <v>0</v>
      </c>
      <c r="T26" s="568">
        <f t="shared" ca="1" si="4"/>
        <v>0</v>
      </c>
      <c r="U26" s="568">
        <f t="shared" ca="1" si="5"/>
        <v>0</v>
      </c>
    </row>
    <row r="27" spans="1:21" ht="15.75" customHeight="1" x14ac:dyDescent="0.25">
      <c r="A27" s="560"/>
      <c r="B27" s="561"/>
      <c r="C27" s="561"/>
      <c r="D27" s="562" t="s">
        <v>24</v>
      </c>
      <c r="E27" s="561"/>
      <c r="F27" s="561"/>
      <c r="G27" s="563"/>
      <c r="H27" s="564" t="s">
        <v>14</v>
      </c>
      <c r="I27" s="565"/>
      <c r="J27" s="565"/>
      <c r="K27" s="566"/>
      <c r="L27" s="574"/>
      <c r="M27" s="566"/>
      <c r="N27" s="566"/>
      <c r="O27" s="566"/>
      <c r="P27" s="566"/>
      <c r="Q27" s="566"/>
      <c r="R27" s="566"/>
      <c r="S27" s="566"/>
      <c r="T27" s="566"/>
      <c r="U27" s="566"/>
    </row>
    <row r="28" spans="1:21" ht="15.75" customHeight="1" x14ac:dyDescent="0.25">
      <c r="A28" s="560"/>
      <c r="B28" s="561"/>
      <c r="C28" s="561"/>
      <c r="D28" s="561"/>
      <c r="E28" s="569" t="s">
        <v>20</v>
      </c>
      <c r="F28" s="561"/>
      <c r="G28" s="563"/>
      <c r="H28" s="570" t="s">
        <v>14</v>
      </c>
      <c r="I28" s="565"/>
      <c r="J28" s="565"/>
      <c r="K28" s="566"/>
      <c r="L28" s="574"/>
      <c r="M28" s="566"/>
      <c r="N28" s="566"/>
      <c r="O28" s="566"/>
      <c r="P28" s="566"/>
      <c r="Q28" s="566"/>
      <c r="R28" s="566"/>
      <c r="S28" s="566"/>
      <c r="T28" s="566"/>
      <c r="U28" s="566"/>
    </row>
    <row r="29" spans="1:21" ht="15.75" customHeight="1" x14ac:dyDescent="0.25">
      <c r="A29" s="575"/>
      <c r="B29" s="513"/>
      <c r="C29" s="513"/>
      <c r="D29" s="513"/>
      <c r="E29" s="576" t="s">
        <v>21</v>
      </c>
      <c r="F29" s="513"/>
      <c r="G29" s="577"/>
      <c r="H29" s="578" t="s">
        <v>14</v>
      </c>
      <c r="I29" s="579"/>
      <c r="J29" s="579"/>
      <c r="K29" s="580"/>
      <c r="L29" s="581"/>
      <c r="M29" s="580"/>
      <c r="N29" s="580"/>
      <c r="O29" s="580"/>
      <c r="P29" s="580"/>
      <c r="Q29" s="580"/>
      <c r="R29" s="580"/>
      <c r="S29" s="580"/>
      <c r="T29" s="580"/>
      <c r="U29" s="580"/>
    </row>
    <row r="30" spans="1:21" ht="12.75" hidden="1" x14ac:dyDescent="0.2">
      <c r="A30" s="1316"/>
      <c r="B30" s="1314"/>
      <c r="C30" s="1314"/>
      <c r="D30" s="1314"/>
      <c r="E30" s="1314"/>
      <c r="F30" s="1314"/>
      <c r="G30" s="1317"/>
      <c r="H30" s="526"/>
      <c r="I30" s="527"/>
      <c r="J30" s="527"/>
      <c r="K30" s="528"/>
      <c r="L30" s="529"/>
      <c r="M30" s="528"/>
      <c r="N30" s="528"/>
      <c r="O30" s="528"/>
      <c r="P30" s="528"/>
      <c r="Q30" s="528"/>
      <c r="R30" s="528"/>
      <c r="S30" s="528"/>
      <c r="T30" s="528"/>
      <c r="U30" s="528"/>
    </row>
    <row r="31" spans="1:21" ht="12.75" hidden="1" x14ac:dyDescent="0.2">
      <c r="A31" s="530"/>
      <c r="B31" s="531"/>
      <c r="C31" s="531"/>
      <c r="D31" s="531"/>
      <c r="E31" s="531"/>
      <c r="F31" s="531"/>
      <c r="G31" s="532"/>
      <c r="H31" s="532"/>
      <c r="I31" s="533"/>
      <c r="J31" s="533"/>
      <c r="K31" s="534"/>
      <c r="L31" s="535"/>
      <c r="M31" s="534"/>
      <c r="N31" s="534"/>
      <c r="O31" s="534"/>
      <c r="P31" s="534"/>
      <c r="Q31" s="534"/>
      <c r="R31" s="534"/>
      <c r="S31" s="534"/>
      <c r="T31" s="534"/>
      <c r="U31" s="534"/>
    </row>
    <row r="32" spans="1:21" ht="12.75" hidden="1" x14ac:dyDescent="0.2">
      <c r="A32" s="530"/>
      <c r="B32" s="531"/>
      <c r="C32" s="531"/>
      <c r="D32" s="531"/>
      <c r="E32" s="531"/>
      <c r="F32" s="531"/>
      <c r="G32" s="532"/>
      <c r="H32" s="532"/>
      <c r="I32" s="533"/>
      <c r="J32" s="533"/>
      <c r="K32" s="534"/>
      <c r="L32" s="535"/>
      <c r="M32" s="534"/>
      <c r="N32" s="534"/>
      <c r="O32" s="534"/>
      <c r="P32" s="534"/>
      <c r="Q32" s="534"/>
      <c r="R32" s="534"/>
      <c r="S32" s="534"/>
      <c r="T32" s="534"/>
      <c r="U32" s="534"/>
    </row>
    <row r="33" spans="1:21" ht="12.75" hidden="1" x14ac:dyDescent="0.2">
      <c r="A33" s="530"/>
      <c r="B33" s="531"/>
      <c r="C33" s="531"/>
      <c r="D33" s="531"/>
      <c r="E33" s="531"/>
      <c r="F33" s="531"/>
      <c r="G33" s="532"/>
      <c r="H33" s="532"/>
      <c r="I33" s="533"/>
      <c r="J33" s="533"/>
      <c r="K33" s="534"/>
      <c r="L33" s="535"/>
      <c r="M33" s="534"/>
      <c r="N33" s="534"/>
      <c r="O33" s="534"/>
      <c r="P33" s="534"/>
      <c r="Q33" s="534"/>
      <c r="R33" s="534"/>
      <c r="S33" s="534"/>
      <c r="T33" s="534"/>
      <c r="U33" s="534"/>
    </row>
    <row r="34" spans="1:21" ht="12.75" hidden="1" x14ac:dyDescent="0.2">
      <c r="A34" s="530"/>
      <c r="B34" s="531"/>
      <c r="C34" s="531"/>
      <c r="D34" s="531"/>
      <c r="E34" s="531"/>
      <c r="F34" s="531"/>
      <c r="G34" s="532"/>
      <c r="H34" s="532"/>
      <c r="I34" s="533"/>
      <c r="J34" s="533"/>
      <c r="K34" s="534"/>
      <c r="L34" s="535"/>
      <c r="M34" s="534"/>
      <c r="N34" s="534"/>
      <c r="O34" s="534"/>
      <c r="P34" s="534"/>
      <c r="Q34" s="534"/>
      <c r="R34" s="534"/>
      <c r="S34" s="534"/>
      <c r="T34" s="534"/>
      <c r="U34" s="534"/>
    </row>
    <row r="35" spans="1:21" ht="12.75" hidden="1" x14ac:dyDescent="0.2">
      <c r="A35" s="530"/>
      <c r="B35" s="531"/>
      <c r="C35" s="531"/>
      <c r="D35" s="531"/>
      <c r="E35" s="531"/>
      <c r="F35" s="531"/>
      <c r="G35" s="532"/>
      <c r="H35" s="532"/>
      <c r="I35" s="533"/>
      <c r="J35" s="533"/>
      <c r="K35" s="534"/>
      <c r="L35" s="535"/>
      <c r="M35" s="534"/>
      <c r="N35" s="534"/>
      <c r="O35" s="534"/>
      <c r="P35" s="534"/>
      <c r="Q35" s="534"/>
      <c r="R35" s="534"/>
      <c r="S35" s="534"/>
      <c r="T35" s="534"/>
      <c r="U35" s="534"/>
    </row>
    <row r="36" spans="1:21" ht="12.75" hidden="1" x14ac:dyDescent="0.2">
      <c r="A36" s="530"/>
      <c r="B36" s="531"/>
      <c r="C36" s="531"/>
      <c r="D36" s="531"/>
      <c r="E36" s="531"/>
      <c r="F36" s="531"/>
      <c r="G36" s="532"/>
      <c r="H36" s="532"/>
      <c r="I36" s="533"/>
      <c r="J36" s="533"/>
      <c r="K36" s="534"/>
      <c r="L36" s="535"/>
      <c r="M36" s="534"/>
      <c r="N36" s="534"/>
      <c r="O36" s="534"/>
      <c r="P36" s="534"/>
      <c r="Q36" s="534"/>
      <c r="R36" s="534"/>
      <c r="S36" s="534"/>
      <c r="T36" s="534"/>
      <c r="U36" s="534"/>
    </row>
    <row r="37" spans="1:21" ht="12.75" hidden="1" x14ac:dyDescent="0.2">
      <c r="A37" s="530"/>
      <c r="B37" s="531"/>
      <c r="C37" s="531"/>
      <c r="D37" s="531"/>
      <c r="E37" s="531"/>
      <c r="F37" s="531"/>
      <c r="G37" s="532"/>
      <c r="H37" s="532"/>
      <c r="I37" s="533"/>
      <c r="J37" s="533"/>
      <c r="K37" s="534"/>
      <c r="L37" s="535"/>
      <c r="M37" s="534"/>
      <c r="N37" s="534"/>
      <c r="O37" s="534"/>
      <c r="P37" s="534"/>
      <c r="Q37" s="534"/>
      <c r="R37" s="534"/>
      <c r="S37" s="534"/>
      <c r="T37" s="534"/>
      <c r="U37" s="534"/>
    </row>
    <row r="38" spans="1:21" ht="12.75" hidden="1" x14ac:dyDescent="0.2">
      <c r="A38" s="530"/>
      <c r="B38" s="531"/>
      <c r="C38" s="531"/>
      <c r="D38" s="531"/>
      <c r="E38" s="531"/>
      <c r="F38" s="531"/>
      <c r="G38" s="532"/>
      <c r="H38" s="532"/>
      <c r="I38" s="533"/>
      <c r="J38" s="533"/>
      <c r="K38" s="534"/>
      <c r="L38" s="535"/>
      <c r="M38" s="534"/>
      <c r="N38" s="534"/>
      <c r="O38" s="534"/>
      <c r="P38" s="534"/>
      <c r="Q38" s="534"/>
      <c r="R38" s="534"/>
      <c r="S38" s="534"/>
      <c r="T38" s="534"/>
      <c r="U38" s="534"/>
    </row>
    <row r="39" spans="1:21" ht="12.75" hidden="1" x14ac:dyDescent="0.2">
      <c r="A39" s="536"/>
      <c r="B39" s="537"/>
      <c r="C39" s="537"/>
      <c r="D39" s="537"/>
      <c r="E39" s="537"/>
      <c r="F39" s="537"/>
      <c r="G39" s="526"/>
      <c r="H39" s="526"/>
      <c r="I39" s="527"/>
      <c r="J39" s="527"/>
      <c r="K39" s="528"/>
      <c r="L39" s="529"/>
      <c r="M39" s="528"/>
      <c r="N39" s="528"/>
      <c r="O39" s="528"/>
      <c r="P39" s="528"/>
      <c r="Q39" s="528"/>
      <c r="R39" s="528"/>
      <c r="S39" s="528"/>
      <c r="T39" s="528"/>
      <c r="U39" s="528"/>
    </row>
    <row r="40" spans="1:21" ht="19.5" x14ac:dyDescent="0.3">
      <c r="A40" s="582" t="s">
        <v>25</v>
      </c>
      <c r="B40" s="583"/>
      <c r="C40" s="583"/>
      <c r="D40" s="583"/>
      <c r="E40" s="583"/>
      <c r="F40" s="583"/>
      <c r="G40" s="584"/>
      <c r="H40" s="584"/>
      <c r="I40" s="585"/>
      <c r="J40" s="585"/>
      <c r="K40" s="586"/>
      <c r="L40" s="587">
        <f t="shared" ref="L40:N40" ca="1" si="16">L44+L59+L72+L94+L125+L139+L157+L173+L186+L266+L282+L303+L320+L333+L356</f>
        <v>3131202</v>
      </c>
      <c r="M40" s="588">
        <f t="shared" ca="1" si="16"/>
        <v>2877922</v>
      </c>
      <c r="N40" s="588">
        <f t="shared" ca="1" si="16"/>
        <v>2022192.03</v>
      </c>
      <c r="O40" s="588">
        <f ca="1">IF(L40&gt;0,N40*100/L40,0)</f>
        <v>64.581972993118939</v>
      </c>
      <c r="P40" s="588">
        <f ca="1">IF(M40&gt;0,N40*100/M40,0)</f>
        <v>70.265699695822192</v>
      </c>
      <c r="Q40" s="586"/>
      <c r="R40" s="586"/>
      <c r="S40" s="586"/>
      <c r="T40" s="586"/>
      <c r="U40" s="586"/>
    </row>
    <row r="41" spans="1:21" ht="19.5" x14ac:dyDescent="0.3">
      <c r="A41" s="589" t="s">
        <v>26</v>
      </c>
      <c r="B41" s="590"/>
      <c r="C41" s="590"/>
      <c r="D41" s="590"/>
      <c r="E41" s="590"/>
      <c r="F41" s="590"/>
      <c r="G41" s="590"/>
      <c r="H41" s="590"/>
      <c r="I41" s="591"/>
      <c r="J41" s="591"/>
      <c r="K41" s="592"/>
      <c r="L41" s="592"/>
      <c r="M41" s="592"/>
      <c r="N41" s="592"/>
      <c r="O41" s="592"/>
      <c r="P41" s="593"/>
      <c r="Q41" s="592"/>
      <c r="R41" s="592"/>
      <c r="S41" s="592"/>
      <c r="T41" s="592"/>
      <c r="U41" s="593"/>
    </row>
    <row r="42" spans="1:21" ht="19.5" x14ac:dyDescent="0.3">
      <c r="A42" s="594"/>
      <c r="B42" s="595" t="s">
        <v>27</v>
      </c>
      <c r="C42" s="594"/>
      <c r="D42" s="594"/>
      <c r="E42" s="594"/>
      <c r="F42" s="594"/>
      <c r="G42" s="596"/>
      <c r="H42" s="596"/>
      <c r="I42" s="597"/>
      <c r="J42" s="597"/>
      <c r="K42" s="598"/>
      <c r="L42" s="599"/>
      <c r="M42" s="598"/>
      <c r="N42" s="598"/>
      <c r="O42" s="598"/>
      <c r="P42" s="598"/>
      <c r="Q42" s="598"/>
      <c r="R42" s="598"/>
      <c r="S42" s="598"/>
      <c r="T42" s="598"/>
      <c r="U42" s="598"/>
    </row>
    <row r="43" spans="1:21" ht="12.75" hidden="1" x14ac:dyDescent="0.2">
      <c r="A43" s="530"/>
      <c r="B43" s="531"/>
      <c r="C43" s="531"/>
      <c r="D43" s="531"/>
      <c r="E43" s="531"/>
      <c r="F43" s="531"/>
      <c r="G43" s="532"/>
      <c r="H43" s="532"/>
      <c r="I43" s="533"/>
      <c r="J43" s="533"/>
      <c r="K43" s="534"/>
      <c r="L43" s="535"/>
      <c r="M43" s="534"/>
      <c r="N43" s="534"/>
      <c r="O43" s="534"/>
      <c r="P43" s="534"/>
      <c r="Q43" s="534"/>
      <c r="R43" s="534"/>
      <c r="S43" s="534"/>
      <c r="T43" s="534"/>
      <c r="U43" s="534"/>
    </row>
    <row r="44" spans="1:21" ht="19.5" x14ac:dyDescent="0.3">
      <c r="A44" s="600"/>
      <c r="B44" s="601"/>
      <c r="C44" s="602" t="s">
        <v>18</v>
      </c>
      <c r="D44" s="603" t="s">
        <v>19</v>
      </c>
      <c r="E44" s="601"/>
      <c r="F44" s="601"/>
      <c r="G44" s="604"/>
      <c r="H44" s="605" t="s">
        <v>14</v>
      </c>
      <c r="I44" s="606"/>
      <c r="J44" s="606"/>
      <c r="K44" s="607"/>
      <c r="L44" s="608">
        <f t="shared" ref="L44:N44" ca="1" si="17">L45+L46</f>
        <v>486312</v>
      </c>
      <c r="M44" s="609">
        <f t="shared" ca="1" si="17"/>
        <v>566190</v>
      </c>
      <c r="N44" s="609">
        <f t="shared" ca="1" si="17"/>
        <v>370756</v>
      </c>
      <c r="O44" s="609">
        <f t="shared" ref="O44:O52" ca="1" si="18">IF(L44&gt;0,N44*100/L44,0)</f>
        <v>76.238299692378561</v>
      </c>
      <c r="P44" s="609">
        <f t="shared" ref="P44:P52" ca="1" si="19">IF(M44&gt;0,N44*100/M44,0)</f>
        <v>65.482611844080608</v>
      </c>
      <c r="Q44" s="609">
        <f t="shared" ref="Q44:S44" si="20">Q45+Q46</f>
        <v>0</v>
      </c>
      <c r="R44" s="609">
        <f t="shared" si="20"/>
        <v>0</v>
      </c>
      <c r="S44" s="609">
        <f t="shared" si="20"/>
        <v>0</v>
      </c>
      <c r="T44" s="609">
        <f t="shared" ref="T44:T52" si="21">IF(Q44&gt;0,S44*100/Q44,0)</f>
        <v>0</v>
      </c>
      <c r="U44" s="609">
        <f t="shared" ref="U44:U52" si="22">IF(R44&gt;0,S44*100/R44,0)</f>
        <v>0</v>
      </c>
    </row>
    <row r="45" spans="1:21" ht="18.75" x14ac:dyDescent="0.25">
      <c r="A45" s="600"/>
      <c r="B45" s="601"/>
      <c r="C45" s="601"/>
      <c r="D45" s="601"/>
      <c r="E45" s="610" t="s">
        <v>20</v>
      </c>
      <c r="F45" s="601"/>
      <c r="G45" s="604"/>
      <c r="H45" s="611" t="s">
        <v>14</v>
      </c>
      <c r="I45" s="606"/>
      <c r="J45" s="606"/>
      <c r="K45" s="607"/>
      <c r="L45" s="612">
        <f t="shared" ref="L45:N46" si="23">L48+L51</f>
        <v>0</v>
      </c>
      <c r="M45" s="613">
        <f t="shared" si="23"/>
        <v>0</v>
      </c>
      <c r="N45" s="613">
        <f t="shared" si="23"/>
        <v>0</v>
      </c>
      <c r="O45" s="613">
        <f t="shared" si="18"/>
        <v>0</v>
      </c>
      <c r="P45" s="613">
        <f t="shared" si="19"/>
        <v>0</v>
      </c>
      <c r="Q45" s="613">
        <f t="shared" ref="Q45:S46" si="24">Q48+Q51</f>
        <v>0</v>
      </c>
      <c r="R45" s="613">
        <f t="shared" si="24"/>
        <v>0</v>
      </c>
      <c r="S45" s="613">
        <f t="shared" si="24"/>
        <v>0</v>
      </c>
      <c r="T45" s="613">
        <f t="shared" si="21"/>
        <v>0</v>
      </c>
      <c r="U45" s="613">
        <f t="shared" si="22"/>
        <v>0</v>
      </c>
    </row>
    <row r="46" spans="1:21" ht="18.75" x14ac:dyDescent="0.25">
      <c r="A46" s="600"/>
      <c r="B46" s="601"/>
      <c r="C46" s="601"/>
      <c r="D46" s="601"/>
      <c r="E46" s="614" t="s">
        <v>21</v>
      </c>
      <c r="F46" s="601"/>
      <c r="G46" s="604"/>
      <c r="H46" s="615" t="s">
        <v>14</v>
      </c>
      <c r="I46" s="606"/>
      <c r="J46" s="606"/>
      <c r="K46" s="607"/>
      <c r="L46" s="616">
        <f t="shared" ca="1" si="23"/>
        <v>486312</v>
      </c>
      <c r="M46" s="617">
        <f t="shared" ca="1" si="23"/>
        <v>566190</v>
      </c>
      <c r="N46" s="617">
        <f t="shared" ca="1" si="23"/>
        <v>370756</v>
      </c>
      <c r="O46" s="617">
        <f t="shared" ca="1" si="18"/>
        <v>76.238299692378561</v>
      </c>
      <c r="P46" s="617">
        <f t="shared" ca="1" si="19"/>
        <v>65.482611844080608</v>
      </c>
      <c r="Q46" s="617">
        <f t="shared" si="24"/>
        <v>0</v>
      </c>
      <c r="R46" s="617">
        <f t="shared" si="24"/>
        <v>0</v>
      </c>
      <c r="S46" s="617">
        <f t="shared" si="24"/>
        <v>0</v>
      </c>
      <c r="T46" s="617">
        <f t="shared" si="21"/>
        <v>0</v>
      </c>
      <c r="U46" s="617">
        <f t="shared" si="22"/>
        <v>0</v>
      </c>
    </row>
    <row r="47" spans="1:21" ht="18.75" x14ac:dyDescent="0.25">
      <c r="A47" s="560"/>
      <c r="B47" s="561"/>
      <c r="C47" s="561"/>
      <c r="D47" s="562" t="s">
        <v>22</v>
      </c>
      <c r="E47" s="561"/>
      <c r="F47" s="561"/>
      <c r="G47" s="563"/>
      <c r="H47" s="564" t="s">
        <v>14</v>
      </c>
      <c r="I47" s="565"/>
      <c r="J47" s="565"/>
      <c r="K47" s="566"/>
      <c r="L47" s="567">
        <f t="shared" ref="L47:N47" ca="1" si="25">L48+L49</f>
        <v>486312</v>
      </c>
      <c r="M47" s="568">
        <f t="shared" ca="1" si="25"/>
        <v>566190</v>
      </c>
      <c r="N47" s="568">
        <f t="shared" ca="1" si="25"/>
        <v>370756</v>
      </c>
      <c r="O47" s="568">
        <f t="shared" ca="1" si="18"/>
        <v>76.238299692378561</v>
      </c>
      <c r="P47" s="568">
        <f t="shared" ca="1" si="19"/>
        <v>65.482611844080608</v>
      </c>
      <c r="Q47" s="568">
        <f t="shared" ref="Q47:S47" si="26">Q48+Q49</f>
        <v>0</v>
      </c>
      <c r="R47" s="568">
        <f t="shared" si="26"/>
        <v>0</v>
      </c>
      <c r="S47" s="568">
        <f t="shared" si="26"/>
        <v>0</v>
      </c>
      <c r="T47" s="568">
        <f t="shared" si="21"/>
        <v>0</v>
      </c>
      <c r="U47" s="568">
        <f t="shared" si="22"/>
        <v>0</v>
      </c>
    </row>
    <row r="48" spans="1:21" ht="18.75" x14ac:dyDescent="0.25">
      <c r="A48" s="560"/>
      <c r="B48" s="561"/>
      <c r="C48" s="561"/>
      <c r="D48" s="561"/>
      <c r="E48" s="569" t="s">
        <v>20</v>
      </c>
      <c r="F48" s="561"/>
      <c r="G48" s="563"/>
      <c r="H48" s="570" t="s">
        <v>14</v>
      </c>
      <c r="I48" s="565"/>
      <c r="J48" s="565"/>
      <c r="K48" s="566"/>
      <c r="L48" s="571">
        <v>0</v>
      </c>
      <c r="M48" s="572">
        <v>0</v>
      </c>
      <c r="N48" s="572">
        <v>0</v>
      </c>
      <c r="O48" s="572">
        <f t="shared" si="18"/>
        <v>0</v>
      </c>
      <c r="P48" s="572">
        <f t="shared" si="19"/>
        <v>0</v>
      </c>
      <c r="Q48" s="572">
        <v>0</v>
      </c>
      <c r="R48" s="572">
        <v>0</v>
      </c>
      <c r="S48" s="572">
        <v>0</v>
      </c>
      <c r="T48" s="572">
        <f t="shared" si="21"/>
        <v>0</v>
      </c>
      <c r="U48" s="572">
        <f t="shared" si="22"/>
        <v>0</v>
      </c>
    </row>
    <row r="49" spans="1:21" ht="18.75" x14ac:dyDescent="0.25">
      <c r="A49" s="560"/>
      <c r="B49" s="561"/>
      <c r="C49" s="561"/>
      <c r="D49" s="561"/>
      <c r="E49" s="573" t="s">
        <v>21</v>
      </c>
      <c r="F49" s="561"/>
      <c r="G49" s="563"/>
      <c r="H49" s="564" t="s">
        <v>14</v>
      </c>
      <c r="I49" s="565"/>
      <c r="J49" s="565"/>
      <c r="K49" s="566"/>
      <c r="L49" s="567">
        <f ca="1">IFERROR(__xludf.DUMMYFUNCTION("IMPORTRANGE(""https://docs.google.com/spreadsheets/d/1-uDff_7J0KD5mKrp0Vvzr7lt3OU09vwQwhkpOPPYv2Y/edit?usp=sharing"",""งบพรบ!P14"")"),486312)</f>
        <v>486312</v>
      </c>
      <c r="M49" s="568">
        <f ca="1">IFERROR(__xludf.DUMMYFUNCTION("IMPORTRANGE(""https://docs.google.com/spreadsheets/d/1-uDff_7J0KD5mKrp0Vvzr7lt3OU09vwQwhkpOPPYv2Y/edit?usp=sharing"",""งบพรบ!V14"")"),566190)</f>
        <v>566190</v>
      </c>
      <c r="N49" s="568">
        <f ca="1">IFERROR(__xludf.DUMMYFUNCTION("IMPORTRANGE(""https://docs.google.com/spreadsheets/d/1-uDff_7J0KD5mKrp0Vvzr7lt3OU09vwQwhkpOPPYv2Y/edit?usp=sharing"",""งบพรบ!Y14"")"),370756)</f>
        <v>370756</v>
      </c>
      <c r="O49" s="568">
        <f t="shared" ca="1" si="18"/>
        <v>76.238299692378561</v>
      </c>
      <c r="P49" s="568">
        <f t="shared" ca="1" si="19"/>
        <v>65.482611844080608</v>
      </c>
      <c r="Q49" s="568">
        <v>0</v>
      </c>
      <c r="R49" s="568">
        <v>0</v>
      </c>
      <c r="S49" s="568">
        <v>0</v>
      </c>
      <c r="T49" s="568">
        <f t="shared" si="21"/>
        <v>0</v>
      </c>
      <c r="U49" s="568">
        <f t="shared" si="22"/>
        <v>0</v>
      </c>
    </row>
    <row r="50" spans="1:21" ht="18.75" x14ac:dyDescent="0.25">
      <c r="A50" s="560"/>
      <c r="B50" s="561"/>
      <c r="C50" s="561"/>
      <c r="D50" s="562" t="s">
        <v>23</v>
      </c>
      <c r="E50" s="561"/>
      <c r="F50" s="561"/>
      <c r="G50" s="563"/>
      <c r="H50" s="564" t="s">
        <v>14</v>
      </c>
      <c r="I50" s="565"/>
      <c r="J50" s="565"/>
      <c r="K50" s="566"/>
      <c r="L50" s="567">
        <f t="shared" ref="L50:N50" ca="1" si="27">L51+L52</f>
        <v>0</v>
      </c>
      <c r="M50" s="568">
        <f t="shared" ca="1" si="27"/>
        <v>0</v>
      </c>
      <c r="N50" s="568">
        <f t="shared" ca="1" si="27"/>
        <v>0</v>
      </c>
      <c r="O50" s="568">
        <f t="shared" ca="1" si="18"/>
        <v>0</v>
      </c>
      <c r="P50" s="568">
        <f t="shared" ca="1" si="19"/>
        <v>0</v>
      </c>
      <c r="Q50" s="568">
        <f t="shared" ref="Q50:S50" si="28">Q51+Q52</f>
        <v>0</v>
      </c>
      <c r="R50" s="568">
        <f t="shared" si="28"/>
        <v>0</v>
      </c>
      <c r="S50" s="568">
        <f t="shared" si="28"/>
        <v>0</v>
      </c>
      <c r="T50" s="568">
        <f t="shared" si="21"/>
        <v>0</v>
      </c>
      <c r="U50" s="568">
        <f t="shared" si="22"/>
        <v>0</v>
      </c>
    </row>
    <row r="51" spans="1:21" ht="18.75" x14ac:dyDescent="0.25">
      <c r="A51" s="560"/>
      <c r="B51" s="561"/>
      <c r="C51" s="561"/>
      <c r="D51" s="561"/>
      <c r="E51" s="569" t="s">
        <v>20</v>
      </c>
      <c r="F51" s="561"/>
      <c r="G51" s="563"/>
      <c r="H51" s="570" t="s">
        <v>14</v>
      </c>
      <c r="I51" s="565"/>
      <c r="J51" s="565"/>
      <c r="K51" s="566"/>
      <c r="L51" s="571">
        <v>0</v>
      </c>
      <c r="M51" s="572">
        <v>0</v>
      </c>
      <c r="N51" s="572">
        <v>0</v>
      </c>
      <c r="O51" s="572">
        <f t="shared" si="18"/>
        <v>0</v>
      </c>
      <c r="P51" s="572">
        <f t="shared" si="19"/>
        <v>0</v>
      </c>
      <c r="Q51" s="572">
        <v>0</v>
      </c>
      <c r="R51" s="572">
        <v>0</v>
      </c>
      <c r="S51" s="572">
        <v>0</v>
      </c>
      <c r="T51" s="572">
        <f t="shared" si="21"/>
        <v>0</v>
      </c>
      <c r="U51" s="572">
        <f t="shared" si="22"/>
        <v>0</v>
      </c>
    </row>
    <row r="52" spans="1:21" ht="18.75" x14ac:dyDescent="0.25">
      <c r="A52" s="560"/>
      <c r="B52" s="561"/>
      <c r="C52" s="561"/>
      <c r="D52" s="561"/>
      <c r="E52" s="573" t="s">
        <v>21</v>
      </c>
      <c r="F52" s="561"/>
      <c r="G52" s="563"/>
      <c r="H52" s="564" t="s">
        <v>14</v>
      </c>
      <c r="I52" s="565"/>
      <c r="J52" s="565"/>
      <c r="K52" s="566"/>
      <c r="L52" s="567">
        <f ca="1">IFERROR(__xludf.DUMMYFUNCTION("IMPORTRANGE(""https://docs.google.com/spreadsheets/d/1-uDff_7J0KD5mKrp0Vvzr7lt3OU09vwQwhkpOPPYv2Y/edit?usp=sharing"",""งบพรบ!S14"")"),0)</f>
        <v>0</v>
      </c>
      <c r="M52" s="568">
        <f ca="1">IFERROR(__xludf.DUMMYFUNCTION("IMPORTRANGE(""https://docs.google.com/spreadsheets/d/1-uDff_7J0KD5mKrp0Vvzr7lt3OU09vwQwhkpOPPYv2Y/edit?usp=sharing"",""งบพรบ!W14"")"),0)</f>
        <v>0</v>
      </c>
      <c r="N52" s="568">
        <f ca="1">IFERROR(__xludf.DUMMYFUNCTION("IMPORTRANGE(""https://docs.google.com/spreadsheets/d/1-uDff_7J0KD5mKrp0Vvzr7lt3OU09vwQwhkpOPPYv2Y/edit?usp=sharing"",""งบพรบ!Z14"")"),0)</f>
        <v>0</v>
      </c>
      <c r="O52" s="568">
        <f t="shared" ca="1" si="18"/>
        <v>0</v>
      </c>
      <c r="P52" s="568">
        <f t="shared" ca="1" si="19"/>
        <v>0</v>
      </c>
      <c r="Q52" s="568">
        <v>0</v>
      </c>
      <c r="R52" s="568">
        <v>0</v>
      </c>
      <c r="S52" s="568">
        <v>0</v>
      </c>
      <c r="T52" s="568">
        <f t="shared" si="21"/>
        <v>0</v>
      </c>
      <c r="U52" s="568">
        <f t="shared" si="22"/>
        <v>0</v>
      </c>
    </row>
    <row r="53" spans="1:21" ht="18.75" x14ac:dyDescent="0.25">
      <c r="A53" s="560"/>
      <c r="B53" s="561"/>
      <c r="C53" s="561"/>
      <c r="D53" s="562" t="s">
        <v>24</v>
      </c>
      <c r="E53" s="561"/>
      <c r="F53" s="561"/>
      <c r="G53" s="563"/>
      <c r="H53" s="564" t="s">
        <v>14</v>
      </c>
      <c r="I53" s="565"/>
      <c r="J53" s="565"/>
      <c r="K53" s="566"/>
      <c r="L53" s="574"/>
      <c r="M53" s="566"/>
      <c r="N53" s="566"/>
      <c r="O53" s="566"/>
      <c r="P53" s="566"/>
      <c r="Q53" s="566"/>
      <c r="R53" s="566"/>
      <c r="S53" s="566"/>
      <c r="T53" s="566"/>
      <c r="U53" s="566"/>
    </row>
    <row r="54" spans="1:21" ht="18.75" x14ac:dyDescent="0.25">
      <c r="A54" s="560"/>
      <c r="B54" s="561"/>
      <c r="C54" s="561"/>
      <c r="D54" s="561"/>
      <c r="E54" s="569" t="s">
        <v>20</v>
      </c>
      <c r="F54" s="561"/>
      <c r="G54" s="563"/>
      <c r="H54" s="570" t="s">
        <v>14</v>
      </c>
      <c r="I54" s="565"/>
      <c r="J54" s="565"/>
      <c r="K54" s="566"/>
      <c r="L54" s="574"/>
      <c r="M54" s="566"/>
      <c r="N54" s="566"/>
      <c r="O54" s="566"/>
      <c r="P54" s="566"/>
      <c r="Q54" s="566"/>
      <c r="R54" s="566"/>
      <c r="S54" s="566"/>
      <c r="T54" s="566"/>
      <c r="U54" s="566"/>
    </row>
    <row r="55" spans="1:21" ht="18.75" x14ac:dyDescent="0.25">
      <c r="A55" s="575"/>
      <c r="B55" s="513"/>
      <c r="C55" s="513"/>
      <c r="D55" s="513"/>
      <c r="E55" s="576" t="s">
        <v>21</v>
      </c>
      <c r="F55" s="513"/>
      <c r="G55" s="577"/>
      <c r="H55" s="578" t="s">
        <v>14</v>
      </c>
      <c r="I55" s="579"/>
      <c r="J55" s="579"/>
      <c r="K55" s="580"/>
      <c r="L55" s="581"/>
      <c r="M55" s="580"/>
      <c r="N55" s="580"/>
      <c r="O55" s="580"/>
      <c r="P55" s="580"/>
      <c r="Q55" s="580"/>
      <c r="R55" s="580"/>
      <c r="S55" s="580"/>
      <c r="T55" s="580"/>
      <c r="U55" s="580"/>
    </row>
    <row r="56" spans="1:21" ht="19.5" x14ac:dyDescent="0.3">
      <c r="A56" s="1319" t="s">
        <v>28</v>
      </c>
      <c r="B56" s="1314"/>
      <c r="C56" s="1314"/>
      <c r="D56" s="1314"/>
      <c r="E56" s="1314"/>
      <c r="F56" s="1314"/>
      <c r="G56" s="1317"/>
      <c r="H56" s="618"/>
      <c r="I56" s="619"/>
      <c r="J56" s="619"/>
      <c r="K56" s="620"/>
      <c r="L56" s="620"/>
      <c r="M56" s="620"/>
      <c r="N56" s="620"/>
      <c r="O56" s="620"/>
      <c r="P56" s="621"/>
      <c r="Q56" s="620"/>
      <c r="R56" s="620"/>
      <c r="S56" s="620"/>
      <c r="T56" s="620"/>
      <c r="U56" s="621"/>
    </row>
    <row r="57" spans="1:21" ht="19.5" x14ac:dyDescent="0.3">
      <c r="A57" s="622"/>
      <c r="B57" s="1320" t="s">
        <v>29</v>
      </c>
      <c r="C57" s="1311"/>
      <c r="D57" s="1311"/>
      <c r="E57" s="1311"/>
      <c r="F57" s="1311"/>
      <c r="G57" s="1312"/>
      <c r="H57" s="625"/>
      <c r="I57" s="626"/>
      <c r="J57" s="626"/>
      <c r="K57" s="627"/>
      <c r="L57" s="628"/>
      <c r="M57" s="627"/>
      <c r="N57" s="627"/>
      <c r="O57" s="627"/>
      <c r="P57" s="627"/>
      <c r="Q57" s="627"/>
      <c r="R57" s="627"/>
      <c r="S57" s="627"/>
      <c r="T57" s="627"/>
      <c r="U57" s="627"/>
    </row>
    <row r="58" spans="1:21" ht="19.5" x14ac:dyDescent="0.3">
      <c r="A58" s="629"/>
      <c r="B58" s="630" t="s">
        <v>30</v>
      </c>
      <c r="C58" s="631"/>
      <c r="D58" s="631"/>
      <c r="E58" s="631"/>
      <c r="F58" s="631"/>
      <c r="G58" s="632"/>
      <c r="H58" s="632"/>
      <c r="I58" s="633"/>
      <c r="J58" s="633"/>
      <c r="K58" s="634"/>
      <c r="L58" s="635"/>
      <c r="M58" s="634"/>
      <c r="N58" s="634"/>
      <c r="O58" s="634"/>
      <c r="P58" s="634"/>
      <c r="Q58" s="634"/>
      <c r="R58" s="634"/>
      <c r="S58" s="634"/>
      <c r="T58" s="634"/>
      <c r="U58" s="634"/>
    </row>
    <row r="59" spans="1:21" ht="19.5" x14ac:dyDescent="0.3">
      <c r="A59" s="636"/>
      <c r="B59" s="637"/>
      <c r="C59" s="638" t="s">
        <v>18</v>
      </c>
      <c r="D59" s="639" t="s">
        <v>19</v>
      </c>
      <c r="E59" s="637"/>
      <c r="F59" s="637"/>
      <c r="G59" s="640"/>
      <c r="H59" s="641" t="s">
        <v>14</v>
      </c>
      <c r="I59" s="642"/>
      <c r="J59" s="642"/>
      <c r="K59" s="643"/>
      <c r="L59" s="644">
        <f t="shared" ref="L59:N59" ca="1" si="29">L60+L61</f>
        <v>850700</v>
      </c>
      <c r="M59" s="645">
        <f t="shared" ca="1" si="29"/>
        <v>850700</v>
      </c>
      <c r="N59" s="645">
        <f t="shared" ca="1" si="29"/>
        <v>501232.58</v>
      </c>
      <c r="O59" s="645">
        <f t="shared" ref="O59:O67" ca="1" si="30">IF(L59&gt;0,N59*100/L59,0)</f>
        <v>58.920016457035381</v>
      </c>
      <c r="P59" s="645">
        <f t="shared" ref="P59:P67" ca="1" si="31">IF(M59&gt;0,N59*100/M59,0)</f>
        <v>58.920016457035381</v>
      </c>
      <c r="Q59" s="645">
        <f t="shared" ref="Q59:S59" si="32">Q60+Q61</f>
        <v>0</v>
      </c>
      <c r="R59" s="645">
        <f t="shared" si="32"/>
        <v>0</v>
      </c>
      <c r="S59" s="645">
        <f t="shared" si="32"/>
        <v>0</v>
      </c>
      <c r="T59" s="645">
        <f t="shared" ref="T59:T67" si="33">IF(Q59&gt;0,S59*100/Q59,0)</f>
        <v>0</v>
      </c>
      <c r="U59" s="645">
        <f t="shared" ref="U59:U67" si="34">IF(R59&gt;0,S59*100/R59,0)</f>
        <v>0</v>
      </c>
    </row>
    <row r="60" spans="1:21" ht="18.75" x14ac:dyDescent="0.25">
      <c r="A60" s="636"/>
      <c r="B60" s="637"/>
      <c r="C60" s="637"/>
      <c r="D60" s="637"/>
      <c r="E60" s="646" t="s">
        <v>20</v>
      </c>
      <c r="F60" s="637"/>
      <c r="G60" s="640"/>
      <c r="H60" s="647" t="s">
        <v>14</v>
      </c>
      <c r="I60" s="642"/>
      <c r="J60" s="642"/>
      <c r="K60" s="643"/>
      <c r="L60" s="648">
        <f t="shared" ref="L60:N61" si="35">L63+L66</f>
        <v>0</v>
      </c>
      <c r="M60" s="649">
        <f t="shared" si="35"/>
        <v>0</v>
      </c>
      <c r="N60" s="649">
        <f t="shared" si="35"/>
        <v>0</v>
      </c>
      <c r="O60" s="649">
        <f t="shared" si="30"/>
        <v>0</v>
      </c>
      <c r="P60" s="649">
        <f t="shared" si="31"/>
        <v>0</v>
      </c>
      <c r="Q60" s="649">
        <f t="shared" ref="Q60:S61" si="36">Q63+Q66</f>
        <v>0</v>
      </c>
      <c r="R60" s="649">
        <f t="shared" si="36"/>
        <v>0</v>
      </c>
      <c r="S60" s="649">
        <f t="shared" si="36"/>
        <v>0</v>
      </c>
      <c r="T60" s="649">
        <f t="shared" si="33"/>
        <v>0</v>
      </c>
      <c r="U60" s="649">
        <f t="shared" si="34"/>
        <v>0</v>
      </c>
    </row>
    <row r="61" spans="1:21" ht="18.75" x14ac:dyDescent="0.25">
      <c r="A61" s="636"/>
      <c r="B61" s="637"/>
      <c r="C61" s="637"/>
      <c r="D61" s="637"/>
      <c r="E61" s="650" t="s">
        <v>21</v>
      </c>
      <c r="F61" s="637"/>
      <c r="G61" s="640"/>
      <c r="H61" s="651" t="s">
        <v>14</v>
      </c>
      <c r="I61" s="642"/>
      <c r="J61" s="642"/>
      <c r="K61" s="643"/>
      <c r="L61" s="652">
        <f t="shared" ca="1" si="35"/>
        <v>850700</v>
      </c>
      <c r="M61" s="653">
        <f t="shared" ca="1" si="35"/>
        <v>850700</v>
      </c>
      <c r="N61" s="653">
        <f t="shared" ca="1" si="35"/>
        <v>501232.58</v>
      </c>
      <c r="O61" s="653">
        <f t="shared" ca="1" si="30"/>
        <v>58.920016457035381</v>
      </c>
      <c r="P61" s="653">
        <f t="shared" ca="1" si="31"/>
        <v>58.920016457035381</v>
      </c>
      <c r="Q61" s="653">
        <f t="shared" si="36"/>
        <v>0</v>
      </c>
      <c r="R61" s="653">
        <f t="shared" si="36"/>
        <v>0</v>
      </c>
      <c r="S61" s="653">
        <f t="shared" si="36"/>
        <v>0</v>
      </c>
      <c r="T61" s="653">
        <f t="shared" si="33"/>
        <v>0</v>
      </c>
      <c r="U61" s="653">
        <f t="shared" si="34"/>
        <v>0</v>
      </c>
    </row>
    <row r="62" spans="1:21" ht="18.75" x14ac:dyDescent="0.25">
      <c r="A62" s="560"/>
      <c r="B62" s="561"/>
      <c r="C62" s="561"/>
      <c r="D62" s="562" t="s">
        <v>22</v>
      </c>
      <c r="E62" s="561"/>
      <c r="F62" s="561"/>
      <c r="G62" s="563"/>
      <c r="H62" s="564" t="s">
        <v>14</v>
      </c>
      <c r="I62" s="565"/>
      <c r="J62" s="565"/>
      <c r="K62" s="566"/>
      <c r="L62" s="567">
        <f t="shared" ref="L62:N62" ca="1" si="37">L63+L64</f>
        <v>850700</v>
      </c>
      <c r="M62" s="568">
        <f t="shared" ca="1" si="37"/>
        <v>850700</v>
      </c>
      <c r="N62" s="568">
        <f t="shared" ca="1" si="37"/>
        <v>501232.58</v>
      </c>
      <c r="O62" s="568">
        <f t="shared" ca="1" si="30"/>
        <v>58.920016457035381</v>
      </c>
      <c r="P62" s="568">
        <f t="shared" ca="1" si="31"/>
        <v>58.920016457035381</v>
      </c>
      <c r="Q62" s="568">
        <f t="shared" ref="Q62:S62" si="38">Q63+Q64</f>
        <v>0</v>
      </c>
      <c r="R62" s="568">
        <f t="shared" si="38"/>
        <v>0</v>
      </c>
      <c r="S62" s="568">
        <f t="shared" si="38"/>
        <v>0</v>
      </c>
      <c r="T62" s="568">
        <f t="shared" si="33"/>
        <v>0</v>
      </c>
      <c r="U62" s="568">
        <f t="shared" si="34"/>
        <v>0</v>
      </c>
    </row>
    <row r="63" spans="1:21" ht="18.75" x14ac:dyDescent="0.25">
      <c r="A63" s="560"/>
      <c r="B63" s="561"/>
      <c r="C63" s="561"/>
      <c r="D63" s="561"/>
      <c r="E63" s="569" t="s">
        <v>20</v>
      </c>
      <c r="F63" s="561"/>
      <c r="G63" s="563"/>
      <c r="H63" s="570" t="s">
        <v>14</v>
      </c>
      <c r="I63" s="565"/>
      <c r="J63" s="565"/>
      <c r="K63" s="566"/>
      <c r="L63" s="571">
        <v>0</v>
      </c>
      <c r="M63" s="572">
        <v>0</v>
      </c>
      <c r="N63" s="572">
        <v>0</v>
      </c>
      <c r="O63" s="572">
        <f t="shared" si="30"/>
        <v>0</v>
      </c>
      <c r="P63" s="572">
        <f t="shared" si="31"/>
        <v>0</v>
      </c>
      <c r="Q63" s="572">
        <v>0</v>
      </c>
      <c r="R63" s="572">
        <v>0</v>
      </c>
      <c r="S63" s="572">
        <v>0</v>
      </c>
      <c r="T63" s="572">
        <f t="shared" si="33"/>
        <v>0</v>
      </c>
      <c r="U63" s="572">
        <f t="shared" si="34"/>
        <v>0</v>
      </c>
    </row>
    <row r="64" spans="1:21" ht="18.75" x14ac:dyDescent="0.25">
      <c r="A64" s="560"/>
      <c r="B64" s="561"/>
      <c r="C64" s="561"/>
      <c r="D64" s="561"/>
      <c r="E64" s="573" t="s">
        <v>21</v>
      </c>
      <c r="F64" s="561"/>
      <c r="G64" s="563"/>
      <c r="H64" s="564" t="s">
        <v>14</v>
      </c>
      <c r="I64" s="565"/>
      <c r="J64" s="565"/>
      <c r="K64" s="566"/>
      <c r="L64" s="567">
        <f ca="1">IFERROR(__xludf.DUMMYFUNCTION("IMPORTRANGE(""https://docs.google.com/spreadsheets/d/1-uDff_7J0KD5mKrp0Vvzr7lt3OU09vwQwhkpOPPYv2Y/edit?usp=sharing"",""งบพรบ!AC14"")"),850700)</f>
        <v>850700</v>
      </c>
      <c r="M64" s="568">
        <f ca="1">IFERROR(__xludf.DUMMYFUNCTION("IMPORTRANGE(""https://docs.google.com/spreadsheets/d/1-uDff_7J0KD5mKrp0Vvzr7lt3OU09vwQwhkpOPPYv2Y/edit?usp=sharing"",""งบพรบ!AH14"")"),850700)</f>
        <v>850700</v>
      </c>
      <c r="N64" s="568">
        <f ca="1">IFERROR(__xludf.DUMMYFUNCTION("IMPORTRANGE(""https://docs.google.com/spreadsheets/d/1-uDff_7J0KD5mKrp0Vvzr7lt3OU09vwQwhkpOPPYv2Y/edit?usp=sharing"",""งบพรบ!AJ14"")"),501232.58)</f>
        <v>501232.58</v>
      </c>
      <c r="O64" s="568">
        <f t="shared" ca="1" si="30"/>
        <v>58.920016457035381</v>
      </c>
      <c r="P64" s="568">
        <f t="shared" ca="1" si="31"/>
        <v>58.920016457035381</v>
      </c>
      <c r="Q64" s="568">
        <v>0</v>
      </c>
      <c r="R64" s="568">
        <v>0</v>
      </c>
      <c r="S64" s="568">
        <v>0</v>
      </c>
      <c r="T64" s="568">
        <f t="shared" si="33"/>
        <v>0</v>
      </c>
      <c r="U64" s="568">
        <f t="shared" si="34"/>
        <v>0</v>
      </c>
    </row>
    <row r="65" spans="1:21" ht="18.75" x14ac:dyDescent="0.25">
      <c r="A65" s="560"/>
      <c r="B65" s="561"/>
      <c r="C65" s="561"/>
      <c r="D65" s="562" t="s">
        <v>23</v>
      </c>
      <c r="E65" s="561"/>
      <c r="F65" s="561"/>
      <c r="G65" s="563"/>
      <c r="H65" s="564" t="s">
        <v>14</v>
      </c>
      <c r="I65" s="565"/>
      <c r="J65" s="565"/>
      <c r="K65" s="566"/>
      <c r="L65" s="567">
        <f t="shared" ref="L65:N65" ca="1" si="39">L66+L67</f>
        <v>0</v>
      </c>
      <c r="M65" s="568">
        <f t="shared" ca="1" si="39"/>
        <v>0</v>
      </c>
      <c r="N65" s="568">
        <f t="shared" ca="1" si="39"/>
        <v>0</v>
      </c>
      <c r="O65" s="568">
        <f t="shared" ca="1" si="30"/>
        <v>0</v>
      </c>
      <c r="P65" s="568">
        <f t="shared" ca="1" si="31"/>
        <v>0</v>
      </c>
      <c r="Q65" s="568">
        <f t="shared" ref="Q65:S65" si="40">Q66+Q67</f>
        <v>0</v>
      </c>
      <c r="R65" s="568">
        <f t="shared" si="40"/>
        <v>0</v>
      </c>
      <c r="S65" s="568">
        <f t="shared" si="40"/>
        <v>0</v>
      </c>
      <c r="T65" s="568">
        <f t="shared" si="33"/>
        <v>0</v>
      </c>
      <c r="U65" s="568">
        <f t="shared" si="34"/>
        <v>0</v>
      </c>
    </row>
    <row r="66" spans="1:21" ht="18.75" x14ac:dyDescent="0.25">
      <c r="A66" s="560"/>
      <c r="B66" s="561"/>
      <c r="C66" s="561"/>
      <c r="D66" s="561"/>
      <c r="E66" s="569" t="s">
        <v>20</v>
      </c>
      <c r="F66" s="561"/>
      <c r="G66" s="563"/>
      <c r="H66" s="570" t="s">
        <v>14</v>
      </c>
      <c r="I66" s="565"/>
      <c r="J66" s="565"/>
      <c r="K66" s="566"/>
      <c r="L66" s="571">
        <v>0</v>
      </c>
      <c r="M66" s="572">
        <v>0</v>
      </c>
      <c r="N66" s="572">
        <v>0</v>
      </c>
      <c r="O66" s="572">
        <f t="shared" si="30"/>
        <v>0</v>
      </c>
      <c r="P66" s="572">
        <f t="shared" si="31"/>
        <v>0</v>
      </c>
      <c r="Q66" s="572">
        <v>0</v>
      </c>
      <c r="R66" s="572">
        <v>0</v>
      </c>
      <c r="S66" s="572">
        <v>0</v>
      </c>
      <c r="T66" s="572">
        <f t="shared" si="33"/>
        <v>0</v>
      </c>
      <c r="U66" s="572">
        <f t="shared" si="34"/>
        <v>0</v>
      </c>
    </row>
    <row r="67" spans="1:21" ht="18.75" x14ac:dyDescent="0.25">
      <c r="A67" s="575"/>
      <c r="B67" s="513"/>
      <c r="C67" s="513"/>
      <c r="D67" s="513"/>
      <c r="E67" s="576" t="s">
        <v>21</v>
      </c>
      <c r="F67" s="513"/>
      <c r="G67" s="577"/>
      <c r="H67" s="578" t="s">
        <v>14</v>
      </c>
      <c r="I67" s="579"/>
      <c r="J67" s="579"/>
      <c r="K67" s="580"/>
      <c r="L67" s="654">
        <f ca="1">IFERROR(__xludf.DUMMYFUNCTION("IMPORTRANGE(""https://docs.google.com/spreadsheets/d/1-uDff_7J0KD5mKrp0Vvzr7lt3OU09vwQwhkpOPPYv2Y/edit?usp=sharing"",""งบพรบ!AF14"")"),0)</f>
        <v>0</v>
      </c>
      <c r="M67" s="655">
        <f ca="1">IFERROR(__xludf.DUMMYFUNCTION("IMPORTRANGE(""https://docs.google.com/spreadsheets/d/1-uDff_7J0KD5mKrp0Vvzr7lt3OU09vwQwhkpOPPYv2Y/edit?usp=sharing"",""งบพรบ!AI14"")"),0)</f>
        <v>0</v>
      </c>
      <c r="N67" s="655">
        <f ca="1">IFERROR(__xludf.DUMMYFUNCTION("IMPORTRANGE(""https://docs.google.com/spreadsheets/d/1-uDff_7J0KD5mKrp0Vvzr7lt3OU09vwQwhkpOPPYv2Y/edit?usp=sharing"",""งบพรบ!AK14"")"),0)</f>
        <v>0</v>
      </c>
      <c r="O67" s="655">
        <f t="shared" ca="1" si="30"/>
        <v>0</v>
      </c>
      <c r="P67" s="655">
        <f t="shared" ca="1" si="31"/>
        <v>0</v>
      </c>
      <c r="Q67" s="655">
        <v>0</v>
      </c>
      <c r="R67" s="655">
        <v>0</v>
      </c>
      <c r="S67" s="655">
        <v>0</v>
      </c>
      <c r="T67" s="655">
        <f t="shared" si="33"/>
        <v>0</v>
      </c>
      <c r="U67" s="655">
        <f t="shared" si="34"/>
        <v>0</v>
      </c>
    </row>
    <row r="68" spans="1:21" ht="19.5" x14ac:dyDescent="0.3">
      <c r="A68" s="656" t="s">
        <v>31</v>
      </c>
      <c r="B68" s="657"/>
      <c r="C68" s="657"/>
      <c r="D68" s="657"/>
      <c r="E68" s="658"/>
      <c r="F68" s="658"/>
      <c r="G68" s="658"/>
      <c r="H68" s="658"/>
      <c r="I68" s="659"/>
      <c r="J68" s="659"/>
      <c r="K68" s="660"/>
      <c r="L68" s="660"/>
      <c r="M68" s="660"/>
      <c r="N68" s="660"/>
      <c r="O68" s="660"/>
      <c r="P68" s="661"/>
      <c r="Q68" s="660"/>
      <c r="R68" s="660"/>
      <c r="S68" s="660"/>
      <c r="T68" s="660"/>
      <c r="U68" s="661"/>
    </row>
    <row r="69" spans="1:21" ht="19.5" hidden="1" x14ac:dyDescent="0.3">
      <c r="A69" s="662" t="s">
        <v>32</v>
      </c>
      <c r="B69" s="663"/>
      <c r="C69" s="664"/>
      <c r="D69" s="663"/>
      <c r="E69" s="663"/>
      <c r="F69" s="663"/>
      <c r="G69" s="665"/>
      <c r="H69" s="665"/>
      <c r="I69" s="666"/>
      <c r="J69" s="666"/>
      <c r="K69" s="667"/>
      <c r="L69" s="668"/>
      <c r="M69" s="667"/>
      <c r="N69" s="667"/>
      <c r="O69" s="667"/>
      <c r="P69" s="667"/>
      <c r="Q69" s="667"/>
      <c r="R69" s="667"/>
      <c r="S69" s="667"/>
      <c r="T69" s="667"/>
      <c r="U69" s="667"/>
    </row>
    <row r="70" spans="1:21" ht="19.5" hidden="1" x14ac:dyDescent="0.3">
      <c r="A70" s="669"/>
      <c r="B70" s="544" t="s">
        <v>33</v>
      </c>
      <c r="C70" s="543"/>
      <c r="D70" s="670"/>
      <c r="E70" s="543"/>
      <c r="F70" s="543"/>
      <c r="G70" s="546"/>
      <c r="H70" s="671" t="s">
        <v>34</v>
      </c>
      <c r="I70" s="672">
        <f t="shared" ref="I70:J71" ca="1" si="41">I82</f>
        <v>0</v>
      </c>
      <c r="J70" s="672">
        <f t="shared" si="41"/>
        <v>0</v>
      </c>
      <c r="K70" s="551">
        <f t="shared" ref="K70:K71" ca="1" si="42">IF(I70&gt;0,J70*100/I70,0)</f>
        <v>0</v>
      </c>
      <c r="L70" s="673"/>
      <c r="M70" s="549"/>
      <c r="N70" s="549"/>
      <c r="O70" s="549"/>
      <c r="P70" s="549"/>
      <c r="Q70" s="549"/>
      <c r="R70" s="549"/>
      <c r="S70" s="549"/>
      <c r="T70" s="549"/>
      <c r="U70" s="549"/>
    </row>
    <row r="71" spans="1:21" ht="19.5" hidden="1" x14ac:dyDescent="0.3">
      <c r="A71" s="669"/>
      <c r="B71" s="543"/>
      <c r="C71" s="543"/>
      <c r="D71" s="670"/>
      <c r="E71" s="543"/>
      <c r="F71" s="543"/>
      <c r="G71" s="546"/>
      <c r="H71" s="671" t="s">
        <v>35</v>
      </c>
      <c r="I71" s="672">
        <f t="shared" ca="1" si="41"/>
        <v>0</v>
      </c>
      <c r="J71" s="672">
        <f t="shared" si="41"/>
        <v>0</v>
      </c>
      <c r="K71" s="551">
        <f t="shared" ca="1" si="42"/>
        <v>0</v>
      </c>
      <c r="L71" s="673"/>
      <c r="M71" s="549"/>
      <c r="N71" s="549"/>
      <c r="O71" s="549"/>
      <c r="P71" s="549"/>
      <c r="Q71" s="549"/>
      <c r="R71" s="549"/>
      <c r="S71" s="549"/>
      <c r="T71" s="549"/>
      <c r="U71" s="549"/>
    </row>
    <row r="72" spans="1:21" ht="19.5" hidden="1" x14ac:dyDescent="0.3">
      <c r="A72" s="674"/>
      <c r="B72" s="561"/>
      <c r="C72" s="675" t="s">
        <v>18</v>
      </c>
      <c r="D72" s="676" t="s">
        <v>19</v>
      </c>
      <c r="E72" s="561"/>
      <c r="F72" s="561"/>
      <c r="G72" s="563"/>
      <c r="H72" s="677" t="s">
        <v>14</v>
      </c>
      <c r="I72" s="565"/>
      <c r="J72" s="565"/>
      <c r="K72" s="566"/>
      <c r="L72" s="678">
        <f t="shared" ref="L72:N72" ca="1" si="43">L73+L74</f>
        <v>0</v>
      </c>
      <c r="M72" s="679">
        <f t="shared" ca="1" si="43"/>
        <v>0</v>
      </c>
      <c r="N72" s="679">
        <f t="shared" ca="1" si="43"/>
        <v>0</v>
      </c>
      <c r="O72" s="679">
        <f t="shared" ref="O72:O80" ca="1" si="44">IF(L72&gt;0,N72*100/L72,0)</f>
        <v>0</v>
      </c>
      <c r="P72" s="679">
        <f t="shared" ref="P72:P80" ca="1" si="45">IF(M72&gt;0,N72*100/M72,0)</f>
        <v>0</v>
      </c>
      <c r="Q72" s="679">
        <f t="shared" ref="Q72:S72" ca="1" si="46">Q73+Q74</f>
        <v>0</v>
      </c>
      <c r="R72" s="679">
        <f t="shared" ca="1" si="46"/>
        <v>0</v>
      </c>
      <c r="S72" s="679">
        <f t="shared" ca="1" si="46"/>
        <v>0</v>
      </c>
      <c r="T72" s="679">
        <f t="shared" ref="T72:T80" ca="1" si="47">IF(Q72&gt;0,S72*100/Q72,0)</f>
        <v>0</v>
      </c>
      <c r="U72" s="679">
        <f t="shared" ref="U72:U80" ca="1" si="48">IF(R72&gt;0,S72*100/R72,0)</f>
        <v>0</v>
      </c>
    </row>
    <row r="73" spans="1:21" ht="18.75" hidden="1" x14ac:dyDescent="0.25">
      <c r="A73" s="674"/>
      <c r="B73" s="561"/>
      <c r="C73" s="561"/>
      <c r="D73" s="561"/>
      <c r="E73" s="569" t="s">
        <v>20</v>
      </c>
      <c r="F73" s="561"/>
      <c r="G73" s="563"/>
      <c r="H73" s="680" t="s">
        <v>14</v>
      </c>
      <c r="I73" s="565"/>
      <c r="J73" s="565"/>
      <c r="K73" s="566"/>
      <c r="L73" s="571">
        <f t="shared" ref="L73:N74" si="49">L76+L79</f>
        <v>0</v>
      </c>
      <c r="M73" s="572">
        <f t="shared" si="49"/>
        <v>0</v>
      </c>
      <c r="N73" s="572">
        <f t="shared" si="49"/>
        <v>0</v>
      </c>
      <c r="O73" s="572">
        <f t="shared" si="44"/>
        <v>0</v>
      </c>
      <c r="P73" s="572">
        <f t="shared" si="45"/>
        <v>0</v>
      </c>
      <c r="Q73" s="572">
        <f t="shared" ref="Q73:S74" si="50">Q76+Q79</f>
        <v>0</v>
      </c>
      <c r="R73" s="572">
        <f t="shared" si="50"/>
        <v>0</v>
      </c>
      <c r="S73" s="572">
        <f t="shared" si="50"/>
        <v>0</v>
      </c>
      <c r="T73" s="572">
        <f t="shared" si="47"/>
        <v>0</v>
      </c>
      <c r="U73" s="572">
        <f t="shared" si="48"/>
        <v>0</v>
      </c>
    </row>
    <row r="74" spans="1:21" ht="18.75" hidden="1" x14ac:dyDescent="0.25">
      <c r="A74" s="674"/>
      <c r="B74" s="561"/>
      <c r="C74" s="561"/>
      <c r="D74" s="561"/>
      <c r="E74" s="573" t="s">
        <v>21</v>
      </c>
      <c r="F74" s="561"/>
      <c r="G74" s="563"/>
      <c r="H74" s="681" t="s">
        <v>14</v>
      </c>
      <c r="I74" s="565"/>
      <c r="J74" s="565"/>
      <c r="K74" s="566"/>
      <c r="L74" s="567">
        <f t="shared" ca="1" si="49"/>
        <v>0</v>
      </c>
      <c r="M74" s="568">
        <f t="shared" ca="1" si="49"/>
        <v>0</v>
      </c>
      <c r="N74" s="568">
        <f t="shared" ca="1" si="49"/>
        <v>0</v>
      </c>
      <c r="O74" s="568">
        <f t="shared" ca="1" si="44"/>
        <v>0</v>
      </c>
      <c r="P74" s="568">
        <f t="shared" ca="1" si="45"/>
        <v>0</v>
      </c>
      <c r="Q74" s="568">
        <f t="shared" ca="1" si="50"/>
        <v>0</v>
      </c>
      <c r="R74" s="568">
        <f t="shared" ca="1" si="50"/>
        <v>0</v>
      </c>
      <c r="S74" s="568">
        <f t="shared" ca="1" si="50"/>
        <v>0</v>
      </c>
      <c r="T74" s="568">
        <f t="shared" ca="1" si="47"/>
        <v>0</v>
      </c>
      <c r="U74" s="568">
        <f t="shared" ca="1" si="48"/>
        <v>0</v>
      </c>
    </row>
    <row r="75" spans="1:21" ht="18.75" hidden="1" x14ac:dyDescent="0.25">
      <c r="A75" s="674"/>
      <c r="B75" s="561"/>
      <c r="C75" s="561"/>
      <c r="D75" s="562" t="s">
        <v>22</v>
      </c>
      <c r="E75" s="561"/>
      <c r="F75" s="561"/>
      <c r="G75" s="563"/>
      <c r="H75" s="682" t="s">
        <v>14</v>
      </c>
      <c r="I75" s="683"/>
      <c r="J75" s="683"/>
      <c r="K75" s="684"/>
      <c r="L75" s="567">
        <f t="shared" ref="L75:N75" ca="1" si="51">L76+L77</f>
        <v>0</v>
      </c>
      <c r="M75" s="568">
        <f t="shared" ca="1" si="51"/>
        <v>0</v>
      </c>
      <c r="N75" s="568">
        <f t="shared" ca="1" si="51"/>
        <v>0</v>
      </c>
      <c r="O75" s="568">
        <f t="shared" ca="1" si="44"/>
        <v>0</v>
      </c>
      <c r="P75" s="568">
        <f t="shared" ca="1" si="45"/>
        <v>0</v>
      </c>
      <c r="Q75" s="568">
        <f t="shared" ref="Q75:S75" ca="1" si="52">Q76+Q77</f>
        <v>0</v>
      </c>
      <c r="R75" s="568">
        <f t="shared" ca="1" si="52"/>
        <v>0</v>
      </c>
      <c r="S75" s="568">
        <f t="shared" ca="1" si="52"/>
        <v>0</v>
      </c>
      <c r="T75" s="568">
        <f t="shared" ca="1" si="47"/>
        <v>0</v>
      </c>
      <c r="U75" s="568">
        <f t="shared" ca="1" si="48"/>
        <v>0</v>
      </c>
    </row>
    <row r="76" spans="1:21" ht="18.75" hidden="1" x14ac:dyDescent="0.25">
      <c r="A76" s="674"/>
      <c r="B76" s="561"/>
      <c r="C76" s="561"/>
      <c r="D76" s="561"/>
      <c r="E76" s="569" t="s">
        <v>36</v>
      </c>
      <c r="F76" s="561"/>
      <c r="G76" s="563"/>
      <c r="H76" s="685" t="s">
        <v>14</v>
      </c>
      <c r="I76" s="683"/>
      <c r="J76" s="683"/>
      <c r="K76" s="684"/>
      <c r="L76" s="571">
        <v>0</v>
      </c>
      <c r="M76" s="572">
        <v>0</v>
      </c>
      <c r="N76" s="572">
        <v>0</v>
      </c>
      <c r="O76" s="572">
        <f t="shared" si="44"/>
        <v>0</v>
      </c>
      <c r="P76" s="572">
        <f t="shared" si="45"/>
        <v>0</v>
      </c>
      <c r="Q76" s="572">
        <v>0</v>
      </c>
      <c r="R76" s="572">
        <v>0</v>
      </c>
      <c r="S76" s="572">
        <v>0</v>
      </c>
      <c r="T76" s="572">
        <f t="shared" si="47"/>
        <v>0</v>
      </c>
      <c r="U76" s="572">
        <f t="shared" si="48"/>
        <v>0</v>
      </c>
    </row>
    <row r="77" spans="1:21" ht="18.75" hidden="1" x14ac:dyDescent="0.25">
      <c r="A77" s="674"/>
      <c r="B77" s="561"/>
      <c r="C77" s="561"/>
      <c r="D77" s="561"/>
      <c r="E77" s="573" t="s">
        <v>37</v>
      </c>
      <c r="F77" s="561"/>
      <c r="G77" s="563"/>
      <c r="H77" s="682" t="s">
        <v>14</v>
      </c>
      <c r="I77" s="683"/>
      <c r="J77" s="683"/>
      <c r="K77" s="684"/>
      <c r="L77" s="567">
        <f ca="1">IFERROR(__xludf.DUMMYFUNCTION("IMPORTRANGE(""https://docs.google.com/spreadsheets/d/1-uDff_7J0KD5mKrp0Vvzr7lt3OU09vwQwhkpOPPYv2Y/edit?usp=sharing"",""งบพรบ!AM14"")"),0)</f>
        <v>0</v>
      </c>
      <c r="M77" s="568">
        <f ca="1">IFERROR(__xludf.DUMMYFUNCTION("IMPORTRANGE(""https://docs.google.com/spreadsheets/d/1-uDff_7J0KD5mKrp0Vvzr7lt3OU09vwQwhkpOPPYv2Y/edit?usp=sharing"",""งบพรบ!AR14"")"),0)</f>
        <v>0</v>
      </c>
      <c r="N77" s="568">
        <f ca="1">IFERROR(__xludf.DUMMYFUNCTION("IMPORTRANGE(""https://docs.google.com/spreadsheets/d/1-uDff_7J0KD5mKrp0Vvzr7lt3OU09vwQwhkpOPPYv2Y/edit?usp=sharing"",""งบพรบ!AT14"")"),0)</f>
        <v>0</v>
      </c>
      <c r="O77" s="568">
        <f t="shared" ca="1" si="44"/>
        <v>0</v>
      </c>
      <c r="P77" s="568">
        <f t="shared" ca="1" si="45"/>
        <v>0</v>
      </c>
      <c r="Q77" s="568">
        <f ca="1">IFERROR(__xludf.DUMMYFUNCTION("IMPORTRANGE(""https://docs.google.com/spreadsheets/d/1ItG2mGa2ceCfYo0BwxsXqNm01IGEUdYcSSLTEv9YCik/edit?usp=sharing"",""เบิกจ่ายกองทุน!BH14"")"),0)</f>
        <v>0</v>
      </c>
      <c r="R77" s="568">
        <f ca="1">IFERROR(__xludf.DUMMYFUNCTION("IMPORTRANGE(""https://docs.google.com/spreadsheets/d/1ItG2mGa2ceCfYo0BwxsXqNm01IGEUdYcSSLTEv9YCik/edit?usp=sharing"",""เบิกจ่ายกองทุน!BI14"")"),0)</f>
        <v>0</v>
      </c>
      <c r="S77" s="568">
        <f ca="1">IFERROR(__xludf.DUMMYFUNCTION("IMPORTRANGE(""https://docs.google.com/spreadsheets/d/1ItG2mGa2ceCfYo0BwxsXqNm01IGEUdYcSSLTEv9YCik/edit?usp=sharing"",""เบิกจ่ายกองทุน!BJ14"")"),0)</f>
        <v>0</v>
      </c>
      <c r="T77" s="568">
        <f t="shared" ca="1" si="47"/>
        <v>0</v>
      </c>
      <c r="U77" s="568">
        <f t="shared" ca="1" si="48"/>
        <v>0</v>
      </c>
    </row>
    <row r="78" spans="1:21" ht="18.75" hidden="1" x14ac:dyDescent="0.25">
      <c r="A78" s="674"/>
      <c r="B78" s="561"/>
      <c r="C78" s="561"/>
      <c r="D78" s="562" t="s">
        <v>23</v>
      </c>
      <c r="E78" s="561"/>
      <c r="F78" s="561"/>
      <c r="G78" s="563"/>
      <c r="H78" s="686" t="s">
        <v>14</v>
      </c>
      <c r="I78" s="683"/>
      <c r="J78" s="683"/>
      <c r="K78" s="684"/>
      <c r="L78" s="567">
        <f t="shared" ref="L78:N78" ca="1" si="53">L79+L80</f>
        <v>0</v>
      </c>
      <c r="M78" s="568">
        <f t="shared" ca="1" si="53"/>
        <v>0</v>
      </c>
      <c r="N78" s="568">
        <f t="shared" ca="1" si="53"/>
        <v>0</v>
      </c>
      <c r="O78" s="568">
        <f t="shared" ca="1" si="44"/>
        <v>0</v>
      </c>
      <c r="P78" s="568">
        <f t="shared" ca="1" si="45"/>
        <v>0</v>
      </c>
      <c r="Q78" s="568">
        <f t="shared" ref="Q78:S78" ca="1" si="54">Q79+Q80</f>
        <v>0</v>
      </c>
      <c r="R78" s="568">
        <f t="shared" ca="1" si="54"/>
        <v>0</v>
      </c>
      <c r="S78" s="568">
        <f t="shared" ca="1" si="54"/>
        <v>0</v>
      </c>
      <c r="T78" s="568">
        <f t="shared" ca="1" si="47"/>
        <v>0</v>
      </c>
      <c r="U78" s="568">
        <f t="shared" ca="1" si="48"/>
        <v>0</v>
      </c>
    </row>
    <row r="79" spans="1:21" ht="18.75" hidden="1" x14ac:dyDescent="0.25">
      <c r="A79" s="674"/>
      <c r="B79" s="561"/>
      <c r="C79" s="561"/>
      <c r="D79" s="561"/>
      <c r="E79" s="569" t="s">
        <v>20</v>
      </c>
      <c r="F79" s="561"/>
      <c r="G79" s="563"/>
      <c r="H79" s="685" t="s">
        <v>14</v>
      </c>
      <c r="I79" s="683"/>
      <c r="J79" s="683"/>
      <c r="K79" s="684"/>
      <c r="L79" s="571">
        <v>0</v>
      </c>
      <c r="M79" s="568">
        <v>0</v>
      </c>
      <c r="N79" s="568">
        <v>0</v>
      </c>
      <c r="O79" s="572">
        <f t="shared" si="44"/>
        <v>0</v>
      </c>
      <c r="P79" s="572">
        <f t="shared" si="45"/>
        <v>0</v>
      </c>
      <c r="Q79" s="572">
        <v>0</v>
      </c>
      <c r="R79" s="568">
        <v>0</v>
      </c>
      <c r="S79" s="568">
        <v>0</v>
      </c>
      <c r="T79" s="572">
        <f t="shared" si="47"/>
        <v>0</v>
      </c>
      <c r="U79" s="572">
        <f t="shared" si="48"/>
        <v>0</v>
      </c>
    </row>
    <row r="80" spans="1:21" ht="18.75" hidden="1" x14ac:dyDescent="0.25">
      <c r="A80" s="674"/>
      <c r="B80" s="561"/>
      <c r="C80" s="561"/>
      <c r="D80" s="561"/>
      <c r="E80" s="573" t="s">
        <v>21</v>
      </c>
      <c r="F80" s="561"/>
      <c r="G80" s="563"/>
      <c r="H80" s="686" t="s">
        <v>14</v>
      </c>
      <c r="I80" s="683"/>
      <c r="J80" s="683"/>
      <c r="K80" s="684"/>
      <c r="L80" s="567">
        <f ca="1">IFERROR(__xludf.DUMMYFUNCTION("IMPORTRANGE(""https://docs.google.com/spreadsheets/d/1-uDff_7J0KD5mKrp0Vvzr7lt3OU09vwQwhkpOPPYv2Y/edit?usp=sharing"",""งบพรบ!AP14"")"),0)</f>
        <v>0</v>
      </c>
      <c r="M80" s="568">
        <f ca="1">IFERROR(__xludf.DUMMYFUNCTION("IMPORTRANGE(""https://docs.google.com/spreadsheets/d/1-uDff_7J0KD5mKrp0Vvzr7lt3OU09vwQwhkpOPPYv2Y/edit?usp=sharing"",""งบพรบ!AS14"")"),0)</f>
        <v>0</v>
      </c>
      <c r="N80" s="568">
        <f ca="1">IFERROR(__xludf.DUMMYFUNCTION("IMPORTRANGE(""https://docs.google.com/spreadsheets/d/1-uDff_7J0KD5mKrp0Vvzr7lt3OU09vwQwhkpOPPYv2Y/edit?usp=sharing"",""งบพรบ!AU14"")"),0)</f>
        <v>0</v>
      </c>
      <c r="O80" s="568">
        <f t="shared" ca="1" si="44"/>
        <v>0</v>
      </c>
      <c r="P80" s="568">
        <f t="shared" ca="1" si="45"/>
        <v>0</v>
      </c>
      <c r="Q80" s="568">
        <f ca="1">IFERROR(__xludf.DUMMYFUNCTION("IMPORTRANGE(""https://docs.google.com/spreadsheets/d/1ItG2mGa2ceCfYo0BwxsXqNm01IGEUdYcSSLTEv9YCik/edit?usp=sharing"",""เบิกจ่ายกองทุน!BK14"")"),0)</f>
        <v>0</v>
      </c>
      <c r="R80" s="568">
        <f ca="1">IFERROR(__xludf.DUMMYFUNCTION("IMPORTRANGE(""https://docs.google.com/spreadsheets/d/1ItG2mGa2ceCfYo0BwxsXqNm01IGEUdYcSSLTEv9YCik/edit?usp=sharing"",""เบิกจ่ายกองทุน!BL14"")"),0)</f>
        <v>0</v>
      </c>
      <c r="S80" s="568">
        <f ca="1">IFERROR(__xludf.DUMMYFUNCTION("IMPORTRANGE(""https://docs.google.com/spreadsheets/d/1ItG2mGa2ceCfYo0BwxsXqNm01IGEUdYcSSLTEv9YCik/edit?usp=sharing"",""เบิกจ่ายกองทุน!BM14"")"),0)</f>
        <v>0</v>
      </c>
      <c r="T80" s="568">
        <f t="shared" ca="1" si="47"/>
        <v>0</v>
      </c>
      <c r="U80" s="568">
        <f t="shared" ca="1" si="48"/>
        <v>0</v>
      </c>
    </row>
    <row r="81" spans="1:21" ht="19.5" hidden="1" x14ac:dyDescent="0.3">
      <c r="A81" s="687"/>
      <c r="B81" s="688"/>
      <c r="C81" s="675" t="s">
        <v>18</v>
      </c>
      <c r="D81" s="689" t="s">
        <v>38</v>
      </c>
      <c r="E81" s="690"/>
      <c r="F81" s="690"/>
      <c r="G81" s="691"/>
      <c r="H81" s="692"/>
      <c r="I81" s="683"/>
      <c r="J81" s="683"/>
      <c r="K81" s="684"/>
      <c r="L81" s="693"/>
      <c r="M81" s="684"/>
      <c r="N81" s="684"/>
      <c r="O81" s="684"/>
      <c r="P81" s="684"/>
      <c r="Q81" s="684"/>
      <c r="R81" s="684"/>
      <c r="S81" s="684"/>
      <c r="T81" s="684"/>
      <c r="U81" s="684"/>
    </row>
    <row r="82" spans="1:21" ht="19.5" hidden="1" x14ac:dyDescent="0.3">
      <c r="A82" s="687"/>
      <c r="B82" s="688"/>
      <c r="C82" s="688"/>
      <c r="D82" s="694" t="s">
        <v>39</v>
      </c>
      <c r="E82" s="695"/>
      <c r="F82" s="695"/>
      <c r="G82" s="692"/>
      <c r="H82" s="696" t="s">
        <v>34</v>
      </c>
      <c r="I82" s="697">
        <f t="shared" ref="I82:J83" ca="1" si="55">I84+I86+I88</f>
        <v>0</v>
      </c>
      <c r="J82" s="697">
        <f t="shared" si="55"/>
        <v>0</v>
      </c>
      <c r="K82" s="698">
        <f t="shared" ref="K82:K90" ca="1" si="56">IF(I82&gt;0,J82*100/I82,0)</f>
        <v>0</v>
      </c>
      <c r="L82" s="693"/>
      <c r="M82" s="684"/>
      <c r="N82" s="684"/>
      <c r="O82" s="684"/>
      <c r="P82" s="684"/>
      <c r="Q82" s="684"/>
      <c r="R82" s="684"/>
      <c r="S82" s="684"/>
      <c r="T82" s="684"/>
      <c r="U82" s="684"/>
    </row>
    <row r="83" spans="1:21" ht="19.5" hidden="1" x14ac:dyDescent="0.3">
      <c r="A83" s="687"/>
      <c r="B83" s="688"/>
      <c r="C83" s="688"/>
      <c r="D83" s="688"/>
      <c r="E83" s="695"/>
      <c r="F83" s="695"/>
      <c r="G83" s="692"/>
      <c r="H83" s="696" t="s">
        <v>35</v>
      </c>
      <c r="I83" s="697">
        <f t="shared" ca="1" si="55"/>
        <v>0</v>
      </c>
      <c r="J83" s="697">
        <f t="shared" si="55"/>
        <v>0</v>
      </c>
      <c r="K83" s="698">
        <f t="shared" ca="1" si="56"/>
        <v>0</v>
      </c>
      <c r="L83" s="693"/>
      <c r="M83" s="684"/>
      <c r="N83" s="684"/>
      <c r="O83" s="684"/>
      <c r="P83" s="684"/>
      <c r="Q83" s="684"/>
      <c r="R83" s="684"/>
      <c r="S83" s="684"/>
      <c r="T83" s="684"/>
      <c r="U83" s="684"/>
    </row>
    <row r="84" spans="1:21" ht="18.75" hidden="1" x14ac:dyDescent="0.25">
      <c r="A84" s="687"/>
      <c r="B84" s="688"/>
      <c r="C84" s="688"/>
      <c r="D84" s="688"/>
      <c r="E84" s="699" t="s">
        <v>40</v>
      </c>
      <c r="F84" s="695"/>
      <c r="G84" s="692"/>
      <c r="H84" s="700" t="s">
        <v>34</v>
      </c>
      <c r="I84" s="701">
        <f ca="1">IFERROR(__xludf.DUMMYFUNCTION("IMPORTRANGE(""https://docs.google.com/spreadsheets/d/1eHaY18a8A9IcSdp1K8H6x8fbOy06t2VsZHhMHf-1x7Y/edit?usp=sharing"",""แผน!H14"")"),0)</f>
        <v>0</v>
      </c>
      <c r="J84" s="702">
        <v>0</v>
      </c>
      <c r="K84" s="703">
        <f t="shared" ca="1" si="56"/>
        <v>0</v>
      </c>
      <c r="L84" s="693"/>
      <c r="M84" s="684"/>
      <c r="N84" s="684"/>
      <c r="O84" s="684"/>
      <c r="P84" s="684"/>
      <c r="Q84" s="684"/>
      <c r="R84" s="684"/>
      <c r="S84" s="684"/>
      <c r="T84" s="684"/>
      <c r="U84" s="684"/>
    </row>
    <row r="85" spans="1:21" ht="18.75" hidden="1" x14ac:dyDescent="0.25">
      <c r="A85" s="687"/>
      <c r="B85" s="688"/>
      <c r="C85" s="688"/>
      <c r="D85" s="688"/>
      <c r="E85" s="695"/>
      <c r="F85" s="695"/>
      <c r="G85" s="692"/>
      <c r="H85" s="700" t="s">
        <v>35</v>
      </c>
      <c r="I85" s="701">
        <f ca="1">IFERROR(__xludf.DUMMYFUNCTION("IMPORTRANGE(""https://docs.google.com/spreadsheets/d/1eHaY18a8A9IcSdp1K8H6x8fbOy06t2VsZHhMHf-1x7Y/edit?usp=sharing"",""แผน!I14"")"),0)</f>
        <v>0</v>
      </c>
      <c r="J85" s="702">
        <v>0</v>
      </c>
      <c r="K85" s="703">
        <f t="shared" ca="1" si="56"/>
        <v>0</v>
      </c>
      <c r="L85" s="693"/>
      <c r="M85" s="684"/>
      <c r="N85" s="684"/>
      <c r="O85" s="684"/>
      <c r="P85" s="684"/>
      <c r="Q85" s="684"/>
      <c r="R85" s="684"/>
      <c r="S85" s="684"/>
      <c r="T85" s="684"/>
      <c r="U85" s="684"/>
    </row>
    <row r="86" spans="1:21" ht="18.75" hidden="1" x14ac:dyDescent="0.25">
      <c r="A86" s="687"/>
      <c r="B86" s="688"/>
      <c r="C86" s="688"/>
      <c r="D86" s="688"/>
      <c r="E86" s="699" t="s">
        <v>41</v>
      </c>
      <c r="F86" s="695"/>
      <c r="G86" s="692"/>
      <c r="H86" s="700" t="s">
        <v>34</v>
      </c>
      <c r="I86" s="701">
        <f ca="1">IFERROR(__xludf.DUMMYFUNCTION("IMPORTRANGE(""https://docs.google.com/spreadsheets/d/1eHaY18a8A9IcSdp1K8H6x8fbOy06t2VsZHhMHf-1x7Y/edit?usp=sharing"",""แผน!F14"")"),0)</f>
        <v>0</v>
      </c>
      <c r="J86" s="702">
        <v>0</v>
      </c>
      <c r="K86" s="703">
        <f t="shared" ca="1" si="56"/>
        <v>0</v>
      </c>
      <c r="L86" s="693"/>
      <c r="M86" s="684"/>
      <c r="N86" s="684"/>
      <c r="O86" s="684"/>
      <c r="P86" s="684"/>
      <c r="Q86" s="684"/>
      <c r="R86" s="684"/>
      <c r="S86" s="684"/>
      <c r="T86" s="684"/>
      <c r="U86" s="684"/>
    </row>
    <row r="87" spans="1:21" ht="18.75" hidden="1" x14ac:dyDescent="0.25">
      <c r="A87" s="687"/>
      <c r="B87" s="688"/>
      <c r="C87" s="688"/>
      <c r="D87" s="688"/>
      <c r="E87" s="695"/>
      <c r="F87" s="695"/>
      <c r="G87" s="692"/>
      <c r="H87" s="700" t="s">
        <v>35</v>
      </c>
      <c r="I87" s="701">
        <f ca="1">IFERROR(__xludf.DUMMYFUNCTION("IMPORTRANGE(""https://docs.google.com/spreadsheets/d/1eHaY18a8A9IcSdp1K8H6x8fbOy06t2VsZHhMHf-1x7Y/edit?usp=sharing"",""แผน!G14"")"),0)</f>
        <v>0</v>
      </c>
      <c r="J87" s="702">
        <v>0</v>
      </c>
      <c r="K87" s="703">
        <f t="shared" ca="1" si="56"/>
        <v>0</v>
      </c>
      <c r="L87" s="693"/>
      <c r="M87" s="684"/>
      <c r="N87" s="684"/>
      <c r="O87" s="684"/>
      <c r="P87" s="684"/>
      <c r="Q87" s="684"/>
      <c r="R87" s="684"/>
      <c r="S87" s="684"/>
      <c r="T87" s="684"/>
      <c r="U87" s="684"/>
    </row>
    <row r="88" spans="1:21" ht="18.75" hidden="1" x14ac:dyDescent="0.25">
      <c r="A88" s="687"/>
      <c r="B88" s="688"/>
      <c r="C88" s="688"/>
      <c r="D88" s="688"/>
      <c r="E88" s="699" t="s">
        <v>42</v>
      </c>
      <c r="F88" s="695"/>
      <c r="G88" s="692"/>
      <c r="H88" s="700" t="s">
        <v>34</v>
      </c>
      <c r="I88" s="701">
        <f ca="1">IFERROR(__xludf.DUMMYFUNCTION("IMPORTRANGE(""https://docs.google.com/spreadsheets/d/1eHaY18a8A9IcSdp1K8H6x8fbOy06t2VsZHhMHf-1x7Y/edit?usp=sharing"",""แผน!D14"")"),0)</f>
        <v>0</v>
      </c>
      <c r="J88" s="702">
        <v>0</v>
      </c>
      <c r="K88" s="703">
        <f t="shared" ca="1" si="56"/>
        <v>0</v>
      </c>
      <c r="L88" s="693"/>
      <c r="M88" s="684"/>
      <c r="N88" s="684"/>
      <c r="O88" s="684"/>
      <c r="P88" s="684"/>
      <c r="Q88" s="684"/>
      <c r="R88" s="684"/>
      <c r="S88" s="684"/>
      <c r="T88" s="684"/>
      <c r="U88" s="684"/>
    </row>
    <row r="89" spans="1:21" ht="18.75" hidden="1" x14ac:dyDescent="0.25">
      <c r="A89" s="687"/>
      <c r="B89" s="688"/>
      <c r="C89" s="688"/>
      <c r="D89" s="688"/>
      <c r="E89" s="695"/>
      <c r="F89" s="695"/>
      <c r="G89" s="692"/>
      <c r="H89" s="700" t="s">
        <v>35</v>
      </c>
      <c r="I89" s="701">
        <f ca="1">IFERROR(__xludf.DUMMYFUNCTION("IMPORTRANGE(""https://docs.google.com/spreadsheets/d/1eHaY18a8A9IcSdp1K8H6x8fbOy06t2VsZHhMHf-1x7Y/edit?usp=sharing"",""แผน!E14"")"),0)</f>
        <v>0</v>
      </c>
      <c r="J89" s="702">
        <v>0</v>
      </c>
      <c r="K89" s="703">
        <f t="shared" ca="1" si="56"/>
        <v>0</v>
      </c>
      <c r="L89" s="693"/>
      <c r="M89" s="684"/>
      <c r="N89" s="684"/>
      <c r="O89" s="684"/>
      <c r="P89" s="684"/>
      <c r="Q89" s="684"/>
      <c r="R89" s="684"/>
      <c r="S89" s="684"/>
      <c r="T89" s="684"/>
      <c r="U89" s="684"/>
    </row>
    <row r="90" spans="1:21" ht="18.75" hidden="1" x14ac:dyDescent="0.25">
      <c r="A90" s="687"/>
      <c r="B90" s="688"/>
      <c r="C90" s="688"/>
      <c r="D90" s="694" t="s">
        <v>43</v>
      </c>
      <c r="E90" s="695"/>
      <c r="F90" s="695"/>
      <c r="G90" s="692"/>
      <c r="H90" s="704" t="s">
        <v>34</v>
      </c>
      <c r="I90" s="701">
        <f ca="1">IFERROR(__xludf.DUMMYFUNCTION("IMPORTRANGE(""https://docs.google.com/spreadsheets/d/1eHaY18a8A9IcSdp1K8H6x8fbOy06t2VsZHhMHf-1x7Y/edit?usp=sharing"",""แผน!J14"")"),0)</f>
        <v>0</v>
      </c>
      <c r="J90" s="702">
        <v>0</v>
      </c>
      <c r="K90" s="703">
        <f t="shared" ca="1" si="56"/>
        <v>0</v>
      </c>
      <c r="L90" s="693"/>
      <c r="M90" s="684"/>
      <c r="N90" s="684"/>
      <c r="O90" s="684"/>
      <c r="P90" s="684"/>
      <c r="Q90" s="684"/>
      <c r="R90" s="684"/>
      <c r="S90" s="684"/>
      <c r="T90" s="684"/>
      <c r="U90" s="684"/>
    </row>
    <row r="91" spans="1:21" ht="19.5" hidden="1" x14ac:dyDescent="0.3">
      <c r="A91" s="662" t="s">
        <v>44</v>
      </c>
      <c r="B91" s="663"/>
      <c r="C91" s="664"/>
      <c r="D91" s="663"/>
      <c r="E91" s="663"/>
      <c r="F91" s="663"/>
      <c r="G91" s="665"/>
      <c r="H91" s="665"/>
      <c r="I91" s="666"/>
      <c r="J91" s="666"/>
      <c r="K91" s="667"/>
      <c r="L91" s="668"/>
      <c r="M91" s="667"/>
      <c r="N91" s="667"/>
      <c r="O91" s="667"/>
      <c r="P91" s="667"/>
      <c r="Q91" s="667"/>
      <c r="R91" s="667"/>
      <c r="S91" s="667"/>
      <c r="T91" s="667"/>
      <c r="U91" s="667"/>
    </row>
    <row r="92" spans="1:21" ht="19.5" hidden="1" x14ac:dyDescent="0.3">
      <c r="A92" s="669"/>
      <c r="B92" s="544" t="s">
        <v>45</v>
      </c>
      <c r="C92" s="543"/>
      <c r="D92" s="670"/>
      <c r="E92" s="543"/>
      <c r="F92" s="543"/>
      <c r="G92" s="546"/>
      <c r="H92" s="671" t="s">
        <v>46</v>
      </c>
      <c r="I92" s="672">
        <f t="shared" ref="I92:J93" ca="1" si="57">I108</f>
        <v>0</v>
      </c>
      <c r="J92" s="672">
        <f t="shared" si="57"/>
        <v>0</v>
      </c>
      <c r="K92" s="551">
        <f t="shared" ref="K92:K93" ca="1" si="58">IF(I92&gt;0,J92*100/I92,0)</f>
        <v>0</v>
      </c>
      <c r="L92" s="673"/>
      <c r="M92" s="549"/>
      <c r="N92" s="549"/>
      <c r="O92" s="549"/>
      <c r="P92" s="549"/>
      <c r="Q92" s="549"/>
      <c r="R92" s="549"/>
      <c r="S92" s="549"/>
      <c r="T92" s="549"/>
      <c r="U92" s="549"/>
    </row>
    <row r="93" spans="1:21" ht="19.5" hidden="1" x14ac:dyDescent="0.3">
      <c r="A93" s="669"/>
      <c r="B93" s="543"/>
      <c r="C93" s="543"/>
      <c r="D93" s="670"/>
      <c r="E93" s="543"/>
      <c r="F93" s="543"/>
      <c r="G93" s="546"/>
      <c r="H93" s="671" t="s">
        <v>35</v>
      </c>
      <c r="I93" s="672">
        <f t="shared" ca="1" si="57"/>
        <v>0</v>
      </c>
      <c r="J93" s="672">
        <f t="shared" si="57"/>
        <v>0</v>
      </c>
      <c r="K93" s="551">
        <f t="shared" ca="1" si="58"/>
        <v>0</v>
      </c>
      <c r="L93" s="673"/>
      <c r="M93" s="549"/>
      <c r="N93" s="549"/>
      <c r="O93" s="549"/>
      <c r="P93" s="549"/>
      <c r="Q93" s="549"/>
      <c r="R93" s="549"/>
      <c r="S93" s="549"/>
      <c r="T93" s="549"/>
      <c r="U93" s="549"/>
    </row>
    <row r="94" spans="1:21" ht="19.5" hidden="1" x14ac:dyDescent="0.3">
      <c r="A94" s="674"/>
      <c r="B94" s="561"/>
      <c r="C94" s="675" t="s">
        <v>18</v>
      </c>
      <c r="D94" s="676" t="s">
        <v>19</v>
      </c>
      <c r="E94" s="561"/>
      <c r="F94" s="561"/>
      <c r="G94" s="563"/>
      <c r="H94" s="677" t="s">
        <v>14</v>
      </c>
      <c r="I94" s="565"/>
      <c r="J94" s="565"/>
      <c r="K94" s="566"/>
      <c r="L94" s="678">
        <f t="shared" ref="L94:N94" ca="1" si="59">L95+L96</f>
        <v>0</v>
      </c>
      <c r="M94" s="679">
        <f t="shared" ca="1" si="59"/>
        <v>0</v>
      </c>
      <c r="N94" s="679">
        <f t="shared" ca="1" si="59"/>
        <v>0</v>
      </c>
      <c r="O94" s="679">
        <f t="shared" ref="O94:O102" ca="1" si="60">IF(L94&gt;0,N94*100/L94,0)</f>
        <v>0</v>
      </c>
      <c r="P94" s="679">
        <f t="shared" ref="P94:P102" ca="1" si="61">IF(M94&gt;0,N94*100/M94,0)</f>
        <v>0</v>
      </c>
      <c r="Q94" s="679">
        <f t="shared" ref="Q94:S94" ca="1" si="62">Q95+Q96</f>
        <v>0</v>
      </c>
      <c r="R94" s="679">
        <f t="shared" ca="1" si="62"/>
        <v>0</v>
      </c>
      <c r="S94" s="679">
        <f t="shared" ca="1" si="62"/>
        <v>0</v>
      </c>
      <c r="T94" s="679">
        <f t="shared" ref="T94:T102" ca="1" si="63">IF(Q94&gt;0,S94*100/Q94,0)</f>
        <v>0</v>
      </c>
      <c r="U94" s="679">
        <f t="shared" ref="U94:U102" ca="1" si="64">IF(R94&gt;0,S94*100/R94,0)</f>
        <v>0</v>
      </c>
    </row>
    <row r="95" spans="1:21" ht="18.75" hidden="1" x14ac:dyDescent="0.25">
      <c r="A95" s="674"/>
      <c r="B95" s="561"/>
      <c r="C95" s="561"/>
      <c r="D95" s="561"/>
      <c r="E95" s="569" t="s">
        <v>20</v>
      </c>
      <c r="F95" s="561"/>
      <c r="G95" s="563"/>
      <c r="H95" s="680" t="s">
        <v>14</v>
      </c>
      <c r="I95" s="565"/>
      <c r="J95" s="565"/>
      <c r="K95" s="566"/>
      <c r="L95" s="571">
        <f t="shared" ref="L95:N96" si="65">L98+L101</f>
        <v>0</v>
      </c>
      <c r="M95" s="572">
        <f t="shared" si="65"/>
        <v>0</v>
      </c>
      <c r="N95" s="572">
        <f t="shared" si="65"/>
        <v>0</v>
      </c>
      <c r="O95" s="572">
        <f t="shared" si="60"/>
        <v>0</v>
      </c>
      <c r="P95" s="572">
        <f t="shared" si="61"/>
        <v>0</v>
      </c>
      <c r="Q95" s="572">
        <f t="shared" ref="Q95:S96" si="66">Q98+Q101</f>
        <v>0</v>
      </c>
      <c r="R95" s="572">
        <f t="shared" si="66"/>
        <v>0</v>
      </c>
      <c r="S95" s="572">
        <f t="shared" si="66"/>
        <v>0</v>
      </c>
      <c r="T95" s="572">
        <f t="shared" si="63"/>
        <v>0</v>
      </c>
      <c r="U95" s="572">
        <f t="shared" si="64"/>
        <v>0</v>
      </c>
    </row>
    <row r="96" spans="1:21" ht="18.75" hidden="1" x14ac:dyDescent="0.25">
      <c r="A96" s="674"/>
      <c r="B96" s="561"/>
      <c r="C96" s="561"/>
      <c r="D96" s="561"/>
      <c r="E96" s="573" t="s">
        <v>21</v>
      </c>
      <c r="F96" s="561"/>
      <c r="G96" s="563"/>
      <c r="H96" s="681" t="s">
        <v>14</v>
      </c>
      <c r="I96" s="565"/>
      <c r="J96" s="565"/>
      <c r="K96" s="566"/>
      <c r="L96" s="567">
        <f t="shared" ca="1" si="65"/>
        <v>0</v>
      </c>
      <c r="M96" s="568">
        <f t="shared" ca="1" si="65"/>
        <v>0</v>
      </c>
      <c r="N96" s="568">
        <f t="shared" ca="1" si="65"/>
        <v>0</v>
      </c>
      <c r="O96" s="568">
        <f t="shared" ca="1" si="60"/>
        <v>0</v>
      </c>
      <c r="P96" s="568">
        <f t="shared" ca="1" si="61"/>
        <v>0</v>
      </c>
      <c r="Q96" s="568">
        <f t="shared" ca="1" si="66"/>
        <v>0</v>
      </c>
      <c r="R96" s="568">
        <f t="shared" ca="1" si="66"/>
        <v>0</v>
      </c>
      <c r="S96" s="568">
        <f t="shared" ca="1" si="66"/>
        <v>0</v>
      </c>
      <c r="T96" s="568">
        <f t="shared" ca="1" si="63"/>
        <v>0</v>
      </c>
      <c r="U96" s="568">
        <f t="shared" ca="1" si="64"/>
        <v>0</v>
      </c>
    </row>
    <row r="97" spans="1:21" ht="18.75" hidden="1" x14ac:dyDescent="0.25">
      <c r="A97" s="674"/>
      <c r="B97" s="561"/>
      <c r="C97" s="561"/>
      <c r="D97" s="562" t="s">
        <v>22</v>
      </c>
      <c r="E97" s="561"/>
      <c r="F97" s="561"/>
      <c r="G97" s="563"/>
      <c r="H97" s="682" t="s">
        <v>14</v>
      </c>
      <c r="I97" s="683"/>
      <c r="J97" s="683"/>
      <c r="K97" s="684"/>
      <c r="L97" s="567">
        <f t="shared" ref="L97:N97" ca="1" si="67">L98+L99</f>
        <v>0</v>
      </c>
      <c r="M97" s="568">
        <f t="shared" ca="1" si="67"/>
        <v>0</v>
      </c>
      <c r="N97" s="568">
        <f t="shared" ca="1" si="67"/>
        <v>0</v>
      </c>
      <c r="O97" s="568">
        <f t="shared" ca="1" si="60"/>
        <v>0</v>
      </c>
      <c r="P97" s="568">
        <f t="shared" ca="1" si="61"/>
        <v>0</v>
      </c>
      <c r="Q97" s="568">
        <f t="shared" ref="Q97:S97" ca="1" si="68">Q98+Q99</f>
        <v>0</v>
      </c>
      <c r="R97" s="568">
        <f t="shared" ca="1" si="68"/>
        <v>0</v>
      </c>
      <c r="S97" s="568">
        <f t="shared" ca="1" si="68"/>
        <v>0</v>
      </c>
      <c r="T97" s="568">
        <f t="shared" ca="1" si="63"/>
        <v>0</v>
      </c>
      <c r="U97" s="568">
        <f t="shared" ca="1" si="64"/>
        <v>0</v>
      </c>
    </row>
    <row r="98" spans="1:21" ht="18.75" hidden="1" x14ac:dyDescent="0.25">
      <c r="A98" s="674"/>
      <c r="B98" s="561"/>
      <c r="C98" s="561"/>
      <c r="D98" s="561"/>
      <c r="E98" s="569" t="s">
        <v>36</v>
      </c>
      <c r="F98" s="561"/>
      <c r="G98" s="563"/>
      <c r="H98" s="685" t="s">
        <v>14</v>
      </c>
      <c r="I98" s="683"/>
      <c r="J98" s="683"/>
      <c r="K98" s="684"/>
      <c r="L98" s="571">
        <v>0</v>
      </c>
      <c r="M98" s="572">
        <v>0</v>
      </c>
      <c r="N98" s="572">
        <v>0</v>
      </c>
      <c r="O98" s="572">
        <f t="shared" si="60"/>
        <v>0</v>
      </c>
      <c r="P98" s="572">
        <f t="shared" si="61"/>
        <v>0</v>
      </c>
      <c r="Q98" s="572">
        <v>0</v>
      </c>
      <c r="R98" s="572">
        <v>0</v>
      </c>
      <c r="S98" s="572">
        <v>0</v>
      </c>
      <c r="T98" s="572">
        <f t="shared" si="63"/>
        <v>0</v>
      </c>
      <c r="U98" s="572">
        <f t="shared" si="64"/>
        <v>0</v>
      </c>
    </row>
    <row r="99" spans="1:21" ht="18.75" hidden="1" x14ac:dyDescent="0.25">
      <c r="A99" s="674"/>
      <c r="B99" s="561"/>
      <c r="C99" s="561"/>
      <c r="D99" s="561"/>
      <c r="E99" s="573" t="s">
        <v>37</v>
      </c>
      <c r="F99" s="561"/>
      <c r="G99" s="563"/>
      <c r="H99" s="682" t="s">
        <v>14</v>
      </c>
      <c r="I99" s="683"/>
      <c r="J99" s="683"/>
      <c r="K99" s="684"/>
      <c r="L99" s="567">
        <f ca="1">IFERROR(__xludf.DUMMYFUNCTION("IMPORTRANGE(""https://docs.google.com/spreadsheets/d/1-uDff_7J0KD5mKrp0Vvzr7lt3OU09vwQwhkpOPPYv2Y/edit?usp=sharing"",""งบพรบ!AW14"")"),0)</f>
        <v>0</v>
      </c>
      <c r="M99" s="568">
        <f ca="1">IFERROR(__xludf.DUMMYFUNCTION("IMPORTRANGE(""https://docs.google.com/spreadsheets/d/1-uDff_7J0KD5mKrp0Vvzr7lt3OU09vwQwhkpOPPYv2Y/edit?usp=sharing"",""งบพรบ!BB14"")"),0)</f>
        <v>0</v>
      </c>
      <c r="N99" s="568">
        <f ca="1">IFERROR(__xludf.DUMMYFUNCTION("IMPORTRANGE(""https://docs.google.com/spreadsheets/d/1-uDff_7J0KD5mKrp0Vvzr7lt3OU09vwQwhkpOPPYv2Y/edit?usp=sharing"",""งบพรบ!BD14"")"),0)</f>
        <v>0</v>
      </c>
      <c r="O99" s="568">
        <f t="shared" ca="1" si="60"/>
        <v>0</v>
      </c>
      <c r="P99" s="568">
        <f t="shared" ca="1" si="61"/>
        <v>0</v>
      </c>
      <c r="Q99" s="568">
        <f ca="1">IFERROR(__xludf.DUMMYFUNCTION("IMPORTRANGE(""https://docs.google.com/spreadsheets/d/1ItG2mGa2ceCfYo0BwxsXqNm01IGEUdYcSSLTEv9YCik/edit?usp=sharing"",""เบิกจ่ายกองทุน!AJ14"")"),0)</f>
        <v>0</v>
      </c>
      <c r="R99" s="568">
        <f ca="1">IFERROR(__xludf.DUMMYFUNCTION("IMPORTRANGE(""https://docs.google.com/spreadsheets/d/1ItG2mGa2ceCfYo0BwxsXqNm01IGEUdYcSSLTEv9YCik/edit?usp=sharing"",""เบิกจ่ายกองทุน!AK14"")"),0)</f>
        <v>0</v>
      </c>
      <c r="S99" s="568">
        <f ca="1">IFERROR(__xludf.DUMMYFUNCTION("IMPORTRANGE(""https://docs.google.com/spreadsheets/d/1ItG2mGa2ceCfYo0BwxsXqNm01IGEUdYcSSLTEv9YCik/edit?usp=sharing"",""เบิกจ่ายกองทุน!AL14"")"),0)</f>
        <v>0</v>
      </c>
      <c r="T99" s="568">
        <f t="shared" ca="1" si="63"/>
        <v>0</v>
      </c>
      <c r="U99" s="568">
        <f t="shared" ca="1" si="64"/>
        <v>0</v>
      </c>
    </row>
    <row r="100" spans="1:21" ht="18.75" hidden="1" x14ac:dyDescent="0.25">
      <c r="A100" s="674"/>
      <c r="B100" s="561"/>
      <c r="C100" s="561"/>
      <c r="D100" s="562" t="s">
        <v>23</v>
      </c>
      <c r="E100" s="561"/>
      <c r="F100" s="561"/>
      <c r="G100" s="563"/>
      <c r="H100" s="686" t="s">
        <v>14</v>
      </c>
      <c r="I100" s="683"/>
      <c r="J100" s="683"/>
      <c r="K100" s="684"/>
      <c r="L100" s="567">
        <f t="shared" ref="L100:N100" ca="1" si="69">L101+L102</f>
        <v>0</v>
      </c>
      <c r="M100" s="568">
        <f t="shared" ca="1" si="69"/>
        <v>0</v>
      </c>
      <c r="N100" s="568">
        <f t="shared" ca="1" si="69"/>
        <v>0</v>
      </c>
      <c r="O100" s="568">
        <f t="shared" ca="1" si="60"/>
        <v>0</v>
      </c>
      <c r="P100" s="568">
        <f t="shared" ca="1" si="61"/>
        <v>0</v>
      </c>
      <c r="Q100" s="568">
        <f t="shared" ref="Q100:S100" si="70">Q101+Q102</f>
        <v>0</v>
      </c>
      <c r="R100" s="568">
        <f t="shared" si="70"/>
        <v>0</v>
      </c>
      <c r="S100" s="568">
        <f t="shared" si="70"/>
        <v>0</v>
      </c>
      <c r="T100" s="568">
        <f t="shared" si="63"/>
        <v>0</v>
      </c>
      <c r="U100" s="568">
        <f t="shared" si="64"/>
        <v>0</v>
      </c>
    </row>
    <row r="101" spans="1:21" ht="18.75" hidden="1" x14ac:dyDescent="0.25">
      <c r="A101" s="674"/>
      <c r="B101" s="561"/>
      <c r="C101" s="561"/>
      <c r="D101" s="561"/>
      <c r="E101" s="569" t="s">
        <v>20</v>
      </c>
      <c r="F101" s="561"/>
      <c r="G101" s="563"/>
      <c r="H101" s="685" t="s">
        <v>14</v>
      </c>
      <c r="I101" s="683"/>
      <c r="J101" s="683"/>
      <c r="K101" s="684"/>
      <c r="L101" s="571">
        <v>0</v>
      </c>
      <c r="M101" s="572">
        <v>0</v>
      </c>
      <c r="N101" s="572">
        <v>0</v>
      </c>
      <c r="O101" s="572">
        <f t="shared" si="60"/>
        <v>0</v>
      </c>
      <c r="P101" s="572">
        <f t="shared" si="61"/>
        <v>0</v>
      </c>
      <c r="Q101" s="572">
        <v>0</v>
      </c>
      <c r="R101" s="572">
        <v>0</v>
      </c>
      <c r="S101" s="572">
        <v>0</v>
      </c>
      <c r="T101" s="572">
        <f t="shared" si="63"/>
        <v>0</v>
      </c>
      <c r="U101" s="572">
        <f t="shared" si="64"/>
        <v>0</v>
      </c>
    </row>
    <row r="102" spans="1:21" ht="18.75" hidden="1" x14ac:dyDescent="0.25">
      <c r="A102" s="674"/>
      <c r="B102" s="561"/>
      <c r="C102" s="561"/>
      <c r="D102" s="561"/>
      <c r="E102" s="573" t="s">
        <v>21</v>
      </c>
      <c r="F102" s="561"/>
      <c r="G102" s="563"/>
      <c r="H102" s="686" t="s">
        <v>14</v>
      </c>
      <c r="I102" s="683"/>
      <c r="J102" s="683"/>
      <c r="K102" s="684"/>
      <c r="L102" s="567">
        <f ca="1">IFERROR(__xludf.DUMMYFUNCTION("IMPORTRANGE(""https://docs.google.com/spreadsheets/d/1-uDff_7J0KD5mKrp0Vvzr7lt3OU09vwQwhkpOPPYv2Y/edit?usp=sharing"",""งบพรบ!AZ14"")"),0)</f>
        <v>0</v>
      </c>
      <c r="M102" s="568">
        <f ca="1">IFERROR(__xludf.DUMMYFUNCTION("IMPORTRANGE(""https://docs.google.com/spreadsheets/d/1-uDff_7J0KD5mKrp0Vvzr7lt3OU09vwQwhkpOPPYv2Y/edit?usp=sharing"",""งบพรบ!BC14"")"),0)</f>
        <v>0</v>
      </c>
      <c r="N102" s="568">
        <f ca="1">IFERROR(__xludf.DUMMYFUNCTION("IMPORTRANGE(""https://docs.google.com/spreadsheets/d/1-uDff_7J0KD5mKrp0Vvzr7lt3OU09vwQwhkpOPPYv2Y/edit?usp=sharing"",""งบพรบ!BE14"")"),0)</f>
        <v>0</v>
      </c>
      <c r="O102" s="568">
        <f t="shared" ca="1" si="60"/>
        <v>0</v>
      </c>
      <c r="P102" s="568">
        <f t="shared" ca="1" si="61"/>
        <v>0</v>
      </c>
      <c r="Q102" s="568">
        <v>0</v>
      </c>
      <c r="R102" s="568">
        <v>0</v>
      </c>
      <c r="S102" s="568">
        <v>0</v>
      </c>
      <c r="T102" s="568">
        <f t="shared" si="63"/>
        <v>0</v>
      </c>
      <c r="U102" s="568">
        <f t="shared" si="64"/>
        <v>0</v>
      </c>
    </row>
    <row r="103" spans="1:21" ht="19.5" hidden="1" x14ac:dyDescent="0.3">
      <c r="A103" s="687"/>
      <c r="B103" s="688"/>
      <c r="C103" s="675" t="s">
        <v>18</v>
      </c>
      <c r="D103" s="689" t="s">
        <v>38</v>
      </c>
      <c r="E103" s="690"/>
      <c r="F103" s="690"/>
      <c r="G103" s="691"/>
      <c r="H103" s="692"/>
      <c r="I103" s="683"/>
      <c r="J103" s="565"/>
      <c r="K103" s="566"/>
      <c r="L103" s="574"/>
      <c r="M103" s="566"/>
      <c r="N103" s="566"/>
      <c r="O103" s="684"/>
      <c r="P103" s="684"/>
      <c r="Q103" s="566"/>
      <c r="R103" s="566"/>
      <c r="S103" s="566"/>
      <c r="T103" s="684"/>
      <c r="U103" s="684"/>
    </row>
    <row r="104" spans="1:21" ht="12.75" hidden="1" x14ac:dyDescent="0.2">
      <c r="A104" s="705"/>
      <c r="B104" s="706"/>
      <c r="C104" s="706"/>
      <c r="D104" s="531"/>
      <c r="E104" s="531"/>
      <c r="F104" s="531"/>
      <c r="G104" s="532"/>
      <c r="H104" s="532"/>
      <c r="I104" s="533"/>
      <c r="J104" s="533"/>
      <c r="K104" s="534"/>
      <c r="L104" s="535"/>
      <c r="M104" s="534"/>
      <c r="N104" s="534"/>
      <c r="O104" s="534"/>
      <c r="P104" s="534"/>
      <c r="Q104" s="534"/>
      <c r="R104" s="534"/>
      <c r="S104" s="534"/>
      <c r="T104" s="534"/>
      <c r="U104" s="534"/>
    </row>
    <row r="105" spans="1:21" ht="12.75" hidden="1" x14ac:dyDescent="0.2">
      <c r="A105" s="705"/>
      <c r="B105" s="706"/>
      <c r="C105" s="706"/>
      <c r="D105" s="531"/>
      <c r="E105" s="531"/>
      <c r="F105" s="531"/>
      <c r="G105" s="532"/>
      <c r="H105" s="532"/>
      <c r="I105" s="533"/>
      <c r="J105" s="533"/>
      <c r="K105" s="534"/>
      <c r="L105" s="535"/>
      <c r="M105" s="534"/>
      <c r="N105" s="534"/>
      <c r="O105" s="534"/>
      <c r="P105" s="534"/>
      <c r="Q105" s="534"/>
      <c r="R105" s="534"/>
      <c r="S105" s="534"/>
      <c r="T105" s="534"/>
      <c r="U105" s="534"/>
    </row>
    <row r="106" spans="1:21" ht="12.75" hidden="1" x14ac:dyDescent="0.2">
      <c r="A106" s="705"/>
      <c r="B106" s="706"/>
      <c r="C106" s="706"/>
      <c r="D106" s="706"/>
      <c r="E106" s="531"/>
      <c r="F106" s="531"/>
      <c r="G106" s="532"/>
      <c r="H106" s="532"/>
      <c r="I106" s="533"/>
      <c r="J106" s="533"/>
      <c r="K106" s="534"/>
      <c r="L106" s="535"/>
      <c r="M106" s="534"/>
      <c r="N106" s="534"/>
      <c r="O106" s="534"/>
      <c r="P106" s="534"/>
      <c r="Q106" s="534"/>
      <c r="R106" s="534"/>
      <c r="S106" s="534"/>
      <c r="T106" s="534"/>
      <c r="U106" s="534"/>
    </row>
    <row r="107" spans="1:21" ht="19.5" hidden="1" x14ac:dyDescent="0.3">
      <c r="A107" s="687"/>
      <c r="B107" s="688"/>
      <c r="C107" s="688"/>
      <c r="D107" s="707" t="s">
        <v>47</v>
      </c>
      <c r="E107" s="510"/>
      <c r="F107" s="695"/>
      <c r="G107" s="692"/>
      <c r="H107" s="563"/>
      <c r="I107" s="565"/>
      <c r="J107" s="565"/>
      <c r="K107" s="566"/>
      <c r="L107" s="574"/>
      <c r="M107" s="566"/>
      <c r="N107" s="566"/>
      <c r="O107" s="684"/>
      <c r="P107" s="684"/>
      <c r="Q107" s="566"/>
      <c r="R107" s="566"/>
      <c r="S107" s="566"/>
      <c r="T107" s="684"/>
      <c r="U107" s="684"/>
    </row>
    <row r="108" spans="1:21" ht="18.75" hidden="1" x14ac:dyDescent="0.25">
      <c r="A108" s="687"/>
      <c r="B108" s="688"/>
      <c r="C108" s="688"/>
      <c r="D108" s="699" t="s">
        <v>48</v>
      </c>
      <c r="E108" s="695"/>
      <c r="F108" s="695"/>
      <c r="G108" s="692"/>
      <c r="H108" s="564" t="s">
        <v>46</v>
      </c>
      <c r="I108" s="708">
        <f ca="1">IFERROR(__xludf.DUMMYFUNCTION("IMPORTRANGE(""https://docs.google.com/spreadsheets/d/1eHaY18a8A9IcSdp1K8H6x8fbOy06t2VsZHhMHf-1x7Y/edit?usp=sharing"",""แผน!N14"")"),0)</f>
        <v>0</v>
      </c>
      <c r="J108" s="702">
        <v>0</v>
      </c>
      <c r="K108" s="568">
        <f t="shared" ref="K108:K109" ca="1" si="71">IF(I108&gt;0,J108*100/I108,0)</f>
        <v>0</v>
      </c>
      <c r="L108" s="574"/>
      <c r="M108" s="566"/>
      <c r="N108" s="566"/>
      <c r="O108" s="684"/>
      <c r="P108" s="684"/>
      <c r="Q108" s="566"/>
      <c r="R108" s="566"/>
      <c r="S108" s="566"/>
      <c r="T108" s="684"/>
      <c r="U108" s="684"/>
    </row>
    <row r="109" spans="1:21" ht="18.75" hidden="1" x14ac:dyDescent="0.25">
      <c r="A109" s="687"/>
      <c r="B109" s="688"/>
      <c r="C109" s="688"/>
      <c r="D109" s="699" t="s">
        <v>49</v>
      </c>
      <c r="E109" s="695"/>
      <c r="F109" s="695"/>
      <c r="G109" s="692"/>
      <c r="H109" s="564" t="s">
        <v>35</v>
      </c>
      <c r="I109" s="708">
        <f ca="1">IFERROR(__xludf.DUMMYFUNCTION("IMPORTRANGE(""https://docs.google.com/spreadsheets/d/1eHaY18a8A9IcSdp1K8H6x8fbOy06t2VsZHhMHf-1x7Y/edit?usp=sharing"",""แผน!O14"")"),0)</f>
        <v>0</v>
      </c>
      <c r="J109" s="702">
        <v>0</v>
      </c>
      <c r="K109" s="568">
        <f t="shared" ca="1" si="71"/>
        <v>0</v>
      </c>
      <c r="L109" s="574"/>
      <c r="M109" s="566"/>
      <c r="N109" s="566"/>
      <c r="O109" s="684"/>
      <c r="P109" s="684"/>
      <c r="Q109" s="566"/>
      <c r="R109" s="566"/>
      <c r="S109" s="566"/>
      <c r="T109" s="684"/>
      <c r="U109" s="684"/>
    </row>
    <row r="110" spans="1:21" ht="12.75" hidden="1" x14ac:dyDescent="0.2">
      <c r="A110" s="705"/>
      <c r="B110" s="706"/>
      <c r="C110" s="706"/>
      <c r="D110" s="531"/>
      <c r="E110" s="531"/>
      <c r="F110" s="531"/>
      <c r="G110" s="532"/>
      <c r="H110" s="532"/>
      <c r="I110" s="533"/>
      <c r="J110" s="533"/>
      <c r="K110" s="534"/>
      <c r="L110" s="535"/>
      <c r="M110" s="534"/>
      <c r="N110" s="534"/>
      <c r="O110" s="534"/>
      <c r="P110" s="534"/>
      <c r="Q110" s="534"/>
      <c r="R110" s="534"/>
      <c r="S110" s="534"/>
      <c r="T110" s="534"/>
      <c r="U110" s="534"/>
    </row>
    <row r="111" spans="1:21" ht="12.75" hidden="1" x14ac:dyDescent="0.2">
      <c r="A111" s="705"/>
      <c r="B111" s="706"/>
      <c r="C111" s="706"/>
      <c r="D111" s="531"/>
      <c r="E111" s="531"/>
      <c r="F111" s="531"/>
      <c r="G111" s="532"/>
      <c r="H111" s="532"/>
      <c r="I111" s="533"/>
      <c r="J111" s="533"/>
      <c r="K111" s="534"/>
      <c r="L111" s="535"/>
      <c r="M111" s="534"/>
      <c r="N111" s="534"/>
      <c r="O111" s="534"/>
      <c r="P111" s="534"/>
      <c r="Q111" s="534"/>
      <c r="R111" s="534"/>
      <c r="S111" s="534"/>
      <c r="T111" s="534"/>
      <c r="U111" s="534"/>
    </row>
    <row r="112" spans="1:21" ht="12.75" hidden="1" x14ac:dyDescent="0.2">
      <c r="A112" s="705"/>
      <c r="B112" s="706"/>
      <c r="C112" s="706"/>
      <c r="D112" s="531"/>
      <c r="E112" s="531"/>
      <c r="F112" s="531"/>
      <c r="G112" s="532"/>
      <c r="H112" s="532"/>
      <c r="I112" s="533"/>
      <c r="J112" s="533"/>
      <c r="K112" s="534"/>
      <c r="L112" s="535"/>
      <c r="M112" s="534"/>
      <c r="N112" s="534"/>
      <c r="O112" s="534"/>
      <c r="P112" s="534"/>
      <c r="Q112" s="534"/>
      <c r="R112" s="534"/>
      <c r="S112" s="534"/>
      <c r="T112" s="534"/>
      <c r="U112" s="534"/>
    </row>
    <row r="113" spans="1:21" ht="12.75" hidden="1" x14ac:dyDescent="0.2">
      <c r="A113" s="705"/>
      <c r="B113" s="706"/>
      <c r="C113" s="706"/>
      <c r="D113" s="531"/>
      <c r="E113" s="531"/>
      <c r="F113" s="531"/>
      <c r="G113" s="532"/>
      <c r="H113" s="532"/>
      <c r="I113" s="533">
        <v>0</v>
      </c>
      <c r="J113" s="533">
        <v>0</v>
      </c>
      <c r="K113" s="534"/>
      <c r="L113" s="535"/>
      <c r="M113" s="534"/>
      <c r="N113" s="534"/>
      <c r="O113" s="534"/>
      <c r="P113" s="534"/>
      <c r="Q113" s="534"/>
      <c r="R113" s="534"/>
      <c r="S113" s="534"/>
      <c r="T113" s="534"/>
      <c r="U113" s="534"/>
    </row>
    <row r="114" spans="1:21" ht="18.75" hidden="1" x14ac:dyDescent="0.25">
      <c r="A114" s="687"/>
      <c r="B114" s="688"/>
      <c r="C114" s="688"/>
      <c r="D114" s="699" t="s">
        <v>50</v>
      </c>
      <c r="E114" s="695"/>
      <c r="F114" s="695"/>
      <c r="G114" s="692"/>
      <c r="H114" s="700" t="s">
        <v>35</v>
      </c>
      <c r="I114" s="701">
        <f ca="1">IFERROR(__xludf.DUMMYFUNCTION("IMPORTRANGE(""https://docs.google.com/spreadsheets/d/1eHaY18a8A9IcSdp1K8H6x8fbOy06t2VsZHhMHf-1x7Y/edit?usp=sharing"",""แผน!R14"")"),0)</f>
        <v>0</v>
      </c>
      <c r="J114" s="702">
        <v>0</v>
      </c>
      <c r="K114" s="568">
        <f ca="1">IF(I114&gt;0,J114*100/I114,0)</f>
        <v>0</v>
      </c>
      <c r="L114" s="574"/>
      <c r="M114" s="566"/>
      <c r="N114" s="566"/>
      <c r="O114" s="684"/>
      <c r="P114" s="684"/>
      <c r="Q114" s="566"/>
      <c r="R114" s="566"/>
      <c r="S114" s="566"/>
      <c r="T114" s="684"/>
      <c r="U114" s="684"/>
    </row>
    <row r="115" spans="1:21" ht="19.5" x14ac:dyDescent="0.3">
      <c r="A115" s="709" t="s">
        <v>51</v>
      </c>
      <c r="B115" s="710"/>
      <c r="C115" s="711"/>
      <c r="D115" s="712"/>
      <c r="E115" s="712"/>
      <c r="F115" s="712"/>
      <c r="G115" s="712"/>
      <c r="H115" s="710"/>
      <c r="I115" s="713"/>
      <c r="J115" s="713"/>
      <c r="K115" s="714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</row>
    <row r="116" spans="1:21" ht="19.5" x14ac:dyDescent="0.3">
      <c r="A116" s="669"/>
      <c r="B116" s="715" t="s">
        <v>52</v>
      </c>
      <c r="C116" s="716"/>
      <c r="D116" s="670"/>
      <c r="E116" s="543"/>
      <c r="F116" s="543"/>
      <c r="G116" s="546"/>
      <c r="H116" s="717" t="s">
        <v>35</v>
      </c>
      <c r="I116" s="672">
        <f t="shared" ref="I116:J116" ca="1" si="72">I127</f>
        <v>70</v>
      </c>
      <c r="J116" s="672">
        <f t="shared" si="72"/>
        <v>70</v>
      </c>
      <c r="K116" s="551">
        <f ca="1">IF(I116&gt;0,J116*100/I116,0)</f>
        <v>100</v>
      </c>
      <c r="L116" s="673"/>
      <c r="M116" s="549"/>
      <c r="N116" s="549"/>
      <c r="O116" s="549"/>
      <c r="P116" s="549"/>
      <c r="Q116" s="549"/>
      <c r="R116" s="549"/>
      <c r="S116" s="549"/>
      <c r="T116" s="549"/>
      <c r="U116" s="549"/>
    </row>
    <row r="117" spans="1:21" ht="19.5" x14ac:dyDescent="0.3">
      <c r="A117" s="674"/>
      <c r="B117" s="718"/>
      <c r="C117" s="719" t="s">
        <v>18</v>
      </c>
      <c r="D117" s="676" t="s">
        <v>19</v>
      </c>
      <c r="E117" s="561"/>
      <c r="F117" s="561"/>
      <c r="G117" s="563"/>
      <c r="H117" s="677" t="s">
        <v>14</v>
      </c>
      <c r="I117" s="565"/>
      <c r="J117" s="565"/>
      <c r="K117" s="566"/>
      <c r="L117" s="678">
        <f t="shared" ref="L117:N117" ca="1" si="73">L118+L119</f>
        <v>0</v>
      </c>
      <c r="M117" s="679">
        <f t="shared" ca="1" si="73"/>
        <v>0</v>
      </c>
      <c r="N117" s="679">
        <f t="shared" ca="1" si="73"/>
        <v>0</v>
      </c>
      <c r="O117" s="679">
        <f t="shared" ref="O117:O125" ca="1" si="74">IF(L117&gt;0,N117*100/L117,0)</f>
        <v>0</v>
      </c>
      <c r="P117" s="679">
        <f t="shared" ref="P117:P125" ca="1" si="75">IF(M117&gt;0,N117*100/M117,0)</f>
        <v>0</v>
      </c>
      <c r="Q117" s="679">
        <f t="shared" ref="Q117:S117" ca="1" si="76">Q118+Q119</f>
        <v>333320</v>
      </c>
      <c r="R117" s="679">
        <f t="shared" ca="1" si="76"/>
        <v>333320</v>
      </c>
      <c r="S117" s="679">
        <f t="shared" ca="1" si="76"/>
        <v>252630</v>
      </c>
      <c r="T117" s="679">
        <f t="shared" ref="T117:T125" ca="1" si="77">IF(Q117&gt;0,S117*100/Q117,0)</f>
        <v>75.792031681267247</v>
      </c>
      <c r="U117" s="679">
        <f t="shared" ref="U117:U125" ca="1" si="78">IF(R117&gt;0,S117*100/R117,0)</f>
        <v>75.792031681267247</v>
      </c>
    </row>
    <row r="118" spans="1:21" ht="18.75" x14ac:dyDescent="0.25">
      <c r="A118" s="674"/>
      <c r="B118" s="718"/>
      <c r="C118" s="718"/>
      <c r="D118" s="718"/>
      <c r="E118" s="569" t="s">
        <v>20</v>
      </c>
      <c r="F118" s="561"/>
      <c r="G118" s="563"/>
      <c r="H118" s="680" t="s">
        <v>14</v>
      </c>
      <c r="I118" s="565"/>
      <c r="J118" s="565"/>
      <c r="K118" s="566"/>
      <c r="L118" s="571">
        <f t="shared" ref="L118:N119" si="79">L121+L124</f>
        <v>0</v>
      </c>
      <c r="M118" s="572">
        <f t="shared" si="79"/>
        <v>0</v>
      </c>
      <c r="N118" s="572">
        <f t="shared" si="79"/>
        <v>0</v>
      </c>
      <c r="O118" s="572">
        <f t="shared" si="74"/>
        <v>0</v>
      </c>
      <c r="P118" s="572">
        <f t="shared" si="75"/>
        <v>0</v>
      </c>
      <c r="Q118" s="572">
        <f t="shared" ref="Q118:S119" si="80">Q121+Q124</f>
        <v>0</v>
      </c>
      <c r="R118" s="572">
        <f t="shared" si="80"/>
        <v>0</v>
      </c>
      <c r="S118" s="572">
        <f t="shared" si="80"/>
        <v>0</v>
      </c>
      <c r="T118" s="572">
        <f t="shared" si="77"/>
        <v>0</v>
      </c>
      <c r="U118" s="572">
        <f t="shared" si="78"/>
        <v>0</v>
      </c>
    </row>
    <row r="119" spans="1:21" ht="18.75" x14ac:dyDescent="0.25">
      <c r="A119" s="674"/>
      <c r="B119" s="718"/>
      <c r="C119" s="718"/>
      <c r="D119" s="718"/>
      <c r="E119" s="573" t="s">
        <v>21</v>
      </c>
      <c r="F119" s="561"/>
      <c r="G119" s="563"/>
      <c r="H119" s="681" t="s">
        <v>14</v>
      </c>
      <c r="I119" s="565"/>
      <c r="J119" s="565"/>
      <c r="K119" s="566"/>
      <c r="L119" s="567">
        <f t="shared" ca="1" si="79"/>
        <v>0</v>
      </c>
      <c r="M119" s="568">
        <f t="shared" ca="1" si="79"/>
        <v>0</v>
      </c>
      <c r="N119" s="568">
        <f t="shared" ca="1" si="79"/>
        <v>0</v>
      </c>
      <c r="O119" s="568">
        <f t="shared" ca="1" si="74"/>
        <v>0</v>
      </c>
      <c r="P119" s="568">
        <f t="shared" ca="1" si="75"/>
        <v>0</v>
      </c>
      <c r="Q119" s="568">
        <f t="shared" ca="1" si="80"/>
        <v>333320</v>
      </c>
      <c r="R119" s="568">
        <f t="shared" ca="1" si="80"/>
        <v>333320</v>
      </c>
      <c r="S119" s="568">
        <f t="shared" ca="1" si="80"/>
        <v>252630</v>
      </c>
      <c r="T119" s="568">
        <f t="shared" ca="1" si="77"/>
        <v>75.792031681267247</v>
      </c>
      <c r="U119" s="568">
        <f t="shared" ca="1" si="78"/>
        <v>75.792031681267247</v>
      </c>
    </row>
    <row r="120" spans="1:21" ht="18.75" x14ac:dyDescent="0.25">
      <c r="A120" s="674"/>
      <c r="B120" s="718"/>
      <c r="C120" s="720"/>
      <c r="D120" s="721" t="s">
        <v>22</v>
      </c>
      <c r="E120" s="561"/>
      <c r="F120" s="561"/>
      <c r="G120" s="563"/>
      <c r="H120" s="722" t="s">
        <v>14</v>
      </c>
      <c r="I120" s="565"/>
      <c r="J120" s="565"/>
      <c r="K120" s="566"/>
      <c r="L120" s="567">
        <f t="shared" ref="L120:N120" ca="1" si="81">L121+L122</f>
        <v>0</v>
      </c>
      <c r="M120" s="568">
        <f t="shared" ca="1" si="81"/>
        <v>0</v>
      </c>
      <c r="N120" s="568">
        <f t="shared" ca="1" si="81"/>
        <v>0</v>
      </c>
      <c r="O120" s="568">
        <f t="shared" ca="1" si="74"/>
        <v>0</v>
      </c>
      <c r="P120" s="568">
        <f t="shared" ca="1" si="75"/>
        <v>0</v>
      </c>
      <c r="Q120" s="568">
        <f t="shared" ref="Q120:S120" ca="1" si="82">Q121+Q122</f>
        <v>333320</v>
      </c>
      <c r="R120" s="568">
        <f t="shared" ca="1" si="82"/>
        <v>333320</v>
      </c>
      <c r="S120" s="568">
        <f t="shared" ca="1" si="82"/>
        <v>252630</v>
      </c>
      <c r="T120" s="568">
        <f t="shared" ca="1" si="77"/>
        <v>75.792031681267247</v>
      </c>
      <c r="U120" s="568">
        <f t="shared" ca="1" si="78"/>
        <v>75.792031681267247</v>
      </c>
    </row>
    <row r="121" spans="1:21" ht="18.75" x14ac:dyDescent="0.25">
      <c r="A121" s="674"/>
      <c r="B121" s="718"/>
      <c r="C121" s="720"/>
      <c r="D121" s="718"/>
      <c r="E121" s="569" t="s">
        <v>36</v>
      </c>
      <c r="F121" s="561"/>
      <c r="G121" s="563"/>
      <c r="H121" s="723" t="s">
        <v>14</v>
      </c>
      <c r="I121" s="565"/>
      <c r="J121" s="565"/>
      <c r="K121" s="566"/>
      <c r="L121" s="571">
        <v>0</v>
      </c>
      <c r="M121" s="572">
        <v>0</v>
      </c>
      <c r="N121" s="572">
        <v>0</v>
      </c>
      <c r="O121" s="572">
        <f t="shared" si="74"/>
        <v>0</v>
      </c>
      <c r="P121" s="572">
        <f t="shared" si="75"/>
        <v>0</v>
      </c>
      <c r="Q121" s="572">
        <v>0</v>
      </c>
      <c r="R121" s="572">
        <v>0</v>
      </c>
      <c r="S121" s="572">
        <v>0</v>
      </c>
      <c r="T121" s="572">
        <f t="shared" si="77"/>
        <v>0</v>
      </c>
      <c r="U121" s="572">
        <f t="shared" si="78"/>
        <v>0</v>
      </c>
    </row>
    <row r="122" spans="1:21" ht="18.75" x14ac:dyDescent="0.25">
      <c r="A122" s="674"/>
      <c r="B122" s="718"/>
      <c r="C122" s="720"/>
      <c r="D122" s="718"/>
      <c r="E122" s="573" t="s">
        <v>37</v>
      </c>
      <c r="F122" s="561"/>
      <c r="G122" s="563"/>
      <c r="H122" s="722" t="s">
        <v>14</v>
      </c>
      <c r="I122" s="565"/>
      <c r="J122" s="565"/>
      <c r="K122" s="566"/>
      <c r="L122" s="567">
        <f ca="1">IFERROR(__xludf.DUMMYFUNCTION("IMPORTRANGE(""https://docs.google.com/spreadsheets/d/1-uDff_7J0KD5mKrp0Vvzr7lt3OU09vwQwhkpOPPYv2Y/edit?usp=sharing"",""งบพรบ!BG14"")"),0)</f>
        <v>0</v>
      </c>
      <c r="M122" s="568">
        <f ca="1">IFERROR(__xludf.DUMMYFUNCTION("IMPORTRANGE(""https://docs.google.com/spreadsheets/d/1-uDff_7J0KD5mKrp0Vvzr7lt3OU09vwQwhkpOPPYv2Y/edit?usp=sharing"",""งบพรบ!BL14"")"),0)</f>
        <v>0</v>
      </c>
      <c r="N122" s="568">
        <f ca="1">IFERROR(__xludf.DUMMYFUNCTION("IMPORTRANGE(""https://docs.google.com/spreadsheets/d/1-uDff_7J0KD5mKrp0Vvzr7lt3OU09vwQwhkpOPPYv2Y/edit?usp=sharing"",""งบพรบ!BN14"")"),0)</f>
        <v>0</v>
      </c>
      <c r="O122" s="568">
        <f t="shared" ca="1" si="74"/>
        <v>0</v>
      </c>
      <c r="P122" s="568">
        <f t="shared" ca="1" si="75"/>
        <v>0</v>
      </c>
      <c r="Q122" s="568">
        <f ca="1">IFERROR(__xludf.DUMMYFUNCTION("IMPORTRANGE(""https://docs.google.com/spreadsheets/d/1ItG2mGa2ceCfYo0BwxsXqNm01IGEUdYcSSLTEv9YCik/edit?usp=sharing"",""เบิกจ่ายกองทุน!U14"")"),333320)</f>
        <v>333320</v>
      </c>
      <c r="R122" s="568">
        <f ca="1">IFERROR(__xludf.DUMMYFUNCTION("IMPORTRANGE(""https://docs.google.com/spreadsheets/d/1ItG2mGa2ceCfYo0BwxsXqNm01IGEUdYcSSLTEv9YCik/edit?usp=sharing"",""เบิกจ่ายกองทุน!V14"")"),333320)</f>
        <v>333320</v>
      </c>
      <c r="S122" s="568">
        <f ca="1">IFERROR(__xludf.DUMMYFUNCTION("IMPORTRANGE(""https://docs.google.com/spreadsheets/d/1ItG2mGa2ceCfYo0BwxsXqNm01IGEUdYcSSLTEv9YCik/edit?usp=sharing"",""เบิกจ่ายกองทุน!W14"")"),252630)</f>
        <v>252630</v>
      </c>
      <c r="T122" s="568">
        <f t="shared" ca="1" si="77"/>
        <v>75.792031681267247</v>
      </c>
      <c r="U122" s="568">
        <f t="shared" ca="1" si="78"/>
        <v>75.792031681267247</v>
      </c>
    </row>
    <row r="123" spans="1:21" ht="18.75" x14ac:dyDescent="0.25">
      <c r="A123" s="674"/>
      <c r="B123" s="561"/>
      <c r="C123" s="720"/>
      <c r="D123" s="721" t="s">
        <v>23</v>
      </c>
      <c r="E123" s="561"/>
      <c r="F123" s="561"/>
      <c r="G123" s="563"/>
      <c r="H123" s="681" t="s">
        <v>14</v>
      </c>
      <c r="I123" s="565"/>
      <c r="J123" s="565"/>
      <c r="K123" s="566"/>
      <c r="L123" s="567">
        <f t="shared" ref="L123:N123" ca="1" si="83">L124+L125</f>
        <v>0</v>
      </c>
      <c r="M123" s="568">
        <f t="shared" ca="1" si="83"/>
        <v>0</v>
      </c>
      <c r="N123" s="568">
        <f t="shared" ca="1" si="83"/>
        <v>0</v>
      </c>
      <c r="O123" s="568">
        <f t="shared" ca="1" si="74"/>
        <v>0</v>
      </c>
      <c r="P123" s="568">
        <f t="shared" ca="1" si="75"/>
        <v>0</v>
      </c>
      <c r="Q123" s="568">
        <f t="shared" ref="Q123:S123" ca="1" si="84">Q124+Q125</f>
        <v>0</v>
      </c>
      <c r="R123" s="568">
        <f t="shared" ca="1" si="84"/>
        <v>0</v>
      </c>
      <c r="S123" s="568">
        <f t="shared" ca="1" si="84"/>
        <v>0</v>
      </c>
      <c r="T123" s="568">
        <f t="shared" ca="1" si="77"/>
        <v>0</v>
      </c>
      <c r="U123" s="568">
        <f t="shared" ca="1" si="78"/>
        <v>0</v>
      </c>
    </row>
    <row r="124" spans="1:21" ht="18.75" x14ac:dyDescent="0.25">
      <c r="A124" s="674"/>
      <c r="B124" s="561"/>
      <c r="C124" s="720"/>
      <c r="D124" s="718"/>
      <c r="E124" s="569" t="s">
        <v>20</v>
      </c>
      <c r="F124" s="561"/>
      <c r="G124" s="563"/>
      <c r="H124" s="723" t="s">
        <v>14</v>
      </c>
      <c r="I124" s="565"/>
      <c r="J124" s="565"/>
      <c r="K124" s="566"/>
      <c r="L124" s="571">
        <v>0</v>
      </c>
      <c r="M124" s="572">
        <v>0</v>
      </c>
      <c r="N124" s="572">
        <v>0</v>
      </c>
      <c r="O124" s="572">
        <f t="shared" si="74"/>
        <v>0</v>
      </c>
      <c r="P124" s="572">
        <f t="shared" si="75"/>
        <v>0</v>
      </c>
      <c r="Q124" s="572">
        <v>0</v>
      </c>
      <c r="R124" s="572">
        <v>0</v>
      </c>
      <c r="S124" s="572">
        <v>0</v>
      </c>
      <c r="T124" s="572">
        <f t="shared" si="77"/>
        <v>0</v>
      </c>
      <c r="U124" s="572">
        <f t="shared" si="78"/>
        <v>0</v>
      </c>
    </row>
    <row r="125" spans="1:21" ht="18.75" x14ac:dyDescent="0.25">
      <c r="A125" s="674"/>
      <c r="B125" s="561"/>
      <c r="C125" s="561"/>
      <c r="D125" s="561"/>
      <c r="E125" s="573" t="s">
        <v>21</v>
      </c>
      <c r="F125" s="561"/>
      <c r="G125" s="563"/>
      <c r="H125" s="681" t="s">
        <v>14</v>
      </c>
      <c r="I125" s="565"/>
      <c r="J125" s="565"/>
      <c r="K125" s="566"/>
      <c r="L125" s="567">
        <f ca="1">IFERROR(__xludf.DUMMYFUNCTION("IMPORTRANGE(""https://docs.google.com/spreadsheets/d/1-uDff_7J0KD5mKrp0Vvzr7lt3OU09vwQwhkpOPPYv2Y/edit?usp=sharing"",""งบพรบ!BJ14"")"),0)</f>
        <v>0</v>
      </c>
      <c r="M125" s="568">
        <f ca="1">IFERROR(__xludf.DUMMYFUNCTION("IMPORTRANGE(""https://docs.google.com/spreadsheets/d/1-uDff_7J0KD5mKrp0Vvzr7lt3OU09vwQwhkpOPPYv2Y/edit?usp=sharing"",""งบพรบ!BM14"")"),0)</f>
        <v>0</v>
      </c>
      <c r="N125" s="568">
        <f ca="1">IFERROR(__xludf.DUMMYFUNCTION("IMPORTRANGE(""https://docs.google.com/spreadsheets/d/1-uDff_7J0KD5mKrp0Vvzr7lt3OU09vwQwhkpOPPYv2Y/edit?usp=sharing"",""งบพรบ!BO14"")"),0)</f>
        <v>0</v>
      </c>
      <c r="O125" s="568">
        <f t="shared" ca="1" si="74"/>
        <v>0</v>
      </c>
      <c r="P125" s="568">
        <f t="shared" ca="1" si="75"/>
        <v>0</v>
      </c>
      <c r="Q125" s="568">
        <f ca="1">IFERROR(__xludf.DUMMYFUNCTION("IMPORTRANGE(""https://docs.google.com/spreadsheets/d/1ItG2mGa2ceCfYo0BwxsXqNm01IGEUdYcSSLTEv9YCik/edit?usp=sharing"",""เบิกจ่ายกองทุน!X14"")"),0)</f>
        <v>0</v>
      </c>
      <c r="R125" s="568">
        <f ca="1">IFERROR(__xludf.DUMMYFUNCTION("IMPORTRANGE(""https://docs.google.com/spreadsheets/d/1ItG2mGa2ceCfYo0BwxsXqNm01IGEUdYcSSLTEv9YCik/edit?usp=sharing"",""เบิกจ่ายกองทุน!Y14"")"),0)</f>
        <v>0</v>
      </c>
      <c r="S125" s="568">
        <f ca="1">IFERROR(__xludf.DUMMYFUNCTION("IMPORTRANGE(""https://docs.google.com/spreadsheets/d/1ItG2mGa2ceCfYo0BwxsXqNm01IGEUdYcSSLTEv9YCik/edit?usp=sharing"",""เบิกจ่ายกองทุน!Z14"")"),0)</f>
        <v>0</v>
      </c>
      <c r="T125" s="568">
        <f t="shared" ca="1" si="77"/>
        <v>0</v>
      </c>
      <c r="U125" s="568">
        <f t="shared" ca="1" si="78"/>
        <v>0</v>
      </c>
    </row>
    <row r="126" spans="1:21" ht="19.5" x14ac:dyDescent="0.3">
      <c r="A126" s="687"/>
      <c r="B126" s="688"/>
      <c r="C126" s="724" t="s">
        <v>18</v>
      </c>
      <c r="D126" s="689" t="s">
        <v>38</v>
      </c>
      <c r="E126" s="690"/>
      <c r="F126" s="690"/>
      <c r="G126" s="691"/>
      <c r="H126" s="725"/>
      <c r="I126" s="565"/>
      <c r="J126" s="565"/>
      <c r="K126" s="566"/>
      <c r="L126" s="574"/>
      <c r="M126" s="566"/>
      <c r="N126" s="566"/>
      <c r="O126" s="566"/>
      <c r="P126" s="566"/>
      <c r="Q126" s="566"/>
      <c r="R126" s="566"/>
      <c r="S126" s="566"/>
      <c r="T126" s="566"/>
      <c r="U126" s="566"/>
    </row>
    <row r="127" spans="1:21" ht="18.75" x14ac:dyDescent="0.25">
      <c r="A127" s="687"/>
      <c r="B127" s="688"/>
      <c r="C127" s="688"/>
      <c r="D127" s="699" t="s">
        <v>53</v>
      </c>
      <c r="E127" s="695"/>
      <c r="F127" s="695"/>
      <c r="G127" s="692"/>
      <c r="H127" s="681" t="s">
        <v>35</v>
      </c>
      <c r="I127" s="708">
        <f ca="1">IFERROR(__xludf.DUMMYFUNCTION("IMPORTRANGE(""https://docs.google.com/spreadsheets/d/1eHaY18a8A9IcSdp1K8H6x8fbOy06t2VsZHhMHf-1x7Y/edit?usp=sharing"",""แผน!FF14"")"),70)</f>
        <v>70</v>
      </c>
      <c r="J127" s="702">
        <v>70</v>
      </c>
      <c r="K127" s="568">
        <f t="shared" ref="K127:K130" ca="1" si="85">IF(I127&gt;0,J127*100/I127,0)</f>
        <v>100</v>
      </c>
      <c r="L127" s="574"/>
      <c r="M127" s="566"/>
      <c r="N127" s="566"/>
      <c r="O127" s="566"/>
      <c r="P127" s="566"/>
      <c r="Q127" s="566"/>
      <c r="R127" s="566"/>
      <c r="S127" s="566"/>
      <c r="T127" s="566"/>
      <c r="U127" s="566"/>
    </row>
    <row r="128" spans="1:21" ht="18.75" x14ac:dyDescent="0.25">
      <c r="A128" s="687"/>
      <c r="B128" s="688"/>
      <c r="C128" s="688"/>
      <c r="D128" s="695"/>
      <c r="E128" s="695"/>
      <c r="F128" s="695"/>
      <c r="G128" s="692"/>
      <c r="H128" s="681" t="s">
        <v>54</v>
      </c>
      <c r="I128" s="708">
        <f ca="1">IFERROR(__xludf.DUMMYFUNCTION("IMPORTRANGE(""https://docs.google.com/spreadsheets/d/1eHaY18a8A9IcSdp1K8H6x8fbOy06t2VsZHhMHf-1x7Y/edit?usp=sharing"",""แผน!FG14"")"),0)</f>
        <v>0</v>
      </c>
      <c r="J128" s="702">
        <v>0</v>
      </c>
      <c r="K128" s="568">
        <f t="shared" ca="1" si="85"/>
        <v>0</v>
      </c>
      <c r="L128" s="574"/>
      <c r="M128" s="566"/>
      <c r="N128" s="566"/>
      <c r="O128" s="566"/>
      <c r="P128" s="566"/>
      <c r="Q128" s="566"/>
      <c r="R128" s="566"/>
      <c r="S128" s="566"/>
      <c r="T128" s="566"/>
      <c r="U128" s="566"/>
    </row>
    <row r="129" spans="1:21" ht="18.75" x14ac:dyDescent="0.25">
      <c r="A129" s="687"/>
      <c r="B129" s="688"/>
      <c r="C129" s="688"/>
      <c r="D129" s="699" t="s">
        <v>55</v>
      </c>
      <c r="E129" s="695"/>
      <c r="F129" s="695"/>
      <c r="G129" s="692"/>
      <c r="H129" s="681" t="s">
        <v>35</v>
      </c>
      <c r="I129" s="708">
        <f ca="1">IFERROR(__xludf.DUMMYFUNCTION("IMPORTRANGE(""https://docs.google.com/spreadsheets/d/1eHaY18a8A9IcSdp1K8H6x8fbOy06t2VsZHhMHf-1x7Y/edit?usp=sharing"",""แผน!FH14"")"),20)</f>
        <v>20</v>
      </c>
      <c r="J129" s="702">
        <v>20</v>
      </c>
      <c r="K129" s="568">
        <f t="shared" ca="1" si="85"/>
        <v>100</v>
      </c>
      <c r="L129" s="574"/>
      <c r="M129" s="566"/>
      <c r="N129" s="566"/>
      <c r="O129" s="566"/>
      <c r="P129" s="566"/>
      <c r="Q129" s="566"/>
      <c r="R129" s="566"/>
      <c r="S129" s="566"/>
      <c r="T129" s="566"/>
      <c r="U129" s="566"/>
    </row>
    <row r="130" spans="1:21" ht="18.75" x14ac:dyDescent="0.25">
      <c r="A130" s="687"/>
      <c r="B130" s="688"/>
      <c r="C130" s="688"/>
      <c r="D130" s="695"/>
      <c r="E130" s="695"/>
      <c r="F130" s="695"/>
      <c r="G130" s="692"/>
      <c r="H130" s="681" t="s">
        <v>54</v>
      </c>
      <c r="I130" s="708">
        <f ca="1">IFERROR(__xludf.DUMMYFUNCTION("IMPORTRANGE(""https://docs.google.com/spreadsheets/d/1eHaY18a8A9IcSdp1K8H6x8fbOy06t2VsZHhMHf-1x7Y/edit?usp=sharing"",""แผน!FI14"")"),0)</f>
        <v>0</v>
      </c>
      <c r="J130" s="702">
        <v>0</v>
      </c>
      <c r="K130" s="568">
        <f t="shared" ca="1" si="85"/>
        <v>0</v>
      </c>
      <c r="L130" s="574"/>
      <c r="M130" s="566"/>
      <c r="N130" s="566"/>
      <c r="O130" s="566"/>
      <c r="P130" s="566"/>
      <c r="Q130" s="566"/>
      <c r="R130" s="566"/>
      <c r="S130" s="566"/>
      <c r="T130" s="566"/>
      <c r="U130" s="566"/>
    </row>
    <row r="131" spans="1:21" ht="18.75" hidden="1" x14ac:dyDescent="0.25">
      <c r="A131" s="687"/>
      <c r="B131" s="688"/>
      <c r="C131" s="688"/>
      <c r="D131" s="726" t="s">
        <v>56</v>
      </c>
      <c r="E131" s="695"/>
      <c r="F131" s="695"/>
      <c r="G131" s="692"/>
      <c r="H131" s="680" t="s">
        <v>35</v>
      </c>
      <c r="I131" s="565"/>
      <c r="J131" s="565"/>
      <c r="K131" s="566"/>
      <c r="L131" s="574"/>
      <c r="M131" s="566"/>
      <c r="N131" s="566"/>
      <c r="O131" s="566"/>
      <c r="P131" s="566"/>
      <c r="Q131" s="566"/>
      <c r="R131" s="566"/>
      <c r="S131" s="566"/>
      <c r="T131" s="566"/>
      <c r="U131" s="566"/>
    </row>
    <row r="132" spans="1:21" ht="18.75" hidden="1" x14ac:dyDescent="0.25">
      <c r="A132" s="687"/>
      <c r="B132" s="688"/>
      <c r="C132" s="688"/>
      <c r="D132" s="726" t="s">
        <v>57</v>
      </c>
      <c r="E132" s="695"/>
      <c r="F132" s="695"/>
      <c r="G132" s="692"/>
      <c r="H132" s="727"/>
      <c r="I132" s="565"/>
      <c r="J132" s="565"/>
      <c r="K132" s="566"/>
      <c r="L132" s="574"/>
      <c r="M132" s="566"/>
      <c r="N132" s="566"/>
      <c r="O132" s="566"/>
      <c r="P132" s="566"/>
      <c r="Q132" s="566"/>
      <c r="R132" s="566"/>
      <c r="S132" s="566"/>
      <c r="T132" s="566"/>
      <c r="U132" s="566"/>
    </row>
    <row r="133" spans="1:21" ht="12.75" hidden="1" x14ac:dyDescent="0.2">
      <c r="A133" s="705"/>
      <c r="B133" s="706"/>
      <c r="C133" s="706"/>
      <c r="D133" s="531"/>
      <c r="E133" s="531"/>
      <c r="F133" s="531"/>
      <c r="G133" s="532"/>
      <c r="H133" s="728"/>
      <c r="I133" s="533"/>
      <c r="J133" s="533"/>
      <c r="K133" s="534"/>
      <c r="L133" s="535"/>
      <c r="M133" s="534"/>
      <c r="N133" s="534"/>
      <c r="O133" s="534"/>
      <c r="P133" s="534"/>
      <c r="Q133" s="534"/>
      <c r="R133" s="534"/>
      <c r="S133" s="534"/>
      <c r="T133" s="534"/>
      <c r="U133" s="534"/>
    </row>
    <row r="134" spans="1:21" ht="19.5" hidden="1" x14ac:dyDescent="0.3">
      <c r="A134" s="662" t="s">
        <v>58</v>
      </c>
      <c r="B134" s="663"/>
      <c r="C134" s="729"/>
      <c r="D134" s="663"/>
      <c r="E134" s="663"/>
      <c r="F134" s="663"/>
      <c r="G134" s="663"/>
      <c r="H134" s="663"/>
      <c r="I134" s="730"/>
      <c r="J134" s="730"/>
      <c r="K134" s="731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</row>
    <row r="135" spans="1:21" ht="19.5" hidden="1" x14ac:dyDescent="0.3">
      <c r="A135" s="669"/>
      <c r="B135" s="544" t="s">
        <v>59</v>
      </c>
      <c r="C135" s="716"/>
      <c r="D135" s="670"/>
      <c r="E135" s="543"/>
      <c r="F135" s="543"/>
      <c r="G135" s="543"/>
      <c r="H135" s="543"/>
      <c r="I135" s="732"/>
      <c r="J135" s="548"/>
      <c r="K135" s="549"/>
      <c r="L135" s="673"/>
      <c r="M135" s="549"/>
      <c r="N135" s="549"/>
      <c r="O135" s="549"/>
      <c r="P135" s="549"/>
      <c r="Q135" s="549"/>
      <c r="R135" s="549"/>
      <c r="S135" s="549"/>
      <c r="T135" s="549"/>
      <c r="U135" s="549"/>
    </row>
    <row r="136" spans="1:21" ht="19.5" hidden="1" x14ac:dyDescent="0.3">
      <c r="A136" s="669"/>
      <c r="B136" s="543"/>
      <c r="C136" s="733" t="s">
        <v>60</v>
      </c>
      <c r="D136" s="670"/>
      <c r="E136" s="543"/>
      <c r="F136" s="543"/>
      <c r="G136" s="546"/>
      <c r="H136" s="671" t="s">
        <v>61</v>
      </c>
      <c r="I136" s="672">
        <f t="shared" ref="I136:J136" ca="1" si="86">I154</f>
        <v>0</v>
      </c>
      <c r="J136" s="672">
        <f t="shared" si="86"/>
        <v>0</v>
      </c>
      <c r="K136" s="551">
        <f t="shared" ref="K136:K138" ca="1" si="87">IF(I136&gt;0,J136*100/I136,0)</f>
        <v>0</v>
      </c>
      <c r="L136" s="673"/>
      <c r="M136" s="549"/>
      <c r="N136" s="549"/>
      <c r="O136" s="549"/>
      <c r="P136" s="549"/>
      <c r="Q136" s="549"/>
      <c r="R136" s="549"/>
      <c r="S136" s="549"/>
      <c r="T136" s="549"/>
      <c r="U136" s="549"/>
    </row>
    <row r="137" spans="1:21" ht="19.5" hidden="1" x14ac:dyDescent="0.3">
      <c r="A137" s="669"/>
      <c r="B137" s="543"/>
      <c r="C137" s="733" t="s">
        <v>62</v>
      </c>
      <c r="D137" s="670"/>
      <c r="E137" s="543"/>
      <c r="F137" s="543"/>
      <c r="G137" s="546"/>
      <c r="H137" s="671" t="s">
        <v>35</v>
      </c>
      <c r="I137" s="672">
        <f t="shared" ref="I137:J138" ca="1" si="88">I152</f>
        <v>0</v>
      </c>
      <c r="J137" s="672">
        <f t="shared" si="88"/>
        <v>0</v>
      </c>
      <c r="K137" s="551">
        <f t="shared" ca="1" si="87"/>
        <v>0</v>
      </c>
      <c r="L137" s="673"/>
      <c r="M137" s="549"/>
      <c r="N137" s="549"/>
      <c r="O137" s="549"/>
      <c r="P137" s="549"/>
      <c r="Q137" s="549"/>
      <c r="R137" s="549"/>
      <c r="S137" s="549"/>
      <c r="T137" s="549"/>
      <c r="U137" s="549"/>
    </row>
    <row r="138" spans="1:21" ht="19.5" hidden="1" x14ac:dyDescent="0.3">
      <c r="A138" s="669"/>
      <c r="B138" s="543"/>
      <c r="C138" s="716"/>
      <c r="D138" s="670"/>
      <c r="E138" s="543"/>
      <c r="F138" s="543"/>
      <c r="G138" s="546"/>
      <c r="H138" s="671" t="s">
        <v>54</v>
      </c>
      <c r="I138" s="672">
        <f t="shared" ca="1" si="88"/>
        <v>0</v>
      </c>
      <c r="J138" s="672">
        <f t="shared" si="88"/>
        <v>0</v>
      </c>
      <c r="K138" s="551">
        <f t="shared" ca="1" si="87"/>
        <v>0</v>
      </c>
      <c r="L138" s="673"/>
      <c r="M138" s="549"/>
      <c r="N138" s="549"/>
      <c r="O138" s="549"/>
      <c r="P138" s="549"/>
      <c r="Q138" s="549"/>
      <c r="R138" s="549"/>
      <c r="S138" s="549"/>
      <c r="T138" s="549"/>
      <c r="U138" s="549"/>
    </row>
    <row r="139" spans="1:21" ht="19.5" hidden="1" x14ac:dyDescent="0.3">
      <c r="A139" s="674"/>
      <c r="B139" s="561"/>
      <c r="C139" s="675" t="s">
        <v>18</v>
      </c>
      <c r="D139" s="676" t="s">
        <v>19</v>
      </c>
      <c r="E139" s="561"/>
      <c r="F139" s="561"/>
      <c r="G139" s="563"/>
      <c r="H139" s="677" t="s">
        <v>14</v>
      </c>
      <c r="I139" s="565"/>
      <c r="J139" s="565"/>
      <c r="K139" s="566"/>
      <c r="L139" s="678">
        <f t="shared" ref="L139:N139" ca="1" si="89">L140+L141</f>
        <v>0</v>
      </c>
      <c r="M139" s="679">
        <f t="shared" ca="1" si="89"/>
        <v>0</v>
      </c>
      <c r="N139" s="679">
        <f t="shared" ca="1" si="89"/>
        <v>0</v>
      </c>
      <c r="O139" s="679">
        <f t="shared" ref="O139:O147" ca="1" si="90">IF(L139&gt;0,N139*100/L139,0)</f>
        <v>0</v>
      </c>
      <c r="P139" s="679">
        <f t="shared" ref="P139:P147" ca="1" si="91">IF(M139&gt;0,N139*100/M139,0)</f>
        <v>0</v>
      </c>
      <c r="Q139" s="679">
        <f t="shared" ref="Q139:S139" ca="1" si="92">Q140+Q141</f>
        <v>0</v>
      </c>
      <c r="R139" s="679">
        <f t="shared" ca="1" si="92"/>
        <v>0</v>
      </c>
      <c r="S139" s="679">
        <f t="shared" ca="1" si="92"/>
        <v>0</v>
      </c>
      <c r="T139" s="679">
        <f t="shared" ref="T139:T147" ca="1" si="93">IF(Q139&gt;0,S139*100/Q139,0)</f>
        <v>0</v>
      </c>
      <c r="U139" s="679">
        <f t="shared" ref="U139:U147" ca="1" si="94">IF(R139&gt;0,S139*100/R139,0)</f>
        <v>0</v>
      </c>
    </row>
    <row r="140" spans="1:21" ht="18.75" hidden="1" x14ac:dyDescent="0.25">
      <c r="A140" s="674"/>
      <c r="B140" s="561"/>
      <c r="C140" s="561"/>
      <c r="D140" s="561"/>
      <c r="E140" s="569" t="s">
        <v>20</v>
      </c>
      <c r="F140" s="561"/>
      <c r="G140" s="563"/>
      <c r="H140" s="680" t="s">
        <v>14</v>
      </c>
      <c r="I140" s="565"/>
      <c r="J140" s="565"/>
      <c r="K140" s="566"/>
      <c r="L140" s="571">
        <f t="shared" ref="L140:N141" si="95">L143+L146</f>
        <v>0</v>
      </c>
      <c r="M140" s="572">
        <f t="shared" si="95"/>
        <v>0</v>
      </c>
      <c r="N140" s="572">
        <f t="shared" si="95"/>
        <v>0</v>
      </c>
      <c r="O140" s="572">
        <f t="shared" si="90"/>
        <v>0</v>
      </c>
      <c r="P140" s="572">
        <f t="shared" si="91"/>
        <v>0</v>
      </c>
      <c r="Q140" s="572">
        <f t="shared" ref="Q140:S141" si="96">Q143+Q146</f>
        <v>0</v>
      </c>
      <c r="R140" s="572">
        <f t="shared" si="96"/>
        <v>0</v>
      </c>
      <c r="S140" s="572">
        <f t="shared" si="96"/>
        <v>0</v>
      </c>
      <c r="T140" s="572">
        <f t="shared" si="93"/>
        <v>0</v>
      </c>
      <c r="U140" s="572">
        <f t="shared" si="94"/>
        <v>0</v>
      </c>
    </row>
    <row r="141" spans="1:21" ht="18.75" hidden="1" x14ac:dyDescent="0.25">
      <c r="A141" s="674"/>
      <c r="B141" s="561"/>
      <c r="C141" s="561"/>
      <c r="D141" s="561"/>
      <c r="E141" s="573" t="s">
        <v>21</v>
      </c>
      <c r="F141" s="561"/>
      <c r="G141" s="563"/>
      <c r="H141" s="681" t="s">
        <v>14</v>
      </c>
      <c r="I141" s="565"/>
      <c r="J141" s="565"/>
      <c r="K141" s="566"/>
      <c r="L141" s="567">
        <f t="shared" ca="1" si="95"/>
        <v>0</v>
      </c>
      <c r="M141" s="568">
        <f t="shared" ca="1" si="95"/>
        <v>0</v>
      </c>
      <c r="N141" s="568">
        <f t="shared" ca="1" si="95"/>
        <v>0</v>
      </c>
      <c r="O141" s="568">
        <f t="shared" ca="1" si="90"/>
        <v>0</v>
      </c>
      <c r="P141" s="568">
        <f t="shared" ca="1" si="91"/>
        <v>0</v>
      </c>
      <c r="Q141" s="568">
        <f t="shared" ca="1" si="96"/>
        <v>0</v>
      </c>
      <c r="R141" s="568">
        <f t="shared" ca="1" si="96"/>
        <v>0</v>
      </c>
      <c r="S141" s="568">
        <f t="shared" ca="1" si="96"/>
        <v>0</v>
      </c>
      <c r="T141" s="568">
        <f t="shared" ca="1" si="93"/>
        <v>0</v>
      </c>
      <c r="U141" s="568">
        <f t="shared" ca="1" si="94"/>
        <v>0</v>
      </c>
    </row>
    <row r="142" spans="1:21" ht="18.75" hidden="1" x14ac:dyDescent="0.25">
      <c r="A142" s="674"/>
      <c r="B142" s="561"/>
      <c r="C142" s="561"/>
      <c r="D142" s="562" t="s">
        <v>22</v>
      </c>
      <c r="E142" s="561"/>
      <c r="F142" s="561"/>
      <c r="G142" s="563"/>
      <c r="H142" s="682" t="s">
        <v>14</v>
      </c>
      <c r="I142" s="683"/>
      <c r="J142" s="683"/>
      <c r="K142" s="684"/>
      <c r="L142" s="567">
        <f t="shared" ref="L142:N142" ca="1" si="97">L143+L144</f>
        <v>0</v>
      </c>
      <c r="M142" s="568">
        <f t="shared" ca="1" si="97"/>
        <v>0</v>
      </c>
      <c r="N142" s="568">
        <f t="shared" ca="1" si="97"/>
        <v>0</v>
      </c>
      <c r="O142" s="568">
        <f t="shared" ca="1" si="90"/>
        <v>0</v>
      </c>
      <c r="P142" s="568">
        <f t="shared" ca="1" si="91"/>
        <v>0</v>
      </c>
      <c r="Q142" s="568">
        <f t="shared" ref="Q142:S142" ca="1" si="98">Q143+Q144</f>
        <v>0</v>
      </c>
      <c r="R142" s="568">
        <f t="shared" ca="1" si="98"/>
        <v>0</v>
      </c>
      <c r="S142" s="568">
        <f t="shared" ca="1" si="98"/>
        <v>0</v>
      </c>
      <c r="T142" s="568">
        <f t="shared" ca="1" si="93"/>
        <v>0</v>
      </c>
      <c r="U142" s="568">
        <f t="shared" ca="1" si="94"/>
        <v>0</v>
      </c>
    </row>
    <row r="143" spans="1:21" ht="18.75" hidden="1" x14ac:dyDescent="0.25">
      <c r="A143" s="674"/>
      <c r="B143" s="561"/>
      <c r="C143" s="561"/>
      <c r="D143" s="561"/>
      <c r="E143" s="569" t="s">
        <v>36</v>
      </c>
      <c r="F143" s="561"/>
      <c r="G143" s="563"/>
      <c r="H143" s="685" t="s">
        <v>14</v>
      </c>
      <c r="I143" s="683"/>
      <c r="J143" s="683"/>
      <c r="K143" s="684"/>
      <c r="L143" s="571">
        <v>0</v>
      </c>
      <c r="M143" s="572">
        <v>0</v>
      </c>
      <c r="N143" s="572">
        <v>0</v>
      </c>
      <c r="O143" s="572">
        <f t="shared" si="90"/>
        <v>0</v>
      </c>
      <c r="P143" s="572">
        <f t="shared" si="91"/>
        <v>0</v>
      </c>
      <c r="Q143" s="572">
        <v>0</v>
      </c>
      <c r="R143" s="572">
        <v>0</v>
      </c>
      <c r="S143" s="572">
        <v>0</v>
      </c>
      <c r="T143" s="572">
        <f t="shared" si="93"/>
        <v>0</v>
      </c>
      <c r="U143" s="572">
        <f t="shared" si="94"/>
        <v>0</v>
      </c>
    </row>
    <row r="144" spans="1:21" ht="18.75" hidden="1" x14ac:dyDescent="0.25">
      <c r="A144" s="674"/>
      <c r="B144" s="561"/>
      <c r="C144" s="561"/>
      <c r="D144" s="561"/>
      <c r="E144" s="573" t="s">
        <v>37</v>
      </c>
      <c r="F144" s="561"/>
      <c r="G144" s="563"/>
      <c r="H144" s="682" t="s">
        <v>14</v>
      </c>
      <c r="I144" s="683"/>
      <c r="J144" s="683"/>
      <c r="K144" s="684"/>
      <c r="L144" s="567">
        <f ca="1">IFERROR(__xludf.DUMMYFUNCTION("IMPORTRANGE(""https://docs.google.com/spreadsheets/d/1-uDff_7J0KD5mKrp0Vvzr7lt3OU09vwQwhkpOPPYv2Y/edit?usp=sharing"",""งบพรบ!BQ14"")"),0)</f>
        <v>0</v>
      </c>
      <c r="M144" s="568">
        <f ca="1">IFERROR(__xludf.DUMMYFUNCTION("IMPORTRANGE(""https://docs.google.com/spreadsheets/d/1-uDff_7J0KD5mKrp0Vvzr7lt3OU09vwQwhkpOPPYv2Y/edit?usp=sharing"",""งบพรบ!BV14"")"),0)</f>
        <v>0</v>
      </c>
      <c r="N144" s="568">
        <f ca="1">IFERROR(__xludf.DUMMYFUNCTION("IMPORTRANGE(""https://docs.google.com/spreadsheets/d/1-uDff_7J0KD5mKrp0Vvzr7lt3OU09vwQwhkpOPPYv2Y/edit?usp=sharing"",""งบพรบ!BX14"")"),0)</f>
        <v>0</v>
      </c>
      <c r="O144" s="568">
        <f t="shared" ca="1" si="90"/>
        <v>0</v>
      </c>
      <c r="P144" s="568">
        <f t="shared" ca="1" si="91"/>
        <v>0</v>
      </c>
      <c r="Q144" s="568">
        <f ca="1">IFERROR(__xludf.DUMMYFUNCTION("IMPORTRANGE(""https://docs.google.com/spreadsheets/d/1ItG2mGa2ceCfYo0BwxsXqNm01IGEUdYcSSLTEv9YCik/edit?usp=sharing"",""เบิกจ่ายกองทุน!CF14"")"),0)</f>
        <v>0</v>
      </c>
      <c r="R144" s="568">
        <f ca="1">IFERROR(__xludf.DUMMYFUNCTION("IMPORTRANGE(""https://docs.google.com/spreadsheets/d/1ItG2mGa2ceCfYo0BwxsXqNm01IGEUdYcSSLTEv9YCik/edit?usp=sharing"",""เบิกจ่ายกองทุน!CG14"")"),0)</f>
        <v>0</v>
      </c>
      <c r="S144" s="568">
        <f ca="1">IFERROR(__xludf.DUMMYFUNCTION("IMPORTRANGE(""https://docs.google.com/spreadsheets/d/1ItG2mGa2ceCfYo0BwxsXqNm01IGEUdYcSSLTEv9YCik/edit?usp=sharing"",""เบิกจ่ายกองทุน!CH14"")"),0)</f>
        <v>0</v>
      </c>
      <c r="T144" s="568">
        <f t="shared" ca="1" si="93"/>
        <v>0</v>
      </c>
      <c r="U144" s="568">
        <f t="shared" ca="1" si="94"/>
        <v>0</v>
      </c>
    </row>
    <row r="145" spans="1:21" ht="18.75" hidden="1" x14ac:dyDescent="0.25">
      <c r="A145" s="674"/>
      <c r="B145" s="561"/>
      <c r="C145" s="561"/>
      <c r="D145" s="562" t="s">
        <v>23</v>
      </c>
      <c r="E145" s="561"/>
      <c r="F145" s="561"/>
      <c r="G145" s="563"/>
      <c r="H145" s="686" t="s">
        <v>14</v>
      </c>
      <c r="I145" s="683"/>
      <c r="J145" s="683"/>
      <c r="K145" s="684"/>
      <c r="L145" s="567">
        <f t="shared" ref="L145:N145" ca="1" si="99">L146+L147</f>
        <v>0</v>
      </c>
      <c r="M145" s="568">
        <f t="shared" ca="1" si="99"/>
        <v>0</v>
      </c>
      <c r="N145" s="568">
        <f t="shared" ca="1" si="99"/>
        <v>0</v>
      </c>
      <c r="O145" s="568">
        <f t="shared" ca="1" si="90"/>
        <v>0</v>
      </c>
      <c r="P145" s="568">
        <f t="shared" ca="1" si="91"/>
        <v>0</v>
      </c>
      <c r="Q145" s="568">
        <f t="shared" ref="Q145:S145" ca="1" si="100">Q146+Q147</f>
        <v>0</v>
      </c>
      <c r="R145" s="568">
        <f t="shared" ca="1" si="100"/>
        <v>0</v>
      </c>
      <c r="S145" s="568">
        <f t="shared" ca="1" si="100"/>
        <v>0</v>
      </c>
      <c r="T145" s="568">
        <f t="shared" ca="1" si="93"/>
        <v>0</v>
      </c>
      <c r="U145" s="568">
        <f t="shared" ca="1" si="94"/>
        <v>0</v>
      </c>
    </row>
    <row r="146" spans="1:21" ht="18.75" hidden="1" x14ac:dyDescent="0.25">
      <c r="A146" s="674"/>
      <c r="B146" s="561"/>
      <c r="C146" s="561"/>
      <c r="D146" s="561"/>
      <c r="E146" s="569" t="s">
        <v>20</v>
      </c>
      <c r="F146" s="561"/>
      <c r="G146" s="563"/>
      <c r="H146" s="685" t="s">
        <v>14</v>
      </c>
      <c r="I146" s="683"/>
      <c r="J146" s="683"/>
      <c r="K146" s="684"/>
      <c r="L146" s="571">
        <v>0</v>
      </c>
      <c r="M146" s="572">
        <v>0</v>
      </c>
      <c r="N146" s="572">
        <v>0</v>
      </c>
      <c r="O146" s="572">
        <f t="shared" si="90"/>
        <v>0</v>
      </c>
      <c r="P146" s="572">
        <f t="shared" si="91"/>
        <v>0</v>
      </c>
      <c r="Q146" s="572">
        <v>0</v>
      </c>
      <c r="R146" s="572">
        <v>0</v>
      </c>
      <c r="S146" s="572">
        <v>0</v>
      </c>
      <c r="T146" s="572">
        <f t="shared" si="93"/>
        <v>0</v>
      </c>
      <c r="U146" s="572">
        <f t="shared" si="94"/>
        <v>0</v>
      </c>
    </row>
    <row r="147" spans="1:21" ht="18.75" hidden="1" x14ac:dyDescent="0.25">
      <c r="A147" s="674"/>
      <c r="B147" s="561"/>
      <c r="C147" s="561"/>
      <c r="D147" s="561"/>
      <c r="E147" s="573" t="s">
        <v>21</v>
      </c>
      <c r="F147" s="561"/>
      <c r="G147" s="563"/>
      <c r="H147" s="686" t="s">
        <v>14</v>
      </c>
      <c r="I147" s="683"/>
      <c r="J147" s="683"/>
      <c r="K147" s="684"/>
      <c r="L147" s="567">
        <f ca="1">IFERROR(__xludf.DUMMYFUNCTION("IMPORTRANGE(""https://docs.google.com/spreadsheets/d/1-uDff_7J0KD5mKrp0Vvzr7lt3OU09vwQwhkpOPPYv2Y/edit?usp=sharing"",""งบพรบ!BT14"")"),0)</f>
        <v>0</v>
      </c>
      <c r="M147" s="568">
        <f ca="1">IFERROR(__xludf.DUMMYFUNCTION("IMPORTRANGE(""https://docs.google.com/spreadsheets/d/1-uDff_7J0KD5mKrp0Vvzr7lt3OU09vwQwhkpOPPYv2Y/edit?usp=sharing"",""งบพรบ!BW14"")"),0)</f>
        <v>0</v>
      </c>
      <c r="N147" s="568">
        <f ca="1">IFERROR(__xludf.DUMMYFUNCTION("IMPORTRANGE(""https://docs.google.com/spreadsheets/d/1-uDff_7J0KD5mKrp0Vvzr7lt3OU09vwQwhkpOPPYv2Y/edit?usp=sharing"",""งบพรบ!BY14"")"),0)</f>
        <v>0</v>
      </c>
      <c r="O147" s="568">
        <f t="shared" ca="1" si="90"/>
        <v>0</v>
      </c>
      <c r="P147" s="568">
        <f t="shared" ca="1" si="91"/>
        <v>0</v>
      </c>
      <c r="Q147" s="568">
        <f ca="1">IFERROR(__xludf.DUMMYFUNCTION("IMPORTRANGE(""https://docs.google.com/spreadsheets/d/1ItG2mGa2ceCfYo0BwxsXqNm01IGEUdYcSSLTEv9YCik/edit?usp=sharing"",""เบิกจ่ายกองทุน!CI14"")"),0)</f>
        <v>0</v>
      </c>
      <c r="R147" s="568">
        <f ca="1">IFERROR(__xludf.DUMMYFUNCTION("IMPORTRANGE(""https://docs.google.com/spreadsheets/d/1ItG2mGa2ceCfYo0BwxsXqNm01IGEUdYcSSLTEv9YCik/edit?usp=sharing"",""เบิกจ่ายกองทุน!CJ14"")"),0)</f>
        <v>0</v>
      </c>
      <c r="S147" s="568">
        <f ca="1">IFERROR(__xludf.DUMMYFUNCTION("IMPORTRANGE(""https://docs.google.com/spreadsheets/d/1ItG2mGa2ceCfYo0BwxsXqNm01IGEUdYcSSLTEv9YCik/edit?usp=sharing"",""เบิกจ่ายกองทุน!CK14"")"),0)</f>
        <v>0</v>
      </c>
      <c r="T147" s="568">
        <f t="shared" ca="1" si="93"/>
        <v>0</v>
      </c>
      <c r="U147" s="568">
        <f t="shared" ca="1" si="94"/>
        <v>0</v>
      </c>
    </row>
    <row r="148" spans="1:21" ht="19.5" hidden="1" x14ac:dyDescent="0.3">
      <c r="A148" s="687"/>
      <c r="B148" s="688"/>
      <c r="C148" s="675" t="s">
        <v>18</v>
      </c>
      <c r="D148" s="689" t="s">
        <v>38</v>
      </c>
      <c r="E148" s="690"/>
      <c r="F148" s="690"/>
      <c r="G148" s="691"/>
      <c r="H148" s="725"/>
      <c r="I148" s="565"/>
      <c r="J148" s="565"/>
      <c r="K148" s="566"/>
      <c r="L148" s="574"/>
      <c r="M148" s="566"/>
      <c r="N148" s="566"/>
      <c r="O148" s="566"/>
      <c r="P148" s="566"/>
      <c r="Q148" s="566"/>
      <c r="R148" s="566"/>
      <c r="S148" s="566"/>
      <c r="T148" s="566"/>
      <c r="U148" s="566"/>
    </row>
    <row r="149" spans="1:21" ht="18.75" hidden="1" x14ac:dyDescent="0.25">
      <c r="A149" s="674"/>
      <c r="B149" s="561"/>
      <c r="C149" s="561"/>
      <c r="D149" s="573" t="s">
        <v>63</v>
      </c>
      <c r="E149" s="561"/>
      <c r="F149" s="561"/>
      <c r="G149" s="563"/>
      <c r="H149" s="725"/>
      <c r="I149" s="565"/>
      <c r="J149" s="702">
        <v>0</v>
      </c>
      <c r="K149" s="566"/>
      <c r="L149" s="574"/>
      <c r="M149" s="566"/>
      <c r="N149" s="566"/>
      <c r="O149" s="566"/>
      <c r="P149" s="566"/>
      <c r="Q149" s="566"/>
      <c r="R149" s="566"/>
      <c r="S149" s="566"/>
      <c r="T149" s="566"/>
      <c r="U149" s="566"/>
    </row>
    <row r="150" spans="1:21" ht="19.5" hidden="1" x14ac:dyDescent="0.3">
      <c r="A150" s="674"/>
      <c r="B150" s="561"/>
      <c r="C150" s="561"/>
      <c r="D150" s="695"/>
      <c r="E150" s="675" t="s">
        <v>299</v>
      </c>
      <c r="F150" s="561"/>
      <c r="G150" s="563"/>
      <c r="H150" s="686" t="s">
        <v>35</v>
      </c>
      <c r="I150" s="708">
        <f ca="1">IFERROR(__xludf.DUMMYFUNCTION("IMPORTRANGE(""https://docs.google.com/spreadsheets/d/1eHaY18a8A9IcSdp1K8H6x8fbOy06t2VsZHhMHf-1x7Y/edit?usp=sharing"",""แผน!U14"")"),0)</f>
        <v>0</v>
      </c>
      <c r="J150" s="702">
        <v>0</v>
      </c>
      <c r="K150" s="568">
        <f t="shared" ref="K150:K154" ca="1" si="101">IF(I150&gt;0,J150*100/I150,0)</f>
        <v>0</v>
      </c>
      <c r="L150" s="574"/>
      <c r="M150" s="566"/>
      <c r="N150" s="566"/>
      <c r="O150" s="566"/>
      <c r="P150" s="566"/>
      <c r="Q150" s="566"/>
      <c r="R150" s="566"/>
      <c r="S150" s="566"/>
      <c r="T150" s="566"/>
      <c r="U150" s="566"/>
    </row>
    <row r="151" spans="1:21" ht="18.75" hidden="1" x14ac:dyDescent="0.25">
      <c r="A151" s="674"/>
      <c r="B151" s="561"/>
      <c r="C151" s="561"/>
      <c r="D151" s="695"/>
      <c r="E151" s="561"/>
      <c r="F151" s="561"/>
      <c r="G151" s="563"/>
      <c r="H151" s="686" t="s">
        <v>54</v>
      </c>
      <c r="I151" s="708">
        <f ca="1">IFERROR(__xludf.DUMMYFUNCTION("IMPORTRANGE(""https://docs.google.com/spreadsheets/d/1eHaY18a8A9IcSdp1K8H6x8fbOy06t2VsZHhMHf-1x7Y/edit?usp=sharing"",""แผน!V14"")"),0)</f>
        <v>0</v>
      </c>
      <c r="J151" s="702">
        <v>0</v>
      </c>
      <c r="K151" s="568">
        <f t="shared" ca="1" si="101"/>
        <v>0</v>
      </c>
      <c r="L151" s="574"/>
      <c r="M151" s="566"/>
      <c r="N151" s="566"/>
      <c r="O151" s="566"/>
      <c r="P151" s="566"/>
      <c r="Q151" s="566"/>
      <c r="R151" s="566"/>
      <c r="S151" s="566"/>
      <c r="T151" s="566"/>
      <c r="U151" s="566"/>
    </row>
    <row r="152" spans="1:21" ht="19.5" hidden="1" x14ac:dyDescent="0.3">
      <c r="A152" s="674"/>
      <c r="B152" s="561"/>
      <c r="C152" s="561"/>
      <c r="D152" s="695"/>
      <c r="E152" s="675" t="s">
        <v>300</v>
      </c>
      <c r="F152" s="561"/>
      <c r="G152" s="563"/>
      <c r="H152" s="686" t="s">
        <v>35</v>
      </c>
      <c r="I152" s="708">
        <f ca="1">IFERROR(__xludf.DUMMYFUNCTION("IMPORTRANGE(""https://docs.google.com/spreadsheets/d/1eHaY18a8A9IcSdp1K8H6x8fbOy06t2VsZHhMHf-1x7Y/edit?usp=sharing"",""แผน!W14"")"),0)</f>
        <v>0</v>
      </c>
      <c r="J152" s="702">
        <v>0</v>
      </c>
      <c r="K152" s="568">
        <f t="shared" ca="1" si="101"/>
        <v>0</v>
      </c>
      <c r="L152" s="574"/>
      <c r="M152" s="566"/>
      <c r="N152" s="566"/>
      <c r="O152" s="566"/>
      <c r="P152" s="566"/>
      <c r="Q152" s="566"/>
      <c r="R152" s="566"/>
      <c r="S152" s="566"/>
      <c r="T152" s="566"/>
      <c r="U152" s="566"/>
    </row>
    <row r="153" spans="1:21" ht="18.75" hidden="1" x14ac:dyDescent="0.25">
      <c r="A153" s="674"/>
      <c r="B153" s="561"/>
      <c r="C153" s="561"/>
      <c r="D153" s="561"/>
      <c r="E153" s="561"/>
      <c r="F153" s="561"/>
      <c r="G153" s="563"/>
      <c r="H153" s="686" t="s">
        <v>54</v>
      </c>
      <c r="I153" s="708">
        <f ca="1">IFERROR(__xludf.DUMMYFUNCTION("IMPORTRANGE(""https://docs.google.com/spreadsheets/d/1eHaY18a8A9IcSdp1K8H6x8fbOy06t2VsZHhMHf-1x7Y/edit?usp=sharing"",""แผน!X14"")"),0)</f>
        <v>0</v>
      </c>
      <c r="J153" s="702">
        <v>0</v>
      </c>
      <c r="K153" s="568">
        <f t="shared" ca="1" si="101"/>
        <v>0</v>
      </c>
      <c r="L153" s="574"/>
      <c r="M153" s="566"/>
      <c r="N153" s="566"/>
      <c r="O153" s="566"/>
      <c r="P153" s="566"/>
      <c r="Q153" s="566"/>
      <c r="R153" s="566"/>
      <c r="S153" s="566"/>
      <c r="T153" s="566"/>
      <c r="U153" s="566"/>
    </row>
    <row r="154" spans="1:21" ht="18.75" hidden="1" x14ac:dyDescent="0.25">
      <c r="A154" s="674"/>
      <c r="B154" s="561"/>
      <c r="C154" s="561"/>
      <c r="D154" s="573" t="s">
        <v>66</v>
      </c>
      <c r="E154" s="561"/>
      <c r="F154" s="561"/>
      <c r="G154" s="563"/>
      <c r="H154" s="686" t="s">
        <v>61</v>
      </c>
      <c r="I154" s="708">
        <f ca="1">IFERROR(__xludf.DUMMYFUNCTION("IMPORTRANGE(""https://docs.google.com/spreadsheets/d/1eHaY18a8A9IcSdp1K8H6x8fbOy06t2VsZHhMHf-1x7Y/edit?usp=sharing"",""แผน!Y14"")"),0)</f>
        <v>0</v>
      </c>
      <c r="J154" s="702">
        <v>0</v>
      </c>
      <c r="K154" s="568">
        <f t="shared" ca="1" si="101"/>
        <v>0</v>
      </c>
      <c r="L154" s="574"/>
      <c r="M154" s="566"/>
      <c r="N154" s="566"/>
      <c r="O154" s="566"/>
      <c r="P154" s="566"/>
      <c r="Q154" s="566"/>
      <c r="R154" s="566"/>
      <c r="S154" s="566"/>
      <c r="T154" s="566"/>
      <c r="U154" s="566"/>
    </row>
    <row r="155" spans="1:21" ht="19.5" x14ac:dyDescent="0.3">
      <c r="A155" s="662" t="s">
        <v>67</v>
      </c>
      <c r="B155" s="663"/>
      <c r="C155" s="729"/>
      <c r="D155" s="663"/>
      <c r="E155" s="663"/>
      <c r="F155" s="663"/>
      <c r="G155" s="663"/>
      <c r="H155" s="663"/>
      <c r="I155" s="730"/>
      <c r="J155" s="730"/>
      <c r="K155" s="731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</row>
    <row r="156" spans="1:21" ht="19.5" x14ac:dyDescent="0.3">
      <c r="A156" s="669"/>
      <c r="B156" s="544" t="s">
        <v>68</v>
      </c>
      <c r="C156" s="543"/>
      <c r="D156" s="543"/>
      <c r="E156" s="543"/>
      <c r="F156" s="543"/>
      <c r="G156" s="546"/>
      <c r="H156" s="717" t="s">
        <v>35</v>
      </c>
      <c r="I156" s="672">
        <f t="shared" ref="I156:J156" ca="1" si="102">I169</f>
        <v>0</v>
      </c>
      <c r="J156" s="672">
        <f t="shared" si="102"/>
        <v>0</v>
      </c>
      <c r="K156" s="551">
        <f ca="1">IF(I156&gt;0,J156*100/I156,0)</f>
        <v>0</v>
      </c>
      <c r="L156" s="673"/>
      <c r="M156" s="549"/>
      <c r="N156" s="549"/>
      <c r="O156" s="549"/>
      <c r="P156" s="549"/>
      <c r="Q156" s="549"/>
      <c r="R156" s="549"/>
      <c r="S156" s="549"/>
      <c r="T156" s="549"/>
      <c r="U156" s="549"/>
    </row>
    <row r="157" spans="1:21" ht="19.5" x14ac:dyDescent="0.3">
      <c r="A157" s="674"/>
      <c r="B157" s="561"/>
      <c r="C157" s="675" t="s">
        <v>18</v>
      </c>
      <c r="D157" s="676" t="s">
        <v>19</v>
      </c>
      <c r="E157" s="561"/>
      <c r="F157" s="561"/>
      <c r="G157" s="563"/>
      <c r="H157" s="677" t="s">
        <v>14</v>
      </c>
      <c r="I157" s="565"/>
      <c r="J157" s="565"/>
      <c r="K157" s="566"/>
      <c r="L157" s="678">
        <f t="shared" ref="L157:N157" ca="1" si="103">L158+L159</f>
        <v>0</v>
      </c>
      <c r="M157" s="679">
        <f t="shared" ca="1" si="103"/>
        <v>1392</v>
      </c>
      <c r="N157" s="679">
        <f t="shared" ca="1" si="103"/>
        <v>0</v>
      </c>
      <c r="O157" s="679">
        <f t="shared" ref="O157:O165" ca="1" si="104">IF(L157&gt;0,N157*100/L157,0)</f>
        <v>0</v>
      </c>
      <c r="P157" s="679">
        <f t="shared" ref="P157:P165" ca="1" si="105">IF(M157&gt;0,N157*100/M157,0)</f>
        <v>0</v>
      </c>
      <c r="Q157" s="679">
        <f t="shared" ref="Q157:S157" ca="1" si="106">Q158+Q159</f>
        <v>0</v>
      </c>
      <c r="R157" s="679">
        <f t="shared" ca="1" si="106"/>
        <v>0</v>
      </c>
      <c r="S157" s="679">
        <f t="shared" ca="1" si="106"/>
        <v>0</v>
      </c>
      <c r="T157" s="679">
        <f t="shared" ref="T157:T165" ca="1" si="107">IF(Q157&gt;0,S157*100/Q157,0)</f>
        <v>0</v>
      </c>
      <c r="U157" s="679">
        <f t="shared" ref="U157:U165" ca="1" si="108">IF(R157&gt;0,S157*100/R157,0)</f>
        <v>0</v>
      </c>
    </row>
    <row r="158" spans="1:21" ht="18.75" x14ac:dyDescent="0.25">
      <c r="A158" s="674"/>
      <c r="B158" s="561"/>
      <c r="C158" s="561"/>
      <c r="D158" s="561"/>
      <c r="E158" s="569" t="s">
        <v>20</v>
      </c>
      <c r="F158" s="561"/>
      <c r="G158" s="563"/>
      <c r="H158" s="680" t="s">
        <v>14</v>
      </c>
      <c r="I158" s="565"/>
      <c r="J158" s="565"/>
      <c r="K158" s="566"/>
      <c r="L158" s="571">
        <f t="shared" ref="L158:N159" si="109">L161+L164</f>
        <v>0</v>
      </c>
      <c r="M158" s="572">
        <f t="shared" si="109"/>
        <v>0</v>
      </c>
      <c r="N158" s="572">
        <f t="shared" si="109"/>
        <v>0</v>
      </c>
      <c r="O158" s="572">
        <f t="shared" si="104"/>
        <v>0</v>
      </c>
      <c r="P158" s="572">
        <f t="shared" si="105"/>
        <v>0</v>
      </c>
      <c r="Q158" s="572">
        <f t="shared" ref="Q158:S159" si="110">Q161+Q164</f>
        <v>0</v>
      </c>
      <c r="R158" s="572">
        <f t="shared" si="110"/>
        <v>0</v>
      </c>
      <c r="S158" s="572">
        <f t="shared" si="110"/>
        <v>0</v>
      </c>
      <c r="T158" s="572">
        <f t="shared" si="107"/>
        <v>0</v>
      </c>
      <c r="U158" s="572">
        <f t="shared" si="108"/>
        <v>0</v>
      </c>
    </row>
    <row r="159" spans="1:21" ht="18.75" x14ac:dyDescent="0.25">
      <c r="A159" s="674"/>
      <c r="B159" s="561"/>
      <c r="C159" s="561"/>
      <c r="D159" s="561"/>
      <c r="E159" s="573" t="s">
        <v>21</v>
      </c>
      <c r="F159" s="561"/>
      <c r="G159" s="563"/>
      <c r="H159" s="681" t="s">
        <v>14</v>
      </c>
      <c r="I159" s="565"/>
      <c r="J159" s="565"/>
      <c r="K159" s="566"/>
      <c r="L159" s="567">
        <f t="shared" ca="1" si="109"/>
        <v>0</v>
      </c>
      <c r="M159" s="568">
        <f t="shared" ca="1" si="109"/>
        <v>1392</v>
      </c>
      <c r="N159" s="568">
        <f t="shared" ca="1" si="109"/>
        <v>0</v>
      </c>
      <c r="O159" s="568">
        <f t="shared" ca="1" si="104"/>
        <v>0</v>
      </c>
      <c r="P159" s="568">
        <f t="shared" ca="1" si="105"/>
        <v>0</v>
      </c>
      <c r="Q159" s="568">
        <f t="shared" ca="1" si="110"/>
        <v>0</v>
      </c>
      <c r="R159" s="568">
        <f t="shared" ca="1" si="110"/>
        <v>0</v>
      </c>
      <c r="S159" s="568">
        <f t="shared" ca="1" si="110"/>
        <v>0</v>
      </c>
      <c r="T159" s="568">
        <f t="shared" ca="1" si="107"/>
        <v>0</v>
      </c>
      <c r="U159" s="568">
        <f t="shared" ca="1" si="108"/>
        <v>0</v>
      </c>
    </row>
    <row r="160" spans="1:21" ht="18.75" x14ac:dyDescent="0.25">
      <c r="A160" s="674"/>
      <c r="B160" s="561"/>
      <c r="C160" s="561"/>
      <c r="D160" s="562" t="s">
        <v>22</v>
      </c>
      <c r="E160" s="561"/>
      <c r="F160" s="561"/>
      <c r="G160" s="563"/>
      <c r="H160" s="682" t="s">
        <v>14</v>
      </c>
      <c r="I160" s="683"/>
      <c r="J160" s="683"/>
      <c r="K160" s="684"/>
      <c r="L160" s="567">
        <f t="shared" ref="L160:N160" ca="1" si="111">L161+L162</f>
        <v>0</v>
      </c>
      <c r="M160" s="568">
        <f t="shared" ca="1" si="111"/>
        <v>1392</v>
      </c>
      <c r="N160" s="568">
        <f t="shared" ca="1" si="111"/>
        <v>0</v>
      </c>
      <c r="O160" s="568">
        <f t="shared" ca="1" si="104"/>
        <v>0</v>
      </c>
      <c r="P160" s="568">
        <f t="shared" ca="1" si="105"/>
        <v>0</v>
      </c>
      <c r="Q160" s="568">
        <f t="shared" ref="Q160:S160" ca="1" si="112">Q161+Q162</f>
        <v>0</v>
      </c>
      <c r="R160" s="568">
        <f t="shared" ca="1" si="112"/>
        <v>0</v>
      </c>
      <c r="S160" s="568">
        <f t="shared" ca="1" si="112"/>
        <v>0</v>
      </c>
      <c r="T160" s="568">
        <f t="shared" ca="1" si="107"/>
        <v>0</v>
      </c>
      <c r="U160" s="568">
        <f t="shared" ca="1" si="108"/>
        <v>0</v>
      </c>
    </row>
    <row r="161" spans="1:21" ht="18.75" x14ac:dyDescent="0.25">
      <c r="A161" s="674"/>
      <c r="B161" s="561"/>
      <c r="C161" s="561"/>
      <c r="D161" s="561"/>
      <c r="E161" s="569" t="s">
        <v>36</v>
      </c>
      <c r="F161" s="561"/>
      <c r="G161" s="563"/>
      <c r="H161" s="685" t="s">
        <v>14</v>
      </c>
      <c r="I161" s="683"/>
      <c r="J161" s="683"/>
      <c r="K161" s="684"/>
      <c r="L161" s="571">
        <v>0</v>
      </c>
      <c r="M161" s="572">
        <v>0</v>
      </c>
      <c r="N161" s="572">
        <v>0</v>
      </c>
      <c r="O161" s="572">
        <f t="shared" si="104"/>
        <v>0</v>
      </c>
      <c r="P161" s="572">
        <f t="shared" si="105"/>
        <v>0</v>
      </c>
      <c r="Q161" s="572">
        <v>0</v>
      </c>
      <c r="R161" s="572">
        <v>0</v>
      </c>
      <c r="S161" s="572">
        <v>0</v>
      </c>
      <c r="T161" s="572">
        <f t="shared" si="107"/>
        <v>0</v>
      </c>
      <c r="U161" s="572">
        <f t="shared" si="108"/>
        <v>0</v>
      </c>
    </row>
    <row r="162" spans="1:21" ht="18.75" x14ac:dyDescent="0.25">
      <c r="A162" s="674"/>
      <c r="B162" s="561"/>
      <c r="C162" s="561"/>
      <c r="D162" s="561"/>
      <c r="E162" s="573" t="s">
        <v>37</v>
      </c>
      <c r="F162" s="561"/>
      <c r="G162" s="563"/>
      <c r="H162" s="682" t="s">
        <v>14</v>
      </c>
      <c r="I162" s="683"/>
      <c r="J162" s="683"/>
      <c r="K162" s="684"/>
      <c r="L162" s="567">
        <f ca="1">IFERROR(__xludf.DUMMYFUNCTION("IMPORTRANGE(""https://docs.google.com/spreadsheets/d/1-uDff_7J0KD5mKrp0Vvzr7lt3OU09vwQwhkpOPPYv2Y/edit?usp=sharing"",""งบพรบ!CA14"")"),0)</f>
        <v>0</v>
      </c>
      <c r="M162" s="568">
        <f ca="1">IFERROR(__xludf.DUMMYFUNCTION("IMPORTRANGE(""https://docs.google.com/spreadsheets/d/1-uDff_7J0KD5mKrp0Vvzr7lt3OU09vwQwhkpOPPYv2Y/edit?usp=sharing"",""งบพรบ!CF14"")"),1392)</f>
        <v>1392</v>
      </c>
      <c r="N162" s="568">
        <f ca="1">IFERROR(__xludf.DUMMYFUNCTION("IMPORTRANGE(""https://docs.google.com/spreadsheets/d/1-uDff_7J0KD5mKrp0Vvzr7lt3OU09vwQwhkpOPPYv2Y/edit?usp=sharing"",""งบพรบ!CH14"")"),0)</f>
        <v>0</v>
      </c>
      <c r="O162" s="568">
        <f t="shared" ca="1" si="104"/>
        <v>0</v>
      </c>
      <c r="P162" s="568">
        <f t="shared" ca="1" si="105"/>
        <v>0</v>
      </c>
      <c r="Q162" s="568">
        <f ca="1">IFERROR(__xludf.DUMMYFUNCTION("IMPORTRANGE(""https://docs.google.com/spreadsheets/d/1ItG2mGa2ceCfYo0BwxsXqNm01IGEUdYcSSLTEv9YCik/edit?usp=sharing"",""เบิกจ่ายกองทุน!AM14"")"),0)</f>
        <v>0</v>
      </c>
      <c r="R162" s="568">
        <f ca="1">IFERROR(__xludf.DUMMYFUNCTION("IMPORTRANGE(""https://docs.google.com/spreadsheets/d/1ItG2mGa2ceCfYo0BwxsXqNm01IGEUdYcSSLTEv9YCik/edit?usp=sharing"",""เบิกจ่ายกองทุน!AN14"")"),0)</f>
        <v>0</v>
      </c>
      <c r="S162" s="568">
        <f ca="1">IFERROR(__xludf.DUMMYFUNCTION("IMPORTRANGE(""https://docs.google.com/spreadsheets/d/1ItG2mGa2ceCfYo0BwxsXqNm01IGEUdYcSSLTEv9YCik/edit?usp=sharing"",""เบิกจ่ายกองทุน!AO14"")"),0)</f>
        <v>0</v>
      </c>
      <c r="T162" s="568">
        <f t="shared" ca="1" si="107"/>
        <v>0</v>
      </c>
      <c r="U162" s="568">
        <f t="shared" ca="1" si="108"/>
        <v>0</v>
      </c>
    </row>
    <row r="163" spans="1:21" ht="18.75" x14ac:dyDescent="0.25">
      <c r="A163" s="674"/>
      <c r="B163" s="561"/>
      <c r="C163" s="561"/>
      <c r="D163" s="562" t="s">
        <v>23</v>
      </c>
      <c r="E163" s="561"/>
      <c r="F163" s="561"/>
      <c r="G163" s="563"/>
      <c r="H163" s="686" t="s">
        <v>14</v>
      </c>
      <c r="I163" s="683"/>
      <c r="J163" s="683"/>
      <c r="K163" s="684"/>
      <c r="L163" s="567">
        <f t="shared" ref="L163:N163" ca="1" si="113">L164+L165</f>
        <v>0</v>
      </c>
      <c r="M163" s="568">
        <f t="shared" ca="1" si="113"/>
        <v>0</v>
      </c>
      <c r="N163" s="568">
        <f t="shared" ca="1" si="113"/>
        <v>0</v>
      </c>
      <c r="O163" s="568">
        <f t="shared" ca="1" si="104"/>
        <v>0</v>
      </c>
      <c r="P163" s="568">
        <f t="shared" ca="1" si="105"/>
        <v>0</v>
      </c>
      <c r="Q163" s="568">
        <f t="shared" ref="Q163:S163" si="114">Q164+Q165</f>
        <v>0</v>
      </c>
      <c r="R163" s="568">
        <f t="shared" si="114"/>
        <v>0</v>
      </c>
      <c r="S163" s="568">
        <f t="shared" si="114"/>
        <v>0</v>
      </c>
      <c r="T163" s="568">
        <f t="shared" si="107"/>
        <v>0</v>
      </c>
      <c r="U163" s="568">
        <f t="shared" si="108"/>
        <v>0</v>
      </c>
    </row>
    <row r="164" spans="1:21" ht="18.75" x14ac:dyDescent="0.25">
      <c r="A164" s="674"/>
      <c r="B164" s="561"/>
      <c r="C164" s="561"/>
      <c r="D164" s="561"/>
      <c r="E164" s="569" t="s">
        <v>20</v>
      </c>
      <c r="F164" s="561"/>
      <c r="G164" s="563"/>
      <c r="H164" s="685" t="s">
        <v>14</v>
      </c>
      <c r="I164" s="683"/>
      <c r="J164" s="683"/>
      <c r="K164" s="684"/>
      <c r="L164" s="571">
        <v>0</v>
      </c>
      <c r="M164" s="572">
        <v>0</v>
      </c>
      <c r="N164" s="572">
        <v>0</v>
      </c>
      <c r="O164" s="572">
        <f t="shared" si="104"/>
        <v>0</v>
      </c>
      <c r="P164" s="572">
        <f t="shared" si="105"/>
        <v>0</v>
      </c>
      <c r="Q164" s="572">
        <v>0</v>
      </c>
      <c r="R164" s="572">
        <v>0</v>
      </c>
      <c r="S164" s="572">
        <v>0</v>
      </c>
      <c r="T164" s="572">
        <f t="shared" si="107"/>
        <v>0</v>
      </c>
      <c r="U164" s="572">
        <f t="shared" si="108"/>
        <v>0</v>
      </c>
    </row>
    <row r="165" spans="1:21" ht="18.75" x14ac:dyDescent="0.25">
      <c r="A165" s="674"/>
      <c r="B165" s="561"/>
      <c r="C165" s="561"/>
      <c r="D165" s="561"/>
      <c r="E165" s="573" t="s">
        <v>21</v>
      </c>
      <c r="F165" s="561"/>
      <c r="G165" s="563"/>
      <c r="H165" s="686" t="s">
        <v>14</v>
      </c>
      <c r="I165" s="683"/>
      <c r="J165" s="683"/>
      <c r="K165" s="684"/>
      <c r="L165" s="567">
        <f ca="1">IFERROR(__xludf.DUMMYFUNCTION("IMPORTRANGE(""https://docs.google.com/spreadsheets/d/1-uDff_7J0KD5mKrp0Vvzr7lt3OU09vwQwhkpOPPYv2Y/edit?usp=sharing"",""งบพรบ!CD14"")"),0)</f>
        <v>0</v>
      </c>
      <c r="M165" s="568">
        <f ca="1">IFERROR(__xludf.DUMMYFUNCTION("IMPORTRANGE(""https://docs.google.com/spreadsheets/d/1-uDff_7J0KD5mKrp0Vvzr7lt3OU09vwQwhkpOPPYv2Y/edit?usp=sharing"",""งบพรบ!CG14"")"),0)</f>
        <v>0</v>
      </c>
      <c r="N165" s="568">
        <f ca="1">IFERROR(__xludf.DUMMYFUNCTION("IMPORTRANGE(""https://docs.google.com/spreadsheets/d/1-uDff_7J0KD5mKrp0Vvzr7lt3OU09vwQwhkpOPPYv2Y/edit?usp=sharing"",""งบพรบ!CI14"")"),0)</f>
        <v>0</v>
      </c>
      <c r="O165" s="568">
        <f t="shared" ca="1" si="104"/>
        <v>0</v>
      </c>
      <c r="P165" s="568">
        <f t="shared" ca="1" si="105"/>
        <v>0</v>
      </c>
      <c r="Q165" s="568">
        <v>0</v>
      </c>
      <c r="R165" s="568">
        <v>0</v>
      </c>
      <c r="S165" s="568">
        <v>0</v>
      </c>
      <c r="T165" s="568">
        <f t="shared" si="107"/>
        <v>0</v>
      </c>
      <c r="U165" s="568">
        <f t="shared" si="108"/>
        <v>0</v>
      </c>
    </row>
    <row r="166" spans="1:21" ht="19.5" x14ac:dyDescent="0.3">
      <c r="A166" s="687"/>
      <c r="B166" s="688"/>
      <c r="C166" s="675" t="s">
        <v>18</v>
      </c>
      <c r="D166" s="689" t="s">
        <v>38</v>
      </c>
      <c r="E166" s="690"/>
      <c r="F166" s="690"/>
      <c r="G166" s="691"/>
      <c r="H166" s="725"/>
      <c r="I166" s="565"/>
      <c r="J166" s="565"/>
      <c r="K166" s="566"/>
      <c r="L166" s="574"/>
      <c r="M166" s="566"/>
      <c r="N166" s="566"/>
      <c r="O166" s="566"/>
      <c r="P166" s="566"/>
      <c r="Q166" s="566"/>
      <c r="R166" s="566"/>
      <c r="S166" s="566"/>
      <c r="T166" s="566"/>
      <c r="U166" s="566"/>
    </row>
    <row r="167" spans="1:21" ht="18.75" x14ac:dyDescent="0.25">
      <c r="A167" s="674"/>
      <c r="B167" s="561"/>
      <c r="C167" s="561"/>
      <c r="D167" s="573" t="s">
        <v>69</v>
      </c>
      <c r="E167" s="561"/>
      <c r="F167" s="561"/>
      <c r="G167" s="563"/>
      <c r="H167" s="686" t="s">
        <v>35</v>
      </c>
      <c r="I167" s="708">
        <f ca="1">IFERROR(__xludf.DUMMYFUNCTION("IMPORTRANGE(""https://docs.google.com/spreadsheets/d/1eHaY18a8A9IcSdp1K8H6x8fbOy06t2VsZHhMHf-1x7Y/edit?usp=sharing"",""แผน!Z14"")"),0)</f>
        <v>0</v>
      </c>
      <c r="J167" s="702">
        <v>0</v>
      </c>
      <c r="K167" s="568">
        <f t="shared" ref="K167:K169" ca="1" si="115">IF(I167&gt;0,J167*100/I167,0)</f>
        <v>0</v>
      </c>
      <c r="L167" s="574"/>
      <c r="M167" s="566"/>
      <c r="N167" s="566"/>
      <c r="O167" s="566"/>
      <c r="P167" s="566"/>
      <c r="Q167" s="566"/>
      <c r="R167" s="566"/>
      <c r="S167" s="566"/>
      <c r="T167" s="566"/>
      <c r="U167" s="566"/>
    </row>
    <row r="168" spans="1:21" ht="18.75" x14ac:dyDescent="0.25">
      <c r="A168" s="674"/>
      <c r="B168" s="561"/>
      <c r="C168" s="561"/>
      <c r="D168" s="569" t="s">
        <v>70</v>
      </c>
      <c r="E168" s="561"/>
      <c r="F168" s="561"/>
      <c r="G168" s="563"/>
      <c r="H168" s="734" t="s">
        <v>35</v>
      </c>
      <c r="I168" s="735">
        <f ca="1">IFERROR(__xludf.DUMMYFUNCTION("IMPORTRANGE(""https://docs.google.com/spreadsheets/d/1eHaY18a8A9IcSdp1K8H6x8fbOy06t2VsZHhMHf-1x7Y/edit?usp=sharing"",""แผน!Z14"")"),0)</f>
        <v>0</v>
      </c>
      <c r="J168" s="736">
        <v>0</v>
      </c>
      <c r="K168" s="572">
        <f t="shared" ca="1" si="115"/>
        <v>0</v>
      </c>
      <c r="L168" s="574"/>
      <c r="M168" s="566"/>
      <c r="N168" s="566"/>
      <c r="O168" s="566"/>
      <c r="P168" s="566"/>
      <c r="Q168" s="566"/>
      <c r="R168" s="566"/>
      <c r="S168" s="566"/>
      <c r="T168" s="566"/>
      <c r="U168" s="566"/>
    </row>
    <row r="169" spans="1:21" ht="18.75" x14ac:dyDescent="0.25">
      <c r="A169" s="737"/>
      <c r="B169" s="513"/>
      <c r="C169" s="513"/>
      <c r="D169" s="738" t="s">
        <v>71</v>
      </c>
      <c r="E169" s="513"/>
      <c r="F169" s="513"/>
      <c r="G169" s="577"/>
      <c r="H169" s="739" t="s">
        <v>35</v>
      </c>
      <c r="I169" s="740">
        <f ca="1">IFERROR(__xludf.DUMMYFUNCTION("IMPORTRANGE(""https://docs.google.com/spreadsheets/d/1eHaY18a8A9IcSdp1K8H6x8fbOy06t2VsZHhMHf-1x7Y/edit?usp=sharing"",""แผน!Z14"")"),0)</f>
        <v>0</v>
      </c>
      <c r="J169" s="741">
        <v>0</v>
      </c>
      <c r="K169" s="742">
        <f t="shared" ca="1" si="115"/>
        <v>0</v>
      </c>
      <c r="L169" s="581"/>
      <c r="M169" s="580"/>
      <c r="N169" s="580"/>
      <c r="O169" s="580"/>
      <c r="P169" s="580"/>
      <c r="Q169" s="580"/>
      <c r="R169" s="580"/>
      <c r="S169" s="580"/>
      <c r="T169" s="580"/>
      <c r="U169" s="580"/>
    </row>
    <row r="170" spans="1:21" ht="19.5" x14ac:dyDescent="0.3">
      <c r="A170" s="743" t="s">
        <v>72</v>
      </c>
      <c r="B170" s="744"/>
      <c r="C170" s="744"/>
      <c r="D170" s="744"/>
      <c r="E170" s="745"/>
      <c r="F170" s="745"/>
      <c r="G170" s="745"/>
      <c r="H170" s="745"/>
      <c r="I170" s="746"/>
      <c r="J170" s="746"/>
      <c r="K170" s="747"/>
      <c r="L170" s="747"/>
      <c r="M170" s="747"/>
      <c r="N170" s="747"/>
      <c r="O170" s="747"/>
      <c r="P170" s="748"/>
      <c r="Q170" s="747"/>
      <c r="R170" s="747"/>
      <c r="S170" s="747"/>
      <c r="T170" s="747"/>
      <c r="U170" s="748"/>
    </row>
    <row r="171" spans="1:21" ht="19.5" x14ac:dyDescent="0.3">
      <c r="A171" s="749" t="s">
        <v>73</v>
      </c>
      <c r="B171" s="750"/>
      <c r="C171" s="750"/>
      <c r="D171" s="751"/>
      <c r="E171" s="751"/>
      <c r="F171" s="751"/>
      <c r="G171" s="751"/>
      <c r="H171" s="752"/>
      <c r="I171" s="753"/>
      <c r="J171" s="753"/>
      <c r="K171" s="754"/>
      <c r="L171" s="755"/>
      <c r="M171" s="754"/>
      <c r="N171" s="754"/>
      <c r="O171" s="754"/>
      <c r="P171" s="754"/>
      <c r="Q171" s="754"/>
      <c r="R171" s="754"/>
      <c r="S171" s="754"/>
      <c r="T171" s="754"/>
      <c r="U171" s="754"/>
    </row>
    <row r="172" spans="1:21" ht="19.5" x14ac:dyDescent="0.3">
      <c r="A172" s="756"/>
      <c r="B172" s="757" t="s">
        <v>74</v>
      </c>
      <c r="C172" s="758"/>
      <c r="D172" s="690"/>
      <c r="E172" s="690"/>
      <c r="F172" s="690"/>
      <c r="G172" s="691"/>
      <c r="H172" s="759" t="s">
        <v>35</v>
      </c>
      <c r="I172" s="760">
        <f t="shared" ref="I172:J172" ca="1" si="116">I183+I184</f>
        <v>7</v>
      </c>
      <c r="J172" s="760">
        <f t="shared" si="116"/>
        <v>7</v>
      </c>
      <c r="K172" s="761">
        <f ca="1">IF(I172&gt;0,J172*100/I172,0)</f>
        <v>100</v>
      </c>
      <c r="L172" s="762"/>
      <c r="M172" s="763"/>
      <c r="N172" s="763"/>
      <c r="O172" s="763"/>
      <c r="P172" s="763"/>
      <c r="Q172" s="763"/>
      <c r="R172" s="763"/>
      <c r="S172" s="763"/>
      <c r="T172" s="763"/>
      <c r="U172" s="763"/>
    </row>
    <row r="173" spans="1:21" ht="19.5" x14ac:dyDescent="0.3">
      <c r="A173" s="674"/>
      <c r="B173" s="561"/>
      <c r="C173" s="675" t="s">
        <v>18</v>
      </c>
      <c r="D173" s="676" t="s">
        <v>19</v>
      </c>
      <c r="E173" s="561"/>
      <c r="F173" s="561"/>
      <c r="G173" s="563"/>
      <c r="H173" s="677" t="s">
        <v>14</v>
      </c>
      <c r="I173" s="565"/>
      <c r="J173" s="565"/>
      <c r="K173" s="566"/>
      <c r="L173" s="678">
        <f t="shared" ref="L173:N173" ca="1" si="117">L174+L175</f>
        <v>19590</v>
      </c>
      <c r="M173" s="679">
        <f t="shared" ca="1" si="117"/>
        <v>31260</v>
      </c>
      <c r="N173" s="679">
        <f t="shared" ca="1" si="117"/>
        <v>30308</v>
      </c>
      <c r="O173" s="679">
        <f t="shared" ref="O173:O181" ca="1" si="118">IF(L173&gt;0,N173*100/L173,0)</f>
        <v>154.71158754466563</v>
      </c>
      <c r="P173" s="679">
        <f t="shared" ref="P173:P181" ca="1" si="119">IF(M173&gt;0,N173*100/M173,0)</f>
        <v>96.954574536148428</v>
      </c>
      <c r="Q173" s="679">
        <f t="shared" ref="Q173:S173" ca="1" si="120">Q174+Q175</f>
        <v>0</v>
      </c>
      <c r="R173" s="679">
        <f t="shared" ca="1" si="120"/>
        <v>0</v>
      </c>
      <c r="S173" s="679">
        <f t="shared" ca="1" si="120"/>
        <v>0</v>
      </c>
      <c r="T173" s="679">
        <f t="shared" ref="T173:T181" ca="1" si="121">IF(Q173&gt;0,S173*100/Q173,0)</f>
        <v>0</v>
      </c>
      <c r="U173" s="679">
        <f t="shared" ref="U173:U181" ca="1" si="122">IF(R173&gt;0,S173*100/R173,0)</f>
        <v>0</v>
      </c>
    </row>
    <row r="174" spans="1:21" ht="18.75" x14ac:dyDescent="0.25">
      <c r="A174" s="674"/>
      <c r="B174" s="561"/>
      <c r="C174" s="561"/>
      <c r="D174" s="561"/>
      <c r="E174" s="569" t="s">
        <v>20</v>
      </c>
      <c r="F174" s="561"/>
      <c r="G174" s="563"/>
      <c r="H174" s="680" t="s">
        <v>14</v>
      </c>
      <c r="I174" s="565"/>
      <c r="J174" s="565"/>
      <c r="K174" s="566"/>
      <c r="L174" s="571">
        <f t="shared" ref="L174:N175" si="123">L177+L180</f>
        <v>0</v>
      </c>
      <c r="M174" s="572">
        <f t="shared" si="123"/>
        <v>0</v>
      </c>
      <c r="N174" s="572">
        <f t="shared" si="123"/>
        <v>0</v>
      </c>
      <c r="O174" s="572">
        <f t="shared" si="118"/>
        <v>0</v>
      </c>
      <c r="P174" s="572">
        <f t="shared" si="119"/>
        <v>0</v>
      </c>
      <c r="Q174" s="572">
        <f t="shared" ref="Q174:S175" si="124">Q177+Q180</f>
        <v>0</v>
      </c>
      <c r="R174" s="572">
        <f t="shared" si="124"/>
        <v>0</v>
      </c>
      <c r="S174" s="572">
        <f t="shared" si="124"/>
        <v>0</v>
      </c>
      <c r="T174" s="572">
        <f t="shared" si="121"/>
        <v>0</v>
      </c>
      <c r="U174" s="572">
        <f t="shared" si="122"/>
        <v>0</v>
      </c>
    </row>
    <row r="175" spans="1:21" ht="18.75" x14ac:dyDescent="0.25">
      <c r="A175" s="674"/>
      <c r="B175" s="561"/>
      <c r="C175" s="561"/>
      <c r="D175" s="561"/>
      <c r="E175" s="573" t="s">
        <v>21</v>
      </c>
      <c r="F175" s="561"/>
      <c r="G175" s="563"/>
      <c r="H175" s="681" t="s">
        <v>14</v>
      </c>
      <c r="I175" s="565"/>
      <c r="J175" s="565"/>
      <c r="K175" s="566"/>
      <c r="L175" s="567">
        <f t="shared" ca="1" si="123"/>
        <v>19590</v>
      </c>
      <c r="M175" s="568">
        <f t="shared" ca="1" si="123"/>
        <v>31260</v>
      </c>
      <c r="N175" s="568">
        <f t="shared" ca="1" si="123"/>
        <v>30308</v>
      </c>
      <c r="O175" s="568">
        <f t="shared" ca="1" si="118"/>
        <v>154.71158754466563</v>
      </c>
      <c r="P175" s="568">
        <f t="shared" ca="1" si="119"/>
        <v>96.954574536148428</v>
      </c>
      <c r="Q175" s="568">
        <f t="shared" ca="1" si="124"/>
        <v>0</v>
      </c>
      <c r="R175" s="568">
        <f t="shared" ca="1" si="124"/>
        <v>0</v>
      </c>
      <c r="S175" s="568">
        <f t="shared" ca="1" si="124"/>
        <v>0</v>
      </c>
      <c r="T175" s="568">
        <f t="shared" ca="1" si="121"/>
        <v>0</v>
      </c>
      <c r="U175" s="568">
        <f t="shared" ca="1" si="122"/>
        <v>0</v>
      </c>
    </row>
    <row r="176" spans="1:21" ht="18.75" x14ac:dyDescent="0.25">
      <c r="A176" s="674"/>
      <c r="B176" s="561"/>
      <c r="C176" s="561"/>
      <c r="D176" s="562" t="s">
        <v>22</v>
      </c>
      <c r="E176" s="561"/>
      <c r="F176" s="561"/>
      <c r="G176" s="563"/>
      <c r="H176" s="682" t="s">
        <v>14</v>
      </c>
      <c r="I176" s="683"/>
      <c r="J176" s="683"/>
      <c r="K176" s="684"/>
      <c r="L176" s="567">
        <f t="shared" ref="L176:N176" ca="1" si="125">L177+L178</f>
        <v>19590</v>
      </c>
      <c r="M176" s="568">
        <f t="shared" ca="1" si="125"/>
        <v>31260</v>
      </c>
      <c r="N176" s="568">
        <f t="shared" ca="1" si="125"/>
        <v>30308</v>
      </c>
      <c r="O176" s="568">
        <f t="shared" ca="1" si="118"/>
        <v>154.71158754466563</v>
      </c>
      <c r="P176" s="568">
        <f t="shared" ca="1" si="119"/>
        <v>96.954574536148428</v>
      </c>
      <c r="Q176" s="568">
        <f t="shared" ref="Q176:S176" ca="1" si="126">Q177+Q178</f>
        <v>0</v>
      </c>
      <c r="R176" s="568">
        <f t="shared" ca="1" si="126"/>
        <v>0</v>
      </c>
      <c r="S176" s="568">
        <f t="shared" ca="1" si="126"/>
        <v>0</v>
      </c>
      <c r="T176" s="568">
        <f t="shared" ca="1" si="121"/>
        <v>0</v>
      </c>
      <c r="U176" s="568">
        <f t="shared" ca="1" si="122"/>
        <v>0</v>
      </c>
    </row>
    <row r="177" spans="1:21" ht="18.75" x14ac:dyDescent="0.25">
      <c r="A177" s="674"/>
      <c r="B177" s="561"/>
      <c r="C177" s="561"/>
      <c r="D177" s="561"/>
      <c r="E177" s="569" t="s">
        <v>36</v>
      </c>
      <c r="F177" s="561"/>
      <c r="G177" s="563"/>
      <c r="H177" s="685" t="s">
        <v>14</v>
      </c>
      <c r="I177" s="683"/>
      <c r="J177" s="683"/>
      <c r="K177" s="684"/>
      <c r="L177" s="571">
        <v>0</v>
      </c>
      <c r="M177" s="572">
        <v>0</v>
      </c>
      <c r="N177" s="572">
        <v>0</v>
      </c>
      <c r="O177" s="572">
        <f t="shared" si="118"/>
        <v>0</v>
      </c>
      <c r="P177" s="572">
        <f t="shared" si="119"/>
        <v>0</v>
      </c>
      <c r="Q177" s="572">
        <v>0</v>
      </c>
      <c r="R177" s="572">
        <v>0</v>
      </c>
      <c r="S177" s="572">
        <v>0</v>
      </c>
      <c r="T177" s="572">
        <f t="shared" si="121"/>
        <v>0</v>
      </c>
      <c r="U177" s="572">
        <f t="shared" si="122"/>
        <v>0</v>
      </c>
    </row>
    <row r="178" spans="1:21" ht="18.75" x14ac:dyDescent="0.25">
      <c r="A178" s="674"/>
      <c r="B178" s="561"/>
      <c r="C178" s="561"/>
      <c r="D178" s="561"/>
      <c r="E178" s="573" t="s">
        <v>37</v>
      </c>
      <c r="F178" s="561"/>
      <c r="G178" s="563"/>
      <c r="H178" s="682" t="s">
        <v>14</v>
      </c>
      <c r="I178" s="683"/>
      <c r="J178" s="683"/>
      <c r="K178" s="684"/>
      <c r="L178" s="567">
        <f ca="1">IFERROR(__xludf.DUMMYFUNCTION("IMPORTRANGE(""https://docs.google.com/spreadsheets/d/1-uDff_7J0KD5mKrp0Vvzr7lt3OU09vwQwhkpOPPYv2Y/edit?usp=sharing"",""งบพรบ!CK14"")"),19590)</f>
        <v>19590</v>
      </c>
      <c r="M178" s="568">
        <f ca="1">IFERROR(__xludf.DUMMYFUNCTION("IMPORTRANGE(""https://docs.google.com/spreadsheets/d/1-uDff_7J0KD5mKrp0Vvzr7lt3OU09vwQwhkpOPPYv2Y/edit?usp=sharing"",""งบพรบ!CP14"")"),31260)</f>
        <v>31260</v>
      </c>
      <c r="N178" s="568">
        <f ca="1">IFERROR(__xludf.DUMMYFUNCTION("IMPORTRANGE(""https://docs.google.com/spreadsheets/d/1-uDff_7J0KD5mKrp0Vvzr7lt3OU09vwQwhkpOPPYv2Y/edit?usp=sharing"",""งบพรบ!CR14"")"),30308)</f>
        <v>30308</v>
      </c>
      <c r="O178" s="568">
        <f t="shared" ca="1" si="118"/>
        <v>154.71158754466563</v>
      </c>
      <c r="P178" s="568">
        <f t="shared" ca="1" si="119"/>
        <v>96.954574536148428</v>
      </c>
      <c r="Q178" s="568">
        <f ca="1">IFERROR(__xludf.DUMMYFUNCTION("IMPORTRANGE(""https://docs.google.com/spreadsheets/d/1ItG2mGa2ceCfYo0BwxsXqNm01IGEUdYcSSLTEv9YCik/edit?usp=sharing"",""เบิกจ่ายกองทุน!DG14"")"),0)</f>
        <v>0</v>
      </c>
      <c r="R178" s="568">
        <f ca="1">IFERROR(__xludf.DUMMYFUNCTION("IMPORTRANGE(""https://docs.google.com/spreadsheets/d/1ItG2mGa2ceCfYo0BwxsXqNm01IGEUdYcSSLTEv9YCik/edit?usp=sharing"",""เบิกจ่ายกองทุน!DH14"")"),0)</f>
        <v>0</v>
      </c>
      <c r="S178" s="568">
        <f ca="1">IFERROR(__xludf.DUMMYFUNCTION("IMPORTRANGE(""https://docs.google.com/spreadsheets/d/1ItG2mGa2ceCfYo0BwxsXqNm01IGEUdYcSSLTEv9YCik/edit?usp=sharing"",""เบิกจ่ายกองทุน!DI14"")"),0)</f>
        <v>0</v>
      </c>
      <c r="T178" s="568">
        <f t="shared" ca="1" si="121"/>
        <v>0</v>
      </c>
      <c r="U178" s="568">
        <f t="shared" ca="1" si="122"/>
        <v>0</v>
      </c>
    </row>
    <row r="179" spans="1:21" ht="18.75" x14ac:dyDescent="0.25">
      <c r="A179" s="674"/>
      <c r="B179" s="561"/>
      <c r="C179" s="561"/>
      <c r="D179" s="562" t="s">
        <v>23</v>
      </c>
      <c r="E179" s="561"/>
      <c r="F179" s="561"/>
      <c r="G179" s="563"/>
      <c r="H179" s="686" t="s">
        <v>14</v>
      </c>
      <c r="I179" s="683"/>
      <c r="J179" s="683"/>
      <c r="K179" s="684"/>
      <c r="L179" s="567">
        <f t="shared" ref="L179:N179" ca="1" si="127">L180+L181</f>
        <v>0</v>
      </c>
      <c r="M179" s="568">
        <f t="shared" ca="1" si="127"/>
        <v>0</v>
      </c>
      <c r="N179" s="568">
        <f t="shared" ca="1" si="127"/>
        <v>0</v>
      </c>
      <c r="O179" s="568">
        <f t="shared" ca="1" si="118"/>
        <v>0</v>
      </c>
      <c r="P179" s="568">
        <f t="shared" ca="1" si="119"/>
        <v>0</v>
      </c>
      <c r="Q179" s="568">
        <f t="shared" ref="Q179:S179" si="128">Q180+Q181</f>
        <v>0</v>
      </c>
      <c r="R179" s="568">
        <f t="shared" si="128"/>
        <v>0</v>
      </c>
      <c r="S179" s="568">
        <f t="shared" si="128"/>
        <v>0</v>
      </c>
      <c r="T179" s="568">
        <f t="shared" si="121"/>
        <v>0</v>
      </c>
      <c r="U179" s="568">
        <f t="shared" si="122"/>
        <v>0</v>
      </c>
    </row>
    <row r="180" spans="1:21" ht="18.75" x14ac:dyDescent="0.25">
      <c r="A180" s="674"/>
      <c r="B180" s="561"/>
      <c r="C180" s="561"/>
      <c r="D180" s="561"/>
      <c r="E180" s="569" t="s">
        <v>20</v>
      </c>
      <c r="F180" s="561"/>
      <c r="G180" s="563"/>
      <c r="H180" s="685" t="s">
        <v>14</v>
      </c>
      <c r="I180" s="683"/>
      <c r="J180" s="683"/>
      <c r="K180" s="684"/>
      <c r="L180" s="571">
        <v>0</v>
      </c>
      <c r="M180" s="572">
        <v>0</v>
      </c>
      <c r="N180" s="572">
        <v>0</v>
      </c>
      <c r="O180" s="572">
        <f t="shared" si="118"/>
        <v>0</v>
      </c>
      <c r="P180" s="572">
        <f t="shared" si="119"/>
        <v>0</v>
      </c>
      <c r="Q180" s="572">
        <v>0</v>
      </c>
      <c r="R180" s="572">
        <v>0</v>
      </c>
      <c r="S180" s="572">
        <v>0</v>
      </c>
      <c r="T180" s="572">
        <f t="shared" si="121"/>
        <v>0</v>
      </c>
      <c r="U180" s="572">
        <f t="shared" si="122"/>
        <v>0</v>
      </c>
    </row>
    <row r="181" spans="1:21" ht="18.75" x14ac:dyDescent="0.25">
      <c r="A181" s="674"/>
      <c r="B181" s="561"/>
      <c r="C181" s="561"/>
      <c r="D181" s="561"/>
      <c r="E181" s="573" t="s">
        <v>21</v>
      </c>
      <c r="F181" s="561"/>
      <c r="G181" s="563"/>
      <c r="H181" s="686" t="s">
        <v>14</v>
      </c>
      <c r="I181" s="683"/>
      <c r="J181" s="683"/>
      <c r="K181" s="684"/>
      <c r="L181" s="567">
        <f ca="1">IFERROR(__xludf.DUMMYFUNCTION("IMPORTRANGE(""https://docs.google.com/spreadsheets/d/1-uDff_7J0KD5mKrp0Vvzr7lt3OU09vwQwhkpOPPYv2Y/edit?usp=sharing"",""งบพรบ!CN14"")"),0)</f>
        <v>0</v>
      </c>
      <c r="M181" s="568">
        <f ca="1">IFERROR(__xludf.DUMMYFUNCTION("IMPORTRANGE(""https://docs.google.com/spreadsheets/d/1-uDff_7J0KD5mKrp0Vvzr7lt3OU09vwQwhkpOPPYv2Y/edit?usp=sharing"",""งบพรบ!CQ14"")"),0)</f>
        <v>0</v>
      </c>
      <c r="N181" s="568">
        <f ca="1">IFERROR(__xludf.DUMMYFUNCTION("IMPORTRANGE(""https://docs.google.com/spreadsheets/d/1-uDff_7J0KD5mKrp0Vvzr7lt3OU09vwQwhkpOPPYv2Y/edit?usp=sharing"",""งบพรบ!CS14"")"),0)</f>
        <v>0</v>
      </c>
      <c r="O181" s="568">
        <f t="shared" ca="1" si="118"/>
        <v>0</v>
      </c>
      <c r="P181" s="568">
        <f t="shared" ca="1" si="119"/>
        <v>0</v>
      </c>
      <c r="Q181" s="568">
        <v>0</v>
      </c>
      <c r="R181" s="568">
        <v>0</v>
      </c>
      <c r="S181" s="568">
        <v>0</v>
      </c>
      <c r="T181" s="568">
        <f t="shared" si="121"/>
        <v>0</v>
      </c>
      <c r="U181" s="568">
        <f t="shared" si="122"/>
        <v>0</v>
      </c>
    </row>
    <row r="182" spans="1:21" ht="19.5" x14ac:dyDescent="0.3">
      <c r="A182" s="687"/>
      <c r="B182" s="688"/>
      <c r="C182" s="675" t="s">
        <v>18</v>
      </c>
      <c r="D182" s="689" t="s">
        <v>38</v>
      </c>
      <c r="E182" s="690"/>
      <c r="F182" s="690"/>
      <c r="G182" s="691"/>
      <c r="H182" s="725"/>
      <c r="I182" s="565"/>
      <c r="J182" s="565"/>
      <c r="K182" s="566"/>
      <c r="L182" s="574"/>
      <c r="M182" s="566"/>
      <c r="N182" s="566"/>
      <c r="O182" s="566"/>
      <c r="P182" s="566"/>
      <c r="Q182" s="566"/>
      <c r="R182" s="566"/>
      <c r="S182" s="566"/>
      <c r="T182" s="566"/>
      <c r="U182" s="566"/>
    </row>
    <row r="183" spans="1:21" ht="18.75" x14ac:dyDescent="0.25">
      <c r="A183" s="764"/>
      <c r="B183" s="561"/>
      <c r="C183" s="718"/>
      <c r="D183" s="765" t="s">
        <v>75</v>
      </c>
      <c r="E183" s="561"/>
      <c r="F183" s="561"/>
      <c r="G183" s="563"/>
      <c r="H183" s="766" t="s">
        <v>35</v>
      </c>
      <c r="I183" s="708">
        <f ca="1">IFERROR(__xludf.DUMMYFUNCTION("IMPORTRANGE(""https://docs.google.com/spreadsheets/d/1eHaY18a8A9IcSdp1K8H6x8fbOy06t2VsZHhMHf-1x7Y/edit?usp=sharing"",""แผน!AA14"")"),7)</f>
        <v>7</v>
      </c>
      <c r="J183" s="702">
        <v>7</v>
      </c>
      <c r="K183" s="568">
        <f t="shared" ref="K183:K185" ca="1" si="129">IF(I183&gt;0,J183*100/I183,0)</f>
        <v>100</v>
      </c>
      <c r="L183" s="574"/>
      <c r="M183" s="566"/>
      <c r="N183" s="566"/>
      <c r="O183" s="566"/>
      <c r="P183" s="566"/>
      <c r="Q183" s="566"/>
      <c r="R183" s="566"/>
      <c r="S183" s="566"/>
      <c r="T183" s="566"/>
      <c r="U183" s="566"/>
    </row>
    <row r="184" spans="1:21" ht="18.75" x14ac:dyDescent="0.25">
      <c r="A184" s="764"/>
      <c r="B184" s="718"/>
      <c r="C184" s="718"/>
      <c r="D184" s="767" t="s">
        <v>76</v>
      </c>
      <c r="E184" s="561"/>
      <c r="F184" s="561"/>
      <c r="G184" s="563"/>
      <c r="H184" s="768" t="s">
        <v>35</v>
      </c>
      <c r="I184" s="735">
        <v>0</v>
      </c>
      <c r="J184" s="735">
        <v>0</v>
      </c>
      <c r="K184" s="572">
        <f t="shared" si="129"/>
        <v>0</v>
      </c>
      <c r="L184" s="574"/>
      <c r="M184" s="566"/>
      <c r="N184" s="566"/>
      <c r="O184" s="566"/>
      <c r="P184" s="566"/>
      <c r="Q184" s="566"/>
      <c r="R184" s="566"/>
      <c r="S184" s="566"/>
      <c r="T184" s="566"/>
      <c r="U184" s="566"/>
    </row>
    <row r="185" spans="1:21" ht="19.5" x14ac:dyDescent="0.3">
      <c r="A185" s="756"/>
      <c r="B185" s="757" t="s">
        <v>77</v>
      </c>
      <c r="C185" s="758"/>
      <c r="D185" s="690"/>
      <c r="E185" s="690"/>
      <c r="F185" s="690"/>
      <c r="G185" s="691"/>
      <c r="H185" s="759" t="s">
        <v>35</v>
      </c>
      <c r="I185" s="760">
        <f t="shared" ref="I185:J185" ca="1" si="130">I230+I231</f>
        <v>0</v>
      </c>
      <c r="J185" s="760">
        <f t="shared" si="130"/>
        <v>0</v>
      </c>
      <c r="K185" s="761">
        <f t="shared" ca="1" si="129"/>
        <v>0</v>
      </c>
      <c r="L185" s="762"/>
      <c r="M185" s="763"/>
      <c r="N185" s="763"/>
      <c r="O185" s="763"/>
      <c r="P185" s="763"/>
      <c r="Q185" s="763"/>
      <c r="R185" s="763"/>
      <c r="S185" s="763"/>
      <c r="T185" s="763"/>
      <c r="U185" s="763"/>
    </row>
    <row r="186" spans="1:21" ht="19.5" x14ac:dyDescent="0.3">
      <c r="A186" s="674"/>
      <c r="B186" s="561"/>
      <c r="C186" s="675" t="s">
        <v>18</v>
      </c>
      <c r="D186" s="676" t="s">
        <v>19</v>
      </c>
      <c r="E186" s="561"/>
      <c r="F186" s="561"/>
      <c r="G186" s="563"/>
      <c r="H186" s="677" t="s">
        <v>14</v>
      </c>
      <c r="I186" s="565"/>
      <c r="J186" s="565"/>
      <c r="K186" s="566"/>
      <c r="L186" s="678">
        <f t="shared" ref="L186:N186" ca="1" si="131">L187+L188</f>
        <v>235500</v>
      </c>
      <c r="M186" s="679">
        <f t="shared" ca="1" si="131"/>
        <v>241200</v>
      </c>
      <c r="N186" s="679">
        <f t="shared" ca="1" si="131"/>
        <v>186380</v>
      </c>
      <c r="O186" s="679">
        <f t="shared" ref="O186:O194" ca="1" si="132">IF(L186&gt;0,N186*100/L186,0)</f>
        <v>79.14225053078556</v>
      </c>
      <c r="P186" s="679">
        <f t="shared" ref="P186:P194" ca="1" si="133">IF(M186&gt;0,N186*100/M186,0)</f>
        <v>77.271973466003317</v>
      </c>
      <c r="Q186" s="679">
        <f t="shared" ref="Q186:S186" ca="1" si="134">Q187+Q188</f>
        <v>0</v>
      </c>
      <c r="R186" s="679">
        <f t="shared" ca="1" si="134"/>
        <v>0</v>
      </c>
      <c r="S186" s="679">
        <f t="shared" ca="1" si="134"/>
        <v>0</v>
      </c>
      <c r="T186" s="679">
        <f t="shared" ref="T186:T194" ca="1" si="135">IF(Q186&gt;0,S186*100/Q186,0)</f>
        <v>0</v>
      </c>
      <c r="U186" s="679">
        <f t="shared" ref="U186:U194" ca="1" si="136">IF(R186&gt;0,S186*100/R186,0)</f>
        <v>0</v>
      </c>
    </row>
    <row r="187" spans="1:21" ht="18.75" x14ac:dyDescent="0.25">
      <c r="A187" s="674"/>
      <c r="B187" s="561"/>
      <c r="C187" s="561"/>
      <c r="D187" s="561"/>
      <c r="E187" s="569" t="s">
        <v>20</v>
      </c>
      <c r="F187" s="561"/>
      <c r="G187" s="563"/>
      <c r="H187" s="680" t="s">
        <v>14</v>
      </c>
      <c r="I187" s="565"/>
      <c r="J187" s="565"/>
      <c r="K187" s="566"/>
      <c r="L187" s="571">
        <f t="shared" ref="L187:N188" si="137">L190+L193</f>
        <v>0</v>
      </c>
      <c r="M187" s="572">
        <f t="shared" si="137"/>
        <v>0</v>
      </c>
      <c r="N187" s="572">
        <f t="shared" si="137"/>
        <v>0</v>
      </c>
      <c r="O187" s="572">
        <f t="shared" si="132"/>
        <v>0</v>
      </c>
      <c r="P187" s="572">
        <f t="shared" si="133"/>
        <v>0</v>
      </c>
      <c r="Q187" s="572">
        <f t="shared" ref="Q187:S188" si="138">Q190+Q193</f>
        <v>0</v>
      </c>
      <c r="R187" s="572">
        <f t="shared" si="138"/>
        <v>0</v>
      </c>
      <c r="S187" s="572">
        <f t="shared" si="138"/>
        <v>0</v>
      </c>
      <c r="T187" s="572">
        <f t="shared" si="135"/>
        <v>0</v>
      </c>
      <c r="U187" s="572">
        <f t="shared" si="136"/>
        <v>0</v>
      </c>
    </row>
    <row r="188" spans="1:21" ht="18.75" x14ac:dyDescent="0.25">
      <c r="A188" s="674"/>
      <c r="B188" s="561"/>
      <c r="C188" s="561"/>
      <c r="D188" s="561"/>
      <c r="E188" s="573" t="s">
        <v>21</v>
      </c>
      <c r="F188" s="561"/>
      <c r="G188" s="563"/>
      <c r="H188" s="681" t="s">
        <v>14</v>
      </c>
      <c r="I188" s="565"/>
      <c r="J188" s="565"/>
      <c r="K188" s="566"/>
      <c r="L188" s="567">
        <f t="shared" ca="1" si="137"/>
        <v>235500</v>
      </c>
      <c r="M188" s="568">
        <f t="shared" ca="1" si="137"/>
        <v>241200</v>
      </c>
      <c r="N188" s="568">
        <f t="shared" ca="1" si="137"/>
        <v>186380</v>
      </c>
      <c r="O188" s="568">
        <f t="shared" ca="1" si="132"/>
        <v>79.14225053078556</v>
      </c>
      <c r="P188" s="568">
        <f t="shared" ca="1" si="133"/>
        <v>77.271973466003317</v>
      </c>
      <c r="Q188" s="568">
        <f t="shared" ca="1" si="138"/>
        <v>0</v>
      </c>
      <c r="R188" s="568">
        <f t="shared" ca="1" si="138"/>
        <v>0</v>
      </c>
      <c r="S188" s="568">
        <f t="shared" ca="1" si="138"/>
        <v>0</v>
      </c>
      <c r="T188" s="568">
        <f t="shared" ca="1" si="135"/>
        <v>0</v>
      </c>
      <c r="U188" s="568">
        <f t="shared" ca="1" si="136"/>
        <v>0</v>
      </c>
    </row>
    <row r="189" spans="1:21" ht="18.75" x14ac:dyDescent="0.25">
      <c r="A189" s="674"/>
      <c r="B189" s="561"/>
      <c r="C189" s="561"/>
      <c r="D189" s="562" t="s">
        <v>22</v>
      </c>
      <c r="E189" s="561"/>
      <c r="F189" s="561"/>
      <c r="G189" s="563"/>
      <c r="H189" s="682" t="s">
        <v>14</v>
      </c>
      <c r="I189" s="683"/>
      <c r="J189" s="683"/>
      <c r="K189" s="684"/>
      <c r="L189" s="567">
        <f t="shared" ref="L189:N189" ca="1" si="139">L190+L191</f>
        <v>235500</v>
      </c>
      <c r="M189" s="568">
        <f t="shared" ca="1" si="139"/>
        <v>241200</v>
      </c>
      <c r="N189" s="568">
        <f t="shared" ca="1" si="139"/>
        <v>186380</v>
      </c>
      <c r="O189" s="568">
        <f t="shared" ca="1" si="132"/>
        <v>79.14225053078556</v>
      </c>
      <c r="P189" s="568">
        <f t="shared" ca="1" si="133"/>
        <v>77.271973466003317</v>
      </c>
      <c r="Q189" s="568">
        <f t="shared" ref="Q189:S189" ca="1" si="140">Q190+Q191</f>
        <v>0</v>
      </c>
      <c r="R189" s="568">
        <f t="shared" ca="1" si="140"/>
        <v>0</v>
      </c>
      <c r="S189" s="568">
        <f t="shared" ca="1" si="140"/>
        <v>0</v>
      </c>
      <c r="T189" s="568">
        <f t="shared" ca="1" si="135"/>
        <v>0</v>
      </c>
      <c r="U189" s="568">
        <f t="shared" ca="1" si="136"/>
        <v>0</v>
      </c>
    </row>
    <row r="190" spans="1:21" ht="18.75" x14ac:dyDescent="0.25">
      <c r="A190" s="674"/>
      <c r="B190" s="561"/>
      <c r="C190" s="561"/>
      <c r="D190" s="561"/>
      <c r="E190" s="569" t="s">
        <v>36</v>
      </c>
      <c r="F190" s="561"/>
      <c r="G190" s="563"/>
      <c r="H190" s="685" t="s">
        <v>14</v>
      </c>
      <c r="I190" s="683"/>
      <c r="J190" s="683"/>
      <c r="K190" s="684"/>
      <c r="L190" s="571">
        <v>0</v>
      </c>
      <c r="M190" s="572">
        <v>0</v>
      </c>
      <c r="N190" s="572">
        <v>0</v>
      </c>
      <c r="O190" s="572">
        <f t="shared" si="132"/>
        <v>0</v>
      </c>
      <c r="P190" s="572">
        <f t="shared" si="133"/>
        <v>0</v>
      </c>
      <c r="Q190" s="572">
        <v>0</v>
      </c>
      <c r="R190" s="572">
        <v>0</v>
      </c>
      <c r="S190" s="572">
        <v>0</v>
      </c>
      <c r="T190" s="572">
        <f t="shared" si="135"/>
        <v>0</v>
      </c>
      <c r="U190" s="572">
        <f t="shared" si="136"/>
        <v>0</v>
      </c>
    </row>
    <row r="191" spans="1:21" ht="18.75" x14ac:dyDescent="0.25">
      <c r="A191" s="674"/>
      <c r="B191" s="561"/>
      <c r="C191" s="561"/>
      <c r="D191" s="561"/>
      <c r="E191" s="573" t="s">
        <v>37</v>
      </c>
      <c r="F191" s="561"/>
      <c r="G191" s="563"/>
      <c r="H191" s="682" t="s">
        <v>14</v>
      </c>
      <c r="I191" s="683"/>
      <c r="J191" s="683"/>
      <c r="K191" s="684"/>
      <c r="L191" s="567">
        <f ca="1">IFERROR(__xludf.DUMMYFUNCTION("IMPORTRANGE(""https://docs.google.com/spreadsheets/d/1-uDff_7J0KD5mKrp0Vvzr7lt3OU09vwQwhkpOPPYv2Y/edit?usp=sharing"",""งบพรบ!CU14"")"),235500)</f>
        <v>235500</v>
      </c>
      <c r="M191" s="568">
        <f ca="1">IFERROR(__xludf.DUMMYFUNCTION("IMPORTRANGE(""https://docs.google.com/spreadsheets/d/1-uDff_7J0KD5mKrp0Vvzr7lt3OU09vwQwhkpOPPYv2Y/edit?usp=sharing"",""งบพรบ!CZ14"")"),241200)</f>
        <v>241200</v>
      </c>
      <c r="N191" s="568">
        <f ca="1">IFERROR(__xludf.DUMMYFUNCTION("IMPORTRANGE(""https://docs.google.com/spreadsheets/d/1-uDff_7J0KD5mKrp0Vvzr7lt3OU09vwQwhkpOPPYv2Y/edit?usp=sharing"",""งบพรบ!DB14"")"),186380)</f>
        <v>186380</v>
      </c>
      <c r="O191" s="568">
        <f t="shared" ca="1" si="132"/>
        <v>79.14225053078556</v>
      </c>
      <c r="P191" s="568">
        <f t="shared" ca="1" si="133"/>
        <v>77.271973466003317</v>
      </c>
      <c r="Q191" s="568">
        <f ca="1">IFERROR(__xludf.DUMMYFUNCTION("IMPORTRANGE(""https://docs.google.com/spreadsheets/d/1ItG2mGa2ceCfYo0BwxsXqNm01IGEUdYcSSLTEv9YCik/edit?usp=sharing"",""เบิกจ่ายกองทุน!BQ14"")"),0)</f>
        <v>0</v>
      </c>
      <c r="R191" s="568">
        <f ca="1">IFERROR(__xludf.DUMMYFUNCTION("IMPORTRANGE(""https://docs.google.com/spreadsheets/d/1ItG2mGa2ceCfYo0BwxsXqNm01IGEUdYcSSLTEv9YCik/edit?usp=sharing"",""เบิกจ่ายกองทุน!BR14"")"),0)</f>
        <v>0</v>
      </c>
      <c r="S191" s="568">
        <f ca="1">IFERROR(__xludf.DUMMYFUNCTION("IMPORTRANGE(""https://docs.google.com/spreadsheets/d/1ItG2mGa2ceCfYo0BwxsXqNm01IGEUdYcSSLTEv9YCik/edit?usp=sharing"",""เบิกจ่ายกองทุน!BS14"")"),0)</f>
        <v>0</v>
      </c>
      <c r="T191" s="568">
        <f t="shared" ca="1" si="135"/>
        <v>0</v>
      </c>
      <c r="U191" s="568">
        <f t="shared" ca="1" si="136"/>
        <v>0</v>
      </c>
    </row>
    <row r="192" spans="1:21" ht="18.75" x14ac:dyDescent="0.25">
      <c r="A192" s="674"/>
      <c r="B192" s="561"/>
      <c r="C192" s="561"/>
      <c r="D192" s="562" t="s">
        <v>23</v>
      </c>
      <c r="E192" s="561"/>
      <c r="F192" s="561"/>
      <c r="G192" s="563"/>
      <c r="H192" s="686" t="s">
        <v>14</v>
      </c>
      <c r="I192" s="683"/>
      <c r="J192" s="683"/>
      <c r="K192" s="684"/>
      <c r="L192" s="567">
        <f t="shared" ref="L192:N192" ca="1" si="141">L193+L194</f>
        <v>0</v>
      </c>
      <c r="M192" s="568">
        <f t="shared" ca="1" si="141"/>
        <v>0</v>
      </c>
      <c r="N192" s="568">
        <f t="shared" ca="1" si="141"/>
        <v>0</v>
      </c>
      <c r="O192" s="568">
        <f t="shared" ca="1" si="132"/>
        <v>0</v>
      </c>
      <c r="P192" s="568">
        <f t="shared" ca="1" si="133"/>
        <v>0</v>
      </c>
      <c r="Q192" s="568">
        <f t="shared" ref="Q192:S192" ca="1" si="142">Q193+Q194</f>
        <v>0</v>
      </c>
      <c r="R192" s="568">
        <f t="shared" ca="1" si="142"/>
        <v>0</v>
      </c>
      <c r="S192" s="568">
        <f t="shared" ca="1" si="142"/>
        <v>0</v>
      </c>
      <c r="T192" s="568">
        <f t="shared" ca="1" si="135"/>
        <v>0</v>
      </c>
      <c r="U192" s="568">
        <f t="shared" ca="1" si="136"/>
        <v>0</v>
      </c>
    </row>
    <row r="193" spans="1:21" ht="18.75" x14ac:dyDescent="0.25">
      <c r="A193" s="674"/>
      <c r="B193" s="561"/>
      <c r="C193" s="561"/>
      <c r="D193" s="561"/>
      <c r="E193" s="569" t="s">
        <v>20</v>
      </c>
      <c r="F193" s="561"/>
      <c r="G193" s="563"/>
      <c r="H193" s="685" t="s">
        <v>14</v>
      </c>
      <c r="I193" s="683"/>
      <c r="J193" s="683"/>
      <c r="K193" s="684"/>
      <c r="L193" s="571">
        <v>0</v>
      </c>
      <c r="M193" s="572">
        <v>0</v>
      </c>
      <c r="N193" s="572">
        <v>0</v>
      </c>
      <c r="O193" s="572">
        <f t="shared" si="132"/>
        <v>0</v>
      </c>
      <c r="P193" s="572">
        <f t="shared" si="133"/>
        <v>0</v>
      </c>
      <c r="Q193" s="572">
        <v>0</v>
      </c>
      <c r="R193" s="572">
        <v>0</v>
      </c>
      <c r="S193" s="572">
        <v>0</v>
      </c>
      <c r="T193" s="572">
        <f t="shared" si="135"/>
        <v>0</v>
      </c>
      <c r="U193" s="572">
        <f t="shared" si="136"/>
        <v>0</v>
      </c>
    </row>
    <row r="194" spans="1:21" ht="18.75" x14ac:dyDescent="0.25">
      <c r="A194" s="674"/>
      <c r="B194" s="561"/>
      <c r="C194" s="561"/>
      <c r="D194" s="561"/>
      <c r="E194" s="573" t="s">
        <v>21</v>
      </c>
      <c r="F194" s="561"/>
      <c r="G194" s="563"/>
      <c r="H194" s="686" t="s">
        <v>14</v>
      </c>
      <c r="I194" s="683"/>
      <c r="J194" s="683"/>
      <c r="K194" s="684"/>
      <c r="L194" s="567">
        <f ca="1">IFERROR(__xludf.DUMMYFUNCTION("IMPORTRANGE(""https://docs.google.com/spreadsheets/d/1-uDff_7J0KD5mKrp0Vvzr7lt3OU09vwQwhkpOPPYv2Y/edit?usp=sharing"",""งบพรบ!CX14"")"),0)</f>
        <v>0</v>
      </c>
      <c r="M194" s="568">
        <f ca="1">IFERROR(__xludf.DUMMYFUNCTION("IMPORTRANGE(""https://docs.google.com/spreadsheets/d/1-uDff_7J0KD5mKrp0Vvzr7lt3OU09vwQwhkpOPPYv2Y/edit?usp=sharing"",""งบพรบ!DA14"")"),0)</f>
        <v>0</v>
      </c>
      <c r="N194" s="568">
        <f ca="1">IFERROR(__xludf.DUMMYFUNCTION("IMPORTRANGE(""https://docs.google.com/spreadsheets/d/1-uDff_7J0KD5mKrp0Vvzr7lt3OU09vwQwhkpOPPYv2Y/edit?usp=sharing"",""งบพรบ!DC14"")"),0)</f>
        <v>0</v>
      </c>
      <c r="O194" s="568">
        <f t="shared" ca="1" si="132"/>
        <v>0</v>
      </c>
      <c r="P194" s="568">
        <f t="shared" ca="1" si="133"/>
        <v>0</v>
      </c>
      <c r="Q194" s="568">
        <f ca="1">IFERROR(__xludf.DUMMYFUNCTION("IMPORTRANGE(""https://docs.google.com/spreadsheets/d/1ItG2mGa2ceCfYo0BwxsXqNm01IGEUdYcSSLTEv9YCik/edit?usp=sharing"",""เบิกจ่ายกองทุน!BT14"")"),0)</f>
        <v>0</v>
      </c>
      <c r="R194" s="568">
        <f ca="1">IFERROR(__xludf.DUMMYFUNCTION("IMPORTRANGE(""https://docs.google.com/spreadsheets/d/1ItG2mGa2ceCfYo0BwxsXqNm01IGEUdYcSSLTEv9YCik/edit?usp=sharing"",""เบิกจ่ายกองทุน!BU14"")"),0)</f>
        <v>0</v>
      </c>
      <c r="S194" s="568">
        <f ca="1">IFERROR(__xludf.DUMMYFUNCTION("IMPORTRANGE(""https://docs.google.com/spreadsheets/d/1ItG2mGa2ceCfYo0BwxsXqNm01IGEUdYcSSLTEv9YCik/edit?usp=sharing"",""เบิกจ่ายกองทุน!BV14"")"),0)</f>
        <v>0</v>
      </c>
      <c r="T194" s="568">
        <f t="shared" ca="1" si="135"/>
        <v>0</v>
      </c>
      <c r="U194" s="568">
        <f t="shared" ca="1" si="136"/>
        <v>0</v>
      </c>
    </row>
    <row r="195" spans="1:21" ht="19.5" x14ac:dyDescent="0.3">
      <c r="A195" s="769"/>
      <c r="B195" s="770"/>
      <c r="C195" s="771" t="s">
        <v>78</v>
      </c>
      <c r="D195" s="772"/>
      <c r="E195" s="772"/>
      <c r="F195" s="772"/>
      <c r="G195" s="773"/>
      <c r="H195" s="774" t="s">
        <v>79</v>
      </c>
      <c r="I195" s="775">
        <f t="shared" ref="I195:J195" ca="1" si="143">I198</f>
        <v>4</v>
      </c>
      <c r="J195" s="775">
        <f t="shared" si="143"/>
        <v>2</v>
      </c>
      <c r="K195" s="776">
        <f ca="1">IF(I195&gt;0,J195*100/I195,0)</f>
        <v>50</v>
      </c>
      <c r="L195" s="777"/>
      <c r="M195" s="778"/>
      <c r="N195" s="778"/>
      <c r="O195" s="778"/>
      <c r="P195" s="778"/>
      <c r="Q195" s="778"/>
      <c r="R195" s="778"/>
      <c r="S195" s="778"/>
      <c r="T195" s="778"/>
      <c r="U195" s="778"/>
    </row>
    <row r="196" spans="1:21" ht="19.5" x14ac:dyDescent="0.3">
      <c r="A196" s="674"/>
      <c r="B196" s="561"/>
      <c r="C196" s="675" t="s">
        <v>18</v>
      </c>
      <c r="D196" s="779" t="s">
        <v>19</v>
      </c>
      <c r="E196" s="561"/>
      <c r="F196" s="561"/>
      <c r="G196" s="563"/>
      <c r="H196" s="780" t="s">
        <v>14</v>
      </c>
      <c r="I196" s="565"/>
      <c r="J196" s="565"/>
      <c r="K196" s="566"/>
      <c r="L196" s="678">
        <f ca="1">IFERROR(__xludf.DUMMYFUNCTION("IMPORTRANGE(""https://docs.google.com/spreadsheets/d/1eHaY18a8A9IcSdp1K8H6x8fbOy06t2VsZHhMHf-1x7Y/edit?usp=sharing"",""แผน!AB14"")"),6000)</f>
        <v>6000</v>
      </c>
      <c r="M196" s="566"/>
      <c r="N196" s="781">
        <v>0</v>
      </c>
      <c r="O196" s="679">
        <f ca="1">IF(L196&gt;0,N196*100/L196,0)</f>
        <v>0</v>
      </c>
      <c r="P196" s="679">
        <f>IF(M196&gt;0,N196*100/M196,0)</f>
        <v>0</v>
      </c>
      <c r="Q196" s="566"/>
      <c r="R196" s="566"/>
      <c r="S196" s="566"/>
      <c r="T196" s="566"/>
      <c r="U196" s="566"/>
    </row>
    <row r="197" spans="1:21" ht="19.5" x14ac:dyDescent="0.3">
      <c r="A197" s="687"/>
      <c r="B197" s="688"/>
      <c r="C197" s="675" t="s">
        <v>18</v>
      </c>
      <c r="D197" s="689" t="s">
        <v>38</v>
      </c>
      <c r="E197" s="690"/>
      <c r="F197" s="690"/>
      <c r="G197" s="691"/>
      <c r="H197" s="692"/>
      <c r="I197" s="565"/>
      <c r="J197" s="565"/>
      <c r="K197" s="566"/>
      <c r="L197" s="574"/>
      <c r="M197" s="566"/>
      <c r="N197" s="566"/>
      <c r="O197" s="566"/>
      <c r="P197" s="566"/>
      <c r="Q197" s="566"/>
      <c r="R197" s="566"/>
      <c r="S197" s="566"/>
      <c r="T197" s="566"/>
      <c r="U197" s="566"/>
    </row>
    <row r="198" spans="1:21" ht="18.75" x14ac:dyDescent="0.25">
      <c r="A198" s="687"/>
      <c r="B198" s="688"/>
      <c r="C198" s="688"/>
      <c r="D198" s="699" t="s">
        <v>80</v>
      </c>
      <c r="E198" s="695"/>
      <c r="F198" s="695"/>
      <c r="G198" s="692"/>
      <c r="H198" s="700" t="s">
        <v>79</v>
      </c>
      <c r="I198" s="708">
        <f ca="1">IFERROR(__xludf.DUMMYFUNCTION("IMPORTRANGE(""https://docs.google.com/spreadsheets/d/1eHaY18a8A9IcSdp1K8H6x8fbOy06t2VsZHhMHf-1x7Y/edit?usp=sharing"",""แผน!AE14"")"),4)</f>
        <v>4</v>
      </c>
      <c r="J198" s="702">
        <v>2</v>
      </c>
      <c r="K198" s="568">
        <f ca="1">IF(I198&gt;0,J198*100/I198,0)</f>
        <v>50</v>
      </c>
      <c r="L198" s="574"/>
      <c r="M198" s="566"/>
      <c r="N198" s="566"/>
      <c r="O198" s="566"/>
      <c r="P198" s="566"/>
      <c r="Q198" s="566"/>
      <c r="R198" s="566"/>
      <c r="S198" s="566"/>
      <c r="T198" s="566"/>
      <c r="U198" s="566"/>
    </row>
    <row r="199" spans="1:21" ht="18.75" x14ac:dyDescent="0.25">
      <c r="A199" s="687"/>
      <c r="B199" s="688"/>
      <c r="C199" s="688"/>
      <c r="D199" s="699" t="s">
        <v>81</v>
      </c>
      <c r="E199" s="695"/>
      <c r="F199" s="695"/>
      <c r="G199" s="692"/>
      <c r="H199" s="766" t="s">
        <v>35</v>
      </c>
      <c r="I199" s="565"/>
      <c r="J199" s="708">
        <f>J200+J201</f>
        <v>0</v>
      </c>
      <c r="K199" s="566"/>
      <c r="L199" s="574"/>
      <c r="M199" s="566"/>
      <c r="N199" s="566"/>
      <c r="O199" s="566"/>
      <c r="P199" s="566"/>
      <c r="Q199" s="566"/>
      <c r="R199" s="566"/>
      <c r="S199" s="566"/>
      <c r="T199" s="566"/>
      <c r="U199" s="566"/>
    </row>
    <row r="200" spans="1:21" ht="18.75" x14ac:dyDescent="0.25">
      <c r="A200" s="687"/>
      <c r="B200" s="688"/>
      <c r="C200" s="688"/>
      <c r="D200" s="688"/>
      <c r="E200" s="699" t="s">
        <v>82</v>
      </c>
      <c r="F200" s="695"/>
      <c r="G200" s="692"/>
      <c r="H200" s="766" t="s">
        <v>35</v>
      </c>
      <c r="I200" s="565"/>
      <c r="J200" s="702">
        <v>0</v>
      </c>
      <c r="K200" s="566"/>
      <c r="L200" s="574"/>
      <c r="M200" s="566"/>
      <c r="N200" s="566"/>
      <c r="O200" s="566"/>
      <c r="P200" s="566"/>
      <c r="Q200" s="566"/>
      <c r="R200" s="566"/>
      <c r="S200" s="566"/>
      <c r="T200" s="566"/>
      <c r="U200" s="566"/>
    </row>
    <row r="201" spans="1:21" ht="18.75" x14ac:dyDescent="0.25">
      <c r="A201" s="687"/>
      <c r="B201" s="688"/>
      <c r="C201" s="688"/>
      <c r="D201" s="688"/>
      <c r="E201" s="699" t="s">
        <v>83</v>
      </c>
      <c r="F201" s="695"/>
      <c r="G201" s="692"/>
      <c r="H201" s="766" t="s">
        <v>35</v>
      </c>
      <c r="I201" s="565"/>
      <c r="J201" s="702">
        <v>0</v>
      </c>
      <c r="K201" s="566"/>
      <c r="L201" s="574"/>
      <c r="M201" s="566"/>
      <c r="N201" s="566"/>
      <c r="O201" s="566"/>
      <c r="P201" s="566"/>
      <c r="Q201" s="566"/>
      <c r="R201" s="566"/>
      <c r="S201" s="566"/>
      <c r="T201" s="566"/>
      <c r="U201" s="566"/>
    </row>
    <row r="202" spans="1:21" ht="19.5" x14ac:dyDescent="0.3">
      <c r="A202" s="769"/>
      <c r="B202" s="770"/>
      <c r="C202" s="771" t="s">
        <v>84</v>
      </c>
      <c r="D202" s="772"/>
      <c r="E202" s="772"/>
      <c r="F202" s="772"/>
      <c r="G202" s="773"/>
      <c r="H202" s="782" t="s">
        <v>85</v>
      </c>
      <c r="I202" s="775">
        <f t="shared" ref="I202:J202" ca="1" si="144">I209</f>
        <v>3</v>
      </c>
      <c r="J202" s="775">
        <f t="shared" si="144"/>
        <v>3</v>
      </c>
      <c r="K202" s="776">
        <f ca="1">IF(I202&gt;0,J202*100/I202,0)</f>
        <v>100</v>
      </c>
      <c r="L202" s="777"/>
      <c r="M202" s="778"/>
      <c r="N202" s="778"/>
      <c r="O202" s="778"/>
      <c r="P202" s="778"/>
      <c r="Q202" s="778"/>
      <c r="R202" s="778"/>
      <c r="S202" s="778"/>
      <c r="T202" s="778"/>
      <c r="U202" s="778"/>
    </row>
    <row r="203" spans="1:21" ht="19.5" x14ac:dyDescent="0.3">
      <c r="A203" s="674"/>
      <c r="B203" s="561"/>
      <c r="C203" s="675" t="s">
        <v>18</v>
      </c>
      <c r="D203" s="779" t="s">
        <v>19</v>
      </c>
      <c r="E203" s="561"/>
      <c r="F203" s="561"/>
      <c r="G203" s="563"/>
      <c r="H203" s="780" t="s">
        <v>14</v>
      </c>
      <c r="I203" s="683"/>
      <c r="J203" s="683"/>
      <c r="K203" s="684"/>
      <c r="L203" s="678">
        <f ca="1">L204+L205+L206+L207</f>
        <v>39000</v>
      </c>
      <c r="M203" s="566"/>
      <c r="N203" s="679">
        <f>N204+N205+N206+N207</f>
        <v>39000</v>
      </c>
      <c r="O203" s="679">
        <f ca="1">IF(L203&gt;0,N203*100/L203,0)</f>
        <v>100</v>
      </c>
      <c r="P203" s="679">
        <f>IF(M203&gt;0,N203*100/M203,0)</f>
        <v>0</v>
      </c>
      <c r="Q203" s="783">
        <f ca="1">Q204+Q205+Q206+Q207</f>
        <v>0</v>
      </c>
      <c r="R203" s="784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 x14ac:dyDescent="0.25">
      <c r="A204" s="674"/>
      <c r="B204" s="718"/>
      <c r="C204" s="561"/>
      <c r="D204" s="573" t="s">
        <v>86</v>
      </c>
      <c r="E204" s="561"/>
      <c r="F204" s="561"/>
      <c r="G204" s="563"/>
      <c r="H204" s="682" t="s">
        <v>14</v>
      </c>
      <c r="I204" s="683"/>
      <c r="J204" s="683"/>
      <c r="K204" s="684"/>
      <c r="L204" s="567">
        <f ca="1">IFERROR(__xludf.DUMMYFUNCTION("IMPORTRANGE(""https://docs.google.com/spreadsheets/d/1eHaY18a8A9IcSdp1K8H6x8fbOy06t2VsZHhMHf-1x7Y/edit?usp=sharing"",""แผน!AG14"")"),3000)</f>
        <v>3000</v>
      </c>
      <c r="M204" s="566"/>
      <c r="N204" s="786">
        <v>3000</v>
      </c>
      <c r="O204" s="684"/>
      <c r="P204" s="566"/>
      <c r="Q204" s="567">
        <v>0</v>
      </c>
      <c r="R204" s="566"/>
      <c r="S204" s="568">
        <v>0</v>
      </c>
      <c r="T204" s="684"/>
      <c r="U204" s="566"/>
    </row>
    <row r="205" spans="1:21" ht="18.75" x14ac:dyDescent="0.25">
      <c r="A205" s="764"/>
      <c r="B205" s="718"/>
      <c r="C205" s="561"/>
      <c r="D205" s="573" t="s">
        <v>301</v>
      </c>
      <c r="E205" s="561"/>
      <c r="F205" s="561"/>
      <c r="G205" s="563"/>
      <c r="H205" s="564" t="s">
        <v>14</v>
      </c>
      <c r="I205" s="565"/>
      <c r="J205" s="565"/>
      <c r="K205" s="566"/>
      <c r="L205" s="567">
        <f ca="1">IFERROR(__xludf.DUMMYFUNCTION("IMPORTRANGE(""https://docs.google.com/spreadsheets/d/1eHaY18a8A9IcSdp1K8H6x8fbOy06t2VsZHhMHf-1x7Y/edit?usp=sharing"",""แผน!AH14"")"),0)</f>
        <v>0</v>
      </c>
      <c r="M205" s="566"/>
      <c r="N205" s="786">
        <v>0</v>
      </c>
      <c r="O205" s="684"/>
      <c r="P205" s="566"/>
      <c r="Q205" s="567">
        <v>0</v>
      </c>
      <c r="R205" s="566"/>
      <c r="S205" s="568">
        <v>0</v>
      </c>
      <c r="T205" s="684"/>
      <c r="U205" s="566"/>
    </row>
    <row r="206" spans="1:21" ht="18.75" x14ac:dyDescent="0.25">
      <c r="A206" s="764"/>
      <c r="B206" s="718"/>
      <c r="C206" s="561"/>
      <c r="D206" s="573" t="s">
        <v>88</v>
      </c>
      <c r="E206" s="561"/>
      <c r="F206" s="561"/>
      <c r="G206" s="563"/>
      <c r="H206" s="564" t="s">
        <v>14</v>
      </c>
      <c r="I206" s="565"/>
      <c r="J206" s="565"/>
      <c r="K206" s="566"/>
      <c r="L206" s="567">
        <f ca="1">IFERROR(__xludf.DUMMYFUNCTION("IMPORTRANGE(""https://docs.google.com/spreadsheets/d/1eHaY18a8A9IcSdp1K8H6x8fbOy06t2VsZHhMHf-1x7Y/edit?usp=sharing"",""แผน!AI14"")"),24000)</f>
        <v>24000</v>
      </c>
      <c r="M206" s="566"/>
      <c r="N206" s="786">
        <v>24000</v>
      </c>
      <c r="O206" s="684"/>
      <c r="P206" s="566"/>
      <c r="Q206" s="567">
        <f ca="1">IFERROR(__xludf.DUMMYFUNCTION("IMPORTRANGE(""https://docs.google.com/spreadsheets/d/1eHaY18a8A9IcSdp1K8H6x8fbOy06t2VsZHhMHf-1x7Y/edit?usp=sharing"",""แผน!LV14"")"),0)</f>
        <v>0</v>
      </c>
      <c r="R206" s="566"/>
      <c r="S206" s="786">
        <v>0</v>
      </c>
      <c r="T206" s="684"/>
      <c r="U206" s="566"/>
    </row>
    <row r="207" spans="1:21" ht="18.75" x14ac:dyDescent="0.25">
      <c r="A207" s="764"/>
      <c r="B207" s="718"/>
      <c r="C207" s="561"/>
      <c r="D207" s="573" t="s">
        <v>89</v>
      </c>
      <c r="E207" s="561"/>
      <c r="F207" s="561"/>
      <c r="G207" s="563"/>
      <c r="H207" s="564" t="s">
        <v>14</v>
      </c>
      <c r="I207" s="565"/>
      <c r="J207" s="565"/>
      <c r="K207" s="566"/>
      <c r="L207" s="567">
        <f ca="1">IFERROR(__xludf.DUMMYFUNCTION("IMPORTRANGE(""https://docs.google.com/spreadsheets/d/1eHaY18a8A9IcSdp1K8H6x8fbOy06t2VsZHhMHf-1x7Y/edit?usp=sharing"",""แผน!AJ14"")"),12000)</f>
        <v>12000</v>
      </c>
      <c r="M207" s="566"/>
      <c r="N207" s="786">
        <v>12000</v>
      </c>
      <c r="O207" s="684"/>
      <c r="P207" s="566"/>
      <c r="Q207" s="567">
        <v>0</v>
      </c>
      <c r="R207" s="566"/>
      <c r="S207" s="568">
        <v>0</v>
      </c>
      <c r="T207" s="684"/>
      <c r="U207" s="566"/>
    </row>
    <row r="208" spans="1:21" ht="19.5" x14ac:dyDescent="0.3">
      <c r="A208" s="687"/>
      <c r="B208" s="688"/>
      <c r="C208" s="675" t="s">
        <v>18</v>
      </c>
      <c r="D208" s="689" t="s">
        <v>38</v>
      </c>
      <c r="E208" s="690"/>
      <c r="F208" s="690"/>
      <c r="G208" s="691"/>
      <c r="H208" s="692"/>
      <c r="I208" s="683"/>
      <c r="J208" s="683"/>
      <c r="K208" s="684"/>
      <c r="L208" s="693"/>
      <c r="M208" s="684"/>
      <c r="N208" s="684"/>
      <c r="O208" s="684"/>
      <c r="P208" s="684"/>
      <c r="Q208" s="693"/>
      <c r="R208" s="684"/>
      <c r="S208" s="684"/>
      <c r="T208" s="684"/>
      <c r="U208" s="684"/>
    </row>
    <row r="209" spans="1:21" ht="18.75" x14ac:dyDescent="0.25">
      <c r="A209" s="687"/>
      <c r="B209" s="688"/>
      <c r="C209" s="688"/>
      <c r="D209" s="694" t="s">
        <v>90</v>
      </c>
      <c r="E209" s="695"/>
      <c r="F209" s="695"/>
      <c r="G209" s="692"/>
      <c r="H209" s="787" t="s">
        <v>85</v>
      </c>
      <c r="I209" s="708">
        <f ca="1">IFERROR(__xludf.DUMMYFUNCTION("IMPORTRANGE(""https://docs.google.com/spreadsheets/d/1eHaY18a8A9IcSdp1K8H6x8fbOy06t2VsZHhMHf-1x7Y/edit?usp=sharing"",""แผน!AK14"")"),3)</f>
        <v>3</v>
      </c>
      <c r="J209" s="702">
        <v>3</v>
      </c>
      <c r="K209" s="703">
        <f ca="1">IF(I209&gt;0,J209*100/I209,0)</f>
        <v>100</v>
      </c>
      <c r="L209" s="574"/>
      <c r="M209" s="566"/>
      <c r="N209" s="566"/>
      <c r="O209" s="566"/>
      <c r="P209" s="566"/>
      <c r="Q209" s="574"/>
      <c r="R209" s="566"/>
      <c r="S209" s="566"/>
      <c r="T209" s="566"/>
      <c r="U209" s="566"/>
    </row>
    <row r="210" spans="1:21" ht="18.75" x14ac:dyDescent="0.25">
      <c r="A210" s="687"/>
      <c r="B210" s="688"/>
      <c r="C210" s="688"/>
      <c r="D210" s="699" t="s">
        <v>50</v>
      </c>
      <c r="E210" s="695"/>
      <c r="F210" s="695"/>
      <c r="G210" s="692"/>
      <c r="H210" s="692"/>
      <c r="I210" s="565"/>
      <c r="J210" s="565"/>
      <c r="K210" s="684"/>
      <c r="L210" s="574"/>
      <c r="M210" s="566"/>
      <c r="N210" s="566"/>
      <c r="O210" s="566"/>
      <c r="P210" s="566"/>
      <c r="Q210" s="574"/>
      <c r="R210" s="566"/>
      <c r="S210" s="566"/>
      <c r="T210" s="566"/>
      <c r="U210" s="566"/>
    </row>
    <row r="211" spans="1:21" ht="18.75" x14ac:dyDescent="0.25">
      <c r="A211" s="687"/>
      <c r="B211" s="688"/>
      <c r="C211" s="688"/>
      <c r="D211" s="695"/>
      <c r="E211" s="699" t="s">
        <v>91</v>
      </c>
      <c r="F211" s="695"/>
      <c r="G211" s="692"/>
      <c r="H211" s="787" t="s">
        <v>85</v>
      </c>
      <c r="I211" s="708">
        <f ca="1">IFERROR(__xludf.DUMMYFUNCTION("IMPORTRANGE(""https://docs.google.com/spreadsheets/d/1eHaY18a8A9IcSdp1K8H6x8fbOy06t2VsZHhMHf-1x7Y/edit?usp=sharing"",""แผน!JX14"")"),3)</f>
        <v>3</v>
      </c>
      <c r="J211" s="702">
        <v>3</v>
      </c>
      <c r="K211" s="703">
        <f t="shared" ref="K211:K213" ca="1" si="145">IF(I211&gt;0,J211*100/I211,0)</f>
        <v>100</v>
      </c>
      <c r="L211" s="574"/>
      <c r="M211" s="566"/>
      <c r="N211" s="566"/>
      <c r="O211" s="566"/>
      <c r="P211" s="566"/>
      <c r="Q211" s="574"/>
      <c r="R211" s="566"/>
      <c r="S211" s="566"/>
      <c r="T211" s="566"/>
      <c r="U211" s="566"/>
    </row>
    <row r="212" spans="1:21" ht="18.75" x14ac:dyDescent="0.25">
      <c r="A212" s="687"/>
      <c r="B212" s="688"/>
      <c r="C212" s="688"/>
      <c r="D212" s="695"/>
      <c r="E212" s="699" t="s">
        <v>92</v>
      </c>
      <c r="F212" s="695"/>
      <c r="G212" s="695"/>
      <c r="H212" s="700" t="s">
        <v>93</v>
      </c>
      <c r="I212" s="708">
        <f ca="1">IFERROR(__xludf.DUMMYFUNCTION("IMPORTRANGE(""https://docs.google.com/spreadsheets/d/1eHaY18a8A9IcSdp1K8H6x8fbOy06t2VsZHhMHf-1x7Y/edit?usp=sharing"",""แผน!JY14"")"),0)</f>
        <v>0</v>
      </c>
      <c r="J212" s="702">
        <v>0</v>
      </c>
      <c r="K212" s="703">
        <f t="shared" ca="1" si="145"/>
        <v>0</v>
      </c>
      <c r="L212" s="574"/>
      <c r="M212" s="566"/>
      <c r="N212" s="566"/>
      <c r="O212" s="566"/>
      <c r="P212" s="566"/>
      <c r="Q212" s="574"/>
      <c r="R212" s="566"/>
      <c r="S212" s="566"/>
      <c r="T212" s="566"/>
      <c r="U212" s="566"/>
    </row>
    <row r="213" spans="1:21" ht="19.5" x14ac:dyDescent="0.3">
      <c r="A213" s="769"/>
      <c r="B213" s="770"/>
      <c r="C213" s="771" t="s">
        <v>94</v>
      </c>
      <c r="D213" s="772"/>
      <c r="E213" s="772"/>
      <c r="F213" s="772"/>
      <c r="G213" s="773"/>
      <c r="H213" s="782" t="s">
        <v>85</v>
      </c>
      <c r="I213" s="775">
        <f t="shared" ref="I213:J213" ca="1" si="146">I220</f>
        <v>0</v>
      </c>
      <c r="J213" s="775">
        <f t="shared" si="146"/>
        <v>0</v>
      </c>
      <c r="K213" s="776">
        <f t="shared" ca="1" si="145"/>
        <v>0</v>
      </c>
      <c r="L213" s="777"/>
      <c r="M213" s="778"/>
      <c r="N213" s="778"/>
      <c r="O213" s="778"/>
      <c r="P213" s="778"/>
      <c r="Q213" s="777"/>
      <c r="R213" s="778"/>
      <c r="S213" s="778"/>
      <c r="T213" s="778"/>
      <c r="U213" s="778"/>
    </row>
    <row r="214" spans="1:21" ht="19.5" x14ac:dyDescent="0.3">
      <c r="A214" s="674"/>
      <c r="B214" s="561"/>
      <c r="C214" s="675" t="s">
        <v>18</v>
      </c>
      <c r="D214" s="779" t="s">
        <v>19</v>
      </c>
      <c r="E214" s="561"/>
      <c r="F214" s="561"/>
      <c r="G214" s="563"/>
      <c r="H214" s="780" t="s">
        <v>14</v>
      </c>
      <c r="I214" s="683"/>
      <c r="J214" s="683"/>
      <c r="K214" s="684"/>
      <c r="L214" s="678">
        <f ca="1">L215+L216+L217</f>
        <v>0</v>
      </c>
      <c r="M214" s="566"/>
      <c r="N214" s="679">
        <f>N215+N216+N217</f>
        <v>0</v>
      </c>
      <c r="O214" s="679">
        <f ca="1">IF(L214&gt;0,N214*100/L214,0)</f>
        <v>0</v>
      </c>
      <c r="P214" s="679">
        <f>IF(M214&gt;0,N214*100/M214,0)</f>
        <v>0</v>
      </c>
      <c r="Q214" s="678">
        <f ca="1">Q215+Q216+Q217</f>
        <v>0</v>
      </c>
      <c r="R214" s="566"/>
      <c r="S214" s="679">
        <f>S215+S216+S217</f>
        <v>229220</v>
      </c>
      <c r="T214" s="679">
        <f ca="1">IF(Q214&gt;0,S214*100/Q214,0)</f>
        <v>0</v>
      </c>
      <c r="U214" s="679">
        <f>IF(R214&gt;0,S214*100/R214,0)</f>
        <v>0</v>
      </c>
    </row>
    <row r="215" spans="1:21" ht="18.75" x14ac:dyDescent="0.25">
      <c r="A215" s="674"/>
      <c r="B215" s="718"/>
      <c r="C215" s="561"/>
      <c r="D215" s="573" t="s">
        <v>86</v>
      </c>
      <c r="E215" s="561"/>
      <c r="F215" s="561"/>
      <c r="G215" s="563"/>
      <c r="H215" s="682" t="s">
        <v>14</v>
      </c>
      <c r="I215" s="683"/>
      <c r="J215" s="683"/>
      <c r="K215" s="684"/>
      <c r="L215" s="567">
        <f ca="1">IFERROR(__xludf.DUMMYFUNCTION("IMPORTRANGE(""https://docs.google.com/spreadsheets/d/1eHaY18a8A9IcSdp1K8H6x8fbOy06t2VsZHhMHf-1x7Y/edit?usp=sharing"",""แผน!AM14"")"),0)</f>
        <v>0</v>
      </c>
      <c r="M215" s="566"/>
      <c r="N215" s="786">
        <v>0</v>
      </c>
      <c r="O215" s="684"/>
      <c r="P215" s="566"/>
      <c r="Q215" s="567">
        <v>0</v>
      </c>
      <c r="R215" s="566"/>
      <c r="S215" s="568">
        <v>0</v>
      </c>
      <c r="T215" s="684"/>
      <c r="U215" s="566"/>
    </row>
    <row r="216" spans="1:21" ht="18.75" x14ac:dyDescent="0.25">
      <c r="A216" s="764"/>
      <c r="B216" s="718"/>
      <c r="C216" s="718"/>
      <c r="D216" s="573" t="s">
        <v>95</v>
      </c>
      <c r="E216" s="561"/>
      <c r="F216" s="561"/>
      <c r="G216" s="563"/>
      <c r="H216" s="682" t="s">
        <v>14</v>
      </c>
      <c r="I216" s="565"/>
      <c r="J216" s="565"/>
      <c r="K216" s="566"/>
      <c r="L216" s="567">
        <f ca="1">IFERROR(__xludf.DUMMYFUNCTION("IMPORTRANGE(""https://docs.google.com/spreadsheets/d/1eHaY18a8A9IcSdp1K8H6x8fbOy06t2VsZHhMHf-1x7Y/edit?usp=sharing"",""แผน!AN14"")"),0)</f>
        <v>0</v>
      </c>
      <c r="M216" s="566"/>
      <c r="N216" s="786">
        <v>0</v>
      </c>
      <c r="O216" s="684"/>
      <c r="P216" s="566"/>
      <c r="Q216" s="567">
        <v>0</v>
      </c>
      <c r="R216" s="566"/>
      <c r="S216" s="568">
        <v>0</v>
      </c>
      <c r="T216" s="684"/>
      <c r="U216" s="566"/>
    </row>
    <row r="217" spans="1:21" ht="18.75" x14ac:dyDescent="0.25">
      <c r="A217" s="764"/>
      <c r="B217" s="718"/>
      <c r="C217" s="718"/>
      <c r="D217" s="573" t="s">
        <v>88</v>
      </c>
      <c r="E217" s="561"/>
      <c r="F217" s="561"/>
      <c r="G217" s="563"/>
      <c r="H217" s="682" t="s">
        <v>14</v>
      </c>
      <c r="I217" s="565"/>
      <c r="J217" s="565"/>
      <c r="K217" s="566"/>
      <c r="L217" s="567">
        <f ca="1">IFERROR(__xludf.DUMMYFUNCTION("IMPORTRANGE(""https://docs.google.com/spreadsheets/d/1eHaY18a8A9IcSdp1K8H6x8fbOy06t2VsZHhMHf-1x7Y/edit?usp=sharing"",""แผน!AO14"")"),0)</f>
        <v>0</v>
      </c>
      <c r="M217" s="566"/>
      <c r="N217" s="786">
        <v>0</v>
      </c>
      <c r="O217" s="684"/>
      <c r="P217" s="566"/>
      <c r="Q217" s="567">
        <f ca="1">IFERROR(__xludf.DUMMYFUNCTION("IMPORTRANGE(""https://docs.google.com/spreadsheets/d/1eHaY18a8A9IcSdp1K8H6x8fbOy06t2VsZHhMHf-1x7Y/edit?usp=sharing"",""แผน!LY14"")"),0)</f>
        <v>0</v>
      </c>
      <c r="R217" s="566"/>
      <c r="S217" s="786">
        <v>229220</v>
      </c>
      <c r="T217" s="684"/>
      <c r="U217" s="566"/>
    </row>
    <row r="218" spans="1:21" ht="19.5" x14ac:dyDescent="0.3">
      <c r="A218" s="687"/>
      <c r="B218" s="688"/>
      <c r="C218" s="719" t="s">
        <v>18</v>
      </c>
      <c r="D218" s="689" t="s">
        <v>38</v>
      </c>
      <c r="E218" s="690"/>
      <c r="F218" s="690"/>
      <c r="G218" s="691"/>
      <c r="H218" s="692"/>
      <c r="I218" s="683"/>
      <c r="J218" s="565"/>
      <c r="K218" s="566"/>
      <c r="L218" s="574"/>
      <c r="M218" s="566"/>
      <c r="N218" s="566"/>
      <c r="O218" s="684"/>
      <c r="P218" s="684"/>
      <c r="Q218" s="574"/>
      <c r="R218" s="566"/>
      <c r="S218" s="566"/>
      <c r="T218" s="684"/>
      <c r="U218" s="684"/>
    </row>
    <row r="219" spans="1:21" ht="18.75" x14ac:dyDescent="0.25">
      <c r="A219" s="687"/>
      <c r="B219" s="688"/>
      <c r="C219" s="688"/>
      <c r="D219" s="694" t="s">
        <v>96</v>
      </c>
      <c r="E219" s="695"/>
      <c r="F219" s="695"/>
      <c r="G219" s="692"/>
      <c r="H219" s="787" t="s">
        <v>85</v>
      </c>
      <c r="I219" s="708">
        <f ca="1">IFERROR(__xludf.DUMMYFUNCTION("IMPORTRANGE(""https://docs.google.com/spreadsheets/d/1eHaY18a8A9IcSdp1K8H6x8fbOy06t2VsZHhMHf-1x7Y/edit?usp=sharing"",""แผน!AP14"")"),0)</f>
        <v>0</v>
      </c>
      <c r="J219" s="702">
        <v>0</v>
      </c>
      <c r="K219" s="568">
        <f t="shared" ref="K219:K221" ca="1" si="147">IF(I219&gt;0,J219*100/I219,0)</f>
        <v>0</v>
      </c>
      <c r="L219" s="574"/>
      <c r="M219" s="566"/>
      <c r="N219" s="566"/>
      <c r="O219" s="566"/>
      <c r="P219" s="566"/>
      <c r="Q219" s="574"/>
      <c r="R219" s="566"/>
      <c r="S219" s="566"/>
      <c r="T219" s="566"/>
      <c r="U219" s="566"/>
    </row>
    <row r="220" spans="1:21" ht="18.75" x14ac:dyDescent="0.25">
      <c r="A220" s="687"/>
      <c r="B220" s="688"/>
      <c r="C220" s="688"/>
      <c r="D220" s="694" t="s">
        <v>97</v>
      </c>
      <c r="E220" s="695"/>
      <c r="F220" s="695"/>
      <c r="G220" s="692"/>
      <c r="H220" s="787" t="s">
        <v>85</v>
      </c>
      <c r="I220" s="708">
        <f ca="1">IFERROR(__xludf.DUMMYFUNCTION("IMPORTRANGE(""https://docs.google.com/spreadsheets/d/1eHaY18a8A9IcSdp1K8H6x8fbOy06t2VsZHhMHf-1x7Y/edit?usp=sharing"",""แผน!AP14"")"),0)</f>
        <v>0</v>
      </c>
      <c r="J220" s="702">
        <v>0</v>
      </c>
      <c r="K220" s="568">
        <f t="shared" ca="1" si="147"/>
        <v>0</v>
      </c>
      <c r="L220" s="574"/>
      <c r="M220" s="566"/>
      <c r="N220" s="566"/>
      <c r="O220" s="566"/>
      <c r="P220" s="566"/>
      <c r="Q220" s="574"/>
      <c r="R220" s="566"/>
      <c r="S220" s="566"/>
      <c r="T220" s="566"/>
      <c r="U220" s="566"/>
    </row>
    <row r="221" spans="1:21" ht="19.5" x14ac:dyDescent="0.3">
      <c r="A221" s="769"/>
      <c r="B221" s="770"/>
      <c r="C221" s="771" t="s">
        <v>98</v>
      </c>
      <c r="D221" s="772"/>
      <c r="E221" s="772"/>
      <c r="F221" s="772"/>
      <c r="G221" s="773"/>
      <c r="H221" s="774" t="s">
        <v>99</v>
      </c>
      <c r="I221" s="775">
        <f t="shared" ref="I221:J221" ca="1" si="148">I229</f>
        <v>50000</v>
      </c>
      <c r="J221" s="775">
        <f t="shared" si="148"/>
        <v>0</v>
      </c>
      <c r="K221" s="776">
        <f t="shared" ca="1" si="147"/>
        <v>0</v>
      </c>
      <c r="L221" s="777"/>
      <c r="M221" s="778"/>
      <c r="N221" s="778"/>
      <c r="O221" s="778"/>
      <c r="P221" s="778"/>
      <c r="Q221" s="778"/>
      <c r="R221" s="778"/>
      <c r="S221" s="778"/>
      <c r="T221" s="778"/>
      <c r="U221" s="778"/>
    </row>
    <row r="222" spans="1:21" ht="19.5" x14ac:dyDescent="0.3">
      <c r="A222" s="674"/>
      <c r="B222" s="561"/>
      <c r="C222" s="675" t="s">
        <v>18</v>
      </c>
      <c r="D222" s="779" t="s">
        <v>19</v>
      </c>
      <c r="E222" s="561"/>
      <c r="F222" s="561"/>
      <c r="G222" s="563"/>
      <c r="H222" s="780" t="s">
        <v>14</v>
      </c>
      <c r="I222" s="683"/>
      <c r="J222" s="683"/>
      <c r="K222" s="684"/>
      <c r="L222" s="678">
        <f ca="1">L223+L224+L225</f>
        <v>8500</v>
      </c>
      <c r="M222" s="566"/>
      <c r="N222" s="679">
        <f>N223+N224+N225</f>
        <v>0</v>
      </c>
      <c r="O222" s="679">
        <f ca="1">IF(L222&gt;0,N222*100/L222,0)</f>
        <v>0</v>
      </c>
      <c r="P222" s="679">
        <f>IF(M222&gt;0,N222*100/M222,0)</f>
        <v>0</v>
      </c>
      <c r="Q222" s="566"/>
      <c r="R222" s="566"/>
      <c r="S222" s="566"/>
      <c r="T222" s="566"/>
      <c r="U222" s="566"/>
    </row>
    <row r="223" spans="1:21" ht="18.75" x14ac:dyDescent="0.25">
      <c r="A223" s="674"/>
      <c r="B223" s="718"/>
      <c r="C223" s="561"/>
      <c r="D223" s="788" t="s">
        <v>302</v>
      </c>
      <c r="E223" s="561"/>
      <c r="F223" s="561"/>
      <c r="G223" s="563"/>
      <c r="H223" s="682" t="s">
        <v>14</v>
      </c>
      <c r="I223" s="683"/>
      <c r="J223" s="683"/>
      <c r="K223" s="684"/>
      <c r="L223" s="567">
        <f ca="1">IFERROR(__xludf.DUMMYFUNCTION("IMPORTRANGE(""https://docs.google.com/spreadsheets/d/1eHaY18a8A9IcSdp1K8H6x8fbOy06t2VsZHhMHf-1x7Y/edit?usp=sharing"",""แผน!AR14"")"),2500)</f>
        <v>2500</v>
      </c>
      <c r="M223" s="566"/>
      <c r="N223" s="786">
        <v>0</v>
      </c>
      <c r="O223" s="684"/>
      <c r="P223" s="566"/>
      <c r="Q223" s="566"/>
      <c r="R223" s="566"/>
      <c r="S223" s="566"/>
      <c r="T223" s="684"/>
      <c r="U223" s="566"/>
    </row>
    <row r="224" spans="1:21" ht="18.75" x14ac:dyDescent="0.25">
      <c r="A224" s="764"/>
      <c r="B224" s="718"/>
      <c r="C224" s="718"/>
      <c r="D224" s="573" t="s">
        <v>301</v>
      </c>
      <c r="E224" s="561"/>
      <c r="F224" s="561"/>
      <c r="G224" s="563"/>
      <c r="H224" s="682" t="s">
        <v>14</v>
      </c>
      <c r="I224" s="565"/>
      <c r="J224" s="565"/>
      <c r="K224" s="566"/>
      <c r="L224" s="567">
        <f ca="1">IFERROR(__xludf.DUMMYFUNCTION("IMPORTRANGE(""https://docs.google.com/spreadsheets/d/1eHaY18a8A9IcSdp1K8H6x8fbOy06t2VsZHhMHf-1x7Y/edit?usp=sharing"",""แผน!AS14"")"),6000)</f>
        <v>6000</v>
      </c>
      <c r="M224" s="566"/>
      <c r="N224" s="786">
        <v>0</v>
      </c>
      <c r="O224" s="684"/>
      <c r="P224" s="566"/>
      <c r="Q224" s="566"/>
      <c r="R224" s="566"/>
      <c r="S224" s="566"/>
      <c r="T224" s="684"/>
      <c r="U224" s="566"/>
    </row>
    <row r="225" spans="1:21" ht="18.75" x14ac:dyDescent="0.25">
      <c r="A225" s="764"/>
      <c r="B225" s="718"/>
      <c r="C225" s="718"/>
      <c r="D225" s="573" t="s">
        <v>88</v>
      </c>
      <c r="E225" s="561"/>
      <c r="F225" s="561"/>
      <c r="G225" s="563"/>
      <c r="H225" s="682" t="s">
        <v>14</v>
      </c>
      <c r="I225" s="565"/>
      <c r="J225" s="565"/>
      <c r="K225" s="566"/>
      <c r="L225" s="567">
        <f ca="1">IFERROR(__xludf.DUMMYFUNCTION("IMPORTRANGE(""https://docs.google.com/spreadsheets/d/1eHaY18a8A9IcSdp1K8H6x8fbOy06t2VsZHhMHf-1x7Y/edit?usp=sharing"",""แผน!AT14"")"),0)</f>
        <v>0</v>
      </c>
      <c r="M225" s="566"/>
      <c r="N225" s="786">
        <v>0</v>
      </c>
      <c r="O225" s="684"/>
      <c r="P225" s="566"/>
      <c r="Q225" s="566"/>
      <c r="R225" s="566"/>
      <c r="S225" s="566"/>
      <c r="T225" s="684"/>
      <c r="U225" s="566"/>
    </row>
    <row r="226" spans="1:21" ht="19.5" x14ac:dyDescent="0.3">
      <c r="A226" s="687"/>
      <c r="B226" s="688"/>
      <c r="C226" s="719" t="s">
        <v>18</v>
      </c>
      <c r="D226" s="689" t="s">
        <v>38</v>
      </c>
      <c r="E226" s="690"/>
      <c r="F226" s="690"/>
      <c r="G226" s="691"/>
      <c r="H226" s="692"/>
      <c r="I226" s="683"/>
      <c r="J226" s="683"/>
      <c r="K226" s="684"/>
      <c r="L226" s="693"/>
      <c r="M226" s="684"/>
      <c r="N226" s="684"/>
      <c r="O226" s="684"/>
      <c r="P226" s="684"/>
      <c r="Q226" s="684"/>
      <c r="R226" s="684"/>
      <c r="S226" s="684"/>
      <c r="T226" s="684"/>
      <c r="U226" s="684"/>
    </row>
    <row r="227" spans="1:21" ht="18.75" x14ac:dyDescent="0.25">
      <c r="A227" s="687"/>
      <c r="B227" s="688"/>
      <c r="C227" s="688"/>
      <c r="D227" s="573" t="s">
        <v>101</v>
      </c>
      <c r="E227" s="695"/>
      <c r="F227" s="695"/>
      <c r="G227" s="692"/>
      <c r="H227" s="692"/>
      <c r="I227" s="565"/>
      <c r="J227" s="565"/>
      <c r="K227" s="684"/>
      <c r="L227" s="693"/>
      <c r="M227" s="684"/>
      <c r="N227" s="684"/>
      <c r="O227" s="684"/>
      <c r="P227" s="684"/>
      <c r="Q227" s="684"/>
      <c r="R227" s="684"/>
      <c r="S227" s="684"/>
      <c r="T227" s="684"/>
      <c r="U227" s="684"/>
    </row>
    <row r="228" spans="1:21" ht="18.75" x14ac:dyDescent="0.25">
      <c r="A228" s="687"/>
      <c r="B228" s="688"/>
      <c r="C228" s="688"/>
      <c r="D228" s="688"/>
      <c r="E228" s="694" t="s">
        <v>102</v>
      </c>
      <c r="F228" s="695"/>
      <c r="G228" s="692"/>
      <c r="H228" s="700" t="s">
        <v>99</v>
      </c>
      <c r="I228" s="708">
        <f ca="1">IFERROR(__xludf.DUMMYFUNCTION("IMPORTRANGE(""https://docs.google.com/spreadsheets/d/1eHaY18a8A9IcSdp1K8H6x8fbOy06t2VsZHhMHf-1x7Y/edit?usp=sharing"",""แผน!AV14"")"),50000)</f>
        <v>50000</v>
      </c>
      <c r="J228" s="702">
        <v>0</v>
      </c>
      <c r="K228" s="703">
        <f t="shared" ref="K228:K231" ca="1" si="149">IF(I228&gt;0,J228*100/I228,0)</f>
        <v>0</v>
      </c>
      <c r="L228" s="693"/>
      <c r="M228" s="684"/>
      <c r="N228" s="684"/>
      <c r="O228" s="684"/>
      <c r="P228" s="684"/>
      <c r="Q228" s="684"/>
      <c r="R228" s="684"/>
      <c r="S228" s="684"/>
      <c r="T228" s="684"/>
      <c r="U228" s="684"/>
    </row>
    <row r="229" spans="1:21" ht="18.75" x14ac:dyDescent="0.25">
      <c r="A229" s="687"/>
      <c r="B229" s="688"/>
      <c r="C229" s="688"/>
      <c r="D229" s="688"/>
      <c r="E229" s="694" t="s">
        <v>103</v>
      </c>
      <c r="F229" s="695"/>
      <c r="G229" s="692"/>
      <c r="H229" s="700" t="s">
        <v>99</v>
      </c>
      <c r="I229" s="708">
        <f ca="1">IFERROR(__xludf.DUMMYFUNCTION("IMPORTRANGE(""https://docs.google.com/spreadsheets/d/1eHaY18a8A9IcSdp1K8H6x8fbOy06t2VsZHhMHf-1x7Y/edit?usp=sharing"",""แผน!AV14"")"),50000)</f>
        <v>50000</v>
      </c>
      <c r="J229" s="702">
        <v>0</v>
      </c>
      <c r="K229" s="703">
        <f t="shared" ca="1" si="149"/>
        <v>0</v>
      </c>
      <c r="L229" s="574"/>
      <c r="M229" s="566"/>
      <c r="N229" s="566"/>
      <c r="O229" s="566"/>
      <c r="P229" s="566"/>
      <c r="Q229" s="566"/>
      <c r="R229" s="566"/>
      <c r="S229" s="566"/>
      <c r="T229" s="566"/>
      <c r="U229" s="566"/>
    </row>
    <row r="230" spans="1:21" ht="18.75" x14ac:dyDescent="0.25">
      <c r="A230" s="687"/>
      <c r="B230" s="688"/>
      <c r="C230" s="688"/>
      <c r="D230" s="573" t="s">
        <v>104</v>
      </c>
      <c r="E230" s="695"/>
      <c r="F230" s="695"/>
      <c r="G230" s="692"/>
      <c r="H230" s="700" t="s">
        <v>35</v>
      </c>
      <c r="I230" s="708">
        <f ca="1">IFERROR(__xludf.DUMMYFUNCTION("IMPORTRANGE(""https://docs.google.com/spreadsheets/d/1eHaY18a8A9IcSdp1K8H6x8fbOy06t2VsZHhMHf-1x7Y/edit?usp=sharing"",""แผน!AU14"")"),0)</f>
        <v>0</v>
      </c>
      <c r="J230" s="702">
        <v>0</v>
      </c>
      <c r="K230" s="703">
        <f t="shared" ca="1" si="149"/>
        <v>0</v>
      </c>
      <c r="L230" s="574"/>
      <c r="M230" s="566"/>
      <c r="N230" s="566"/>
      <c r="O230" s="566"/>
      <c r="P230" s="566"/>
      <c r="Q230" s="566"/>
      <c r="R230" s="566"/>
      <c r="S230" s="566"/>
      <c r="T230" s="566"/>
      <c r="U230" s="566"/>
    </row>
    <row r="231" spans="1:21" ht="19.5" hidden="1" x14ac:dyDescent="0.3">
      <c r="A231" s="769"/>
      <c r="B231" s="770"/>
      <c r="C231" s="771" t="s">
        <v>105</v>
      </c>
      <c r="D231" s="772"/>
      <c r="E231" s="772"/>
      <c r="F231" s="772"/>
      <c r="G231" s="773"/>
      <c r="H231" s="774" t="s">
        <v>35</v>
      </c>
      <c r="I231" s="775">
        <f t="shared" ref="I231:J231" ca="1" si="150">I242+I253</f>
        <v>0</v>
      </c>
      <c r="J231" s="775">
        <f t="shared" si="150"/>
        <v>0</v>
      </c>
      <c r="K231" s="776">
        <f t="shared" ca="1" si="149"/>
        <v>0</v>
      </c>
      <c r="L231" s="777"/>
      <c r="M231" s="778"/>
      <c r="N231" s="778"/>
      <c r="O231" s="778"/>
      <c r="P231" s="778"/>
      <c r="Q231" s="778"/>
      <c r="R231" s="778"/>
      <c r="S231" s="778"/>
      <c r="T231" s="778"/>
      <c r="U231" s="778"/>
    </row>
    <row r="232" spans="1:21" ht="19.5" hidden="1" x14ac:dyDescent="0.3">
      <c r="A232" s="674"/>
      <c r="B232" s="561"/>
      <c r="C232" s="675" t="s">
        <v>18</v>
      </c>
      <c r="D232" s="676" t="s">
        <v>19</v>
      </c>
      <c r="E232" s="561"/>
      <c r="F232" s="561"/>
      <c r="G232" s="563"/>
      <c r="H232" s="780" t="s">
        <v>14</v>
      </c>
      <c r="I232" s="683"/>
      <c r="J232" s="683"/>
      <c r="K232" s="684"/>
      <c r="L232" s="789">
        <f t="shared" ref="L232:L236" ca="1" si="151">L243+L254</f>
        <v>0</v>
      </c>
      <c r="M232" s="566"/>
      <c r="N232" s="790">
        <f t="shared" ref="N232:N236" si="152">N243+N254</f>
        <v>0</v>
      </c>
      <c r="O232" s="566"/>
      <c r="P232" s="566"/>
      <c r="Q232" s="566"/>
      <c r="R232" s="566"/>
      <c r="S232" s="566"/>
      <c r="T232" s="566"/>
      <c r="U232" s="566"/>
    </row>
    <row r="233" spans="1:21" ht="18.75" hidden="1" x14ac:dyDescent="0.25">
      <c r="A233" s="674"/>
      <c r="B233" s="718"/>
      <c r="C233" s="561"/>
      <c r="D233" s="573" t="s">
        <v>86</v>
      </c>
      <c r="E233" s="561"/>
      <c r="F233" s="561"/>
      <c r="G233" s="563"/>
      <c r="H233" s="682" t="s">
        <v>14</v>
      </c>
      <c r="I233" s="683"/>
      <c r="J233" s="683"/>
      <c r="K233" s="684"/>
      <c r="L233" s="571">
        <f t="shared" ca="1" si="151"/>
        <v>0</v>
      </c>
      <c r="M233" s="566"/>
      <c r="N233" s="572">
        <f t="shared" si="152"/>
        <v>0</v>
      </c>
      <c r="O233" s="566"/>
      <c r="P233" s="566"/>
      <c r="Q233" s="791">
        <v>0</v>
      </c>
      <c r="R233" s="791">
        <v>0</v>
      </c>
      <c r="S233" s="791">
        <v>0</v>
      </c>
      <c r="T233" s="566"/>
      <c r="U233" s="566"/>
    </row>
    <row r="234" spans="1:21" ht="18.75" hidden="1" x14ac:dyDescent="0.25">
      <c r="A234" s="764"/>
      <c r="B234" s="718"/>
      <c r="C234" s="718"/>
      <c r="D234" s="573" t="s">
        <v>88</v>
      </c>
      <c r="E234" s="561"/>
      <c r="F234" s="561"/>
      <c r="G234" s="563"/>
      <c r="H234" s="682" t="s">
        <v>14</v>
      </c>
      <c r="I234" s="565"/>
      <c r="J234" s="565"/>
      <c r="K234" s="566"/>
      <c r="L234" s="571">
        <f t="shared" ca="1" si="151"/>
        <v>0</v>
      </c>
      <c r="M234" s="566"/>
      <c r="N234" s="572">
        <f t="shared" si="152"/>
        <v>0</v>
      </c>
      <c r="O234" s="566"/>
      <c r="P234" s="566"/>
      <c r="Q234" s="791">
        <v>0</v>
      </c>
      <c r="R234" s="791">
        <v>0</v>
      </c>
      <c r="S234" s="791">
        <v>0</v>
      </c>
      <c r="T234" s="566"/>
      <c r="U234" s="566"/>
    </row>
    <row r="235" spans="1:21" ht="18.75" hidden="1" x14ac:dyDescent="0.25">
      <c r="A235" s="764"/>
      <c r="B235" s="718"/>
      <c r="C235" s="718"/>
      <c r="D235" s="573" t="s">
        <v>106</v>
      </c>
      <c r="E235" s="561"/>
      <c r="F235" s="561"/>
      <c r="G235" s="563"/>
      <c r="H235" s="682" t="s">
        <v>14</v>
      </c>
      <c r="I235" s="565"/>
      <c r="J235" s="565"/>
      <c r="K235" s="566"/>
      <c r="L235" s="571">
        <f t="shared" ca="1" si="151"/>
        <v>0</v>
      </c>
      <c r="M235" s="566"/>
      <c r="N235" s="572">
        <f t="shared" si="152"/>
        <v>0</v>
      </c>
      <c r="O235" s="566"/>
      <c r="P235" s="566"/>
      <c r="Q235" s="791">
        <v>0</v>
      </c>
      <c r="R235" s="791">
        <v>0</v>
      </c>
      <c r="S235" s="791">
        <v>0</v>
      </c>
      <c r="T235" s="566"/>
      <c r="U235" s="566"/>
    </row>
    <row r="236" spans="1:21" ht="18.75" hidden="1" x14ac:dyDescent="0.25">
      <c r="A236" s="764"/>
      <c r="B236" s="718"/>
      <c r="C236" s="718"/>
      <c r="D236" s="573" t="s">
        <v>107</v>
      </c>
      <c r="E236" s="561"/>
      <c r="F236" s="561"/>
      <c r="G236" s="563"/>
      <c r="H236" s="682" t="s">
        <v>14</v>
      </c>
      <c r="I236" s="565"/>
      <c r="J236" s="565"/>
      <c r="K236" s="566"/>
      <c r="L236" s="571">
        <f t="shared" ca="1" si="151"/>
        <v>0</v>
      </c>
      <c r="M236" s="566"/>
      <c r="N236" s="572">
        <f t="shared" si="152"/>
        <v>0</v>
      </c>
      <c r="O236" s="566"/>
      <c r="P236" s="566"/>
      <c r="Q236" s="791">
        <v>0</v>
      </c>
      <c r="R236" s="791">
        <v>0</v>
      </c>
      <c r="S236" s="791">
        <v>0</v>
      </c>
      <c r="T236" s="566"/>
      <c r="U236" s="566"/>
    </row>
    <row r="237" spans="1:21" ht="19.5" hidden="1" x14ac:dyDescent="0.3">
      <c r="A237" s="687"/>
      <c r="B237" s="688"/>
      <c r="C237" s="719" t="s">
        <v>18</v>
      </c>
      <c r="D237" s="689" t="s">
        <v>38</v>
      </c>
      <c r="E237" s="690"/>
      <c r="F237" s="690"/>
      <c r="G237" s="691"/>
      <c r="H237" s="692"/>
      <c r="I237" s="683"/>
      <c r="J237" s="565"/>
      <c r="K237" s="566"/>
      <c r="L237" s="574"/>
      <c r="M237" s="566"/>
      <c r="N237" s="566"/>
      <c r="O237" s="684"/>
      <c r="P237" s="684"/>
      <c r="Q237" s="566"/>
      <c r="R237" s="566"/>
      <c r="S237" s="566"/>
      <c r="T237" s="684"/>
      <c r="U237" s="684"/>
    </row>
    <row r="238" spans="1:21" ht="18.75" hidden="1" x14ac:dyDescent="0.25">
      <c r="A238" s="687"/>
      <c r="B238" s="688"/>
      <c r="C238" s="688"/>
      <c r="D238" s="699" t="s">
        <v>108</v>
      </c>
      <c r="E238" s="695"/>
      <c r="F238" s="695"/>
      <c r="G238" s="692"/>
      <c r="H238" s="700" t="s">
        <v>35</v>
      </c>
      <c r="I238" s="708">
        <f t="shared" ref="I238:J238" ca="1" si="153">I249+I260</f>
        <v>0</v>
      </c>
      <c r="J238" s="708">
        <f t="shared" si="153"/>
        <v>0</v>
      </c>
      <c r="K238" s="568">
        <f ca="1">IF(I238&gt;0,J238*100/I238,0)</f>
        <v>0</v>
      </c>
      <c r="L238" s="574"/>
      <c r="M238" s="566"/>
      <c r="N238" s="566"/>
      <c r="O238" s="566"/>
      <c r="P238" s="566"/>
      <c r="Q238" s="566"/>
      <c r="R238" s="566"/>
      <c r="S238" s="566"/>
      <c r="T238" s="566"/>
      <c r="U238" s="566"/>
    </row>
    <row r="239" spans="1:21" ht="18.75" hidden="1" x14ac:dyDescent="0.25">
      <c r="A239" s="687"/>
      <c r="B239" s="688"/>
      <c r="C239" s="688"/>
      <c r="D239" s="792" t="s">
        <v>43</v>
      </c>
      <c r="E239" s="695"/>
      <c r="F239" s="695"/>
      <c r="G239" s="692"/>
      <c r="H239" s="692"/>
      <c r="I239" s="565"/>
      <c r="J239" s="565"/>
      <c r="K239" s="566"/>
      <c r="L239" s="574"/>
      <c r="M239" s="566"/>
      <c r="N239" s="566"/>
      <c r="O239" s="684"/>
      <c r="P239" s="684"/>
      <c r="Q239" s="566"/>
      <c r="R239" s="566"/>
      <c r="S239" s="566"/>
      <c r="T239" s="684"/>
      <c r="U239" s="684"/>
    </row>
    <row r="240" spans="1:21" ht="18.75" hidden="1" x14ac:dyDescent="0.25">
      <c r="A240" s="687"/>
      <c r="B240" s="688"/>
      <c r="C240" s="688"/>
      <c r="D240" s="688"/>
      <c r="E240" s="694" t="s">
        <v>109</v>
      </c>
      <c r="F240" s="695"/>
      <c r="G240" s="692"/>
      <c r="H240" s="700" t="s">
        <v>35</v>
      </c>
      <c r="I240" s="708">
        <f t="shared" ref="I240:J241" si="154">I251+I262</f>
        <v>0</v>
      </c>
      <c r="J240" s="708">
        <f t="shared" si="154"/>
        <v>0</v>
      </c>
      <c r="K240" s="568">
        <f t="shared" ref="K240:K242" si="155">IF(I240&gt;0,J240*100/I240,0)</f>
        <v>0</v>
      </c>
      <c r="L240" s="574"/>
      <c r="M240" s="566"/>
      <c r="N240" s="566"/>
      <c r="O240" s="566"/>
      <c r="P240" s="566"/>
      <c r="Q240" s="566"/>
      <c r="R240" s="566"/>
      <c r="S240" s="566"/>
      <c r="T240" s="566"/>
      <c r="U240" s="566"/>
    </row>
    <row r="241" spans="1:21" ht="18.75" hidden="1" x14ac:dyDescent="0.25">
      <c r="A241" s="687"/>
      <c r="B241" s="688"/>
      <c r="C241" s="688"/>
      <c r="D241" s="688"/>
      <c r="E241" s="694" t="s">
        <v>110</v>
      </c>
      <c r="F241" s="695"/>
      <c r="G241" s="692"/>
      <c r="H241" s="700" t="s">
        <v>61</v>
      </c>
      <c r="I241" s="708">
        <f t="shared" si="154"/>
        <v>0</v>
      </c>
      <c r="J241" s="708">
        <f t="shared" si="154"/>
        <v>0</v>
      </c>
      <c r="K241" s="568">
        <f t="shared" si="155"/>
        <v>0</v>
      </c>
      <c r="L241" s="574"/>
      <c r="M241" s="566"/>
      <c r="N241" s="566"/>
      <c r="O241" s="566"/>
      <c r="P241" s="566"/>
      <c r="Q241" s="566"/>
      <c r="R241" s="566"/>
      <c r="S241" s="566"/>
      <c r="T241" s="566"/>
      <c r="U241" s="566"/>
    </row>
    <row r="242" spans="1:21" ht="19.5" hidden="1" x14ac:dyDescent="0.3">
      <c r="A242" s="769"/>
      <c r="B242" s="770"/>
      <c r="C242" s="793" t="s">
        <v>111</v>
      </c>
      <c r="D242" s="772"/>
      <c r="E242" s="772"/>
      <c r="F242" s="772"/>
      <c r="G242" s="773"/>
      <c r="H242" s="794" t="s">
        <v>35</v>
      </c>
      <c r="I242" s="795">
        <f t="shared" ref="I242:J242" ca="1" si="156">I249</f>
        <v>0</v>
      </c>
      <c r="J242" s="795">
        <f t="shared" si="156"/>
        <v>0</v>
      </c>
      <c r="K242" s="796">
        <f t="shared" ca="1" si="155"/>
        <v>0</v>
      </c>
      <c r="L242" s="777"/>
      <c r="M242" s="778"/>
      <c r="N242" s="778"/>
      <c r="O242" s="778"/>
      <c r="P242" s="778"/>
      <c r="Q242" s="778"/>
      <c r="R242" s="778"/>
      <c r="S242" s="778"/>
      <c r="T242" s="778"/>
      <c r="U242" s="778"/>
    </row>
    <row r="243" spans="1:21" ht="19.5" hidden="1" x14ac:dyDescent="0.3">
      <c r="A243" s="674"/>
      <c r="B243" s="561"/>
      <c r="C243" s="797" t="s">
        <v>18</v>
      </c>
      <c r="D243" s="798" t="s">
        <v>19</v>
      </c>
      <c r="E243" s="561"/>
      <c r="F243" s="561"/>
      <c r="G243" s="563"/>
      <c r="H243" s="799" t="s">
        <v>14</v>
      </c>
      <c r="I243" s="683"/>
      <c r="J243" s="683"/>
      <c r="K243" s="684"/>
      <c r="L243" s="678">
        <f ca="1">L244+L245+L246+L247</f>
        <v>0</v>
      </c>
      <c r="M243" s="566"/>
      <c r="N243" s="679">
        <f>N244+N245+N246+N247</f>
        <v>0</v>
      </c>
      <c r="O243" s="679">
        <f ca="1">IF(L243&gt;0,N243*100/L243,0)</f>
        <v>0</v>
      </c>
      <c r="P243" s="679">
        <f>IF(M243&gt;0,N243*100/M243,0)</f>
        <v>0</v>
      </c>
      <c r="Q243" s="566"/>
      <c r="R243" s="566"/>
      <c r="S243" s="566"/>
      <c r="T243" s="566"/>
      <c r="U243" s="566"/>
    </row>
    <row r="244" spans="1:21" ht="18.75" hidden="1" x14ac:dyDescent="0.25">
      <c r="A244" s="674"/>
      <c r="B244" s="718"/>
      <c r="C244" s="561"/>
      <c r="D244" s="569" t="s">
        <v>86</v>
      </c>
      <c r="E244" s="561"/>
      <c r="F244" s="561"/>
      <c r="G244" s="563"/>
      <c r="H244" s="685" t="s">
        <v>14</v>
      </c>
      <c r="I244" s="683"/>
      <c r="J244" s="683"/>
      <c r="K244" s="684"/>
      <c r="L244" s="567">
        <f ca="1">IFERROR(__xludf.DUMMYFUNCTION("IMPORTRANGE(""https://docs.google.com/spreadsheets/d/1eHaY18a8A9IcSdp1K8H6x8fbOy06t2VsZHhMHf-1x7Y/edit?usp=sharing"",""แผน!AX14"")"),0)</f>
        <v>0</v>
      </c>
      <c r="M244" s="566"/>
      <c r="N244" s="786">
        <v>0</v>
      </c>
      <c r="O244" s="566"/>
      <c r="P244" s="566"/>
      <c r="Q244" s="566"/>
      <c r="R244" s="566"/>
      <c r="S244" s="566"/>
      <c r="T244" s="566"/>
      <c r="U244" s="566"/>
    </row>
    <row r="245" spans="1:21" ht="18.75" hidden="1" x14ac:dyDescent="0.25">
      <c r="A245" s="764"/>
      <c r="B245" s="718"/>
      <c r="C245" s="718"/>
      <c r="D245" s="569" t="s">
        <v>88</v>
      </c>
      <c r="E245" s="561"/>
      <c r="F245" s="561"/>
      <c r="G245" s="563"/>
      <c r="H245" s="685" t="s">
        <v>14</v>
      </c>
      <c r="I245" s="565"/>
      <c r="J245" s="565"/>
      <c r="K245" s="566"/>
      <c r="L245" s="567">
        <f ca="1">IFERROR(__xludf.DUMMYFUNCTION("IMPORTRANGE(""https://docs.google.com/spreadsheets/d/1eHaY18a8A9IcSdp1K8H6x8fbOy06t2VsZHhMHf-1x7Y/edit?usp=sharing"",""แผน!AY14"")"),0)</f>
        <v>0</v>
      </c>
      <c r="M245" s="566"/>
      <c r="N245" s="786">
        <v>0</v>
      </c>
      <c r="O245" s="566"/>
      <c r="P245" s="566"/>
      <c r="Q245" s="566"/>
      <c r="R245" s="566"/>
      <c r="S245" s="566"/>
      <c r="T245" s="566"/>
      <c r="U245" s="566"/>
    </row>
    <row r="246" spans="1:21" ht="18.75" hidden="1" x14ac:dyDescent="0.25">
      <c r="A246" s="764"/>
      <c r="B246" s="718"/>
      <c r="C246" s="718"/>
      <c r="D246" s="569" t="s">
        <v>106</v>
      </c>
      <c r="E246" s="561"/>
      <c r="F246" s="561"/>
      <c r="G246" s="563"/>
      <c r="H246" s="685" t="s">
        <v>14</v>
      </c>
      <c r="I246" s="565"/>
      <c r="J246" s="565"/>
      <c r="K246" s="566"/>
      <c r="L246" s="567">
        <f ca="1">IFERROR(__xludf.DUMMYFUNCTION("IMPORTRANGE(""https://docs.google.com/spreadsheets/d/1eHaY18a8A9IcSdp1K8H6x8fbOy06t2VsZHhMHf-1x7Y/edit?usp=sharing"",""แผน!AZ14"")"),0)</f>
        <v>0</v>
      </c>
      <c r="M246" s="566"/>
      <c r="N246" s="786">
        <v>0</v>
      </c>
      <c r="O246" s="566"/>
      <c r="P246" s="566"/>
      <c r="Q246" s="566"/>
      <c r="R246" s="566"/>
      <c r="S246" s="566"/>
      <c r="T246" s="566"/>
      <c r="U246" s="566"/>
    </row>
    <row r="247" spans="1:21" ht="18.75" hidden="1" x14ac:dyDescent="0.25">
      <c r="A247" s="764"/>
      <c r="B247" s="718"/>
      <c r="C247" s="718"/>
      <c r="D247" s="569" t="s">
        <v>107</v>
      </c>
      <c r="E247" s="561"/>
      <c r="F247" s="561"/>
      <c r="G247" s="563"/>
      <c r="H247" s="685" t="s">
        <v>14</v>
      </c>
      <c r="I247" s="565"/>
      <c r="J247" s="565"/>
      <c r="K247" s="566"/>
      <c r="L247" s="567">
        <f ca="1">IFERROR(__xludf.DUMMYFUNCTION("IMPORTRANGE(""https://docs.google.com/spreadsheets/d/1eHaY18a8A9IcSdp1K8H6x8fbOy06t2VsZHhMHf-1x7Y/edit?usp=sharing"",""แผน!BA14"")"),0)</f>
        <v>0</v>
      </c>
      <c r="M247" s="566"/>
      <c r="N247" s="786">
        <v>0</v>
      </c>
      <c r="O247" s="566"/>
      <c r="P247" s="566"/>
      <c r="Q247" s="566"/>
      <c r="R247" s="566"/>
      <c r="S247" s="566"/>
      <c r="T247" s="566"/>
      <c r="U247" s="566"/>
    </row>
    <row r="248" spans="1:21" ht="19.5" hidden="1" x14ac:dyDescent="0.3">
      <c r="A248" s="687"/>
      <c r="B248" s="688"/>
      <c r="C248" s="800" t="s">
        <v>18</v>
      </c>
      <c r="D248" s="801" t="s">
        <v>38</v>
      </c>
      <c r="E248" s="690"/>
      <c r="F248" s="690"/>
      <c r="G248" s="691"/>
      <c r="H248" s="692"/>
      <c r="I248" s="683"/>
      <c r="J248" s="565"/>
      <c r="K248" s="566"/>
      <c r="L248" s="574"/>
      <c r="M248" s="566"/>
      <c r="N248" s="566"/>
      <c r="O248" s="684"/>
      <c r="P248" s="684"/>
      <c r="Q248" s="566"/>
      <c r="R248" s="566"/>
      <c r="S248" s="566"/>
      <c r="T248" s="684"/>
      <c r="U248" s="684"/>
    </row>
    <row r="249" spans="1:21" ht="18.75" hidden="1" x14ac:dyDescent="0.25">
      <c r="A249" s="687"/>
      <c r="B249" s="688"/>
      <c r="C249" s="688"/>
      <c r="D249" s="726" t="s">
        <v>108</v>
      </c>
      <c r="E249" s="695"/>
      <c r="F249" s="695"/>
      <c r="G249" s="692"/>
      <c r="H249" s="802" t="s">
        <v>35</v>
      </c>
      <c r="I249" s="735">
        <f ca="1">IFERROR(__xludf.DUMMYFUNCTION("IMPORTRANGE(""https://docs.google.com/spreadsheets/d/1eHaY18a8A9IcSdp1K8H6x8fbOy06t2VsZHhMHf-1x7Y/edit?usp=sharing"",""แผน!BG14"")"),0)</f>
        <v>0</v>
      </c>
      <c r="J249" s="736">
        <v>0</v>
      </c>
      <c r="K249" s="572">
        <f ca="1">IF(I249&gt;0,J249*100/I249,0)</f>
        <v>0</v>
      </c>
      <c r="L249" s="574"/>
      <c r="M249" s="566"/>
      <c r="N249" s="566"/>
      <c r="O249" s="566"/>
      <c r="P249" s="566"/>
      <c r="Q249" s="566"/>
      <c r="R249" s="566"/>
      <c r="S249" s="566"/>
      <c r="T249" s="566"/>
      <c r="U249" s="566"/>
    </row>
    <row r="250" spans="1:21" ht="18.75" hidden="1" x14ac:dyDescent="0.25">
      <c r="A250" s="687"/>
      <c r="B250" s="688"/>
      <c r="C250" s="688"/>
      <c r="D250" s="803" t="s">
        <v>43</v>
      </c>
      <c r="E250" s="695"/>
      <c r="F250" s="695"/>
      <c r="G250" s="692"/>
      <c r="H250" s="692"/>
      <c r="I250" s="565"/>
      <c r="J250" s="565"/>
      <c r="K250" s="566"/>
      <c r="L250" s="574"/>
      <c r="M250" s="566"/>
      <c r="N250" s="566"/>
      <c r="O250" s="684"/>
      <c r="P250" s="684"/>
      <c r="Q250" s="566"/>
      <c r="R250" s="566"/>
      <c r="S250" s="566"/>
      <c r="T250" s="684"/>
      <c r="U250" s="684"/>
    </row>
    <row r="251" spans="1:21" ht="18.75" hidden="1" x14ac:dyDescent="0.25">
      <c r="A251" s="687"/>
      <c r="B251" s="688"/>
      <c r="C251" s="688"/>
      <c r="D251" s="688"/>
      <c r="E251" s="804" t="s">
        <v>109</v>
      </c>
      <c r="F251" s="695"/>
      <c r="G251" s="692"/>
      <c r="H251" s="802" t="s">
        <v>35</v>
      </c>
      <c r="I251" s="735">
        <v>0</v>
      </c>
      <c r="J251" s="736">
        <v>0</v>
      </c>
      <c r="K251" s="572">
        <f t="shared" ref="K251:K253" si="157">IF(I251&gt;0,J251*100/I251,0)</f>
        <v>0</v>
      </c>
      <c r="L251" s="574"/>
      <c r="M251" s="566"/>
      <c r="N251" s="566"/>
      <c r="O251" s="566"/>
      <c r="P251" s="566"/>
      <c r="Q251" s="566"/>
      <c r="R251" s="566"/>
      <c r="S251" s="566"/>
      <c r="T251" s="566"/>
      <c r="U251" s="566"/>
    </row>
    <row r="252" spans="1:21" ht="18.75" hidden="1" x14ac:dyDescent="0.25">
      <c r="A252" s="687"/>
      <c r="B252" s="688"/>
      <c r="C252" s="688"/>
      <c r="D252" s="688"/>
      <c r="E252" s="804" t="s">
        <v>110</v>
      </c>
      <c r="F252" s="695"/>
      <c r="G252" s="692"/>
      <c r="H252" s="802" t="s">
        <v>61</v>
      </c>
      <c r="I252" s="735">
        <v>0</v>
      </c>
      <c r="J252" s="736">
        <v>0</v>
      </c>
      <c r="K252" s="572">
        <f t="shared" si="157"/>
        <v>0</v>
      </c>
      <c r="L252" s="574"/>
      <c r="M252" s="566"/>
      <c r="N252" s="566"/>
      <c r="O252" s="566"/>
      <c r="P252" s="566"/>
      <c r="Q252" s="566"/>
      <c r="R252" s="566"/>
      <c r="S252" s="566"/>
      <c r="T252" s="566"/>
      <c r="U252" s="566"/>
    </row>
    <row r="253" spans="1:21" ht="19.5" hidden="1" x14ac:dyDescent="0.3">
      <c r="A253" s="769"/>
      <c r="B253" s="770"/>
      <c r="C253" s="793" t="s">
        <v>112</v>
      </c>
      <c r="D253" s="772"/>
      <c r="E253" s="772"/>
      <c r="F253" s="772"/>
      <c r="G253" s="773"/>
      <c r="H253" s="794" t="s">
        <v>35</v>
      </c>
      <c r="I253" s="795">
        <f t="shared" ref="I253:J253" ca="1" si="158">I260</f>
        <v>0</v>
      </c>
      <c r="J253" s="795">
        <f t="shared" si="158"/>
        <v>0</v>
      </c>
      <c r="K253" s="796">
        <f t="shared" ca="1" si="157"/>
        <v>0</v>
      </c>
      <c r="L253" s="777"/>
      <c r="M253" s="778"/>
      <c r="N253" s="778"/>
      <c r="O253" s="778"/>
      <c r="P253" s="778"/>
      <c r="Q253" s="778"/>
      <c r="R253" s="778"/>
      <c r="S253" s="778"/>
      <c r="T253" s="778"/>
      <c r="U253" s="778"/>
    </row>
    <row r="254" spans="1:21" ht="19.5" hidden="1" x14ac:dyDescent="0.3">
      <c r="A254" s="674"/>
      <c r="B254" s="561"/>
      <c r="C254" s="797" t="s">
        <v>18</v>
      </c>
      <c r="D254" s="805" t="s">
        <v>19</v>
      </c>
      <c r="E254" s="561"/>
      <c r="F254" s="561"/>
      <c r="G254" s="563"/>
      <c r="H254" s="799" t="s">
        <v>14</v>
      </c>
      <c r="I254" s="683"/>
      <c r="J254" s="683"/>
      <c r="K254" s="684"/>
      <c r="L254" s="678">
        <f ca="1">L255+L256+L257+L258</f>
        <v>0</v>
      </c>
      <c r="M254" s="566"/>
      <c r="N254" s="679">
        <f>N255+N256+N257+N258</f>
        <v>0</v>
      </c>
      <c r="O254" s="679">
        <f ca="1">IF(L254&gt;0,N254*100/L254,0)</f>
        <v>0</v>
      </c>
      <c r="P254" s="679">
        <f>IF(M254&gt;0,N254*100/M254,0)</f>
        <v>0</v>
      </c>
      <c r="Q254" s="566"/>
      <c r="R254" s="566"/>
      <c r="S254" s="566"/>
      <c r="T254" s="566"/>
      <c r="U254" s="566"/>
    </row>
    <row r="255" spans="1:21" ht="18.75" hidden="1" x14ac:dyDescent="0.25">
      <c r="A255" s="674"/>
      <c r="B255" s="718"/>
      <c r="C255" s="561"/>
      <c r="D255" s="569" t="s">
        <v>86</v>
      </c>
      <c r="E255" s="561"/>
      <c r="F255" s="561"/>
      <c r="G255" s="563"/>
      <c r="H255" s="685" t="s">
        <v>14</v>
      </c>
      <c r="I255" s="683"/>
      <c r="J255" s="683"/>
      <c r="K255" s="684"/>
      <c r="L255" s="567">
        <f ca="1">IFERROR(__xludf.DUMMYFUNCTION("IMPORTRANGE(""https://docs.google.com/spreadsheets/d/1eHaY18a8A9IcSdp1K8H6x8fbOy06t2VsZHhMHf-1x7Y/edit?usp=sharing"",""แผน!BB14"")"),0)</f>
        <v>0</v>
      </c>
      <c r="M255" s="566"/>
      <c r="N255" s="786">
        <v>0</v>
      </c>
      <c r="O255" s="566"/>
      <c r="P255" s="566"/>
      <c r="Q255" s="566"/>
      <c r="R255" s="566"/>
      <c r="S255" s="566"/>
      <c r="T255" s="566"/>
      <c r="U255" s="566"/>
    </row>
    <row r="256" spans="1:21" ht="18.75" hidden="1" x14ac:dyDescent="0.25">
      <c r="A256" s="764"/>
      <c r="B256" s="718"/>
      <c r="C256" s="718"/>
      <c r="D256" s="569" t="s">
        <v>88</v>
      </c>
      <c r="E256" s="561"/>
      <c r="F256" s="561"/>
      <c r="G256" s="563"/>
      <c r="H256" s="685" t="s">
        <v>14</v>
      </c>
      <c r="I256" s="565"/>
      <c r="J256" s="565"/>
      <c r="K256" s="566"/>
      <c r="L256" s="567">
        <f ca="1">IFERROR(__xludf.DUMMYFUNCTION("IMPORTRANGE(""https://docs.google.com/spreadsheets/d/1eHaY18a8A9IcSdp1K8H6x8fbOy06t2VsZHhMHf-1x7Y/edit?usp=sharing"",""แผน!BC14"")"),0)</f>
        <v>0</v>
      </c>
      <c r="M256" s="566"/>
      <c r="N256" s="786">
        <v>0</v>
      </c>
      <c r="O256" s="566"/>
      <c r="P256" s="566"/>
      <c r="Q256" s="566"/>
      <c r="R256" s="566"/>
      <c r="S256" s="566"/>
      <c r="T256" s="566"/>
      <c r="U256" s="566"/>
    </row>
    <row r="257" spans="1:21" ht="18.75" hidden="1" x14ac:dyDescent="0.25">
      <c r="A257" s="764"/>
      <c r="B257" s="718"/>
      <c r="C257" s="718"/>
      <c r="D257" s="569" t="s">
        <v>106</v>
      </c>
      <c r="E257" s="561"/>
      <c r="F257" s="561"/>
      <c r="G257" s="563"/>
      <c r="H257" s="685" t="s">
        <v>14</v>
      </c>
      <c r="I257" s="565"/>
      <c r="J257" s="565"/>
      <c r="K257" s="566"/>
      <c r="L257" s="567">
        <f ca="1">IFERROR(__xludf.DUMMYFUNCTION("IMPORTRANGE(""https://docs.google.com/spreadsheets/d/1eHaY18a8A9IcSdp1K8H6x8fbOy06t2VsZHhMHf-1x7Y/edit?usp=sharing"",""แผน!BD14"")"),0)</f>
        <v>0</v>
      </c>
      <c r="M257" s="566"/>
      <c r="N257" s="786">
        <v>0</v>
      </c>
      <c r="O257" s="566"/>
      <c r="P257" s="566"/>
      <c r="Q257" s="566"/>
      <c r="R257" s="566"/>
      <c r="S257" s="566"/>
      <c r="T257" s="566"/>
      <c r="U257" s="566"/>
    </row>
    <row r="258" spans="1:21" ht="18.75" hidden="1" x14ac:dyDescent="0.25">
      <c r="A258" s="764"/>
      <c r="B258" s="718"/>
      <c r="C258" s="718"/>
      <c r="D258" s="569" t="s">
        <v>107</v>
      </c>
      <c r="E258" s="561"/>
      <c r="F258" s="561"/>
      <c r="G258" s="563"/>
      <c r="H258" s="685" t="s">
        <v>14</v>
      </c>
      <c r="I258" s="565"/>
      <c r="J258" s="565"/>
      <c r="K258" s="566"/>
      <c r="L258" s="567">
        <f ca="1">IFERROR(__xludf.DUMMYFUNCTION("IMPORTRANGE(""https://docs.google.com/spreadsheets/d/1eHaY18a8A9IcSdp1K8H6x8fbOy06t2VsZHhMHf-1x7Y/edit?usp=sharing"",""แผน!BE14"")"),0)</f>
        <v>0</v>
      </c>
      <c r="M258" s="566"/>
      <c r="N258" s="786">
        <v>0</v>
      </c>
      <c r="O258" s="566"/>
      <c r="P258" s="566"/>
      <c r="Q258" s="566"/>
      <c r="R258" s="566"/>
      <c r="S258" s="566"/>
      <c r="T258" s="566"/>
      <c r="U258" s="566"/>
    </row>
    <row r="259" spans="1:21" ht="19.5" hidden="1" x14ac:dyDescent="0.3">
      <c r="A259" s="687"/>
      <c r="B259" s="688"/>
      <c r="C259" s="800" t="s">
        <v>18</v>
      </c>
      <c r="D259" s="801" t="s">
        <v>38</v>
      </c>
      <c r="E259" s="690"/>
      <c r="F259" s="690"/>
      <c r="G259" s="691"/>
      <c r="H259" s="692"/>
      <c r="I259" s="683"/>
      <c r="J259" s="565"/>
      <c r="K259" s="566"/>
      <c r="L259" s="574"/>
      <c r="M259" s="566"/>
      <c r="N259" s="566"/>
      <c r="O259" s="684"/>
      <c r="P259" s="684"/>
      <c r="Q259" s="566"/>
      <c r="R259" s="566"/>
      <c r="S259" s="566"/>
      <c r="T259" s="684"/>
      <c r="U259" s="684"/>
    </row>
    <row r="260" spans="1:21" ht="18.75" hidden="1" x14ac:dyDescent="0.25">
      <c r="A260" s="687"/>
      <c r="B260" s="688"/>
      <c r="C260" s="688"/>
      <c r="D260" s="726" t="s">
        <v>108</v>
      </c>
      <c r="E260" s="695"/>
      <c r="F260" s="695"/>
      <c r="G260" s="692"/>
      <c r="H260" s="802" t="s">
        <v>35</v>
      </c>
      <c r="I260" s="735">
        <f ca="1">IFERROR(__xludf.DUMMYFUNCTION("IMPORTRANGE(""https://docs.google.com/spreadsheets/d/1eHaY18a8A9IcSdp1K8H6x8fbOy06t2VsZHhMHf-1x7Y/edit?usp=sharing"",""แผน!BH14"")"),0)</f>
        <v>0</v>
      </c>
      <c r="J260" s="736">
        <v>0</v>
      </c>
      <c r="K260" s="572">
        <f ca="1">IF(I260&gt;0,J260*100/I260,0)</f>
        <v>0</v>
      </c>
      <c r="L260" s="574"/>
      <c r="M260" s="566"/>
      <c r="N260" s="566"/>
      <c r="O260" s="566"/>
      <c r="P260" s="566"/>
      <c r="Q260" s="566"/>
      <c r="R260" s="566"/>
      <c r="S260" s="566"/>
      <c r="T260" s="566"/>
      <c r="U260" s="566"/>
    </row>
    <row r="261" spans="1:21" ht="18.75" hidden="1" x14ac:dyDescent="0.25">
      <c r="A261" s="687"/>
      <c r="B261" s="688"/>
      <c r="C261" s="688"/>
      <c r="D261" s="803" t="s">
        <v>43</v>
      </c>
      <c r="E261" s="695"/>
      <c r="F261" s="695"/>
      <c r="G261" s="692"/>
      <c r="H261" s="692"/>
      <c r="I261" s="565"/>
      <c r="J261" s="565"/>
      <c r="K261" s="566"/>
      <c r="L261" s="574"/>
      <c r="M261" s="566"/>
      <c r="N261" s="566"/>
      <c r="O261" s="684"/>
      <c r="P261" s="684"/>
      <c r="Q261" s="566"/>
      <c r="R261" s="566"/>
      <c r="S261" s="566"/>
      <c r="T261" s="684"/>
      <c r="U261" s="684"/>
    </row>
    <row r="262" spans="1:21" ht="18.75" hidden="1" x14ac:dyDescent="0.25">
      <c r="A262" s="687"/>
      <c r="B262" s="688"/>
      <c r="C262" s="688"/>
      <c r="D262" s="688"/>
      <c r="E262" s="804" t="s">
        <v>109</v>
      </c>
      <c r="F262" s="695"/>
      <c r="G262" s="692"/>
      <c r="H262" s="802" t="s">
        <v>35</v>
      </c>
      <c r="I262" s="565"/>
      <c r="J262" s="736">
        <v>0</v>
      </c>
      <c r="K262" s="572">
        <f t="shared" ref="K262:K263" si="159">IF(I262&gt;0,J262*100/I262,0)</f>
        <v>0</v>
      </c>
      <c r="L262" s="574"/>
      <c r="M262" s="566"/>
      <c r="N262" s="566"/>
      <c r="O262" s="566"/>
      <c r="P262" s="566"/>
      <c r="Q262" s="566"/>
      <c r="R262" s="566"/>
      <c r="S262" s="566"/>
      <c r="T262" s="566"/>
      <c r="U262" s="566"/>
    </row>
    <row r="263" spans="1:21" ht="18.75" hidden="1" x14ac:dyDescent="0.25">
      <c r="A263" s="687"/>
      <c r="B263" s="688"/>
      <c r="C263" s="688"/>
      <c r="D263" s="688"/>
      <c r="E263" s="804" t="s">
        <v>110</v>
      </c>
      <c r="F263" s="695"/>
      <c r="G263" s="692"/>
      <c r="H263" s="802" t="s">
        <v>61</v>
      </c>
      <c r="I263" s="565"/>
      <c r="J263" s="736">
        <v>0</v>
      </c>
      <c r="K263" s="572">
        <f t="shared" si="159"/>
        <v>0</v>
      </c>
      <c r="L263" s="574"/>
      <c r="M263" s="566"/>
      <c r="N263" s="566"/>
      <c r="O263" s="566"/>
      <c r="P263" s="566"/>
      <c r="Q263" s="566"/>
      <c r="R263" s="566"/>
      <c r="S263" s="566"/>
      <c r="T263" s="566"/>
      <c r="U263" s="566"/>
    </row>
    <row r="264" spans="1:21" ht="19.5" x14ac:dyDescent="0.3">
      <c r="A264" s="806" t="s">
        <v>113</v>
      </c>
      <c r="B264" s="807"/>
      <c r="C264" s="807"/>
      <c r="D264" s="808"/>
      <c r="E264" s="808"/>
      <c r="F264" s="808"/>
      <c r="G264" s="809"/>
      <c r="H264" s="809"/>
      <c r="I264" s="810"/>
      <c r="J264" s="810"/>
      <c r="K264" s="811"/>
      <c r="L264" s="812"/>
      <c r="M264" s="811"/>
      <c r="N264" s="811"/>
      <c r="O264" s="811"/>
      <c r="P264" s="811"/>
      <c r="Q264" s="811"/>
      <c r="R264" s="811"/>
      <c r="S264" s="811"/>
      <c r="T264" s="811"/>
      <c r="U264" s="811"/>
    </row>
    <row r="265" spans="1:21" ht="19.5" x14ac:dyDescent="0.3">
      <c r="A265" s="813"/>
      <c r="B265" s="814" t="s">
        <v>114</v>
      </c>
      <c r="C265" s="815"/>
      <c r="D265" s="816"/>
      <c r="E265" s="816"/>
      <c r="F265" s="816"/>
      <c r="G265" s="817"/>
      <c r="H265" s="818" t="s">
        <v>35</v>
      </c>
      <c r="I265" s="819">
        <f t="shared" ref="I265:J265" ca="1" si="160">I276</f>
        <v>22</v>
      </c>
      <c r="J265" s="819">
        <f t="shared" si="160"/>
        <v>0</v>
      </c>
      <c r="K265" s="820">
        <f ca="1">IF(I265&gt;0,J265*100/I265,0)</f>
        <v>0</v>
      </c>
      <c r="L265" s="821"/>
      <c r="M265" s="822"/>
      <c r="N265" s="822"/>
      <c r="O265" s="822"/>
      <c r="P265" s="822"/>
      <c r="Q265" s="822"/>
      <c r="R265" s="822"/>
      <c r="S265" s="822"/>
      <c r="T265" s="822"/>
      <c r="U265" s="822"/>
    </row>
    <row r="266" spans="1:21" ht="19.5" x14ac:dyDescent="0.3">
      <c r="A266" s="823"/>
      <c r="B266" s="824"/>
      <c r="C266" s="825" t="s">
        <v>18</v>
      </c>
      <c r="D266" s="826" t="s">
        <v>19</v>
      </c>
      <c r="E266" s="824"/>
      <c r="F266" s="824"/>
      <c r="G266" s="827"/>
      <c r="H266" s="828" t="s">
        <v>14</v>
      </c>
      <c r="I266" s="829"/>
      <c r="J266" s="829"/>
      <c r="K266" s="830"/>
      <c r="L266" s="831">
        <f t="shared" ref="L266:N266" ca="1" si="161">L267+L268</f>
        <v>5000</v>
      </c>
      <c r="M266" s="832">
        <f t="shared" ca="1" si="161"/>
        <v>5000</v>
      </c>
      <c r="N266" s="832">
        <f t="shared" ca="1" si="161"/>
        <v>0</v>
      </c>
      <c r="O266" s="832">
        <f t="shared" ref="O266:O274" ca="1" si="162">IF(L266&gt;0,N266*100/L266,0)</f>
        <v>0</v>
      </c>
      <c r="P266" s="832">
        <f t="shared" ref="P266:P274" ca="1" si="163">IF(M266&gt;0,N266*100/M266,0)</f>
        <v>0</v>
      </c>
      <c r="Q266" s="832">
        <f t="shared" ref="Q266:S266" ca="1" si="164">Q267+Q268</f>
        <v>50660</v>
      </c>
      <c r="R266" s="832">
        <f t="shared" ca="1" si="164"/>
        <v>50660</v>
      </c>
      <c r="S266" s="832">
        <f t="shared" ca="1" si="164"/>
        <v>0</v>
      </c>
      <c r="T266" s="832">
        <f t="shared" ref="T266:T274" ca="1" si="165">IF(Q266&gt;0,S266*100/Q266,0)</f>
        <v>0</v>
      </c>
      <c r="U266" s="832">
        <f t="shared" ref="U266:U274" ca="1" si="166">IF(R266&gt;0,S266*100/R266,0)</f>
        <v>0</v>
      </c>
    </row>
    <row r="267" spans="1:21" ht="18.75" x14ac:dyDescent="0.25">
      <c r="A267" s="833"/>
      <c r="B267" s="834"/>
      <c r="C267" s="834"/>
      <c r="D267" s="834"/>
      <c r="E267" s="569" t="s">
        <v>20</v>
      </c>
      <c r="F267" s="834"/>
      <c r="G267" s="835"/>
      <c r="H267" s="680" t="s">
        <v>14</v>
      </c>
      <c r="I267" s="836"/>
      <c r="J267" s="836"/>
      <c r="K267" s="837"/>
      <c r="L267" s="571">
        <f t="shared" ref="L267:N268" si="167">L270+L273</f>
        <v>0</v>
      </c>
      <c r="M267" s="572">
        <f t="shared" si="167"/>
        <v>0</v>
      </c>
      <c r="N267" s="572">
        <f t="shared" si="167"/>
        <v>0</v>
      </c>
      <c r="O267" s="572">
        <f t="shared" si="162"/>
        <v>0</v>
      </c>
      <c r="P267" s="572">
        <f t="shared" si="163"/>
        <v>0</v>
      </c>
      <c r="Q267" s="572">
        <f t="shared" ref="Q267:S268" si="168">Q270+Q273</f>
        <v>0</v>
      </c>
      <c r="R267" s="572">
        <f t="shared" si="168"/>
        <v>0</v>
      </c>
      <c r="S267" s="572">
        <f t="shared" si="168"/>
        <v>0</v>
      </c>
      <c r="T267" s="572">
        <f t="shared" si="165"/>
        <v>0</v>
      </c>
      <c r="U267" s="572">
        <f t="shared" si="166"/>
        <v>0</v>
      </c>
    </row>
    <row r="268" spans="1:21" ht="18.75" x14ac:dyDescent="0.25">
      <c r="A268" s="823"/>
      <c r="B268" s="824"/>
      <c r="C268" s="824"/>
      <c r="D268" s="824"/>
      <c r="E268" s="838" t="s">
        <v>21</v>
      </c>
      <c r="F268" s="824"/>
      <c r="G268" s="827"/>
      <c r="H268" s="839" t="s">
        <v>14</v>
      </c>
      <c r="I268" s="829"/>
      <c r="J268" s="829"/>
      <c r="K268" s="830"/>
      <c r="L268" s="840">
        <f t="shared" ca="1" si="167"/>
        <v>5000</v>
      </c>
      <c r="M268" s="841">
        <f t="shared" ca="1" si="167"/>
        <v>5000</v>
      </c>
      <c r="N268" s="841">
        <f t="shared" ca="1" si="167"/>
        <v>0</v>
      </c>
      <c r="O268" s="841">
        <f t="shared" ca="1" si="162"/>
        <v>0</v>
      </c>
      <c r="P268" s="841">
        <f t="shared" ca="1" si="163"/>
        <v>0</v>
      </c>
      <c r="Q268" s="841">
        <f t="shared" ca="1" si="168"/>
        <v>50660</v>
      </c>
      <c r="R268" s="841">
        <f t="shared" ca="1" si="168"/>
        <v>50660</v>
      </c>
      <c r="S268" s="841">
        <f t="shared" ca="1" si="168"/>
        <v>0</v>
      </c>
      <c r="T268" s="841">
        <f t="shared" ca="1" si="165"/>
        <v>0</v>
      </c>
      <c r="U268" s="841">
        <f t="shared" ca="1" si="166"/>
        <v>0</v>
      </c>
    </row>
    <row r="269" spans="1:21" ht="18.75" x14ac:dyDescent="0.25">
      <c r="A269" s="823"/>
      <c r="B269" s="824"/>
      <c r="C269" s="824"/>
      <c r="D269" s="842" t="s">
        <v>22</v>
      </c>
      <c r="E269" s="824"/>
      <c r="F269" s="824"/>
      <c r="G269" s="827"/>
      <c r="H269" s="843" t="s">
        <v>14</v>
      </c>
      <c r="I269" s="844"/>
      <c r="J269" s="844"/>
      <c r="K269" s="845"/>
      <c r="L269" s="840">
        <f t="shared" ref="L269:N269" ca="1" si="169">L270+L271</f>
        <v>5000</v>
      </c>
      <c r="M269" s="841">
        <f t="shared" ca="1" si="169"/>
        <v>5000</v>
      </c>
      <c r="N269" s="841">
        <f t="shared" ca="1" si="169"/>
        <v>0</v>
      </c>
      <c r="O269" s="841">
        <f t="shared" ca="1" si="162"/>
        <v>0</v>
      </c>
      <c r="P269" s="841">
        <f t="shared" ca="1" si="163"/>
        <v>0</v>
      </c>
      <c r="Q269" s="841">
        <f t="shared" ref="Q269:S269" ca="1" si="170">Q270+Q271</f>
        <v>50660</v>
      </c>
      <c r="R269" s="841">
        <f t="shared" ca="1" si="170"/>
        <v>50660</v>
      </c>
      <c r="S269" s="841">
        <f t="shared" ca="1" si="170"/>
        <v>0</v>
      </c>
      <c r="T269" s="841">
        <f t="shared" ca="1" si="165"/>
        <v>0</v>
      </c>
      <c r="U269" s="841">
        <f t="shared" ca="1" si="166"/>
        <v>0</v>
      </c>
    </row>
    <row r="270" spans="1:21" ht="18.75" x14ac:dyDescent="0.25">
      <c r="A270" s="833"/>
      <c r="B270" s="834"/>
      <c r="C270" s="834"/>
      <c r="D270" s="834"/>
      <c r="E270" s="569" t="s">
        <v>36</v>
      </c>
      <c r="F270" s="834"/>
      <c r="G270" s="835"/>
      <c r="H270" s="685" t="s">
        <v>14</v>
      </c>
      <c r="I270" s="846"/>
      <c r="J270" s="846"/>
      <c r="K270" s="847"/>
      <c r="L270" s="571">
        <v>0</v>
      </c>
      <c r="M270" s="572">
        <v>0</v>
      </c>
      <c r="N270" s="572">
        <v>0</v>
      </c>
      <c r="O270" s="572">
        <f t="shared" si="162"/>
        <v>0</v>
      </c>
      <c r="P270" s="572">
        <f t="shared" si="163"/>
        <v>0</v>
      </c>
      <c r="Q270" s="572">
        <v>0</v>
      </c>
      <c r="R270" s="572">
        <v>0</v>
      </c>
      <c r="S270" s="572">
        <v>0</v>
      </c>
      <c r="T270" s="572">
        <f t="shared" si="165"/>
        <v>0</v>
      </c>
      <c r="U270" s="572">
        <f t="shared" si="166"/>
        <v>0</v>
      </c>
    </row>
    <row r="271" spans="1:21" ht="18.75" x14ac:dyDescent="0.25">
      <c r="A271" s="823"/>
      <c r="B271" s="824"/>
      <c r="C271" s="824"/>
      <c r="D271" s="824"/>
      <c r="E271" s="838" t="s">
        <v>37</v>
      </c>
      <c r="F271" s="824"/>
      <c r="G271" s="827"/>
      <c r="H271" s="843" t="s">
        <v>14</v>
      </c>
      <c r="I271" s="844"/>
      <c r="J271" s="844"/>
      <c r="K271" s="845"/>
      <c r="L271" s="840">
        <f ca="1">IFERROR(__xludf.DUMMYFUNCTION("IMPORTRANGE(""https://docs.google.com/spreadsheets/d/1-uDff_7J0KD5mKrp0Vvzr7lt3OU09vwQwhkpOPPYv2Y/edit?usp=sharing"",""งบพรบ!DE14"")"),5000)</f>
        <v>5000</v>
      </c>
      <c r="M271" s="841">
        <f ca="1">IFERROR(__xludf.DUMMYFUNCTION("IMPORTRANGE(""https://docs.google.com/spreadsheets/d/1-uDff_7J0KD5mKrp0Vvzr7lt3OU09vwQwhkpOPPYv2Y/edit?usp=sharing"",""งบพรบ!DJ14"")"),5000)</f>
        <v>5000</v>
      </c>
      <c r="N271" s="841">
        <f ca="1">IFERROR(__xludf.DUMMYFUNCTION("IMPORTRANGE(""https://docs.google.com/spreadsheets/d/1-uDff_7J0KD5mKrp0Vvzr7lt3OU09vwQwhkpOPPYv2Y/edit?usp=sharing"",""งบพรบ!DL14"")"),0)</f>
        <v>0</v>
      </c>
      <c r="O271" s="841">
        <f t="shared" ca="1" si="162"/>
        <v>0</v>
      </c>
      <c r="P271" s="841">
        <f t="shared" ca="1" si="163"/>
        <v>0</v>
      </c>
      <c r="Q271" s="841">
        <f ca="1">IFERROR(__xludf.DUMMYFUNCTION("IMPORTRANGE(""https://docs.google.com/spreadsheets/d/1ItG2mGa2ceCfYo0BwxsXqNm01IGEUdYcSSLTEv9YCik/edit?usp=sharing"",""เบิกจ่ายกองทุน!AP14"")"),50660)</f>
        <v>50660</v>
      </c>
      <c r="R271" s="841">
        <f ca="1">IFERROR(__xludf.DUMMYFUNCTION("IMPORTRANGE(""https://docs.google.com/spreadsheets/d/1ItG2mGa2ceCfYo0BwxsXqNm01IGEUdYcSSLTEv9YCik/edit?usp=sharing"",""เบิกจ่ายกองทุน!AQ14"")"),50660)</f>
        <v>50660</v>
      </c>
      <c r="S271" s="841">
        <f ca="1">IFERROR(__xludf.DUMMYFUNCTION("IMPORTRANGE(""https://docs.google.com/spreadsheets/d/1ItG2mGa2ceCfYo0BwxsXqNm01IGEUdYcSSLTEv9YCik/edit?usp=sharing"",""เบิกจ่ายกองทุน!AR14"")"),0)</f>
        <v>0</v>
      </c>
      <c r="T271" s="841">
        <f t="shared" ca="1" si="165"/>
        <v>0</v>
      </c>
      <c r="U271" s="841">
        <f t="shared" ca="1" si="166"/>
        <v>0</v>
      </c>
    </row>
    <row r="272" spans="1:21" ht="18.75" x14ac:dyDescent="0.25">
      <c r="A272" s="823"/>
      <c r="B272" s="824"/>
      <c r="C272" s="824"/>
      <c r="D272" s="842" t="s">
        <v>23</v>
      </c>
      <c r="E272" s="824"/>
      <c r="F272" s="824"/>
      <c r="G272" s="827"/>
      <c r="H272" s="848" t="s">
        <v>14</v>
      </c>
      <c r="I272" s="844"/>
      <c r="J272" s="844"/>
      <c r="K272" s="845"/>
      <c r="L272" s="840">
        <f t="shared" ref="L272:N272" ca="1" si="171">L273+L274</f>
        <v>0</v>
      </c>
      <c r="M272" s="841">
        <f t="shared" ca="1" si="171"/>
        <v>0</v>
      </c>
      <c r="N272" s="841">
        <f t="shared" ca="1" si="171"/>
        <v>0</v>
      </c>
      <c r="O272" s="841">
        <f t="shared" ca="1" si="162"/>
        <v>0</v>
      </c>
      <c r="P272" s="841">
        <f t="shared" ca="1" si="163"/>
        <v>0</v>
      </c>
      <c r="Q272" s="841">
        <f t="shared" ref="Q272:S272" si="172">Q273+Q274</f>
        <v>0</v>
      </c>
      <c r="R272" s="841">
        <f t="shared" si="172"/>
        <v>0</v>
      </c>
      <c r="S272" s="841">
        <f t="shared" si="172"/>
        <v>0</v>
      </c>
      <c r="T272" s="841">
        <f t="shared" si="165"/>
        <v>0</v>
      </c>
      <c r="U272" s="841">
        <f t="shared" si="166"/>
        <v>0</v>
      </c>
    </row>
    <row r="273" spans="1:21" ht="18.75" x14ac:dyDescent="0.25">
      <c r="A273" s="833"/>
      <c r="B273" s="834"/>
      <c r="C273" s="834"/>
      <c r="D273" s="834"/>
      <c r="E273" s="569" t="s">
        <v>20</v>
      </c>
      <c r="F273" s="834"/>
      <c r="G273" s="835"/>
      <c r="H273" s="685" t="s">
        <v>14</v>
      </c>
      <c r="I273" s="846"/>
      <c r="J273" s="846"/>
      <c r="K273" s="847"/>
      <c r="L273" s="571">
        <v>0</v>
      </c>
      <c r="M273" s="572">
        <v>0</v>
      </c>
      <c r="N273" s="572">
        <v>0</v>
      </c>
      <c r="O273" s="572">
        <f t="shared" si="162"/>
        <v>0</v>
      </c>
      <c r="P273" s="572">
        <f t="shared" si="163"/>
        <v>0</v>
      </c>
      <c r="Q273" s="572">
        <v>0</v>
      </c>
      <c r="R273" s="572">
        <v>0</v>
      </c>
      <c r="S273" s="572">
        <v>0</v>
      </c>
      <c r="T273" s="572">
        <f t="shared" si="165"/>
        <v>0</v>
      </c>
      <c r="U273" s="572">
        <f t="shared" si="166"/>
        <v>0</v>
      </c>
    </row>
    <row r="274" spans="1:21" ht="18.75" x14ac:dyDescent="0.25">
      <c r="A274" s="823"/>
      <c r="B274" s="824"/>
      <c r="C274" s="824"/>
      <c r="D274" s="824"/>
      <c r="E274" s="838" t="s">
        <v>21</v>
      </c>
      <c r="F274" s="824"/>
      <c r="G274" s="827"/>
      <c r="H274" s="848" t="s">
        <v>14</v>
      </c>
      <c r="I274" s="844"/>
      <c r="J274" s="844"/>
      <c r="K274" s="845"/>
      <c r="L274" s="840">
        <f ca="1">IFERROR(__xludf.DUMMYFUNCTION("IMPORTRANGE(""https://docs.google.com/spreadsheets/d/1-uDff_7J0KD5mKrp0Vvzr7lt3OU09vwQwhkpOPPYv2Y/edit?usp=sharing"",""งบพรบ!DH14"")"),0)</f>
        <v>0</v>
      </c>
      <c r="M274" s="841">
        <f ca="1">IFERROR(__xludf.DUMMYFUNCTION("IMPORTRANGE(""https://docs.google.com/spreadsheets/d/1-uDff_7J0KD5mKrp0Vvzr7lt3OU09vwQwhkpOPPYv2Y/edit?usp=sharing"",""งบพรบ!DK14"")"),0)</f>
        <v>0</v>
      </c>
      <c r="N274" s="841">
        <f ca="1">IFERROR(__xludf.DUMMYFUNCTION("IMPORTRANGE(""https://docs.google.com/spreadsheets/d/1-uDff_7J0KD5mKrp0Vvzr7lt3OU09vwQwhkpOPPYv2Y/edit?usp=sharing"",""งบพรบ!DM14"")"),0)</f>
        <v>0</v>
      </c>
      <c r="O274" s="841">
        <f t="shared" ca="1" si="162"/>
        <v>0</v>
      </c>
      <c r="P274" s="841">
        <f t="shared" ca="1" si="163"/>
        <v>0</v>
      </c>
      <c r="Q274" s="841">
        <v>0</v>
      </c>
      <c r="R274" s="841">
        <v>0</v>
      </c>
      <c r="S274" s="841">
        <v>0</v>
      </c>
      <c r="T274" s="841">
        <f t="shared" si="165"/>
        <v>0</v>
      </c>
      <c r="U274" s="841">
        <f t="shared" si="166"/>
        <v>0</v>
      </c>
    </row>
    <row r="275" spans="1:21" ht="19.5" x14ac:dyDescent="0.3">
      <c r="A275" s="849"/>
      <c r="B275" s="850"/>
      <c r="C275" s="838" t="s">
        <v>18</v>
      </c>
      <c r="D275" s="851" t="s">
        <v>38</v>
      </c>
      <c r="E275" s="816"/>
      <c r="F275" s="816"/>
      <c r="G275" s="817"/>
      <c r="H275" s="852"/>
      <c r="I275" s="844"/>
      <c r="J275" s="844"/>
      <c r="K275" s="845"/>
      <c r="L275" s="853"/>
      <c r="M275" s="845"/>
      <c r="N275" s="845"/>
      <c r="O275" s="845"/>
      <c r="P275" s="845"/>
      <c r="Q275" s="845"/>
      <c r="R275" s="845"/>
      <c r="S275" s="845"/>
      <c r="T275" s="845"/>
      <c r="U275" s="845"/>
    </row>
    <row r="276" spans="1:21" ht="18.75" x14ac:dyDescent="0.25">
      <c r="A276" s="854"/>
      <c r="B276" s="855"/>
      <c r="C276" s="855"/>
      <c r="D276" s="856" t="s">
        <v>115</v>
      </c>
      <c r="E276" s="857"/>
      <c r="F276" s="857"/>
      <c r="G276" s="858"/>
      <c r="H276" s="859" t="s">
        <v>35</v>
      </c>
      <c r="I276" s="860">
        <f ca="1">IFERROR(__xludf.DUMMYFUNCTION("IMPORTRANGE(""https://docs.google.com/spreadsheets/d/1eHaY18a8A9IcSdp1K8H6x8fbOy06t2VsZHhMHf-1x7Y/edit?usp=sharing"",""แผน!EC14"")"),22)</f>
        <v>22</v>
      </c>
      <c r="J276" s="861">
        <v>0</v>
      </c>
      <c r="K276" s="862">
        <f ca="1">IF(I276&gt;0,J276*100/I276,0)</f>
        <v>0</v>
      </c>
      <c r="L276" s="574"/>
      <c r="M276" s="566"/>
      <c r="N276" s="566"/>
      <c r="O276" s="566"/>
      <c r="P276" s="566"/>
      <c r="Q276" s="566"/>
      <c r="R276" s="566"/>
      <c r="S276" s="566"/>
      <c r="T276" s="566"/>
      <c r="U276" s="566"/>
    </row>
    <row r="277" spans="1:21" ht="18.75" x14ac:dyDescent="0.25">
      <c r="A277" s="863"/>
      <c r="B277" s="864"/>
      <c r="C277" s="864"/>
      <c r="D277" s="865" t="s">
        <v>116</v>
      </c>
      <c r="E277" s="512"/>
      <c r="F277" s="512"/>
      <c r="G277" s="866"/>
      <c r="H277" s="867" t="s">
        <v>35</v>
      </c>
      <c r="I277" s="740">
        <v>0</v>
      </c>
      <c r="J277" s="740">
        <v>0</v>
      </c>
      <c r="K277" s="868">
        <v>0</v>
      </c>
      <c r="L277" s="869"/>
      <c r="M277" s="870"/>
      <c r="N277" s="870"/>
      <c r="O277" s="870"/>
      <c r="P277" s="870"/>
      <c r="Q277" s="870"/>
      <c r="R277" s="870"/>
      <c r="S277" s="870"/>
      <c r="T277" s="870"/>
      <c r="U277" s="870"/>
    </row>
    <row r="278" spans="1:21" ht="19.5" x14ac:dyDescent="0.3">
      <c r="A278" s="871" t="s">
        <v>117</v>
      </c>
      <c r="B278" s="872"/>
      <c r="C278" s="872"/>
      <c r="D278" s="872"/>
      <c r="E278" s="873"/>
      <c r="F278" s="873"/>
      <c r="G278" s="873"/>
      <c r="H278" s="873"/>
      <c r="I278" s="874"/>
      <c r="J278" s="874"/>
      <c r="K278" s="875"/>
      <c r="L278" s="875"/>
      <c r="M278" s="875"/>
      <c r="N278" s="875"/>
      <c r="O278" s="875"/>
      <c r="P278" s="876"/>
      <c r="Q278" s="875"/>
      <c r="R278" s="875"/>
      <c r="S278" s="875"/>
      <c r="T278" s="875"/>
      <c r="U278" s="876"/>
    </row>
    <row r="279" spans="1:21" ht="19.5" x14ac:dyDescent="0.3">
      <c r="A279" s="877" t="s">
        <v>118</v>
      </c>
      <c r="B279" s="878"/>
      <c r="C279" s="879"/>
      <c r="D279" s="878"/>
      <c r="E279" s="878"/>
      <c r="F279" s="878"/>
      <c r="G279" s="878"/>
      <c r="H279" s="878"/>
      <c r="I279" s="880"/>
      <c r="J279" s="881"/>
      <c r="K279" s="882"/>
      <c r="L279" s="883"/>
      <c r="M279" s="882"/>
      <c r="N279" s="882"/>
      <c r="O279" s="882"/>
      <c r="P279" s="882"/>
      <c r="Q279" s="882"/>
      <c r="R279" s="882"/>
      <c r="S279" s="882"/>
      <c r="T279" s="882"/>
      <c r="U279" s="882"/>
    </row>
    <row r="280" spans="1:21" ht="19.5" x14ac:dyDescent="0.3">
      <c r="A280" s="884"/>
      <c r="B280" s="885" t="s">
        <v>119</v>
      </c>
      <c r="C280" s="886"/>
      <c r="D280" s="887"/>
      <c r="E280" s="886"/>
      <c r="F280" s="886"/>
      <c r="G280" s="888"/>
      <c r="H280" s="889" t="s">
        <v>35</v>
      </c>
      <c r="I280" s="890">
        <f t="shared" ref="I280:J280" ca="1" si="173">I293</f>
        <v>50</v>
      </c>
      <c r="J280" s="890">
        <f t="shared" si="173"/>
        <v>50</v>
      </c>
      <c r="K280" s="891">
        <f t="shared" ref="K280:K281" ca="1" si="174">IF(I280&gt;0,J280*100/I280,0)</f>
        <v>100</v>
      </c>
      <c r="L280" s="892"/>
      <c r="M280" s="893"/>
      <c r="N280" s="893"/>
      <c r="O280" s="893"/>
      <c r="P280" s="893"/>
      <c r="Q280" s="893"/>
      <c r="R280" s="893"/>
      <c r="S280" s="893"/>
      <c r="T280" s="893"/>
      <c r="U280" s="893"/>
    </row>
    <row r="281" spans="1:21" ht="19.5" x14ac:dyDescent="0.3">
      <c r="A281" s="884"/>
      <c r="B281" s="886"/>
      <c r="C281" s="886"/>
      <c r="D281" s="887"/>
      <c r="E281" s="886"/>
      <c r="F281" s="886"/>
      <c r="G281" s="888"/>
      <c r="H281" s="889" t="s">
        <v>46</v>
      </c>
      <c r="I281" s="890">
        <f t="shared" ref="I281:J281" ca="1" si="175">I292</f>
        <v>500</v>
      </c>
      <c r="J281" s="890">
        <f t="shared" si="175"/>
        <v>500</v>
      </c>
      <c r="K281" s="891">
        <f t="shared" ca="1" si="174"/>
        <v>100</v>
      </c>
      <c r="L281" s="892"/>
      <c r="M281" s="893"/>
      <c r="N281" s="893"/>
      <c r="O281" s="893"/>
      <c r="P281" s="893"/>
      <c r="Q281" s="893"/>
      <c r="R281" s="893"/>
      <c r="S281" s="893"/>
      <c r="T281" s="893"/>
      <c r="U281" s="893"/>
    </row>
    <row r="282" spans="1:21" ht="19.5" x14ac:dyDescent="0.3">
      <c r="A282" s="674"/>
      <c r="B282" s="561"/>
      <c r="C282" s="675" t="s">
        <v>18</v>
      </c>
      <c r="D282" s="676" t="s">
        <v>19</v>
      </c>
      <c r="E282" s="561"/>
      <c r="F282" s="561"/>
      <c r="G282" s="563"/>
      <c r="H282" s="677" t="s">
        <v>14</v>
      </c>
      <c r="I282" s="565"/>
      <c r="J282" s="565"/>
      <c r="K282" s="566"/>
      <c r="L282" s="678">
        <f t="shared" ref="L282:N282" ca="1" si="176">L283+L284</f>
        <v>243520</v>
      </c>
      <c r="M282" s="679">
        <f t="shared" ca="1" si="176"/>
        <v>243520</v>
      </c>
      <c r="N282" s="679">
        <f t="shared" ca="1" si="176"/>
        <v>144048</v>
      </c>
      <c r="O282" s="679">
        <f t="shared" ref="O282:O290" ca="1" si="177">IF(L282&gt;0,N282*100/L282,0)</f>
        <v>59.152431011826543</v>
      </c>
      <c r="P282" s="679">
        <f t="shared" ref="P282:P290" ca="1" si="178">IF(M282&gt;0,N282*100/M282,0)</f>
        <v>59.152431011826543</v>
      </c>
      <c r="Q282" s="679">
        <f t="shared" ref="Q282:S282" si="179">Q283+Q284</f>
        <v>0</v>
      </c>
      <c r="R282" s="679">
        <f t="shared" si="179"/>
        <v>0</v>
      </c>
      <c r="S282" s="679">
        <f t="shared" si="179"/>
        <v>0</v>
      </c>
      <c r="T282" s="679">
        <f t="shared" ref="T282:T290" si="180">IF(Q282&gt;0,S282*100/Q282,0)</f>
        <v>0</v>
      </c>
      <c r="U282" s="679">
        <f t="shared" ref="U282:U290" si="181">IF(R282&gt;0,S282*100/R282,0)</f>
        <v>0</v>
      </c>
    </row>
    <row r="283" spans="1:21" ht="18.75" x14ac:dyDescent="0.25">
      <c r="A283" s="674"/>
      <c r="B283" s="561"/>
      <c r="C283" s="561"/>
      <c r="D283" s="561"/>
      <c r="E283" s="569" t="s">
        <v>20</v>
      </c>
      <c r="F283" s="561"/>
      <c r="G283" s="563"/>
      <c r="H283" s="680" t="s">
        <v>14</v>
      </c>
      <c r="I283" s="565"/>
      <c r="J283" s="565"/>
      <c r="K283" s="566"/>
      <c r="L283" s="571">
        <f t="shared" ref="L283:N284" si="182">L286+L289</f>
        <v>0</v>
      </c>
      <c r="M283" s="572">
        <f t="shared" si="182"/>
        <v>0</v>
      </c>
      <c r="N283" s="572">
        <f t="shared" si="182"/>
        <v>0</v>
      </c>
      <c r="O283" s="572">
        <f t="shared" si="177"/>
        <v>0</v>
      </c>
      <c r="P283" s="572">
        <f t="shared" si="178"/>
        <v>0</v>
      </c>
      <c r="Q283" s="572">
        <f t="shared" ref="Q283:S284" si="183">Q286+Q289</f>
        <v>0</v>
      </c>
      <c r="R283" s="572">
        <f t="shared" si="183"/>
        <v>0</v>
      </c>
      <c r="S283" s="572">
        <f t="shared" si="183"/>
        <v>0</v>
      </c>
      <c r="T283" s="572">
        <f t="shared" si="180"/>
        <v>0</v>
      </c>
      <c r="U283" s="572">
        <f t="shared" si="181"/>
        <v>0</v>
      </c>
    </row>
    <row r="284" spans="1:21" ht="18.75" x14ac:dyDescent="0.25">
      <c r="A284" s="674"/>
      <c r="B284" s="561"/>
      <c r="C284" s="561"/>
      <c r="D284" s="561"/>
      <c r="E284" s="573" t="s">
        <v>21</v>
      </c>
      <c r="F284" s="561"/>
      <c r="G284" s="563"/>
      <c r="H284" s="681" t="s">
        <v>14</v>
      </c>
      <c r="I284" s="565"/>
      <c r="J284" s="565"/>
      <c r="K284" s="566"/>
      <c r="L284" s="567">
        <f t="shared" ca="1" si="182"/>
        <v>243520</v>
      </c>
      <c r="M284" s="568">
        <f t="shared" ca="1" si="182"/>
        <v>243520</v>
      </c>
      <c r="N284" s="568">
        <f t="shared" ca="1" si="182"/>
        <v>144048</v>
      </c>
      <c r="O284" s="568">
        <f t="shared" ca="1" si="177"/>
        <v>59.152431011826543</v>
      </c>
      <c r="P284" s="568">
        <f t="shared" ca="1" si="178"/>
        <v>59.152431011826543</v>
      </c>
      <c r="Q284" s="568">
        <f t="shared" si="183"/>
        <v>0</v>
      </c>
      <c r="R284" s="568">
        <f t="shared" si="183"/>
        <v>0</v>
      </c>
      <c r="S284" s="568">
        <f t="shared" si="183"/>
        <v>0</v>
      </c>
      <c r="T284" s="568">
        <f t="shared" si="180"/>
        <v>0</v>
      </c>
      <c r="U284" s="568">
        <f t="shared" si="181"/>
        <v>0</v>
      </c>
    </row>
    <row r="285" spans="1:21" ht="18.75" x14ac:dyDescent="0.25">
      <c r="A285" s="674"/>
      <c r="B285" s="561"/>
      <c r="C285" s="561"/>
      <c r="D285" s="562" t="s">
        <v>22</v>
      </c>
      <c r="E285" s="561"/>
      <c r="F285" s="561"/>
      <c r="G285" s="563"/>
      <c r="H285" s="682" t="s">
        <v>14</v>
      </c>
      <c r="I285" s="683"/>
      <c r="J285" s="683"/>
      <c r="K285" s="684"/>
      <c r="L285" s="567">
        <f t="shared" ref="L285:N285" ca="1" si="184">L286+L287</f>
        <v>243520</v>
      </c>
      <c r="M285" s="568">
        <f t="shared" ca="1" si="184"/>
        <v>243520</v>
      </c>
      <c r="N285" s="568">
        <f t="shared" ca="1" si="184"/>
        <v>144048</v>
      </c>
      <c r="O285" s="568">
        <f t="shared" ca="1" si="177"/>
        <v>59.152431011826543</v>
      </c>
      <c r="P285" s="568">
        <f t="shared" ca="1" si="178"/>
        <v>59.152431011826543</v>
      </c>
      <c r="Q285" s="568">
        <f t="shared" ref="Q285:S285" si="185">Q286+Q287</f>
        <v>0</v>
      </c>
      <c r="R285" s="568">
        <f t="shared" si="185"/>
        <v>0</v>
      </c>
      <c r="S285" s="568">
        <f t="shared" si="185"/>
        <v>0</v>
      </c>
      <c r="T285" s="568">
        <f t="shared" si="180"/>
        <v>0</v>
      </c>
      <c r="U285" s="568">
        <f t="shared" si="181"/>
        <v>0</v>
      </c>
    </row>
    <row r="286" spans="1:21" ht="18.75" x14ac:dyDescent="0.25">
      <c r="A286" s="674"/>
      <c r="B286" s="561"/>
      <c r="C286" s="561"/>
      <c r="D286" s="561"/>
      <c r="E286" s="569" t="s">
        <v>36</v>
      </c>
      <c r="F286" s="561"/>
      <c r="G286" s="563"/>
      <c r="H286" s="685" t="s">
        <v>14</v>
      </c>
      <c r="I286" s="683"/>
      <c r="J286" s="683"/>
      <c r="K286" s="684"/>
      <c r="L286" s="571">
        <v>0</v>
      </c>
      <c r="M286" s="572">
        <v>0</v>
      </c>
      <c r="N286" s="572">
        <v>0</v>
      </c>
      <c r="O286" s="572">
        <f t="shared" si="177"/>
        <v>0</v>
      </c>
      <c r="P286" s="572">
        <f t="shared" si="178"/>
        <v>0</v>
      </c>
      <c r="Q286" s="572">
        <v>0</v>
      </c>
      <c r="R286" s="572">
        <v>0</v>
      </c>
      <c r="S286" s="572">
        <v>0</v>
      </c>
      <c r="T286" s="572">
        <f t="shared" si="180"/>
        <v>0</v>
      </c>
      <c r="U286" s="572">
        <f t="shared" si="181"/>
        <v>0</v>
      </c>
    </row>
    <row r="287" spans="1:21" ht="18.75" x14ac:dyDescent="0.25">
      <c r="A287" s="674"/>
      <c r="B287" s="561"/>
      <c r="C287" s="561"/>
      <c r="D287" s="561"/>
      <c r="E287" s="573" t="s">
        <v>37</v>
      </c>
      <c r="F287" s="561"/>
      <c r="G287" s="563"/>
      <c r="H287" s="682" t="s">
        <v>14</v>
      </c>
      <c r="I287" s="683"/>
      <c r="J287" s="683"/>
      <c r="K287" s="684"/>
      <c r="L287" s="567">
        <f ca="1">IFERROR(__xludf.DUMMYFUNCTION("IMPORTRANGE(""https://docs.google.com/spreadsheets/d/1-uDff_7J0KD5mKrp0Vvzr7lt3OU09vwQwhkpOPPYv2Y/edit?usp=sharing"",""งบพรบ!DO14"")"),243520)</f>
        <v>243520</v>
      </c>
      <c r="M287" s="568">
        <f ca="1">IFERROR(__xludf.DUMMYFUNCTION("IMPORTRANGE(""https://docs.google.com/spreadsheets/d/1-uDff_7J0KD5mKrp0Vvzr7lt3OU09vwQwhkpOPPYv2Y/edit?usp=sharing"",""งบพรบ!DT14"")"),243520)</f>
        <v>243520</v>
      </c>
      <c r="N287" s="568">
        <f ca="1">IFERROR(__xludf.DUMMYFUNCTION("IMPORTRANGE(""https://docs.google.com/spreadsheets/d/1-uDff_7J0KD5mKrp0Vvzr7lt3OU09vwQwhkpOPPYv2Y/edit?usp=sharing"",""งบพรบ!DV14"")"),144048)</f>
        <v>144048</v>
      </c>
      <c r="O287" s="568">
        <f t="shared" ca="1" si="177"/>
        <v>59.152431011826543</v>
      </c>
      <c r="P287" s="568">
        <f t="shared" ca="1" si="178"/>
        <v>59.152431011826543</v>
      </c>
      <c r="Q287" s="568">
        <v>0</v>
      </c>
      <c r="R287" s="568">
        <v>0</v>
      </c>
      <c r="S287" s="568">
        <v>0</v>
      </c>
      <c r="T287" s="572">
        <f t="shared" si="180"/>
        <v>0</v>
      </c>
      <c r="U287" s="572">
        <f t="shared" si="181"/>
        <v>0</v>
      </c>
    </row>
    <row r="288" spans="1:21" ht="18.75" x14ac:dyDescent="0.25">
      <c r="A288" s="674"/>
      <c r="B288" s="561"/>
      <c r="C288" s="561"/>
      <c r="D288" s="562" t="s">
        <v>23</v>
      </c>
      <c r="E288" s="561"/>
      <c r="F288" s="561"/>
      <c r="G288" s="563"/>
      <c r="H288" s="686" t="s">
        <v>14</v>
      </c>
      <c r="I288" s="683"/>
      <c r="J288" s="683"/>
      <c r="K288" s="684"/>
      <c r="L288" s="567">
        <f t="shared" ref="L288:N288" ca="1" si="186">L289+L290</f>
        <v>0</v>
      </c>
      <c r="M288" s="568">
        <f t="shared" ca="1" si="186"/>
        <v>0</v>
      </c>
      <c r="N288" s="568">
        <f t="shared" ca="1" si="186"/>
        <v>0</v>
      </c>
      <c r="O288" s="568">
        <f t="shared" ca="1" si="177"/>
        <v>0</v>
      </c>
      <c r="P288" s="568">
        <f t="shared" ca="1" si="178"/>
        <v>0</v>
      </c>
      <c r="Q288" s="568">
        <f t="shared" ref="Q288:S288" si="187">Q289+Q290</f>
        <v>0</v>
      </c>
      <c r="R288" s="568">
        <f t="shared" si="187"/>
        <v>0</v>
      </c>
      <c r="S288" s="568">
        <f t="shared" si="187"/>
        <v>0</v>
      </c>
      <c r="T288" s="568">
        <f t="shared" si="180"/>
        <v>0</v>
      </c>
      <c r="U288" s="568">
        <f t="shared" si="181"/>
        <v>0</v>
      </c>
    </row>
    <row r="289" spans="1:21" ht="18.75" x14ac:dyDescent="0.25">
      <c r="A289" s="674"/>
      <c r="B289" s="561"/>
      <c r="C289" s="561"/>
      <c r="D289" s="561"/>
      <c r="E289" s="569" t="s">
        <v>20</v>
      </c>
      <c r="F289" s="561"/>
      <c r="G289" s="563"/>
      <c r="H289" s="685" t="s">
        <v>14</v>
      </c>
      <c r="I289" s="683"/>
      <c r="J289" s="683"/>
      <c r="K289" s="684"/>
      <c r="L289" s="571">
        <v>0</v>
      </c>
      <c r="M289" s="572">
        <v>0</v>
      </c>
      <c r="N289" s="572">
        <v>0</v>
      </c>
      <c r="O289" s="572">
        <f t="shared" si="177"/>
        <v>0</v>
      </c>
      <c r="P289" s="572">
        <f t="shared" si="178"/>
        <v>0</v>
      </c>
      <c r="Q289" s="572">
        <v>0</v>
      </c>
      <c r="R289" s="572">
        <v>0</v>
      </c>
      <c r="S289" s="572">
        <v>0</v>
      </c>
      <c r="T289" s="572">
        <f t="shared" si="180"/>
        <v>0</v>
      </c>
      <c r="U289" s="572">
        <f t="shared" si="181"/>
        <v>0</v>
      </c>
    </row>
    <row r="290" spans="1:21" ht="18.75" x14ac:dyDescent="0.25">
      <c r="A290" s="674"/>
      <c r="B290" s="561"/>
      <c r="C290" s="561"/>
      <c r="D290" s="561"/>
      <c r="E290" s="573" t="s">
        <v>21</v>
      </c>
      <c r="F290" s="561"/>
      <c r="G290" s="563"/>
      <c r="H290" s="686" t="s">
        <v>14</v>
      </c>
      <c r="I290" s="683"/>
      <c r="J290" s="683"/>
      <c r="K290" s="684"/>
      <c r="L290" s="567">
        <f ca="1">IFERROR(__xludf.DUMMYFUNCTION("IMPORTRANGE(""https://docs.google.com/spreadsheets/d/1-uDff_7J0KD5mKrp0Vvzr7lt3OU09vwQwhkpOPPYv2Y/edit?usp=sharing"",""งบพรบ!DR14"")"),0)</f>
        <v>0</v>
      </c>
      <c r="M290" s="568">
        <f ca="1">IFERROR(__xludf.DUMMYFUNCTION("IMPORTRANGE(""https://docs.google.com/spreadsheets/d/1-uDff_7J0KD5mKrp0Vvzr7lt3OU09vwQwhkpOPPYv2Y/edit?usp=sharing"",""งบพรบ!DU14"")"),0)</f>
        <v>0</v>
      </c>
      <c r="N290" s="568">
        <f ca="1">IFERROR(__xludf.DUMMYFUNCTION("IMPORTRANGE(""https://docs.google.com/spreadsheets/d/1-uDff_7J0KD5mKrp0Vvzr7lt3OU09vwQwhkpOPPYv2Y/edit?usp=sharing"",""งบพรบ!DW14"")"),0)</f>
        <v>0</v>
      </c>
      <c r="O290" s="568">
        <f t="shared" ca="1" si="177"/>
        <v>0</v>
      </c>
      <c r="P290" s="568">
        <f t="shared" ca="1" si="178"/>
        <v>0</v>
      </c>
      <c r="Q290" s="568">
        <v>0</v>
      </c>
      <c r="R290" s="568">
        <v>0</v>
      </c>
      <c r="S290" s="568">
        <v>0</v>
      </c>
      <c r="T290" s="568">
        <f t="shared" si="180"/>
        <v>0</v>
      </c>
      <c r="U290" s="568">
        <f t="shared" si="181"/>
        <v>0</v>
      </c>
    </row>
    <row r="291" spans="1:21" ht="19.5" x14ac:dyDescent="0.3">
      <c r="A291" s="687"/>
      <c r="B291" s="688"/>
      <c r="C291" s="675" t="s">
        <v>18</v>
      </c>
      <c r="D291" s="689" t="s">
        <v>38</v>
      </c>
      <c r="E291" s="690"/>
      <c r="F291" s="690"/>
      <c r="G291" s="691"/>
      <c r="H291" s="692"/>
      <c r="I291" s="683"/>
      <c r="J291" s="683"/>
      <c r="K291" s="684"/>
      <c r="L291" s="693"/>
      <c r="M291" s="684"/>
      <c r="N291" s="684"/>
      <c r="O291" s="684"/>
      <c r="P291" s="684"/>
      <c r="Q291" s="684"/>
      <c r="R291" s="684"/>
      <c r="S291" s="684"/>
      <c r="T291" s="684"/>
      <c r="U291" s="684"/>
    </row>
    <row r="292" spans="1:21" ht="18.75" x14ac:dyDescent="0.25">
      <c r="A292" s="687"/>
      <c r="B292" s="688"/>
      <c r="C292" s="688"/>
      <c r="D292" s="699" t="s">
        <v>120</v>
      </c>
      <c r="E292" s="688"/>
      <c r="F292" s="695"/>
      <c r="G292" s="692"/>
      <c r="H292" s="704" t="s">
        <v>46</v>
      </c>
      <c r="I292" s="708">
        <f ca="1">IFERROR(__xludf.DUMMYFUNCTION("IMPORTRANGE(""https://docs.google.com/spreadsheets/d/1eHaY18a8A9IcSdp1K8H6x8fbOy06t2VsZHhMHf-1x7Y/edit?usp=sharing"",""แผน!EE14"")"),500)</f>
        <v>500</v>
      </c>
      <c r="J292" s="702">
        <v>500</v>
      </c>
      <c r="K292" s="703">
        <f t="shared" ref="K292:K293" ca="1" si="188">IF(I292&gt;0,J292*100/I292,0)</f>
        <v>100</v>
      </c>
      <c r="L292" s="693"/>
      <c r="M292" s="684"/>
      <c r="N292" s="684"/>
      <c r="O292" s="684"/>
      <c r="P292" s="684"/>
      <c r="Q292" s="684"/>
      <c r="R292" s="684"/>
      <c r="S292" s="684"/>
      <c r="T292" s="684"/>
      <c r="U292" s="684"/>
    </row>
    <row r="293" spans="1:21" ht="19.5" x14ac:dyDescent="0.3">
      <c r="A293" s="687"/>
      <c r="B293" s="688"/>
      <c r="C293" s="688"/>
      <c r="D293" s="699" t="s">
        <v>121</v>
      </c>
      <c r="E293" s="688"/>
      <c r="F293" s="695"/>
      <c r="G293" s="692"/>
      <c r="H293" s="696" t="s">
        <v>35</v>
      </c>
      <c r="I293" s="697">
        <f ca="1">IFERROR(__xludf.DUMMYFUNCTION("IMPORTRANGE(""https://docs.google.com/spreadsheets/d/1eHaY18a8A9IcSdp1K8H6x8fbOy06t2VsZHhMHf-1x7Y/edit?usp=sharing"",""แผน!ED14"")"),50)</f>
        <v>50</v>
      </c>
      <c r="J293" s="697">
        <f>J296</f>
        <v>50</v>
      </c>
      <c r="K293" s="698">
        <f t="shared" ca="1" si="188"/>
        <v>100</v>
      </c>
      <c r="L293" s="693"/>
      <c r="M293" s="684"/>
      <c r="N293" s="684"/>
      <c r="O293" s="684"/>
      <c r="P293" s="684"/>
      <c r="Q293" s="684"/>
      <c r="R293" s="684"/>
      <c r="S293" s="684"/>
      <c r="T293" s="684"/>
      <c r="U293" s="684"/>
    </row>
    <row r="294" spans="1:21" ht="19.5" x14ac:dyDescent="0.3">
      <c r="A294" s="687"/>
      <c r="B294" s="688"/>
      <c r="C294" s="688"/>
      <c r="D294" s="695"/>
      <c r="E294" s="707" t="s">
        <v>303</v>
      </c>
      <c r="F294" s="695"/>
      <c r="G294" s="692"/>
      <c r="H294" s="692"/>
      <c r="I294" s="683"/>
      <c r="J294" s="565"/>
      <c r="K294" s="684"/>
      <c r="L294" s="693"/>
      <c r="M294" s="684"/>
      <c r="N294" s="684"/>
      <c r="O294" s="684"/>
      <c r="P294" s="684"/>
      <c r="Q294" s="684"/>
      <c r="R294" s="684"/>
      <c r="S294" s="684"/>
      <c r="T294" s="684"/>
      <c r="U294" s="684"/>
    </row>
    <row r="295" spans="1:21" ht="19.5" x14ac:dyDescent="0.3">
      <c r="A295" s="687"/>
      <c r="B295" s="688"/>
      <c r="C295" s="688"/>
      <c r="D295" s="695"/>
      <c r="E295" s="699" t="s">
        <v>304</v>
      </c>
      <c r="F295" s="695"/>
      <c r="G295" s="692"/>
      <c r="H295" s="700" t="s">
        <v>35</v>
      </c>
      <c r="I295" s="701">
        <f ca="1">IFERROR(__xludf.DUMMYFUNCTION("IMPORTRANGE(""https://docs.google.com/spreadsheets/d/1eHaY18a8A9IcSdp1K8H6x8fbOy06t2VsZHhMHf-1x7Y/edit?usp=sharing"",""แผน!ED14"")"),50)</f>
        <v>50</v>
      </c>
      <c r="J295" s="702">
        <v>50</v>
      </c>
      <c r="K295" s="703">
        <f t="shared" ref="K295:K296" ca="1" si="189">IF(I295&gt;0,J295*100/I295,0)</f>
        <v>100</v>
      </c>
      <c r="L295" s="693"/>
      <c r="M295" s="684"/>
      <c r="N295" s="684"/>
      <c r="O295" s="684"/>
      <c r="P295" s="684"/>
      <c r="Q295" s="684"/>
      <c r="R295" s="684"/>
      <c r="S295" s="684"/>
      <c r="T295" s="684"/>
      <c r="U295" s="684"/>
    </row>
    <row r="296" spans="1:21" ht="19.5" x14ac:dyDescent="0.3">
      <c r="A296" s="687"/>
      <c r="B296" s="688"/>
      <c r="C296" s="688"/>
      <c r="D296" s="695"/>
      <c r="E296" s="699" t="s">
        <v>305</v>
      </c>
      <c r="F296" s="695"/>
      <c r="G296" s="692"/>
      <c r="H296" s="700" t="s">
        <v>35</v>
      </c>
      <c r="I296" s="701">
        <f ca="1">IFERROR(__xludf.DUMMYFUNCTION("IMPORTRANGE(""https://docs.google.com/spreadsheets/d/1eHaY18a8A9IcSdp1K8H6x8fbOy06t2VsZHhMHf-1x7Y/edit?usp=sharing"",""แผน!ED14"")"),50)</f>
        <v>50</v>
      </c>
      <c r="J296" s="702">
        <v>50</v>
      </c>
      <c r="K296" s="703">
        <f t="shared" ca="1" si="189"/>
        <v>100</v>
      </c>
      <c r="L296" s="693"/>
      <c r="M296" s="684"/>
      <c r="N296" s="684"/>
      <c r="O296" s="684"/>
      <c r="P296" s="684"/>
      <c r="Q296" s="684"/>
      <c r="R296" s="684"/>
      <c r="S296" s="684"/>
      <c r="T296" s="684"/>
      <c r="U296" s="684"/>
    </row>
    <row r="297" spans="1:21" ht="12.75" hidden="1" x14ac:dyDescent="0.2">
      <c r="A297" s="705"/>
      <c r="B297" s="706"/>
      <c r="C297" s="706"/>
      <c r="D297" s="531"/>
      <c r="E297" s="531"/>
      <c r="F297" s="531"/>
      <c r="G297" s="532"/>
      <c r="H297" s="532"/>
      <c r="I297" s="533"/>
      <c r="J297" s="533"/>
      <c r="K297" s="534"/>
      <c r="L297" s="535"/>
      <c r="M297" s="534"/>
      <c r="N297" s="534"/>
      <c r="O297" s="534"/>
      <c r="P297" s="534"/>
      <c r="Q297" s="534"/>
      <c r="R297" s="534"/>
      <c r="S297" s="534"/>
      <c r="T297" s="534"/>
      <c r="U297" s="534"/>
    </row>
    <row r="298" spans="1:21" ht="12.75" hidden="1" x14ac:dyDescent="0.2">
      <c r="A298" s="705"/>
      <c r="B298" s="706"/>
      <c r="C298" s="706"/>
      <c r="D298" s="531"/>
      <c r="E298" s="531"/>
      <c r="F298" s="531"/>
      <c r="G298" s="532"/>
      <c r="H298" s="532"/>
      <c r="I298" s="533"/>
      <c r="J298" s="533"/>
      <c r="K298" s="534"/>
      <c r="L298" s="535"/>
      <c r="M298" s="534"/>
      <c r="N298" s="534"/>
      <c r="O298" s="534"/>
      <c r="P298" s="534"/>
      <c r="Q298" s="534"/>
      <c r="R298" s="534"/>
      <c r="S298" s="534"/>
      <c r="T298" s="534"/>
      <c r="U298" s="534"/>
    </row>
    <row r="299" spans="1:21" ht="12.75" hidden="1" x14ac:dyDescent="0.2">
      <c r="A299" s="894"/>
      <c r="B299" s="895"/>
      <c r="C299" s="895"/>
      <c r="D299" s="537"/>
      <c r="E299" s="537"/>
      <c r="F299" s="537"/>
      <c r="G299" s="526"/>
      <c r="H299" s="526"/>
      <c r="I299" s="527"/>
      <c r="J299" s="527"/>
      <c r="K299" s="528"/>
      <c r="L299" s="529"/>
      <c r="M299" s="528"/>
      <c r="N299" s="528"/>
      <c r="O299" s="528"/>
      <c r="P299" s="528"/>
      <c r="Q299" s="528"/>
      <c r="R299" s="528"/>
      <c r="S299" s="528"/>
      <c r="T299" s="528"/>
      <c r="U299" s="528"/>
    </row>
    <row r="300" spans="1:21" ht="19.5" x14ac:dyDescent="0.3">
      <c r="A300" s="896" t="s">
        <v>125</v>
      </c>
      <c r="B300" s="897"/>
      <c r="C300" s="897"/>
      <c r="D300" s="897"/>
      <c r="E300" s="898"/>
      <c r="F300" s="898"/>
      <c r="G300" s="898"/>
      <c r="H300" s="898"/>
      <c r="I300" s="899"/>
      <c r="J300" s="899"/>
      <c r="K300" s="900"/>
      <c r="L300" s="900"/>
      <c r="M300" s="900"/>
      <c r="N300" s="900"/>
      <c r="O300" s="900"/>
      <c r="P300" s="901"/>
      <c r="Q300" s="900"/>
      <c r="R300" s="900"/>
      <c r="S300" s="900"/>
      <c r="T300" s="900"/>
      <c r="U300" s="901"/>
    </row>
    <row r="301" spans="1:21" ht="19.5" x14ac:dyDescent="0.3">
      <c r="A301" s="902" t="s">
        <v>126</v>
      </c>
      <c r="B301" s="903"/>
      <c r="C301" s="903"/>
      <c r="D301" s="904"/>
      <c r="E301" s="904"/>
      <c r="F301" s="904"/>
      <c r="G301" s="905"/>
      <c r="H301" s="905"/>
      <c r="I301" s="906"/>
      <c r="J301" s="906"/>
      <c r="K301" s="907"/>
      <c r="L301" s="908"/>
      <c r="M301" s="907"/>
      <c r="N301" s="907"/>
      <c r="O301" s="907"/>
      <c r="P301" s="907"/>
      <c r="Q301" s="907"/>
      <c r="R301" s="907"/>
      <c r="S301" s="907"/>
      <c r="T301" s="907"/>
      <c r="U301" s="907"/>
    </row>
    <row r="302" spans="1:21" ht="19.5" x14ac:dyDescent="0.3">
      <c r="A302" s="909"/>
      <c r="B302" s="910" t="s">
        <v>127</v>
      </c>
      <c r="C302" s="911"/>
      <c r="D302" s="911"/>
      <c r="E302" s="911"/>
      <c r="F302" s="911"/>
      <c r="G302" s="912"/>
      <c r="H302" s="913" t="s">
        <v>35</v>
      </c>
      <c r="I302" s="914">
        <f t="shared" ref="I302:J302" ca="1" si="190">I314</f>
        <v>20</v>
      </c>
      <c r="J302" s="914">
        <f t="shared" si="190"/>
        <v>20</v>
      </c>
      <c r="K302" s="915">
        <f ca="1">IF(I302&gt;0,J302*100/I302,0)</f>
        <v>100</v>
      </c>
      <c r="L302" s="916"/>
      <c r="M302" s="917"/>
      <c r="N302" s="917"/>
      <c r="O302" s="917"/>
      <c r="P302" s="917"/>
      <c r="Q302" s="917"/>
      <c r="R302" s="917"/>
      <c r="S302" s="917"/>
      <c r="T302" s="917"/>
      <c r="U302" s="917"/>
    </row>
    <row r="303" spans="1:21" ht="19.5" x14ac:dyDescent="0.3">
      <c r="A303" s="674"/>
      <c r="B303" s="561"/>
      <c r="C303" s="675" t="s">
        <v>18</v>
      </c>
      <c r="D303" s="676" t="s">
        <v>19</v>
      </c>
      <c r="E303" s="561"/>
      <c r="F303" s="561"/>
      <c r="G303" s="563"/>
      <c r="H303" s="677" t="s">
        <v>14</v>
      </c>
      <c r="I303" s="565"/>
      <c r="J303" s="565"/>
      <c r="K303" s="566"/>
      <c r="L303" s="678">
        <f t="shared" ref="L303:N303" ca="1" si="191">L304+L305</f>
        <v>206100</v>
      </c>
      <c r="M303" s="679">
        <f t="shared" ca="1" si="191"/>
        <v>184600</v>
      </c>
      <c r="N303" s="679">
        <f t="shared" ca="1" si="191"/>
        <v>170000</v>
      </c>
      <c r="O303" s="679">
        <f t="shared" ref="O303:O311" ca="1" si="192">IF(L303&gt;0,N303*100/L303,0)</f>
        <v>82.48423095584667</v>
      </c>
      <c r="P303" s="679">
        <f t="shared" ref="P303:P311" ca="1" si="193">IF(M303&gt;0,N303*100/M303,0)</f>
        <v>92.091007583965336</v>
      </c>
      <c r="Q303" s="679">
        <f t="shared" ref="Q303:S303" ca="1" si="194">Q304+Q305</f>
        <v>144609.24</v>
      </c>
      <c r="R303" s="679">
        <f t="shared" ca="1" si="194"/>
        <v>144609</v>
      </c>
      <c r="S303" s="679">
        <f t="shared" ca="1" si="194"/>
        <v>17560</v>
      </c>
      <c r="T303" s="679">
        <f t="shared" ref="T303:T311" ca="1" si="195">IF(Q303&gt;0,S303*100/Q303,0)</f>
        <v>12.143069142746343</v>
      </c>
      <c r="U303" s="679">
        <f t="shared" ref="U303:U311" ca="1" si="196">IF(R303&gt;0,S303*100/R303,0)</f>
        <v>12.143089295963598</v>
      </c>
    </row>
    <row r="304" spans="1:21" ht="18.75" x14ac:dyDescent="0.25">
      <c r="A304" s="674"/>
      <c r="B304" s="561"/>
      <c r="C304" s="561"/>
      <c r="D304" s="561"/>
      <c r="E304" s="569" t="s">
        <v>20</v>
      </c>
      <c r="F304" s="561"/>
      <c r="G304" s="563"/>
      <c r="H304" s="680" t="s">
        <v>14</v>
      </c>
      <c r="I304" s="565"/>
      <c r="J304" s="565"/>
      <c r="K304" s="566"/>
      <c r="L304" s="571">
        <f t="shared" ref="L304:N305" si="197">L307+L310</f>
        <v>0</v>
      </c>
      <c r="M304" s="572">
        <f t="shared" si="197"/>
        <v>0</v>
      </c>
      <c r="N304" s="572">
        <f t="shared" si="197"/>
        <v>0</v>
      </c>
      <c r="O304" s="572">
        <f t="shared" si="192"/>
        <v>0</v>
      </c>
      <c r="P304" s="572">
        <f t="shared" si="193"/>
        <v>0</v>
      </c>
      <c r="Q304" s="572">
        <f t="shared" ref="Q304:S305" si="198">Q307+Q310</f>
        <v>0</v>
      </c>
      <c r="R304" s="572">
        <f t="shared" si="198"/>
        <v>0</v>
      </c>
      <c r="S304" s="572">
        <f t="shared" si="198"/>
        <v>0</v>
      </c>
      <c r="T304" s="572">
        <f t="shared" si="195"/>
        <v>0</v>
      </c>
      <c r="U304" s="572">
        <f t="shared" si="196"/>
        <v>0</v>
      </c>
    </row>
    <row r="305" spans="1:21" ht="18.75" x14ac:dyDescent="0.25">
      <c r="A305" s="674"/>
      <c r="B305" s="561"/>
      <c r="C305" s="561"/>
      <c r="D305" s="561"/>
      <c r="E305" s="573" t="s">
        <v>21</v>
      </c>
      <c r="F305" s="561"/>
      <c r="G305" s="563"/>
      <c r="H305" s="681" t="s">
        <v>14</v>
      </c>
      <c r="I305" s="565"/>
      <c r="J305" s="565"/>
      <c r="K305" s="566"/>
      <c r="L305" s="567">
        <f t="shared" ca="1" si="197"/>
        <v>206100</v>
      </c>
      <c r="M305" s="568">
        <f t="shared" ca="1" si="197"/>
        <v>184600</v>
      </c>
      <c r="N305" s="568">
        <f t="shared" ca="1" si="197"/>
        <v>170000</v>
      </c>
      <c r="O305" s="568">
        <f t="shared" ca="1" si="192"/>
        <v>82.48423095584667</v>
      </c>
      <c r="P305" s="568">
        <f t="shared" ca="1" si="193"/>
        <v>92.091007583965336</v>
      </c>
      <c r="Q305" s="568">
        <f t="shared" ca="1" si="198"/>
        <v>144609.24</v>
      </c>
      <c r="R305" s="568">
        <f t="shared" ca="1" si="198"/>
        <v>144609</v>
      </c>
      <c r="S305" s="568">
        <f t="shared" ca="1" si="198"/>
        <v>17560</v>
      </c>
      <c r="T305" s="568">
        <f t="shared" ca="1" si="195"/>
        <v>12.143069142746343</v>
      </c>
      <c r="U305" s="568">
        <f t="shared" ca="1" si="196"/>
        <v>12.143089295963598</v>
      </c>
    </row>
    <row r="306" spans="1:21" ht="18.75" x14ac:dyDescent="0.25">
      <c r="A306" s="674"/>
      <c r="B306" s="561"/>
      <c r="C306" s="561"/>
      <c r="D306" s="562" t="s">
        <v>22</v>
      </c>
      <c r="E306" s="561"/>
      <c r="F306" s="561"/>
      <c r="G306" s="563"/>
      <c r="H306" s="682" t="s">
        <v>14</v>
      </c>
      <c r="I306" s="683"/>
      <c r="J306" s="683"/>
      <c r="K306" s="684"/>
      <c r="L306" s="567">
        <f t="shared" ref="L306:N306" ca="1" si="199">L307+L308</f>
        <v>206100</v>
      </c>
      <c r="M306" s="568">
        <f t="shared" ca="1" si="199"/>
        <v>184600</v>
      </c>
      <c r="N306" s="568">
        <f t="shared" ca="1" si="199"/>
        <v>170000</v>
      </c>
      <c r="O306" s="568">
        <f t="shared" ca="1" si="192"/>
        <v>82.48423095584667</v>
      </c>
      <c r="P306" s="568">
        <f t="shared" ca="1" si="193"/>
        <v>92.091007583965336</v>
      </c>
      <c r="Q306" s="568">
        <f t="shared" ref="Q306:S306" ca="1" si="200">Q307+Q308</f>
        <v>144609.24</v>
      </c>
      <c r="R306" s="568">
        <f t="shared" ca="1" si="200"/>
        <v>144609</v>
      </c>
      <c r="S306" s="568">
        <f t="shared" ca="1" si="200"/>
        <v>17560</v>
      </c>
      <c r="T306" s="568">
        <f t="shared" ca="1" si="195"/>
        <v>12.143069142746343</v>
      </c>
      <c r="U306" s="568">
        <f t="shared" ca="1" si="196"/>
        <v>12.143089295963598</v>
      </c>
    </row>
    <row r="307" spans="1:21" ht="18.75" x14ac:dyDescent="0.25">
      <c r="A307" s="674"/>
      <c r="B307" s="561"/>
      <c r="C307" s="561"/>
      <c r="D307" s="561"/>
      <c r="E307" s="569" t="s">
        <v>36</v>
      </c>
      <c r="F307" s="561"/>
      <c r="G307" s="563"/>
      <c r="H307" s="685" t="s">
        <v>14</v>
      </c>
      <c r="I307" s="683"/>
      <c r="J307" s="683"/>
      <c r="K307" s="684"/>
      <c r="L307" s="571">
        <v>0</v>
      </c>
      <c r="M307" s="572">
        <v>0</v>
      </c>
      <c r="N307" s="572">
        <v>0</v>
      </c>
      <c r="O307" s="572">
        <f t="shared" si="192"/>
        <v>0</v>
      </c>
      <c r="P307" s="572">
        <f t="shared" si="193"/>
        <v>0</v>
      </c>
      <c r="Q307" s="572">
        <v>0</v>
      </c>
      <c r="R307" s="572">
        <v>0</v>
      </c>
      <c r="S307" s="572">
        <v>0</v>
      </c>
      <c r="T307" s="572">
        <f t="shared" si="195"/>
        <v>0</v>
      </c>
      <c r="U307" s="572">
        <f t="shared" si="196"/>
        <v>0</v>
      </c>
    </row>
    <row r="308" spans="1:21" ht="18.75" x14ac:dyDescent="0.25">
      <c r="A308" s="674"/>
      <c r="B308" s="561"/>
      <c r="C308" s="561"/>
      <c r="D308" s="561"/>
      <c r="E308" s="573" t="s">
        <v>37</v>
      </c>
      <c r="F308" s="561"/>
      <c r="G308" s="563"/>
      <c r="H308" s="682" t="s">
        <v>14</v>
      </c>
      <c r="I308" s="683"/>
      <c r="J308" s="683"/>
      <c r="K308" s="684"/>
      <c r="L308" s="567">
        <f ca="1">IFERROR(__xludf.DUMMYFUNCTION("IMPORTRANGE(""https://docs.google.com/spreadsheets/d/1-uDff_7J0KD5mKrp0Vvzr7lt3OU09vwQwhkpOPPYv2Y/edit?usp=sharing"",""งบพรบ!DY14"")"),206100)</f>
        <v>206100</v>
      </c>
      <c r="M308" s="568">
        <f ca="1">IFERROR(__xludf.DUMMYFUNCTION("IMPORTRANGE(""https://docs.google.com/spreadsheets/d/1-uDff_7J0KD5mKrp0Vvzr7lt3OU09vwQwhkpOPPYv2Y/edit?usp=sharing"",""งบพรบ!ED14"")"),184600)</f>
        <v>184600</v>
      </c>
      <c r="N308" s="568">
        <f ca="1">IFERROR(__xludf.DUMMYFUNCTION("IMPORTRANGE(""https://docs.google.com/spreadsheets/d/1-uDff_7J0KD5mKrp0Vvzr7lt3OU09vwQwhkpOPPYv2Y/edit?usp=sharing"",""งบพรบ!EF14"")"),170000)</f>
        <v>170000</v>
      </c>
      <c r="O308" s="568">
        <f t="shared" ca="1" si="192"/>
        <v>82.48423095584667</v>
      </c>
      <c r="P308" s="568">
        <f t="shared" ca="1" si="193"/>
        <v>92.091007583965336</v>
      </c>
      <c r="Q308" s="568">
        <f ca="1">IFERROR(__xludf.DUMMYFUNCTION("IMPORTRANGE(""https://docs.google.com/spreadsheets/d/1ItG2mGa2ceCfYo0BwxsXqNm01IGEUdYcSSLTEv9YCik/edit?usp=sharing"",""เบิกจ่ายกองทุน!BB14"")"),144609.24)</f>
        <v>144609.24</v>
      </c>
      <c r="R308" s="568">
        <f ca="1">IFERROR(__xludf.DUMMYFUNCTION("IMPORTRANGE(""https://docs.google.com/spreadsheets/d/1ItG2mGa2ceCfYo0BwxsXqNm01IGEUdYcSSLTEv9YCik/edit?usp=sharing"",""เบิกจ่ายกองทุน!BC14"")"),144609)</f>
        <v>144609</v>
      </c>
      <c r="S308" s="568">
        <f ca="1">IFERROR(__xludf.DUMMYFUNCTION("IMPORTRANGE(""https://docs.google.com/spreadsheets/d/1ItG2mGa2ceCfYo0BwxsXqNm01IGEUdYcSSLTEv9YCik/edit?usp=sharing"",""เบิกจ่ายกองทุน!BD14"")"),17560)</f>
        <v>17560</v>
      </c>
      <c r="T308" s="568">
        <f t="shared" ca="1" si="195"/>
        <v>12.143069142746343</v>
      </c>
      <c r="U308" s="568">
        <f t="shared" ca="1" si="196"/>
        <v>12.143089295963598</v>
      </c>
    </row>
    <row r="309" spans="1:21" ht="18.75" x14ac:dyDescent="0.25">
      <c r="A309" s="674"/>
      <c r="B309" s="561"/>
      <c r="C309" s="561"/>
      <c r="D309" s="562" t="s">
        <v>23</v>
      </c>
      <c r="E309" s="561"/>
      <c r="F309" s="561"/>
      <c r="G309" s="563"/>
      <c r="H309" s="686" t="s">
        <v>14</v>
      </c>
      <c r="I309" s="683"/>
      <c r="J309" s="683"/>
      <c r="K309" s="684"/>
      <c r="L309" s="567">
        <f t="shared" ref="L309:N309" ca="1" si="201">L310+L311</f>
        <v>0</v>
      </c>
      <c r="M309" s="568">
        <f t="shared" ca="1" si="201"/>
        <v>0</v>
      </c>
      <c r="N309" s="568">
        <f t="shared" ca="1" si="201"/>
        <v>0</v>
      </c>
      <c r="O309" s="568">
        <f t="shared" ca="1" si="192"/>
        <v>0</v>
      </c>
      <c r="P309" s="568">
        <f t="shared" ca="1" si="193"/>
        <v>0</v>
      </c>
      <c r="Q309" s="568">
        <f t="shared" ref="Q309:S309" si="202">Q310+Q311</f>
        <v>0</v>
      </c>
      <c r="R309" s="568">
        <f t="shared" si="202"/>
        <v>0</v>
      </c>
      <c r="S309" s="568">
        <f t="shared" si="202"/>
        <v>0</v>
      </c>
      <c r="T309" s="568">
        <f t="shared" si="195"/>
        <v>0</v>
      </c>
      <c r="U309" s="568">
        <f t="shared" si="196"/>
        <v>0</v>
      </c>
    </row>
    <row r="310" spans="1:21" ht="18.75" x14ac:dyDescent="0.25">
      <c r="A310" s="674"/>
      <c r="B310" s="561"/>
      <c r="C310" s="561"/>
      <c r="D310" s="561"/>
      <c r="E310" s="569" t="s">
        <v>20</v>
      </c>
      <c r="F310" s="561"/>
      <c r="G310" s="563"/>
      <c r="H310" s="685" t="s">
        <v>14</v>
      </c>
      <c r="I310" s="683"/>
      <c r="J310" s="683"/>
      <c r="K310" s="684"/>
      <c r="L310" s="571">
        <v>0</v>
      </c>
      <c r="M310" s="572">
        <v>0</v>
      </c>
      <c r="N310" s="572">
        <v>0</v>
      </c>
      <c r="O310" s="572">
        <f t="shared" si="192"/>
        <v>0</v>
      </c>
      <c r="P310" s="572">
        <f t="shared" si="193"/>
        <v>0</v>
      </c>
      <c r="Q310" s="572">
        <v>0</v>
      </c>
      <c r="R310" s="572">
        <v>0</v>
      </c>
      <c r="S310" s="572">
        <v>0</v>
      </c>
      <c r="T310" s="572">
        <f t="shared" si="195"/>
        <v>0</v>
      </c>
      <c r="U310" s="572">
        <f t="shared" si="196"/>
        <v>0</v>
      </c>
    </row>
    <row r="311" spans="1:21" ht="18.75" x14ac:dyDescent="0.25">
      <c r="A311" s="674"/>
      <c r="B311" s="561"/>
      <c r="C311" s="561"/>
      <c r="D311" s="561"/>
      <c r="E311" s="573" t="s">
        <v>21</v>
      </c>
      <c r="F311" s="561"/>
      <c r="G311" s="563"/>
      <c r="H311" s="686" t="s">
        <v>14</v>
      </c>
      <c r="I311" s="683"/>
      <c r="J311" s="683"/>
      <c r="K311" s="684"/>
      <c r="L311" s="567">
        <f ca="1">IFERROR(__xludf.DUMMYFUNCTION("IMPORTRANGE(""https://docs.google.com/spreadsheets/d/1-uDff_7J0KD5mKrp0Vvzr7lt3OU09vwQwhkpOPPYv2Y/edit?usp=sharing"",""งบพรบ!EB14"")"),0)</f>
        <v>0</v>
      </c>
      <c r="M311" s="568">
        <f ca="1">IFERROR(__xludf.DUMMYFUNCTION("IMPORTRANGE(""https://docs.google.com/spreadsheets/d/1-uDff_7J0KD5mKrp0Vvzr7lt3OU09vwQwhkpOPPYv2Y/edit?usp=sharing"",""งบพรบ!EE14"")"),0)</f>
        <v>0</v>
      </c>
      <c r="N311" s="568">
        <f ca="1">IFERROR(__xludf.DUMMYFUNCTION("IMPORTRANGE(""https://docs.google.com/spreadsheets/d/1-uDff_7J0KD5mKrp0Vvzr7lt3OU09vwQwhkpOPPYv2Y/edit?usp=sharing"",""งบพรบ!EG14"")"),0)</f>
        <v>0</v>
      </c>
      <c r="O311" s="568">
        <f t="shared" ca="1" si="192"/>
        <v>0</v>
      </c>
      <c r="P311" s="568">
        <f t="shared" ca="1" si="193"/>
        <v>0</v>
      </c>
      <c r="Q311" s="568">
        <v>0</v>
      </c>
      <c r="R311" s="568">
        <v>0</v>
      </c>
      <c r="S311" s="568">
        <v>0</v>
      </c>
      <c r="T311" s="568">
        <f t="shared" si="195"/>
        <v>0</v>
      </c>
      <c r="U311" s="568">
        <f t="shared" si="196"/>
        <v>0</v>
      </c>
    </row>
    <row r="312" spans="1:21" ht="19.5" x14ac:dyDescent="0.3">
      <c r="A312" s="687"/>
      <c r="B312" s="688"/>
      <c r="C312" s="675" t="s">
        <v>18</v>
      </c>
      <c r="D312" s="689" t="s">
        <v>38</v>
      </c>
      <c r="E312" s="690"/>
      <c r="F312" s="690"/>
      <c r="G312" s="691"/>
      <c r="H312" s="692"/>
      <c r="I312" s="565"/>
      <c r="J312" s="565"/>
      <c r="K312" s="566"/>
      <c r="L312" s="574"/>
      <c r="M312" s="566"/>
      <c r="N312" s="566"/>
      <c r="O312" s="566"/>
      <c r="P312" s="566"/>
      <c r="Q312" s="566"/>
      <c r="R312" s="566"/>
      <c r="S312" s="566"/>
      <c r="T312" s="566"/>
      <c r="U312" s="566"/>
    </row>
    <row r="313" spans="1:21" ht="18.75" hidden="1" x14ac:dyDescent="0.25">
      <c r="A313" s="705"/>
      <c r="B313" s="706"/>
      <c r="C313" s="706"/>
      <c r="D313" s="918"/>
      <c r="E313" s="531"/>
      <c r="F313" s="531"/>
      <c r="G313" s="532"/>
      <c r="H313" s="532"/>
      <c r="I313" s="533"/>
      <c r="J313" s="919"/>
      <c r="K313" s="534"/>
      <c r="L313" s="535"/>
      <c r="M313" s="534"/>
      <c r="N313" s="534"/>
      <c r="O313" s="534"/>
      <c r="P313" s="534"/>
      <c r="Q313" s="534"/>
      <c r="R313" s="534"/>
      <c r="S313" s="534"/>
      <c r="T313" s="534"/>
      <c r="U313" s="534"/>
    </row>
    <row r="314" spans="1:21" ht="18.75" x14ac:dyDescent="0.25">
      <c r="A314" s="687"/>
      <c r="B314" s="688"/>
      <c r="C314" s="688"/>
      <c r="D314" s="699" t="s">
        <v>121</v>
      </c>
      <c r="E314" s="695"/>
      <c r="F314" s="695"/>
      <c r="G314" s="692"/>
      <c r="H314" s="700" t="s">
        <v>35</v>
      </c>
      <c r="I314" s="708">
        <f ca="1">IFERROR(__xludf.DUMMYFUNCTION("IMPORTRANGE(""https://docs.google.com/spreadsheets/d/1eHaY18a8A9IcSdp1K8H6x8fbOy06t2VsZHhMHf-1x7Y/edit?usp=sharing"",""แผน!EF14"")"),20)</f>
        <v>20</v>
      </c>
      <c r="J314" s="702">
        <v>20</v>
      </c>
      <c r="K314" s="568">
        <f ca="1">IF(I314&gt;0,J314*100/I314,0)</f>
        <v>100</v>
      </c>
      <c r="L314" s="574"/>
      <c r="M314" s="566"/>
      <c r="N314" s="566"/>
      <c r="O314" s="566"/>
      <c r="P314" s="566"/>
      <c r="Q314" s="566"/>
      <c r="R314" s="566"/>
      <c r="S314" s="566"/>
      <c r="T314" s="566"/>
      <c r="U314" s="566"/>
    </row>
    <row r="315" spans="1:21" ht="18.75" hidden="1" x14ac:dyDescent="0.25">
      <c r="A315" s="705"/>
      <c r="B315" s="706"/>
      <c r="C315" s="706"/>
      <c r="D315" s="918"/>
      <c r="E315" s="531"/>
      <c r="F315" s="531"/>
      <c r="G315" s="532"/>
      <c r="H315" s="920"/>
      <c r="I315" s="919"/>
      <c r="J315" s="919"/>
      <c r="K315" s="921"/>
      <c r="L315" s="535"/>
      <c r="M315" s="534"/>
      <c r="N315" s="534"/>
      <c r="O315" s="534"/>
      <c r="P315" s="534"/>
      <c r="Q315" s="534"/>
      <c r="R315" s="534"/>
      <c r="S315" s="534"/>
      <c r="T315" s="534"/>
      <c r="U315" s="534"/>
    </row>
    <row r="316" spans="1:21" ht="18.75" hidden="1" x14ac:dyDescent="0.25">
      <c r="A316" s="705"/>
      <c r="B316" s="706"/>
      <c r="C316" s="706"/>
      <c r="D316" s="918"/>
      <c r="E316" s="531"/>
      <c r="F316" s="531"/>
      <c r="G316" s="532"/>
      <c r="H316" s="920"/>
      <c r="I316" s="919"/>
      <c r="J316" s="919"/>
      <c r="K316" s="921"/>
      <c r="L316" s="535"/>
      <c r="M316" s="534"/>
      <c r="N316" s="534"/>
      <c r="O316" s="534"/>
      <c r="P316" s="534"/>
      <c r="Q316" s="534"/>
      <c r="R316" s="534"/>
      <c r="S316" s="534"/>
      <c r="T316" s="534"/>
      <c r="U316" s="534"/>
    </row>
    <row r="317" spans="1:21" ht="18.75" hidden="1" x14ac:dyDescent="0.25">
      <c r="A317" s="705"/>
      <c r="B317" s="706"/>
      <c r="C317" s="706"/>
      <c r="D317" s="922"/>
      <c r="E317" s="531"/>
      <c r="F317" s="531"/>
      <c r="G317" s="532"/>
      <c r="H317" s="923"/>
      <c r="I317" s="924"/>
      <c r="J317" s="924"/>
      <c r="K317" s="925"/>
      <c r="L317" s="535"/>
      <c r="M317" s="534"/>
      <c r="N317" s="534"/>
      <c r="O317" s="534"/>
      <c r="P317" s="534"/>
      <c r="Q317" s="534"/>
      <c r="R317" s="534"/>
      <c r="S317" s="534"/>
      <c r="T317" s="534"/>
      <c r="U317" s="534"/>
    </row>
    <row r="318" spans="1:21" ht="19.5" hidden="1" x14ac:dyDescent="0.3">
      <c r="A318" s="902" t="s">
        <v>131</v>
      </c>
      <c r="B318" s="903"/>
      <c r="C318" s="903"/>
      <c r="D318" s="904"/>
      <c r="E318" s="903"/>
      <c r="F318" s="903"/>
      <c r="G318" s="903"/>
      <c r="H318" s="904"/>
      <c r="I318" s="906"/>
      <c r="J318" s="906"/>
      <c r="K318" s="907"/>
      <c r="L318" s="908"/>
      <c r="M318" s="907"/>
      <c r="N318" s="907"/>
      <c r="O318" s="907"/>
      <c r="P318" s="907"/>
      <c r="Q318" s="907"/>
      <c r="R318" s="907"/>
      <c r="S318" s="907"/>
      <c r="T318" s="907"/>
      <c r="U318" s="907"/>
    </row>
    <row r="319" spans="1:21" ht="19.5" hidden="1" x14ac:dyDescent="0.3">
      <c r="A319" s="926"/>
      <c r="B319" s="910" t="s">
        <v>132</v>
      </c>
      <c r="C319" s="927"/>
      <c r="D319" s="928"/>
      <c r="E319" s="911"/>
      <c r="F319" s="911"/>
      <c r="G319" s="912"/>
      <c r="H319" s="913" t="s">
        <v>133</v>
      </c>
      <c r="I319" s="914">
        <f t="shared" ref="I319:J319" ca="1" si="203">I330</f>
        <v>0</v>
      </c>
      <c r="J319" s="914">
        <f t="shared" si="203"/>
        <v>0</v>
      </c>
      <c r="K319" s="915">
        <f ca="1">IF(I319&gt;0,J319*100/I319,0)</f>
        <v>0</v>
      </c>
      <c r="L319" s="916"/>
      <c r="M319" s="917"/>
      <c r="N319" s="917"/>
      <c r="O319" s="917"/>
      <c r="P319" s="917"/>
      <c r="Q319" s="917"/>
      <c r="R319" s="917"/>
      <c r="S319" s="917"/>
      <c r="T319" s="917"/>
      <c r="U319" s="917"/>
    </row>
    <row r="320" spans="1:21" ht="19.5" hidden="1" x14ac:dyDescent="0.3">
      <c r="A320" s="674"/>
      <c r="B320" s="561"/>
      <c r="C320" s="675" t="s">
        <v>18</v>
      </c>
      <c r="D320" s="676" t="s">
        <v>19</v>
      </c>
      <c r="E320" s="561"/>
      <c r="F320" s="561"/>
      <c r="G320" s="563"/>
      <c r="H320" s="677" t="s">
        <v>14</v>
      </c>
      <c r="I320" s="565"/>
      <c r="J320" s="565"/>
      <c r="K320" s="566"/>
      <c r="L320" s="678">
        <f t="shared" ref="L320:N320" ca="1" si="204">L321+L322</f>
        <v>0</v>
      </c>
      <c r="M320" s="679">
        <f t="shared" ca="1" si="204"/>
        <v>0</v>
      </c>
      <c r="N320" s="679">
        <f t="shared" ca="1" si="204"/>
        <v>0</v>
      </c>
      <c r="O320" s="679">
        <f t="shared" ref="O320:O328" ca="1" si="205">IF(L320&gt;0,N320*100/L320,0)</f>
        <v>0</v>
      </c>
      <c r="P320" s="679">
        <f t="shared" ref="P320:P328" ca="1" si="206">IF(M320&gt;0,N320*100/M320,0)</f>
        <v>0</v>
      </c>
      <c r="Q320" s="679">
        <f t="shared" ref="Q320:S320" si="207">Q321+Q322</f>
        <v>0</v>
      </c>
      <c r="R320" s="679">
        <f t="shared" si="207"/>
        <v>0</v>
      </c>
      <c r="S320" s="679">
        <f t="shared" si="207"/>
        <v>0</v>
      </c>
      <c r="T320" s="679">
        <f t="shared" ref="T320:T328" si="208">IF(Q320&gt;0,S320*100/Q320,0)</f>
        <v>0</v>
      </c>
      <c r="U320" s="679">
        <f t="shared" ref="U320:U328" si="209">IF(R320&gt;0,S320*100/R320,0)</f>
        <v>0</v>
      </c>
    </row>
    <row r="321" spans="1:21" ht="18.75" hidden="1" x14ac:dyDescent="0.25">
      <c r="A321" s="674"/>
      <c r="B321" s="561"/>
      <c r="C321" s="561"/>
      <c r="D321" s="561"/>
      <c r="E321" s="569" t="s">
        <v>20</v>
      </c>
      <c r="F321" s="561"/>
      <c r="G321" s="563"/>
      <c r="H321" s="680" t="s">
        <v>14</v>
      </c>
      <c r="I321" s="565"/>
      <c r="J321" s="565"/>
      <c r="K321" s="566"/>
      <c r="L321" s="571">
        <f t="shared" ref="L321:N322" si="210">L324+L327</f>
        <v>0</v>
      </c>
      <c r="M321" s="572">
        <f t="shared" si="210"/>
        <v>0</v>
      </c>
      <c r="N321" s="572">
        <f t="shared" si="210"/>
        <v>0</v>
      </c>
      <c r="O321" s="572">
        <f t="shared" si="205"/>
        <v>0</v>
      </c>
      <c r="P321" s="572">
        <f t="shared" si="206"/>
        <v>0</v>
      </c>
      <c r="Q321" s="572">
        <f t="shared" ref="Q321:S322" si="211">Q324+Q327</f>
        <v>0</v>
      </c>
      <c r="R321" s="572">
        <f t="shared" si="211"/>
        <v>0</v>
      </c>
      <c r="S321" s="572">
        <f t="shared" si="211"/>
        <v>0</v>
      </c>
      <c r="T321" s="572">
        <f t="shared" si="208"/>
        <v>0</v>
      </c>
      <c r="U321" s="572">
        <f t="shared" si="209"/>
        <v>0</v>
      </c>
    </row>
    <row r="322" spans="1:21" ht="18.75" hidden="1" x14ac:dyDescent="0.25">
      <c r="A322" s="674"/>
      <c r="B322" s="561"/>
      <c r="C322" s="561"/>
      <c r="D322" s="561"/>
      <c r="E322" s="573" t="s">
        <v>21</v>
      </c>
      <c r="F322" s="561"/>
      <c r="G322" s="563"/>
      <c r="H322" s="681" t="s">
        <v>14</v>
      </c>
      <c r="I322" s="565"/>
      <c r="J322" s="565"/>
      <c r="K322" s="566"/>
      <c r="L322" s="567">
        <f t="shared" ca="1" si="210"/>
        <v>0</v>
      </c>
      <c r="M322" s="568">
        <f t="shared" ca="1" si="210"/>
        <v>0</v>
      </c>
      <c r="N322" s="568">
        <f t="shared" ca="1" si="210"/>
        <v>0</v>
      </c>
      <c r="O322" s="568">
        <f t="shared" ca="1" si="205"/>
        <v>0</v>
      </c>
      <c r="P322" s="568">
        <f t="shared" ca="1" si="206"/>
        <v>0</v>
      </c>
      <c r="Q322" s="568">
        <f t="shared" si="211"/>
        <v>0</v>
      </c>
      <c r="R322" s="568">
        <f t="shared" si="211"/>
        <v>0</v>
      </c>
      <c r="S322" s="568">
        <f t="shared" si="211"/>
        <v>0</v>
      </c>
      <c r="T322" s="568">
        <f t="shared" si="208"/>
        <v>0</v>
      </c>
      <c r="U322" s="568">
        <f t="shared" si="209"/>
        <v>0</v>
      </c>
    </row>
    <row r="323" spans="1:21" ht="18.75" hidden="1" x14ac:dyDescent="0.25">
      <c r="A323" s="674"/>
      <c r="B323" s="561"/>
      <c r="C323" s="561"/>
      <c r="D323" s="562" t="s">
        <v>22</v>
      </c>
      <c r="E323" s="561"/>
      <c r="F323" s="561"/>
      <c r="G323" s="563"/>
      <c r="H323" s="682" t="s">
        <v>14</v>
      </c>
      <c r="I323" s="683"/>
      <c r="J323" s="683"/>
      <c r="K323" s="684"/>
      <c r="L323" s="567">
        <f t="shared" ref="L323:N323" ca="1" si="212">L324+L325</f>
        <v>0</v>
      </c>
      <c r="M323" s="568">
        <f t="shared" ca="1" si="212"/>
        <v>0</v>
      </c>
      <c r="N323" s="568">
        <f t="shared" ca="1" si="212"/>
        <v>0</v>
      </c>
      <c r="O323" s="568">
        <f t="shared" ca="1" si="205"/>
        <v>0</v>
      </c>
      <c r="P323" s="568">
        <f t="shared" ca="1" si="206"/>
        <v>0</v>
      </c>
      <c r="Q323" s="568">
        <f t="shared" ref="Q323:S323" si="213">Q324+Q325</f>
        <v>0</v>
      </c>
      <c r="R323" s="568">
        <f t="shared" si="213"/>
        <v>0</v>
      </c>
      <c r="S323" s="568">
        <f t="shared" si="213"/>
        <v>0</v>
      </c>
      <c r="T323" s="568">
        <f t="shared" si="208"/>
        <v>0</v>
      </c>
      <c r="U323" s="568">
        <f t="shared" si="209"/>
        <v>0</v>
      </c>
    </row>
    <row r="324" spans="1:21" ht="18.75" hidden="1" x14ac:dyDescent="0.25">
      <c r="A324" s="674"/>
      <c r="B324" s="561"/>
      <c r="C324" s="561"/>
      <c r="D324" s="561"/>
      <c r="E324" s="569" t="s">
        <v>36</v>
      </c>
      <c r="F324" s="561"/>
      <c r="G324" s="563"/>
      <c r="H324" s="685" t="s">
        <v>14</v>
      </c>
      <c r="I324" s="683"/>
      <c r="J324" s="683"/>
      <c r="K324" s="684"/>
      <c r="L324" s="571">
        <v>0</v>
      </c>
      <c r="M324" s="572">
        <v>0</v>
      </c>
      <c r="N324" s="572">
        <v>0</v>
      </c>
      <c r="O324" s="572">
        <f t="shared" si="205"/>
        <v>0</v>
      </c>
      <c r="P324" s="572">
        <f t="shared" si="206"/>
        <v>0</v>
      </c>
      <c r="Q324" s="572">
        <v>0</v>
      </c>
      <c r="R324" s="572">
        <v>0</v>
      </c>
      <c r="S324" s="572">
        <v>0</v>
      </c>
      <c r="T324" s="572">
        <f t="shared" si="208"/>
        <v>0</v>
      </c>
      <c r="U324" s="572">
        <f t="shared" si="209"/>
        <v>0</v>
      </c>
    </row>
    <row r="325" spans="1:21" ht="18.75" hidden="1" x14ac:dyDescent="0.25">
      <c r="A325" s="674"/>
      <c r="B325" s="561"/>
      <c r="C325" s="561"/>
      <c r="D325" s="561"/>
      <c r="E325" s="573" t="s">
        <v>37</v>
      </c>
      <c r="F325" s="561"/>
      <c r="G325" s="563"/>
      <c r="H325" s="682" t="s">
        <v>14</v>
      </c>
      <c r="I325" s="683"/>
      <c r="J325" s="683"/>
      <c r="K325" s="684"/>
      <c r="L325" s="567">
        <f ca="1">IFERROR(__xludf.DUMMYFUNCTION("IMPORTRANGE(""https://docs.google.com/spreadsheets/d/1-uDff_7J0KD5mKrp0Vvzr7lt3OU09vwQwhkpOPPYv2Y/edit?usp=sharing"",""งบพรบ!EI14"")"),0)</f>
        <v>0</v>
      </c>
      <c r="M325" s="568">
        <f ca="1">IFERROR(__xludf.DUMMYFUNCTION("IMPORTRANGE(""https://docs.google.com/spreadsheets/d/1-uDff_7J0KD5mKrp0Vvzr7lt3OU09vwQwhkpOPPYv2Y/edit?usp=sharing"",""งบพรบ!EN14"")"),0)</f>
        <v>0</v>
      </c>
      <c r="N325" s="568">
        <f ca="1">IFERROR(__xludf.DUMMYFUNCTION("IMPORTRANGE(""https://docs.google.com/spreadsheets/d/1-uDff_7J0KD5mKrp0Vvzr7lt3OU09vwQwhkpOPPYv2Y/edit?usp=sharing"",""งบพรบ!EP14"")"),0)</f>
        <v>0</v>
      </c>
      <c r="O325" s="568">
        <f t="shared" ca="1" si="205"/>
        <v>0</v>
      </c>
      <c r="P325" s="568">
        <f t="shared" ca="1" si="206"/>
        <v>0</v>
      </c>
      <c r="Q325" s="568">
        <v>0</v>
      </c>
      <c r="R325" s="568">
        <v>0</v>
      </c>
      <c r="S325" s="568">
        <v>0</v>
      </c>
      <c r="T325" s="568">
        <f t="shared" si="208"/>
        <v>0</v>
      </c>
      <c r="U325" s="568">
        <f t="shared" si="209"/>
        <v>0</v>
      </c>
    </row>
    <row r="326" spans="1:21" ht="18.75" hidden="1" x14ac:dyDescent="0.25">
      <c r="A326" s="674"/>
      <c r="B326" s="561"/>
      <c r="C326" s="561"/>
      <c r="D326" s="562" t="s">
        <v>23</v>
      </c>
      <c r="E326" s="561"/>
      <c r="F326" s="561"/>
      <c r="G326" s="563"/>
      <c r="H326" s="686" t="s">
        <v>14</v>
      </c>
      <c r="I326" s="683"/>
      <c r="J326" s="683"/>
      <c r="K326" s="684"/>
      <c r="L326" s="567">
        <f t="shared" ref="L326:N326" ca="1" si="214">L327+L328</f>
        <v>0</v>
      </c>
      <c r="M326" s="568">
        <f t="shared" ca="1" si="214"/>
        <v>0</v>
      </c>
      <c r="N326" s="568">
        <f t="shared" ca="1" si="214"/>
        <v>0</v>
      </c>
      <c r="O326" s="568">
        <f t="shared" ca="1" si="205"/>
        <v>0</v>
      </c>
      <c r="P326" s="568">
        <f t="shared" ca="1" si="206"/>
        <v>0</v>
      </c>
      <c r="Q326" s="568">
        <f t="shared" ref="Q326:S326" si="215">Q327+Q328</f>
        <v>0</v>
      </c>
      <c r="R326" s="568">
        <f t="shared" si="215"/>
        <v>0</v>
      </c>
      <c r="S326" s="568">
        <f t="shared" si="215"/>
        <v>0</v>
      </c>
      <c r="T326" s="568">
        <f t="shared" si="208"/>
        <v>0</v>
      </c>
      <c r="U326" s="568">
        <f t="shared" si="209"/>
        <v>0</v>
      </c>
    </row>
    <row r="327" spans="1:21" ht="18.75" hidden="1" x14ac:dyDescent="0.25">
      <c r="A327" s="674"/>
      <c r="B327" s="561"/>
      <c r="C327" s="561"/>
      <c r="D327" s="561"/>
      <c r="E327" s="569" t="s">
        <v>20</v>
      </c>
      <c r="F327" s="561"/>
      <c r="G327" s="563"/>
      <c r="H327" s="685" t="s">
        <v>14</v>
      </c>
      <c r="I327" s="683"/>
      <c r="J327" s="683"/>
      <c r="K327" s="684"/>
      <c r="L327" s="571">
        <v>0</v>
      </c>
      <c r="M327" s="572">
        <v>0</v>
      </c>
      <c r="N327" s="572">
        <v>0</v>
      </c>
      <c r="O327" s="572">
        <f t="shared" si="205"/>
        <v>0</v>
      </c>
      <c r="P327" s="572">
        <f t="shared" si="206"/>
        <v>0</v>
      </c>
      <c r="Q327" s="572">
        <v>0</v>
      </c>
      <c r="R327" s="572">
        <v>0</v>
      </c>
      <c r="S327" s="572">
        <v>0</v>
      </c>
      <c r="T327" s="572">
        <f t="shared" si="208"/>
        <v>0</v>
      </c>
      <c r="U327" s="572">
        <f t="shared" si="209"/>
        <v>0</v>
      </c>
    </row>
    <row r="328" spans="1:21" ht="18.75" hidden="1" x14ac:dyDescent="0.25">
      <c r="A328" s="674"/>
      <c r="B328" s="561"/>
      <c r="C328" s="561"/>
      <c r="D328" s="561"/>
      <c r="E328" s="573" t="s">
        <v>21</v>
      </c>
      <c r="F328" s="561"/>
      <c r="G328" s="563"/>
      <c r="H328" s="686" t="s">
        <v>14</v>
      </c>
      <c r="I328" s="683"/>
      <c r="J328" s="683"/>
      <c r="K328" s="684"/>
      <c r="L328" s="567">
        <f ca="1">IFERROR(__xludf.DUMMYFUNCTION("IMPORTRANGE(""https://docs.google.com/spreadsheets/d/1-uDff_7J0KD5mKrp0Vvzr7lt3OU09vwQwhkpOPPYv2Y/edit?usp=sharing"",""งบพรบ!EL14"")"),0)</f>
        <v>0</v>
      </c>
      <c r="M328" s="568">
        <f ca="1">IFERROR(__xludf.DUMMYFUNCTION("IMPORTRANGE(""https://docs.google.com/spreadsheets/d/1-uDff_7J0KD5mKrp0Vvzr7lt3OU09vwQwhkpOPPYv2Y/edit?usp=sharing"",""งบพรบ!EO14"")"),0)</f>
        <v>0</v>
      </c>
      <c r="N328" s="568">
        <f ca="1">IFERROR(__xludf.DUMMYFUNCTION("IMPORTRANGE(""https://docs.google.com/spreadsheets/d/1-uDff_7J0KD5mKrp0Vvzr7lt3OU09vwQwhkpOPPYv2Y/edit?usp=sharing"",""งบพรบ!EQ14"")"),0)</f>
        <v>0</v>
      </c>
      <c r="O328" s="568">
        <f t="shared" ca="1" si="205"/>
        <v>0</v>
      </c>
      <c r="P328" s="568">
        <f t="shared" ca="1" si="206"/>
        <v>0</v>
      </c>
      <c r="Q328" s="568">
        <v>0</v>
      </c>
      <c r="R328" s="568">
        <v>0</v>
      </c>
      <c r="S328" s="568">
        <v>0</v>
      </c>
      <c r="T328" s="568">
        <f t="shared" si="208"/>
        <v>0</v>
      </c>
      <c r="U328" s="568">
        <f t="shared" si="209"/>
        <v>0</v>
      </c>
    </row>
    <row r="329" spans="1:21" ht="19.5" hidden="1" x14ac:dyDescent="0.3">
      <c r="A329" s="687"/>
      <c r="B329" s="688"/>
      <c r="C329" s="675" t="s">
        <v>18</v>
      </c>
      <c r="D329" s="689" t="s">
        <v>38</v>
      </c>
      <c r="E329" s="690"/>
      <c r="F329" s="690"/>
      <c r="G329" s="691"/>
      <c r="H329" s="692"/>
      <c r="I329" s="683"/>
      <c r="J329" s="565"/>
      <c r="K329" s="566"/>
      <c r="L329" s="574"/>
      <c r="M329" s="566"/>
      <c r="N329" s="566"/>
      <c r="O329" s="684"/>
      <c r="P329" s="684"/>
      <c r="Q329" s="566"/>
      <c r="R329" s="566"/>
      <c r="S329" s="566"/>
      <c r="T329" s="684"/>
      <c r="U329" s="684"/>
    </row>
    <row r="330" spans="1:21" ht="18.75" hidden="1" x14ac:dyDescent="0.25">
      <c r="A330" s="687"/>
      <c r="B330" s="688"/>
      <c r="C330" s="688"/>
      <c r="D330" s="694" t="s">
        <v>134</v>
      </c>
      <c r="E330" s="695"/>
      <c r="F330" s="695"/>
      <c r="G330" s="692"/>
      <c r="H330" s="564" t="s">
        <v>133</v>
      </c>
      <c r="I330" s="708">
        <f ca="1">IFERROR(__xludf.DUMMYFUNCTION("IMPORTRANGE(""https://docs.google.com/spreadsheets/d/1eHaY18a8A9IcSdp1K8H6x8fbOy06t2VsZHhMHf-1x7Y/edit?usp=sharing"",""แผน!EJ14"")"),0)</f>
        <v>0</v>
      </c>
      <c r="J330" s="702">
        <v>0</v>
      </c>
      <c r="K330" s="568">
        <f ca="1">IF(I330&gt;0,J330*100/I330,0)</f>
        <v>0</v>
      </c>
      <c r="L330" s="574"/>
      <c r="M330" s="566"/>
      <c r="N330" s="566"/>
      <c r="O330" s="684"/>
      <c r="P330" s="684"/>
      <c r="Q330" s="566"/>
      <c r="R330" s="566"/>
      <c r="S330" s="566"/>
      <c r="T330" s="684"/>
      <c r="U330" s="684"/>
    </row>
    <row r="331" spans="1:21" ht="19.5" x14ac:dyDescent="0.3">
      <c r="A331" s="902" t="s">
        <v>135</v>
      </c>
      <c r="B331" s="903"/>
      <c r="C331" s="903"/>
      <c r="D331" s="904"/>
      <c r="E331" s="903"/>
      <c r="F331" s="903"/>
      <c r="G331" s="903"/>
      <c r="H331" s="904"/>
      <c r="I331" s="906"/>
      <c r="J331" s="906"/>
      <c r="K331" s="907"/>
      <c r="L331" s="908"/>
      <c r="M331" s="907"/>
      <c r="N331" s="907"/>
      <c r="O331" s="907"/>
      <c r="P331" s="907"/>
      <c r="Q331" s="907"/>
      <c r="R331" s="907"/>
      <c r="S331" s="907"/>
      <c r="T331" s="907"/>
      <c r="U331" s="907"/>
    </row>
    <row r="332" spans="1:21" ht="19.5" x14ac:dyDescent="0.3">
      <c r="A332" s="909"/>
      <c r="B332" s="910" t="s">
        <v>136</v>
      </c>
      <c r="C332" s="928"/>
      <c r="D332" s="911"/>
      <c r="E332" s="911"/>
      <c r="F332" s="911"/>
      <c r="G332" s="912"/>
      <c r="H332" s="913" t="s">
        <v>35</v>
      </c>
      <c r="I332" s="929">
        <f ca="1">I344</f>
        <v>5000</v>
      </c>
      <c r="J332" s="930">
        <f ca="1">J344+J347+J348+J349+J353</f>
        <v>5901</v>
      </c>
      <c r="K332" s="931">
        <f ca="1">IF(I332&gt;0,J332*100/I332,0)</f>
        <v>118.02</v>
      </c>
      <c r="L332" s="916"/>
      <c r="M332" s="917"/>
      <c r="N332" s="917"/>
      <c r="O332" s="917"/>
      <c r="P332" s="917"/>
      <c r="Q332" s="917"/>
      <c r="R332" s="917"/>
      <c r="S332" s="917"/>
      <c r="T332" s="917"/>
      <c r="U332" s="917"/>
    </row>
    <row r="333" spans="1:21" ht="19.5" x14ac:dyDescent="0.3">
      <c r="A333" s="674"/>
      <c r="B333" s="561"/>
      <c r="C333" s="675" t="s">
        <v>18</v>
      </c>
      <c r="D333" s="676" t="s">
        <v>19</v>
      </c>
      <c r="E333" s="561"/>
      <c r="F333" s="561"/>
      <c r="G333" s="563"/>
      <c r="H333" s="677" t="s">
        <v>14</v>
      </c>
      <c r="I333" s="565"/>
      <c r="J333" s="565"/>
      <c r="K333" s="566"/>
      <c r="L333" s="678">
        <f t="shared" ref="L333:N333" ca="1" si="216">L334+L335</f>
        <v>197000</v>
      </c>
      <c r="M333" s="679">
        <f t="shared" ca="1" si="216"/>
        <v>121000</v>
      </c>
      <c r="N333" s="679">
        <f t="shared" ca="1" si="216"/>
        <v>95430</v>
      </c>
      <c r="O333" s="679">
        <f t="shared" ref="O333:O341" ca="1" si="217">IF(L333&gt;0,N333*100/L333,0)</f>
        <v>48.441624365482234</v>
      </c>
      <c r="P333" s="679">
        <f t="shared" ref="P333:P341" ca="1" si="218">IF(M333&gt;0,N333*100/M333,0)</f>
        <v>78.867768595041326</v>
      </c>
      <c r="Q333" s="679">
        <f t="shared" ref="Q333:S333" si="219">Q334+Q335</f>
        <v>0</v>
      </c>
      <c r="R333" s="679">
        <f t="shared" si="219"/>
        <v>0</v>
      </c>
      <c r="S333" s="679">
        <f t="shared" si="219"/>
        <v>0</v>
      </c>
      <c r="T333" s="679">
        <f t="shared" ref="T333:T341" si="220">IF(Q333&gt;0,S333*100/Q333,0)</f>
        <v>0</v>
      </c>
      <c r="U333" s="679">
        <f t="shared" ref="U333:U341" si="221">IF(R333&gt;0,S333*100/R333,0)</f>
        <v>0</v>
      </c>
    </row>
    <row r="334" spans="1:21" ht="18.75" x14ac:dyDescent="0.25">
      <c r="A334" s="674"/>
      <c r="B334" s="561"/>
      <c r="C334" s="561"/>
      <c r="D334" s="561"/>
      <c r="E334" s="569" t="s">
        <v>20</v>
      </c>
      <c r="F334" s="561"/>
      <c r="G334" s="563"/>
      <c r="H334" s="680" t="s">
        <v>14</v>
      </c>
      <c r="I334" s="565"/>
      <c r="J334" s="565"/>
      <c r="K334" s="566"/>
      <c r="L334" s="571">
        <f t="shared" ref="L334:N335" si="222">L337+L340</f>
        <v>0</v>
      </c>
      <c r="M334" s="572">
        <f t="shared" si="222"/>
        <v>0</v>
      </c>
      <c r="N334" s="572">
        <f t="shared" si="222"/>
        <v>0</v>
      </c>
      <c r="O334" s="572">
        <f t="shared" si="217"/>
        <v>0</v>
      </c>
      <c r="P334" s="572">
        <f t="shared" si="218"/>
        <v>0</v>
      </c>
      <c r="Q334" s="572">
        <f t="shared" ref="Q334:S335" si="223">Q337+Q340</f>
        <v>0</v>
      </c>
      <c r="R334" s="572">
        <f t="shared" si="223"/>
        <v>0</v>
      </c>
      <c r="S334" s="572">
        <f t="shared" si="223"/>
        <v>0</v>
      </c>
      <c r="T334" s="572">
        <f t="shared" si="220"/>
        <v>0</v>
      </c>
      <c r="U334" s="572">
        <f t="shared" si="221"/>
        <v>0</v>
      </c>
    </row>
    <row r="335" spans="1:21" ht="18.75" x14ac:dyDescent="0.25">
      <c r="A335" s="674"/>
      <c r="B335" s="561"/>
      <c r="C335" s="561"/>
      <c r="D335" s="561"/>
      <c r="E335" s="573" t="s">
        <v>21</v>
      </c>
      <c r="F335" s="561"/>
      <c r="G335" s="563"/>
      <c r="H335" s="681" t="s">
        <v>14</v>
      </c>
      <c r="I335" s="565"/>
      <c r="J335" s="565"/>
      <c r="K335" s="566"/>
      <c r="L335" s="567">
        <f t="shared" ca="1" si="222"/>
        <v>197000</v>
      </c>
      <c r="M335" s="568">
        <f t="shared" ca="1" si="222"/>
        <v>121000</v>
      </c>
      <c r="N335" s="568">
        <f t="shared" ca="1" si="222"/>
        <v>95430</v>
      </c>
      <c r="O335" s="568">
        <f t="shared" ca="1" si="217"/>
        <v>48.441624365482234</v>
      </c>
      <c r="P335" s="568">
        <f t="shared" ca="1" si="218"/>
        <v>78.867768595041326</v>
      </c>
      <c r="Q335" s="568">
        <f t="shared" si="223"/>
        <v>0</v>
      </c>
      <c r="R335" s="568">
        <f t="shared" si="223"/>
        <v>0</v>
      </c>
      <c r="S335" s="568">
        <f t="shared" si="223"/>
        <v>0</v>
      </c>
      <c r="T335" s="568">
        <f t="shared" si="220"/>
        <v>0</v>
      </c>
      <c r="U335" s="568">
        <f t="shared" si="221"/>
        <v>0</v>
      </c>
    </row>
    <row r="336" spans="1:21" ht="18.75" x14ac:dyDescent="0.25">
      <c r="A336" s="674"/>
      <c r="B336" s="561"/>
      <c r="C336" s="561"/>
      <c r="D336" s="562" t="s">
        <v>22</v>
      </c>
      <c r="E336" s="561"/>
      <c r="F336" s="561"/>
      <c r="G336" s="563"/>
      <c r="H336" s="682" t="s">
        <v>14</v>
      </c>
      <c r="I336" s="683"/>
      <c r="J336" s="683"/>
      <c r="K336" s="684"/>
      <c r="L336" s="567">
        <f t="shared" ref="L336:N336" ca="1" si="224">L337+L338</f>
        <v>197000</v>
      </c>
      <c r="M336" s="568">
        <f t="shared" ca="1" si="224"/>
        <v>121000</v>
      </c>
      <c r="N336" s="568">
        <f t="shared" ca="1" si="224"/>
        <v>95430</v>
      </c>
      <c r="O336" s="568">
        <f t="shared" ca="1" si="217"/>
        <v>48.441624365482234</v>
      </c>
      <c r="P336" s="568">
        <f t="shared" ca="1" si="218"/>
        <v>78.867768595041326</v>
      </c>
      <c r="Q336" s="568">
        <f t="shared" ref="Q336:S336" si="225">Q337+Q338</f>
        <v>0</v>
      </c>
      <c r="R336" s="568">
        <f t="shared" si="225"/>
        <v>0</v>
      </c>
      <c r="S336" s="568">
        <f t="shared" si="225"/>
        <v>0</v>
      </c>
      <c r="T336" s="568">
        <f t="shared" si="220"/>
        <v>0</v>
      </c>
      <c r="U336" s="568">
        <f t="shared" si="221"/>
        <v>0</v>
      </c>
    </row>
    <row r="337" spans="1:21" ht="18.75" x14ac:dyDescent="0.25">
      <c r="A337" s="674"/>
      <c r="B337" s="561"/>
      <c r="C337" s="561"/>
      <c r="D337" s="561"/>
      <c r="E337" s="569" t="s">
        <v>36</v>
      </c>
      <c r="F337" s="561"/>
      <c r="G337" s="563"/>
      <c r="H337" s="685" t="s">
        <v>14</v>
      </c>
      <c r="I337" s="683"/>
      <c r="J337" s="683"/>
      <c r="K337" s="684"/>
      <c r="L337" s="571">
        <v>0</v>
      </c>
      <c r="M337" s="572">
        <v>0</v>
      </c>
      <c r="N337" s="572">
        <v>0</v>
      </c>
      <c r="O337" s="572">
        <f t="shared" si="217"/>
        <v>0</v>
      </c>
      <c r="P337" s="572">
        <f t="shared" si="218"/>
        <v>0</v>
      </c>
      <c r="Q337" s="572">
        <v>0</v>
      </c>
      <c r="R337" s="572">
        <v>0</v>
      </c>
      <c r="S337" s="572">
        <v>0</v>
      </c>
      <c r="T337" s="572">
        <f t="shared" si="220"/>
        <v>0</v>
      </c>
      <c r="U337" s="572">
        <f t="shared" si="221"/>
        <v>0</v>
      </c>
    </row>
    <row r="338" spans="1:21" ht="18.75" x14ac:dyDescent="0.25">
      <c r="A338" s="674"/>
      <c r="B338" s="561"/>
      <c r="C338" s="561"/>
      <c r="D338" s="561"/>
      <c r="E338" s="573" t="s">
        <v>37</v>
      </c>
      <c r="F338" s="561"/>
      <c r="G338" s="563"/>
      <c r="H338" s="682" t="s">
        <v>14</v>
      </c>
      <c r="I338" s="683"/>
      <c r="J338" s="683"/>
      <c r="K338" s="684"/>
      <c r="L338" s="567">
        <f ca="1">IFERROR(__xludf.DUMMYFUNCTION("IMPORTRANGE(""https://docs.google.com/spreadsheets/d/1-uDff_7J0KD5mKrp0Vvzr7lt3OU09vwQwhkpOPPYv2Y/edit?usp=sharing"",""งบพรบ!ES14"")"),197000)</f>
        <v>197000</v>
      </c>
      <c r="M338" s="568">
        <f ca="1">IFERROR(__xludf.DUMMYFUNCTION("IMPORTRANGE(""https://docs.google.com/spreadsheets/d/1-uDff_7J0KD5mKrp0Vvzr7lt3OU09vwQwhkpOPPYv2Y/edit?usp=sharing"",""งบพรบ!EX14"")"),121000)</f>
        <v>121000</v>
      </c>
      <c r="N338" s="568">
        <f ca="1">IFERROR(__xludf.DUMMYFUNCTION("IMPORTRANGE(""https://docs.google.com/spreadsheets/d/1-uDff_7J0KD5mKrp0Vvzr7lt3OU09vwQwhkpOPPYv2Y/edit?usp=sharing"",""งบพรบ!EZ14"")"),95430)</f>
        <v>95430</v>
      </c>
      <c r="O338" s="568">
        <f t="shared" ca="1" si="217"/>
        <v>48.441624365482234</v>
      </c>
      <c r="P338" s="568">
        <f t="shared" ca="1" si="218"/>
        <v>78.867768595041326</v>
      </c>
      <c r="Q338" s="568">
        <v>0</v>
      </c>
      <c r="R338" s="568">
        <v>0</v>
      </c>
      <c r="S338" s="568">
        <v>0</v>
      </c>
      <c r="T338" s="568">
        <f t="shared" si="220"/>
        <v>0</v>
      </c>
      <c r="U338" s="568">
        <f t="shared" si="221"/>
        <v>0</v>
      </c>
    </row>
    <row r="339" spans="1:21" ht="18.75" x14ac:dyDescent="0.25">
      <c r="A339" s="674"/>
      <c r="B339" s="561"/>
      <c r="C339" s="561"/>
      <c r="D339" s="562" t="s">
        <v>23</v>
      </c>
      <c r="E339" s="561"/>
      <c r="F339" s="561"/>
      <c r="G339" s="563"/>
      <c r="H339" s="686" t="s">
        <v>14</v>
      </c>
      <c r="I339" s="683"/>
      <c r="J339" s="683"/>
      <c r="K339" s="684"/>
      <c r="L339" s="567">
        <f t="shared" ref="L339:N339" ca="1" si="226">L340+L341</f>
        <v>0</v>
      </c>
      <c r="M339" s="568">
        <f t="shared" ca="1" si="226"/>
        <v>0</v>
      </c>
      <c r="N339" s="568">
        <f t="shared" ca="1" si="226"/>
        <v>0</v>
      </c>
      <c r="O339" s="568">
        <f t="shared" ca="1" si="217"/>
        <v>0</v>
      </c>
      <c r="P339" s="568">
        <f t="shared" ca="1" si="218"/>
        <v>0</v>
      </c>
      <c r="Q339" s="568">
        <f t="shared" ref="Q339:S339" si="227">Q340+Q341</f>
        <v>0</v>
      </c>
      <c r="R339" s="568">
        <f t="shared" si="227"/>
        <v>0</v>
      </c>
      <c r="S339" s="568">
        <f t="shared" si="227"/>
        <v>0</v>
      </c>
      <c r="T339" s="568">
        <f t="shared" si="220"/>
        <v>0</v>
      </c>
      <c r="U339" s="568">
        <f t="shared" si="221"/>
        <v>0</v>
      </c>
    </row>
    <row r="340" spans="1:21" ht="18.75" x14ac:dyDescent="0.25">
      <c r="A340" s="674"/>
      <c r="B340" s="561"/>
      <c r="C340" s="561"/>
      <c r="D340" s="561"/>
      <c r="E340" s="569" t="s">
        <v>20</v>
      </c>
      <c r="F340" s="561"/>
      <c r="G340" s="563"/>
      <c r="H340" s="685" t="s">
        <v>14</v>
      </c>
      <c r="I340" s="683"/>
      <c r="J340" s="683"/>
      <c r="K340" s="684"/>
      <c r="L340" s="571">
        <v>0</v>
      </c>
      <c r="M340" s="572">
        <v>0</v>
      </c>
      <c r="N340" s="572">
        <v>0</v>
      </c>
      <c r="O340" s="572">
        <f t="shared" si="217"/>
        <v>0</v>
      </c>
      <c r="P340" s="572">
        <f t="shared" si="218"/>
        <v>0</v>
      </c>
      <c r="Q340" s="572">
        <v>0</v>
      </c>
      <c r="R340" s="572">
        <v>0</v>
      </c>
      <c r="S340" s="572">
        <v>0</v>
      </c>
      <c r="T340" s="572">
        <f t="shared" si="220"/>
        <v>0</v>
      </c>
      <c r="U340" s="572">
        <f t="shared" si="221"/>
        <v>0</v>
      </c>
    </row>
    <row r="341" spans="1:21" ht="18.75" x14ac:dyDescent="0.25">
      <c r="A341" s="674"/>
      <c r="B341" s="561"/>
      <c r="C341" s="561"/>
      <c r="D341" s="561"/>
      <c r="E341" s="573" t="s">
        <v>21</v>
      </c>
      <c r="F341" s="561"/>
      <c r="G341" s="563"/>
      <c r="H341" s="686" t="s">
        <v>14</v>
      </c>
      <c r="I341" s="683"/>
      <c r="J341" s="683"/>
      <c r="K341" s="684"/>
      <c r="L341" s="567">
        <f ca="1">IFERROR(__xludf.DUMMYFUNCTION("IMPORTRANGE(""https://docs.google.com/spreadsheets/d/1-uDff_7J0KD5mKrp0Vvzr7lt3OU09vwQwhkpOPPYv2Y/edit?usp=sharing"",""งบพรบ!EV14"")"),0)</f>
        <v>0</v>
      </c>
      <c r="M341" s="568">
        <f ca="1">IFERROR(__xludf.DUMMYFUNCTION("IMPORTRANGE(""https://docs.google.com/spreadsheets/d/1-uDff_7J0KD5mKrp0Vvzr7lt3OU09vwQwhkpOPPYv2Y/edit?usp=sharing"",""งบพรบ!EY14"")"),0)</f>
        <v>0</v>
      </c>
      <c r="N341" s="568">
        <f ca="1">IFERROR(__xludf.DUMMYFUNCTION("IMPORTRANGE(""https://docs.google.com/spreadsheets/d/1-uDff_7J0KD5mKrp0Vvzr7lt3OU09vwQwhkpOPPYv2Y/edit?usp=sharing"",""งบพรบ!FA14"")"),0)</f>
        <v>0</v>
      </c>
      <c r="O341" s="568">
        <f t="shared" ca="1" si="217"/>
        <v>0</v>
      </c>
      <c r="P341" s="568">
        <f t="shared" ca="1" si="218"/>
        <v>0</v>
      </c>
      <c r="Q341" s="568">
        <v>0</v>
      </c>
      <c r="R341" s="568">
        <v>0</v>
      </c>
      <c r="S341" s="568">
        <v>0</v>
      </c>
      <c r="T341" s="568">
        <f t="shared" si="220"/>
        <v>0</v>
      </c>
      <c r="U341" s="568">
        <f t="shared" si="221"/>
        <v>0</v>
      </c>
    </row>
    <row r="342" spans="1:21" ht="19.5" x14ac:dyDescent="0.3">
      <c r="A342" s="687"/>
      <c r="B342" s="688"/>
      <c r="C342" s="675" t="s">
        <v>18</v>
      </c>
      <c r="D342" s="757" t="s">
        <v>38</v>
      </c>
      <c r="E342" s="690"/>
      <c r="F342" s="690"/>
      <c r="G342" s="691"/>
      <c r="H342" s="563"/>
      <c r="I342" s="565"/>
      <c r="J342" s="565"/>
      <c r="K342" s="566"/>
      <c r="L342" s="574"/>
      <c r="M342" s="566"/>
      <c r="N342" s="566"/>
      <c r="O342" s="684"/>
      <c r="P342" s="684"/>
      <c r="Q342" s="566"/>
      <c r="R342" s="566"/>
      <c r="S342" s="566"/>
      <c r="T342" s="684"/>
      <c r="U342" s="684"/>
    </row>
    <row r="343" spans="1:21" ht="19.5" x14ac:dyDescent="0.3">
      <c r="A343" s="932"/>
      <c r="B343" s="933"/>
      <c r="C343" s="934"/>
      <c r="D343" s="933"/>
      <c r="E343" s="935" t="s">
        <v>137</v>
      </c>
      <c r="F343" s="933"/>
      <c r="G343" s="936"/>
      <c r="H343" s="937" t="s">
        <v>35</v>
      </c>
      <c r="I343" s="938">
        <v>0</v>
      </c>
      <c r="J343" s="938">
        <f ca="1">J344+J347+J348+J349</f>
        <v>4872</v>
      </c>
      <c r="K343" s="939">
        <v>0</v>
      </c>
      <c r="L343" s="777"/>
      <c r="M343" s="778"/>
      <c r="N343" s="778"/>
      <c r="O343" s="778"/>
      <c r="P343" s="778"/>
      <c r="Q343" s="778"/>
      <c r="R343" s="778"/>
      <c r="S343" s="778"/>
      <c r="T343" s="778"/>
      <c r="U343" s="778"/>
    </row>
    <row r="344" spans="1:21" ht="18.75" x14ac:dyDescent="0.25">
      <c r="A344" s="764"/>
      <c r="B344" s="561"/>
      <c r="C344" s="718"/>
      <c r="D344" s="695"/>
      <c r="E344" s="699" t="s">
        <v>138</v>
      </c>
      <c r="F344" s="561"/>
      <c r="G344" s="563"/>
      <c r="H344" s="766" t="s">
        <v>35</v>
      </c>
      <c r="I344" s="708">
        <f ca="1">IFERROR(__xludf.DUMMYFUNCTION("IMPORTRANGE(""https://docs.google.com/spreadsheets/d/1eHaY18a8A9IcSdp1K8H6x8fbOy06t2VsZHhMHf-1x7Y/edit?usp=sharing"",""แผน!EK14"")"),5000)</f>
        <v>5000</v>
      </c>
      <c r="J344" s="708">
        <f ca="1">IFERROR(__xludf.DUMMYFUNCTION("IMPORTRANGE(""https://docs.google.com/spreadsheets/d/1awYsYK3VOup2i3Pq_Yjnu8DRu_mYwSBnCR2QPthd0rU/edit?usp=sharing"",""ศูนย์ยกเว้นโฉนด!D14"")"),4865)</f>
        <v>4865</v>
      </c>
      <c r="K344" s="568">
        <f ca="1">IF(I344&gt;0,J344*100/I344,0)</f>
        <v>97.3</v>
      </c>
      <c r="L344" s="574"/>
      <c r="M344" s="566"/>
      <c r="N344" s="566"/>
      <c r="O344" s="566"/>
      <c r="P344" s="566"/>
      <c r="Q344" s="566"/>
      <c r="R344" s="566"/>
      <c r="S344" s="566"/>
      <c r="T344" s="566"/>
      <c r="U344" s="566"/>
    </row>
    <row r="345" spans="1:21" ht="18.75" x14ac:dyDescent="0.25">
      <c r="A345" s="764"/>
      <c r="B345" s="561"/>
      <c r="C345" s="718"/>
      <c r="D345" s="695"/>
      <c r="E345" s="699" t="s">
        <v>139</v>
      </c>
      <c r="F345" s="561"/>
      <c r="G345" s="563"/>
      <c r="H345" s="727"/>
      <c r="I345" s="565"/>
      <c r="J345" s="565"/>
      <c r="K345" s="566"/>
      <c r="L345" s="574"/>
      <c r="M345" s="566"/>
      <c r="N345" s="566"/>
      <c r="O345" s="566"/>
      <c r="P345" s="566"/>
      <c r="Q345" s="566"/>
      <c r="R345" s="566"/>
      <c r="S345" s="566"/>
      <c r="T345" s="566"/>
      <c r="U345" s="566"/>
    </row>
    <row r="346" spans="1:21" ht="18.75" x14ac:dyDescent="0.25">
      <c r="A346" s="764"/>
      <c r="B346" s="561"/>
      <c r="C346" s="718"/>
      <c r="D346" s="695"/>
      <c r="E346" s="695"/>
      <c r="F346" s="699" t="s">
        <v>140</v>
      </c>
      <c r="G346" s="563"/>
      <c r="H346" s="722" t="s">
        <v>141</v>
      </c>
      <c r="I346" s="708">
        <f ca="1">IFERROR(__xludf.DUMMYFUNCTION("IMPORTRANGE(""https://docs.google.com/spreadsheets/d/1eHaY18a8A9IcSdp1K8H6x8fbOy06t2VsZHhMHf-1x7Y/edit?usp=sharing"",""แผน!EL14"")"),5)</f>
        <v>5</v>
      </c>
      <c r="J346" s="708">
        <f ca="1">IFERROR(__xludf.DUMMYFUNCTION("IMPORTRANGE(""https://docs.google.com/spreadsheets/d/1awYsYK3VOup2i3Pq_Yjnu8DRu_mYwSBnCR2QPthd0rU/edit?usp=sharing"",""ศูนย์รวม!E14"")"),5)</f>
        <v>5</v>
      </c>
      <c r="K346" s="568">
        <f ca="1">IF(I346&gt;0,J346*100/I346,0)</f>
        <v>100</v>
      </c>
      <c r="L346" s="574"/>
      <c r="M346" s="566"/>
      <c r="N346" s="566"/>
      <c r="O346" s="566"/>
      <c r="P346" s="566"/>
      <c r="Q346" s="566"/>
      <c r="R346" s="566"/>
      <c r="S346" s="566"/>
      <c r="T346" s="566"/>
      <c r="U346" s="566"/>
    </row>
    <row r="347" spans="1:21" ht="18.75" x14ac:dyDescent="0.25">
      <c r="A347" s="764"/>
      <c r="B347" s="561"/>
      <c r="C347" s="718"/>
      <c r="D347" s="695"/>
      <c r="E347" s="695"/>
      <c r="F347" s="699" t="s">
        <v>142</v>
      </c>
      <c r="G347" s="563"/>
      <c r="H347" s="722" t="s">
        <v>35</v>
      </c>
      <c r="I347" s="565"/>
      <c r="J347" s="708">
        <f ca="1">IFERROR(__xludf.DUMMYFUNCTION("IMPORTRANGE(""https://docs.google.com/spreadsheets/d/1awYsYK3VOup2i3Pq_Yjnu8DRu_mYwSBnCR2QPthd0rU/edit?usp=sharing"",""ศูนย์ยกเว้นโฉนด!F14"")"),0)</f>
        <v>0</v>
      </c>
      <c r="K347" s="566"/>
      <c r="L347" s="574"/>
      <c r="M347" s="566"/>
      <c r="N347" s="566"/>
      <c r="O347" s="566"/>
      <c r="P347" s="566"/>
      <c r="Q347" s="566"/>
      <c r="R347" s="566"/>
      <c r="S347" s="566"/>
      <c r="T347" s="566"/>
      <c r="U347" s="566"/>
    </row>
    <row r="348" spans="1:21" ht="18.75" x14ac:dyDescent="0.25">
      <c r="A348" s="764"/>
      <c r="B348" s="561"/>
      <c r="C348" s="718"/>
      <c r="D348" s="695"/>
      <c r="E348" s="699" t="s">
        <v>143</v>
      </c>
      <c r="F348" s="695"/>
      <c r="G348" s="563"/>
      <c r="H348" s="722" t="s">
        <v>35</v>
      </c>
      <c r="I348" s="565"/>
      <c r="J348" s="708">
        <f ca="1">IFERROR(__xludf.DUMMYFUNCTION("IMPORTRANGE(""https://docs.google.com/spreadsheets/d/1awYsYK3VOup2i3Pq_Yjnu8DRu_mYwSBnCR2QPthd0rU/edit?usp=sharing"",""ศูนย์ยกเว้นโฉนด!G14"")"),7)</f>
        <v>7</v>
      </c>
      <c r="K348" s="566"/>
      <c r="L348" s="574"/>
      <c r="M348" s="566"/>
      <c r="N348" s="566"/>
      <c r="O348" s="566"/>
      <c r="P348" s="566"/>
      <c r="Q348" s="566"/>
      <c r="R348" s="566"/>
      <c r="S348" s="566"/>
      <c r="T348" s="566"/>
      <c r="U348" s="566"/>
    </row>
    <row r="349" spans="1:21" ht="18.75" x14ac:dyDescent="0.25">
      <c r="A349" s="764"/>
      <c r="B349" s="561"/>
      <c r="C349" s="718"/>
      <c r="D349" s="688"/>
      <c r="E349" s="699" t="s">
        <v>144</v>
      </c>
      <c r="F349" s="695"/>
      <c r="G349" s="563"/>
      <c r="H349" s="722" t="s">
        <v>35</v>
      </c>
      <c r="I349" s="565"/>
      <c r="J349" s="708">
        <f ca="1">IFERROR(__xludf.DUMMYFUNCTION("IMPORTRANGE(""https://docs.google.com/spreadsheets/d/1awYsYK3VOup2i3Pq_Yjnu8DRu_mYwSBnCR2QPthd0rU/edit?usp=sharing"",""ศูนย์ยกเว้นโฉนด!H14"")"),0)</f>
        <v>0</v>
      </c>
      <c r="K349" s="566"/>
      <c r="L349" s="574"/>
      <c r="M349" s="566"/>
      <c r="N349" s="566"/>
      <c r="O349" s="566"/>
      <c r="P349" s="566"/>
      <c r="Q349" s="566"/>
      <c r="R349" s="566"/>
      <c r="S349" s="566"/>
      <c r="T349" s="566"/>
      <c r="U349" s="566"/>
    </row>
    <row r="350" spans="1:21" ht="16.5" x14ac:dyDescent="0.25">
      <c r="A350" s="718"/>
      <c r="B350" s="561"/>
      <c r="C350" s="718"/>
      <c r="D350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61"/>
      <c r="F350" s="561"/>
      <c r="G350" s="563"/>
      <c r="H350" s="727"/>
      <c r="I350" s="565"/>
      <c r="J350" s="565"/>
      <c r="K350" s="566"/>
      <c r="L350" s="574"/>
      <c r="M350" s="566"/>
      <c r="N350" s="566"/>
      <c r="O350" s="566"/>
      <c r="P350" s="566"/>
      <c r="Q350" s="566"/>
      <c r="R350" s="566"/>
      <c r="S350" s="566"/>
      <c r="T350" s="566"/>
      <c r="U350" s="566"/>
    </row>
    <row r="351" spans="1:21" ht="19.5" x14ac:dyDescent="0.3">
      <c r="A351" s="769"/>
      <c r="B351" s="772"/>
      <c r="C351" s="770"/>
      <c r="D351" s="772"/>
      <c r="E351" s="941" t="s">
        <v>145</v>
      </c>
      <c r="F351" s="772"/>
      <c r="G351" s="773"/>
      <c r="H351" s="774" t="s">
        <v>35</v>
      </c>
      <c r="I351" s="775">
        <v>0</v>
      </c>
      <c r="J351" s="775">
        <f ca="1">J352+J353</f>
        <v>6426</v>
      </c>
      <c r="K351" s="776">
        <v>0</v>
      </c>
      <c r="L351" s="777"/>
      <c r="M351" s="778"/>
      <c r="N351" s="778"/>
      <c r="O351" s="778"/>
      <c r="P351" s="778"/>
      <c r="Q351" s="778"/>
      <c r="R351" s="778"/>
      <c r="S351" s="778"/>
      <c r="T351" s="778"/>
      <c r="U351" s="778"/>
    </row>
    <row r="352" spans="1:21" ht="18.75" x14ac:dyDescent="0.25">
      <c r="A352" s="718"/>
      <c r="B352" s="561"/>
      <c r="C352" s="718"/>
      <c r="D352" s="695"/>
      <c r="E352" s="699" t="s">
        <v>146</v>
      </c>
      <c r="F352" s="561"/>
      <c r="G352" s="563"/>
      <c r="H352" s="681" t="s">
        <v>35</v>
      </c>
      <c r="I352" s="565"/>
      <c r="J352" s="708">
        <f ca="1">IFERROR(__xludf.DUMMYFUNCTION("IMPORTRANGE(""https://docs.google.com/spreadsheets/d/1awYsYK3VOup2i3Pq_Yjnu8DRu_mYwSBnCR2QPthd0rU/edit?usp=sharing"",""โฉนดM3!G14"")"),5397)</f>
        <v>5397</v>
      </c>
      <c r="K352" s="566"/>
      <c r="L352" s="574"/>
      <c r="M352" s="566"/>
      <c r="N352" s="566"/>
      <c r="O352" s="566"/>
      <c r="P352" s="566"/>
      <c r="Q352" s="566"/>
      <c r="R352" s="566"/>
      <c r="S352" s="566"/>
      <c r="T352" s="566"/>
      <c r="U352" s="566"/>
    </row>
    <row r="353" spans="1:21" ht="18.75" x14ac:dyDescent="0.25">
      <c r="A353" s="718"/>
      <c r="B353" s="561"/>
      <c r="C353" s="718"/>
      <c r="D353" s="695"/>
      <c r="E353" s="699" t="s">
        <v>147</v>
      </c>
      <c r="F353" s="561"/>
      <c r="G353" s="563"/>
      <c r="H353" s="681" t="s">
        <v>35</v>
      </c>
      <c r="I353" s="565"/>
      <c r="J353" s="708">
        <f ca="1">IFERROR(__xludf.DUMMYFUNCTION("IMPORTRANGE(""https://docs.google.com/spreadsheets/d/1awYsYK3VOup2i3Pq_Yjnu8DRu_mYwSBnCR2QPthd0rU/edit?usp=sharing"",""โฉนดM3!H14"")"),1029)</f>
        <v>1029</v>
      </c>
      <c r="K353" s="566"/>
      <c r="L353" s="574"/>
      <c r="M353" s="566"/>
      <c r="N353" s="566"/>
      <c r="O353" s="566"/>
      <c r="P353" s="566"/>
      <c r="Q353" s="566"/>
      <c r="R353" s="566"/>
      <c r="S353" s="566"/>
      <c r="T353" s="566"/>
      <c r="U353" s="566"/>
    </row>
    <row r="354" spans="1:21" ht="16.5" x14ac:dyDescent="0.25">
      <c r="A354" s="718"/>
      <c r="B354" s="561"/>
      <c r="C354" s="718"/>
      <c r="D354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61"/>
      <c r="F354" s="561"/>
      <c r="G354" s="563"/>
      <c r="H354" s="727"/>
      <c r="I354" s="565"/>
      <c r="J354" s="565"/>
      <c r="K354" s="566"/>
      <c r="L354" s="574"/>
      <c r="M354" s="566"/>
      <c r="N354" s="566"/>
      <c r="O354" s="566"/>
      <c r="P354" s="566"/>
      <c r="Q354" s="566"/>
      <c r="R354" s="566"/>
      <c r="S354" s="566"/>
      <c r="T354" s="566"/>
      <c r="U354" s="566"/>
    </row>
    <row r="355" spans="1:21" ht="19.5" x14ac:dyDescent="0.3">
      <c r="A355" s="909"/>
      <c r="B355" s="910" t="s">
        <v>148</v>
      </c>
      <c r="C355" s="928"/>
      <c r="D355" s="911"/>
      <c r="E355" s="911"/>
      <c r="F355" s="911"/>
      <c r="G355" s="912"/>
      <c r="H355" s="912"/>
      <c r="I355" s="942"/>
      <c r="J355" s="942"/>
      <c r="K355" s="917"/>
      <c r="L355" s="916"/>
      <c r="M355" s="917"/>
      <c r="N355" s="917"/>
      <c r="O355" s="917"/>
      <c r="P355" s="917"/>
      <c r="Q355" s="917"/>
      <c r="R355" s="917"/>
      <c r="S355" s="917"/>
      <c r="T355" s="917"/>
      <c r="U355" s="917"/>
    </row>
    <row r="356" spans="1:21" ht="19.5" x14ac:dyDescent="0.3">
      <c r="A356" s="674"/>
      <c r="B356" s="561"/>
      <c r="C356" s="675" t="s">
        <v>18</v>
      </c>
      <c r="D356" s="676" t="s">
        <v>19</v>
      </c>
      <c r="E356" s="561"/>
      <c r="F356" s="561"/>
      <c r="G356" s="563"/>
      <c r="H356" s="677" t="s">
        <v>14</v>
      </c>
      <c r="I356" s="565"/>
      <c r="J356" s="565"/>
      <c r="K356" s="566"/>
      <c r="L356" s="678">
        <f t="shared" ref="L356:N356" ca="1" si="228">L357+L358</f>
        <v>887480</v>
      </c>
      <c r="M356" s="679">
        <f t="shared" ca="1" si="228"/>
        <v>633060</v>
      </c>
      <c r="N356" s="679">
        <f t="shared" ca="1" si="228"/>
        <v>524037.45</v>
      </c>
      <c r="O356" s="679">
        <f t="shared" ref="O356:O364" ca="1" si="229">IF(L356&gt;0,N356*100/L356,0)</f>
        <v>59.047803894172262</v>
      </c>
      <c r="P356" s="679">
        <f t="shared" ref="P356:P364" ca="1" si="230">IF(M356&gt;0,N356*100/M356,0)</f>
        <v>82.778480712728651</v>
      </c>
      <c r="Q356" s="679">
        <f t="shared" ref="Q356:S356" si="231">Q357+Q358</f>
        <v>0</v>
      </c>
      <c r="R356" s="679">
        <f t="shared" si="231"/>
        <v>0</v>
      </c>
      <c r="S356" s="679">
        <f t="shared" si="231"/>
        <v>0</v>
      </c>
      <c r="T356" s="679">
        <f t="shared" ref="T356:T364" si="232">IF(Q356&gt;0,S356*100/Q356,0)</f>
        <v>0</v>
      </c>
      <c r="U356" s="679">
        <f t="shared" ref="U356:U364" si="233">IF(R356&gt;0,S356*100/R356,0)</f>
        <v>0</v>
      </c>
    </row>
    <row r="357" spans="1:21" ht="18.75" x14ac:dyDescent="0.25">
      <c r="A357" s="674"/>
      <c r="B357" s="561"/>
      <c r="C357" s="561"/>
      <c r="D357" s="561"/>
      <c r="E357" s="569" t="s">
        <v>20</v>
      </c>
      <c r="F357" s="561"/>
      <c r="G357" s="563"/>
      <c r="H357" s="680" t="s">
        <v>14</v>
      </c>
      <c r="I357" s="565"/>
      <c r="J357" s="565"/>
      <c r="K357" s="566"/>
      <c r="L357" s="571">
        <f t="shared" ref="L357:N358" si="234">L360+L363</f>
        <v>0</v>
      </c>
      <c r="M357" s="572">
        <f t="shared" si="234"/>
        <v>0</v>
      </c>
      <c r="N357" s="572">
        <f t="shared" si="234"/>
        <v>0</v>
      </c>
      <c r="O357" s="572">
        <f t="shared" si="229"/>
        <v>0</v>
      </c>
      <c r="P357" s="572">
        <f t="shared" si="230"/>
        <v>0</v>
      </c>
      <c r="Q357" s="572">
        <f t="shared" ref="Q357:S358" si="235">Q360+Q363</f>
        <v>0</v>
      </c>
      <c r="R357" s="572">
        <f t="shared" si="235"/>
        <v>0</v>
      </c>
      <c r="S357" s="572">
        <f t="shared" si="235"/>
        <v>0</v>
      </c>
      <c r="T357" s="572">
        <f t="shared" si="232"/>
        <v>0</v>
      </c>
      <c r="U357" s="572">
        <f t="shared" si="233"/>
        <v>0</v>
      </c>
    </row>
    <row r="358" spans="1:21" ht="18.75" x14ac:dyDescent="0.25">
      <c r="A358" s="674"/>
      <c r="B358" s="561"/>
      <c r="C358" s="561"/>
      <c r="D358" s="561"/>
      <c r="E358" s="573" t="s">
        <v>21</v>
      </c>
      <c r="F358" s="561"/>
      <c r="G358" s="563"/>
      <c r="H358" s="681" t="s">
        <v>14</v>
      </c>
      <c r="I358" s="565"/>
      <c r="J358" s="565"/>
      <c r="K358" s="566"/>
      <c r="L358" s="567">
        <f t="shared" ca="1" si="234"/>
        <v>887480</v>
      </c>
      <c r="M358" s="568">
        <f t="shared" ca="1" si="234"/>
        <v>633060</v>
      </c>
      <c r="N358" s="568">
        <f t="shared" ca="1" si="234"/>
        <v>524037.45</v>
      </c>
      <c r="O358" s="568">
        <f t="shared" ca="1" si="229"/>
        <v>59.047803894172262</v>
      </c>
      <c r="P358" s="568">
        <f t="shared" ca="1" si="230"/>
        <v>82.778480712728651</v>
      </c>
      <c r="Q358" s="568">
        <f t="shared" si="235"/>
        <v>0</v>
      </c>
      <c r="R358" s="568">
        <f t="shared" si="235"/>
        <v>0</v>
      </c>
      <c r="S358" s="568">
        <f t="shared" si="235"/>
        <v>0</v>
      </c>
      <c r="T358" s="568">
        <f t="shared" si="232"/>
        <v>0</v>
      </c>
      <c r="U358" s="568">
        <f t="shared" si="233"/>
        <v>0</v>
      </c>
    </row>
    <row r="359" spans="1:21" ht="18.75" x14ac:dyDescent="0.25">
      <c r="A359" s="674"/>
      <c r="B359" s="561"/>
      <c r="C359" s="561"/>
      <c r="D359" s="562" t="s">
        <v>22</v>
      </c>
      <c r="E359" s="561"/>
      <c r="F359" s="561"/>
      <c r="G359" s="563"/>
      <c r="H359" s="682" t="s">
        <v>14</v>
      </c>
      <c r="I359" s="683"/>
      <c r="J359" s="683"/>
      <c r="K359" s="684"/>
      <c r="L359" s="567">
        <f t="shared" ref="L359:N359" ca="1" si="236">L360+L361</f>
        <v>887480</v>
      </c>
      <c r="M359" s="568">
        <f t="shared" ca="1" si="236"/>
        <v>633060</v>
      </c>
      <c r="N359" s="568">
        <f t="shared" ca="1" si="236"/>
        <v>524037.45</v>
      </c>
      <c r="O359" s="568">
        <f t="shared" ca="1" si="229"/>
        <v>59.047803894172262</v>
      </c>
      <c r="P359" s="568">
        <f t="shared" ca="1" si="230"/>
        <v>82.778480712728651</v>
      </c>
      <c r="Q359" s="568">
        <f t="shared" ref="Q359:S359" si="237">Q360+Q361</f>
        <v>0</v>
      </c>
      <c r="R359" s="568">
        <f t="shared" si="237"/>
        <v>0</v>
      </c>
      <c r="S359" s="568">
        <f t="shared" si="237"/>
        <v>0</v>
      </c>
      <c r="T359" s="568">
        <f t="shared" si="232"/>
        <v>0</v>
      </c>
      <c r="U359" s="568">
        <f t="shared" si="233"/>
        <v>0</v>
      </c>
    </row>
    <row r="360" spans="1:21" ht="18.75" x14ac:dyDescent="0.25">
      <c r="A360" s="674"/>
      <c r="B360" s="561"/>
      <c r="C360" s="561"/>
      <c r="D360" s="561"/>
      <c r="E360" s="569" t="s">
        <v>36</v>
      </c>
      <c r="F360" s="561"/>
      <c r="G360" s="563"/>
      <c r="H360" s="685" t="s">
        <v>14</v>
      </c>
      <c r="I360" s="683"/>
      <c r="J360" s="683"/>
      <c r="K360" s="684"/>
      <c r="L360" s="571">
        <v>0</v>
      </c>
      <c r="M360" s="572">
        <v>0</v>
      </c>
      <c r="N360" s="572">
        <v>0</v>
      </c>
      <c r="O360" s="572">
        <f t="shared" si="229"/>
        <v>0</v>
      </c>
      <c r="P360" s="572">
        <f t="shared" si="230"/>
        <v>0</v>
      </c>
      <c r="Q360" s="572">
        <v>0</v>
      </c>
      <c r="R360" s="572">
        <v>0</v>
      </c>
      <c r="S360" s="572">
        <v>0</v>
      </c>
      <c r="T360" s="572">
        <f t="shared" si="232"/>
        <v>0</v>
      </c>
      <c r="U360" s="572">
        <f t="shared" si="233"/>
        <v>0</v>
      </c>
    </row>
    <row r="361" spans="1:21" ht="18.75" x14ac:dyDescent="0.25">
      <c r="A361" s="674"/>
      <c r="B361" s="561"/>
      <c r="C361" s="561"/>
      <c r="D361" s="561"/>
      <c r="E361" s="573" t="s">
        <v>37</v>
      </c>
      <c r="F361" s="561"/>
      <c r="G361" s="563"/>
      <c r="H361" s="682" t="s">
        <v>14</v>
      </c>
      <c r="I361" s="683"/>
      <c r="J361" s="683"/>
      <c r="K361" s="684"/>
      <c r="L361" s="567">
        <f ca="1">IFERROR(__xludf.DUMMYFUNCTION("IMPORTRANGE(""https://docs.google.com/spreadsheets/d/1-uDff_7J0KD5mKrp0Vvzr7lt3OU09vwQwhkpOPPYv2Y/edit?usp=sharing"",""งบพรบ!FC14"")"),887480)</f>
        <v>887480</v>
      </c>
      <c r="M361" s="568">
        <f ca="1">IFERROR(__xludf.DUMMYFUNCTION("IMPORTRANGE(""https://docs.google.com/spreadsheets/d/1-uDff_7J0KD5mKrp0Vvzr7lt3OU09vwQwhkpOPPYv2Y/edit?usp=sharing"",""งบพรบ!FH14"")"),633060)</f>
        <v>633060</v>
      </c>
      <c r="N361" s="568">
        <f ca="1">IFERROR(__xludf.DUMMYFUNCTION("IMPORTRANGE(""https://docs.google.com/spreadsheets/d/1-uDff_7J0KD5mKrp0Vvzr7lt3OU09vwQwhkpOPPYv2Y/edit?usp=sharing"",""งบพรบ!FJ14"")"),524037.45)</f>
        <v>524037.45</v>
      </c>
      <c r="O361" s="568">
        <f t="shared" ca="1" si="229"/>
        <v>59.047803894172262</v>
      </c>
      <c r="P361" s="568">
        <f t="shared" ca="1" si="230"/>
        <v>82.778480712728651</v>
      </c>
      <c r="Q361" s="568">
        <v>0</v>
      </c>
      <c r="R361" s="568">
        <v>0</v>
      </c>
      <c r="S361" s="568">
        <v>0</v>
      </c>
      <c r="T361" s="568">
        <f t="shared" si="232"/>
        <v>0</v>
      </c>
      <c r="U361" s="568">
        <f t="shared" si="233"/>
        <v>0</v>
      </c>
    </row>
    <row r="362" spans="1:21" ht="18.75" x14ac:dyDescent="0.25">
      <c r="A362" s="674"/>
      <c r="B362" s="561"/>
      <c r="C362" s="561"/>
      <c r="D362" s="562" t="s">
        <v>23</v>
      </c>
      <c r="E362" s="561"/>
      <c r="F362" s="561"/>
      <c r="G362" s="563"/>
      <c r="H362" s="686" t="s">
        <v>14</v>
      </c>
      <c r="I362" s="683"/>
      <c r="J362" s="683"/>
      <c r="K362" s="684"/>
      <c r="L362" s="567">
        <f t="shared" ref="L362:N362" ca="1" si="238">L363+L364</f>
        <v>0</v>
      </c>
      <c r="M362" s="568">
        <f t="shared" ca="1" si="238"/>
        <v>0</v>
      </c>
      <c r="N362" s="568">
        <f t="shared" ca="1" si="238"/>
        <v>0</v>
      </c>
      <c r="O362" s="568">
        <f t="shared" ca="1" si="229"/>
        <v>0</v>
      </c>
      <c r="P362" s="568">
        <f t="shared" ca="1" si="230"/>
        <v>0</v>
      </c>
      <c r="Q362" s="568">
        <f t="shared" ref="Q362:S362" si="239">Q363+Q364</f>
        <v>0</v>
      </c>
      <c r="R362" s="568">
        <f t="shared" si="239"/>
        <v>0</v>
      </c>
      <c r="S362" s="568">
        <f t="shared" si="239"/>
        <v>0</v>
      </c>
      <c r="T362" s="568">
        <f t="shared" si="232"/>
        <v>0</v>
      </c>
      <c r="U362" s="568">
        <f t="shared" si="233"/>
        <v>0</v>
      </c>
    </row>
    <row r="363" spans="1:21" ht="18.75" x14ac:dyDescent="0.25">
      <c r="A363" s="674"/>
      <c r="B363" s="561"/>
      <c r="C363" s="561"/>
      <c r="D363" s="561"/>
      <c r="E363" s="569" t="s">
        <v>20</v>
      </c>
      <c r="F363" s="561"/>
      <c r="G363" s="563"/>
      <c r="H363" s="685" t="s">
        <v>14</v>
      </c>
      <c r="I363" s="683"/>
      <c r="J363" s="683"/>
      <c r="K363" s="684"/>
      <c r="L363" s="571">
        <v>0</v>
      </c>
      <c r="M363" s="572">
        <v>0</v>
      </c>
      <c r="N363" s="572">
        <v>0</v>
      </c>
      <c r="O363" s="572">
        <f t="shared" si="229"/>
        <v>0</v>
      </c>
      <c r="P363" s="572">
        <f t="shared" si="230"/>
        <v>0</v>
      </c>
      <c r="Q363" s="572">
        <v>0</v>
      </c>
      <c r="R363" s="572">
        <v>0</v>
      </c>
      <c r="S363" s="572">
        <v>0</v>
      </c>
      <c r="T363" s="572">
        <f t="shared" si="232"/>
        <v>0</v>
      </c>
      <c r="U363" s="572">
        <f t="shared" si="233"/>
        <v>0</v>
      </c>
    </row>
    <row r="364" spans="1:21" ht="18.75" x14ac:dyDescent="0.25">
      <c r="A364" s="674"/>
      <c r="B364" s="561"/>
      <c r="C364" s="561"/>
      <c r="D364" s="561"/>
      <c r="E364" s="573" t="s">
        <v>21</v>
      </c>
      <c r="F364" s="561"/>
      <c r="G364" s="563"/>
      <c r="H364" s="686" t="s">
        <v>14</v>
      </c>
      <c r="I364" s="683"/>
      <c r="J364" s="683"/>
      <c r="K364" s="684"/>
      <c r="L364" s="567">
        <f ca="1">IFERROR(__xludf.DUMMYFUNCTION("IMPORTRANGE(""https://docs.google.com/spreadsheets/d/1-uDff_7J0KD5mKrp0Vvzr7lt3OU09vwQwhkpOPPYv2Y/edit?usp=sharing"",""งบพรบ!FF14"")"),0)</f>
        <v>0</v>
      </c>
      <c r="M364" s="568">
        <f ca="1">IFERROR(__xludf.DUMMYFUNCTION("IMPORTRANGE(""https://docs.google.com/spreadsheets/d/1-uDff_7J0KD5mKrp0Vvzr7lt3OU09vwQwhkpOPPYv2Y/edit?usp=sharing"",""งบพรบ!FI14"")"),0)</f>
        <v>0</v>
      </c>
      <c r="N364" s="568">
        <f ca="1">IFERROR(__xludf.DUMMYFUNCTION("IMPORTRANGE(""https://docs.google.com/spreadsheets/d/1-uDff_7J0KD5mKrp0Vvzr7lt3OU09vwQwhkpOPPYv2Y/edit?usp=sharing"",""งบพรบ!FK14"")"),0)</f>
        <v>0</v>
      </c>
      <c r="O364" s="568">
        <f t="shared" ca="1" si="229"/>
        <v>0</v>
      </c>
      <c r="P364" s="568">
        <f t="shared" ca="1" si="230"/>
        <v>0</v>
      </c>
      <c r="Q364" s="568">
        <v>0</v>
      </c>
      <c r="R364" s="568">
        <v>0</v>
      </c>
      <c r="S364" s="568">
        <v>0</v>
      </c>
      <c r="T364" s="568">
        <f t="shared" si="232"/>
        <v>0</v>
      </c>
      <c r="U364" s="568">
        <f t="shared" si="233"/>
        <v>0</v>
      </c>
    </row>
    <row r="365" spans="1:21" ht="19.5" x14ac:dyDescent="0.3">
      <c r="A365" s="769"/>
      <c r="B365" s="770"/>
      <c r="C365" s="772"/>
      <c r="D365" s="941" t="s">
        <v>149</v>
      </c>
      <c r="E365" s="772"/>
      <c r="F365" s="772"/>
      <c r="G365" s="773"/>
      <c r="H365" s="782" t="s">
        <v>35</v>
      </c>
      <c r="I365" s="775">
        <f t="shared" ref="I365:J365" ca="1" si="240">I371</f>
        <v>381</v>
      </c>
      <c r="J365" s="775">
        <f t="shared" ca="1" si="240"/>
        <v>598</v>
      </c>
      <c r="K365" s="776">
        <f ca="1">IF(I365&gt;0,J365*100/I365,0)</f>
        <v>156.95538057742783</v>
      </c>
      <c r="L365" s="777"/>
      <c r="M365" s="778"/>
      <c r="N365" s="778"/>
      <c r="O365" s="778"/>
      <c r="P365" s="778"/>
      <c r="Q365" s="778"/>
      <c r="R365" s="778"/>
      <c r="S365" s="778"/>
      <c r="T365" s="778"/>
      <c r="U365" s="778"/>
    </row>
    <row r="366" spans="1:21" ht="19.5" x14ac:dyDescent="0.3">
      <c r="A366" s="687"/>
      <c r="B366" s="688"/>
      <c r="C366" s="675" t="s">
        <v>18</v>
      </c>
      <c r="D366" s="689" t="s">
        <v>38</v>
      </c>
      <c r="E366" s="690"/>
      <c r="F366" s="690"/>
      <c r="G366" s="691"/>
      <c r="H366" s="692"/>
      <c r="I366" s="565"/>
      <c r="J366" s="565"/>
      <c r="K366" s="566"/>
      <c r="L366" s="693"/>
      <c r="M366" s="684"/>
      <c r="N366" s="684"/>
      <c r="O366" s="684"/>
      <c r="P366" s="684"/>
      <c r="Q366" s="684"/>
      <c r="R366" s="684"/>
      <c r="S366" s="684"/>
      <c r="T366" s="684"/>
      <c r="U366" s="684"/>
    </row>
    <row r="367" spans="1:21" ht="18.75" x14ac:dyDescent="0.25">
      <c r="A367" s="687"/>
      <c r="B367" s="695"/>
      <c r="C367" s="688"/>
      <c r="D367" s="695"/>
      <c r="E367" s="694" t="s">
        <v>150</v>
      </c>
      <c r="F367" s="695"/>
      <c r="G367" s="692"/>
      <c r="H367" s="704" t="s">
        <v>35</v>
      </c>
      <c r="I367" s="708">
        <v>0</v>
      </c>
      <c r="J367" s="708">
        <f ca="1">IFERROR(__xludf.DUMMYFUNCTION("IMPORTRANGE(""https://docs.google.com/spreadsheets/d/1tdoBKaGub7dwA3U6UFTqxio9LNnvDCQjHKmttSEBsFQ/edit?usp=sharing"",""จัดที่ดิน!AB14"")"),248)</f>
        <v>248</v>
      </c>
      <c r="K367" s="568">
        <f t="shared" ref="K367:K372" si="241">IF(I367&gt;0,J367*100/I367,0)</f>
        <v>0</v>
      </c>
      <c r="L367" s="693"/>
      <c r="M367" s="684"/>
      <c r="N367" s="684"/>
      <c r="O367" s="684"/>
      <c r="P367" s="684"/>
      <c r="Q367" s="684"/>
      <c r="R367" s="684"/>
      <c r="S367" s="684"/>
      <c r="T367" s="684"/>
      <c r="U367" s="684"/>
    </row>
    <row r="368" spans="1:21" ht="18.75" x14ac:dyDescent="0.25">
      <c r="A368" s="687"/>
      <c r="B368" s="695"/>
      <c r="C368" s="688"/>
      <c r="D368" s="695"/>
      <c r="E368" s="695"/>
      <c r="F368" s="695"/>
      <c r="G368" s="692"/>
      <c r="H368" s="704" t="s">
        <v>46</v>
      </c>
      <c r="I368" s="708">
        <f ca="1">IFERROR(__xludf.DUMMYFUNCTION("IMPORTRANGE(""https://docs.google.com/spreadsheets/d/1eHaY18a8A9IcSdp1K8H6x8fbOy06t2VsZHhMHf-1x7Y/edit?usp=sharing"",""แผน!EW14"")"),850)</f>
        <v>850</v>
      </c>
      <c r="J368" s="943">
        <f ca="1">IFERROR(__xludf.DUMMYFUNCTION("IMPORTRANGE(""https://docs.google.com/spreadsheets/d/1tdoBKaGub7dwA3U6UFTqxio9LNnvDCQjHKmttSEBsFQ/edit?usp=sharing"",""จัดที่ดิน!AC14"")"),2400.63)</f>
        <v>2400.63</v>
      </c>
      <c r="K368" s="568">
        <f t="shared" ca="1" si="241"/>
        <v>282.42705882352942</v>
      </c>
      <c r="L368" s="693"/>
      <c r="M368" s="684"/>
      <c r="N368" s="684"/>
      <c r="O368" s="684"/>
      <c r="P368" s="684"/>
      <c r="Q368" s="684"/>
      <c r="R368" s="684"/>
      <c r="S368" s="684"/>
      <c r="T368" s="684"/>
      <c r="U368" s="684"/>
    </row>
    <row r="369" spans="1:21" ht="18.75" x14ac:dyDescent="0.25">
      <c r="A369" s="687"/>
      <c r="B369" s="695"/>
      <c r="C369" s="688"/>
      <c r="D369" s="695"/>
      <c r="E369" s="694" t="s">
        <v>151</v>
      </c>
      <c r="F369" s="695"/>
      <c r="G369" s="692"/>
      <c r="H369" s="700" t="s">
        <v>35</v>
      </c>
      <c r="I369" s="708">
        <f ca="1">IFERROR(__xludf.DUMMYFUNCTION("IMPORTRANGE(""https://docs.google.com/spreadsheets/d/1eHaY18a8A9IcSdp1K8H6x8fbOy06t2VsZHhMHf-1x7Y/edit?usp=sharing"",""แผน!EX14"")"),381)</f>
        <v>381</v>
      </c>
      <c r="J369" s="708">
        <f ca="1">IFERROR(__xludf.DUMMYFUNCTION("IMPORTRANGE(""https://docs.google.com/spreadsheets/d/1tdoBKaGub7dwA3U6UFTqxio9LNnvDCQjHKmttSEBsFQ/edit?usp=sharing"",""จัดที่ดิน!AD14"")"),623)</f>
        <v>623</v>
      </c>
      <c r="K369" s="568">
        <f t="shared" ca="1" si="241"/>
        <v>163.51706036745406</v>
      </c>
      <c r="L369" s="693"/>
      <c r="M369" s="684"/>
      <c r="N369" s="684"/>
      <c r="O369" s="684"/>
      <c r="P369" s="684"/>
      <c r="Q369" s="684"/>
      <c r="R369" s="684"/>
      <c r="S369" s="684"/>
      <c r="T369" s="684"/>
      <c r="U369" s="684"/>
    </row>
    <row r="370" spans="1:21" ht="18.75" x14ac:dyDescent="0.25">
      <c r="A370" s="687"/>
      <c r="B370" s="695"/>
      <c r="C370" s="688"/>
      <c r="D370" s="695"/>
      <c r="E370" s="695"/>
      <c r="F370" s="695"/>
      <c r="G370" s="692"/>
      <c r="H370" s="700" t="s">
        <v>46</v>
      </c>
      <c r="I370" s="708">
        <v>0</v>
      </c>
      <c r="J370" s="943">
        <f ca="1">IFERROR(__xludf.DUMMYFUNCTION("IMPORTRANGE(""https://docs.google.com/spreadsheets/d/1tdoBKaGub7dwA3U6UFTqxio9LNnvDCQjHKmttSEBsFQ/edit?usp=sharing"",""จัดที่ดิน!AE14"")"),9915.57)</f>
        <v>9915.57</v>
      </c>
      <c r="K370" s="568">
        <f t="shared" si="241"/>
        <v>0</v>
      </c>
      <c r="L370" s="693"/>
      <c r="M370" s="684"/>
      <c r="N370" s="684"/>
      <c r="O370" s="684"/>
      <c r="P370" s="684"/>
      <c r="Q370" s="684"/>
      <c r="R370" s="684"/>
      <c r="S370" s="684"/>
      <c r="T370" s="684"/>
      <c r="U370" s="684"/>
    </row>
    <row r="371" spans="1:21" ht="18.75" x14ac:dyDescent="0.25">
      <c r="A371" s="687"/>
      <c r="B371" s="695"/>
      <c r="C371" s="688"/>
      <c r="D371" s="695"/>
      <c r="E371" s="944" t="s">
        <v>152</v>
      </c>
      <c r="F371" s="695"/>
      <c r="G371" s="692"/>
      <c r="H371" s="700" t="s">
        <v>35</v>
      </c>
      <c r="I371" s="708">
        <f ca="1">IFERROR(__xludf.DUMMYFUNCTION("IMPORTRANGE(""https://docs.google.com/spreadsheets/d/1eHaY18a8A9IcSdp1K8H6x8fbOy06t2VsZHhMHf-1x7Y/edit?usp=sharing"",""แผน!EY14"")"),381)</f>
        <v>381</v>
      </c>
      <c r="J371" s="708">
        <f ca="1">IFERROR(__xludf.DUMMYFUNCTION("IMPORTRANGE(""https://docs.google.com/spreadsheets/d/1tdoBKaGub7dwA3U6UFTqxio9LNnvDCQjHKmttSEBsFQ/edit?usp=sharing"",""จัดที่ดิน!AF14"")"),598)</f>
        <v>598</v>
      </c>
      <c r="K371" s="568">
        <f t="shared" ca="1" si="241"/>
        <v>156.95538057742783</v>
      </c>
      <c r="L371" s="693"/>
      <c r="M371" s="684"/>
      <c r="N371" s="684"/>
      <c r="O371" s="684"/>
      <c r="P371" s="684"/>
      <c r="Q371" s="684"/>
      <c r="R371" s="684"/>
      <c r="S371" s="684"/>
      <c r="T371" s="684"/>
      <c r="U371" s="684"/>
    </row>
    <row r="372" spans="1:21" ht="18.75" x14ac:dyDescent="0.25">
      <c r="A372" s="687"/>
      <c r="B372" s="695"/>
      <c r="C372" s="688"/>
      <c r="D372" s="695"/>
      <c r="E372" s="695"/>
      <c r="F372" s="695"/>
      <c r="G372" s="692"/>
      <c r="H372" s="700" t="s">
        <v>46</v>
      </c>
      <c r="I372" s="708">
        <v>0</v>
      </c>
      <c r="J372" s="943">
        <f ca="1">IFERROR(__xludf.DUMMYFUNCTION("IMPORTRANGE(""https://docs.google.com/spreadsheets/d/1tdoBKaGub7dwA3U6UFTqxio9LNnvDCQjHKmttSEBsFQ/edit?usp=sharing"",""จัดที่ดิน!AG14"")"),9630.79)</f>
        <v>9630.7900000000009</v>
      </c>
      <c r="K372" s="568">
        <f t="shared" si="241"/>
        <v>0</v>
      </c>
      <c r="L372" s="693"/>
      <c r="M372" s="684"/>
      <c r="N372" s="684"/>
      <c r="O372" s="684"/>
      <c r="P372" s="684"/>
      <c r="Q372" s="684"/>
      <c r="R372" s="684"/>
      <c r="S372" s="684"/>
      <c r="T372" s="684"/>
      <c r="U372" s="684"/>
    </row>
    <row r="373" spans="1:21" ht="16.5" x14ac:dyDescent="0.25">
      <c r="A373" s="514"/>
      <c r="B373" s="513"/>
      <c r="C373" s="514"/>
      <c r="D373" s="9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513"/>
      <c r="F373" s="513"/>
      <c r="G373" s="577"/>
      <c r="H373" s="577"/>
      <c r="I373" s="579"/>
      <c r="J373" s="579"/>
      <c r="K373" s="580"/>
      <c r="L373" s="581"/>
      <c r="M373" s="580"/>
      <c r="N373" s="580"/>
      <c r="O373" s="580"/>
      <c r="P373" s="580"/>
      <c r="Q373" s="580"/>
      <c r="R373" s="580"/>
      <c r="S373" s="580"/>
      <c r="T373" s="580"/>
      <c r="U373" s="580"/>
    </row>
    <row r="374" spans="1:21" ht="19.5" x14ac:dyDescent="0.3">
      <c r="A374" s="946"/>
      <c r="B374" s="947" t="s">
        <v>153</v>
      </c>
      <c r="C374" s="948"/>
      <c r="D374" s="949"/>
      <c r="E374" s="950"/>
      <c r="F374" s="950"/>
      <c r="G374" s="951"/>
      <c r="H374" s="952" t="s">
        <v>46</v>
      </c>
      <c r="I374" s="953">
        <f t="shared" ref="I374:J374" ca="1" si="242">I386+I388</f>
        <v>10000</v>
      </c>
      <c r="J374" s="953">
        <f t="shared" ca="1" si="242"/>
        <v>209</v>
      </c>
      <c r="K374" s="954">
        <f ca="1">IF(I374&gt;0,J374*100/I374,0)</f>
        <v>2.09</v>
      </c>
      <c r="L374" s="916"/>
      <c r="M374" s="917"/>
      <c r="N374" s="917"/>
      <c r="O374" s="917"/>
      <c r="P374" s="917"/>
      <c r="Q374" s="917"/>
      <c r="R374" s="917"/>
      <c r="S374" s="917"/>
      <c r="T374" s="917"/>
      <c r="U374" s="917"/>
    </row>
    <row r="375" spans="1:21" ht="19.5" x14ac:dyDescent="0.3">
      <c r="A375" s="674"/>
      <c r="B375" s="718"/>
      <c r="C375" s="719" t="s">
        <v>18</v>
      </c>
      <c r="D375" s="955" t="s">
        <v>19</v>
      </c>
      <c r="E375" s="561"/>
      <c r="F375" s="561"/>
      <c r="G375" s="563"/>
      <c r="H375" s="677" t="s">
        <v>14</v>
      </c>
      <c r="I375" s="565"/>
      <c r="J375" s="565"/>
      <c r="K375" s="566"/>
      <c r="L375" s="678">
        <f t="shared" ref="L375:N375" ca="1" si="243">L376+L377</f>
        <v>0</v>
      </c>
      <c r="M375" s="679">
        <f t="shared" ca="1" si="243"/>
        <v>0</v>
      </c>
      <c r="N375" s="679">
        <f t="shared" ca="1" si="243"/>
        <v>0</v>
      </c>
      <c r="O375" s="679">
        <f t="shared" ref="O375:O383" ca="1" si="244">IF(L375&gt;0,N375*100/L375,0)</f>
        <v>0</v>
      </c>
      <c r="P375" s="679">
        <f t="shared" ref="P375:P383" ca="1" si="245">IF(M375&gt;0,N375*100/M375,0)</f>
        <v>0</v>
      </c>
      <c r="Q375" s="679">
        <f t="shared" ref="Q375:S375" ca="1" si="246">Q376+Q377</f>
        <v>625000</v>
      </c>
      <c r="R375" s="679">
        <f t="shared" ca="1" si="246"/>
        <v>625000</v>
      </c>
      <c r="S375" s="679">
        <f t="shared" ca="1" si="246"/>
        <v>50100</v>
      </c>
      <c r="T375" s="679">
        <f t="shared" ref="T375:T383" ca="1" si="247">IF(Q375&gt;0,S375*100/Q375,0)</f>
        <v>8.016</v>
      </c>
      <c r="U375" s="679">
        <f t="shared" ref="U375:U383" ca="1" si="248">IF(R375&gt;0,S375*100/R375,0)</f>
        <v>8.016</v>
      </c>
    </row>
    <row r="376" spans="1:21" ht="18.75" x14ac:dyDescent="0.25">
      <c r="A376" s="674"/>
      <c r="B376" s="718"/>
      <c r="C376" s="718"/>
      <c r="D376" s="718"/>
      <c r="E376" s="569" t="s">
        <v>20</v>
      </c>
      <c r="F376" s="561"/>
      <c r="G376" s="563"/>
      <c r="H376" s="680" t="s">
        <v>14</v>
      </c>
      <c r="I376" s="565"/>
      <c r="J376" s="565"/>
      <c r="K376" s="566"/>
      <c r="L376" s="571">
        <f t="shared" ref="L376:N377" si="249">L379+L382</f>
        <v>0</v>
      </c>
      <c r="M376" s="572">
        <f t="shared" si="249"/>
        <v>0</v>
      </c>
      <c r="N376" s="572">
        <f t="shared" si="249"/>
        <v>0</v>
      </c>
      <c r="O376" s="572">
        <f t="shared" si="244"/>
        <v>0</v>
      </c>
      <c r="P376" s="572">
        <f t="shared" si="245"/>
        <v>0</v>
      </c>
      <c r="Q376" s="572">
        <f t="shared" ref="Q376:S377" si="250">Q379+Q382</f>
        <v>0</v>
      </c>
      <c r="R376" s="572">
        <f t="shared" si="250"/>
        <v>0</v>
      </c>
      <c r="S376" s="572">
        <f t="shared" si="250"/>
        <v>0</v>
      </c>
      <c r="T376" s="572">
        <f t="shared" si="247"/>
        <v>0</v>
      </c>
      <c r="U376" s="572">
        <f t="shared" si="248"/>
        <v>0</v>
      </c>
    </row>
    <row r="377" spans="1:21" ht="18.75" x14ac:dyDescent="0.25">
      <c r="A377" s="674"/>
      <c r="B377" s="718"/>
      <c r="C377" s="718"/>
      <c r="D377" s="718"/>
      <c r="E377" s="573" t="s">
        <v>21</v>
      </c>
      <c r="F377" s="561"/>
      <c r="G377" s="563"/>
      <c r="H377" s="681" t="s">
        <v>14</v>
      </c>
      <c r="I377" s="565"/>
      <c r="J377" s="565"/>
      <c r="K377" s="566"/>
      <c r="L377" s="567">
        <f t="shared" ca="1" si="249"/>
        <v>0</v>
      </c>
      <c r="M377" s="568">
        <f t="shared" ca="1" si="249"/>
        <v>0</v>
      </c>
      <c r="N377" s="568">
        <f t="shared" ca="1" si="249"/>
        <v>0</v>
      </c>
      <c r="O377" s="568">
        <f t="shared" ca="1" si="244"/>
        <v>0</v>
      </c>
      <c r="P377" s="568">
        <f t="shared" ca="1" si="245"/>
        <v>0</v>
      </c>
      <c r="Q377" s="568">
        <f t="shared" ca="1" si="250"/>
        <v>625000</v>
      </c>
      <c r="R377" s="568">
        <f t="shared" ca="1" si="250"/>
        <v>625000</v>
      </c>
      <c r="S377" s="568">
        <f t="shared" ca="1" si="250"/>
        <v>50100</v>
      </c>
      <c r="T377" s="568">
        <f t="shared" ca="1" si="247"/>
        <v>8.016</v>
      </c>
      <c r="U377" s="568">
        <f t="shared" ca="1" si="248"/>
        <v>8.016</v>
      </c>
    </row>
    <row r="378" spans="1:21" ht="18.75" x14ac:dyDescent="0.25">
      <c r="A378" s="674"/>
      <c r="B378" s="718"/>
      <c r="C378" s="718"/>
      <c r="D378" s="721" t="s">
        <v>22</v>
      </c>
      <c r="E378" s="561"/>
      <c r="F378" s="561"/>
      <c r="G378" s="563"/>
      <c r="H378" s="682" t="s">
        <v>14</v>
      </c>
      <c r="I378" s="683"/>
      <c r="J378" s="683"/>
      <c r="K378" s="684"/>
      <c r="L378" s="567">
        <f t="shared" ref="L378:N378" ca="1" si="251">L379+L380</f>
        <v>0</v>
      </c>
      <c r="M378" s="568">
        <f t="shared" ca="1" si="251"/>
        <v>0</v>
      </c>
      <c r="N378" s="568">
        <f t="shared" ca="1" si="251"/>
        <v>0</v>
      </c>
      <c r="O378" s="568">
        <f t="shared" ca="1" si="244"/>
        <v>0</v>
      </c>
      <c r="P378" s="568">
        <f t="shared" ca="1" si="245"/>
        <v>0</v>
      </c>
      <c r="Q378" s="568">
        <f t="shared" ref="Q378:S378" ca="1" si="252">Q379+Q380</f>
        <v>625000</v>
      </c>
      <c r="R378" s="568">
        <f t="shared" ca="1" si="252"/>
        <v>625000</v>
      </c>
      <c r="S378" s="568">
        <f t="shared" ca="1" si="252"/>
        <v>50100</v>
      </c>
      <c r="T378" s="568">
        <f t="shared" ca="1" si="247"/>
        <v>8.016</v>
      </c>
      <c r="U378" s="568">
        <f t="shared" ca="1" si="248"/>
        <v>8.016</v>
      </c>
    </row>
    <row r="379" spans="1:21" ht="18.75" x14ac:dyDescent="0.25">
      <c r="A379" s="674"/>
      <c r="B379" s="718"/>
      <c r="C379" s="718"/>
      <c r="D379" s="718"/>
      <c r="E379" s="569" t="s">
        <v>36</v>
      </c>
      <c r="F379" s="561"/>
      <c r="G379" s="563"/>
      <c r="H379" s="685" t="s">
        <v>14</v>
      </c>
      <c r="I379" s="683"/>
      <c r="J379" s="683"/>
      <c r="K379" s="684"/>
      <c r="L379" s="571">
        <v>0</v>
      </c>
      <c r="M379" s="572">
        <v>0</v>
      </c>
      <c r="N379" s="572">
        <v>0</v>
      </c>
      <c r="O379" s="572">
        <f t="shared" si="244"/>
        <v>0</v>
      </c>
      <c r="P379" s="572">
        <f t="shared" si="245"/>
        <v>0</v>
      </c>
      <c r="Q379" s="572">
        <v>0</v>
      </c>
      <c r="R379" s="572">
        <v>0</v>
      </c>
      <c r="S379" s="572">
        <v>0</v>
      </c>
      <c r="T379" s="572">
        <f t="shared" si="247"/>
        <v>0</v>
      </c>
      <c r="U379" s="572">
        <f t="shared" si="248"/>
        <v>0</v>
      </c>
    </row>
    <row r="380" spans="1:21" ht="18.75" x14ac:dyDescent="0.25">
      <c r="A380" s="674"/>
      <c r="B380" s="718"/>
      <c r="C380" s="718"/>
      <c r="D380" s="718"/>
      <c r="E380" s="765" t="s">
        <v>37</v>
      </c>
      <c r="F380" s="718"/>
      <c r="G380" s="727"/>
      <c r="H380" s="682" t="s">
        <v>14</v>
      </c>
      <c r="I380" s="683"/>
      <c r="J380" s="683"/>
      <c r="K380" s="684"/>
      <c r="L380" s="567">
        <f ca="1">IFERROR(__xludf.DUMMYFUNCTION("IMPORTRANGE(""https://docs.google.com/spreadsheets/d/1-uDff_7J0KD5mKrp0Vvzr7lt3OU09vwQwhkpOPPYv2Y/edit?usp=sharing"",""งบพรบ!IE14"")"),0)</f>
        <v>0</v>
      </c>
      <c r="M380" s="568">
        <f ca="1">IFERROR(__xludf.DUMMYFUNCTION("IMPORTRANGE(""https://docs.google.com/spreadsheets/d/1-uDff_7J0KD5mKrp0Vvzr7lt3OU09vwQwhkpOPPYv2Y/edit?usp=sharing"",""งบพรบ!IJ14"")"),0)</f>
        <v>0</v>
      </c>
      <c r="N380" s="568">
        <f ca="1">IFERROR(__xludf.DUMMYFUNCTION("IMPORTRANGE(""https://docs.google.com/spreadsheets/d/1-uDff_7J0KD5mKrp0Vvzr7lt3OU09vwQwhkpOPPYv2Y/edit?usp=sharing"",""งบพรบ!IL14"")"),0)</f>
        <v>0</v>
      </c>
      <c r="O380" s="568">
        <f t="shared" ca="1" si="244"/>
        <v>0</v>
      </c>
      <c r="P380" s="568">
        <f t="shared" ca="1" si="245"/>
        <v>0</v>
      </c>
      <c r="Q380" s="568">
        <f ca="1">IFERROR(__xludf.DUMMYFUNCTION("IMPORTRANGE(""https://docs.google.com/spreadsheets/d/1ItG2mGa2ceCfYo0BwxsXqNm01IGEUdYcSSLTEv9YCik/edit?usp=sharing"",""เบิกจ่ายกองทุน!BW14"")"),625000)</f>
        <v>625000</v>
      </c>
      <c r="R380" s="568">
        <f ca="1">IFERROR(__xludf.DUMMYFUNCTION("IMPORTRANGE(""https://docs.google.com/spreadsheets/d/1ItG2mGa2ceCfYo0BwxsXqNm01IGEUdYcSSLTEv9YCik/edit?usp=sharing"",""เบิกจ่ายกองทุน!BX14"")"),625000)</f>
        <v>625000</v>
      </c>
      <c r="S380" s="568">
        <f ca="1">IFERROR(__xludf.DUMMYFUNCTION("IMPORTRANGE(""https://docs.google.com/spreadsheets/d/1ItG2mGa2ceCfYo0BwxsXqNm01IGEUdYcSSLTEv9YCik/edit?usp=sharing"",""เบิกจ่ายกองทุน!BY14"")"),50100)</f>
        <v>50100</v>
      </c>
      <c r="T380" s="568">
        <f t="shared" ca="1" si="247"/>
        <v>8.016</v>
      </c>
      <c r="U380" s="568">
        <f t="shared" ca="1" si="248"/>
        <v>8.016</v>
      </c>
    </row>
    <row r="381" spans="1:21" ht="18.75" x14ac:dyDescent="0.25">
      <c r="A381" s="674"/>
      <c r="B381" s="718"/>
      <c r="C381" s="718"/>
      <c r="D381" s="721" t="s">
        <v>23</v>
      </c>
      <c r="E381" s="561"/>
      <c r="F381" s="561"/>
      <c r="G381" s="563"/>
      <c r="H381" s="686" t="s">
        <v>14</v>
      </c>
      <c r="I381" s="683"/>
      <c r="J381" s="683"/>
      <c r="K381" s="684"/>
      <c r="L381" s="567">
        <f t="shared" ref="L381:N381" ca="1" si="253">L382+L383</f>
        <v>0</v>
      </c>
      <c r="M381" s="568">
        <f t="shared" ca="1" si="253"/>
        <v>0</v>
      </c>
      <c r="N381" s="568">
        <f t="shared" ca="1" si="253"/>
        <v>0</v>
      </c>
      <c r="O381" s="568">
        <f t="shared" ca="1" si="244"/>
        <v>0</v>
      </c>
      <c r="P381" s="568">
        <f t="shared" ca="1" si="245"/>
        <v>0</v>
      </c>
      <c r="Q381" s="568">
        <f t="shared" ref="Q381:S381" si="254">Q382+Q383</f>
        <v>0</v>
      </c>
      <c r="R381" s="568">
        <f t="shared" si="254"/>
        <v>0</v>
      </c>
      <c r="S381" s="568">
        <f t="shared" si="254"/>
        <v>0</v>
      </c>
      <c r="T381" s="568">
        <f t="shared" si="247"/>
        <v>0</v>
      </c>
      <c r="U381" s="568">
        <f t="shared" si="248"/>
        <v>0</v>
      </c>
    </row>
    <row r="382" spans="1:21" ht="18.75" x14ac:dyDescent="0.25">
      <c r="A382" s="674"/>
      <c r="B382" s="718"/>
      <c r="C382" s="718"/>
      <c r="D382" s="718"/>
      <c r="E382" s="569" t="s">
        <v>20</v>
      </c>
      <c r="F382" s="561"/>
      <c r="G382" s="563"/>
      <c r="H382" s="685" t="s">
        <v>14</v>
      </c>
      <c r="I382" s="683"/>
      <c r="J382" s="683"/>
      <c r="K382" s="684"/>
      <c r="L382" s="571">
        <v>0</v>
      </c>
      <c r="M382" s="572">
        <v>0</v>
      </c>
      <c r="N382" s="572">
        <v>0</v>
      </c>
      <c r="O382" s="572">
        <f t="shared" si="244"/>
        <v>0</v>
      </c>
      <c r="P382" s="572">
        <f t="shared" si="245"/>
        <v>0</v>
      </c>
      <c r="Q382" s="572">
        <v>0</v>
      </c>
      <c r="R382" s="572">
        <v>0</v>
      </c>
      <c r="S382" s="572">
        <v>0</v>
      </c>
      <c r="T382" s="572">
        <f t="shared" si="247"/>
        <v>0</v>
      </c>
      <c r="U382" s="572">
        <f t="shared" si="248"/>
        <v>0</v>
      </c>
    </row>
    <row r="383" spans="1:21" ht="18.75" x14ac:dyDescent="0.25">
      <c r="A383" s="674"/>
      <c r="B383" s="718"/>
      <c r="C383" s="718"/>
      <c r="D383" s="718"/>
      <c r="E383" s="573" t="s">
        <v>21</v>
      </c>
      <c r="F383" s="561"/>
      <c r="G383" s="563"/>
      <c r="H383" s="686" t="s">
        <v>14</v>
      </c>
      <c r="I383" s="683"/>
      <c r="J383" s="683"/>
      <c r="K383" s="684"/>
      <c r="L383" s="567">
        <f ca="1">IFERROR(__xludf.DUMMYFUNCTION("IMPORTRANGE(""https://docs.google.com/spreadsheets/d/1-uDff_7J0KD5mKrp0Vvzr7lt3OU09vwQwhkpOPPYv2Y/edit?usp=sharing"",""งบพรบ!IH14"")"),0)</f>
        <v>0</v>
      </c>
      <c r="M383" s="568">
        <f ca="1">IFERROR(__xludf.DUMMYFUNCTION("IMPORTRANGE(""https://docs.google.com/spreadsheets/d/1-uDff_7J0KD5mKrp0Vvzr7lt3OU09vwQwhkpOPPYv2Y/edit?usp=sharing"",""งบพรบ!IK14"")"),0)</f>
        <v>0</v>
      </c>
      <c r="N383" s="568">
        <f ca="1">IFERROR(__xludf.DUMMYFUNCTION("IMPORTRANGE(""https://docs.google.com/spreadsheets/d/1-uDff_7J0KD5mKrp0Vvzr7lt3OU09vwQwhkpOPPYv2Y/edit?usp=sharing"",""งบพรบ!IM14"")"),0)</f>
        <v>0</v>
      </c>
      <c r="O383" s="568">
        <f t="shared" ca="1" si="244"/>
        <v>0</v>
      </c>
      <c r="P383" s="568">
        <f t="shared" ca="1" si="245"/>
        <v>0</v>
      </c>
      <c r="Q383" s="568">
        <v>0</v>
      </c>
      <c r="R383" s="568">
        <v>0</v>
      </c>
      <c r="S383" s="568">
        <v>0</v>
      </c>
      <c r="T383" s="568">
        <f t="shared" si="247"/>
        <v>0</v>
      </c>
      <c r="U383" s="568">
        <f t="shared" si="248"/>
        <v>0</v>
      </c>
    </row>
    <row r="384" spans="1:21" ht="19.5" x14ac:dyDescent="0.3">
      <c r="A384" s="687"/>
      <c r="B384" s="688"/>
      <c r="C384" s="719" t="s">
        <v>18</v>
      </c>
      <c r="D384" s="956" t="s">
        <v>38</v>
      </c>
      <c r="E384" s="690"/>
      <c r="F384" s="690"/>
      <c r="G384" s="691"/>
      <c r="H384" s="725"/>
      <c r="I384" s="683"/>
      <c r="J384" s="565"/>
      <c r="K384" s="566"/>
      <c r="L384" s="574"/>
      <c r="M384" s="566"/>
      <c r="N384" s="566"/>
      <c r="O384" s="684"/>
      <c r="P384" s="684"/>
      <c r="Q384" s="566"/>
      <c r="R384" s="566"/>
      <c r="S384" s="566"/>
      <c r="T384" s="684"/>
      <c r="U384" s="684"/>
    </row>
    <row r="385" spans="1:21" ht="18.75" x14ac:dyDescent="0.25">
      <c r="A385" s="764"/>
      <c r="B385" s="718"/>
      <c r="C385" s="718"/>
      <c r="D385" s="718"/>
      <c r="E385" s="573" t="s">
        <v>154</v>
      </c>
      <c r="F385" s="561"/>
      <c r="G385" s="563"/>
      <c r="H385" s="681" t="s">
        <v>34</v>
      </c>
      <c r="I385" s="708">
        <v>0</v>
      </c>
      <c r="J385" s="708">
        <f ca="1">IFERROR(__xludf.DUMMYFUNCTION("IMPORTRANGE(""https://docs.google.com/spreadsheets/d/1w5rwWK1o49a35cNtocGL0gxDwhFSTZUQu90BiH9_zqM/edit?usp=sharing"",""RTK!H14"")"),12)</f>
        <v>12</v>
      </c>
      <c r="K385" s="568">
        <f t="shared" ref="K385:K388" si="255">IF(I385&gt;0,J385*100/I385,0)</f>
        <v>0</v>
      </c>
      <c r="L385" s="574"/>
      <c r="M385" s="566"/>
      <c r="N385" s="566"/>
      <c r="O385" s="566"/>
      <c r="P385" s="566"/>
      <c r="Q385" s="566"/>
      <c r="R385" s="566"/>
      <c r="S385" s="566"/>
      <c r="T385" s="566"/>
      <c r="U385" s="566"/>
    </row>
    <row r="386" spans="1:21" ht="18.75" x14ac:dyDescent="0.25">
      <c r="A386" s="718"/>
      <c r="B386" s="718"/>
      <c r="C386" s="718"/>
      <c r="D386" s="718"/>
      <c r="E386" s="718"/>
      <c r="F386" s="718"/>
      <c r="G386" s="727"/>
      <c r="H386" s="681" t="s">
        <v>46</v>
      </c>
      <c r="I386" s="708">
        <f ca="1">IFERROR(__xludf.DUMMYFUNCTION("IMPORTRANGE(""https://docs.google.com/spreadsheets/d/1w5rwWK1o49a35cNtocGL0gxDwhFSTZUQu90BiH9_zqM/edit?usp=sharing"",""RTK!G14"")"),10000)</f>
        <v>10000</v>
      </c>
      <c r="J386" s="708">
        <f ca="1">IFERROR(__xludf.DUMMYFUNCTION("IMPORTRANGE(""https://docs.google.com/spreadsheets/d/1w5rwWK1o49a35cNtocGL0gxDwhFSTZUQu90BiH9_zqM/edit?usp=sharing"",""RTK!I14"")"),209)</f>
        <v>209</v>
      </c>
      <c r="K386" s="568">
        <f t="shared" ca="1" si="255"/>
        <v>2.09</v>
      </c>
      <c r="L386" s="574"/>
      <c r="M386" s="566"/>
      <c r="N386" s="566"/>
      <c r="O386" s="566"/>
      <c r="P386" s="566"/>
      <c r="Q386" s="566"/>
      <c r="R386" s="566"/>
      <c r="S386" s="566"/>
      <c r="T386" s="566"/>
      <c r="U386" s="566"/>
    </row>
    <row r="387" spans="1:21" ht="18.75" x14ac:dyDescent="0.25">
      <c r="A387" s="957"/>
      <c r="B387" s="957"/>
      <c r="C387" s="957"/>
      <c r="D387" s="957"/>
      <c r="E387" s="958" t="s">
        <v>155</v>
      </c>
      <c r="F387" s="957"/>
      <c r="G387" s="959"/>
      <c r="H387" s="839" t="s">
        <v>34</v>
      </c>
      <c r="I387" s="960">
        <v>0</v>
      </c>
      <c r="J387" s="960">
        <f ca="1">IFERROR(__xludf.DUMMYFUNCTION("IMPORTRANGE(""https://docs.google.com/spreadsheets/d/1w5rwWK1o49a35cNtocGL0gxDwhFSTZUQu90BiH9_zqM/edit?usp=sharing"",""RTK!L14"")"),0)</f>
        <v>0</v>
      </c>
      <c r="K387" s="841">
        <f t="shared" si="255"/>
        <v>0</v>
      </c>
      <c r="L387" s="574"/>
      <c r="M387" s="566"/>
      <c r="N387" s="566"/>
      <c r="O387" s="566"/>
      <c r="P387" s="566"/>
      <c r="Q387" s="566"/>
      <c r="R387" s="566"/>
      <c r="S387" s="566"/>
      <c r="T387" s="566"/>
      <c r="U387" s="566"/>
    </row>
    <row r="388" spans="1:21" ht="18.75" x14ac:dyDescent="0.25">
      <c r="A388" s="957"/>
      <c r="B388" s="957"/>
      <c r="C388" s="957"/>
      <c r="D388" s="957"/>
      <c r="E388" s="957"/>
      <c r="F388" s="957"/>
      <c r="G388" s="959"/>
      <c r="H388" s="839" t="s">
        <v>46</v>
      </c>
      <c r="I388" s="960">
        <f ca="1">IFERROR(__xludf.DUMMYFUNCTION("IMPORTRANGE(""https://docs.google.com/spreadsheets/d/1w5rwWK1o49a35cNtocGL0gxDwhFSTZUQu90BiH9_zqM/edit?usp=sharing"",""RTK!K14"")"),0)</f>
        <v>0</v>
      </c>
      <c r="J388" s="960">
        <f ca="1">IFERROR(__xludf.DUMMYFUNCTION("IMPORTRANGE(""https://docs.google.com/spreadsheets/d/1w5rwWK1o49a35cNtocGL0gxDwhFSTZUQu90BiH9_zqM/edit?usp=sharing"",""RTK!M14"")"),0)</f>
        <v>0</v>
      </c>
      <c r="K388" s="841">
        <f t="shared" ca="1" si="255"/>
        <v>0</v>
      </c>
      <c r="L388" s="574"/>
      <c r="M388" s="566"/>
      <c r="N388" s="566"/>
      <c r="O388" s="566"/>
      <c r="P388" s="566"/>
      <c r="Q388" s="566"/>
      <c r="R388" s="566"/>
      <c r="S388" s="566"/>
      <c r="T388" s="566"/>
      <c r="U388" s="566"/>
    </row>
    <row r="389" spans="1:21" ht="12.75" hidden="1" x14ac:dyDescent="0.2">
      <c r="A389" s="961"/>
      <c r="B389" s="961"/>
      <c r="C389" s="961"/>
      <c r="D389" s="961"/>
      <c r="E389" s="961"/>
      <c r="F389" s="961"/>
      <c r="G389" s="962"/>
      <c r="H389" s="962"/>
      <c r="I389" s="963"/>
      <c r="J389" s="963"/>
      <c r="K389" s="964"/>
      <c r="L389" s="965"/>
      <c r="M389" s="964"/>
      <c r="N389" s="964"/>
      <c r="O389" s="964"/>
      <c r="P389" s="964"/>
      <c r="Q389" s="964"/>
      <c r="R389" s="964"/>
      <c r="S389" s="964"/>
      <c r="T389" s="964"/>
      <c r="U389" s="964"/>
    </row>
    <row r="390" spans="1:21" ht="12.75" hidden="1" x14ac:dyDescent="0.2">
      <c r="A390" s="966"/>
      <c r="B390" s="966"/>
      <c r="C390" s="966"/>
      <c r="D390" s="966"/>
      <c r="E390" s="966"/>
      <c r="F390" s="966"/>
      <c r="G390" s="967"/>
      <c r="H390" s="967"/>
      <c r="I390" s="968"/>
      <c r="J390" s="968"/>
      <c r="K390" s="969"/>
      <c r="L390" s="970"/>
      <c r="M390" s="969"/>
      <c r="N390" s="969"/>
      <c r="O390" s="969"/>
      <c r="P390" s="969"/>
      <c r="Q390" s="969"/>
      <c r="R390" s="969"/>
      <c r="S390" s="969"/>
      <c r="T390" s="969"/>
      <c r="U390" s="969"/>
    </row>
    <row r="391" spans="1:21" ht="19.5" hidden="1" x14ac:dyDescent="0.3">
      <c r="A391" s="926"/>
      <c r="B391" s="971" t="s">
        <v>156</v>
      </c>
      <c r="C391" s="927"/>
      <c r="D391" s="928"/>
      <c r="E391" s="911"/>
      <c r="F391" s="911"/>
      <c r="G391" s="912"/>
      <c r="H391" s="972" t="s">
        <v>61</v>
      </c>
      <c r="I391" s="942">
        <f t="shared" ref="I391:J391" si="256">I402</f>
        <v>0</v>
      </c>
      <c r="J391" s="942">
        <f t="shared" si="256"/>
        <v>0</v>
      </c>
      <c r="K391" s="915">
        <f>IF(I391&gt;0,J391*100/I391,0)</f>
        <v>0</v>
      </c>
      <c r="L391" s="916"/>
      <c r="M391" s="917"/>
      <c r="N391" s="917"/>
      <c r="O391" s="917"/>
      <c r="P391" s="917"/>
      <c r="Q391" s="917"/>
      <c r="R391" s="917"/>
      <c r="S391" s="917"/>
      <c r="T391" s="917"/>
      <c r="U391" s="917"/>
    </row>
    <row r="392" spans="1:21" ht="19.5" hidden="1" x14ac:dyDescent="0.3">
      <c r="A392" s="674"/>
      <c r="B392" s="718"/>
      <c r="C392" s="719" t="s">
        <v>18</v>
      </c>
      <c r="D392" s="955" t="s">
        <v>19</v>
      </c>
      <c r="E392" s="561"/>
      <c r="F392" s="561"/>
      <c r="G392" s="563"/>
      <c r="H392" s="677" t="s">
        <v>14</v>
      </c>
      <c r="I392" s="565"/>
      <c r="J392" s="565"/>
      <c r="K392" s="566"/>
      <c r="L392" s="678">
        <f t="shared" ref="L392:N392" si="257">L393+L394</f>
        <v>0</v>
      </c>
      <c r="M392" s="679">
        <f t="shared" si="257"/>
        <v>0</v>
      </c>
      <c r="N392" s="679">
        <f t="shared" si="257"/>
        <v>0</v>
      </c>
      <c r="O392" s="679">
        <f t="shared" ref="O392:O400" si="258">IF(L392&gt;0,N392*100/L392,0)</f>
        <v>0</v>
      </c>
      <c r="P392" s="679">
        <f t="shared" ref="P392:P400" si="259">IF(M392&gt;0,N392*100/M392,0)</f>
        <v>0</v>
      </c>
      <c r="Q392" s="679">
        <f t="shared" ref="Q392:S392" ca="1" si="260">Q393+Q394</f>
        <v>0</v>
      </c>
      <c r="R392" s="679">
        <f t="shared" ca="1" si="260"/>
        <v>0</v>
      </c>
      <c r="S392" s="679">
        <f t="shared" ca="1" si="260"/>
        <v>0</v>
      </c>
      <c r="T392" s="679">
        <f t="shared" ref="T392:T400" ca="1" si="261">IF(Q392&gt;0,S392*100/Q392,0)</f>
        <v>0</v>
      </c>
      <c r="U392" s="679">
        <f t="shared" ref="U392:U400" ca="1" si="262">IF(R392&gt;0,S392*100/R392,0)</f>
        <v>0</v>
      </c>
    </row>
    <row r="393" spans="1:21" ht="18.75" hidden="1" x14ac:dyDescent="0.25">
      <c r="A393" s="674"/>
      <c r="B393" s="718"/>
      <c r="C393" s="718"/>
      <c r="D393" s="718"/>
      <c r="E393" s="569" t="s">
        <v>20</v>
      </c>
      <c r="F393" s="561"/>
      <c r="G393" s="563"/>
      <c r="H393" s="680" t="s">
        <v>14</v>
      </c>
      <c r="I393" s="565"/>
      <c r="J393" s="565"/>
      <c r="K393" s="566"/>
      <c r="L393" s="571">
        <f t="shared" ref="L393:N394" si="263">L396+L399</f>
        <v>0</v>
      </c>
      <c r="M393" s="572">
        <f t="shared" si="263"/>
        <v>0</v>
      </c>
      <c r="N393" s="572">
        <f t="shared" si="263"/>
        <v>0</v>
      </c>
      <c r="O393" s="572">
        <f t="shared" si="258"/>
        <v>0</v>
      </c>
      <c r="P393" s="572">
        <f t="shared" si="259"/>
        <v>0</v>
      </c>
      <c r="Q393" s="572">
        <f t="shared" ref="Q393:S394" si="264">Q396+Q399</f>
        <v>0</v>
      </c>
      <c r="R393" s="572">
        <f t="shared" si="264"/>
        <v>0</v>
      </c>
      <c r="S393" s="572">
        <f t="shared" si="264"/>
        <v>0</v>
      </c>
      <c r="T393" s="572">
        <f t="shared" si="261"/>
        <v>0</v>
      </c>
      <c r="U393" s="572">
        <f t="shared" si="262"/>
        <v>0</v>
      </c>
    </row>
    <row r="394" spans="1:21" ht="18.75" hidden="1" x14ac:dyDescent="0.25">
      <c r="A394" s="674"/>
      <c r="B394" s="718"/>
      <c r="C394" s="718"/>
      <c r="D394" s="718"/>
      <c r="E394" s="573" t="s">
        <v>21</v>
      </c>
      <c r="F394" s="561"/>
      <c r="G394" s="563"/>
      <c r="H394" s="681" t="s">
        <v>14</v>
      </c>
      <c r="I394" s="565"/>
      <c r="J394" s="565"/>
      <c r="K394" s="566"/>
      <c r="L394" s="567">
        <f t="shared" si="263"/>
        <v>0</v>
      </c>
      <c r="M394" s="568">
        <f t="shared" si="263"/>
        <v>0</v>
      </c>
      <c r="N394" s="568">
        <f t="shared" si="263"/>
        <v>0</v>
      </c>
      <c r="O394" s="568">
        <f t="shared" si="258"/>
        <v>0</v>
      </c>
      <c r="P394" s="568">
        <f t="shared" si="259"/>
        <v>0</v>
      </c>
      <c r="Q394" s="568">
        <f t="shared" ca="1" si="264"/>
        <v>0</v>
      </c>
      <c r="R394" s="568">
        <f t="shared" ca="1" si="264"/>
        <v>0</v>
      </c>
      <c r="S394" s="568">
        <f t="shared" ca="1" si="264"/>
        <v>0</v>
      </c>
      <c r="T394" s="568">
        <f t="shared" ca="1" si="261"/>
        <v>0</v>
      </c>
      <c r="U394" s="568">
        <f t="shared" ca="1" si="262"/>
        <v>0</v>
      </c>
    </row>
    <row r="395" spans="1:21" ht="18.75" hidden="1" x14ac:dyDescent="0.25">
      <c r="A395" s="674"/>
      <c r="B395" s="718"/>
      <c r="C395" s="718"/>
      <c r="D395" s="721" t="s">
        <v>22</v>
      </c>
      <c r="E395" s="561"/>
      <c r="F395" s="561"/>
      <c r="G395" s="563"/>
      <c r="H395" s="682" t="s">
        <v>14</v>
      </c>
      <c r="I395" s="683"/>
      <c r="J395" s="683"/>
      <c r="K395" s="684"/>
      <c r="L395" s="567">
        <f t="shared" ref="L395:N395" si="265">L396+L397</f>
        <v>0</v>
      </c>
      <c r="M395" s="568">
        <f t="shared" si="265"/>
        <v>0</v>
      </c>
      <c r="N395" s="568">
        <f t="shared" si="265"/>
        <v>0</v>
      </c>
      <c r="O395" s="568">
        <f t="shared" si="258"/>
        <v>0</v>
      </c>
      <c r="P395" s="568">
        <f t="shared" si="259"/>
        <v>0</v>
      </c>
      <c r="Q395" s="568">
        <f t="shared" ref="Q395:S395" ca="1" si="266">Q396+Q397</f>
        <v>0</v>
      </c>
      <c r="R395" s="568">
        <f t="shared" ca="1" si="266"/>
        <v>0</v>
      </c>
      <c r="S395" s="568">
        <f t="shared" ca="1" si="266"/>
        <v>0</v>
      </c>
      <c r="T395" s="568">
        <f t="shared" ca="1" si="261"/>
        <v>0</v>
      </c>
      <c r="U395" s="568">
        <f t="shared" ca="1" si="262"/>
        <v>0</v>
      </c>
    </row>
    <row r="396" spans="1:21" ht="18.75" hidden="1" x14ac:dyDescent="0.25">
      <c r="A396" s="674"/>
      <c r="B396" s="718"/>
      <c r="C396" s="718"/>
      <c r="D396" s="718"/>
      <c r="E396" s="569" t="s">
        <v>36</v>
      </c>
      <c r="F396" s="561"/>
      <c r="G396" s="563"/>
      <c r="H396" s="685" t="s">
        <v>14</v>
      </c>
      <c r="I396" s="683"/>
      <c r="J396" s="683"/>
      <c r="K396" s="684"/>
      <c r="L396" s="571">
        <v>0</v>
      </c>
      <c r="M396" s="572">
        <v>0</v>
      </c>
      <c r="N396" s="572">
        <v>0</v>
      </c>
      <c r="O396" s="572">
        <f t="shared" si="258"/>
        <v>0</v>
      </c>
      <c r="P396" s="572">
        <f t="shared" si="259"/>
        <v>0</v>
      </c>
      <c r="Q396" s="572">
        <v>0</v>
      </c>
      <c r="R396" s="572">
        <v>0</v>
      </c>
      <c r="S396" s="572">
        <v>0</v>
      </c>
      <c r="T396" s="572">
        <f t="shared" si="261"/>
        <v>0</v>
      </c>
      <c r="U396" s="572">
        <f t="shared" si="262"/>
        <v>0</v>
      </c>
    </row>
    <row r="397" spans="1:21" ht="18.75" hidden="1" x14ac:dyDescent="0.25">
      <c r="A397" s="674"/>
      <c r="B397" s="718"/>
      <c r="C397" s="718"/>
      <c r="D397" s="718"/>
      <c r="E397" s="765" t="s">
        <v>37</v>
      </c>
      <c r="F397" s="718"/>
      <c r="G397" s="727"/>
      <c r="H397" s="682" t="s">
        <v>14</v>
      </c>
      <c r="I397" s="683"/>
      <c r="J397" s="683"/>
      <c r="K397" s="684"/>
      <c r="L397" s="567">
        <v>0</v>
      </c>
      <c r="M397" s="568">
        <v>0</v>
      </c>
      <c r="N397" s="568">
        <v>0</v>
      </c>
      <c r="O397" s="568">
        <f t="shared" si="258"/>
        <v>0</v>
      </c>
      <c r="P397" s="568">
        <f t="shared" si="259"/>
        <v>0</v>
      </c>
      <c r="Q397" s="568">
        <f ca="1">IFERROR(__xludf.DUMMYFUNCTION("IMPORTRANGE(""https://docs.google.com/spreadsheets/d/1ItG2mGa2ceCfYo0BwxsXqNm01IGEUdYcSSLTEv9YCik/edit?usp=sharing"",""เบิกจ่ายกองทุน!CL14"")"),0)</f>
        <v>0</v>
      </c>
      <c r="R397" s="568">
        <f ca="1">IFERROR(__xludf.DUMMYFUNCTION("IMPORTRANGE(""https://docs.google.com/spreadsheets/d/1ItG2mGa2ceCfYo0BwxsXqNm01IGEUdYcSSLTEv9YCik/edit?usp=sharing"",""เบิกจ่ายกองทุน!CM14"")"),0)</f>
        <v>0</v>
      </c>
      <c r="S397" s="568">
        <f ca="1">IFERROR(__xludf.DUMMYFUNCTION("IMPORTRANGE(""https://docs.google.com/spreadsheets/d/1ItG2mGa2ceCfYo0BwxsXqNm01IGEUdYcSSLTEv9YCik/edit?usp=sharing"",""เบิกจ่ายกองทุน!CN14"")"),0)</f>
        <v>0</v>
      </c>
      <c r="T397" s="568">
        <f t="shared" ca="1" si="261"/>
        <v>0</v>
      </c>
      <c r="U397" s="568">
        <f t="shared" ca="1" si="262"/>
        <v>0</v>
      </c>
    </row>
    <row r="398" spans="1:21" ht="18.75" hidden="1" x14ac:dyDescent="0.25">
      <c r="A398" s="674"/>
      <c r="B398" s="718"/>
      <c r="C398" s="718"/>
      <c r="D398" s="721" t="s">
        <v>23</v>
      </c>
      <c r="E398" s="561"/>
      <c r="F398" s="561"/>
      <c r="G398" s="563"/>
      <c r="H398" s="686" t="s">
        <v>14</v>
      </c>
      <c r="I398" s="683"/>
      <c r="J398" s="683"/>
      <c r="K398" s="684"/>
      <c r="L398" s="567">
        <f t="shared" ref="L398:N398" si="267">L399+L400</f>
        <v>0</v>
      </c>
      <c r="M398" s="568">
        <f t="shared" si="267"/>
        <v>0</v>
      </c>
      <c r="N398" s="568">
        <f t="shared" si="267"/>
        <v>0</v>
      </c>
      <c r="O398" s="568">
        <f t="shared" si="258"/>
        <v>0</v>
      </c>
      <c r="P398" s="568">
        <f t="shared" si="259"/>
        <v>0</v>
      </c>
      <c r="Q398" s="568">
        <f t="shared" ref="Q398:S398" si="268">Q399+Q400</f>
        <v>0</v>
      </c>
      <c r="R398" s="568">
        <f t="shared" si="268"/>
        <v>0</v>
      </c>
      <c r="S398" s="568">
        <f t="shared" si="268"/>
        <v>0</v>
      </c>
      <c r="T398" s="568">
        <f t="shared" si="261"/>
        <v>0</v>
      </c>
      <c r="U398" s="568">
        <f t="shared" si="262"/>
        <v>0</v>
      </c>
    </row>
    <row r="399" spans="1:21" ht="18.75" hidden="1" x14ac:dyDescent="0.25">
      <c r="A399" s="674"/>
      <c r="B399" s="718"/>
      <c r="C399" s="718"/>
      <c r="D399" s="718"/>
      <c r="E399" s="569" t="s">
        <v>20</v>
      </c>
      <c r="F399" s="561"/>
      <c r="G399" s="563"/>
      <c r="H399" s="685" t="s">
        <v>14</v>
      </c>
      <c r="I399" s="683"/>
      <c r="J399" s="683"/>
      <c r="K399" s="684"/>
      <c r="L399" s="571">
        <v>0</v>
      </c>
      <c r="M399" s="572">
        <v>0</v>
      </c>
      <c r="N399" s="572">
        <v>0</v>
      </c>
      <c r="O399" s="572">
        <f t="shared" si="258"/>
        <v>0</v>
      </c>
      <c r="P399" s="572">
        <f t="shared" si="259"/>
        <v>0</v>
      </c>
      <c r="Q399" s="572">
        <v>0</v>
      </c>
      <c r="R399" s="572">
        <v>0</v>
      </c>
      <c r="S399" s="572">
        <v>0</v>
      </c>
      <c r="T399" s="572">
        <f t="shared" si="261"/>
        <v>0</v>
      </c>
      <c r="U399" s="572">
        <f t="shared" si="262"/>
        <v>0</v>
      </c>
    </row>
    <row r="400" spans="1:21" ht="18.75" hidden="1" x14ac:dyDescent="0.25">
      <c r="A400" s="674"/>
      <c r="B400" s="718"/>
      <c r="C400" s="718"/>
      <c r="D400" s="718"/>
      <c r="E400" s="573" t="s">
        <v>21</v>
      </c>
      <c r="F400" s="561"/>
      <c r="G400" s="563"/>
      <c r="H400" s="686" t="s">
        <v>14</v>
      </c>
      <c r="I400" s="683"/>
      <c r="J400" s="683"/>
      <c r="K400" s="684"/>
      <c r="L400" s="567">
        <v>0</v>
      </c>
      <c r="M400" s="568">
        <v>0</v>
      </c>
      <c r="N400" s="568">
        <v>0</v>
      </c>
      <c r="O400" s="568">
        <f t="shared" si="258"/>
        <v>0</v>
      </c>
      <c r="P400" s="568">
        <f t="shared" si="259"/>
        <v>0</v>
      </c>
      <c r="Q400" s="568">
        <v>0</v>
      </c>
      <c r="R400" s="568">
        <v>0</v>
      </c>
      <c r="S400" s="568">
        <v>0</v>
      </c>
      <c r="T400" s="568">
        <f t="shared" si="261"/>
        <v>0</v>
      </c>
      <c r="U400" s="568">
        <f t="shared" si="262"/>
        <v>0</v>
      </c>
    </row>
    <row r="401" spans="1:21" ht="19.5" hidden="1" x14ac:dyDescent="0.3">
      <c r="A401" s="687"/>
      <c r="B401" s="688"/>
      <c r="C401" s="719" t="s">
        <v>18</v>
      </c>
      <c r="D401" s="956" t="s">
        <v>38</v>
      </c>
      <c r="E401" s="690"/>
      <c r="F401" s="690"/>
      <c r="G401" s="691"/>
      <c r="H401" s="725"/>
      <c r="I401" s="683"/>
      <c r="J401" s="565"/>
      <c r="K401" s="566"/>
      <c r="L401" s="574"/>
      <c r="M401" s="566"/>
      <c r="N401" s="566"/>
      <c r="O401" s="684"/>
      <c r="P401" s="684"/>
      <c r="Q401" s="566"/>
      <c r="R401" s="566"/>
      <c r="S401" s="566"/>
      <c r="T401" s="684"/>
      <c r="U401" s="684"/>
    </row>
    <row r="402" spans="1:21" ht="12.75" hidden="1" x14ac:dyDescent="0.2">
      <c r="A402" s="973"/>
      <c r="B402" s="961"/>
      <c r="C402" s="961"/>
      <c r="D402" s="961"/>
      <c r="E402" s="974"/>
      <c r="F402" s="974"/>
      <c r="G402" s="975"/>
      <c r="H402" s="962"/>
      <c r="I402" s="963"/>
      <c r="J402" s="963"/>
      <c r="K402" s="964"/>
      <c r="L402" s="965"/>
      <c r="M402" s="964"/>
      <c r="N402" s="964"/>
      <c r="O402" s="964"/>
      <c r="P402" s="964"/>
      <c r="Q402" s="964"/>
      <c r="R402" s="964"/>
      <c r="S402" s="964"/>
      <c r="T402" s="964"/>
      <c r="U402" s="964"/>
    </row>
    <row r="403" spans="1:21" ht="12.75" hidden="1" x14ac:dyDescent="0.2">
      <c r="A403" s="961"/>
      <c r="B403" s="961"/>
      <c r="C403" s="961"/>
      <c r="D403" s="961"/>
      <c r="E403" s="961"/>
      <c r="F403" s="961"/>
      <c r="G403" s="962"/>
      <c r="H403" s="962"/>
      <c r="I403" s="963"/>
      <c r="J403" s="963"/>
      <c r="K403" s="964"/>
      <c r="L403" s="965"/>
      <c r="M403" s="964"/>
      <c r="N403" s="964"/>
      <c r="O403" s="964"/>
      <c r="P403" s="964"/>
      <c r="Q403" s="964"/>
      <c r="R403" s="964"/>
      <c r="S403" s="964"/>
      <c r="T403" s="964"/>
      <c r="U403" s="964"/>
    </row>
    <row r="404" spans="1:21" ht="12.75" hidden="1" x14ac:dyDescent="0.2">
      <c r="A404" s="961"/>
      <c r="B404" s="961"/>
      <c r="C404" s="961"/>
      <c r="D404" s="961"/>
      <c r="E404" s="961"/>
      <c r="F404" s="961"/>
      <c r="G404" s="962"/>
      <c r="H404" s="962"/>
      <c r="I404" s="963"/>
      <c r="J404" s="963"/>
      <c r="K404" s="964"/>
      <c r="L404" s="965"/>
      <c r="M404" s="964"/>
      <c r="N404" s="964"/>
      <c r="O404" s="964"/>
      <c r="P404" s="964"/>
      <c r="Q404" s="964"/>
      <c r="R404" s="964"/>
      <c r="S404" s="964"/>
      <c r="T404" s="964"/>
      <c r="U404" s="964"/>
    </row>
    <row r="405" spans="1:21" ht="12.75" hidden="1" x14ac:dyDescent="0.2">
      <c r="A405" s="961"/>
      <c r="B405" s="961"/>
      <c r="C405" s="961"/>
      <c r="D405" s="961"/>
      <c r="E405" s="961"/>
      <c r="F405" s="961"/>
      <c r="G405" s="962"/>
      <c r="H405" s="962"/>
      <c r="I405" s="963"/>
      <c r="J405" s="963"/>
      <c r="K405" s="964"/>
      <c r="L405" s="965"/>
      <c r="M405" s="964"/>
      <c r="N405" s="964"/>
      <c r="O405" s="964"/>
      <c r="P405" s="964"/>
      <c r="Q405" s="964"/>
      <c r="R405" s="964"/>
      <c r="S405" s="964"/>
      <c r="T405" s="964"/>
      <c r="U405" s="964"/>
    </row>
    <row r="406" spans="1:21" ht="12.75" hidden="1" x14ac:dyDescent="0.2">
      <c r="A406" s="961"/>
      <c r="B406" s="961"/>
      <c r="C406" s="961"/>
      <c r="D406" s="961"/>
      <c r="E406" s="961"/>
      <c r="F406" s="961"/>
      <c r="G406" s="962"/>
      <c r="H406" s="962"/>
      <c r="I406" s="963"/>
      <c r="J406" s="963"/>
      <c r="K406" s="964"/>
      <c r="L406" s="965"/>
      <c r="M406" s="964"/>
      <c r="N406" s="964"/>
      <c r="O406" s="964"/>
      <c r="P406" s="964"/>
      <c r="Q406" s="964"/>
      <c r="R406" s="964"/>
      <c r="S406" s="964"/>
      <c r="T406" s="964"/>
      <c r="U406" s="964"/>
    </row>
    <row r="407" spans="1:21" ht="12.75" hidden="1" x14ac:dyDescent="0.2">
      <c r="A407" s="961"/>
      <c r="B407" s="961"/>
      <c r="C407" s="961"/>
      <c r="D407" s="961"/>
      <c r="E407" s="961"/>
      <c r="F407" s="961"/>
      <c r="G407" s="962"/>
      <c r="H407" s="962"/>
      <c r="I407" s="963"/>
      <c r="J407" s="963"/>
      <c r="K407" s="964"/>
      <c r="L407" s="965"/>
      <c r="M407" s="964"/>
      <c r="N407" s="964"/>
      <c r="O407" s="964"/>
      <c r="P407" s="964"/>
      <c r="Q407" s="964"/>
      <c r="R407" s="964"/>
      <c r="S407" s="964"/>
      <c r="T407" s="964"/>
      <c r="U407" s="964"/>
    </row>
    <row r="408" spans="1:21" ht="12.75" hidden="1" x14ac:dyDescent="0.2">
      <c r="A408" s="961"/>
      <c r="B408" s="961"/>
      <c r="C408" s="961"/>
      <c r="D408" s="961"/>
      <c r="E408" s="961"/>
      <c r="F408" s="961"/>
      <c r="G408" s="962"/>
      <c r="H408" s="962"/>
      <c r="I408" s="963"/>
      <c r="J408" s="963"/>
      <c r="K408" s="964"/>
      <c r="L408" s="965"/>
      <c r="M408" s="964"/>
      <c r="N408" s="964"/>
      <c r="O408" s="964"/>
      <c r="P408" s="964"/>
      <c r="Q408" s="964"/>
      <c r="R408" s="964"/>
      <c r="S408" s="964"/>
      <c r="T408" s="964"/>
      <c r="U408" s="964"/>
    </row>
    <row r="409" spans="1:21" ht="12.75" hidden="1" x14ac:dyDescent="0.2">
      <c r="A409" s="961"/>
      <c r="B409" s="961"/>
      <c r="C409" s="961"/>
      <c r="D409" s="961"/>
      <c r="E409" s="961"/>
      <c r="F409" s="961"/>
      <c r="G409" s="962"/>
      <c r="H409" s="962"/>
      <c r="I409" s="963"/>
      <c r="J409" s="963"/>
      <c r="K409" s="964"/>
      <c r="L409" s="965"/>
      <c r="M409" s="964"/>
      <c r="N409" s="964"/>
      <c r="O409" s="964"/>
      <c r="P409" s="964"/>
      <c r="Q409" s="964"/>
      <c r="R409" s="964"/>
      <c r="S409" s="964"/>
      <c r="T409" s="964"/>
      <c r="U409" s="964"/>
    </row>
    <row r="410" spans="1:21" ht="12.75" hidden="1" x14ac:dyDescent="0.2">
      <c r="A410" s="961"/>
      <c r="B410" s="961"/>
      <c r="C410" s="961"/>
      <c r="D410" s="961"/>
      <c r="E410" s="961"/>
      <c r="F410" s="961"/>
      <c r="G410" s="962"/>
      <c r="H410" s="962"/>
      <c r="I410" s="963"/>
      <c r="J410" s="963"/>
      <c r="K410" s="964"/>
      <c r="L410" s="965"/>
      <c r="M410" s="964"/>
      <c r="N410" s="964"/>
      <c r="O410" s="964"/>
      <c r="P410" s="964"/>
      <c r="Q410" s="964"/>
      <c r="R410" s="964"/>
      <c r="S410" s="964"/>
      <c r="T410" s="964"/>
      <c r="U410" s="964"/>
    </row>
    <row r="411" spans="1:21" ht="12.75" hidden="1" x14ac:dyDescent="0.2">
      <c r="A411" s="966"/>
      <c r="B411" s="966"/>
      <c r="C411" s="966"/>
      <c r="D411" s="966"/>
      <c r="E411" s="966"/>
      <c r="F411" s="966"/>
      <c r="G411" s="967"/>
      <c r="H411" s="967"/>
      <c r="I411" s="968"/>
      <c r="J411" s="968"/>
      <c r="K411" s="969"/>
      <c r="L411" s="970"/>
      <c r="M411" s="969"/>
      <c r="N411" s="969"/>
      <c r="O411" s="969"/>
      <c r="P411" s="969"/>
      <c r="Q411" s="969"/>
      <c r="R411" s="969"/>
      <c r="S411" s="969"/>
      <c r="T411" s="969"/>
      <c r="U411" s="969"/>
    </row>
    <row r="412" spans="1:21" ht="19.5" x14ac:dyDescent="0.3">
      <c r="A412" s="928"/>
      <c r="B412" s="971" t="s">
        <v>157</v>
      </c>
      <c r="C412" s="928"/>
      <c r="D412" s="928"/>
      <c r="E412" s="928"/>
      <c r="F412" s="928"/>
      <c r="G412" s="976"/>
      <c r="H412" s="977" t="s">
        <v>46</v>
      </c>
      <c r="I412" s="914">
        <f t="shared" ref="I412:J412" ca="1" si="269">I423</f>
        <v>145464</v>
      </c>
      <c r="J412" s="914">
        <f t="shared" si="269"/>
        <v>0</v>
      </c>
      <c r="K412" s="915">
        <f ca="1">IF(I412&gt;0,J412*100/I412,0)</f>
        <v>0</v>
      </c>
      <c r="L412" s="916"/>
      <c r="M412" s="917"/>
      <c r="N412" s="917"/>
      <c r="O412" s="917"/>
      <c r="P412" s="917"/>
      <c r="Q412" s="917"/>
      <c r="R412" s="917"/>
      <c r="S412" s="917"/>
      <c r="T412" s="917"/>
      <c r="U412" s="917"/>
    </row>
    <row r="413" spans="1:21" ht="19.5" x14ac:dyDescent="0.3">
      <c r="A413" s="674"/>
      <c r="B413" s="718"/>
      <c r="C413" s="978" t="s">
        <v>18</v>
      </c>
      <c r="D413" s="1313" t="s">
        <v>19</v>
      </c>
      <c r="E413" s="1314"/>
      <c r="F413" s="1314"/>
      <c r="G413" s="1317"/>
      <c r="H413" s="979" t="s">
        <v>14</v>
      </c>
      <c r="I413" s="565"/>
      <c r="J413" s="565"/>
      <c r="K413" s="566"/>
      <c r="L413" s="678">
        <f t="shared" ref="L413:N413" ca="1" si="270">L414+L415</f>
        <v>716050</v>
      </c>
      <c r="M413" s="679">
        <f t="shared" ca="1" si="270"/>
        <v>276400</v>
      </c>
      <c r="N413" s="679">
        <f t="shared" ca="1" si="270"/>
        <v>0</v>
      </c>
      <c r="O413" s="679">
        <f t="shared" ref="O413:O421" ca="1" si="271">IF(L413&gt;0,N413*100/L413,0)</f>
        <v>0</v>
      </c>
      <c r="P413" s="679">
        <f t="shared" ref="P413:P421" ca="1" si="272">IF(M413&gt;0,N413*100/M413,0)</f>
        <v>0</v>
      </c>
      <c r="Q413" s="679">
        <f t="shared" ref="Q413:S413" ca="1" si="273">Q414+Q415</f>
        <v>92610</v>
      </c>
      <c r="R413" s="679">
        <f t="shared" ca="1" si="273"/>
        <v>92610</v>
      </c>
      <c r="S413" s="679">
        <f t="shared" ca="1" si="273"/>
        <v>0</v>
      </c>
      <c r="T413" s="679">
        <f t="shared" ref="T413:T421" ca="1" si="274">IF(Q413&gt;0,S413*100/Q413,0)</f>
        <v>0</v>
      </c>
      <c r="U413" s="679">
        <f t="shared" ref="U413:U421" ca="1" si="275">IF(R413&gt;0,S413*100/R413,0)</f>
        <v>0</v>
      </c>
    </row>
    <row r="414" spans="1:21" ht="18.75" x14ac:dyDescent="0.25">
      <c r="A414" s="674"/>
      <c r="B414" s="718"/>
      <c r="C414" s="718"/>
      <c r="D414" s="718"/>
      <c r="E414" s="767" t="s">
        <v>158</v>
      </c>
      <c r="F414" s="718"/>
      <c r="G414" s="727"/>
      <c r="H414" s="723" t="s">
        <v>14</v>
      </c>
      <c r="I414" s="565"/>
      <c r="J414" s="565"/>
      <c r="K414" s="566"/>
      <c r="L414" s="571">
        <f t="shared" ref="L414:N415" si="276">L417+L420</f>
        <v>0</v>
      </c>
      <c r="M414" s="572">
        <f t="shared" si="276"/>
        <v>0</v>
      </c>
      <c r="N414" s="572">
        <f t="shared" si="276"/>
        <v>0</v>
      </c>
      <c r="O414" s="572">
        <f t="shared" si="271"/>
        <v>0</v>
      </c>
      <c r="P414" s="572">
        <f t="shared" si="272"/>
        <v>0</v>
      </c>
      <c r="Q414" s="572">
        <f t="shared" ref="Q414:S415" si="277">Q417+Q420</f>
        <v>0</v>
      </c>
      <c r="R414" s="572">
        <f t="shared" si="277"/>
        <v>0</v>
      </c>
      <c r="S414" s="572">
        <f t="shared" si="277"/>
        <v>0</v>
      </c>
      <c r="T414" s="572">
        <f t="shared" si="274"/>
        <v>0</v>
      </c>
      <c r="U414" s="572">
        <f t="shared" si="275"/>
        <v>0</v>
      </c>
    </row>
    <row r="415" spans="1:21" ht="18.75" x14ac:dyDescent="0.25">
      <c r="A415" s="674"/>
      <c r="B415" s="718"/>
      <c r="C415" s="718"/>
      <c r="D415" s="718"/>
      <c r="E415" s="765" t="s">
        <v>159</v>
      </c>
      <c r="F415" s="718"/>
      <c r="G415" s="727"/>
      <c r="H415" s="722" t="s">
        <v>14</v>
      </c>
      <c r="I415" s="565"/>
      <c r="J415" s="565"/>
      <c r="K415" s="566"/>
      <c r="L415" s="567">
        <f t="shared" ca="1" si="276"/>
        <v>716050</v>
      </c>
      <c r="M415" s="568">
        <f t="shared" ca="1" si="276"/>
        <v>276400</v>
      </c>
      <c r="N415" s="568">
        <f t="shared" ca="1" si="276"/>
        <v>0</v>
      </c>
      <c r="O415" s="568">
        <f t="shared" ca="1" si="271"/>
        <v>0</v>
      </c>
      <c r="P415" s="568">
        <f t="shared" ca="1" si="272"/>
        <v>0</v>
      </c>
      <c r="Q415" s="568">
        <f t="shared" ca="1" si="277"/>
        <v>92610</v>
      </c>
      <c r="R415" s="568">
        <f t="shared" ca="1" si="277"/>
        <v>92610</v>
      </c>
      <c r="S415" s="568">
        <f t="shared" ca="1" si="277"/>
        <v>0</v>
      </c>
      <c r="T415" s="568">
        <f t="shared" ca="1" si="274"/>
        <v>0</v>
      </c>
      <c r="U415" s="568">
        <f t="shared" ca="1" si="275"/>
        <v>0</v>
      </c>
    </row>
    <row r="416" spans="1:21" ht="19.5" x14ac:dyDescent="0.3">
      <c r="A416" s="674"/>
      <c r="B416" s="718"/>
      <c r="C416" s="718"/>
      <c r="D416" s="955" t="s">
        <v>22</v>
      </c>
      <c r="E416" s="718"/>
      <c r="F416" s="718"/>
      <c r="G416" s="727"/>
      <c r="H416" s="979" t="s">
        <v>14</v>
      </c>
      <c r="I416" s="565"/>
      <c r="J416" s="565"/>
      <c r="K416" s="566"/>
      <c r="L416" s="567">
        <f t="shared" ref="L416:N416" ca="1" si="278">L417+L418</f>
        <v>716050</v>
      </c>
      <c r="M416" s="568">
        <f t="shared" ca="1" si="278"/>
        <v>276400</v>
      </c>
      <c r="N416" s="568">
        <f t="shared" ca="1" si="278"/>
        <v>0</v>
      </c>
      <c r="O416" s="568">
        <f t="shared" ca="1" si="271"/>
        <v>0</v>
      </c>
      <c r="P416" s="568">
        <f t="shared" ca="1" si="272"/>
        <v>0</v>
      </c>
      <c r="Q416" s="568">
        <f t="shared" ref="Q416:S416" ca="1" si="279">Q417+Q418</f>
        <v>92610</v>
      </c>
      <c r="R416" s="568">
        <f t="shared" ca="1" si="279"/>
        <v>92610</v>
      </c>
      <c r="S416" s="568">
        <f t="shared" ca="1" si="279"/>
        <v>0</v>
      </c>
      <c r="T416" s="568">
        <f t="shared" ca="1" si="274"/>
        <v>0</v>
      </c>
      <c r="U416" s="568">
        <f t="shared" ca="1" si="275"/>
        <v>0</v>
      </c>
    </row>
    <row r="417" spans="1:21" ht="18.75" x14ac:dyDescent="0.25">
      <c r="A417" s="674"/>
      <c r="B417" s="718"/>
      <c r="C417" s="718"/>
      <c r="D417" s="718"/>
      <c r="E417" s="767" t="s">
        <v>158</v>
      </c>
      <c r="F417" s="718"/>
      <c r="G417" s="727"/>
      <c r="H417" s="723" t="s">
        <v>14</v>
      </c>
      <c r="I417" s="565"/>
      <c r="J417" s="565"/>
      <c r="K417" s="566"/>
      <c r="L417" s="571">
        <v>0</v>
      </c>
      <c r="M417" s="572">
        <v>0</v>
      </c>
      <c r="N417" s="572">
        <v>0</v>
      </c>
      <c r="O417" s="572">
        <f t="shared" si="271"/>
        <v>0</v>
      </c>
      <c r="P417" s="572">
        <f t="shared" si="272"/>
        <v>0</v>
      </c>
      <c r="Q417" s="572">
        <v>0</v>
      </c>
      <c r="R417" s="572">
        <v>0</v>
      </c>
      <c r="S417" s="572">
        <v>0</v>
      </c>
      <c r="T417" s="572">
        <f t="shared" si="274"/>
        <v>0</v>
      </c>
      <c r="U417" s="572">
        <f t="shared" si="275"/>
        <v>0</v>
      </c>
    </row>
    <row r="418" spans="1:21" ht="18.75" x14ac:dyDescent="0.25">
      <c r="A418" s="674"/>
      <c r="B418" s="718"/>
      <c r="C418" s="718"/>
      <c r="D418" s="718"/>
      <c r="E418" s="765" t="s">
        <v>159</v>
      </c>
      <c r="F418" s="718"/>
      <c r="G418" s="727"/>
      <c r="H418" s="722" t="s">
        <v>14</v>
      </c>
      <c r="I418" s="565"/>
      <c r="J418" s="565"/>
      <c r="K418" s="566"/>
      <c r="L418" s="567">
        <f ca="1">IFERROR(__xludf.DUMMYFUNCTION("IMPORTRANGE(""https://docs.google.com/spreadsheets/d/1-uDff_7J0KD5mKrp0Vvzr7lt3OU09vwQwhkpOPPYv2Y/edit?usp=sharing"",""งบพรบ!IO14"")"),716050)</f>
        <v>716050</v>
      </c>
      <c r="M418" s="568">
        <f ca="1">IFERROR(__xludf.DUMMYFUNCTION("IMPORTRANGE(""https://docs.google.com/spreadsheets/d/1-uDff_7J0KD5mKrp0Vvzr7lt3OU09vwQwhkpOPPYv2Y/edit?usp=sharing"",""งบพรบ!IT14"")"),276400)</f>
        <v>276400</v>
      </c>
      <c r="N418" s="568">
        <f ca="1">IFERROR(__xludf.DUMMYFUNCTION("IMPORTRANGE(""https://docs.google.com/spreadsheets/d/1-uDff_7J0KD5mKrp0Vvzr7lt3OU09vwQwhkpOPPYv2Y/edit?usp=sharing"",""งบพรบ!IV14"")"),0)</f>
        <v>0</v>
      </c>
      <c r="O418" s="568">
        <f t="shared" ca="1" si="271"/>
        <v>0</v>
      </c>
      <c r="P418" s="568">
        <f t="shared" ca="1" si="272"/>
        <v>0</v>
      </c>
      <c r="Q418" s="568">
        <f ca="1">IFERROR(__xludf.DUMMYFUNCTION("IMPORTRANGE(""https://docs.google.com/spreadsheets/d/1ItG2mGa2ceCfYo0BwxsXqNm01IGEUdYcSSLTEv9YCik/edit?usp=sharing"",""เบิกจ่ายกองทุน!BZ14"")"),92610)</f>
        <v>92610</v>
      </c>
      <c r="R418" s="568">
        <f ca="1">IFERROR(__xludf.DUMMYFUNCTION("IMPORTRANGE(""https://docs.google.com/spreadsheets/d/1ItG2mGa2ceCfYo0BwxsXqNm01IGEUdYcSSLTEv9YCik/edit?usp=sharing"",""เบิกจ่ายกองทุน!CA14"")"),92610)</f>
        <v>92610</v>
      </c>
      <c r="S418" s="568">
        <f ca="1">IFERROR(__xludf.DUMMYFUNCTION("IMPORTRANGE(""https://docs.google.com/spreadsheets/d/1ItG2mGa2ceCfYo0BwxsXqNm01IGEUdYcSSLTEv9YCik/edit?usp=sharing"",""เบิกจ่ายกองทุน!CB14"")"),0)</f>
        <v>0</v>
      </c>
      <c r="T418" s="568">
        <f t="shared" ca="1" si="274"/>
        <v>0</v>
      </c>
      <c r="U418" s="568">
        <f t="shared" ca="1" si="275"/>
        <v>0</v>
      </c>
    </row>
    <row r="419" spans="1:21" ht="19.5" x14ac:dyDescent="0.3">
      <c r="A419" s="674"/>
      <c r="B419" s="718"/>
      <c r="C419" s="718"/>
      <c r="D419" s="955" t="s">
        <v>23</v>
      </c>
      <c r="E419" s="718"/>
      <c r="F419" s="718"/>
      <c r="G419" s="727"/>
      <c r="H419" s="677" t="s">
        <v>14</v>
      </c>
      <c r="I419" s="565"/>
      <c r="J419" s="565"/>
      <c r="K419" s="566"/>
      <c r="L419" s="567">
        <f t="shared" ref="L419:N419" ca="1" si="280">L420+L421</f>
        <v>0</v>
      </c>
      <c r="M419" s="568">
        <f t="shared" ca="1" si="280"/>
        <v>0</v>
      </c>
      <c r="N419" s="568">
        <f t="shared" ca="1" si="280"/>
        <v>0</v>
      </c>
      <c r="O419" s="568">
        <f t="shared" ca="1" si="271"/>
        <v>0</v>
      </c>
      <c r="P419" s="568">
        <f t="shared" ca="1" si="272"/>
        <v>0</v>
      </c>
      <c r="Q419" s="568">
        <f t="shared" ref="Q419:S419" si="281">Q420+Q421</f>
        <v>0</v>
      </c>
      <c r="R419" s="568">
        <f t="shared" si="281"/>
        <v>0</v>
      </c>
      <c r="S419" s="568">
        <f t="shared" si="281"/>
        <v>0</v>
      </c>
      <c r="T419" s="568">
        <f t="shared" si="274"/>
        <v>0</v>
      </c>
      <c r="U419" s="568">
        <f t="shared" si="275"/>
        <v>0</v>
      </c>
    </row>
    <row r="420" spans="1:21" ht="18.75" x14ac:dyDescent="0.25">
      <c r="A420" s="674"/>
      <c r="B420" s="718"/>
      <c r="C420" s="718"/>
      <c r="D420" s="718"/>
      <c r="E420" s="767" t="s">
        <v>20</v>
      </c>
      <c r="F420" s="718"/>
      <c r="G420" s="727"/>
      <c r="H420" s="723" t="s">
        <v>14</v>
      </c>
      <c r="I420" s="565"/>
      <c r="J420" s="565"/>
      <c r="K420" s="566"/>
      <c r="L420" s="571">
        <v>0</v>
      </c>
      <c r="M420" s="572">
        <v>0</v>
      </c>
      <c r="N420" s="572">
        <v>0</v>
      </c>
      <c r="O420" s="572">
        <f t="shared" si="271"/>
        <v>0</v>
      </c>
      <c r="P420" s="572">
        <f t="shared" si="272"/>
        <v>0</v>
      </c>
      <c r="Q420" s="572">
        <v>0</v>
      </c>
      <c r="R420" s="572">
        <v>0</v>
      </c>
      <c r="S420" s="572">
        <v>0</v>
      </c>
      <c r="T420" s="572">
        <f t="shared" si="274"/>
        <v>0</v>
      </c>
      <c r="U420" s="572">
        <f t="shared" si="275"/>
        <v>0</v>
      </c>
    </row>
    <row r="421" spans="1:21" ht="18.75" x14ac:dyDescent="0.25">
      <c r="A421" s="674"/>
      <c r="B421" s="718"/>
      <c r="C421" s="718"/>
      <c r="D421" s="718"/>
      <c r="E421" s="765" t="s">
        <v>21</v>
      </c>
      <c r="F421" s="718"/>
      <c r="G421" s="727"/>
      <c r="H421" s="681" t="s">
        <v>14</v>
      </c>
      <c r="I421" s="565"/>
      <c r="J421" s="565"/>
      <c r="K421" s="566"/>
      <c r="L421" s="567">
        <f ca="1">IFERROR(__xludf.DUMMYFUNCTION("IMPORTRANGE(""https://docs.google.com/spreadsheets/d/1-uDff_7J0KD5mKrp0Vvzr7lt3OU09vwQwhkpOPPYv2Y/edit?usp=sharing"",""งบพรบ!IR14"")"),0)</f>
        <v>0</v>
      </c>
      <c r="M421" s="568">
        <f ca="1">IFERROR(__xludf.DUMMYFUNCTION("IMPORTRANGE(""https://docs.google.com/spreadsheets/d/1-uDff_7J0KD5mKrp0Vvzr7lt3OU09vwQwhkpOPPYv2Y/edit?usp=sharing"",""งบพรบ!IU14"")"),0)</f>
        <v>0</v>
      </c>
      <c r="N421" s="568">
        <f ca="1">IFERROR(__xludf.DUMMYFUNCTION("IMPORTRANGE(""https://docs.google.com/spreadsheets/d/1-uDff_7J0KD5mKrp0Vvzr7lt3OU09vwQwhkpOPPYv2Y/edit?usp=sharing"",""งบพรบ!IW14"")"),0)</f>
        <v>0</v>
      </c>
      <c r="O421" s="568">
        <f t="shared" ca="1" si="271"/>
        <v>0</v>
      </c>
      <c r="P421" s="568">
        <f t="shared" ca="1" si="272"/>
        <v>0</v>
      </c>
      <c r="Q421" s="568">
        <v>0</v>
      </c>
      <c r="R421" s="568">
        <v>0</v>
      </c>
      <c r="S421" s="568">
        <v>0</v>
      </c>
      <c r="T421" s="568">
        <f t="shared" si="274"/>
        <v>0</v>
      </c>
      <c r="U421" s="568">
        <f t="shared" si="275"/>
        <v>0</v>
      </c>
    </row>
    <row r="422" spans="1:21" ht="19.5" x14ac:dyDescent="0.3">
      <c r="A422" s="764"/>
      <c r="B422" s="718"/>
      <c r="C422" s="978" t="s">
        <v>18</v>
      </c>
      <c r="D422" s="980" t="s">
        <v>38</v>
      </c>
      <c r="E422" s="718"/>
      <c r="F422" s="718"/>
      <c r="G422" s="727"/>
      <c r="H422" s="727"/>
      <c r="I422" s="565"/>
      <c r="J422" s="565"/>
      <c r="K422" s="566"/>
      <c r="L422" s="574"/>
      <c r="M422" s="566"/>
      <c r="N422" s="566"/>
      <c r="O422" s="566"/>
      <c r="P422" s="566"/>
      <c r="Q422" s="566"/>
      <c r="R422" s="566"/>
      <c r="S422" s="566"/>
      <c r="T422" s="566"/>
      <c r="U422" s="566"/>
    </row>
    <row r="423" spans="1:21" ht="19.5" x14ac:dyDescent="0.3">
      <c r="A423" s="764"/>
      <c r="B423" s="719" t="s">
        <v>160</v>
      </c>
      <c r="C423" s="718"/>
      <c r="D423" s="718"/>
      <c r="E423" s="718"/>
      <c r="F423" s="718"/>
      <c r="G423" s="727"/>
      <c r="H423" s="979" t="s">
        <v>46</v>
      </c>
      <c r="I423" s="697">
        <f t="shared" ref="I423:J423" ca="1" si="282">I440</f>
        <v>145464</v>
      </c>
      <c r="J423" s="697">
        <f t="shared" si="282"/>
        <v>0</v>
      </c>
      <c r="K423" s="679">
        <f t="shared" ref="K423:K425" ca="1" si="283">IF(I423&gt;0,J423*100/I423,0)</f>
        <v>0</v>
      </c>
      <c r="L423" s="574"/>
      <c r="M423" s="566"/>
      <c r="N423" s="566"/>
      <c r="O423" s="566"/>
      <c r="P423" s="566"/>
      <c r="Q423" s="566"/>
      <c r="R423" s="566"/>
      <c r="S423" s="566"/>
      <c r="T423" s="566"/>
      <c r="U423" s="566"/>
    </row>
    <row r="424" spans="1:21" ht="19.5" x14ac:dyDescent="0.3">
      <c r="A424" s="764"/>
      <c r="B424" s="718"/>
      <c r="C424" s="719" t="s">
        <v>161</v>
      </c>
      <c r="D424" s="718"/>
      <c r="E424" s="718"/>
      <c r="F424" s="718"/>
      <c r="G424" s="727"/>
      <c r="H424" s="677" t="s">
        <v>46</v>
      </c>
      <c r="I424" s="697">
        <f ca="1">IFERROR(__xludf.DUMMYFUNCTION("IMPORTRANGE(""https://docs.google.com/spreadsheets/d/1eHaY18a8A9IcSdp1K8H6x8fbOy06t2VsZHhMHf-1x7Y/edit?usp=sharing"",""แผน!HJ14"")"),145464)</f>
        <v>145464</v>
      </c>
      <c r="J424" s="697">
        <f t="shared" ref="J424:J425" si="284">J426+J428+J430</f>
        <v>0</v>
      </c>
      <c r="K424" s="679">
        <f t="shared" ca="1" si="283"/>
        <v>0</v>
      </c>
      <c r="L424" s="574"/>
      <c r="M424" s="566"/>
      <c r="N424" s="566"/>
      <c r="O424" s="566"/>
      <c r="P424" s="566"/>
      <c r="Q424" s="566"/>
      <c r="R424" s="566"/>
      <c r="S424" s="566"/>
      <c r="T424" s="566"/>
      <c r="U424" s="566"/>
    </row>
    <row r="425" spans="1:21" ht="19.5" x14ac:dyDescent="0.3">
      <c r="A425" s="764"/>
      <c r="B425" s="718"/>
      <c r="C425" s="718"/>
      <c r="D425" s="718"/>
      <c r="E425" s="718"/>
      <c r="F425" s="718"/>
      <c r="G425" s="727"/>
      <c r="H425" s="677" t="s">
        <v>34</v>
      </c>
      <c r="I425" s="697">
        <f ca="1">IFERROR(__xludf.DUMMYFUNCTION("IMPORTRANGE(""https://docs.google.com/spreadsheets/d/1eHaY18a8A9IcSdp1K8H6x8fbOy06t2VsZHhMHf-1x7Y/edit?usp=sharing"",""แผน!HK14"")"),13261)</f>
        <v>13261</v>
      </c>
      <c r="J425" s="697">
        <f t="shared" si="284"/>
        <v>0</v>
      </c>
      <c r="K425" s="679">
        <f t="shared" ca="1" si="283"/>
        <v>0</v>
      </c>
      <c r="L425" s="574"/>
      <c r="M425" s="566"/>
      <c r="N425" s="566"/>
      <c r="O425" s="566"/>
      <c r="P425" s="566"/>
      <c r="Q425" s="566"/>
      <c r="R425" s="566"/>
      <c r="S425" s="566"/>
      <c r="T425" s="566"/>
      <c r="U425" s="566"/>
    </row>
    <row r="426" spans="1:21" ht="18.75" x14ac:dyDescent="0.25">
      <c r="A426" s="764"/>
      <c r="B426" s="718"/>
      <c r="C426" s="718"/>
      <c r="D426" s="765" t="s">
        <v>162</v>
      </c>
      <c r="E426" s="718"/>
      <c r="F426" s="718"/>
      <c r="G426" s="727"/>
      <c r="H426" s="681" t="s">
        <v>46</v>
      </c>
      <c r="I426" s="565"/>
      <c r="J426" s="565"/>
      <c r="K426" s="566"/>
      <c r="L426" s="574"/>
      <c r="M426" s="566"/>
      <c r="N426" s="566"/>
      <c r="O426" s="566"/>
      <c r="P426" s="566"/>
      <c r="Q426" s="566"/>
      <c r="R426" s="566"/>
      <c r="S426" s="566"/>
      <c r="T426" s="566"/>
      <c r="U426" s="566"/>
    </row>
    <row r="427" spans="1:21" ht="18.75" x14ac:dyDescent="0.25">
      <c r="A427" s="764"/>
      <c r="B427" s="718"/>
      <c r="C427" s="718"/>
      <c r="D427" s="718"/>
      <c r="E427" s="718"/>
      <c r="F427" s="718"/>
      <c r="G427" s="727"/>
      <c r="H427" s="681" t="s">
        <v>34</v>
      </c>
      <c r="I427" s="565"/>
      <c r="J427" s="565"/>
      <c r="K427" s="566"/>
      <c r="L427" s="574"/>
      <c r="M427" s="566"/>
      <c r="N427" s="566"/>
      <c r="O427" s="566"/>
      <c r="P427" s="566"/>
      <c r="Q427" s="566"/>
      <c r="R427" s="566"/>
      <c r="S427" s="566"/>
      <c r="T427" s="566"/>
      <c r="U427" s="566"/>
    </row>
    <row r="428" spans="1:21" ht="18.75" x14ac:dyDescent="0.25">
      <c r="A428" s="764"/>
      <c r="B428" s="718"/>
      <c r="C428" s="718"/>
      <c r="D428" s="765" t="s">
        <v>163</v>
      </c>
      <c r="E428" s="718"/>
      <c r="F428" s="718"/>
      <c r="G428" s="727"/>
      <c r="H428" s="681" t="s">
        <v>46</v>
      </c>
      <c r="I428" s="565"/>
      <c r="J428" s="565"/>
      <c r="K428" s="566"/>
      <c r="L428" s="574"/>
      <c r="M428" s="566"/>
      <c r="N428" s="566"/>
      <c r="O428" s="566"/>
      <c r="P428" s="566"/>
      <c r="Q428" s="566"/>
      <c r="R428" s="566"/>
      <c r="S428" s="566"/>
      <c r="T428" s="566"/>
      <c r="U428" s="566"/>
    </row>
    <row r="429" spans="1:21" ht="18.75" x14ac:dyDescent="0.25">
      <c r="A429" s="764"/>
      <c r="B429" s="718"/>
      <c r="C429" s="718"/>
      <c r="D429" s="718"/>
      <c r="E429" s="718"/>
      <c r="F429" s="718"/>
      <c r="G429" s="727"/>
      <c r="H429" s="681" t="s">
        <v>34</v>
      </c>
      <c r="I429" s="565"/>
      <c r="J429" s="565"/>
      <c r="K429" s="566"/>
      <c r="L429" s="574"/>
      <c r="M429" s="566"/>
      <c r="N429" s="566"/>
      <c r="O429" s="566"/>
      <c r="P429" s="566"/>
      <c r="Q429" s="566"/>
      <c r="R429" s="566"/>
      <c r="S429" s="566"/>
      <c r="T429" s="566"/>
      <c r="U429" s="566"/>
    </row>
    <row r="430" spans="1:21" ht="18.75" x14ac:dyDescent="0.25">
      <c r="A430" s="764"/>
      <c r="B430" s="718"/>
      <c r="C430" s="718"/>
      <c r="D430" s="765" t="s">
        <v>164</v>
      </c>
      <c r="E430" s="718"/>
      <c r="F430" s="718"/>
      <c r="G430" s="727"/>
      <c r="H430" s="681" t="s">
        <v>46</v>
      </c>
      <c r="I430" s="565"/>
      <c r="J430" s="565"/>
      <c r="K430" s="566"/>
      <c r="L430" s="574"/>
      <c r="M430" s="566"/>
      <c r="N430" s="566"/>
      <c r="O430" s="566"/>
      <c r="P430" s="566"/>
      <c r="Q430" s="566"/>
      <c r="R430" s="566"/>
      <c r="S430" s="566"/>
      <c r="T430" s="566"/>
      <c r="U430" s="566"/>
    </row>
    <row r="431" spans="1:21" ht="18.75" x14ac:dyDescent="0.25">
      <c r="A431" s="764"/>
      <c r="B431" s="718"/>
      <c r="C431" s="718"/>
      <c r="D431" s="718"/>
      <c r="E431" s="718"/>
      <c r="F431" s="718"/>
      <c r="G431" s="727"/>
      <c r="H431" s="681" t="s">
        <v>34</v>
      </c>
      <c r="I431" s="565"/>
      <c r="J431" s="565"/>
      <c r="K431" s="566"/>
      <c r="L431" s="574"/>
      <c r="M431" s="566"/>
      <c r="N431" s="566"/>
      <c r="O431" s="566"/>
      <c r="P431" s="566"/>
      <c r="Q431" s="566"/>
      <c r="R431" s="566"/>
      <c r="S431" s="566"/>
      <c r="T431" s="566"/>
      <c r="U431" s="566"/>
    </row>
    <row r="432" spans="1:21" ht="19.5" x14ac:dyDescent="0.3">
      <c r="A432" s="764"/>
      <c r="B432" s="718"/>
      <c r="C432" s="719" t="s">
        <v>165</v>
      </c>
      <c r="D432" s="718"/>
      <c r="E432" s="718"/>
      <c r="F432" s="718"/>
      <c r="G432" s="727"/>
      <c r="H432" s="677" t="s">
        <v>46</v>
      </c>
      <c r="I432" s="697">
        <f ca="1">IFERROR(__xludf.DUMMYFUNCTION("IMPORTRANGE(""https://docs.google.com/spreadsheets/d/1eHaY18a8A9IcSdp1K8H6x8fbOy06t2VsZHhMHf-1x7Y/edit?usp=sharing"",""แผน!HJ14"")"),145464)</f>
        <v>145464</v>
      </c>
      <c r="J432" s="697">
        <f t="shared" ref="J432:J433" si="285">J434+J436+J438</f>
        <v>0</v>
      </c>
      <c r="K432" s="679">
        <f t="shared" ref="K432:K433" ca="1" si="286">IF(I432&gt;0,J432*100/I432,0)</f>
        <v>0</v>
      </c>
      <c r="L432" s="574"/>
      <c r="M432" s="566"/>
      <c r="N432" s="566"/>
      <c r="O432" s="566"/>
      <c r="P432" s="566"/>
      <c r="Q432" s="566"/>
      <c r="R432" s="566"/>
      <c r="S432" s="566"/>
      <c r="T432" s="566"/>
      <c r="U432" s="566"/>
    </row>
    <row r="433" spans="1:21" ht="19.5" x14ac:dyDescent="0.3">
      <c r="A433" s="764"/>
      <c r="B433" s="718"/>
      <c r="C433" s="718"/>
      <c r="D433" s="718"/>
      <c r="E433" s="718"/>
      <c r="F433" s="718"/>
      <c r="G433" s="727"/>
      <c r="H433" s="677" t="s">
        <v>34</v>
      </c>
      <c r="I433" s="697">
        <f ca="1">IFERROR(__xludf.DUMMYFUNCTION("IMPORTRANGE(""https://docs.google.com/spreadsheets/d/1eHaY18a8A9IcSdp1K8H6x8fbOy06t2VsZHhMHf-1x7Y/edit?usp=sharing"",""แผน!HK14"")"),13261)</f>
        <v>13261</v>
      </c>
      <c r="J433" s="697">
        <f t="shared" si="285"/>
        <v>0</v>
      </c>
      <c r="K433" s="679">
        <f t="shared" ca="1" si="286"/>
        <v>0</v>
      </c>
      <c r="L433" s="574"/>
      <c r="M433" s="566"/>
      <c r="N433" s="566"/>
      <c r="O433" s="566"/>
      <c r="P433" s="566"/>
      <c r="Q433" s="566"/>
      <c r="R433" s="566"/>
      <c r="S433" s="566"/>
      <c r="T433" s="566"/>
      <c r="U433" s="566"/>
    </row>
    <row r="434" spans="1:21" ht="18.75" x14ac:dyDescent="0.25">
      <c r="A434" s="764"/>
      <c r="B434" s="718"/>
      <c r="C434" s="718"/>
      <c r="D434" s="765" t="s">
        <v>166</v>
      </c>
      <c r="E434" s="718"/>
      <c r="F434" s="718"/>
      <c r="G434" s="727"/>
      <c r="H434" s="681" t="s">
        <v>46</v>
      </c>
      <c r="I434" s="565"/>
      <c r="J434" s="565"/>
      <c r="K434" s="566"/>
      <c r="L434" s="574"/>
      <c r="M434" s="566"/>
      <c r="N434" s="566"/>
      <c r="O434" s="566"/>
      <c r="P434" s="566"/>
      <c r="Q434" s="566"/>
      <c r="R434" s="566"/>
      <c r="S434" s="566"/>
      <c r="T434" s="566"/>
      <c r="U434" s="566"/>
    </row>
    <row r="435" spans="1:21" ht="18.75" x14ac:dyDescent="0.25">
      <c r="A435" s="764"/>
      <c r="B435" s="718"/>
      <c r="C435" s="718"/>
      <c r="D435" s="718"/>
      <c r="E435" s="718"/>
      <c r="F435" s="718"/>
      <c r="G435" s="727"/>
      <c r="H435" s="681" t="s">
        <v>34</v>
      </c>
      <c r="I435" s="565"/>
      <c r="J435" s="565"/>
      <c r="K435" s="566"/>
      <c r="L435" s="574"/>
      <c r="M435" s="566"/>
      <c r="N435" s="566"/>
      <c r="O435" s="566"/>
      <c r="P435" s="566"/>
      <c r="Q435" s="566"/>
      <c r="R435" s="566"/>
      <c r="S435" s="566"/>
      <c r="T435" s="566"/>
      <c r="U435" s="566"/>
    </row>
    <row r="436" spans="1:21" ht="18.75" x14ac:dyDescent="0.25">
      <c r="A436" s="764"/>
      <c r="B436" s="718"/>
      <c r="C436" s="718"/>
      <c r="D436" s="765" t="s">
        <v>167</v>
      </c>
      <c r="E436" s="718"/>
      <c r="F436" s="718"/>
      <c r="G436" s="727"/>
      <c r="H436" s="681" t="s">
        <v>46</v>
      </c>
      <c r="I436" s="565"/>
      <c r="J436" s="565"/>
      <c r="K436" s="566"/>
      <c r="L436" s="574"/>
      <c r="M436" s="566"/>
      <c r="N436" s="566"/>
      <c r="O436" s="566"/>
      <c r="P436" s="566"/>
      <c r="Q436" s="566"/>
      <c r="R436" s="566"/>
      <c r="S436" s="566"/>
      <c r="T436" s="566"/>
      <c r="U436" s="566"/>
    </row>
    <row r="437" spans="1:21" ht="18.75" x14ac:dyDescent="0.25">
      <c r="A437" s="764"/>
      <c r="B437" s="718"/>
      <c r="C437" s="718"/>
      <c r="D437" s="718"/>
      <c r="E437" s="718"/>
      <c r="F437" s="718"/>
      <c r="G437" s="727"/>
      <c r="H437" s="681" t="s">
        <v>34</v>
      </c>
      <c r="I437" s="565"/>
      <c r="J437" s="565"/>
      <c r="K437" s="566"/>
      <c r="L437" s="574"/>
      <c r="M437" s="566"/>
      <c r="N437" s="566"/>
      <c r="O437" s="566"/>
      <c r="P437" s="566"/>
      <c r="Q437" s="566"/>
      <c r="R437" s="566"/>
      <c r="S437" s="566"/>
      <c r="T437" s="566"/>
      <c r="U437" s="566"/>
    </row>
    <row r="438" spans="1:21" ht="18.75" x14ac:dyDescent="0.25">
      <c r="A438" s="764"/>
      <c r="B438" s="718"/>
      <c r="C438" s="718"/>
      <c r="D438" s="765" t="s">
        <v>168</v>
      </c>
      <c r="E438" s="718"/>
      <c r="F438" s="718"/>
      <c r="G438" s="727"/>
      <c r="H438" s="681" t="s">
        <v>46</v>
      </c>
      <c r="I438" s="565"/>
      <c r="J438" s="565"/>
      <c r="K438" s="566"/>
      <c r="L438" s="574"/>
      <c r="M438" s="566"/>
      <c r="N438" s="566"/>
      <c r="O438" s="566"/>
      <c r="P438" s="566"/>
      <c r="Q438" s="566"/>
      <c r="R438" s="566"/>
      <c r="S438" s="566"/>
      <c r="T438" s="566"/>
      <c r="U438" s="566"/>
    </row>
    <row r="439" spans="1:21" ht="18.75" x14ac:dyDescent="0.25">
      <c r="A439" s="764"/>
      <c r="B439" s="718"/>
      <c r="C439" s="718"/>
      <c r="D439" s="718"/>
      <c r="E439" s="718"/>
      <c r="F439" s="718"/>
      <c r="G439" s="727"/>
      <c r="H439" s="681" t="s">
        <v>34</v>
      </c>
      <c r="I439" s="565"/>
      <c r="J439" s="565"/>
      <c r="K439" s="566"/>
      <c r="L439" s="574"/>
      <c r="M439" s="566"/>
      <c r="N439" s="566"/>
      <c r="O439" s="566"/>
      <c r="P439" s="566"/>
      <c r="Q439" s="566"/>
      <c r="R439" s="566"/>
      <c r="S439" s="566"/>
      <c r="T439" s="566"/>
      <c r="U439" s="566"/>
    </row>
    <row r="440" spans="1:21" ht="19.5" x14ac:dyDescent="0.3">
      <c r="A440" s="764"/>
      <c r="B440" s="718"/>
      <c r="C440" s="719" t="s">
        <v>169</v>
      </c>
      <c r="D440" s="718"/>
      <c r="E440" s="718"/>
      <c r="F440" s="718"/>
      <c r="G440" s="727"/>
      <c r="H440" s="677" t="s">
        <v>46</v>
      </c>
      <c r="I440" s="697">
        <f ca="1">IFERROR(__xludf.DUMMYFUNCTION("IMPORTRANGE(""https://docs.google.com/spreadsheets/d/1eHaY18a8A9IcSdp1K8H6x8fbOy06t2VsZHhMHf-1x7Y/edit?usp=sharing"",""แผน!HJ14"")"),145464)</f>
        <v>145464</v>
      </c>
      <c r="J440" s="697">
        <f t="shared" ref="J440:J441" si="287">J442+J444+J446+J452+J454</f>
        <v>0</v>
      </c>
      <c r="K440" s="679">
        <f t="shared" ref="K440:K441" ca="1" si="288">IF(I440&gt;0,J440*100/I440,0)</f>
        <v>0</v>
      </c>
      <c r="L440" s="574"/>
      <c r="M440" s="566"/>
      <c r="N440" s="566"/>
      <c r="O440" s="566"/>
      <c r="P440" s="566"/>
      <c r="Q440" s="566"/>
      <c r="R440" s="566"/>
      <c r="S440" s="566"/>
      <c r="T440" s="566"/>
      <c r="U440" s="566"/>
    </row>
    <row r="441" spans="1:21" ht="19.5" x14ac:dyDescent="0.3">
      <c r="A441" s="764"/>
      <c r="B441" s="718"/>
      <c r="C441" s="718"/>
      <c r="D441" s="718"/>
      <c r="E441" s="718"/>
      <c r="F441" s="718"/>
      <c r="G441" s="727"/>
      <c r="H441" s="677" t="s">
        <v>34</v>
      </c>
      <c r="I441" s="697">
        <f ca="1">IFERROR(__xludf.DUMMYFUNCTION("IMPORTRANGE(""https://docs.google.com/spreadsheets/d/1eHaY18a8A9IcSdp1K8H6x8fbOy06t2VsZHhMHf-1x7Y/edit?usp=sharing"",""แผน!HK14"")"),13261)</f>
        <v>13261</v>
      </c>
      <c r="J441" s="697">
        <f t="shared" si="287"/>
        <v>0</v>
      </c>
      <c r="K441" s="679">
        <f t="shared" ca="1" si="288"/>
        <v>0</v>
      </c>
      <c r="L441" s="574"/>
      <c r="M441" s="566"/>
      <c r="N441" s="566"/>
      <c r="O441" s="566"/>
      <c r="P441" s="566"/>
      <c r="Q441" s="566"/>
      <c r="R441" s="566"/>
      <c r="S441" s="566"/>
      <c r="T441" s="566"/>
      <c r="U441" s="566"/>
    </row>
    <row r="442" spans="1:21" ht="18.75" x14ac:dyDescent="0.25">
      <c r="A442" s="764"/>
      <c r="B442" s="718"/>
      <c r="C442" s="718"/>
      <c r="D442" s="765" t="s">
        <v>170</v>
      </c>
      <c r="E442" s="718"/>
      <c r="F442" s="718"/>
      <c r="G442" s="727"/>
      <c r="H442" s="681" t="s">
        <v>46</v>
      </c>
      <c r="I442" s="565"/>
      <c r="J442" s="565"/>
      <c r="K442" s="566"/>
      <c r="L442" s="574"/>
      <c r="M442" s="566"/>
      <c r="N442" s="566"/>
      <c r="O442" s="566"/>
      <c r="P442" s="566"/>
      <c r="Q442" s="566"/>
      <c r="R442" s="566"/>
      <c r="S442" s="566"/>
      <c r="T442" s="566"/>
      <c r="U442" s="566"/>
    </row>
    <row r="443" spans="1:21" ht="18.75" x14ac:dyDescent="0.25">
      <c r="A443" s="764"/>
      <c r="B443" s="718"/>
      <c r="C443" s="718"/>
      <c r="D443" s="718"/>
      <c r="E443" s="718"/>
      <c r="F443" s="718"/>
      <c r="G443" s="727"/>
      <c r="H443" s="681" t="s">
        <v>34</v>
      </c>
      <c r="I443" s="565"/>
      <c r="J443" s="565"/>
      <c r="K443" s="566"/>
      <c r="L443" s="574"/>
      <c r="M443" s="566"/>
      <c r="N443" s="566"/>
      <c r="O443" s="566"/>
      <c r="P443" s="566"/>
      <c r="Q443" s="566"/>
      <c r="R443" s="566"/>
      <c r="S443" s="566"/>
      <c r="T443" s="566"/>
      <c r="U443" s="566"/>
    </row>
    <row r="444" spans="1:21" ht="18.75" x14ac:dyDescent="0.25">
      <c r="A444" s="764"/>
      <c r="B444" s="718"/>
      <c r="C444" s="718"/>
      <c r="D444" s="765" t="s">
        <v>171</v>
      </c>
      <c r="E444" s="718"/>
      <c r="F444" s="718"/>
      <c r="G444" s="727"/>
      <c r="H444" s="681" t="s">
        <v>46</v>
      </c>
      <c r="I444" s="565"/>
      <c r="J444" s="565"/>
      <c r="K444" s="566"/>
      <c r="L444" s="574"/>
      <c r="M444" s="566"/>
      <c r="N444" s="566"/>
      <c r="O444" s="566"/>
      <c r="P444" s="566"/>
      <c r="Q444" s="566"/>
      <c r="R444" s="566"/>
      <c r="S444" s="566"/>
      <c r="T444" s="566"/>
      <c r="U444" s="566"/>
    </row>
    <row r="445" spans="1:21" ht="18.75" x14ac:dyDescent="0.25">
      <c r="A445" s="764"/>
      <c r="B445" s="718"/>
      <c r="C445" s="718"/>
      <c r="D445" s="718"/>
      <c r="E445" s="718"/>
      <c r="F445" s="718"/>
      <c r="G445" s="727"/>
      <c r="H445" s="681" t="s">
        <v>34</v>
      </c>
      <c r="I445" s="565"/>
      <c r="J445" s="565"/>
      <c r="K445" s="566"/>
      <c r="L445" s="574"/>
      <c r="M445" s="566"/>
      <c r="N445" s="566"/>
      <c r="O445" s="566"/>
      <c r="P445" s="566"/>
      <c r="Q445" s="566"/>
      <c r="R445" s="566"/>
      <c r="S445" s="566"/>
      <c r="T445" s="566"/>
      <c r="U445" s="566"/>
    </row>
    <row r="446" spans="1:21" ht="19.5" x14ac:dyDescent="0.3">
      <c r="A446" s="764"/>
      <c r="B446" s="718"/>
      <c r="C446" s="718"/>
      <c r="D446" s="765" t="s">
        <v>172</v>
      </c>
      <c r="E446" s="718"/>
      <c r="F446" s="718"/>
      <c r="G446" s="727"/>
      <c r="H446" s="681" t="s">
        <v>46</v>
      </c>
      <c r="I446" s="565"/>
      <c r="J446" s="697">
        <f t="shared" ref="J446:J447" si="289">J448+J450</f>
        <v>0</v>
      </c>
      <c r="K446" s="566"/>
      <c r="L446" s="574"/>
      <c r="M446" s="566"/>
      <c r="N446" s="566"/>
      <c r="O446" s="566"/>
      <c r="P446" s="566"/>
      <c r="Q446" s="566"/>
      <c r="R446" s="566"/>
      <c r="S446" s="566"/>
      <c r="T446" s="566"/>
      <c r="U446" s="566"/>
    </row>
    <row r="447" spans="1:21" ht="19.5" x14ac:dyDescent="0.3">
      <c r="A447" s="764"/>
      <c r="B447" s="718"/>
      <c r="C447" s="718"/>
      <c r="D447" s="718"/>
      <c r="E447" s="718"/>
      <c r="F447" s="718"/>
      <c r="G447" s="727"/>
      <c r="H447" s="681" t="s">
        <v>34</v>
      </c>
      <c r="I447" s="565"/>
      <c r="J447" s="697">
        <f t="shared" si="289"/>
        <v>0</v>
      </c>
      <c r="K447" s="566"/>
      <c r="L447" s="574"/>
      <c r="M447" s="566"/>
      <c r="N447" s="566"/>
      <c r="O447" s="566"/>
      <c r="P447" s="566"/>
      <c r="Q447" s="566"/>
      <c r="R447" s="566"/>
      <c r="S447" s="566"/>
      <c r="T447" s="566"/>
      <c r="U447" s="566"/>
    </row>
    <row r="448" spans="1:21" ht="18.75" x14ac:dyDescent="0.25">
      <c r="A448" s="764"/>
      <c r="B448" s="718"/>
      <c r="C448" s="718"/>
      <c r="D448" s="718"/>
      <c r="E448" s="765" t="s">
        <v>173</v>
      </c>
      <c r="F448" s="718"/>
      <c r="G448" s="727"/>
      <c r="H448" s="681" t="s">
        <v>46</v>
      </c>
      <c r="I448" s="565"/>
      <c r="J448" s="565"/>
      <c r="K448" s="566"/>
      <c r="L448" s="574"/>
      <c r="M448" s="566"/>
      <c r="N448" s="566"/>
      <c r="O448" s="566"/>
      <c r="P448" s="566"/>
      <c r="Q448" s="566"/>
      <c r="R448" s="566"/>
      <c r="S448" s="566"/>
      <c r="T448" s="566"/>
      <c r="U448" s="566"/>
    </row>
    <row r="449" spans="1:21" ht="18.75" x14ac:dyDescent="0.25">
      <c r="A449" s="764"/>
      <c r="B449" s="718"/>
      <c r="C449" s="718"/>
      <c r="D449" s="718"/>
      <c r="E449" s="718"/>
      <c r="F449" s="718"/>
      <c r="G449" s="727"/>
      <c r="H449" s="681" t="s">
        <v>34</v>
      </c>
      <c r="I449" s="565"/>
      <c r="J449" s="565"/>
      <c r="K449" s="566"/>
      <c r="L449" s="574"/>
      <c r="M449" s="566"/>
      <c r="N449" s="566"/>
      <c r="O449" s="566"/>
      <c r="P449" s="566"/>
      <c r="Q449" s="566"/>
      <c r="R449" s="566"/>
      <c r="S449" s="566"/>
      <c r="T449" s="566"/>
      <c r="U449" s="566"/>
    </row>
    <row r="450" spans="1:21" ht="18.75" x14ac:dyDescent="0.25">
      <c r="A450" s="764"/>
      <c r="B450" s="718"/>
      <c r="C450" s="718"/>
      <c r="D450" s="718"/>
      <c r="E450" s="765" t="s">
        <v>174</v>
      </c>
      <c r="F450" s="718"/>
      <c r="G450" s="727"/>
      <c r="H450" s="681" t="s">
        <v>46</v>
      </c>
      <c r="I450" s="565"/>
      <c r="J450" s="565"/>
      <c r="K450" s="566"/>
      <c r="L450" s="574"/>
      <c r="M450" s="566"/>
      <c r="N450" s="566"/>
      <c r="O450" s="566"/>
      <c r="P450" s="566"/>
      <c r="Q450" s="566"/>
      <c r="R450" s="566"/>
      <c r="S450" s="566"/>
      <c r="T450" s="566"/>
      <c r="U450" s="566"/>
    </row>
    <row r="451" spans="1:21" ht="18.75" x14ac:dyDescent="0.25">
      <c r="A451" s="764"/>
      <c r="B451" s="718"/>
      <c r="C451" s="718"/>
      <c r="D451" s="718"/>
      <c r="E451" s="718"/>
      <c r="F451" s="718"/>
      <c r="G451" s="727"/>
      <c r="H451" s="681" t="s">
        <v>34</v>
      </c>
      <c r="I451" s="565"/>
      <c r="J451" s="565"/>
      <c r="K451" s="566"/>
      <c r="L451" s="574"/>
      <c r="M451" s="566"/>
      <c r="N451" s="566"/>
      <c r="O451" s="566"/>
      <c r="P451" s="566"/>
      <c r="Q451" s="566"/>
      <c r="R451" s="566"/>
      <c r="S451" s="566"/>
      <c r="T451" s="566"/>
      <c r="U451" s="566"/>
    </row>
    <row r="452" spans="1:21" ht="18.75" x14ac:dyDescent="0.25">
      <c r="A452" s="764"/>
      <c r="B452" s="718"/>
      <c r="C452" s="718"/>
      <c r="D452" s="765" t="s">
        <v>175</v>
      </c>
      <c r="E452" s="718"/>
      <c r="F452" s="718"/>
      <c r="G452" s="727"/>
      <c r="H452" s="681" t="s">
        <v>46</v>
      </c>
      <c r="I452" s="565"/>
      <c r="J452" s="565"/>
      <c r="K452" s="566"/>
      <c r="L452" s="574"/>
      <c r="M452" s="566"/>
      <c r="N452" s="566"/>
      <c r="O452" s="566"/>
      <c r="P452" s="566"/>
      <c r="Q452" s="566"/>
      <c r="R452" s="566"/>
      <c r="S452" s="566"/>
      <c r="T452" s="566"/>
      <c r="U452" s="566"/>
    </row>
    <row r="453" spans="1:21" ht="18.75" x14ac:dyDescent="0.25">
      <c r="A453" s="764"/>
      <c r="B453" s="718"/>
      <c r="C453" s="718"/>
      <c r="D453" s="718"/>
      <c r="E453" s="718"/>
      <c r="F453" s="718"/>
      <c r="G453" s="727"/>
      <c r="H453" s="681" t="s">
        <v>34</v>
      </c>
      <c r="I453" s="565"/>
      <c r="J453" s="565"/>
      <c r="K453" s="566"/>
      <c r="L453" s="574"/>
      <c r="M453" s="566"/>
      <c r="N453" s="566"/>
      <c r="O453" s="566"/>
      <c r="P453" s="566"/>
      <c r="Q453" s="566"/>
      <c r="R453" s="566"/>
      <c r="S453" s="566"/>
      <c r="T453" s="566"/>
      <c r="U453" s="566"/>
    </row>
    <row r="454" spans="1:21" ht="18.75" x14ac:dyDescent="0.25">
      <c r="A454" s="764"/>
      <c r="B454" s="718"/>
      <c r="C454" s="718"/>
      <c r="D454" s="765" t="s">
        <v>176</v>
      </c>
      <c r="E454" s="718"/>
      <c r="F454" s="718"/>
      <c r="G454" s="727"/>
      <c r="H454" s="681" t="s">
        <v>46</v>
      </c>
      <c r="I454" s="565"/>
      <c r="J454" s="981"/>
      <c r="K454" s="566"/>
      <c r="L454" s="574"/>
      <c r="M454" s="566"/>
      <c r="N454" s="566"/>
      <c r="O454" s="566"/>
      <c r="P454" s="566"/>
      <c r="Q454" s="566"/>
      <c r="R454" s="566"/>
      <c r="S454" s="566"/>
      <c r="T454" s="566"/>
      <c r="U454" s="566"/>
    </row>
    <row r="455" spans="1:21" ht="18.75" x14ac:dyDescent="0.25">
      <c r="A455" s="764"/>
      <c r="B455" s="718"/>
      <c r="C455" s="718"/>
      <c r="D455" s="718"/>
      <c r="E455" s="718"/>
      <c r="F455" s="718"/>
      <c r="G455" s="727"/>
      <c r="H455" s="681" t="s">
        <v>34</v>
      </c>
      <c r="I455" s="565"/>
      <c r="J455" s="565"/>
      <c r="K455" s="566"/>
      <c r="L455" s="574"/>
      <c r="M455" s="566"/>
      <c r="N455" s="566"/>
      <c r="O455" s="566"/>
      <c r="P455" s="566"/>
      <c r="Q455" s="566"/>
      <c r="R455" s="566"/>
      <c r="S455" s="566"/>
      <c r="T455" s="566"/>
      <c r="U455" s="566"/>
    </row>
    <row r="456" spans="1:21" ht="19.5" x14ac:dyDescent="0.3">
      <c r="A456" s="764"/>
      <c r="B456" s="719" t="s">
        <v>177</v>
      </c>
      <c r="C456" s="718"/>
      <c r="D456" s="718"/>
      <c r="E456" s="718"/>
      <c r="F456" s="718"/>
      <c r="G456" s="727"/>
      <c r="H456" s="979" t="s">
        <v>46</v>
      </c>
      <c r="I456" s="697">
        <f t="shared" ref="I456:J456" ca="1" si="290">I457</f>
        <v>57</v>
      </c>
      <c r="J456" s="697">
        <f t="shared" si="290"/>
        <v>0</v>
      </c>
      <c r="K456" s="679">
        <f t="shared" ref="K456:K458" ca="1" si="291">IF(I456&gt;0,J456*100/I456,0)</f>
        <v>0</v>
      </c>
      <c r="L456" s="574"/>
      <c r="M456" s="566"/>
      <c r="N456" s="566"/>
      <c r="O456" s="566"/>
      <c r="P456" s="566"/>
      <c r="Q456" s="566"/>
      <c r="R456" s="566"/>
      <c r="S456" s="566"/>
      <c r="T456" s="566"/>
      <c r="U456" s="566"/>
    </row>
    <row r="457" spans="1:21" ht="19.5" x14ac:dyDescent="0.3">
      <c r="A457" s="764"/>
      <c r="B457" s="718"/>
      <c r="C457" s="719" t="s">
        <v>178</v>
      </c>
      <c r="D457" s="718"/>
      <c r="E457" s="718"/>
      <c r="F457" s="718"/>
      <c r="G457" s="727"/>
      <c r="H457" s="677" t="s">
        <v>46</v>
      </c>
      <c r="I457" s="697">
        <f ca="1">IFERROR(__xludf.DUMMYFUNCTION("IMPORTRANGE(""https://docs.google.com/spreadsheets/d/1eHaY18a8A9IcSdp1K8H6x8fbOy06t2VsZHhMHf-1x7Y/edit?usp=sharing"",""แผน!HL14"")"),57)</f>
        <v>57</v>
      </c>
      <c r="J457" s="697">
        <f t="shared" ref="J457:J458" si="292">J459+J467+J473</f>
        <v>0</v>
      </c>
      <c r="K457" s="679">
        <f t="shared" ca="1" si="291"/>
        <v>0</v>
      </c>
      <c r="L457" s="574"/>
      <c r="M457" s="566"/>
      <c r="N457" s="566"/>
      <c r="O457" s="566"/>
      <c r="P457" s="566"/>
      <c r="Q457" s="566"/>
      <c r="R457" s="566"/>
      <c r="S457" s="566"/>
      <c r="T457" s="566"/>
      <c r="U457" s="566"/>
    </row>
    <row r="458" spans="1:21" ht="19.5" x14ac:dyDescent="0.3">
      <c r="A458" s="764"/>
      <c r="B458" s="718"/>
      <c r="C458" s="718"/>
      <c r="D458" s="718"/>
      <c r="E458" s="718"/>
      <c r="F458" s="718"/>
      <c r="G458" s="727"/>
      <c r="H458" s="677" t="s">
        <v>34</v>
      </c>
      <c r="I458" s="697">
        <f ca="1">IFERROR(__xludf.DUMMYFUNCTION("IMPORTRANGE(""https://docs.google.com/spreadsheets/d/1eHaY18a8A9IcSdp1K8H6x8fbOy06t2VsZHhMHf-1x7Y/edit?usp=sharing"",""แผน!HM14"")"),0)</f>
        <v>0</v>
      </c>
      <c r="J458" s="697">
        <f t="shared" si="292"/>
        <v>0</v>
      </c>
      <c r="K458" s="679">
        <f t="shared" ca="1" si="291"/>
        <v>0</v>
      </c>
      <c r="L458" s="574"/>
      <c r="M458" s="566"/>
      <c r="N458" s="566"/>
      <c r="O458" s="566"/>
      <c r="P458" s="566"/>
      <c r="Q458" s="566"/>
      <c r="R458" s="566"/>
      <c r="S458" s="566"/>
      <c r="T458" s="566"/>
      <c r="U458" s="566"/>
    </row>
    <row r="459" spans="1:21" ht="18.75" x14ac:dyDescent="0.25">
      <c r="A459" s="764"/>
      <c r="B459" s="718"/>
      <c r="C459" s="765" t="s">
        <v>179</v>
      </c>
      <c r="D459" s="718"/>
      <c r="E459" s="718"/>
      <c r="F459" s="718"/>
      <c r="G459" s="727"/>
      <c r="H459" s="681" t="s">
        <v>46</v>
      </c>
      <c r="I459" s="565"/>
      <c r="J459" s="708">
        <f t="shared" ref="J459:J460" si="293">J461+J463</f>
        <v>0</v>
      </c>
      <c r="K459" s="566"/>
      <c r="L459" s="574"/>
      <c r="M459" s="566"/>
      <c r="N459" s="566"/>
      <c r="O459" s="566"/>
      <c r="P459" s="566"/>
      <c r="Q459" s="566"/>
      <c r="R459" s="566"/>
      <c r="S459" s="566"/>
      <c r="T459" s="566"/>
      <c r="U459" s="566"/>
    </row>
    <row r="460" spans="1:21" ht="18.75" x14ac:dyDescent="0.25">
      <c r="A460" s="764"/>
      <c r="B460" s="718"/>
      <c r="C460" s="718"/>
      <c r="D460" s="718"/>
      <c r="E460" s="718"/>
      <c r="F460" s="718"/>
      <c r="G460" s="727"/>
      <c r="H460" s="681" t="s">
        <v>34</v>
      </c>
      <c r="I460" s="565"/>
      <c r="J460" s="708">
        <f t="shared" si="293"/>
        <v>0</v>
      </c>
      <c r="K460" s="566"/>
      <c r="L460" s="574"/>
      <c r="M460" s="566"/>
      <c r="N460" s="566"/>
      <c r="O460" s="566"/>
      <c r="P460" s="566"/>
      <c r="Q460" s="566"/>
      <c r="R460" s="566"/>
      <c r="S460" s="566"/>
      <c r="T460" s="566"/>
      <c r="U460" s="566"/>
    </row>
    <row r="461" spans="1:21" ht="18.75" x14ac:dyDescent="0.25">
      <c r="A461" s="764"/>
      <c r="B461" s="718"/>
      <c r="C461" s="718"/>
      <c r="D461" s="982" t="s">
        <v>180</v>
      </c>
      <c r="E461" s="718"/>
      <c r="F461" s="718"/>
      <c r="G461" s="727"/>
      <c r="H461" s="681" t="s">
        <v>46</v>
      </c>
      <c r="I461" s="565"/>
      <c r="J461" s="565"/>
      <c r="K461" s="566"/>
      <c r="L461" s="574"/>
      <c r="M461" s="566"/>
      <c r="N461" s="566"/>
      <c r="O461" s="566"/>
      <c r="P461" s="566"/>
      <c r="Q461" s="566"/>
      <c r="R461" s="566"/>
      <c r="S461" s="566"/>
      <c r="T461" s="566"/>
      <c r="U461" s="566"/>
    </row>
    <row r="462" spans="1:21" ht="18.75" x14ac:dyDescent="0.25">
      <c r="A462" s="764"/>
      <c r="B462" s="718"/>
      <c r="C462" s="718"/>
      <c r="D462" s="718"/>
      <c r="E462" s="718"/>
      <c r="F462" s="718"/>
      <c r="G462" s="727"/>
      <c r="H462" s="681" t="s">
        <v>34</v>
      </c>
      <c r="I462" s="565"/>
      <c r="J462" s="565"/>
      <c r="K462" s="566"/>
      <c r="L462" s="574"/>
      <c r="M462" s="566"/>
      <c r="N462" s="566"/>
      <c r="O462" s="566"/>
      <c r="P462" s="566"/>
      <c r="Q462" s="566"/>
      <c r="R462" s="566"/>
      <c r="S462" s="566"/>
      <c r="T462" s="566"/>
      <c r="U462" s="566"/>
    </row>
    <row r="463" spans="1:21" ht="18.75" x14ac:dyDescent="0.25">
      <c r="A463" s="764"/>
      <c r="B463" s="718"/>
      <c r="C463" s="718"/>
      <c r="D463" s="982" t="s">
        <v>181</v>
      </c>
      <c r="E463" s="718"/>
      <c r="F463" s="718"/>
      <c r="G463" s="727"/>
      <c r="H463" s="681" t="s">
        <v>46</v>
      </c>
      <c r="I463" s="565"/>
      <c r="J463" s="565"/>
      <c r="K463" s="566"/>
      <c r="L463" s="574"/>
      <c r="M463" s="566"/>
      <c r="N463" s="566"/>
      <c r="O463" s="566"/>
      <c r="P463" s="566"/>
      <c r="Q463" s="566"/>
      <c r="R463" s="566"/>
      <c r="S463" s="566"/>
      <c r="T463" s="566"/>
      <c r="U463" s="566"/>
    </row>
    <row r="464" spans="1:21" ht="18.75" x14ac:dyDescent="0.25">
      <c r="A464" s="764"/>
      <c r="B464" s="718"/>
      <c r="C464" s="718"/>
      <c r="D464" s="718"/>
      <c r="E464" s="718"/>
      <c r="F464" s="718"/>
      <c r="G464" s="727"/>
      <c r="H464" s="681" t="s">
        <v>34</v>
      </c>
      <c r="I464" s="565"/>
      <c r="J464" s="565"/>
      <c r="K464" s="566"/>
      <c r="L464" s="574"/>
      <c r="M464" s="566"/>
      <c r="N464" s="566"/>
      <c r="O464" s="566"/>
      <c r="P464" s="566"/>
      <c r="Q464" s="566"/>
      <c r="R464" s="566"/>
      <c r="S464" s="566"/>
      <c r="T464" s="566"/>
      <c r="U464" s="566"/>
    </row>
    <row r="465" spans="1:21" ht="18.75" x14ac:dyDescent="0.25">
      <c r="A465" s="764"/>
      <c r="B465" s="718"/>
      <c r="C465" s="718"/>
      <c r="D465" s="982" t="s">
        <v>182</v>
      </c>
      <c r="E465" s="718"/>
      <c r="F465" s="718"/>
      <c r="G465" s="727"/>
      <c r="H465" s="681" t="s">
        <v>46</v>
      </c>
      <c r="I465" s="565"/>
      <c r="J465" s="565"/>
      <c r="K465" s="566"/>
      <c r="L465" s="574"/>
      <c r="M465" s="566"/>
      <c r="N465" s="566"/>
      <c r="O465" s="566"/>
      <c r="P465" s="566"/>
      <c r="Q465" s="566"/>
      <c r="R465" s="566"/>
      <c r="S465" s="566"/>
      <c r="T465" s="566"/>
      <c r="U465" s="566"/>
    </row>
    <row r="466" spans="1:21" ht="18.75" x14ac:dyDescent="0.25">
      <c r="A466" s="764"/>
      <c r="B466" s="718"/>
      <c r="C466" s="718"/>
      <c r="D466" s="718"/>
      <c r="E466" s="718"/>
      <c r="F466" s="718"/>
      <c r="G466" s="727"/>
      <c r="H466" s="681" t="s">
        <v>34</v>
      </c>
      <c r="I466" s="565"/>
      <c r="J466" s="565"/>
      <c r="K466" s="566"/>
      <c r="L466" s="574"/>
      <c r="M466" s="566"/>
      <c r="N466" s="566"/>
      <c r="O466" s="566"/>
      <c r="P466" s="566"/>
      <c r="Q466" s="566"/>
      <c r="R466" s="566"/>
      <c r="S466" s="566"/>
      <c r="T466" s="566"/>
      <c r="U466" s="566"/>
    </row>
    <row r="467" spans="1:21" ht="18.75" x14ac:dyDescent="0.25">
      <c r="A467" s="764"/>
      <c r="B467" s="718"/>
      <c r="C467" s="982" t="s">
        <v>183</v>
      </c>
      <c r="D467" s="718"/>
      <c r="E467" s="718"/>
      <c r="F467" s="718"/>
      <c r="G467" s="727"/>
      <c r="H467" s="681" t="s">
        <v>46</v>
      </c>
      <c r="I467" s="565"/>
      <c r="J467" s="708">
        <f t="shared" ref="J467:J468" si="294">J469+J471</f>
        <v>0</v>
      </c>
      <c r="K467" s="566"/>
      <c r="L467" s="574"/>
      <c r="M467" s="566"/>
      <c r="N467" s="566"/>
      <c r="O467" s="566"/>
      <c r="P467" s="566"/>
      <c r="Q467" s="566"/>
      <c r="R467" s="566"/>
      <c r="S467" s="566"/>
      <c r="T467" s="566"/>
      <c r="U467" s="566"/>
    </row>
    <row r="468" spans="1:21" ht="18.75" x14ac:dyDescent="0.25">
      <c r="A468" s="764"/>
      <c r="B468" s="718"/>
      <c r="C468" s="718"/>
      <c r="D468" s="718"/>
      <c r="E468" s="718"/>
      <c r="F468" s="718"/>
      <c r="G468" s="727"/>
      <c r="H468" s="681" t="s">
        <v>34</v>
      </c>
      <c r="I468" s="565"/>
      <c r="J468" s="708">
        <f t="shared" si="294"/>
        <v>0</v>
      </c>
      <c r="K468" s="566"/>
      <c r="L468" s="574"/>
      <c r="M468" s="566"/>
      <c r="N468" s="566"/>
      <c r="O468" s="566"/>
      <c r="P468" s="566"/>
      <c r="Q468" s="566"/>
      <c r="R468" s="566"/>
      <c r="S468" s="566"/>
      <c r="T468" s="566"/>
      <c r="U468" s="566"/>
    </row>
    <row r="469" spans="1:21" ht="18.75" x14ac:dyDescent="0.25">
      <c r="A469" s="764"/>
      <c r="B469" s="718"/>
      <c r="C469" s="718"/>
      <c r="D469" s="982" t="s">
        <v>184</v>
      </c>
      <c r="E469" s="718"/>
      <c r="F469" s="718"/>
      <c r="G469" s="727"/>
      <c r="H469" s="681" t="s">
        <v>46</v>
      </c>
      <c r="I469" s="565"/>
      <c r="J469" s="565"/>
      <c r="K469" s="566"/>
      <c r="L469" s="574"/>
      <c r="M469" s="566"/>
      <c r="N469" s="566"/>
      <c r="O469" s="566"/>
      <c r="P469" s="566"/>
      <c r="Q469" s="566"/>
      <c r="R469" s="566"/>
      <c r="S469" s="566"/>
      <c r="T469" s="566"/>
      <c r="U469" s="566"/>
    </row>
    <row r="470" spans="1:21" ht="18.75" x14ac:dyDescent="0.25">
      <c r="A470" s="764"/>
      <c r="B470" s="718"/>
      <c r="C470" s="718"/>
      <c r="D470" s="718"/>
      <c r="E470" s="718"/>
      <c r="F470" s="718"/>
      <c r="G470" s="727"/>
      <c r="H470" s="681" t="s">
        <v>34</v>
      </c>
      <c r="I470" s="565"/>
      <c r="J470" s="565"/>
      <c r="K470" s="566"/>
      <c r="L470" s="574"/>
      <c r="M470" s="566"/>
      <c r="N470" s="566"/>
      <c r="O470" s="566"/>
      <c r="P470" s="566"/>
      <c r="Q470" s="566"/>
      <c r="R470" s="566"/>
      <c r="S470" s="566"/>
      <c r="T470" s="566"/>
      <c r="U470" s="566"/>
    </row>
    <row r="471" spans="1:21" ht="18.75" x14ac:dyDescent="0.25">
      <c r="A471" s="764"/>
      <c r="B471" s="718"/>
      <c r="C471" s="718"/>
      <c r="D471" s="982" t="s">
        <v>185</v>
      </c>
      <c r="E471" s="718"/>
      <c r="F471" s="718"/>
      <c r="G471" s="727"/>
      <c r="H471" s="681" t="s">
        <v>46</v>
      </c>
      <c r="I471" s="565"/>
      <c r="J471" s="565"/>
      <c r="K471" s="566"/>
      <c r="L471" s="574"/>
      <c r="M471" s="566"/>
      <c r="N471" s="566"/>
      <c r="O471" s="566"/>
      <c r="P471" s="566"/>
      <c r="Q471" s="566"/>
      <c r="R471" s="566"/>
      <c r="S471" s="566"/>
      <c r="T471" s="566"/>
      <c r="U471" s="566"/>
    </row>
    <row r="472" spans="1:21" ht="18.75" x14ac:dyDescent="0.25">
      <c r="A472" s="764"/>
      <c r="B472" s="718"/>
      <c r="C472" s="718"/>
      <c r="D472" s="718"/>
      <c r="E472" s="718"/>
      <c r="F472" s="718"/>
      <c r="G472" s="727"/>
      <c r="H472" s="681" t="s">
        <v>34</v>
      </c>
      <c r="I472" s="565"/>
      <c r="J472" s="565"/>
      <c r="K472" s="566"/>
      <c r="L472" s="574"/>
      <c r="M472" s="566"/>
      <c r="N472" s="566"/>
      <c r="O472" s="566"/>
      <c r="P472" s="566"/>
      <c r="Q472" s="566"/>
      <c r="R472" s="566"/>
      <c r="S472" s="566"/>
      <c r="T472" s="566"/>
      <c r="U472" s="566"/>
    </row>
    <row r="473" spans="1:21" ht="18.75" x14ac:dyDescent="0.25">
      <c r="A473" s="764"/>
      <c r="B473" s="718"/>
      <c r="C473" s="765" t="s">
        <v>186</v>
      </c>
      <c r="D473" s="718"/>
      <c r="E473" s="718"/>
      <c r="F473" s="718"/>
      <c r="G473" s="727"/>
      <c r="H473" s="681" t="s">
        <v>46</v>
      </c>
      <c r="I473" s="565"/>
      <c r="J473" s="565"/>
      <c r="K473" s="566"/>
      <c r="L473" s="574"/>
      <c r="M473" s="566"/>
      <c r="N473" s="566"/>
      <c r="O473" s="566"/>
      <c r="P473" s="566"/>
      <c r="Q473" s="566"/>
      <c r="R473" s="566"/>
      <c r="S473" s="566"/>
      <c r="T473" s="566"/>
      <c r="U473" s="566"/>
    </row>
    <row r="474" spans="1:21" ht="18.75" x14ac:dyDescent="0.25">
      <c r="A474" s="764"/>
      <c r="B474" s="718"/>
      <c r="C474" s="718"/>
      <c r="D474" s="718"/>
      <c r="E474" s="718"/>
      <c r="F474" s="718"/>
      <c r="G474" s="727"/>
      <c r="H474" s="681" t="s">
        <v>34</v>
      </c>
      <c r="I474" s="565"/>
      <c r="J474" s="565"/>
      <c r="K474" s="566"/>
      <c r="L474" s="574"/>
      <c r="M474" s="566"/>
      <c r="N474" s="566"/>
      <c r="O474" s="566"/>
      <c r="P474" s="566"/>
      <c r="Q474" s="566"/>
      <c r="R474" s="566"/>
      <c r="S474" s="566"/>
      <c r="T474" s="566"/>
      <c r="U474" s="566"/>
    </row>
    <row r="475" spans="1:21" ht="19.5" x14ac:dyDescent="0.3">
      <c r="A475" s="764"/>
      <c r="B475" s="983" t="s">
        <v>187</v>
      </c>
      <c r="C475" s="718"/>
      <c r="D475" s="718"/>
      <c r="E475" s="718"/>
      <c r="F475" s="718"/>
      <c r="G475" s="727"/>
      <c r="H475" s="677" t="s">
        <v>46</v>
      </c>
      <c r="I475" s="697">
        <v>0</v>
      </c>
      <c r="J475" s="697">
        <f>J478+J480</f>
        <v>0</v>
      </c>
      <c r="K475" s="679">
        <f t="shared" ref="K475:K477" si="295">IF(I475&gt;0,J475*100/I475,0)</f>
        <v>0</v>
      </c>
      <c r="L475" s="574"/>
      <c r="M475" s="566"/>
      <c r="N475" s="566"/>
      <c r="O475" s="566"/>
      <c r="P475" s="566"/>
      <c r="Q475" s="566"/>
      <c r="R475" s="566"/>
      <c r="S475" s="566"/>
      <c r="T475" s="566"/>
      <c r="U475" s="566"/>
    </row>
    <row r="476" spans="1:21" ht="19.5" x14ac:dyDescent="0.3">
      <c r="A476" s="764"/>
      <c r="B476" s="718"/>
      <c r="C476" s="719" t="s">
        <v>188</v>
      </c>
      <c r="D476" s="718"/>
      <c r="E476" s="718"/>
      <c r="F476" s="718"/>
      <c r="G476" s="727"/>
      <c r="H476" s="677" t="s">
        <v>46</v>
      </c>
      <c r="I476" s="697">
        <v>0</v>
      </c>
      <c r="J476" s="697">
        <f t="shared" ref="J476:J477" si="296">J478+J480</f>
        <v>0</v>
      </c>
      <c r="K476" s="679">
        <f t="shared" si="295"/>
        <v>0</v>
      </c>
      <c r="L476" s="574"/>
      <c r="M476" s="566"/>
      <c r="N476" s="566"/>
      <c r="O476" s="566"/>
      <c r="P476" s="566"/>
      <c r="Q476" s="566"/>
      <c r="R476" s="566"/>
      <c r="S476" s="566"/>
      <c r="T476" s="566"/>
      <c r="U476" s="566"/>
    </row>
    <row r="477" spans="1:21" ht="19.5" x14ac:dyDescent="0.3">
      <c r="A477" s="764"/>
      <c r="B477" s="718"/>
      <c r="C477" s="765" t="s">
        <v>189</v>
      </c>
      <c r="D477" s="718"/>
      <c r="E477" s="718"/>
      <c r="F477" s="718"/>
      <c r="G477" s="727"/>
      <c r="H477" s="677" t="s">
        <v>34</v>
      </c>
      <c r="I477" s="697">
        <v>0</v>
      </c>
      <c r="J477" s="697">
        <f t="shared" si="296"/>
        <v>0</v>
      </c>
      <c r="K477" s="679">
        <f t="shared" si="295"/>
        <v>0</v>
      </c>
      <c r="L477" s="574"/>
      <c r="M477" s="566"/>
      <c r="N477" s="566"/>
      <c r="O477" s="566"/>
      <c r="P477" s="566"/>
      <c r="Q477" s="566"/>
      <c r="R477" s="566"/>
      <c r="S477" s="566"/>
      <c r="T477" s="566"/>
      <c r="U477" s="566"/>
    </row>
    <row r="478" spans="1:21" ht="18.75" x14ac:dyDescent="0.25">
      <c r="A478" s="764"/>
      <c r="B478" s="718"/>
      <c r="C478" s="718"/>
      <c r="D478" s="765" t="s">
        <v>190</v>
      </c>
      <c r="E478" s="718"/>
      <c r="F478" s="718"/>
      <c r="G478" s="727"/>
      <c r="H478" s="681" t="s">
        <v>46</v>
      </c>
      <c r="I478" s="565"/>
      <c r="J478" s="565"/>
      <c r="K478" s="566"/>
      <c r="L478" s="574"/>
      <c r="M478" s="566"/>
      <c r="N478" s="566"/>
      <c r="O478" s="566"/>
      <c r="P478" s="566"/>
      <c r="Q478" s="566"/>
      <c r="R478" s="566"/>
      <c r="S478" s="566"/>
      <c r="T478" s="566"/>
      <c r="U478" s="566"/>
    </row>
    <row r="479" spans="1:21" ht="18.75" x14ac:dyDescent="0.25">
      <c r="A479" s="764"/>
      <c r="B479" s="718"/>
      <c r="C479" s="718"/>
      <c r="D479" s="718"/>
      <c r="E479" s="718"/>
      <c r="F479" s="718"/>
      <c r="G479" s="727"/>
      <c r="H479" s="681" t="s">
        <v>34</v>
      </c>
      <c r="I479" s="565"/>
      <c r="J479" s="565"/>
      <c r="K479" s="566"/>
      <c r="L479" s="574"/>
      <c r="M479" s="566"/>
      <c r="N479" s="566"/>
      <c r="O479" s="566"/>
      <c r="P479" s="566"/>
      <c r="Q479" s="566"/>
      <c r="R479" s="566"/>
      <c r="S479" s="566"/>
      <c r="T479" s="566"/>
      <c r="U479" s="566"/>
    </row>
    <row r="480" spans="1:21" ht="18.75" x14ac:dyDescent="0.25">
      <c r="A480" s="764"/>
      <c r="B480" s="718"/>
      <c r="C480" s="718"/>
      <c r="D480" s="982" t="s">
        <v>191</v>
      </c>
      <c r="E480" s="718"/>
      <c r="F480" s="718"/>
      <c r="G480" s="727"/>
      <c r="H480" s="681" t="s">
        <v>46</v>
      </c>
      <c r="I480" s="565"/>
      <c r="J480" s="565"/>
      <c r="K480" s="566"/>
      <c r="L480" s="574"/>
      <c r="M480" s="566"/>
      <c r="N480" s="566"/>
      <c r="O480" s="566"/>
      <c r="P480" s="566"/>
      <c r="Q480" s="566"/>
      <c r="R480" s="566"/>
      <c r="S480" s="566"/>
      <c r="T480" s="566"/>
      <c r="U480" s="566"/>
    </row>
    <row r="481" spans="1:21" ht="18.75" x14ac:dyDescent="0.25">
      <c r="A481" s="764"/>
      <c r="B481" s="718"/>
      <c r="C481" s="718"/>
      <c r="D481" s="718"/>
      <c r="E481" s="718"/>
      <c r="F481" s="718"/>
      <c r="G481" s="727"/>
      <c r="H481" s="681" t="s">
        <v>34</v>
      </c>
      <c r="I481" s="565"/>
      <c r="J481" s="565"/>
      <c r="K481" s="566"/>
      <c r="L481" s="574"/>
      <c r="M481" s="566"/>
      <c r="N481" s="566"/>
      <c r="O481" s="566"/>
      <c r="P481" s="566"/>
      <c r="Q481" s="566"/>
      <c r="R481" s="566"/>
      <c r="S481" s="566"/>
      <c r="T481" s="566"/>
      <c r="U481" s="566"/>
    </row>
    <row r="482" spans="1:21" ht="18.75" x14ac:dyDescent="0.25">
      <c r="A482" s="764"/>
      <c r="B482" s="718"/>
      <c r="C482" s="718"/>
      <c r="D482" s="982" t="s">
        <v>192</v>
      </c>
      <c r="E482" s="718"/>
      <c r="F482" s="718"/>
      <c r="G482" s="727"/>
      <c r="H482" s="681" t="s">
        <v>46</v>
      </c>
      <c r="I482" s="565"/>
      <c r="J482" s="708">
        <f ca="1">IFERROR(__xludf.DUMMYFUNCTION("IMPORTRANGE(""https://docs.google.com/spreadsheets/d/1eHaY18a8A9IcSdp1K8H6x8fbOy06t2VsZHhMHf-1x7Y/edit?usp=sharing"",""แผน!HN14"")"),0)</f>
        <v>0</v>
      </c>
      <c r="K482" s="566"/>
      <c r="L482" s="574"/>
      <c r="M482" s="566"/>
      <c r="N482" s="566"/>
      <c r="O482" s="566"/>
      <c r="P482" s="566"/>
      <c r="Q482" s="566"/>
      <c r="R482" s="566"/>
      <c r="S482" s="566"/>
      <c r="T482" s="566"/>
      <c r="U482" s="566"/>
    </row>
    <row r="483" spans="1:21" ht="18.75" x14ac:dyDescent="0.25">
      <c r="A483" s="764"/>
      <c r="B483" s="718"/>
      <c r="C483" s="718"/>
      <c r="D483" s="718"/>
      <c r="E483" s="718"/>
      <c r="F483" s="718"/>
      <c r="G483" s="727"/>
      <c r="H483" s="681" t="s">
        <v>34</v>
      </c>
      <c r="I483" s="565"/>
      <c r="J483" s="708">
        <f ca="1">IFERROR(__xludf.DUMMYFUNCTION("IMPORTRANGE(""https://docs.google.com/spreadsheets/d/1eHaY18a8A9IcSdp1K8H6x8fbOy06t2VsZHhMHf-1x7Y/edit?usp=sharing"",""แผน!HO14"")"),0)</f>
        <v>0</v>
      </c>
      <c r="K483" s="566"/>
      <c r="L483" s="574"/>
      <c r="M483" s="566"/>
      <c r="N483" s="566"/>
      <c r="O483" s="566"/>
      <c r="P483" s="566"/>
      <c r="Q483" s="566"/>
      <c r="R483" s="566"/>
      <c r="S483" s="566"/>
      <c r="T483" s="566"/>
      <c r="U483" s="566"/>
    </row>
    <row r="484" spans="1:21" ht="19.5" x14ac:dyDescent="0.3">
      <c r="A484" s="764"/>
      <c r="B484" s="718"/>
      <c r="C484" s="719" t="s">
        <v>193</v>
      </c>
      <c r="D484" s="718"/>
      <c r="E484" s="718"/>
      <c r="F484" s="718"/>
      <c r="G484" s="727"/>
      <c r="H484" s="677" t="s">
        <v>46</v>
      </c>
      <c r="I484" s="565">
        <f t="shared" ref="I484:I485" si="297">J480</f>
        <v>0</v>
      </c>
      <c r="J484" s="697">
        <f t="shared" ref="J484:J485" si="298">J486+J488+J490</f>
        <v>0</v>
      </c>
      <c r="K484" s="679">
        <f t="shared" ref="K484:K485" si="299">IF(I484&gt;0,J484*100/I484,0)</f>
        <v>0</v>
      </c>
      <c r="L484" s="574"/>
      <c r="M484" s="566"/>
      <c r="N484" s="566"/>
      <c r="O484" s="566"/>
      <c r="P484" s="566"/>
      <c r="Q484" s="566"/>
      <c r="R484" s="566"/>
      <c r="S484" s="566"/>
      <c r="T484" s="566"/>
      <c r="U484" s="566"/>
    </row>
    <row r="485" spans="1:21" ht="19.5" x14ac:dyDescent="0.3">
      <c r="A485" s="764"/>
      <c r="B485" s="718"/>
      <c r="C485" s="765" t="s">
        <v>194</v>
      </c>
      <c r="D485" s="718"/>
      <c r="E485" s="718"/>
      <c r="F485" s="718"/>
      <c r="G485" s="727"/>
      <c r="H485" s="677" t="s">
        <v>34</v>
      </c>
      <c r="I485" s="565">
        <f t="shared" si="297"/>
        <v>0</v>
      </c>
      <c r="J485" s="697">
        <f t="shared" si="298"/>
        <v>0</v>
      </c>
      <c r="K485" s="679">
        <f t="shared" si="299"/>
        <v>0</v>
      </c>
      <c r="L485" s="574"/>
      <c r="M485" s="566"/>
      <c r="N485" s="566"/>
      <c r="O485" s="566"/>
      <c r="P485" s="566"/>
      <c r="Q485" s="566"/>
      <c r="R485" s="566"/>
      <c r="S485" s="566"/>
      <c r="T485" s="566"/>
      <c r="U485" s="566"/>
    </row>
    <row r="486" spans="1:21" ht="18.75" x14ac:dyDescent="0.25">
      <c r="A486" s="764"/>
      <c r="B486" s="718"/>
      <c r="C486" s="718"/>
      <c r="D486" s="982" t="s">
        <v>195</v>
      </c>
      <c r="E486" s="718"/>
      <c r="F486" s="718"/>
      <c r="G486" s="727"/>
      <c r="H486" s="681" t="s">
        <v>46</v>
      </c>
      <c r="I486" s="565"/>
      <c r="J486" s="565"/>
      <c r="K486" s="566"/>
      <c r="L486" s="574"/>
      <c r="M486" s="566"/>
      <c r="N486" s="566"/>
      <c r="O486" s="566"/>
      <c r="P486" s="566"/>
      <c r="Q486" s="566"/>
      <c r="R486" s="566"/>
      <c r="S486" s="566"/>
      <c r="T486" s="566"/>
      <c r="U486" s="566"/>
    </row>
    <row r="487" spans="1:21" ht="18.75" x14ac:dyDescent="0.25">
      <c r="A487" s="764"/>
      <c r="B487" s="718"/>
      <c r="C487" s="718"/>
      <c r="D487" s="718"/>
      <c r="E487" s="718"/>
      <c r="F487" s="718"/>
      <c r="G487" s="727"/>
      <c r="H487" s="681" t="s">
        <v>34</v>
      </c>
      <c r="I487" s="565"/>
      <c r="J487" s="565"/>
      <c r="K487" s="566"/>
      <c r="L487" s="574"/>
      <c r="M487" s="566"/>
      <c r="N487" s="566"/>
      <c r="O487" s="566"/>
      <c r="P487" s="566"/>
      <c r="Q487" s="566"/>
      <c r="R487" s="566"/>
      <c r="S487" s="566"/>
      <c r="T487" s="566"/>
      <c r="U487" s="566"/>
    </row>
    <row r="488" spans="1:21" ht="18.75" x14ac:dyDescent="0.25">
      <c r="A488" s="764"/>
      <c r="B488" s="718"/>
      <c r="C488" s="718"/>
      <c r="D488" s="982" t="s">
        <v>196</v>
      </c>
      <c r="E488" s="718"/>
      <c r="F488" s="718"/>
      <c r="G488" s="727"/>
      <c r="H488" s="681" t="s">
        <v>46</v>
      </c>
      <c r="I488" s="565"/>
      <c r="J488" s="565"/>
      <c r="K488" s="566"/>
      <c r="L488" s="574"/>
      <c r="M488" s="566"/>
      <c r="N488" s="566"/>
      <c r="O488" s="566"/>
      <c r="P488" s="566"/>
      <c r="Q488" s="566"/>
      <c r="R488" s="566"/>
      <c r="S488" s="566"/>
      <c r="T488" s="566"/>
      <c r="U488" s="566"/>
    </row>
    <row r="489" spans="1:21" ht="18.75" x14ac:dyDescent="0.25">
      <c r="A489" s="764"/>
      <c r="B489" s="718"/>
      <c r="C489" s="718"/>
      <c r="D489" s="718"/>
      <c r="E489" s="718"/>
      <c r="F489" s="718"/>
      <c r="G489" s="727"/>
      <c r="H489" s="681" t="s">
        <v>34</v>
      </c>
      <c r="I489" s="565"/>
      <c r="J489" s="565"/>
      <c r="K489" s="566"/>
      <c r="L489" s="574"/>
      <c r="M489" s="566"/>
      <c r="N489" s="566"/>
      <c r="O489" s="566"/>
      <c r="P489" s="566"/>
      <c r="Q489" s="566"/>
      <c r="R489" s="566"/>
      <c r="S489" s="566"/>
      <c r="T489" s="566"/>
      <c r="U489" s="566"/>
    </row>
    <row r="490" spans="1:21" ht="18.75" x14ac:dyDescent="0.25">
      <c r="A490" s="764"/>
      <c r="B490" s="718"/>
      <c r="C490" s="718"/>
      <c r="D490" s="982" t="s">
        <v>197</v>
      </c>
      <c r="E490" s="718"/>
      <c r="F490" s="718"/>
      <c r="G490" s="727"/>
      <c r="H490" s="681" t="s">
        <v>46</v>
      </c>
      <c r="I490" s="565"/>
      <c r="J490" s="565"/>
      <c r="K490" s="566"/>
      <c r="L490" s="574"/>
      <c r="M490" s="566"/>
      <c r="N490" s="566"/>
      <c r="O490" s="566"/>
      <c r="P490" s="566"/>
      <c r="Q490" s="566"/>
      <c r="R490" s="566"/>
      <c r="S490" s="566"/>
      <c r="T490" s="566"/>
      <c r="U490" s="566"/>
    </row>
    <row r="491" spans="1:21" ht="18.75" x14ac:dyDescent="0.25">
      <c r="A491" s="984"/>
      <c r="B491" s="514"/>
      <c r="C491" s="514"/>
      <c r="D491" s="514"/>
      <c r="E491" s="514"/>
      <c r="F491" s="514"/>
      <c r="G491" s="985"/>
      <c r="H491" s="986" t="s">
        <v>34</v>
      </c>
      <c r="I491" s="579"/>
      <c r="J491" s="579"/>
      <c r="K491" s="580"/>
      <c r="L491" s="581"/>
      <c r="M491" s="580"/>
      <c r="N491" s="580"/>
      <c r="O491" s="580"/>
      <c r="P491" s="580"/>
      <c r="Q491" s="580"/>
      <c r="R491" s="580"/>
      <c r="S491" s="580"/>
      <c r="T491" s="580"/>
      <c r="U491" s="580"/>
    </row>
    <row r="492" spans="1:21" ht="19.5" hidden="1" x14ac:dyDescent="0.3">
      <c r="A492" s="926"/>
      <c r="B492" s="971" t="s">
        <v>198</v>
      </c>
      <c r="C492" s="928"/>
      <c r="D492" s="928"/>
      <c r="E492" s="911"/>
      <c r="F492" s="911"/>
      <c r="G492" s="912"/>
      <c r="H492" s="977" t="s">
        <v>35</v>
      </c>
      <c r="I492" s="914">
        <f t="shared" ref="I492:J492" ca="1" si="300">I503</f>
        <v>0</v>
      </c>
      <c r="J492" s="914">
        <f t="shared" ca="1" si="300"/>
        <v>0</v>
      </c>
      <c r="K492" s="915">
        <f ca="1">IF(I492&gt;0,J492*100/I492,0)</f>
        <v>0</v>
      </c>
      <c r="L492" s="916"/>
      <c r="M492" s="917"/>
      <c r="N492" s="917"/>
      <c r="O492" s="917"/>
      <c r="P492" s="917"/>
      <c r="Q492" s="917"/>
      <c r="R492" s="917"/>
      <c r="S492" s="917"/>
      <c r="T492" s="917"/>
      <c r="U492" s="917"/>
    </row>
    <row r="493" spans="1:21" ht="19.5" hidden="1" x14ac:dyDescent="0.3">
      <c r="A493" s="674"/>
      <c r="B493" s="718"/>
      <c r="C493" s="724" t="s">
        <v>18</v>
      </c>
      <c r="D493" s="1313" t="s">
        <v>19</v>
      </c>
      <c r="E493" s="1314"/>
      <c r="F493" s="1314"/>
      <c r="G493" s="563"/>
      <c r="H493" s="780" t="s">
        <v>14</v>
      </c>
      <c r="I493" s="565"/>
      <c r="J493" s="565"/>
      <c r="K493" s="566"/>
      <c r="L493" s="678">
        <f t="shared" ref="L493:N493" ca="1" si="301">L494+L495</f>
        <v>0</v>
      </c>
      <c r="M493" s="679">
        <f t="shared" ca="1" si="301"/>
        <v>0</v>
      </c>
      <c r="N493" s="679">
        <f t="shared" ca="1" si="301"/>
        <v>0</v>
      </c>
      <c r="O493" s="679">
        <f t="shared" ref="O493:O501" ca="1" si="302">IF(L493&gt;0,N493*100/L493,0)</f>
        <v>0</v>
      </c>
      <c r="P493" s="679">
        <f t="shared" ref="P493:P501" ca="1" si="303">IF(M493&gt;0,N493*100/M493,0)</f>
        <v>0</v>
      </c>
      <c r="Q493" s="679">
        <f t="shared" ref="Q493:S493" ca="1" si="304">Q494+Q495</f>
        <v>0</v>
      </c>
      <c r="R493" s="679">
        <f t="shared" ca="1" si="304"/>
        <v>0</v>
      </c>
      <c r="S493" s="679">
        <f t="shared" ca="1" si="304"/>
        <v>0</v>
      </c>
      <c r="T493" s="679">
        <f t="shared" ref="T493:T501" ca="1" si="305">IF(Q493&gt;0,S493*100/Q493,0)</f>
        <v>0</v>
      </c>
      <c r="U493" s="679">
        <f t="shared" ref="U493:U501" ca="1" si="306">IF(R493&gt;0,S493*100/R493,0)</f>
        <v>0</v>
      </c>
    </row>
    <row r="494" spans="1:21" ht="18.75" hidden="1" x14ac:dyDescent="0.25">
      <c r="A494" s="674"/>
      <c r="B494" s="718"/>
      <c r="C494" s="718"/>
      <c r="D494" s="688"/>
      <c r="E494" s="569" t="s">
        <v>158</v>
      </c>
      <c r="F494" s="561"/>
      <c r="G494" s="563"/>
      <c r="H494" s="685" t="s">
        <v>14</v>
      </c>
      <c r="I494" s="565"/>
      <c r="J494" s="565"/>
      <c r="K494" s="566"/>
      <c r="L494" s="571">
        <f t="shared" ref="L494:N495" si="307">L497+L500</f>
        <v>0</v>
      </c>
      <c r="M494" s="572">
        <f t="shared" si="307"/>
        <v>0</v>
      </c>
      <c r="N494" s="572">
        <f t="shared" si="307"/>
        <v>0</v>
      </c>
      <c r="O494" s="572">
        <f t="shared" si="302"/>
        <v>0</v>
      </c>
      <c r="P494" s="572">
        <f t="shared" si="303"/>
        <v>0</v>
      </c>
      <c r="Q494" s="572">
        <f t="shared" ref="Q494:S495" si="308">Q497+Q500</f>
        <v>0</v>
      </c>
      <c r="R494" s="572">
        <f t="shared" si="308"/>
        <v>0</v>
      </c>
      <c r="S494" s="572">
        <f t="shared" si="308"/>
        <v>0</v>
      </c>
      <c r="T494" s="572">
        <f t="shared" si="305"/>
        <v>0</v>
      </c>
      <c r="U494" s="572">
        <f t="shared" si="306"/>
        <v>0</v>
      </c>
    </row>
    <row r="495" spans="1:21" ht="18.75" hidden="1" x14ac:dyDescent="0.25">
      <c r="A495" s="674"/>
      <c r="B495" s="718"/>
      <c r="C495" s="718"/>
      <c r="D495" s="688"/>
      <c r="E495" s="573" t="s">
        <v>159</v>
      </c>
      <c r="F495" s="561"/>
      <c r="G495" s="563"/>
      <c r="H495" s="682" t="s">
        <v>14</v>
      </c>
      <c r="I495" s="565"/>
      <c r="J495" s="565"/>
      <c r="K495" s="566"/>
      <c r="L495" s="567">
        <f t="shared" ca="1" si="307"/>
        <v>0</v>
      </c>
      <c r="M495" s="568">
        <f t="shared" ca="1" si="307"/>
        <v>0</v>
      </c>
      <c r="N495" s="568">
        <f t="shared" ca="1" si="307"/>
        <v>0</v>
      </c>
      <c r="O495" s="568">
        <f t="shared" ca="1" si="302"/>
        <v>0</v>
      </c>
      <c r="P495" s="568">
        <f t="shared" ca="1" si="303"/>
        <v>0</v>
      </c>
      <c r="Q495" s="568">
        <f t="shared" ca="1" si="308"/>
        <v>0</v>
      </c>
      <c r="R495" s="568">
        <f t="shared" ca="1" si="308"/>
        <v>0</v>
      </c>
      <c r="S495" s="568">
        <f t="shared" ca="1" si="308"/>
        <v>0</v>
      </c>
      <c r="T495" s="568">
        <f t="shared" ca="1" si="305"/>
        <v>0</v>
      </c>
      <c r="U495" s="568">
        <f t="shared" ca="1" si="306"/>
        <v>0</v>
      </c>
    </row>
    <row r="496" spans="1:21" ht="18.75" hidden="1" x14ac:dyDescent="0.25">
      <c r="A496" s="674"/>
      <c r="B496" s="718"/>
      <c r="C496" s="718"/>
      <c r="D496" s="721" t="s">
        <v>22</v>
      </c>
      <c r="E496" s="561"/>
      <c r="F496" s="561"/>
      <c r="G496" s="563"/>
      <c r="H496" s="682" t="s">
        <v>14</v>
      </c>
      <c r="I496" s="683"/>
      <c r="J496" s="683"/>
      <c r="K496" s="684"/>
      <c r="L496" s="567">
        <f t="shared" ref="L496:N496" ca="1" si="309">L497+L498</f>
        <v>0</v>
      </c>
      <c r="M496" s="568">
        <f t="shared" ca="1" si="309"/>
        <v>0</v>
      </c>
      <c r="N496" s="568">
        <f t="shared" ca="1" si="309"/>
        <v>0</v>
      </c>
      <c r="O496" s="568">
        <f t="shared" ca="1" si="302"/>
        <v>0</v>
      </c>
      <c r="P496" s="568">
        <f t="shared" ca="1" si="303"/>
        <v>0</v>
      </c>
      <c r="Q496" s="568">
        <f t="shared" ref="Q496:S496" ca="1" si="310">Q497+Q498</f>
        <v>0</v>
      </c>
      <c r="R496" s="568">
        <f t="shared" ca="1" si="310"/>
        <v>0</v>
      </c>
      <c r="S496" s="568">
        <f t="shared" ca="1" si="310"/>
        <v>0</v>
      </c>
      <c r="T496" s="568">
        <f t="shared" ca="1" si="305"/>
        <v>0</v>
      </c>
      <c r="U496" s="568">
        <f t="shared" ca="1" si="306"/>
        <v>0</v>
      </c>
    </row>
    <row r="497" spans="1:21" ht="18.75" hidden="1" x14ac:dyDescent="0.25">
      <c r="A497" s="674"/>
      <c r="B497" s="718"/>
      <c r="C497" s="718"/>
      <c r="D497" s="688"/>
      <c r="E497" s="569" t="s">
        <v>158</v>
      </c>
      <c r="F497" s="561"/>
      <c r="G497" s="563"/>
      <c r="H497" s="685" t="s">
        <v>14</v>
      </c>
      <c r="I497" s="565"/>
      <c r="J497" s="565"/>
      <c r="K497" s="566"/>
      <c r="L497" s="571">
        <v>0</v>
      </c>
      <c r="M497" s="572">
        <v>0</v>
      </c>
      <c r="N497" s="572">
        <v>0</v>
      </c>
      <c r="O497" s="572">
        <f t="shared" si="302"/>
        <v>0</v>
      </c>
      <c r="P497" s="572">
        <f t="shared" si="303"/>
        <v>0</v>
      </c>
      <c r="Q497" s="572">
        <v>0</v>
      </c>
      <c r="R497" s="572">
        <v>0</v>
      </c>
      <c r="S497" s="572">
        <v>0</v>
      </c>
      <c r="T497" s="572">
        <f t="shared" si="305"/>
        <v>0</v>
      </c>
      <c r="U497" s="572">
        <f t="shared" si="306"/>
        <v>0</v>
      </c>
    </row>
    <row r="498" spans="1:21" ht="18.75" hidden="1" x14ac:dyDescent="0.25">
      <c r="A498" s="674"/>
      <c r="B498" s="718"/>
      <c r="C498" s="718"/>
      <c r="D498" s="688"/>
      <c r="E498" s="573" t="s">
        <v>159</v>
      </c>
      <c r="F498" s="561"/>
      <c r="G498" s="563"/>
      <c r="H498" s="682" t="s">
        <v>14</v>
      </c>
      <c r="I498" s="565"/>
      <c r="J498" s="565"/>
      <c r="K498" s="566"/>
      <c r="L498" s="567">
        <f ca="1">IFERROR(__xludf.DUMMYFUNCTION("IMPORTRANGE(""https://docs.google.com/spreadsheets/d/1-uDff_7J0KD5mKrp0Vvzr7lt3OU09vwQwhkpOPPYv2Y/edit?usp=sharing"",""งบพรบ!HU14"")"),0)</f>
        <v>0</v>
      </c>
      <c r="M498" s="568">
        <f ca="1">IFERROR(__xludf.DUMMYFUNCTION("IMPORTRANGE(""https://docs.google.com/spreadsheets/d/1-uDff_7J0KD5mKrp0Vvzr7lt3OU09vwQwhkpOPPYv2Y/edit?usp=sharing"",""งบพรบ!HZ14"")"),0)</f>
        <v>0</v>
      </c>
      <c r="N498" s="568">
        <f ca="1">IFERROR(__xludf.DUMMYFUNCTION("IMPORTRANGE(""https://docs.google.com/spreadsheets/d/1-uDff_7J0KD5mKrp0Vvzr7lt3OU09vwQwhkpOPPYv2Y/edit?usp=sharing"",""งบพรบ!IB14"")"),0)</f>
        <v>0</v>
      </c>
      <c r="O498" s="568">
        <f t="shared" ca="1" si="302"/>
        <v>0</v>
      </c>
      <c r="P498" s="568">
        <f t="shared" ca="1" si="303"/>
        <v>0</v>
      </c>
      <c r="Q498" s="568">
        <f ca="1">IFERROR(__xludf.DUMMYFUNCTION("IMPORTRANGE(""https://docs.google.com/spreadsheets/d/1ItG2mGa2ceCfYo0BwxsXqNm01IGEUdYcSSLTEv9YCik/edit?usp=sharing"",""เบิกจ่ายกองทุน!AD14"")"),0)</f>
        <v>0</v>
      </c>
      <c r="R498" s="568">
        <f ca="1">IFERROR(__xludf.DUMMYFUNCTION("IMPORTRANGE(""https://docs.google.com/spreadsheets/d/1ItG2mGa2ceCfYo0BwxsXqNm01IGEUdYcSSLTEv9YCik/edit?usp=sharing"",""เบิกจ่ายกองทุน!AE14"")"),0)</f>
        <v>0</v>
      </c>
      <c r="S498" s="568">
        <f ca="1">IFERROR(__xludf.DUMMYFUNCTION("IMPORTRANGE(""https://docs.google.com/spreadsheets/d/1ItG2mGa2ceCfYo0BwxsXqNm01IGEUdYcSSLTEv9YCik/edit?usp=sharing"",""เบิกจ่ายกองทุน!AF14"")"),0)</f>
        <v>0</v>
      </c>
      <c r="T498" s="568">
        <f t="shared" ca="1" si="305"/>
        <v>0</v>
      </c>
      <c r="U498" s="568">
        <f t="shared" ca="1" si="306"/>
        <v>0</v>
      </c>
    </row>
    <row r="499" spans="1:21" ht="18.75" hidden="1" x14ac:dyDescent="0.25">
      <c r="A499" s="674"/>
      <c r="B499" s="718"/>
      <c r="C499" s="718"/>
      <c r="D499" s="721" t="s">
        <v>23</v>
      </c>
      <c r="E499" s="561"/>
      <c r="F499" s="561"/>
      <c r="G499" s="563"/>
      <c r="H499" s="686" t="s">
        <v>14</v>
      </c>
      <c r="I499" s="683"/>
      <c r="J499" s="683"/>
      <c r="K499" s="684"/>
      <c r="L499" s="567">
        <f t="shared" ref="L499:N499" ca="1" si="311">L500+L501</f>
        <v>0</v>
      </c>
      <c r="M499" s="568">
        <f t="shared" ca="1" si="311"/>
        <v>0</v>
      </c>
      <c r="N499" s="568">
        <f t="shared" ca="1" si="311"/>
        <v>0</v>
      </c>
      <c r="O499" s="568">
        <f t="shared" ca="1" si="302"/>
        <v>0</v>
      </c>
      <c r="P499" s="568">
        <f t="shared" ca="1" si="303"/>
        <v>0</v>
      </c>
      <c r="Q499" s="568">
        <f t="shared" ref="Q499:S499" si="312">Q500+Q501</f>
        <v>0</v>
      </c>
      <c r="R499" s="568">
        <f t="shared" si="312"/>
        <v>0</v>
      </c>
      <c r="S499" s="568">
        <f t="shared" si="312"/>
        <v>0</v>
      </c>
      <c r="T499" s="568">
        <f t="shared" si="305"/>
        <v>0</v>
      </c>
      <c r="U499" s="568">
        <f t="shared" si="306"/>
        <v>0</v>
      </c>
    </row>
    <row r="500" spans="1:21" ht="18.75" hidden="1" x14ac:dyDescent="0.25">
      <c r="A500" s="674"/>
      <c r="B500" s="718"/>
      <c r="C500" s="718"/>
      <c r="D500" s="718"/>
      <c r="E500" s="569" t="s">
        <v>20</v>
      </c>
      <c r="F500" s="561"/>
      <c r="G500" s="563"/>
      <c r="H500" s="685" t="s">
        <v>14</v>
      </c>
      <c r="I500" s="683"/>
      <c r="J500" s="683"/>
      <c r="K500" s="684"/>
      <c r="L500" s="571">
        <v>0</v>
      </c>
      <c r="M500" s="572">
        <v>0</v>
      </c>
      <c r="N500" s="572">
        <v>0</v>
      </c>
      <c r="O500" s="572">
        <f t="shared" si="302"/>
        <v>0</v>
      </c>
      <c r="P500" s="572">
        <f t="shared" si="303"/>
        <v>0</v>
      </c>
      <c r="Q500" s="572">
        <v>0</v>
      </c>
      <c r="R500" s="572">
        <v>0</v>
      </c>
      <c r="S500" s="572">
        <v>0</v>
      </c>
      <c r="T500" s="572">
        <f t="shared" si="305"/>
        <v>0</v>
      </c>
      <c r="U500" s="572">
        <f t="shared" si="306"/>
        <v>0</v>
      </c>
    </row>
    <row r="501" spans="1:21" ht="18.75" hidden="1" x14ac:dyDescent="0.25">
      <c r="A501" s="674"/>
      <c r="B501" s="718"/>
      <c r="C501" s="718"/>
      <c r="D501" s="718"/>
      <c r="E501" s="573" t="s">
        <v>21</v>
      </c>
      <c r="F501" s="561"/>
      <c r="G501" s="563"/>
      <c r="H501" s="686" t="s">
        <v>14</v>
      </c>
      <c r="I501" s="683"/>
      <c r="J501" s="683"/>
      <c r="K501" s="684"/>
      <c r="L501" s="567">
        <f ca="1">IFERROR(__xludf.DUMMYFUNCTION("IMPORTRANGE(""https://docs.google.com/spreadsheets/d/1-uDff_7J0KD5mKrp0Vvzr7lt3OU09vwQwhkpOPPYv2Y/edit?usp=sharing"",""งบพรบ!HX14"")"),0)</f>
        <v>0</v>
      </c>
      <c r="M501" s="568">
        <f ca="1">IFERROR(__xludf.DUMMYFUNCTION("IMPORTRANGE(""https://docs.google.com/spreadsheets/d/1-uDff_7J0KD5mKrp0Vvzr7lt3OU09vwQwhkpOPPYv2Y/edit?usp=sharing"",""งบพรบ!IA14"")"),0)</f>
        <v>0</v>
      </c>
      <c r="N501" s="568">
        <f ca="1">IFERROR(__xludf.DUMMYFUNCTION("IMPORTRANGE(""https://docs.google.com/spreadsheets/d/1-uDff_7J0KD5mKrp0Vvzr7lt3OU09vwQwhkpOPPYv2Y/edit?usp=sharing"",""งบพรบ!IC14"")"),0)</f>
        <v>0</v>
      </c>
      <c r="O501" s="568">
        <f t="shared" ca="1" si="302"/>
        <v>0</v>
      </c>
      <c r="P501" s="568">
        <f t="shared" ca="1" si="303"/>
        <v>0</v>
      </c>
      <c r="Q501" s="568">
        <v>0</v>
      </c>
      <c r="R501" s="568">
        <v>0</v>
      </c>
      <c r="S501" s="568">
        <v>0</v>
      </c>
      <c r="T501" s="568">
        <f t="shared" si="305"/>
        <v>0</v>
      </c>
      <c r="U501" s="568">
        <f t="shared" si="306"/>
        <v>0</v>
      </c>
    </row>
    <row r="502" spans="1:21" ht="19.5" hidden="1" x14ac:dyDescent="0.3">
      <c r="A502" s="687"/>
      <c r="B502" s="688"/>
      <c r="C502" s="724" t="s">
        <v>18</v>
      </c>
      <c r="D502" s="956" t="s">
        <v>38</v>
      </c>
      <c r="E502" s="690"/>
      <c r="F502" s="690"/>
      <c r="G502" s="691"/>
      <c r="H502" s="725"/>
      <c r="I502" s="683"/>
      <c r="J502" s="683"/>
      <c r="K502" s="684"/>
      <c r="L502" s="693"/>
      <c r="M502" s="684"/>
      <c r="N502" s="684"/>
      <c r="O502" s="684"/>
      <c r="P502" s="684"/>
      <c r="Q502" s="684"/>
      <c r="R502" s="684"/>
      <c r="S502" s="684"/>
      <c r="T502" s="684"/>
      <c r="U502" s="684"/>
    </row>
    <row r="503" spans="1:21" ht="19.5" hidden="1" x14ac:dyDescent="0.3">
      <c r="A503" s="764"/>
      <c r="B503" s="718"/>
      <c r="C503" s="718"/>
      <c r="D503" s="719" t="s">
        <v>199</v>
      </c>
      <c r="E503" s="561"/>
      <c r="F503" s="561"/>
      <c r="G503" s="563"/>
      <c r="H503" s="681" t="s">
        <v>35</v>
      </c>
      <c r="I503" s="697">
        <f ca="1">IFERROR(__xludf.DUMMYFUNCTION("IMPORTRANGE(""https://docs.google.com/spreadsheets/d/1eHaY18a8A9IcSdp1K8H6x8fbOy06t2VsZHhMHf-1x7Y/edit?usp=sharing"",""แผน!GX14"")"),0)</f>
        <v>0</v>
      </c>
      <c r="J503" s="697">
        <f ca="1">IF(AND(J504=I504,J505=I505,J506=I506,J507=I507),I503,0)</f>
        <v>0</v>
      </c>
      <c r="K503" s="679">
        <f t="shared" ref="K503:K509" ca="1" si="313">IF(I503&gt;0,J503*100/I503,0)</f>
        <v>0</v>
      </c>
      <c r="L503" s="574"/>
      <c r="M503" s="566"/>
      <c r="N503" s="566"/>
      <c r="O503" s="566"/>
      <c r="P503" s="566"/>
      <c r="Q503" s="566"/>
      <c r="R503" s="566"/>
      <c r="S503" s="566"/>
      <c r="T503" s="566"/>
      <c r="U503" s="566"/>
    </row>
    <row r="504" spans="1:21" ht="18.75" hidden="1" x14ac:dyDescent="0.25">
      <c r="A504" s="764"/>
      <c r="B504" s="718"/>
      <c r="C504" s="718"/>
      <c r="D504" s="718"/>
      <c r="E504" s="573" t="s">
        <v>200</v>
      </c>
      <c r="F504" s="561"/>
      <c r="G504" s="563"/>
      <c r="H504" s="681" t="s">
        <v>35</v>
      </c>
      <c r="I504" s="708">
        <f ca="1">IFERROR(__xludf.DUMMYFUNCTION("IMPORTRANGE(""https://docs.google.com/spreadsheets/d/1eHaY18a8A9IcSdp1K8H6x8fbOy06t2VsZHhMHf-1x7Y/edit?usp=sharing"",""แผน!GY14"")"),0)</f>
        <v>0</v>
      </c>
      <c r="J504" s="702">
        <v>0</v>
      </c>
      <c r="K504" s="568">
        <f t="shared" ca="1" si="313"/>
        <v>0</v>
      </c>
      <c r="L504" s="574"/>
      <c r="M504" s="566"/>
      <c r="N504" s="566"/>
      <c r="O504" s="566"/>
      <c r="P504" s="566"/>
      <c r="Q504" s="566"/>
      <c r="R504" s="566"/>
      <c r="S504" s="566"/>
      <c r="T504" s="566"/>
      <c r="U504" s="566"/>
    </row>
    <row r="505" spans="1:21" ht="18.75" hidden="1" x14ac:dyDescent="0.25">
      <c r="A505" s="764"/>
      <c r="B505" s="718"/>
      <c r="C505" s="718"/>
      <c r="D505" s="718"/>
      <c r="E505" s="573" t="s">
        <v>201</v>
      </c>
      <c r="F505" s="561"/>
      <c r="G505" s="563"/>
      <c r="H505" s="681" t="s">
        <v>35</v>
      </c>
      <c r="I505" s="708">
        <f ca="1">IFERROR(__xludf.DUMMYFUNCTION("IMPORTRANGE(""https://docs.google.com/spreadsheets/d/1eHaY18a8A9IcSdp1K8H6x8fbOy06t2VsZHhMHf-1x7Y/edit?usp=sharing"",""แผน!GZ14"")"),0)</f>
        <v>0</v>
      </c>
      <c r="J505" s="702">
        <v>0</v>
      </c>
      <c r="K505" s="568">
        <f t="shared" ca="1" si="313"/>
        <v>0</v>
      </c>
      <c r="L505" s="574"/>
      <c r="M505" s="566"/>
      <c r="N505" s="566"/>
      <c r="O505" s="566"/>
      <c r="P505" s="566"/>
      <c r="Q505" s="566"/>
      <c r="R505" s="566"/>
      <c r="S505" s="566"/>
      <c r="T505" s="566"/>
      <c r="U505" s="566"/>
    </row>
    <row r="506" spans="1:21" ht="18.75" hidden="1" x14ac:dyDescent="0.25">
      <c r="A506" s="764"/>
      <c r="B506" s="718"/>
      <c r="C506" s="718"/>
      <c r="D506" s="718"/>
      <c r="E506" s="573" t="s">
        <v>202</v>
      </c>
      <c r="F506" s="561"/>
      <c r="G506" s="563"/>
      <c r="H506" s="681" t="s">
        <v>35</v>
      </c>
      <c r="I506" s="708">
        <f ca="1">IFERROR(__xludf.DUMMYFUNCTION("IMPORTRANGE(""https://docs.google.com/spreadsheets/d/1eHaY18a8A9IcSdp1K8H6x8fbOy06t2VsZHhMHf-1x7Y/edit?usp=sharing"",""แผน!HA14"")"),0)</f>
        <v>0</v>
      </c>
      <c r="J506" s="702">
        <v>0</v>
      </c>
      <c r="K506" s="568">
        <f t="shared" ca="1" si="313"/>
        <v>0</v>
      </c>
      <c r="L506" s="574"/>
      <c r="M506" s="566"/>
      <c r="N506" s="566"/>
      <c r="O506" s="566"/>
      <c r="P506" s="566"/>
      <c r="Q506" s="566"/>
      <c r="R506" s="566"/>
      <c r="S506" s="566"/>
      <c r="T506" s="566"/>
      <c r="U506" s="566"/>
    </row>
    <row r="507" spans="1:21" ht="18.75" hidden="1" x14ac:dyDescent="0.25">
      <c r="A507" s="764"/>
      <c r="B507" s="718"/>
      <c r="C507" s="718"/>
      <c r="D507" s="718"/>
      <c r="E507" s="987" t="s">
        <v>203</v>
      </c>
      <c r="F507" s="561"/>
      <c r="G507" s="563"/>
      <c r="H507" s="681" t="s">
        <v>35</v>
      </c>
      <c r="I507" s="708">
        <f ca="1">IFERROR(__xludf.DUMMYFUNCTION("IMPORTRANGE(""https://docs.google.com/spreadsheets/d/1eHaY18a8A9IcSdp1K8H6x8fbOy06t2VsZHhMHf-1x7Y/edit?usp=sharing"",""แผน!HB14"")"),0)</f>
        <v>0</v>
      </c>
      <c r="J507" s="702">
        <v>0</v>
      </c>
      <c r="K507" s="568">
        <f t="shared" ca="1" si="313"/>
        <v>0</v>
      </c>
      <c r="L507" s="574"/>
      <c r="M507" s="566"/>
      <c r="N507" s="566"/>
      <c r="O507" s="566"/>
      <c r="P507" s="566"/>
      <c r="Q507" s="566"/>
      <c r="R507" s="566"/>
      <c r="S507" s="566"/>
      <c r="T507" s="566"/>
      <c r="U507" s="566"/>
    </row>
    <row r="508" spans="1:21" ht="18.75" hidden="1" x14ac:dyDescent="0.25">
      <c r="A508" s="764"/>
      <c r="B508" s="718"/>
      <c r="C508" s="718"/>
      <c r="D508" s="718"/>
      <c r="E508" s="573" t="s">
        <v>204</v>
      </c>
      <c r="F508" s="561"/>
      <c r="G508" s="563"/>
      <c r="H508" s="681" t="s">
        <v>35</v>
      </c>
      <c r="I508" s="708">
        <v>0</v>
      </c>
      <c r="J508" s="708">
        <v>0</v>
      </c>
      <c r="K508" s="568">
        <f t="shared" si="313"/>
        <v>0</v>
      </c>
      <c r="L508" s="574"/>
      <c r="M508" s="566"/>
      <c r="N508" s="566"/>
      <c r="O508" s="566"/>
      <c r="P508" s="566"/>
      <c r="Q508" s="566"/>
      <c r="R508" s="566"/>
      <c r="S508" s="566"/>
      <c r="T508" s="566"/>
      <c r="U508" s="566"/>
    </row>
    <row r="509" spans="1:21" ht="19.5" hidden="1" x14ac:dyDescent="0.3">
      <c r="A509" s="984"/>
      <c r="B509" s="514"/>
      <c r="C509" s="514"/>
      <c r="D509" s="988" t="s">
        <v>50</v>
      </c>
      <c r="E509" s="513"/>
      <c r="F509" s="513"/>
      <c r="G509" s="577"/>
      <c r="H509" s="986" t="s">
        <v>35</v>
      </c>
      <c r="I509" s="989">
        <f ca="1">IFERROR(__xludf.DUMMYFUNCTION("IMPORTRANGE(""https://docs.google.com/spreadsheets/d/1eHaY18a8A9IcSdp1K8H6x8fbOy06t2VsZHhMHf-1x7Y/edit?usp=sharing"",""แผน!HC14"")"),0)</f>
        <v>0</v>
      </c>
      <c r="J509" s="990">
        <v>0</v>
      </c>
      <c r="K509" s="655">
        <f t="shared" ca="1" si="313"/>
        <v>0</v>
      </c>
      <c r="L509" s="581"/>
      <c r="M509" s="580"/>
      <c r="N509" s="580"/>
      <c r="O509" s="580"/>
      <c r="P509" s="580"/>
      <c r="Q509" s="580"/>
      <c r="R509" s="580"/>
      <c r="S509" s="580"/>
      <c r="T509" s="580"/>
      <c r="U509" s="580"/>
    </row>
    <row r="510" spans="1:21" ht="19.5" hidden="1" x14ac:dyDescent="0.3">
      <c r="A510" s="991" t="s">
        <v>205</v>
      </c>
      <c r="B510" s="992"/>
      <c r="C510" s="992"/>
      <c r="D510" s="992"/>
      <c r="E510" s="993"/>
      <c r="F510" s="993"/>
      <c r="G510" s="993"/>
      <c r="H510" s="993"/>
      <c r="I510" s="994"/>
      <c r="J510" s="994"/>
      <c r="K510" s="995"/>
      <c r="L510" s="996"/>
      <c r="M510" s="997"/>
      <c r="N510" s="997"/>
      <c r="O510" s="997"/>
      <c r="P510" s="997"/>
      <c r="Q510" s="997"/>
      <c r="R510" s="997"/>
      <c r="S510" s="997"/>
      <c r="T510" s="997"/>
      <c r="U510" s="997"/>
    </row>
    <row r="511" spans="1:21" ht="19.5" hidden="1" x14ac:dyDescent="0.3">
      <c r="A511" s="998" t="s">
        <v>206</v>
      </c>
      <c r="B511" s="999"/>
      <c r="C511" s="999"/>
      <c r="D511" s="1000"/>
      <c r="E511" s="999"/>
      <c r="F511" s="999"/>
      <c r="G511" s="999"/>
      <c r="H511" s="1001"/>
      <c r="I511" s="1002"/>
      <c r="J511" s="1002"/>
      <c r="K511" s="1003"/>
      <c r="L511" s="1004"/>
      <c r="M511" s="1005"/>
      <c r="N511" s="1005"/>
      <c r="O511" s="1005"/>
      <c r="P511" s="1005"/>
      <c r="Q511" s="1005"/>
      <c r="R511" s="1005"/>
      <c r="S511" s="1005"/>
      <c r="T511" s="1005"/>
      <c r="U511" s="1005"/>
    </row>
    <row r="512" spans="1:21" ht="19.5" hidden="1" x14ac:dyDescent="0.3">
      <c r="A512" s="1006"/>
      <c r="B512" s="1007" t="s">
        <v>207</v>
      </c>
      <c r="C512" s="1008"/>
      <c r="D512" s="1009"/>
      <c r="E512" s="1009"/>
      <c r="F512" s="1009"/>
      <c r="G512" s="1010"/>
      <c r="H512" s="1011" t="s">
        <v>61</v>
      </c>
      <c r="I512" s="1012">
        <f t="shared" ref="I512:J512" si="314">I524</f>
        <v>0</v>
      </c>
      <c r="J512" s="1012">
        <f t="shared" si="314"/>
        <v>0</v>
      </c>
      <c r="K512" s="1013">
        <f>IF(I512&gt;0,J512*100/I512,0)</f>
        <v>0</v>
      </c>
      <c r="L512" s="1014"/>
      <c r="M512" s="1015"/>
      <c r="N512" s="1015"/>
      <c r="O512" s="1015"/>
      <c r="P512" s="1015"/>
      <c r="Q512" s="1015"/>
      <c r="R512" s="1015"/>
      <c r="S512" s="1015"/>
      <c r="T512" s="1015"/>
      <c r="U512" s="1015"/>
    </row>
    <row r="513" spans="1:21" ht="19.5" hidden="1" x14ac:dyDescent="0.3">
      <c r="A513" s="674"/>
      <c r="B513" s="561"/>
      <c r="C513" s="797" t="s">
        <v>18</v>
      </c>
      <c r="D513" s="798" t="s">
        <v>19</v>
      </c>
      <c r="E513" s="561"/>
      <c r="F513" s="561"/>
      <c r="G513" s="563"/>
      <c r="H513" s="1016" t="s">
        <v>14</v>
      </c>
      <c r="I513" s="565"/>
      <c r="J513" s="565"/>
      <c r="K513" s="566"/>
      <c r="L513" s="678">
        <f t="shared" ref="L513:N513" ca="1" si="315">L514+L515</f>
        <v>0</v>
      </c>
      <c r="M513" s="679">
        <f t="shared" ca="1" si="315"/>
        <v>0</v>
      </c>
      <c r="N513" s="679">
        <f t="shared" ca="1" si="315"/>
        <v>0</v>
      </c>
      <c r="O513" s="679">
        <f t="shared" ref="O513:O521" ca="1" si="316">IF(L513&gt;0,N513*100/L513,0)</f>
        <v>0</v>
      </c>
      <c r="P513" s="679">
        <f t="shared" ref="P513:P521" ca="1" si="317">IF(M513&gt;0,N513*100/M513,0)</f>
        <v>0</v>
      </c>
      <c r="Q513" s="679">
        <f t="shared" ref="Q513:S513" si="318">Q514+Q515</f>
        <v>0</v>
      </c>
      <c r="R513" s="679">
        <f t="shared" si="318"/>
        <v>0</v>
      </c>
      <c r="S513" s="679">
        <f t="shared" si="318"/>
        <v>0</v>
      </c>
      <c r="T513" s="679">
        <f t="shared" ref="T513:T521" si="319">IF(Q513&gt;0,S513*100/Q513,0)</f>
        <v>0</v>
      </c>
      <c r="U513" s="679">
        <f t="shared" ref="U513:U521" si="320">IF(R513&gt;0,S513*100/R513,0)</f>
        <v>0</v>
      </c>
    </row>
    <row r="514" spans="1:21" ht="18.75" hidden="1" x14ac:dyDescent="0.25">
      <c r="A514" s="674"/>
      <c r="B514" s="561"/>
      <c r="C514" s="561"/>
      <c r="D514" s="561"/>
      <c r="E514" s="569" t="s">
        <v>20</v>
      </c>
      <c r="F514" s="561"/>
      <c r="G514" s="563"/>
      <c r="H514" s="680" t="s">
        <v>14</v>
      </c>
      <c r="I514" s="565"/>
      <c r="J514" s="565"/>
      <c r="K514" s="566"/>
      <c r="L514" s="571">
        <f t="shared" ref="L514:N515" si="321">L517+L520</f>
        <v>0</v>
      </c>
      <c r="M514" s="572">
        <f t="shared" si="321"/>
        <v>0</v>
      </c>
      <c r="N514" s="572">
        <f t="shared" si="321"/>
        <v>0</v>
      </c>
      <c r="O514" s="572">
        <f t="shared" si="316"/>
        <v>0</v>
      </c>
      <c r="P514" s="572">
        <f t="shared" si="317"/>
        <v>0</v>
      </c>
      <c r="Q514" s="572">
        <f t="shared" ref="Q514:S515" si="322">Q517+Q520</f>
        <v>0</v>
      </c>
      <c r="R514" s="572">
        <f t="shared" si="322"/>
        <v>0</v>
      </c>
      <c r="S514" s="572">
        <f t="shared" si="322"/>
        <v>0</v>
      </c>
      <c r="T514" s="572">
        <f t="shared" si="319"/>
        <v>0</v>
      </c>
      <c r="U514" s="572">
        <f t="shared" si="320"/>
        <v>0</v>
      </c>
    </row>
    <row r="515" spans="1:21" ht="18.75" hidden="1" x14ac:dyDescent="0.25">
      <c r="A515" s="674"/>
      <c r="B515" s="561"/>
      <c r="C515" s="561"/>
      <c r="D515" s="561"/>
      <c r="E515" s="569" t="s">
        <v>21</v>
      </c>
      <c r="F515" s="561"/>
      <c r="G515" s="563"/>
      <c r="H515" s="680" t="s">
        <v>14</v>
      </c>
      <c r="I515" s="565"/>
      <c r="J515" s="565"/>
      <c r="K515" s="566"/>
      <c r="L515" s="567">
        <f t="shared" ca="1" si="321"/>
        <v>0</v>
      </c>
      <c r="M515" s="568">
        <f t="shared" ca="1" si="321"/>
        <v>0</v>
      </c>
      <c r="N515" s="568">
        <f t="shared" ca="1" si="321"/>
        <v>0</v>
      </c>
      <c r="O515" s="568">
        <f t="shared" ca="1" si="316"/>
        <v>0</v>
      </c>
      <c r="P515" s="568">
        <f t="shared" ca="1" si="317"/>
        <v>0</v>
      </c>
      <c r="Q515" s="568">
        <f t="shared" si="322"/>
        <v>0</v>
      </c>
      <c r="R515" s="568">
        <f t="shared" si="322"/>
        <v>0</v>
      </c>
      <c r="S515" s="568">
        <f t="shared" si="322"/>
        <v>0</v>
      </c>
      <c r="T515" s="568">
        <f t="shared" si="319"/>
        <v>0</v>
      </c>
      <c r="U515" s="568">
        <f t="shared" si="320"/>
        <v>0</v>
      </c>
    </row>
    <row r="516" spans="1:21" ht="18.75" hidden="1" x14ac:dyDescent="0.25">
      <c r="A516" s="674"/>
      <c r="B516" s="561"/>
      <c r="C516" s="561"/>
      <c r="D516" s="1017" t="s">
        <v>22</v>
      </c>
      <c r="E516" s="561"/>
      <c r="F516" s="561"/>
      <c r="G516" s="563"/>
      <c r="H516" s="685" t="s">
        <v>14</v>
      </c>
      <c r="I516" s="683"/>
      <c r="J516" s="683"/>
      <c r="K516" s="684"/>
      <c r="L516" s="567">
        <f t="shared" ref="L516:N516" ca="1" si="323">L517+L518</f>
        <v>0</v>
      </c>
      <c r="M516" s="568">
        <f t="shared" ca="1" si="323"/>
        <v>0</v>
      </c>
      <c r="N516" s="568">
        <f t="shared" ca="1" si="323"/>
        <v>0</v>
      </c>
      <c r="O516" s="568">
        <f t="shared" ca="1" si="316"/>
        <v>0</v>
      </c>
      <c r="P516" s="568">
        <f t="shared" ca="1" si="317"/>
        <v>0</v>
      </c>
      <c r="Q516" s="568">
        <f t="shared" ref="Q516:S516" si="324">Q517+Q518</f>
        <v>0</v>
      </c>
      <c r="R516" s="568">
        <f t="shared" si="324"/>
        <v>0</v>
      </c>
      <c r="S516" s="568">
        <f t="shared" si="324"/>
        <v>0</v>
      </c>
      <c r="T516" s="568">
        <f t="shared" si="319"/>
        <v>0</v>
      </c>
      <c r="U516" s="568">
        <f t="shared" si="320"/>
        <v>0</v>
      </c>
    </row>
    <row r="517" spans="1:21" ht="18.75" hidden="1" x14ac:dyDescent="0.25">
      <c r="A517" s="674"/>
      <c r="B517" s="561"/>
      <c r="C517" s="561"/>
      <c r="D517" s="561"/>
      <c r="E517" s="569" t="s">
        <v>36</v>
      </c>
      <c r="F517" s="561"/>
      <c r="G517" s="563"/>
      <c r="H517" s="685" t="s">
        <v>14</v>
      </c>
      <c r="I517" s="683"/>
      <c r="J517" s="683"/>
      <c r="K517" s="684"/>
      <c r="L517" s="571">
        <v>0</v>
      </c>
      <c r="M517" s="572">
        <v>0</v>
      </c>
      <c r="N517" s="572">
        <v>0</v>
      </c>
      <c r="O517" s="572">
        <f t="shared" si="316"/>
        <v>0</v>
      </c>
      <c r="P517" s="572">
        <f t="shared" si="317"/>
        <v>0</v>
      </c>
      <c r="Q517" s="572">
        <v>0</v>
      </c>
      <c r="R517" s="572">
        <v>0</v>
      </c>
      <c r="S517" s="572">
        <v>0</v>
      </c>
      <c r="T517" s="572">
        <f t="shared" si="319"/>
        <v>0</v>
      </c>
      <c r="U517" s="572">
        <f t="shared" si="320"/>
        <v>0</v>
      </c>
    </row>
    <row r="518" spans="1:21" ht="18.75" hidden="1" x14ac:dyDescent="0.25">
      <c r="A518" s="674"/>
      <c r="B518" s="561"/>
      <c r="C518" s="561"/>
      <c r="D518" s="561"/>
      <c r="E518" s="569" t="s">
        <v>37</v>
      </c>
      <c r="F518" s="561"/>
      <c r="G518" s="563"/>
      <c r="H518" s="685" t="s">
        <v>14</v>
      </c>
      <c r="I518" s="683"/>
      <c r="J518" s="683"/>
      <c r="K518" s="684"/>
      <c r="L518" s="567">
        <f ca="1">IFERROR(__xludf.DUMMYFUNCTION("IMPORTRANGE(""https://docs.google.com/spreadsheets/d/1-uDff_7J0KD5mKrp0Vvzr7lt3OU09vwQwhkpOPPYv2Y/edit?usp=sharing"",""งบพรบ!FM14"")"),0)</f>
        <v>0</v>
      </c>
      <c r="M518" s="568">
        <f ca="1">IFERROR(__xludf.DUMMYFUNCTION("IMPORTRANGE(""https://docs.google.com/spreadsheets/d/1-uDff_7J0KD5mKrp0Vvzr7lt3OU09vwQwhkpOPPYv2Y/edit?usp=sharing"",""งบพรบ!FR14"")"),0)</f>
        <v>0</v>
      </c>
      <c r="N518" s="568">
        <f ca="1">IFERROR(__xludf.DUMMYFUNCTION("IMPORTRANGE(""https://docs.google.com/spreadsheets/d/1-uDff_7J0KD5mKrp0Vvzr7lt3OU09vwQwhkpOPPYv2Y/edit?usp=sharing"",""งบพรบ!FT14"")"),0)</f>
        <v>0</v>
      </c>
      <c r="O518" s="568">
        <f t="shared" ca="1" si="316"/>
        <v>0</v>
      </c>
      <c r="P518" s="568">
        <f t="shared" ca="1" si="317"/>
        <v>0</v>
      </c>
      <c r="Q518" s="568">
        <v>0</v>
      </c>
      <c r="R518" s="568">
        <v>0</v>
      </c>
      <c r="S518" s="568">
        <v>0</v>
      </c>
      <c r="T518" s="568">
        <f t="shared" si="319"/>
        <v>0</v>
      </c>
      <c r="U518" s="568">
        <f t="shared" si="320"/>
        <v>0</v>
      </c>
    </row>
    <row r="519" spans="1:21" ht="18.75" hidden="1" x14ac:dyDescent="0.25">
      <c r="A519" s="674"/>
      <c r="B519" s="561"/>
      <c r="C519" s="561"/>
      <c r="D519" s="1017" t="s">
        <v>23</v>
      </c>
      <c r="E519" s="561"/>
      <c r="F519" s="561"/>
      <c r="G519" s="563"/>
      <c r="H519" s="734" t="s">
        <v>14</v>
      </c>
      <c r="I519" s="683"/>
      <c r="J519" s="683"/>
      <c r="K519" s="684"/>
      <c r="L519" s="567">
        <f t="shared" ref="L519:N519" ca="1" si="325">L520+L521</f>
        <v>0</v>
      </c>
      <c r="M519" s="568">
        <f t="shared" ca="1" si="325"/>
        <v>0</v>
      </c>
      <c r="N519" s="568">
        <f t="shared" ca="1" si="325"/>
        <v>0</v>
      </c>
      <c r="O519" s="568">
        <f t="shared" ca="1" si="316"/>
        <v>0</v>
      </c>
      <c r="P519" s="568">
        <f t="shared" ca="1" si="317"/>
        <v>0</v>
      </c>
      <c r="Q519" s="568">
        <f t="shared" ref="Q519:S519" si="326">Q520+Q521</f>
        <v>0</v>
      </c>
      <c r="R519" s="568">
        <f t="shared" si="326"/>
        <v>0</v>
      </c>
      <c r="S519" s="568">
        <f t="shared" si="326"/>
        <v>0</v>
      </c>
      <c r="T519" s="568">
        <f t="shared" si="319"/>
        <v>0</v>
      </c>
      <c r="U519" s="568">
        <f t="shared" si="320"/>
        <v>0</v>
      </c>
    </row>
    <row r="520" spans="1:21" ht="18.75" hidden="1" x14ac:dyDescent="0.25">
      <c r="A520" s="674"/>
      <c r="B520" s="561"/>
      <c r="C520" s="561"/>
      <c r="D520" s="561"/>
      <c r="E520" s="569" t="s">
        <v>20</v>
      </c>
      <c r="F520" s="561"/>
      <c r="G520" s="563"/>
      <c r="H520" s="685" t="s">
        <v>14</v>
      </c>
      <c r="I520" s="683"/>
      <c r="J520" s="683"/>
      <c r="K520" s="684"/>
      <c r="L520" s="571">
        <v>0</v>
      </c>
      <c r="M520" s="572">
        <v>0</v>
      </c>
      <c r="N520" s="572">
        <v>0</v>
      </c>
      <c r="O520" s="572">
        <f t="shared" si="316"/>
        <v>0</v>
      </c>
      <c r="P520" s="572">
        <f t="shared" si="317"/>
        <v>0</v>
      </c>
      <c r="Q520" s="572">
        <v>0</v>
      </c>
      <c r="R520" s="572">
        <v>0</v>
      </c>
      <c r="S520" s="572">
        <v>0</v>
      </c>
      <c r="T520" s="572">
        <f t="shared" si="319"/>
        <v>0</v>
      </c>
      <c r="U520" s="572">
        <f t="shared" si="320"/>
        <v>0</v>
      </c>
    </row>
    <row r="521" spans="1:21" ht="18.75" hidden="1" x14ac:dyDescent="0.25">
      <c r="A521" s="674"/>
      <c r="B521" s="561"/>
      <c r="C521" s="561"/>
      <c r="D521" s="561"/>
      <c r="E521" s="569" t="s">
        <v>21</v>
      </c>
      <c r="F521" s="561"/>
      <c r="G521" s="563"/>
      <c r="H521" s="734" t="s">
        <v>14</v>
      </c>
      <c r="I521" s="683"/>
      <c r="J521" s="683"/>
      <c r="K521" s="684"/>
      <c r="L521" s="567">
        <f ca="1">IFERROR(__xludf.DUMMYFUNCTION("IMPORTRANGE(""https://docs.google.com/spreadsheets/d/1-uDff_7J0KD5mKrp0Vvzr7lt3OU09vwQwhkpOPPYv2Y/edit?usp=sharing"",""งบพรบ!FP14"")"),0)</f>
        <v>0</v>
      </c>
      <c r="M521" s="568">
        <f ca="1">IFERROR(__xludf.DUMMYFUNCTION("IMPORTRANGE(""https://docs.google.com/spreadsheets/d/1-uDff_7J0KD5mKrp0Vvzr7lt3OU09vwQwhkpOPPYv2Y/edit?usp=sharing"",""งบพรบ!FS14"")"),0)</f>
        <v>0</v>
      </c>
      <c r="N521" s="568">
        <f ca="1">IFERROR(__xludf.DUMMYFUNCTION("IMPORTRANGE(""https://docs.google.com/spreadsheets/d/1-uDff_7J0KD5mKrp0Vvzr7lt3OU09vwQwhkpOPPYv2Y/edit?usp=sharing"",""งบพรบ!FU14"")"),0)</f>
        <v>0</v>
      </c>
      <c r="O521" s="568">
        <f t="shared" ca="1" si="316"/>
        <v>0</v>
      </c>
      <c r="P521" s="568">
        <f t="shared" ca="1" si="317"/>
        <v>0</v>
      </c>
      <c r="Q521" s="568">
        <v>0</v>
      </c>
      <c r="R521" s="568">
        <v>0</v>
      </c>
      <c r="S521" s="568">
        <v>0</v>
      </c>
      <c r="T521" s="568">
        <f t="shared" si="319"/>
        <v>0</v>
      </c>
      <c r="U521" s="568">
        <f t="shared" si="320"/>
        <v>0</v>
      </c>
    </row>
    <row r="522" spans="1:21" ht="19.5" hidden="1" x14ac:dyDescent="0.3">
      <c r="A522" s="687"/>
      <c r="B522" s="688"/>
      <c r="C522" s="797" t="s">
        <v>18</v>
      </c>
      <c r="D522" s="801" t="s">
        <v>38</v>
      </c>
      <c r="E522" s="690"/>
      <c r="F522" s="690"/>
      <c r="G522" s="691"/>
      <c r="H522" s="692"/>
      <c r="I522" s="683"/>
      <c r="J522" s="565"/>
      <c r="K522" s="566"/>
      <c r="L522" s="574"/>
      <c r="M522" s="566"/>
      <c r="N522" s="566"/>
      <c r="O522" s="684"/>
      <c r="P522" s="684"/>
      <c r="Q522" s="566"/>
      <c r="R522" s="566"/>
      <c r="S522" s="566"/>
      <c r="T522" s="684"/>
      <c r="U522" s="684"/>
    </row>
    <row r="523" spans="1:21" ht="18.75" hidden="1" x14ac:dyDescent="0.25">
      <c r="A523" s="764"/>
      <c r="B523" s="561"/>
      <c r="C523" s="718"/>
      <c r="D523" s="726" t="s">
        <v>208</v>
      </c>
      <c r="E523" s="688"/>
      <c r="F523" s="561"/>
      <c r="G523" s="563"/>
      <c r="H523" s="768" t="s">
        <v>11</v>
      </c>
      <c r="I523" s="735">
        <v>0</v>
      </c>
      <c r="J523" s="736">
        <v>0</v>
      </c>
      <c r="K523" s="572">
        <f t="shared" ref="K523:K524" si="327">IF(I523&gt;0,J523*100/I523,0)</f>
        <v>0</v>
      </c>
      <c r="L523" s="574"/>
      <c r="M523" s="566"/>
      <c r="N523" s="566"/>
      <c r="O523" s="566"/>
      <c r="P523" s="566"/>
      <c r="Q523" s="566"/>
      <c r="R523" s="566"/>
      <c r="S523" s="566"/>
      <c r="T523" s="566"/>
      <c r="U523" s="566"/>
    </row>
    <row r="524" spans="1:21" ht="18.75" hidden="1" x14ac:dyDescent="0.25">
      <c r="A524" s="984"/>
      <c r="B524" s="513"/>
      <c r="C524" s="514"/>
      <c r="D524" s="1018" t="s">
        <v>209</v>
      </c>
      <c r="E524" s="864"/>
      <c r="F524" s="513"/>
      <c r="G524" s="577"/>
      <c r="H524" s="1019" t="s">
        <v>61</v>
      </c>
      <c r="I524" s="740">
        <v>0</v>
      </c>
      <c r="J524" s="741">
        <v>0</v>
      </c>
      <c r="K524" s="742">
        <f t="shared" si="327"/>
        <v>0</v>
      </c>
      <c r="L524" s="574"/>
      <c r="M524" s="566"/>
      <c r="N524" s="566"/>
      <c r="O524" s="566"/>
      <c r="P524" s="566"/>
      <c r="Q524" s="566"/>
      <c r="R524" s="566"/>
      <c r="S524" s="566"/>
      <c r="T524" s="566"/>
      <c r="U524" s="566"/>
    </row>
    <row r="525" spans="1:21" ht="12.75" hidden="1" x14ac:dyDescent="0.2">
      <c r="A525" s="1020"/>
      <c r="B525" s="1021"/>
      <c r="C525" s="1021"/>
      <c r="D525" s="1022"/>
      <c r="E525" s="1022"/>
      <c r="F525" s="1022"/>
      <c r="G525" s="1023"/>
      <c r="H525" s="1024"/>
      <c r="I525" s="1025"/>
      <c r="J525" s="1025"/>
      <c r="K525" s="1026"/>
      <c r="L525" s="965"/>
      <c r="M525" s="964"/>
      <c r="N525" s="964"/>
      <c r="O525" s="964"/>
      <c r="P525" s="964"/>
      <c r="Q525" s="964"/>
      <c r="R525" s="964"/>
      <c r="S525" s="964"/>
      <c r="T525" s="964"/>
      <c r="U525" s="964"/>
    </row>
    <row r="526" spans="1:21" ht="12.75" hidden="1" x14ac:dyDescent="0.2">
      <c r="A526" s="973"/>
      <c r="B526" s="961"/>
      <c r="C526" s="961"/>
      <c r="D526" s="974"/>
      <c r="E526" s="974"/>
      <c r="F526" s="974"/>
      <c r="G526" s="975"/>
      <c r="H526" s="962"/>
      <c r="I526" s="963"/>
      <c r="J526" s="963"/>
      <c r="K526" s="964"/>
      <c r="L526" s="965"/>
      <c r="M526" s="964"/>
      <c r="N526" s="964"/>
      <c r="O526" s="964"/>
      <c r="P526" s="964"/>
      <c r="Q526" s="964"/>
      <c r="R526" s="964"/>
      <c r="S526" s="964"/>
      <c r="T526" s="964"/>
      <c r="U526" s="964"/>
    </row>
    <row r="527" spans="1:21" ht="12.75" hidden="1" x14ac:dyDescent="0.2">
      <c r="A527" s="973"/>
      <c r="B527" s="961"/>
      <c r="C527" s="961"/>
      <c r="D527" s="974"/>
      <c r="E527" s="974"/>
      <c r="F527" s="974"/>
      <c r="G527" s="975"/>
      <c r="H527" s="962"/>
      <c r="I527" s="963"/>
      <c r="J527" s="963"/>
      <c r="K527" s="964"/>
      <c r="L527" s="965"/>
      <c r="M527" s="964"/>
      <c r="N527" s="964"/>
      <c r="O527" s="964"/>
      <c r="P527" s="964"/>
      <c r="Q527" s="964"/>
      <c r="R527" s="964"/>
      <c r="S527" s="964"/>
      <c r="T527" s="964"/>
      <c r="U527" s="964"/>
    </row>
    <row r="528" spans="1:21" ht="12.75" hidden="1" x14ac:dyDescent="0.2">
      <c r="A528" s="973"/>
      <c r="B528" s="961"/>
      <c r="C528" s="961"/>
      <c r="D528" s="974"/>
      <c r="E528" s="974"/>
      <c r="F528" s="974"/>
      <c r="G528" s="975"/>
      <c r="H528" s="962"/>
      <c r="I528" s="963"/>
      <c r="J528" s="963"/>
      <c r="K528" s="964"/>
      <c r="L528" s="965"/>
      <c r="M528" s="964"/>
      <c r="N528" s="964"/>
      <c r="O528" s="964"/>
      <c r="P528" s="964"/>
      <c r="Q528" s="964"/>
      <c r="R528" s="964"/>
      <c r="S528" s="964"/>
      <c r="T528" s="964"/>
      <c r="U528" s="964"/>
    </row>
    <row r="529" spans="1:21" ht="12.75" hidden="1" x14ac:dyDescent="0.2">
      <c r="A529" s="973"/>
      <c r="B529" s="961"/>
      <c r="C529" s="961"/>
      <c r="D529" s="974"/>
      <c r="E529" s="974"/>
      <c r="F529" s="974"/>
      <c r="G529" s="975"/>
      <c r="H529" s="962"/>
      <c r="I529" s="963"/>
      <c r="J529" s="963"/>
      <c r="K529" s="964"/>
      <c r="L529" s="965"/>
      <c r="M529" s="964"/>
      <c r="N529" s="964"/>
      <c r="O529" s="964"/>
      <c r="P529" s="964"/>
      <c r="Q529" s="964"/>
      <c r="R529" s="964"/>
      <c r="S529" s="964"/>
      <c r="T529" s="964"/>
      <c r="U529" s="964"/>
    </row>
    <row r="530" spans="1:21" ht="12.75" hidden="1" x14ac:dyDescent="0.2">
      <c r="A530" s="973"/>
      <c r="B530" s="961"/>
      <c r="C530" s="961"/>
      <c r="D530" s="974"/>
      <c r="E530" s="974"/>
      <c r="F530" s="974"/>
      <c r="G530" s="975"/>
      <c r="H530" s="962"/>
      <c r="I530" s="963"/>
      <c r="J530" s="963"/>
      <c r="K530" s="964"/>
      <c r="L530" s="965"/>
      <c r="M530" s="964"/>
      <c r="N530" s="964"/>
      <c r="O530" s="964"/>
      <c r="P530" s="964"/>
      <c r="Q530" s="964"/>
      <c r="R530" s="964"/>
      <c r="S530" s="964"/>
      <c r="T530" s="964"/>
      <c r="U530" s="964"/>
    </row>
    <row r="531" spans="1:21" ht="12.75" hidden="1" x14ac:dyDescent="0.2">
      <c r="A531" s="973"/>
      <c r="B531" s="961"/>
      <c r="C531" s="961"/>
      <c r="D531" s="974"/>
      <c r="E531" s="974"/>
      <c r="F531" s="974"/>
      <c r="G531" s="975"/>
      <c r="H531" s="962"/>
      <c r="I531" s="963"/>
      <c r="J531" s="963"/>
      <c r="K531" s="964"/>
      <c r="L531" s="965"/>
      <c r="M531" s="964"/>
      <c r="N531" s="964"/>
      <c r="O531" s="964"/>
      <c r="P531" s="964"/>
      <c r="Q531" s="964"/>
      <c r="R531" s="964"/>
      <c r="S531" s="964"/>
      <c r="T531" s="964"/>
      <c r="U531" s="964"/>
    </row>
    <row r="532" spans="1:21" ht="12.75" hidden="1" x14ac:dyDescent="0.2">
      <c r="A532" s="1027"/>
      <c r="B532" s="966"/>
      <c r="C532" s="966"/>
      <c r="D532" s="1028"/>
      <c r="E532" s="1028"/>
      <c r="F532" s="1028"/>
      <c r="G532" s="1029"/>
      <c r="H532" s="967"/>
      <c r="I532" s="968"/>
      <c r="J532" s="968"/>
      <c r="K532" s="969"/>
      <c r="L532" s="970"/>
      <c r="M532" s="969"/>
      <c r="N532" s="969"/>
      <c r="O532" s="969"/>
      <c r="P532" s="969"/>
      <c r="Q532" s="969"/>
      <c r="R532" s="969"/>
      <c r="S532" s="969"/>
      <c r="T532" s="969"/>
      <c r="U532" s="969"/>
    </row>
    <row r="533" spans="1:21" ht="19.5" hidden="1" x14ac:dyDescent="0.3">
      <c r="A533" s="1006"/>
      <c r="B533" s="1030" t="s">
        <v>210</v>
      </c>
      <c r="C533" s="1008"/>
      <c r="D533" s="1009"/>
      <c r="E533" s="1009"/>
      <c r="F533" s="1009"/>
      <c r="G533" s="1010"/>
      <c r="H533" s="1031" t="s">
        <v>61</v>
      </c>
      <c r="I533" s="1032">
        <f t="shared" ref="I533:J533" si="328">I545</f>
        <v>0</v>
      </c>
      <c r="J533" s="1032">
        <f t="shared" si="328"/>
        <v>0</v>
      </c>
      <c r="K533" s="1033">
        <f>IF(I533&gt;0,J533*100/I533,0)</f>
        <v>0</v>
      </c>
      <c r="L533" s="1014"/>
      <c r="M533" s="1015"/>
      <c r="N533" s="1015"/>
      <c r="O533" s="1015"/>
      <c r="P533" s="1015"/>
      <c r="Q533" s="1015"/>
      <c r="R533" s="1015"/>
      <c r="S533" s="1015"/>
      <c r="T533" s="1015"/>
      <c r="U533" s="1015"/>
    </row>
    <row r="534" spans="1:21" ht="19.5" hidden="1" x14ac:dyDescent="0.3">
      <c r="A534" s="674"/>
      <c r="B534" s="561"/>
      <c r="C534" s="675" t="s">
        <v>18</v>
      </c>
      <c r="D534" s="676" t="s">
        <v>19</v>
      </c>
      <c r="E534" s="561"/>
      <c r="F534" s="561"/>
      <c r="G534" s="563"/>
      <c r="H534" s="677" t="s">
        <v>14</v>
      </c>
      <c r="I534" s="565"/>
      <c r="J534" s="565"/>
      <c r="K534" s="566"/>
      <c r="L534" s="678">
        <f t="shared" ref="L534:N534" ca="1" si="329">L535+L536</f>
        <v>0</v>
      </c>
      <c r="M534" s="679">
        <f t="shared" ca="1" si="329"/>
        <v>0</v>
      </c>
      <c r="N534" s="679">
        <f t="shared" ca="1" si="329"/>
        <v>0</v>
      </c>
      <c r="O534" s="679">
        <f t="shared" ref="O534:O542" ca="1" si="330">IF(L534&gt;0,N534*100/L534,0)</f>
        <v>0</v>
      </c>
      <c r="P534" s="679">
        <f t="shared" ref="P534:P542" ca="1" si="331">IF(M534&gt;0,N534*100/M534,0)</f>
        <v>0</v>
      </c>
      <c r="Q534" s="679">
        <f t="shared" ref="Q534:S534" si="332">Q535+Q536</f>
        <v>0</v>
      </c>
      <c r="R534" s="679">
        <f t="shared" si="332"/>
        <v>0</v>
      </c>
      <c r="S534" s="679">
        <f t="shared" si="332"/>
        <v>0</v>
      </c>
      <c r="T534" s="679">
        <f t="shared" ref="T534:T542" si="333">IF(Q534&gt;0,S534*100/Q534,0)</f>
        <v>0</v>
      </c>
      <c r="U534" s="679">
        <f t="shared" ref="U534:U542" si="334">IF(R534&gt;0,S534*100/R534,0)</f>
        <v>0</v>
      </c>
    </row>
    <row r="535" spans="1:21" ht="18.75" hidden="1" x14ac:dyDescent="0.25">
      <c r="A535" s="674"/>
      <c r="B535" s="718"/>
      <c r="C535" s="561"/>
      <c r="D535" s="561"/>
      <c r="E535" s="569" t="s">
        <v>20</v>
      </c>
      <c r="F535" s="561"/>
      <c r="G535" s="563"/>
      <c r="H535" s="680" t="s">
        <v>14</v>
      </c>
      <c r="I535" s="565"/>
      <c r="J535" s="565"/>
      <c r="K535" s="566"/>
      <c r="L535" s="571">
        <f t="shared" ref="L535:N536" si="335">L538+L541</f>
        <v>0</v>
      </c>
      <c r="M535" s="572">
        <f t="shared" si="335"/>
        <v>0</v>
      </c>
      <c r="N535" s="572">
        <f t="shared" si="335"/>
        <v>0</v>
      </c>
      <c r="O535" s="572">
        <f t="shared" si="330"/>
        <v>0</v>
      </c>
      <c r="P535" s="572">
        <f t="shared" si="331"/>
        <v>0</v>
      </c>
      <c r="Q535" s="572">
        <f t="shared" ref="Q535:S536" si="336">Q538+Q541</f>
        <v>0</v>
      </c>
      <c r="R535" s="572">
        <f t="shared" si="336"/>
        <v>0</v>
      </c>
      <c r="S535" s="572">
        <f t="shared" si="336"/>
        <v>0</v>
      </c>
      <c r="T535" s="572">
        <f t="shared" si="333"/>
        <v>0</v>
      </c>
      <c r="U535" s="572">
        <f t="shared" si="334"/>
        <v>0</v>
      </c>
    </row>
    <row r="536" spans="1:21" ht="18.75" hidden="1" x14ac:dyDescent="0.25">
      <c r="A536" s="674"/>
      <c r="B536" s="561"/>
      <c r="C536" s="718"/>
      <c r="D536" s="561"/>
      <c r="E536" s="765" t="s">
        <v>21</v>
      </c>
      <c r="F536" s="561"/>
      <c r="G536" s="563"/>
      <c r="H536" s="681" t="s">
        <v>14</v>
      </c>
      <c r="I536" s="565"/>
      <c r="J536" s="565"/>
      <c r="K536" s="566"/>
      <c r="L536" s="567">
        <f t="shared" ca="1" si="335"/>
        <v>0</v>
      </c>
      <c r="M536" s="568">
        <f t="shared" ca="1" si="335"/>
        <v>0</v>
      </c>
      <c r="N536" s="568">
        <f t="shared" ca="1" si="335"/>
        <v>0</v>
      </c>
      <c r="O536" s="568">
        <f t="shared" ca="1" si="330"/>
        <v>0</v>
      </c>
      <c r="P536" s="568">
        <f t="shared" ca="1" si="331"/>
        <v>0</v>
      </c>
      <c r="Q536" s="568">
        <f t="shared" si="336"/>
        <v>0</v>
      </c>
      <c r="R536" s="568">
        <f t="shared" si="336"/>
        <v>0</v>
      </c>
      <c r="S536" s="568">
        <f t="shared" si="336"/>
        <v>0</v>
      </c>
      <c r="T536" s="568">
        <f t="shared" si="333"/>
        <v>0</v>
      </c>
      <c r="U536" s="568">
        <f t="shared" si="334"/>
        <v>0</v>
      </c>
    </row>
    <row r="537" spans="1:21" ht="18.75" hidden="1" x14ac:dyDescent="0.25">
      <c r="A537" s="674"/>
      <c r="B537" s="561"/>
      <c r="C537" s="718"/>
      <c r="D537" s="562" t="s">
        <v>22</v>
      </c>
      <c r="E537" s="718"/>
      <c r="F537" s="561"/>
      <c r="G537" s="563"/>
      <c r="H537" s="682" t="s">
        <v>14</v>
      </c>
      <c r="I537" s="683"/>
      <c r="J537" s="683"/>
      <c r="K537" s="684"/>
      <c r="L537" s="567">
        <f t="shared" ref="L537:N537" ca="1" si="337">L538+L539</f>
        <v>0</v>
      </c>
      <c r="M537" s="568">
        <f t="shared" ca="1" si="337"/>
        <v>0</v>
      </c>
      <c r="N537" s="568">
        <f t="shared" ca="1" si="337"/>
        <v>0</v>
      </c>
      <c r="O537" s="568">
        <f t="shared" ca="1" si="330"/>
        <v>0</v>
      </c>
      <c r="P537" s="568">
        <f t="shared" ca="1" si="331"/>
        <v>0</v>
      </c>
      <c r="Q537" s="568">
        <f t="shared" ref="Q537:S537" si="338">Q538+Q539</f>
        <v>0</v>
      </c>
      <c r="R537" s="568">
        <f t="shared" si="338"/>
        <v>0</v>
      </c>
      <c r="S537" s="568">
        <f t="shared" si="338"/>
        <v>0</v>
      </c>
      <c r="T537" s="568">
        <f t="shared" si="333"/>
        <v>0</v>
      </c>
      <c r="U537" s="568">
        <f t="shared" si="334"/>
        <v>0</v>
      </c>
    </row>
    <row r="538" spans="1:21" ht="18.75" hidden="1" x14ac:dyDescent="0.25">
      <c r="A538" s="674"/>
      <c r="B538" s="561"/>
      <c r="C538" s="561"/>
      <c r="D538" s="561"/>
      <c r="E538" s="569" t="s">
        <v>36</v>
      </c>
      <c r="F538" s="561"/>
      <c r="G538" s="563"/>
      <c r="H538" s="685" t="s">
        <v>14</v>
      </c>
      <c r="I538" s="683"/>
      <c r="J538" s="683"/>
      <c r="K538" s="684"/>
      <c r="L538" s="571">
        <v>0</v>
      </c>
      <c r="M538" s="572">
        <v>0</v>
      </c>
      <c r="N538" s="572">
        <v>0</v>
      </c>
      <c r="O538" s="572">
        <f t="shared" si="330"/>
        <v>0</v>
      </c>
      <c r="P538" s="572">
        <f t="shared" si="331"/>
        <v>0</v>
      </c>
      <c r="Q538" s="572">
        <v>0</v>
      </c>
      <c r="R538" s="572">
        <v>0</v>
      </c>
      <c r="S538" s="572">
        <v>0</v>
      </c>
      <c r="T538" s="572">
        <f t="shared" si="333"/>
        <v>0</v>
      </c>
      <c r="U538" s="572">
        <f t="shared" si="334"/>
        <v>0</v>
      </c>
    </row>
    <row r="539" spans="1:21" ht="18.75" hidden="1" x14ac:dyDescent="0.25">
      <c r="A539" s="674"/>
      <c r="B539" s="561"/>
      <c r="C539" s="561"/>
      <c r="D539" s="561"/>
      <c r="E539" s="573" t="s">
        <v>37</v>
      </c>
      <c r="F539" s="561"/>
      <c r="G539" s="563"/>
      <c r="H539" s="682" t="s">
        <v>14</v>
      </c>
      <c r="I539" s="683"/>
      <c r="J539" s="683"/>
      <c r="K539" s="684"/>
      <c r="L539" s="567">
        <f ca="1">IFERROR(__xludf.DUMMYFUNCTION("IMPORTRANGE(""https://docs.google.com/spreadsheets/d/1-uDff_7J0KD5mKrp0Vvzr7lt3OU09vwQwhkpOPPYv2Y/edit?usp=sharing"",""งบพรบ!FW14"")"),0)</f>
        <v>0</v>
      </c>
      <c r="M539" s="568">
        <f ca="1">IFERROR(__xludf.DUMMYFUNCTION("IMPORTRANGE(""https://docs.google.com/spreadsheets/d/1-uDff_7J0KD5mKrp0Vvzr7lt3OU09vwQwhkpOPPYv2Y/edit?usp=sharing"",""งบพรบ!GB14"")"),0)</f>
        <v>0</v>
      </c>
      <c r="N539" s="568">
        <f ca="1">IFERROR(__xludf.DUMMYFUNCTION("IMPORTRANGE(""https://docs.google.com/spreadsheets/d/1-uDff_7J0KD5mKrp0Vvzr7lt3OU09vwQwhkpOPPYv2Y/edit?usp=sharing"",""งบพรบ!GD14"")"),0)</f>
        <v>0</v>
      </c>
      <c r="O539" s="568">
        <f t="shared" ca="1" si="330"/>
        <v>0</v>
      </c>
      <c r="P539" s="568">
        <f t="shared" ca="1" si="331"/>
        <v>0</v>
      </c>
      <c r="Q539" s="568">
        <v>0</v>
      </c>
      <c r="R539" s="568">
        <v>0</v>
      </c>
      <c r="S539" s="568">
        <v>0</v>
      </c>
      <c r="T539" s="568">
        <f t="shared" si="333"/>
        <v>0</v>
      </c>
      <c r="U539" s="568">
        <f t="shared" si="334"/>
        <v>0</v>
      </c>
    </row>
    <row r="540" spans="1:21" ht="18.75" hidden="1" x14ac:dyDescent="0.25">
      <c r="A540" s="674"/>
      <c r="B540" s="561"/>
      <c r="C540" s="561"/>
      <c r="D540" s="562" t="s">
        <v>23</v>
      </c>
      <c r="E540" s="561"/>
      <c r="F540" s="561"/>
      <c r="G540" s="563"/>
      <c r="H540" s="686" t="s">
        <v>14</v>
      </c>
      <c r="I540" s="683"/>
      <c r="J540" s="683"/>
      <c r="K540" s="684"/>
      <c r="L540" s="567">
        <f t="shared" ref="L540:N540" ca="1" si="339">L541+L542</f>
        <v>0</v>
      </c>
      <c r="M540" s="568">
        <f t="shared" ca="1" si="339"/>
        <v>0</v>
      </c>
      <c r="N540" s="568">
        <f t="shared" ca="1" si="339"/>
        <v>0</v>
      </c>
      <c r="O540" s="568">
        <f t="shared" ca="1" si="330"/>
        <v>0</v>
      </c>
      <c r="P540" s="568">
        <f t="shared" ca="1" si="331"/>
        <v>0</v>
      </c>
      <c r="Q540" s="568">
        <f t="shared" ref="Q540:S540" si="340">Q541+Q542</f>
        <v>0</v>
      </c>
      <c r="R540" s="568">
        <f t="shared" si="340"/>
        <v>0</v>
      </c>
      <c r="S540" s="568">
        <f t="shared" si="340"/>
        <v>0</v>
      </c>
      <c r="T540" s="568">
        <f t="shared" si="333"/>
        <v>0</v>
      </c>
      <c r="U540" s="568">
        <f t="shared" si="334"/>
        <v>0</v>
      </c>
    </row>
    <row r="541" spans="1:21" ht="18.75" hidden="1" x14ac:dyDescent="0.25">
      <c r="A541" s="674"/>
      <c r="B541" s="561"/>
      <c r="C541" s="561"/>
      <c r="D541" s="561"/>
      <c r="E541" s="569" t="s">
        <v>20</v>
      </c>
      <c r="F541" s="561"/>
      <c r="G541" s="563"/>
      <c r="H541" s="685" t="s">
        <v>14</v>
      </c>
      <c r="I541" s="683"/>
      <c r="J541" s="683"/>
      <c r="K541" s="684"/>
      <c r="L541" s="571">
        <v>0</v>
      </c>
      <c r="M541" s="572">
        <v>0</v>
      </c>
      <c r="N541" s="572">
        <v>0</v>
      </c>
      <c r="O541" s="572">
        <f t="shared" si="330"/>
        <v>0</v>
      </c>
      <c r="P541" s="572">
        <f t="shared" si="331"/>
        <v>0</v>
      </c>
      <c r="Q541" s="572">
        <v>0</v>
      </c>
      <c r="R541" s="572">
        <v>0</v>
      </c>
      <c r="S541" s="572">
        <v>0</v>
      </c>
      <c r="T541" s="572">
        <f t="shared" si="333"/>
        <v>0</v>
      </c>
      <c r="U541" s="572">
        <f t="shared" si="334"/>
        <v>0</v>
      </c>
    </row>
    <row r="542" spans="1:21" ht="18.75" hidden="1" x14ac:dyDescent="0.25">
      <c r="A542" s="674"/>
      <c r="B542" s="561"/>
      <c r="C542" s="561"/>
      <c r="D542" s="561"/>
      <c r="E542" s="573" t="s">
        <v>21</v>
      </c>
      <c r="F542" s="561"/>
      <c r="G542" s="563"/>
      <c r="H542" s="686" t="s">
        <v>14</v>
      </c>
      <c r="I542" s="683"/>
      <c r="J542" s="683"/>
      <c r="K542" s="684"/>
      <c r="L542" s="567">
        <f ca="1">IFERROR(__xludf.DUMMYFUNCTION("IMPORTRANGE(""https://docs.google.com/spreadsheets/d/1-uDff_7J0KD5mKrp0Vvzr7lt3OU09vwQwhkpOPPYv2Y/edit?usp=sharing"",""งบพรบ!FZ14"")"),0)</f>
        <v>0</v>
      </c>
      <c r="M542" s="568">
        <f ca="1">IFERROR(__xludf.DUMMYFUNCTION("IMPORTRANGE(""https://docs.google.com/spreadsheets/d/1-uDff_7J0KD5mKrp0Vvzr7lt3OU09vwQwhkpOPPYv2Y/edit?usp=sharing"",""งบพรบ!GC14"")"),0)</f>
        <v>0</v>
      </c>
      <c r="N542" s="568">
        <f ca="1">IFERROR(__xludf.DUMMYFUNCTION("IMPORTRANGE(""https://docs.google.com/spreadsheets/d/1-uDff_7J0KD5mKrp0Vvzr7lt3OU09vwQwhkpOPPYv2Y/edit?usp=sharing"",""งบพรบ!GE14"")"),0)</f>
        <v>0</v>
      </c>
      <c r="O542" s="568">
        <f t="shared" ca="1" si="330"/>
        <v>0</v>
      </c>
      <c r="P542" s="568">
        <f t="shared" ca="1" si="331"/>
        <v>0</v>
      </c>
      <c r="Q542" s="568">
        <v>0</v>
      </c>
      <c r="R542" s="568">
        <v>0</v>
      </c>
      <c r="S542" s="568">
        <v>0</v>
      </c>
      <c r="T542" s="568">
        <f t="shared" si="333"/>
        <v>0</v>
      </c>
      <c r="U542" s="568">
        <f t="shared" si="334"/>
        <v>0</v>
      </c>
    </row>
    <row r="543" spans="1:21" ht="19.5" hidden="1" x14ac:dyDescent="0.3">
      <c r="A543" s="687"/>
      <c r="B543" s="688"/>
      <c r="C543" s="1034" t="s">
        <v>18</v>
      </c>
      <c r="D543" s="689" t="s">
        <v>38</v>
      </c>
      <c r="E543" s="690"/>
      <c r="F543" s="690"/>
      <c r="G543" s="691"/>
      <c r="H543" s="692"/>
      <c r="I543" s="683"/>
      <c r="J543" s="565"/>
      <c r="K543" s="566"/>
      <c r="L543" s="574"/>
      <c r="M543" s="566"/>
      <c r="N543" s="566"/>
      <c r="O543" s="684"/>
      <c r="P543" s="684"/>
      <c r="Q543" s="566"/>
      <c r="R543" s="566"/>
      <c r="S543" s="566"/>
      <c r="T543" s="684"/>
      <c r="U543" s="684"/>
    </row>
    <row r="544" spans="1:21" ht="12.75" hidden="1" x14ac:dyDescent="0.2">
      <c r="A544" s="973"/>
      <c r="B544" s="974"/>
      <c r="C544" s="961"/>
      <c r="D544" s="974"/>
      <c r="E544" s="961"/>
      <c r="F544" s="974"/>
      <c r="G544" s="975"/>
      <c r="H544" s="975"/>
      <c r="I544" s="963"/>
      <c r="J544" s="963"/>
      <c r="K544" s="964"/>
      <c r="L544" s="965"/>
      <c r="M544" s="964"/>
      <c r="N544" s="964"/>
      <c r="O544" s="964"/>
      <c r="P544" s="964"/>
      <c r="Q544" s="964"/>
      <c r="R544" s="964"/>
      <c r="S544" s="964"/>
      <c r="T544" s="964"/>
      <c r="U544" s="964"/>
    </row>
    <row r="545" spans="1:21" ht="12.75" hidden="1" x14ac:dyDescent="0.2">
      <c r="A545" s="973"/>
      <c r="B545" s="974"/>
      <c r="C545" s="961"/>
      <c r="D545" s="974"/>
      <c r="E545" s="961"/>
      <c r="F545" s="974"/>
      <c r="G545" s="975"/>
      <c r="H545" s="975"/>
      <c r="I545" s="963"/>
      <c r="J545" s="963"/>
      <c r="K545" s="964"/>
      <c r="L545" s="965"/>
      <c r="M545" s="964"/>
      <c r="N545" s="964"/>
      <c r="O545" s="964"/>
      <c r="P545" s="964"/>
      <c r="Q545" s="964"/>
      <c r="R545" s="964"/>
      <c r="S545" s="964"/>
      <c r="T545" s="964"/>
      <c r="U545" s="964"/>
    </row>
    <row r="546" spans="1:21" ht="12.75" hidden="1" x14ac:dyDescent="0.2">
      <c r="A546" s="973"/>
      <c r="B546" s="961"/>
      <c r="C546" s="961"/>
      <c r="D546" s="974"/>
      <c r="E546" s="974"/>
      <c r="F546" s="974"/>
      <c r="G546" s="975"/>
      <c r="H546" s="962"/>
      <c r="I546" s="963"/>
      <c r="J546" s="963"/>
      <c r="K546" s="964"/>
      <c r="L546" s="965"/>
      <c r="M546" s="964"/>
      <c r="N546" s="964"/>
      <c r="O546" s="964"/>
      <c r="P546" s="964"/>
      <c r="Q546" s="964"/>
      <c r="R546" s="964"/>
      <c r="S546" s="964"/>
      <c r="T546" s="964"/>
      <c r="U546" s="964"/>
    </row>
    <row r="547" spans="1:21" ht="12.75" hidden="1" x14ac:dyDescent="0.2">
      <c r="A547" s="973"/>
      <c r="B547" s="961"/>
      <c r="C547" s="961"/>
      <c r="D547" s="974"/>
      <c r="E547" s="974"/>
      <c r="F547" s="974"/>
      <c r="G547" s="975"/>
      <c r="H547" s="962"/>
      <c r="I547" s="963"/>
      <c r="J547" s="963"/>
      <c r="K547" s="964"/>
      <c r="L547" s="965"/>
      <c r="M547" s="964"/>
      <c r="N547" s="964"/>
      <c r="O547" s="964"/>
      <c r="P547" s="964"/>
      <c r="Q547" s="964"/>
      <c r="R547" s="964"/>
      <c r="S547" s="964"/>
      <c r="T547" s="964"/>
      <c r="U547" s="964"/>
    </row>
    <row r="548" spans="1:21" ht="12.75" hidden="1" x14ac:dyDescent="0.2">
      <c r="A548" s="973"/>
      <c r="B548" s="961"/>
      <c r="C548" s="961"/>
      <c r="D548" s="974"/>
      <c r="E548" s="974"/>
      <c r="F548" s="974"/>
      <c r="G548" s="975"/>
      <c r="H548" s="962"/>
      <c r="I548" s="963"/>
      <c r="J548" s="963"/>
      <c r="K548" s="964"/>
      <c r="L548" s="965"/>
      <c r="M548" s="964"/>
      <c r="N548" s="964"/>
      <c r="O548" s="964"/>
      <c r="P548" s="964"/>
      <c r="Q548" s="964"/>
      <c r="R548" s="964"/>
      <c r="S548" s="964"/>
      <c r="T548" s="964"/>
      <c r="U548" s="964"/>
    </row>
    <row r="549" spans="1:21" ht="12.75" hidden="1" x14ac:dyDescent="0.2">
      <c r="A549" s="973"/>
      <c r="B549" s="961"/>
      <c r="C549" s="961"/>
      <c r="D549" s="974"/>
      <c r="E549" s="974"/>
      <c r="F549" s="974"/>
      <c r="G549" s="975"/>
      <c r="H549" s="962"/>
      <c r="I549" s="963"/>
      <c r="J549" s="963"/>
      <c r="K549" s="964"/>
      <c r="L549" s="965"/>
      <c r="M549" s="964"/>
      <c r="N549" s="964"/>
      <c r="O549" s="964"/>
      <c r="P549" s="964"/>
      <c r="Q549" s="964"/>
      <c r="R549" s="964"/>
      <c r="S549" s="964"/>
      <c r="T549" s="964"/>
      <c r="U549" s="964"/>
    </row>
    <row r="550" spans="1:21" ht="12.75" hidden="1" x14ac:dyDescent="0.2">
      <c r="A550" s="973"/>
      <c r="B550" s="961"/>
      <c r="C550" s="961"/>
      <c r="D550" s="974"/>
      <c r="E550" s="974"/>
      <c r="F550" s="974"/>
      <c r="G550" s="975"/>
      <c r="H550" s="962"/>
      <c r="I550" s="963"/>
      <c r="J550" s="963"/>
      <c r="K550" s="964"/>
      <c r="L550" s="965"/>
      <c r="M550" s="964"/>
      <c r="N550" s="964"/>
      <c r="O550" s="964"/>
      <c r="P550" s="964"/>
      <c r="Q550" s="964"/>
      <c r="R550" s="964"/>
      <c r="S550" s="964"/>
      <c r="T550" s="964"/>
      <c r="U550" s="964"/>
    </row>
    <row r="551" spans="1:21" ht="12.75" hidden="1" x14ac:dyDescent="0.2">
      <c r="A551" s="973"/>
      <c r="B551" s="961"/>
      <c r="C551" s="961"/>
      <c r="D551" s="974"/>
      <c r="E551" s="974"/>
      <c r="F551" s="974"/>
      <c r="G551" s="975"/>
      <c r="H551" s="962"/>
      <c r="I551" s="963"/>
      <c r="J551" s="963"/>
      <c r="K551" s="964"/>
      <c r="L551" s="965"/>
      <c r="M551" s="964"/>
      <c r="N551" s="964"/>
      <c r="O551" s="964"/>
      <c r="P551" s="964"/>
      <c r="Q551" s="964"/>
      <c r="R551" s="964"/>
      <c r="S551" s="964"/>
      <c r="T551" s="964"/>
      <c r="U551" s="964"/>
    </row>
    <row r="552" spans="1:21" ht="12.75" hidden="1" x14ac:dyDescent="0.2">
      <c r="A552" s="973"/>
      <c r="B552" s="961"/>
      <c r="C552" s="961"/>
      <c r="D552" s="974"/>
      <c r="E552" s="974"/>
      <c r="F552" s="974"/>
      <c r="G552" s="975"/>
      <c r="H552" s="962"/>
      <c r="I552" s="963"/>
      <c r="J552" s="963"/>
      <c r="K552" s="964"/>
      <c r="L552" s="965"/>
      <c r="M552" s="964"/>
      <c r="N552" s="964"/>
      <c r="O552" s="964"/>
      <c r="P552" s="964"/>
      <c r="Q552" s="964"/>
      <c r="R552" s="964"/>
      <c r="S552" s="964"/>
      <c r="T552" s="964"/>
      <c r="U552" s="964"/>
    </row>
    <row r="553" spans="1:21" ht="12.75" hidden="1" x14ac:dyDescent="0.2">
      <c r="A553" s="1027"/>
      <c r="B553" s="966"/>
      <c r="C553" s="966"/>
      <c r="D553" s="1028"/>
      <c r="E553" s="1028"/>
      <c r="F553" s="1028"/>
      <c r="G553" s="1029"/>
      <c r="H553" s="967"/>
      <c r="I553" s="968"/>
      <c r="J553" s="968"/>
      <c r="K553" s="969"/>
      <c r="L553" s="970"/>
      <c r="M553" s="969"/>
      <c r="N553" s="969"/>
      <c r="O553" s="969"/>
      <c r="P553" s="969"/>
      <c r="Q553" s="969"/>
      <c r="R553" s="969"/>
      <c r="S553" s="969"/>
      <c r="T553" s="969"/>
      <c r="U553" s="969"/>
    </row>
    <row r="554" spans="1:21" ht="19.5" hidden="1" x14ac:dyDescent="0.3">
      <c r="A554" s="1006"/>
      <c r="B554" s="1030" t="s">
        <v>211</v>
      </c>
      <c r="C554" s="1008"/>
      <c r="D554" s="1009"/>
      <c r="E554" s="1009"/>
      <c r="F554" s="1009"/>
      <c r="G554" s="1010"/>
      <c r="H554" s="1031" t="s">
        <v>61</v>
      </c>
      <c r="I554" s="1032">
        <f t="shared" ref="I554:J554" si="341">I566</f>
        <v>0</v>
      </c>
      <c r="J554" s="1032">
        <f t="shared" si="341"/>
        <v>0</v>
      </c>
      <c r="K554" s="1033">
        <f>IF(I554&gt;0,J554*100/I554,0)</f>
        <v>0</v>
      </c>
      <c r="L554" s="1014"/>
      <c r="M554" s="1015"/>
      <c r="N554" s="1015"/>
      <c r="O554" s="1015"/>
      <c r="P554" s="1015"/>
      <c r="Q554" s="1015"/>
      <c r="R554" s="1015"/>
      <c r="S554" s="1015"/>
      <c r="T554" s="1015"/>
      <c r="U554" s="1015"/>
    </row>
    <row r="555" spans="1:21" ht="19.5" hidden="1" x14ac:dyDescent="0.3">
      <c r="A555" s="674"/>
      <c r="B555" s="561"/>
      <c r="C555" s="675" t="s">
        <v>18</v>
      </c>
      <c r="D555" s="676" t="s">
        <v>19</v>
      </c>
      <c r="E555" s="561"/>
      <c r="F555" s="561"/>
      <c r="G555" s="563"/>
      <c r="H555" s="677" t="s">
        <v>14</v>
      </c>
      <c r="I555" s="565"/>
      <c r="J555" s="565"/>
      <c r="K555" s="566"/>
      <c r="L555" s="678">
        <f t="shared" ref="L555:N555" ca="1" si="342">L556+L557</f>
        <v>0</v>
      </c>
      <c r="M555" s="679">
        <f t="shared" ca="1" si="342"/>
        <v>0</v>
      </c>
      <c r="N555" s="679">
        <f t="shared" ca="1" si="342"/>
        <v>0</v>
      </c>
      <c r="O555" s="679">
        <f t="shared" ref="O555:O563" ca="1" si="343">IF(L555&gt;0,N555*100/L555,0)</f>
        <v>0</v>
      </c>
      <c r="P555" s="679">
        <f t="shared" ref="P555:P563" ca="1" si="344">IF(M555&gt;0,N555*100/M555,0)</f>
        <v>0</v>
      </c>
      <c r="Q555" s="679">
        <f t="shared" ref="Q555:S555" si="345">Q556+Q557</f>
        <v>0</v>
      </c>
      <c r="R555" s="679">
        <f t="shared" si="345"/>
        <v>0</v>
      </c>
      <c r="S555" s="679">
        <f t="shared" si="345"/>
        <v>0</v>
      </c>
      <c r="T555" s="679">
        <f t="shared" ref="T555:T563" si="346">IF(Q555&gt;0,S555*100/Q555,0)</f>
        <v>0</v>
      </c>
      <c r="U555" s="679">
        <f t="shared" ref="U555:U563" si="347">IF(R555&gt;0,S555*100/R555,0)</f>
        <v>0</v>
      </c>
    </row>
    <row r="556" spans="1:21" ht="18.75" hidden="1" x14ac:dyDescent="0.25">
      <c r="A556" s="674"/>
      <c r="B556" s="718"/>
      <c r="C556" s="561"/>
      <c r="D556" s="561"/>
      <c r="E556" s="569" t="s">
        <v>20</v>
      </c>
      <c r="F556" s="561"/>
      <c r="G556" s="563"/>
      <c r="H556" s="680" t="s">
        <v>14</v>
      </c>
      <c r="I556" s="565"/>
      <c r="J556" s="565"/>
      <c r="K556" s="566"/>
      <c r="L556" s="571">
        <f t="shared" ref="L556:N557" si="348">L559+L562</f>
        <v>0</v>
      </c>
      <c r="M556" s="572">
        <f t="shared" si="348"/>
        <v>0</v>
      </c>
      <c r="N556" s="572">
        <f t="shared" si="348"/>
        <v>0</v>
      </c>
      <c r="O556" s="572">
        <f t="shared" si="343"/>
        <v>0</v>
      </c>
      <c r="P556" s="572">
        <f t="shared" si="344"/>
        <v>0</v>
      </c>
      <c r="Q556" s="572">
        <f t="shared" ref="Q556:S557" si="349">Q559+Q562</f>
        <v>0</v>
      </c>
      <c r="R556" s="572">
        <f t="shared" si="349"/>
        <v>0</v>
      </c>
      <c r="S556" s="572">
        <f t="shared" si="349"/>
        <v>0</v>
      </c>
      <c r="T556" s="572">
        <f t="shared" si="346"/>
        <v>0</v>
      </c>
      <c r="U556" s="572">
        <f t="shared" si="347"/>
        <v>0</v>
      </c>
    </row>
    <row r="557" spans="1:21" ht="18.75" hidden="1" x14ac:dyDescent="0.25">
      <c r="A557" s="674"/>
      <c r="B557" s="561"/>
      <c r="C557" s="718"/>
      <c r="D557" s="561"/>
      <c r="E557" s="765" t="s">
        <v>21</v>
      </c>
      <c r="F557" s="561"/>
      <c r="G557" s="563"/>
      <c r="H557" s="681" t="s">
        <v>14</v>
      </c>
      <c r="I557" s="565"/>
      <c r="J557" s="565"/>
      <c r="K557" s="566"/>
      <c r="L557" s="567">
        <f t="shared" ca="1" si="348"/>
        <v>0</v>
      </c>
      <c r="M557" s="568">
        <f t="shared" ca="1" si="348"/>
        <v>0</v>
      </c>
      <c r="N557" s="568">
        <f t="shared" ca="1" si="348"/>
        <v>0</v>
      </c>
      <c r="O557" s="568">
        <f t="shared" ca="1" si="343"/>
        <v>0</v>
      </c>
      <c r="P557" s="568">
        <f t="shared" ca="1" si="344"/>
        <v>0</v>
      </c>
      <c r="Q557" s="568">
        <f t="shared" si="349"/>
        <v>0</v>
      </c>
      <c r="R557" s="568">
        <f t="shared" si="349"/>
        <v>0</v>
      </c>
      <c r="S557" s="568">
        <f t="shared" si="349"/>
        <v>0</v>
      </c>
      <c r="T557" s="568">
        <f t="shared" si="346"/>
        <v>0</v>
      </c>
      <c r="U557" s="568">
        <f t="shared" si="347"/>
        <v>0</v>
      </c>
    </row>
    <row r="558" spans="1:21" ht="18.75" hidden="1" x14ac:dyDescent="0.25">
      <c r="A558" s="674"/>
      <c r="B558" s="561"/>
      <c r="C558" s="718"/>
      <c r="D558" s="562" t="s">
        <v>22</v>
      </c>
      <c r="E558" s="718"/>
      <c r="F558" s="561"/>
      <c r="G558" s="563"/>
      <c r="H558" s="682" t="s">
        <v>14</v>
      </c>
      <c r="I558" s="683"/>
      <c r="J558" s="683"/>
      <c r="K558" s="684"/>
      <c r="L558" s="567">
        <f t="shared" ref="L558:N558" ca="1" si="350">L559+L560</f>
        <v>0</v>
      </c>
      <c r="M558" s="568">
        <f t="shared" ca="1" si="350"/>
        <v>0</v>
      </c>
      <c r="N558" s="568">
        <f t="shared" ca="1" si="350"/>
        <v>0</v>
      </c>
      <c r="O558" s="568">
        <f t="shared" ca="1" si="343"/>
        <v>0</v>
      </c>
      <c r="P558" s="568">
        <f t="shared" ca="1" si="344"/>
        <v>0</v>
      </c>
      <c r="Q558" s="568">
        <f t="shared" ref="Q558:S558" si="351">Q559+Q560</f>
        <v>0</v>
      </c>
      <c r="R558" s="568">
        <f t="shared" si="351"/>
        <v>0</v>
      </c>
      <c r="S558" s="568">
        <f t="shared" si="351"/>
        <v>0</v>
      </c>
      <c r="T558" s="568">
        <f t="shared" si="346"/>
        <v>0</v>
      </c>
      <c r="U558" s="568">
        <f t="shared" si="347"/>
        <v>0</v>
      </c>
    </row>
    <row r="559" spans="1:21" ht="18.75" hidden="1" x14ac:dyDescent="0.25">
      <c r="A559" s="674"/>
      <c r="B559" s="561"/>
      <c r="C559" s="561"/>
      <c r="D559" s="561"/>
      <c r="E559" s="569" t="s">
        <v>36</v>
      </c>
      <c r="F559" s="561"/>
      <c r="G559" s="563"/>
      <c r="H559" s="685" t="s">
        <v>14</v>
      </c>
      <c r="I559" s="683"/>
      <c r="J559" s="683"/>
      <c r="K559" s="684"/>
      <c r="L559" s="571">
        <v>0</v>
      </c>
      <c r="M559" s="572">
        <v>0</v>
      </c>
      <c r="N559" s="572">
        <v>0</v>
      </c>
      <c r="O559" s="572">
        <f t="shared" si="343"/>
        <v>0</v>
      </c>
      <c r="P559" s="572">
        <f t="shared" si="344"/>
        <v>0</v>
      </c>
      <c r="Q559" s="572">
        <v>0</v>
      </c>
      <c r="R559" s="572">
        <v>0</v>
      </c>
      <c r="S559" s="572">
        <v>0</v>
      </c>
      <c r="T559" s="572">
        <f t="shared" si="346"/>
        <v>0</v>
      </c>
      <c r="U559" s="572">
        <f t="shared" si="347"/>
        <v>0</v>
      </c>
    </row>
    <row r="560" spans="1:21" ht="18.75" hidden="1" x14ac:dyDescent="0.25">
      <c r="A560" s="674"/>
      <c r="B560" s="561"/>
      <c r="C560" s="561"/>
      <c r="D560" s="561"/>
      <c r="E560" s="573" t="s">
        <v>37</v>
      </c>
      <c r="F560" s="561"/>
      <c r="G560" s="563"/>
      <c r="H560" s="682" t="s">
        <v>14</v>
      </c>
      <c r="I560" s="683"/>
      <c r="J560" s="683"/>
      <c r="K560" s="684"/>
      <c r="L560" s="567">
        <f ca="1">IFERROR(__xludf.DUMMYFUNCTION("IMPORTRANGE(""https://docs.google.com/spreadsheets/d/1-uDff_7J0KD5mKrp0Vvzr7lt3OU09vwQwhkpOPPYv2Y/edit?usp=sharing"",""งบพรบ!GG14"")"),0)</f>
        <v>0</v>
      </c>
      <c r="M560" s="568">
        <f ca="1">IFERROR(__xludf.DUMMYFUNCTION("IMPORTRANGE(""https://docs.google.com/spreadsheets/d/1-uDff_7J0KD5mKrp0Vvzr7lt3OU09vwQwhkpOPPYv2Y/edit?usp=sharing"",""งบพรบ!GL14"")"),0)</f>
        <v>0</v>
      </c>
      <c r="N560" s="568">
        <f ca="1">IFERROR(__xludf.DUMMYFUNCTION("IMPORTRANGE(""https://docs.google.com/spreadsheets/d/1-uDff_7J0KD5mKrp0Vvzr7lt3OU09vwQwhkpOPPYv2Y/edit?usp=sharing"",""งบพรบ!GN14"")"),0)</f>
        <v>0</v>
      </c>
      <c r="O560" s="568">
        <f t="shared" ca="1" si="343"/>
        <v>0</v>
      </c>
      <c r="P560" s="568">
        <f t="shared" ca="1" si="344"/>
        <v>0</v>
      </c>
      <c r="Q560" s="568">
        <v>0</v>
      </c>
      <c r="R560" s="568">
        <v>0</v>
      </c>
      <c r="S560" s="568">
        <v>0</v>
      </c>
      <c r="T560" s="568">
        <f t="shared" si="346"/>
        <v>0</v>
      </c>
      <c r="U560" s="568">
        <f t="shared" si="347"/>
        <v>0</v>
      </c>
    </row>
    <row r="561" spans="1:21" ht="18.75" hidden="1" x14ac:dyDescent="0.25">
      <c r="A561" s="674"/>
      <c r="B561" s="561"/>
      <c r="C561" s="561"/>
      <c r="D561" s="562" t="s">
        <v>23</v>
      </c>
      <c r="E561" s="561"/>
      <c r="F561" s="561"/>
      <c r="G561" s="563"/>
      <c r="H561" s="686" t="s">
        <v>14</v>
      </c>
      <c r="I561" s="683"/>
      <c r="J561" s="683"/>
      <c r="K561" s="684"/>
      <c r="L561" s="567">
        <f t="shared" ref="L561:N561" ca="1" si="352">L562+L563</f>
        <v>0</v>
      </c>
      <c r="M561" s="568">
        <f t="shared" ca="1" si="352"/>
        <v>0</v>
      </c>
      <c r="N561" s="568">
        <f t="shared" ca="1" si="352"/>
        <v>0</v>
      </c>
      <c r="O561" s="568">
        <f t="shared" ca="1" si="343"/>
        <v>0</v>
      </c>
      <c r="P561" s="568">
        <f t="shared" ca="1" si="344"/>
        <v>0</v>
      </c>
      <c r="Q561" s="568">
        <f t="shared" ref="Q561:S561" si="353">Q562+Q563</f>
        <v>0</v>
      </c>
      <c r="R561" s="568">
        <f t="shared" si="353"/>
        <v>0</v>
      </c>
      <c r="S561" s="568">
        <f t="shared" si="353"/>
        <v>0</v>
      </c>
      <c r="T561" s="568">
        <f t="shared" si="346"/>
        <v>0</v>
      </c>
      <c r="U561" s="568">
        <f t="shared" si="347"/>
        <v>0</v>
      </c>
    </row>
    <row r="562" spans="1:21" ht="18.75" hidden="1" x14ac:dyDescent="0.25">
      <c r="A562" s="674"/>
      <c r="B562" s="561"/>
      <c r="C562" s="561"/>
      <c r="D562" s="561"/>
      <c r="E562" s="569" t="s">
        <v>20</v>
      </c>
      <c r="F562" s="561"/>
      <c r="G562" s="563"/>
      <c r="H562" s="685" t="s">
        <v>14</v>
      </c>
      <c r="I562" s="683"/>
      <c r="J562" s="683"/>
      <c r="K562" s="684"/>
      <c r="L562" s="571">
        <v>0</v>
      </c>
      <c r="M562" s="572">
        <v>0</v>
      </c>
      <c r="N562" s="572">
        <v>0</v>
      </c>
      <c r="O562" s="572">
        <f t="shared" si="343"/>
        <v>0</v>
      </c>
      <c r="P562" s="572">
        <f t="shared" si="344"/>
        <v>0</v>
      </c>
      <c r="Q562" s="572">
        <v>0</v>
      </c>
      <c r="R562" s="572">
        <v>0</v>
      </c>
      <c r="S562" s="572">
        <v>0</v>
      </c>
      <c r="T562" s="572">
        <f t="shared" si="346"/>
        <v>0</v>
      </c>
      <c r="U562" s="572">
        <f t="shared" si="347"/>
        <v>0</v>
      </c>
    </row>
    <row r="563" spans="1:21" ht="18.75" hidden="1" x14ac:dyDescent="0.25">
      <c r="A563" s="674"/>
      <c r="B563" s="561"/>
      <c r="C563" s="561"/>
      <c r="D563" s="561"/>
      <c r="E563" s="573" t="s">
        <v>21</v>
      </c>
      <c r="F563" s="561"/>
      <c r="G563" s="563"/>
      <c r="H563" s="686" t="s">
        <v>14</v>
      </c>
      <c r="I563" s="683"/>
      <c r="J563" s="683"/>
      <c r="K563" s="684"/>
      <c r="L563" s="567">
        <f ca="1">IFERROR(__xludf.DUMMYFUNCTION("IMPORTRANGE(""https://docs.google.com/spreadsheets/d/1-uDff_7J0KD5mKrp0Vvzr7lt3OU09vwQwhkpOPPYv2Y/edit?usp=sharing"",""งบพรบ!GJ14"")"),0)</f>
        <v>0</v>
      </c>
      <c r="M563" s="568">
        <f ca="1">IFERROR(__xludf.DUMMYFUNCTION("IMPORTRANGE(""https://docs.google.com/spreadsheets/d/1-uDff_7J0KD5mKrp0Vvzr7lt3OU09vwQwhkpOPPYv2Y/edit?usp=sharing"",""งบพรบ!GM14"")"),0)</f>
        <v>0</v>
      </c>
      <c r="N563" s="568">
        <f ca="1">IFERROR(__xludf.DUMMYFUNCTION("IMPORTRANGE(""https://docs.google.com/spreadsheets/d/1-uDff_7J0KD5mKrp0Vvzr7lt3OU09vwQwhkpOPPYv2Y/edit?usp=sharing"",""งบพรบ!GO14"")"),0)</f>
        <v>0</v>
      </c>
      <c r="O563" s="568">
        <f t="shared" ca="1" si="343"/>
        <v>0</v>
      </c>
      <c r="P563" s="568">
        <f t="shared" ca="1" si="344"/>
        <v>0</v>
      </c>
      <c r="Q563" s="568">
        <v>0</v>
      </c>
      <c r="R563" s="568">
        <v>0</v>
      </c>
      <c r="S563" s="568">
        <v>0</v>
      </c>
      <c r="T563" s="568">
        <f t="shared" si="346"/>
        <v>0</v>
      </c>
      <c r="U563" s="568">
        <f t="shared" si="347"/>
        <v>0</v>
      </c>
    </row>
    <row r="564" spans="1:21" ht="19.5" hidden="1" x14ac:dyDescent="0.3">
      <c r="A564" s="687"/>
      <c r="B564" s="688"/>
      <c r="C564" s="1034" t="s">
        <v>18</v>
      </c>
      <c r="D564" s="689" t="s">
        <v>38</v>
      </c>
      <c r="E564" s="690"/>
      <c r="F564" s="690"/>
      <c r="G564" s="691"/>
      <c r="H564" s="692"/>
      <c r="I564" s="683"/>
      <c r="J564" s="565"/>
      <c r="K564" s="566"/>
      <c r="L564" s="574"/>
      <c r="M564" s="566"/>
      <c r="N564" s="566"/>
      <c r="O564" s="684"/>
      <c r="P564" s="684"/>
      <c r="Q564" s="566"/>
      <c r="R564" s="566"/>
      <c r="S564" s="566"/>
      <c r="T564" s="684"/>
      <c r="U564" s="684"/>
    </row>
    <row r="565" spans="1:21" ht="12.75" hidden="1" x14ac:dyDescent="0.2">
      <c r="A565" s="973"/>
      <c r="B565" s="974"/>
      <c r="C565" s="961"/>
      <c r="D565" s="974"/>
      <c r="E565" s="961"/>
      <c r="F565" s="974"/>
      <c r="G565" s="975"/>
      <c r="H565" s="975"/>
      <c r="I565" s="963"/>
      <c r="J565" s="963"/>
      <c r="K565" s="964"/>
      <c r="L565" s="965"/>
      <c r="M565" s="964"/>
      <c r="N565" s="964"/>
      <c r="O565" s="964"/>
      <c r="P565" s="964"/>
      <c r="Q565" s="964"/>
      <c r="R565" s="964"/>
      <c r="S565" s="964"/>
      <c r="T565" s="964"/>
      <c r="U565" s="964"/>
    </row>
    <row r="566" spans="1:21" ht="12.75" hidden="1" x14ac:dyDescent="0.2">
      <c r="A566" s="973"/>
      <c r="B566" s="974"/>
      <c r="C566" s="961"/>
      <c r="D566" s="974"/>
      <c r="E566" s="961"/>
      <c r="F566" s="974"/>
      <c r="G566" s="975"/>
      <c r="H566" s="975"/>
      <c r="I566" s="963"/>
      <c r="J566" s="963"/>
      <c r="K566" s="964"/>
      <c r="L566" s="965"/>
      <c r="M566" s="964"/>
      <c r="N566" s="964"/>
      <c r="O566" s="964"/>
      <c r="P566" s="964"/>
      <c r="Q566" s="964"/>
      <c r="R566" s="964"/>
      <c r="S566" s="964"/>
      <c r="T566" s="964"/>
      <c r="U566" s="964"/>
    </row>
    <row r="567" spans="1:21" ht="12.75" hidden="1" x14ac:dyDescent="0.2">
      <c r="A567" s="973"/>
      <c r="B567" s="961"/>
      <c r="C567" s="961"/>
      <c r="D567" s="974"/>
      <c r="E567" s="974"/>
      <c r="F567" s="974"/>
      <c r="G567" s="975"/>
      <c r="H567" s="962"/>
      <c r="I567" s="963"/>
      <c r="J567" s="963"/>
      <c r="K567" s="964"/>
      <c r="L567" s="965"/>
      <c r="M567" s="964"/>
      <c r="N567" s="964"/>
      <c r="O567" s="964"/>
      <c r="P567" s="964"/>
      <c r="Q567" s="964"/>
      <c r="R567" s="964"/>
      <c r="S567" s="964"/>
      <c r="T567" s="964"/>
      <c r="U567" s="964"/>
    </row>
    <row r="568" spans="1:21" ht="12.75" hidden="1" x14ac:dyDescent="0.2">
      <c r="A568" s="973"/>
      <c r="B568" s="961"/>
      <c r="C568" s="961"/>
      <c r="D568" s="974"/>
      <c r="E568" s="974"/>
      <c r="F568" s="974"/>
      <c r="G568" s="975"/>
      <c r="H568" s="962"/>
      <c r="I568" s="963"/>
      <c r="J568" s="963"/>
      <c r="K568" s="964"/>
      <c r="L568" s="965"/>
      <c r="M568" s="964"/>
      <c r="N568" s="964"/>
      <c r="O568" s="964"/>
      <c r="P568" s="964"/>
      <c r="Q568" s="964"/>
      <c r="R568" s="964"/>
      <c r="S568" s="964"/>
      <c r="T568" s="964"/>
      <c r="U568" s="964"/>
    </row>
    <row r="569" spans="1:21" ht="12.75" hidden="1" x14ac:dyDescent="0.2">
      <c r="A569" s="973"/>
      <c r="B569" s="961"/>
      <c r="C569" s="961"/>
      <c r="D569" s="974"/>
      <c r="E569" s="974"/>
      <c r="F569" s="974"/>
      <c r="G569" s="975"/>
      <c r="H569" s="962"/>
      <c r="I569" s="963"/>
      <c r="J569" s="963"/>
      <c r="K569" s="964"/>
      <c r="L569" s="965"/>
      <c r="M569" s="964"/>
      <c r="N569" s="964"/>
      <c r="O569" s="964"/>
      <c r="P569" s="964"/>
      <c r="Q569" s="964"/>
      <c r="R569" s="964"/>
      <c r="S569" s="964"/>
      <c r="T569" s="964"/>
      <c r="U569" s="964"/>
    </row>
    <row r="570" spans="1:21" ht="12.75" hidden="1" x14ac:dyDescent="0.2">
      <c r="A570" s="973"/>
      <c r="B570" s="961"/>
      <c r="C570" s="961"/>
      <c r="D570" s="974"/>
      <c r="E570" s="974"/>
      <c r="F570" s="974"/>
      <c r="G570" s="975"/>
      <c r="H570" s="962"/>
      <c r="I570" s="963"/>
      <c r="J570" s="963"/>
      <c r="K570" s="964"/>
      <c r="L570" s="965"/>
      <c r="M570" s="964"/>
      <c r="N570" s="964"/>
      <c r="O570" s="964"/>
      <c r="P570" s="964"/>
      <c r="Q570" s="964"/>
      <c r="R570" s="964"/>
      <c r="S570" s="964"/>
      <c r="T570" s="964"/>
      <c r="U570" s="964"/>
    </row>
    <row r="571" spans="1:21" ht="12.75" hidden="1" x14ac:dyDescent="0.2">
      <c r="A571" s="973"/>
      <c r="B571" s="961"/>
      <c r="C571" s="961"/>
      <c r="D571" s="974"/>
      <c r="E571" s="974"/>
      <c r="F571" s="974"/>
      <c r="G571" s="975"/>
      <c r="H571" s="962"/>
      <c r="I571" s="963"/>
      <c r="J571" s="963"/>
      <c r="K571" s="964"/>
      <c r="L571" s="965"/>
      <c r="M571" s="964"/>
      <c r="N571" s="964"/>
      <c r="O571" s="964"/>
      <c r="P571" s="964"/>
      <c r="Q571" s="964"/>
      <c r="R571" s="964"/>
      <c r="S571" s="964"/>
      <c r="T571" s="964"/>
      <c r="U571" s="964"/>
    </row>
    <row r="572" spans="1:21" ht="12.75" hidden="1" x14ac:dyDescent="0.2">
      <c r="A572" s="973"/>
      <c r="B572" s="961"/>
      <c r="C572" s="961"/>
      <c r="D572" s="974"/>
      <c r="E572" s="974"/>
      <c r="F572" s="974"/>
      <c r="G572" s="975"/>
      <c r="H572" s="962"/>
      <c r="I572" s="963"/>
      <c r="J572" s="963"/>
      <c r="K572" s="964"/>
      <c r="L572" s="965"/>
      <c r="M572" s="964"/>
      <c r="N572" s="964"/>
      <c r="O572" s="964"/>
      <c r="P572" s="964"/>
      <c r="Q572" s="964"/>
      <c r="R572" s="964"/>
      <c r="S572" s="964"/>
      <c r="T572" s="964"/>
      <c r="U572" s="964"/>
    </row>
    <row r="573" spans="1:21" ht="12.75" hidden="1" x14ac:dyDescent="0.2">
      <c r="A573" s="973"/>
      <c r="B573" s="961"/>
      <c r="C573" s="961"/>
      <c r="D573" s="974"/>
      <c r="E573" s="974"/>
      <c r="F573" s="974"/>
      <c r="G573" s="975"/>
      <c r="H573" s="962"/>
      <c r="I573" s="963"/>
      <c r="J573" s="963"/>
      <c r="K573" s="964"/>
      <c r="L573" s="965"/>
      <c r="M573" s="964"/>
      <c r="N573" s="964"/>
      <c r="O573" s="964"/>
      <c r="P573" s="964"/>
      <c r="Q573" s="964"/>
      <c r="R573" s="964"/>
      <c r="S573" s="964"/>
      <c r="T573" s="964"/>
      <c r="U573" s="964"/>
    </row>
    <row r="574" spans="1:21" ht="12.75" hidden="1" x14ac:dyDescent="0.2">
      <c r="A574" s="1027"/>
      <c r="B574" s="966"/>
      <c r="C574" s="966"/>
      <c r="D574" s="1028"/>
      <c r="E574" s="1028"/>
      <c r="F574" s="1028"/>
      <c r="G574" s="1029"/>
      <c r="H574" s="967"/>
      <c r="I574" s="968"/>
      <c r="J574" s="968"/>
      <c r="K574" s="969"/>
      <c r="L574" s="970"/>
      <c r="M574" s="969"/>
      <c r="N574" s="969"/>
      <c r="O574" s="969"/>
      <c r="P574" s="969"/>
      <c r="Q574" s="969"/>
      <c r="R574" s="969"/>
      <c r="S574" s="969"/>
      <c r="T574" s="969"/>
      <c r="U574" s="969"/>
    </row>
    <row r="575" spans="1:21" ht="19.5" hidden="1" x14ac:dyDescent="0.3">
      <c r="A575" s="1006"/>
      <c r="B575" s="1030" t="s">
        <v>212</v>
      </c>
      <c r="C575" s="1008"/>
      <c r="D575" s="1009"/>
      <c r="E575" s="1009"/>
      <c r="F575" s="1009"/>
      <c r="G575" s="1010"/>
      <c r="H575" s="1031" t="s">
        <v>61</v>
      </c>
      <c r="I575" s="1032">
        <f t="shared" ref="I575:J575" si="354">I587</f>
        <v>0</v>
      </c>
      <c r="J575" s="1032">
        <f t="shared" si="354"/>
        <v>0</v>
      </c>
      <c r="K575" s="1033">
        <f>IF(I575&gt;0,J575*100/I575,0)</f>
        <v>0</v>
      </c>
      <c r="L575" s="1014"/>
      <c r="M575" s="1015"/>
      <c r="N575" s="1015"/>
      <c r="O575" s="1015"/>
      <c r="P575" s="1015"/>
      <c r="Q575" s="1015"/>
      <c r="R575" s="1015"/>
      <c r="S575" s="1015"/>
      <c r="T575" s="1015"/>
      <c r="U575" s="1015"/>
    </row>
    <row r="576" spans="1:21" ht="19.5" hidden="1" x14ac:dyDescent="0.3">
      <c r="A576" s="674"/>
      <c r="B576" s="561"/>
      <c r="C576" s="675" t="s">
        <v>18</v>
      </c>
      <c r="D576" s="676" t="s">
        <v>19</v>
      </c>
      <c r="E576" s="561"/>
      <c r="F576" s="561"/>
      <c r="G576" s="563"/>
      <c r="H576" s="677" t="s">
        <v>14</v>
      </c>
      <c r="I576" s="565"/>
      <c r="J576" s="565"/>
      <c r="K576" s="566"/>
      <c r="L576" s="678">
        <f t="shared" ref="L576:N576" ca="1" si="355">L577+L578</f>
        <v>0</v>
      </c>
      <c r="M576" s="679">
        <f t="shared" ca="1" si="355"/>
        <v>0</v>
      </c>
      <c r="N576" s="679">
        <f t="shared" ca="1" si="355"/>
        <v>0</v>
      </c>
      <c r="O576" s="679">
        <f t="shared" ref="O576:O584" ca="1" si="356">IF(L576&gt;0,N576*100/L576,0)</f>
        <v>0</v>
      </c>
      <c r="P576" s="679">
        <f t="shared" ref="P576:P584" ca="1" si="357">IF(M576&gt;0,N576*100/M576,0)</f>
        <v>0</v>
      </c>
      <c r="Q576" s="679">
        <f t="shared" ref="Q576:S576" si="358">Q577+Q578</f>
        <v>0</v>
      </c>
      <c r="R576" s="679">
        <f t="shared" si="358"/>
        <v>0</v>
      </c>
      <c r="S576" s="679">
        <f t="shared" si="358"/>
        <v>0</v>
      </c>
      <c r="T576" s="679">
        <f t="shared" ref="T576:T584" si="359">IF(Q576&gt;0,S576*100/Q576,0)</f>
        <v>0</v>
      </c>
      <c r="U576" s="679">
        <f t="shared" ref="U576:U584" si="360">IF(R576&gt;0,S576*100/R576,0)</f>
        <v>0</v>
      </c>
    </row>
    <row r="577" spans="1:21" ht="18.75" hidden="1" x14ac:dyDescent="0.25">
      <c r="A577" s="674"/>
      <c r="B577" s="718"/>
      <c r="C577" s="561"/>
      <c r="D577" s="561"/>
      <c r="E577" s="569" t="s">
        <v>20</v>
      </c>
      <c r="F577" s="561"/>
      <c r="G577" s="563"/>
      <c r="H577" s="680" t="s">
        <v>14</v>
      </c>
      <c r="I577" s="565"/>
      <c r="J577" s="565"/>
      <c r="K577" s="566"/>
      <c r="L577" s="571">
        <f t="shared" ref="L577:N578" si="361">L580+L583</f>
        <v>0</v>
      </c>
      <c r="M577" s="572">
        <f t="shared" si="361"/>
        <v>0</v>
      </c>
      <c r="N577" s="572">
        <f t="shared" si="361"/>
        <v>0</v>
      </c>
      <c r="O577" s="572">
        <f t="shared" si="356"/>
        <v>0</v>
      </c>
      <c r="P577" s="572">
        <f t="shared" si="357"/>
        <v>0</v>
      </c>
      <c r="Q577" s="572">
        <f t="shared" ref="Q577:S578" si="362">Q580+Q583</f>
        <v>0</v>
      </c>
      <c r="R577" s="572">
        <f t="shared" si="362"/>
        <v>0</v>
      </c>
      <c r="S577" s="572">
        <f t="shared" si="362"/>
        <v>0</v>
      </c>
      <c r="T577" s="572">
        <f t="shared" si="359"/>
        <v>0</v>
      </c>
      <c r="U577" s="572">
        <f t="shared" si="360"/>
        <v>0</v>
      </c>
    </row>
    <row r="578" spans="1:21" ht="18.75" hidden="1" x14ac:dyDescent="0.25">
      <c r="A578" s="674"/>
      <c r="B578" s="561"/>
      <c r="C578" s="718"/>
      <c r="D578" s="561"/>
      <c r="E578" s="765" t="s">
        <v>21</v>
      </c>
      <c r="F578" s="561"/>
      <c r="G578" s="563"/>
      <c r="H578" s="681" t="s">
        <v>14</v>
      </c>
      <c r="I578" s="565"/>
      <c r="J578" s="565"/>
      <c r="K578" s="566"/>
      <c r="L578" s="567">
        <f t="shared" ca="1" si="361"/>
        <v>0</v>
      </c>
      <c r="M578" s="568">
        <f t="shared" ca="1" si="361"/>
        <v>0</v>
      </c>
      <c r="N578" s="568">
        <f t="shared" ca="1" si="361"/>
        <v>0</v>
      </c>
      <c r="O578" s="568">
        <f t="shared" ca="1" si="356"/>
        <v>0</v>
      </c>
      <c r="P578" s="568">
        <f t="shared" ca="1" si="357"/>
        <v>0</v>
      </c>
      <c r="Q578" s="568">
        <f t="shared" si="362"/>
        <v>0</v>
      </c>
      <c r="R578" s="568">
        <f t="shared" si="362"/>
        <v>0</v>
      </c>
      <c r="S578" s="568">
        <f t="shared" si="362"/>
        <v>0</v>
      </c>
      <c r="T578" s="568">
        <f t="shared" si="359"/>
        <v>0</v>
      </c>
      <c r="U578" s="568">
        <f t="shared" si="360"/>
        <v>0</v>
      </c>
    </row>
    <row r="579" spans="1:21" ht="18.75" hidden="1" x14ac:dyDescent="0.25">
      <c r="A579" s="674"/>
      <c r="B579" s="561"/>
      <c r="C579" s="718"/>
      <c r="D579" s="562" t="s">
        <v>22</v>
      </c>
      <c r="E579" s="718"/>
      <c r="F579" s="561"/>
      <c r="G579" s="563"/>
      <c r="H579" s="682" t="s">
        <v>14</v>
      </c>
      <c r="I579" s="683"/>
      <c r="J579" s="683"/>
      <c r="K579" s="684"/>
      <c r="L579" s="567">
        <f t="shared" ref="L579:N579" ca="1" si="363">L580+L581</f>
        <v>0</v>
      </c>
      <c r="M579" s="568">
        <f t="shared" ca="1" si="363"/>
        <v>0</v>
      </c>
      <c r="N579" s="568">
        <f t="shared" ca="1" si="363"/>
        <v>0</v>
      </c>
      <c r="O579" s="568">
        <f t="shared" ca="1" si="356"/>
        <v>0</v>
      </c>
      <c r="P579" s="568">
        <f t="shared" ca="1" si="357"/>
        <v>0</v>
      </c>
      <c r="Q579" s="568">
        <f t="shared" ref="Q579:S579" si="364">Q580+Q581</f>
        <v>0</v>
      </c>
      <c r="R579" s="568">
        <f t="shared" si="364"/>
        <v>0</v>
      </c>
      <c r="S579" s="568">
        <f t="shared" si="364"/>
        <v>0</v>
      </c>
      <c r="T579" s="568">
        <f t="shared" si="359"/>
        <v>0</v>
      </c>
      <c r="U579" s="568">
        <f t="shared" si="360"/>
        <v>0</v>
      </c>
    </row>
    <row r="580" spans="1:21" ht="18.75" hidden="1" x14ac:dyDescent="0.25">
      <c r="A580" s="674"/>
      <c r="B580" s="561"/>
      <c r="C580" s="561"/>
      <c r="D580" s="561"/>
      <c r="E580" s="569" t="s">
        <v>36</v>
      </c>
      <c r="F580" s="561"/>
      <c r="G580" s="563"/>
      <c r="H580" s="685" t="s">
        <v>14</v>
      </c>
      <c r="I580" s="683"/>
      <c r="J580" s="683"/>
      <c r="K580" s="684"/>
      <c r="L580" s="571">
        <v>0</v>
      </c>
      <c r="M580" s="572">
        <v>0</v>
      </c>
      <c r="N580" s="572">
        <v>0</v>
      </c>
      <c r="O580" s="572">
        <f t="shared" si="356"/>
        <v>0</v>
      </c>
      <c r="P580" s="572">
        <f t="shared" si="357"/>
        <v>0</v>
      </c>
      <c r="Q580" s="572">
        <v>0</v>
      </c>
      <c r="R580" s="572">
        <v>0</v>
      </c>
      <c r="S580" s="572">
        <v>0</v>
      </c>
      <c r="T580" s="572">
        <f t="shared" si="359"/>
        <v>0</v>
      </c>
      <c r="U580" s="572">
        <f t="shared" si="360"/>
        <v>0</v>
      </c>
    </row>
    <row r="581" spans="1:21" ht="18.75" hidden="1" x14ac:dyDescent="0.25">
      <c r="A581" s="674"/>
      <c r="B581" s="561"/>
      <c r="C581" s="561"/>
      <c r="D581" s="561"/>
      <c r="E581" s="573" t="s">
        <v>37</v>
      </c>
      <c r="F581" s="561"/>
      <c r="G581" s="563"/>
      <c r="H581" s="682" t="s">
        <v>14</v>
      </c>
      <c r="I581" s="683"/>
      <c r="J581" s="683"/>
      <c r="K581" s="684"/>
      <c r="L581" s="567">
        <f ca="1">IFERROR(__xludf.DUMMYFUNCTION("IMPORTRANGE(""https://docs.google.com/spreadsheets/d/1-uDff_7J0KD5mKrp0Vvzr7lt3OU09vwQwhkpOPPYv2Y/edit?usp=sharing"",""งบพรบ!GQ14"")"),0)</f>
        <v>0</v>
      </c>
      <c r="M581" s="568">
        <f ca="1">IFERROR(__xludf.DUMMYFUNCTION("IMPORTRANGE(""https://docs.google.com/spreadsheets/d/1-uDff_7J0KD5mKrp0Vvzr7lt3OU09vwQwhkpOPPYv2Y/edit?usp=sharing"",""งบพรบ!GV14"")"),0)</f>
        <v>0</v>
      </c>
      <c r="N581" s="568">
        <f ca="1">IFERROR(__xludf.DUMMYFUNCTION("IMPORTRANGE(""https://docs.google.com/spreadsheets/d/1-uDff_7J0KD5mKrp0Vvzr7lt3OU09vwQwhkpOPPYv2Y/edit?usp=sharing"",""งบพรบ!GX14"")"),0)</f>
        <v>0</v>
      </c>
      <c r="O581" s="568">
        <f t="shared" ca="1" si="356"/>
        <v>0</v>
      </c>
      <c r="P581" s="568">
        <f t="shared" ca="1" si="357"/>
        <v>0</v>
      </c>
      <c r="Q581" s="568">
        <v>0</v>
      </c>
      <c r="R581" s="568">
        <v>0</v>
      </c>
      <c r="S581" s="568">
        <v>0</v>
      </c>
      <c r="T581" s="568">
        <f t="shared" si="359"/>
        <v>0</v>
      </c>
      <c r="U581" s="568">
        <f t="shared" si="360"/>
        <v>0</v>
      </c>
    </row>
    <row r="582" spans="1:21" ht="18.75" hidden="1" x14ac:dyDescent="0.25">
      <c r="A582" s="674"/>
      <c r="B582" s="561"/>
      <c r="C582" s="561"/>
      <c r="D582" s="562" t="s">
        <v>23</v>
      </c>
      <c r="E582" s="561"/>
      <c r="F582" s="561"/>
      <c r="G582" s="563"/>
      <c r="H582" s="686" t="s">
        <v>14</v>
      </c>
      <c r="I582" s="683"/>
      <c r="J582" s="683"/>
      <c r="K582" s="684"/>
      <c r="L582" s="567">
        <f t="shared" ref="L582:N582" ca="1" si="365">L583+L584</f>
        <v>0</v>
      </c>
      <c r="M582" s="568">
        <f t="shared" ca="1" si="365"/>
        <v>0</v>
      </c>
      <c r="N582" s="568">
        <f t="shared" ca="1" si="365"/>
        <v>0</v>
      </c>
      <c r="O582" s="568">
        <f t="shared" ca="1" si="356"/>
        <v>0</v>
      </c>
      <c r="P582" s="568">
        <f t="shared" ca="1" si="357"/>
        <v>0</v>
      </c>
      <c r="Q582" s="568">
        <f t="shared" ref="Q582:S582" si="366">Q583+Q584</f>
        <v>0</v>
      </c>
      <c r="R582" s="568">
        <f t="shared" si="366"/>
        <v>0</v>
      </c>
      <c r="S582" s="568">
        <f t="shared" si="366"/>
        <v>0</v>
      </c>
      <c r="T582" s="568">
        <f t="shared" si="359"/>
        <v>0</v>
      </c>
      <c r="U582" s="568">
        <f t="shared" si="360"/>
        <v>0</v>
      </c>
    </row>
    <row r="583" spans="1:21" ht="18.75" hidden="1" x14ac:dyDescent="0.25">
      <c r="A583" s="674"/>
      <c r="B583" s="561"/>
      <c r="C583" s="561"/>
      <c r="D583" s="561"/>
      <c r="E583" s="569" t="s">
        <v>20</v>
      </c>
      <c r="F583" s="561"/>
      <c r="G583" s="563"/>
      <c r="H583" s="685" t="s">
        <v>14</v>
      </c>
      <c r="I583" s="683"/>
      <c r="J583" s="683"/>
      <c r="K583" s="684"/>
      <c r="L583" s="571">
        <v>0</v>
      </c>
      <c r="M583" s="572">
        <v>0</v>
      </c>
      <c r="N583" s="572">
        <v>0</v>
      </c>
      <c r="O583" s="572">
        <f t="shared" si="356"/>
        <v>0</v>
      </c>
      <c r="P583" s="572">
        <f t="shared" si="357"/>
        <v>0</v>
      </c>
      <c r="Q583" s="572">
        <v>0</v>
      </c>
      <c r="R583" s="572">
        <v>0</v>
      </c>
      <c r="S583" s="572">
        <v>0</v>
      </c>
      <c r="T583" s="572">
        <f t="shared" si="359"/>
        <v>0</v>
      </c>
      <c r="U583" s="572">
        <f t="shared" si="360"/>
        <v>0</v>
      </c>
    </row>
    <row r="584" spans="1:21" ht="18.75" hidden="1" x14ac:dyDescent="0.25">
      <c r="A584" s="674"/>
      <c r="B584" s="561"/>
      <c r="C584" s="561"/>
      <c r="D584" s="561"/>
      <c r="E584" s="573" t="s">
        <v>21</v>
      </c>
      <c r="F584" s="561"/>
      <c r="G584" s="563"/>
      <c r="H584" s="686" t="s">
        <v>14</v>
      </c>
      <c r="I584" s="683"/>
      <c r="J584" s="683"/>
      <c r="K584" s="684"/>
      <c r="L584" s="567">
        <f ca="1">IFERROR(__xludf.DUMMYFUNCTION("IMPORTRANGE(""https://docs.google.com/spreadsheets/d/1-uDff_7J0KD5mKrp0Vvzr7lt3OU09vwQwhkpOPPYv2Y/edit?usp=sharing"",""งบพรบ!GT14"")"),0)</f>
        <v>0</v>
      </c>
      <c r="M584" s="568">
        <f ca="1">IFERROR(__xludf.DUMMYFUNCTION("IMPORTRANGE(""https://docs.google.com/spreadsheets/d/1-uDff_7J0KD5mKrp0Vvzr7lt3OU09vwQwhkpOPPYv2Y/edit?usp=sharing"",""งบพรบ!GW14"")"),0)</f>
        <v>0</v>
      </c>
      <c r="N584" s="568">
        <f ca="1">IFERROR(__xludf.DUMMYFUNCTION("IMPORTRANGE(""https://docs.google.com/spreadsheets/d/1-uDff_7J0KD5mKrp0Vvzr7lt3OU09vwQwhkpOPPYv2Y/edit?usp=sharing"",""งบพรบ!GY14"")"),0)</f>
        <v>0</v>
      </c>
      <c r="O584" s="568">
        <f t="shared" ca="1" si="356"/>
        <v>0</v>
      </c>
      <c r="P584" s="568">
        <f t="shared" ca="1" si="357"/>
        <v>0</v>
      </c>
      <c r="Q584" s="568">
        <v>0</v>
      </c>
      <c r="R584" s="568">
        <v>0</v>
      </c>
      <c r="S584" s="568">
        <v>0</v>
      </c>
      <c r="T584" s="568">
        <f t="shared" si="359"/>
        <v>0</v>
      </c>
      <c r="U584" s="568">
        <f t="shared" si="360"/>
        <v>0</v>
      </c>
    </row>
    <row r="585" spans="1:21" ht="19.5" hidden="1" x14ac:dyDescent="0.3">
      <c r="A585" s="687"/>
      <c r="B585" s="688"/>
      <c r="C585" s="1034" t="s">
        <v>18</v>
      </c>
      <c r="D585" s="689" t="s">
        <v>38</v>
      </c>
      <c r="E585" s="690"/>
      <c r="F585" s="690"/>
      <c r="G585" s="691"/>
      <c r="H585" s="692"/>
      <c r="I585" s="683"/>
      <c r="J585" s="565"/>
      <c r="K585" s="566"/>
      <c r="L585" s="574"/>
      <c r="M585" s="566"/>
      <c r="N585" s="566"/>
      <c r="O585" s="684"/>
      <c r="P585" s="684"/>
      <c r="Q585" s="566"/>
      <c r="R585" s="566"/>
      <c r="S585" s="566"/>
      <c r="T585" s="684"/>
      <c r="U585" s="684"/>
    </row>
    <row r="586" spans="1:21" ht="12.75" hidden="1" x14ac:dyDescent="0.2">
      <c r="A586" s="973"/>
      <c r="B586" s="974"/>
      <c r="C586" s="961"/>
      <c r="D586" s="974"/>
      <c r="E586" s="961"/>
      <c r="F586" s="974"/>
      <c r="G586" s="975"/>
      <c r="H586" s="975"/>
      <c r="I586" s="963"/>
      <c r="J586" s="963"/>
      <c r="K586" s="964"/>
      <c r="L586" s="965"/>
      <c r="M586" s="964"/>
      <c r="N586" s="964"/>
      <c r="O586" s="964"/>
      <c r="P586" s="964"/>
      <c r="Q586" s="964"/>
      <c r="R586" s="964"/>
      <c r="S586" s="964"/>
      <c r="T586" s="964"/>
      <c r="U586" s="964"/>
    </row>
    <row r="587" spans="1:21" ht="12.75" hidden="1" x14ac:dyDescent="0.2">
      <c r="A587" s="973"/>
      <c r="B587" s="974"/>
      <c r="C587" s="961"/>
      <c r="D587" s="974"/>
      <c r="E587" s="961"/>
      <c r="F587" s="974"/>
      <c r="G587" s="975"/>
      <c r="H587" s="975"/>
      <c r="I587" s="963"/>
      <c r="J587" s="963"/>
      <c r="K587" s="964"/>
      <c r="L587" s="965"/>
      <c r="M587" s="964"/>
      <c r="N587" s="964"/>
      <c r="O587" s="964"/>
      <c r="P587" s="964"/>
      <c r="Q587" s="964"/>
      <c r="R587" s="964"/>
      <c r="S587" s="964"/>
      <c r="T587" s="964"/>
      <c r="U587" s="964"/>
    </row>
    <row r="588" spans="1:21" ht="12.75" hidden="1" x14ac:dyDescent="0.2">
      <c r="A588" s="973"/>
      <c r="B588" s="961"/>
      <c r="C588" s="961"/>
      <c r="D588" s="974"/>
      <c r="E588" s="974"/>
      <c r="F588" s="974"/>
      <c r="G588" s="975"/>
      <c r="H588" s="962"/>
      <c r="I588" s="963"/>
      <c r="J588" s="963"/>
      <c r="K588" s="964"/>
      <c r="L588" s="965"/>
      <c r="M588" s="964"/>
      <c r="N588" s="964"/>
      <c r="O588" s="964"/>
      <c r="P588" s="964"/>
      <c r="Q588" s="964"/>
      <c r="R588" s="964"/>
      <c r="S588" s="964"/>
      <c r="T588" s="964"/>
      <c r="U588" s="964"/>
    </row>
    <row r="589" spans="1:21" ht="12.75" hidden="1" x14ac:dyDescent="0.2">
      <c r="A589" s="973"/>
      <c r="B589" s="961"/>
      <c r="C589" s="961"/>
      <c r="D589" s="974"/>
      <c r="E589" s="974"/>
      <c r="F589" s="974"/>
      <c r="G589" s="975"/>
      <c r="H589" s="962"/>
      <c r="I589" s="963"/>
      <c r="J589" s="963"/>
      <c r="K589" s="964"/>
      <c r="L589" s="965"/>
      <c r="M589" s="964"/>
      <c r="N589" s="964"/>
      <c r="O589" s="964"/>
      <c r="P589" s="964"/>
      <c r="Q589" s="964"/>
      <c r="R589" s="964"/>
      <c r="S589" s="964"/>
      <c r="T589" s="964"/>
      <c r="U589" s="964"/>
    </row>
    <row r="590" spans="1:21" ht="12.75" hidden="1" x14ac:dyDescent="0.2">
      <c r="A590" s="973"/>
      <c r="B590" s="961"/>
      <c r="C590" s="961"/>
      <c r="D590" s="974"/>
      <c r="E590" s="974"/>
      <c r="F590" s="974"/>
      <c r="G590" s="975"/>
      <c r="H590" s="962"/>
      <c r="I590" s="963"/>
      <c r="J590" s="963"/>
      <c r="K590" s="964"/>
      <c r="L590" s="965"/>
      <c r="M590" s="964"/>
      <c r="N590" s="964"/>
      <c r="O590" s="964"/>
      <c r="P590" s="964"/>
      <c r="Q590" s="964"/>
      <c r="R590" s="964"/>
      <c r="S590" s="964"/>
      <c r="T590" s="964"/>
      <c r="U590" s="964"/>
    </row>
    <row r="591" spans="1:21" ht="12.75" hidden="1" x14ac:dyDescent="0.2">
      <c r="A591" s="973"/>
      <c r="B591" s="961"/>
      <c r="C591" s="961"/>
      <c r="D591" s="974"/>
      <c r="E591" s="974"/>
      <c r="F591" s="974"/>
      <c r="G591" s="975"/>
      <c r="H591" s="962"/>
      <c r="I591" s="963"/>
      <c r="J591" s="963"/>
      <c r="K591" s="964"/>
      <c r="L591" s="965"/>
      <c r="M591" s="964"/>
      <c r="N591" s="964"/>
      <c r="O591" s="964"/>
      <c r="P591" s="964"/>
      <c r="Q591" s="964"/>
      <c r="R591" s="964"/>
      <c r="S591" s="964"/>
      <c r="T591" s="964"/>
      <c r="U591" s="964"/>
    </row>
    <row r="592" spans="1:21" ht="12.75" hidden="1" x14ac:dyDescent="0.2">
      <c r="A592" s="973"/>
      <c r="B592" s="961"/>
      <c r="C592" s="961"/>
      <c r="D592" s="974"/>
      <c r="E592" s="974"/>
      <c r="F592" s="974"/>
      <c r="G592" s="975"/>
      <c r="H592" s="962"/>
      <c r="I592" s="963"/>
      <c r="J592" s="963"/>
      <c r="K592" s="964"/>
      <c r="L592" s="965"/>
      <c r="M592" s="964"/>
      <c r="N592" s="964"/>
      <c r="O592" s="964"/>
      <c r="P592" s="964"/>
      <c r="Q592" s="964"/>
      <c r="R592" s="964"/>
      <c r="S592" s="964"/>
      <c r="T592" s="964"/>
      <c r="U592" s="964"/>
    </row>
    <row r="593" spans="1:21" ht="12.75" hidden="1" x14ac:dyDescent="0.2">
      <c r="A593" s="973"/>
      <c r="B593" s="961"/>
      <c r="C593" s="961"/>
      <c r="D593" s="974"/>
      <c r="E593" s="974"/>
      <c r="F593" s="974"/>
      <c r="G593" s="975"/>
      <c r="H593" s="962"/>
      <c r="I593" s="963"/>
      <c r="J593" s="963"/>
      <c r="K593" s="964"/>
      <c r="L593" s="965"/>
      <c r="M593" s="964"/>
      <c r="N593" s="964"/>
      <c r="O593" s="964"/>
      <c r="P593" s="964"/>
      <c r="Q593" s="964"/>
      <c r="R593" s="964"/>
      <c r="S593" s="964"/>
      <c r="T593" s="964"/>
      <c r="U593" s="964"/>
    </row>
    <row r="594" spans="1:21" ht="12.75" hidden="1" x14ac:dyDescent="0.2">
      <c r="A594" s="973"/>
      <c r="B594" s="961"/>
      <c r="C594" s="961"/>
      <c r="D594" s="974"/>
      <c r="E594" s="974"/>
      <c r="F594" s="974"/>
      <c r="G594" s="975"/>
      <c r="H594" s="962"/>
      <c r="I594" s="963"/>
      <c r="J594" s="963"/>
      <c r="K594" s="964"/>
      <c r="L594" s="965"/>
      <c r="M594" s="964"/>
      <c r="N594" s="964"/>
      <c r="O594" s="964"/>
      <c r="P594" s="964"/>
      <c r="Q594" s="964"/>
      <c r="R594" s="964"/>
      <c r="S594" s="964"/>
      <c r="T594" s="964"/>
      <c r="U594" s="964"/>
    </row>
    <row r="595" spans="1:21" ht="12.75" hidden="1" x14ac:dyDescent="0.2">
      <c r="A595" s="1027"/>
      <c r="B595" s="966"/>
      <c r="C595" s="966"/>
      <c r="D595" s="1028"/>
      <c r="E595" s="1028"/>
      <c r="F595" s="1028"/>
      <c r="G595" s="1029"/>
      <c r="H595" s="967"/>
      <c r="I595" s="968"/>
      <c r="J595" s="968"/>
      <c r="K595" s="969"/>
      <c r="L595" s="970"/>
      <c r="M595" s="969"/>
      <c r="N595" s="969"/>
      <c r="O595" s="969"/>
      <c r="P595" s="969"/>
      <c r="Q595" s="969"/>
      <c r="R595" s="969"/>
      <c r="S595" s="969"/>
      <c r="T595" s="969"/>
      <c r="U595" s="969"/>
    </row>
    <row r="596" spans="1:21" ht="19.5" hidden="1" x14ac:dyDescent="0.3">
      <c r="A596" s="1035" t="s">
        <v>213</v>
      </c>
      <c r="B596" s="663"/>
      <c r="C596" s="729"/>
      <c r="D596" s="663"/>
      <c r="E596" s="663"/>
      <c r="F596" s="663"/>
      <c r="G596" s="663"/>
      <c r="H596" s="664"/>
      <c r="I596" s="730"/>
      <c r="J596" s="730"/>
      <c r="K596" s="731"/>
      <c r="L596" s="667"/>
      <c r="M596" s="667"/>
      <c r="N596" s="667"/>
      <c r="O596" s="667"/>
      <c r="P596" s="667"/>
      <c r="Q596" s="667"/>
      <c r="R596" s="667"/>
      <c r="S596" s="667"/>
      <c r="T596" s="667"/>
      <c r="U596" s="667"/>
    </row>
    <row r="597" spans="1:21" ht="19.5" hidden="1" x14ac:dyDescent="0.3">
      <c r="A597" s="669"/>
      <c r="B597" s="1036" t="s">
        <v>214</v>
      </c>
      <c r="C597" s="716"/>
      <c r="D597" s="670"/>
      <c r="E597" s="543"/>
      <c r="F597" s="543"/>
      <c r="G597" s="543"/>
      <c r="H597" s="1037" t="s">
        <v>99</v>
      </c>
      <c r="I597" s="732"/>
      <c r="J597" s="548"/>
      <c r="K597" s="549"/>
      <c r="L597" s="673"/>
      <c r="M597" s="549"/>
      <c r="N597" s="549"/>
      <c r="O597" s="549"/>
      <c r="P597" s="549"/>
      <c r="Q597" s="549"/>
      <c r="R597" s="549"/>
      <c r="S597" s="549"/>
      <c r="T597" s="549"/>
      <c r="U597" s="549"/>
    </row>
    <row r="598" spans="1:21" ht="19.5" hidden="1" x14ac:dyDescent="0.3">
      <c r="A598" s="1038"/>
      <c r="B598" s="1039" t="s">
        <v>215</v>
      </c>
      <c r="C598" s="670"/>
      <c r="D598" s="543"/>
      <c r="E598" s="543"/>
      <c r="F598" s="543"/>
      <c r="G598" s="546"/>
      <c r="H598" s="1040" t="s">
        <v>35</v>
      </c>
      <c r="I598" s="548"/>
      <c r="J598" s="548"/>
      <c r="K598" s="549"/>
      <c r="L598" s="673"/>
      <c r="M598" s="549"/>
      <c r="N598" s="549"/>
      <c r="O598" s="549"/>
      <c r="P598" s="549"/>
      <c r="Q598" s="549"/>
      <c r="R598" s="549"/>
      <c r="S598" s="549"/>
      <c r="T598" s="549"/>
      <c r="U598" s="549"/>
    </row>
    <row r="599" spans="1:21" ht="19.5" hidden="1" x14ac:dyDescent="0.3">
      <c r="A599" s="674"/>
      <c r="B599" s="718"/>
      <c r="C599" s="724" t="s">
        <v>18</v>
      </c>
      <c r="D599" s="1315" t="s">
        <v>19</v>
      </c>
      <c r="E599" s="1311"/>
      <c r="F599" s="1311"/>
      <c r="G599" s="1312"/>
      <c r="H599" s="799" t="s">
        <v>14</v>
      </c>
      <c r="I599" s="565"/>
      <c r="J599" s="565"/>
      <c r="K599" s="566"/>
      <c r="L599" s="678">
        <f t="shared" ref="L599:N599" ca="1" si="367">L600+L601</f>
        <v>0</v>
      </c>
      <c r="M599" s="679">
        <f t="shared" ca="1" si="367"/>
        <v>0</v>
      </c>
      <c r="N599" s="679">
        <f t="shared" ca="1" si="367"/>
        <v>0</v>
      </c>
      <c r="O599" s="679">
        <f t="shared" ref="O599:O607" ca="1" si="368">IF(L599&gt;0,N599*100/L599,0)</f>
        <v>0</v>
      </c>
      <c r="P599" s="679">
        <f t="shared" ref="P599:P607" ca="1" si="369">IF(M599&gt;0,N599*100/M599,0)</f>
        <v>0</v>
      </c>
      <c r="Q599" s="679">
        <f t="shared" ref="Q599:S599" ca="1" si="370">Q600+Q601</f>
        <v>0</v>
      </c>
      <c r="R599" s="679">
        <f t="shared" ca="1" si="370"/>
        <v>0</v>
      </c>
      <c r="S599" s="679">
        <f t="shared" ca="1" si="370"/>
        <v>0</v>
      </c>
      <c r="T599" s="679">
        <f t="shared" ref="T599:T607" ca="1" si="371">IF(Q599&gt;0,S599*100/Q599,0)</f>
        <v>0</v>
      </c>
      <c r="U599" s="679">
        <f t="shared" ref="U599:U607" ca="1" si="372">IF(R599&gt;0,S599*100/R599,0)</f>
        <v>0</v>
      </c>
    </row>
    <row r="600" spans="1:21" ht="18.75" hidden="1" x14ac:dyDescent="0.25">
      <c r="A600" s="674"/>
      <c r="B600" s="718"/>
      <c r="C600" s="718"/>
      <c r="D600" s="695"/>
      <c r="E600" s="569" t="s">
        <v>158</v>
      </c>
      <c r="F600" s="561"/>
      <c r="G600" s="563"/>
      <c r="H600" s="685" t="s">
        <v>14</v>
      </c>
      <c r="I600" s="565"/>
      <c r="J600" s="565"/>
      <c r="K600" s="566"/>
      <c r="L600" s="571">
        <f t="shared" ref="L600:N601" si="373">L603+L606</f>
        <v>0</v>
      </c>
      <c r="M600" s="572">
        <f t="shared" si="373"/>
        <v>0</v>
      </c>
      <c r="N600" s="572">
        <f t="shared" si="373"/>
        <v>0</v>
      </c>
      <c r="O600" s="572">
        <f t="shared" si="368"/>
        <v>0</v>
      </c>
      <c r="P600" s="572">
        <f t="shared" si="369"/>
        <v>0</v>
      </c>
      <c r="Q600" s="572">
        <f t="shared" ref="Q600:S601" si="374">Q603+Q606</f>
        <v>0</v>
      </c>
      <c r="R600" s="572">
        <f t="shared" si="374"/>
        <v>0</v>
      </c>
      <c r="S600" s="572">
        <f t="shared" si="374"/>
        <v>0</v>
      </c>
      <c r="T600" s="572">
        <f t="shared" si="371"/>
        <v>0</v>
      </c>
      <c r="U600" s="572">
        <f t="shared" si="372"/>
        <v>0</v>
      </c>
    </row>
    <row r="601" spans="1:21" ht="18.75" hidden="1" x14ac:dyDescent="0.25">
      <c r="A601" s="674"/>
      <c r="B601" s="718"/>
      <c r="C601" s="718"/>
      <c r="D601" s="695"/>
      <c r="E601" s="569" t="s">
        <v>159</v>
      </c>
      <c r="F601" s="561"/>
      <c r="G601" s="563"/>
      <c r="H601" s="685" t="s">
        <v>14</v>
      </c>
      <c r="I601" s="565"/>
      <c r="J601" s="565"/>
      <c r="K601" s="566"/>
      <c r="L601" s="567">
        <f t="shared" ca="1" si="373"/>
        <v>0</v>
      </c>
      <c r="M601" s="568">
        <f t="shared" ca="1" si="373"/>
        <v>0</v>
      </c>
      <c r="N601" s="568">
        <f t="shared" ca="1" si="373"/>
        <v>0</v>
      </c>
      <c r="O601" s="568">
        <f t="shared" ca="1" si="368"/>
        <v>0</v>
      </c>
      <c r="P601" s="568">
        <f t="shared" ca="1" si="369"/>
        <v>0</v>
      </c>
      <c r="Q601" s="568">
        <f t="shared" ca="1" si="374"/>
        <v>0</v>
      </c>
      <c r="R601" s="568">
        <f t="shared" ca="1" si="374"/>
        <v>0</v>
      </c>
      <c r="S601" s="568">
        <f t="shared" ca="1" si="374"/>
        <v>0</v>
      </c>
      <c r="T601" s="568">
        <f t="shared" ca="1" si="371"/>
        <v>0</v>
      </c>
      <c r="U601" s="568">
        <f t="shared" ca="1" si="372"/>
        <v>0</v>
      </c>
    </row>
    <row r="602" spans="1:21" ht="19.5" hidden="1" x14ac:dyDescent="0.3">
      <c r="A602" s="674"/>
      <c r="B602" s="718"/>
      <c r="C602" s="718"/>
      <c r="D602" s="798" t="s">
        <v>22</v>
      </c>
      <c r="E602" s="561"/>
      <c r="F602" s="561"/>
      <c r="G602" s="563"/>
      <c r="H602" s="799" t="s">
        <v>14</v>
      </c>
      <c r="I602" s="683"/>
      <c r="J602" s="683"/>
      <c r="K602" s="684"/>
      <c r="L602" s="567">
        <f t="shared" ref="L602:N602" ca="1" si="375">L603+L604</f>
        <v>0</v>
      </c>
      <c r="M602" s="568">
        <f t="shared" ca="1" si="375"/>
        <v>0</v>
      </c>
      <c r="N602" s="568">
        <f t="shared" ca="1" si="375"/>
        <v>0</v>
      </c>
      <c r="O602" s="568">
        <f t="shared" ca="1" si="368"/>
        <v>0</v>
      </c>
      <c r="P602" s="568">
        <f t="shared" ca="1" si="369"/>
        <v>0</v>
      </c>
      <c r="Q602" s="568">
        <f t="shared" ref="Q602:S602" ca="1" si="376">Q603+Q604</f>
        <v>0</v>
      </c>
      <c r="R602" s="568">
        <f t="shared" ca="1" si="376"/>
        <v>0</v>
      </c>
      <c r="S602" s="568">
        <f t="shared" ca="1" si="376"/>
        <v>0</v>
      </c>
      <c r="T602" s="568">
        <f t="shared" ca="1" si="371"/>
        <v>0</v>
      </c>
      <c r="U602" s="568">
        <f t="shared" ca="1" si="372"/>
        <v>0</v>
      </c>
    </row>
    <row r="603" spans="1:21" ht="18.75" hidden="1" x14ac:dyDescent="0.25">
      <c r="A603" s="674"/>
      <c r="B603" s="718"/>
      <c r="C603" s="718"/>
      <c r="D603" s="695"/>
      <c r="E603" s="569" t="s">
        <v>158</v>
      </c>
      <c r="F603" s="561"/>
      <c r="G603" s="563"/>
      <c r="H603" s="685" t="s">
        <v>14</v>
      </c>
      <c r="I603" s="565"/>
      <c r="J603" s="565"/>
      <c r="K603" s="566"/>
      <c r="L603" s="571">
        <v>0</v>
      </c>
      <c r="M603" s="572">
        <v>0</v>
      </c>
      <c r="N603" s="572">
        <v>0</v>
      </c>
      <c r="O603" s="572">
        <f t="shared" si="368"/>
        <v>0</v>
      </c>
      <c r="P603" s="572">
        <f t="shared" si="369"/>
        <v>0</v>
      </c>
      <c r="Q603" s="572">
        <v>0</v>
      </c>
      <c r="R603" s="572">
        <v>0</v>
      </c>
      <c r="S603" s="572">
        <v>0</v>
      </c>
      <c r="T603" s="572">
        <f t="shared" si="371"/>
        <v>0</v>
      </c>
      <c r="U603" s="572">
        <f t="shared" si="372"/>
        <v>0</v>
      </c>
    </row>
    <row r="604" spans="1:21" ht="18.75" hidden="1" x14ac:dyDescent="0.25">
      <c r="A604" s="674"/>
      <c r="B604" s="718"/>
      <c r="C604" s="718"/>
      <c r="D604" s="695"/>
      <c r="E604" s="569" t="s">
        <v>159</v>
      </c>
      <c r="F604" s="561"/>
      <c r="G604" s="563"/>
      <c r="H604" s="685" t="s">
        <v>14</v>
      </c>
      <c r="I604" s="565"/>
      <c r="J604" s="565"/>
      <c r="K604" s="566"/>
      <c r="L604" s="567">
        <f ca="1">IFERROR(__xludf.DUMMYFUNCTION("IMPORTRANGE(""https://docs.google.com/spreadsheets/d/1-uDff_7J0KD5mKrp0Vvzr7lt3OU09vwQwhkpOPPYv2Y/edit?usp=sharing"",""งบพรบ!HK14"")"),0)</f>
        <v>0</v>
      </c>
      <c r="M604" s="568">
        <f ca="1">IFERROR(__xludf.DUMMYFUNCTION("IMPORTRANGE(""https://docs.google.com/spreadsheets/d/1-uDff_7J0KD5mKrp0Vvzr7lt3OU09vwQwhkpOPPYv2Y/edit?usp=sharing"",""งบพรบ!HP14"")"),0)</f>
        <v>0</v>
      </c>
      <c r="N604" s="568">
        <f ca="1">IFERROR(__xludf.DUMMYFUNCTION("IMPORTRANGE(""https://docs.google.com/spreadsheets/d/1-uDff_7J0KD5mKrp0Vvzr7lt3OU09vwQwhkpOPPYv2Y/edit?usp=sharing"",""งบพรบ!HR14"")"),0)</f>
        <v>0</v>
      </c>
      <c r="O604" s="568">
        <f t="shared" ca="1" si="368"/>
        <v>0</v>
      </c>
      <c r="P604" s="568">
        <f t="shared" ca="1" si="369"/>
        <v>0</v>
      </c>
      <c r="Q604" s="568">
        <f ca="1">IFERROR(__xludf.DUMMYFUNCTION("IMPORTRANGE(""https://docs.google.com/spreadsheets/d/1ItG2mGa2ceCfYo0BwxsXqNm01IGEUdYcSSLTEv9YCik/edit?usp=sharing"",""เบิกจ่ายกองทุน!AV14"")"),0)</f>
        <v>0</v>
      </c>
      <c r="R604" s="568">
        <f ca="1">IFERROR(__xludf.DUMMYFUNCTION("IMPORTRANGE(""https://docs.google.com/spreadsheets/d/1ItG2mGa2ceCfYo0BwxsXqNm01IGEUdYcSSLTEv9YCik/edit?usp=sharing"",""เบิกจ่ายกองทุน!AW14"")"),0)</f>
        <v>0</v>
      </c>
      <c r="S604" s="568">
        <f ca="1">IFERROR(__xludf.DUMMYFUNCTION("IMPORTRANGE(""https://docs.google.com/spreadsheets/d/1ItG2mGa2ceCfYo0BwxsXqNm01IGEUdYcSSLTEv9YCik/edit?usp=sharing"",""เบิกจ่ายกองทุน!AX14"")"),0)</f>
        <v>0</v>
      </c>
      <c r="T604" s="568">
        <f t="shared" ca="1" si="371"/>
        <v>0</v>
      </c>
      <c r="U604" s="568">
        <f t="shared" ca="1" si="372"/>
        <v>0</v>
      </c>
    </row>
    <row r="605" spans="1:21" ht="19.5" hidden="1" x14ac:dyDescent="0.3">
      <c r="A605" s="674"/>
      <c r="B605" s="718"/>
      <c r="C605" s="718"/>
      <c r="D605" s="798" t="s">
        <v>23</v>
      </c>
      <c r="E605" s="718"/>
      <c r="F605" s="561"/>
      <c r="G605" s="563"/>
      <c r="H605" s="1041" t="s">
        <v>14</v>
      </c>
      <c r="I605" s="683"/>
      <c r="J605" s="683"/>
      <c r="K605" s="684"/>
      <c r="L605" s="567">
        <f t="shared" ref="L605:N605" ca="1" si="377">L606+L607</f>
        <v>0</v>
      </c>
      <c r="M605" s="568">
        <f t="shared" ca="1" si="377"/>
        <v>0</v>
      </c>
      <c r="N605" s="568">
        <f t="shared" ca="1" si="377"/>
        <v>0</v>
      </c>
      <c r="O605" s="568">
        <f t="shared" ca="1" si="368"/>
        <v>0</v>
      </c>
      <c r="P605" s="568">
        <f t="shared" ca="1" si="369"/>
        <v>0</v>
      </c>
      <c r="Q605" s="568">
        <f t="shared" ref="Q605:S605" ca="1" si="378">Q606+Q607</f>
        <v>0</v>
      </c>
      <c r="R605" s="568">
        <f t="shared" ca="1" si="378"/>
        <v>0</v>
      </c>
      <c r="S605" s="568">
        <f t="shared" ca="1" si="378"/>
        <v>0</v>
      </c>
      <c r="T605" s="568">
        <f t="shared" ca="1" si="371"/>
        <v>0</v>
      </c>
      <c r="U605" s="568">
        <f t="shared" ca="1" si="372"/>
        <v>0</v>
      </c>
    </row>
    <row r="606" spans="1:21" ht="18.75" hidden="1" x14ac:dyDescent="0.25">
      <c r="A606" s="674"/>
      <c r="B606" s="718"/>
      <c r="C606" s="718"/>
      <c r="D606" s="718"/>
      <c r="E606" s="767" t="s">
        <v>20</v>
      </c>
      <c r="F606" s="561"/>
      <c r="G606" s="563"/>
      <c r="H606" s="685" t="s">
        <v>14</v>
      </c>
      <c r="I606" s="683"/>
      <c r="J606" s="683"/>
      <c r="K606" s="684"/>
      <c r="L606" s="571">
        <v>0</v>
      </c>
      <c r="M606" s="572">
        <v>0</v>
      </c>
      <c r="N606" s="572">
        <v>0</v>
      </c>
      <c r="O606" s="572">
        <f t="shared" si="368"/>
        <v>0</v>
      </c>
      <c r="P606" s="572">
        <f t="shared" si="369"/>
        <v>0</v>
      </c>
      <c r="Q606" s="572">
        <v>0</v>
      </c>
      <c r="R606" s="572">
        <v>0</v>
      </c>
      <c r="S606" s="572">
        <v>0</v>
      </c>
      <c r="T606" s="572">
        <f t="shared" si="371"/>
        <v>0</v>
      </c>
      <c r="U606" s="572">
        <f t="shared" si="372"/>
        <v>0</v>
      </c>
    </row>
    <row r="607" spans="1:21" ht="18.75" hidden="1" x14ac:dyDescent="0.25">
      <c r="A607" s="674"/>
      <c r="B607" s="718"/>
      <c r="C607" s="718"/>
      <c r="D607" s="561"/>
      <c r="E607" s="767" t="s">
        <v>21</v>
      </c>
      <c r="F607" s="561"/>
      <c r="G607" s="563"/>
      <c r="H607" s="734" t="s">
        <v>14</v>
      </c>
      <c r="I607" s="683"/>
      <c r="J607" s="683"/>
      <c r="K607" s="684"/>
      <c r="L607" s="567">
        <f ca="1">IFERROR(__xludf.DUMMYFUNCTION("IMPORTRANGE(""https://docs.google.com/spreadsheets/d/1-uDff_7J0KD5mKrp0Vvzr7lt3OU09vwQwhkpOPPYv2Y/edit?usp=sharing"",""งบพรบ!HN14"")"),0)</f>
        <v>0</v>
      </c>
      <c r="M607" s="568">
        <f ca="1">IFERROR(__xludf.DUMMYFUNCTION("IMPORTRANGE(""https://docs.google.com/spreadsheets/d/1-uDff_7J0KD5mKrp0Vvzr7lt3OU09vwQwhkpOPPYv2Y/edit?usp=sharing"",""งบพรบ!HQ14"")"),0)</f>
        <v>0</v>
      </c>
      <c r="N607" s="568">
        <f ca="1">IFERROR(__xludf.DUMMYFUNCTION("IMPORTRANGE(""https://docs.google.com/spreadsheets/d/1-uDff_7J0KD5mKrp0Vvzr7lt3OU09vwQwhkpOPPYv2Y/edit?usp=sharing"",""งบพรบ!HS14"")"),0)</f>
        <v>0</v>
      </c>
      <c r="O607" s="568">
        <f t="shared" ca="1" si="368"/>
        <v>0</v>
      </c>
      <c r="P607" s="568">
        <f t="shared" ca="1" si="369"/>
        <v>0</v>
      </c>
      <c r="Q607" s="568">
        <f ca="1">IFERROR(__xludf.DUMMYFUNCTION("IMPORTRANGE(""https://docs.google.com/spreadsheets/d/1ItG2mGa2ceCfYo0BwxsXqNm01IGEUdYcSSLTEv9YCik/edit?usp=sharing"",""เบิกจ่ายกองทุน!AY14"")"),0)</f>
        <v>0</v>
      </c>
      <c r="R607" s="568">
        <f ca="1">IFERROR(__xludf.DUMMYFUNCTION("IMPORTRANGE(""https://docs.google.com/spreadsheets/d/1ItG2mGa2ceCfYo0BwxsXqNm01IGEUdYcSSLTEv9YCik/edit?usp=sharing"",""เบิกจ่ายกองทุน!AZ14"")"),0)</f>
        <v>0</v>
      </c>
      <c r="S607" s="568">
        <f ca="1">IFERROR(__xludf.DUMMYFUNCTION("IMPORTRANGE(""https://docs.google.com/spreadsheets/d/1ItG2mGa2ceCfYo0BwxsXqNm01IGEUdYcSSLTEv9YCik/edit?usp=sharing"",""เบิกจ่ายกองทุน!BA14"")"),0)</f>
        <v>0</v>
      </c>
      <c r="T607" s="568">
        <f t="shared" ca="1" si="371"/>
        <v>0</v>
      </c>
      <c r="U607" s="568">
        <f t="shared" ca="1" si="372"/>
        <v>0</v>
      </c>
    </row>
    <row r="608" spans="1:21" ht="19.5" hidden="1" x14ac:dyDescent="0.3">
      <c r="A608" s="687"/>
      <c r="B608" s="688"/>
      <c r="C608" s="724" t="s">
        <v>18</v>
      </c>
      <c r="D608" s="801" t="s">
        <v>38</v>
      </c>
      <c r="E608" s="690"/>
      <c r="F608" s="690"/>
      <c r="G608" s="691"/>
      <c r="H608" s="725"/>
      <c r="I608" s="683"/>
      <c r="J608" s="683"/>
      <c r="K608" s="684"/>
      <c r="L608" s="574"/>
      <c r="M608" s="566"/>
      <c r="N608" s="566"/>
      <c r="O608" s="566"/>
      <c r="P608" s="566"/>
      <c r="Q608" s="566"/>
      <c r="R608" s="566"/>
      <c r="S608" s="566"/>
      <c r="T608" s="566"/>
      <c r="U608" s="566"/>
    </row>
    <row r="609" spans="1:21" ht="18.75" hidden="1" x14ac:dyDescent="0.25">
      <c r="A609" s="687"/>
      <c r="B609" s="688"/>
      <c r="C609" s="688"/>
      <c r="D609" s="1042" t="s">
        <v>216</v>
      </c>
      <c r="E609" s="695"/>
      <c r="F609" s="695"/>
      <c r="G609" s="692"/>
      <c r="H609" s="685" t="s">
        <v>99</v>
      </c>
      <c r="I609" s="565"/>
      <c r="J609" s="565"/>
      <c r="K609" s="684"/>
      <c r="L609" s="574"/>
      <c r="M609" s="566"/>
      <c r="N609" s="566"/>
      <c r="O609" s="566"/>
      <c r="P609" s="566"/>
      <c r="Q609" s="566"/>
      <c r="R609" s="566"/>
      <c r="S609" s="566"/>
      <c r="T609" s="566"/>
      <c r="U609" s="566"/>
    </row>
    <row r="610" spans="1:21" ht="19.5" hidden="1" x14ac:dyDescent="0.3">
      <c r="A610" s="687"/>
      <c r="B610" s="688"/>
      <c r="C610" s="688"/>
      <c r="D610" s="1042" t="s">
        <v>217</v>
      </c>
      <c r="E610" s="695"/>
      <c r="F610" s="695"/>
      <c r="G610" s="692"/>
      <c r="H610" s="799" t="s">
        <v>35</v>
      </c>
      <c r="I610" s="565"/>
      <c r="J610" s="565"/>
      <c r="K610" s="684"/>
      <c r="L610" s="574"/>
      <c r="M610" s="566"/>
      <c r="N610" s="566"/>
      <c r="O610" s="566"/>
      <c r="P610" s="566"/>
      <c r="Q610" s="566"/>
      <c r="R610" s="566"/>
      <c r="S610" s="566"/>
      <c r="T610" s="566"/>
      <c r="U610" s="566"/>
    </row>
    <row r="611" spans="1:21" ht="18.75" hidden="1" x14ac:dyDescent="0.25">
      <c r="A611" s="687"/>
      <c r="B611" s="688"/>
      <c r="C611" s="688"/>
      <c r="D611" s="688"/>
      <c r="E611" s="1042" t="s">
        <v>218</v>
      </c>
      <c r="F611" s="695"/>
      <c r="G611" s="692"/>
      <c r="H611" s="734" t="s">
        <v>35</v>
      </c>
      <c r="I611" s="565"/>
      <c r="J611" s="565"/>
      <c r="K611" s="684"/>
      <c r="L611" s="574"/>
      <c r="M611" s="566"/>
      <c r="N611" s="566"/>
      <c r="O611" s="566"/>
      <c r="P611" s="566"/>
      <c r="Q611" s="566"/>
      <c r="R611" s="566"/>
      <c r="S611" s="566"/>
      <c r="T611" s="566"/>
      <c r="U611" s="566"/>
    </row>
    <row r="612" spans="1:21" ht="19.5" hidden="1" thickBot="1" x14ac:dyDescent="0.3">
      <c r="A612" s="1043"/>
      <c r="B612" s="1044"/>
      <c r="C612" s="1044"/>
      <c r="D612" s="1044"/>
      <c r="E612" s="1045" t="s">
        <v>219</v>
      </c>
      <c r="F612" s="1046"/>
      <c r="G612" s="1047"/>
      <c r="H612" s="1048" t="s">
        <v>35</v>
      </c>
      <c r="I612" s="1049"/>
      <c r="J612" s="1049"/>
      <c r="K612" s="1050"/>
      <c r="L612" s="1051"/>
      <c r="M612" s="1052"/>
      <c r="N612" s="1052"/>
      <c r="O612" s="1052"/>
      <c r="P612" s="1052"/>
      <c r="Q612" s="1052"/>
      <c r="R612" s="1052"/>
      <c r="S612" s="1052"/>
      <c r="T612" s="1052"/>
      <c r="U612" s="1052"/>
    </row>
    <row r="613" spans="1:21" ht="19.5" x14ac:dyDescent="0.3">
      <c r="A613" s="1053" t="s">
        <v>220</v>
      </c>
      <c r="B613" s="1054"/>
      <c r="C613" s="1054"/>
      <c r="D613" s="1055"/>
      <c r="E613" s="1055"/>
      <c r="F613" s="1055"/>
      <c r="G613" s="1056"/>
      <c r="H613" s="1057"/>
      <c r="I613" s="1058"/>
      <c r="J613" s="1058"/>
      <c r="K613" s="1059"/>
      <c r="L613" s="1060"/>
      <c r="M613" s="1059"/>
      <c r="N613" s="1059"/>
      <c r="O613" s="1059"/>
      <c r="P613" s="1059"/>
      <c r="Q613" s="1059"/>
      <c r="R613" s="1059"/>
      <c r="S613" s="1059"/>
      <c r="T613" s="1059"/>
      <c r="U613" s="1059"/>
    </row>
    <row r="614" spans="1:21" ht="19.5" x14ac:dyDescent="0.3">
      <c r="A614" s="1061"/>
      <c r="B614" s="1062" t="s">
        <v>221</v>
      </c>
      <c r="C614" s="1061"/>
      <c r="D614" s="1063"/>
      <c r="E614" s="1063"/>
      <c r="F614" s="1063"/>
      <c r="G614" s="1064"/>
      <c r="H614" s="1065"/>
      <c r="I614" s="1066"/>
      <c r="J614" s="1066"/>
      <c r="K614" s="1067"/>
      <c r="L614" s="1068"/>
      <c r="M614" s="1067"/>
      <c r="N614" s="1067"/>
      <c r="O614" s="1067"/>
      <c r="P614" s="1067"/>
      <c r="Q614" s="1067"/>
      <c r="R614" s="1067"/>
      <c r="S614" s="1067"/>
      <c r="T614" s="1067"/>
      <c r="U614" s="1067"/>
    </row>
    <row r="615" spans="1:21" ht="19.5" x14ac:dyDescent="0.3">
      <c r="A615" s="1069"/>
      <c r="B615" s="1070" t="s">
        <v>222</v>
      </c>
      <c r="C615" s="1069"/>
      <c r="D615" s="1071"/>
      <c r="E615" s="1071"/>
      <c r="F615" s="1071"/>
      <c r="G615" s="1072"/>
      <c r="H615" s="1073" t="s">
        <v>46</v>
      </c>
      <c r="I615" s="1074">
        <f t="shared" ref="I615:J615" ca="1" si="379">I626</f>
        <v>0</v>
      </c>
      <c r="J615" s="1074">
        <f t="shared" si="379"/>
        <v>0</v>
      </c>
      <c r="K615" s="1075">
        <f ca="1">IF(I615&gt;0,J615*100/I615,0)</f>
        <v>0</v>
      </c>
      <c r="L615" s="1076"/>
      <c r="M615" s="1077"/>
      <c r="N615" s="1077"/>
      <c r="O615" s="1077"/>
      <c r="P615" s="1077"/>
      <c r="Q615" s="1077"/>
      <c r="R615" s="1077"/>
      <c r="S615" s="1077"/>
      <c r="T615" s="1077"/>
      <c r="U615" s="1077"/>
    </row>
    <row r="616" spans="1:21" ht="19.5" x14ac:dyDescent="0.3">
      <c r="A616" s="674"/>
      <c r="B616" s="718"/>
      <c r="C616" s="724" t="s">
        <v>18</v>
      </c>
      <c r="D616" s="1310" t="s">
        <v>19</v>
      </c>
      <c r="E616" s="1311"/>
      <c r="F616" s="1311"/>
      <c r="G616" s="1312"/>
      <c r="H616" s="780" t="s">
        <v>14</v>
      </c>
      <c r="I616" s="565"/>
      <c r="J616" s="565"/>
      <c r="K616" s="566"/>
      <c r="L616" s="678">
        <f t="shared" ref="L616:N616" si="380">L617+L618</f>
        <v>0</v>
      </c>
      <c r="M616" s="679">
        <f t="shared" si="380"/>
        <v>0</v>
      </c>
      <c r="N616" s="679">
        <f t="shared" si="380"/>
        <v>0</v>
      </c>
      <c r="O616" s="679">
        <f t="shared" ref="O616:O624" si="381">IF(L616&gt;0,N616*100/L616,0)</f>
        <v>0</v>
      </c>
      <c r="P616" s="679">
        <f t="shared" ref="P616:P624" si="382">IF(M616&gt;0,N616*100/M616,0)</f>
        <v>0</v>
      </c>
      <c r="Q616" s="679">
        <f t="shared" ref="Q616:S616" ca="1" si="383">Q617+Q618</f>
        <v>1875</v>
      </c>
      <c r="R616" s="679">
        <f t="shared" ca="1" si="383"/>
        <v>1875</v>
      </c>
      <c r="S616" s="679">
        <f t="shared" ca="1" si="383"/>
        <v>600</v>
      </c>
      <c r="T616" s="679">
        <f t="shared" ref="T616:T624" ca="1" si="384">IF(Q616&gt;0,S616*100/Q616,0)</f>
        <v>32</v>
      </c>
      <c r="U616" s="679">
        <f t="shared" ref="U616:U624" ca="1" si="385">IF(R616&gt;0,S616*100/R616,0)</f>
        <v>32</v>
      </c>
    </row>
    <row r="617" spans="1:21" ht="18.75" x14ac:dyDescent="0.25">
      <c r="A617" s="674"/>
      <c r="B617" s="718"/>
      <c r="C617" s="718"/>
      <c r="D617" s="695"/>
      <c r="E617" s="569" t="s">
        <v>158</v>
      </c>
      <c r="F617" s="561"/>
      <c r="G617" s="563"/>
      <c r="H617" s="685" t="s">
        <v>14</v>
      </c>
      <c r="I617" s="565"/>
      <c r="J617" s="565"/>
      <c r="K617" s="566"/>
      <c r="L617" s="571">
        <f t="shared" ref="L617:N618" si="386">L620+L623</f>
        <v>0</v>
      </c>
      <c r="M617" s="572">
        <f t="shared" si="386"/>
        <v>0</v>
      </c>
      <c r="N617" s="572">
        <f t="shared" si="386"/>
        <v>0</v>
      </c>
      <c r="O617" s="572">
        <f t="shared" si="381"/>
        <v>0</v>
      </c>
      <c r="P617" s="572">
        <f t="shared" si="382"/>
        <v>0</v>
      </c>
      <c r="Q617" s="572">
        <f t="shared" ref="Q617:S618" si="387">Q620+Q623</f>
        <v>0</v>
      </c>
      <c r="R617" s="572">
        <f t="shared" si="387"/>
        <v>0</v>
      </c>
      <c r="S617" s="572">
        <f t="shared" si="387"/>
        <v>0</v>
      </c>
      <c r="T617" s="572">
        <f t="shared" si="384"/>
        <v>0</v>
      </c>
      <c r="U617" s="572">
        <f t="shared" si="385"/>
        <v>0</v>
      </c>
    </row>
    <row r="618" spans="1:21" ht="18.75" x14ac:dyDescent="0.25">
      <c r="A618" s="674"/>
      <c r="B618" s="718"/>
      <c r="C618" s="718"/>
      <c r="D618" s="695"/>
      <c r="E618" s="573" t="s">
        <v>159</v>
      </c>
      <c r="F618" s="561"/>
      <c r="G618" s="563"/>
      <c r="H618" s="682" t="s">
        <v>14</v>
      </c>
      <c r="I618" s="565"/>
      <c r="J618" s="565"/>
      <c r="K618" s="566"/>
      <c r="L618" s="567">
        <f t="shared" si="386"/>
        <v>0</v>
      </c>
      <c r="M618" s="568">
        <f t="shared" si="386"/>
        <v>0</v>
      </c>
      <c r="N618" s="568">
        <f t="shared" si="386"/>
        <v>0</v>
      </c>
      <c r="O618" s="568">
        <f t="shared" si="381"/>
        <v>0</v>
      </c>
      <c r="P618" s="568">
        <f t="shared" si="382"/>
        <v>0</v>
      </c>
      <c r="Q618" s="568">
        <f t="shared" ca="1" si="387"/>
        <v>1875</v>
      </c>
      <c r="R618" s="568">
        <f t="shared" ca="1" si="387"/>
        <v>1875</v>
      </c>
      <c r="S618" s="568">
        <f t="shared" ca="1" si="387"/>
        <v>600</v>
      </c>
      <c r="T618" s="568">
        <f t="shared" ca="1" si="384"/>
        <v>32</v>
      </c>
      <c r="U618" s="568">
        <f t="shared" ca="1" si="385"/>
        <v>32</v>
      </c>
    </row>
    <row r="619" spans="1:21" ht="18.75" x14ac:dyDescent="0.25">
      <c r="A619" s="674"/>
      <c r="B619" s="718"/>
      <c r="C619" s="718"/>
      <c r="D619" s="562" t="s">
        <v>22</v>
      </c>
      <c r="E619" s="561"/>
      <c r="F619" s="561"/>
      <c r="G619" s="563"/>
      <c r="H619" s="682" t="s">
        <v>14</v>
      </c>
      <c r="I619" s="683"/>
      <c r="J619" s="683"/>
      <c r="K619" s="684"/>
      <c r="L619" s="567">
        <f t="shared" ref="L619:N619" si="388">L620+L621</f>
        <v>0</v>
      </c>
      <c r="M619" s="568">
        <f t="shared" si="388"/>
        <v>0</v>
      </c>
      <c r="N619" s="568">
        <f t="shared" si="388"/>
        <v>0</v>
      </c>
      <c r="O619" s="568">
        <f t="shared" si="381"/>
        <v>0</v>
      </c>
      <c r="P619" s="568">
        <f t="shared" si="382"/>
        <v>0</v>
      </c>
      <c r="Q619" s="568">
        <f t="shared" ref="Q619:S619" ca="1" si="389">Q620+Q621</f>
        <v>1875</v>
      </c>
      <c r="R619" s="568">
        <f t="shared" ca="1" si="389"/>
        <v>1875</v>
      </c>
      <c r="S619" s="568">
        <f t="shared" ca="1" si="389"/>
        <v>600</v>
      </c>
      <c r="T619" s="568">
        <f t="shared" ca="1" si="384"/>
        <v>32</v>
      </c>
      <c r="U619" s="568">
        <f t="shared" ca="1" si="385"/>
        <v>32</v>
      </c>
    </row>
    <row r="620" spans="1:21" ht="18.75" x14ac:dyDescent="0.25">
      <c r="A620" s="674"/>
      <c r="B620" s="718"/>
      <c r="C620" s="718"/>
      <c r="D620" s="695"/>
      <c r="E620" s="569" t="s">
        <v>158</v>
      </c>
      <c r="F620" s="561"/>
      <c r="G620" s="563"/>
      <c r="H620" s="685" t="s">
        <v>14</v>
      </c>
      <c r="I620" s="565"/>
      <c r="J620" s="565"/>
      <c r="K620" s="566"/>
      <c r="L620" s="571">
        <v>0</v>
      </c>
      <c r="M620" s="572">
        <v>0</v>
      </c>
      <c r="N620" s="572">
        <v>0</v>
      </c>
      <c r="O620" s="572">
        <f t="shared" si="381"/>
        <v>0</v>
      </c>
      <c r="P620" s="572">
        <f t="shared" si="382"/>
        <v>0</v>
      </c>
      <c r="Q620" s="572">
        <v>0</v>
      </c>
      <c r="R620" s="572">
        <v>0</v>
      </c>
      <c r="S620" s="572">
        <v>0</v>
      </c>
      <c r="T620" s="572">
        <f t="shared" si="384"/>
        <v>0</v>
      </c>
      <c r="U620" s="572">
        <f t="shared" si="385"/>
        <v>0</v>
      </c>
    </row>
    <row r="621" spans="1:21" ht="18.75" x14ac:dyDescent="0.25">
      <c r="A621" s="674"/>
      <c r="B621" s="718"/>
      <c r="C621" s="718"/>
      <c r="D621" s="695"/>
      <c r="E621" s="573" t="s">
        <v>159</v>
      </c>
      <c r="F621" s="561"/>
      <c r="G621" s="563"/>
      <c r="H621" s="682" t="s">
        <v>14</v>
      </c>
      <c r="I621" s="565"/>
      <c r="J621" s="565"/>
      <c r="K621" s="566"/>
      <c r="L621" s="567">
        <v>0</v>
      </c>
      <c r="M621" s="568">
        <v>0</v>
      </c>
      <c r="N621" s="568">
        <v>0</v>
      </c>
      <c r="O621" s="568">
        <f t="shared" si="381"/>
        <v>0</v>
      </c>
      <c r="P621" s="568">
        <f t="shared" si="382"/>
        <v>0</v>
      </c>
      <c r="Q621" s="568">
        <f ca="1">IFERROR(__xludf.DUMMYFUNCTION("IMPORTRANGE(""https://docs.google.com/spreadsheets/d/1ItG2mGa2ceCfYo0BwxsXqNm01IGEUdYcSSLTEv9YCik/edit?usp=sharing"",""เบิกจ่ายกองทุน!F14"")"),1875)</f>
        <v>1875</v>
      </c>
      <c r="R621" s="568">
        <f ca="1">IFERROR(__xludf.DUMMYFUNCTION("IMPORTRANGE(""https://docs.google.com/spreadsheets/d/1ItG2mGa2ceCfYo0BwxsXqNm01IGEUdYcSSLTEv9YCik/edit?usp=sharing"",""เบิกจ่ายกองทุน!G14"")"),1875)</f>
        <v>1875</v>
      </c>
      <c r="S621" s="568">
        <f ca="1">IFERROR(__xludf.DUMMYFUNCTION("IMPORTRANGE(""https://docs.google.com/spreadsheets/d/1ItG2mGa2ceCfYo0BwxsXqNm01IGEUdYcSSLTEv9YCik/edit?usp=sharing"",""เบิกจ่ายกองทุน!H14"")"),600)</f>
        <v>600</v>
      </c>
      <c r="T621" s="568">
        <f t="shared" ca="1" si="384"/>
        <v>32</v>
      </c>
      <c r="U621" s="568">
        <f t="shared" ca="1" si="385"/>
        <v>32</v>
      </c>
    </row>
    <row r="622" spans="1:21" ht="18.75" x14ac:dyDescent="0.25">
      <c r="A622" s="674"/>
      <c r="B622" s="718"/>
      <c r="C622" s="718"/>
      <c r="D622" s="562" t="s">
        <v>23</v>
      </c>
      <c r="E622" s="561"/>
      <c r="F622" s="561"/>
      <c r="G622" s="563"/>
      <c r="H622" s="686" t="s">
        <v>14</v>
      </c>
      <c r="I622" s="683"/>
      <c r="J622" s="683"/>
      <c r="K622" s="684"/>
      <c r="L622" s="567">
        <f t="shared" ref="L622:N622" si="390">L623+L624</f>
        <v>0</v>
      </c>
      <c r="M622" s="568">
        <f t="shared" si="390"/>
        <v>0</v>
      </c>
      <c r="N622" s="568">
        <f t="shared" si="390"/>
        <v>0</v>
      </c>
      <c r="O622" s="568">
        <f t="shared" si="381"/>
        <v>0</v>
      </c>
      <c r="P622" s="568">
        <f t="shared" si="382"/>
        <v>0</v>
      </c>
      <c r="Q622" s="568">
        <f t="shared" ref="Q622:S622" si="391">Q623+Q624</f>
        <v>0</v>
      </c>
      <c r="R622" s="568">
        <f t="shared" si="391"/>
        <v>0</v>
      </c>
      <c r="S622" s="568">
        <f t="shared" si="391"/>
        <v>0</v>
      </c>
      <c r="T622" s="568">
        <f t="shared" si="384"/>
        <v>0</v>
      </c>
      <c r="U622" s="568">
        <f t="shared" si="385"/>
        <v>0</v>
      </c>
    </row>
    <row r="623" spans="1:21" ht="18.75" x14ac:dyDescent="0.25">
      <c r="A623" s="674"/>
      <c r="B623" s="718"/>
      <c r="C623" s="718"/>
      <c r="D623" s="718"/>
      <c r="E623" s="569" t="s">
        <v>20</v>
      </c>
      <c r="F623" s="561"/>
      <c r="G623" s="563"/>
      <c r="H623" s="685" t="s">
        <v>14</v>
      </c>
      <c r="I623" s="683"/>
      <c r="J623" s="683"/>
      <c r="K623" s="684"/>
      <c r="L623" s="571">
        <v>0</v>
      </c>
      <c r="M623" s="572">
        <v>0</v>
      </c>
      <c r="N623" s="572">
        <v>0</v>
      </c>
      <c r="O623" s="572">
        <f t="shared" si="381"/>
        <v>0</v>
      </c>
      <c r="P623" s="572">
        <f t="shared" si="382"/>
        <v>0</v>
      </c>
      <c r="Q623" s="572">
        <v>0</v>
      </c>
      <c r="R623" s="572">
        <v>0</v>
      </c>
      <c r="S623" s="572">
        <v>0</v>
      </c>
      <c r="T623" s="572">
        <f t="shared" si="384"/>
        <v>0</v>
      </c>
      <c r="U623" s="572">
        <f t="shared" si="385"/>
        <v>0</v>
      </c>
    </row>
    <row r="624" spans="1:21" ht="18.75" x14ac:dyDescent="0.25">
      <c r="A624" s="674"/>
      <c r="B624" s="718"/>
      <c r="C624" s="718"/>
      <c r="D624" s="718"/>
      <c r="E624" s="573" t="s">
        <v>21</v>
      </c>
      <c r="F624" s="561"/>
      <c r="G624" s="563"/>
      <c r="H624" s="686" t="s">
        <v>14</v>
      </c>
      <c r="I624" s="683"/>
      <c r="J624" s="683"/>
      <c r="K624" s="684"/>
      <c r="L624" s="567">
        <v>0</v>
      </c>
      <c r="M624" s="568">
        <v>0</v>
      </c>
      <c r="N624" s="568">
        <v>0</v>
      </c>
      <c r="O624" s="568">
        <f t="shared" si="381"/>
        <v>0</v>
      </c>
      <c r="P624" s="568">
        <f t="shared" si="382"/>
        <v>0</v>
      </c>
      <c r="Q624" s="568">
        <v>0</v>
      </c>
      <c r="R624" s="568">
        <v>0</v>
      </c>
      <c r="S624" s="568">
        <v>0</v>
      </c>
      <c r="T624" s="568">
        <f t="shared" si="384"/>
        <v>0</v>
      </c>
      <c r="U624" s="568">
        <f t="shared" si="385"/>
        <v>0</v>
      </c>
    </row>
    <row r="625" spans="1:21" ht="19.5" x14ac:dyDescent="0.3">
      <c r="A625" s="687"/>
      <c r="B625" s="688"/>
      <c r="C625" s="724" t="s">
        <v>18</v>
      </c>
      <c r="D625" s="1078" t="s">
        <v>38</v>
      </c>
      <c r="E625" s="690"/>
      <c r="F625" s="690"/>
      <c r="G625" s="691"/>
      <c r="H625" s="725"/>
      <c r="I625" s="683"/>
      <c r="J625" s="683"/>
      <c r="K625" s="684"/>
      <c r="L625" s="693"/>
      <c r="M625" s="684"/>
      <c r="N625" s="684"/>
      <c r="O625" s="684"/>
      <c r="P625" s="684"/>
      <c r="Q625" s="684"/>
      <c r="R625" s="684"/>
      <c r="S625" s="684"/>
      <c r="T625" s="684"/>
      <c r="U625" s="684"/>
    </row>
    <row r="626" spans="1:21" ht="19.5" x14ac:dyDescent="0.3">
      <c r="A626" s="687"/>
      <c r="B626" s="688"/>
      <c r="C626" s="688"/>
      <c r="D626" s="1079" t="s">
        <v>223</v>
      </c>
      <c r="E626" s="695"/>
      <c r="F626" s="695"/>
      <c r="G626" s="692"/>
      <c r="H626" s="1080" t="s">
        <v>46</v>
      </c>
      <c r="I626" s="697">
        <f ca="1">IFERROR(__xludf.DUMMYFUNCTION("IMPORTRANGE(""https://docs.google.com/spreadsheets/d/1eHaY18a8A9IcSdp1K8H6x8fbOy06t2VsZHhMHf-1x7Y/edit?usp=sharing"",""แผน!ID14"")"),0)</f>
        <v>0</v>
      </c>
      <c r="J626" s="697">
        <f>J632</f>
        <v>0</v>
      </c>
      <c r="K626" s="679">
        <f ca="1">IF(I626&gt;0,J626*100/I626,0)</f>
        <v>0</v>
      </c>
      <c r="L626" s="693"/>
      <c r="M626" s="684"/>
      <c r="N626" s="684"/>
      <c r="O626" s="684"/>
      <c r="P626" s="684"/>
      <c r="Q626" s="684"/>
      <c r="R626" s="684"/>
      <c r="S626" s="684"/>
      <c r="T626" s="684"/>
      <c r="U626" s="684"/>
    </row>
    <row r="627" spans="1:21" ht="18.75" x14ac:dyDescent="0.25">
      <c r="A627" s="687"/>
      <c r="B627" s="688"/>
      <c r="C627" s="688"/>
      <c r="D627" s="688"/>
      <c r="E627" s="699" t="s">
        <v>224</v>
      </c>
      <c r="F627" s="695"/>
      <c r="G627" s="692"/>
      <c r="H627" s="686" t="s">
        <v>61</v>
      </c>
      <c r="I627" s="708">
        <f ca="1">IFERROR(__xludf.DUMMYFUNCTION("IMPORTRANGE(""https://docs.google.com/spreadsheets/d/1eHaY18a8A9IcSdp1K8H6x8fbOy06t2VsZHhMHf-1x7Y/edit?usp=sharing"",""แผน!IC14"")"),1)</f>
        <v>1</v>
      </c>
      <c r="J627" s="702">
        <v>1</v>
      </c>
      <c r="K627" s="568">
        <f t="shared" ref="K627:K628" ca="1" si="392">IF(I627&gt;0,(J627*100)/I627,0)</f>
        <v>100</v>
      </c>
      <c r="L627" s="693"/>
      <c r="M627" s="684"/>
      <c r="N627" s="684"/>
      <c r="O627" s="684"/>
      <c r="P627" s="684"/>
      <c r="Q627" s="684"/>
      <c r="R627" s="684"/>
      <c r="S627" s="684"/>
      <c r="T627" s="684"/>
      <c r="U627" s="684"/>
    </row>
    <row r="628" spans="1:21" ht="18.75" x14ac:dyDescent="0.25">
      <c r="A628" s="687"/>
      <c r="B628" s="688"/>
      <c r="C628" s="688"/>
      <c r="D628" s="688"/>
      <c r="E628" s="699" t="s">
        <v>225</v>
      </c>
      <c r="F628" s="695"/>
      <c r="G628" s="692"/>
      <c r="H628" s="686" t="s">
        <v>61</v>
      </c>
      <c r="I628" s="708">
        <f ca="1">IFERROR(__xludf.DUMMYFUNCTION("IMPORTRANGE(""https://docs.google.com/spreadsheets/d/1eHaY18a8A9IcSdp1K8H6x8fbOy06t2VsZHhMHf-1x7Y/edit?usp=sharing"",""แผน!IC14"")"),1)</f>
        <v>1</v>
      </c>
      <c r="J628" s="702">
        <v>1</v>
      </c>
      <c r="K628" s="568">
        <f t="shared" ca="1" si="392"/>
        <v>100</v>
      </c>
      <c r="L628" s="693"/>
      <c r="M628" s="684"/>
      <c r="N628" s="684"/>
      <c r="O628" s="684"/>
      <c r="P628" s="684"/>
      <c r="Q628" s="684"/>
      <c r="R628" s="684"/>
      <c r="S628" s="684"/>
      <c r="T628" s="684"/>
      <c r="U628" s="684"/>
    </row>
    <row r="629" spans="1:21" ht="18.75" x14ac:dyDescent="0.25">
      <c r="A629" s="687"/>
      <c r="B629" s="688"/>
      <c r="C629" s="688"/>
      <c r="D629" s="688"/>
      <c r="E629" s="699" t="s">
        <v>226</v>
      </c>
      <c r="F629" s="695"/>
      <c r="G629" s="692"/>
      <c r="H629" s="686" t="s">
        <v>46</v>
      </c>
      <c r="I629" s="565"/>
      <c r="J629" s="702">
        <v>0</v>
      </c>
      <c r="K629" s="568">
        <f t="shared" ref="K629:K631" ca="1" si="393">IF(I$626&gt;0,J629*100/I$626,0)</f>
        <v>0</v>
      </c>
      <c r="L629" s="693"/>
      <c r="M629" s="684"/>
      <c r="N629" s="684"/>
      <c r="O629" s="684"/>
      <c r="P629" s="684"/>
      <c r="Q629" s="684"/>
      <c r="R629" s="684"/>
      <c r="S629" s="684"/>
      <c r="T629" s="684"/>
      <c r="U629" s="684"/>
    </row>
    <row r="630" spans="1:21" ht="18.75" x14ac:dyDescent="0.25">
      <c r="A630" s="687"/>
      <c r="B630" s="688"/>
      <c r="C630" s="688"/>
      <c r="D630" s="688"/>
      <c r="E630" s="699" t="s">
        <v>227</v>
      </c>
      <c r="F630" s="695"/>
      <c r="G630" s="692"/>
      <c r="H630" s="686" t="s">
        <v>46</v>
      </c>
      <c r="I630" s="565"/>
      <c r="J630" s="702">
        <v>0</v>
      </c>
      <c r="K630" s="568">
        <f t="shared" ca="1" si="393"/>
        <v>0</v>
      </c>
      <c r="L630" s="693"/>
      <c r="M630" s="684"/>
      <c r="N630" s="684"/>
      <c r="O630" s="684"/>
      <c r="P630" s="684"/>
      <c r="Q630" s="684"/>
      <c r="R630" s="684"/>
      <c r="S630" s="684"/>
      <c r="T630" s="684"/>
      <c r="U630" s="684"/>
    </row>
    <row r="631" spans="1:21" ht="18.75" x14ac:dyDescent="0.25">
      <c r="A631" s="687"/>
      <c r="B631" s="688"/>
      <c r="C631" s="688"/>
      <c r="D631" s="688"/>
      <c r="E631" s="699" t="s">
        <v>228</v>
      </c>
      <c r="F631" s="695"/>
      <c r="G631" s="692"/>
      <c r="H631" s="686" t="s">
        <v>46</v>
      </c>
      <c r="I631" s="565"/>
      <c r="J631" s="702">
        <v>0</v>
      </c>
      <c r="K631" s="568">
        <f t="shared" ca="1" si="393"/>
        <v>0</v>
      </c>
      <c r="L631" s="693"/>
      <c r="M631" s="684"/>
      <c r="N631" s="684"/>
      <c r="O631" s="684"/>
      <c r="P631" s="684"/>
      <c r="Q631" s="684"/>
      <c r="R631" s="684"/>
      <c r="S631" s="684"/>
      <c r="T631" s="684"/>
      <c r="U631" s="684"/>
    </row>
    <row r="632" spans="1:21" ht="19.5" x14ac:dyDescent="0.3">
      <c r="A632" s="687"/>
      <c r="B632" s="688"/>
      <c r="C632" s="688"/>
      <c r="D632" s="688"/>
      <c r="E632" s="699" t="s">
        <v>229</v>
      </c>
      <c r="F632" s="695"/>
      <c r="G632" s="692"/>
      <c r="H632" s="686" t="s">
        <v>46</v>
      </c>
      <c r="I632" s="565"/>
      <c r="J632" s="697">
        <f>J633+J634</f>
        <v>0</v>
      </c>
      <c r="K632" s="679">
        <f ca="1">IF(I626&gt;0,J632*100/I626,0)</f>
        <v>0</v>
      </c>
      <c r="L632" s="693"/>
      <c r="M632" s="684"/>
      <c r="N632" s="684"/>
      <c r="O632" s="684"/>
      <c r="P632" s="684"/>
      <c r="Q632" s="684"/>
      <c r="R632" s="684"/>
      <c r="S632" s="684"/>
      <c r="T632" s="684"/>
      <c r="U632" s="684"/>
    </row>
    <row r="633" spans="1:21" ht="18.75" x14ac:dyDescent="0.25">
      <c r="A633" s="687"/>
      <c r="B633" s="688"/>
      <c r="C633" s="688"/>
      <c r="D633" s="688"/>
      <c r="E633" s="695"/>
      <c r="F633" s="699" t="s">
        <v>230</v>
      </c>
      <c r="G633" s="692"/>
      <c r="H633" s="686" t="s">
        <v>46</v>
      </c>
      <c r="I633" s="565"/>
      <c r="J633" s="702">
        <v>0</v>
      </c>
      <c r="K633" s="566"/>
      <c r="L633" s="693"/>
      <c r="M633" s="684"/>
      <c r="N633" s="684"/>
      <c r="O633" s="684"/>
      <c r="P633" s="684"/>
      <c r="Q633" s="684"/>
      <c r="R633" s="684"/>
      <c r="S633" s="684"/>
      <c r="T633" s="684"/>
      <c r="U633" s="684"/>
    </row>
    <row r="634" spans="1:21" ht="18.75" x14ac:dyDescent="0.25">
      <c r="A634" s="687"/>
      <c r="B634" s="688"/>
      <c r="C634" s="688"/>
      <c r="D634" s="688"/>
      <c r="E634" s="695"/>
      <c r="F634" s="699" t="s">
        <v>231</v>
      </c>
      <c r="G634" s="692"/>
      <c r="H634" s="686" t="s">
        <v>46</v>
      </c>
      <c r="I634" s="565"/>
      <c r="J634" s="702">
        <v>0</v>
      </c>
      <c r="K634" s="566"/>
      <c r="L634" s="693"/>
      <c r="M634" s="684"/>
      <c r="N634" s="684"/>
      <c r="O634" s="684"/>
      <c r="P634" s="684"/>
      <c r="Q634" s="684"/>
      <c r="R634" s="684"/>
      <c r="S634" s="684"/>
      <c r="T634" s="684"/>
      <c r="U634" s="684"/>
    </row>
    <row r="635" spans="1:21" ht="19.5" x14ac:dyDescent="0.3">
      <c r="A635" s="687"/>
      <c r="B635" s="688"/>
      <c r="C635" s="688"/>
      <c r="D635" s="1079" t="s">
        <v>232</v>
      </c>
      <c r="E635" s="695"/>
      <c r="F635" s="695"/>
      <c r="G635" s="692"/>
      <c r="H635" s="686" t="s">
        <v>46</v>
      </c>
      <c r="I635" s="697">
        <f ca="1">IFERROR(__xludf.DUMMYFUNCTION("IMPORTRANGE(""https://docs.google.com/spreadsheets/d/1eHaY18a8A9IcSdp1K8H6x8fbOy06t2VsZHhMHf-1x7Y/edit?usp=sharing"",""แผน!IE14"")"),0)</f>
        <v>0</v>
      </c>
      <c r="J635" s="697">
        <f>J636</f>
        <v>0</v>
      </c>
      <c r="K635" s="679">
        <f ca="1">IF(I635&gt;0,J635*100/I635,0)</f>
        <v>0</v>
      </c>
      <c r="L635" s="693"/>
      <c r="M635" s="684"/>
      <c r="N635" s="684"/>
      <c r="O635" s="684"/>
      <c r="P635" s="684"/>
      <c r="Q635" s="684"/>
      <c r="R635" s="684"/>
      <c r="S635" s="684"/>
      <c r="T635" s="684"/>
      <c r="U635" s="684"/>
    </row>
    <row r="636" spans="1:21" ht="18.75" x14ac:dyDescent="0.25">
      <c r="A636" s="687"/>
      <c r="B636" s="688"/>
      <c r="C636" s="688"/>
      <c r="D636" s="688"/>
      <c r="E636" s="699" t="s">
        <v>233</v>
      </c>
      <c r="F636" s="695"/>
      <c r="G636" s="692"/>
      <c r="H636" s="686" t="s">
        <v>46</v>
      </c>
      <c r="I636" s="565"/>
      <c r="J636" s="708">
        <f>J637+J638</f>
        <v>0</v>
      </c>
      <c r="K636" s="566"/>
      <c r="L636" s="693"/>
      <c r="M636" s="684"/>
      <c r="N636" s="684"/>
      <c r="O636" s="684"/>
      <c r="P636" s="684"/>
      <c r="Q636" s="684"/>
      <c r="R636" s="684"/>
      <c r="S636" s="684"/>
      <c r="T636" s="684"/>
      <c r="U636" s="684"/>
    </row>
    <row r="637" spans="1:21" ht="18.75" x14ac:dyDescent="0.25">
      <c r="A637" s="687"/>
      <c r="B637" s="688"/>
      <c r="C637" s="688"/>
      <c r="D637" s="688"/>
      <c r="E637" s="695"/>
      <c r="F637" s="699" t="s">
        <v>230</v>
      </c>
      <c r="G637" s="692"/>
      <c r="H637" s="686" t="s">
        <v>46</v>
      </c>
      <c r="I637" s="565"/>
      <c r="J637" s="702">
        <v>0</v>
      </c>
      <c r="K637" s="566"/>
      <c r="L637" s="693"/>
      <c r="M637" s="684"/>
      <c r="N637" s="684"/>
      <c r="O637" s="684"/>
      <c r="P637" s="684"/>
      <c r="Q637" s="684"/>
      <c r="R637" s="684"/>
      <c r="S637" s="684"/>
      <c r="T637" s="684"/>
      <c r="U637" s="684"/>
    </row>
    <row r="638" spans="1:21" ht="18.75" x14ac:dyDescent="0.25">
      <c r="A638" s="687"/>
      <c r="B638" s="688"/>
      <c r="C638" s="688"/>
      <c r="D638" s="688"/>
      <c r="E638" s="695"/>
      <c r="F638" s="699" t="s">
        <v>231</v>
      </c>
      <c r="G638" s="692"/>
      <c r="H638" s="686" t="s">
        <v>46</v>
      </c>
      <c r="I638" s="565"/>
      <c r="J638" s="702">
        <v>0</v>
      </c>
      <c r="K638" s="566"/>
      <c r="L638" s="693"/>
      <c r="M638" s="684"/>
      <c r="N638" s="684"/>
      <c r="O638" s="684"/>
      <c r="P638" s="684"/>
      <c r="Q638" s="684"/>
      <c r="R638" s="684"/>
      <c r="S638" s="684"/>
      <c r="T638" s="684"/>
      <c r="U638" s="684"/>
    </row>
    <row r="639" spans="1:21" ht="18.75" x14ac:dyDescent="0.25">
      <c r="A639" s="687"/>
      <c r="B639" s="688"/>
      <c r="C639" s="688"/>
      <c r="D639" s="688"/>
      <c r="E639" s="699" t="s">
        <v>234</v>
      </c>
      <c r="F639" s="695"/>
      <c r="G639" s="692"/>
      <c r="H639" s="686" t="s">
        <v>46</v>
      </c>
      <c r="I639" s="565"/>
      <c r="J639" s="702">
        <v>0</v>
      </c>
      <c r="K639" s="566"/>
      <c r="L639" s="693"/>
      <c r="M639" s="684"/>
      <c r="N639" s="684"/>
      <c r="O639" s="684"/>
      <c r="P639" s="684"/>
      <c r="Q639" s="684"/>
      <c r="R639" s="684"/>
      <c r="S639" s="684"/>
      <c r="T639" s="684"/>
      <c r="U639" s="684"/>
    </row>
    <row r="640" spans="1:21" ht="18.75" x14ac:dyDescent="0.25">
      <c r="A640" s="687"/>
      <c r="B640" s="688"/>
      <c r="C640" s="688"/>
      <c r="D640" s="688"/>
      <c r="E640" s="695"/>
      <c r="F640" s="699" t="s">
        <v>235</v>
      </c>
      <c r="G640" s="692"/>
      <c r="H640" s="686" t="s">
        <v>46</v>
      </c>
      <c r="I640" s="565"/>
      <c r="J640" s="702">
        <v>0</v>
      </c>
      <c r="K640" s="566"/>
      <c r="L640" s="693"/>
      <c r="M640" s="684"/>
      <c r="N640" s="684"/>
      <c r="O640" s="684"/>
      <c r="P640" s="684"/>
      <c r="Q640" s="684"/>
      <c r="R640" s="684"/>
      <c r="S640" s="684"/>
      <c r="T640" s="684"/>
      <c r="U640" s="684"/>
    </row>
    <row r="641" spans="1:21" ht="19.5" x14ac:dyDescent="0.3">
      <c r="A641" s="1069"/>
      <c r="B641" s="1070" t="s">
        <v>236</v>
      </c>
      <c r="C641" s="1069"/>
      <c r="D641" s="1071"/>
      <c r="E641" s="1071"/>
      <c r="F641" s="1071"/>
      <c r="G641" s="1072"/>
      <c r="H641" s="1081"/>
      <c r="I641" s="1082"/>
      <c r="J641" s="1082"/>
      <c r="K641" s="1077"/>
      <c r="L641" s="1076"/>
      <c r="M641" s="1077"/>
      <c r="N641" s="1077"/>
      <c r="O641" s="1077"/>
      <c r="P641" s="1077"/>
      <c r="Q641" s="1077"/>
      <c r="R641" s="1077"/>
      <c r="S641" s="1077"/>
      <c r="T641" s="1077"/>
      <c r="U641" s="1077"/>
    </row>
    <row r="642" spans="1:21" ht="19.5" x14ac:dyDescent="0.3">
      <c r="A642" s="674"/>
      <c r="B642" s="718"/>
      <c r="C642" s="765" t="s">
        <v>18</v>
      </c>
      <c r="D642" s="1310" t="s">
        <v>19</v>
      </c>
      <c r="E642" s="1311"/>
      <c r="F642" s="1311"/>
      <c r="G642" s="1312"/>
      <c r="H642" s="780" t="s">
        <v>14</v>
      </c>
      <c r="I642" s="565"/>
      <c r="J642" s="565"/>
      <c r="K642" s="566"/>
      <c r="L642" s="678">
        <f t="shared" ref="L642:N642" si="394">L643+L644</f>
        <v>0</v>
      </c>
      <c r="M642" s="679">
        <f t="shared" si="394"/>
        <v>0</v>
      </c>
      <c r="N642" s="679">
        <f t="shared" si="394"/>
        <v>0</v>
      </c>
      <c r="O642" s="679">
        <f t="shared" ref="O642:O650" si="395">IF(L642&gt;0,N642*100/L642,0)</f>
        <v>0</v>
      </c>
      <c r="P642" s="679">
        <f t="shared" ref="P642:P650" si="396">IF(M642&gt;0,N642*100/M642,0)</f>
        <v>0</v>
      </c>
      <c r="Q642" s="679">
        <f t="shared" ref="Q642:S642" ca="1" si="397">Q643+Q644</f>
        <v>2900</v>
      </c>
      <c r="R642" s="679">
        <f t="shared" ca="1" si="397"/>
        <v>2900</v>
      </c>
      <c r="S642" s="679">
        <f t="shared" ca="1" si="397"/>
        <v>0</v>
      </c>
      <c r="T642" s="679">
        <f t="shared" ref="T642:T650" ca="1" si="398">IF(Q642&gt;0,S642*100/Q642,0)</f>
        <v>0</v>
      </c>
      <c r="U642" s="679">
        <f t="shared" ref="U642:U650" ca="1" si="399">IF(R642&gt;0,S642*100/R642,0)</f>
        <v>0</v>
      </c>
    </row>
    <row r="643" spans="1:21" ht="18.75" x14ac:dyDescent="0.25">
      <c r="A643" s="674"/>
      <c r="B643" s="718"/>
      <c r="C643" s="718"/>
      <c r="D643" s="695"/>
      <c r="E643" s="569" t="s">
        <v>158</v>
      </c>
      <c r="F643" s="561"/>
      <c r="G643" s="563"/>
      <c r="H643" s="685" t="s">
        <v>14</v>
      </c>
      <c r="I643" s="565"/>
      <c r="J643" s="565"/>
      <c r="K643" s="566"/>
      <c r="L643" s="571">
        <f t="shared" ref="L643:N644" si="400">L646+L649</f>
        <v>0</v>
      </c>
      <c r="M643" s="572">
        <f t="shared" si="400"/>
        <v>0</v>
      </c>
      <c r="N643" s="572">
        <f t="shared" si="400"/>
        <v>0</v>
      </c>
      <c r="O643" s="572">
        <f t="shared" si="395"/>
        <v>0</v>
      </c>
      <c r="P643" s="572">
        <f t="shared" si="396"/>
        <v>0</v>
      </c>
      <c r="Q643" s="572">
        <f t="shared" ref="Q643:S644" si="401">Q646+Q649</f>
        <v>0</v>
      </c>
      <c r="R643" s="572">
        <f t="shared" si="401"/>
        <v>0</v>
      </c>
      <c r="S643" s="572">
        <f t="shared" si="401"/>
        <v>0</v>
      </c>
      <c r="T643" s="572">
        <f t="shared" si="398"/>
        <v>0</v>
      </c>
      <c r="U643" s="572">
        <f t="shared" si="399"/>
        <v>0</v>
      </c>
    </row>
    <row r="644" spans="1:21" ht="18.75" x14ac:dyDescent="0.25">
      <c r="A644" s="674"/>
      <c r="B644" s="718"/>
      <c r="C644" s="718"/>
      <c r="D644" s="695"/>
      <c r="E644" s="573" t="s">
        <v>159</v>
      </c>
      <c r="F644" s="561"/>
      <c r="G644" s="563"/>
      <c r="H644" s="682" t="s">
        <v>14</v>
      </c>
      <c r="I644" s="565"/>
      <c r="J644" s="565"/>
      <c r="K644" s="566"/>
      <c r="L644" s="567">
        <f t="shared" si="400"/>
        <v>0</v>
      </c>
      <c r="M644" s="568">
        <f t="shared" si="400"/>
        <v>0</v>
      </c>
      <c r="N644" s="568">
        <f t="shared" si="400"/>
        <v>0</v>
      </c>
      <c r="O644" s="568">
        <f t="shared" si="395"/>
        <v>0</v>
      </c>
      <c r="P644" s="568">
        <f t="shared" si="396"/>
        <v>0</v>
      </c>
      <c r="Q644" s="568">
        <f t="shared" ca="1" si="401"/>
        <v>2900</v>
      </c>
      <c r="R644" s="568">
        <f t="shared" ca="1" si="401"/>
        <v>2900</v>
      </c>
      <c r="S644" s="568">
        <f t="shared" ca="1" si="401"/>
        <v>0</v>
      </c>
      <c r="T644" s="568">
        <f t="shared" ca="1" si="398"/>
        <v>0</v>
      </c>
      <c r="U644" s="568">
        <f t="shared" ca="1" si="399"/>
        <v>0</v>
      </c>
    </row>
    <row r="645" spans="1:21" ht="18.75" x14ac:dyDescent="0.25">
      <c r="A645" s="674"/>
      <c r="B645" s="718"/>
      <c r="C645" s="718"/>
      <c r="D645" s="562" t="s">
        <v>22</v>
      </c>
      <c r="E645" s="561"/>
      <c r="F645" s="561"/>
      <c r="G645" s="563"/>
      <c r="H645" s="682" t="s">
        <v>14</v>
      </c>
      <c r="I645" s="683"/>
      <c r="J645" s="683"/>
      <c r="K645" s="684"/>
      <c r="L645" s="567">
        <f t="shared" ref="L645:N645" si="402">L646+L647</f>
        <v>0</v>
      </c>
      <c r="M645" s="568">
        <f t="shared" si="402"/>
        <v>0</v>
      </c>
      <c r="N645" s="568">
        <f t="shared" si="402"/>
        <v>0</v>
      </c>
      <c r="O645" s="568">
        <f t="shared" si="395"/>
        <v>0</v>
      </c>
      <c r="P645" s="568">
        <f t="shared" si="396"/>
        <v>0</v>
      </c>
      <c r="Q645" s="568">
        <f t="shared" ref="Q645:S645" ca="1" si="403">Q646+Q647</f>
        <v>2900</v>
      </c>
      <c r="R645" s="568">
        <f t="shared" ca="1" si="403"/>
        <v>2900</v>
      </c>
      <c r="S645" s="568">
        <f t="shared" ca="1" si="403"/>
        <v>0</v>
      </c>
      <c r="T645" s="568">
        <f t="shared" ca="1" si="398"/>
        <v>0</v>
      </c>
      <c r="U645" s="568">
        <f t="shared" ca="1" si="399"/>
        <v>0</v>
      </c>
    </row>
    <row r="646" spans="1:21" ht="18.75" x14ac:dyDescent="0.25">
      <c r="A646" s="674"/>
      <c r="B646" s="718"/>
      <c r="C646" s="718"/>
      <c r="D646" s="695"/>
      <c r="E646" s="569" t="s">
        <v>158</v>
      </c>
      <c r="F646" s="561"/>
      <c r="G646" s="563"/>
      <c r="H646" s="685" t="s">
        <v>14</v>
      </c>
      <c r="I646" s="565"/>
      <c r="J646" s="565"/>
      <c r="K646" s="566"/>
      <c r="L646" s="571">
        <v>0</v>
      </c>
      <c r="M646" s="572">
        <v>0</v>
      </c>
      <c r="N646" s="572">
        <v>0</v>
      </c>
      <c r="O646" s="572">
        <f t="shared" si="395"/>
        <v>0</v>
      </c>
      <c r="P646" s="572">
        <f t="shared" si="396"/>
        <v>0</v>
      </c>
      <c r="Q646" s="572">
        <v>0</v>
      </c>
      <c r="R646" s="572">
        <v>0</v>
      </c>
      <c r="S646" s="572">
        <v>0</v>
      </c>
      <c r="T646" s="572">
        <f t="shared" si="398"/>
        <v>0</v>
      </c>
      <c r="U646" s="572">
        <f t="shared" si="399"/>
        <v>0</v>
      </c>
    </row>
    <row r="647" spans="1:21" ht="18.75" x14ac:dyDescent="0.25">
      <c r="A647" s="674"/>
      <c r="B647" s="718"/>
      <c r="C647" s="718"/>
      <c r="D647" s="695"/>
      <c r="E647" s="573" t="s">
        <v>159</v>
      </c>
      <c r="F647" s="561"/>
      <c r="G647" s="563"/>
      <c r="H647" s="682" t="s">
        <v>14</v>
      </c>
      <c r="I647" s="565"/>
      <c r="J647" s="565"/>
      <c r="K647" s="566"/>
      <c r="L647" s="567">
        <v>0</v>
      </c>
      <c r="M647" s="568">
        <v>0</v>
      </c>
      <c r="N647" s="568">
        <v>0</v>
      </c>
      <c r="O647" s="568">
        <f t="shared" si="395"/>
        <v>0</v>
      </c>
      <c r="P647" s="568">
        <f t="shared" si="396"/>
        <v>0</v>
      </c>
      <c r="Q647" s="568">
        <f ca="1">IFERROR(__xludf.DUMMYFUNCTION("IMPORTRANGE(""https://docs.google.com/spreadsheets/d/1ItG2mGa2ceCfYo0BwxsXqNm01IGEUdYcSSLTEv9YCik/edit?usp=sharing"",""เบิกจ่ายกองทุน!I14"")"),2900)</f>
        <v>2900</v>
      </c>
      <c r="R647" s="568">
        <f ca="1">IFERROR(__xludf.DUMMYFUNCTION("IMPORTRANGE(""https://docs.google.com/spreadsheets/d/1ItG2mGa2ceCfYo0BwxsXqNm01IGEUdYcSSLTEv9YCik/edit?usp=sharing"",""เบิกจ่ายกองทุน!J14"")"),2900)</f>
        <v>2900</v>
      </c>
      <c r="S647" s="568">
        <f ca="1">IFERROR(__xludf.DUMMYFUNCTION("IMPORTRANGE(""https://docs.google.com/spreadsheets/d/1ItG2mGa2ceCfYo0BwxsXqNm01IGEUdYcSSLTEv9YCik/edit?usp=sharing"",""เบิกจ่ายกองทุน!K14"")"),0)</f>
        <v>0</v>
      </c>
      <c r="T647" s="568">
        <f t="shared" ca="1" si="398"/>
        <v>0</v>
      </c>
      <c r="U647" s="568">
        <f t="shared" ca="1" si="399"/>
        <v>0</v>
      </c>
    </row>
    <row r="648" spans="1:21" ht="18.75" x14ac:dyDescent="0.25">
      <c r="A648" s="674"/>
      <c r="B648" s="718"/>
      <c r="C648" s="718"/>
      <c r="D648" s="562" t="s">
        <v>23</v>
      </c>
      <c r="E648" s="561"/>
      <c r="F648" s="561"/>
      <c r="G648" s="563"/>
      <c r="H648" s="686" t="s">
        <v>14</v>
      </c>
      <c r="I648" s="683"/>
      <c r="J648" s="683"/>
      <c r="K648" s="684"/>
      <c r="L648" s="567">
        <f t="shared" ref="L648:N648" si="404">L649+L650</f>
        <v>0</v>
      </c>
      <c r="M648" s="568">
        <f t="shared" si="404"/>
        <v>0</v>
      </c>
      <c r="N648" s="568">
        <f t="shared" si="404"/>
        <v>0</v>
      </c>
      <c r="O648" s="568">
        <f t="shared" si="395"/>
        <v>0</v>
      </c>
      <c r="P648" s="568">
        <f t="shared" si="396"/>
        <v>0</v>
      </c>
      <c r="Q648" s="568">
        <f t="shared" ref="Q648:S648" si="405">Q649+Q650</f>
        <v>0</v>
      </c>
      <c r="R648" s="568">
        <f t="shared" si="405"/>
        <v>0</v>
      </c>
      <c r="S648" s="568">
        <f t="shared" si="405"/>
        <v>0</v>
      </c>
      <c r="T648" s="568">
        <f t="shared" si="398"/>
        <v>0</v>
      </c>
      <c r="U648" s="568">
        <f t="shared" si="399"/>
        <v>0</v>
      </c>
    </row>
    <row r="649" spans="1:21" ht="18.75" x14ac:dyDescent="0.25">
      <c r="A649" s="674"/>
      <c r="B649" s="718"/>
      <c r="C649" s="718"/>
      <c r="D649" s="561"/>
      <c r="E649" s="569" t="s">
        <v>20</v>
      </c>
      <c r="F649" s="561"/>
      <c r="G649" s="563"/>
      <c r="H649" s="685" t="s">
        <v>14</v>
      </c>
      <c r="I649" s="683"/>
      <c r="J649" s="683"/>
      <c r="K649" s="684"/>
      <c r="L649" s="571">
        <v>0</v>
      </c>
      <c r="M649" s="572">
        <v>0</v>
      </c>
      <c r="N649" s="572">
        <v>0</v>
      </c>
      <c r="O649" s="572">
        <f t="shared" si="395"/>
        <v>0</v>
      </c>
      <c r="P649" s="572">
        <f t="shared" si="396"/>
        <v>0</v>
      </c>
      <c r="Q649" s="572">
        <v>0</v>
      </c>
      <c r="R649" s="572">
        <v>0</v>
      </c>
      <c r="S649" s="572">
        <v>0</v>
      </c>
      <c r="T649" s="572">
        <f t="shared" si="398"/>
        <v>0</v>
      </c>
      <c r="U649" s="572">
        <f t="shared" si="399"/>
        <v>0</v>
      </c>
    </row>
    <row r="650" spans="1:21" ht="18.75" x14ac:dyDescent="0.25">
      <c r="A650" s="674"/>
      <c r="B650" s="718"/>
      <c r="C650" s="718"/>
      <c r="D650" s="561"/>
      <c r="E650" s="573" t="s">
        <v>21</v>
      </c>
      <c r="F650" s="561"/>
      <c r="G650" s="563"/>
      <c r="H650" s="686" t="s">
        <v>14</v>
      </c>
      <c r="I650" s="683"/>
      <c r="J650" s="683"/>
      <c r="K650" s="684"/>
      <c r="L650" s="567">
        <v>0</v>
      </c>
      <c r="M650" s="568">
        <v>0</v>
      </c>
      <c r="N650" s="568">
        <v>0</v>
      </c>
      <c r="O650" s="568">
        <f t="shared" si="395"/>
        <v>0</v>
      </c>
      <c r="P650" s="568">
        <f t="shared" si="396"/>
        <v>0</v>
      </c>
      <c r="Q650" s="568">
        <v>0</v>
      </c>
      <c r="R650" s="568">
        <v>0</v>
      </c>
      <c r="S650" s="568">
        <v>0</v>
      </c>
      <c r="T650" s="568">
        <f t="shared" si="398"/>
        <v>0</v>
      </c>
      <c r="U650" s="568">
        <f t="shared" si="399"/>
        <v>0</v>
      </c>
    </row>
    <row r="651" spans="1:21" ht="19.5" x14ac:dyDescent="0.3">
      <c r="A651" s="687"/>
      <c r="B651" s="688"/>
      <c r="C651" s="765" t="s">
        <v>18</v>
      </c>
      <c r="D651" s="1083" t="s">
        <v>38</v>
      </c>
      <c r="E651" s="690"/>
      <c r="F651" s="690"/>
      <c r="G651" s="691"/>
      <c r="H651" s="725"/>
      <c r="I651" s="683"/>
      <c r="J651" s="683"/>
      <c r="K651" s="684"/>
      <c r="L651" s="693"/>
      <c r="M651" s="684"/>
      <c r="N651" s="684"/>
      <c r="O651" s="684"/>
      <c r="P651" s="684"/>
      <c r="Q651" s="566"/>
      <c r="R651" s="566"/>
      <c r="S651" s="566"/>
      <c r="T651" s="684"/>
      <c r="U651" s="684"/>
    </row>
    <row r="652" spans="1:21" ht="18.75" x14ac:dyDescent="0.25">
      <c r="A652" s="764"/>
      <c r="B652" s="718"/>
      <c r="C652" s="718"/>
      <c r="D652" s="573" t="s">
        <v>237</v>
      </c>
      <c r="E652" s="561"/>
      <c r="F652" s="561"/>
      <c r="G652" s="563"/>
      <c r="H652" s="686" t="s">
        <v>46</v>
      </c>
      <c r="I652" s="1084">
        <f ca="1">IFERROR(__xludf.DUMMYFUNCTION("IMPORTRANGE(""https://docs.google.com/spreadsheets/d/1eHaY18a8A9IcSdp1K8H6x8fbOy06t2VsZHhMHf-1x7Y/edit?usp=sharing"",""แผน!IF14"")"),0)</f>
        <v>0</v>
      </c>
      <c r="J652" s="708">
        <f ca="1">IFERROR(__xludf.DUMMYFUNCTION("IMPORTRANGE(""https://docs.google.com/spreadsheets/d/1tdoBKaGub7dwA3U6UFTqxio9LNnvDCQjHKmttSEBsFQ/edit?usp=sharing"",""จัดที่ดิน!AU14"")"),0)</f>
        <v>0</v>
      </c>
      <c r="K652" s="568">
        <f t="shared" ref="K652:K654" ca="1" si="406">IF(I652&gt;0,J652*100/I652,0)</f>
        <v>0</v>
      </c>
      <c r="L652" s="574"/>
      <c r="M652" s="566"/>
      <c r="N652" s="1085"/>
      <c r="O652" s="566"/>
      <c r="P652" s="566"/>
      <c r="Q652" s="566"/>
      <c r="R652" s="566"/>
      <c r="S652" s="1085"/>
      <c r="T652" s="566"/>
      <c r="U652" s="566"/>
    </row>
    <row r="653" spans="1:21" ht="18.75" x14ac:dyDescent="0.25">
      <c r="A653" s="764"/>
      <c r="B653" s="718"/>
      <c r="C653" s="718"/>
      <c r="D653" s="573" t="s">
        <v>238</v>
      </c>
      <c r="E653" s="561"/>
      <c r="F653" s="561"/>
      <c r="G653" s="563"/>
      <c r="H653" s="686" t="s">
        <v>35</v>
      </c>
      <c r="I653" s="1084">
        <f ca="1">IFERROR(__xludf.DUMMYFUNCTION("IMPORTRANGE(""https://docs.google.com/spreadsheets/d/1eHaY18a8A9IcSdp1K8H6x8fbOy06t2VsZHhMHf-1x7Y/edit?usp=sharing"",""แผน!IG14"")"),0)</f>
        <v>0</v>
      </c>
      <c r="J653" s="708">
        <f ca="1">IFERROR(__xludf.DUMMYFUNCTION("IMPORTRANGE(""https://docs.google.com/spreadsheets/d/1tdoBKaGub7dwA3U6UFTqxio9LNnvDCQjHKmttSEBsFQ/edit?usp=sharing"",""จัดที่ดิน!AW14"")"),0)</f>
        <v>0</v>
      </c>
      <c r="K653" s="568">
        <f t="shared" ca="1" si="406"/>
        <v>0</v>
      </c>
      <c r="L653" s="574"/>
      <c r="M653" s="566"/>
      <c r="N653" s="1085"/>
      <c r="O653" s="566"/>
      <c r="P653" s="566"/>
      <c r="Q653" s="566"/>
      <c r="R653" s="566"/>
      <c r="S653" s="1085"/>
      <c r="T653" s="566"/>
      <c r="U653" s="566"/>
    </row>
    <row r="654" spans="1:21" ht="19.5" x14ac:dyDescent="0.3">
      <c r="A654" s="764"/>
      <c r="B654" s="718"/>
      <c r="C654" s="718"/>
      <c r="D654" s="573" t="s">
        <v>239</v>
      </c>
      <c r="E654" s="561"/>
      <c r="F654" s="561"/>
      <c r="G654" s="563"/>
      <c r="H654" s="1080" t="s">
        <v>46</v>
      </c>
      <c r="I654" s="1086">
        <f ca="1">IFERROR(__xludf.DUMMYFUNCTION("IMPORTRANGE(""https://docs.google.com/spreadsheets/d/1eHaY18a8A9IcSdp1K8H6x8fbOy06t2VsZHhMHf-1x7Y/edit?usp=sharing"",""แผน!IH14"")"),83)</f>
        <v>83</v>
      </c>
      <c r="J654" s="697">
        <f>J657+J660</f>
        <v>131.71</v>
      </c>
      <c r="K654" s="679">
        <f t="shared" ca="1" si="406"/>
        <v>158.68674698795181</v>
      </c>
      <c r="L654" s="574"/>
      <c r="M654" s="566"/>
      <c r="N654" s="1085"/>
      <c r="O654" s="566"/>
      <c r="P654" s="566"/>
      <c r="Q654" s="566"/>
      <c r="R654" s="566"/>
      <c r="S654" s="1085"/>
      <c r="T654" s="566"/>
      <c r="U654" s="566"/>
    </row>
    <row r="655" spans="1:21" ht="18.75" x14ac:dyDescent="0.25">
      <c r="A655" s="764"/>
      <c r="B655" s="718"/>
      <c r="C655" s="718"/>
      <c r="D655" s="561"/>
      <c r="E655" s="573" t="s">
        <v>240</v>
      </c>
      <c r="F655" s="561"/>
      <c r="G655" s="563"/>
      <c r="H655" s="686" t="s">
        <v>35</v>
      </c>
      <c r="I655" s="727"/>
      <c r="J655" s="702">
        <v>7</v>
      </c>
      <c r="K655" s="566"/>
      <c r="L655" s="574"/>
      <c r="M655" s="566"/>
      <c r="N655" s="1085"/>
      <c r="O655" s="566"/>
      <c r="P655" s="566"/>
      <c r="Q655" s="566"/>
      <c r="R655" s="566"/>
      <c r="S655" s="1085"/>
      <c r="T655" s="566"/>
      <c r="U655" s="566"/>
    </row>
    <row r="656" spans="1:21" ht="18.75" x14ac:dyDescent="0.25">
      <c r="A656" s="764"/>
      <c r="B656" s="718"/>
      <c r="C656" s="718"/>
      <c r="D656" s="561"/>
      <c r="E656" s="561"/>
      <c r="F656" s="561"/>
      <c r="G656" s="563"/>
      <c r="H656" s="686" t="s">
        <v>34</v>
      </c>
      <c r="I656" s="727"/>
      <c r="J656" s="702">
        <v>7</v>
      </c>
      <c r="K656" s="566"/>
      <c r="L656" s="574"/>
      <c r="M656" s="566"/>
      <c r="N656" s="1085"/>
      <c r="O656" s="566"/>
      <c r="P656" s="566"/>
      <c r="Q656" s="566"/>
      <c r="R656" s="566"/>
      <c r="S656" s="1085"/>
      <c r="T656" s="566"/>
      <c r="U656" s="566"/>
    </row>
    <row r="657" spans="1:21" ht="18.75" x14ac:dyDescent="0.25">
      <c r="A657" s="764"/>
      <c r="B657" s="718"/>
      <c r="C657" s="718"/>
      <c r="D657" s="561"/>
      <c r="E657" s="561"/>
      <c r="F657" s="561"/>
      <c r="G657" s="563"/>
      <c r="H657" s="686" t="s">
        <v>46</v>
      </c>
      <c r="I657" s="1084">
        <f ca="1">IFERROR(__xludf.DUMMYFUNCTION("IMPORTRANGE(""https://docs.google.com/spreadsheets/d/1eHaY18a8A9IcSdp1K8H6x8fbOy06t2VsZHhMHf-1x7Y/edit?usp=sharing"",""แผน!II14"")"),83)</f>
        <v>83</v>
      </c>
      <c r="J657" s="702">
        <v>131.71</v>
      </c>
      <c r="K657" s="566"/>
      <c r="L657" s="574"/>
      <c r="M657" s="566"/>
      <c r="N657" s="1085"/>
      <c r="O657" s="566"/>
      <c r="P657" s="566"/>
      <c r="Q657" s="566"/>
      <c r="R657" s="566"/>
      <c r="S657" s="1085"/>
      <c r="T657" s="566"/>
      <c r="U657" s="566"/>
    </row>
    <row r="658" spans="1:21" ht="18.75" x14ac:dyDescent="0.25">
      <c r="A658" s="764"/>
      <c r="B658" s="718"/>
      <c r="C658" s="718"/>
      <c r="D658" s="561"/>
      <c r="E658" s="573" t="s">
        <v>241</v>
      </c>
      <c r="F658" s="561"/>
      <c r="G658" s="563"/>
      <c r="H658" s="686" t="s">
        <v>35</v>
      </c>
      <c r="I658" s="727"/>
      <c r="J658" s="702">
        <v>0</v>
      </c>
      <c r="K658" s="566"/>
      <c r="L658" s="574"/>
      <c r="M658" s="566"/>
      <c r="N658" s="1085"/>
      <c r="O658" s="566"/>
      <c r="P658" s="566"/>
      <c r="Q658" s="566"/>
      <c r="R658" s="566"/>
      <c r="S658" s="1085"/>
      <c r="T658" s="566"/>
      <c r="U658" s="566"/>
    </row>
    <row r="659" spans="1:21" ht="18.75" x14ac:dyDescent="0.25">
      <c r="A659" s="764"/>
      <c r="B659" s="718"/>
      <c r="C659" s="718"/>
      <c r="D659" s="561"/>
      <c r="E659" s="561"/>
      <c r="F659" s="561"/>
      <c r="G659" s="563"/>
      <c r="H659" s="686" t="s">
        <v>34</v>
      </c>
      <c r="I659" s="727"/>
      <c r="J659" s="702">
        <v>0</v>
      </c>
      <c r="K659" s="566"/>
      <c r="L659" s="574"/>
      <c r="M659" s="566"/>
      <c r="N659" s="1085"/>
      <c r="O659" s="566"/>
      <c r="P659" s="566"/>
      <c r="Q659" s="566"/>
      <c r="R659" s="566"/>
      <c r="S659" s="1085"/>
      <c r="T659" s="566"/>
      <c r="U659" s="566"/>
    </row>
    <row r="660" spans="1:21" ht="18.75" x14ac:dyDescent="0.25">
      <c r="A660" s="764"/>
      <c r="B660" s="718"/>
      <c r="C660" s="718"/>
      <c r="D660" s="561"/>
      <c r="E660" s="561"/>
      <c r="F660" s="561"/>
      <c r="G660" s="563"/>
      <c r="H660" s="686" t="s">
        <v>46</v>
      </c>
      <c r="I660" s="1084">
        <f ca="1">IFERROR(__xludf.DUMMYFUNCTION("IMPORTRANGE(""https://docs.google.com/spreadsheets/d/1eHaY18a8A9IcSdp1K8H6x8fbOy06t2VsZHhMHf-1x7Y/edit?usp=sharing"",""แผน!IJ14"")"),0)</f>
        <v>0</v>
      </c>
      <c r="J660" s="702">
        <v>0</v>
      </c>
      <c r="K660" s="566"/>
      <c r="L660" s="574"/>
      <c r="M660" s="566"/>
      <c r="N660" s="1085"/>
      <c r="O660" s="566"/>
      <c r="P660" s="566"/>
      <c r="Q660" s="566"/>
      <c r="R660" s="566"/>
      <c r="S660" s="1085"/>
      <c r="T660" s="566"/>
      <c r="U660" s="566"/>
    </row>
    <row r="661" spans="1:21" ht="19.5" x14ac:dyDescent="0.3">
      <c r="A661" s="764"/>
      <c r="B661" s="718"/>
      <c r="C661" s="718"/>
      <c r="D661" s="987" t="s">
        <v>242</v>
      </c>
      <c r="E661" s="561"/>
      <c r="F661" s="561"/>
      <c r="G661" s="563"/>
      <c r="H661" s="1080" t="s">
        <v>46</v>
      </c>
      <c r="I661" s="1086">
        <f ca="1">IFERROR(__xludf.DUMMYFUNCTION("IMPORTRANGE(""https://docs.google.com/spreadsheets/d/1eHaY18a8A9IcSdp1K8H6x8fbOy06t2VsZHhMHf-1x7Y/edit?usp=sharing"",""แผน!IK14"")"),0)</f>
        <v>0</v>
      </c>
      <c r="J661" s="697">
        <f>J667+J670</f>
        <v>0</v>
      </c>
      <c r="K661" s="679">
        <f ca="1">IF(I661&gt;0,J661*100/I661,0)</f>
        <v>0</v>
      </c>
      <c r="L661" s="574"/>
      <c r="M661" s="566"/>
      <c r="N661" s="1085"/>
      <c r="O661" s="566"/>
      <c r="P661" s="566"/>
      <c r="Q661" s="566"/>
      <c r="R661" s="566"/>
      <c r="S661" s="1085"/>
      <c r="T661" s="566"/>
      <c r="U661" s="566"/>
    </row>
    <row r="662" spans="1:21" ht="18.75" x14ac:dyDescent="0.25">
      <c r="A662" s="764"/>
      <c r="B662" s="718"/>
      <c r="C662" s="718"/>
      <c r="D662" s="561"/>
      <c r="E662" s="573" t="s">
        <v>243</v>
      </c>
      <c r="F662" s="561"/>
      <c r="G662" s="563"/>
      <c r="H662" s="686" t="s">
        <v>34</v>
      </c>
      <c r="I662" s="727"/>
      <c r="J662" s="702">
        <v>0</v>
      </c>
      <c r="K662" s="566"/>
      <c r="L662" s="1087"/>
      <c r="M662" s="566"/>
      <c r="N662" s="1085"/>
      <c r="O662" s="566"/>
      <c r="P662" s="566"/>
      <c r="Q662" s="1085"/>
      <c r="R662" s="566"/>
      <c r="S662" s="1085"/>
      <c r="T662" s="566"/>
      <c r="U662" s="566"/>
    </row>
    <row r="663" spans="1:21" ht="18.75" x14ac:dyDescent="0.25">
      <c r="A663" s="764"/>
      <c r="B663" s="718"/>
      <c r="C663" s="718"/>
      <c r="D663" s="561"/>
      <c r="E663" s="561"/>
      <c r="F663" s="561"/>
      <c r="G663" s="563"/>
      <c r="H663" s="686" t="s">
        <v>46</v>
      </c>
      <c r="I663" s="727"/>
      <c r="J663" s="702">
        <v>0</v>
      </c>
      <c r="K663" s="566"/>
      <c r="L663" s="1087"/>
      <c r="M663" s="566"/>
      <c r="N663" s="1085"/>
      <c r="O663" s="566"/>
      <c r="P663" s="566"/>
      <c r="Q663" s="1085"/>
      <c r="R663" s="566"/>
      <c r="S663" s="1085"/>
      <c r="T663" s="566"/>
      <c r="U663" s="566"/>
    </row>
    <row r="664" spans="1:21" ht="18.75" x14ac:dyDescent="0.25">
      <c r="A664" s="764"/>
      <c r="B664" s="718"/>
      <c r="C664" s="718"/>
      <c r="D664" s="561"/>
      <c r="E664" s="573" t="s">
        <v>244</v>
      </c>
      <c r="F664" s="561"/>
      <c r="G664" s="563"/>
      <c r="H664" s="725"/>
      <c r="I664" s="727"/>
      <c r="J664" s="565"/>
      <c r="K664" s="566"/>
      <c r="L664" s="1087"/>
      <c r="M664" s="566"/>
      <c r="N664" s="1085"/>
      <c r="O664" s="566"/>
      <c r="P664" s="566"/>
      <c r="Q664" s="1085"/>
      <c r="R664" s="566"/>
      <c r="S664" s="1085"/>
      <c r="T664" s="566"/>
      <c r="U664" s="566"/>
    </row>
    <row r="665" spans="1:21" ht="18.75" x14ac:dyDescent="0.25">
      <c r="A665" s="764"/>
      <c r="B665" s="718"/>
      <c r="C665" s="718"/>
      <c r="D665" s="561"/>
      <c r="E665" s="561"/>
      <c r="F665" s="573" t="s">
        <v>245</v>
      </c>
      <c r="G665" s="563"/>
      <c r="H665" s="686" t="s">
        <v>35</v>
      </c>
      <c r="I665" s="727"/>
      <c r="J665" s="702">
        <v>0</v>
      </c>
      <c r="K665" s="566"/>
      <c r="L665" s="1087"/>
      <c r="M665" s="566"/>
      <c r="N665" s="1085"/>
      <c r="O665" s="566"/>
      <c r="P665" s="566"/>
      <c r="Q665" s="1085"/>
      <c r="R665" s="566"/>
      <c r="S665" s="1085"/>
      <c r="T665" s="566"/>
      <c r="U665" s="566"/>
    </row>
    <row r="666" spans="1:21" ht="18.75" x14ac:dyDescent="0.25">
      <c r="A666" s="764"/>
      <c r="B666" s="718"/>
      <c r="C666" s="718"/>
      <c r="D666" s="561"/>
      <c r="E666" s="561"/>
      <c r="F666" s="561"/>
      <c r="G666" s="563"/>
      <c r="H666" s="686" t="s">
        <v>34</v>
      </c>
      <c r="I666" s="727"/>
      <c r="J666" s="702">
        <v>0</v>
      </c>
      <c r="K666" s="566"/>
      <c r="L666" s="1087"/>
      <c r="M666" s="566"/>
      <c r="N666" s="1085"/>
      <c r="O666" s="566"/>
      <c r="P666" s="566"/>
      <c r="Q666" s="1085"/>
      <c r="R666" s="566"/>
      <c r="S666" s="1085"/>
      <c r="T666" s="566"/>
      <c r="U666" s="566"/>
    </row>
    <row r="667" spans="1:21" ht="18.75" x14ac:dyDescent="0.25">
      <c r="A667" s="764"/>
      <c r="B667" s="718"/>
      <c r="C667" s="718"/>
      <c r="D667" s="561"/>
      <c r="E667" s="561"/>
      <c r="F667" s="561"/>
      <c r="G667" s="563"/>
      <c r="H667" s="686" t="s">
        <v>46</v>
      </c>
      <c r="I667" s="727"/>
      <c r="J667" s="702">
        <v>0</v>
      </c>
      <c r="K667" s="566"/>
      <c r="L667" s="1087"/>
      <c r="M667" s="566"/>
      <c r="N667" s="1085"/>
      <c r="O667" s="566"/>
      <c r="P667" s="566"/>
      <c r="Q667" s="1085"/>
      <c r="R667" s="566"/>
      <c r="S667" s="1085"/>
      <c r="T667" s="566"/>
      <c r="U667" s="566"/>
    </row>
    <row r="668" spans="1:21" ht="18.75" x14ac:dyDescent="0.25">
      <c r="A668" s="764"/>
      <c r="B668" s="718"/>
      <c r="C668" s="718"/>
      <c r="D668" s="561"/>
      <c r="E668" s="561"/>
      <c r="F668" s="573" t="s">
        <v>246</v>
      </c>
      <c r="G668" s="563"/>
      <c r="H668" s="686" t="s">
        <v>35</v>
      </c>
      <c r="I668" s="727"/>
      <c r="J668" s="702">
        <v>0</v>
      </c>
      <c r="K668" s="566"/>
      <c r="L668" s="1087"/>
      <c r="M668" s="566"/>
      <c r="N668" s="1085"/>
      <c r="O668" s="566"/>
      <c r="P668" s="566"/>
      <c r="Q668" s="1085"/>
      <c r="R668" s="566"/>
      <c r="S668" s="1085"/>
      <c r="T668" s="566"/>
      <c r="U668" s="566"/>
    </row>
    <row r="669" spans="1:21" ht="18.75" x14ac:dyDescent="0.25">
      <c r="A669" s="764"/>
      <c r="B669" s="718"/>
      <c r="C669" s="718"/>
      <c r="D669" s="561"/>
      <c r="E669" s="561"/>
      <c r="F669" s="561"/>
      <c r="G669" s="563"/>
      <c r="H669" s="686" t="s">
        <v>34</v>
      </c>
      <c r="I669" s="727"/>
      <c r="J669" s="702">
        <v>0</v>
      </c>
      <c r="K669" s="566"/>
      <c r="L669" s="1087"/>
      <c r="M669" s="566"/>
      <c r="N669" s="1085"/>
      <c r="O669" s="566"/>
      <c r="P669" s="566"/>
      <c r="Q669" s="1085"/>
      <c r="R669" s="566"/>
      <c r="S669" s="1085"/>
      <c r="T669" s="566"/>
      <c r="U669" s="566"/>
    </row>
    <row r="670" spans="1:21" ht="18.75" x14ac:dyDescent="0.25">
      <c r="A670" s="764"/>
      <c r="B670" s="718"/>
      <c r="C670" s="718"/>
      <c r="D670" s="561"/>
      <c r="E670" s="561"/>
      <c r="F670" s="561"/>
      <c r="G670" s="563"/>
      <c r="H670" s="686" t="s">
        <v>46</v>
      </c>
      <c r="I670" s="727"/>
      <c r="J670" s="702">
        <v>0</v>
      </c>
      <c r="K670" s="566"/>
      <c r="L670" s="1087"/>
      <c r="M670" s="566"/>
      <c r="N670" s="1085"/>
      <c r="O670" s="566"/>
      <c r="P670" s="566"/>
      <c r="Q670" s="1085"/>
      <c r="R670" s="566"/>
      <c r="S670" s="1085"/>
      <c r="T670" s="566"/>
      <c r="U670" s="566"/>
    </row>
    <row r="671" spans="1:21" ht="18.75" x14ac:dyDescent="0.25">
      <c r="A671" s="764"/>
      <c r="B671" s="718"/>
      <c r="C671" s="718"/>
      <c r="D671" s="573" t="s">
        <v>247</v>
      </c>
      <c r="E671" s="561"/>
      <c r="F671" s="561"/>
      <c r="G671" s="563"/>
      <c r="H671" s="686" t="s">
        <v>35</v>
      </c>
      <c r="I671" s="727"/>
      <c r="J671" s="708">
        <f ca="1">IFERROR(__xludf.DUMMYFUNCTION("IMPORTRANGE(""https://docs.google.com/spreadsheets/d/1tdoBKaGub7dwA3U6UFTqxio9LNnvDCQjHKmttSEBsFQ/edit?usp=sharing"",""จัดที่ดิน!AY14"")"),1)</f>
        <v>1</v>
      </c>
      <c r="K671" s="566"/>
      <c r="L671" s="574"/>
      <c r="M671" s="566"/>
      <c r="N671" s="1085"/>
      <c r="O671" s="566"/>
      <c r="P671" s="566"/>
      <c r="Q671" s="566"/>
      <c r="R671" s="566"/>
      <c r="S671" s="1085"/>
      <c r="T671" s="566"/>
      <c r="U671" s="566"/>
    </row>
    <row r="672" spans="1:21" ht="18.75" x14ac:dyDescent="0.25">
      <c r="A672" s="764"/>
      <c r="B672" s="718"/>
      <c r="C672" s="718"/>
      <c r="D672" s="561"/>
      <c r="E672" s="561"/>
      <c r="F672" s="561"/>
      <c r="G672" s="563"/>
      <c r="H672" s="686" t="s">
        <v>34</v>
      </c>
      <c r="I672" s="727"/>
      <c r="J672" s="708">
        <f ca="1">IFERROR(__xludf.DUMMYFUNCTION("IMPORTRANGE(""https://docs.google.com/spreadsheets/d/1tdoBKaGub7dwA3U6UFTqxio9LNnvDCQjHKmttSEBsFQ/edit?usp=sharing"",""จัดที่ดิน!AZ14"")"),1)</f>
        <v>1</v>
      </c>
      <c r="K672" s="566"/>
      <c r="L672" s="1087"/>
      <c r="M672" s="566"/>
      <c r="N672" s="1085"/>
      <c r="O672" s="566"/>
      <c r="P672" s="566"/>
      <c r="Q672" s="1085"/>
      <c r="R672" s="566"/>
      <c r="S672" s="1085"/>
      <c r="T672" s="566"/>
      <c r="U672" s="566"/>
    </row>
    <row r="673" spans="1:21" ht="18.75" x14ac:dyDescent="0.25">
      <c r="A673" s="764"/>
      <c r="B673" s="718"/>
      <c r="C673" s="718"/>
      <c r="D673" s="561"/>
      <c r="E673" s="561"/>
      <c r="F673" s="561"/>
      <c r="G673" s="563"/>
      <c r="H673" s="686" t="s">
        <v>46</v>
      </c>
      <c r="I673" s="1084">
        <f ca="1">IFERROR(__xludf.DUMMYFUNCTION("IMPORTRANGE(""https://docs.google.com/spreadsheets/d/1eHaY18a8A9IcSdp1K8H6x8fbOy06t2VsZHhMHf-1x7Y/edit?usp=sharing"",""แผน!IL14"")"),0)</f>
        <v>0</v>
      </c>
      <c r="J673" s="708">
        <f ca="1">IFERROR(__xludf.DUMMYFUNCTION("IMPORTRANGE(""https://docs.google.com/spreadsheets/d/1tdoBKaGub7dwA3U6UFTqxio9LNnvDCQjHKmttSEBsFQ/edit?usp=sharing"",""จัดที่ดิน!BA14"")"),17.29)</f>
        <v>17.29</v>
      </c>
      <c r="K673" s="568">
        <f t="shared" ref="K673:K676" ca="1" si="407">IF(I673&gt;0,J673*100/I673,0)</f>
        <v>0</v>
      </c>
      <c r="L673" s="1087"/>
      <c r="M673" s="566"/>
      <c r="N673" s="1085"/>
      <c r="O673" s="566"/>
      <c r="P673" s="566"/>
      <c r="Q673" s="1085"/>
      <c r="R673" s="566"/>
      <c r="S673" s="1085"/>
      <c r="T673" s="566"/>
      <c r="U673" s="566"/>
    </row>
    <row r="674" spans="1:21" ht="19.5" x14ac:dyDescent="0.3">
      <c r="A674" s="764"/>
      <c r="B674" s="718"/>
      <c r="C674" s="718"/>
      <c r="D674" s="573" t="s">
        <v>248</v>
      </c>
      <c r="E674" s="561"/>
      <c r="F674" s="561"/>
      <c r="G674" s="563"/>
      <c r="H674" s="1080" t="s">
        <v>35</v>
      </c>
      <c r="I674" s="1086">
        <f ca="1">IFERROR(__xludf.DUMMYFUNCTION("IMPORTRANGE(""https://docs.google.com/spreadsheets/d/1eHaY18a8A9IcSdp1K8H6x8fbOy06t2VsZHhMHf-1x7Y/edit?usp=sharing"",""แผน!IM14"")"),2)</f>
        <v>2</v>
      </c>
      <c r="J674" s="697">
        <f ca="1">J676+J679</f>
        <v>0</v>
      </c>
      <c r="K674" s="679">
        <f t="shared" ca="1" si="407"/>
        <v>0</v>
      </c>
      <c r="L674" s="1087"/>
      <c r="M674" s="566"/>
      <c r="N674" s="1085"/>
      <c r="O674" s="566"/>
      <c r="P674" s="566"/>
      <c r="Q674" s="1085"/>
      <c r="R674" s="566"/>
      <c r="S674" s="1085"/>
      <c r="T674" s="566"/>
      <c r="U674" s="566"/>
    </row>
    <row r="675" spans="1:21" ht="19.5" x14ac:dyDescent="0.3">
      <c r="A675" s="764"/>
      <c r="B675" s="718"/>
      <c r="C675" s="718"/>
      <c r="D675" s="561"/>
      <c r="E675" s="561"/>
      <c r="F675" s="561"/>
      <c r="G675" s="563"/>
      <c r="H675" s="1080" t="s">
        <v>46</v>
      </c>
      <c r="I675" s="1086">
        <f ca="1">IFERROR(__xludf.DUMMYFUNCTION("IMPORTRANGE(""https://docs.google.com/spreadsheets/d/1eHaY18a8A9IcSdp1K8H6x8fbOy06t2VsZHhMHf-1x7Y/edit?usp=sharing"",""แผน!IN14"")"),59)</f>
        <v>59</v>
      </c>
      <c r="J675" s="697">
        <f ca="1">J678+J681</f>
        <v>0</v>
      </c>
      <c r="K675" s="679">
        <f t="shared" ca="1" si="407"/>
        <v>0</v>
      </c>
      <c r="L675" s="574"/>
      <c r="M675" s="566"/>
      <c r="N675" s="1085"/>
      <c r="O675" s="566"/>
      <c r="P675" s="566"/>
      <c r="Q675" s="566"/>
      <c r="R675" s="566"/>
      <c r="S675" s="1085"/>
      <c r="T675" s="566"/>
      <c r="U675" s="566"/>
    </row>
    <row r="676" spans="1:21" ht="18.75" x14ac:dyDescent="0.25">
      <c r="A676" s="764"/>
      <c r="B676" s="718"/>
      <c r="C676" s="718"/>
      <c r="D676" s="561"/>
      <c r="E676" s="573" t="s">
        <v>249</v>
      </c>
      <c r="F676" s="561"/>
      <c r="G676" s="563"/>
      <c r="H676" s="686" t="s">
        <v>35</v>
      </c>
      <c r="I676" s="1084">
        <f ca="1">IFERROR(__xludf.DUMMYFUNCTION("IMPORTRANGE(""https://docs.google.com/spreadsheets/d/1eHaY18a8A9IcSdp1K8H6x8fbOy06t2VsZHhMHf-1x7Y/edit?usp=sharing"",""แผน!IO14"")"),2)</f>
        <v>2</v>
      </c>
      <c r="J676" s="708">
        <f ca="1">IFERROR(__xludf.DUMMYFUNCTION("IMPORTRANGE(""https://docs.google.com/spreadsheets/d/1tdoBKaGub7dwA3U6UFTqxio9LNnvDCQjHKmttSEBsFQ/edit?usp=sharing"",""จัดที่ดิน!BF14"")"),0)</f>
        <v>0</v>
      </c>
      <c r="K676" s="568">
        <f t="shared" ca="1" si="407"/>
        <v>0</v>
      </c>
      <c r="L676" s="574"/>
      <c r="M676" s="566"/>
      <c r="N676" s="1085"/>
      <c r="O676" s="566"/>
      <c r="P676" s="566"/>
      <c r="Q676" s="566"/>
      <c r="R676" s="566"/>
      <c r="S676" s="1085"/>
      <c r="T676" s="566"/>
      <c r="U676" s="566"/>
    </row>
    <row r="677" spans="1:21" ht="18.75" x14ac:dyDescent="0.25">
      <c r="A677" s="764"/>
      <c r="B677" s="718"/>
      <c r="C677" s="718"/>
      <c r="D677" s="561"/>
      <c r="E677" s="561"/>
      <c r="F677" s="561"/>
      <c r="G677" s="563"/>
      <c r="H677" s="686" t="s">
        <v>34</v>
      </c>
      <c r="I677" s="727"/>
      <c r="J677" s="708">
        <f ca="1">IFERROR(__xludf.DUMMYFUNCTION("IMPORTRANGE(""https://docs.google.com/spreadsheets/d/1tdoBKaGub7dwA3U6UFTqxio9LNnvDCQjHKmttSEBsFQ/edit?usp=sharing"",""จัดที่ดิน!BG14"")"),0)</f>
        <v>0</v>
      </c>
      <c r="K677" s="566"/>
      <c r="L677" s="1087"/>
      <c r="M677" s="566"/>
      <c r="N677" s="1085"/>
      <c r="O677" s="566"/>
      <c r="P677" s="566"/>
      <c r="Q677" s="1085"/>
      <c r="R677" s="566"/>
      <c r="S677" s="1085"/>
      <c r="T677" s="566"/>
      <c r="U677" s="566"/>
    </row>
    <row r="678" spans="1:21" ht="18.75" x14ac:dyDescent="0.25">
      <c r="A678" s="764"/>
      <c r="B678" s="718"/>
      <c r="C678" s="718"/>
      <c r="D678" s="561"/>
      <c r="E678" s="561"/>
      <c r="F678" s="561"/>
      <c r="G678" s="563"/>
      <c r="H678" s="686" t="s">
        <v>46</v>
      </c>
      <c r="I678" s="1084">
        <f ca="1">IFERROR(__xludf.DUMMYFUNCTION("IMPORTRANGE(""https://docs.google.com/spreadsheets/d/1eHaY18a8A9IcSdp1K8H6x8fbOy06t2VsZHhMHf-1x7Y/edit?usp=sharing"",""แผน!IP14"")"),59)</f>
        <v>59</v>
      </c>
      <c r="J678" s="708">
        <f ca="1">IFERROR(__xludf.DUMMYFUNCTION("IMPORTRANGE(""https://docs.google.com/spreadsheets/d/1tdoBKaGub7dwA3U6UFTqxio9LNnvDCQjHKmttSEBsFQ/edit?usp=sharing"",""จัดที่ดิน!BH14"")"),0)</f>
        <v>0</v>
      </c>
      <c r="K678" s="568">
        <f t="shared" ref="K678:K679" ca="1" si="408">IF(I678&gt;0,J678*100/I678,0)</f>
        <v>0</v>
      </c>
      <c r="L678" s="1087"/>
      <c r="M678" s="566"/>
      <c r="N678" s="1085"/>
      <c r="O678" s="566"/>
      <c r="P678" s="566"/>
      <c r="Q678" s="1085"/>
      <c r="R678" s="566"/>
      <c r="S678" s="1085"/>
      <c r="T678" s="566"/>
      <c r="U678" s="566"/>
    </row>
    <row r="679" spans="1:21" ht="18.75" x14ac:dyDescent="0.25">
      <c r="A679" s="764"/>
      <c r="B679" s="718"/>
      <c r="C679" s="718"/>
      <c r="D679" s="561"/>
      <c r="E679" s="573" t="s">
        <v>250</v>
      </c>
      <c r="F679" s="561"/>
      <c r="G679" s="563"/>
      <c r="H679" s="686" t="s">
        <v>35</v>
      </c>
      <c r="I679" s="1084">
        <f ca="1">IFERROR(__xludf.DUMMYFUNCTION("IMPORTRANGE(""https://docs.google.com/spreadsheets/d/1eHaY18a8A9IcSdp1K8H6x8fbOy06t2VsZHhMHf-1x7Y/edit?usp=sharing"",""แผน!IQ14"")"),0)</f>
        <v>0</v>
      </c>
      <c r="J679" s="708">
        <f ca="1">IFERROR(__xludf.DUMMYFUNCTION("IMPORTRANGE(""https://docs.google.com/spreadsheets/d/1tdoBKaGub7dwA3U6UFTqxio9LNnvDCQjHKmttSEBsFQ/edit?usp=sharing"",""จัดที่ดิน!BK14"")"),0)</f>
        <v>0</v>
      </c>
      <c r="K679" s="568">
        <f t="shared" ca="1" si="408"/>
        <v>0</v>
      </c>
      <c r="L679" s="574"/>
      <c r="M679" s="566"/>
      <c r="N679" s="1085"/>
      <c r="O679" s="566"/>
      <c r="P679" s="566"/>
      <c r="Q679" s="566"/>
      <c r="R679" s="566"/>
      <c r="S679" s="1085"/>
      <c r="T679" s="566"/>
      <c r="U679" s="566"/>
    </row>
    <row r="680" spans="1:21" ht="18.75" x14ac:dyDescent="0.25">
      <c r="A680" s="764"/>
      <c r="B680" s="718"/>
      <c r="C680" s="718"/>
      <c r="D680" s="561"/>
      <c r="E680" s="561"/>
      <c r="F680" s="561"/>
      <c r="G680" s="563"/>
      <c r="H680" s="686" t="s">
        <v>34</v>
      </c>
      <c r="I680" s="727"/>
      <c r="J680" s="708">
        <f ca="1">IFERROR(__xludf.DUMMYFUNCTION("IMPORTRANGE(""https://docs.google.com/spreadsheets/d/1tdoBKaGub7dwA3U6UFTqxio9LNnvDCQjHKmttSEBsFQ/edit?usp=sharing"",""จัดที่ดิน!BL14"")"),0)</f>
        <v>0</v>
      </c>
      <c r="K680" s="566"/>
      <c r="L680" s="1087"/>
      <c r="M680" s="566"/>
      <c r="N680" s="1085"/>
      <c r="O680" s="566"/>
      <c r="P680" s="566"/>
      <c r="Q680" s="1085"/>
      <c r="R680" s="566"/>
      <c r="S680" s="1085"/>
      <c r="T680" s="566"/>
      <c r="U680" s="566"/>
    </row>
    <row r="681" spans="1:21" ht="18.75" x14ac:dyDescent="0.25">
      <c r="A681" s="764"/>
      <c r="B681" s="718"/>
      <c r="C681" s="718"/>
      <c r="D681" s="561"/>
      <c r="E681" s="561"/>
      <c r="F681" s="561"/>
      <c r="G681" s="563"/>
      <c r="H681" s="686" t="s">
        <v>46</v>
      </c>
      <c r="I681" s="1084">
        <f ca="1">IFERROR(__xludf.DUMMYFUNCTION("IMPORTRANGE(""https://docs.google.com/spreadsheets/d/1eHaY18a8A9IcSdp1K8H6x8fbOy06t2VsZHhMHf-1x7Y/edit?usp=sharing"",""แผน!IR14"")"),0)</f>
        <v>0</v>
      </c>
      <c r="J681" s="708">
        <f ca="1">IFERROR(__xludf.DUMMYFUNCTION("IMPORTRANGE(""https://docs.google.com/spreadsheets/d/1tdoBKaGub7dwA3U6UFTqxio9LNnvDCQjHKmttSEBsFQ/edit?usp=sharing"",""จัดที่ดิน!BM14"")"),0)</f>
        <v>0</v>
      </c>
      <c r="K681" s="568">
        <f t="shared" ref="K681:K682" ca="1" si="409">IF(I681&gt;0,J681*100/I681,0)</f>
        <v>0</v>
      </c>
      <c r="L681" s="1087"/>
      <c r="M681" s="566"/>
      <c r="N681" s="1085"/>
      <c r="O681" s="566"/>
      <c r="P681" s="566"/>
      <c r="Q681" s="1085"/>
      <c r="R681" s="566"/>
      <c r="S681" s="1085"/>
      <c r="T681" s="566"/>
      <c r="U681" s="566"/>
    </row>
    <row r="682" spans="1:21" ht="19.5" x14ac:dyDescent="0.3">
      <c r="A682" s="764"/>
      <c r="B682" s="718"/>
      <c r="C682" s="718"/>
      <c r="D682" s="573" t="s">
        <v>251</v>
      </c>
      <c r="E682" s="561"/>
      <c r="F682" s="561"/>
      <c r="G682" s="563"/>
      <c r="H682" s="1080" t="s">
        <v>46</v>
      </c>
      <c r="I682" s="1086">
        <f ca="1">IFERROR(__xludf.DUMMYFUNCTION("IMPORTRANGE(""https://docs.google.com/spreadsheets/d/1eHaY18a8A9IcSdp1K8H6x8fbOy06t2VsZHhMHf-1x7Y/edit?usp=sharing"",""แผน!IS14"")"),0)</f>
        <v>0</v>
      </c>
      <c r="J682" s="697">
        <f>J685+J688</f>
        <v>0</v>
      </c>
      <c r="K682" s="679">
        <f t="shared" ca="1" si="409"/>
        <v>0</v>
      </c>
      <c r="L682" s="574"/>
      <c r="M682" s="566"/>
      <c r="N682" s="1085"/>
      <c r="O682" s="566"/>
      <c r="P682" s="566"/>
      <c r="Q682" s="566"/>
      <c r="R682" s="566"/>
      <c r="S682" s="1085"/>
      <c r="T682" s="566"/>
      <c r="U682" s="566"/>
    </row>
    <row r="683" spans="1:21" ht="18.75" x14ac:dyDescent="0.25">
      <c r="A683" s="764"/>
      <c r="B683" s="718"/>
      <c r="C683" s="718"/>
      <c r="D683" s="561"/>
      <c r="E683" s="573" t="s">
        <v>252</v>
      </c>
      <c r="F683" s="561"/>
      <c r="G683" s="563"/>
      <c r="H683" s="686" t="s">
        <v>35</v>
      </c>
      <c r="I683" s="727"/>
      <c r="J683" s="702">
        <v>0</v>
      </c>
      <c r="K683" s="566"/>
      <c r="L683" s="1087"/>
      <c r="M683" s="566"/>
      <c r="N683" s="1085"/>
      <c r="O683" s="566"/>
      <c r="P683" s="566"/>
      <c r="Q683" s="1085"/>
      <c r="R683" s="566"/>
      <c r="S683" s="1085"/>
      <c r="T683" s="566"/>
      <c r="U683" s="566"/>
    </row>
    <row r="684" spans="1:21" ht="18.75" x14ac:dyDescent="0.25">
      <c r="A684" s="764"/>
      <c r="B684" s="718"/>
      <c r="C684" s="718"/>
      <c r="D684" s="561"/>
      <c r="E684" s="561"/>
      <c r="F684" s="561"/>
      <c r="G684" s="563"/>
      <c r="H684" s="686" t="s">
        <v>34</v>
      </c>
      <c r="I684" s="727"/>
      <c r="J684" s="702">
        <v>0</v>
      </c>
      <c r="K684" s="566"/>
      <c r="L684" s="1087"/>
      <c r="M684" s="566"/>
      <c r="N684" s="1085"/>
      <c r="O684" s="566"/>
      <c r="P684" s="566"/>
      <c r="Q684" s="1085"/>
      <c r="R684" s="566"/>
      <c r="S684" s="1085"/>
      <c r="T684" s="566"/>
      <c r="U684" s="566"/>
    </row>
    <row r="685" spans="1:21" ht="18.75" x14ac:dyDescent="0.25">
      <c r="A685" s="764"/>
      <c r="B685" s="718"/>
      <c r="C685" s="718"/>
      <c r="D685" s="561"/>
      <c r="E685" s="561"/>
      <c r="F685" s="561"/>
      <c r="G685" s="563"/>
      <c r="H685" s="686" t="s">
        <v>46</v>
      </c>
      <c r="I685" s="727"/>
      <c r="J685" s="702">
        <v>0</v>
      </c>
      <c r="K685" s="566"/>
      <c r="L685" s="1087"/>
      <c r="M685" s="566"/>
      <c r="N685" s="1085"/>
      <c r="O685" s="566"/>
      <c r="P685" s="566"/>
      <c r="Q685" s="1085"/>
      <c r="R685" s="566"/>
      <c r="S685" s="1085"/>
      <c r="T685" s="566"/>
      <c r="U685" s="566"/>
    </row>
    <row r="686" spans="1:21" ht="18.75" x14ac:dyDescent="0.25">
      <c r="A686" s="764"/>
      <c r="B686" s="718"/>
      <c r="C686" s="718"/>
      <c r="D686" s="561"/>
      <c r="E686" s="573" t="s">
        <v>253</v>
      </c>
      <c r="F686" s="561"/>
      <c r="G686" s="563"/>
      <c r="H686" s="686" t="s">
        <v>35</v>
      </c>
      <c r="I686" s="727"/>
      <c r="J686" s="702">
        <v>0</v>
      </c>
      <c r="K686" s="566"/>
      <c r="L686" s="1087"/>
      <c r="M686" s="566"/>
      <c r="N686" s="1085"/>
      <c r="O686" s="566"/>
      <c r="P686" s="566"/>
      <c r="Q686" s="1085"/>
      <c r="R686" s="566"/>
      <c r="S686" s="1085"/>
      <c r="T686" s="566"/>
      <c r="U686" s="566"/>
    </row>
    <row r="687" spans="1:21" ht="18.75" x14ac:dyDescent="0.25">
      <c r="A687" s="764"/>
      <c r="B687" s="718"/>
      <c r="C687" s="718"/>
      <c r="D687" s="561"/>
      <c r="E687" s="561"/>
      <c r="F687" s="561"/>
      <c r="G687" s="563"/>
      <c r="H687" s="686" t="s">
        <v>34</v>
      </c>
      <c r="I687" s="727"/>
      <c r="J687" s="702">
        <v>0</v>
      </c>
      <c r="K687" s="566"/>
      <c r="L687" s="1087"/>
      <c r="M687" s="566"/>
      <c r="N687" s="1085"/>
      <c r="O687" s="566"/>
      <c r="P687" s="566"/>
      <c r="Q687" s="1085"/>
      <c r="R687" s="566"/>
      <c r="S687" s="1085"/>
      <c r="T687" s="566"/>
      <c r="U687" s="566"/>
    </row>
    <row r="688" spans="1:21" ht="19.5" x14ac:dyDescent="0.3">
      <c r="A688" s="863"/>
      <c r="B688" s="1088" t="s">
        <v>254</v>
      </c>
      <c r="C688" s="864"/>
      <c r="D688" s="512"/>
      <c r="E688" s="512"/>
      <c r="F688" s="512"/>
      <c r="G688" s="866"/>
      <c r="H688" s="1089" t="s">
        <v>46</v>
      </c>
      <c r="I688" s="985"/>
      <c r="J688" s="990">
        <v>0</v>
      </c>
      <c r="K688" s="580"/>
      <c r="L688" s="1090"/>
      <c r="M688" s="580"/>
      <c r="N688" s="1091"/>
      <c r="O688" s="580"/>
      <c r="P688" s="580"/>
      <c r="Q688" s="1091"/>
      <c r="R688" s="580"/>
      <c r="S688" s="1091"/>
      <c r="T688" s="580"/>
      <c r="U688" s="580"/>
    </row>
    <row r="689" spans="1:21" ht="19.5" x14ac:dyDescent="0.3">
      <c r="A689" s="1061"/>
      <c r="B689" s="1062" t="s">
        <v>255</v>
      </c>
      <c r="C689" s="1061"/>
      <c r="D689" s="1063"/>
      <c r="E689" s="1063"/>
      <c r="F689" s="1063"/>
      <c r="G689" s="1064"/>
      <c r="H689" s="1092" t="s">
        <v>35</v>
      </c>
      <c r="I689" s="1093">
        <f t="shared" ref="I689:J689" ca="1" si="410">I707</f>
        <v>100</v>
      </c>
      <c r="J689" s="1093">
        <f t="shared" ca="1" si="410"/>
        <v>0</v>
      </c>
      <c r="K689" s="1094">
        <f ca="1">IF(I689&gt;0,J689*100/I689,0)</f>
        <v>0</v>
      </c>
      <c r="L689" s="1068"/>
      <c r="M689" s="1067"/>
      <c r="N689" s="1067"/>
      <c r="O689" s="1067"/>
      <c r="P689" s="1067"/>
      <c r="Q689" s="1067"/>
      <c r="R689" s="1067"/>
      <c r="S689" s="1067"/>
      <c r="T689" s="1067"/>
      <c r="U689" s="1067"/>
    </row>
    <row r="690" spans="1:21" ht="19.5" x14ac:dyDescent="0.3">
      <c r="A690" s="674"/>
      <c r="B690" s="718"/>
      <c r="C690" s="724" t="s">
        <v>18</v>
      </c>
      <c r="D690" s="1310" t="s">
        <v>19</v>
      </c>
      <c r="E690" s="1311"/>
      <c r="F690" s="1311"/>
      <c r="G690" s="1312"/>
      <c r="H690" s="780" t="s">
        <v>14</v>
      </c>
      <c r="I690" s="565"/>
      <c r="J690" s="565"/>
      <c r="K690" s="566"/>
      <c r="L690" s="678">
        <f t="shared" ref="L690:N690" si="411">L691+L692</f>
        <v>0</v>
      </c>
      <c r="M690" s="679">
        <f t="shared" si="411"/>
        <v>0</v>
      </c>
      <c r="N690" s="679">
        <f t="shared" si="411"/>
        <v>0</v>
      </c>
      <c r="O690" s="679">
        <f t="shared" ref="O690:O698" si="412">IF(L690&gt;0,N690*100/L690,0)</f>
        <v>0</v>
      </c>
      <c r="P690" s="679">
        <f t="shared" ref="P690:P698" si="413">IF(M690&gt;0,N690*100/M690,0)</f>
        <v>0</v>
      </c>
      <c r="Q690" s="679">
        <f t="shared" ref="Q690:S690" ca="1" si="414">Q691+Q692</f>
        <v>224500</v>
      </c>
      <c r="R690" s="679">
        <f t="shared" ca="1" si="414"/>
        <v>224500</v>
      </c>
      <c r="S690" s="679">
        <f t="shared" ca="1" si="414"/>
        <v>139180</v>
      </c>
      <c r="T690" s="679">
        <f t="shared" ref="T690:T698" ca="1" si="415">IF(Q690&gt;0,S690*100/Q690,0)</f>
        <v>61.99554565701559</v>
      </c>
      <c r="U690" s="679">
        <f t="shared" ref="U690:U698" ca="1" si="416">IF(R690&gt;0,S690*100/R690,0)</f>
        <v>61.99554565701559</v>
      </c>
    </row>
    <row r="691" spans="1:21" ht="18.75" x14ac:dyDescent="0.25">
      <c r="A691" s="674"/>
      <c r="B691" s="718"/>
      <c r="C691" s="718"/>
      <c r="D691" s="695"/>
      <c r="E691" s="569" t="s">
        <v>158</v>
      </c>
      <c r="F691" s="561"/>
      <c r="G691" s="563"/>
      <c r="H691" s="685" t="s">
        <v>14</v>
      </c>
      <c r="I691" s="565"/>
      <c r="J691" s="565"/>
      <c r="K691" s="566"/>
      <c r="L691" s="571">
        <f t="shared" ref="L691:N692" si="417">L694+L697</f>
        <v>0</v>
      </c>
      <c r="M691" s="572">
        <f t="shared" si="417"/>
        <v>0</v>
      </c>
      <c r="N691" s="572">
        <f t="shared" si="417"/>
        <v>0</v>
      </c>
      <c r="O691" s="572">
        <f t="shared" si="412"/>
        <v>0</v>
      </c>
      <c r="P691" s="572">
        <f t="shared" si="413"/>
        <v>0</v>
      </c>
      <c r="Q691" s="572">
        <f t="shared" ref="Q691:S692" si="418">Q694+Q697</f>
        <v>0</v>
      </c>
      <c r="R691" s="572">
        <f t="shared" si="418"/>
        <v>0</v>
      </c>
      <c r="S691" s="572">
        <f t="shared" si="418"/>
        <v>0</v>
      </c>
      <c r="T691" s="572">
        <f t="shared" si="415"/>
        <v>0</v>
      </c>
      <c r="U691" s="572">
        <f t="shared" si="416"/>
        <v>0</v>
      </c>
    </row>
    <row r="692" spans="1:21" ht="18.75" x14ac:dyDescent="0.25">
      <c r="A692" s="674"/>
      <c r="B692" s="718"/>
      <c r="C692" s="718"/>
      <c r="D692" s="695"/>
      <c r="E692" s="573" t="s">
        <v>159</v>
      </c>
      <c r="F692" s="561"/>
      <c r="G692" s="563"/>
      <c r="H692" s="682" t="s">
        <v>14</v>
      </c>
      <c r="I692" s="565"/>
      <c r="J692" s="565"/>
      <c r="K692" s="566"/>
      <c r="L692" s="567">
        <f t="shared" si="417"/>
        <v>0</v>
      </c>
      <c r="M692" s="568">
        <f t="shared" si="417"/>
        <v>0</v>
      </c>
      <c r="N692" s="568">
        <f t="shared" si="417"/>
        <v>0</v>
      </c>
      <c r="O692" s="568">
        <f t="shared" si="412"/>
        <v>0</v>
      </c>
      <c r="P692" s="568">
        <f t="shared" si="413"/>
        <v>0</v>
      </c>
      <c r="Q692" s="568">
        <f t="shared" ca="1" si="418"/>
        <v>224500</v>
      </c>
      <c r="R692" s="568">
        <f t="shared" ca="1" si="418"/>
        <v>224500</v>
      </c>
      <c r="S692" s="568">
        <f t="shared" ca="1" si="418"/>
        <v>139180</v>
      </c>
      <c r="T692" s="568">
        <f t="shared" ca="1" si="415"/>
        <v>61.99554565701559</v>
      </c>
      <c r="U692" s="568">
        <f t="shared" ca="1" si="416"/>
        <v>61.99554565701559</v>
      </c>
    </row>
    <row r="693" spans="1:21" ht="18.75" x14ac:dyDescent="0.25">
      <c r="A693" s="674"/>
      <c r="B693" s="718"/>
      <c r="C693" s="718"/>
      <c r="D693" s="562" t="s">
        <v>22</v>
      </c>
      <c r="E693" s="561"/>
      <c r="F693" s="561"/>
      <c r="G693" s="563"/>
      <c r="H693" s="682" t="s">
        <v>14</v>
      </c>
      <c r="I693" s="683"/>
      <c r="J693" s="683"/>
      <c r="K693" s="684"/>
      <c r="L693" s="567">
        <f t="shared" ref="L693:N693" si="419">L694+L695</f>
        <v>0</v>
      </c>
      <c r="M693" s="568">
        <f t="shared" si="419"/>
        <v>0</v>
      </c>
      <c r="N693" s="568">
        <f t="shared" si="419"/>
        <v>0</v>
      </c>
      <c r="O693" s="568">
        <f t="shared" si="412"/>
        <v>0</v>
      </c>
      <c r="P693" s="568">
        <f t="shared" si="413"/>
        <v>0</v>
      </c>
      <c r="Q693" s="568">
        <f t="shared" ref="Q693:S693" ca="1" si="420">Q694+Q695</f>
        <v>224500</v>
      </c>
      <c r="R693" s="568">
        <f t="shared" ca="1" si="420"/>
        <v>224500</v>
      </c>
      <c r="S693" s="568">
        <f t="shared" ca="1" si="420"/>
        <v>139180</v>
      </c>
      <c r="T693" s="568">
        <f t="shared" ca="1" si="415"/>
        <v>61.99554565701559</v>
      </c>
      <c r="U693" s="568">
        <f t="shared" ca="1" si="416"/>
        <v>61.99554565701559</v>
      </c>
    </row>
    <row r="694" spans="1:21" ht="18.75" x14ac:dyDescent="0.25">
      <c r="A694" s="674"/>
      <c r="B694" s="718"/>
      <c r="C694" s="718"/>
      <c r="D694" s="695"/>
      <c r="E694" s="569" t="s">
        <v>158</v>
      </c>
      <c r="F694" s="561"/>
      <c r="G694" s="563"/>
      <c r="H694" s="685" t="s">
        <v>14</v>
      </c>
      <c r="I694" s="565"/>
      <c r="J694" s="565"/>
      <c r="K694" s="566"/>
      <c r="L694" s="571">
        <v>0</v>
      </c>
      <c r="M694" s="572">
        <v>0</v>
      </c>
      <c r="N694" s="572">
        <v>0</v>
      </c>
      <c r="O694" s="572">
        <f t="shared" si="412"/>
        <v>0</v>
      </c>
      <c r="P694" s="572">
        <f t="shared" si="413"/>
        <v>0</v>
      </c>
      <c r="Q694" s="572">
        <v>0</v>
      </c>
      <c r="R694" s="572">
        <v>0</v>
      </c>
      <c r="S694" s="572">
        <v>0</v>
      </c>
      <c r="T694" s="572">
        <f t="shared" si="415"/>
        <v>0</v>
      </c>
      <c r="U694" s="572">
        <f t="shared" si="416"/>
        <v>0</v>
      </c>
    </row>
    <row r="695" spans="1:21" ht="18.75" x14ac:dyDescent="0.25">
      <c r="A695" s="674"/>
      <c r="B695" s="718"/>
      <c r="C695" s="718"/>
      <c r="D695" s="695"/>
      <c r="E695" s="573" t="s">
        <v>159</v>
      </c>
      <c r="F695" s="561"/>
      <c r="G695" s="563"/>
      <c r="H695" s="682" t="s">
        <v>14</v>
      </c>
      <c r="I695" s="565"/>
      <c r="J695" s="565"/>
      <c r="K695" s="566"/>
      <c r="L695" s="567">
        <v>0</v>
      </c>
      <c r="M695" s="568">
        <v>0</v>
      </c>
      <c r="N695" s="568">
        <v>0</v>
      </c>
      <c r="O695" s="568">
        <f t="shared" si="412"/>
        <v>0</v>
      </c>
      <c r="P695" s="568">
        <f t="shared" si="413"/>
        <v>0</v>
      </c>
      <c r="Q695" s="568">
        <f ca="1">IFERROR(__xludf.DUMMYFUNCTION("IMPORTRANGE(""https://docs.google.com/spreadsheets/d/1ItG2mGa2ceCfYo0BwxsXqNm01IGEUdYcSSLTEv9YCik/edit?usp=sharing"",""เบิกจ่ายกองทุน!L14"")"),224500)</f>
        <v>224500</v>
      </c>
      <c r="R695" s="568">
        <f ca="1">IFERROR(__xludf.DUMMYFUNCTION("IMPORTRANGE(""https://docs.google.com/spreadsheets/d/1ItG2mGa2ceCfYo0BwxsXqNm01IGEUdYcSSLTEv9YCik/edit?usp=sharing"",""เบิกจ่ายกองทุน!M14"")"),224500)</f>
        <v>224500</v>
      </c>
      <c r="S695" s="568">
        <f ca="1">IFERROR(__xludf.DUMMYFUNCTION("IMPORTRANGE(""https://docs.google.com/spreadsheets/d/1ItG2mGa2ceCfYo0BwxsXqNm01IGEUdYcSSLTEv9YCik/edit?usp=sharing"",""เบิกจ่ายกองทุน!N14"")"),139180)</f>
        <v>139180</v>
      </c>
      <c r="T695" s="568">
        <f t="shared" ca="1" si="415"/>
        <v>61.99554565701559</v>
      </c>
      <c r="U695" s="568">
        <f t="shared" ca="1" si="416"/>
        <v>61.99554565701559</v>
      </c>
    </row>
    <row r="696" spans="1:21" ht="18.75" x14ac:dyDescent="0.25">
      <c r="A696" s="674"/>
      <c r="B696" s="718"/>
      <c r="C696" s="718"/>
      <c r="D696" s="562" t="s">
        <v>23</v>
      </c>
      <c r="E696" s="561"/>
      <c r="F696" s="561"/>
      <c r="G696" s="563"/>
      <c r="H696" s="686" t="s">
        <v>14</v>
      </c>
      <c r="I696" s="683"/>
      <c r="J696" s="683"/>
      <c r="K696" s="684"/>
      <c r="L696" s="567">
        <f t="shared" ref="L696:N696" si="421">L697+L698</f>
        <v>0</v>
      </c>
      <c r="M696" s="568">
        <f t="shared" si="421"/>
        <v>0</v>
      </c>
      <c r="N696" s="568">
        <f t="shared" si="421"/>
        <v>0</v>
      </c>
      <c r="O696" s="568">
        <f t="shared" si="412"/>
        <v>0</v>
      </c>
      <c r="P696" s="568">
        <f t="shared" si="413"/>
        <v>0</v>
      </c>
      <c r="Q696" s="568">
        <f t="shared" ref="Q696:S696" si="422">Q697+Q698</f>
        <v>0</v>
      </c>
      <c r="R696" s="568">
        <f t="shared" si="422"/>
        <v>0</v>
      </c>
      <c r="S696" s="568">
        <f t="shared" si="422"/>
        <v>0</v>
      </c>
      <c r="T696" s="568">
        <f t="shared" si="415"/>
        <v>0</v>
      </c>
      <c r="U696" s="568">
        <f t="shared" si="416"/>
        <v>0</v>
      </c>
    </row>
    <row r="697" spans="1:21" ht="18.75" x14ac:dyDescent="0.25">
      <c r="A697" s="674"/>
      <c r="B697" s="718"/>
      <c r="C697" s="718"/>
      <c r="D697" s="561"/>
      <c r="E697" s="569" t="s">
        <v>20</v>
      </c>
      <c r="F697" s="561"/>
      <c r="G697" s="563"/>
      <c r="H697" s="685" t="s">
        <v>14</v>
      </c>
      <c r="I697" s="683"/>
      <c r="J697" s="683"/>
      <c r="K697" s="684"/>
      <c r="L697" s="571">
        <v>0</v>
      </c>
      <c r="M697" s="572">
        <v>0</v>
      </c>
      <c r="N697" s="572">
        <v>0</v>
      </c>
      <c r="O697" s="572">
        <f t="shared" si="412"/>
        <v>0</v>
      </c>
      <c r="P697" s="572">
        <f t="shared" si="413"/>
        <v>0</v>
      </c>
      <c r="Q697" s="572">
        <v>0</v>
      </c>
      <c r="R697" s="572">
        <v>0</v>
      </c>
      <c r="S697" s="572">
        <v>0</v>
      </c>
      <c r="T697" s="572">
        <f t="shared" si="415"/>
        <v>0</v>
      </c>
      <c r="U697" s="572">
        <f t="shared" si="416"/>
        <v>0</v>
      </c>
    </row>
    <row r="698" spans="1:21" ht="18.75" x14ac:dyDescent="0.25">
      <c r="A698" s="674"/>
      <c r="B698" s="718"/>
      <c r="C698" s="718"/>
      <c r="D698" s="561"/>
      <c r="E698" s="573" t="s">
        <v>21</v>
      </c>
      <c r="F698" s="561"/>
      <c r="G698" s="563"/>
      <c r="H698" s="686" t="s">
        <v>14</v>
      </c>
      <c r="I698" s="683"/>
      <c r="J698" s="683"/>
      <c r="K698" s="684"/>
      <c r="L698" s="567">
        <v>0</v>
      </c>
      <c r="M698" s="568">
        <v>0</v>
      </c>
      <c r="N698" s="568">
        <v>0</v>
      </c>
      <c r="O698" s="568">
        <f t="shared" si="412"/>
        <v>0</v>
      </c>
      <c r="P698" s="568">
        <f t="shared" si="413"/>
        <v>0</v>
      </c>
      <c r="Q698" s="568">
        <v>0</v>
      </c>
      <c r="R698" s="568">
        <v>0</v>
      </c>
      <c r="S698" s="568">
        <v>0</v>
      </c>
      <c r="T698" s="568">
        <f t="shared" si="415"/>
        <v>0</v>
      </c>
      <c r="U698" s="568">
        <f t="shared" si="416"/>
        <v>0</v>
      </c>
    </row>
    <row r="699" spans="1:21" ht="19.5" x14ac:dyDescent="0.3">
      <c r="A699" s="687"/>
      <c r="B699" s="688"/>
      <c r="C699" s="724" t="s">
        <v>18</v>
      </c>
      <c r="D699" s="689" t="s">
        <v>38</v>
      </c>
      <c r="E699" s="690"/>
      <c r="F699" s="690"/>
      <c r="G699" s="690"/>
      <c r="H699" s="725"/>
      <c r="I699" s="683"/>
      <c r="J699" s="683"/>
      <c r="K699" s="684"/>
      <c r="L699" s="574"/>
      <c r="M699" s="566"/>
      <c r="N699" s="566"/>
      <c r="O699" s="566"/>
      <c r="P699" s="566"/>
      <c r="Q699" s="566"/>
      <c r="R699" s="566"/>
      <c r="S699" s="566"/>
      <c r="T699" s="566"/>
      <c r="U699" s="566"/>
    </row>
    <row r="700" spans="1:21" ht="18.75" x14ac:dyDescent="0.25">
      <c r="A700" s="764"/>
      <c r="B700" s="718"/>
      <c r="C700" s="718"/>
      <c r="D700" s="695"/>
      <c r="E700" s="694" t="s">
        <v>256</v>
      </c>
      <c r="F700" s="695"/>
      <c r="G700" s="692"/>
      <c r="H700" s="686" t="s">
        <v>257</v>
      </c>
      <c r="I700" s="708">
        <f ca="1">IFERROR(__xludf.DUMMYFUNCTION("IMPORTRANGE(""https://docs.google.com/spreadsheets/d/1eHaY18a8A9IcSdp1K8H6x8fbOy06t2VsZHhMHf-1x7Y/edit?usp=sharing"",""แผน!LC14"")"),0)</f>
        <v>0</v>
      </c>
      <c r="J700" s="702">
        <v>0</v>
      </c>
      <c r="K700" s="703">
        <f t="shared" ref="K700:K710" ca="1" si="423">IF(I700&gt;0,J700*100/I700,0)</f>
        <v>0</v>
      </c>
      <c r="L700" s="693"/>
      <c r="M700" s="684"/>
      <c r="N700" s="566"/>
      <c r="O700" s="684"/>
      <c r="P700" s="684"/>
      <c r="Q700" s="684"/>
      <c r="R700" s="684"/>
      <c r="S700" s="566"/>
      <c r="T700" s="684"/>
      <c r="U700" s="684"/>
    </row>
    <row r="701" spans="1:21" ht="19.5" x14ac:dyDescent="0.3">
      <c r="A701" s="764"/>
      <c r="B701" s="718"/>
      <c r="C701" s="718"/>
      <c r="D701" s="695"/>
      <c r="E701" s="1095" t="s">
        <v>258</v>
      </c>
      <c r="F701" s="695"/>
      <c r="G701" s="692"/>
      <c r="H701" s="677" t="s">
        <v>35</v>
      </c>
      <c r="I701" s="697">
        <f t="shared" ref="I701:J701" ca="1" si="424">I703+I705</f>
        <v>105</v>
      </c>
      <c r="J701" s="697">
        <f t="shared" ca="1" si="424"/>
        <v>0</v>
      </c>
      <c r="K701" s="679">
        <f t="shared" ca="1" si="423"/>
        <v>0</v>
      </c>
      <c r="L701" s="693"/>
      <c r="M701" s="684"/>
      <c r="N701" s="684"/>
      <c r="O701" s="684"/>
      <c r="P701" s="684"/>
      <c r="Q701" s="684"/>
      <c r="R701" s="684"/>
      <c r="S701" s="684"/>
      <c r="T701" s="684"/>
      <c r="U701" s="684"/>
    </row>
    <row r="702" spans="1:21" ht="19.5" x14ac:dyDescent="0.3">
      <c r="A702" s="764"/>
      <c r="B702" s="718"/>
      <c r="C702" s="718"/>
      <c r="D702" s="695"/>
      <c r="E702" s="695"/>
      <c r="F702" s="695"/>
      <c r="G702" s="692"/>
      <c r="H702" s="677" t="s">
        <v>46</v>
      </c>
      <c r="I702" s="697">
        <v>0</v>
      </c>
      <c r="J702" s="697">
        <f ca="1">J704+J706</f>
        <v>0</v>
      </c>
      <c r="K702" s="679">
        <f t="shared" si="423"/>
        <v>0</v>
      </c>
      <c r="L702" s="693"/>
      <c r="M702" s="684"/>
      <c r="N702" s="684"/>
      <c r="O702" s="684"/>
      <c r="P702" s="684"/>
      <c r="Q702" s="684"/>
      <c r="R702" s="684"/>
      <c r="S702" s="684"/>
      <c r="T702" s="684"/>
      <c r="U702" s="684"/>
    </row>
    <row r="703" spans="1:21" ht="18.75" x14ac:dyDescent="0.25">
      <c r="A703" s="764"/>
      <c r="B703" s="718"/>
      <c r="C703" s="718"/>
      <c r="D703" s="695"/>
      <c r="E703" s="695"/>
      <c r="F703" s="694" t="s">
        <v>259</v>
      </c>
      <c r="G703" s="692"/>
      <c r="H703" s="686" t="s">
        <v>35</v>
      </c>
      <c r="I703" s="708">
        <f ca="1">IFERROR(__xludf.DUMMYFUNCTION("IMPORTRANGE(""https://docs.google.com/spreadsheets/d/1eHaY18a8A9IcSdp1K8H6x8fbOy06t2VsZHhMHf-1x7Y/edit?usp=sharing"",""แผน!LJ14"")"),100)</f>
        <v>100</v>
      </c>
      <c r="J703" s="708">
        <f ca="1">IFERROR(__xludf.DUMMYFUNCTION("IMPORTRANGE(""https://docs.google.com/spreadsheets/d/1tdoBKaGub7dwA3U6UFTqxio9LNnvDCQjHKmttSEBsFQ/edit?usp=sharing"",""จัดที่ดิน!AP14"")"),0)</f>
        <v>0</v>
      </c>
      <c r="K703" s="568">
        <f t="shared" ca="1" si="423"/>
        <v>0</v>
      </c>
      <c r="L703" s="693"/>
      <c r="M703" s="684"/>
      <c r="N703" s="684"/>
      <c r="O703" s="684"/>
      <c r="P703" s="684"/>
      <c r="Q703" s="684"/>
      <c r="R703" s="684"/>
      <c r="S703" s="684"/>
      <c r="T703" s="684"/>
      <c r="U703" s="684"/>
    </row>
    <row r="704" spans="1:21" ht="18.75" x14ac:dyDescent="0.25">
      <c r="A704" s="764"/>
      <c r="B704" s="718"/>
      <c r="C704" s="718"/>
      <c r="D704" s="695"/>
      <c r="E704" s="695"/>
      <c r="F704" s="695"/>
      <c r="G704" s="692"/>
      <c r="H704" s="686" t="s">
        <v>46</v>
      </c>
      <c r="I704" s="708">
        <v>0</v>
      </c>
      <c r="J704" s="708">
        <f ca="1">IFERROR(__xludf.DUMMYFUNCTION("IMPORTRANGE(""https://docs.google.com/spreadsheets/d/1tdoBKaGub7dwA3U6UFTqxio9LNnvDCQjHKmttSEBsFQ/edit?usp=sharing"",""จัดที่ดิน!AQ14"")"),0)</f>
        <v>0</v>
      </c>
      <c r="K704" s="568">
        <f t="shared" si="423"/>
        <v>0</v>
      </c>
      <c r="L704" s="693"/>
      <c r="M704" s="684"/>
      <c r="N704" s="684"/>
      <c r="O704" s="684"/>
      <c r="P704" s="684"/>
      <c r="Q704" s="684"/>
      <c r="R704" s="684"/>
      <c r="S704" s="684"/>
      <c r="T704" s="684"/>
      <c r="U704" s="684"/>
    </row>
    <row r="705" spans="1:21" ht="18.75" x14ac:dyDescent="0.25">
      <c r="A705" s="764"/>
      <c r="B705" s="718"/>
      <c r="C705" s="718"/>
      <c r="D705" s="695"/>
      <c r="E705" s="695"/>
      <c r="F705" s="694" t="s">
        <v>260</v>
      </c>
      <c r="G705" s="692"/>
      <c r="H705" s="686" t="s">
        <v>35</v>
      </c>
      <c r="I705" s="708">
        <f ca="1">IFERROR(__xludf.DUMMYFUNCTION("IMPORTRANGE(""https://docs.google.com/spreadsheets/d/1eHaY18a8A9IcSdp1K8H6x8fbOy06t2VsZHhMHf-1x7Y/edit?usp=sharing"",""แผน!LK14"")"),5)</f>
        <v>5</v>
      </c>
      <c r="J705" s="708">
        <f ca="1">IFERROR(__xludf.DUMMYFUNCTION("IMPORTRANGE(""https://docs.google.com/spreadsheets/d/1tdoBKaGub7dwA3U6UFTqxio9LNnvDCQjHKmttSEBsFQ/edit?usp=sharing"",""จัดที่ดิน!AR14"")"),0)</f>
        <v>0</v>
      </c>
      <c r="K705" s="703">
        <f t="shared" ca="1" si="423"/>
        <v>0</v>
      </c>
      <c r="L705" s="693"/>
      <c r="M705" s="684"/>
      <c r="N705" s="684"/>
      <c r="O705" s="684"/>
      <c r="P705" s="684"/>
      <c r="Q705" s="684"/>
      <c r="R705" s="684"/>
      <c r="S705" s="684"/>
      <c r="T705" s="684"/>
      <c r="U705" s="684"/>
    </row>
    <row r="706" spans="1:21" ht="18.75" x14ac:dyDescent="0.25">
      <c r="A706" s="764"/>
      <c r="B706" s="718"/>
      <c r="C706" s="718"/>
      <c r="D706" s="695"/>
      <c r="E706" s="695"/>
      <c r="F706" s="695"/>
      <c r="G706" s="692"/>
      <c r="H706" s="686" t="s">
        <v>46</v>
      </c>
      <c r="I706" s="708">
        <v>0</v>
      </c>
      <c r="J706" s="708">
        <f ca="1">IFERROR(__xludf.DUMMYFUNCTION("IMPORTRANGE(""https://docs.google.com/spreadsheets/d/1tdoBKaGub7dwA3U6UFTqxio9LNnvDCQjHKmttSEBsFQ/edit?usp=sharing"",""จัดที่ดิน!AS14"")"),0)</f>
        <v>0</v>
      </c>
      <c r="K706" s="568">
        <f t="shared" si="423"/>
        <v>0</v>
      </c>
      <c r="L706" s="693"/>
      <c r="M706" s="684"/>
      <c r="N706" s="684"/>
      <c r="O706" s="684"/>
      <c r="P706" s="684"/>
      <c r="Q706" s="684"/>
      <c r="R706" s="684"/>
      <c r="S706" s="684"/>
      <c r="T706" s="684"/>
      <c r="U706" s="684"/>
    </row>
    <row r="707" spans="1:21" ht="18.75" x14ac:dyDescent="0.25">
      <c r="A707" s="764"/>
      <c r="B707" s="718"/>
      <c r="C707" s="718"/>
      <c r="D707" s="695"/>
      <c r="E707" s="694" t="s">
        <v>261</v>
      </c>
      <c r="F707" s="695"/>
      <c r="G707" s="692"/>
      <c r="H707" s="682" t="s">
        <v>35</v>
      </c>
      <c r="I707" s="708">
        <f ca="1">IFERROR(__xludf.DUMMYFUNCTION("IMPORTRANGE(""https://docs.google.com/spreadsheets/d/1eHaY18a8A9IcSdp1K8H6x8fbOy06t2VsZHhMHf-1x7Y/edit?usp=sharing"",""แผน!LJ14"")"),100)</f>
        <v>100</v>
      </c>
      <c r="J707" s="708">
        <f ca="1">IFERROR(__xludf.DUMMYFUNCTION("IMPORTRANGE(""https://docs.google.com/spreadsheets/d/1tdoBKaGub7dwA3U6UFTqxio9LNnvDCQjHKmttSEBsFQ/edit?usp=sharing"",""จัดที่ดิน!BN14"")"),0)</f>
        <v>0</v>
      </c>
      <c r="K707" s="568">
        <f t="shared" ca="1" si="423"/>
        <v>0</v>
      </c>
      <c r="L707" s="693"/>
      <c r="M707" s="684"/>
      <c r="N707" s="684"/>
      <c r="O707" s="684"/>
      <c r="P707" s="684"/>
      <c r="Q707" s="684"/>
      <c r="R707" s="684"/>
      <c r="S707" s="684"/>
      <c r="T707" s="684"/>
      <c r="U707" s="684"/>
    </row>
    <row r="708" spans="1:21" ht="18.75" x14ac:dyDescent="0.25">
      <c r="A708" s="764"/>
      <c r="B708" s="718"/>
      <c r="C708" s="718"/>
      <c r="D708" s="695"/>
      <c r="E708" s="1096" t="s">
        <v>262</v>
      </c>
      <c r="F708" s="695"/>
      <c r="G708" s="692"/>
      <c r="H708" s="682" t="s">
        <v>46</v>
      </c>
      <c r="I708" s="708">
        <v>0</v>
      </c>
      <c r="J708" s="708">
        <f ca="1">IFERROR(__xludf.DUMMYFUNCTION("IMPORTRANGE(""https://docs.google.com/spreadsheets/d/1tdoBKaGub7dwA3U6UFTqxio9LNnvDCQjHKmttSEBsFQ/edit?usp=sharing"",""จัดที่ดิน!BO14"")"),0)</f>
        <v>0</v>
      </c>
      <c r="K708" s="568">
        <f t="shared" si="423"/>
        <v>0</v>
      </c>
      <c r="L708" s="693"/>
      <c r="M708" s="684"/>
      <c r="N708" s="684"/>
      <c r="O708" s="684"/>
      <c r="P708" s="684"/>
      <c r="Q708" s="684"/>
      <c r="R708" s="684"/>
      <c r="S708" s="684"/>
      <c r="T708" s="684"/>
      <c r="U708" s="684"/>
    </row>
    <row r="709" spans="1:21" ht="18.75" x14ac:dyDescent="0.25">
      <c r="A709" s="764"/>
      <c r="B709" s="718"/>
      <c r="C709" s="718"/>
      <c r="D709" s="561"/>
      <c r="E709" s="573" t="s">
        <v>263</v>
      </c>
      <c r="F709" s="561"/>
      <c r="G709" s="563"/>
      <c r="H709" s="722" t="s">
        <v>35</v>
      </c>
      <c r="I709" s="708">
        <f ca="1">IFERROR(__xludf.DUMMYFUNCTION("IMPORTRANGE(""https://docs.google.com/spreadsheets/d/1eHaY18a8A9IcSdp1K8H6x8fbOy06t2VsZHhMHf-1x7Y/edit?usp=sharing"",""แผน!LK14"")"),5)</f>
        <v>5</v>
      </c>
      <c r="J709" s="708">
        <f ca="1">IFERROR(__xludf.DUMMYFUNCTION("IMPORTRANGE(""https://docs.google.com/spreadsheets/d/1tdoBKaGub7dwA3U6UFTqxio9LNnvDCQjHKmttSEBsFQ/edit?usp=sharing"",""จัดที่ดิน!BP14"")"),4)</f>
        <v>4</v>
      </c>
      <c r="K709" s="568">
        <f t="shared" ca="1" si="423"/>
        <v>80</v>
      </c>
      <c r="L709" s="574"/>
      <c r="M709" s="566"/>
      <c r="N709" s="566"/>
      <c r="O709" s="566"/>
      <c r="P709" s="566"/>
      <c r="Q709" s="566"/>
      <c r="R709" s="566"/>
      <c r="S709" s="566"/>
      <c r="T709" s="566"/>
      <c r="U709" s="566"/>
    </row>
    <row r="710" spans="1:21" ht="18.75" x14ac:dyDescent="0.25">
      <c r="A710" s="764"/>
      <c r="B710" s="718"/>
      <c r="C710" s="718"/>
      <c r="D710" s="561"/>
      <c r="E710" s="1096" t="s">
        <v>264</v>
      </c>
      <c r="F710" s="561"/>
      <c r="G710" s="563"/>
      <c r="H710" s="722" t="s">
        <v>46</v>
      </c>
      <c r="I710" s="708">
        <v>0</v>
      </c>
      <c r="J710" s="708">
        <f ca="1">IFERROR(__xludf.DUMMYFUNCTION("IMPORTRANGE(""https://docs.google.com/spreadsheets/d/1tdoBKaGub7dwA3U6UFTqxio9LNnvDCQjHKmttSEBsFQ/edit?usp=sharing"",""จัดที่ดิน!BQ14"")"),0)</f>
        <v>0</v>
      </c>
      <c r="K710" s="568">
        <f t="shared" si="423"/>
        <v>0</v>
      </c>
      <c r="L710" s="574"/>
      <c r="M710" s="566"/>
      <c r="N710" s="566"/>
      <c r="O710" s="566"/>
      <c r="P710" s="566"/>
      <c r="Q710" s="566"/>
      <c r="R710" s="566"/>
      <c r="S710" s="566"/>
      <c r="T710" s="566"/>
      <c r="U710" s="566"/>
    </row>
    <row r="711" spans="1:21" ht="12.75" hidden="1" x14ac:dyDescent="0.2">
      <c r="A711" s="1027"/>
      <c r="B711" s="966"/>
      <c r="C711" s="966"/>
      <c r="D711" s="1028"/>
      <c r="E711" s="1028"/>
      <c r="F711" s="1028"/>
      <c r="G711" s="1029"/>
      <c r="H711" s="967"/>
      <c r="I711" s="968"/>
      <c r="J711" s="968"/>
      <c r="K711" s="969"/>
      <c r="L711" s="970"/>
      <c r="M711" s="969"/>
      <c r="N711" s="969"/>
      <c r="O711" s="969"/>
      <c r="P711" s="969"/>
      <c r="Q711" s="969"/>
      <c r="R711" s="969"/>
      <c r="S711" s="969"/>
      <c r="T711" s="969"/>
      <c r="U711" s="969"/>
    </row>
    <row r="712" spans="1:21" ht="19.5" hidden="1" x14ac:dyDescent="0.3">
      <c r="A712" s="1061"/>
      <c r="B712" s="1097" t="s">
        <v>265</v>
      </c>
      <c r="C712" s="1061"/>
      <c r="D712" s="1063"/>
      <c r="E712" s="1063"/>
      <c r="F712" s="1063"/>
      <c r="G712" s="1064"/>
      <c r="H712" s="1098" t="s">
        <v>46</v>
      </c>
      <c r="I712" s="1066"/>
      <c r="J712" s="1066">
        <f>J724</f>
        <v>0</v>
      </c>
      <c r="K712" s="1099">
        <f>IF(I712&gt;0,J712*100/I712,0)</f>
        <v>0</v>
      </c>
      <c r="L712" s="1068"/>
      <c r="M712" s="1067"/>
      <c r="N712" s="1067"/>
      <c r="O712" s="1067"/>
      <c r="P712" s="1067"/>
      <c r="Q712" s="1067"/>
      <c r="R712" s="1067"/>
      <c r="S712" s="1067"/>
      <c r="T712" s="1067"/>
      <c r="U712" s="1067"/>
    </row>
    <row r="713" spans="1:21" ht="19.5" hidden="1" x14ac:dyDescent="0.3">
      <c r="A713" s="1061"/>
      <c r="B713" s="1097" t="s">
        <v>266</v>
      </c>
      <c r="C713" s="1061"/>
      <c r="D713" s="1063"/>
      <c r="E713" s="1063"/>
      <c r="F713" s="1063"/>
      <c r="G713" s="1064"/>
      <c r="H713" s="1065"/>
      <c r="I713" s="1066"/>
      <c r="J713" s="1066"/>
      <c r="K713" s="1067"/>
      <c r="L713" s="1068"/>
      <c r="M713" s="1067"/>
      <c r="N713" s="1067"/>
      <c r="O713" s="1067"/>
      <c r="P713" s="1067"/>
      <c r="Q713" s="1067"/>
      <c r="R713" s="1067"/>
      <c r="S713" s="1067"/>
      <c r="T713" s="1067"/>
      <c r="U713" s="1067"/>
    </row>
    <row r="714" spans="1:21" ht="19.5" hidden="1" x14ac:dyDescent="0.3">
      <c r="A714" s="674"/>
      <c r="B714" s="718"/>
      <c r="C714" s="767" t="s">
        <v>18</v>
      </c>
      <c r="D714" s="1315" t="s">
        <v>19</v>
      </c>
      <c r="E714" s="1311"/>
      <c r="F714" s="1311"/>
      <c r="G714" s="1312"/>
      <c r="H714" s="799" t="s">
        <v>14</v>
      </c>
      <c r="I714" s="565"/>
      <c r="J714" s="565"/>
      <c r="K714" s="566"/>
      <c r="L714" s="678">
        <f t="shared" ref="L714:N714" si="425">L715+L716</f>
        <v>0</v>
      </c>
      <c r="M714" s="679">
        <f t="shared" si="425"/>
        <v>0</v>
      </c>
      <c r="N714" s="679">
        <f t="shared" si="425"/>
        <v>0</v>
      </c>
      <c r="O714" s="679">
        <f t="shared" ref="O714:O722" si="426">IF(L714&gt;0,N714*100/L714,0)</f>
        <v>0</v>
      </c>
      <c r="P714" s="679">
        <f t="shared" ref="P714:P722" si="427">IF(M714&gt;0,N714*100/M714,0)</f>
        <v>0</v>
      </c>
      <c r="Q714" s="679">
        <f t="shared" ref="Q714:S714" si="428">Q715+Q716</f>
        <v>0</v>
      </c>
      <c r="R714" s="679">
        <f t="shared" si="428"/>
        <v>0</v>
      </c>
      <c r="S714" s="679">
        <f t="shared" si="428"/>
        <v>0</v>
      </c>
      <c r="T714" s="679">
        <f t="shared" ref="T714:T722" si="429">IF(Q714&gt;0,S714*100/Q714,0)</f>
        <v>0</v>
      </c>
      <c r="U714" s="679">
        <f t="shared" ref="U714:U722" si="430">IF(R714&gt;0,S714*100/R714,0)</f>
        <v>0</v>
      </c>
    </row>
    <row r="715" spans="1:21" ht="18.75" hidden="1" x14ac:dyDescent="0.25">
      <c r="A715" s="674"/>
      <c r="B715" s="718"/>
      <c r="C715" s="718"/>
      <c r="D715" s="695"/>
      <c r="E715" s="569" t="s">
        <v>158</v>
      </c>
      <c r="F715" s="561"/>
      <c r="G715" s="563"/>
      <c r="H715" s="685" t="s">
        <v>14</v>
      </c>
      <c r="I715" s="565"/>
      <c r="J715" s="565"/>
      <c r="K715" s="566"/>
      <c r="L715" s="571">
        <f t="shared" ref="L715:N716" si="431">L718+L721</f>
        <v>0</v>
      </c>
      <c r="M715" s="572">
        <f t="shared" si="431"/>
        <v>0</v>
      </c>
      <c r="N715" s="572">
        <f t="shared" si="431"/>
        <v>0</v>
      </c>
      <c r="O715" s="572">
        <f t="shared" si="426"/>
        <v>0</v>
      </c>
      <c r="P715" s="572">
        <f t="shared" si="427"/>
        <v>0</v>
      </c>
      <c r="Q715" s="572">
        <f t="shared" ref="Q715:S716" si="432">Q718+Q721</f>
        <v>0</v>
      </c>
      <c r="R715" s="572">
        <f t="shared" si="432"/>
        <v>0</v>
      </c>
      <c r="S715" s="572">
        <f t="shared" si="432"/>
        <v>0</v>
      </c>
      <c r="T715" s="572">
        <f t="shared" si="429"/>
        <v>0</v>
      </c>
      <c r="U715" s="572">
        <f t="shared" si="430"/>
        <v>0</v>
      </c>
    </row>
    <row r="716" spans="1:21" ht="18.75" hidden="1" x14ac:dyDescent="0.25">
      <c r="A716" s="674"/>
      <c r="B716" s="718"/>
      <c r="C716" s="718"/>
      <c r="D716" s="695"/>
      <c r="E716" s="569" t="s">
        <v>159</v>
      </c>
      <c r="F716" s="561"/>
      <c r="G716" s="563"/>
      <c r="H716" s="685" t="s">
        <v>14</v>
      </c>
      <c r="I716" s="565"/>
      <c r="J716" s="565"/>
      <c r="K716" s="566"/>
      <c r="L716" s="567">
        <f t="shared" si="431"/>
        <v>0</v>
      </c>
      <c r="M716" s="568">
        <f t="shared" si="431"/>
        <v>0</v>
      </c>
      <c r="N716" s="568">
        <f t="shared" si="431"/>
        <v>0</v>
      </c>
      <c r="O716" s="568">
        <f t="shared" si="426"/>
        <v>0</v>
      </c>
      <c r="P716" s="568">
        <f t="shared" si="427"/>
        <v>0</v>
      </c>
      <c r="Q716" s="568">
        <f t="shared" si="432"/>
        <v>0</v>
      </c>
      <c r="R716" s="568">
        <f t="shared" si="432"/>
        <v>0</v>
      </c>
      <c r="S716" s="568">
        <f t="shared" si="432"/>
        <v>0</v>
      </c>
      <c r="T716" s="568">
        <f t="shared" si="429"/>
        <v>0</v>
      </c>
      <c r="U716" s="568">
        <f t="shared" si="430"/>
        <v>0</v>
      </c>
    </row>
    <row r="717" spans="1:21" ht="19.5" hidden="1" x14ac:dyDescent="0.3">
      <c r="A717" s="674"/>
      <c r="B717" s="718"/>
      <c r="C717" s="718"/>
      <c r="D717" s="798" t="s">
        <v>22</v>
      </c>
      <c r="E717" s="561"/>
      <c r="F717" s="561"/>
      <c r="G717" s="563"/>
      <c r="H717" s="799" t="s">
        <v>14</v>
      </c>
      <c r="I717" s="683"/>
      <c r="J717" s="683"/>
      <c r="K717" s="684"/>
      <c r="L717" s="567">
        <f t="shared" ref="L717:N717" si="433">L718+L719</f>
        <v>0</v>
      </c>
      <c r="M717" s="568">
        <f t="shared" si="433"/>
        <v>0</v>
      </c>
      <c r="N717" s="568">
        <f t="shared" si="433"/>
        <v>0</v>
      </c>
      <c r="O717" s="568">
        <f t="shared" si="426"/>
        <v>0</v>
      </c>
      <c r="P717" s="568">
        <f t="shared" si="427"/>
        <v>0</v>
      </c>
      <c r="Q717" s="568">
        <f t="shared" ref="Q717:S717" si="434">Q718+Q719</f>
        <v>0</v>
      </c>
      <c r="R717" s="568">
        <f t="shared" si="434"/>
        <v>0</v>
      </c>
      <c r="S717" s="568">
        <f t="shared" si="434"/>
        <v>0</v>
      </c>
      <c r="T717" s="568">
        <f t="shared" si="429"/>
        <v>0</v>
      </c>
      <c r="U717" s="568">
        <f t="shared" si="430"/>
        <v>0</v>
      </c>
    </row>
    <row r="718" spans="1:21" ht="18.75" hidden="1" x14ac:dyDescent="0.25">
      <c r="A718" s="674"/>
      <c r="B718" s="718"/>
      <c r="C718" s="718"/>
      <c r="D718" s="695"/>
      <c r="E718" s="569" t="s">
        <v>158</v>
      </c>
      <c r="F718" s="561"/>
      <c r="G718" s="563"/>
      <c r="H718" s="685" t="s">
        <v>14</v>
      </c>
      <c r="I718" s="565"/>
      <c r="J718" s="565"/>
      <c r="K718" s="566"/>
      <c r="L718" s="571">
        <v>0</v>
      </c>
      <c r="M718" s="572">
        <v>0</v>
      </c>
      <c r="N718" s="572">
        <v>0</v>
      </c>
      <c r="O718" s="572">
        <f t="shared" si="426"/>
        <v>0</v>
      </c>
      <c r="P718" s="572">
        <f t="shared" si="427"/>
        <v>0</v>
      </c>
      <c r="Q718" s="572">
        <v>0</v>
      </c>
      <c r="R718" s="572">
        <v>0</v>
      </c>
      <c r="S718" s="572">
        <v>0</v>
      </c>
      <c r="T718" s="572">
        <f t="shared" si="429"/>
        <v>0</v>
      </c>
      <c r="U718" s="572">
        <f t="shared" si="430"/>
        <v>0</v>
      </c>
    </row>
    <row r="719" spans="1:21" ht="18.75" hidden="1" x14ac:dyDescent="0.25">
      <c r="A719" s="674"/>
      <c r="B719" s="718"/>
      <c r="C719" s="718"/>
      <c r="D719" s="695"/>
      <c r="E719" s="569" t="s">
        <v>159</v>
      </c>
      <c r="F719" s="561"/>
      <c r="G719" s="563"/>
      <c r="H719" s="685" t="s">
        <v>14</v>
      </c>
      <c r="I719" s="565"/>
      <c r="J719" s="565"/>
      <c r="K719" s="566"/>
      <c r="L719" s="567">
        <v>0</v>
      </c>
      <c r="M719" s="568">
        <v>0</v>
      </c>
      <c r="N719" s="568">
        <v>0</v>
      </c>
      <c r="O719" s="568">
        <f t="shared" si="426"/>
        <v>0</v>
      </c>
      <c r="P719" s="568">
        <f t="shared" si="427"/>
        <v>0</v>
      </c>
      <c r="Q719" s="568">
        <v>0</v>
      </c>
      <c r="R719" s="568">
        <v>0</v>
      </c>
      <c r="S719" s="568">
        <v>0</v>
      </c>
      <c r="T719" s="568">
        <f t="shared" si="429"/>
        <v>0</v>
      </c>
      <c r="U719" s="568">
        <f t="shared" si="430"/>
        <v>0</v>
      </c>
    </row>
    <row r="720" spans="1:21" ht="19.5" hidden="1" x14ac:dyDescent="0.3">
      <c r="A720" s="674"/>
      <c r="B720" s="718"/>
      <c r="C720" s="718"/>
      <c r="D720" s="798" t="s">
        <v>23</v>
      </c>
      <c r="E720" s="561"/>
      <c r="F720" s="561"/>
      <c r="G720" s="563"/>
      <c r="H720" s="1041" t="s">
        <v>14</v>
      </c>
      <c r="I720" s="683"/>
      <c r="J720" s="683"/>
      <c r="K720" s="684"/>
      <c r="L720" s="567">
        <f t="shared" ref="L720:N720" si="435">L721+L722</f>
        <v>0</v>
      </c>
      <c r="M720" s="568">
        <f t="shared" si="435"/>
        <v>0</v>
      </c>
      <c r="N720" s="568">
        <f t="shared" si="435"/>
        <v>0</v>
      </c>
      <c r="O720" s="568">
        <f t="shared" si="426"/>
        <v>0</v>
      </c>
      <c r="P720" s="568">
        <f t="shared" si="427"/>
        <v>0</v>
      </c>
      <c r="Q720" s="568">
        <f t="shared" ref="Q720:S720" si="436">Q721+Q722</f>
        <v>0</v>
      </c>
      <c r="R720" s="568">
        <f t="shared" si="436"/>
        <v>0</v>
      </c>
      <c r="S720" s="568">
        <f t="shared" si="436"/>
        <v>0</v>
      </c>
      <c r="T720" s="568">
        <f t="shared" si="429"/>
        <v>0</v>
      </c>
      <c r="U720" s="568">
        <f t="shared" si="430"/>
        <v>0</v>
      </c>
    </row>
    <row r="721" spans="1:21" ht="18.75" hidden="1" x14ac:dyDescent="0.25">
      <c r="A721" s="674"/>
      <c r="B721" s="718"/>
      <c r="C721" s="718"/>
      <c r="D721" s="561"/>
      <c r="E721" s="569" t="s">
        <v>20</v>
      </c>
      <c r="F721" s="561"/>
      <c r="G721" s="563"/>
      <c r="H721" s="685" t="s">
        <v>14</v>
      </c>
      <c r="I721" s="683"/>
      <c r="J721" s="683"/>
      <c r="K721" s="684"/>
      <c r="L721" s="571">
        <v>0</v>
      </c>
      <c r="M721" s="572">
        <v>0</v>
      </c>
      <c r="N721" s="572">
        <v>0</v>
      </c>
      <c r="O721" s="572">
        <f t="shared" si="426"/>
        <v>0</v>
      </c>
      <c r="P721" s="572">
        <f t="shared" si="427"/>
        <v>0</v>
      </c>
      <c r="Q721" s="572">
        <v>0</v>
      </c>
      <c r="R721" s="572">
        <v>0</v>
      </c>
      <c r="S721" s="572">
        <v>0</v>
      </c>
      <c r="T721" s="572">
        <f t="shared" si="429"/>
        <v>0</v>
      </c>
      <c r="U721" s="572">
        <f t="shared" si="430"/>
        <v>0</v>
      </c>
    </row>
    <row r="722" spans="1:21" ht="18.75" hidden="1" x14ac:dyDescent="0.25">
      <c r="A722" s="674"/>
      <c r="B722" s="718"/>
      <c r="C722" s="718"/>
      <c r="D722" s="561"/>
      <c r="E722" s="569" t="s">
        <v>21</v>
      </c>
      <c r="F722" s="561"/>
      <c r="G722" s="563"/>
      <c r="H722" s="734" t="s">
        <v>14</v>
      </c>
      <c r="I722" s="683"/>
      <c r="J722" s="683"/>
      <c r="K722" s="684"/>
      <c r="L722" s="567">
        <v>0</v>
      </c>
      <c r="M722" s="568">
        <v>0</v>
      </c>
      <c r="N722" s="568">
        <v>0</v>
      </c>
      <c r="O722" s="568">
        <f t="shared" si="426"/>
        <v>0</v>
      </c>
      <c r="P722" s="568">
        <f t="shared" si="427"/>
        <v>0</v>
      </c>
      <c r="Q722" s="568">
        <v>0</v>
      </c>
      <c r="R722" s="568">
        <v>0</v>
      </c>
      <c r="S722" s="568">
        <v>0</v>
      </c>
      <c r="T722" s="568">
        <f t="shared" si="429"/>
        <v>0</v>
      </c>
      <c r="U722" s="568">
        <f t="shared" si="430"/>
        <v>0</v>
      </c>
    </row>
    <row r="723" spans="1:21" ht="19.5" hidden="1" x14ac:dyDescent="0.3">
      <c r="A723" s="687"/>
      <c r="B723" s="688"/>
      <c r="C723" s="767" t="s">
        <v>18</v>
      </c>
      <c r="D723" s="1100" t="s">
        <v>38</v>
      </c>
      <c r="E723" s="690"/>
      <c r="F723" s="690"/>
      <c r="G723" s="691"/>
      <c r="H723" s="725"/>
      <c r="I723" s="683"/>
      <c r="J723" s="683"/>
      <c r="K723" s="684"/>
      <c r="L723" s="693"/>
      <c r="M723" s="684"/>
      <c r="N723" s="684"/>
      <c r="O723" s="684"/>
      <c r="P723" s="684"/>
      <c r="Q723" s="684"/>
      <c r="R723" s="684"/>
      <c r="S723" s="684"/>
      <c r="T723" s="684"/>
      <c r="U723" s="684"/>
    </row>
    <row r="724" spans="1:21" ht="18.75" hidden="1" x14ac:dyDescent="0.25">
      <c r="A724" s="764"/>
      <c r="B724" s="718"/>
      <c r="C724" s="718"/>
      <c r="D724" s="561"/>
      <c r="E724" s="569" t="s">
        <v>267</v>
      </c>
      <c r="F724" s="561"/>
      <c r="G724" s="563"/>
      <c r="H724" s="685" t="s">
        <v>46</v>
      </c>
      <c r="I724" s="735">
        <v>0</v>
      </c>
      <c r="J724" s="565"/>
      <c r="K724" s="566"/>
      <c r="L724" s="574"/>
      <c r="M724" s="566"/>
      <c r="N724" s="566"/>
      <c r="O724" s="566"/>
      <c r="P724" s="566"/>
      <c r="Q724" s="566"/>
      <c r="R724" s="566"/>
      <c r="S724" s="566"/>
      <c r="T724" s="566"/>
      <c r="U724" s="566"/>
    </row>
    <row r="725" spans="1:21" ht="18.75" hidden="1" x14ac:dyDescent="0.25">
      <c r="A725" s="984"/>
      <c r="B725" s="514"/>
      <c r="C725" s="514"/>
      <c r="D725" s="513"/>
      <c r="E725" s="738" t="s">
        <v>268</v>
      </c>
      <c r="F725" s="513"/>
      <c r="G725" s="577"/>
      <c r="H725" s="1101" t="s">
        <v>46</v>
      </c>
      <c r="I725" s="740">
        <v>0</v>
      </c>
      <c r="J725" s="579"/>
      <c r="K725" s="580"/>
      <c r="L725" s="581"/>
      <c r="M725" s="580"/>
      <c r="N725" s="580"/>
      <c r="O725" s="580"/>
      <c r="P725" s="580"/>
      <c r="Q725" s="580"/>
      <c r="R725" s="580"/>
      <c r="S725" s="580"/>
      <c r="T725" s="580"/>
      <c r="U725" s="580"/>
    </row>
    <row r="726" spans="1:21" ht="19.5" x14ac:dyDescent="0.3">
      <c r="A726" s="1061"/>
      <c r="B726" s="1062" t="s">
        <v>269</v>
      </c>
      <c r="C726" s="1061"/>
      <c r="D726" s="1063"/>
      <c r="E726" s="1063"/>
      <c r="F726" s="1063"/>
      <c r="G726" s="1064"/>
      <c r="H726" s="1092" t="s">
        <v>35</v>
      </c>
      <c r="I726" s="1093">
        <f ca="1">IFERROR(__xludf.DUMMYFUNCTION("IMPORTRANGE(""https://docs.google.com/spreadsheets/d/1eHaY18a8A9IcSdp1K8H6x8fbOy06t2VsZHhMHf-1x7Y/edit?usp=sharing"",""แผน!GA14"")"),128)</f>
        <v>128</v>
      </c>
      <c r="J726" s="1093">
        <f>J742+J746+J749</f>
        <v>100</v>
      </c>
      <c r="K726" s="1094">
        <f t="shared" ref="K726:K727" ca="1" si="437">IF(I726&gt;0,J726*100/I726,0)</f>
        <v>78.125</v>
      </c>
      <c r="L726" s="1068"/>
      <c r="M726" s="1067"/>
      <c r="N726" s="1067"/>
      <c r="O726" s="1067"/>
      <c r="P726" s="1067"/>
      <c r="Q726" s="1067"/>
      <c r="R726" s="1067"/>
      <c r="S726" s="1067"/>
      <c r="T726" s="1067"/>
      <c r="U726" s="1067"/>
    </row>
    <row r="727" spans="1:21" ht="19.5" x14ac:dyDescent="0.3">
      <c r="A727" s="1102"/>
      <c r="B727" s="1061"/>
      <c r="C727" s="1061"/>
      <c r="D727" s="1063"/>
      <c r="E727" s="1063"/>
      <c r="F727" s="1063"/>
      <c r="G727" s="1064"/>
      <c r="H727" s="1092" t="s">
        <v>46</v>
      </c>
      <c r="I727" s="1093">
        <f ca="1">IFERROR(__xludf.DUMMYFUNCTION("IMPORTRANGE(""https://docs.google.com/spreadsheets/d/1eHaY18a8A9IcSdp1K8H6x8fbOy06t2VsZHhMHf-1x7Y/edit?usp=sharing"",""แผน!FZ14"")"),1250)</f>
        <v>1250</v>
      </c>
      <c r="J727" s="1093">
        <f>J752+J755</f>
        <v>0</v>
      </c>
      <c r="K727" s="1094">
        <f t="shared" ca="1" si="437"/>
        <v>0</v>
      </c>
      <c r="L727" s="1068"/>
      <c r="M727" s="1067"/>
      <c r="N727" s="1067"/>
      <c r="O727" s="1067"/>
      <c r="P727" s="1067"/>
      <c r="Q727" s="1067"/>
      <c r="R727" s="1067"/>
      <c r="S727" s="1067"/>
      <c r="T727" s="1067"/>
      <c r="U727" s="1067"/>
    </row>
    <row r="728" spans="1:21" ht="19.5" x14ac:dyDescent="0.3">
      <c r="A728" s="674"/>
      <c r="B728" s="718"/>
      <c r="C728" s="724" t="s">
        <v>18</v>
      </c>
      <c r="D728" s="1310" t="s">
        <v>19</v>
      </c>
      <c r="E728" s="1311"/>
      <c r="F728" s="1311"/>
      <c r="G728" s="1312"/>
      <c r="H728" s="780" t="s">
        <v>14</v>
      </c>
      <c r="I728" s="565"/>
      <c r="J728" s="565"/>
      <c r="K728" s="566"/>
      <c r="L728" s="678">
        <f t="shared" ref="L728:N728" si="438">L729+L730</f>
        <v>0</v>
      </c>
      <c r="M728" s="679">
        <f t="shared" si="438"/>
        <v>0</v>
      </c>
      <c r="N728" s="679">
        <f t="shared" si="438"/>
        <v>0</v>
      </c>
      <c r="O728" s="679">
        <f t="shared" ref="O728:O736" si="439">IF(L728&gt;0,N728*100/L728,0)</f>
        <v>0</v>
      </c>
      <c r="P728" s="679">
        <f t="shared" ref="P728:P736" si="440">IF(M728&gt;0,N728*100/M728,0)</f>
        <v>0</v>
      </c>
      <c r="Q728" s="679">
        <f t="shared" ref="Q728:S728" ca="1" si="441">Q729+Q730</f>
        <v>1008470</v>
      </c>
      <c r="R728" s="679">
        <f t="shared" ca="1" si="441"/>
        <v>1008470</v>
      </c>
      <c r="S728" s="679">
        <f t="shared" ca="1" si="441"/>
        <v>152170</v>
      </c>
      <c r="T728" s="679">
        <f t="shared" ref="T728:T736" ca="1" si="442">IF(Q728&gt;0,S728*100/Q728,0)</f>
        <v>15.089194522395312</v>
      </c>
      <c r="U728" s="679">
        <f t="shared" ref="U728:U736" ca="1" si="443">IF(R728&gt;0,S728*100/R728,0)</f>
        <v>15.089194522395312</v>
      </c>
    </row>
    <row r="729" spans="1:21" ht="18.75" x14ac:dyDescent="0.25">
      <c r="A729" s="674"/>
      <c r="B729" s="718"/>
      <c r="C729" s="718"/>
      <c r="D729" s="695"/>
      <c r="E729" s="569" t="s">
        <v>158</v>
      </c>
      <c r="F729" s="561"/>
      <c r="G729" s="563"/>
      <c r="H729" s="685" t="s">
        <v>14</v>
      </c>
      <c r="I729" s="565"/>
      <c r="J729" s="565"/>
      <c r="K729" s="566"/>
      <c r="L729" s="571">
        <f t="shared" ref="L729:N730" si="444">L732+L735</f>
        <v>0</v>
      </c>
      <c r="M729" s="572">
        <f t="shared" si="444"/>
        <v>0</v>
      </c>
      <c r="N729" s="572">
        <f t="shared" si="444"/>
        <v>0</v>
      </c>
      <c r="O729" s="572">
        <f t="shared" si="439"/>
        <v>0</v>
      </c>
      <c r="P729" s="572">
        <f t="shared" si="440"/>
        <v>0</v>
      </c>
      <c r="Q729" s="572">
        <f t="shared" ref="Q729:S730" si="445">Q732+Q735</f>
        <v>0</v>
      </c>
      <c r="R729" s="572">
        <f t="shared" si="445"/>
        <v>0</v>
      </c>
      <c r="S729" s="572">
        <f t="shared" si="445"/>
        <v>0</v>
      </c>
      <c r="T729" s="572">
        <f t="shared" si="442"/>
        <v>0</v>
      </c>
      <c r="U729" s="572">
        <f t="shared" si="443"/>
        <v>0</v>
      </c>
    </row>
    <row r="730" spans="1:21" ht="18.75" x14ac:dyDescent="0.25">
      <c r="A730" s="674"/>
      <c r="B730" s="718"/>
      <c r="C730" s="718"/>
      <c r="D730" s="695"/>
      <c r="E730" s="573" t="s">
        <v>159</v>
      </c>
      <c r="F730" s="561"/>
      <c r="G730" s="563"/>
      <c r="H730" s="682" t="s">
        <v>14</v>
      </c>
      <c r="I730" s="565"/>
      <c r="J730" s="565"/>
      <c r="K730" s="566"/>
      <c r="L730" s="567">
        <f t="shared" si="444"/>
        <v>0</v>
      </c>
      <c r="M730" s="568">
        <f t="shared" si="444"/>
        <v>0</v>
      </c>
      <c r="N730" s="568">
        <f t="shared" si="444"/>
        <v>0</v>
      </c>
      <c r="O730" s="568">
        <f t="shared" si="439"/>
        <v>0</v>
      </c>
      <c r="P730" s="568">
        <f t="shared" si="440"/>
        <v>0</v>
      </c>
      <c r="Q730" s="568">
        <f t="shared" ca="1" si="445"/>
        <v>1008470</v>
      </c>
      <c r="R730" s="568">
        <f t="shared" ca="1" si="445"/>
        <v>1008470</v>
      </c>
      <c r="S730" s="568">
        <f t="shared" ca="1" si="445"/>
        <v>152170</v>
      </c>
      <c r="T730" s="568">
        <f t="shared" ca="1" si="442"/>
        <v>15.089194522395312</v>
      </c>
      <c r="U730" s="568">
        <f t="shared" ca="1" si="443"/>
        <v>15.089194522395312</v>
      </c>
    </row>
    <row r="731" spans="1:21" ht="18.75" x14ac:dyDescent="0.25">
      <c r="A731" s="674"/>
      <c r="B731" s="718"/>
      <c r="C731" s="718"/>
      <c r="D731" s="562" t="s">
        <v>22</v>
      </c>
      <c r="E731" s="561"/>
      <c r="F731" s="561"/>
      <c r="G731" s="563"/>
      <c r="H731" s="682" t="s">
        <v>14</v>
      </c>
      <c r="I731" s="683"/>
      <c r="J731" s="683"/>
      <c r="K731" s="684"/>
      <c r="L731" s="567">
        <f t="shared" ref="L731:N731" si="446">L732+L733</f>
        <v>0</v>
      </c>
      <c r="M731" s="568">
        <f t="shared" si="446"/>
        <v>0</v>
      </c>
      <c r="N731" s="568">
        <f t="shared" si="446"/>
        <v>0</v>
      </c>
      <c r="O731" s="568">
        <f t="shared" si="439"/>
        <v>0</v>
      </c>
      <c r="P731" s="568">
        <f t="shared" si="440"/>
        <v>0</v>
      </c>
      <c r="Q731" s="568">
        <f t="shared" ref="Q731:S731" ca="1" si="447">Q732+Q733</f>
        <v>1008470</v>
      </c>
      <c r="R731" s="568">
        <f t="shared" ca="1" si="447"/>
        <v>1008470</v>
      </c>
      <c r="S731" s="568">
        <f t="shared" ca="1" si="447"/>
        <v>152170</v>
      </c>
      <c r="T731" s="568">
        <f t="shared" ca="1" si="442"/>
        <v>15.089194522395312</v>
      </c>
      <c r="U731" s="568">
        <f t="shared" ca="1" si="443"/>
        <v>15.089194522395312</v>
      </c>
    </row>
    <row r="732" spans="1:21" ht="18.75" x14ac:dyDescent="0.25">
      <c r="A732" s="674"/>
      <c r="B732" s="718"/>
      <c r="C732" s="718"/>
      <c r="D732" s="695"/>
      <c r="E732" s="569" t="s">
        <v>158</v>
      </c>
      <c r="F732" s="561"/>
      <c r="G732" s="563"/>
      <c r="H732" s="685" t="s">
        <v>14</v>
      </c>
      <c r="I732" s="565"/>
      <c r="J732" s="565"/>
      <c r="K732" s="566"/>
      <c r="L732" s="571">
        <v>0</v>
      </c>
      <c r="M732" s="572">
        <v>0</v>
      </c>
      <c r="N732" s="572">
        <v>0</v>
      </c>
      <c r="O732" s="572">
        <f t="shared" si="439"/>
        <v>0</v>
      </c>
      <c r="P732" s="572">
        <f t="shared" si="440"/>
        <v>0</v>
      </c>
      <c r="Q732" s="572">
        <v>0</v>
      </c>
      <c r="R732" s="572">
        <v>0</v>
      </c>
      <c r="S732" s="572">
        <v>0</v>
      </c>
      <c r="T732" s="572">
        <f t="shared" si="442"/>
        <v>0</v>
      </c>
      <c r="U732" s="572">
        <f t="shared" si="443"/>
        <v>0</v>
      </c>
    </row>
    <row r="733" spans="1:21" ht="18.75" x14ac:dyDescent="0.25">
      <c r="A733" s="674"/>
      <c r="B733" s="718"/>
      <c r="C733" s="718"/>
      <c r="D733" s="695"/>
      <c r="E733" s="573" t="s">
        <v>159</v>
      </c>
      <c r="F733" s="561"/>
      <c r="G733" s="563"/>
      <c r="H733" s="682" t="s">
        <v>14</v>
      </c>
      <c r="I733" s="565"/>
      <c r="J733" s="565"/>
      <c r="K733" s="566"/>
      <c r="L733" s="567">
        <v>0</v>
      </c>
      <c r="M733" s="568">
        <v>0</v>
      </c>
      <c r="N733" s="568">
        <v>0</v>
      </c>
      <c r="O733" s="568">
        <f t="shared" si="439"/>
        <v>0</v>
      </c>
      <c r="P733" s="568">
        <f t="shared" si="440"/>
        <v>0</v>
      </c>
      <c r="Q733" s="568">
        <f ca="1">IFERROR(__xludf.DUMMYFUNCTION("IMPORTRANGE(""https://docs.google.com/spreadsheets/d/1ItG2mGa2ceCfYo0BwxsXqNm01IGEUdYcSSLTEv9YCik/edit?usp=sharing"",""เบิกจ่ายกองทุน!O14"")"),1008470)</f>
        <v>1008470</v>
      </c>
      <c r="R733" s="568">
        <f ca="1">IFERROR(__xludf.DUMMYFUNCTION("IMPORTRANGE(""https://docs.google.com/spreadsheets/d/1ItG2mGa2ceCfYo0BwxsXqNm01IGEUdYcSSLTEv9YCik/edit?usp=sharing"",""เบิกจ่ายกองทุน!P14"")"),1008470)</f>
        <v>1008470</v>
      </c>
      <c r="S733" s="568">
        <f ca="1">IFERROR(__xludf.DUMMYFUNCTION("IMPORTRANGE(""https://docs.google.com/spreadsheets/d/1ItG2mGa2ceCfYo0BwxsXqNm01IGEUdYcSSLTEv9YCik/edit?usp=sharing"",""เบิกจ่ายกองทุน!Q14"")"),152170)</f>
        <v>152170</v>
      </c>
      <c r="T733" s="568">
        <f t="shared" ca="1" si="442"/>
        <v>15.089194522395312</v>
      </c>
      <c r="U733" s="568">
        <f t="shared" ca="1" si="443"/>
        <v>15.089194522395312</v>
      </c>
    </row>
    <row r="734" spans="1:21" ht="18.75" x14ac:dyDescent="0.25">
      <c r="A734" s="674"/>
      <c r="B734" s="718"/>
      <c r="C734" s="718"/>
      <c r="D734" s="562" t="s">
        <v>23</v>
      </c>
      <c r="E734" s="718"/>
      <c r="F734" s="718"/>
      <c r="G734" s="563"/>
      <c r="H734" s="686" t="s">
        <v>14</v>
      </c>
      <c r="I734" s="683"/>
      <c r="J734" s="683"/>
      <c r="K734" s="684"/>
      <c r="L734" s="567">
        <f t="shared" ref="L734:N734" si="448">L735+L736</f>
        <v>0</v>
      </c>
      <c r="M734" s="568">
        <f t="shared" si="448"/>
        <v>0</v>
      </c>
      <c r="N734" s="568">
        <f t="shared" si="448"/>
        <v>0</v>
      </c>
      <c r="O734" s="568">
        <f t="shared" si="439"/>
        <v>0</v>
      </c>
      <c r="P734" s="568">
        <f t="shared" si="440"/>
        <v>0</v>
      </c>
      <c r="Q734" s="568">
        <f t="shared" ref="Q734:S734" si="449">Q735+Q736</f>
        <v>0</v>
      </c>
      <c r="R734" s="568">
        <f t="shared" si="449"/>
        <v>0</v>
      </c>
      <c r="S734" s="568">
        <f t="shared" si="449"/>
        <v>0</v>
      </c>
      <c r="T734" s="568">
        <f t="shared" si="442"/>
        <v>0</v>
      </c>
      <c r="U734" s="568">
        <f t="shared" si="443"/>
        <v>0</v>
      </c>
    </row>
    <row r="735" spans="1:21" ht="18.75" x14ac:dyDescent="0.25">
      <c r="A735" s="674"/>
      <c r="B735" s="718"/>
      <c r="C735" s="718"/>
      <c r="D735" s="718"/>
      <c r="E735" s="767" t="s">
        <v>20</v>
      </c>
      <c r="F735" s="718"/>
      <c r="G735" s="563"/>
      <c r="H735" s="685" t="s">
        <v>14</v>
      </c>
      <c r="I735" s="683"/>
      <c r="J735" s="683"/>
      <c r="K735" s="684"/>
      <c r="L735" s="571">
        <v>0</v>
      </c>
      <c r="M735" s="572">
        <v>0</v>
      </c>
      <c r="N735" s="572">
        <v>0</v>
      </c>
      <c r="O735" s="572">
        <f t="shared" si="439"/>
        <v>0</v>
      </c>
      <c r="P735" s="572">
        <f t="shared" si="440"/>
        <v>0</v>
      </c>
      <c r="Q735" s="572">
        <v>0</v>
      </c>
      <c r="R735" s="572">
        <v>0</v>
      </c>
      <c r="S735" s="572">
        <v>0</v>
      </c>
      <c r="T735" s="572">
        <f t="shared" si="442"/>
        <v>0</v>
      </c>
      <c r="U735" s="572">
        <f t="shared" si="443"/>
        <v>0</v>
      </c>
    </row>
    <row r="736" spans="1:21" ht="18.75" x14ac:dyDescent="0.25">
      <c r="A736" s="674"/>
      <c r="B736" s="718"/>
      <c r="C736" s="718"/>
      <c r="D736" s="718"/>
      <c r="E736" s="765" t="s">
        <v>21</v>
      </c>
      <c r="F736" s="718"/>
      <c r="G736" s="563"/>
      <c r="H736" s="686" t="s">
        <v>14</v>
      </c>
      <c r="I736" s="683"/>
      <c r="J736" s="683"/>
      <c r="K736" s="684"/>
      <c r="L736" s="567">
        <v>0</v>
      </c>
      <c r="M736" s="568">
        <v>0</v>
      </c>
      <c r="N736" s="568">
        <v>0</v>
      </c>
      <c r="O736" s="568">
        <f t="shared" si="439"/>
        <v>0</v>
      </c>
      <c r="P736" s="568">
        <f t="shared" si="440"/>
        <v>0</v>
      </c>
      <c r="Q736" s="568">
        <v>0</v>
      </c>
      <c r="R736" s="568">
        <v>0</v>
      </c>
      <c r="S736" s="568">
        <v>0</v>
      </c>
      <c r="T736" s="568">
        <f t="shared" si="442"/>
        <v>0</v>
      </c>
      <c r="U736" s="568">
        <f t="shared" si="443"/>
        <v>0</v>
      </c>
    </row>
    <row r="737" spans="1:21" ht="19.5" x14ac:dyDescent="0.3">
      <c r="A737" s="687"/>
      <c r="B737" s="688"/>
      <c r="C737" s="724" t="s">
        <v>18</v>
      </c>
      <c r="D737" s="956" t="s">
        <v>38</v>
      </c>
      <c r="E737" s="758"/>
      <c r="F737" s="690"/>
      <c r="G737" s="691"/>
      <c r="H737" s="725"/>
      <c r="I737" s="565"/>
      <c r="J737" s="565"/>
      <c r="K737" s="566"/>
      <c r="L737" s="574"/>
      <c r="M737" s="566"/>
      <c r="N737" s="566"/>
      <c r="O737" s="566"/>
      <c r="P737" s="566"/>
      <c r="Q737" s="566"/>
      <c r="R737" s="566"/>
      <c r="S737" s="566"/>
      <c r="T737" s="566"/>
      <c r="U737" s="566"/>
    </row>
    <row r="738" spans="1:21" ht="19.5" x14ac:dyDescent="0.3">
      <c r="A738" s="687"/>
      <c r="B738" s="688"/>
      <c r="C738" s="688"/>
      <c r="D738" s="1103" t="s">
        <v>121</v>
      </c>
      <c r="E738" s="688"/>
      <c r="F738" s="688"/>
      <c r="G738" s="692"/>
      <c r="H738" s="727"/>
      <c r="I738" s="565"/>
      <c r="J738" s="565"/>
      <c r="K738" s="566"/>
      <c r="L738" s="574"/>
      <c r="M738" s="566"/>
      <c r="N738" s="566"/>
      <c r="O738" s="566"/>
      <c r="P738" s="566"/>
      <c r="Q738" s="566"/>
      <c r="R738" s="566"/>
      <c r="S738" s="566"/>
      <c r="T738" s="566"/>
      <c r="U738" s="566"/>
    </row>
    <row r="739" spans="1:21" ht="18.75" x14ac:dyDescent="0.25">
      <c r="A739" s="687"/>
      <c r="B739" s="688"/>
      <c r="C739" s="688"/>
      <c r="D739" s="688"/>
      <c r="E739" s="1079" t="s">
        <v>270</v>
      </c>
      <c r="F739" s="688"/>
      <c r="G739" s="692"/>
      <c r="H739" s="727"/>
      <c r="I739" s="565"/>
      <c r="J739" s="565"/>
      <c r="K739" s="566"/>
      <c r="L739" s="574"/>
      <c r="M739" s="566"/>
      <c r="N739" s="566"/>
      <c r="O739" s="566"/>
      <c r="P739" s="566"/>
      <c r="Q739" s="566"/>
      <c r="R739" s="566"/>
      <c r="S739" s="566"/>
      <c r="T739" s="566"/>
      <c r="U739" s="566"/>
    </row>
    <row r="740" spans="1:21" ht="18.75" x14ac:dyDescent="0.25">
      <c r="A740" s="849"/>
      <c r="B740" s="850"/>
      <c r="C740" s="850"/>
      <c r="D740" s="850"/>
      <c r="E740" s="850"/>
      <c r="F740" s="1104" t="s">
        <v>271</v>
      </c>
      <c r="G740" s="852"/>
      <c r="H740" s="839" t="s">
        <v>46</v>
      </c>
      <c r="I740" s="960">
        <f ca="1">IFERROR(__xludf.DUMMYFUNCTION("IMPORTRANGE(""https://docs.google.com/spreadsheets/d/1eHaY18a8A9IcSdp1K8H6x8fbOy06t2VsZHhMHf-1x7Y/edit?usp=sharing"",""แผน!GB14"")"),1000)</f>
        <v>1000</v>
      </c>
      <c r="J740" s="1105">
        <v>1000</v>
      </c>
      <c r="K740" s="841">
        <f ca="1">IF(I740&gt;0,J740*100/I740,0)</f>
        <v>100</v>
      </c>
      <c r="L740" s="1106"/>
      <c r="M740" s="830"/>
      <c r="N740" s="830"/>
      <c r="O740" s="830"/>
      <c r="P740" s="830"/>
      <c r="Q740" s="830"/>
      <c r="R740" s="830"/>
      <c r="S740" s="830"/>
      <c r="T740" s="830"/>
      <c r="U740" s="830"/>
    </row>
    <row r="741" spans="1:21" ht="18.75" x14ac:dyDescent="0.25">
      <c r="A741" s="849"/>
      <c r="B741" s="850"/>
      <c r="C741" s="850"/>
      <c r="D741" s="850"/>
      <c r="E741" s="850"/>
      <c r="F741" s="1104" t="s">
        <v>306</v>
      </c>
      <c r="G741" s="852"/>
      <c r="H741" s="839" t="s">
        <v>35</v>
      </c>
      <c r="I741" s="829"/>
      <c r="J741" s="1105">
        <v>0</v>
      </c>
      <c r="K741" s="830"/>
      <c r="L741" s="1106"/>
      <c r="M741" s="830"/>
      <c r="N741" s="830"/>
      <c r="O741" s="830"/>
      <c r="P741" s="830"/>
      <c r="Q741" s="830"/>
      <c r="R741" s="830"/>
      <c r="S741" s="830"/>
      <c r="T741" s="830"/>
      <c r="U741" s="830"/>
    </row>
    <row r="742" spans="1:21" ht="18.75" x14ac:dyDescent="0.25">
      <c r="A742" s="849"/>
      <c r="B742" s="850"/>
      <c r="C742" s="850"/>
      <c r="D742" s="850"/>
      <c r="E742" s="850"/>
      <c r="F742" s="1104" t="s">
        <v>307</v>
      </c>
      <c r="G742" s="852"/>
      <c r="H742" s="839" t="s">
        <v>35</v>
      </c>
      <c r="I742" s="960">
        <f ca="1">IFERROR(__xludf.DUMMYFUNCTION("IMPORTRANGE(""https://docs.google.com/spreadsheets/d/1eHaY18a8A9IcSdp1K8H6x8fbOy06t2VsZHhMHf-1x7Y/edit?usp=sharing"",""แผน!GC14"")"),100)</f>
        <v>100</v>
      </c>
      <c r="J742" s="1105">
        <v>100</v>
      </c>
      <c r="K742" s="841">
        <f ca="1">IF(I742&gt;0,J742*100/I742,0)</f>
        <v>100</v>
      </c>
      <c r="L742" s="1106"/>
      <c r="M742" s="830"/>
      <c r="N742" s="830"/>
      <c r="O742" s="830"/>
      <c r="P742" s="830"/>
      <c r="Q742" s="830"/>
      <c r="R742" s="830"/>
      <c r="S742" s="830"/>
      <c r="T742" s="830"/>
      <c r="U742" s="830"/>
    </row>
    <row r="743" spans="1:21" ht="18.75" x14ac:dyDescent="0.25">
      <c r="A743" s="849"/>
      <c r="B743" s="850"/>
      <c r="C743" s="850"/>
      <c r="D743" s="850"/>
      <c r="E743" s="1104" t="s">
        <v>274</v>
      </c>
      <c r="F743" s="850"/>
      <c r="G743" s="852"/>
      <c r="H743" s="959"/>
      <c r="I743" s="829"/>
      <c r="J743" s="829"/>
      <c r="K743" s="830"/>
      <c r="L743" s="1106"/>
      <c r="M743" s="830"/>
      <c r="N743" s="830"/>
      <c r="O743" s="830"/>
      <c r="P743" s="830"/>
      <c r="Q743" s="830"/>
      <c r="R743" s="830"/>
      <c r="S743" s="830"/>
      <c r="T743" s="830"/>
      <c r="U743" s="830"/>
    </row>
    <row r="744" spans="1:21" ht="18.75" x14ac:dyDescent="0.25">
      <c r="A744" s="849"/>
      <c r="B744" s="850"/>
      <c r="C744" s="850"/>
      <c r="D744" s="850"/>
      <c r="E744" s="850"/>
      <c r="F744" s="1104" t="s">
        <v>271</v>
      </c>
      <c r="G744" s="852"/>
      <c r="H744" s="839" t="s">
        <v>46</v>
      </c>
      <c r="I744" s="960">
        <f ca="1">IFERROR(__xludf.DUMMYFUNCTION("IMPORTRANGE(""https://docs.google.com/spreadsheets/d/1eHaY18a8A9IcSdp1K8H6x8fbOy06t2VsZHhMHf-1x7Y/edit?usp=sharing"",""แผน!GD14"")"),250)</f>
        <v>250</v>
      </c>
      <c r="J744" s="1105">
        <v>0</v>
      </c>
      <c r="K744" s="841">
        <f ca="1">IF(I744&gt;0,J744*100/I744,0)</f>
        <v>0</v>
      </c>
      <c r="L744" s="1106"/>
      <c r="M744" s="830"/>
      <c r="N744" s="830"/>
      <c r="O744" s="830"/>
      <c r="P744" s="830"/>
      <c r="Q744" s="830"/>
      <c r="R744" s="830"/>
      <c r="S744" s="830"/>
      <c r="T744" s="830"/>
      <c r="U744" s="830"/>
    </row>
    <row r="745" spans="1:21" ht="18.75" x14ac:dyDescent="0.25">
      <c r="A745" s="849"/>
      <c r="B745" s="850"/>
      <c r="C745" s="850"/>
      <c r="D745" s="850"/>
      <c r="E745" s="850"/>
      <c r="F745" s="1104" t="s">
        <v>308</v>
      </c>
      <c r="G745" s="852"/>
      <c r="H745" s="839" t="s">
        <v>35</v>
      </c>
      <c r="I745" s="829"/>
      <c r="J745" s="1105">
        <v>0</v>
      </c>
      <c r="K745" s="830"/>
      <c r="L745" s="1106"/>
      <c r="M745" s="830"/>
      <c r="N745" s="830"/>
      <c r="O745" s="830"/>
      <c r="P745" s="830"/>
      <c r="Q745" s="830"/>
      <c r="R745" s="830"/>
      <c r="S745" s="830"/>
      <c r="T745" s="830"/>
      <c r="U745" s="830"/>
    </row>
    <row r="746" spans="1:21" ht="18.75" x14ac:dyDescent="0.25">
      <c r="A746" s="849"/>
      <c r="B746" s="850"/>
      <c r="C746" s="850"/>
      <c r="D746" s="850"/>
      <c r="E746" s="850"/>
      <c r="F746" s="1104" t="s">
        <v>309</v>
      </c>
      <c r="G746" s="852"/>
      <c r="H746" s="839" t="s">
        <v>35</v>
      </c>
      <c r="I746" s="960">
        <f ca="1">IFERROR(__xludf.DUMMYFUNCTION("IMPORTRANGE(""https://docs.google.com/spreadsheets/d/1eHaY18a8A9IcSdp1K8H6x8fbOy06t2VsZHhMHf-1x7Y/edit?usp=sharing"",""แผน!GE14"")"),25)</f>
        <v>25</v>
      </c>
      <c r="J746" s="1105">
        <v>0</v>
      </c>
      <c r="K746" s="841">
        <f ca="1">IF(I746&gt;0,J746*100/I746,0)</f>
        <v>0</v>
      </c>
      <c r="L746" s="1106"/>
      <c r="M746" s="830"/>
      <c r="N746" s="830"/>
      <c r="O746" s="830"/>
      <c r="P746" s="830"/>
      <c r="Q746" s="830"/>
      <c r="R746" s="830"/>
      <c r="S746" s="830"/>
      <c r="T746" s="830"/>
      <c r="U746" s="830"/>
    </row>
    <row r="747" spans="1:21" ht="18.75" x14ac:dyDescent="0.25">
      <c r="A747" s="849"/>
      <c r="B747" s="850"/>
      <c r="C747" s="850"/>
      <c r="D747" s="850"/>
      <c r="E747" s="1104" t="s">
        <v>277</v>
      </c>
      <c r="F747" s="1107"/>
      <c r="G747" s="852"/>
      <c r="H747" s="959"/>
      <c r="I747" s="829"/>
      <c r="J747" s="829"/>
      <c r="K747" s="830"/>
      <c r="L747" s="1106"/>
      <c r="M747" s="830"/>
      <c r="N747" s="830"/>
      <c r="O747" s="830"/>
      <c r="P747" s="830"/>
      <c r="Q747" s="830"/>
      <c r="R747" s="830"/>
      <c r="S747" s="830"/>
      <c r="T747" s="830"/>
      <c r="U747" s="830"/>
    </row>
    <row r="748" spans="1:21" ht="18.75" x14ac:dyDescent="0.25">
      <c r="A748" s="849"/>
      <c r="B748" s="850"/>
      <c r="C748" s="850"/>
      <c r="D748" s="850"/>
      <c r="E748" s="850"/>
      <c r="F748" s="1104" t="s">
        <v>310</v>
      </c>
      <c r="G748" s="852"/>
      <c r="H748" s="839" t="s">
        <v>35</v>
      </c>
      <c r="I748" s="829"/>
      <c r="J748" s="1105">
        <v>0</v>
      </c>
      <c r="K748" s="830"/>
      <c r="L748" s="1106"/>
      <c r="M748" s="830"/>
      <c r="N748" s="830"/>
      <c r="O748" s="830"/>
      <c r="P748" s="830"/>
      <c r="Q748" s="830"/>
      <c r="R748" s="830"/>
      <c r="S748" s="830"/>
      <c r="T748" s="830"/>
      <c r="U748" s="830"/>
    </row>
    <row r="749" spans="1:21" ht="18.75" x14ac:dyDescent="0.25">
      <c r="A749" s="849"/>
      <c r="B749" s="850"/>
      <c r="C749" s="850"/>
      <c r="D749" s="850"/>
      <c r="E749" s="850"/>
      <c r="F749" s="1104" t="s">
        <v>311</v>
      </c>
      <c r="G749" s="852"/>
      <c r="H749" s="839" t="s">
        <v>35</v>
      </c>
      <c r="I749" s="960">
        <f ca="1">IFERROR(__xludf.DUMMYFUNCTION("IMPORTRANGE(""https://docs.google.com/spreadsheets/d/1eHaY18a8A9IcSdp1K8H6x8fbOy06t2VsZHhMHf-1x7Y/edit?usp=sharing"",""แผน!GF14"")"),3)</f>
        <v>3</v>
      </c>
      <c r="J749" s="1105">
        <v>0</v>
      </c>
      <c r="K749" s="841">
        <f ca="1">IF(I749&gt;0,J749*100/I749,0)</f>
        <v>0</v>
      </c>
      <c r="L749" s="1106"/>
      <c r="M749" s="830"/>
      <c r="N749" s="830"/>
      <c r="O749" s="830"/>
      <c r="P749" s="830"/>
      <c r="Q749" s="830"/>
      <c r="R749" s="830"/>
      <c r="S749" s="830"/>
      <c r="T749" s="830"/>
      <c r="U749" s="830"/>
    </row>
    <row r="750" spans="1:21" ht="19.5" x14ac:dyDescent="0.3">
      <c r="A750" s="849"/>
      <c r="B750" s="850"/>
      <c r="C750" s="850"/>
      <c r="D750" s="1108" t="s">
        <v>50</v>
      </c>
      <c r="E750" s="850"/>
      <c r="F750" s="1107"/>
      <c r="G750" s="852"/>
      <c r="H750" s="959"/>
      <c r="I750" s="829"/>
      <c r="J750" s="829"/>
      <c r="K750" s="830"/>
      <c r="L750" s="1106"/>
      <c r="M750" s="830"/>
      <c r="N750" s="830"/>
      <c r="O750" s="830"/>
      <c r="P750" s="830"/>
      <c r="Q750" s="830"/>
      <c r="R750" s="830"/>
      <c r="S750" s="830"/>
      <c r="T750" s="830"/>
      <c r="U750" s="830"/>
    </row>
    <row r="751" spans="1:21" ht="18.75" x14ac:dyDescent="0.25">
      <c r="A751" s="849"/>
      <c r="B751" s="850"/>
      <c r="C751" s="850"/>
      <c r="D751" s="850"/>
      <c r="E751" s="1104" t="s">
        <v>270</v>
      </c>
      <c r="F751" s="1107"/>
      <c r="G751" s="852"/>
      <c r="H751" s="959"/>
      <c r="I751" s="829"/>
      <c r="J751" s="829"/>
      <c r="K751" s="830"/>
      <c r="L751" s="1106"/>
      <c r="M751" s="830"/>
      <c r="N751" s="830"/>
      <c r="O751" s="830"/>
      <c r="P751" s="830"/>
      <c r="Q751" s="830"/>
      <c r="R751" s="830"/>
      <c r="S751" s="830"/>
      <c r="T751" s="830"/>
      <c r="U751" s="830"/>
    </row>
    <row r="752" spans="1:21" ht="18.75" x14ac:dyDescent="0.25">
      <c r="A752" s="849"/>
      <c r="B752" s="850"/>
      <c r="C752" s="850"/>
      <c r="D752" s="850"/>
      <c r="E752" s="850"/>
      <c r="F752" s="1109" t="s">
        <v>312</v>
      </c>
      <c r="G752" s="852"/>
      <c r="H752" s="839" t="s">
        <v>46</v>
      </c>
      <c r="I752" s="960">
        <f ca="1">IFERROR(__xludf.DUMMYFUNCTION("IMPORTRANGE(""https://docs.google.com/spreadsheets/d/1eHaY18a8A9IcSdp1K8H6x8fbOy06t2VsZHhMHf-1x7Y/edit?usp=sharing"",""แผน!GB14"")"),1000)</f>
        <v>1000</v>
      </c>
      <c r="J752" s="1105">
        <v>0</v>
      </c>
      <c r="K752" s="841">
        <f ca="1">IF(I752&gt;0,J752*100/I752,0)</f>
        <v>0</v>
      </c>
      <c r="L752" s="1106"/>
      <c r="M752" s="830"/>
      <c r="N752" s="830"/>
      <c r="O752" s="830"/>
      <c r="P752" s="830"/>
      <c r="Q752" s="830"/>
      <c r="R752" s="830"/>
      <c r="S752" s="830"/>
      <c r="T752" s="830"/>
      <c r="U752" s="830"/>
    </row>
    <row r="753" spans="1:21" ht="18.75" x14ac:dyDescent="0.25">
      <c r="A753" s="849"/>
      <c r="B753" s="850"/>
      <c r="C753" s="850"/>
      <c r="D753" s="850"/>
      <c r="E753" s="850"/>
      <c r="F753" s="1109" t="s">
        <v>313</v>
      </c>
      <c r="G753" s="852"/>
      <c r="H753" s="839" t="s">
        <v>46</v>
      </c>
      <c r="I753" s="829"/>
      <c r="J753" s="1105">
        <v>0</v>
      </c>
      <c r="K753" s="830"/>
      <c r="L753" s="1106"/>
      <c r="M753" s="830"/>
      <c r="N753" s="830"/>
      <c r="O753" s="830"/>
      <c r="P753" s="830"/>
      <c r="Q753" s="830"/>
      <c r="R753" s="830"/>
      <c r="S753" s="830"/>
      <c r="T753" s="830"/>
      <c r="U753" s="830"/>
    </row>
    <row r="754" spans="1:21" ht="18.75" x14ac:dyDescent="0.25">
      <c r="A754" s="849"/>
      <c r="B754" s="850"/>
      <c r="C754" s="850"/>
      <c r="D754" s="850"/>
      <c r="E754" s="1104" t="s">
        <v>274</v>
      </c>
      <c r="F754" s="1107"/>
      <c r="G754" s="852"/>
      <c r="H754" s="959"/>
      <c r="I754" s="829"/>
      <c r="J754" s="829"/>
      <c r="K754" s="830"/>
      <c r="L754" s="1106"/>
      <c r="M754" s="830"/>
      <c r="N754" s="830"/>
      <c r="O754" s="830"/>
      <c r="P754" s="830"/>
      <c r="Q754" s="830"/>
      <c r="R754" s="830"/>
      <c r="S754" s="830"/>
      <c r="T754" s="830"/>
      <c r="U754" s="830"/>
    </row>
    <row r="755" spans="1:21" ht="18.75" x14ac:dyDescent="0.25">
      <c r="A755" s="849"/>
      <c r="B755" s="850"/>
      <c r="C755" s="850"/>
      <c r="D755" s="850"/>
      <c r="E755" s="1107"/>
      <c r="F755" s="1109" t="s">
        <v>314</v>
      </c>
      <c r="G755" s="852"/>
      <c r="H755" s="839" t="s">
        <v>46</v>
      </c>
      <c r="I755" s="960">
        <f ca="1">IFERROR(__xludf.DUMMYFUNCTION("IMPORTRANGE(""https://docs.google.com/spreadsheets/d/1eHaY18a8A9IcSdp1K8H6x8fbOy06t2VsZHhMHf-1x7Y/edit?usp=sharing"",""แผน!GD14"")"),250)</f>
        <v>250</v>
      </c>
      <c r="J755" s="1105">
        <v>0</v>
      </c>
      <c r="K755" s="841">
        <f ca="1">IF(I755&gt;0,J755*100/I755,0)</f>
        <v>0</v>
      </c>
      <c r="L755" s="1106"/>
      <c r="M755" s="830"/>
      <c r="N755" s="830"/>
      <c r="O755" s="830"/>
      <c r="P755" s="830"/>
      <c r="Q755" s="830"/>
      <c r="R755" s="830"/>
      <c r="S755" s="830"/>
      <c r="T755" s="830"/>
      <c r="U755" s="830"/>
    </row>
    <row r="756" spans="1:21" ht="18.75" x14ac:dyDescent="0.25">
      <c r="A756" s="849"/>
      <c r="B756" s="850"/>
      <c r="C756" s="850"/>
      <c r="D756" s="850"/>
      <c r="E756" s="1107"/>
      <c r="F756" s="1109" t="s">
        <v>315</v>
      </c>
      <c r="G756" s="852"/>
      <c r="H756" s="839" t="s">
        <v>46</v>
      </c>
      <c r="I756" s="829"/>
      <c r="J756" s="1105">
        <v>0</v>
      </c>
      <c r="K756" s="830"/>
      <c r="L756" s="1106"/>
      <c r="M756" s="830"/>
      <c r="N756" s="830"/>
      <c r="O756" s="830"/>
      <c r="P756" s="830"/>
      <c r="Q756" s="830"/>
      <c r="R756" s="830"/>
      <c r="S756" s="830"/>
      <c r="T756" s="830"/>
      <c r="U756" s="830"/>
    </row>
    <row r="757" spans="1:21" ht="18.75" x14ac:dyDescent="0.25">
      <c r="A757" s="1110"/>
      <c r="B757" s="1110"/>
      <c r="C757" s="1110"/>
      <c r="D757" s="1110"/>
      <c r="E757" s="1111" t="s">
        <v>284</v>
      </c>
      <c r="F757" s="1112"/>
      <c r="G757" s="1113"/>
      <c r="H757" s="1114" t="s">
        <v>35</v>
      </c>
      <c r="I757" s="1115"/>
      <c r="J757" s="861">
        <v>0</v>
      </c>
      <c r="K757" s="1116"/>
      <c r="L757" s="1116"/>
      <c r="M757" s="1116"/>
      <c r="N757" s="1116"/>
      <c r="O757" s="1116"/>
      <c r="P757" s="1116"/>
      <c r="Q757" s="1116"/>
      <c r="R757" s="1116"/>
      <c r="S757" s="1116"/>
      <c r="T757" s="1116"/>
      <c r="U757" s="1116"/>
    </row>
    <row r="758" spans="1:21" ht="19.5" x14ac:dyDescent="0.3">
      <c r="A758" s="1061"/>
      <c r="B758" s="1062" t="s">
        <v>285</v>
      </c>
      <c r="C758" s="1061"/>
      <c r="D758" s="1063"/>
      <c r="E758" s="1063"/>
      <c r="F758" s="1063"/>
      <c r="G758" s="1064"/>
      <c r="H758" s="1092" t="s">
        <v>35</v>
      </c>
      <c r="I758" s="1093">
        <f t="shared" ref="I758:J758" ca="1" si="450">I772</f>
        <v>50</v>
      </c>
      <c r="J758" s="1093">
        <f t="shared" si="450"/>
        <v>50</v>
      </c>
      <c r="K758" s="1094">
        <f t="shared" ref="K758:K759" ca="1" si="451">IF(I758&gt;0,J758*100/I758,0)</f>
        <v>100</v>
      </c>
      <c r="L758" s="1068"/>
      <c r="M758" s="1067"/>
      <c r="N758" s="1067"/>
      <c r="O758" s="1067"/>
      <c r="P758" s="1067"/>
      <c r="Q758" s="1067"/>
      <c r="R758" s="1067"/>
      <c r="S758" s="1067"/>
      <c r="T758" s="1067"/>
      <c r="U758" s="1067"/>
    </row>
    <row r="759" spans="1:21" ht="19.5" x14ac:dyDescent="0.3">
      <c r="A759" s="1102"/>
      <c r="B759" s="1061"/>
      <c r="C759" s="1061"/>
      <c r="D759" s="1063"/>
      <c r="E759" s="1063"/>
      <c r="F759" s="1063"/>
      <c r="G759" s="1064"/>
      <c r="H759" s="1092" t="s">
        <v>46</v>
      </c>
      <c r="I759" s="1093">
        <f t="shared" ref="I759:J759" ca="1" si="452">I774</f>
        <v>500</v>
      </c>
      <c r="J759" s="1093">
        <f t="shared" si="452"/>
        <v>0</v>
      </c>
      <c r="K759" s="1094">
        <f t="shared" ca="1" si="451"/>
        <v>0</v>
      </c>
      <c r="L759" s="1068"/>
      <c r="M759" s="1067"/>
      <c r="N759" s="1067"/>
      <c r="O759" s="1067"/>
      <c r="P759" s="1067"/>
      <c r="Q759" s="1067"/>
      <c r="R759" s="1067"/>
      <c r="S759" s="1067"/>
      <c r="T759" s="1067"/>
      <c r="U759" s="1067"/>
    </row>
    <row r="760" spans="1:21" ht="19.5" x14ac:dyDescent="0.3">
      <c r="A760" s="674"/>
      <c r="B760" s="718"/>
      <c r="C760" s="724" t="s">
        <v>18</v>
      </c>
      <c r="D760" s="1310" t="s">
        <v>19</v>
      </c>
      <c r="E760" s="1311"/>
      <c r="F760" s="1311"/>
      <c r="G760" s="1312"/>
      <c r="H760" s="780" t="s">
        <v>14</v>
      </c>
      <c r="I760" s="565"/>
      <c r="J760" s="565"/>
      <c r="K760" s="566"/>
      <c r="L760" s="678">
        <f t="shared" ref="L760:N760" si="453">L761+L762</f>
        <v>0</v>
      </c>
      <c r="M760" s="679">
        <f t="shared" si="453"/>
        <v>0</v>
      </c>
      <c r="N760" s="679">
        <f t="shared" si="453"/>
        <v>0</v>
      </c>
      <c r="O760" s="679">
        <f t="shared" ref="O760:O768" si="454">IF(L760&gt;0,N760*100/L760,0)</f>
        <v>0</v>
      </c>
      <c r="P760" s="679">
        <f t="shared" ref="P760:P768" si="455">IF(M760&gt;0,N760*100/M760,0)</f>
        <v>0</v>
      </c>
      <c r="Q760" s="679">
        <f t="shared" ref="Q760:S760" ca="1" si="456">Q761+Q762</f>
        <v>871800</v>
      </c>
      <c r="R760" s="679">
        <f t="shared" ca="1" si="456"/>
        <v>871800</v>
      </c>
      <c r="S760" s="679">
        <f t="shared" ca="1" si="456"/>
        <v>98520</v>
      </c>
      <c r="T760" s="679">
        <f t="shared" ref="T760:T768" ca="1" si="457">IF(Q760&gt;0,S760*100/Q760,0)</f>
        <v>11.300757054370269</v>
      </c>
      <c r="U760" s="679">
        <f t="shared" ref="U760:U768" ca="1" si="458">IF(R760&gt;0,S760*100/R760,0)</f>
        <v>11.300757054370269</v>
      </c>
    </row>
    <row r="761" spans="1:21" ht="18.75" x14ac:dyDescent="0.25">
      <c r="A761" s="674"/>
      <c r="B761" s="718"/>
      <c r="C761" s="718"/>
      <c r="D761" s="695"/>
      <c r="E761" s="569" t="s">
        <v>158</v>
      </c>
      <c r="F761" s="561"/>
      <c r="G761" s="563"/>
      <c r="H761" s="685" t="s">
        <v>14</v>
      </c>
      <c r="I761" s="565"/>
      <c r="J761" s="565"/>
      <c r="K761" s="566"/>
      <c r="L761" s="571">
        <f t="shared" ref="L761:N762" si="459">L764+L767</f>
        <v>0</v>
      </c>
      <c r="M761" s="572">
        <f t="shared" si="459"/>
        <v>0</v>
      </c>
      <c r="N761" s="572">
        <f t="shared" si="459"/>
        <v>0</v>
      </c>
      <c r="O761" s="572">
        <f t="shared" si="454"/>
        <v>0</v>
      </c>
      <c r="P761" s="572">
        <f t="shared" si="455"/>
        <v>0</v>
      </c>
      <c r="Q761" s="572">
        <f t="shared" ref="Q761:S762" si="460">Q764+Q767</f>
        <v>0</v>
      </c>
      <c r="R761" s="572">
        <f t="shared" si="460"/>
        <v>0</v>
      </c>
      <c r="S761" s="572">
        <f t="shared" si="460"/>
        <v>0</v>
      </c>
      <c r="T761" s="572">
        <f t="shared" si="457"/>
        <v>0</v>
      </c>
      <c r="U761" s="572">
        <f t="shared" si="458"/>
        <v>0</v>
      </c>
    </row>
    <row r="762" spans="1:21" ht="18.75" x14ac:dyDescent="0.25">
      <c r="A762" s="674"/>
      <c r="B762" s="718"/>
      <c r="C762" s="720"/>
      <c r="D762" s="695"/>
      <c r="E762" s="573" t="s">
        <v>159</v>
      </c>
      <c r="F762" s="561"/>
      <c r="G762" s="563"/>
      <c r="H762" s="682" t="s">
        <v>14</v>
      </c>
      <c r="I762" s="565"/>
      <c r="J762" s="565"/>
      <c r="K762" s="566"/>
      <c r="L762" s="567">
        <f t="shared" si="459"/>
        <v>0</v>
      </c>
      <c r="M762" s="568">
        <f t="shared" si="459"/>
        <v>0</v>
      </c>
      <c r="N762" s="568">
        <f t="shared" si="459"/>
        <v>0</v>
      </c>
      <c r="O762" s="568">
        <f t="shared" si="454"/>
        <v>0</v>
      </c>
      <c r="P762" s="568">
        <f t="shared" si="455"/>
        <v>0</v>
      </c>
      <c r="Q762" s="568">
        <f t="shared" ca="1" si="460"/>
        <v>871800</v>
      </c>
      <c r="R762" s="568">
        <f t="shared" ca="1" si="460"/>
        <v>871800</v>
      </c>
      <c r="S762" s="568">
        <f t="shared" ca="1" si="460"/>
        <v>98520</v>
      </c>
      <c r="T762" s="568">
        <f t="shared" ca="1" si="457"/>
        <v>11.300757054370269</v>
      </c>
      <c r="U762" s="568">
        <f t="shared" ca="1" si="458"/>
        <v>11.300757054370269</v>
      </c>
    </row>
    <row r="763" spans="1:21" ht="18.75" x14ac:dyDescent="0.25">
      <c r="A763" s="674"/>
      <c r="B763" s="718"/>
      <c r="C763" s="720"/>
      <c r="D763" s="562" t="s">
        <v>22</v>
      </c>
      <c r="E763" s="561"/>
      <c r="F763" s="561"/>
      <c r="G763" s="563"/>
      <c r="H763" s="682" t="s">
        <v>14</v>
      </c>
      <c r="I763" s="683"/>
      <c r="J763" s="683"/>
      <c r="K763" s="684"/>
      <c r="L763" s="567">
        <f t="shared" ref="L763:N763" si="461">L764+L765</f>
        <v>0</v>
      </c>
      <c r="M763" s="568">
        <f t="shared" si="461"/>
        <v>0</v>
      </c>
      <c r="N763" s="568">
        <f t="shared" si="461"/>
        <v>0</v>
      </c>
      <c r="O763" s="568">
        <f t="shared" si="454"/>
        <v>0</v>
      </c>
      <c r="P763" s="568">
        <f t="shared" si="455"/>
        <v>0</v>
      </c>
      <c r="Q763" s="568">
        <f t="shared" ref="Q763:S763" ca="1" si="462">Q764+Q765</f>
        <v>871800</v>
      </c>
      <c r="R763" s="568">
        <f t="shared" ca="1" si="462"/>
        <v>871800</v>
      </c>
      <c r="S763" s="568">
        <f t="shared" ca="1" si="462"/>
        <v>98520</v>
      </c>
      <c r="T763" s="568">
        <f t="shared" ca="1" si="457"/>
        <v>11.300757054370269</v>
      </c>
      <c r="U763" s="568">
        <f t="shared" ca="1" si="458"/>
        <v>11.300757054370269</v>
      </c>
    </row>
    <row r="764" spans="1:21" ht="18.75" x14ac:dyDescent="0.25">
      <c r="A764" s="674"/>
      <c r="B764" s="718"/>
      <c r="C764" s="720"/>
      <c r="D764" s="695"/>
      <c r="E764" s="569" t="s">
        <v>158</v>
      </c>
      <c r="F764" s="561"/>
      <c r="G764" s="563"/>
      <c r="H764" s="685" t="s">
        <v>14</v>
      </c>
      <c r="I764" s="565"/>
      <c r="J764" s="565"/>
      <c r="K764" s="566"/>
      <c r="L764" s="571">
        <v>0</v>
      </c>
      <c r="M764" s="572">
        <v>0</v>
      </c>
      <c r="N764" s="572">
        <v>0</v>
      </c>
      <c r="O764" s="572">
        <f t="shared" si="454"/>
        <v>0</v>
      </c>
      <c r="P764" s="572">
        <f t="shared" si="455"/>
        <v>0</v>
      </c>
      <c r="Q764" s="572">
        <v>0</v>
      </c>
      <c r="R764" s="572">
        <v>0</v>
      </c>
      <c r="S764" s="572">
        <v>0</v>
      </c>
      <c r="T764" s="572">
        <f t="shared" si="457"/>
        <v>0</v>
      </c>
      <c r="U764" s="572">
        <f t="shared" si="458"/>
        <v>0</v>
      </c>
    </row>
    <row r="765" spans="1:21" ht="18.75" x14ac:dyDescent="0.25">
      <c r="A765" s="674"/>
      <c r="B765" s="718"/>
      <c r="C765" s="720"/>
      <c r="D765" s="695"/>
      <c r="E765" s="573" t="s">
        <v>159</v>
      </c>
      <c r="F765" s="561"/>
      <c r="G765" s="563"/>
      <c r="H765" s="682" t="s">
        <v>14</v>
      </c>
      <c r="I765" s="565"/>
      <c r="J765" s="565"/>
      <c r="K765" s="566"/>
      <c r="L765" s="567">
        <v>0</v>
      </c>
      <c r="M765" s="568">
        <v>0</v>
      </c>
      <c r="N765" s="568">
        <v>0</v>
      </c>
      <c r="O765" s="568">
        <f t="shared" si="454"/>
        <v>0</v>
      </c>
      <c r="P765" s="568">
        <f t="shared" si="455"/>
        <v>0</v>
      </c>
      <c r="Q765" s="568">
        <f ca="1">IFERROR(__xludf.DUMMYFUNCTION("IMPORTRANGE(""https://docs.google.com/spreadsheets/d/1ItG2mGa2ceCfYo0BwxsXqNm01IGEUdYcSSLTEv9YCik/edit?usp=sharing"",""เบิกจ่ายกองทุน!AA14"")"),871800)</f>
        <v>871800</v>
      </c>
      <c r="R765" s="568">
        <f ca="1">IFERROR(__xludf.DUMMYFUNCTION("IMPORTRANGE(""https://docs.google.com/spreadsheets/d/1ItG2mGa2ceCfYo0BwxsXqNm01IGEUdYcSSLTEv9YCik/edit?usp=sharing"",""เบิกจ่ายกองทุน!AB14"")"),871800)</f>
        <v>871800</v>
      </c>
      <c r="S765" s="568">
        <f ca="1">IFERROR(__xludf.DUMMYFUNCTION("IMPORTRANGE(""https://docs.google.com/spreadsheets/d/1ItG2mGa2ceCfYo0BwxsXqNm01IGEUdYcSSLTEv9YCik/edit?usp=sharing"",""เบิกจ่ายกองทุน!AC14"")"),98520)</f>
        <v>98520</v>
      </c>
      <c r="T765" s="568">
        <f t="shared" ca="1" si="457"/>
        <v>11.300757054370269</v>
      </c>
      <c r="U765" s="568">
        <f t="shared" ca="1" si="458"/>
        <v>11.300757054370269</v>
      </c>
    </row>
    <row r="766" spans="1:21" ht="18.75" x14ac:dyDescent="0.25">
      <c r="A766" s="674"/>
      <c r="B766" s="718"/>
      <c r="C766" s="718"/>
      <c r="D766" s="562" t="s">
        <v>23</v>
      </c>
      <c r="E766" s="718"/>
      <c r="F766" s="561"/>
      <c r="G766" s="563"/>
      <c r="H766" s="686" t="s">
        <v>14</v>
      </c>
      <c r="I766" s="683"/>
      <c r="J766" s="683"/>
      <c r="K766" s="684"/>
      <c r="L766" s="567">
        <f t="shared" ref="L766:N766" si="463">L767+L768</f>
        <v>0</v>
      </c>
      <c r="M766" s="568">
        <f t="shared" si="463"/>
        <v>0</v>
      </c>
      <c r="N766" s="568">
        <f t="shared" si="463"/>
        <v>0</v>
      </c>
      <c r="O766" s="568">
        <f t="shared" si="454"/>
        <v>0</v>
      </c>
      <c r="P766" s="568">
        <f t="shared" si="455"/>
        <v>0</v>
      </c>
      <c r="Q766" s="568">
        <f t="shared" ref="Q766:S766" si="464">Q767+Q768</f>
        <v>0</v>
      </c>
      <c r="R766" s="568">
        <f t="shared" si="464"/>
        <v>0</v>
      </c>
      <c r="S766" s="568">
        <f t="shared" si="464"/>
        <v>0</v>
      </c>
      <c r="T766" s="568">
        <f t="shared" si="457"/>
        <v>0</v>
      </c>
      <c r="U766" s="568">
        <f t="shared" si="458"/>
        <v>0</v>
      </c>
    </row>
    <row r="767" spans="1:21" ht="18.75" x14ac:dyDescent="0.25">
      <c r="A767" s="674"/>
      <c r="B767" s="718"/>
      <c r="C767" s="718"/>
      <c r="D767" s="718"/>
      <c r="E767" s="767" t="s">
        <v>20</v>
      </c>
      <c r="F767" s="561"/>
      <c r="G767" s="563"/>
      <c r="H767" s="685" t="s">
        <v>14</v>
      </c>
      <c r="I767" s="683"/>
      <c r="J767" s="683"/>
      <c r="K767" s="684"/>
      <c r="L767" s="571">
        <v>0</v>
      </c>
      <c r="M767" s="572">
        <v>0</v>
      </c>
      <c r="N767" s="572">
        <v>0</v>
      </c>
      <c r="O767" s="572">
        <f t="shared" si="454"/>
        <v>0</v>
      </c>
      <c r="P767" s="572">
        <f t="shared" si="455"/>
        <v>0</v>
      </c>
      <c r="Q767" s="572">
        <v>0</v>
      </c>
      <c r="R767" s="572">
        <v>0</v>
      </c>
      <c r="S767" s="572">
        <v>0</v>
      </c>
      <c r="T767" s="572">
        <f t="shared" si="457"/>
        <v>0</v>
      </c>
      <c r="U767" s="572">
        <f t="shared" si="458"/>
        <v>0</v>
      </c>
    </row>
    <row r="768" spans="1:21" ht="18.75" x14ac:dyDescent="0.25">
      <c r="A768" s="674"/>
      <c r="B768" s="718"/>
      <c r="C768" s="718"/>
      <c r="D768" s="718"/>
      <c r="E768" s="765" t="s">
        <v>21</v>
      </c>
      <c r="F768" s="561"/>
      <c r="G768" s="563"/>
      <c r="H768" s="686" t="s">
        <v>14</v>
      </c>
      <c r="I768" s="683"/>
      <c r="J768" s="683"/>
      <c r="K768" s="684"/>
      <c r="L768" s="567">
        <v>0</v>
      </c>
      <c r="M768" s="568">
        <v>0</v>
      </c>
      <c r="N768" s="568">
        <v>0</v>
      </c>
      <c r="O768" s="568">
        <f t="shared" si="454"/>
        <v>0</v>
      </c>
      <c r="P768" s="568">
        <f t="shared" si="455"/>
        <v>0</v>
      </c>
      <c r="Q768" s="568">
        <v>0</v>
      </c>
      <c r="R768" s="568">
        <v>0</v>
      </c>
      <c r="S768" s="568">
        <v>0</v>
      </c>
      <c r="T768" s="568">
        <f t="shared" si="457"/>
        <v>0</v>
      </c>
      <c r="U768" s="568">
        <f t="shared" si="458"/>
        <v>0</v>
      </c>
    </row>
    <row r="769" spans="1:21" ht="19.5" x14ac:dyDescent="0.3">
      <c r="A769" s="687"/>
      <c r="B769" s="688"/>
      <c r="C769" s="1117" t="s">
        <v>18</v>
      </c>
      <c r="D769" s="1078" t="s">
        <v>38</v>
      </c>
      <c r="E769" s="758"/>
      <c r="F769" s="690"/>
      <c r="G769" s="691"/>
      <c r="H769" s="725"/>
      <c r="I769" s="565"/>
      <c r="J769" s="565"/>
      <c r="K769" s="566"/>
      <c r="L769" s="574"/>
      <c r="M769" s="566"/>
      <c r="N769" s="566"/>
      <c r="O769" s="566"/>
      <c r="P769" s="566"/>
      <c r="Q769" s="566"/>
      <c r="R769" s="566"/>
      <c r="S769" s="566"/>
      <c r="T769" s="566"/>
      <c r="U769" s="566"/>
    </row>
    <row r="770" spans="1:21" ht="18.75" x14ac:dyDescent="0.25">
      <c r="A770" s="687"/>
      <c r="B770" s="688"/>
      <c r="C770" s="688"/>
      <c r="D770" s="1042" t="s">
        <v>286</v>
      </c>
      <c r="E770" s="688"/>
      <c r="F770" s="695"/>
      <c r="G770" s="692"/>
      <c r="H770" s="734" t="s">
        <v>35</v>
      </c>
      <c r="I770" s="735">
        <f ca="1">IFERROR(__xludf.DUMMYFUNCTION("IMPORTRANGE(""https://docs.google.com/spreadsheets/d/1eHaY18a8A9IcSdp1K8H6x8fbOy06t2VsZHhMHf-1x7Y/edit?usp=sharing"",""แผน!FI14"")"),0)</f>
        <v>0</v>
      </c>
      <c r="J770" s="735">
        <v>0</v>
      </c>
      <c r="K770" s="572">
        <f ca="1">IF(I770&gt;0,J770*100/I770,0)</f>
        <v>0</v>
      </c>
      <c r="L770" s="574"/>
      <c r="M770" s="566"/>
      <c r="N770" s="566"/>
      <c r="O770" s="566"/>
      <c r="P770" s="566"/>
      <c r="Q770" s="566"/>
      <c r="R770" s="566"/>
      <c r="S770" s="566"/>
      <c r="T770" s="566"/>
      <c r="U770" s="566"/>
    </row>
    <row r="771" spans="1:21" ht="18.75" x14ac:dyDescent="0.25">
      <c r="A771" s="687"/>
      <c r="B771" s="688"/>
      <c r="C771" s="688"/>
      <c r="D771" s="1042" t="s">
        <v>287</v>
      </c>
      <c r="E771" s="688"/>
      <c r="F771" s="695"/>
      <c r="G771" s="692"/>
      <c r="H771" s="725"/>
      <c r="I771" s="565"/>
      <c r="J771" s="565"/>
      <c r="K771" s="566"/>
      <c r="L771" s="574"/>
      <c r="M771" s="566"/>
      <c r="N771" s="566"/>
      <c r="O771" s="566"/>
      <c r="P771" s="566"/>
      <c r="Q771" s="566"/>
      <c r="R771" s="566"/>
      <c r="S771" s="566"/>
      <c r="T771" s="566"/>
      <c r="U771" s="566"/>
    </row>
    <row r="772" spans="1:21" ht="18.75" x14ac:dyDescent="0.25">
      <c r="A772" s="687"/>
      <c r="B772" s="688"/>
      <c r="C772" s="688"/>
      <c r="D772" s="1079" t="s">
        <v>288</v>
      </c>
      <c r="E772" s="688"/>
      <c r="F772" s="695"/>
      <c r="G772" s="692"/>
      <c r="H772" s="686" t="s">
        <v>35</v>
      </c>
      <c r="I772" s="708">
        <f ca="1">IFERROR(__xludf.DUMMYFUNCTION("IMPORTRANGE(""https://docs.google.com/spreadsheets/d/1eHaY18a8A9IcSdp1K8H6x8fbOy06t2VsZHhMHf-1x7Y/edit?usp=sharing"",""แผน!FQ14"")"),50)</f>
        <v>50</v>
      </c>
      <c r="J772" s="702">
        <v>50</v>
      </c>
      <c r="K772" s="568">
        <f ca="1">IF(I772&gt;0,J772*100/I772,0)</f>
        <v>100</v>
      </c>
      <c r="L772" s="574"/>
      <c r="M772" s="566"/>
      <c r="N772" s="566"/>
      <c r="O772" s="566"/>
      <c r="P772" s="566"/>
      <c r="Q772" s="566"/>
      <c r="R772" s="566"/>
      <c r="S772" s="566"/>
      <c r="T772" s="566"/>
      <c r="U772" s="566"/>
    </row>
    <row r="773" spans="1:21" ht="18.75" x14ac:dyDescent="0.25">
      <c r="A773" s="687"/>
      <c r="B773" s="688"/>
      <c r="C773" s="688"/>
      <c r="D773" s="1079" t="s">
        <v>289</v>
      </c>
      <c r="E773" s="688"/>
      <c r="F773" s="695"/>
      <c r="G773" s="692"/>
      <c r="H773" s="725"/>
      <c r="I773" s="565"/>
      <c r="J773" s="565"/>
      <c r="K773" s="566"/>
      <c r="L773" s="574"/>
      <c r="M773" s="566"/>
      <c r="N773" s="566"/>
      <c r="O773" s="566"/>
      <c r="P773" s="566"/>
      <c r="Q773" s="566"/>
      <c r="R773" s="566"/>
      <c r="S773" s="566"/>
      <c r="T773" s="566"/>
      <c r="U773" s="566"/>
    </row>
    <row r="774" spans="1:21" ht="18.75" x14ac:dyDescent="0.25">
      <c r="A774" s="687"/>
      <c r="B774" s="688"/>
      <c r="C774" s="688"/>
      <c r="D774" s="1079" t="s">
        <v>290</v>
      </c>
      <c r="E774" s="688"/>
      <c r="F774" s="695"/>
      <c r="G774" s="692"/>
      <c r="H774" s="686" t="s">
        <v>46</v>
      </c>
      <c r="I774" s="708">
        <f ca="1">IFERROR(__xludf.DUMMYFUNCTION("IMPORTRANGE(""https://docs.google.com/spreadsheets/d/1eHaY18a8A9IcSdp1K8H6x8fbOy06t2VsZHhMHf-1x7Y/edit?usp=sharing"",""แผน!FR14"")"),500)</f>
        <v>500</v>
      </c>
      <c r="J774" s="702">
        <v>0</v>
      </c>
      <c r="K774" s="568">
        <f ca="1">IF(I774&gt;0,J774*100/I774,0)</f>
        <v>0</v>
      </c>
      <c r="L774" s="574"/>
      <c r="M774" s="566"/>
      <c r="N774" s="566"/>
      <c r="O774" s="566"/>
      <c r="P774" s="566"/>
      <c r="Q774" s="566"/>
      <c r="R774" s="566"/>
      <c r="S774" s="566"/>
      <c r="T774" s="566"/>
      <c r="U774" s="566"/>
    </row>
    <row r="775" spans="1:21" ht="18.75" x14ac:dyDescent="0.25">
      <c r="A775" s="687"/>
      <c r="B775" s="688"/>
      <c r="C775" s="688"/>
      <c r="D775" s="1079" t="s">
        <v>50</v>
      </c>
      <c r="E775" s="695"/>
      <c r="F775" s="561"/>
      <c r="G775" s="563"/>
      <c r="H775" s="686" t="s">
        <v>46</v>
      </c>
      <c r="I775" s="708">
        <f ca="1">IFERROR(__xludf.DUMMYFUNCTION("IMPORTRANGE(""https://docs.google.com/spreadsheets/d/1eHaY18a8A9IcSdp1K8H6x8fbOy06t2VsZHhMHf-1x7Y/edit?usp=sharing"",""แผน!FS14"")"),500)</f>
        <v>500</v>
      </c>
      <c r="J775" s="702">
        <v>0</v>
      </c>
      <c r="K775" s="566"/>
      <c r="L775" s="574"/>
      <c r="M775" s="566"/>
      <c r="N775" s="566"/>
      <c r="O775" s="566"/>
      <c r="P775" s="566"/>
      <c r="Q775" s="566"/>
      <c r="R775" s="566"/>
      <c r="S775" s="566"/>
      <c r="T775" s="566"/>
      <c r="U775" s="566"/>
    </row>
    <row r="776" spans="1:21" ht="18.75" x14ac:dyDescent="0.25">
      <c r="A776" s="863"/>
      <c r="B776" s="864"/>
      <c r="C776" s="864"/>
      <c r="D776" s="864"/>
      <c r="E776" s="512"/>
      <c r="F776" s="512"/>
      <c r="G776" s="577"/>
      <c r="H776" s="1089" t="s">
        <v>35</v>
      </c>
      <c r="I776" s="989">
        <f ca="1">IFERROR(__xludf.DUMMYFUNCTION("IMPORTRANGE(""https://docs.google.com/spreadsheets/d/1eHaY18a8A9IcSdp1K8H6x8fbOy06t2VsZHhMHf-1x7Y/edit?usp=sharing"",""แผน!FT14"")"),50)</f>
        <v>50</v>
      </c>
      <c r="J776" s="990">
        <v>0</v>
      </c>
      <c r="K776" s="580"/>
      <c r="L776" s="581"/>
      <c r="M776" s="580"/>
      <c r="N776" s="580"/>
      <c r="O776" s="580"/>
      <c r="P776" s="580"/>
      <c r="Q776" s="580"/>
      <c r="R776" s="580"/>
      <c r="S776" s="580"/>
      <c r="T776" s="580"/>
      <c r="U776" s="580"/>
    </row>
    <row r="777" spans="1:21" ht="19.5" x14ac:dyDescent="0.3">
      <c r="A777" s="1118" t="s">
        <v>291</v>
      </c>
      <c r="B777" s="1119"/>
      <c r="C777" s="1119"/>
      <c r="D777" s="1120"/>
      <c r="E777" s="1119"/>
      <c r="F777" s="1119"/>
      <c r="G777" s="1121"/>
      <c r="H777" s="112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1123"/>
      <c r="J777" s="1124"/>
      <c r="K777" s="1125"/>
      <c r="L777" s="1125"/>
      <c r="M777" s="1125"/>
      <c r="N777" s="1125"/>
      <c r="O777" s="1125"/>
      <c r="P777" s="1125"/>
      <c r="Q777" s="1125"/>
      <c r="R777" s="1125"/>
      <c r="S777" s="1125"/>
      <c r="T777" s="1125"/>
      <c r="U777" s="1125"/>
    </row>
    <row r="778" spans="1:21" ht="18.75" x14ac:dyDescent="0.25">
      <c r="A778" s="560"/>
      <c r="B778" s="573" t="s">
        <v>292</v>
      </c>
      <c r="C778" s="561"/>
      <c r="D778" s="718"/>
      <c r="E778" s="561"/>
      <c r="F778" s="561"/>
      <c r="G778" s="563"/>
      <c r="H778" s="564" t="s">
        <v>14</v>
      </c>
      <c r="I778" s="708">
        <f ca="1">IFERROR(__xludf.DUMMYFUNCTION("IMPORTRANGE(""https://docs.google.com/spreadsheets/d/10OvvATaaLtwErnr3qtWFcTmtbfpFEt5Bsqel9sXx0uE/edit?usp=sharing"",""งานกองทุน!D14"")"),5000000)</f>
        <v>5000000</v>
      </c>
      <c r="J778" s="708">
        <f ca="1">IFERROR(__xludf.DUMMYFUNCTION("IMPORTRANGE(""https://docs.google.com/spreadsheets/d/10OvvATaaLtwErnr3qtWFcTmtbfpFEt5Bsqel9sXx0uE/edit?usp=sharing"",""งานกองทุน!F14"")"),1020000)</f>
        <v>1020000</v>
      </c>
      <c r="K778" s="568">
        <f t="shared" ref="K778:K785" ca="1" si="465">IF(I778&gt;0,J778*100/I778,0)</f>
        <v>20.399999999999999</v>
      </c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</row>
    <row r="779" spans="1:21" ht="18.75" x14ac:dyDescent="0.25">
      <c r="A779" s="560"/>
      <c r="B779" s="561"/>
      <c r="C779" s="561"/>
      <c r="D779" s="718"/>
      <c r="E779" s="561"/>
      <c r="F779" s="561"/>
      <c r="G779" s="563"/>
      <c r="H779" s="564" t="s">
        <v>35</v>
      </c>
      <c r="I779" s="708">
        <f ca="1">IFERROR(__xludf.DUMMYFUNCTION("IMPORTRANGE(""https://docs.google.com/spreadsheets/d/10OvvATaaLtwErnr3qtWFcTmtbfpFEt5Bsqel9sXx0uE/edit?usp=sharing"",""งานกองทุน!C14"")"),165)</f>
        <v>165</v>
      </c>
      <c r="J779" s="708">
        <f ca="1">IFERROR(__xludf.DUMMYFUNCTION("IMPORTRANGE(""https://docs.google.com/spreadsheets/d/10OvvATaaLtwErnr3qtWFcTmtbfpFEt5Bsqel9sXx0uE/edit?usp=sharing"",""งานกองทุน!E14"")"),34)</f>
        <v>34</v>
      </c>
      <c r="K779" s="568">
        <f t="shared" ca="1" si="465"/>
        <v>20.606060606060606</v>
      </c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</row>
    <row r="780" spans="1:21" ht="18.75" x14ac:dyDescent="0.25">
      <c r="A780" s="560"/>
      <c r="B780" s="573" t="s">
        <v>293</v>
      </c>
      <c r="C780" s="561"/>
      <c r="D780" s="718"/>
      <c r="E780" s="561"/>
      <c r="F780" s="561"/>
      <c r="G780" s="563"/>
      <c r="H780" s="564" t="s">
        <v>14</v>
      </c>
      <c r="I780" s="708">
        <f ca="1">IFERROR(__xludf.DUMMYFUNCTION("IMPORTRANGE(""https://docs.google.com/spreadsheets/d/10OvvATaaLtwErnr3qtWFcTmtbfpFEt5Bsqel9sXx0uE/edit?usp=sharing"",""งานกองทุน!I14"")"),4945903.61)</f>
        <v>4945903.6100000003</v>
      </c>
      <c r="J780" s="708">
        <f ca="1">IFERROR(__xludf.DUMMYFUNCTION("IMPORTRANGE(""https://docs.google.com/spreadsheets/d/10OvvATaaLtwErnr3qtWFcTmtbfpFEt5Bsqel9sXx0uE/edit?usp=sharing"",""งานกองทุน!K14"")"),176807.04)</f>
        <v>176807.04000000001</v>
      </c>
      <c r="K780" s="568">
        <f t="shared" ca="1" si="465"/>
        <v>3.5748177470041718</v>
      </c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</row>
    <row r="781" spans="1:21" ht="18.75" x14ac:dyDescent="0.25">
      <c r="A781" s="560"/>
      <c r="B781" s="561"/>
      <c r="C781" s="561"/>
      <c r="D781" s="718"/>
      <c r="E781" s="561"/>
      <c r="F781" s="561"/>
      <c r="G781" s="563"/>
      <c r="H781" s="564" t="s">
        <v>35</v>
      </c>
      <c r="I781" s="708">
        <f ca="1">IFERROR(__xludf.DUMMYFUNCTION("IMPORTRANGE(""https://docs.google.com/spreadsheets/d/10OvvATaaLtwErnr3qtWFcTmtbfpFEt5Bsqel9sXx0uE/edit?usp=sharing"",""งานกองทุน!H14"")"),144)</f>
        <v>144</v>
      </c>
      <c r="J781" s="708">
        <f ca="1">IFERROR(__xludf.DUMMYFUNCTION("IMPORTRANGE(""https://docs.google.com/spreadsheets/d/10OvvATaaLtwErnr3qtWFcTmtbfpFEt5Bsqel9sXx0uE/edit?usp=sharing"",""งานกองทุน!J14"")"),22)</f>
        <v>22</v>
      </c>
      <c r="K781" s="568">
        <f t="shared" ca="1" si="465"/>
        <v>15.277777777777779</v>
      </c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</row>
    <row r="782" spans="1:21" ht="18.75" x14ac:dyDescent="0.25">
      <c r="A782" s="560"/>
      <c r="B782" s="573" t="s">
        <v>294</v>
      </c>
      <c r="C782" s="561"/>
      <c r="D782" s="718"/>
      <c r="E782" s="561"/>
      <c r="F782" s="561"/>
      <c r="G782" s="563"/>
      <c r="H782" s="564" t="s">
        <v>14</v>
      </c>
      <c r="I782" s="708">
        <f ca="1">IFERROR(__xludf.DUMMYFUNCTION("IMPORTRANGE(""https://docs.google.com/spreadsheets/d/10OvvATaaLtwErnr3qtWFcTmtbfpFEt5Bsqel9sXx0uE/edit?usp=sharing"",""งานกองทุน!N14"")"),2300046.85)</f>
        <v>2300046.85</v>
      </c>
      <c r="J782" s="708">
        <f ca="1">IFERROR(__xludf.DUMMYFUNCTION("IMPORTRANGE(""https://docs.google.com/spreadsheets/d/10OvvATaaLtwErnr3qtWFcTmtbfpFEt5Bsqel9sXx0uE/edit?usp=sharing"",""งานกองทุน!P14"")"),647920.06)</f>
        <v>647920.06000000006</v>
      </c>
      <c r="K782" s="568">
        <f t="shared" ca="1" si="465"/>
        <v>28.169863583430921</v>
      </c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</row>
    <row r="783" spans="1:21" ht="18.75" x14ac:dyDescent="0.25">
      <c r="A783" s="560"/>
      <c r="B783" s="561"/>
      <c r="C783" s="561"/>
      <c r="D783" s="718"/>
      <c r="E783" s="561"/>
      <c r="F783" s="561"/>
      <c r="G783" s="563"/>
      <c r="H783" s="564" t="s">
        <v>35</v>
      </c>
      <c r="I783" s="708">
        <f ca="1">IFERROR(__xludf.DUMMYFUNCTION("IMPORTRANGE(""https://docs.google.com/spreadsheets/d/10OvvATaaLtwErnr3qtWFcTmtbfpFEt5Bsqel9sXx0uE/edit?usp=sharing"",""งานกองทุน!M14"")"),262)</f>
        <v>262</v>
      </c>
      <c r="J783" s="708">
        <f ca="1">IFERROR(__xludf.DUMMYFUNCTION("IMPORTRANGE(""https://docs.google.com/spreadsheets/d/10OvvATaaLtwErnr3qtWFcTmtbfpFEt5Bsqel9sXx0uE/edit?usp=sharing"",""งานกองทุน!O14"")"),141)</f>
        <v>141</v>
      </c>
      <c r="K783" s="568">
        <f t="shared" ca="1" si="465"/>
        <v>53.81679389312977</v>
      </c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</row>
    <row r="784" spans="1:21" ht="18.75" x14ac:dyDescent="0.25">
      <c r="A784" s="560"/>
      <c r="B784" s="573" t="s">
        <v>295</v>
      </c>
      <c r="C784" s="561"/>
      <c r="D784" s="718"/>
      <c r="E784" s="561"/>
      <c r="F784" s="561"/>
      <c r="G784" s="563"/>
      <c r="H784" s="564" t="s">
        <v>14</v>
      </c>
      <c r="I784" s="708">
        <f ca="1">IFERROR(__xludf.DUMMYFUNCTION("IMPORTRANGE(""https://docs.google.com/spreadsheets/d/10OvvATaaLtwErnr3qtWFcTmtbfpFEt5Bsqel9sXx0uE/edit?usp=sharing"",""งานกองทุน!S14"")"),7980000)</f>
        <v>7980000</v>
      </c>
      <c r="J784" s="708">
        <f ca="1">IFERROR(__xludf.DUMMYFUNCTION("IMPORTRANGE(""https://docs.google.com/spreadsheets/d/10OvvATaaLtwErnr3qtWFcTmtbfpFEt5Bsqel9sXx0uE/edit?usp=sharing"",""งานกองทุน!U14"")"),1880000)</f>
        <v>1880000</v>
      </c>
      <c r="K784" s="568">
        <f t="shared" ca="1" si="465"/>
        <v>23.558897243107769</v>
      </c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</row>
    <row r="785" spans="1:21" ht="18.75" x14ac:dyDescent="0.25">
      <c r="A785" s="575"/>
      <c r="B785" s="513"/>
      <c r="C785" s="513"/>
      <c r="D785" s="514"/>
      <c r="E785" s="513"/>
      <c r="F785" s="513"/>
      <c r="G785" s="577"/>
      <c r="H785" s="578" t="s">
        <v>35</v>
      </c>
      <c r="I785" s="989">
        <f ca="1">IFERROR(__xludf.DUMMYFUNCTION("IMPORTRANGE(""https://docs.google.com/spreadsheets/d/10OvvATaaLtwErnr3qtWFcTmtbfpFEt5Bsqel9sXx0uE/edit?usp=sharing"",""งานกองทุน!R14"")"),285)</f>
        <v>285</v>
      </c>
      <c r="J785" s="989">
        <f ca="1">IFERROR(__xludf.DUMMYFUNCTION("IMPORTRANGE(""https://docs.google.com/spreadsheets/d/10OvvATaaLtwErnr3qtWFcTmtbfpFEt5Bsqel9sXx0uE/edit?usp=sharing"",""งานกองทุน!T14"")"),49)</f>
        <v>49</v>
      </c>
      <c r="K785" s="655">
        <f t="shared" ca="1" si="465"/>
        <v>17.192982456140349</v>
      </c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</row>
    <row r="786" spans="1:21" ht="12.75" x14ac:dyDescent="0.2">
      <c r="A786" s="510"/>
      <c r="B786" s="510"/>
      <c r="C786" s="510"/>
      <c r="D786" s="510"/>
      <c r="E786" s="510"/>
      <c r="F786" s="510"/>
      <c r="G786" s="510"/>
      <c r="H786" s="510"/>
      <c r="I786" s="510"/>
      <c r="J786" s="510"/>
      <c r="K786" s="510"/>
      <c r="L786" s="510"/>
      <c r="M786" s="510"/>
      <c r="N786" s="510"/>
      <c r="O786" s="510"/>
      <c r="P786" s="510"/>
      <c r="Q786" s="510"/>
      <c r="R786" s="510"/>
      <c r="S786" s="510"/>
      <c r="T786" s="510"/>
      <c r="U786" s="510"/>
    </row>
    <row r="787" spans="1:21" ht="16.5" x14ac:dyDescent="0.25">
      <c r="A787" s="1126" t="s">
        <v>296</v>
      </c>
      <c r="B787" s="510"/>
      <c r="C787" s="510"/>
      <c r="D787" s="510"/>
      <c r="E787" s="510"/>
      <c r="F787" s="510"/>
      <c r="G787" s="510"/>
      <c r="H787" s="510"/>
      <c r="I787" s="510"/>
      <c r="J787" s="510"/>
      <c r="K787" s="510"/>
      <c r="L787" s="510"/>
      <c r="M787" s="510"/>
      <c r="N787" s="510"/>
      <c r="O787" s="510"/>
      <c r="P787" s="510"/>
      <c r="Q787" s="510"/>
      <c r="R787" s="510"/>
      <c r="S787" s="510"/>
      <c r="T787" s="510"/>
      <c r="U787" s="510"/>
    </row>
    <row r="788" spans="1:21" ht="16.5" x14ac:dyDescent="0.25">
      <c r="A788" s="112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510"/>
      <c r="C788" s="510"/>
      <c r="D788" s="510"/>
      <c r="E788" s="510"/>
      <c r="F788" s="510"/>
      <c r="G788" s="510"/>
      <c r="H788" s="510"/>
      <c r="I788" s="510"/>
      <c r="J788" s="510"/>
      <c r="K788" s="510"/>
      <c r="L788" s="510"/>
      <c r="M788" s="510"/>
      <c r="N788" s="510"/>
      <c r="O788" s="510"/>
      <c r="P788" s="510"/>
      <c r="Q788" s="510"/>
      <c r="R788" s="510"/>
      <c r="S788" s="510"/>
      <c r="T788" s="510"/>
      <c r="U788" s="510"/>
    </row>
    <row r="789" spans="1:21" ht="16.5" x14ac:dyDescent="0.25">
      <c r="A789" s="112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510"/>
      <c r="C789" s="510"/>
      <c r="D789" s="510"/>
      <c r="E789" s="510"/>
      <c r="F789" s="510"/>
      <c r="G789" s="510"/>
      <c r="H789" s="510"/>
      <c r="I789" s="510"/>
      <c r="J789" s="510"/>
      <c r="K789" s="510"/>
      <c r="L789" s="510"/>
      <c r="M789" s="510"/>
      <c r="N789" s="510"/>
      <c r="O789" s="510"/>
      <c r="P789" s="510"/>
      <c r="Q789" s="510"/>
      <c r="R789" s="510"/>
      <c r="S789" s="510"/>
      <c r="T789" s="510"/>
      <c r="U789" s="510"/>
    </row>
  </sheetData>
  <mergeCells count="25">
    <mergeCell ref="A1:U1"/>
    <mergeCell ref="A2:U2"/>
    <mergeCell ref="A3:U3"/>
    <mergeCell ref="D413:G413"/>
    <mergeCell ref="L4:P4"/>
    <mergeCell ref="Q4:U4"/>
    <mergeCell ref="A5:G6"/>
    <mergeCell ref="I5:K5"/>
    <mergeCell ref="L5:M5"/>
    <mergeCell ref="N5:P5"/>
    <mergeCell ref="Q5:R5"/>
    <mergeCell ref="S5:U5"/>
    <mergeCell ref="A7:G7"/>
    <mergeCell ref="A17:G17"/>
    <mergeCell ref="A30:G30"/>
    <mergeCell ref="A56:G56"/>
    <mergeCell ref="B57:G57"/>
    <mergeCell ref="D728:G728"/>
    <mergeCell ref="D760:G760"/>
    <mergeCell ref="D493:F493"/>
    <mergeCell ref="D599:G599"/>
    <mergeCell ref="D616:G616"/>
    <mergeCell ref="D642:G642"/>
    <mergeCell ref="D690:G690"/>
    <mergeCell ref="D714:G714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D7F2-826B-4B2E-A547-7D145484381C}">
  <sheetPr>
    <outlinePr summaryBelow="0" summaryRight="0"/>
  </sheetPr>
  <dimension ref="A1:U789"/>
  <sheetViews>
    <sheetView view="pageBreakPreview" zoomScale="60" zoomScaleNormal="100" workbookViewId="0">
      <pane xSplit="8" ySplit="17" topLeftCell="I18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style="511" customWidth="1"/>
    <col min="7" max="7" width="61.42578125" style="511" customWidth="1"/>
    <col min="8" max="8" width="9.42578125" style="511" customWidth="1"/>
    <col min="9" max="11" width="15.140625" style="511" customWidth="1"/>
    <col min="12" max="14" width="21.28515625" style="511" bestFit="1" customWidth="1"/>
    <col min="15" max="15" width="19.28515625" style="511" bestFit="1" customWidth="1"/>
    <col min="16" max="16" width="20.85546875" style="511" bestFit="1" customWidth="1"/>
    <col min="17" max="19" width="21.28515625" style="511" bestFit="1" customWidth="1"/>
    <col min="20" max="20" width="19.28515625" style="511" bestFit="1" customWidth="1"/>
    <col min="21" max="21" width="20.85546875" style="511" bestFit="1" customWidth="1"/>
    <col min="22" max="16384" width="12.5703125" style="511"/>
  </cols>
  <sheetData>
    <row r="1" spans="1:21" ht="15.75" customHeight="1" x14ac:dyDescent="0.3">
      <c r="A1" s="1321" t="s">
        <v>0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  <c r="R1" s="1321"/>
      <c r="S1" s="1321"/>
      <c r="T1" s="1321"/>
      <c r="U1" s="1321"/>
    </row>
    <row r="2" spans="1:21" ht="15.75" customHeight="1" x14ac:dyDescent="0.3">
      <c r="A2" s="1321" t="s">
        <v>316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</row>
    <row r="3" spans="1:21" ht="15.75" customHeight="1" x14ac:dyDescent="0.3">
      <c r="A3" s="1321" t="s">
        <v>350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</row>
    <row r="4" spans="1:21" ht="15.75" customHeight="1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4"/>
      <c r="K4" s="515"/>
      <c r="L4" s="1323" t="s">
        <v>2</v>
      </c>
      <c r="M4" s="1314"/>
      <c r="N4" s="1314"/>
      <c r="O4" s="1314"/>
      <c r="P4" s="1317"/>
      <c r="Q4" s="1324" t="s">
        <v>3</v>
      </c>
      <c r="R4" s="1314"/>
      <c r="S4" s="1314"/>
      <c r="T4" s="1314"/>
      <c r="U4" s="1317"/>
    </row>
    <row r="5" spans="1:21" ht="15.75" customHeight="1" x14ac:dyDescent="0.3">
      <c r="A5" s="1325" t="s">
        <v>4</v>
      </c>
      <c r="B5" s="1322"/>
      <c r="C5" s="1322"/>
      <c r="D5" s="1322"/>
      <c r="E5" s="1322"/>
      <c r="F5" s="1322"/>
      <c r="G5" s="1326"/>
      <c r="H5" s="516" t="s">
        <v>5</v>
      </c>
      <c r="I5" s="1328" t="s">
        <v>6</v>
      </c>
      <c r="J5" s="1314"/>
      <c r="K5" s="1317"/>
      <c r="L5" s="1329" t="s">
        <v>7</v>
      </c>
      <c r="M5" s="1317"/>
      <c r="N5" s="1330" t="s">
        <v>8</v>
      </c>
      <c r="O5" s="1314"/>
      <c r="P5" s="1317"/>
      <c r="Q5" s="1331" t="s">
        <v>7</v>
      </c>
      <c r="R5" s="1317"/>
      <c r="S5" s="1330" t="s">
        <v>8</v>
      </c>
      <c r="T5" s="1314"/>
      <c r="U5" s="1317"/>
    </row>
    <row r="6" spans="1:21" ht="15.75" customHeight="1" x14ac:dyDescent="0.3">
      <c r="A6" s="1327"/>
      <c r="B6" s="1314"/>
      <c r="C6" s="1314"/>
      <c r="D6" s="1314"/>
      <c r="E6" s="1314"/>
      <c r="F6" s="1314"/>
      <c r="G6" s="1317"/>
      <c r="H6" s="517"/>
      <c r="I6" s="518" t="s">
        <v>9</v>
      </c>
      <c r="J6" s="519" t="s">
        <v>10</v>
      </c>
      <c r="K6" s="518" t="s">
        <v>11</v>
      </c>
      <c r="L6" s="520" t="s">
        <v>12</v>
      </c>
      <c r="M6" s="521" t="s">
        <v>13</v>
      </c>
      <c r="N6" s="522" t="s">
        <v>14</v>
      </c>
      <c r="O6" s="523" t="s">
        <v>15</v>
      </c>
      <c r="P6" s="524" t="s">
        <v>16</v>
      </c>
      <c r="Q6" s="525" t="s">
        <v>12</v>
      </c>
      <c r="R6" s="521" t="s">
        <v>13</v>
      </c>
      <c r="S6" s="522" t="s">
        <v>14</v>
      </c>
      <c r="T6" s="523" t="s">
        <v>15</v>
      </c>
      <c r="U6" s="524" t="s">
        <v>16</v>
      </c>
    </row>
    <row r="7" spans="1:21" ht="12.75" hidden="1" x14ac:dyDescent="0.2">
      <c r="A7" s="1332"/>
      <c r="B7" s="1332"/>
      <c r="C7" s="1332"/>
      <c r="D7" s="1332"/>
      <c r="E7" s="1332"/>
      <c r="F7" s="1332"/>
      <c r="G7" s="1333"/>
      <c r="H7" s="526"/>
      <c r="I7" s="527"/>
      <c r="J7" s="527"/>
      <c r="K7" s="528"/>
      <c r="L7" s="529"/>
      <c r="M7" s="528"/>
      <c r="N7" s="528"/>
      <c r="O7" s="528"/>
      <c r="P7" s="528"/>
      <c r="Q7" s="528"/>
      <c r="R7" s="528"/>
      <c r="S7" s="528"/>
      <c r="T7" s="528"/>
      <c r="U7" s="528"/>
    </row>
    <row r="8" spans="1:21" ht="12.75" hidden="1" x14ac:dyDescent="0.2">
      <c r="A8" s="530"/>
      <c r="B8" s="531"/>
      <c r="C8" s="531"/>
      <c r="D8" s="531"/>
      <c r="E8" s="531"/>
      <c r="F8" s="531"/>
      <c r="G8" s="532"/>
      <c r="H8" s="532"/>
      <c r="I8" s="533"/>
      <c r="J8" s="533"/>
      <c r="K8" s="534"/>
      <c r="L8" s="535"/>
      <c r="M8" s="534"/>
      <c r="N8" s="534"/>
      <c r="O8" s="534"/>
      <c r="P8" s="534"/>
      <c r="Q8" s="534"/>
      <c r="R8" s="534"/>
      <c r="S8" s="534"/>
      <c r="T8" s="534"/>
      <c r="U8" s="534"/>
    </row>
    <row r="9" spans="1:21" ht="12.75" hidden="1" x14ac:dyDescent="0.2">
      <c r="A9" s="530"/>
      <c r="B9" s="531"/>
      <c r="C9" s="531"/>
      <c r="D9" s="531"/>
      <c r="E9" s="531"/>
      <c r="F9" s="531"/>
      <c r="G9" s="532"/>
      <c r="H9" s="532"/>
      <c r="I9" s="533"/>
      <c r="J9" s="533"/>
      <c r="K9" s="534"/>
      <c r="L9" s="535"/>
      <c r="M9" s="534"/>
      <c r="N9" s="534"/>
      <c r="O9" s="534"/>
      <c r="P9" s="534"/>
      <c r="Q9" s="534"/>
      <c r="R9" s="534"/>
      <c r="S9" s="534"/>
      <c r="T9" s="534"/>
      <c r="U9" s="534"/>
    </row>
    <row r="10" spans="1:21" ht="12.75" hidden="1" x14ac:dyDescent="0.2">
      <c r="A10" s="530"/>
      <c r="B10" s="531"/>
      <c r="C10" s="531"/>
      <c r="D10" s="531"/>
      <c r="E10" s="531"/>
      <c r="F10" s="531"/>
      <c r="G10" s="532"/>
      <c r="H10" s="532"/>
      <c r="I10" s="533"/>
      <c r="J10" s="533"/>
      <c r="K10" s="534"/>
      <c r="L10" s="535"/>
      <c r="M10" s="534"/>
      <c r="N10" s="534"/>
      <c r="O10" s="534"/>
      <c r="P10" s="534"/>
      <c r="Q10" s="534"/>
      <c r="R10" s="534"/>
      <c r="S10" s="534"/>
      <c r="T10" s="534"/>
      <c r="U10" s="534"/>
    </row>
    <row r="11" spans="1:21" ht="12.75" hidden="1" x14ac:dyDescent="0.2">
      <c r="A11" s="530"/>
      <c r="B11" s="531"/>
      <c r="C11" s="531"/>
      <c r="D11" s="531"/>
      <c r="E11" s="531"/>
      <c r="F11" s="531"/>
      <c r="G11" s="532"/>
      <c r="H11" s="532"/>
      <c r="I11" s="533"/>
      <c r="J11" s="533"/>
      <c r="K11" s="534"/>
      <c r="L11" s="535"/>
      <c r="M11" s="534"/>
      <c r="N11" s="534"/>
      <c r="O11" s="534"/>
      <c r="P11" s="534"/>
      <c r="Q11" s="534"/>
      <c r="R11" s="534"/>
      <c r="S11" s="534"/>
      <c r="T11" s="534"/>
      <c r="U11" s="534"/>
    </row>
    <row r="12" spans="1:21" ht="12.75" hidden="1" x14ac:dyDescent="0.2">
      <c r="A12" s="530"/>
      <c r="B12" s="531"/>
      <c r="C12" s="531"/>
      <c r="D12" s="531"/>
      <c r="E12" s="531"/>
      <c r="F12" s="531"/>
      <c r="G12" s="532"/>
      <c r="H12" s="532"/>
      <c r="I12" s="533"/>
      <c r="J12" s="533"/>
      <c r="K12" s="534"/>
      <c r="L12" s="535"/>
      <c r="M12" s="534"/>
      <c r="N12" s="534"/>
      <c r="O12" s="534"/>
      <c r="P12" s="534"/>
      <c r="Q12" s="534"/>
      <c r="R12" s="534"/>
      <c r="S12" s="534"/>
      <c r="T12" s="534"/>
      <c r="U12" s="534"/>
    </row>
    <row r="13" spans="1:21" ht="12.75" hidden="1" x14ac:dyDescent="0.2">
      <c r="A13" s="530"/>
      <c r="B13" s="531"/>
      <c r="C13" s="531"/>
      <c r="D13" s="531"/>
      <c r="E13" s="531"/>
      <c r="F13" s="531"/>
      <c r="G13" s="532"/>
      <c r="H13" s="532"/>
      <c r="I13" s="533"/>
      <c r="J13" s="533"/>
      <c r="K13" s="534"/>
      <c r="L13" s="535"/>
      <c r="M13" s="534"/>
      <c r="N13" s="534"/>
      <c r="O13" s="534"/>
      <c r="P13" s="534"/>
      <c r="Q13" s="534"/>
      <c r="R13" s="534"/>
      <c r="S13" s="534"/>
      <c r="T13" s="534"/>
      <c r="U13" s="534"/>
    </row>
    <row r="14" spans="1:21" ht="12.75" hidden="1" x14ac:dyDescent="0.2">
      <c r="A14" s="530"/>
      <c r="B14" s="531"/>
      <c r="C14" s="531"/>
      <c r="D14" s="531"/>
      <c r="E14" s="531"/>
      <c r="F14" s="531"/>
      <c r="G14" s="532"/>
      <c r="H14" s="532"/>
      <c r="I14" s="533"/>
      <c r="J14" s="533"/>
      <c r="K14" s="534"/>
      <c r="L14" s="535"/>
      <c r="M14" s="534"/>
      <c r="N14" s="534"/>
      <c r="O14" s="534"/>
      <c r="P14" s="534"/>
      <c r="Q14" s="534"/>
      <c r="R14" s="534"/>
      <c r="S14" s="534"/>
      <c r="T14" s="534"/>
      <c r="U14" s="534"/>
    </row>
    <row r="15" spans="1:21" ht="12.75" hidden="1" x14ac:dyDescent="0.2">
      <c r="A15" s="530"/>
      <c r="B15" s="531"/>
      <c r="C15" s="531"/>
      <c r="D15" s="531"/>
      <c r="E15" s="531"/>
      <c r="F15" s="531"/>
      <c r="G15" s="532"/>
      <c r="H15" s="532"/>
      <c r="I15" s="533"/>
      <c r="J15" s="533"/>
      <c r="K15" s="534"/>
      <c r="L15" s="535"/>
      <c r="M15" s="534"/>
      <c r="N15" s="534"/>
      <c r="O15" s="534"/>
      <c r="P15" s="534"/>
      <c r="Q15" s="534"/>
      <c r="R15" s="534"/>
      <c r="S15" s="534"/>
      <c r="T15" s="534"/>
      <c r="U15" s="534"/>
    </row>
    <row r="16" spans="1:21" ht="12.75" hidden="1" x14ac:dyDescent="0.2">
      <c r="A16" s="536"/>
      <c r="B16" s="537"/>
      <c r="C16" s="537"/>
      <c r="D16" s="537"/>
      <c r="E16" s="537"/>
      <c r="F16" s="537"/>
      <c r="G16" s="526"/>
      <c r="H16" s="526"/>
      <c r="I16" s="527"/>
      <c r="J16" s="527"/>
      <c r="K16" s="528"/>
      <c r="L16" s="529"/>
      <c r="M16" s="528"/>
      <c r="N16" s="528"/>
      <c r="O16" s="528"/>
      <c r="P16" s="528"/>
      <c r="Q16" s="528"/>
      <c r="R16" s="528"/>
      <c r="S16" s="528"/>
      <c r="T16" s="528"/>
      <c r="U16" s="528"/>
    </row>
    <row r="17" spans="1:21" ht="15.75" customHeight="1" x14ac:dyDescent="0.3">
      <c r="A17" s="1318" t="s">
        <v>298</v>
      </c>
      <c r="B17" s="1314"/>
      <c r="C17" s="1314"/>
      <c r="D17" s="1314"/>
      <c r="E17" s="1314"/>
      <c r="F17" s="1314"/>
      <c r="G17" s="1317"/>
      <c r="H17" s="538"/>
      <c r="I17" s="539"/>
      <c r="J17" s="539"/>
      <c r="K17" s="540"/>
      <c r="L17" s="541"/>
      <c r="M17" s="540"/>
      <c r="N17" s="540"/>
      <c r="O17" s="540"/>
      <c r="P17" s="540"/>
      <c r="Q17" s="540"/>
      <c r="R17" s="540"/>
      <c r="S17" s="540"/>
      <c r="T17" s="540"/>
      <c r="U17" s="540"/>
    </row>
    <row r="18" spans="1:21" ht="15.75" customHeight="1" x14ac:dyDescent="0.3">
      <c r="A18" s="542"/>
      <c r="B18" s="543"/>
      <c r="C18" s="544" t="s">
        <v>18</v>
      </c>
      <c r="D18" s="545" t="s">
        <v>19</v>
      </c>
      <c r="E18" s="543"/>
      <c r="F18" s="543"/>
      <c r="G18" s="546"/>
      <c r="H18" s="547" t="s">
        <v>14</v>
      </c>
      <c r="I18" s="548"/>
      <c r="J18" s="548"/>
      <c r="K18" s="549"/>
      <c r="L18" s="550">
        <f t="shared" ref="L18:N18" ca="1" si="0">L19+L20</f>
        <v>4853330</v>
      </c>
      <c r="M18" s="551">
        <f t="shared" ca="1" si="0"/>
        <v>4964876.9399999995</v>
      </c>
      <c r="N18" s="551">
        <f t="shared" ca="1" si="0"/>
        <v>2617772.7599999998</v>
      </c>
      <c r="O18" s="551">
        <f t="shared" ref="O18:O26" ca="1" si="1">IF(L18&gt;0,N18*100/L18,0)</f>
        <v>53.937662594548478</v>
      </c>
      <c r="P18" s="551">
        <f t="shared" ref="P18:P26" ca="1" si="2">IF(M18&gt;0,N18*100/M18,0)</f>
        <v>52.72583372428965</v>
      </c>
      <c r="Q18" s="551">
        <f t="shared" ref="Q18:S18" ca="1" si="3">Q19+Q20</f>
        <v>4030199.24</v>
      </c>
      <c r="R18" s="551">
        <f t="shared" ca="1" si="3"/>
        <v>3586339</v>
      </c>
      <c r="S18" s="551">
        <f t="shared" ca="1" si="3"/>
        <v>1082115.52</v>
      </c>
      <c r="T18" s="551">
        <f t="shared" ref="T18:T26" ca="1" si="4">IF(Q18&gt;0,S18*100/Q18,0)</f>
        <v>26.850174285676257</v>
      </c>
      <c r="U18" s="551">
        <f t="shared" ref="U18:U26" ca="1" si="5">IF(R18&gt;0,S18*100/R18,0)</f>
        <v>30.173263598338025</v>
      </c>
    </row>
    <row r="19" spans="1:21" ht="15.75" customHeight="1" x14ac:dyDescent="0.25">
      <c r="A19" s="542"/>
      <c r="B19" s="543"/>
      <c r="C19" s="543"/>
      <c r="D19" s="543"/>
      <c r="E19" s="552" t="s">
        <v>20</v>
      </c>
      <c r="F19" s="543"/>
      <c r="G19" s="546"/>
      <c r="H19" s="553" t="s">
        <v>14</v>
      </c>
      <c r="I19" s="548"/>
      <c r="J19" s="548"/>
      <c r="K19" s="549"/>
      <c r="L19" s="554">
        <f t="shared" ref="L19:N20" si="6">L22+L25</f>
        <v>0</v>
      </c>
      <c r="M19" s="555">
        <f t="shared" si="6"/>
        <v>0</v>
      </c>
      <c r="N19" s="555">
        <f t="shared" si="6"/>
        <v>0</v>
      </c>
      <c r="O19" s="555">
        <f t="shared" si="1"/>
        <v>0</v>
      </c>
      <c r="P19" s="555">
        <f t="shared" si="2"/>
        <v>0</v>
      </c>
      <c r="Q19" s="555">
        <f t="shared" ref="Q19:S20" si="7">Q22+Q25</f>
        <v>0</v>
      </c>
      <c r="R19" s="555">
        <f t="shared" si="7"/>
        <v>0</v>
      </c>
      <c r="S19" s="555">
        <f t="shared" si="7"/>
        <v>0</v>
      </c>
      <c r="T19" s="555">
        <f t="shared" si="4"/>
        <v>0</v>
      </c>
      <c r="U19" s="555">
        <f t="shared" si="5"/>
        <v>0</v>
      </c>
    </row>
    <row r="20" spans="1:21" ht="15.75" customHeight="1" x14ac:dyDescent="0.25">
      <c r="A20" s="542"/>
      <c r="B20" s="543"/>
      <c r="C20" s="543"/>
      <c r="D20" s="543"/>
      <c r="E20" s="556" t="s">
        <v>21</v>
      </c>
      <c r="F20" s="543"/>
      <c r="G20" s="546"/>
      <c r="H20" s="557" t="s">
        <v>14</v>
      </c>
      <c r="I20" s="548"/>
      <c r="J20" s="548"/>
      <c r="K20" s="549"/>
      <c r="L20" s="558">
        <f t="shared" ca="1" si="6"/>
        <v>4853330</v>
      </c>
      <c r="M20" s="559">
        <f t="shared" ca="1" si="6"/>
        <v>4964876.9399999995</v>
      </c>
      <c r="N20" s="559">
        <f t="shared" ca="1" si="6"/>
        <v>2617772.7599999998</v>
      </c>
      <c r="O20" s="559">
        <f t="shared" ca="1" si="1"/>
        <v>53.937662594548478</v>
      </c>
      <c r="P20" s="559">
        <f t="shared" ca="1" si="2"/>
        <v>52.72583372428965</v>
      </c>
      <c r="Q20" s="559">
        <f t="shared" ca="1" si="7"/>
        <v>4030199.24</v>
      </c>
      <c r="R20" s="559">
        <f t="shared" ca="1" si="7"/>
        <v>3586339</v>
      </c>
      <c r="S20" s="559">
        <f t="shared" ca="1" si="7"/>
        <v>1082115.52</v>
      </c>
      <c r="T20" s="559">
        <f t="shared" ca="1" si="4"/>
        <v>26.850174285676257</v>
      </c>
      <c r="U20" s="559">
        <f t="shared" ca="1" si="5"/>
        <v>30.173263598338025</v>
      </c>
    </row>
    <row r="21" spans="1:21" ht="15.75" customHeight="1" x14ac:dyDescent="0.25">
      <c r="A21" s="560"/>
      <c r="B21" s="561"/>
      <c r="C21" s="561"/>
      <c r="D21" s="562" t="s">
        <v>22</v>
      </c>
      <c r="E21" s="561"/>
      <c r="F21" s="561"/>
      <c r="G21" s="563"/>
      <c r="H21" s="564" t="s">
        <v>14</v>
      </c>
      <c r="I21" s="565"/>
      <c r="J21" s="565"/>
      <c r="K21" s="566"/>
      <c r="L21" s="567">
        <f t="shared" ref="L21:N21" ca="1" si="8">L22+L23</f>
        <v>3618330</v>
      </c>
      <c r="M21" s="568">
        <f t="shared" ca="1" si="8"/>
        <v>3729876.94</v>
      </c>
      <c r="N21" s="568">
        <f t="shared" ca="1" si="8"/>
        <v>2617772.7599999998</v>
      </c>
      <c r="O21" s="568">
        <f t="shared" ca="1" si="1"/>
        <v>72.347540439926703</v>
      </c>
      <c r="P21" s="568">
        <f t="shared" ca="1" si="2"/>
        <v>70.183890839036636</v>
      </c>
      <c r="Q21" s="568">
        <f t="shared" ref="Q21:S21" ca="1" si="9">Q22+Q23</f>
        <v>3732199.24</v>
      </c>
      <c r="R21" s="568">
        <f t="shared" ca="1" si="9"/>
        <v>3288339</v>
      </c>
      <c r="S21" s="568">
        <f t="shared" ca="1" si="9"/>
        <v>784115.52</v>
      </c>
      <c r="T21" s="568">
        <f t="shared" ca="1" si="4"/>
        <v>21.009476439419668</v>
      </c>
      <c r="U21" s="568">
        <f t="shared" ca="1" si="5"/>
        <v>23.845337113965439</v>
      </c>
    </row>
    <row r="22" spans="1:21" ht="15.75" customHeight="1" x14ac:dyDescent="0.25">
      <c r="A22" s="560"/>
      <c r="B22" s="561"/>
      <c r="C22" s="561"/>
      <c r="D22" s="561"/>
      <c r="E22" s="569" t="s">
        <v>20</v>
      </c>
      <c r="F22" s="561"/>
      <c r="G22" s="563"/>
      <c r="H22" s="570" t="s">
        <v>14</v>
      </c>
      <c r="I22" s="565"/>
      <c r="J22" s="565"/>
      <c r="K22" s="566"/>
      <c r="L22" s="571">
        <f t="shared" ref="L22:N23" si="10">L48+L63+L76+L98+L129+L143+L161+L190+L177+L270+L286+L307+L324+L337+L360+L517</f>
        <v>0</v>
      </c>
      <c r="M22" s="572">
        <f t="shared" si="10"/>
        <v>0</v>
      </c>
      <c r="N22" s="572">
        <f t="shared" si="10"/>
        <v>0</v>
      </c>
      <c r="O22" s="572">
        <f t="shared" si="1"/>
        <v>0</v>
      </c>
      <c r="P22" s="572">
        <f t="shared" si="2"/>
        <v>0</v>
      </c>
      <c r="Q22" s="572">
        <f t="shared" ref="Q22:S23" si="11">Q76+Q98+Q121+Q143+Q161+Q177+Q190+Q270+Q286+Q307+Q337+Q379+Q396+Q417+Q497+Q603+Q620+Q646+Q694+Q718+Q732+Q764</f>
        <v>0</v>
      </c>
      <c r="R22" s="572">
        <f t="shared" si="11"/>
        <v>0</v>
      </c>
      <c r="S22" s="572">
        <f t="shared" si="11"/>
        <v>0</v>
      </c>
      <c r="T22" s="572">
        <f t="shared" si="4"/>
        <v>0</v>
      </c>
      <c r="U22" s="572">
        <f t="shared" si="5"/>
        <v>0</v>
      </c>
    </row>
    <row r="23" spans="1:21" ht="15.75" customHeight="1" x14ac:dyDescent="0.25">
      <c r="A23" s="560"/>
      <c r="B23" s="561"/>
      <c r="C23" s="561"/>
      <c r="D23" s="561"/>
      <c r="E23" s="573" t="s">
        <v>21</v>
      </c>
      <c r="F23" s="561"/>
      <c r="G23" s="563"/>
      <c r="H23" s="564" t="s">
        <v>14</v>
      </c>
      <c r="I23" s="565"/>
      <c r="J23" s="565"/>
      <c r="K23" s="566"/>
      <c r="L23" s="567">
        <f t="shared" ca="1" si="10"/>
        <v>3618330</v>
      </c>
      <c r="M23" s="568">
        <f t="shared" ca="1" si="10"/>
        <v>3729876.94</v>
      </c>
      <c r="N23" s="568">
        <f t="shared" ca="1" si="10"/>
        <v>2617772.7599999998</v>
      </c>
      <c r="O23" s="568">
        <f t="shared" ca="1" si="1"/>
        <v>72.347540439926703</v>
      </c>
      <c r="P23" s="568">
        <f t="shared" ca="1" si="2"/>
        <v>70.183890839036636</v>
      </c>
      <c r="Q23" s="568">
        <f t="shared" ca="1" si="11"/>
        <v>3732199.24</v>
      </c>
      <c r="R23" s="568">
        <f t="shared" ca="1" si="11"/>
        <v>3288339</v>
      </c>
      <c r="S23" s="568">
        <f t="shared" ca="1" si="11"/>
        <v>784115.52</v>
      </c>
      <c r="T23" s="568">
        <f t="shared" ca="1" si="4"/>
        <v>21.009476439419668</v>
      </c>
      <c r="U23" s="568">
        <f t="shared" ca="1" si="5"/>
        <v>23.845337113965439</v>
      </c>
    </row>
    <row r="24" spans="1:21" ht="15.75" customHeight="1" x14ac:dyDescent="0.25">
      <c r="A24" s="560"/>
      <c r="B24" s="561"/>
      <c r="C24" s="561"/>
      <c r="D24" s="562" t="s">
        <v>23</v>
      </c>
      <c r="E24" s="561"/>
      <c r="F24" s="561"/>
      <c r="G24" s="563"/>
      <c r="H24" s="564" t="s">
        <v>14</v>
      </c>
      <c r="I24" s="565"/>
      <c r="J24" s="565"/>
      <c r="K24" s="566"/>
      <c r="L24" s="567">
        <f t="shared" ref="L24:N24" ca="1" si="12">L25+L26</f>
        <v>1235000</v>
      </c>
      <c r="M24" s="568">
        <f t="shared" ca="1" si="12"/>
        <v>1235000</v>
      </c>
      <c r="N24" s="568">
        <f t="shared" ca="1" si="12"/>
        <v>0</v>
      </c>
      <c r="O24" s="568">
        <f t="shared" ca="1" si="1"/>
        <v>0</v>
      </c>
      <c r="P24" s="568">
        <f t="shared" ca="1" si="2"/>
        <v>0</v>
      </c>
      <c r="Q24" s="568">
        <f t="shared" ref="Q24:S24" ca="1" si="13">Q25+Q26</f>
        <v>298000</v>
      </c>
      <c r="R24" s="568">
        <f t="shared" ca="1" si="13"/>
        <v>298000</v>
      </c>
      <c r="S24" s="568">
        <f t="shared" ca="1" si="13"/>
        <v>298000</v>
      </c>
      <c r="T24" s="568">
        <f t="shared" ca="1" si="4"/>
        <v>100</v>
      </c>
      <c r="U24" s="568">
        <f t="shared" ca="1" si="5"/>
        <v>100</v>
      </c>
    </row>
    <row r="25" spans="1:21" ht="15.75" customHeight="1" x14ac:dyDescent="0.25">
      <c r="A25" s="560"/>
      <c r="B25" s="561"/>
      <c r="C25" s="561"/>
      <c r="D25" s="561"/>
      <c r="E25" s="569" t="s">
        <v>20</v>
      </c>
      <c r="F25" s="561"/>
      <c r="G25" s="563"/>
      <c r="H25" s="570" t="s">
        <v>14</v>
      </c>
      <c r="I25" s="565"/>
      <c r="J25" s="565"/>
      <c r="K25" s="566"/>
      <c r="L25" s="571">
        <f t="shared" ref="L25:N26" si="14">L51+L66+L79+L101+L132+L146+L164+L193+L180+L273+L289+L310+L327+L340+L363+L520</f>
        <v>0</v>
      </c>
      <c r="M25" s="572">
        <f t="shared" si="14"/>
        <v>0</v>
      </c>
      <c r="N25" s="572">
        <f t="shared" si="14"/>
        <v>0</v>
      </c>
      <c r="O25" s="572">
        <f t="shared" si="1"/>
        <v>0</v>
      </c>
      <c r="P25" s="572">
        <f t="shared" si="2"/>
        <v>0</v>
      </c>
      <c r="Q25" s="572">
        <f t="shared" ref="Q25:S26" si="15">Q79+Q101+Q124+Q146+Q164+Q180+Q193+Q273+Q289+Q310+Q340+Q382+Q399+Q420+Q500+Q606+Q623+Q649+Q697+Q721+Q735+Q767</f>
        <v>0</v>
      </c>
      <c r="R25" s="572">
        <f t="shared" si="15"/>
        <v>0</v>
      </c>
      <c r="S25" s="572">
        <f t="shared" si="15"/>
        <v>0</v>
      </c>
      <c r="T25" s="572">
        <f t="shared" si="4"/>
        <v>0</v>
      </c>
      <c r="U25" s="572">
        <f t="shared" si="5"/>
        <v>0</v>
      </c>
    </row>
    <row r="26" spans="1:21" ht="15.75" customHeight="1" x14ac:dyDescent="0.25">
      <c r="A26" s="560"/>
      <c r="B26" s="561"/>
      <c r="C26" s="561"/>
      <c r="D26" s="561"/>
      <c r="E26" s="573" t="s">
        <v>21</v>
      </c>
      <c r="F26" s="561"/>
      <c r="G26" s="563"/>
      <c r="H26" s="564" t="s">
        <v>14</v>
      </c>
      <c r="I26" s="565"/>
      <c r="J26" s="565"/>
      <c r="K26" s="566"/>
      <c r="L26" s="567">
        <f t="shared" ca="1" si="14"/>
        <v>1235000</v>
      </c>
      <c r="M26" s="568">
        <f t="shared" ca="1" si="14"/>
        <v>1235000</v>
      </c>
      <c r="N26" s="568">
        <f t="shared" ca="1" si="14"/>
        <v>0</v>
      </c>
      <c r="O26" s="568">
        <f t="shared" ca="1" si="1"/>
        <v>0</v>
      </c>
      <c r="P26" s="568">
        <f t="shared" ca="1" si="2"/>
        <v>0</v>
      </c>
      <c r="Q26" s="1181">
        <f t="shared" ca="1" si="15"/>
        <v>298000</v>
      </c>
      <c r="R26" s="1181">
        <f t="shared" ca="1" si="15"/>
        <v>298000</v>
      </c>
      <c r="S26" s="1181">
        <f t="shared" ca="1" si="15"/>
        <v>298000</v>
      </c>
      <c r="T26" s="568">
        <f t="shared" ca="1" si="4"/>
        <v>100</v>
      </c>
      <c r="U26" s="568">
        <f t="shared" ca="1" si="5"/>
        <v>100</v>
      </c>
    </row>
    <row r="27" spans="1:21" ht="15.75" customHeight="1" x14ac:dyDescent="0.25">
      <c r="A27" s="560"/>
      <c r="B27" s="561"/>
      <c r="C27" s="561"/>
      <c r="D27" s="562" t="s">
        <v>24</v>
      </c>
      <c r="E27" s="561"/>
      <c r="F27" s="561"/>
      <c r="G27" s="563"/>
      <c r="H27" s="564" t="s">
        <v>14</v>
      </c>
      <c r="I27" s="565"/>
      <c r="J27" s="565"/>
      <c r="K27" s="566"/>
      <c r="L27" s="574"/>
      <c r="M27" s="566"/>
      <c r="N27" s="566"/>
      <c r="O27" s="566"/>
      <c r="P27" s="566"/>
      <c r="Q27" s="566"/>
      <c r="R27" s="566"/>
      <c r="S27" s="566"/>
      <c r="T27" s="566"/>
      <c r="U27" s="566"/>
    </row>
    <row r="28" spans="1:21" ht="15.75" customHeight="1" x14ac:dyDescent="0.25">
      <c r="A28" s="560"/>
      <c r="B28" s="561"/>
      <c r="C28" s="561"/>
      <c r="D28" s="561"/>
      <c r="E28" s="569" t="s">
        <v>20</v>
      </c>
      <c r="F28" s="561"/>
      <c r="G28" s="563"/>
      <c r="H28" s="570" t="s">
        <v>14</v>
      </c>
      <c r="I28" s="565"/>
      <c r="J28" s="565"/>
      <c r="K28" s="566"/>
      <c r="L28" s="574"/>
      <c r="M28" s="566"/>
      <c r="N28" s="566"/>
      <c r="O28" s="566"/>
      <c r="P28" s="566"/>
      <c r="Q28" s="566"/>
      <c r="R28" s="566"/>
      <c r="S28" s="566"/>
      <c r="T28" s="566"/>
      <c r="U28" s="566"/>
    </row>
    <row r="29" spans="1:21" ht="15.75" customHeight="1" x14ac:dyDescent="0.25">
      <c r="A29" s="575"/>
      <c r="B29" s="513"/>
      <c r="C29" s="513"/>
      <c r="D29" s="513"/>
      <c r="E29" s="576" t="s">
        <v>21</v>
      </c>
      <c r="F29" s="513"/>
      <c r="G29" s="577"/>
      <c r="H29" s="578" t="s">
        <v>14</v>
      </c>
      <c r="I29" s="579"/>
      <c r="J29" s="579"/>
      <c r="K29" s="580"/>
      <c r="L29" s="581"/>
      <c r="M29" s="580"/>
      <c r="N29" s="580"/>
      <c r="O29" s="580"/>
      <c r="P29" s="580"/>
      <c r="Q29" s="580"/>
      <c r="R29" s="580"/>
      <c r="S29" s="580"/>
      <c r="T29" s="580"/>
      <c r="U29" s="580"/>
    </row>
    <row r="30" spans="1:21" ht="12.75" hidden="1" x14ac:dyDescent="0.2">
      <c r="A30" s="1316"/>
      <c r="B30" s="1314"/>
      <c r="C30" s="1314"/>
      <c r="D30" s="1314"/>
      <c r="E30" s="1314"/>
      <c r="F30" s="1314"/>
      <c r="G30" s="1317"/>
      <c r="H30" s="526"/>
      <c r="I30" s="527"/>
      <c r="J30" s="527"/>
      <c r="K30" s="528"/>
      <c r="L30" s="529"/>
      <c r="M30" s="528"/>
      <c r="N30" s="528"/>
      <c r="O30" s="528"/>
      <c r="P30" s="528"/>
      <c r="Q30" s="528"/>
      <c r="R30" s="528"/>
      <c r="S30" s="528"/>
      <c r="T30" s="528"/>
      <c r="U30" s="528"/>
    </row>
    <row r="31" spans="1:21" ht="12.75" hidden="1" x14ac:dyDescent="0.2">
      <c r="A31" s="530"/>
      <c r="B31" s="531"/>
      <c r="C31" s="531"/>
      <c r="D31" s="531"/>
      <c r="E31" s="531"/>
      <c r="F31" s="531"/>
      <c r="G31" s="532"/>
      <c r="H31" s="532"/>
      <c r="I31" s="533"/>
      <c r="J31" s="533"/>
      <c r="K31" s="534"/>
      <c r="L31" s="535"/>
      <c r="M31" s="534"/>
      <c r="N31" s="534"/>
      <c r="O31" s="534"/>
      <c r="P31" s="534"/>
      <c r="Q31" s="534"/>
      <c r="R31" s="534"/>
      <c r="S31" s="534"/>
      <c r="T31" s="534"/>
      <c r="U31" s="534"/>
    </row>
    <row r="32" spans="1:21" ht="12.75" hidden="1" x14ac:dyDescent="0.2">
      <c r="A32" s="530"/>
      <c r="B32" s="531"/>
      <c r="C32" s="531"/>
      <c r="D32" s="531"/>
      <c r="E32" s="531"/>
      <c r="F32" s="531"/>
      <c r="G32" s="532"/>
      <c r="H32" s="532"/>
      <c r="I32" s="533"/>
      <c r="J32" s="533"/>
      <c r="K32" s="534"/>
      <c r="L32" s="535"/>
      <c r="M32" s="534"/>
      <c r="N32" s="534"/>
      <c r="O32" s="534"/>
      <c r="P32" s="534"/>
      <c r="Q32" s="534"/>
      <c r="R32" s="534"/>
      <c r="S32" s="534"/>
      <c r="T32" s="534"/>
      <c r="U32" s="534"/>
    </row>
    <row r="33" spans="1:21" ht="12.75" hidden="1" x14ac:dyDescent="0.2">
      <c r="A33" s="530"/>
      <c r="B33" s="531"/>
      <c r="C33" s="531"/>
      <c r="D33" s="531"/>
      <c r="E33" s="531"/>
      <c r="F33" s="531"/>
      <c r="G33" s="532"/>
      <c r="H33" s="532"/>
      <c r="I33" s="533"/>
      <c r="J33" s="533"/>
      <c r="K33" s="534"/>
      <c r="L33" s="535"/>
      <c r="M33" s="534"/>
      <c r="N33" s="534"/>
      <c r="O33" s="534"/>
      <c r="P33" s="534"/>
      <c r="Q33" s="534"/>
      <c r="R33" s="534"/>
      <c r="S33" s="534"/>
      <c r="T33" s="534"/>
      <c r="U33" s="534"/>
    </row>
    <row r="34" spans="1:21" ht="12.75" hidden="1" x14ac:dyDescent="0.2">
      <c r="A34" s="530"/>
      <c r="B34" s="531"/>
      <c r="C34" s="531"/>
      <c r="D34" s="531"/>
      <c r="E34" s="531"/>
      <c r="F34" s="531"/>
      <c r="G34" s="532"/>
      <c r="H34" s="532"/>
      <c r="I34" s="533"/>
      <c r="J34" s="533"/>
      <c r="K34" s="534"/>
      <c r="L34" s="535"/>
      <c r="M34" s="534"/>
      <c r="N34" s="534"/>
      <c r="O34" s="534"/>
      <c r="P34" s="534"/>
      <c r="Q34" s="534"/>
      <c r="R34" s="534"/>
      <c r="S34" s="534"/>
      <c r="T34" s="534"/>
      <c r="U34" s="534"/>
    </row>
    <row r="35" spans="1:21" ht="12.75" hidden="1" x14ac:dyDescent="0.2">
      <c r="A35" s="530"/>
      <c r="B35" s="531"/>
      <c r="C35" s="531"/>
      <c r="D35" s="531"/>
      <c r="E35" s="531"/>
      <c r="F35" s="531"/>
      <c r="G35" s="532"/>
      <c r="H35" s="532"/>
      <c r="I35" s="533"/>
      <c r="J35" s="533"/>
      <c r="K35" s="534"/>
      <c r="L35" s="535"/>
      <c r="M35" s="534"/>
      <c r="N35" s="534"/>
      <c r="O35" s="534"/>
      <c r="P35" s="534"/>
      <c r="Q35" s="534"/>
      <c r="R35" s="534"/>
      <c r="S35" s="534"/>
      <c r="T35" s="534"/>
      <c r="U35" s="534"/>
    </row>
    <row r="36" spans="1:21" ht="12.75" hidden="1" x14ac:dyDescent="0.2">
      <c r="A36" s="530"/>
      <c r="B36" s="531"/>
      <c r="C36" s="531"/>
      <c r="D36" s="531"/>
      <c r="E36" s="531"/>
      <c r="F36" s="531"/>
      <c r="G36" s="532"/>
      <c r="H36" s="532"/>
      <c r="I36" s="533"/>
      <c r="J36" s="533"/>
      <c r="K36" s="534"/>
      <c r="L36" s="535"/>
      <c r="M36" s="534"/>
      <c r="N36" s="534"/>
      <c r="O36" s="534"/>
      <c r="P36" s="534"/>
      <c r="Q36" s="534"/>
      <c r="R36" s="534"/>
      <c r="S36" s="534"/>
      <c r="T36" s="534"/>
      <c r="U36" s="534"/>
    </row>
    <row r="37" spans="1:21" ht="12.75" hidden="1" x14ac:dyDescent="0.2">
      <c r="A37" s="530"/>
      <c r="B37" s="531"/>
      <c r="C37" s="531"/>
      <c r="D37" s="531"/>
      <c r="E37" s="531"/>
      <c r="F37" s="531"/>
      <c r="G37" s="532"/>
      <c r="H37" s="532"/>
      <c r="I37" s="533"/>
      <c r="J37" s="533"/>
      <c r="K37" s="534"/>
      <c r="L37" s="535"/>
      <c r="M37" s="534"/>
      <c r="N37" s="534"/>
      <c r="O37" s="534"/>
      <c r="P37" s="534"/>
      <c r="Q37" s="534"/>
      <c r="R37" s="534"/>
      <c r="S37" s="534"/>
      <c r="T37" s="534"/>
      <c r="U37" s="534"/>
    </row>
    <row r="38" spans="1:21" ht="12.75" hidden="1" x14ac:dyDescent="0.2">
      <c r="A38" s="530"/>
      <c r="B38" s="531"/>
      <c r="C38" s="531"/>
      <c r="D38" s="531"/>
      <c r="E38" s="531"/>
      <c r="F38" s="531"/>
      <c r="G38" s="532"/>
      <c r="H38" s="532"/>
      <c r="I38" s="533"/>
      <c r="J38" s="533"/>
      <c r="K38" s="534"/>
      <c r="L38" s="535"/>
      <c r="M38" s="534"/>
      <c r="N38" s="534"/>
      <c r="O38" s="534"/>
      <c r="P38" s="534"/>
      <c r="Q38" s="534"/>
      <c r="R38" s="534"/>
      <c r="S38" s="534"/>
      <c r="T38" s="534"/>
      <c r="U38" s="534"/>
    </row>
    <row r="39" spans="1:21" ht="12.75" hidden="1" x14ac:dyDescent="0.2">
      <c r="A39" s="536"/>
      <c r="B39" s="537"/>
      <c r="C39" s="537"/>
      <c r="D39" s="537"/>
      <c r="E39" s="537"/>
      <c r="F39" s="537"/>
      <c r="G39" s="526"/>
      <c r="H39" s="526"/>
      <c r="I39" s="527"/>
      <c r="J39" s="527"/>
      <c r="K39" s="528"/>
      <c r="L39" s="529"/>
      <c r="M39" s="528"/>
      <c r="N39" s="528"/>
      <c r="O39" s="528"/>
      <c r="P39" s="528"/>
      <c r="Q39" s="528"/>
      <c r="R39" s="528"/>
      <c r="S39" s="528"/>
      <c r="T39" s="528"/>
      <c r="U39" s="528"/>
    </row>
    <row r="40" spans="1:21" ht="15.75" customHeight="1" x14ac:dyDescent="0.3">
      <c r="A40" s="582" t="s">
        <v>25</v>
      </c>
      <c r="B40" s="583"/>
      <c r="C40" s="583"/>
      <c r="D40" s="583"/>
      <c r="E40" s="583"/>
      <c r="F40" s="583"/>
      <c r="G40" s="584"/>
      <c r="H40" s="584"/>
      <c r="I40" s="585"/>
      <c r="J40" s="585"/>
      <c r="K40" s="586"/>
      <c r="L40" s="587">
        <f t="shared" ref="L40:N40" ca="1" si="16">L44+L59+L72+L94+L125+L139+L157+L173+L186+L266+L282+L303+L320+L333+L356</f>
        <v>4853330</v>
      </c>
      <c r="M40" s="588">
        <f t="shared" ca="1" si="16"/>
        <v>4964876.9399999995</v>
      </c>
      <c r="N40" s="588">
        <f t="shared" ca="1" si="16"/>
        <v>2617772.7599999998</v>
      </c>
      <c r="O40" s="588">
        <f ca="1">IF(L40&gt;0,N40*100/L40,0)</f>
        <v>53.937662594548478</v>
      </c>
      <c r="P40" s="588">
        <f ca="1">IF(M40&gt;0,N40*100/M40,0)</f>
        <v>52.72583372428965</v>
      </c>
      <c r="Q40" s="586"/>
      <c r="R40" s="586"/>
      <c r="S40" s="586"/>
      <c r="T40" s="586"/>
      <c r="U40" s="586"/>
    </row>
    <row r="41" spans="1:21" ht="15.75" customHeight="1" x14ac:dyDescent="0.3">
      <c r="A41" s="589" t="s">
        <v>26</v>
      </c>
      <c r="B41" s="590"/>
      <c r="C41" s="590"/>
      <c r="D41" s="590"/>
      <c r="E41" s="590"/>
      <c r="F41" s="590"/>
      <c r="G41" s="590"/>
      <c r="H41" s="590"/>
      <c r="I41" s="591"/>
      <c r="J41" s="591"/>
      <c r="K41" s="592"/>
      <c r="L41" s="592"/>
      <c r="M41" s="592"/>
      <c r="N41" s="592"/>
      <c r="O41" s="592"/>
      <c r="P41" s="593"/>
      <c r="Q41" s="592"/>
      <c r="R41" s="592"/>
      <c r="S41" s="592"/>
      <c r="T41" s="592"/>
      <c r="U41" s="593"/>
    </row>
    <row r="42" spans="1:21" ht="15.75" customHeight="1" x14ac:dyDescent="0.3">
      <c r="A42" s="594"/>
      <c r="B42" s="595" t="s">
        <v>27</v>
      </c>
      <c r="C42" s="594"/>
      <c r="D42" s="594"/>
      <c r="E42" s="594"/>
      <c r="F42" s="594"/>
      <c r="G42" s="596"/>
      <c r="H42" s="596"/>
      <c r="I42" s="597"/>
      <c r="J42" s="597"/>
      <c r="K42" s="598"/>
      <c r="L42" s="599"/>
      <c r="M42" s="598"/>
      <c r="N42" s="598"/>
      <c r="O42" s="598"/>
      <c r="P42" s="598"/>
      <c r="Q42" s="598"/>
      <c r="R42" s="598"/>
      <c r="S42" s="598"/>
      <c r="T42" s="598"/>
      <c r="U42" s="598"/>
    </row>
    <row r="43" spans="1:21" ht="12.75" hidden="1" x14ac:dyDescent="0.2">
      <c r="A43" s="530"/>
      <c r="B43" s="531"/>
      <c r="C43" s="531"/>
      <c r="D43" s="531"/>
      <c r="E43" s="531"/>
      <c r="F43" s="531"/>
      <c r="G43" s="532"/>
      <c r="H43" s="532"/>
      <c r="I43" s="533"/>
      <c r="J43" s="533"/>
      <c r="K43" s="534"/>
      <c r="L43" s="535"/>
      <c r="M43" s="534"/>
      <c r="N43" s="534"/>
      <c r="O43" s="534"/>
      <c r="P43" s="534"/>
      <c r="Q43" s="534"/>
      <c r="R43" s="534"/>
      <c r="S43" s="534"/>
      <c r="T43" s="534"/>
      <c r="U43" s="534"/>
    </row>
    <row r="44" spans="1:21" ht="15.75" customHeight="1" x14ac:dyDescent="0.3">
      <c r="A44" s="600"/>
      <c r="B44" s="601"/>
      <c r="C44" s="602" t="s">
        <v>18</v>
      </c>
      <c r="D44" s="603" t="s">
        <v>19</v>
      </c>
      <c r="E44" s="601"/>
      <c r="F44" s="601"/>
      <c r="G44" s="604"/>
      <c r="H44" s="605" t="s">
        <v>14</v>
      </c>
      <c r="I44" s="606"/>
      <c r="J44" s="606"/>
      <c r="K44" s="607"/>
      <c r="L44" s="608">
        <f t="shared" ref="L44:N44" ca="1" si="17">L45+L46</f>
        <v>724000</v>
      </c>
      <c r="M44" s="609">
        <f t="shared" ca="1" si="17"/>
        <v>766102.94</v>
      </c>
      <c r="N44" s="609">
        <f t="shared" ca="1" si="17"/>
        <v>494131.31</v>
      </c>
      <c r="O44" s="609">
        <f t="shared" ref="O44:O52" ca="1" si="18">IF(L44&gt;0,N44*100/L44,0)</f>
        <v>68.250180939226524</v>
      </c>
      <c r="P44" s="609">
        <f t="shared" ref="P44:P52" ca="1" si="19">IF(M44&gt;0,N44*100/M44,0)</f>
        <v>64.499336081388748</v>
      </c>
      <c r="Q44" s="609">
        <f t="shared" ref="Q44:S44" si="20">Q45+Q46</f>
        <v>0</v>
      </c>
      <c r="R44" s="609">
        <f t="shared" si="20"/>
        <v>0</v>
      </c>
      <c r="S44" s="609">
        <f t="shared" si="20"/>
        <v>0</v>
      </c>
      <c r="T44" s="609">
        <f t="shared" ref="T44:T52" si="21">IF(Q44&gt;0,S44*100/Q44,0)</f>
        <v>0</v>
      </c>
      <c r="U44" s="609">
        <f t="shared" ref="U44:U52" si="22">IF(R44&gt;0,S44*100/R44,0)</f>
        <v>0</v>
      </c>
    </row>
    <row r="45" spans="1:21" ht="15.75" customHeight="1" x14ac:dyDescent="0.25">
      <c r="A45" s="600"/>
      <c r="B45" s="601"/>
      <c r="C45" s="601"/>
      <c r="D45" s="601"/>
      <c r="E45" s="610" t="s">
        <v>20</v>
      </c>
      <c r="F45" s="601"/>
      <c r="G45" s="604"/>
      <c r="H45" s="611" t="s">
        <v>14</v>
      </c>
      <c r="I45" s="606"/>
      <c r="J45" s="606"/>
      <c r="K45" s="607"/>
      <c r="L45" s="612">
        <f t="shared" ref="L45:N46" si="23">L48+L51</f>
        <v>0</v>
      </c>
      <c r="M45" s="613">
        <f t="shared" si="23"/>
        <v>0</v>
      </c>
      <c r="N45" s="613">
        <f t="shared" si="23"/>
        <v>0</v>
      </c>
      <c r="O45" s="613">
        <f t="shared" si="18"/>
        <v>0</v>
      </c>
      <c r="P45" s="613">
        <f t="shared" si="19"/>
        <v>0</v>
      </c>
      <c r="Q45" s="613">
        <f t="shared" ref="Q45:S46" si="24">Q48+Q51</f>
        <v>0</v>
      </c>
      <c r="R45" s="613">
        <f t="shared" si="24"/>
        <v>0</v>
      </c>
      <c r="S45" s="613">
        <f t="shared" si="24"/>
        <v>0</v>
      </c>
      <c r="T45" s="613">
        <f t="shared" si="21"/>
        <v>0</v>
      </c>
      <c r="U45" s="613">
        <f t="shared" si="22"/>
        <v>0</v>
      </c>
    </row>
    <row r="46" spans="1:21" ht="18.75" x14ac:dyDescent="0.25">
      <c r="A46" s="600"/>
      <c r="B46" s="601"/>
      <c r="C46" s="601"/>
      <c r="D46" s="601"/>
      <c r="E46" s="614" t="s">
        <v>21</v>
      </c>
      <c r="F46" s="601"/>
      <c r="G46" s="604"/>
      <c r="H46" s="615" t="s">
        <v>14</v>
      </c>
      <c r="I46" s="606"/>
      <c r="J46" s="606"/>
      <c r="K46" s="607"/>
      <c r="L46" s="616">
        <f t="shared" ca="1" si="23"/>
        <v>724000</v>
      </c>
      <c r="M46" s="617">
        <f t="shared" ca="1" si="23"/>
        <v>766102.94</v>
      </c>
      <c r="N46" s="617">
        <f t="shared" ca="1" si="23"/>
        <v>494131.31</v>
      </c>
      <c r="O46" s="617">
        <f t="shared" ca="1" si="18"/>
        <v>68.250180939226524</v>
      </c>
      <c r="P46" s="617">
        <f t="shared" ca="1" si="19"/>
        <v>64.499336081388748</v>
      </c>
      <c r="Q46" s="617">
        <f t="shared" si="24"/>
        <v>0</v>
      </c>
      <c r="R46" s="617">
        <f t="shared" si="24"/>
        <v>0</v>
      </c>
      <c r="S46" s="617">
        <f t="shared" si="24"/>
        <v>0</v>
      </c>
      <c r="T46" s="617">
        <f t="shared" si="21"/>
        <v>0</v>
      </c>
      <c r="U46" s="617">
        <f t="shared" si="22"/>
        <v>0</v>
      </c>
    </row>
    <row r="47" spans="1:21" ht="18.75" x14ac:dyDescent="0.25">
      <c r="A47" s="560"/>
      <c r="B47" s="561"/>
      <c r="C47" s="561"/>
      <c r="D47" s="562" t="s">
        <v>22</v>
      </c>
      <c r="E47" s="561"/>
      <c r="F47" s="561"/>
      <c r="G47" s="563"/>
      <c r="H47" s="564" t="s">
        <v>14</v>
      </c>
      <c r="I47" s="565"/>
      <c r="J47" s="565"/>
      <c r="K47" s="566"/>
      <c r="L47" s="567">
        <f t="shared" ref="L47:N47" ca="1" si="25">L48+L49</f>
        <v>724000</v>
      </c>
      <c r="M47" s="568">
        <f t="shared" ca="1" si="25"/>
        <v>766102.94</v>
      </c>
      <c r="N47" s="568">
        <f t="shared" ca="1" si="25"/>
        <v>494131.31</v>
      </c>
      <c r="O47" s="568">
        <f t="shared" ca="1" si="18"/>
        <v>68.250180939226524</v>
      </c>
      <c r="P47" s="568">
        <f t="shared" ca="1" si="19"/>
        <v>64.499336081388748</v>
      </c>
      <c r="Q47" s="568">
        <f t="shared" ref="Q47:S47" si="26">Q48+Q49</f>
        <v>0</v>
      </c>
      <c r="R47" s="568">
        <f t="shared" si="26"/>
        <v>0</v>
      </c>
      <c r="S47" s="568">
        <f t="shared" si="26"/>
        <v>0</v>
      </c>
      <c r="T47" s="568">
        <f t="shared" si="21"/>
        <v>0</v>
      </c>
      <c r="U47" s="568">
        <f t="shared" si="22"/>
        <v>0</v>
      </c>
    </row>
    <row r="48" spans="1:21" ht="18.75" x14ac:dyDescent="0.25">
      <c r="A48" s="560"/>
      <c r="B48" s="561"/>
      <c r="C48" s="561"/>
      <c r="D48" s="561"/>
      <c r="E48" s="569" t="s">
        <v>20</v>
      </c>
      <c r="F48" s="561"/>
      <c r="G48" s="563"/>
      <c r="H48" s="570" t="s">
        <v>14</v>
      </c>
      <c r="I48" s="565"/>
      <c r="J48" s="565"/>
      <c r="K48" s="566"/>
      <c r="L48" s="571">
        <v>0</v>
      </c>
      <c r="M48" s="572">
        <v>0</v>
      </c>
      <c r="N48" s="572">
        <v>0</v>
      </c>
      <c r="O48" s="572">
        <f t="shared" si="18"/>
        <v>0</v>
      </c>
      <c r="P48" s="572">
        <f t="shared" si="19"/>
        <v>0</v>
      </c>
      <c r="Q48" s="572">
        <v>0</v>
      </c>
      <c r="R48" s="572">
        <v>0</v>
      </c>
      <c r="S48" s="572">
        <v>0</v>
      </c>
      <c r="T48" s="572">
        <f t="shared" si="21"/>
        <v>0</v>
      </c>
      <c r="U48" s="572">
        <f t="shared" si="22"/>
        <v>0</v>
      </c>
    </row>
    <row r="49" spans="1:21" ht="18.75" x14ac:dyDescent="0.25">
      <c r="A49" s="560"/>
      <c r="B49" s="561"/>
      <c r="C49" s="561"/>
      <c r="D49" s="561"/>
      <c r="E49" s="573" t="s">
        <v>21</v>
      </c>
      <c r="F49" s="561"/>
      <c r="G49" s="563"/>
      <c r="H49" s="564" t="s">
        <v>14</v>
      </c>
      <c r="I49" s="565"/>
      <c r="J49" s="565"/>
      <c r="K49" s="566"/>
      <c r="L49" s="567">
        <f ca="1">IFERROR(__xludf.DUMMYFUNCTION("IMPORTRANGE(""https://docs.google.com/spreadsheets/d/1-uDff_7J0KD5mKrp0Vvzr7lt3OU09vwQwhkpOPPYv2Y/edit?usp=sharing"",""งบพรบ!P15"")"),724000)</f>
        <v>724000</v>
      </c>
      <c r="M49" s="568">
        <f ca="1">IFERROR(__xludf.DUMMYFUNCTION("IMPORTRANGE(""https://docs.google.com/spreadsheets/d/1-uDff_7J0KD5mKrp0Vvzr7lt3OU09vwQwhkpOPPYv2Y/edit?usp=sharing"",""งบพรบ!V15"")"),766102.94)</f>
        <v>766102.94</v>
      </c>
      <c r="N49" s="568">
        <f ca="1">IFERROR(__xludf.DUMMYFUNCTION("IMPORTRANGE(""https://docs.google.com/spreadsheets/d/1-uDff_7J0KD5mKrp0Vvzr7lt3OU09vwQwhkpOPPYv2Y/edit?usp=sharing"",""งบพรบ!Y15"")"),494131.31)</f>
        <v>494131.31</v>
      </c>
      <c r="O49" s="568">
        <f t="shared" ca="1" si="18"/>
        <v>68.250180939226524</v>
      </c>
      <c r="P49" s="568">
        <f t="shared" ca="1" si="19"/>
        <v>64.499336081388748</v>
      </c>
      <c r="Q49" s="568">
        <v>0</v>
      </c>
      <c r="R49" s="568">
        <v>0</v>
      </c>
      <c r="S49" s="568">
        <v>0</v>
      </c>
      <c r="T49" s="568">
        <f t="shared" si="21"/>
        <v>0</v>
      </c>
      <c r="U49" s="568">
        <f t="shared" si="22"/>
        <v>0</v>
      </c>
    </row>
    <row r="50" spans="1:21" ht="18.75" x14ac:dyDescent="0.25">
      <c r="A50" s="560"/>
      <c r="B50" s="561"/>
      <c r="C50" s="561"/>
      <c r="D50" s="562" t="s">
        <v>23</v>
      </c>
      <c r="E50" s="561"/>
      <c r="F50" s="561"/>
      <c r="G50" s="563"/>
      <c r="H50" s="564" t="s">
        <v>14</v>
      </c>
      <c r="I50" s="565"/>
      <c r="J50" s="565"/>
      <c r="K50" s="566"/>
      <c r="L50" s="567">
        <f t="shared" ref="L50:N50" ca="1" si="27">L51+L52</f>
        <v>0</v>
      </c>
      <c r="M50" s="568">
        <f t="shared" ca="1" si="27"/>
        <v>0</v>
      </c>
      <c r="N50" s="568">
        <f t="shared" ca="1" si="27"/>
        <v>0</v>
      </c>
      <c r="O50" s="568">
        <f t="shared" ca="1" si="18"/>
        <v>0</v>
      </c>
      <c r="P50" s="568">
        <f t="shared" ca="1" si="19"/>
        <v>0</v>
      </c>
      <c r="Q50" s="568">
        <f t="shared" ref="Q50:S50" si="28">Q51+Q52</f>
        <v>0</v>
      </c>
      <c r="R50" s="568">
        <f t="shared" si="28"/>
        <v>0</v>
      </c>
      <c r="S50" s="568">
        <f t="shared" si="28"/>
        <v>0</v>
      </c>
      <c r="T50" s="568">
        <f t="shared" si="21"/>
        <v>0</v>
      </c>
      <c r="U50" s="568">
        <f t="shared" si="22"/>
        <v>0</v>
      </c>
    </row>
    <row r="51" spans="1:21" ht="18.75" x14ac:dyDescent="0.25">
      <c r="A51" s="560"/>
      <c r="B51" s="561"/>
      <c r="C51" s="561"/>
      <c r="D51" s="561"/>
      <c r="E51" s="569" t="s">
        <v>20</v>
      </c>
      <c r="F51" s="561"/>
      <c r="G51" s="563"/>
      <c r="H51" s="570" t="s">
        <v>14</v>
      </c>
      <c r="I51" s="565"/>
      <c r="J51" s="565"/>
      <c r="K51" s="566"/>
      <c r="L51" s="571">
        <v>0</v>
      </c>
      <c r="M51" s="572">
        <v>0</v>
      </c>
      <c r="N51" s="572">
        <v>0</v>
      </c>
      <c r="O51" s="572">
        <f t="shared" si="18"/>
        <v>0</v>
      </c>
      <c r="P51" s="572">
        <f t="shared" si="19"/>
        <v>0</v>
      </c>
      <c r="Q51" s="572">
        <v>0</v>
      </c>
      <c r="R51" s="572">
        <v>0</v>
      </c>
      <c r="S51" s="572">
        <v>0</v>
      </c>
      <c r="T51" s="572">
        <f t="shared" si="21"/>
        <v>0</v>
      </c>
      <c r="U51" s="572">
        <f t="shared" si="22"/>
        <v>0</v>
      </c>
    </row>
    <row r="52" spans="1:21" ht="18.75" x14ac:dyDescent="0.25">
      <c r="A52" s="560"/>
      <c r="B52" s="561"/>
      <c r="C52" s="561"/>
      <c r="D52" s="561"/>
      <c r="E52" s="573" t="s">
        <v>21</v>
      </c>
      <c r="F52" s="561"/>
      <c r="G52" s="563"/>
      <c r="H52" s="564" t="s">
        <v>14</v>
      </c>
      <c r="I52" s="565"/>
      <c r="J52" s="565"/>
      <c r="K52" s="566"/>
      <c r="L52" s="567">
        <f ca="1">IFERROR(__xludf.DUMMYFUNCTION("IMPORTRANGE(""https://docs.google.com/spreadsheets/d/1-uDff_7J0KD5mKrp0Vvzr7lt3OU09vwQwhkpOPPYv2Y/edit?usp=sharing"",""งบพรบ!S15"")"),0)</f>
        <v>0</v>
      </c>
      <c r="M52" s="568">
        <f ca="1">IFERROR(__xludf.DUMMYFUNCTION("IMPORTRANGE(""https://docs.google.com/spreadsheets/d/1-uDff_7J0KD5mKrp0Vvzr7lt3OU09vwQwhkpOPPYv2Y/edit?usp=sharing"",""งบพรบ!W15"")"),0)</f>
        <v>0</v>
      </c>
      <c r="N52" s="568">
        <f ca="1">IFERROR(__xludf.DUMMYFUNCTION("IMPORTRANGE(""https://docs.google.com/spreadsheets/d/1-uDff_7J0KD5mKrp0Vvzr7lt3OU09vwQwhkpOPPYv2Y/edit?usp=sharing"",""งบพรบ!Z15"")"),0)</f>
        <v>0</v>
      </c>
      <c r="O52" s="568">
        <f t="shared" ca="1" si="18"/>
        <v>0</v>
      </c>
      <c r="P52" s="568">
        <f t="shared" ca="1" si="19"/>
        <v>0</v>
      </c>
      <c r="Q52" s="568">
        <v>0</v>
      </c>
      <c r="R52" s="568">
        <v>0</v>
      </c>
      <c r="S52" s="568">
        <v>0</v>
      </c>
      <c r="T52" s="568">
        <f t="shared" si="21"/>
        <v>0</v>
      </c>
      <c r="U52" s="568">
        <f t="shared" si="22"/>
        <v>0</v>
      </c>
    </row>
    <row r="53" spans="1:21" ht="18.75" x14ac:dyDescent="0.25">
      <c r="A53" s="560"/>
      <c r="B53" s="561"/>
      <c r="C53" s="561"/>
      <c r="D53" s="562" t="s">
        <v>24</v>
      </c>
      <c r="E53" s="561"/>
      <c r="F53" s="561"/>
      <c r="G53" s="563"/>
      <c r="H53" s="564" t="s">
        <v>14</v>
      </c>
      <c r="I53" s="565"/>
      <c r="J53" s="565"/>
      <c r="K53" s="566"/>
      <c r="L53" s="574"/>
      <c r="M53" s="566"/>
      <c r="N53" s="566"/>
      <c r="O53" s="566"/>
      <c r="P53" s="566"/>
      <c r="Q53" s="566"/>
      <c r="R53" s="566"/>
      <c r="S53" s="566"/>
      <c r="T53" s="566"/>
      <c r="U53" s="566"/>
    </row>
    <row r="54" spans="1:21" ht="18.75" x14ac:dyDescent="0.25">
      <c r="A54" s="560"/>
      <c r="B54" s="561"/>
      <c r="C54" s="561"/>
      <c r="D54" s="561"/>
      <c r="E54" s="569" t="s">
        <v>20</v>
      </c>
      <c r="F54" s="561"/>
      <c r="G54" s="563"/>
      <c r="H54" s="570" t="s">
        <v>14</v>
      </c>
      <c r="I54" s="565"/>
      <c r="J54" s="565"/>
      <c r="K54" s="566"/>
      <c r="L54" s="574"/>
      <c r="M54" s="566"/>
      <c r="N54" s="566"/>
      <c r="O54" s="566"/>
      <c r="P54" s="566"/>
      <c r="Q54" s="566"/>
      <c r="R54" s="566"/>
      <c r="S54" s="566"/>
      <c r="T54" s="566"/>
      <c r="U54" s="566"/>
    </row>
    <row r="55" spans="1:21" ht="18.75" x14ac:dyDescent="0.25">
      <c r="A55" s="575"/>
      <c r="B55" s="513"/>
      <c r="C55" s="513"/>
      <c r="D55" s="513"/>
      <c r="E55" s="576" t="s">
        <v>21</v>
      </c>
      <c r="F55" s="513"/>
      <c r="G55" s="577"/>
      <c r="H55" s="578" t="s">
        <v>14</v>
      </c>
      <c r="I55" s="579"/>
      <c r="J55" s="579"/>
      <c r="K55" s="580"/>
      <c r="L55" s="581"/>
      <c r="M55" s="580"/>
      <c r="N55" s="580"/>
      <c r="O55" s="580"/>
      <c r="P55" s="580"/>
      <c r="Q55" s="580"/>
      <c r="R55" s="580"/>
      <c r="S55" s="580"/>
      <c r="T55" s="580"/>
      <c r="U55" s="580"/>
    </row>
    <row r="56" spans="1:21" ht="19.5" x14ac:dyDescent="0.3">
      <c r="A56" s="1319" t="s">
        <v>28</v>
      </c>
      <c r="B56" s="1314"/>
      <c r="C56" s="1314"/>
      <c r="D56" s="1314"/>
      <c r="E56" s="1314"/>
      <c r="F56" s="1314"/>
      <c r="G56" s="1317"/>
      <c r="H56" s="618"/>
      <c r="I56" s="619"/>
      <c r="J56" s="619"/>
      <c r="K56" s="620"/>
      <c r="L56" s="620"/>
      <c r="M56" s="620"/>
      <c r="N56" s="620"/>
      <c r="O56" s="620"/>
      <c r="P56" s="621"/>
      <c r="Q56" s="620"/>
      <c r="R56" s="620"/>
      <c r="S56" s="620"/>
      <c r="T56" s="620"/>
      <c r="U56" s="621"/>
    </row>
    <row r="57" spans="1:21" ht="19.5" x14ac:dyDescent="0.3">
      <c r="A57" s="622"/>
      <c r="B57" s="1320" t="s">
        <v>29</v>
      </c>
      <c r="C57" s="1311"/>
      <c r="D57" s="1311"/>
      <c r="E57" s="1311"/>
      <c r="F57" s="1311"/>
      <c r="G57" s="1312"/>
      <c r="H57" s="625"/>
      <c r="I57" s="626"/>
      <c r="J57" s="626"/>
      <c r="K57" s="627"/>
      <c r="L57" s="628"/>
      <c r="M57" s="627"/>
      <c r="N57" s="627"/>
      <c r="O57" s="627"/>
      <c r="P57" s="627"/>
      <c r="Q57" s="627"/>
      <c r="R57" s="627"/>
      <c r="S57" s="627"/>
      <c r="T57" s="627"/>
      <c r="U57" s="627"/>
    </row>
    <row r="58" spans="1:21" ht="19.5" x14ac:dyDescent="0.3">
      <c r="A58" s="629"/>
      <c r="B58" s="630" t="s">
        <v>30</v>
      </c>
      <c r="C58" s="631"/>
      <c r="D58" s="631"/>
      <c r="E58" s="631"/>
      <c r="F58" s="631"/>
      <c r="G58" s="632"/>
      <c r="H58" s="632"/>
      <c r="I58" s="633"/>
      <c r="J58" s="633"/>
      <c r="K58" s="634"/>
      <c r="L58" s="635"/>
      <c r="M58" s="634"/>
      <c r="N58" s="634"/>
      <c r="O58" s="634"/>
      <c r="P58" s="634"/>
      <c r="Q58" s="634"/>
      <c r="R58" s="634"/>
      <c r="S58" s="634"/>
      <c r="T58" s="634"/>
      <c r="U58" s="634"/>
    </row>
    <row r="59" spans="1:21" ht="19.5" x14ac:dyDescent="0.3">
      <c r="A59" s="636"/>
      <c r="B59" s="637"/>
      <c r="C59" s="638" t="s">
        <v>18</v>
      </c>
      <c r="D59" s="639" t="s">
        <v>19</v>
      </c>
      <c r="E59" s="637"/>
      <c r="F59" s="637"/>
      <c r="G59" s="640"/>
      <c r="H59" s="641" t="s">
        <v>14</v>
      </c>
      <c r="I59" s="642"/>
      <c r="J59" s="642"/>
      <c r="K59" s="643"/>
      <c r="L59" s="644">
        <f t="shared" ref="L59:N59" ca="1" si="29">L60+L61</f>
        <v>1993100</v>
      </c>
      <c r="M59" s="645">
        <f t="shared" ca="1" si="29"/>
        <v>2054690</v>
      </c>
      <c r="N59" s="645">
        <f t="shared" ca="1" si="29"/>
        <v>610369.09</v>
      </c>
      <c r="O59" s="645">
        <f t="shared" ref="O59:O67" ca="1" si="30">IF(L59&gt;0,N59*100/L59,0)</f>
        <v>30.624107671466561</v>
      </c>
      <c r="P59" s="645">
        <f t="shared" ref="P59:P67" ca="1" si="31">IF(M59&gt;0,N59*100/M59,0)</f>
        <v>29.706140098993036</v>
      </c>
      <c r="Q59" s="645">
        <f t="shared" ref="Q59:S59" si="32">Q60+Q61</f>
        <v>0</v>
      </c>
      <c r="R59" s="645">
        <f t="shared" si="32"/>
        <v>0</v>
      </c>
      <c r="S59" s="645">
        <f t="shared" si="32"/>
        <v>0</v>
      </c>
      <c r="T59" s="645">
        <f t="shared" ref="T59:T67" si="33">IF(Q59&gt;0,S59*100/Q59,0)</f>
        <v>0</v>
      </c>
      <c r="U59" s="645">
        <f t="shared" ref="U59:U67" si="34">IF(R59&gt;0,S59*100/R59,0)</f>
        <v>0</v>
      </c>
    </row>
    <row r="60" spans="1:21" ht="18.75" x14ac:dyDescent="0.25">
      <c r="A60" s="636"/>
      <c r="B60" s="637"/>
      <c r="C60" s="637"/>
      <c r="D60" s="637"/>
      <c r="E60" s="646" t="s">
        <v>20</v>
      </c>
      <c r="F60" s="637"/>
      <c r="G60" s="640"/>
      <c r="H60" s="647" t="s">
        <v>14</v>
      </c>
      <c r="I60" s="642"/>
      <c r="J60" s="642"/>
      <c r="K60" s="643"/>
      <c r="L60" s="648">
        <f t="shared" ref="L60:N61" si="35">L63+L66</f>
        <v>0</v>
      </c>
      <c r="M60" s="649">
        <f t="shared" si="35"/>
        <v>0</v>
      </c>
      <c r="N60" s="649">
        <f t="shared" si="35"/>
        <v>0</v>
      </c>
      <c r="O60" s="649">
        <f t="shared" si="30"/>
        <v>0</v>
      </c>
      <c r="P60" s="649">
        <f t="shared" si="31"/>
        <v>0</v>
      </c>
      <c r="Q60" s="649">
        <f t="shared" ref="Q60:S61" si="36">Q63+Q66</f>
        <v>0</v>
      </c>
      <c r="R60" s="649">
        <f t="shared" si="36"/>
        <v>0</v>
      </c>
      <c r="S60" s="649">
        <f t="shared" si="36"/>
        <v>0</v>
      </c>
      <c r="T60" s="649">
        <f t="shared" si="33"/>
        <v>0</v>
      </c>
      <c r="U60" s="649">
        <f t="shared" si="34"/>
        <v>0</v>
      </c>
    </row>
    <row r="61" spans="1:21" ht="18.75" x14ac:dyDescent="0.25">
      <c r="A61" s="636"/>
      <c r="B61" s="637"/>
      <c r="C61" s="637"/>
      <c r="D61" s="637"/>
      <c r="E61" s="650" t="s">
        <v>21</v>
      </c>
      <c r="F61" s="637"/>
      <c r="G61" s="640"/>
      <c r="H61" s="651" t="s">
        <v>14</v>
      </c>
      <c r="I61" s="642"/>
      <c r="J61" s="642"/>
      <c r="K61" s="643"/>
      <c r="L61" s="652">
        <f t="shared" ca="1" si="35"/>
        <v>1993100</v>
      </c>
      <c r="M61" s="653">
        <f t="shared" ca="1" si="35"/>
        <v>2054690</v>
      </c>
      <c r="N61" s="653">
        <f t="shared" ca="1" si="35"/>
        <v>610369.09</v>
      </c>
      <c r="O61" s="653">
        <f t="shared" ca="1" si="30"/>
        <v>30.624107671466561</v>
      </c>
      <c r="P61" s="653">
        <f t="shared" ca="1" si="31"/>
        <v>29.706140098993036</v>
      </c>
      <c r="Q61" s="653">
        <f t="shared" si="36"/>
        <v>0</v>
      </c>
      <c r="R61" s="653">
        <f t="shared" si="36"/>
        <v>0</v>
      </c>
      <c r="S61" s="653">
        <f t="shared" si="36"/>
        <v>0</v>
      </c>
      <c r="T61" s="653">
        <f t="shared" si="33"/>
        <v>0</v>
      </c>
      <c r="U61" s="653">
        <f t="shared" si="34"/>
        <v>0</v>
      </c>
    </row>
    <row r="62" spans="1:21" ht="18.75" x14ac:dyDescent="0.25">
      <c r="A62" s="560"/>
      <c r="B62" s="561"/>
      <c r="C62" s="561"/>
      <c r="D62" s="562" t="s">
        <v>22</v>
      </c>
      <c r="E62" s="561"/>
      <c r="F62" s="561"/>
      <c r="G62" s="563"/>
      <c r="H62" s="564" t="s">
        <v>14</v>
      </c>
      <c r="I62" s="565"/>
      <c r="J62" s="565"/>
      <c r="K62" s="566"/>
      <c r="L62" s="567">
        <f t="shared" ref="L62:N62" ca="1" si="37">L63+L64</f>
        <v>758100</v>
      </c>
      <c r="M62" s="568">
        <f t="shared" ca="1" si="37"/>
        <v>819690</v>
      </c>
      <c r="N62" s="568">
        <f t="shared" ca="1" si="37"/>
        <v>610369.09</v>
      </c>
      <c r="O62" s="568">
        <f t="shared" ca="1" si="30"/>
        <v>80.513004880622603</v>
      </c>
      <c r="P62" s="568">
        <f t="shared" ca="1" si="31"/>
        <v>74.463405677756228</v>
      </c>
      <c r="Q62" s="568">
        <f t="shared" ref="Q62:S62" si="38">Q63+Q64</f>
        <v>0</v>
      </c>
      <c r="R62" s="568">
        <f t="shared" si="38"/>
        <v>0</v>
      </c>
      <c r="S62" s="568">
        <f t="shared" si="38"/>
        <v>0</v>
      </c>
      <c r="T62" s="568">
        <f t="shared" si="33"/>
        <v>0</v>
      </c>
      <c r="U62" s="568">
        <f t="shared" si="34"/>
        <v>0</v>
      </c>
    </row>
    <row r="63" spans="1:21" ht="18.75" x14ac:dyDescent="0.25">
      <c r="A63" s="560"/>
      <c r="B63" s="561"/>
      <c r="C63" s="561"/>
      <c r="D63" s="561"/>
      <c r="E63" s="569" t="s">
        <v>20</v>
      </c>
      <c r="F63" s="561"/>
      <c r="G63" s="563"/>
      <c r="H63" s="570" t="s">
        <v>14</v>
      </c>
      <c r="I63" s="565"/>
      <c r="J63" s="565"/>
      <c r="K63" s="566"/>
      <c r="L63" s="571">
        <v>0</v>
      </c>
      <c r="M63" s="572">
        <v>0</v>
      </c>
      <c r="N63" s="572">
        <v>0</v>
      </c>
      <c r="O63" s="572">
        <f t="shared" si="30"/>
        <v>0</v>
      </c>
      <c r="P63" s="572">
        <f t="shared" si="31"/>
        <v>0</v>
      </c>
      <c r="Q63" s="572">
        <v>0</v>
      </c>
      <c r="R63" s="572">
        <v>0</v>
      </c>
      <c r="S63" s="572">
        <v>0</v>
      </c>
      <c r="T63" s="572">
        <f t="shared" si="33"/>
        <v>0</v>
      </c>
      <c r="U63" s="572">
        <f t="shared" si="34"/>
        <v>0</v>
      </c>
    </row>
    <row r="64" spans="1:21" ht="18.75" x14ac:dyDescent="0.25">
      <c r="A64" s="560"/>
      <c r="B64" s="561"/>
      <c r="C64" s="561"/>
      <c r="D64" s="561"/>
      <c r="E64" s="573" t="s">
        <v>21</v>
      </c>
      <c r="F64" s="561"/>
      <c r="G64" s="563"/>
      <c r="H64" s="564" t="s">
        <v>14</v>
      </c>
      <c r="I64" s="565"/>
      <c r="J64" s="565"/>
      <c r="K64" s="566"/>
      <c r="L64" s="567">
        <f ca="1">IFERROR(__xludf.DUMMYFUNCTION("IMPORTRANGE(""https://docs.google.com/spreadsheets/d/1-uDff_7J0KD5mKrp0Vvzr7lt3OU09vwQwhkpOPPYv2Y/edit?usp=sharing"",""งบพรบ!AC15"")"),758100)</f>
        <v>758100</v>
      </c>
      <c r="M64" s="568">
        <f ca="1">IFERROR(__xludf.DUMMYFUNCTION("IMPORTRANGE(""https://docs.google.com/spreadsheets/d/1-uDff_7J0KD5mKrp0Vvzr7lt3OU09vwQwhkpOPPYv2Y/edit?usp=sharing"",""งบพรบ!AH15"")"),819690)</f>
        <v>819690</v>
      </c>
      <c r="N64" s="568">
        <f ca="1">IFERROR(__xludf.DUMMYFUNCTION("IMPORTRANGE(""https://docs.google.com/spreadsheets/d/1-uDff_7J0KD5mKrp0Vvzr7lt3OU09vwQwhkpOPPYv2Y/edit?usp=sharing"",""งบพรบ!AJ15"")"),610369.09)</f>
        <v>610369.09</v>
      </c>
      <c r="O64" s="568">
        <f t="shared" ca="1" si="30"/>
        <v>80.513004880622603</v>
      </c>
      <c r="P64" s="568">
        <f t="shared" ca="1" si="31"/>
        <v>74.463405677756228</v>
      </c>
      <c r="Q64" s="568">
        <v>0</v>
      </c>
      <c r="R64" s="568">
        <v>0</v>
      </c>
      <c r="S64" s="568">
        <v>0</v>
      </c>
      <c r="T64" s="568">
        <f t="shared" si="33"/>
        <v>0</v>
      </c>
      <c r="U64" s="568">
        <f t="shared" si="34"/>
        <v>0</v>
      </c>
    </row>
    <row r="65" spans="1:21" ht="18.75" x14ac:dyDescent="0.25">
      <c r="A65" s="560"/>
      <c r="B65" s="561"/>
      <c r="C65" s="561"/>
      <c r="D65" s="562" t="s">
        <v>23</v>
      </c>
      <c r="E65" s="561"/>
      <c r="F65" s="561"/>
      <c r="G65" s="563"/>
      <c r="H65" s="564" t="s">
        <v>14</v>
      </c>
      <c r="I65" s="565"/>
      <c r="J65" s="565"/>
      <c r="K65" s="566"/>
      <c r="L65" s="567">
        <f t="shared" ref="L65:N65" ca="1" si="39">L66+L67</f>
        <v>1235000</v>
      </c>
      <c r="M65" s="568">
        <f t="shared" ca="1" si="39"/>
        <v>1235000</v>
      </c>
      <c r="N65" s="568">
        <f t="shared" ca="1" si="39"/>
        <v>0</v>
      </c>
      <c r="O65" s="568">
        <f t="shared" ca="1" si="30"/>
        <v>0</v>
      </c>
      <c r="P65" s="568">
        <f t="shared" ca="1" si="31"/>
        <v>0</v>
      </c>
      <c r="Q65" s="568">
        <f t="shared" ref="Q65:S65" si="40">Q66+Q67</f>
        <v>0</v>
      </c>
      <c r="R65" s="568">
        <f t="shared" si="40"/>
        <v>0</v>
      </c>
      <c r="S65" s="568">
        <f t="shared" si="40"/>
        <v>0</v>
      </c>
      <c r="T65" s="568">
        <f t="shared" si="33"/>
        <v>0</v>
      </c>
      <c r="U65" s="568">
        <f t="shared" si="34"/>
        <v>0</v>
      </c>
    </row>
    <row r="66" spans="1:21" ht="18.75" x14ac:dyDescent="0.25">
      <c r="A66" s="560"/>
      <c r="B66" s="561"/>
      <c r="C66" s="561"/>
      <c r="D66" s="561"/>
      <c r="E66" s="569" t="s">
        <v>20</v>
      </c>
      <c r="F66" s="561"/>
      <c r="G66" s="563"/>
      <c r="H66" s="570" t="s">
        <v>14</v>
      </c>
      <c r="I66" s="565"/>
      <c r="J66" s="565"/>
      <c r="K66" s="566"/>
      <c r="L66" s="571">
        <v>0</v>
      </c>
      <c r="M66" s="572">
        <v>0</v>
      </c>
      <c r="N66" s="572">
        <v>0</v>
      </c>
      <c r="O66" s="572">
        <f t="shared" si="30"/>
        <v>0</v>
      </c>
      <c r="P66" s="572">
        <f t="shared" si="31"/>
        <v>0</v>
      </c>
      <c r="Q66" s="572">
        <v>0</v>
      </c>
      <c r="R66" s="572">
        <v>0</v>
      </c>
      <c r="S66" s="572">
        <v>0</v>
      </c>
      <c r="T66" s="572">
        <f t="shared" si="33"/>
        <v>0</v>
      </c>
      <c r="U66" s="572">
        <f t="shared" si="34"/>
        <v>0</v>
      </c>
    </row>
    <row r="67" spans="1:21" ht="18.75" x14ac:dyDescent="0.25">
      <c r="A67" s="575"/>
      <c r="B67" s="513"/>
      <c r="C67" s="513"/>
      <c r="D67" s="513"/>
      <c r="E67" s="576" t="s">
        <v>21</v>
      </c>
      <c r="F67" s="513"/>
      <c r="G67" s="577"/>
      <c r="H67" s="578" t="s">
        <v>14</v>
      </c>
      <c r="I67" s="579"/>
      <c r="J67" s="579"/>
      <c r="K67" s="580"/>
      <c r="L67" s="654">
        <f ca="1">IFERROR(__xludf.DUMMYFUNCTION("IMPORTRANGE(""https://docs.google.com/spreadsheets/d/1-uDff_7J0KD5mKrp0Vvzr7lt3OU09vwQwhkpOPPYv2Y/edit?usp=sharing"",""งบพรบ!AF15"")"),1235000)</f>
        <v>1235000</v>
      </c>
      <c r="M67" s="655">
        <f ca="1">IFERROR(__xludf.DUMMYFUNCTION("IMPORTRANGE(""https://docs.google.com/spreadsheets/d/1-uDff_7J0KD5mKrp0Vvzr7lt3OU09vwQwhkpOPPYv2Y/edit?usp=sharing"",""งบพรบ!AI15"")"),1235000)</f>
        <v>1235000</v>
      </c>
      <c r="N67" s="655">
        <f ca="1">IFERROR(__xludf.DUMMYFUNCTION("IMPORTRANGE(""https://docs.google.com/spreadsheets/d/1-uDff_7J0KD5mKrp0Vvzr7lt3OU09vwQwhkpOPPYv2Y/edit?usp=sharing"",""งบพรบ!AK15"")"),0)</f>
        <v>0</v>
      </c>
      <c r="O67" s="655">
        <f t="shared" ca="1" si="30"/>
        <v>0</v>
      </c>
      <c r="P67" s="655">
        <f t="shared" ca="1" si="31"/>
        <v>0</v>
      </c>
      <c r="Q67" s="655">
        <v>0</v>
      </c>
      <c r="R67" s="655">
        <v>0</v>
      </c>
      <c r="S67" s="655">
        <v>0</v>
      </c>
      <c r="T67" s="655">
        <f t="shared" si="33"/>
        <v>0</v>
      </c>
      <c r="U67" s="655">
        <f t="shared" si="34"/>
        <v>0</v>
      </c>
    </row>
    <row r="68" spans="1:21" ht="19.5" x14ac:dyDescent="0.3">
      <c r="A68" s="656" t="s">
        <v>31</v>
      </c>
      <c r="B68" s="657"/>
      <c r="C68" s="657"/>
      <c r="D68" s="657"/>
      <c r="E68" s="658"/>
      <c r="F68" s="658"/>
      <c r="G68" s="658"/>
      <c r="H68" s="658"/>
      <c r="I68" s="659"/>
      <c r="J68" s="659"/>
      <c r="K68" s="660"/>
      <c r="L68" s="660"/>
      <c r="M68" s="660"/>
      <c r="N68" s="660"/>
      <c r="O68" s="660"/>
      <c r="P68" s="661"/>
      <c r="Q68" s="660"/>
      <c r="R68" s="660"/>
      <c r="S68" s="660"/>
      <c r="T68" s="660"/>
      <c r="U68" s="661"/>
    </row>
    <row r="69" spans="1:21" ht="19.5" x14ac:dyDescent="0.3">
      <c r="A69" s="662" t="s">
        <v>32</v>
      </c>
      <c r="B69" s="663"/>
      <c r="C69" s="664"/>
      <c r="D69" s="663"/>
      <c r="E69" s="663"/>
      <c r="F69" s="663"/>
      <c r="G69" s="665"/>
      <c r="H69" s="665"/>
      <c r="I69" s="666"/>
      <c r="J69" s="666"/>
      <c r="K69" s="667"/>
      <c r="L69" s="668"/>
      <c r="M69" s="667"/>
      <c r="N69" s="667"/>
      <c r="O69" s="667"/>
      <c r="P69" s="667"/>
      <c r="Q69" s="667"/>
      <c r="R69" s="667"/>
      <c r="S69" s="667"/>
      <c r="T69" s="667"/>
      <c r="U69" s="667"/>
    </row>
    <row r="70" spans="1:21" ht="19.5" x14ac:dyDescent="0.3">
      <c r="A70" s="669"/>
      <c r="B70" s="544" t="s">
        <v>33</v>
      </c>
      <c r="C70" s="543"/>
      <c r="D70" s="670"/>
      <c r="E70" s="543"/>
      <c r="F70" s="543"/>
      <c r="G70" s="546"/>
      <c r="H70" s="671" t="s">
        <v>34</v>
      </c>
      <c r="I70" s="672">
        <f t="shared" ref="I70:J71" ca="1" si="41">I82</f>
        <v>1</v>
      </c>
      <c r="J70" s="672">
        <f t="shared" si="41"/>
        <v>1</v>
      </c>
      <c r="K70" s="551">
        <f t="shared" ref="K70:K71" ca="1" si="42">IF(I70&gt;0,J70*100/I70,0)</f>
        <v>100</v>
      </c>
      <c r="L70" s="673"/>
      <c r="M70" s="549"/>
      <c r="N70" s="549"/>
      <c r="O70" s="549"/>
      <c r="P70" s="549"/>
      <c r="Q70" s="549"/>
      <c r="R70" s="549"/>
      <c r="S70" s="549"/>
      <c r="T70" s="549"/>
      <c r="U70" s="549"/>
    </row>
    <row r="71" spans="1:21" ht="19.5" x14ac:dyDescent="0.3">
      <c r="A71" s="669"/>
      <c r="B71" s="543"/>
      <c r="C71" s="543"/>
      <c r="D71" s="670"/>
      <c r="E71" s="543"/>
      <c r="F71" s="543"/>
      <c r="G71" s="546"/>
      <c r="H71" s="671" t="s">
        <v>35</v>
      </c>
      <c r="I71" s="672">
        <f t="shared" ca="1" si="41"/>
        <v>60</v>
      </c>
      <c r="J71" s="672">
        <f t="shared" si="41"/>
        <v>60</v>
      </c>
      <c r="K71" s="551">
        <f t="shared" ca="1" si="42"/>
        <v>100</v>
      </c>
      <c r="L71" s="673"/>
      <c r="M71" s="549"/>
      <c r="N71" s="549"/>
      <c r="O71" s="549"/>
      <c r="P71" s="549"/>
      <c r="Q71" s="549"/>
      <c r="R71" s="549"/>
      <c r="S71" s="549"/>
      <c r="T71" s="549"/>
      <c r="U71" s="549"/>
    </row>
    <row r="72" spans="1:21" ht="19.5" x14ac:dyDescent="0.3">
      <c r="A72" s="674"/>
      <c r="B72" s="561"/>
      <c r="C72" s="675" t="s">
        <v>18</v>
      </c>
      <c r="D72" s="676" t="s">
        <v>19</v>
      </c>
      <c r="E72" s="561"/>
      <c r="F72" s="561"/>
      <c r="G72" s="563"/>
      <c r="H72" s="677" t="s">
        <v>14</v>
      </c>
      <c r="I72" s="565"/>
      <c r="J72" s="565"/>
      <c r="K72" s="566"/>
      <c r="L72" s="678">
        <f t="shared" ref="L72:N72" ca="1" si="43">L73+L74</f>
        <v>616300</v>
      </c>
      <c r="M72" s="679">
        <f t="shared" ca="1" si="43"/>
        <v>616300</v>
      </c>
      <c r="N72" s="679">
        <f t="shared" ca="1" si="43"/>
        <v>516731.86</v>
      </c>
      <c r="O72" s="679">
        <f t="shared" ref="O72:O80" ca="1" si="44">IF(L72&gt;0,N72*100/L72,0)</f>
        <v>83.844208989128674</v>
      </c>
      <c r="P72" s="679">
        <f t="shared" ref="P72:P80" ca="1" si="45">IF(M72&gt;0,N72*100/M72,0)</f>
        <v>83.844208989128674</v>
      </c>
      <c r="Q72" s="679">
        <f t="shared" ref="Q72:S72" ca="1" si="46">Q73+Q74</f>
        <v>800860</v>
      </c>
      <c r="R72" s="679">
        <f t="shared" ca="1" si="46"/>
        <v>800860</v>
      </c>
      <c r="S72" s="679">
        <f t="shared" ca="1" si="46"/>
        <v>504624</v>
      </c>
      <c r="T72" s="679">
        <f t="shared" ref="T72:T80" ca="1" si="47">IF(Q72&gt;0,S72*100/Q72,0)</f>
        <v>63.010263966236295</v>
      </c>
      <c r="U72" s="679">
        <f t="shared" ref="U72:U80" ca="1" si="48">IF(R72&gt;0,S72*100/R72,0)</f>
        <v>63.010263966236295</v>
      </c>
    </row>
    <row r="73" spans="1:21" ht="18.75" x14ac:dyDescent="0.25">
      <c r="A73" s="674"/>
      <c r="B73" s="561"/>
      <c r="C73" s="561"/>
      <c r="D73" s="561"/>
      <c r="E73" s="569" t="s">
        <v>20</v>
      </c>
      <c r="F73" s="561"/>
      <c r="G73" s="563"/>
      <c r="H73" s="680" t="s">
        <v>14</v>
      </c>
      <c r="I73" s="565"/>
      <c r="J73" s="565"/>
      <c r="K73" s="566"/>
      <c r="L73" s="571">
        <f t="shared" ref="L73:N74" si="49">L76+L79</f>
        <v>0</v>
      </c>
      <c r="M73" s="572">
        <f t="shared" si="49"/>
        <v>0</v>
      </c>
      <c r="N73" s="572">
        <f t="shared" si="49"/>
        <v>0</v>
      </c>
      <c r="O73" s="572">
        <f t="shared" si="44"/>
        <v>0</v>
      </c>
      <c r="P73" s="572">
        <f t="shared" si="45"/>
        <v>0</v>
      </c>
      <c r="Q73" s="572">
        <f t="shared" ref="Q73:S74" si="50">Q76+Q79</f>
        <v>0</v>
      </c>
      <c r="R73" s="572">
        <f t="shared" si="50"/>
        <v>0</v>
      </c>
      <c r="S73" s="572">
        <f t="shared" si="50"/>
        <v>0</v>
      </c>
      <c r="T73" s="572">
        <f t="shared" si="47"/>
        <v>0</v>
      </c>
      <c r="U73" s="572">
        <f t="shared" si="48"/>
        <v>0</v>
      </c>
    </row>
    <row r="74" spans="1:21" ht="18.75" x14ac:dyDescent="0.25">
      <c r="A74" s="674"/>
      <c r="B74" s="561"/>
      <c r="C74" s="561"/>
      <c r="D74" s="561"/>
      <c r="E74" s="573" t="s">
        <v>21</v>
      </c>
      <c r="F74" s="561"/>
      <c r="G74" s="563"/>
      <c r="H74" s="681" t="s">
        <v>14</v>
      </c>
      <c r="I74" s="565"/>
      <c r="J74" s="565"/>
      <c r="K74" s="566"/>
      <c r="L74" s="567">
        <f t="shared" ca="1" si="49"/>
        <v>616300</v>
      </c>
      <c r="M74" s="568">
        <f t="shared" ca="1" si="49"/>
        <v>616300</v>
      </c>
      <c r="N74" s="568">
        <f t="shared" ca="1" si="49"/>
        <v>516731.86</v>
      </c>
      <c r="O74" s="568">
        <f t="shared" ca="1" si="44"/>
        <v>83.844208989128674</v>
      </c>
      <c r="P74" s="568">
        <f t="shared" ca="1" si="45"/>
        <v>83.844208989128674</v>
      </c>
      <c r="Q74" s="568">
        <f t="shared" ca="1" si="50"/>
        <v>800860</v>
      </c>
      <c r="R74" s="568">
        <f t="shared" ca="1" si="50"/>
        <v>800860</v>
      </c>
      <c r="S74" s="568">
        <f t="shared" ca="1" si="50"/>
        <v>504624</v>
      </c>
      <c r="T74" s="568">
        <f t="shared" ca="1" si="47"/>
        <v>63.010263966236295</v>
      </c>
      <c r="U74" s="568">
        <f t="shared" ca="1" si="48"/>
        <v>63.010263966236295</v>
      </c>
    </row>
    <row r="75" spans="1:21" ht="18.75" x14ac:dyDescent="0.25">
      <c r="A75" s="674"/>
      <c r="B75" s="561"/>
      <c r="C75" s="561"/>
      <c r="D75" s="562" t="s">
        <v>22</v>
      </c>
      <c r="E75" s="561"/>
      <c r="F75" s="561"/>
      <c r="G75" s="563"/>
      <c r="H75" s="682" t="s">
        <v>14</v>
      </c>
      <c r="I75" s="683"/>
      <c r="J75" s="683"/>
      <c r="K75" s="684"/>
      <c r="L75" s="567">
        <f t="shared" ref="L75:N75" ca="1" si="51">L76+L77</f>
        <v>616300</v>
      </c>
      <c r="M75" s="568">
        <f t="shared" ca="1" si="51"/>
        <v>616300</v>
      </c>
      <c r="N75" s="568">
        <f t="shared" ca="1" si="51"/>
        <v>516731.86</v>
      </c>
      <c r="O75" s="568">
        <f t="shared" ca="1" si="44"/>
        <v>83.844208989128674</v>
      </c>
      <c r="P75" s="568">
        <f t="shared" ca="1" si="45"/>
        <v>83.844208989128674</v>
      </c>
      <c r="Q75" s="568">
        <f t="shared" ref="Q75:S75" ca="1" si="52">Q76+Q77</f>
        <v>502860</v>
      </c>
      <c r="R75" s="568">
        <f t="shared" ca="1" si="52"/>
        <v>502860</v>
      </c>
      <c r="S75" s="568">
        <f t="shared" ca="1" si="52"/>
        <v>206624</v>
      </c>
      <c r="T75" s="568">
        <f t="shared" ca="1" si="47"/>
        <v>41.089766535417411</v>
      </c>
      <c r="U75" s="568">
        <f t="shared" ca="1" si="48"/>
        <v>41.089766535417411</v>
      </c>
    </row>
    <row r="76" spans="1:21" ht="18.75" x14ac:dyDescent="0.25">
      <c r="A76" s="674"/>
      <c r="B76" s="561"/>
      <c r="C76" s="561"/>
      <c r="D76" s="561"/>
      <c r="E76" s="569" t="s">
        <v>36</v>
      </c>
      <c r="F76" s="561"/>
      <c r="G76" s="563"/>
      <c r="H76" s="685" t="s">
        <v>14</v>
      </c>
      <c r="I76" s="683"/>
      <c r="J76" s="683"/>
      <c r="K76" s="684"/>
      <c r="L76" s="571">
        <v>0</v>
      </c>
      <c r="M76" s="572">
        <v>0</v>
      </c>
      <c r="N76" s="572">
        <v>0</v>
      </c>
      <c r="O76" s="572">
        <f t="shared" si="44"/>
        <v>0</v>
      </c>
      <c r="P76" s="572">
        <f t="shared" si="45"/>
        <v>0</v>
      </c>
      <c r="Q76" s="572">
        <v>0</v>
      </c>
      <c r="R76" s="572">
        <v>0</v>
      </c>
      <c r="S76" s="572">
        <v>0</v>
      </c>
      <c r="T76" s="572">
        <f t="shared" si="47"/>
        <v>0</v>
      </c>
      <c r="U76" s="572">
        <f t="shared" si="48"/>
        <v>0</v>
      </c>
    </row>
    <row r="77" spans="1:21" ht="18.75" x14ac:dyDescent="0.25">
      <c r="A77" s="674"/>
      <c r="B77" s="561"/>
      <c r="C77" s="561"/>
      <c r="D77" s="561"/>
      <c r="E77" s="573" t="s">
        <v>37</v>
      </c>
      <c r="F77" s="561"/>
      <c r="G77" s="563"/>
      <c r="H77" s="682" t="s">
        <v>14</v>
      </c>
      <c r="I77" s="683"/>
      <c r="J77" s="683"/>
      <c r="K77" s="684"/>
      <c r="L77" s="567">
        <f ca="1">IFERROR(__xludf.DUMMYFUNCTION("IMPORTRANGE(""https://docs.google.com/spreadsheets/d/1-uDff_7J0KD5mKrp0Vvzr7lt3OU09vwQwhkpOPPYv2Y/edit?usp=sharing"",""งบพรบ!AM15"")"),616300)</f>
        <v>616300</v>
      </c>
      <c r="M77" s="568">
        <f ca="1">IFERROR(__xludf.DUMMYFUNCTION("IMPORTRANGE(""https://docs.google.com/spreadsheets/d/1-uDff_7J0KD5mKrp0Vvzr7lt3OU09vwQwhkpOPPYv2Y/edit?usp=sharing"",""งบพรบ!AR15"")"),616300)</f>
        <v>616300</v>
      </c>
      <c r="N77" s="568">
        <f ca="1">IFERROR(__xludf.DUMMYFUNCTION("IMPORTRANGE(""https://docs.google.com/spreadsheets/d/1-uDff_7J0KD5mKrp0Vvzr7lt3OU09vwQwhkpOPPYv2Y/edit?usp=sharing"",""งบพรบ!AT15"")"),516731.86)</f>
        <v>516731.86</v>
      </c>
      <c r="O77" s="568">
        <f t="shared" ca="1" si="44"/>
        <v>83.844208989128674</v>
      </c>
      <c r="P77" s="568">
        <f t="shared" ca="1" si="45"/>
        <v>83.844208989128674</v>
      </c>
      <c r="Q77" s="568">
        <f ca="1">IFERROR(__xludf.DUMMYFUNCTION("IMPORTRANGE(""https://docs.google.com/spreadsheets/d/1ItG2mGa2ceCfYo0BwxsXqNm01IGEUdYcSSLTEv9YCik/edit?usp=sharing"",""เบิกจ่ายกองทุน!BH15"")"),502860)</f>
        <v>502860</v>
      </c>
      <c r="R77" s="568">
        <f ca="1">IFERROR(__xludf.DUMMYFUNCTION("IMPORTRANGE(""https://docs.google.com/spreadsheets/d/1ItG2mGa2ceCfYo0BwxsXqNm01IGEUdYcSSLTEv9YCik/edit?usp=sharing"",""เบิกจ่ายกองทุน!BI15"")"),502860)</f>
        <v>502860</v>
      </c>
      <c r="S77" s="568">
        <f ca="1">IFERROR(__xludf.DUMMYFUNCTION("IMPORTRANGE(""https://docs.google.com/spreadsheets/d/1ItG2mGa2ceCfYo0BwxsXqNm01IGEUdYcSSLTEv9YCik/edit?usp=sharing"",""เบิกจ่ายกองทุน!BJ15"")"),206624)</f>
        <v>206624</v>
      </c>
      <c r="T77" s="568">
        <f t="shared" ca="1" si="47"/>
        <v>41.089766535417411</v>
      </c>
      <c r="U77" s="568">
        <f t="shared" ca="1" si="48"/>
        <v>41.089766535417411</v>
      </c>
    </row>
    <row r="78" spans="1:21" ht="18.75" x14ac:dyDescent="0.25">
      <c r="A78" s="674"/>
      <c r="B78" s="561"/>
      <c r="C78" s="561"/>
      <c r="D78" s="562" t="s">
        <v>23</v>
      </c>
      <c r="E78" s="561"/>
      <c r="F78" s="561"/>
      <c r="G78" s="563"/>
      <c r="H78" s="686" t="s">
        <v>14</v>
      </c>
      <c r="I78" s="683"/>
      <c r="J78" s="683"/>
      <c r="K78" s="684"/>
      <c r="L78" s="567">
        <f t="shared" ref="L78:N78" ca="1" si="53">L79+L80</f>
        <v>0</v>
      </c>
      <c r="M78" s="568">
        <f t="shared" ca="1" si="53"/>
        <v>0</v>
      </c>
      <c r="N78" s="568">
        <f t="shared" ca="1" si="53"/>
        <v>0</v>
      </c>
      <c r="O78" s="568">
        <f t="shared" ca="1" si="44"/>
        <v>0</v>
      </c>
      <c r="P78" s="568">
        <f t="shared" ca="1" si="45"/>
        <v>0</v>
      </c>
      <c r="Q78" s="568">
        <f t="shared" ref="Q78:S78" ca="1" si="54">Q79+Q80</f>
        <v>298000</v>
      </c>
      <c r="R78" s="568">
        <f t="shared" ca="1" si="54"/>
        <v>298000</v>
      </c>
      <c r="S78" s="568">
        <f t="shared" ca="1" si="54"/>
        <v>298000</v>
      </c>
      <c r="T78" s="568">
        <f t="shared" ca="1" si="47"/>
        <v>100</v>
      </c>
      <c r="U78" s="568">
        <f t="shared" ca="1" si="48"/>
        <v>100</v>
      </c>
    </row>
    <row r="79" spans="1:21" ht="18.75" x14ac:dyDescent="0.25">
      <c r="A79" s="674"/>
      <c r="B79" s="561"/>
      <c r="C79" s="561"/>
      <c r="D79" s="561"/>
      <c r="E79" s="569" t="s">
        <v>20</v>
      </c>
      <c r="F79" s="561"/>
      <c r="G79" s="563"/>
      <c r="H79" s="685" t="s">
        <v>14</v>
      </c>
      <c r="I79" s="683"/>
      <c r="J79" s="683"/>
      <c r="K79" s="684"/>
      <c r="L79" s="571">
        <v>0</v>
      </c>
      <c r="M79" s="568">
        <v>0</v>
      </c>
      <c r="N79" s="568">
        <v>0</v>
      </c>
      <c r="O79" s="572">
        <f t="shared" si="44"/>
        <v>0</v>
      </c>
      <c r="P79" s="572">
        <f t="shared" si="45"/>
        <v>0</v>
      </c>
      <c r="Q79" s="572">
        <v>0</v>
      </c>
      <c r="R79" s="568">
        <v>0</v>
      </c>
      <c r="S79" s="568">
        <v>0</v>
      </c>
      <c r="T79" s="572">
        <f t="shared" si="47"/>
        <v>0</v>
      </c>
      <c r="U79" s="572">
        <f t="shared" si="48"/>
        <v>0</v>
      </c>
    </row>
    <row r="80" spans="1:21" ht="18.75" x14ac:dyDescent="0.25">
      <c r="A80" s="674"/>
      <c r="B80" s="561"/>
      <c r="C80" s="561"/>
      <c r="D80" s="561"/>
      <c r="E80" s="573" t="s">
        <v>21</v>
      </c>
      <c r="F80" s="561"/>
      <c r="G80" s="563"/>
      <c r="H80" s="686" t="s">
        <v>14</v>
      </c>
      <c r="I80" s="683"/>
      <c r="J80" s="683"/>
      <c r="K80" s="684"/>
      <c r="L80" s="567">
        <f ca="1">IFERROR(__xludf.DUMMYFUNCTION("IMPORTRANGE(""https://docs.google.com/spreadsheets/d/1-uDff_7J0KD5mKrp0Vvzr7lt3OU09vwQwhkpOPPYv2Y/edit?usp=sharing"",""งบพรบ!AP15"")"),0)</f>
        <v>0</v>
      </c>
      <c r="M80" s="568">
        <f ca="1">IFERROR(__xludf.DUMMYFUNCTION("IMPORTRANGE(""https://docs.google.com/spreadsheets/d/1-uDff_7J0KD5mKrp0Vvzr7lt3OU09vwQwhkpOPPYv2Y/edit?usp=sharing"",""งบพรบ!AS15"")"),0)</f>
        <v>0</v>
      </c>
      <c r="N80" s="568">
        <f ca="1">IFERROR(__xludf.DUMMYFUNCTION("IMPORTRANGE(""https://docs.google.com/spreadsheets/d/1-uDff_7J0KD5mKrp0Vvzr7lt3OU09vwQwhkpOPPYv2Y/edit?usp=sharing"",""งบพรบ!AU15"")"),0)</f>
        <v>0</v>
      </c>
      <c r="O80" s="568">
        <f t="shared" ca="1" si="44"/>
        <v>0</v>
      </c>
      <c r="P80" s="568">
        <f t="shared" ca="1" si="45"/>
        <v>0</v>
      </c>
      <c r="Q80" s="568">
        <f ca="1">IFERROR(__xludf.DUMMYFUNCTION("IMPORTRANGE(""https://docs.google.com/spreadsheets/d/1ItG2mGa2ceCfYo0BwxsXqNm01IGEUdYcSSLTEv9YCik/edit?usp=sharing"",""เบิกจ่ายกองทุน!BK15"")"),298000)</f>
        <v>298000</v>
      </c>
      <c r="R80" s="568">
        <f ca="1">IFERROR(__xludf.DUMMYFUNCTION("IMPORTRANGE(""https://docs.google.com/spreadsheets/d/1ItG2mGa2ceCfYo0BwxsXqNm01IGEUdYcSSLTEv9YCik/edit?usp=sharing"",""เบิกจ่ายกองทุน!BL15"")"),298000)</f>
        <v>298000</v>
      </c>
      <c r="S80" s="568">
        <f ca="1">IFERROR(__xludf.DUMMYFUNCTION("IMPORTRANGE(""https://docs.google.com/spreadsheets/d/1ItG2mGa2ceCfYo0BwxsXqNm01IGEUdYcSSLTEv9YCik/edit?usp=sharing"",""เบิกจ่ายกองทุน!BM15"")"),298000)</f>
        <v>298000</v>
      </c>
      <c r="T80" s="568">
        <f t="shared" ca="1" si="47"/>
        <v>100</v>
      </c>
      <c r="U80" s="568">
        <f t="shared" ca="1" si="48"/>
        <v>100</v>
      </c>
    </row>
    <row r="81" spans="1:21" ht="19.5" x14ac:dyDescent="0.3">
      <c r="A81" s="687"/>
      <c r="B81" s="688"/>
      <c r="C81" s="675" t="s">
        <v>18</v>
      </c>
      <c r="D81" s="689" t="s">
        <v>38</v>
      </c>
      <c r="E81" s="690"/>
      <c r="F81" s="690"/>
      <c r="G81" s="691"/>
      <c r="H81" s="692"/>
      <c r="I81" s="683"/>
      <c r="J81" s="683"/>
      <c r="K81" s="684"/>
      <c r="L81" s="693"/>
      <c r="M81" s="684"/>
      <c r="N81" s="684"/>
      <c r="O81" s="684"/>
      <c r="P81" s="684"/>
      <c r="Q81" s="684"/>
      <c r="R81" s="684"/>
      <c r="S81" s="684"/>
      <c r="T81" s="684"/>
      <c r="U81" s="684"/>
    </row>
    <row r="82" spans="1:21" ht="19.5" x14ac:dyDescent="0.3">
      <c r="A82" s="687"/>
      <c r="B82" s="688"/>
      <c r="C82" s="688"/>
      <c r="D82" s="694" t="s">
        <v>39</v>
      </c>
      <c r="E82" s="695"/>
      <c r="F82" s="695"/>
      <c r="G82" s="692"/>
      <c r="H82" s="696" t="s">
        <v>34</v>
      </c>
      <c r="I82" s="697">
        <f t="shared" ref="I82:J83" ca="1" si="55">I84+I86+I88</f>
        <v>1</v>
      </c>
      <c r="J82" s="697">
        <f t="shared" si="55"/>
        <v>1</v>
      </c>
      <c r="K82" s="698">
        <f t="shared" ref="K82:K90" ca="1" si="56">IF(I82&gt;0,J82*100/I82,0)</f>
        <v>100</v>
      </c>
      <c r="L82" s="693"/>
      <c r="M82" s="684"/>
      <c r="N82" s="684"/>
      <c r="O82" s="684"/>
      <c r="P82" s="684"/>
      <c r="Q82" s="684"/>
      <c r="R82" s="684"/>
      <c r="S82" s="684"/>
      <c r="T82" s="684"/>
      <c r="U82" s="684"/>
    </row>
    <row r="83" spans="1:21" ht="19.5" x14ac:dyDescent="0.3">
      <c r="A83" s="687"/>
      <c r="B83" s="688"/>
      <c r="C83" s="688"/>
      <c r="D83" s="688"/>
      <c r="E83" s="695"/>
      <c r="F83" s="695"/>
      <c r="G83" s="692"/>
      <c r="H83" s="696" t="s">
        <v>35</v>
      </c>
      <c r="I83" s="697">
        <f t="shared" ca="1" si="55"/>
        <v>60</v>
      </c>
      <c r="J83" s="697">
        <f t="shared" si="55"/>
        <v>60</v>
      </c>
      <c r="K83" s="698">
        <f t="shared" ca="1" si="56"/>
        <v>100</v>
      </c>
      <c r="L83" s="693"/>
      <c r="M83" s="684"/>
      <c r="N83" s="684"/>
      <c r="O83" s="684"/>
      <c r="P83" s="684"/>
      <c r="Q83" s="684"/>
      <c r="R83" s="684"/>
      <c r="S83" s="684"/>
      <c r="T83" s="684"/>
      <c r="U83" s="684"/>
    </row>
    <row r="84" spans="1:21" ht="18.75" x14ac:dyDescent="0.25">
      <c r="A84" s="687"/>
      <c r="B84" s="688"/>
      <c r="C84" s="688"/>
      <c r="D84" s="688"/>
      <c r="E84" s="699" t="s">
        <v>40</v>
      </c>
      <c r="F84" s="695"/>
      <c r="G84" s="692"/>
      <c r="H84" s="700" t="s">
        <v>34</v>
      </c>
      <c r="I84" s="701">
        <f ca="1">IFERROR(__xludf.DUMMYFUNCTION("IMPORTRANGE(""https://docs.google.com/spreadsheets/d/1eHaY18a8A9IcSdp1K8H6x8fbOy06t2VsZHhMHf-1x7Y/edit?usp=sharing"",""แผน!H15"")"),0)</f>
        <v>0</v>
      </c>
      <c r="J84" s="702">
        <v>0</v>
      </c>
      <c r="K84" s="703">
        <f t="shared" ca="1" si="56"/>
        <v>0</v>
      </c>
      <c r="L84" s="693"/>
      <c r="M84" s="684"/>
      <c r="N84" s="684"/>
      <c r="O84" s="684"/>
      <c r="P84" s="684"/>
      <c r="Q84" s="684"/>
      <c r="R84" s="684"/>
      <c r="S84" s="684"/>
      <c r="T84" s="684"/>
      <c r="U84" s="684"/>
    </row>
    <row r="85" spans="1:21" ht="18.75" x14ac:dyDescent="0.25">
      <c r="A85" s="687"/>
      <c r="B85" s="688"/>
      <c r="C85" s="688"/>
      <c r="D85" s="688"/>
      <c r="E85" s="695"/>
      <c r="F85" s="695"/>
      <c r="G85" s="692"/>
      <c r="H85" s="700" t="s">
        <v>35</v>
      </c>
      <c r="I85" s="701">
        <f ca="1">IFERROR(__xludf.DUMMYFUNCTION("IMPORTRANGE(""https://docs.google.com/spreadsheets/d/1eHaY18a8A9IcSdp1K8H6x8fbOy06t2VsZHhMHf-1x7Y/edit?usp=sharing"",""แผน!I15"")"),0)</f>
        <v>0</v>
      </c>
      <c r="J85" s="702">
        <v>0</v>
      </c>
      <c r="K85" s="703">
        <f t="shared" ca="1" si="56"/>
        <v>0</v>
      </c>
      <c r="L85" s="693"/>
      <c r="M85" s="684"/>
      <c r="N85" s="684"/>
      <c r="O85" s="684"/>
      <c r="P85" s="684"/>
      <c r="Q85" s="684"/>
      <c r="R85" s="684"/>
      <c r="S85" s="684"/>
      <c r="T85" s="684"/>
      <c r="U85" s="684"/>
    </row>
    <row r="86" spans="1:21" ht="18.75" x14ac:dyDescent="0.25">
      <c r="A86" s="687"/>
      <c r="B86" s="688"/>
      <c r="C86" s="688"/>
      <c r="D86" s="688"/>
      <c r="E86" s="699" t="s">
        <v>41</v>
      </c>
      <c r="F86" s="695"/>
      <c r="G86" s="692"/>
      <c r="H86" s="700" t="s">
        <v>34</v>
      </c>
      <c r="I86" s="701">
        <f ca="1">IFERROR(__xludf.DUMMYFUNCTION("IMPORTRANGE(""https://docs.google.com/spreadsheets/d/1eHaY18a8A9IcSdp1K8H6x8fbOy06t2VsZHhMHf-1x7Y/edit?usp=sharing"",""แผน!F15"")"),0)</f>
        <v>0</v>
      </c>
      <c r="J86" s="702">
        <v>0</v>
      </c>
      <c r="K86" s="703">
        <f t="shared" ca="1" si="56"/>
        <v>0</v>
      </c>
      <c r="L86" s="693"/>
      <c r="M86" s="684"/>
      <c r="N86" s="684"/>
      <c r="O86" s="684"/>
      <c r="P86" s="684"/>
      <c r="Q86" s="684"/>
      <c r="R86" s="684"/>
      <c r="S86" s="684"/>
      <c r="T86" s="684"/>
      <c r="U86" s="684"/>
    </row>
    <row r="87" spans="1:21" ht="18.75" x14ac:dyDescent="0.25">
      <c r="A87" s="687"/>
      <c r="B87" s="688"/>
      <c r="C87" s="688"/>
      <c r="D87" s="688"/>
      <c r="E87" s="695"/>
      <c r="F87" s="695"/>
      <c r="G87" s="692"/>
      <c r="H87" s="700" t="s">
        <v>35</v>
      </c>
      <c r="I87" s="701">
        <f ca="1">IFERROR(__xludf.DUMMYFUNCTION("IMPORTRANGE(""https://docs.google.com/spreadsheets/d/1eHaY18a8A9IcSdp1K8H6x8fbOy06t2VsZHhMHf-1x7Y/edit?usp=sharing"",""แผน!G15"")"),0)</f>
        <v>0</v>
      </c>
      <c r="J87" s="702">
        <v>0</v>
      </c>
      <c r="K87" s="703">
        <f t="shared" ca="1" si="56"/>
        <v>0</v>
      </c>
      <c r="L87" s="693"/>
      <c r="M87" s="684"/>
      <c r="N87" s="684"/>
      <c r="O87" s="684"/>
      <c r="P87" s="684"/>
      <c r="Q87" s="684"/>
      <c r="R87" s="684"/>
      <c r="S87" s="684"/>
      <c r="T87" s="684"/>
      <c r="U87" s="684"/>
    </row>
    <row r="88" spans="1:21" ht="18.75" x14ac:dyDescent="0.25">
      <c r="A88" s="687"/>
      <c r="B88" s="688"/>
      <c r="C88" s="688"/>
      <c r="D88" s="688"/>
      <c r="E88" s="699" t="s">
        <v>42</v>
      </c>
      <c r="F88" s="695"/>
      <c r="G88" s="692"/>
      <c r="H88" s="700" t="s">
        <v>34</v>
      </c>
      <c r="I88" s="701">
        <f ca="1">IFERROR(__xludf.DUMMYFUNCTION("IMPORTRANGE(""https://docs.google.com/spreadsheets/d/1eHaY18a8A9IcSdp1K8H6x8fbOy06t2VsZHhMHf-1x7Y/edit?usp=sharing"",""แผน!D15"")"),1)</f>
        <v>1</v>
      </c>
      <c r="J88" s="702">
        <v>1</v>
      </c>
      <c r="K88" s="703">
        <f t="shared" ca="1" si="56"/>
        <v>100</v>
      </c>
      <c r="L88" s="693"/>
      <c r="M88" s="684"/>
      <c r="N88" s="684"/>
      <c r="O88" s="684"/>
      <c r="P88" s="684"/>
      <c r="Q88" s="684"/>
      <c r="R88" s="684"/>
      <c r="S88" s="684"/>
      <c r="T88" s="684"/>
      <c r="U88" s="684"/>
    </row>
    <row r="89" spans="1:21" ht="18.75" x14ac:dyDescent="0.25">
      <c r="A89" s="687"/>
      <c r="B89" s="688"/>
      <c r="C89" s="688"/>
      <c r="D89" s="688"/>
      <c r="E89" s="695"/>
      <c r="F89" s="695"/>
      <c r="G89" s="692"/>
      <c r="H89" s="700" t="s">
        <v>35</v>
      </c>
      <c r="I89" s="701">
        <f ca="1">IFERROR(__xludf.DUMMYFUNCTION("IMPORTRANGE(""https://docs.google.com/spreadsheets/d/1eHaY18a8A9IcSdp1K8H6x8fbOy06t2VsZHhMHf-1x7Y/edit?usp=sharing"",""แผน!E15"")"),60)</f>
        <v>60</v>
      </c>
      <c r="J89" s="702">
        <v>60</v>
      </c>
      <c r="K89" s="703">
        <f t="shared" ca="1" si="56"/>
        <v>100</v>
      </c>
      <c r="L89" s="693"/>
      <c r="M89" s="684"/>
      <c r="N89" s="684"/>
      <c r="O89" s="684"/>
      <c r="P89" s="684"/>
      <c r="Q89" s="684"/>
      <c r="R89" s="684"/>
      <c r="S89" s="684"/>
      <c r="T89" s="684"/>
      <c r="U89" s="684"/>
    </row>
    <row r="90" spans="1:21" ht="18.75" x14ac:dyDescent="0.25">
      <c r="A90" s="687"/>
      <c r="B90" s="688"/>
      <c r="C90" s="688"/>
      <c r="D90" s="694" t="s">
        <v>43</v>
      </c>
      <c r="E90" s="695"/>
      <c r="F90" s="695"/>
      <c r="G90" s="692"/>
      <c r="H90" s="704" t="s">
        <v>34</v>
      </c>
      <c r="I90" s="701">
        <f ca="1">IFERROR(__xludf.DUMMYFUNCTION("IMPORTRANGE(""https://docs.google.com/spreadsheets/d/1eHaY18a8A9IcSdp1K8H6x8fbOy06t2VsZHhMHf-1x7Y/edit?usp=sharing"",""แผน!J15"")"),1)</f>
        <v>1</v>
      </c>
      <c r="J90" s="702">
        <v>1</v>
      </c>
      <c r="K90" s="703">
        <f t="shared" ca="1" si="56"/>
        <v>100</v>
      </c>
      <c r="L90" s="693"/>
      <c r="M90" s="684"/>
      <c r="N90" s="684"/>
      <c r="O90" s="684"/>
      <c r="P90" s="684"/>
      <c r="Q90" s="684"/>
      <c r="R90" s="684"/>
      <c r="S90" s="684"/>
      <c r="T90" s="684"/>
      <c r="U90" s="684"/>
    </row>
    <row r="91" spans="1:21" ht="19.5" hidden="1" x14ac:dyDescent="0.3">
      <c r="A91" s="662" t="s">
        <v>44</v>
      </c>
      <c r="B91" s="663"/>
      <c r="C91" s="664"/>
      <c r="D91" s="663"/>
      <c r="E91" s="663"/>
      <c r="F91" s="663"/>
      <c r="G91" s="665"/>
      <c r="H91" s="665"/>
      <c r="I91" s="666"/>
      <c r="J91" s="666"/>
      <c r="K91" s="667"/>
      <c r="L91" s="668"/>
      <c r="M91" s="667"/>
      <c r="N91" s="667"/>
      <c r="O91" s="667"/>
      <c r="P91" s="667"/>
      <c r="Q91" s="667"/>
      <c r="R91" s="667"/>
      <c r="S91" s="667"/>
      <c r="T91" s="667"/>
      <c r="U91" s="667"/>
    </row>
    <row r="92" spans="1:21" ht="19.5" hidden="1" x14ac:dyDescent="0.3">
      <c r="A92" s="669"/>
      <c r="B92" s="544" t="s">
        <v>45</v>
      </c>
      <c r="C92" s="543"/>
      <c r="D92" s="670"/>
      <c r="E92" s="543"/>
      <c r="F92" s="543"/>
      <c r="G92" s="546"/>
      <c r="H92" s="671" t="s">
        <v>46</v>
      </c>
      <c r="I92" s="672">
        <f t="shared" ref="I92:J93" ca="1" si="57">I108</f>
        <v>0</v>
      </c>
      <c r="J92" s="672">
        <f t="shared" si="57"/>
        <v>0</v>
      </c>
      <c r="K92" s="551">
        <f t="shared" ref="K92:K93" ca="1" si="58">IF(I92&gt;0,J92*100/I92,0)</f>
        <v>0</v>
      </c>
      <c r="L92" s="673"/>
      <c r="M92" s="549"/>
      <c r="N92" s="549"/>
      <c r="O92" s="549"/>
      <c r="P92" s="549"/>
      <c r="Q92" s="549"/>
      <c r="R92" s="549"/>
      <c r="S92" s="549"/>
      <c r="T92" s="549"/>
      <c r="U92" s="549"/>
    </row>
    <row r="93" spans="1:21" ht="19.5" hidden="1" x14ac:dyDescent="0.3">
      <c r="A93" s="669"/>
      <c r="B93" s="543"/>
      <c r="C93" s="543"/>
      <c r="D93" s="670"/>
      <c r="E93" s="543"/>
      <c r="F93" s="543"/>
      <c r="G93" s="546"/>
      <c r="H93" s="671" t="s">
        <v>35</v>
      </c>
      <c r="I93" s="672">
        <f t="shared" ca="1" si="57"/>
        <v>0</v>
      </c>
      <c r="J93" s="672">
        <f t="shared" si="57"/>
        <v>0</v>
      </c>
      <c r="K93" s="551">
        <f t="shared" ca="1" si="58"/>
        <v>0</v>
      </c>
      <c r="L93" s="673"/>
      <c r="M93" s="549"/>
      <c r="N93" s="549"/>
      <c r="O93" s="549"/>
      <c r="P93" s="549"/>
      <c r="Q93" s="549"/>
      <c r="R93" s="549"/>
      <c r="S93" s="549"/>
      <c r="T93" s="549"/>
      <c r="U93" s="549"/>
    </row>
    <row r="94" spans="1:21" ht="19.5" hidden="1" x14ac:dyDescent="0.3">
      <c r="A94" s="674"/>
      <c r="B94" s="561"/>
      <c r="C94" s="675" t="s">
        <v>18</v>
      </c>
      <c r="D94" s="676" t="s">
        <v>19</v>
      </c>
      <c r="E94" s="561"/>
      <c r="F94" s="561"/>
      <c r="G94" s="563"/>
      <c r="H94" s="677" t="s">
        <v>14</v>
      </c>
      <c r="I94" s="565"/>
      <c r="J94" s="565"/>
      <c r="K94" s="566"/>
      <c r="L94" s="678">
        <f t="shared" ref="L94:N94" ca="1" si="59">L95+L96</f>
        <v>0</v>
      </c>
      <c r="M94" s="679">
        <f t="shared" ca="1" si="59"/>
        <v>0</v>
      </c>
      <c r="N94" s="679">
        <f t="shared" ca="1" si="59"/>
        <v>0</v>
      </c>
      <c r="O94" s="679">
        <f t="shared" ref="O94:O102" ca="1" si="60">IF(L94&gt;0,N94*100/L94,0)</f>
        <v>0</v>
      </c>
      <c r="P94" s="679">
        <f t="shared" ref="P94:P102" ca="1" si="61">IF(M94&gt;0,N94*100/M94,0)</f>
        <v>0</v>
      </c>
      <c r="Q94" s="679">
        <f t="shared" ref="Q94:S94" ca="1" si="62">Q95+Q96</f>
        <v>0</v>
      </c>
      <c r="R94" s="679">
        <f t="shared" ca="1" si="62"/>
        <v>0</v>
      </c>
      <c r="S94" s="679">
        <f t="shared" ca="1" si="62"/>
        <v>0</v>
      </c>
      <c r="T94" s="679">
        <f t="shared" ref="T94:T102" ca="1" si="63">IF(Q94&gt;0,S94*100/Q94,0)</f>
        <v>0</v>
      </c>
      <c r="U94" s="679">
        <f t="shared" ref="U94:U102" ca="1" si="64">IF(R94&gt;0,S94*100/R94,0)</f>
        <v>0</v>
      </c>
    </row>
    <row r="95" spans="1:21" ht="18.75" hidden="1" x14ac:dyDescent="0.25">
      <c r="A95" s="674"/>
      <c r="B95" s="561"/>
      <c r="C95" s="561"/>
      <c r="D95" s="561"/>
      <c r="E95" s="569" t="s">
        <v>20</v>
      </c>
      <c r="F95" s="561"/>
      <c r="G95" s="563"/>
      <c r="H95" s="680" t="s">
        <v>14</v>
      </c>
      <c r="I95" s="565"/>
      <c r="J95" s="565"/>
      <c r="K95" s="566"/>
      <c r="L95" s="571">
        <f t="shared" ref="L95:N96" si="65">L98+L101</f>
        <v>0</v>
      </c>
      <c r="M95" s="572">
        <f t="shared" si="65"/>
        <v>0</v>
      </c>
      <c r="N95" s="572">
        <f t="shared" si="65"/>
        <v>0</v>
      </c>
      <c r="O95" s="572">
        <f t="shared" si="60"/>
        <v>0</v>
      </c>
      <c r="P95" s="572">
        <f t="shared" si="61"/>
        <v>0</v>
      </c>
      <c r="Q95" s="572">
        <f t="shared" ref="Q95:S96" si="66">Q98+Q101</f>
        <v>0</v>
      </c>
      <c r="R95" s="572">
        <f t="shared" si="66"/>
        <v>0</v>
      </c>
      <c r="S95" s="572">
        <f t="shared" si="66"/>
        <v>0</v>
      </c>
      <c r="T95" s="572">
        <f t="shared" si="63"/>
        <v>0</v>
      </c>
      <c r="U95" s="572">
        <f t="shared" si="64"/>
        <v>0</v>
      </c>
    </row>
    <row r="96" spans="1:21" ht="18.75" hidden="1" x14ac:dyDescent="0.25">
      <c r="A96" s="674"/>
      <c r="B96" s="561"/>
      <c r="C96" s="561"/>
      <c r="D96" s="561"/>
      <c r="E96" s="573" t="s">
        <v>21</v>
      </c>
      <c r="F96" s="561"/>
      <c r="G96" s="563"/>
      <c r="H96" s="681" t="s">
        <v>14</v>
      </c>
      <c r="I96" s="565"/>
      <c r="J96" s="565"/>
      <c r="K96" s="566"/>
      <c r="L96" s="567">
        <f t="shared" ca="1" si="65"/>
        <v>0</v>
      </c>
      <c r="M96" s="568">
        <f t="shared" ca="1" si="65"/>
        <v>0</v>
      </c>
      <c r="N96" s="568">
        <f t="shared" ca="1" si="65"/>
        <v>0</v>
      </c>
      <c r="O96" s="568">
        <f t="shared" ca="1" si="60"/>
        <v>0</v>
      </c>
      <c r="P96" s="568">
        <f t="shared" ca="1" si="61"/>
        <v>0</v>
      </c>
      <c r="Q96" s="568">
        <f t="shared" ca="1" si="66"/>
        <v>0</v>
      </c>
      <c r="R96" s="568">
        <f t="shared" ca="1" si="66"/>
        <v>0</v>
      </c>
      <c r="S96" s="568">
        <f t="shared" ca="1" si="66"/>
        <v>0</v>
      </c>
      <c r="T96" s="568">
        <f t="shared" ca="1" si="63"/>
        <v>0</v>
      </c>
      <c r="U96" s="568">
        <f t="shared" ca="1" si="64"/>
        <v>0</v>
      </c>
    </row>
    <row r="97" spans="1:21" ht="18.75" hidden="1" x14ac:dyDescent="0.25">
      <c r="A97" s="674"/>
      <c r="B97" s="561"/>
      <c r="C97" s="561"/>
      <c r="D97" s="562" t="s">
        <v>22</v>
      </c>
      <c r="E97" s="561"/>
      <c r="F97" s="561"/>
      <c r="G97" s="563"/>
      <c r="H97" s="682" t="s">
        <v>14</v>
      </c>
      <c r="I97" s="683"/>
      <c r="J97" s="683"/>
      <c r="K97" s="684"/>
      <c r="L97" s="567">
        <f t="shared" ref="L97:N97" ca="1" si="67">L98+L99</f>
        <v>0</v>
      </c>
      <c r="M97" s="568">
        <f t="shared" ca="1" si="67"/>
        <v>0</v>
      </c>
      <c r="N97" s="568">
        <f t="shared" ca="1" si="67"/>
        <v>0</v>
      </c>
      <c r="O97" s="568">
        <f t="shared" ca="1" si="60"/>
        <v>0</v>
      </c>
      <c r="P97" s="568">
        <f t="shared" ca="1" si="61"/>
        <v>0</v>
      </c>
      <c r="Q97" s="568">
        <f t="shared" ref="Q97:S97" ca="1" si="68">Q98+Q99</f>
        <v>0</v>
      </c>
      <c r="R97" s="568">
        <f t="shared" ca="1" si="68"/>
        <v>0</v>
      </c>
      <c r="S97" s="568">
        <f t="shared" ca="1" si="68"/>
        <v>0</v>
      </c>
      <c r="T97" s="568">
        <f t="shared" ca="1" si="63"/>
        <v>0</v>
      </c>
      <c r="U97" s="568">
        <f t="shared" ca="1" si="64"/>
        <v>0</v>
      </c>
    </row>
    <row r="98" spans="1:21" ht="18.75" hidden="1" x14ac:dyDescent="0.25">
      <c r="A98" s="674"/>
      <c r="B98" s="561"/>
      <c r="C98" s="561"/>
      <c r="D98" s="561"/>
      <c r="E98" s="569" t="s">
        <v>36</v>
      </c>
      <c r="F98" s="561"/>
      <c r="G98" s="563"/>
      <c r="H98" s="685" t="s">
        <v>14</v>
      </c>
      <c r="I98" s="683"/>
      <c r="J98" s="683"/>
      <c r="K98" s="684"/>
      <c r="L98" s="571">
        <v>0</v>
      </c>
      <c r="M98" s="572">
        <v>0</v>
      </c>
      <c r="N98" s="572">
        <v>0</v>
      </c>
      <c r="O98" s="572">
        <f t="shared" si="60"/>
        <v>0</v>
      </c>
      <c r="P98" s="572">
        <f t="shared" si="61"/>
        <v>0</v>
      </c>
      <c r="Q98" s="572">
        <v>0</v>
      </c>
      <c r="R98" s="572">
        <v>0</v>
      </c>
      <c r="S98" s="572">
        <v>0</v>
      </c>
      <c r="T98" s="572">
        <f t="shared" si="63"/>
        <v>0</v>
      </c>
      <c r="U98" s="572">
        <f t="shared" si="64"/>
        <v>0</v>
      </c>
    </row>
    <row r="99" spans="1:21" ht="18.75" hidden="1" x14ac:dyDescent="0.25">
      <c r="A99" s="674"/>
      <c r="B99" s="561"/>
      <c r="C99" s="561"/>
      <c r="D99" s="561"/>
      <c r="E99" s="573" t="s">
        <v>37</v>
      </c>
      <c r="F99" s="561"/>
      <c r="G99" s="563"/>
      <c r="H99" s="682" t="s">
        <v>14</v>
      </c>
      <c r="I99" s="683"/>
      <c r="J99" s="683"/>
      <c r="K99" s="684"/>
      <c r="L99" s="567">
        <f ca="1">IFERROR(__xludf.DUMMYFUNCTION("IMPORTRANGE(""https://docs.google.com/spreadsheets/d/1-uDff_7J0KD5mKrp0Vvzr7lt3OU09vwQwhkpOPPYv2Y/edit?usp=sharing"",""งบพรบ!AW15"")"),0)</f>
        <v>0</v>
      </c>
      <c r="M99" s="568">
        <f ca="1">IFERROR(__xludf.DUMMYFUNCTION("IMPORTRANGE(""https://docs.google.com/spreadsheets/d/1-uDff_7J0KD5mKrp0Vvzr7lt3OU09vwQwhkpOPPYv2Y/edit?usp=sharing"",""งบพรบ!BB15"")"),0)</f>
        <v>0</v>
      </c>
      <c r="N99" s="568">
        <f ca="1">IFERROR(__xludf.DUMMYFUNCTION("IMPORTRANGE(""https://docs.google.com/spreadsheets/d/1-uDff_7J0KD5mKrp0Vvzr7lt3OU09vwQwhkpOPPYv2Y/edit?usp=sharing"",""งบพรบ!BD15"")"),0)</f>
        <v>0</v>
      </c>
      <c r="O99" s="568">
        <f t="shared" ca="1" si="60"/>
        <v>0</v>
      </c>
      <c r="P99" s="568">
        <f t="shared" ca="1" si="61"/>
        <v>0</v>
      </c>
      <c r="Q99" s="568">
        <f ca="1">IFERROR(__xludf.DUMMYFUNCTION("IMPORTRANGE(""https://docs.google.com/spreadsheets/d/1ItG2mGa2ceCfYo0BwxsXqNm01IGEUdYcSSLTEv9YCik/edit?usp=sharing"",""เบิกจ่ายกองทุน!AJ15"")"),0)</f>
        <v>0</v>
      </c>
      <c r="R99" s="568">
        <f ca="1">IFERROR(__xludf.DUMMYFUNCTION("IMPORTRANGE(""https://docs.google.com/spreadsheets/d/1ItG2mGa2ceCfYo0BwxsXqNm01IGEUdYcSSLTEv9YCik/edit?usp=sharing"",""เบิกจ่ายกองทุน!AK15"")"),0)</f>
        <v>0</v>
      </c>
      <c r="S99" s="568">
        <f ca="1">IFERROR(__xludf.DUMMYFUNCTION("IMPORTRANGE(""https://docs.google.com/spreadsheets/d/1ItG2mGa2ceCfYo0BwxsXqNm01IGEUdYcSSLTEv9YCik/edit?usp=sharing"",""เบิกจ่ายกองทุน!AL15"")"),0)</f>
        <v>0</v>
      </c>
      <c r="T99" s="568">
        <f t="shared" ca="1" si="63"/>
        <v>0</v>
      </c>
      <c r="U99" s="568">
        <f t="shared" ca="1" si="64"/>
        <v>0</v>
      </c>
    </row>
    <row r="100" spans="1:21" ht="18.75" hidden="1" x14ac:dyDescent="0.25">
      <c r="A100" s="674"/>
      <c r="B100" s="561"/>
      <c r="C100" s="561"/>
      <c r="D100" s="562" t="s">
        <v>23</v>
      </c>
      <c r="E100" s="561"/>
      <c r="F100" s="561"/>
      <c r="G100" s="563"/>
      <c r="H100" s="686" t="s">
        <v>14</v>
      </c>
      <c r="I100" s="683"/>
      <c r="J100" s="683"/>
      <c r="K100" s="684"/>
      <c r="L100" s="567">
        <f t="shared" ref="L100:N100" ca="1" si="69">L101+L102</f>
        <v>0</v>
      </c>
      <c r="M100" s="568">
        <f t="shared" ca="1" si="69"/>
        <v>0</v>
      </c>
      <c r="N100" s="568">
        <f t="shared" ca="1" si="69"/>
        <v>0</v>
      </c>
      <c r="O100" s="568">
        <f t="shared" ca="1" si="60"/>
        <v>0</v>
      </c>
      <c r="P100" s="568">
        <f t="shared" ca="1" si="61"/>
        <v>0</v>
      </c>
      <c r="Q100" s="568">
        <f t="shared" ref="Q100:S100" si="70">Q101+Q102</f>
        <v>0</v>
      </c>
      <c r="R100" s="568">
        <f t="shared" si="70"/>
        <v>0</v>
      </c>
      <c r="S100" s="568">
        <f t="shared" si="70"/>
        <v>0</v>
      </c>
      <c r="T100" s="568">
        <f t="shared" si="63"/>
        <v>0</v>
      </c>
      <c r="U100" s="568">
        <f t="shared" si="64"/>
        <v>0</v>
      </c>
    </row>
    <row r="101" spans="1:21" ht="18.75" hidden="1" x14ac:dyDescent="0.25">
      <c r="A101" s="674"/>
      <c r="B101" s="561"/>
      <c r="C101" s="561"/>
      <c r="D101" s="561"/>
      <c r="E101" s="569" t="s">
        <v>20</v>
      </c>
      <c r="F101" s="561"/>
      <c r="G101" s="563"/>
      <c r="H101" s="685" t="s">
        <v>14</v>
      </c>
      <c r="I101" s="683"/>
      <c r="J101" s="683"/>
      <c r="K101" s="684"/>
      <c r="L101" s="571">
        <v>0</v>
      </c>
      <c r="M101" s="572">
        <v>0</v>
      </c>
      <c r="N101" s="572">
        <v>0</v>
      </c>
      <c r="O101" s="572">
        <f t="shared" si="60"/>
        <v>0</v>
      </c>
      <c r="P101" s="572">
        <f t="shared" si="61"/>
        <v>0</v>
      </c>
      <c r="Q101" s="572">
        <v>0</v>
      </c>
      <c r="R101" s="572">
        <v>0</v>
      </c>
      <c r="S101" s="572">
        <v>0</v>
      </c>
      <c r="T101" s="572">
        <f t="shared" si="63"/>
        <v>0</v>
      </c>
      <c r="U101" s="572">
        <f t="shared" si="64"/>
        <v>0</v>
      </c>
    </row>
    <row r="102" spans="1:21" ht="18.75" hidden="1" x14ac:dyDescent="0.25">
      <c r="A102" s="674"/>
      <c r="B102" s="561"/>
      <c r="C102" s="561"/>
      <c r="D102" s="561"/>
      <c r="E102" s="573" t="s">
        <v>21</v>
      </c>
      <c r="F102" s="561"/>
      <c r="G102" s="563"/>
      <c r="H102" s="686" t="s">
        <v>14</v>
      </c>
      <c r="I102" s="683"/>
      <c r="J102" s="683"/>
      <c r="K102" s="684"/>
      <c r="L102" s="567">
        <f ca="1">IFERROR(__xludf.DUMMYFUNCTION("IMPORTRANGE(""https://docs.google.com/spreadsheets/d/1-uDff_7J0KD5mKrp0Vvzr7lt3OU09vwQwhkpOPPYv2Y/edit?usp=sharing"",""งบพรบ!AZ15"")"),0)</f>
        <v>0</v>
      </c>
      <c r="M102" s="568">
        <f ca="1">IFERROR(__xludf.DUMMYFUNCTION("IMPORTRANGE(""https://docs.google.com/spreadsheets/d/1-uDff_7J0KD5mKrp0Vvzr7lt3OU09vwQwhkpOPPYv2Y/edit?usp=sharing"",""งบพรบ!BC15"")"),0)</f>
        <v>0</v>
      </c>
      <c r="N102" s="568">
        <f ca="1">IFERROR(__xludf.DUMMYFUNCTION("IMPORTRANGE(""https://docs.google.com/spreadsheets/d/1-uDff_7J0KD5mKrp0Vvzr7lt3OU09vwQwhkpOPPYv2Y/edit?usp=sharing"",""งบพรบ!BE15"")"),0)</f>
        <v>0</v>
      </c>
      <c r="O102" s="568">
        <f t="shared" ca="1" si="60"/>
        <v>0</v>
      </c>
      <c r="P102" s="568">
        <f t="shared" ca="1" si="61"/>
        <v>0</v>
      </c>
      <c r="Q102" s="568">
        <v>0</v>
      </c>
      <c r="R102" s="568">
        <v>0</v>
      </c>
      <c r="S102" s="568">
        <v>0</v>
      </c>
      <c r="T102" s="568">
        <f t="shared" si="63"/>
        <v>0</v>
      </c>
      <c r="U102" s="568">
        <f t="shared" si="64"/>
        <v>0</v>
      </c>
    </row>
    <row r="103" spans="1:21" ht="19.5" hidden="1" x14ac:dyDescent="0.3">
      <c r="A103" s="687"/>
      <c r="B103" s="688"/>
      <c r="C103" s="675" t="s">
        <v>18</v>
      </c>
      <c r="D103" s="689" t="s">
        <v>38</v>
      </c>
      <c r="E103" s="690"/>
      <c r="F103" s="690"/>
      <c r="G103" s="691"/>
      <c r="H103" s="692"/>
      <c r="I103" s="683"/>
      <c r="J103" s="565"/>
      <c r="K103" s="566"/>
      <c r="L103" s="574"/>
      <c r="M103" s="566"/>
      <c r="N103" s="566"/>
      <c r="O103" s="684"/>
      <c r="P103" s="684"/>
      <c r="Q103" s="566"/>
      <c r="R103" s="566"/>
      <c r="S103" s="566"/>
      <c r="T103" s="684"/>
      <c r="U103" s="684"/>
    </row>
    <row r="104" spans="1:21" ht="12.75" hidden="1" x14ac:dyDescent="0.2">
      <c r="A104" s="705"/>
      <c r="B104" s="706"/>
      <c r="C104" s="706"/>
      <c r="D104" s="531"/>
      <c r="E104" s="531"/>
      <c r="F104" s="531"/>
      <c r="G104" s="532"/>
      <c r="H104" s="532"/>
      <c r="I104" s="533"/>
      <c r="J104" s="533"/>
      <c r="K104" s="534"/>
      <c r="L104" s="535"/>
      <c r="M104" s="534"/>
      <c r="N104" s="534"/>
      <c r="O104" s="534"/>
      <c r="P104" s="534"/>
      <c r="Q104" s="534"/>
      <c r="R104" s="534"/>
      <c r="S104" s="534"/>
      <c r="T104" s="534"/>
      <c r="U104" s="534"/>
    </row>
    <row r="105" spans="1:21" ht="12.75" hidden="1" x14ac:dyDescent="0.2">
      <c r="A105" s="705"/>
      <c r="B105" s="706"/>
      <c r="C105" s="706"/>
      <c r="D105" s="531"/>
      <c r="E105" s="531"/>
      <c r="F105" s="531"/>
      <c r="G105" s="532"/>
      <c r="H105" s="532"/>
      <c r="I105" s="533"/>
      <c r="J105" s="533"/>
      <c r="K105" s="534"/>
      <c r="L105" s="535"/>
      <c r="M105" s="534"/>
      <c r="N105" s="534"/>
      <c r="O105" s="534"/>
      <c r="P105" s="534"/>
      <c r="Q105" s="534"/>
      <c r="R105" s="534"/>
      <c r="S105" s="534"/>
      <c r="T105" s="534"/>
      <c r="U105" s="534"/>
    </row>
    <row r="106" spans="1:21" ht="12.75" hidden="1" x14ac:dyDescent="0.2">
      <c r="A106" s="705"/>
      <c r="B106" s="706"/>
      <c r="C106" s="706"/>
      <c r="D106" s="706"/>
      <c r="E106" s="531"/>
      <c r="F106" s="531"/>
      <c r="G106" s="532"/>
      <c r="H106" s="532"/>
      <c r="I106" s="533"/>
      <c r="J106" s="533"/>
      <c r="K106" s="534"/>
      <c r="L106" s="535"/>
      <c r="M106" s="534"/>
      <c r="N106" s="534"/>
      <c r="O106" s="534"/>
      <c r="P106" s="534"/>
      <c r="Q106" s="534"/>
      <c r="R106" s="534"/>
      <c r="S106" s="534"/>
      <c r="T106" s="534"/>
      <c r="U106" s="534"/>
    </row>
    <row r="107" spans="1:21" ht="19.5" hidden="1" x14ac:dyDescent="0.3">
      <c r="A107" s="687"/>
      <c r="B107" s="688"/>
      <c r="C107" s="688"/>
      <c r="D107" s="707" t="s">
        <v>47</v>
      </c>
      <c r="E107" s="510"/>
      <c r="F107" s="695"/>
      <c r="G107" s="692"/>
      <c r="H107" s="563"/>
      <c r="I107" s="565"/>
      <c r="J107" s="565"/>
      <c r="K107" s="566"/>
      <c r="L107" s="574"/>
      <c r="M107" s="566"/>
      <c r="N107" s="566"/>
      <c r="O107" s="684"/>
      <c r="P107" s="684"/>
      <c r="Q107" s="566"/>
      <c r="R107" s="566"/>
      <c r="S107" s="566"/>
      <c r="T107" s="684"/>
      <c r="U107" s="684"/>
    </row>
    <row r="108" spans="1:21" ht="18.75" hidden="1" x14ac:dyDescent="0.25">
      <c r="A108" s="687"/>
      <c r="B108" s="688"/>
      <c r="C108" s="688"/>
      <c r="D108" s="699" t="s">
        <v>48</v>
      </c>
      <c r="E108" s="695"/>
      <c r="F108" s="695"/>
      <c r="G108" s="692"/>
      <c r="H108" s="564" t="s">
        <v>46</v>
      </c>
      <c r="I108" s="708">
        <f ca="1">IFERROR(__xludf.DUMMYFUNCTION("IMPORTRANGE(""https://docs.google.com/spreadsheets/d/1eHaY18a8A9IcSdp1K8H6x8fbOy06t2VsZHhMHf-1x7Y/edit?usp=sharing"",""แผน!N15"")"),0)</f>
        <v>0</v>
      </c>
      <c r="J108" s="702">
        <v>0</v>
      </c>
      <c r="K108" s="568">
        <f t="shared" ref="K108:K109" ca="1" si="71">IF(I108&gt;0,J108*100/I108,0)</f>
        <v>0</v>
      </c>
      <c r="L108" s="574"/>
      <c r="M108" s="566"/>
      <c r="N108" s="566"/>
      <c r="O108" s="684"/>
      <c r="P108" s="684"/>
      <c r="Q108" s="566"/>
      <c r="R108" s="566"/>
      <c r="S108" s="566"/>
      <c r="T108" s="684"/>
      <c r="U108" s="684"/>
    </row>
    <row r="109" spans="1:21" ht="18.75" hidden="1" x14ac:dyDescent="0.25">
      <c r="A109" s="687"/>
      <c r="B109" s="688"/>
      <c r="C109" s="688"/>
      <c r="D109" s="699" t="s">
        <v>49</v>
      </c>
      <c r="E109" s="695"/>
      <c r="F109" s="695"/>
      <c r="G109" s="692"/>
      <c r="H109" s="564" t="s">
        <v>35</v>
      </c>
      <c r="I109" s="708">
        <f ca="1">IFERROR(__xludf.DUMMYFUNCTION("IMPORTRANGE(""https://docs.google.com/spreadsheets/d/1eHaY18a8A9IcSdp1K8H6x8fbOy06t2VsZHhMHf-1x7Y/edit?usp=sharing"",""แผน!O15"")"),0)</f>
        <v>0</v>
      </c>
      <c r="J109" s="702">
        <v>0</v>
      </c>
      <c r="K109" s="568">
        <f t="shared" ca="1" si="71"/>
        <v>0</v>
      </c>
      <c r="L109" s="574"/>
      <c r="M109" s="566"/>
      <c r="N109" s="566"/>
      <c r="O109" s="684"/>
      <c r="P109" s="684"/>
      <c r="Q109" s="566"/>
      <c r="R109" s="566"/>
      <c r="S109" s="566"/>
      <c r="T109" s="684"/>
      <c r="U109" s="684"/>
    </row>
    <row r="110" spans="1:21" ht="12.75" hidden="1" x14ac:dyDescent="0.2">
      <c r="A110" s="705"/>
      <c r="B110" s="706"/>
      <c r="C110" s="706"/>
      <c r="D110" s="531"/>
      <c r="E110" s="531"/>
      <c r="F110" s="531"/>
      <c r="G110" s="532"/>
      <c r="H110" s="532"/>
      <c r="I110" s="533"/>
      <c r="J110" s="533"/>
      <c r="K110" s="534"/>
      <c r="L110" s="535"/>
      <c r="M110" s="534"/>
      <c r="N110" s="534"/>
      <c r="O110" s="534"/>
      <c r="P110" s="534"/>
      <c r="Q110" s="534"/>
      <c r="R110" s="534"/>
      <c r="S110" s="534"/>
      <c r="T110" s="534"/>
      <c r="U110" s="534"/>
    </row>
    <row r="111" spans="1:21" ht="12.75" hidden="1" x14ac:dyDescent="0.2">
      <c r="A111" s="705"/>
      <c r="B111" s="706"/>
      <c r="C111" s="706"/>
      <c r="D111" s="531"/>
      <c r="E111" s="531"/>
      <c r="F111" s="531"/>
      <c r="G111" s="532"/>
      <c r="H111" s="532"/>
      <c r="I111" s="533"/>
      <c r="J111" s="533"/>
      <c r="K111" s="534"/>
      <c r="L111" s="535"/>
      <c r="M111" s="534"/>
      <c r="N111" s="534"/>
      <c r="O111" s="534"/>
      <c r="P111" s="534"/>
      <c r="Q111" s="534"/>
      <c r="R111" s="534"/>
      <c r="S111" s="534"/>
      <c r="T111" s="534"/>
      <c r="U111" s="534"/>
    </row>
    <row r="112" spans="1:21" ht="12.75" hidden="1" x14ac:dyDescent="0.2">
      <c r="A112" s="705"/>
      <c r="B112" s="706"/>
      <c r="C112" s="706"/>
      <c r="D112" s="531"/>
      <c r="E112" s="531"/>
      <c r="F112" s="531"/>
      <c r="G112" s="532"/>
      <c r="H112" s="532"/>
      <c r="I112" s="533"/>
      <c r="J112" s="533"/>
      <c r="K112" s="534"/>
      <c r="L112" s="535"/>
      <c r="M112" s="534"/>
      <c r="N112" s="534"/>
      <c r="O112" s="534"/>
      <c r="P112" s="534"/>
      <c r="Q112" s="534"/>
      <c r="R112" s="534"/>
      <c r="S112" s="534"/>
      <c r="T112" s="534"/>
      <c r="U112" s="534"/>
    </row>
    <row r="113" spans="1:21" ht="12.75" hidden="1" x14ac:dyDescent="0.2">
      <c r="A113" s="705"/>
      <c r="B113" s="706"/>
      <c r="C113" s="706"/>
      <c r="D113" s="531"/>
      <c r="E113" s="531"/>
      <c r="F113" s="531"/>
      <c r="G113" s="532"/>
      <c r="H113" s="532"/>
      <c r="I113" s="533">
        <v>0</v>
      </c>
      <c r="J113" s="533">
        <v>0</v>
      </c>
      <c r="K113" s="534"/>
      <c r="L113" s="535"/>
      <c r="M113" s="534"/>
      <c r="N113" s="534"/>
      <c r="O113" s="534"/>
      <c r="P113" s="534"/>
      <c r="Q113" s="534"/>
      <c r="R113" s="534"/>
      <c r="S113" s="534"/>
      <c r="T113" s="534"/>
      <c r="U113" s="534"/>
    </row>
    <row r="114" spans="1:21" ht="18.75" hidden="1" x14ac:dyDescent="0.25">
      <c r="A114" s="687"/>
      <c r="B114" s="688"/>
      <c r="C114" s="688"/>
      <c r="D114" s="699" t="s">
        <v>50</v>
      </c>
      <c r="E114" s="695"/>
      <c r="F114" s="695"/>
      <c r="G114" s="692"/>
      <c r="H114" s="700" t="s">
        <v>35</v>
      </c>
      <c r="I114" s="701">
        <f ca="1">IFERROR(__xludf.DUMMYFUNCTION("IMPORTRANGE(""https://docs.google.com/spreadsheets/d/1eHaY18a8A9IcSdp1K8H6x8fbOy06t2VsZHhMHf-1x7Y/edit?usp=sharing"",""แผน!R15"")"),0)</f>
        <v>0</v>
      </c>
      <c r="J114" s="702">
        <v>0</v>
      </c>
      <c r="K114" s="568">
        <f ca="1">IF(I114&gt;0,J114*100/I114,0)</f>
        <v>0</v>
      </c>
      <c r="L114" s="574"/>
      <c r="M114" s="566"/>
      <c r="N114" s="566"/>
      <c r="O114" s="684"/>
      <c r="P114" s="684"/>
      <c r="Q114" s="566"/>
      <c r="R114" s="566"/>
      <c r="S114" s="566"/>
      <c r="T114" s="684"/>
      <c r="U114" s="684"/>
    </row>
    <row r="115" spans="1:21" ht="19.5" x14ac:dyDescent="0.3">
      <c r="A115" s="709" t="s">
        <v>51</v>
      </c>
      <c r="B115" s="710"/>
      <c r="C115" s="711"/>
      <c r="D115" s="712"/>
      <c r="E115" s="712"/>
      <c r="F115" s="712"/>
      <c r="G115" s="712"/>
      <c r="H115" s="710"/>
      <c r="I115" s="713"/>
      <c r="J115" s="713"/>
      <c r="K115" s="714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</row>
    <row r="116" spans="1:21" ht="19.5" x14ac:dyDescent="0.3">
      <c r="A116" s="669"/>
      <c r="B116" s="715" t="s">
        <v>52</v>
      </c>
      <c r="C116" s="716"/>
      <c r="D116" s="670"/>
      <c r="E116" s="543"/>
      <c r="F116" s="543"/>
      <c r="G116" s="546"/>
      <c r="H116" s="717" t="s">
        <v>35</v>
      </c>
      <c r="I116" s="672">
        <f t="shared" ref="I116:J116" ca="1" si="72">I127</f>
        <v>60</v>
      </c>
      <c r="J116" s="672">
        <f t="shared" si="72"/>
        <v>60</v>
      </c>
      <c r="K116" s="551">
        <f ca="1">IF(I116&gt;0,J116*100/I116,0)</f>
        <v>100</v>
      </c>
      <c r="L116" s="673"/>
      <c r="M116" s="549"/>
      <c r="N116" s="549"/>
      <c r="O116" s="549"/>
      <c r="P116" s="549"/>
      <c r="Q116" s="549"/>
      <c r="R116" s="549"/>
      <c r="S116" s="549"/>
      <c r="T116" s="549"/>
      <c r="U116" s="549"/>
    </row>
    <row r="117" spans="1:21" ht="19.5" x14ac:dyDescent="0.3">
      <c r="A117" s="674"/>
      <c r="B117" s="718"/>
      <c r="C117" s="719" t="s">
        <v>18</v>
      </c>
      <c r="D117" s="676" t="s">
        <v>19</v>
      </c>
      <c r="E117" s="561"/>
      <c r="F117" s="561"/>
      <c r="G117" s="563"/>
      <c r="H117" s="677" t="s">
        <v>14</v>
      </c>
      <c r="I117" s="565"/>
      <c r="J117" s="565"/>
      <c r="K117" s="566"/>
      <c r="L117" s="678">
        <f t="shared" ref="L117:N117" ca="1" si="73">L118+L119</f>
        <v>0</v>
      </c>
      <c r="M117" s="679">
        <f t="shared" ca="1" si="73"/>
        <v>0</v>
      </c>
      <c r="N117" s="679">
        <f t="shared" ca="1" si="73"/>
        <v>0</v>
      </c>
      <c r="O117" s="679">
        <f t="shared" ref="O117:O125" ca="1" si="74">IF(L117&gt;0,N117*100/L117,0)</f>
        <v>0</v>
      </c>
      <c r="P117" s="679">
        <f t="shared" ref="P117:P125" ca="1" si="75">IF(M117&gt;0,N117*100/M117,0)</f>
        <v>0</v>
      </c>
      <c r="Q117" s="679">
        <f t="shared" ref="Q117:S117" ca="1" si="76">Q118+Q119</f>
        <v>308920</v>
      </c>
      <c r="R117" s="679">
        <f t="shared" ca="1" si="76"/>
        <v>308920</v>
      </c>
      <c r="S117" s="679">
        <f t="shared" ca="1" si="76"/>
        <v>207620.01</v>
      </c>
      <c r="T117" s="679">
        <f t="shared" ref="T117:T125" ca="1" si="77">IF(Q117&gt;0,S117*100/Q117,0)</f>
        <v>67.208341965557423</v>
      </c>
      <c r="U117" s="679">
        <f t="shared" ref="U117:U125" ca="1" si="78">IF(R117&gt;0,S117*100/R117,0)</f>
        <v>67.208341965557423</v>
      </c>
    </row>
    <row r="118" spans="1:21" ht="18.75" x14ac:dyDescent="0.25">
      <c r="A118" s="674"/>
      <c r="B118" s="718"/>
      <c r="C118" s="718"/>
      <c r="D118" s="718"/>
      <c r="E118" s="569" t="s">
        <v>20</v>
      </c>
      <c r="F118" s="561"/>
      <c r="G118" s="563"/>
      <c r="H118" s="680" t="s">
        <v>14</v>
      </c>
      <c r="I118" s="565"/>
      <c r="J118" s="565"/>
      <c r="K118" s="566"/>
      <c r="L118" s="571">
        <f t="shared" ref="L118:N119" si="79">L121+L124</f>
        <v>0</v>
      </c>
      <c r="M118" s="572">
        <f t="shared" si="79"/>
        <v>0</v>
      </c>
      <c r="N118" s="572">
        <f t="shared" si="79"/>
        <v>0</v>
      </c>
      <c r="O118" s="572">
        <f t="shared" si="74"/>
        <v>0</v>
      </c>
      <c r="P118" s="572">
        <f t="shared" si="75"/>
        <v>0</v>
      </c>
      <c r="Q118" s="572">
        <f t="shared" ref="Q118:S119" si="80">Q121+Q124</f>
        <v>0</v>
      </c>
      <c r="R118" s="572">
        <f t="shared" si="80"/>
        <v>0</v>
      </c>
      <c r="S118" s="572">
        <f t="shared" si="80"/>
        <v>0</v>
      </c>
      <c r="T118" s="572">
        <f t="shared" si="77"/>
        <v>0</v>
      </c>
      <c r="U118" s="572">
        <f t="shared" si="78"/>
        <v>0</v>
      </c>
    </row>
    <row r="119" spans="1:21" ht="18.75" x14ac:dyDescent="0.25">
      <c r="A119" s="674"/>
      <c r="B119" s="718"/>
      <c r="C119" s="718"/>
      <c r="D119" s="718"/>
      <c r="E119" s="573" t="s">
        <v>21</v>
      </c>
      <c r="F119" s="561"/>
      <c r="G119" s="563"/>
      <c r="H119" s="681" t="s">
        <v>14</v>
      </c>
      <c r="I119" s="565"/>
      <c r="J119" s="565"/>
      <c r="K119" s="566"/>
      <c r="L119" s="567">
        <f t="shared" ca="1" si="79"/>
        <v>0</v>
      </c>
      <c r="M119" s="568">
        <f t="shared" ca="1" si="79"/>
        <v>0</v>
      </c>
      <c r="N119" s="568">
        <f t="shared" ca="1" si="79"/>
        <v>0</v>
      </c>
      <c r="O119" s="568">
        <f t="shared" ca="1" si="74"/>
        <v>0</v>
      </c>
      <c r="P119" s="568">
        <f t="shared" ca="1" si="75"/>
        <v>0</v>
      </c>
      <c r="Q119" s="568">
        <f t="shared" ca="1" si="80"/>
        <v>308920</v>
      </c>
      <c r="R119" s="568">
        <f t="shared" ca="1" si="80"/>
        <v>308920</v>
      </c>
      <c r="S119" s="568">
        <f t="shared" ca="1" si="80"/>
        <v>207620.01</v>
      </c>
      <c r="T119" s="568">
        <f t="shared" ca="1" si="77"/>
        <v>67.208341965557423</v>
      </c>
      <c r="U119" s="568">
        <f t="shared" ca="1" si="78"/>
        <v>67.208341965557423</v>
      </c>
    </row>
    <row r="120" spans="1:21" ht="18.75" x14ac:dyDescent="0.25">
      <c r="A120" s="674"/>
      <c r="B120" s="718"/>
      <c r="C120" s="720"/>
      <c r="D120" s="721" t="s">
        <v>22</v>
      </c>
      <c r="E120" s="561"/>
      <c r="F120" s="561"/>
      <c r="G120" s="563"/>
      <c r="H120" s="722" t="s">
        <v>14</v>
      </c>
      <c r="I120" s="565"/>
      <c r="J120" s="565"/>
      <c r="K120" s="566"/>
      <c r="L120" s="567">
        <f t="shared" ref="L120:N120" ca="1" si="81">L121+L122</f>
        <v>0</v>
      </c>
      <c r="M120" s="568">
        <f t="shared" ca="1" si="81"/>
        <v>0</v>
      </c>
      <c r="N120" s="568">
        <f t="shared" ca="1" si="81"/>
        <v>0</v>
      </c>
      <c r="O120" s="568">
        <f t="shared" ca="1" si="74"/>
        <v>0</v>
      </c>
      <c r="P120" s="568">
        <f t="shared" ca="1" si="75"/>
        <v>0</v>
      </c>
      <c r="Q120" s="568">
        <f t="shared" ref="Q120:S120" ca="1" si="82">Q121+Q122</f>
        <v>308920</v>
      </c>
      <c r="R120" s="568">
        <f t="shared" ca="1" si="82"/>
        <v>308920</v>
      </c>
      <c r="S120" s="568">
        <f t="shared" ca="1" si="82"/>
        <v>207620.01</v>
      </c>
      <c r="T120" s="568">
        <f t="shared" ca="1" si="77"/>
        <v>67.208341965557423</v>
      </c>
      <c r="U120" s="568">
        <f t="shared" ca="1" si="78"/>
        <v>67.208341965557423</v>
      </c>
    </row>
    <row r="121" spans="1:21" ht="18.75" x14ac:dyDescent="0.25">
      <c r="A121" s="674"/>
      <c r="B121" s="718"/>
      <c r="C121" s="720"/>
      <c r="D121" s="718"/>
      <c r="E121" s="569" t="s">
        <v>36</v>
      </c>
      <c r="F121" s="561"/>
      <c r="G121" s="563"/>
      <c r="H121" s="723" t="s">
        <v>14</v>
      </c>
      <c r="I121" s="565"/>
      <c r="J121" s="565"/>
      <c r="K121" s="566"/>
      <c r="L121" s="571">
        <v>0</v>
      </c>
      <c r="M121" s="572">
        <v>0</v>
      </c>
      <c r="N121" s="572">
        <v>0</v>
      </c>
      <c r="O121" s="572">
        <f t="shared" si="74"/>
        <v>0</v>
      </c>
      <c r="P121" s="572">
        <f t="shared" si="75"/>
        <v>0</v>
      </c>
      <c r="Q121" s="572">
        <v>0</v>
      </c>
      <c r="R121" s="572">
        <v>0</v>
      </c>
      <c r="S121" s="572">
        <v>0</v>
      </c>
      <c r="T121" s="572">
        <f t="shared" si="77"/>
        <v>0</v>
      </c>
      <c r="U121" s="572">
        <f t="shared" si="78"/>
        <v>0</v>
      </c>
    </row>
    <row r="122" spans="1:21" ht="18.75" x14ac:dyDescent="0.25">
      <c r="A122" s="674"/>
      <c r="B122" s="718"/>
      <c r="C122" s="720"/>
      <c r="D122" s="718"/>
      <c r="E122" s="573" t="s">
        <v>37</v>
      </c>
      <c r="F122" s="561"/>
      <c r="G122" s="563"/>
      <c r="H122" s="722" t="s">
        <v>14</v>
      </c>
      <c r="I122" s="565"/>
      <c r="J122" s="565"/>
      <c r="K122" s="566"/>
      <c r="L122" s="567">
        <f ca="1">IFERROR(__xludf.DUMMYFUNCTION("IMPORTRANGE(""https://docs.google.com/spreadsheets/d/1-uDff_7J0KD5mKrp0Vvzr7lt3OU09vwQwhkpOPPYv2Y/edit?usp=sharing"",""งบพรบ!BG15"")"),0)</f>
        <v>0</v>
      </c>
      <c r="M122" s="568">
        <f ca="1">IFERROR(__xludf.DUMMYFUNCTION("IMPORTRANGE(""https://docs.google.com/spreadsheets/d/1-uDff_7J0KD5mKrp0Vvzr7lt3OU09vwQwhkpOPPYv2Y/edit?usp=sharing"",""งบพรบ!BL15"")"),0)</f>
        <v>0</v>
      </c>
      <c r="N122" s="568">
        <f ca="1">IFERROR(__xludf.DUMMYFUNCTION("IMPORTRANGE(""https://docs.google.com/spreadsheets/d/1-uDff_7J0KD5mKrp0Vvzr7lt3OU09vwQwhkpOPPYv2Y/edit?usp=sharing"",""งบพรบ!BN15"")"),0)</f>
        <v>0</v>
      </c>
      <c r="O122" s="568">
        <f t="shared" ca="1" si="74"/>
        <v>0</v>
      </c>
      <c r="P122" s="568">
        <f t="shared" ca="1" si="75"/>
        <v>0</v>
      </c>
      <c r="Q122" s="568">
        <f ca="1">IFERROR(__xludf.DUMMYFUNCTION("IMPORTRANGE(""https://docs.google.com/spreadsheets/d/1ItG2mGa2ceCfYo0BwxsXqNm01IGEUdYcSSLTEv9YCik/edit?usp=sharing"",""เบิกจ่ายกองทุน!U15"")"),308920)</f>
        <v>308920</v>
      </c>
      <c r="R122" s="568">
        <f ca="1">IFERROR(__xludf.DUMMYFUNCTION("IMPORTRANGE(""https://docs.google.com/spreadsheets/d/1ItG2mGa2ceCfYo0BwxsXqNm01IGEUdYcSSLTEv9YCik/edit?usp=sharing"",""เบิกจ่ายกองทุน!V15"")"),308920)</f>
        <v>308920</v>
      </c>
      <c r="S122" s="568">
        <f ca="1">IFERROR(__xludf.DUMMYFUNCTION("IMPORTRANGE(""https://docs.google.com/spreadsheets/d/1ItG2mGa2ceCfYo0BwxsXqNm01IGEUdYcSSLTEv9YCik/edit?usp=sharing"",""เบิกจ่ายกองทุน!W15"")"),207620.01)</f>
        <v>207620.01</v>
      </c>
      <c r="T122" s="568">
        <f t="shared" ca="1" si="77"/>
        <v>67.208341965557423</v>
      </c>
      <c r="U122" s="568">
        <f t="shared" ca="1" si="78"/>
        <v>67.208341965557423</v>
      </c>
    </row>
    <row r="123" spans="1:21" ht="18.75" x14ac:dyDescent="0.25">
      <c r="A123" s="674"/>
      <c r="B123" s="561"/>
      <c r="C123" s="720"/>
      <c r="D123" s="721" t="s">
        <v>23</v>
      </c>
      <c r="E123" s="561"/>
      <c r="F123" s="561"/>
      <c r="G123" s="563"/>
      <c r="H123" s="681" t="s">
        <v>14</v>
      </c>
      <c r="I123" s="565"/>
      <c r="J123" s="565"/>
      <c r="K123" s="566"/>
      <c r="L123" s="567">
        <f t="shared" ref="L123:N123" ca="1" si="83">L124+L125</f>
        <v>0</v>
      </c>
      <c r="M123" s="568">
        <f t="shared" ca="1" si="83"/>
        <v>0</v>
      </c>
      <c r="N123" s="568">
        <f t="shared" ca="1" si="83"/>
        <v>0</v>
      </c>
      <c r="O123" s="568">
        <f t="shared" ca="1" si="74"/>
        <v>0</v>
      </c>
      <c r="P123" s="568">
        <f t="shared" ca="1" si="75"/>
        <v>0</v>
      </c>
      <c r="Q123" s="568">
        <f t="shared" ref="Q123:S123" ca="1" si="84">Q124+Q125</f>
        <v>0</v>
      </c>
      <c r="R123" s="568">
        <f t="shared" ca="1" si="84"/>
        <v>0</v>
      </c>
      <c r="S123" s="568">
        <f t="shared" ca="1" si="84"/>
        <v>0</v>
      </c>
      <c r="T123" s="568">
        <f t="shared" ca="1" si="77"/>
        <v>0</v>
      </c>
      <c r="U123" s="568">
        <f t="shared" ca="1" si="78"/>
        <v>0</v>
      </c>
    </row>
    <row r="124" spans="1:21" ht="18.75" x14ac:dyDescent="0.25">
      <c r="A124" s="674"/>
      <c r="B124" s="561"/>
      <c r="C124" s="720"/>
      <c r="D124" s="718"/>
      <c r="E124" s="569" t="s">
        <v>20</v>
      </c>
      <c r="F124" s="561"/>
      <c r="G124" s="563"/>
      <c r="H124" s="723" t="s">
        <v>14</v>
      </c>
      <c r="I124" s="565"/>
      <c r="J124" s="565"/>
      <c r="K124" s="566"/>
      <c r="L124" s="571">
        <v>0</v>
      </c>
      <c r="M124" s="572">
        <v>0</v>
      </c>
      <c r="N124" s="572">
        <v>0</v>
      </c>
      <c r="O124" s="572">
        <f t="shared" si="74"/>
        <v>0</v>
      </c>
      <c r="P124" s="572">
        <f t="shared" si="75"/>
        <v>0</v>
      </c>
      <c r="Q124" s="572">
        <v>0</v>
      </c>
      <c r="R124" s="572">
        <v>0</v>
      </c>
      <c r="S124" s="572">
        <v>0</v>
      </c>
      <c r="T124" s="572">
        <f t="shared" si="77"/>
        <v>0</v>
      </c>
      <c r="U124" s="572">
        <f t="shared" si="78"/>
        <v>0</v>
      </c>
    </row>
    <row r="125" spans="1:21" ht="18.75" x14ac:dyDescent="0.25">
      <c r="A125" s="674"/>
      <c r="B125" s="561"/>
      <c r="C125" s="561"/>
      <c r="D125" s="561"/>
      <c r="E125" s="573" t="s">
        <v>21</v>
      </c>
      <c r="F125" s="561"/>
      <c r="G125" s="563"/>
      <c r="H125" s="681" t="s">
        <v>14</v>
      </c>
      <c r="I125" s="565"/>
      <c r="J125" s="565"/>
      <c r="K125" s="566"/>
      <c r="L125" s="567">
        <f ca="1">IFERROR(__xludf.DUMMYFUNCTION("IMPORTRANGE(""https://docs.google.com/spreadsheets/d/1-uDff_7J0KD5mKrp0Vvzr7lt3OU09vwQwhkpOPPYv2Y/edit?usp=sharing"",""งบพรบ!BJ15"")"),0)</f>
        <v>0</v>
      </c>
      <c r="M125" s="568">
        <f ca="1">IFERROR(__xludf.DUMMYFUNCTION("IMPORTRANGE(""https://docs.google.com/spreadsheets/d/1-uDff_7J0KD5mKrp0Vvzr7lt3OU09vwQwhkpOPPYv2Y/edit?usp=sharing"",""งบพรบ!BM15"")"),0)</f>
        <v>0</v>
      </c>
      <c r="N125" s="568">
        <f ca="1">IFERROR(__xludf.DUMMYFUNCTION("IMPORTRANGE(""https://docs.google.com/spreadsheets/d/1-uDff_7J0KD5mKrp0Vvzr7lt3OU09vwQwhkpOPPYv2Y/edit?usp=sharing"",""งบพรบ!BO15"")"),0)</f>
        <v>0</v>
      </c>
      <c r="O125" s="568">
        <f t="shared" ca="1" si="74"/>
        <v>0</v>
      </c>
      <c r="P125" s="568">
        <f t="shared" ca="1" si="75"/>
        <v>0</v>
      </c>
      <c r="Q125" s="568">
        <f ca="1">IFERROR(__xludf.DUMMYFUNCTION("IMPORTRANGE(""https://docs.google.com/spreadsheets/d/1ItG2mGa2ceCfYo0BwxsXqNm01IGEUdYcSSLTEv9YCik/edit?usp=sharing"",""เบิกจ่ายกองทุน!X15"")"),0)</f>
        <v>0</v>
      </c>
      <c r="R125" s="568">
        <f ca="1">IFERROR(__xludf.DUMMYFUNCTION("IMPORTRANGE(""https://docs.google.com/spreadsheets/d/1ItG2mGa2ceCfYo0BwxsXqNm01IGEUdYcSSLTEv9YCik/edit?usp=sharing"",""เบิกจ่ายกองทุน!Y15"")"),0)</f>
        <v>0</v>
      </c>
      <c r="S125" s="568">
        <f ca="1">IFERROR(__xludf.DUMMYFUNCTION("IMPORTRANGE(""https://docs.google.com/spreadsheets/d/1ItG2mGa2ceCfYo0BwxsXqNm01IGEUdYcSSLTEv9YCik/edit?usp=sharing"",""เบิกจ่ายกองทุน!Z15"")"),0)</f>
        <v>0</v>
      </c>
      <c r="T125" s="568">
        <f t="shared" ca="1" si="77"/>
        <v>0</v>
      </c>
      <c r="U125" s="568">
        <f t="shared" ca="1" si="78"/>
        <v>0</v>
      </c>
    </row>
    <row r="126" spans="1:21" ht="19.5" x14ac:dyDescent="0.3">
      <c r="A126" s="687"/>
      <c r="B126" s="688"/>
      <c r="C126" s="724" t="s">
        <v>18</v>
      </c>
      <c r="D126" s="689" t="s">
        <v>38</v>
      </c>
      <c r="E126" s="690"/>
      <c r="F126" s="690"/>
      <c r="G126" s="691"/>
      <c r="H126" s="725"/>
      <c r="I126" s="565"/>
      <c r="J126" s="565"/>
      <c r="K126" s="566"/>
      <c r="L126" s="574"/>
      <c r="M126" s="566"/>
      <c r="N126" s="566"/>
      <c r="O126" s="566"/>
      <c r="P126" s="566"/>
      <c r="Q126" s="566"/>
      <c r="R126" s="566"/>
      <c r="S126" s="566"/>
      <c r="T126" s="566"/>
      <c r="U126" s="566"/>
    </row>
    <row r="127" spans="1:21" ht="18.75" x14ac:dyDescent="0.25">
      <c r="A127" s="687"/>
      <c r="B127" s="688"/>
      <c r="C127" s="688"/>
      <c r="D127" s="699" t="s">
        <v>53</v>
      </c>
      <c r="E127" s="695"/>
      <c r="F127" s="695"/>
      <c r="G127" s="692"/>
      <c r="H127" s="681" t="s">
        <v>35</v>
      </c>
      <c r="I127" s="708">
        <f ca="1">IFERROR(__xludf.DUMMYFUNCTION("IMPORTRANGE(""https://docs.google.com/spreadsheets/d/1eHaY18a8A9IcSdp1K8H6x8fbOy06t2VsZHhMHf-1x7Y/edit?usp=sharing"",""แผน!FF15"")"),60)</f>
        <v>60</v>
      </c>
      <c r="J127" s="702">
        <v>60</v>
      </c>
      <c r="K127" s="568">
        <f t="shared" ref="K127:K130" ca="1" si="85">IF(I127&gt;0,J127*100/I127,0)</f>
        <v>100</v>
      </c>
      <c r="L127" s="574"/>
      <c r="M127" s="566"/>
      <c r="N127" s="566"/>
      <c r="O127" s="566"/>
      <c r="P127" s="566"/>
      <c r="Q127" s="566"/>
      <c r="R127" s="566"/>
      <c r="S127" s="566"/>
      <c r="T127" s="566"/>
      <c r="U127" s="566"/>
    </row>
    <row r="128" spans="1:21" ht="18.75" x14ac:dyDescent="0.25">
      <c r="A128" s="687"/>
      <c r="B128" s="688"/>
      <c r="C128" s="688"/>
      <c r="D128" s="695"/>
      <c r="E128" s="695"/>
      <c r="F128" s="695"/>
      <c r="G128" s="692"/>
      <c r="H128" s="681" t="s">
        <v>54</v>
      </c>
      <c r="I128" s="708">
        <f ca="1">IFERROR(__xludf.DUMMYFUNCTION("IMPORTRANGE(""https://docs.google.com/spreadsheets/d/1eHaY18a8A9IcSdp1K8H6x8fbOy06t2VsZHhMHf-1x7Y/edit?usp=sharing"",""แผน!FG15"")"),0)</f>
        <v>0</v>
      </c>
      <c r="J128" s="702">
        <v>0</v>
      </c>
      <c r="K128" s="568">
        <f t="shared" ca="1" si="85"/>
        <v>0</v>
      </c>
      <c r="L128" s="574"/>
      <c r="M128" s="566"/>
      <c r="N128" s="566"/>
      <c r="O128" s="566"/>
      <c r="P128" s="566"/>
      <c r="Q128" s="566"/>
      <c r="R128" s="566"/>
      <c r="S128" s="566"/>
      <c r="T128" s="566"/>
      <c r="U128" s="566"/>
    </row>
    <row r="129" spans="1:21" ht="18.75" x14ac:dyDescent="0.25">
      <c r="A129" s="687"/>
      <c r="B129" s="688"/>
      <c r="C129" s="688"/>
      <c r="D129" s="699" t="s">
        <v>55</v>
      </c>
      <c r="E129" s="695"/>
      <c r="F129" s="695"/>
      <c r="G129" s="692"/>
      <c r="H129" s="681" t="s">
        <v>35</v>
      </c>
      <c r="I129" s="708">
        <f ca="1">IFERROR(__xludf.DUMMYFUNCTION("IMPORTRANGE(""https://docs.google.com/spreadsheets/d/1eHaY18a8A9IcSdp1K8H6x8fbOy06t2VsZHhMHf-1x7Y/edit?usp=sharing"",""แผน!FH15"")"),20)</f>
        <v>20</v>
      </c>
      <c r="J129" s="702">
        <v>20</v>
      </c>
      <c r="K129" s="568">
        <f t="shared" ca="1" si="85"/>
        <v>100</v>
      </c>
      <c r="L129" s="574"/>
      <c r="M129" s="566"/>
      <c r="N129" s="566"/>
      <c r="O129" s="566"/>
      <c r="P129" s="566"/>
      <c r="Q129" s="566"/>
      <c r="R129" s="566"/>
      <c r="S129" s="566"/>
      <c r="T129" s="566"/>
      <c r="U129" s="566"/>
    </row>
    <row r="130" spans="1:21" ht="18.75" x14ac:dyDescent="0.25">
      <c r="A130" s="687"/>
      <c r="B130" s="688"/>
      <c r="C130" s="688"/>
      <c r="D130" s="695"/>
      <c r="E130" s="695"/>
      <c r="F130" s="695"/>
      <c r="G130" s="692"/>
      <c r="H130" s="681" t="s">
        <v>54</v>
      </c>
      <c r="I130" s="708">
        <f ca="1">IFERROR(__xludf.DUMMYFUNCTION("IMPORTRANGE(""https://docs.google.com/spreadsheets/d/1eHaY18a8A9IcSdp1K8H6x8fbOy06t2VsZHhMHf-1x7Y/edit?usp=sharing"",""แผน!FI15"")"),0)</f>
        <v>0</v>
      </c>
      <c r="J130" s="702">
        <v>0</v>
      </c>
      <c r="K130" s="568">
        <f t="shared" ca="1" si="85"/>
        <v>0</v>
      </c>
      <c r="L130" s="574"/>
      <c r="M130" s="566"/>
      <c r="N130" s="566"/>
      <c r="O130" s="566"/>
      <c r="P130" s="566"/>
      <c r="Q130" s="566"/>
      <c r="R130" s="566"/>
      <c r="S130" s="566"/>
      <c r="T130" s="566"/>
      <c r="U130" s="566"/>
    </row>
    <row r="131" spans="1:21" ht="18.75" hidden="1" x14ac:dyDescent="0.25">
      <c r="A131" s="687"/>
      <c r="B131" s="688"/>
      <c r="C131" s="688"/>
      <c r="D131" s="726" t="s">
        <v>56</v>
      </c>
      <c r="E131" s="695"/>
      <c r="F131" s="695"/>
      <c r="G131" s="692"/>
      <c r="H131" s="680" t="s">
        <v>35</v>
      </c>
      <c r="I131" s="565"/>
      <c r="J131" s="565"/>
      <c r="K131" s="566"/>
      <c r="L131" s="574"/>
      <c r="M131" s="566"/>
      <c r="N131" s="566"/>
      <c r="O131" s="566"/>
      <c r="P131" s="566"/>
      <c r="Q131" s="566"/>
      <c r="R131" s="566"/>
      <c r="S131" s="566"/>
      <c r="T131" s="566"/>
      <c r="U131" s="566"/>
    </row>
    <row r="132" spans="1:21" ht="18.75" hidden="1" x14ac:dyDescent="0.25">
      <c r="A132" s="687"/>
      <c r="B132" s="688"/>
      <c r="C132" s="688"/>
      <c r="D132" s="726" t="s">
        <v>57</v>
      </c>
      <c r="E132" s="695"/>
      <c r="F132" s="695"/>
      <c r="G132" s="692"/>
      <c r="H132" s="727"/>
      <c r="I132" s="565"/>
      <c r="J132" s="565"/>
      <c r="K132" s="566"/>
      <c r="L132" s="574"/>
      <c r="M132" s="566"/>
      <c r="N132" s="566"/>
      <c r="O132" s="566"/>
      <c r="P132" s="566"/>
      <c r="Q132" s="566"/>
      <c r="R132" s="566"/>
      <c r="S132" s="566"/>
      <c r="T132" s="566"/>
      <c r="U132" s="566"/>
    </row>
    <row r="133" spans="1:21" ht="12.75" hidden="1" x14ac:dyDescent="0.2">
      <c r="A133" s="705"/>
      <c r="B133" s="706"/>
      <c r="C133" s="706"/>
      <c r="D133" s="531"/>
      <c r="E133" s="531"/>
      <c r="F133" s="531"/>
      <c r="G133" s="532"/>
      <c r="H133" s="728"/>
      <c r="I133" s="533"/>
      <c r="J133" s="533"/>
      <c r="K133" s="534"/>
      <c r="L133" s="535"/>
      <c r="M133" s="534"/>
      <c r="N133" s="534"/>
      <c r="O133" s="534"/>
      <c r="P133" s="534"/>
      <c r="Q133" s="534"/>
      <c r="R133" s="534"/>
      <c r="S133" s="534"/>
      <c r="T133" s="534"/>
      <c r="U133" s="534"/>
    </row>
    <row r="134" spans="1:21" ht="19.5" x14ac:dyDescent="0.3">
      <c r="A134" s="662" t="s">
        <v>58</v>
      </c>
      <c r="B134" s="663"/>
      <c r="C134" s="729"/>
      <c r="D134" s="663"/>
      <c r="E134" s="663"/>
      <c r="F134" s="663"/>
      <c r="G134" s="663"/>
      <c r="H134" s="663"/>
      <c r="I134" s="730"/>
      <c r="J134" s="730"/>
      <c r="K134" s="731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</row>
    <row r="135" spans="1:21" ht="19.5" x14ac:dyDescent="0.3">
      <c r="A135" s="669"/>
      <c r="B135" s="544" t="s">
        <v>59</v>
      </c>
      <c r="C135" s="716"/>
      <c r="D135" s="670"/>
      <c r="E135" s="543"/>
      <c r="F135" s="543"/>
      <c r="G135" s="543"/>
      <c r="H135" s="543"/>
      <c r="I135" s="732"/>
      <c r="J135" s="548"/>
      <c r="K135" s="549"/>
      <c r="L135" s="673"/>
      <c r="M135" s="549"/>
      <c r="N135" s="549"/>
      <c r="O135" s="549"/>
      <c r="P135" s="549"/>
      <c r="Q135" s="549"/>
      <c r="R135" s="549"/>
      <c r="S135" s="549"/>
      <c r="T135" s="549"/>
      <c r="U135" s="549"/>
    </row>
    <row r="136" spans="1:21" ht="19.5" x14ac:dyDescent="0.3">
      <c r="A136" s="669"/>
      <c r="B136" s="543"/>
      <c r="C136" s="733" t="s">
        <v>60</v>
      </c>
      <c r="D136" s="670"/>
      <c r="E136" s="543"/>
      <c r="F136" s="543"/>
      <c r="G136" s="546"/>
      <c r="H136" s="671" t="s">
        <v>61</v>
      </c>
      <c r="I136" s="672">
        <f t="shared" ref="I136:J136" ca="1" si="86">I154</f>
        <v>3</v>
      </c>
      <c r="J136" s="672">
        <f t="shared" si="86"/>
        <v>0</v>
      </c>
      <c r="K136" s="551">
        <f t="shared" ref="K136:K138" ca="1" si="87">IF(I136&gt;0,J136*100/I136,0)</f>
        <v>0</v>
      </c>
      <c r="L136" s="673"/>
      <c r="M136" s="549"/>
      <c r="N136" s="549"/>
      <c r="O136" s="549"/>
      <c r="P136" s="549"/>
      <c r="Q136" s="549"/>
      <c r="R136" s="549"/>
      <c r="S136" s="549"/>
      <c r="T136" s="549"/>
      <c r="U136" s="549"/>
    </row>
    <row r="137" spans="1:21" ht="19.5" x14ac:dyDescent="0.3">
      <c r="A137" s="669"/>
      <c r="B137" s="543"/>
      <c r="C137" s="733" t="s">
        <v>62</v>
      </c>
      <c r="D137" s="670"/>
      <c r="E137" s="543"/>
      <c r="F137" s="543"/>
      <c r="G137" s="546"/>
      <c r="H137" s="671" t="s">
        <v>35</v>
      </c>
      <c r="I137" s="672">
        <f t="shared" ref="I137:J138" ca="1" si="88">I152</f>
        <v>80</v>
      </c>
      <c r="J137" s="672">
        <f t="shared" si="88"/>
        <v>0</v>
      </c>
      <c r="K137" s="551">
        <f t="shared" ca="1" si="87"/>
        <v>0</v>
      </c>
      <c r="L137" s="673"/>
      <c r="M137" s="549"/>
      <c r="N137" s="549"/>
      <c r="O137" s="549"/>
      <c r="P137" s="549"/>
      <c r="Q137" s="549"/>
      <c r="R137" s="549"/>
      <c r="S137" s="549"/>
      <c r="T137" s="549"/>
      <c r="U137" s="549"/>
    </row>
    <row r="138" spans="1:21" ht="19.5" x14ac:dyDescent="0.3">
      <c r="A138" s="669"/>
      <c r="B138" s="543"/>
      <c r="C138" s="716"/>
      <c r="D138" s="670"/>
      <c r="E138" s="543"/>
      <c r="F138" s="543"/>
      <c r="G138" s="546"/>
      <c r="H138" s="671" t="s">
        <v>54</v>
      </c>
      <c r="I138" s="672">
        <f t="shared" ca="1" si="88"/>
        <v>8</v>
      </c>
      <c r="J138" s="672">
        <f t="shared" si="88"/>
        <v>0</v>
      </c>
      <c r="K138" s="551">
        <f t="shared" ca="1" si="87"/>
        <v>0</v>
      </c>
      <c r="L138" s="673"/>
      <c r="M138" s="549"/>
      <c r="N138" s="549"/>
      <c r="O138" s="549"/>
      <c r="P138" s="549"/>
      <c r="Q138" s="549"/>
      <c r="R138" s="549"/>
      <c r="S138" s="549"/>
      <c r="T138" s="549"/>
      <c r="U138" s="549"/>
    </row>
    <row r="139" spans="1:21" ht="19.5" x14ac:dyDescent="0.3">
      <c r="A139" s="674"/>
      <c r="B139" s="561"/>
      <c r="C139" s="675" t="s">
        <v>18</v>
      </c>
      <c r="D139" s="676" t="s">
        <v>19</v>
      </c>
      <c r="E139" s="561"/>
      <c r="F139" s="561"/>
      <c r="G139" s="563"/>
      <c r="H139" s="677" t="s">
        <v>14</v>
      </c>
      <c r="I139" s="565"/>
      <c r="J139" s="565"/>
      <c r="K139" s="566"/>
      <c r="L139" s="678">
        <f t="shared" ref="L139:N139" ca="1" si="89">L140+L141</f>
        <v>116300</v>
      </c>
      <c r="M139" s="679">
        <f t="shared" ca="1" si="89"/>
        <v>111300</v>
      </c>
      <c r="N139" s="679">
        <f t="shared" ca="1" si="89"/>
        <v>720</v>
      </c>
      <c r="O139" s="679">
        <f t="shared" ref="O139:O147" ca="1" si="90">IF(L139&gt;0,N139*100/L139,0)</f>
        <v>0.61908856405846946</v>
      </c>
      <c r="P139" s="679">
        <f t="shared" ref="P139:P147" ca="1" si="91">IF(M139&gt;0,N139*100/M139,0)</f>
        <v>0.64690026954177893</v>
      </c>
      <c r="Q139" s="679">
        <f t="shared" ref="Q139:S139" ca="1" si="92">Q140+Q141</f>
        <v>439860</v>
      </c>
      <c r="R139" s="679">
        <f t="shared" ca="1" si="92"/>
        <v>0</v>
      </c>
      <c r="S139" s="679">
        <f t="shared" ca="1" si="92"/>
        <v>0</v>
      </c>
      <c r="T139" s="679">
        <f t="shared" ref="T139:T147" ca="1" si="93">IF(Q139&gt;0,S139*100/Q139,0)</f>
        <v>0</v>
      </c>
      <c r="U139" s="679">
        <f t="shared" ref="U139:U147" ca="1" si="94">IF(R139&gt;0,S139*100/R139,0)</f>
        <v>0</v>
      </c>
    </row>
    <row r="140" spans="1:21" ht="18.75" x14ac:dyDescent="0.25">
      <c r="A140" s="674"/>
      <c r="B140" s="561"/>
      <c r="C140" s="561"/>
      <c r="D140" s="561"/>
      <c r="E140" s="569" t="s">
        <v>20</v>
      </c>
      <c r="F140" s="561"/>
      <c r="G140" s="563"/>
      <c r="H140" s="680" t="s">
        <v>14</v>
      </c>
      <c r="I140" s="565"/>
      <c r="J140" s="565"/>
      <c r="K140" s="566"/>
      <c r="L140" s="571">
        <f t="shared" ref="L140:N141" si="95">L143+L146</f>
        <v>0</v>
      </c>
      <c r="M140" s="572">
        <f t="shared" si="95"/>
        <v>0</v>
      </c>
      <c r="N140" s="572">
        <f t="shared" si="95"/>
        <v>0</v>
      </c>
      <c r="O140" s="572">
        <f t="shared" si="90"/>
        <v>0</v>
      </c>
      <c r="P140" s="572">
        <f t="shared" si="91"/>
        <v>0</v>
      </c>
      <c r="Q140" s="572">
        <f t="shared" ref="Q140:S141" si="96">Q143+Q146</f>
        <v>0</v>
      </c>
      <c r="R140" s="572">
        <f t="shared" si="96"/>
        <v>0</v>
      </c>
      <c r="S140" s="572">
        <f t="shared" si="96"/>
        <v>0</v>
      </c>
      <c r="T140" s="572">
        <f t="shared" si="93"/>
        <v>0</v>
      </c>
      <c r="U140" s="572">
        <f t="shared" si="94"/>
        <v>0</v>
      </c>
    </row>
    <row r="141" spans="1:21" ht="18.75" x14ac:dyDescent="0.25">
      <c r="A141" s="674"/>
      <c r="B141" s="561"/>
      <c r="C141" s="561"/>
      <c r="D141" s="561"/>
      <c r="E141" s="573" t="s">
        <v>21</v>
      </c>
      <c r="F141" s="561"/>
      <c r="G141" s="563"/>
      <c r="H141" s="681" t="s">
        <v>14</v>
      </c>
      <c r="I141" s="565"/>
      <c r="J141" s="565"/>
      <c r="K141" s="566"/>
      <c r="L141" s="567">
        <f t="shared" ca="1" si="95"/>
        <v>116300</v>
      </c>
      <c r="M141" s="568">
        <f t="shared" ca="1" si="95"/>
        <v>111300</v>
      </c>
      <c r="N141" s="568">
        <f t="shared" ca="1" si="95"/>
        <v>720</v>
      </c>
      <c r="O141" s="568">
        <f t="shared" ca="1" si="90"/>
        <v>0.61908856405846946</v>
      </c>
      <c r="P141" s="568">
        <f t="shared" ca="1" si="91"/>
        <v>0.64690026954177893</v>
      </c>
      <c r="Q141" s="568">
        <f t="shared" ca="1" si="96"/>
        <v>439860</v>
      </c>
      <c r="R141" s="568">
        <f t="shared" ca="1" si="96"/>
        <v>0</v>
      </c>
      <c r="S141" s="568">
        <f t="shared" ca="1" si="96"/>
        <v>0</v>
      </c>
      <c r="T141" s="568">
        <f t="shared" ca="1" si="93"/>
        <v>0</v>
      </c>
      <c r="U141" s="568">
        <f t="shared" ca="1" si="94"/>
        <v>0</v>
      </c>
    </row>
    <row r="142" spans="1:21" ht="18.75" x14ac:dyDescent="0.25">
      <c r="A142" s="674"/>
      <c r="B142" s="561"/>
      <c r="C142" s="561"/>
      <c r="D142" s="562" t="s">
        <v>22</v>
      </c>
      <c r="E142" s="561"/>
      <c r="F142" s="561"/>
      <c r="G142" s="563"/>
      <c r="H142" s="682" t="s">
        <v>14</v>
      </c>
      <c r="I142" s="683"/>
      <c r="J142" s="683"/>
      <c r="K142" s="684"/>
      <c r="L142" s="567">
        <f t="shared" ref="L142:N142" ca="1" si="97">L143+L144</f>
        <v>116300</v>
      </c>
      <c r="M142" s="568">
        <f t="shared" ca="1" si="97"/>
        <v>111300</v>
      </c>
      <c r="N142" s="568">
        <f t="shared" ca="1" si="97"/>
        <v>720</v>
      </c>
      <c r="O142" s="568">
        <f t="shared" ca="1" si="90"/>
        <v>0.61908856405846946</v>
      </c>
      <c r="P142" s="568">
        <f t="shared" ca="1" si="91"/>
        <v>0.64690026954177893</v>
      </c>
      <c r="Q142" s="568">
        <f t="shared" ref="Q142:S142" ca="1" si="98">Q143+Q144</f>
        <v>439860</v>
      </c>
      <c r="R142" s="568">
        <f t="shared" ca="1" si="98"/>
        <v>0</v>
      </c>
      <c r="S142" s="568">
        <f t="shared" ca="1" si="98"/>
        <v>0</v>
      </c>
      <c r="T142" s="568">
        <f t="shared" ca="1" si="93"/>
        <v>0</v>
      </c>
      <c r="U142" s="568">
        <f t="shared" ca="1" si="94"/>
        <v>0</v>
      </c>
    </row>
    <row r="143" spans="1:21" ht="18.75" x14ac:dyDescent="0.25">
      <c r="A143" s="674"/>
      <c r="B143" s="561"/>
      <c r="C143" s="561"/>
      <c r="D143" s="561"/>
      <c r="E143" s="569" t="s">
        <v>36</v>
      </c>
      <c r="F143" s="561"/>
      <c r="G143" s="563"/>
      <c r="H143" s="685" t="s">
        <v>14</v>
      </c>
      <c r="I143" s="683"/>
      <c r="J143" s="683"/>
      <c r="K143" s="684"/>
      <c r="L143" s="571">
        <v>0</v>
      </c>
      <c r="M143" s="572">
        <v>0</v>
      </c>
      <c r="N143" s="572">
        <v>0</v>
      </c>
      <c r="O143" s="572">
        <f t="shared" si="90"/>
        <v>0</v>
      </c>
      <c r="P143" s="572">
        <f t="shared" si="91"/>
        <v>0</v>
      </c>
      <c r="Q143" s="572">
        <v>0</v>
      </c>
      <c r="R143" s="572">
        <v>0</v>
      </c>
      <c r="S143" s="572">
        <v>0</v>
      </c>
      <c r="T143" s="572">
        <f t="shared" si="93"/>
        <v>0</v>
      </c>
      <c r="U143" s="572">
        <f t="shared" si="94"/>
        <v>0</v>
      </c>
    </row>
    <row r="144" spans="1:21" ht="18.75" x14ac:dyDescent="0.25">
      <c r="A144" s="674"/>
      <c r="B144" s="561"/>
      <c r="C144" s="561"/>
      <c r="D144" s="561"/>
      <c r="E144" s="573" t="s">
        <v>37</v>
      </c>
      <c r="F144" s="561"/>
      <c r="G144" s="563"/>
      <c r="H144" s="682" t="s">
        <v>14</v>
      </c>
      <c r="I144" s="683"/>
      <c r="J144" s="683"/>
      <c r="K144" s="684"/>
      <c r="L144" s="567">
        <f ca="1">IFERROR(__xludf.DUMMYFUNCTION("IMPORTRANGE(""https://docs.google.com/spreadsheets/d/1-uDff_7J0KD5mKrp0Vvzr7lt3OU09vwQwhkpOPPYv2Y/edit?usp=sharing"",""งบพรบ!BQ15"")"),116300)</f>
        <v>116300</v>
      </c>
      <c r="M144" s="568">
        <f ca="1">IFERROR(__xludf.DUMMYFUNCTION("IMPORTRANGE(""https://docs.google.com/spreadsheets/d/1-uDff_7J0KD5mKrp0Vvzr7lt3OU09vwQwhkpOPPYv2Y/edit?usp=sharing"",""งบพรบ!BV15"")"),111300)</f>
        <v>111300</v>
      </c>
      <c r="N144" s="568">
        <f ca="1">IFERROR(__xludf.DUMMYFUNCTION("IMPORTRANGE(""https://docs.google.com/spreadsheets/d/1-uDff_7J0KD5mKrp0Vvzr7lt3OU09vwQwhkpOPPYv2Y/edit?usp=sharing"",""งบพรบ!BX15"")"),720)</f>
        <v>720</v>
      </c>
      <c r="O144" s="568">
        <f t="shared" ca="1" si="90"/>
        <v>0.61908856405846946</v>
      </c>
      <c r="P144" s="568">
        <f t="shared" ca="1" si="91"/>
        <v>0.64690026954177893</v>
      </c>
      <c r="Q144" s="568">
        <f ca="1">IFERROR(__xludf.DUMMYFUNCTION("IMPORTRANGE(""https://docs.google.com/spreadsheets/d/1ItG2mGa2ceCfYo0BwxsXqNm01IGEUdYcSSLTEv9YCik/edit?usp=sharing"",""เบิกจ่ายกองทุน!CF15"")"),439860)</f>
        <v>439860</v>
      </c>
      <c r="R144" s="568">
        <f ca="1">IFERROR(__xludf.DUMMYFUNCTION("IMPORTRANGE(""https://docs.google.com/spreadsheets/d/1ItG2mGa2ceCfYo0BwxsXqNm01IGEUdYcSSLTEv9YCik/edit?usp=sharing"",""เบิกจ่ายกองทุน!CG15"")"),0)</f>
        <v>0</v>
      </c>
      <c r="S144" s="568">
        <f ca="1">IFERROR(__xludf.DUMMYFUNCTION("IMPORTRANGE(""https://docs.google.com/spreadsheets/d/1ItG2mGa2ceCfYo0BwxsXqNm01IGEUdYcSSLTEv9YCik/edit?usp=sharing"",""เบิกจ่ายกองทุน!CH15"")"),0)</f>
        <v>0</v>
      </c>
      <c r="T144" s="568">
        <f t="shared" ca="1" si="93"/>
        <v>0</v>
      </c>
      <c r="U144" s="568">
        <f t="shared" ca="1" si="94"/>
        <v>0</v>
      </c>
    </row>
    <row r="145" spans="1:21" ht="18.75" x14ac:dyDescent="0.25">
      <c r="A145" s="674"/>
      <c r="B145" s="561"/>
      <c r="C145" s="561"/>
      <c r="D145" s="562" t="s">
        <v>23</v>
      </c>
      <c r="E145" s="561"/>
      <c r="F145" s="561"/>
      <c r="G145" s="563"/>
      <c r="H145" s="686" t="s">
        <v>14</v>
      </c>
      <c r="I145" s="683"/>
      <c r="J145" s="683"/>
      <c r="K145" s="684"/>
      <c r="L145" s="567">
        <f t="shared" ref="L145:N145" ca="1" si="99">L146+L147</f>
        <v>0</v>
      </c>
      <c r="M145" s="568">
        <f t="shared" ca="1" si="99"/>
        <v>0</v>
      </c>
      <c r="N145" s="568">
        <f t="shared" ca="1" si="99"/>
        <v>0</v>
      </c>
      <c r="O145" s="568">
        <f t="shared" ca="1" si="90"/>
        <v>0</v>
      </c>
      <c r="P145" s="568">
        <f t="shared" ca="1" si="91"/>
        <v>0</v>
      </c>
      <c r="Q145" s="568">
        <f t="shared" ref="Q145:S145" ca="1" si="100">Q146+Q147</f>
        <v>0</v>
      </c>
      <c r="R145" s="568">
        <f t="shared" ca="1" si="100"/>
        <v>0</v>
      </c>
      <c r="S145" s="568">
        <f t="shared" ca="1" si="100"/>
        <v>0</v>
      </c>
      <c r="T145" s="568">
        <f t="shared" ca="1" si="93"/>
        <v>0</v>
      </c>
      <c r="U145" s="568">
        <f t="shared" ca="1" si="94"/>
        <v>0</v>
      </c>
    </row>
    <row r="146" spans="1:21" ht="18.75" x14ac:dyDescent="0.25">
      <c r="A146" s="674"/>
      <c r="B146" s="561"/>
      <c r="C146" s="561"/>
      <c r="D146" s="561"/>
      <c r="E146" s="569" t="s">
        <v>20</v>
      </c>
      <c r="F146" s="561"/>
      <c r="G146" s="563"/>
      <c r="H146" s="685" t="s">
        <v>14</v>
      </c>
      <c r="I146" s="683"/>
      <c r="J146" s="683"/>
      <c r="K146" s="684"/>
      <c r="L146" s="571">
        <v>0</v>
      </c>
      <c r="M146" s="572">
        <v>0</v>
      </c>
      <c r="N146" s="572">
        <v>0</v>
      </c>
      <c r="O146" s="572">
        <f t="shared" si="90"/>
        <v>0</v>
      </c>
      <c r="P146" s="572">
        <f t="shared" si="91"/>
        <v>0</v>
      </c>
      <c r="Q146" s="572">
        <v>0</v>
      </c>
      <c r="R146" s="572">
        <v>0</v>
      </c>
      <c r="S146" s="572">
        <v>0</v>
      </c>
      <c r="T146" s="572">
        <f t="shared" si="93"/>
        <v>0</v>
      </c>
      <c r="U146" s="572">
        <f t="shared" si="94"/>
        <v>0</v>
      </c>
    </row>
    <row r="147" spans="1:21" ht="18.75" x14ac:dyDescent="0.25">
      <c r="A147" s="674"/>
      <c r="B147" s="561"/>
      <c r="C147" s="561"/>
      <c r="D147" s="561"/>
      <c r="E147" s="573" t="s">
        <v>21</v>
      </c>
      <c r="F147" s="561"/>
      <c r="G147" s="563"/>
      <c r="H147" s="686" t="s">
        <v>14</v>
      </c>
      <c r="I147" s="683"/>
      <c r="J147" s="683"/>
      <c r="K147" s="684"/>
      <c r="L147" s="567">
        <f ca="1">IFERROR(__xludf.DUMMYFUNCTION("IMPORTRANGE(""https://docs.google.com/spreadsheets/d/1-uDff_7J0KD5mKrp0Vvzr7lt3OU09vwQwhkpOPPYv2Y/edit?usp=sharing"",""งบพรบ!BT15"")"),0)</f>
        <v>0</v>
      </c>
      <c r="M147" s="568">
        <f ca="1">IFERROR(__xludf.DUMMYFUNCTION("IMPORTRANGE(""https://docs.google.com/spreadsheets/d/1-uDff_7J0KD5mKrp0Vvzr7lt3OU09vwQwhkpOPPYv2Y/edit?usp=sharing"",""งบพรบ!BW15"")"),0)</f>
        <v>0</v>
      </c>
      <c r="N147" s="568">
        <f ca="1">IFERROR(__xludf.DUMMYFUNCTION("IMPORTRANGE(""https://docs.google.com/spreadsheets/d/1-uDff_7J0KD5mKrp0Vvzr7lt3OU09vwQwhkpOPPYv2Y/edit?usp=sharing"",""งบพรบ!BY15"")"),0)</f>
        <v>0</v>
      </c>
      <c r="O147" s="568">
        <f t="shared" ca="1" si="90"/>
        <v>0</v>
      </c>
      <c r="P147" s="568">
        <f t="shared" ca="1" si="91"/>
        <v>0</v>
      </c>
      <c r="Q147" s="568">
        <f ca="1">IFERROR(__xludf.DUMMYFUNCTION("IMPORTRANGE(""https://docs.google.com/spreadsheets/d/1ItG2mGa2ceCfYo0BwxsXqNm01IGEUdYcSSLTEv9YCik/edit?usp=sharing"",""เบิกจ่ายกองทุน!CI15"")"),0)</f>
        <v>0</v>
      </c>
      <c r="R147" s="568">
        <f ca="1">IFERROR(__xludf.DUMMYFUNCTION("IMPORTRANGE(""https://docs.google.com/spreadsheets/d/1ItG2mGa2ceCfYo0BwxsXqNm01IGEUdYcSSLTEv9YCik/edit?usp=sharing"",""เบิกจ่ายกองทุน!CJ15"")"),0)</f>
        <v>0</v>
      </c>
      <c r="S147" s="568">
        <f ca="1">IFERROR(__xludf.DUMMYFUNCTION("IMPORTRANGE(""https://docs.google.com/spreadsheets/d/1ItG2mGa2ceCfYo0BwxsXqNm01IGEUdYcSSLTEv9YCik/edit?usp=sharing"",""เบิกจ่ายกองทุน!CK15"")"),0)</f>
        <v>0</v>
      </c>
      <c r="T147" s="568">
        <f t="shared" ca="1" si="93"/>
        <v>0</v>
      </c>
      <c r="U147" s="568">
        <f t="shared" ca="1" si="94"/>
        <v>0</v>
      </c>
    </row>
    <row r="148" spans="1:21" ht="19.5" x14ac:dyDescent="0.3">
      <c r="A148" s="687"/>
      <c r="B148" s="688"/>
      <c r="C148" s="675" t="s">
        <v>18</v>
      </c>
      <c r="D148" s="689" t="s">
        <v>38</v>
      </c>
      <c r="E148" s="690"/>
      <c r="F148" s="690"/>
      <c r="G148" s="691"/>
      <c r="H148" s="725"/>
      <c r="I148" s="565"/>
      <c r="J148" s="565"/>
      <c r="K148" s="566"/>
      <c r="L148" s="574"/>
      <c r="M148" s="566"/>
      <c r="N148" s="566"/>
      <c r="O148" s="566"/>
      <c r="P148" s="566"/>
      <c r="Q148" s="566"/>
      <c r="R148" s="566"/>
      <c r="S148" s="566"/>
      <c r="T148" s="566"/>
      <c r="U148" s="566"/>
    </row>
    <row r="149" spans="1:21" ht="18.75" x14ac:dyDescent="0.25">
      <c r="A149" s="674"/>
      <c r="B149" s="561"/>
      <c r="C149" s="561"/>
      <c r="D149" s="573" t="s">
        <v>63</v>
      </c>
      <c r="E149" s="561"/>
      <c r="F149" s="561"/>
      <c r="G149" s="563"/>
      <c r="H149" s="725"/>
      <c r="I149" s="565"/>
      <c r="J149" s="702">
        <v>1</v>
      </c>
      <c r="K149" s="566"/>
      <c r="L149" s="574"/>
      <c r="M149" s="566"/>
      <c r="N149" s="566"/>
      <c r="O149" s="566"/>
      <c r="P149" s="566"/>
      <c r="Q149" s="566"/>
      <c r="R149" s="566"/>
      <c r="S149" s="566"/>
      <c r="T149" s="566"/>
      <c r="U149" s="566"/>
    </row>
    <row r="150" spans="1:21" ht="19.5" x14ac:dyDescent="0.3">
      <c r="A150" s="674"/>
      <c r="B150" s="561"/>
      <c r="C150" s="561"/>
      <c r="D150" s="695"/>
      <c r="E150" s="675" t="s">
        <v>299</v>
      </c>
      <c r="F150" s="561"/>
      <c r="G150" s="563"/>
      <c r="H150" s="686" t="s">
        <v>35</v>
      </c>
      <c r="I150" s="708">
        <f ca="1">IFERROR(__xludf.DUMMYFUNCTION("IMPORTRANGE(""https://docs.google.com/spreadsheets/d/1eHaY18a8A9IcSdp1K8H6x8fbOy06t2VsZHhMHf-1x7Y/edit?usp=sharing"",""แผน!U15"")"),30)</f>
        <v>30</v>
      </c>
      <c r="J150" s="702">
        <v>0</v>
      </c>
      <c r="K150" s="568">
        <f t="shared" ref="K150:K154" ca="1" si="101">IF(I150&gt;0,J150*100/I150,0)</f>
        <v>0</v>
      </c>
      <c r="L150" s="574"/>
      <c r="M150" s="566"/>
      <c r="N150" s="566"/>
      <c r="O150" s="566"/>
      <c r="P150" s="566"/>
      <c r="Q150" s="566"/>
      <c r="R150" s="566"/>
      <c r="S150" s="566"/>
      <c r="T150" s="566"/>
      <c r="U150" s="566"/>
    </row>
    <row r="151" spans="1:21" ht="18.75" x14ac:dyDescent="0.25">
      <c r="A151" s="674"/>
      <c r="B151" s="561"/>
      <c r="C151" s="561"/>
      <c r="D151" s="695"/>
      <c r="E151" s="561"/>
      <c r="F151" s="561"/>
      <c r="G151" s="563"/>
      <c r="H151" s="686" t="s">
        <v>54</v>
      </c>
      <c r="I151" s="708">
        <f ca="1">IFERROR(__xludf.DUMMYFUNCTION("IMPORTRANGE(""https://docs.google.com/spreadsheets/d/1eHaY18a8A9IcSdp1K8H6x8fbOy06t2VsZHhMHf-1x7Y/edit?usp=sharing"",""แผน!V15"")"),3)</f>
        <v>3</v>
      </c>
      <c r="J151" s="702">
        <v>0</v>
      </c>
      <c r="K151" s="568">
        <f t="shared" ca="1" si="101"/>
        <v>0</v>
      </c>
      <c r="L151" s="574"/>
      <c r="M151" s="566"/>
      <c r="N151" s="566"/>
      <c r="O151" s="566"/>
      <c r="P151" s="566"/>
      <c r="Q151" s="566"/>
      <c r="R151" s="566"/>
      <c r="S151" s="566"/>
      <c r="T151" s="566"/>
      <c r="U151" s="566"/>
    </row>
    <row r="152" spans="1:21" ht="19.5" x14ac:dyDescent="0.3">
      <c r="A152" s="674"/>
      <c r="B152" s="561"/>
      <c r="C152" s="561"/>
      <c r="D152" s="695"/>
      <c r="E152" s="675" t="s">
        <v>300</v>
      </c>
      <c r="F152" s="561"/>
      <c r="G152" s="563"/>
      <c r="H152" s="686" t="s">
        <v>35</v>
      </c>
      <c r="I152" s="708">
        <f ca="1">IFERROR(__xludf.DUMMYFUNCTION("IMPORTRANGE(""https://docs.google.com/spreadsheets/d/1eHaY18a8A9IcSdp1K8H6x8fbOy06t2VsZHhMHf-1x7Y/edit?usp=sharing"",""แผน!W15"")"),80)</f>
        <v>80</v>
      </c>
      <c r="J152" s="702">
        <v>0</v>
      </c>
      <c r="K152" s="568">
        <f t="shared" ca="1" si="101"/>
        <v>0</v>
      </c>
      <c r="L152" s="574"/>
      <c r="M152" s="566"/>
      <c r="N152" s="566"/>
      <c r="O152" s="566"/>
      <c r="P152" s="566"/>
      <c r="Q152" s="566"/>
      <c r="R152" s="566"/>
      <c r="S152" s="566"/>
      <c r="T152" s="566"/>
      <c r="U152" s="566"/>
    </row>
    <row r="153" spans="1:21" ht="18.75" x14ac:dyDescent="0.25">
      <c r="A153" s="674"/>
      <c r="B153" s="561"/>
      <c r="C153" s="561"/>
      <c r="D153" s="561"/>
      <c r="E153" s="561"/>
      <c r="F153" s="561"/>
      <c r="G153" s="563"/>
      <c r="H153" s="686" t="s">
        <v>54</v>
      </c>
      <c r="I153" s="708">
        <f ca="1">IFERROR(__xludf.DUMMYFUNCTION("IMPORTRANGE(""https://docs.google.com/spreadsheets/d/1eHaY18a8A9IcSdp1K8H6x8fbOy06t2VsZHhMHf-1x7Y/edit?usp=sharing"",""แผน!X15"")"),8)</f>
        <v>8</v>
      </c>
      <c r="J153" s="702">
        <v>0</v>
      </c>
      <c r="K153" s="568">
        <f t="shared" ca="1" si="101"/>
        <v>0</v>
      </c>
      <c r="L153" s="574"/>
      <c r="M153" s="566"/>
      <c r="N153" s="566"/>
      <c r="O153" s="566"/>
      <c r="P153" s="566"/>
      <c r="Q153" s="566"/>
      <c r="R153" s="566"/>
      <c r="S153" s="566"/>
      <c r="T153" s="566"/>
      <c r="U153" s="566"/>
    </row>
    <row r="154" spans="1:21" ht="18.75" x14ac:dyDescent="0.25">
      <c r="A154" s="674"/>
      <c r="B154" s="561"/>
      <c r="C154" s="561"/>
      <c r="D154" s="573" t="s">
        <v>66</v>
      </c>
      <c r="E154" s="561"/>
      <c r="F154" s="561"/>
      <c r="G154" s="563"/>
      <c r="H154" s="686" t="s">
        <v>61</v>
      </c>
      <c r="I154" s="708">
        <f ca="1">IFERROR(__xludf.DUMMYFUNCTION("IMPORTRANGE(""https://docs.google.com/spreadsheets/d/1eHaY18a8A9IcSdp1K8H6x8fbOy06t2VsZHhMHf-1x7Y/edit?usp=sharing"",""แผน!Y15"")"),3)</f>
        <v>3</v>
      </c>
      <c r="J154" s="702">
        <v>0</v>
      </c>
      <c r="K154" s="568">
        <f t="shared" ca="1" si="101"/>
        <v>0</v>
      </c>
      <c r="L154" s="574"/>
      <c r="M154" s="566"/>
      <c r="N154" s="566"/>
      <c r="O154" s="566"/>
      <c r="P154" s="566"/>
      <c r="Q154" s="566"/>
      <c r="R154" s="566"/>
      <c r="S154" s="566"/>
      <c r="T154" s="566"/>
      <c r="U154" s="566"/>
    </row>
    <row r="155" spans="1:21" ht="19.5" x14ac:dyDescent="0.3">
      <c r="A155" s="662" t="s">
        <v>67</v>
      </c>
      <c r="B155" s="663"/>
      <c r="C155" s="729"/>
      <c r="D155" s="663"/>
      <c r="E155" s="663"/>
      <c r="F155" s="663"/>
      <c r="G155" s="663"/>
      <c r="H155" s="663"/>
      <c r="I155" s="730"/>
      <c r="J155" s="730"/>
      <c r="K155" s="731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</row>
    <row r="156" spans="1:21" ht="19.5" x14ac:dyDescent="0.3">
      <c r="A156" s="669"/>
      <c r="B156" s="544" t="s">
        <v>68</v>
      </c>
      <c r="C156" s="543"/>
      <c r="D156" s="543"/>
      <c r="E156" s="543"/>
      <c r="F156" s="543"/>
      <c r="G156" s="546"/>
      <c r="H156" s="717" t="s">
        <v>35</v>
      </c>
      <c r="I156" s="672">
        <f t="shared" ref="I156:J156" ca="1" si="102">I167</f>
        <v>15</v>
      </c>
      <c r="J156" s="672">
        <f t="shared" si="102"/>
        <v>17</v>
      </c>
      <c r="K156" s="551">
        <f ca="1">IF(I156&gt;0,J156*100/I156,0)</f>
        <v>113.33333333333333</v>
      </c>
      <c r="L156" s="673"/>
      <c r="M156" s="549"/>
      <c r="N156" s="549"/>
      <c r="O156" s="549"/>
      <c r="P156" s="549"/>
      <c r="Q156" s="549"/>
      <c r="R156" s="549"/>
      <c r="S156" s="549"/>
      <c r="T156" s="549"/>
      <c r="U156" s="549"/>
    </row>
    <row r="157" spans="1:21" ht="19.5" x14ac:dyDescent="0.3">
      <c r="A157" s="674"/>
      <c r="B157" s="561"/>
      <c r="C157" s="675" t="s">
        <v>18</v>
      </c>
      <c r="D157" s="676" t="s">
        <v>19</v>
      </c>
      <c r="E157" s="561"/>
      <c r="F157" s="561"/>
      <c r="G157" s="563"/>
      <c r="H157" s="677" t="s">
        <v>14</v>
      </c>
      <c r="I157" s="565"/>
      <c r="J157" s="565"/>
      <c r="K157" s="566"/>
      <c r="L157" s="678">
        <f t="shared" ref="L157:N157" ca="1" si="103">L158+L159</f>
        <v>4500</v>
      </c>
      <c r="M157" s="679">
        <f t="shared" ca="1" si="103"/>
        <v>5294</v>
      </c>
      <c r="N157" s="679">
        <f t="shared" ca="1" si="103"/>
        <v>0</v>
      </c>
      <c r="O157" s="679">
        <f t="shared" ref="O157:O165" ca="1" si="104">IF(L157&gt;0,N157*100/L157,0)</f>
        <v>0</v>
      </c>
      <c r="P157" s="679">
        <f t="shared" ref="P157:P165" ca="1" si="105">IF(M157&gt;0,N157*100/M157,0)</f>
        <v>0</v>
      </c>
      <c r="Q157" s="679">
        <f t="shared" ref="Q157:S157" ca="1" si="106">Q158+Q159</f>
        <v>0</v>
      </c>
      <c r="R157" s="679">
        <f t="shared" ca="1" si="106"/>
        <v>0</v>
      </c>
      <c r="S157" s="679">
        <f t="shared" ca="1" si="106"/>
        <v>0</v>
      </c>
      <c r="T157" s="679">
        <f t="shared" ref="T157:T165" ca="1" si="107">IF(Q157&gt;0,S157*100/Q157,0)</f>
        <v>0</v>
      </c>
      <c r="U157" s="679">
        <f t="shared" ref="U157:U165" ca="1" si="108">IF(R157&gt;0,S157*100/R157,0)</f>
        <v>0</v>
      </c>
    </row>
    <row r="158" spans="1:21" ht="18.75" x14ac:dyDescent="0.25">
      <c r="A158" s="674"/>
      <c r="B158" s="561"/>
      <c r="C158" s="561"/>
      <c r="D158" s="561"/>
      <c r="E158" s="569" t="s">
        <v>20</v>
      </c>
      <c r="F158" s="561"/>
      <c r="G158" s="563"/>
      <c r="H158" s="680" t="s">
        <v>14</v>
      </c>
      <c r="I158" s="565"/>
      <c r="J158" s="565"/>
      <c r="K158" s="566"/>
      <c r="L158" s="571">
        <f t="shared" ref="L158:N159" si="109">L161+L164</f>
        <v>0</v>
      </c>
      <c r="M158" s="572">
        <f t="shared" si="109"/>
        <v>0</v>
      </c>
      <c r="N158" s="572">
        <f t="shared" si="109"/>
        <v>0</v>
      </c>
      <c r="O158" s="572">
        <f t="shared" si="104"/>
        <v>0</v>
      </c>
      <c r="P158" s="572">
        <f t="shared" si="105"/>
        <v>0</v>
      </c>
      <c r="Q158" s="572">
        <f t="shared" ref="Q158:S159" si="110">Q161+Q164</f>
        <v>0</v>
      </c>
      <c r="R158" s="572">
        <f t="shared" si="110"/>
        <v>0</v>
      </c>
      <c r="S158" s="572">
        <f t="shared" si="110"/>
        <v>0</v>
      </c>
      <c r="T158" s="572">
        <f t="shared" si="107"/>
        <v>0</v>
      </c>
      <c r="U158" s="572">
        <f t="shared" si="108"/>
        <v>0</v>
      </c>
    </row>
    <row r="159" spans="1:21" ht="18.75" x14ac:dyDescent="0.25">
      <c r="A159" s="674"/>
      <c r="B159" s="561"/>
      <c r="C159" s="561"/>
      <c r="D159" s="561"/>
      <c r="E159" s="573" t="s">
        <v>21</v>
      </c>
      <c r="F159" s="561"/>
      <c r="G159" s="563"/>
      <c r="H159" s="681" t="s">
        <v>14</v>
      </c>
      <c r="I159" s="565"/>
      <c r="J159" s="565"/>
      <c r="K159" s="566"/>
      <c r="L159" s="567">
        <f t="shared" ca="1" si="109"/>
        <v>4500</v>
      </c>
      <c r="M159" s="568">
        <f t="shared" ca="1" si="109"/>
        <v>5294</v>
      </c>
      <c r="N159" s="568">
        <f t="shared" ca="1" si="109"/>
        <v>0</v>
      </c>
      <c r="O159" s="568">
        <f t="shared" ca="1" si="104"/>
        <v>0</v>
      </c>
      <c r="P159" s="568">
        <f t="shared" ca="1" si="105"/>
        <v>0</v>
      </c>
      <c r="Q159" s="568">
        <f t="shared" ca="1" si="110"/>
        <v>0</v>
      </c>
      <c r="R159" s="568">
        <f t="shared" ca="1" si="110"/>
        <v>0</v>
      </c>
      <c r="S159" s="568">
        <f t="shared" ca="1" si="110"/>
        <v>0</v>
      </c>
      <c r="T159" s="568">
        <f t="shared" ca="1" si="107"/>
        <v>0</v>
      </c>
      <c r="U159" s="568">
        <f t="shared" ca="1" si="108"/>
        <v>0</v>
      </c>
    </row>
    <row r="160" spans="1:21" ht="18.75" x14ac:dyDescent="0.25">
      <c r="A160" s="674"/>
      <c r="B160" s="561"/>
      <c r="C160" s="561"/>
      <c r="D160" s="562" t="s">
        <v>22</v>
      </c>
      <c r="E160" s="561"/>
      <c r="F160" s="561"/>
      <c r="G160" s="563"/>
      <c r="H160" s="682" t="s">
        <v>14</v>
      </c>
      <c r="I160" s="683"/>
      <c r="J160" s="683"/>
      <c r="K160" s="684"/>
      <c r="L160" s="567">
        <f t="shared" ref="L160:N160" ca="1" si="111">L161+L162</f>
        <v>4500</v>
      </c>
      <c r="M160" s="568">
        <f t="shared" ca="1" si="111"/>
        <v>5294</v>
      </c>
      <c r="N160" s="568">
        <f t="shared" ca="1" si="111"/>
        <v>0</v>
      </c>
      <c r="O160" s="568">
        <f t="shared" ca="1" si="104"/>
        <v>0</v>
      </c>
      <c r="P160" s="568">
        <f t="shared" ca="1" si="105"/>
        <v>0</v>
      </c>
      <c r="Q160" s="568">
        <f t="shared" ref="Q160:S160" ca="1" si="112">Q161+Q162</f>
        <v>0</v>
      </c>
      <c r="R160" s="568">
        <f t="shared" ca="1" si="112"/>
        <v>0</v>
      </c>
      <c r="S160" s="568">
        <f t="shared" ca="1" si="112"/>
        <v>0</v>
      </c>
      <c r="T160" s="568">
        <f t="shared" ca="1" si="107"/>
        <v>0</v>
      </c>
      <c r="U160" s="568">
        <f t="shared" ca="1" si="108"/>
        <v>0</v>
      </c>
    </row>
    <row r="161" spans="1:21" ht="18.75" x14ac:dyDescent="0.25">
      <c r="A161" s="674"/>
      <c r="B161" s="561"/>
      <c r="C161" s="561"/>
      <c r="D161" s="561"/>
      <c r="E161" s="569" t="s">
        <v>36</v>
      </c>
      <c r="F161" s="561"/>
      <c r="G161" s="563"/>
      <c r="H161" s="685" t="s">
        <v>14</v>
      </c>
      <c r="I161" s="683"/>
      <c r="J161" s="683"/>
      <c r="K161" s="684"/>
      <c r="L161" s="571">
        <v>0</v>
      </c>
      <c r="M161" s="572">
        <v>0</v>
      </c>
      <c r="N161" s="572">
        <v>0</v>
      </c>
      <c r="O161" s="572">
        <f t="shared" si="104"/>
        <v>0</v>
      </c>
      <c r="P161" s="572">
        <f t="shared" si="105"/>
        <v>0</v>
      </c>
      <c r="Q161" s="572">
        <v>0</v>
      </c>
      <c r="R161" s="572">
        <v>0</v>
      </c>
      <c r="S161" s="572">
        <v>0</v>
      </c>
      <c r="T161" s="572">
        <f t="shared" si="107"/>
        <v>0</v>
      </c>
      <c r="U161" s="572">
        <f t="shared" si="108"/>
        <v>0</v>
      </c>
    </row>
    <row r="162" spans="1:21" ht="18.75" x14ac:dyDescent="0.25">
      <c r="A162" s="674"/>
      <c r="B162" s="561"/>
      <c r="C162" s="561"/>
      <c r="D162" s="561"/>
      <c r="E162" s="573" t="s">
        <v>37</v>
      </c>
      <c r="F162" s="561"/>
      <c r="G162" s="563"/>
      <c r="H162" s="682" t="s">
        <v>14</v>
      </c>
      <c r="I162" s="683"/>
      <c r="J162" s="683"/>
      <c r="K162" s="684"/>
      <c r="L162" s="567">
        <f ca="1">IFERROR(__xludf.DUMMYFUNCTION("IMPORTRANGE(""https://docs.google.com/spreadsheets/d/1-uDff_7J0KD5mKrp0Vvzr7lt3OU09vwQwhkpOPPYv2Y/edit?usp=sharing"",""งบพรบ!CA15"")"),4500)</f>
        <v>4500</v>
      </c>
      <c r="M162" s="568">
        <f ca="1">IFERROR(__xludf.DUMMYFUNCTION("IMPORTRANGE(""https://docs.google.com/spreadsheets/d/1-uDff_7J0KD5mKrp0Vvzr7lt3OU09vwQwhkpOPPYv2Y/edit?usp=sharing"",""งบพรบ!CF15"")"),5294)</f>
        <v>5294</v>
      </c>
      <c r="N162" s="568">
        <f ca="1">IFERROR(__xludf.DUMMYFUNCTION("IMPORTRANGE(""https://docs.google.com/spreadsheets/d/1-uDff_7J0KD5mKrp0Vvzr7lt3OU09vwQwhkpOPPYv2Y/edit?usp=sharing"",""งบพรบ!CH15"")"),0)</f>
        <v>0</v>
      </c>
      <c r="O162" s="568">
        <f t="shared" ca="1" si="104"/>
        <v>0</v>
      </c>
      <c r="P162" s="568">
        <f t="shared" ca="1" si="105"/>
        <v>0</v>
      </c>
      <c r="Q162" s="568">
        <f ca="1">IFERROR(__xludf.DUMMYFUNCTION("IMPORTRANGE(""https://docs.google.com/spreadsheets/d/1ItG2mGa2ceCfYo0BwxsXqNm01IGEUdYcSSLTEv9YCik/edit?usp=sharing"",""เบิกจ่ายกองทุน!AM15"")"),0)</f>
        <v>0</v>
      </c>
      <c r="R162" s="568">
        <f ca="1">IFERROR(__xludf.DUMMYFUNCTION("IMPORTRANGE(""https://docs.google.com/spreadsheets/d/1ItG2mGa2ceCfYo0BwxsXqNm01IGEUdYcSSLTEv9YCik/edit?usp=sharing"",""เบิกจ่ายกองทุน!AN15"")"),0)</f>
        <v>0</v>
      </c>
      <c r="S162" s="568">
        <f ca="1">IFERROR(__xludf.DUMMYFUNCTION("IMPORTRANGE(""https://docs.google.com/spreadsheets/d/1ItG2mGa2ceCfYo0BwxsXqNm01IGEUdYcSSLTEv9YCik/edit?usp=sharing"",""เบิกจ่ายกองทุน!AO15"")"),0)</f>
        <v>0</v>
      </c>
      <c r="T162" s="568">
        <f t="shared" ca="1" si="107"/>
        <v>0</v>
      </c>
      <c r="U162" s="568">
        <f t="shared" ca="1" si="108"/>
        <v>0</v>
      </c>
    </row>
    <row r="163" spans="1:21" ht="18.75" x14ac:dyDescent="0.25">
      <c r="A163" s="674"/>
      <c r="B163" s="561"/>
      <c r="C163" s="561"/>
      <c r="D163" s="562" t="s">
        <v>23</v>
      </c>
      <c r="E163" s="561"/>
      <c r="F163" s="561"/>
      <c r="G163" s="563"/>
      <c r="H163" s="686" t="s">
        <v>14</v>
      </c>
      <c r="I163" s="683"/>
      <c r="J163" s="683"/>
      <c r="K163" s="684"/>
      <c r="L163" s="567">
        <f t="shared" ref="L163:N163" ca="1" si="113">L164+L165</f>
        <v>0</v>
      </c>
      <c r="M163" s="568">
        <f t="shared" ca="1" si="113"/>
        <v>0</v>
      </c>
      <c r="N163" s="568">
        <f t="shared" ca="1" si="113"/>
        <v>0</v>
      </c>
      <c r="O163" s="568">
        <f t="shared" ca="1" si="104"/>
        <v>0</v>
      </c>
      <c r="P163" s="568">
        <f t="shared" ca="1" si="105"/>
        <v>0</v>
      </c>
      <c r="Q163" s="568">
        <f t="shared" ref="Q163:S163" si="114">Q164+Q165</f>
        <v>0</v>
      </c>
      <c r="R163" s="568">
        <f t="shared" si="114"/>
        <v>0</v>
      </c>
      <c r="S163" s="568">
        <f t="shared" si="114"/>
        <v>0</v>
      </c>
      <c r="T163" s="568">
        <f t="shared" si="107"/>
        <v>0</v>
      </c>
      <c r="U163" s="568">
        <f t="shared" si="108"/>
        <v>0</v>
      </c>
    </row>
    <row r="164" spans="1:21" ht="18.75" x14ac:dyDescent="0.25">
      <c r="A164" s="674"/>
      <c r="B164" s="561"/>
      <c r="C164" s="561"/>
      <c r="D164" s="561"/>
      <c r="E164" s="569" t="s">
        <v>20</v>
      </c>
      <c r="F164" s="561"/>
      <c r="G164" s="563"/>
      <c r="H164" s="685" t="s">
        <v>14</v>
      </c>
      <c r="I164" s="683"/>
      <c r="J164" s="683"/>
      <c r="K164" s="684"/>
      <c r="L164" s="571">
        <v>0</v>
      </c>
      <c r="M164" s="572">
        <v>0</v>
      </c>
      <c r="N164" s="572">
        <v>0</v>
      </c>
      <c r="O164" s="572">
        <f t="shared" si="104"/>
        <v>0</v>
      </c>
      <c r="P164" s="572">
        <f t="shared" si="105"/>
        <v>0</v>
      </c>
      <c r="Q164" s="572">
        <v>0</v>
      </c>
      <c r="R164" s="572">
        <v>0</v>
      </c>
      <c r="S164" s="572">
        <v>0</v>
      </c>
      <c r="T164" s="572">
        <f t="shared" si="107"/>
        <v>0</v>
      </c>
      <c r="U164" s="572">
        <f t="shared" si="108"/>
        <v>0</v>
      </c>
    </row>
    <row r="165" spans="1:21" ht="18.75" x14ac:dyDescent="0.25">
      <c r="A165" s="674"/>
      <c r="B165" s="561"/>
      <c r="C165" s="561"/>
      <c r="D165" s="561"/>
      <c r="E165" s="573" t="s">
        <v>21</v>
      </c>
      <c r="F165" s="561"/>
      <c r="G165" s="563"/>
      <c r="H165" s="686" t="s">
        <v>14</v>
      </c>
      <c r="I165" s="683"/>
      <c r="J165" s="683"/>
      <c r="K165" s="684"/>
      <c r="L165" s="567">
        <f ca="1">IFERROR(__xludf.DUMMYFUNCTION("IMPORTRANGE(""https://docs.google.com/spreadsheets/d/1-uDff_7J0KD5mKrp0Vvzr7lt3OU09vwQwhkpOPPYv2Y/edit?usp=sharing"",""งบพรบ!CD15"")"),0)</f>
        <v>0</v>
      </c>
      <c r="M165" s="568">
        <f ca="1">IFERROR(__xludf.DUMMYFUNCTION("IMPORTRANGE(""https://docs.google.com/spreadsheets/d/1-uDff_7J0KD5mKrp0Vvzr7lt3OU09vwQwhkpOPPYv2Y/edit?usp=sharing"",""งบพรบ!CG15"")"),0)</f>
        <v>0</v>
      </c>
      <c r="N165" s="568">
        <f ca="1">IFERROR(__xludf.DUMMYFUNCTION("IMPORTRANGE(""https://docs.google.com/spreadsheets/d/1-uDff_7J0KD5mKrp0Vvzr7lt3OU09vwQwhkpOPPYv2Y/edit?usp=sharing"",""งบพรบ!CI15"")"),0)</f>
        <v>0</v>
      </c>
      <c r="O165" s="568">
        <f t="shared" ca="1" si="104"/>
        <v>0</v>
      </c>
      <c r="P165" s="568">
        <f t="shared" ca="1" si="105"/>
        <v>0</v>
      </c>
      <c r="Q165" s="568">
        <v>0</v>
      </c>
      <c r="R165" s="568">
        <v>0</v>
      </c>
      <c r="S165" s="568">
        <v>0</v>
      </c>
      <c r="T165" s="568">
        <f t="shared" si="107"/>
        <v>0</v>
      </c>
      <c r="U165" s="568">
        <f t="shared" si="108"/>
        <v>0</v>
      </c>
    </row>
    <row r="166" spans="1:21" ht="19.5" x14ac:dyDescent="0.3">
      <c r="A166" s="687"/>
      <c r="B166" s="688"/>
      <c r="C166" s="675" t="s">
        <v>18</v>
      </c>
      <c r="D166" s="689" t="s">
        <v>38</v>
      </c>
      <c r="E166" s="690"/>
      <c r="F166" s="690"/>
      <c r="G166" s="691"/>
      <c r="H166" s="725"/>
      <c r="I166" s="565"/>
      <c r="J166" s="565"/>
      <c r="K166" s="566"/>
      <c r="L166" s="574"/>
      <c r="M166" s="566"/>
      <c r="N166" s="566"/>
      <c r="O166" s="566"/>
      <c r="P166" s="566"/>
      <c r="Q166" s="566"/>
      <c r="R166" s="566"/>
      <c r="S166" s="566"/>
      <c r="T166" s="566"/>
      <c r="U166" s="566"/>
    </row>
    <row r="167" spans="1:21" ht="18.75" x14ac:dyDescent="0.25">
      <c r="A167" s="674"/>
      <c r="B167" s="561"/>
      <c r="C167" s="561"/>
      <c r="D167" s="573" t="s">
        <v>69</v>
      </c>
      <c r="E167" s="561"/>
      <c r="F167" s="561"/>
      <c r="G167" s="563"/>
      <c r="H167" s="686" t="s">
        <v>35</v>
      </c>
      <c r="I167" s="708">
        <f ca="1">IFERROR(__xludf.DUMMYFUNCTION("IMPORTRANGE(""https://docs.google.com/spreadsheets/d/1eHaY18a8A9IcSdp1K8H6x8fbOy06t2VsZHhMHf-1x7Y/edit?usp=sharing"",""แผน!Z15"")"),15)</f>
        <v>15</v>
      </c>
      <c r="J167" s="702">
        <v>17</v>
      </c>
      <c r="K167" s="568">
        <f t="shared" ref="K167:K169" ca="1" si="115">IF(I167&gt;0,J167*100/I167,0)</f>
        <v>113.33333333333333</v>
      </c>
      <c r="L167" s="574"/>
      <c r="M167" s="566"/>
      <c r="N167" s="566"/>
      <c r="O167" s="566"/>
      <c r="P167" s="566"/>
      <c r="Q167" s="566"/>
      <c r="R167" s="566"/>
      <c r="S167" s="566"/>
      <c r="T167" s="566"/>
      <c r="U167" s="566"/>
    </row>
    <row r="168" spans="1:21" ht="18.75" x14ac:dyDescent="0.25">
      <c r="A168" s="674"/>
      <c r="B168" s="561"/>
      <c r="C168" s="561"/>
      <c r="D168" s="569" t="s">
        <v>70</v>
      </c>
      <c r="E168" s="561"/>
      <c r="F168" s="561"/>
      <c r="G168" s="563"/>
      <c r="H168" s="734" t="s">
        <v>35</v>
      </c>
      <c r="I168" s="735">
        <f ca="1">I167</f>
        <v>15</v>
      </c>
      <c r="J168" s="736">
        <v>0</v>
      </c>
      <c r="K168" s="572">
        <f t="shared" ca="1" si="115"/>
        <v>0</v>
      </c>
      <c r="L168" s="574"/>
      <c r="M168" s="566"/>
      <c r="N168" s="566"/>
      <c r="O168" s="566"/>
      <c r="P168" s="566"/>
      <c r="Q168" s="566"/>
      <c r="R168" s="566"/>
      <c r="S168" s="566"/>
      <c r="T168" s="566"/>
      <c r="U168" s="566"/>
    </row>
    <row r="169" spans="1:21" ht="18.75" x14ac:dyDescent="0.25">
      <c r="A169" s="737"/>
      <c r="B169" s="513"/>
      <c r="C169" s="513"/>
      <c r="D169" s="738" t="s">
        <v>71</v>
      </c>
      <c r="E169" s="513"/>
      <c r="F169" s="513"/>
      <c r="G169" s="577"/>
      <c r="H169" s="739" t="s">
        <v>35</v>
      </c>
      <c r="I169" s="740">
        <f ca="1">I167</f>
        <v>15</v>
      </c>
      <c r="J169" s="741">
        <v>0</v>
      </c>
      <c r="K169" s="742">
        <f t="shared" ca="1" si="115"/>
        <v>0</v>
      </c>
      <c r="L169" s="581"/>
      <c r="M169" s="580"/>
      <c r="N169" s="580"/>
      <c r="O169" s="580"/>
      <c r="P169" s="580"/>
      <c r="Q169" s="580"/>
      <c r="R169" s="580"/>
      <c r="S169" s="580"/>
      <c r="T169" s="580"/>
      <c r="U169" s="580"/>
    </row>
    <row r="170" spans="1:21" ht="19.5" x14ac:dyDescent="0.3">
      <c r="A170" s="743" t="s">
        <v>72</v>
      </c>
      <c r="B170" s="744"/>
      <c r="C170" s="744"/>
      <c r="D170" s="744"/>
      <c r="E170" s="745"/>
      <c r="F170" s="745"/>
      <c r="G170" s="745"/>
      <c r="H170" s="745"/>
      <c r="I170" s="746"/>
      <c r="J170" s="746"/>
      <c r="K170" s="747"/>
      <c r="L170" s="747"/>
      <c r="M170" s="747"/>
      <c r="N170" s="747"/>
      <c r="O170" s="747"/>
      <c r="P170" s="748"/>
      <c r="Q170" s="747"/>
      <c r="R170" s="747"/>
      <c r="S170" s="747"/>
      <c r="T170" s="747"/>
      <c r="U170" s="748"/>
    </row>
    <row r="171" spans="1:21" ht="19.5" x14ac:dyDescent="0.3">
      <c r="A171" s="749" t="s">
        <v>73</v>
      </c>
      <c r="B171" s="750"/>
      <c r="C171" s="750"/>
      <c r="D171" s="751"/>
      <c r="E171" s="751"/>
      <c r="F171" s="751"/>
      <c r="G171" s="751"/>
      <c r="H171" s="752"/>
      <c r="I171" s="753"/>
      <c r="J171" s="753"/>
      <c r="K171" s="754"/>
      <c r="L171" s="755"/>
      <c r="M171" s="754"/>
      <c r="N171" s="754"/>
      <c r="O171" s="754"/>
      <c r="P171" s="754"/>
      <c r="Q171" s="754"/>
      <c r="R171" s="754"/>
      <c r="S171" s="754"/>
      <c r="T171" s="754"/>
      <c r="U171" s="754"/>
    </row>
    <row r="172" spans="1:21" ht="19.5" x14ac:dyDescent="0.3">
      <c r="A172" s="756"/>
      <c r="B172" s="757" t="s">
        <v>74</v>
      </c>
      <c r="C172" s="758"/>
      <c r="D172" s="690"/>
      <c r="E172" s="690"/>
      <c r="F172" s="690"/>
      <c r="G172" s="691"/>
      <c r="H172" s="759" t="s">
        <v>35</v>
      </c>
      <c r="I172" s="760">
        <f t="shared" ref="I172:J172" ca="1" si="116">I183+I184</f>
        <v>17</v>
      </c>
      <c r="J172" s="760">
        <f t="shared" si="116"/>
        <v>7</v>
      </c>
      <c r="K172" s="761">
        <f ca="1">IF(I172&gt;0,J172*100/I172,0)</f>
        <v>41.176470588235297</v>
      </c>
      <c r="L172" s="762"/>
      <c r="M172" s="763"/>
      <c r="N172" s="763"/>
      <c r="O172" s="763"/>
      <c r="P172" s="763"/>
      <c r="Q172" s="763"/>
      <c r="R172" s="763"/>
      <c r="S172" s="763"/>
      <c r="T172" s="763"/>
      <c r="U172" s="763"/>
    </row>
    <row r="173" spans="1:21" ht="19.5" x14ac:dyDescent="0.3">
      <c r="A173" s="674"/>
      <c r="B173" s="561"/>
      <c r="C173" s="675" t="s">
        <v>18</v>
      </c>
      <c r="D173" s="676" t="s">
        <v>19</v>
      </c>
      <c r="E173" s="561"/>
      <c r="F173" s="561"/>
      <c r="G173" s="563"/>
      <c r="H173" s="677" t="s">
        <v>14</v>
      </c>
      <c r="I173" s="565"/>
      <c r="J173" s="565"/>
      <c r="K173" s="566"/>
      <c r="L173" s="678">
        <f t="shared" ref="L173:N173" ca="1" si="117">L174+L175</f>
        <v>19590</v>
      </c>
      <c r="M173" s="679">
        <f t="shared" ca="1" si="117"/>
        <v>111760</v>
      </c>
      <c r="N173" s="679">
        <f t="shared" ca="1" si="117"/>
        <v>95940</v>
      </c>
      <c r="O173" s="679">
        <f t="shared" ref="O173:O181" ca="1" si="118">IF(L173&gt;0,N173*100/L173,0)</f>
        <v>489.739663093415</v>
      </c>
      <c r="P173" s="679">
        <f t="shared" ref="P173:P181" ca="1" si="119">IF(M173&gt;0,N173*100/M173,0)</f>
        <v>85.844667143879747</v>
      </c>
      <c r="Q173" s="679">
        <f t="shared" ref="Q173:S173" ca="1" si="120">Q174+Q175</f>
        <v>0</v>
      </c>
      <c r="R173" s="679">
        <f t="shared" ca="1" si="120"/>
        <v>0</v>
      </c>
      <c r="S173" s="679">
        <f t="shared" ca="1" si="120"/>
        <v>0</v>
      </c>
      <c r="T173" s="679">
        <f t="shared" ref="T173:T181" ca="1" si="121">IF(Q173&gt;0,S173*100/Q173,0)</f>
        <v>0</v>
      </c>
      <c r="U173" s="679">
        <f t="shared" ref="U173:U181" ca="1" si="122">IF(R173&gt;0,S173*100/R173,0)</f>
        <v>0</v>
      </c>
    </row>
    <row r="174" spans="1:21" ht="18.75" x14ac:dyDescent="0.25">
      <c r="A174" s="674"/>
      <c r="B174" s="561"/>
      <c r="C174" s="561"/>
      <c r="D174" s="561"/>
      <c r="E174" s="569" t="s">
        <v>20</v>
      </c>
      <c r="F174" s="561"/>
      <c r="G174" s="563"/>
      <c r="H174" s="680" t="s">
        <v>14</v>
      </c>
      <c r="I174" s="565"/>
      <c r="J174" s="565"/>
      <c r="K174" s="566"/>
      <c r="L174" s="571">
        <f t="shared" ref="L174:N175" si="123">L177+L180</f>
        <v>0</v>
      </c>
      <c r="M174" s="572">
        <f t="shared" si="123"/>
        <v>0</v>
      </c>
      <c r="N174" s="572">
        <f t="shared" si="123"/>
        <v>0</v>
      </c>
      <c r="O174" s="572">
        <f t="shared" si="118"/>
        <v>0</v>
      </c>
      <c r="P174" s="572">
        <f t="shared" si="119"/>
        <v>0</v>
      </c>
      <c r="Q174" s="572">
        <f t="shared" ref="Q174:S175" si="124">Q177+Q180</f>
        <v>0</v>
      </c>
      <c r="R174" s="572">
        <f t="shared" si="124"/>
        <v>0</v>
      </c>
      <c r="S174" s="572">
        <f t="shared" si="124"/>
        <v>0</v>
      </c>
      <c r="T174" s="572">
        <f t="shared" si="121"/>
        <v>0</v>
      </c>
      <c r="U174" s="572">
        <f t="shared" si="122"/>
        <v>0</v>
      </c>
    </row>
    <row r="175" spans="1:21" ht="18.75" x14ac:dyDescent="0.25">
      <c r="A175" s="674"/>
      <c r="B175" s="561"/>
      <c r="C175" s="561"/>
      <c r="D175" s="561"/>
      <c r="E175" s="573" t="s">
        <v>21</v>
      </c>
      <c r="F175" s="561"/>
      <c r="G175" s="563"/>
      <c r="H175" s="681" t="s">
        <v>14</v>
      </c>
      <c r="I175" s="565"/>
      <c r="J175" s="565"/>
      <c r="K175" s="566"/>
      <c r="L175" s="567">
        <f t="shared" ca="1" si="123"/>
        <v>19590</v>
      </c>
      <c r="M175" s="568">
        <f t="shared" ca="1" si="123"/>
        <v>111760</v>
      </c>
      <c r="N175" s="568">
        <f t="shared" ca="1" si="123"/>
        <v>95940</v>
      </c>
      <c r="O175" s="568">
        <f t="shared" ca="1" si="118"/>
        <v>489.739663093415</v>
      </c>
      <c r="P175" s="568">
        <f t="shared" ca="1" si="119"/>
        <v>85.844667143879747</v>
      </c>
      <c r="Q175" s="568">
        <f t="shared" ca="1" si="124"/>
        <v>0</v>
      </c>
      <c r="R175" s="568">
        <f t="shared" ca="1" si="124"/>
        <v>0</v>
      </c>
      <c r="S175" s="568">
        <f t="shared" ca="1" si="124"/>
        <v>0</v>
      </c>
      <c r="T175" s="568">
        <f t="shared" ca="1" si="121"/>
        <v>0</v>
      </c>
      <c r="U175" s="568">
        <f t="shared" ca="1" si="122"/>
        <v>0</v>
      </c>
    </row>
    <row r="176" spans="1:21" ht="18.75" x14ac:dyDescent="0.25">
      <c r="A176" s="674"/>
      <c r="B176" s="561"/>
      <c r="C176" s="561"/>
      <c r="D176" s="562" t="s">
        <v>22</v>
      </c>
      <c r="E176" s="561"/>
      <c r="F176" s="561"/>
      <c r="G176" s="563"/>
      <c r="H176" s="682" t="s">
        <v>14</v>
      </c>
      <c r="I176" s="683"/>
      <c r="J176" s="683"/>
      <c r="K176" s="684"/>
      <c r="L176" s="567">
        <f t="shared" ref="L176:N176" ca="1" si="125">L177+L178</f>
        <v>19590</v>
      </c>
      <c r="M176" s="568">
        <f t="shared" ca="1" si="125"/>
        <v>111760</v>
      </c>
      <c r="N176" s="568">
        <f t="shared" ca="1" si="125"/>
        <v>95940</v>
      </c>
      <c r="O176" s="568">
        <f t="shared" ca="1" si="118"/>
        <v>489.739663093415</v>
      </c>
      <c r="P176" s="568">
        <f t="shared" ca="1" si="119"/>
        <v>85.844667143879747</v>
      </c>
      <c r="Q176" s="568">
        <f t="shared" ref="Q176:S176" ca="1" si="126">Q177+Q178</f>
        <v>0</v>
      </c>
      <c r="R176" s="568">
        <f t="shared" ca="1" si="126"/>
        <v>0</v>
      </c>
      <c r="S176" s="568">
        <f t="shared" ca="1" si="126"/>
        <v>0</v>
      </c>
      <c r="T176" s="568">
        <f t="shared" ca="1" si="121"/>
        <v>0</v>
      </c>
      <c r="U176" s="568">
        <f t="shared" ca="1" si="122"/>
        <v>0</v>
      </c>
    </row>
    <row r="177" spans="1:21" ht="18.75" x14ac:dyDescent="0.25">
      <c r="A177" s="674"/>
      <c r="B177" s="561"/>
      <c r="C177" s="561"/>
      <c r="D177" s="561"/>
      <c r="E177" s="569" t="s">
        <v>36</v>
      </c>
      <c r="F177" s="561"/>
      <c r="G177" s="563"/>
      <c r="H177" s="685" t="s">
        <v>14</v>
      </c>
      <c r="I177" s="683"/>
      <c r="J177" s="683"/>
      <c r="K177" s="684"/>
      <c r="L177" s="571">
        <v>0</v>
      </c>
      <c r="M177" s="572">
        <v>0</v>
      </c>
      <c r="N177" s="572">
        <v>0</v>
      </c>
      <c r="O177" s="572">
        <f t="shared" si="118"/>
        <v>0</v>
      </c>
      <c r="P177" s="572">
        <f t="shared" si="119"/>
        <v>0</v>
      </c>
      <c r="Q177" s="572">
        <v>0</v>
      </c>
      <c r="R177" s="572">
        <v>0</v>
      </c>
      <c r="S177" s="572">
        <v>0</v>
      </c>
      <c r="T177" s="572">
        <f t="shared" si="121"/>
        <v>0</v>
      </c>
      <c r="U177" s="572">
        <f t="shared" si="122"/>
        <v>0</v>
      </c>
    </row>
    <row r="178" spans="1:21" ht="18.75" x14ac:dyDescent="0.25">
      <c r="A178" s="674"/>
      <c r="B178" s="561"/>
      <c r="C178" s="561"/>
      <c r="D178" s="561"/>
      <c r="E178" s="573" t="s">
        <v>37</v>
      </c>
      <c r="F178" s="561"/>
      <c r="G178" s="563"/>
      <c r="H178" s="682" t="s">
        <v>14</v>
      </c>
      <c r="I178" s="683"/>
      <c r="J178" s="683"/>
      <c r="K178" s="684"/>
      <c r="L178" s="567">
        <f ca="1">IFERROR(__xludf.DUMMYFUNCTION("IMPORTRANGE(""https://docs.google.com/spreadsheets/d/1-uDff_7J0KD5mKrp0Vvzr7lt3OU09vwQwhkpOPPYv2Y/edit?usp=sharing"",""งบพรบ!CK15"")"),19590)</f>
        <v>19590</v>
      </c>
      <c r="M178" s="568">
        <f ca="1">IFERROR(__xludf.DUMMYFUNCTION("IMPORTRANGE(""https://docs.google.com/spreadsheets/d/1-uDff_7J0KD5mKrp0Vvzr7lt3OU09vwQwhkpOPPYv2Y/edit?usp=sharing"",""งบพรบ!CP15"")"),111760)</f>
        <v>111760</v>
      </c>
      <c r="N178" s="568">
        <f ca="1">IFERROR(__xludf.DUMMYFUNCTION("IMPORTRANGE(""https://docs.google.com/spreadsheets/d/1-uDff_7J0KD5mKrp0Vvzr7lt3OU09vwQwhkpOPPYv2Y/edit?usp=sharing"",""งบพรบ!CR15"")"),95940)</f>
        <v>95940</v>
      </c>
      <c r="O178" s="568">
        <f t="shared" ca="1" si="118"/>
        <v>489.739663093415</v>
      </c>
      <c r="P178" s="568">
        <f t="shared" ca="1" si="119"/>
        <v>85.844667143879747</v>
      </c>
      <c r="Q178" s="568">
        <f ca="1">IFERROR(__xludf.DUMMYFUNCTION("IMPORTRANGE(""https://docs.google.com/spreadsheets/d/1ItG2mGa2ceCfYo0BwxsXqNm01IGEUdYcSSLTEv9YCik/edit?usp=sharing"",""เบิกจ่ายกองทุน!DG15"")"),0)</f>
        <v>0</v>
      </c>
      <c r="R178" s="568">
        <f ca="1">IFERROR(__xludf.DUMMYFUNCTION("IMPORTRANGE(""https://docs.google.com/spreadsheets/d/1ItG2mGa2ceCfYo0BwxsXqNm01IGEUdYcSSLTEv9YCik/edit?usp=sharing"",""เบิกจ่ายกองทุน!DH15"")"),0)</f>
        <v>0</v>
      </c>
      <c r="S178" s="568">
        <f ca="1">IFERROR(__xludf.DUMMYFUNCTION("IMPORTRANGE(""https://docs.google.com/spreadsheets/d/1ItG2mGa2ceCfYo0BwxsXqNm01IGEUdYcSSLTEv9YCik/edit?usp=sharing"",""เบิกจ่ายกองทุน!DI15"")"),0)</f>
        <v>0</v>
      </c>
      <c r="T178" s="568">
        <f t="shared" ca="1" si="121"/>
        <v>0</v>
      </c>
      <c r="U178" s="568">
        <f t="shared" ca="1" si="122"/>
        <v>0</v>
      </c>
    </row>
    <row r="179" spans="1:21" ht="18.75" x14ac:dyDescent="0.25">
      <c r="A179" s="674"/>
      <c r="B179" s="561"/>
      <c r="C179" s="561"/>
      <c r="D179" s="562" t="s">
        <v>23</v>
      </c>
      <c r="E179" s="561"/>
      <c r="F179" s="561"/>
      <c r="G179" s="563"/>
      <c r="H179" s="686" t="s">
        <v>14</v>
      </c>
      <c r="I179" s="683"/>
      <c r="J179" s="683"/>
      <c r="K179" s="684"/>
      <c r="L179" s="567">
        <f t="shared" ref="L179:N179" ca="1" si="127">L180+L181</f>
        <v>0</v>
      </c>
      <c r="M179" s="568">
        <f t="shared" ca="1" si="127"/>
        <v>0</v>
      </c>
      <c r="N179" s="568">
        <f t="shared" ca="1" si="127"/>
        <v>0</v>
      </c>
      <c r="O179" s="568">
        <f t="shared" ca="1" si="118"/>
        <v>0</v>
      </c>
      <c r="P179" s="568">
        <f t="shared" ca="1" si="119"/>
        <v>0</v>
      </c>
      <c r="Q179" s="568">
        <f t="shared" ref="Q179:S179" si="128">Q180+Q181</f>
        <v>0</v>
      </c>
      <c r="R179" s="568">
        <f t="shared" si="128"/>
        <v>0</v>
      </c>
      <c r="S179" s="568">
        <f t="shared" si="128"/>
        <v>0</v>
      </c>
      <c r="T179" s="568">
        <f t="shared" si="121"/>
        <v>0</v>
      </c>
      <c r="U179" s="568">
        <f t="shared" si="122"/>
        <v>0</v>
      </c>
    </row>
    <row r="180" spans="1:21" ht="18.75" x14ac:dyDescent="0.25">
      <c r="A180" s="674"/>
      <c r="B180" s="561"/>
      <c r="C180" s="561"/>
      <c r="D180" s="561"/>
      <c r="E180" s="569" t="s">
        <v>20</v>
      </c>
      <c r="F180" s="561"/>
      <c r="G180" s="563"/>
      <c r="H180" s="685" t="s">
        <v>14</v>
      </c>
      <c r="I180" s="683"/>
      <c r="J180" s="683"/>
      <c r="K180" s="684"/>
      <c r="L180" s="571">
        <v>0</v>
      </c>
      <c r="M180" s="572">
        <v>0</v>
      </c>
      <c r="N180" s="572">
        <v>0</v>
      </c>
      <c r="O180" s="572">
        <f t="shared" si="118"/>
        <v>0</v>
      </c>
      <c r="P180" s="572">
        <f t="shared" si="119"/>
        <v>0</v>
      </c>
      <c r="Q180" s="572">
        <v>0</v>
      </c>
      <c r="R180" s="572">
        <v>0</v>
      </c>
      <c r="S180" s="572">
        <v>0</v>
      </c>
      <c r="T180" s="572">
        <f t="shared" si="121"/>
        <v>0</v>
      </c>
      <c r="U180" s="572">
        <f t="shared" si="122"/>
        <v>0</v>
      </c>
    </row>
    <row r="181" spans="1:21" ht="18.75" x14ac:dyDescent="0.25">
      <c r="A181" s="674"/>
      <c r="B181" s="561"/>
      <c r="C181" s="561"/>
      <c r="D181" s="561"/>
      <c r="E181" s="573" t="s">
        <v>21</v>
      </c>
      <c r="F181" s="561"/>
      <c r="G181" s="563"/>
      <c r="H181" s="686" t="s">
        <v>14</v>
      </c>
      <c r="I181" s="683"/>
      <c r="J181" s="683"/>
      <c r="K181" s="684"/>
      <c r="L181" s="567">
        <f ca="1">IFERROR(__xludf.DUMMYFUNCTION("IMPORTRANGE(""https://docs.google.com/spreadsheets/d/1-uDff_7J0KD5mKrp0Vvzr7lt3OU09vwQwhkpOPPYv2Y/edit?usp=sharing"",""งบพรบ!CN15"")"),0)</f>
        <v>0</v>
      </c>
      <c r="M181" s="568">
        <f ca="1">IFERROR(__xludf.DUMMYFUNCTION("IMPORTRANGE(""https://docs.google.com/spreadsheets/d/1-uDff_7J0KD5mKrp0Vvzr7lt3OU09vwQwhkpOPPYv2Y/edit?usp=sharing"",""งบพรบ!CQ15"")"),0)</f>
        <v>0</v>
      </c>
      <c r="N181" s="568">
        <f ca="1">IFERROR(__xludf.DUMMYFUNCTION("IMPORTRANGE(""https://docs.google.com/spreadsheets/d/1-uDff_7J0KD5mKrp0Vvzr7lt3OU09vwQwhkpOPPYv2Y/edit?usp=sharing"",""งบพรบ!CS15"")"),0)</f>
        <v>0</v>
      </c>
      <c r="O181" s="568">
        <f t="shared" ca="1" si="118"/>
        <v>0</v>
      </c>
      <c r="P181" s="568">
        <f t="shared" ca="1" si="119"/>
        <v>0</v>
      </c>
      <c r="Q181" s="568">
        <v>0</v>
      </c>
      <c r="R181" s="568">
        <v>0</v>
      </c>
      <c r="S181" s="568">
        <v>0</v>
      </c>
      <c r="T181" s="568">
        <f t="shared" si="121"/>
        <v>0</v>
      </c>
      <c r="U181" s="568">
        <f t="shared" si="122"/>
        <v>0</v>
      </c>
    </row>
    <row r="182" spans="1:21" ht="19.5" x14ac:dyDescent="0.3">
      <c r="A182" s="687"/>
      <c r="B182" s="688"/>
      <c r="C182" s="675" t="s">
        <v>18</v>
      </c>
      <c r="D182" s="689" t="s">
        <v>38</v>
      </c>
      <c r="E182" s="690"/>
      <c r="F182" s="690"/>
      <c r="G182" s="691"/>
      <c r="H182" s="725"/>
      <c r="I182" s="565"/>
      <c r="J182" s="565"/>
      <c r="K182" s="566"/>
      <c r="L182" s="574"/>
      <c r="M182" s="566"/>
      <c r="N182" s="566"/>
      <c r="O182" s="566"/>
      <c r="P182" s="566"/>
      <c r="Q182" s="566"/>
      <c r="R182" s="566"/>
      <c r="S182" s="566"/>
      <c r="T182" s="566"/>
      <c r="U182" s="566"/>
    </row>
    <row r="183" spans="1:21" ht="18.75" x14ac:dyDescent="0.25">
      <c r="A183" s="764"/>
      <c r="B183" s="561"/>
      <c r="C183" s="718"/>
      <c r="D183" s="765" t="s">
        <v>75</v>
      </c>
      <c r="E183" s="561"/>
      <c r="F183" s="561"/>
      <c r="G183" s="563"/>
      <c r="H183" s="766" t="s">
        <v>35</v>
      </c>
      <c r="I183" s="708">
        <f ca="1">IFERROR(__xludf.DUMMYFUNCTION("IMPORTRANGE(""https://docs.google.com/spreadsheets/d/1eHaY18a8A9IcSdp1K8H6x8fbOy06t2VsZHhMHf-1x7Y/edit?usp=sharing"",""แผน!AA15"")"),17)</f>
        <v>17</v>
      </c>
      <c r="J183" s="702">
        <v>7</v>
      </c>
      <c r="K183" s="568">
        <f t="shared" ref="K183:K185" ca="1" si="129">IF(I183&gt;0,J183*100/I183,0)</f>
        <v>41.176470588235297</v>
      </c>
      <c r="L183" s="574"/>
      <c r="M183" s="566"/>
      <c r="N183" s="566"/>
      <c r="O183" s="566"/>
      <c r="P183" s="566"/>
      <c r="Q183" s="566"/>
      <c r="R183" s="566"/>
      <c r="S183" s="566"/>
      <c r="T183" s="566"/>
      <c r="U183" s="566"/>
    </row>
    <row r="184" spans="1:21" ht="18.75" x14ac:dyDescent="0.25">
      <c r="A184" s="764"/>
      <c r="B184" s="718"/>
      <c r="C184" s="718"/>
      <c r="D184" s="767" t="s">
        <v>76</v>
      </c>
      <c r="E184" s="561"/>
      <c r="F184" s="561"/>
      <c r="G184" s="563"/>
      <c r="H184" s="768" t="s">
        <v>35</v>
      </c>
      <c r="I184" s="735">
        <v>0</v>
      </c>
      <c r="J184" s="735">
        <v>0</v>
      </c>
      <c r="K184" s="572">
        <f t="shared" si="129"/>
        <v>0</v>
      </c>
      <c r="L184" s="574"/>
      <c r="M184" s="566"/>
      <c r="N184" s="566"/>
      <c r="O184" s="566"/>
      <c r="P184" s="566"/>
      <c r="Q184" s="566"/>
      <c r="R184" s="566"/>
      <c r="S184" s="566"/>
      <c r="T184" s="566"/>
      <c r="U184" s="566"/>
    </row>
    <row r="185" spans="1:21" ht="19.5" x14ac:dyDescent="0.3">
      <c r="A185" s="756"/>
      <c r="B185" s="757" t="s">
        <v>77</v>
      </c>
      <c r="C185" s="758"/>
      <c r="D185" s="690"/>
      <c r="E185" s="690"/>
      <c r="F185" s="690"/>
      <c r="G185" s="691"/>
      <c r="H185" s="759" t="s">
        <v>35</v>
      </c>
      <c r="I185" s="760">
        <f t="shared" ref="I185:J185" ca="1" si="130">I230+I231</f>
        <v>0</v>
      </c>
      <c r="J185" s="760">
        <f t="shared" si="130"/>
        <v>0</v>
      </c>
      <c r="K185" s="761">
        <f t="shared" ca="1" si="129"/>
        <v>0</v>
      </c>
      <c r="L185" s="762"/>
      <c r="M185" s="763"/>
      <c r="N185" s="763"/>
      <c r="O185" s="763"/>
      <c r="P185" s="763"/>
      <c r="Q185" s="763"/>
      <c r="R185" s="763"/>
      <c r="S185" s="763"/>
      <c r="T185" s="763"/>
      <c r="U185" s="763"/>
    </row>
    <row r="186" spans="1:21" ht="19.5" x14ac:dyDescent="0.3">
      <c r="A186" s="674"/>
      <c r="B186" s="561"/>
      <c r="C186" s="675" t="s">
        <v>18</v>
      </c>
      <c r="D186" s="676" t="s">
        <v>19</v>
      </c>
      <c r="E186" s="561"/>
      <c r="F186" s="561"/>
      <c r="G186" s="563"/>
      <c r="H186" s="677" t="s">
        <v>14</v>
      </c>
      <c r="I186" s="565"/>
      <c r="J186" s="565"/>
      <c r="K186" s="566"/>
      <c r="L186" s="678">
        <f t="shared" ref="L186:N186" ca="1" si="131">L187+L188</f>
        <v>34500</v>
      </c>
      <c r="M186" s="679">
        <f t="shared" ca="1" si="131"/>
        <v>43200</v>
      </c>
      <c r="N186" s="679">
        <f t="shared" ca="1" si="131"/>
        <v>41443</v>
      </c>
      <c r="O186" s="679">
        <f t="shared" ref="O186:O194" ca="1" si="132">IF(L186&gt;0,N186*100/L186,0)</f>
        <v>120.12463768115941</v>
      </c>
      <c r="P186" s="679">
        <f t="shared" ref="P186:P194" ca="1" si="133">IF(M186&gt;0,N186*100/M186,0)</f>
        <v>95.932870370370367</v>
      </c>
      <c r="Q186" s="679">
        <f t="shared" ref="Q186:S186" ca="1" si="134">Q187+Q188</f>
        <v>56000</v>
      </c>
      <c r="R186" s="679">
        <f t="shared" ca="1" si="134"/>
        <v>52000</v>
      </c>
      <c r="S186" s="679">
        <f t="shared" ca="1" si="134"/>
        <v>0</v>
      </c>
      <c r="T186" s="679">
        <f t="shared" ref="T186:T194" ca="1" si="135">IF(Q186&gt;0,S186*100/Q186,0)</f>
        <v>0</v>
      </c>
      <c r="U186" s="679">
        <f t="shared" ref="U186:U194" ca="1" si="136">IF(R186&gt;0,S186*100/R186,0)</f>
        <v>0</v>
      </c>
    </row>
    <row r="187" spans="1:21" ht="18.75" x14ac:dyDescent="0.25">
      <c r="A187" s="674"/>
      <c r="B187" s="561"/>
      <c r="C187" s="561"/>
      <c r="D187" s="561"/>
      <c r="E187" s="569" t="s">
        <v>20</v>
      </c>
      <c r="F187" s="561"/>
      <c r="G187" s="563"/>
      <c r="H187" s="680" t="s">
        <v>14</v>
      </c>
      <c r="I187" s="565"/>
      <c r="J187" s="565"/>
      <c r="K187" s="566"/>
      <c r="L187" s="571">
        <f t="shared" ref="L187:N188" si="137">L190+L193</f>
        <v>0</v>
      </c>
      <c r="M187" s="572">
        <f t="shared" si="137"/>
        <v>0</v>
      </c>
      <c r="N187" s="572">
        <f t="shared" si="137"/>
        <v>0</v>
      </c>
      <c r="O187" s="572">
        <f t="shared" si="132"/>
        <v>0</v>
      </c>
      <c r="P187" s="572">
        <f t="shared" si="133"/>
        <v>0</v>
      </c>
      <c r="Q187" s="572">
        <f t="shared" ref="Q187:S188" si="138">Q190+Q193</f>
        <v>0</v>
      </c>
      <c r="R187" s="572">
        <f t="shared" si="138"/>
        <v>0</v>
      </c>
      <c r="S187" s="572">
        <f t="shared" si="138"/>
        <v>0</v>
      </c>
      <c r="T187" s="572">
        <f t="shared" si="135"/>
        <v>0</v>
      </c>
      <c r="U187" s="572">
        <f t="shared" si="136"/>
        <v>0</v>
      </c>
    </row>
    <row r="188" spans="1:21" ht="18.75" x14ac:dyDescent="0.25">
      <c r="A188" s="674"/>
      <c r="B188" s="561"/>
      <c r="C188" s="561"/>
      <c r="D188" s="561"/>
      <c r="E188" s="573" t="s">
        <v>21</v>
      </c>
      <c r="F188" s="561"/>
      <c r="G188" s="563"/>
      <c r="H188" s="681" t="s">
        <v>14</v>
      </c>
      <c r="I188" s="565"/>
      <c r="J188" s="565"/>
      <c r="K188" s="566"/>
      <c r="L188" s="567">
        <f t="shared" ca="1" si="137"/>
        <v>34500</v>
      </c>
      <c r="M188" s="568">
        <f t="shared" ca="1" si="137"/>
        <v>43200</v>
      </c>
      <c r="N188" s="568">
        <f t="shared" ca="1" si="137"/>
        <v>41443</v>
      </c>
      <c r="O188" s="568">
        <f t="shared" ca="1" si="132"/>
        <v>120.12463768115941</v>
      </c>
      <c r="P188" s="568">
        <f t="shared" ca="1" si="133"/>
        <v>95.932870370370367</v>
      </c>
      <c r="Q188" s="568">
        <f t="shared" ca="1" si="138"/>
        <v>56000</v>
      </c>
      <c r="R188" s="568">
        <f t="shared" ca="1" si="138"/>
        <v>52000</v>
      </c>
      <c r="S188" s="568">
        <f t="shared" ca="1" si="138"/>
        <v>0</v>
      </c>
      <c r="T188" s="568">
        <f t="shared" ca="1" si="135"/>
        <v>0</v>
      </c>
      <c r="U188" s="568">
        <f t="shared" ca="1" si="136"/>
        <v>0</v>
      </c>
    </row>
    <row r="189" spans="1:21" ht="18.75" x14ac:dyDescent="0.25">
      <c r="A189" s="674"/>
      <c r="B189" s="561"/>
      <c r="C189" s="561"/>
      <c r="D189" s="562" t="s">
        <v>22</v>
      </c>
      <c r="E189" s="561"/>
      <c r="F189" s="561"/>
      <c r="G189" s="563"/>
      <c r="H189" s="682" t="s">
        <v>14</v>
      </c>
      <c r="I189" s="683"/>
      <c r="J189" s="683"/>
      <c r="K189" s="684"/>
      <c r="L189" s="567">
        <f t="shared" ref="L189:N189" ca="1" si="139">L190+L191</f>
        <v>34500</v>
      </c>
      <c r="M189" s="568">
        <f t="shared" ca="1" si="139"/>
        <v>43200</v>
      </c>
      <c r="N189" s="568">
        <f t="shared" ca="1" si="139"/>
        <v>41443</v>
      </c>
      <c r="O189" s="568">
        <f t="shared" ca="1" si="132"/>
        <v>120.12463768115941</v>
      </c>
      <c r="P189" s="568">
        <f t="shared" ca="1" si="133"/>
        <v>95.932870370370367</v>
      </c>
      <c r="Q189" s="568">
        <f t="shared" ref="Q189:S189" ca="1" si="140">Q190+Q191</f>
        <v>56000</v>
      </c>
      <c r="R189" s="568">
        <f t="shared" ca="1" si="140"/>
        <v>52000</v>
      </c>
      <c r="S189" s="568">
        <f t="shared" ca="1" si="140"/>
        <v>0</v>
      </c>
      <c r="T189" s="568">
        <f t="shared" ca="1" si="135"/>
        <v>0</v>
      </c>
      <c r="U189" s="568">
        <f t="shared" ca="1" si="136"/>
        <v>0</v>
      </c>
    </row>
    <row r="190" spans="1:21" ht="18.75" x14ac:dyDescent="0.25">
      <c r="A190" s="674"/>
      <c r="B190" s="561"/>
      <c r="C190" s="561"/>
      <c r="D190" s="561"/>
      <c r="E190" s="569" t="s">
        <v>36</v>
      </c>
      <c r="F190" s="561"/>
      <c r="G190" s="563"/>
      <c r="H190" s="685" t="s">
        <v>14</v>
      </c>
      <c r="I190" s="683"/>
      <c r="J190" s="683"/>
      <c r="K190" s="684"/>
      <c r="L190" s="571">
        <v>0</v>
      </c>
      <c r="M190" s="572">
        <v>0</v>
      </c>
      <c r="N190" s="572">
        <v>0</v>
      </c>
      <c r="O190" s="572">
        <f t="shared" si="132"/>
        <v>0</v>
      </c>
      <c r="P190" s="572">
        <f t="shared" si="133"/>
        <v>0</v>
      </c>
      <c r="Q190" s="572">
        <v>0</v>
      </c>
      <c r="R190" s="572">
        <v>0</v>
      </c>
      <c r="S190" s="572">
        <v>0</v>
      </c>
      <c r="T190" s="572">
        <f t="shared" si="135"/>
        <v>0</v>
      </c>
      <c r="U190" s="572">
        <f t="shared" si="136"/>
        <v>0</v>
      </c>
    </row>
    <row r="191" spans="1:21" ht="18.75" x14ac:dyDescent="0.25">
      <c r="A191" s="674"/>
      <c r="B191" s="561"/>
      <c r="C191" s="561"/>
      <c r="D191" s="561"/>
      <c r="E191" s="573" t="s">
        <v>37</v>
      </c>
      <c r="F191" s="561"/>
      <c r="G191" s="563"/>
      <c r="H191" s="682" t="s">
        <v>14</v>
      </c>
      <c r="I191" s="683"/>
      <c r="J191" s="683"/>
      <c r="K191" s="684"/>
      <c r="L191" s="567">
        <f ca="1">IFERROR(__xludf.DUMMYFUNCTION("IMPORTRANGE(""https://docs.google.com/spreadsheets/d/1-uDff_7J0KD5mKrp0Vvzr7lt3OU09vwQwhkpOPPYv2Y/edit?usp=sharing"",""งบพรบ!CU15"")"),34500)</f>
        <v>34500</v>
      </c>
      <c r="M191" s="568">
        <f ca="1">IFERROR(__xludf.DUMMYFUNCTION("IMPORTRANGE(""https://docs.google.com/spreadsheets/d/1-uDff_7J0KD5mKrp0Vvzr7lt3OU09vwQwhkpOPPYv2Y/edit?usp=sharing"",""งบพรบ!CZ15"")"),43200)</f>
        <v>43200</v>
      </c>
      <c r="N191" s="568">
        <f ca="1">IFERROR(__xludf.DUMMYFUNCTION("IMPORTRANGE(""https://docs.google.com/spreadsheets/d/1-uDff_7J0KD5mKrp0Vvzr7lt3OU09vwQwhkpOPPYv2Y/edit?usp=sharing"",""งบพรบ!DB15"")"),41443)</f>
        <v>41443</v>
      </c>
      <c r="O191" s="568">
        <f t="shared" ca="1" si="132"/>
        <v>120.12463768115941</v>
      </c>
      <c r="P191" s="568">
        <f t="shared" ca="1" si="133"/>
        <v>95.932870370370367</v>
      </c>
      <c r="Q191" s="568">
        <f ca="1">IFERROR(__xludf.DUMMYFUNCTION("IMPORTRANGE(""https://docs.google.com/spreadsheets/d/1ItG2mGa2ceCfYo0BwxsXqNm01IGEUdYcSSLTEv9YCik/edit?usp=sharing"",""เบิกจ่ายกองทุน!BQ15"")"),56000)</f>
        <v>56000</v>
      </c>
      <c r="R191" s="568">
        <f ca="1">IFERROR(__xludf.DUMMYFUNCTION("IMPORTRANGE(""https://docs.google.com/spreadsheets/d/1ItG2mGa2ceCfYo0BwxsXqNm01IGEUdYcSSLTEv9YCik/edit?usp=sharing"",""เบิกจ่ายกองทุน!BR15"")"),52000)</f>
        <v>52000</v>
      </c>
      <c r="S191" s="568">
        <f ca="1">IFERROR(__xludf.DUMMYFUNCTION("IMPORTRANGE(""https://docs.google.com/spreadsheets/d/1ItG2mGa2ceCfYo0BwxsXqNm01IGEUdYcSSLTEv9YCik/edit?usp=sharing"",""เบิกจ่ายกองทุน!BS15"")"),0)</f>
        <v>0</v>
      </c>
      <c r="T191" s="568">
        <f t="shared" ca="1" si="135"/>
        <v>0</v>
      </c>
      <c r="U191" s="568">
        <f t="shared" ca="1" si="136"/>
        <v>0</v>
      </c>
    </row>
    <row r="192" spans="1:21" ht="18.75" x14ac:dyDescent="0.25">
      <c r="A192" s="674"/>
      <c r="B192" s="561"/>
      <c r="C192" s="561"/>
      <c r="D192" s="562" t="s">
        <v>23</v>
      </c>
      <c r="E192" s="561"/>
      <c r="F192" s="561"/>
      <c r="G192" s="563"/>
      <c r="H192" s="686" t="s">
        <v>14</v>
      </c>
      <c r="I192" s="683"/>
      <c r="J192" s="683"/>
      <c r="K192" s="684"/>
      <c r="L192" s="567">
        <f t="shared" ref="L192:N192" ca="1" si="141">L193+L194</f>
        <v>0</v>
      </c>
      <c r="M192" s="568">
        <f t="shared" ca="1" si="141"/>
        <v>0</v>
      </c>
      <c r="N192" s="568">
        <f t="shared" ca="1" si="141"/>
        <v>0</v>
      </c>
      <c r="O192" s="568">
        <f t="shared" ca="1" si="132"/>
        <v>0</v>
      </c>
      <c r="P192" s="568">
        <f t="shared" ca="1" si="133"/>
        <v>0</v>
      </c>
      <c r="Q192" s="568">
        <f t="shared" ref="Q192:S192" ca="1" si="142">Q193+Q194</f>
        <v>0</v>
      </c>
      <c r="R192" s="568">
        <f t="shared" ca="1" si="142"/>
        <v>0</v>
      </c>
      <c r="S192" s="568">
        <f t="shared" ca="1" si="142"/>
        <v>0</v>
      </c>
      <c r="T192" s="568">
        <f t="shared" ca="1" si="135"/>
        <v>0</v>
      </c>
      <c r="U192" s="568">
        <f t="shared" ca="1" si="136"/>
        <v>0</v>
      </c>
    </row>
    <row r="193" spans="1:21" ht="18.75" x14ac:dyDescent="0.25">
      <c r="A193" s="674"/>
      <c r="B193" s="561"/>
      <c r="C193" s="561"/>
      <c r="D193" s="561"/>
      <c r="E193" s="569" t="s">
        <v>20</v>
      </c>
      <c r="F193" s="561"/>
      <c r="G193" s="563"/>
      <c r="H193" s="685" t="s">
        <v>14</v>
      </c>
      <c r="I193" s="683"/>
      <c r="J193" s="683"/>
      <c r="K193" s="684"/>
      <c r="L193" s="571">
        <v>0</v>
      </c>
      <c r="M193" s="572">
        <v>0</v>
      </c>
      <c r="N193" s="572">
        <v>0</v>
      </c>
      <c r="O193" s="572">
        <f t="shared" si="132"/>
        <v>0</v>
      </c>
      <c r="P193" s="572">
        <f t="shared" si="133"/>
        <v>0</v>
      </c>
      <c r="Q193" s="572">
        <v>0</v>
      </c>
      <c r="R193" s="572">
        <v>0</v>
      </c>
      <c r="S193" s="572">
        <v>0</v>
      </c>
      <c r="T193" s="572">
        <f t="shared" si="135"/>
        <v>0</v>
      </c>
      <c r="U193" s="572">
        <f t="shared" si="136"/>
        <v>0</v>
      </c>
    </row>
    <row r="194" spans="1:21" ht="18.75" x14ac:dyDescent="0.25">
      <c r="A194" s="674"/>
      <c r="B194" s="561"/>
      <c r="C194" s="561"/>
      <c r="D194" s="561"/>
      <c r="E194" s="573" t="s">
        <v>21</v>
      </c>
      <c r="F194" s="561"/>
      <c r="G194" s="563"/>
      <c r="H194" s="686" t="s">
        <v>14</v>
      </c>
      <c r="I194" s="683"/>
      <c r="J194" s="683"/>
      <c r="K194" s="684"/>
      <c r="L194" s="567">
        <f ca="1">IFERROR(__xludf.DUMMYFUNCTION("IMPORTRANGE(""https://docs.google.com/spreadsheets/d/1-uDff_7J0KD5mKrp0Vvzr7lt3OU09vwQwhkpOPPYv2Y/edit?usp=sharing"",""งบพรบ!CX15"")"),0)</f>
        <v>0</v>
      </c>
      <c r="M194" s="568">
        <f ca="1">IFERROR(__xludf.DUMMYFUNCTION("IMPORTRANGE(""https://docs.google.com/spreadsheets/d/1-uDff_7J0KD5mKrp0Vvzr7lt3OU09vwQwhkpOPPYv2Y/edit?usp=sharing"",""งบพรบ!DA15"")"),0)</f>
        <v>0</v>
      </c>
      <c r="N194" s="568">
        <f ca="1">IFERROR(__xludf.DUMMYFUNCTION("IMPORTRANGE(""https://docs.google.com/spreadsheets/d/1-uDff_7J0KD5mKrp0Vvzr7lt3OU09vwQwhkpOPPYv2Y/edit?usp=sharing"",""งบพรบ!DC15"")"),0)</f>
        <v>0</v>
      </c>
      <c r="O194" s="568">
        <f t="shared" ca="1" si="132"/>
        <v>0</v>
      </c>
      <c r="P194" s="568">
        <f t="shared" ca="1" si="133"/>
        <v>0</v>
      </c>
      <c r="Q194" s="568">
        <f ca="1">IFERROR(__xludf.DUMMYFUNCTION("IMPORTRANGE(""https://docs.google.com/spreadsheets/d/1ItG2mGa2ceCfYo0BwxsXqNm01IGEUdYcSSLTEv9YCik/edit?usp=sharing"",""เบิกจ่ายกองทุน!BT15"")"),0)</f>
        <v>0</v>
      </c>
      <c r="R194" s="568">
        <f ca="1">IFERROR(__xludf.DUMMYFUNCTION("IMPORTRANGE(""https://docs.google.com/spreadsheets/d/1ItG2mGa2ceCfYo0BwxsXqNm01IGEUdYcSSLTEv9YCik/edit?usp=sharing"",""เบิกจ่ายกองทุน!BU15"")"),0)</f>
        <v>0</v>
      </c>
      <c r="S194" s="568">
        <f ca="1">IFERROR(__xludf.DUMMYFUNCTION("IMPORTRANGE(""https://docs.google.com/spreadsheets/d/1ItG2mGa2ceCfYo0BwxsXqNm01IGEUdYcSSLTEv9YCik/edit?usp=sharing"",""เบิกจ่ายกองทุน!BV15"")"),0)</f>
        <v>0</v>
      </c>
      <c r="T194" s="568">
        <f t="shared" ca="1" si="135"/>
        <v>0</v>
      </c>
      <c r="U194" s="568">
        <f t="shared" ca="1" si="136"/>
        <v>0</v>
      </c>
    </row>
    <row r="195" spans="1:21" ht="19.5" x14ac:dyDescent="0.3">
      <c r="A195" s="769"/>
      <c r="B195" s="770"/>
      <c r="C195" s="771" t="s">
        <v>78</v>
      </c>
      <c r="D195" s="772"/>
      <c r="E195" s="772"/>
      <c r="F195" s="772"/>
      <c r="G195" s="773"/>
      <c r="H195" s="774" t="s">
        <v>79</v>
      </c>
      <c r="I195" s="775">
        <f t="shared" ref="I195:J195" ca="1" si="143">I198</f>
        <v>4</v>
      </c>
      <c r="J195" s="775">
        <f t="shared" si="143"/>
        <v>2</v>
      </c>
      <c r="K195" s="776">
        <f ca="1">IF(I195&gt;0,J195*100/I195,0)</f>
        <v>50</v>
      </c>
      <c r="L195" s="777"/>
      <c r="M195" s="778"/>
      <c r="N195" s="778"/>
      <c r="O195" s="778"/>
      <c r="P195" s="778"/>
      <c r="Q195" s="778"/>
      <c r="R195" s="778"/>
      <c r="S195" s="778"/>
      <c r="T195" s="778"/>
      <c r="U195" s="778"/>
    </row>
    <row r="196" spans="1:21" ht="19.5" x14ac:dyDescent="0.3">
      <c r="A196" s="674"/>
      <c r="B196" s="561"/>
      <c r="C196" s="675" t="s">
        <v>18</v>
      </c>
      <c r="D196" s="779" t="s">
        <v>19</v>
      </c>
      <c r="E196" s="561"/>
      <c r="F196" s="561"/>
      <c r="G196" s="563"/>
      <c r="H196" s="780" t="s">
        <v>14</v>
      </c>
      <c r="I196" s="565"/>
      <c r="J196" s="565"/>
      <c r="K196" s="566"/>
      <c r="L196" s="678">
        <f ca="1">IFERROR(__xludf.DUMMYFUNCTION("IMPORTRANGE(""https://docs.google.com/spreadsheets/d/1eHaY18a8A9IcSdp1K8H6x8fbOy06t2VsZHhMHf-1x7Y/edit?usp=sharing"",""แผน!AB15"")"),6000)</f>
        <v>6000</v>
      </c>
      <c r="M196" s="566"/>
      <c r="N196" s="781">
        <v>1540</v>
      </c>
      <c r="O196" s="679">
        <f ca="1">IF(L196&gt;0,N196*100/L196,0)</f>
        <v>25.666666666666668</v>
      </c>
      <c r="P196" s="679">
        <f>IF(M196&gt;0,N196*100/M196,0)</f>
        <v>0</v>
      </c>
      <c r="Q196" s="566"/>
      <c r="R196" s="566"/>
      <c r="S196" s="566"/>
      <c r="T196" s="566"/>
      <c r="U196" s="566"/>
    </row>
    <row r="197" spans="1:21" ht="19.5" x14ac:dyDescent="0.3">
      <c r="A197" s="687"/>
      <c r="B197" s="688"/>
      <c r="C197" s="675" t="s">
        <v>18</v>
      </c>
      <c r="D197" s="689" t="s">
        <v>38</v>
      </c>
      <c r="E197" s="690"/>
      <c r="F197" s="690"/>
      <c r="G197" s="691"/>
      <c r="H197" s="692"/>
      <c r="I197" s="565"/>
      <c r="J197" s="565"/>
      <c r="K197" s="566"/>
      <c r="L197" s="574"/>
      <c r="M197" s="566"/>
      <c r="N197" s="566"/>
      <c r="O197" s="566"/>
      <c r="P197" s="566"/>
      <c r="Q197" s="566"/>
      <c r="R197" s="566"/>
      <c r="S197" s="566"/>
      <c r="T197" s="566"/>
      <c r="U197" s="566"/>
    </row>
    <row r="198" spans="1:21" ht="18.75" x14ac:dyDescent="0.25">
      <c r="A198" s="687"/>
      <c r="B198" s="688"/>
      <c r="C198" s="688"/>
      <c r="D198" s="699" t="s">
        <v>80</v>
      </c>
      <c r="E198" s="695"/>
      <c r="F198" s="695"/>
      <c r="G198" s="692"/>
      <c r="H198" s="700" t="s">
        <v>79</v>
      </c>
      <c r="I198" s="708">
        <f ca="1">IFERROR(__xludf.DUMMYFUNCTION("IMPORTRANGE(""https://docs.google.com/spreadsheets/d/1eHaY18a8A9IcSdp1K8H6x8fbOy06t2VsZHhMHf-1x7Y/edit?usp=sharing"",""แผน!AE15"")"),4)</f>
        <v>4</v>
      </c>
      <c r="J198" s="702">
        <v>2</v>
      </c>
      <c r="K198" s="568">
        <f ca="1">IF(I198&gt;0,J198*100/I198,0)</f>
        <v>50</v>
      </c>
      <c r="L198" s="574"/>
      <c r="M198" s="566"/>
      <c r="N198" s="566"/>
      <c r="O198" s="566"/>
      <c r="P198" s="566"/>
      <c r="Q198" s="566"/>
      <c r="R198" s="566"/>
      <c r="S198" s="566"/>
      <c r="T198" s="566"/>
      <c r="U198" s="566"/>
    </row>
    <row r="199" spans="1:21" ht="18.75" x14ac:dyDescent="0.25">
      <c r="A199" s="687"/>
      <c r="B199" s="688"/>
      <c r="C199" s="688"/>
      <c r="D199" s="699" t="s">
        <v>81</v>
      </c>
      <c r="E199" s="695"/>
      <c r="F199" s="695"/>
      <c r="G199" s="692"/>
      <c r="H199" s="766" t="s">
        <v>35</v>
      </c>
      <c r="I199" s="565"/>
      <c r="J199" s="708">
        <f>J200+J201</f>
        <v>46</v>
      </c>
      <c r="K199" s="566"/>
      <c r="L199" s="574"/>
      <c r="M199" s="566"/>
      <c r="N199" s="566"/>
      <c r="O199" s="566"/>
      <c r="P199" s="566"/>
      <c r="Q199" s="566"/>
      <c r="R199" s="566"/>
      <c r="S199" s="566"/>
      <c r="T199" s="566"/>
      <c r="U199" s="566"/>
    </row>
    <row r="200" spans="1:21" ht="18.75" x14ac:dyDescent="0.25">
      <c r="A200" s="687"/>
      <c r="B200" s="688"/>
      <c r="C200" s="688"/>
      <c r="D200" s="688"/>
      <c r="E200" s="699" t="s">
        <v>82</v>
      </c>
      <c r="F200" s="695"/>
      <c r="G200" s="692"/>
      <c r="H200" s="766" t="s">
        <v>35</v>
      </c>
      <c r="I200" s="565"/>
      <c r="J200" s="702">
        <v>46</v>
      </c>
      <c r="K200" s="566"/>
      <c r="L200" s="574"/>
      <c r="M200" s="566"/>
      <c r="N200" s="566"/>
      <c r="O200" s="566"/>
      <c r="P200" s="566"/>
      <c r="Q200" s="566"/>
      <c r="R200" s="566"/>
      <c r="S200" s="566"/>
      <c r="T200" s="566"/>
      <c r="U200" s="566"/>
    </row>
    <row r="201" spans="1:21" ht="18.75" x14ac:dyDescent="0.25">
      <c r="A201" s="687"/>
      <c r="B201" s="688"/>
      <c r="C201" s="688"/>
      <c r="D201" s="688"/>
      <c r="E201" s="699" t="s">
        <v>83</v>
      </c>
      <c r="F201" s="695"/>
      <c r="G201" s="692"/>
      <c r="H201" s="766" t="s">
        <v>35</v>
      </c>
      <c r="I201" s="565"/>
      <c r="J201" s="702">
        <v>0</v>
      </c>
      <c r="K201" s="566"/>
      <c r="L201" s="574"/>
      <c r="M201" s="566"/>
      <c r="N201" s="566"/>
      <c r="O201" s="566"/>
      <c r="P201" s="566"/>
      <c r="Q201" s="566"/>
      <c r="R201" s="566"/>
      <c r="S201" s="566"/>
      <c r="T201" s="566"/>
      <c r="U201" s="566"/>
    </row>
    <row r="202" spans="1:21" ht="19.5" x14ac:dyDescent="0.3">
      <c r="A202" s="769"/>
      <c r="B202" s="770"/>
      <c r="C202" s="771" t="s">
        <v>84</v>
      </c>
      <c r="D202" s="772"/>
      <c r="E202" s="772"/>
      <c r="F202" s="772"/>
      <c r="G202" s="773"/>
      <c r="H202" s="782" t="s">
        <v>85</v>
      </c>
      <c r="I202" s="775">
        <f t="shared" ref="I202:J202" ca="1" si="144">I209</f>
        <v>4</v>
      </c>
      <c r="J202" s="775">
        <f t="shared" si="144"/>
        <v>0</v>
      </c>
      <c r="K202" s="776">
        <f ca="1">IF(I202&gt;0,J202*100/I202,0)</f>
        <v>0</v>
      </c>
      <c r="L202" s="777"/>
      <c r="M202" s="778"/>
      <c r="N202" s="778"/>
      <c r="O202" s="778"/>
      <c r="P202" s="778"/>
      <c r="Q202" s="778"/>
      <c r="R202" s="778"/>
      <c r="S202" s="778"/>
      <c r="T202" s="778"/>
      <c r="U202" s="778"/>
    </row>
    <row r="203" spans="1:21" ht="19.5" x14ac:dyDescent="0.3">
      <c r="A203" s="674"/>
      <c r="B203" s="561"/>
      <c r="C203" s="675" t="s">
        <v>18</v>
      </c>
      <c r="D203" s="779" t="s">
        <v>19</v>
      </c>
      <c r="E203" s="561"/>
      <c r="F203" s="561"/>
      <c r="G203" s="563"/>
      <c r="H203" s="780" t="s">
        <v>14</v>
      </c>
      <c r="I203" s="683"/>
      <c r="J203" s="683"/>
      <c r="K203" s="684"/>
      <c r="L203" s="678">
        <f ca="1">L204+L205+L206+L207</f>
        <v>20000</v>
      </c>
      <c r="M203" s="566"/>
      <c r="N203" s="679">
        <f>N204+N205+N206+N207</f>
        <v>1740</v>
      </c>
      <c r="O203" s="679">
        <f ca="1">IF(L203&gt;0,N203*100/L203,0)</f>
        <v>8.6999999999999993</v>
      </c>
      <c r="P203" s="679">
        <f>IF(M203&gt;0,N203*100/M203,0)</f>
        <v>0</v>
      </c>
      <c r="Q203" s="783">
        <f ca="1">Q204+Q205+Q206+Q207</f>
        <v>56000</v>
      </c>
      <c r="R203" s="784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 x14ac:dyDescent="0.25">
      <c r="A204" s="674"/>
      <c r="B204" s="718"/>
      <c r="C204" s="561"/>
      <c r="D204" s="788" t="s">
        <v>317</v>
      </c>
      <c r="E204" s="561"/>
      <c r="F204" s="561"/>
      <c r="G204" s="563"/>
      <c r="H204" s="682" t="s">
        <v>14</v>
      </c>
      <c r="I204" s="683"/>
      <c r="J204" s="683"/>
      <c r="K204" s="684"/>
      <c r="L204" s="567">
        <f ca="1">IFERROR(__xludf.DUMMYFUNCTION("IMPORTRANGE(""https://docs.google.com/spreadsheets/d/1eHaY18a8A9IcSdp1K8H6x8fbOy06t2VsZHhMHf-1x7Y/edit?usp=sharing"",""แผน!AG15"")"),4000)</f>
        <v>4000</v>
      </c>
      <c r="M204" s="566"/>
      <c r="N204" s="786">
        <v>1740</v>
      </c>
      <c r="O204" s="684"/>
      <c r="P204" s="566"/>
      <c r="Q204" s="567">
        <v>0</v>
      </c>
      <c r="R204" s="566"/>
      <c r="S204" s="568">
        <v>0</v>
      </c>
      <c r="T204" s="684"/>
      <c r="U204" s="566"/>
    </row>
    <row r="205" spans="1:21" ht="18.75" x14ac:dyDescent="0.25">
      <c r="A205" s="764"/>
      <c r="B205" s="718"/>
      <c r="C205" s="561"/>
      <c r="D205" s="573" t="s">
        <v>301</v>
      </c>
      <c r="E205" s="561"/>
      <c r="F205" s="561"/>
      <c r="G205" s="563"/>
      <c r="H205" s="564" t="s">
        <v>14</v>
      </c>
      <c r="I205" s="565"/>
      <c r="J205" s="565"/>
      <c r="K205" s="566"/>
      <c r="L205" s="567">
        <f ca="1">IFERROR(__xludf.DUMMYFUNCTION("IMPORTRANGE(""https://docs.google.com/spreadsheets/d/1eHaY18a8A9IcSdp1K8H6x8fbOy06t2VsZHhMHf-1x7Y/edit?usp=sharing"",""แผน!AH15"")"),0)</f>
        <v>0</v>
      </c>
      <c r="M205" s="566"/>
      <c r="N205" s="786">
        <v>0</v>
      </c>
      <c r="O205" s="684"/>
      <c r="P205" s="566"/>
      <c r="Q205" s="567">
        <v>0</v>
      </c>
      <c r="R205" s="566"/>
      <c r="S205" s="568">
        <v>0</v>
      </c>
      <c r="T205" s="684"/>
      <c r="U205" s="566"/>
    </row>
    <row r="206" spans="1:21" ht="18.75" x14ac:dyDescent="0.25">
      <c r="A206" s="764"/>
      <c r="B206" s="718"/>
      <c r="C206" s="561"/>
      <c r="D206" s="573" t="s">
        <v>88</v>
      </c>
      <c r="E206" s="561"/>
      <c r="F206" s="561"/>
      <c r="G206" s="563"/>
      <c r="H206" s="564" t="s">
        <v>14</v>
      </c>
      <c r="I206" s="565"/>
      <c r="J206" s="565"/>
      <c r="K206" s="566"/>
      <c r="L206" s="567">
        <f ca="1">IFERROR(__xludf.DUMMYFUNCTION("IMPORTRANGE(""https://docs.google.com/spreadsheets/d/1eHaY18a8A9IcSdp1K8H6x8fbOy06t2VsZHhMHf-1x7Y/edit?usp=sharing"",""แผน!AI15"")"),0)</f>
        <v>0</v>
      </c>
      <c r="M206" s="566"/>
      <c r="N206" s="786">
        <v>0</v>
      </c>
      <c r="O206" s="684"/>
      <c r="P206" s="566"/>
      <c r="Q206" s="567">
        <f ca="1">IFERROR(__xludf.DUMMYFUNCTION("IMPORTRANGE(""https://docs.google.com/spreadsheets/d/1eHaY18a8A9IcSdp1K8H6x8fbOy06t2VsZHhMHf-1x7Y/edit?usp=sharing"",""แผน!LV15"")"),56000)</f>
        <v>56000</v>
      </c>
      <c r="R206" s="566"/>
      <c r="S206" s="786">
        <v>0</v>
      </c>
      <c r="T206" s="684"/>
      <c r="U206" s="566"/>
    </row>
    <row r="207" spans="1:21" ht="18.75" x14ac:dyDescent="0.25">
      <c r="A207" s="764"/>
      <c r="B207" s="718"/>
      <c r="C207" s="561"/>
      <c r="D207" s="573" t="s">
        <v>89</v>
      </c>
      <c r="E207" s="561"/>
      <c r="F207" s="561"/>
      <c r="G207" s="563"/>
      <c r="H207" s="564" t="s">
        <v>14</v>
      </c>
      <c r="I207" s="565"/>
      <c r="J207" s="565"/>
      <c r="K207" s="566"/>
      <c r="L207" s="567">
        <f ca="1">IFERROR(__xludf.DUMMYFUNCTION("IMPORTRANGE(""https://docs.google.com/spreadsheets/d/1eHaY18a8A9IcSdp1K8H6x8fbOy06t2VsZHhMHf-1x7Y/edit?usp=sharing"",""แผน!AJ15"")"),16000)</f>
        <v>16000</v>
      </c>
      <c r="M207" s="566"/>
      <c r="N207" s="786">
        <v>0</v>
      </c>
      <c r="O207" s="684"/>
      <c r="P207" s="566"/>
      <c r="Q207" s="567">
        <v>0</v>
      </c>
      <c r="R207" s="566"/>
      <c r="S207" s="568">
        <v>0</v>
      </c>
      <c r="T207" s="684"/>
      <c r="U207" s="566"/>
    </row>
    <row r="208" spans="1:21" ht="19.5" x14ac:dyDescent="0.3">
      <c r="A208" s="687"/>
      <c r="B208" s="688"/>
      <c r="C208" s="675" t="s">
        <v>18</v>
      </c>
      <c r="D208" s="689" t="s">
        <v>38</v>
      </c>
      <c r="E208" s="690"/>
      <c r="F208" s="690"/>
      <c r="G208" s="691"/>
      <c r="H208" s="692"/>
      <c r="I208" s="683"/>
      <c r="J208" s="683"/>
      <c r="K208" s="684"/>
      <c r="L208" s="693"/>
      <c r="M208" s="684"/>
      <c r="N208" s="684"/>
      <c r="O208" s="684"/>
      <c r="P208" s="684"/>
      <c r="Q208" s="693"/>
      <c r="R208" s="684"/>
      <c r="S208" s="684"/>
      <c r="T208" s="684"/>
      <c r="U208" s="684"/>
    </row>
    <row r="209" spans="1:21" ht="18.75" x14ac:dyDescent="0.25">
      <c r="A209" s="687"/>
      <c r="B209" s="688"/>
      <c r="C209" s="688"/>
      <c r="D209" s="694" t="s">
        <v>90</v>
      </c>
      <c r="E209" s="695"/>
      <c r="F209" s="695"/>
      <c r="G209" s="692"/>
      <c r="H209" s="787" t="s">
        <v>85</v>
      </c>
      <c r="I209" s="708">
        <f ca="1">IFERROR(__xludf.DUMMYFUNCTION("IMPORTRANGE(""https://docs.google.com/spreadsheets/d/1eHaY18a8A9IcSdp1K8H6x8fbOy06t2VsZHhMHf-1x7Y/edit?usp=sharing"",""แผน!AK15"")"),4)</f>
        <v>4</v>
      </c>
      <c r="J209" s="702">
        <v>0</v>
      </c>
      <c r="K209" s="703">
        <f ca="1">IF(I209&gt;0,J209*100/I209,0)</f>
        <v>0</v>
      </c>
      <c r="L209" s="574"/>
      <c r="M209" s="566"/>
      <c r="N209" s="566"/>
      <c r="O209" s="566"/>
      <c r="P209" s="566"/>
      <c r="Q209" s="574"/>
      <c r="R209" s="566"/>
      <c r="S209" s="566"/>
      <c r="T209" s="566"/>
      <c r="U209" s="566"/>
    </row>
    <row r="210" spans="1:21" ht="18.75" x14ac:dyDescent="0.25">
      <c r="A210" s="687"/>
      <c r="B210" s="688"/>
      <c r="C210" s="688"/>
      <c r="D210" s="699" t="s">
        <v>50</v>
      </c>
      <c r="E210" s="695"/>
      <c r="F210" s="695"/>
      <c r="G210" s="692"/>
      <c r="H210" s="692"/>
      <c r="I210" s="565"/>
      <c r="J210" s="565"/>
      <c r="K210" s="684"/>
      <c r="L210" s="574"/>
      <c r="M210" s="566"/>
      <c r="N210" s="566"/>
      <c r="O210" s="566"/>
      <c r="P210" s="566"/>
      <c r="Q210" s="574"/>
      <c r="R210" s="566"/>
      <c r="S210" s="566"/>
      <c r="T210" s="566"/>
      <c r="U210" s="566"/>
    </row>
    <row r="211" spans="1:21" ht="18.75" x14ac:dyDescent="0.25">
      <c r="A211" s="687"/>
      <c r="B211" s="688"/>
      <c r="C211" s="688"/>
      <c r="D211" s="695"/>
      <c r="E211" s="699" t="s">
        <v>91</v>
      </c>
      <c r="F211" s="695"/>
      <c r="G211" s="692"/>
      <c r="H211" s="787" t="s">
        <v>85</v>
      </c>
      <c r="I211" s="708">
        <f ca="1">IFERROR(__xludf.DUMMYFUNCTION("IMPORTRANGE(""https://docs.google.com/spreadsheets/d/1eHaY18a8A9IcSdp1K8H6x8fbOy06t2VsZHhMHf-1x7Y/edit?usp=sharing"",""แผน!JX15"")"),4)</f>
        <v>4</v>
      </c>
      <c r="J211" s="702">
        <v>0</v>
      </c>
      <c r="K211" s="703">
        <f t="shared" ref="K211:K213" ca="1" si="145">IF(I211&gt;0,J211*100/I211,0)</f>
        <v>0</v>
      </c>
      <c r="L211" s="574"/>
      <c r="M211" s="566"/>
      <c r="N211" s="566"/>
      <c r="O211" s="566"/>
      <c r="P211" s="566"/>
      <c r="Q211" s="574"/>
      <c r="R211" s="566"/>
      <c r="S211" s="566"/>
      <c r="T211" s="566"/>
      <c r="U211" s="566"/>
    </row>
    <row r="212" spans="1:21" ht="18.75" x14ac:dyDescent="0.25">
      <c r="A212" s="687"/>
      <c r="B212" s="688"/>
      <c r="C212" s="688"/>
      <c r="D212" s="695"/>
      <c r="E212" s="699" t="s">
        <v>92</v>
      </c>
      <c r="F212" s="695"/>
      <c r="G212" s="695"/>
      <c r="H212" s="700" t="s">
        <v>93</v>
      </c>
      <c r="I212" s="708">
        <f ca="1">IFERROR(__xludf.DUMMYFUNCTION("IMPORTRANGE(""https://docs.google.com/spreadsheets/d/1eHaY18a8A9IcSdp1K8H6x8fbOy06t2VsZHhMHf-1x7Y/edit?usp=sharing"",""แผน!JY15"")"),0)</f>
        <v>0</v>
      </c>
      <c r="J212" s="702">
        <v>0</v>
      </c>
      <c r="K212" s="703">
        <f t="shared" ca="1" si="145"/>
        <v>0</v>
      </c>
      <c r="L212" s="574"/>
      <c r="M212" s="566"/>
      <c r="N212" s="566"/>
      <c r="O212" s="566"/>
      <c r="P212" s="566"/>
      <c r="Q212" s="574"/>
      <c r="R212" s="566"/>
      <c r="S212" s="566"/>
      <c r="T212" s="566"/>
      <c r="U212" s="566"/>
    </row>
    <row r="213" spans="1:21" ht="19.5" x14ac:dyDescent="0.3">
      <c r="A213" s="769"/>
      <c r="B213" s="770"/>
      <c r="C213" s="771" t="s">
        <v>94</v>
      </c>
      <c r="D213" s="772"/>
      <c r="E213" s="772"/>
      <c r="F213" s="772"/>
      <c r="G213" s="773"/>
      <c r="H213" s="782" t="s">
        <v>85</v>
      </c>
      <c r="I213" s="775">
        <f t="shared" ref="I213:J213" ca="1" si="146">I220</f>
        <v>0</v>
      </c>
      <c r="J213" s="775">
        <f t="shared" si="146"/>
        <v>0</v>
      </c>
      <c r="K213" s="776">
        <f t="shared" ca="1" si="145"/>
        <v>0</v>
      </c>
      <c r="L213" s="777"/>
      <c r="M213" s="778"/>
      <c r="N213" s="778"/>
      <c r="O213" s="778"/>
      <c r="P213" s="778"/>
      <c r="Q213" s="777"/>
      <c r="R213" s="778"/>
      <c r="S213" s="778"/>
      <c r="T213" s="778"/>
      <c r="U213" s="778"/>
    </row>
    <row r="214" spans="1:21" ht="19.5" x14ac:dyDescent="0.3">
      <c r="A214" s="674"/>
      <c r="B214" s="561"/>
      <c r="C214" s="675" t="s">
        <v>18</v>
      </c>
      <c r="D214" s="779" t="s">
        <v>19</v>
      </c>
      <c r="E214" s="561"/>
      <c r="F214" s="561"/>
      <c r="G214" s="563"/>
      <c r="H214" s="780" t="s">
        <v>14</v>
      </c>
      <c r="I214" s="683"/>
      <c r="J214" s="683"/>
      <c r="K214" s="684"/>
      <c r="L214" s="678">
        <f ca="1">L215+L216+L217</f>
        <v>0</v>
      </c>
      <c r="M214" s="566"/>
      <c r="N214" s="679">
        <f>N215+N216+N217</f>
        <v>0</v>
      </c>
      <c r="O214" s="679">
        <f ca="1">IF(L214&gt;0,N214*100/L214,0)</f>
        <v>0</v>
      </c>
      <c r="P214" s="679">
        <f>IF(M214&gt;0,N214*100/M214,0)</f>
        <v>0</v>
      </c>
      <c r="Q214" s="678">
        <f ca="1">Q215+Q216+Q217</f>
        <v>0</v>
      </c>
      <c r="R214" s="566"/>
      <c r="S214" s="679">
        <f>S215+S216+S217</f>
        <v>229220</v>
      </c>
      <c r="T214" s="679">
        <f ca="1">IF(Q214&gt;0,S214*100/Q214,0)</f>
        <v>0</v>
      </c>
      <c r="U214" s="679">
        <f>IF(R214&gt;0,S214*100/R214,0)</f>
        <v>0</v>
      </c>
    </row>
    <row r="215" spans="1:21" ht="18.75" x14ac:dyDescent="0.25">
      <c r="A215" s="674"/>
      <c r="B215" s="718"/>
      <c r="C215" s="561"/>
      <c r="D215" s="573" t="s">
        <v>86</v>
      </c>
      <c r="E215" s="561"/>
      <c r="F215" s="561"/>
      <c r="G215" s="563"/>
      <c r="H215" s="682" t="s">
        <v>14</v>
      </c>
      <c r="I215" s="683"/>
      <c r="J215" s="683"/>
      <c r="K215" s="684"/>
      <c r="L215" s="567">
        <f ca="1">IFERROR(__xludf.DUMMYFUNCTION("IMPORTRANGE(""https://docs.google.com/spreadsheets/d/1eHaY18a8A9IcSdp1K8H6x8fbOy06t2VsZHhMHf-1x7Y/edit?usp=sharing"",""แผน!AM15"")"),0)</f>
        <v>0</v>
      </c>
      <c r="M215" s="566"/>
      <c r="N215" s="786">
        <v>0</v>
      </c>
      <c r="O215" s="684"/>
      <c r="P215" s="566"/>
      <c r="Q215" s="567">
        <v>0</v>
      </c>
      <c r="R215" s="566"/>
      <c r="S215" s="568">
        <v>0</v>
      </c>
      <c r="T215" s="684"/>
      <c r="U215" s="566"/>
    </row>
    <row r="216" spans="1:21" ht="18.75" x14ac:dyDescent="0.25">
      <c r="A216" s="764"/>
      <c r="B216" s="718"/>
      <c r="C216" s="718"/>
      <c r="D216" s="573" t="s">
        <v>95</v>
      </c>
      <c r="E216" s="561"/>
      <c r="F216" s="561"/>
      <c r="G216" s="563"/>
      <c r="H216" s="682" t="s">
        <v>14</v>
      </c>
      <c r="I216" s="565"/>
      <c r="J216" s="565"/>
      <c r="K216" s="566"/>
      <c r="L216" s="567">
        <f ca="1">IFERROR(__xludf.DUMMYFUNCTION("IMPORTRANGE(""https://docs.google.com/spreadsheets/d/1eHaY18a8A9IcSdp1K8H6x8fbOy06t2VsZHhMHf-1x7Y/edit?usp=sharing"",""แผน!AN15"")"),0)</f>
        <v>0</v>
      </c>
      <c r="M216" s="566"/>
      <c r="N216" s="786">
        <v>0</v>
      </c>
      <c r="O216" s="684"/>
      <c r="P216" s="566"/>
      <c r="Q216" s="567">
        <v>0</v>
      </c>
      <c r="R216" s="566"/>
      <c r="S216" s="568">
        <v>0</v>
      </c>
      <c r="T216" s="684"/>
      <c r="U216" s="566"/>
    </row>
    <row r="217" spans="1:21" ht="18.75" x14ac:dyDescent="0.25">
      <c r="A217" s="764"/>
      <c r="B217" s="718"/>
      <c r="C217" s="718"/>
      <c r="D217" s="573" t="s">
        <v>88</v>
      </c>
      <c r="E217" s="561"/>
      <c r="F217" s="561"/>
      <c r="G217" s="563"/>
      <c r="H217" s="682" t="s">
        <v>14</v>
      </c>
      <c r="I217" s="565"/>
      <c r="J217" s="565"/>
      <c r="K217" s="566"/>
      <c r="L217" s="567">
        <f ca="1">IFERROR(__xludf.DUMMYFUNCTION("IMPORTRANGE(""https://docs.google.com/spreadsheets/d/1eHaY18a8A9IcSdp1K8H6x8fbOy06t2VsZHhMHf-1x7Y/edit?usp=sharing"",""แผน!AO15"")"),0)</f>
        <v>0</v>
      </c>
      <c r="M217" s="566"/>
      <c r="N217" s="786">
        <v>0</v>
      </c>
      <c r="O217" s="684"/>
      <c r="P217" s="566"/>
      <c r="Q217" s="567">
        <f ca="1">IFERROR(__xludf.DUMMYFUNCTION("IMPORTRANGE(""https://docs.google.com/spreadsheets/d/1eHaY18a8A9IcSdp1K8H6x8fbOy06t2VsZHhMHf-1x7Y/edit?usp=sharing"",""แผน!LY15"")"),0)</f>
        <v>0</v>
      </c>
      <c r="R217" s="566"/>
      <c r="S217" s="786">
        <v>229220</v>
      </c>
      <c r="T217" s="684"/>
      <c r="U217" s="566"/>
    </row>
    <row r="218" spans="1:21" ht="19.5" x14ac:dyDescent="0.3">
      <c r="A218" s="687"/>
      <c r="B218" s="688"/>
      <c r="C218" s="719" t="s">
        <v>18</v>
      </c>
      <c r="D218" s="689" t="s">
        <v>38</v>
      </c>
      <c r="E218" s="690"/>
      <c r="F218" s="690"/>
      <c r="G218" s="691"/>
      <c r="H218" s="692"/>
      <c r="I218" s="683"/>
      <c r="J218" s="565"/>
      <c r="K218" s="566"/>
      <c r="L218" s="574"/>
      <c r="M218" s="566"/>
      <c r="N218" s="566"/>
      <c r="O218" s="684"/>
      <c r="P218" s="684"/>
      <c r="Q218" s="574"/>
      <c r="R218" s="566"/>
      <c r="S218" s="566"/>
      <c r="T218" s="684"/>
      <c r="U218" s="684"/>
    </row>
    <row r="219" spans="1:21" ht="18.75" x14ac:dyDescent="0.25">
      <c r="A219" s="687"/>
      <c r="B219" s="688"/>
      <c r="C219" s="688"/>
      <c r="D219" s="694" t="s">
        <v>96</v>
      </c>
      <c r="E219" s="695"/>
      <c r="F219" s="695"/>
      <c r="G219" s="692"/>
      <c r="H219" s="787" t="s">
        <v>85</v>
      </c>
      <c r="I219" s="708">
        <f ca="1">IFERROR(__xludf.DUMMYFUNCTION("IMPORTRANGE(""https://docs.google.com/spreadsheets/d/1eHaY18a8A9IcSdp1K8H6x8fbOy06t2VsZHhMHf-1x7Y/edit?usp=sharing"",""แผน!AP15"")"),0)</f>
        <v>0</v>
      </c>
      <c r="J219" s="702">
        <v>0</v>
      </c>
      <c r="K219" s="568">
        <f t="shared" ref="K219:K221" ca="1" si="147">IF(I219&gt;0,J219*100/I219,0)</f>
        <v>0</v>
      </c>
      <c r="L219" s="574"/>
      <c r="M219" s="566"/>
      <c r="N219" s="566"/>
      <c r="O219" s="566"/>
      <c r="P219" s="566"/>
      <c r="Q219" s="574"/>
      <c r="R219" s="566"/>
      <c r="S219" s="566"/>
      <c r="T219" s="566"/>
      <c r="U219" s="566"/>
    </row>
    <row r="220" spans="1:21" ht="18.75" x14ac:dyDescent="0.25">
      <c r="A220" s="687"/>
      <c r="B220" s="688"/>
      <c r="C220" s="688"/>
      <c r="D220" s="694" t="s">
        <v>97</v>
      </c>
      <c r="E220" s="695"/>
      <c r="F220" s="695"/>
      <c r="G220" s="692"/>
      <c r="H220" s="787" t="s">
        <v>85</v>
      </c>
      <c r="I220" s="708">
        <f ca="1">IFERROR(__xludf.DUMMYFUNCTION("IMPORTRANGE(""https://docs.google.com/spreadsheets/d/1eHaY18a8A9IcSdp1K8H6x8fbOy06t2VsZHhMHf-1x7Y/edit?usp=sharing"",""แผน!AP15"")"),0)</f>
        <v>0</v>
      </c>
      <c r="J220" s="702">
        <v>0</v>
      </c>
      <c r="K220" s="568">
        <f t="shared" ca="1" si="147"/>
        <v>0</v>
      </c>
      <c r="L220" s="574"/>
      <c r="M220" s="566"/>
      <c r="N220" s="566"/>
      <c r="O220" s="566"/>
      <c r="P220" s="566"/>
      <c r="Q220" s="574"/>
      <c r="R220" s="566"/>
      <c r="S220" s="566"/>
      <c r="T220" s="566"/>
      <c r="U220" s="566"/>
    </row>
    <row r="221" spans="1:21" ht="19.5" x14ac:dyDescent="0.3">
      <c r="A221" s="769"/>
      <c r="B221" s="770"/>
      <c r="C221" s="771" t="s">
        <v>98</v>
      </c>
      <c r="D221" s="772"/>
      <c r="E221" s="772"/>
      <c r="F221" s="772"/>
      <c r="G221" s="773"/>
      <c r="H221" s="774" t="s">
        <v>99</v>
      </c>
      <c r="I221" s="775">
        <f t="shared" ref="I221:J221" ca="1" si="148">I229</f>
        <v>60000</v>
      </c>
      <c r="J221" s="775">
        <f t="shared" si="148"/>
        <v>0</v>
      </c>
      <c r="K221" s="776">
        <f t="shared" ca="1" si="147"/>
        <v>0</v>
      </c>
      <c r="L221" s="777"/>
      <c r="M221" s="778"/>
      <c r="N221" s="778"/>
      <c r="O221" s="778"/>
      <c r="P221" s="778"/>
      <c r="Q221" s="778"/>
      <c r="R221" s="778"/>
      <c r="S221" s="778"/>
      <c r="T221" s="778"/>
      <c r="U221" s="778"/>
    </row>
    <row r="222" spans="1:21" ht="19.5" x14ac:dyDescent="0.3">
      <c r="A222" s="674"/>
      <c r="B222" s="561"/>
      <c r="C222" s="675" t="s">
        <v>18</v>
      </c>
      <c r="D222" s="779" t="s">
        <v>19</v>
      </c>
      <c r="E222" s="561"/>
      <c r="F222" s="561"/>
      <c r="G222" s="563"/>
      <c r="H222" s="780" t="s">
        <v>14</v>
      </c>
      <c r="I222" s="683"/>
      <c r="J222" s="683"/>
      <c r="K222" s="684"/>
      <c r="L222" s="678">
        <f ca="1">L223+L224+L225</f>
        <v>8500</v>
      </c>
      <c r="M222" s="566"/>
      <c r="N222" s="679">
        <f>N223+N224+N225</f>
        <v>0</v>
      </c>
      <c r="O222" s="679">
        <f ca="1">IF(L222&gt;0,N222*100/L222,0)</f>
        <v>0</v>
      </c>
      <c r="P222" s="679">
        <f>IF(M222&gt;0,N222*100/M222,0)</f>
        <v>0</v>
      </c>
      <c r="Q222" s="566"/>
      <c r="R222" s="566"/>
      <c r="S222" s="566"/>
      <c r="T222" s="566"/>
      <c r="U222" s="566"/>
    </row>
    <row r="223" spans="1:21" ht="18.75" x14ac:dyDescent="0.25">
      <c r="A223" s="674"/>
      <c r="B223" s="718"/>
      <c r="C223" s="561"/>
      <c r="D223" s="788" t="s">
        <v>302</v>
      </c>
      <c r="E223" s="561"/>
      <c r="F223" s="561"/>
      <c r="G223" s="563"/>
      <c r="H223" s="682" t="s">
        <v>14</v>
      </c>
      <c r="I223" s="683"/>
      <c r="J223" s="683"/>
      <c r="K223" s="684"/>
      <c r="L223" s="567">
        <f ca="1">IFERROR(__xludf.DUMMYFUNCTION("IMPORTRANGE(""https://docs.google.com/spreadsheets/d/1eHaY18a8A9IcSdp1K8H6x8fbOy06t2VsZHhMHf-1x7Y/edit?usp=sharing"",""แผน!AR15"")"),2500)</f>
        <v>2500</v>
      </c>
      <c r="M223" s="566"/>
      <c r="N223" s="786">
        <v>0</v>
      </c>
      <c r="O223" s="684"/>
      <c r="P223" s="566"/>
      <c r="Q223" s="566"/>
      <c r="R223" s="566"/>
      <c r="S223" s="566"/>
      <c r="T223" s="684"/>
      <c r="U223" s="566"/>
    </row>
    <row r="224" spans="1:21" ht="18.75" x14ac:dyDescent="0.25">
      <c r="A224" s="764"/>
      <c r="B224" s="718"/>
      <c r="C224" s="718"/>
      <c r="D224" s="573" t="s">
        <v>301</v>
      </c>
      <c r="E224" s="561"/>
      <c r="F224" s="561"/>
      <c r="G224" s="563"/>
      <c r="H224" s="682" t="s">
        <v>14</v>
      </c>
      <c r="I224" s="565"/>
      <c r="J224" s="565"/>
      <c r="K224" s="566"/>
      <c r="L224" s="567">
        <f ca="1">IFERROR(__xludf.DUMMYFUNCTION("IMPORTRANGE(""https://docs.google.com/spreadsheets/d/1eHaY18a8A9IcSdp1K8H6x8fbOy06t2VsZHhMHf-1x7Y/edit?usp=sharing"",""แผน!AS15"")"),6000)</f>
        <v>6000</v>
      </c>
      <c r="M224" s="566"/>
      <c r="N224" s="786">
        <v>0</v>
      </c>
      <c r="O224" s="684"/>
      <c r="P224" s="566"/>
      <c r="Q224" s="566"/>
      <c r="R224" s="566"/>
      <c r="S224" s="566"/>
      <c r="T224" s="684"/>
      <c r="U224" s="566"/>
    </row>
    <row r="225" spans="1:21" ht="18.75" x14ac:dyDescent="0.25">
      <c r="A225" s="764"/>
      <c r="B225" s="718"/>
      <c r="C225" s="718"/>
      <c r="D225" s="573" t="s">
        <v>88</v>
      </c>
      <c r="E225" s="561"/>
      <c r="F225" s="561"/>
      <c r="G225" s="563"/>
      <c r="H225" s="682" t="s">
        <v>14</v>
      </c>
      <c r="I225" s="565"/>
      <c r="J225" s="565"/>
      <c r="K225" s="566"/>
      <c r="L225" s="567">
        <f ca="1">IFERROR(__xludf.DUMMYFUNCTION("IMPORTRANGE(""https://docs.google.com/spreadsheets/d/1eHaY18a8A9IcSdp1K8H6x8fbOy06t2VsZHhMHf-1x7Y/edit?usp=sharing"",""แผน!AT15"")"),0)</f>
        <v>0</v>
      </c>
      <c r="M225" s="566"/>
      <c r="N225" s="786">
        <v>0</v>
      </c>
      <c r="O225" s="684"/>
      <c r="P225" s="566"/>
      <c r="Q225" s="566"/>
      <c r="R225" s="566"/>
      <c r="S225" s="566"/>
      <c r="T225" s="684"/>
      <c r="U225" s="566"/>
    </row>
    <row r="226" spans="1:21" ht="19.5" x14ac:dyDescent="0.3">
      <c r="A226" s="687"/>
      <c r="B226" s="688"/>
      <c r="C226" s="719" t="s">
        <v>18</v>
      </c>
      <c r="D226" s="689" t="s">
        <v>38</v>
      </c>
      <c r="E226" s="690"/>
      <c r="F226" s="690"/>
      <c r="G226" s="691"/>
      <c r="H226" s="692"/>
      <c r="I226" s="683"/>
      <c r="J226" s="683"/>
      <c r="K226" s="684"/>
      <c r="L226" s="693"/>
      <c r="M226" s="684"/>
      <c r="N226" s="684"/>
      <c r="O226" s="684"/>
      <c r="P226" s="684"/>
      <c r="Q226" s="684"/>
      <c r="R226" s="684"/>
      <c r="S226" s="684"/>
      <c r="T226" s="684"/>
      <c r="U226" s="684"/>
    </row>
    <row r="227" spans="1:21" ht="18.75" x14ac:dyDescent="0.25">
      <c r="A227" s="687"/>
      <c r="B227" s="688"/>
      <c r="C227" s="688"/>
      <c r="D227" s="573" t="s">
        <v>101</v>
      </c>
      <c r="E227" s="695"/>
      <c r="F227" s="695"/>
      <c r="G227" s="692"/>
      <c r="H227" s="692"/>
      <c r="I227" s="565"/>
      <c r="J227" s="565"/>
      <c r="K227" s="684"/>
      <c r="L227" s="693"/>
      <c r="M227" s="684"/>
      <c r="N227" s="684"/>
      <c r="O227" s="684"/>
      <c r="P227" s="684"/>
      <c r="Q227" s="684"/>
      <c r="R227" s="684"/>
      <c r="S227" s="684"/>
      <c r="T227" s="684"/>
      <c r="U227" s="684"/>
    </row>
    <row r="228" spans="1:21" ht="18.75" x14ac:dyDescent="0.25">
      <c r="A228" s="687"/>
      <c r="B228" s="688"/>
      <c r="C228" s="688"/>
      <c r="D228" s="688"/>
      <c r="E228" s="694" t="s">
        <v>102</v>
      </c>
      <c r="F228" s="695"/>
      <c r="G228" s="692"/>
      <c r="H228" s="700" t="s">
        <v>99</v>
      </c>
      <c r="I228" s="708">
        <f ca="1">IFERROR(__xludf.DUMMYFUNCTION("IMPORTRANGE(""https://docs.google.com/spreadsheets/d/1eHaY18a8A9IcSdp1K8H6x8fbOy06t2VsZHhMHf-1x7Y/edit?usp=sharing"",""แผน!AV15"")"),60000)</f>
        <v>60000</v>
      </c>
      <c r="J228" s="702">
        <v>60000</v>
      </c>
      <c r="K228" s="703">
        <f t="shared" ref="K228:K231" ca="1" si="149">IF(I228&gt;0,J228*100/I228,0)</f>
        <v>100</v>
      </c>
      <c r="L228" s="693"/>
      <c r="M228" s="684"/>
      <c r="N228" s="684"/>
      <c r="O228" s="684"/>
      <c r="P228" s="684"/>
      <c r="Q228" s="684"/>
      <c r="R228" s="684"/>
      <c r="S228" s="684"/>
      <c r="T228" s="684"/>
      <c r="U228" s="684"/>
    </row>
    <row r="229" spans="1:21" ht="18.75" x14ac:dyDescent="0.25">
      <c r="A229" s="687"/>
      <c r="B229" s="688"/>
      <c r="C229" s="688"/>
      <c r="D229" s="688"/>
      <c r="E229" s="694" t="s">
        <v>103</v>
      </c>
      <c r="F229" s="695"/>
      <c r="G229" s="692"/>
      <c r="H229" s="700" t="s">
        <v>99</v>
      </c>
      <c r="I229" s="708">
        <f ca="1">IFERROR(__xludf.DUMMYFUNCTION("IMPORTRANGE(""https://docs.google.com/spreadsheets/d/1eHaY18a8A9IcSdp1K8H6x8fbOy06t2VsZHhMHf-1x7Y/edit?usp=sharing"",""แผน!AV15"")"),60000)</f>
        <v>60000</v>
      </c>
      <c r="J229" s="702">
        <v>0</v>
      </c>
      <c r="K229" s="703">
        <f t="shared" ca="1" si="149"/>
        <v>0</v>
      </c>
      <c r="L229" s="574"/>
      <c r="M229" s="566"/>
      <c r="N229" s="566"/>
      <c r="O229" s="566"/>
      <c r="P229" s="566"/>
      <c r="Q229" s="566"/>
      <c r="R229" s="566"/>
      <c r="S229" s="566"/>
      <c r="T229" s="566"/>
      <c r="U229" s="566"/>
    </row>
    <row r="230" spans="1:21" ht="18.75" x14ac:dyDescent="0.25">
      <c r="A230" s="687"/>
      <c r="B230" s="688"/>
      <c r="C230" s="688"/>
      <c r="D230" s="573" t="s">
        <v>104</v>
      </c>
      <c r="E230" s="695"/>
      <c r="F230" s="695"/>
      <c r="G230" s="692"/>
      <c r="H230" s="700" t="s">
        <v>35</v>
      </c>
      <c r="I230" s="708">
        <f ca="1">IFERROR(__xludf.DUMMYFUNCTION("IMPORTRANGE(""https://docs.google.com/spreadsheets/d/1eHaY18a8A9IcSdp1K8H6x8fbOy06t2VsZHhMHf-1x7Y/edit?usp=sharing"",""แผน!AU15"")"),0)</f>
        <v>0</v>
      </c>
      <c r="J230" s="702">
        <v>0</v>
      </c>
      <c r="K230" s="703">
        <f t="shared" ca="1" si="149"/>
        <v>0</v>
      </c>
      <c r="L230" s="574"/>
      <c r="M230" s="566"/>
      <c r="N230" s="566"/>
      <c r="O230" s="566"/>
      <c r="P230" s="566"/>
      <c r="Q230" s="566"/>
      <c r="R230" s="566"/>
      <c r="S230" s="566"/>
      <c r="T230" s="566"/>
      <c r="U230" s="566"/>
    </row>
    <row r="231" spans="1:21" ht="19.5" hidden="1" x14ac:dyDescent="0.3">
      <c r="A231" s="769"/>
      <c r="B231" s="770"/>
      <c r="C231" s="771" t="s">
        <v>105</v>
      </c>
      <c r="D231" s="772"/>
      <c r="E231" s="772"/>
      <c r="F231" s="772"/>
      <c r="G231" s="773"/>
      <c r="H231" s="774" t="s">
        <v>35</v>
      </c>
      <c r="I231" s="775">
        <f t="shared" ref="I231:J231" ca="1" si="150">I242+I253</f>
        <v>0</v>
      </c>
      <c r="J231" s="775">
        <f t="shared" si="150"/>
        <v>0</v>
      </c>
      <c r="K231" s="776">
        <f t="shared" ca="1" si="149"/>
        <v>0</v>
      </c>
      <c r="L231" s="777"/>
      <c r="M231" s="778"/>
      <c r="N231" s="778"/>
      <c r="O231" s="778"/>
      <c r="P231" s="778"/>
      <c r="Q231" s="778"/>
      <c r="R231" s="778"/>
      <c r="S231" s="778"/>
      <c r="T231" s="778"/>
      <c r="U231" s="778"/>
    </row>
    <row r="232" spans="1:21" ht="19.5" hidden="1" x14ac:dyDescent="0.3">
      <c r="A232" s="674"/>
      <c r="B232" s="561"/>
      <c r="C232" s="675" t="s">
        <v>18</v>
      </c>
      <c r="D232" s="676" t="s">
        <v>19</v>
      </c>
      <c r="E232" s="561"/>
      <c r="F232" s="561"/>
      <c r="G232" s="563"/>
      <c r="H232" s="780" t="s">
        <v>14</v>
      </c>
      <c r="I232" s="683"/>
      <c r="J232" s="683"/>
      <c r="K232" s="684"/>
      <c r="L232" s="789">
        <f t="shared" ref="L232:L236" ca="1" si="151">L243+L254</f>
        <v>0</v>
      </c>
      <c r="M232" s="566"/>
      <c r="N232" s="790">
        <f t="shared" ref="N232:N236" si="152">N243+N254</f>
        <v>0</v>
      </c>
      <c r="O232" s="566"/>
      <c r="P232" s="566"/>
      <c r="Q232" s="566"/>
      <c r="R232" s="566"/>
      <c r="S232" s="566"/>
      <c r="T232" s="566"/>
      <c r="U232" s="566"/>
    </row>
    <row r="233" spans="1:21" ht="18.75" hidden="1" x14ac:dyDescent="0.25">
      <c r="A233" s="674"/>
      <c r="B233" s="718"/>
      <c r="C233" s="561"/>
      <c r="D233" s="573" t="s">
        <v>86</v>
      </c>
      <c r="E233" s="561"/>
      <c r="F233" s="561"/>
      <c r="G233" s="563"/>
      <c r="H233" s="682" t="s">
        <v>14</v>
      </c>
      <c r="I233" s="683"/>
      <c r="J233" s="683"/>
      <c r="K233" s="684"/>
      <c r="L233" s="571">
        <f t="shared" ca="1" si="151"/>
        <v>0</v>
      </c>
      <c r="M233" s="566"/>
      <c r="N233" s="572">
        <f t="shared" si="152"/>
        <v>0</v>
      </c>
      <c r="O233" s="566"/>
      <c r="P233" s="566"/>
      <c r="Q233" s="1127">
        <v>0</v>
      </c>
      <c r="R233" s="1128">
        <v>0</v>
      </c>
      <c r="S233" s="1128">
        <v>0</v>
      </c>
      <c r="T233" s="566"/>
      <c r="U233" s="566"/>
    </row>
    <row r="234" spans="1:21" ht="18.75" hidden="1" x14ac:dyDescent="0.25">
      <c r="A234" s="764"/>
      <c r="B234" s="718"/>
      <c r="C234" s="718"/>
      <c r="D234" s="573" t="s">
        <v>88</v>
      </c>
      <c r="E234" s="561"/>
      <c r="F234" s="561"/>
      <c r="G234" s="563"/>
      <c r="H234" s="682" t="s">
        <v>14</v>
      </c>
      <c r="I234" s="565"/>
      <c r="J234" s="565"/>
      <c r="K234" s="566"/>
      <c r="L234" s="571">
        <f t="shared" ca="1" si="151"/>
        <v>0</v>
      </c>
      <c r="M234" s="566"/>
      <c r="N234" s="572">
        <f t="shared" si="152"/>
        <v>0</v>
      </c>
      <c r="O234" s="566"/>
      <c r="P234" s="566"/>
      <c r="Q234" s="1129">
        <v>0</v>
      </c>
      <c r="R234" s="1130">
        <v>0</v>
      </c>
      <c r="S234" s="1130">
        <v>0</v>
      </c>
      <c r="T234" s="566"/>
      <c r="U234" s="566"/>
    </row>
    <row r="235" spans="1:21" ht="18.75" hidden="1" x14ac:dyDescent="0.25">
      <c r="A235" s="764"/>
      <c r="B235" s="718"/>
      <c r="C235" s="718"/>
      <c r="D235" s="573" t="s">
        <v>106</v>
      </c>
      <c r="E235" s="561"/>
      <c r="F235" s="561"/>
      <c r="G235" s="563"/>
      <c r="H235" s="682" t="s">
        <v>14</v>
      </c>
      <c r="I235" s="565"/>
      <c r="J235" s="565"/>
      <c r="K235" s="566"/>
      <c r="L235" s="571">
        <f t="shared" ca="1" si="151"/>
        <v>0</v>
      </c>
      <c r="M235" s="566"/>
      <c r="N235" s="572">
        <f t="shared" si="152"/>
        <v>0</v>
      </c>
      <c r="O235" s="566"/>
      <c r="P235" s="566"/>
      <c r="Q235" s="1129">
        <v>0</v>
      </c>
      <c r="R235" s="1130">
        <v>0</v>
      </c>
      <c r="S235" s="1130">
        <v>0</v>
      </c>
      <c r="T235" s="566"/>
      <c r="U235" s="566"/>
    </row>
    <row r="236" spans="1:21" ht="18.75" hidden="1" x14ac:dyDescent="0.25">
      <c r="A236" s="764"/>
      <c r="B236" s="718"/>
      <c r="C236" s="718"/>
      <c r="D236" s="573" t="s">
        <v>107</v>
      </c>
      <c r="E236" s="561"/>
      <c r="F236" s="561"/>
      <c r="G236" s="563"/>
      <c r="H236" s="682" t="s">
        <v>14</v>
      </c>
      <c r="I236" s="565"/>
      <c r="J236" s="565"/>
      <c r="K236" s="566"/>
      <c r="L236" s="571">
        <f t="shared" ca="1" si="151"/>
        <v>0</v>
      </c>
      <c r="M236" s="566"/>
      <c r="N236" s="572">
        <f t="shared" si="152"/>
        <v>0</v>
      </c>
      <c r="O236" s="566"/>
      <c r="P236" s="566"/>
      <c r="Q236" s="1129">
        <v>0</v>
      </c>
      <c r="R236" s="1130">
        <v>0</v>
      </c>
      <c r="S236" s="1130">
        <v>0</v>
      </c>
      <c r="T236" s="566"/>
      <c r="U236" s="566"/>
    </row>
    <row r="237" spans="1:21" ht="19.5" hidden="1" x14ac:dyDescent="0.3">
      <c r="A237" s="687"/>
      <c r="B237" s="688"/>
      <c r="C237" s="719" t="s">
        <v>18</v>
      </c>
      <c r="D237" s="689" t="s">
        <v>38</v>
      </c>
      <c r="E237" s="690"/>
      <c r="F237" s="690"/>
      <c r="G237" s="691"/>
      <c r="H237" s="692"/>
      <c r="I237" s="683"/>
      <c r="J237" s="565"/>
      <c r="K237" s="566"/>
      <c r="L237" s="574"/>
      <c r="M237" s="566"/>
      <c r="N237" s="566"/>
      <c r="O237" s="684"/>
      <c r="P237" s="684"/>
      <c r="Q237" s="566"/>
      <c r="R237" s="566"/>
      <c r="S237" s="566"/>
      <c r="T237" s="684"/>
      <c r="U237" s="684"/>
    </row>
    <row r="238" spans="1:21" ht="18.75" hidden="1" x14ac:dyDescent="0.25">
      <c r="A238" s="687"/>
      <c r="B238" s="688"/>
      <c r="C238" s="688"/>
      <c r="D238" s="699" t="s">
        <v>108</v>
      </c>
      <c r="E238" s="695"/>
      <c r="F238" s="695"/>
      <c r="G238" s="692"/>
      <c r="H238" s="700" t="s">
        <v>35</v>
      </c>
      <c r="I238" s="708">
        <f t="shared" ref="I238:J238" ca="1" si="153">I249+I260</f>
        <v>0</v>
      </c>
      <c r="J238" s="708">
        <f t="shared" si="153"/>
        <v>0</v>
      </c>
      <c r="K238" s="568">
        <f ca="1">IF(I238&gt;0,J238*100/I238,0)</f>
        <v>0</v>
      </c>
      <c r="L238" s="574"/>
      <c r="M238" s="566"/>
      <c r="N238" s="566"/>
      <c r="O238" s="566"/>
      <c r="P238" s="566"/>
      <c r="Q238" s="566"/>
      <c r="R238" s="566"/>
      <c r="S238" s="566"/>
      <c r="T238" s="566"/>
      <c r="U238" s="566"/>
    </row>
    <row r="239" spans="1:21" ht="18.75" hidden="1" x14ac:dyDescent="0.25">
      <c r="A239" s="687"/>
      <c r="B239" s="688"/>
      <c r="C239" s="688"/>
      <c r="D239" s="792" t="s">
        <v>43</v>
      </c>
      <c r="E239" s="695"/>
      <c r="F239" s="695"/>
      <c r="G239" s="692"/>
      <c r="H239" s="692"/>
      <c r="I239" s="565"/>
      <c r="J239" s="565"/>
      <c r="K239" s="566"/>
      <c r="L239" s="574"/>
      <c r="M239" s="566"/>
      <c r="N239" s="566"/>
      <c r="O239" s="684"/>
      <c r="P239" s="684"/>
      <c r="Q239" s="566"/>
      <c r="R239" s="566"/>
      <c r="S239" s="566"/>
      <c r="T239" s="684"/>
      <c r="U239" s="684"/>
    </row>
    <row r="240" spans="1:21" ht="18.75" hidden="1" x14ac:dyDescent="0.25">
      <c r="A240" s="687"/>
      <c r="B240" s="688"/>
      <c r="C240" s="688"/>
      <c r="D240" s="688"/>
      <c r="E240" s="694" t="s">
        <v>109</v>
      </c>
      <c r="F240" s="695"/>
      <c r="G240" s="692"/>
      <c r="H240" s="700" t="s">
        <v>35</v>
      </c>
      <c r="I240" s="708">
        <f t="shared" ref="I240:J241" si="154">I251+I262</f>
        <v>0</v>
      </c>
      <c r="J240" s="708">
        <f t="shared" si="154"/>
        <v>0</v>
      </c>
      <c r="K240" s="568">
        <f t="shared" ref="K240:K242" si="155">IF(I240&gt;0,J240*100/I240,0)</f>
        <v>0</v>
      </c>
      <c r="L240" s="574"/>
      <c r="M240" s="566"/>
      <c r="N240" s="566"/>
      <c r="O240" s="566"/>
      <c r="P240" s="566"/>
      <c r="Q240" s="566"/>
      <c r="R240" s="566"/>
      <c r="S240" s="566"/>
      <c r="T240" s="566"/>
      <c r="U240" s="566"/>
    </row>
    <row r="241" spans="1:21" ht="18.75" hidden="1" x14ac:dyDescent="0.25">
      <c r="A241" s="687"/>
      <c r="B241" s="688"/>
      <c r="C241" s="688"/>
      <c r="D241" s="688"/>
      <c r="E241" s="694" t="s">
        <v>110</v>
      </c>
      <c r="F241" s="695"/>
      <c r="G241" s="692"/>
      <c r="H241" s="700" t="s">
        <v>61</v>
      </c>
      <c r="I241" s="708">
        <f t="shared" si="154"/>
        <v>0</v>
      </c>
      <c r="J241" s="708">
        <f t="shared" si="154"/>
        <v>0</v>
      </c>
      <c r="K241" s="568">
        <f t="shared" si="155"/>
        <v>0</v>
      </c>
      <c r="L241" s="574"/>
      <c r="M241" s="566"/>
      <c r="N241" s="566"/>
      <c r="O241" s="566"/>
      <c r="P241" s="566"/>
      <c r="Q241" s="566"/>
      <c r="R241" s="566"/>
      <c r="S241" s="566"/>
      <c r="T241" s="566"/>
      <c r="U241" s="566"/>
    </row>
    <row r="242" spans="1:21" ht="19.5" hidden="1" x14ac:dyDescent="0.3">
      <c r="A242" s="769"/>
      <c r="B242" s="770"/>
      <c r="C242" s="793" t="s">
        <v>111</v>
      </c>
      <c r="D242" s="772"/>
      <c r="E242" s="772"/>
      <c r="F242" s="772"/>
      <c r="G242" s="773"/>
      <c r="H242" s="794" t="s">
        <v>35</v>
      </c>
      <c r="I242" s="795">
        <f t="shared" ref="I242:J242" ca="1" si="156">I249</f>
        <v>0</v>
      </c>
      <c r="J242" s="795">
        <f t="shared" si="156"/>
        <v>0</v>
      </c>
      <c r="K242" s="796">
        <f t="shared" ca="1" si="155"/>
        <v>0</v>
      </c>
      <c r="L242" s="777"/>
      <c r="M242" s="778"/>
      <c r="N242" s="778"/>
      <c r="O242" s="778"/>
      <c r="P242" s="778"/>
      <c r="Q242" s="778"/>
      <c r="R242" s="778"/>
      <c r="S242" s="778"/>
      <c r="T242" s="778"/>
      <c r="U242" s="778"/>
    </row>
    <row r="243" spans="1:21" ht="19.5" hidden="1" x14ac:dyDescent="0.3">
      <c r="A243" s="674"/>
      <c r="B243" s="561"/>
      <c r="C243" s="797" t="s">
        <v>18</v>
      </c>
      <c r="D243" s="798" t="s">
        <v>19</v>
      </c>
      <c r="E243" s="561"/>
      <c r="F243" s="561"/>
      <c r="G243" s="563"/>
      <c r="H243" s="799" t="s">
        <v>14</v>
      </c>
      <c r="I243" s="683"/>
      <c r="J243" s="683"/>
      <c r="K243" s="684"/>
      <c r="L243" s="678">
        <f ca="1">L244+L245+L246+L247</f>
        <v>0</v>
      </c>
      <c r="M243" s="566"/>
      <c r="N243" s="679">
        <f>N244+N245+N246+N247</f>
        <v>0</v>
      </c>
      <c r="O243" s="679">
        <f ca="1">IF(L243&gt;0,N243*100/L243,0)</f>
        <v>0</v>
      </c>
      <c r="P243" s="679">
        <f>IF(M243&gt;0,N243*100/M243,0)</f>
        <v>0</v>
      </c>
      <c r="Q243" s="566"/>
      <c r="R243" s="566"/>
      <c r="S243" s="566"/>
      <c r="T243" s="566"/>
      <c r="U243" s="566"/>
    </row>
    <row r="244" spans="1:21" ht="18.75" hidden="1" x14ac:dyDescent="0.25">
      <c r="A244" s="674"/>
      <c r="B244" s="718"/>
      <c r="C244" s="561"/>
      <c r="D244" s="569" t="s">
        <v>86</v>
      </c>
      <c r="E244" s="561"/>
      <c r="F244" s="561"/>
      <c r="G244" s="563"/>
      <c r="H244" s="685" t="s">
        <v>14</v>
      </c>
      <c r="I244" s="683"/>
      <c r="J244" s="683"/>
      <c r="K244" s="684"/>
      <c r="L244" s="567">
        <f ca="1">IFERROR(__xludf.DUMMYFUNCTION("IMPORTRANGE(""https://docs.google.com/spreadsheets/d/1eHaY18a8A9IcSdp1K8H6x8fbOy06t2VsZHhMHf-1x7Y/edit?usp=sharing"",""แผน!AX15"")"),0)</f>
        <v>0</v>
      </c>
      <c r="M244" s="566"/>
      <c r="N244" s="786">
        <v>0</v>
      </c>
      <c r="O244" s="566"/>
      <c r="P244" s="566"/>
      <c r="Q244" s="566"/>
      <c r="R244" s="566"/>
      <c r="S244" s="566"/>
      <c r="T244" s="566"/>
      <c r="U244" s="566"/>
    </row>
    <row r="245" spans="1:21" ht="18.75" hidden="1" x14ac:dyDescent="0.25">
      <c r="A245" s="764"/>
      <c r="B245" s="718"/>
      <c r="C245" s="718"/>
      <c r="D245" s="569" t="s">
        <v>88</v>
      </c>
      <c r="E245" s="561"/>
      <c r="F245" s="561"/>
      <c r="G245" s="563"/>
      <c r="H245" s="685" t="s">
        <v>14</v>
      </c>
      <c r="I245" s="565"/>
      <c r="J245" s="565"/>
      <c r="K245" s="566"/>
      <c r="L245" s="567">
        <f ca="1">IFERROR(__xludf.DUMMYFUNCTION("IMPORTRANGE(""https://docs.google.com/spreadsheets/d/1eHaY18a8A9IcSdp1K8H6x8fbOy06t2VsZHhMHf-1x7Y/edit?usp=sharing"",""แผน!AY15"")"),0)</f>
        <v>0</v>
      </c>
      <c r="M245" s="566"/>
      <c r="N245" s="786">
        <v>0</v>
      </c>
      <c r="O245" s="566"/>
      <c r="P245" s="566"/>
      <c r="Q245" s="566"/>
      <c r="R245" s="566"/>
      <c r="S245" s="566"/>
      <c r="T245" s="566"/>
      <c r="U245" s="566"/>
    </row>
    <row r="246" spans="1:21" ht="18.75" hidden="1" x14ac:dyDescent="0.25">
      <c r="A246" s="764"/>
      <c r="B246" s="718"/>
      <c r="C246" s="718"/>
      <c r="D246" s="569" t="s">
        <v>106</v>
      </c>
      <c r="E246" s="561"/>
      <c r="F246" s="561"/>
      <c r="G246" s="563"/>
      <c r="H246" s="685" t="s">
        <v>14</v>
      </c>
      <c r="I246" s="565"/>
      <c r="J246" s="565"/>
      <c r="K246" s="566"/>
      <c r="L246" s="567">
        <f ca="1">IFERROR(__xludf.DUMMYFUNCTION("IMPORTRANGE(""https://docs.google.com/spreadsheets/d/1eHaY18a8A9IcSdp1K8H6x8fbOy06t2VsZHhMHf-1x7Y/edit?usp=sharing"",""แผน!AZ15"")"),0)</f>
        <v>0</v>
      </c>
      <c r="M246" s="566"/>
      <c r="N246" s="786">
        <v>0</v>
      </c>
      <c r="O246" s="566"/>
      <c r="P246" s="566"/>
      <c r="Q246" s="566"/>
      <c r="R246" s="566"/>
      <c r="S246" s="566"/>
      <c r="T246" s="566"/>
      <c r="U246" s="566"/>
    </row>
    <row r="247" spans="1:21" ht="18.75" hidden="1" x14ac:dyDescent="0.25">
      <c r="A247" s="764"/>
      <c r="B247" s="718"/>
      <c r="C247" s="718"/>
      <c r="D247" s="569" t="s">
        <v>107</v>
      </c>
      <c r="E247" s="561"/>
      <c r="F247" s="561"/>
      <c r="G247" s="563"/>
      <c r="H247" s="685" t="s">
        <v>14</v>
      </c>
      <c r="I247" s="565"/>
      <c r="J247" s="565"/>
      <c r="K247" s="566"/>
      <c r="L247" s="567">
        <f ca="1">IFERROR(__xludf.DUMMYFUNCTION("IMPORTRANGE(""https://docs.google.com/spreadsheets/d/1eHaY18a8A9IcSdp1K8H6x8fbOy06t2VsZHhMHf-1x7Y/edit?usp=sharing"",""แผน!BA15"")"),0)</f>
        <v>0</v>
      </c>
      <c r="M247" s="566"/>
      <c r="N247" s="786">
        <v>0</v>
      </c>
      <c r="O247" s="566"/>
      <c r="P247" s="566"/>
      <c r="Q247" s="566"/>
      <c r="R247" s="566"/>
      <c r="S247" s="566"/>
      <c r="T247" s="566"/>
      <c r="U247" s="566"/>
    </row>
    <row r="248" spans="1:21" ht="19.5" hidden="1" x14ac:dyDescent="0.3">
      <c r="A248" s="687"/>
      <c r="B248" s="688"/>
      <c r="C248" s="800" t="s">
        <v>18</v>
      </c>
      <c r="D248" s="801" t="s">
        <v>38</v>
      </c>
      <c r="E248" s="690"/>
      <c r="F248" s="690"/>
      <c r="G248" s="691"/>
      <c r="H248" s="692"/>
      <c r="I248" s="683"/>
      <c r="J248" s="565"/>
      <c r="K248" s="566"/>
      <c r="L248" s="574"/>
      <c r="M248" s="566"/>
      <c r="N248" s="566"/>
      <c r="O248" s="684"/>
      <c r="P248" s="684"/>
      <c r="Q248" s="566"/>
      <c r="R248" s="566"/>
      <c r="S248" s="566"/>
      <c r="T248" s="684"/>
      <c r="U248" s="684"/>
    </row>
    <row r="249" spans="1:21" ht="18.75" hidden="1" x14ac:dyDescent="0.25">
      <c r="A249" s="687"/>
      <c r="B249" s="688"/>
      <c r="C249" s="688"/>
      <c r="D249" s="726" t="s">
        <v>108</v>
      </c>
      <c r="E249" s="695"/>
      <c r="F249" s="695"/>
      <c r="G249" s="692"/>
      <c r="H249" s="802" t="s">
        <v>35</v>
      </c>
      <c r="I249" s="735">
        <f ca="1">IFERROR(__xludf.DUMMYFUNCTION("IMPORTRANGE(""https://docs.google.com/spreadsheets/d/1eHaY18a8A9IcSdp1K8H6x8fbOy06t2VsZHhMHf-1x7Y/edit?usp=sharing"",""แผน!BG15"")"),0)</f>
        <v>0</v>
      </c>
      <c r="J249" s="736">
        <v>0</v>
      </c>
      <c r="K249" s="572">
        <f ca="1">IF(I249&gt;0,J249*100/I249,0)</f>
        <v>0</v>
      </c>
      <c r="L249" s="574"/>
      <c r="M249" s="566"/>
      <c r="N249" s="566"/>
      <c r="O249" s="566"/>
      <c r="P249" s="566"/>
      <c r="Q249" s="566"/>
      <c r="R249" s="566"/>
      <c r="S249" s="566"/>
      <c r="T249" s="566"/>
      <c r="U249" s="566"/>
    </row>
    <row r="250" spans="1:21" ht="18.75" hidden="1" x14ac:dyDescent="0.25">
      <c r="A250" s="687"/>
      <c r="B250" s="688"/>
      <c r="C250" s="688"/>
      <c r="D250" s="803" t="s">
        <v>43</v>
      </c>
      <c r="E250" s="695"/>
      <c r="F250" s="695"/>
      <c r="G250" s="692"/>
      <c r="H250" s="692"/>
      <c r="I250" s="565"/>
      <c r="J250" s="565"/>
      <c r="K250" s="566"/>
      <c r="L250" s="574"/>
      <c r="M250" s="566"/>
      <c r="N250" s="566"/>
      <c r="O250" s="684"/>
      <c r="P250" s="684"/>
      <c r="Q250" s="566"/>
      <c r="R250" s="566"/>
      <c r="S250" s="566"/>
      <c r="T250" s="684"/>
      <c r="U250" s="684"/>
    </row>
    <row r="251" spans="1:21" ht="18.75" hidden="1" x14ac:dyDescent="0.25">
      <c r="A251" s="687"/>
      <c r="B251" s="688"/>
      <c r="C251" s="688"/>
      <c r="D251" s="688"/>
      <c r="E251" s="804" t="s">
        <v>109</v>
      </c>
      <c r="F251" s="695"/>
      <c r="G251" s="692"/>
      <c r="H251" s="802" t="s">
        <v>35</v>
      </c>
      <c r="I251" s="735">
        <v>0</v>
      </c>
      <c r="J251" s="736">
        <v>0</v>
      </c>
      <c r="K251" s="572">
        <f t="shared" ref="K251:K253" si="157">IF(I251&gt;0,J251*100/I251,0)</f>
        <v>0</v>
      </c>
      <c r="L251" s="574"/>
      <c r="M251" s="566"/>
      <c r="N251" s="566"/>
      <c r="O251" s="566"/>
      <c r="P251" s="566"/>
      <c r="Q251" s="566"/>
      <c r="R251" s="566"/>
      <c r="S251" s="566"/>
      <c r="T251" s="566"/>
      <c r="U251" s="566"/>
    </row>
    <row r="252" spans="1:21" ht="18.75" hidden="1" x14ac:dyDescent="0.25">
      <c r="A252" s="687"/>
      <c r="B252" s="688"/>
      <c r="C252" s="688"/>
      <c r="D252" s="688"/>
      <c r="E252" s="804" t="s">
        <v>110</v>
      </c>
      <c r="F252" s="695"/>
      <c r="G252" s="692"/>
      <c r="H252" s="802" t="s">
        <v>61</v>
      </c>
      <c r="I252" s="735">
        <v>0</v>
      </c>
      <c r="J252" s="736">
        <v>0</v>
      </c>
      <c r="K252" s="572">
        <f t="shared" si="157"/>
        <v>0</v>
      </c>
      <c r="L252" s="574"/>
      <c r="M252" s="566"/>
      <c r="N252" s="566"/>
      <c r="O252" s="566"/>
      <c r="P252" s="566"/>
      <c r="Q252" s="566"/>
      <c r="R252" s="566"/>
      <c r="S252" s="566"/>
      <c r="T252" s="566"/>
      <c r="U252" s="566"/>
    </row>
    <row r="253" spans="1:21" ht="19.5" hidden="1" x14ac:dyDescent="0.3">
      <c r="A253" s="769"/>
      <c r="B253" s="770"/>
      <c r="C253" s="793" t="s">
        <v>112</v>
      </c>
      <c r="D253" s="772"/>
      <c r="E253" s="772"/>
      <c r="F253" s="772"/>
      <c r="G253" s="773"/>
      <c r="H253" s="794" t="s">
        <v>35</v>
      </c>
      <c r="I253" s="795">
        <f t="shared" ref="I253:J253" ca="1" si="158">I260</f>
        <v>0</v>
      </c>
      <c r="J253" s="795">
        <f t="shared" si="158"/>
        <v>0</v>
      </c>
      <c r="K253" s="796">
        <f t="shared" ca="1" si="157"/>
        <v>0</v>
      </c>
      <c r="L253" s="777"/>
      <c r="M253" s="778"/>
      <c r="N253" s="778"/>
      <c r="O253" s="778"/>
      <c r="P253" s="778"/>
      <c r="Q253" s="778"/>
      <c r="R253" s="778"/>
      <c r="S253" s="778"/>
      <c r="T253" s="778"/>
      <c r="U253" s="778"/>
    </row>
    <row r="254" spans="1:21" ht="19.5" hidden="1" x14ac:dyDescent="0.3">
      <c r="A254" s="674"/>
      <c r="B254" s="561"/>
      <c r="C254" s="797" t="s">
        <v>18</v>
      </c>
      <c r="D254" s="805" t="s">
        <v>19</v>
      </c>
      <c r="E254" s="561"/>
      <c r="F254" s="561"/>
      <c r="G254" s="563"/>
      <c r="H254" s="799" t="s">
        <v>14</v>
      </c>
      <c r="I254" s="683"/>
      <c r="J254" s="683"/>
      <c r="K254" s="684"/>
      <c r="L254" s="678">
        <f ca="1">L255+L256+L257+L258</f>
        <v>0</v>
      </c>
      <c r="M254" s="566"/>
      <c r="N254" s="679">
        <f>N255+N256+N257+N258</f>
        <v>0</v>
      </c>
      <c r="O254" s="679">
        <f ca="1">IF(L254&gt;0,N254*100/L254,0)</f>
        <v>0</v>
      </c>
      <c r="P254" s="679">
        <f>IF(M254&gt;0,N254*100/M254,0)</f>
        <v>0</v>
      </c>
      <c r="Q254" s="566"/>
      <c r="R254" s="566"/>
      <c r="S254" s="566"/>
      <c r="T254" s="566"/>
      <c r="U254" s="566"/>
    </row>
    <row r="255" spans="1:21" ht="18.75" hidden="1" x14ac:dyDescent="0.25">
      <c r="A255" s="674"/>
      <c r="B255" s="718"/>
      <c r="C255" s="561"/>
      <c r="D255" s="569" t="s">
        <v>86</v>
      </c>
      <c r="E255" s="561"/>
      <c r="F255" s="561"/>
      <c r="G255" s="563"/>
      <c r="H255" s="685" t="s">
        <v>14</v>
      </c>
      <c r="I255" s="683"/>
      <c r="J255" s="683"/>
      <c r="K255" s="684"/>
      <c r="L255" s="567">
        <f ca="1">IFERROR(__xludf.DUMMYFUNCTION("IMPORTRANGE(""https://docs.google.com/spreadsheets/d/1eHaY18a8A9IcSdp1K8H6x8fbOy06t2VsZHhMHf-1x7Y/edit?usp=sharing"",""แผน!BB15"")"),0)</f>
        <v>0</v>
      </c>
      <c r="M255" s="566"/>
      <c r="N255" s="786">
        <v>0</v>
      </c>
      <c r="O255" s="566"/>
      <c r="P255" s="566"/>
      <c r="Q255" s="566"/>
      <c r="R255" s="566"/>
      <c r="S255" s="566"/>
      <c r="T255" s="566"/>
      <c r="U255" s="566"/>
    </row>
    <row r="256" spans="1:21" ht="18.75" hidden="1" x14ac:dyDescent="0.25">
      <c r="A256" s="764"/>
      <c r="B256" s="718"/>
      <c r="C256" s="718"/>
      <c r="D256" s="569" t="s">
        <v>88</v>
      </c>
      <c r="E256" s="561"/>
      <c r="F256" s="561"/>
      <c r="G256" s="563"/>
      <c r="H256" s="685" t="s">
        <v>14</v>
      </c>
      <c r="I256" s="565"/>
      <c r="J256" s="565"/>
      <c r="K256" s="566"/>
      <c r="L256" s="567">
        <f ca="1">IFERROR(__xludf.DUMMYFUNCTION("IMPORTRANGE(""https://docs.google.com/spreadsheets/d/1eHaY18a8A9IcSdp1K8H6x8fbOy06t2VsZHhMHf-1x7Y/edit?usp=sharing"",""แผน!BC15"")"),0)</f>
        <v>0</v>
      </c>
      <c r="M256" s="566"/>
      <c r="N256" s="786">
        <v>0</v>
      </c>
      <c r="O256" s="566"/>
      <c r="P256" s="566"/>
      <c r="Q256" s="566"/>
      <c r="R256" s="566"/>
      <c r="S256" s="566"/>
      <c r="T256" s="566"/>
      <c r="U256" s="566"/>
    </row>
    <row r="257" spans="1:21" ht="18.75" hidden="1" x14ac:dyDescent="0.25">
      <c r="A257" s="764"/>
      <c r="B257" s="718"/>
      <c r="C257" s="718"/>
      <c r="D257" s="569" t="s">
        <v>106</v>
      </c>
      <c r="E257" s="561"/>
      <c r="F257" s="561"/>
      <c r="G257" s="563"/>
      <c r="H257" s="685" t="s">
        <v>14</v>
      </c>
      <c r="I257" s="565"/>
      <c r="J257" s="565"/>
      <c r="K257" s="566"/>
      <c r="L257" s="567">
        <f ca="1">IFERROR(__xludf.DUMMYFUNCTION("IMPORTRANGE(""https://docs.google.com/spreadsheets/d/1eHaY18a8A9IcSdp1K8H6x8fbOy06t2VsZHhMHf-1x7Y/edit?usp=sharing"",""แผน!BD15"")"),0)</f>
        <v>0</v>
      </c>
      <c r="M257" s="566"/>
      <c r="N257" s="786">
        <v>0</v>
      </c>
      <c r="O257" s="566"/>
      <c r="P257" s="566"/>
      <c r="Q257" s="566"/>
      <c r="R257" s="566"/>
      <c r="S257" s="566"/>
      <c r="T257" s="566"/>
      <c r="U257" s="566"/>
    </row>
    <row r="258" spans="1:21" ht="18.75" hidden="1" x14ac:dyDescent="0.25">
      <c r="A258" s="764"/>
      <c r="B258" s="718"/>
      <c r="C258" s="718"/>
      <c r="D258" s="569" t="s">
        <v>107</v>
      </c>
      <c r="E258" s="561"/>
      <c r="F258" s="561"/>
      <c r="G258" s="563"/>
      <c r="H258" s="685" t="s">
        <v>14</v>
      </c>
      <c r="I258" s="565"/>
      <c r="J258" s="565"/>
      <c r="K258" s="566"/>
      <c r="L258" s="567">
        <f ca="1">IFERROR(__xludf.DUMMYFUNCTION("IMPORTRANGE(""https://docs.google.com/spreadsheets/d/1eHaY18a8A9IcSdp1K8H6x8fbOy06t2VsZHhMHf-1x7Y/edit?usp=sharing"",""แผน!BE15"")"),0)</f>
        <v>0</v>
      </c>
      <c r="M258" s="566"/>
      <c r="N258" s="786">
        <v>0</v>
      </c>
      <c r="O258" s="566"/>
      <c r="P258" s="566"/>
      <c r="Q258" s="566"/>
      <c r="R258" s="566"/>
      <c r="S258" s="566"/>
      <c r="T258" s="566"/>
      <c r="U258" s="566"/>
    </row>
    <row r="259" spans="1:21" ht="19.5" hidden="1" x14ac:dyDescent="0.3">
      <c r="A259" s="687"/>
      <c r="B259" s="688"/>
      <c r="C259" s="800" t="s">
        <v>18</v>
      </c>
      <c r="D259" s="801" t="s">
        <v>38</v>
      </c>
      <c r="E259" s="690"/>
      <c r="F259" s="690"/>
      <c r="G259" s="691"/>
      <c r="H259" s="692"/>
      <c r="I259" s="683"/>
      <c r="J259" s="565"/>
      <c r="K259" s="566"/>
      <c r="L259" s="574"/>
      <c r="M259" s="566"/>
      <c r="N259" s="566"/>
      <c r="O259" s="684"/>
      <c r="P259" s="684"/>
      <c r="Q259" s="566"/>
      <c r="R259" s="566"/>
      <c r="S259" s="566"/>
      <c r="T259" s="684"/>
      <c r="U259" s="684"/>
    </row>
    <row r="260" spans="1:21" ht="18.75" hidden="1" x14ac:dyDescent="0.25">
      <c r="A260" s="687"/>
      <c r="B260" s="688"/>
      <c r="C260" s="688"/>
      <c r="D260" s="726" t="s">
        <v>108</v>
      </c>
      <c r="E260" s="695"/>
      <c r="F260" s="695"/>
      <c r="G260" s="692"/>
      <c r="H260" s="802" t="s">
        <v>35</v>
      </c>
      <c r="I260" s="735">
        <f ca="1">IFERROR(__xludf.DUMMYFUNCTION("IMPORTRANGE(""https://docs.google.com/spreadsheets/d/1eHaY18a8A9IcSdp1K8H6x8fbOy06t2VsZHhMHf-1x7Y/edit?usp=sharing"",""แผน!BH15"")"),0)</f>
        <v>0</v>
      </c>
      <c r="J260" s="736">
        <v>0</v>
      </c>
      <c r="K260" s="572">
        <f ca="1">IF(I260&gt;0,J260*100/I260,0)</f>
        <v>0</v>
      </c>
      <c r="L260" s="574"/>
      <c r="M260" s="566"/>
      <c r="N260" s="566"/>
      <c r="O260" s="566"/>
      <c r="P260" s="566"/>
      <c r="Q260" s="566"/>
      <c r="R260" s="566"/>
      <c r="S260" s="566"/>
      <c r="T260" s="566"/>
      <c r="U260" s="566"/>
    </row>
    <row r="261" spans="1:21" ht="18.75" hidden="1" x14ac:dyDescent="0.25">
      <c r="A261" s="687"/>
      <c r="B261" s="688"/>
      <c r="C261" s="688"/>
      <c r="D261" s="803" t="s">
        <v>43</v>
      </c>
      <c r="E261" s="695"/>
      <c r="F261" s="695"/>
      <c r="G261" s="692"/>
      <c r="H261" s="692"/>
      <c r="I261" s="565"/>
      <c r="J261" s="565"/>
      <c r="K261" s="566"/>
      <c r="L261" s="574"/>
      <c r="M261" s="566"/>
      <c r="N261" s="566"/>
      <c r="O261" s="684"/>
      <c r="P261" s="684"/>
      <c r="Q261" s="566"/>
      <c r="R261" s="566"/>
      <c r="S261" s="566"/>
      <c r="T261" s="684"/>
      <c r="U261" s="684"/>
    </row>
    <row r="262" spans="1:21" ht="18.75" hidden="1" x14ac:dyDescent="0.25">
      <c r="A262" s="687"/>
      <c r="B262" s="688"/>
      <c r="C262" s="688"/>
      <c r="D262" s="688"/>
      <c r="E262" s="804" t="s">
        <v>109</v>
      </c>
      <c r="F262" s="695"/>
      <c r="G262" s="692"/>
      <c r="H262" s="802" t="s">
        <v>35</v>
      </c>
      <c r="I262" s="565"/>
      <c r="J262" s="736">
        <v>0</v>
      </c>
      <c r="K262" s="572">
        <f t="shared" ref="K262:K263" si="159">IF(I262&gt;0,J262*100/I262,0)</f>
        <v>0</v>
      </c>
      <c r="L262" s="574"/>
      <c r="M262" s="566"/>
      <c r="N262" s="566"/>
      <c r="O262" s="566"/>
      <c r="P262" s="566"/>
      <c r="Q262" s="566"/>
      <c r="R262" s="566"/>
      <c r="S262" s="566"/>
      <c r="T262" s="566"/>
      <c r="U262" s="566"/>
    </row>
    <row r="263" spans="1:21" ht="18.75" hidden="1" x14ac:dyDescent="0.25">
      <c r="A263" s="687"/>
      <c r="B263" s="688"/>
      <c r="C263" s="688"/>
      <c r="D263" s="688"/>
      <c r="E263" s="804" t="s">
        <v>110</v>
      </c>
      <c r="F263" s="695"/>
      <c r="G263" s="692"/>
      <c r="H263" s="802" t="s">
        <v>61</v>
      </c>
      <c r="I263" s="565"/>
      <c r="J263" s="736">
        <v>0</v>
      </c>
      <c r="K263" s="572">
        <f t="shared" si="159"/>
        <v>0</v>
      </c>
      <c r="L263" s="574"/>
      <c r="M263" s="566"/>
      <c r="N263" s="566"/>
      <c r="O263" s="566"/>
      <c r="P263" s="566"/>
      <c r="Q263" s="566"/>
      <c r="R263" s="566"/>
      <c r="S263" s="566"/>
      <c r="T263" s="566"/>
      <c r="U263" s="566"/>
    </row>
    <row r="264" spans="1:21" ht="19.5" x14ac:dyDescent="0.3">
      <c r="A264" s="806" t="s">
        <v>113</v>
      </c>
      <c r="B264" s="807"/>
      <c r="C264" s="807"/>
      <c r="D264" s="808"/>
      <c r="E264" s="808"/>
      <c r="F264" s="808"/>
      <c r="G264" s="809"/>
      <c r="H264" s="809"/>
      <c r="I264" s="810"/>
      <c r="J264" s="810"/>
      <c r="K264" s="811"/>
      <c r="L264" s="812"/>
      <c r="M264" s="811"/>
      <c r="N264" s="811"/>
      <c r="O264" s="811"/>
      <c r="P264" s="811"/>
      <c r="Q264" s="811"/>
      <c r="R264" s="811"/>
      <c r="S264" s="811"/>
      <c r="T264" s="811"/>
      <c r="U264" s="811"/>
    </row>
    <row r="265" spans="1:21" ht="19.5" x14ac:dyDescent="0.3">
      <c r="A265" s="813"/>
      <c r="B265" s="814" t="s">
        <v>114</v>
      </c>
      <c r="C265" s="815"/>
      <c r="D265" s="816"/>
      <c r="E265" s="816"/>
      <c r="F265" s="816"/>
      <c r="G265" s="817"/>
      <c r="H265" s="818" t="s">
        <v>35</v>
      </c>
      <c r="I265" s="819">
        <f t="shared" ref="I265:J265" ca="1" si="160">I276</f>
        <v>24</v>
      </c>
      <c r="J265" s="819">
        <f t="shared" si="160"/>
        <v>0</v>
      </c>
      <c r="K265" s="820">
        <f ca="1">IF(I265&gt;0,J265*100/I265,0)</f>
        <v>0</v>
      </c>
      <c r="L265" s="821"/>
      <c r="M265" s="822"/>
      <c r="N265" s="822"/>
      <c r="O265" s="822"/>
      <c r="P265" s="822"/>
      <c r="Q265" s="822"/>
      <c r="R265" s="822"/>
      <c r="S265" s="822"/>
      <c r="T265" s="822"/>
      <c r="U265" s="822"/>
    </row>
    <row r="266" spans="1:21" ht="19.5" x14ac:dyDescent="0.3">
      <c r="A266" s="823"/>
      <c r="B266" s="824"/>
      <c r="C266" s="825" t="s">
        <v>18</v>
      </c>
      <c r="D266" s="826" t="s">
        <v>19</v>
      </c>
      <c r="E266" s="824"/>
      <c r="F266" s="824"/>
      <c r="G266" s="827"/>
      <c r="H266" s="828" t="s">
        <v>14</v>
      </c>
      <c r="I266" s="829"/>
      <c r="J266" s="829"/>
      <c r="K266" s="830"/>
      <c r="L266" s="831">
        <f t="shared" ref="L266:N266" ca="1" si="161">L267+L268</f>
        <v>5000</v>
      </c>
      <c r="M266" s="832">
        <f t="shared" ca="1" si="161"/>
        <v>5000</v>
      </c>
      <c r="N266" s="832">
        <f t="shared" ca="1" si="161"/>
        <v>0</v>
      </c>
      <c r="O266" s="832">
        <f t="shared" ref="O266:O274" ca="1" si="162">IF(L266&gt;0,N266*100/L266,0)</f>
        <v>0</v>
      </c>
      <c r="P266" s="832">
        <f t="shared" ref="P266:P274" ca="1" si="163">IF(M266&gt;0,N266*100/M266,0)</f>
        <v>0</v>
      </c>
      <c r="Q266" s="832">
        <f t="shared" ref="Q266:S266" ca="1" si="164">Q267+Q268</f>
        <v>53440</v>
      </c>
      <c r="R266" s="832">
        <f t="shared" ca="1" si="164"/>
        <v>53440</v>
      </c>
      <c r="S266" s="832">
        <f t="shared" ca="1" si="164"/>
        <v>32800</v>
      </c>
      <c r="T266" s="832">
        <f t="shared" ref="T266:T274" ca="1" si="165">IF(Q266&gt;0,S266*100/Q266,0)</f>
        <v>61.377245508982035</v>
      </c>
      <c r="U266" s="832">
        <f t="shared" ref="U266:U274" ca="1" si="166">IF(R266&gt;0,S266*100/R266,0)</f>
        <v>61.377245508982035</v>
      </c>
    </row>
    <row r="267" spans="1:21" ht="18.75" x14ac:dyDescent="0.25">
      <c r="A267" s="833"/>
      <c r="B267" s="834"/>
      <c r="C267" s="834"/>
      <c r="D267" s="834"/>
      <c r="E267" s="569" t="s">
        <v>20</v>
      </c>
      <c r="F267" s="834"/>
      <c r="G267" s="835"/>
      <c r="H267" s="680" t="s">
        <v>14</v>
      </c>
      <c r="I267" s="836"/>
      <c r="J267" s="836"/>
      <c r="K267" s="837"/>
      <c r="L267" s="571">
        <f t="shared" ref="L267:N268" si="167">L270+L273</f>
        <v>0</v>
      </c>
      <c r="M267" s="572">
        <f t="shared" si="167"/>
        <v>0</v>
      </c>
      <c r="N267" s="572">
        <f t="shared" si="167"/>
        <v>0</v>
      </c>
      <c r="O267" s="572">
        <f t="shared" si="162"/>
        <v>0</v>
      </c>
      <c r="P267" s="572">
        <f t="shared" si="163"/>
        <v>0</v>
      </c>
      <c r="Q267" s="572">
        <f t="shared" ref="Q267:S268" si="168">Q270+Q273</f>
        <v>0</v>
      </c>
      <c r="R267" s="572">
        <f t="shared" si="168"/>
        <v>0</v>
      </c>
      <c r="S267" s="572">
        <f t="shared" si="168"/>
        <v>0</v>
      </c>
      <c r="T267" s="572">
        <f t="shared" si="165"/>
        <v>0</v>
      </c>
      <c r="U267" s="572">
        <f t="shared" si="166"/>
        <v>0</v>
      </c>
    </row>
    <row r="268" spans="1:21" ht="18.75" x14ac:dyDescent="0.25">
      <c r="A268" s="823"/>
      <c r="B268" s="824"/>
      <c r="C268" s="824"/>
      <c r="D268" s="824"/>
      <c r="E268" s="838" t="s">
        <v>21</v>
      </c>
      <c r="F268" s="824"/>
      <c r="G268" s="827"/>
      <c r="H268" s="839" t="s">
        <v>14</v>
      </c>
      <c r="I268" s="829"/>
      <c r="J268" s="829"/>
      <c r="K268" s="830"/>
      <c r="L268" s="840">
        <f t="shared" ca="1" si="167"/>
        <v>5000</v>
      </c>
      <c r="M268" s="841">
        <f t="shared" ca="1" si="167"/>
        <v>5000</v>
      </c>
      <c r="N268" s="841">
        <f t="shared" ca="1" si="167"/>
        <v>0</v>
      </c>
      <c r="O268" s="841">
        <f t="shared" ca="1" si="162"/>
        <v>0</v>
      </c>
      <c r="P268" s="841">
        <f t="shared" ca="1" si="163"/>
        <v>0</v>
      </c>
      <c r="Q268" s="841">
        <f t="shared" ca="1" si="168"/>
        <v>53440</v>
      </c>
      <c r="R268" s="841">
        <f t="shared" ca="1" si="168"/>
        <v>53440</v>
      </c>
      <c r="S268" s="841">
        <f t="shared" ca="1" si="168"/>
        <v>32800</v>
      </c>
      <c r="T268" s="841">
        <f t="shared" ca="1" si="165"/>
        <v>61.377245508982035</v>
      </c>
      <c r="U268" s="841">
        <f t="shared" ca="1" si="166"/>
        <v>61.377245508982035</v>
      </c>
    </row>
    <row r="269" spans="1:21" ht="18.75" x14ac:dyDescent="0.25">
      <c r="A269" s="823"/>
      <c r="B269" s="824"/>
      <c r="C269" s="824"/>
      <c r="D269" s="842" t="s">
        <v>22</v>
      </c>
      <c r="E269" s="824"/>
      <c r="F269" s="824"/>
      <c r="G269" s="827"/>
      <c r="H269" s="843" t="s">
        <v>14</v>
      </c>
      <c r="I269" s="844"/>
      <c r="J269" s="844"/>
      <c r="K269" s="845"/>
      <c r="L269" s="840">
        <f t="shared" ref="L269:N269" ca="1" si="169">L270+L271</f>
        <v>5000</v>
      </c>
      <c r="M269" s="841">
        <f t="shared" ca="1" si="169"/>
        <v>5000</v>
      </c>
      <c r="N269" s="841">
        <f t="shared" ca="1" si="169"/>
        <v>0</v>
      </c>
      <c r="O269" s="841">
        <f t="shared" ca="1" si="162"/>
        <v>0</v>
      </c>
      <c r="P269" s="841">
        <f t="shared" ca="1" si="163"/>
        <v>0</v>
      </c>
      <c r="Q269" s="841">
        <f t="shared" ref="Q269:S269" ca="1" si="170">Q270+Q271</f>
        <v>53440</v>
      </c>
      <c r="R269" s="841">
        <f t="shared" ca="1" si="170"/>
        <v>53440</v>
      </c>
      <c r="S269" s="841">
        <f t="shared" ca="1" si="170"/>
        <v>32800</v>
      </c>
      <c r="T269" s="841">
        <f t="shared" ca="1" si="165"/>
        <v>61.377245508982035</v>
      </c>
      <c r="U269" s="841">
        <f t="shared" ca="1" si="166"/>
        <v>61.377245508982035</v>
      </c>
    </row>
    <row r="270" spans="1:21" ht="18.75" x14ac:dyDescent="0.25">
      <c r="A270" s="833"/>
      <c r="B270" s="834"/>
      <c r="C270" s="834"/>
      <c r="D270" s="834"/>
      <c r="E270" s="569" t="s">
        <v>36</v>
      </c>
      <c r="F270" s="834"/>
      <c r="G270" s="835"/>
      <c r="H270" s="685" t="s">
        <v>14</v>
      </c>
      <c r="I270" s="846"/>
      <c r="J270" s="846"/>
      <c r="K270" s="847"/>
      <c r="L270" s="571">
        <v>0</v>
      </c>
      <c r="M270" s="572">
        <v>0</v>
      </c>
      <c r="N270" s="572">
        <v>0</v>
      </c>
      <c r="O270" s="572">
        <f t="shared" si="162"/>
        <v>0</v>
      </c>
      <c r="P270" s="572">
        <f t="shared" si="163"/>
        <v>0</v>
      </c>
      <c r="Q270" s="572">
        <v>0</v>
      </c>
      <c r="R270" s="572">
        <v>0</v>
      </c>
      <c r="S270" s="572">
        <v>0</v>
      </c>
      <c r="T270" s="572">
        <f t="shared" si="165"/>
        <v>0</v>
      </c>
      <c r="U270" s="572">
        <f t="shared" si="166"/>
        <v>0</v>
      </c>
    </row>
    <row r="271" spans="1:21" ht="18.75" x14ac:dyDescent="0.25">
      <c r="A271" s="823"/>
      <c r="B271" s="824"/>
      <c r="C271" s="824"/>
      <c r="D271" s="824"/>
      <c r="E271" s="838" t="s">
        <v>37</v>
      </c>
      <c r="F271" s="824"/>
      <c r="G271" s="827"/>
      <c r="H271" s="843" t="s">
        <v>14</v>
      </c>
      <c r="I271" s="844"/>
      <c r="J271" s="844"/>
      <c r="K271" s="845"/>
      <c r="L271" s="840">
        <f ca="1">IFERROR(__xludf.DUMMYFUNCTION("IMPORTRANGE(""https://docs.google.com/spreadsheets/d/1-uDff_7J0KD5mKrp0Vvzr7lt3OU09vwQwhkpOPPYv2Y/edit?usp=sharing"",""งบพรบ!DE15"")"),5000)</f>
        <v>5000</v>
      </c>
      <c r="M271" s="841">
        <f ca="1">IFERROR(__xludf.DUMMYFUNCTION("IMPORTRANGE(""https://docs.google.com/spreadsheets/d/1-uDff_7J0KD5mKrp0Vvzr7lt3OU09vwQwhkpOPPYv2Y/edit?usp=sharing"",""งบพรบ!DJ15"")"),5000)</f>
        <v>5000</v>
      </c>
      <c r="N271" s="841">
        <f ca="1">IFERROR(__xludf.DUMMYFUNCTION("IMPORTRANGE(""https://docs.google.com/spreadsheets/d/1-uDff_7J0KD5mKrp0Vvzr7lt3OU09vwQwhkpOPPYv2Y/edit?usp=sharing"",""งบพรบ!DL15"")"),0)</f>
        <v>0</v>
      </c>
      <c r="O271" s="841">
        <f t="shared" ca="1" si="162"/>
        <v>0</v>
      </c>
      <c r="P271" s="841">
        <f t="shared" ca="1" si="163"/>
        <v>0</v>
      </c>
      <c r="Q271" s="841">
        <f ca="1">IFERROR(__xludf.DUMMYFUNCTION("IMPORTRANGE(""https://docs.google.com/spreadsheets/d/1ItG2mGa2ceCfYo0BwxsXqNm01IGEUdYcSSLTEv9YCik/edit?usp=sharing"",""เบิกจ่ายกองทุน!AP15"")"),53440)</f>
        <v>53440</v>
      </c>
      <c r="R271" s="841">
        <f ca="1">IFERROR(__xludf.DUMMYFUNCTION("IMPORTRANGE(""https://docs.google.com/spreadsheets/d/1ItG2mGa2ceCfYo0BwxsXqNm01IGEUdYcSSLTEv9YCik/edit?usp=sharing"",""เบิกจ่ายกองทุน!AQ15"")"),53440)</f>
        <v>53440</v>
      </c>
      <c r="S271" s="841">
        <f ca="1">IFERROR(__xludf.DUMMYFUNCTION("IMPORTRANGE(""https://docs.google.com/spreadsheets/d/1ItG2mGa2ceCfYo0BwxsXqNm01IGEUdYcSSLTEv9YCik/edit?usp=sharing"",""เบิกจ่ายกองทุน!AR15"")"),32800)</f>
        <v>32800</v>
      </c>
      <c r="T271" s="841">
        <f t="shared" ca="1" si="165"/>
        <v>61.377245508982035</v>
      </c>
      <c r="U271" s="841">
        <f t="shared" ca="1" si="166"/>
        <v>61.377245508982035</v>
      </c>
    </row>
    <row r="272" spans="1:21" ht="18.75" x14ac:dyDescent="0.25">
      <c r="A272" s="823"/>
      <c r="B272" s="824"/>
      <c r="C272" s="824"/>
      <c r="D272" s="842" t="s">
        <v>23</v>
      </c>
      <c r="E272" s="824"/>
      <c r="F272" s="824"/>
      <c r="G272" s="827"/>
      <c r="H272" s="848" t="s">
        <v>14</v>
      </c>
      <c r="I272" s="844"/>
      <c r="J272" s="844"/>
      <c r="K272" s="845"/>
      <c r="L272" s="840">
        <f t="shared" ref="L272:N272" ca="1" si="171">L273+L274</f>
        <v>0</v>
      </c>
      <c r="M272" s="841">
        <f t="shared" ca="1" si="171"/>
        <v>0</v>
      </c>
      <c r="N272" s="841">
        <f t="shared" ca="1" si="171"/>
        <v>0</v>
      </c>
      <c r="O272" s="841">
        <f t="shared" ca="1" si="162"/>
        <v>0</v>
      </c>
      <c r="P272" s="841">
        <f t="shared" ca="1" si="163"/>
        <v>0</v>
      </c>
      <c r="Q272" s="841">
        <f t="shared" ref="Q272:S272" si="172">Q273+Q274</f>
        <v>0</v>
      </c>
      <c r="R272" s="841">
        <f t="shared" si="172"/>
        <v>0</v>
      </c>
      <c r="S272" s="841">
        <f t="shared" si="172"/>
        <v>0</v>
      </c>
      <c r="T272" s="841">
        <f t="shared" si="165"/>
        <v>0</v>
      </c>
      <c r="U272" s="841">
        <f t="shared" si="166"/>
        <v>0</v>
      </c>
    </row>
    <row r="273" spans="1:21" ht="18.75" x14ac:dyDescent="0.25">
      <c r="A273" s="833"/>
      <c r="B273" s="834"/>
      <c r="C273" s="834"/>
      <c r="D273" s="834"/>
      <c r="E273" s="569" t="s">
        <v>20</v>
      </c>
      <c r="F273" s="834"/>
      <c r="G273" s="835"/>
      <c r="H273" s="685" t="s">
        <v>14</v>
      </c>
      <c r="I273" s="846"/>
      <c r="J273" s="846"/>
      <c r="K273" s="847"/>
      <c r="L273" s="571">
        <v>0</v>
      </c>
      <c r="M273" s="572">
        <v>0</v>
      </c>
      <c r="N273" s="572">
        <v>0</v>
      </c>
      <c r="O273" s="572">
        <f t="shared" si="162"/>
        <v>0</v>
      </c>
      <c r="P273" s="572">
        <f t="shared" si="163"/>
        <v>0</v>
      </c>
      <c r="Q273" s="572">
        <v>0</v>
      </c>
      <c r="R273" s="572">
        <v>0</v>
      </c>
      <c r="S273" s="572">
        <v>0</v>
      </c>
      <c r="T273" s="572">
        <f t="shared" si="165"/>
        <v>0</v>
      </c>
      <c r="U273" s="572">
        <f t="shared" si="166"/>
        <v>0</v>
      </c>
    </row>
    <row r="274" spans="1:21" ht="18.75" x14ac:dyDescent="0.25">
      <c r="A274" s="823"/>
      <c r="B274" s="824"/>
      <c r="C274" s="824"/>
      <c r="D274" s="824"/>
      <c r="E274" s="838" t="s">
        <v>21</v>
      </c>
      <c r="F274" s="824"/>
      <c r="G274" s="827"/>
      <c r="H274" s="848" t="s">
        <v>14</v>
      </c>
      <c r="I274" s="844"/>
      <c r="J274" s="844"/>
      <c r="K274" s="845"/>
      <c r="L274" s="840">
        <f ca="1">IFERROR(__xludf.DUMMYFUNCTION("IMPORTRANGE(""https://docs.google.com/spreadsheets/d/1-uDff_7J0KD5mKrp0Vvzr7lt3OU09vwQwhkpOPPYv2Y/edit?usp=sharing"",""งบพรบ!DH15"")"),0)</f>
        <v>0</v>
      </c>
      <c r="M274" s="841">
        <f ca="1">IFERROR(__xludf.DUMMYFUNCTION("IMPORTRANGE(""https://docs.google.com/spreadsheets/d/1-uDff_7J0KD5mKrp0Vvzr7lt3OU09vwQwhkpOPPYv2Y/edit?usp=sharing"",""งบพรบ!DK15"")"),0)</f>
        <v>0</v>
      </c>
      <c r="N274" s="841">
        <f ca="1">IFERROR(__xludf.DUMMYFUNCTION("IMPORTRANGE(""https://docs.google.com/spreadsheets/d/1-uDff_7J0KD5mKrp0Vvzr7lt3OU09vwQwhkpOPPYv2Y/edit?usp=sharing"",""งบพรบ!DM15"")"),0)</f>
        <v>0</v>
      </c>
      <c r="O274" s="841">
        <f t="shared" ca="1" si="162"/>
        <v>0</v>
      </c>
      <c r="P274" s="841">
        <f t="shared" ca="1" si="163"/>
        <v>0</v>
      </c>
      <c r="Q274" s="841">
        <v>0</v>
      </c>
      <c r="R274" s="841">
        <v>0</v>
      </c>
      <c r="S274" s="841">
        <v>0</v>
      </c>
      <c r="T274" s="841">
        <f t="shared" si="165"/>
        <v>0</v>
      </c>
      <c r="U274" s="841">
        <f t="shared" si="166"/>
        <v>0</v>
      </c>
    </row>
    <row r="275" spans="1:21" ht="19.5" x14ac:dyDescent="0.3">
      <c r="A275" s="849"/>
      <c r="B275" s="850"/>
      <c r="C275" s="838" t="s">
        <v>18</v>
      </c>
      <c r="D275" s="851" t="s">
        <v>38</v>
      </c>
      <c r="E275" s="816"/>
      <c r="F275" s="816"/>
      <c r="G275" s="817"/>
      <c r="H275" s="852"/>
      <c r="I275" s="844"/>
      <c r="J275" s="844"/>
      <c r="K275" s="845"/>
      <c r="L275" s="853"/>
      <c r="M275" s="845"/>
      <c r="N275" s="845"/>
      <c r="O275" s="845"/>
      <c r="P275" s="845"/>
      <c r="Q275" s="845"/>
      <c r="R275" s="845"/>
      <c r="S275" s="845"/>
      <c r="T275" s="845"/>
      <c r="U275" s="845"/>
    </row>
    <row r="276" spans="1:21" ht="18.75" x14ac:dyDescent="0.25">
      <c r="A276" s="854"/>
      <c r="B276" s="855"/>
      <c r="C276" s="855"/>
      <c r="D276" s="856" t="s">
        <v>115</v>
      </c>
      <c r="E276" s="857"/>
      <c r="F276" s="857"/>
      <c r="G276" s="858"/>
      <c r="H276" s="859" t="s">
        <v>35</v>
      </c>
      <c r="I276" s="860">
        <f ca="1">IFERROR(__xludf.DUMMYFUNCTION("IMPORTRANGE(""https://docs.google.com/spreadsheets/d/1eHaY18a8A9IcSdp1K8H6x8fbOy06t2VsZHhMHf-1x7Y/edit?usp=sharing"",""แผน!EC15"")"),24)</f>
        <v>24</v>
      </c>
      <c r="J276" s="861">
        <v>0</v>
      </c>
      <c r="K276" s="862">
        <f ca="1">IF(I276&gt;0,J276*100/I276,0)</f>
        <v>0</v>
      </c>
      <c r="L276" s="574"/>
      <c r="M276" s="566"/>
      <c r="N276" s="566"/>
      <c r="O276" s="566"/>
      <c r="P276" s="566"/>
      <c r="Q276" s="566"/>
      <c r="R276" s="566"/>
      <c r="S276" s="566"/>
      <c r="T276" s="566"/>
      <c r="U276" s="566"/>
    </row>
    <row r="277" spans="1:21" ht="18.75" x14ac:dyDescent="0.25">
      <c r="A277" s="863"/>
      <c r="B277" s="864"/>
      <c r="C277" s="864"/>
      <c r="D277" s="865" t="s">
        <v>116</v>
      </c>
      <c r="E277" s="512"/>
      <c r="F277" s="512"/>
      <c r="G277" s="866"/>
      <c r="H277" s="867" t="s">
        <v>35</v>
      </c>
      <c r="I277" s="740">
        <v>0</v>
      </c>
      <c r="J277" s="740">
        <v>0</v>
      </c>
      <c r="K277" s="868">
        <v>0</v>
      </c>
      <c r="L277" s="869"/>
      <c r="M277" s="870"/>
      <c r="N277" s="870"/>
      <c r="O277" s="870"/>
      <c r="P277" s="870"/>
      <c r="Q277" s="870"/>
      <c r="R277" s="870"/>
      <c r="S277" s="870"/>
      <c r="T277" s="870"/>
      <c r="U277" s="870"/>
    </row>
    <row r="278" spans="1:21" ht="19.5" x14ac:dyDescent="0.3">
      <c r="A278" s="871" t="s">
        <v>117</v>
      </c>
      <c r="B278" s="872"/>
      <c r="C278" s="872"/>
      <c r="D278" s="872"/>
      <c r="E278" s="873"/>
      <c r="F278" s="873"/>
      <c r="G278" s="873"/>
      <c r="H278" s="873"/>
      <c r="I278" s="874"/>
      <c r="J278" s="874"/>
      <c r="K278" s="875"/>
      <c r="L278" s="875"/>
      <c r="M278" s="875"/>
      <c r="N278" s="875"/>
      <c r="O278" s="875"/>
      <c r="P278" s="876"/>
      <c r="Q278" s="875"/>
      <c r="R278" s="875"/>
      <c r="S278" s="875"/>
      <c r="T278" s="875"/>
      <c r="U278" s="876"/>
    </row>
    <row r="279" spans="1:21" ht="19.5" x14ac:dyDescent="0.3">
      <c r="A279" s="877" t="s">
        <v>118</v>
      </c>
      <c r="B279" s="878"/>
      <c r="C279" s="879"/>
      <c r="D279" s="878"/>
      <c r="E279" s="878"/>
      <c r="F279" s="878"/>
      <c r="G279" s="878"/>
      <c r="H279" s="878"/>
      <c r="I279" s="880"/>
      <c r="J279" s="881"/>
      <c r="K279" s="882"/>
      <c r="L279" s="883"/>
      <c r="M279" s="882"/>
      <c r="N279" s="882"/>
      <c r="O279" s="882"/>
      <c r="P279" s="882"/>
      <c r="Q279" s="882"/>
      <c r="R279" s="882"/>
      <c r="S279" s="882"/>
      <c r="T279" s="882"/>
      <c r="U279" s="882"/>
    </row>
    <row r="280" spans="1:21" ht="19.5" x14ac:dyDescent="0.3">
      <c r="A280" s="884"/>
      <c r="B280" s="885" t="s">
        <v>119</v>
      </c>
      <c r="C280" s="886"/>
      <c r="D280" s="887"/>
      <c r="E280" s="886"/>
      <c r="F280" s="886"/>
      <c r="G280" s="888"/>
      <c r="H280" s="889" t="s">
        <v>35</v>
      </c>
      <c r="I280" s="890">
        <f t="shared" ref="I280:J280" ca="1" si="173">I293</f>
        <v>30</v>
      </c>
      <c r="J280" s="890">
        <f t="shared" si="173"/>
        <v>30</v>
      </c>
      <c r="K280" s="891">
        <f t="shared" ref="K280:K281" ca="1" si="174">IF(I280&gt;0,J280*100/I280,0)</f>
        <v>100</v>
      </c>
      <c r="L280" s="892"/>
      <c r="M280" s="893"/>
      <c r="N280" s="893"/>
      <c r="O280" s="893"/>
      <c r="P280" s="893"/>
      <c r="Q280" s="893"/>
      <c r="R280" s="893"/>
      <c r="S280" s="893"/>
      <c r="T280" s="893"/>
      <c r="U280" s="893"/>
    </row>
    <row r="281" spans="1:21" ht="19.5" x14ac:dyDescent="0.3">
      <c r="A281" s="884"/>
      <c r="B281" s="886"/>
      <c r="C281" s="886"/>
      <c r="D281" s="887"/>
      <c r="E281" s="886"/>
      <c r="F281" s="886"/>
      <c r="G281" s="888"/>
      <c r="H281" s="889" t="s">
        <v>46</v>
      </c>
      <c r="I281" s="890">
        <f t="shared" ref="I281:J281" ca="1" si="175">I292</f>
        <v>300</v>
      </c>
      <c r="J281" s="890">
        <f t="shared" si="175"/>
        <v>300</v>
      </c>
      <c r="K281" s="891">
        <f t="shared" ca="1" si="174"/>
        <v>100</v>
      </c>
      <c r="L281" s="892"/>
      <c r="M281" s="893"/>
      <c r="N281" s="893"/>
      <c r="O281" s="893"/>
      <c r="P281" s="893"/>
      <c r="Q281" s="893"/>
      <c r="R281" s="893"/>
      <c r="S281" s="893"/>
      <c r="T281" s="893"/>
      <c r="U281" s="893"/>
    </row>
    <row r="282" spans="1:21" ht="19.5" x14ac:dyDescent="0.3">
      <c r="A282" s="674"/>
      <c r="B282" s="561"/>
      <c r="C282" s="675" t="s">
        <v>18</v>
      </c>
      <c r="D282" s="676" t="s">
        <v>19</v>
      </c>
      <c r="E282" s="561"/>
      <c r="F282" s="561"/>
      <c r="G282" s="563"/>
      <c r="H282" s="677" t="s">
        <v>14</v>
      </c>
      <c r="I282" s="565"/>
      <c r="J282" s="565"/>
      <c r="K282" s="566"/>
      <c r="L282" s="678">
        <f t="shared" ref="L282:N282" ca="1" si="176">L283+L284</f>
        <v>85120</v>
      </c>
      <c r="M282" s="679">
        <f t="shared" ca="1" si="176"/>
        <v>85120</v>
      </c>
      <c r="N282" s="679">
        <f t="shared" ca="1" si="176"/>
        <v>69118</v>
      </c>
      <c r="O282" s="679">
        <f t="shared" ref="O282:O290" ca="1" si="177">IF(L282&gt;0,N282*100/L282,0)</f>
        <v>81.200657894736835</v>
      </c>
      <c r="P282" s="679">
        <f t="shared" ref="P282:P290" ca="1" si="178">IF(M282&gt;0,N282*100/M282,0)</f>
        <v>81.200657894736835</v>
      </c>
      <c r="Q282" s="679">
        <f t="shared" ref="Q282:S282" si="179">Q283+Q284</f>
        <v>0</v>
      </c>
      <c r="R282" s="679">
        <f t="shared" si="179"/>
        <v>0</v>
      </c>
      <c r="S282" s="679">
        <f t="shared" si="179"/>
        <v>0</v>
      </c>
      <c r="T282" s="679">
        <f t="shared" ref="T282:T290" si="180">IF(Q282&gt;0,S282*100/Q282,0)</f>
        <v>0</v>
      </c>
      <c r="U282" s="679">
        <f t="shared" ref="U282:U290" si="181">IF(R282&gt;0,S282*100/R282,0)</f>
        <v>0</v>
      </c>
    </row>
    <row r="283" spans="1:21" ht="18.75" x14ac:dyDescent="0.25">
      <c r="A283" s="674"/>
      <c r="B283" s="561"/>
      <c r="C283" s="561"/>
      <c r="D283" s="561"/>
      <c r="E283" s="569" t="s">
        <v>20</v>
      </c>
      <c r="F283" s="561"/>
      <c r="G283" s="563"/>
      <c r="H283" s="680" t="s">
        <v>14</v>
      </c>
      <c r="I283" s="565"/>
      <c r="J283" s="565"/>
      <c r="K283" s="566"/>
      <c r="L283" s="571">
        <f t="shared" ref="L283:N284" si="182">L286+L289</f>
        <v>0</v>
      </c>
      <c r="M283" s="572">
        <f t="shared" si="182"/>
        <v>0</v>
      </c>
      <c r="N283" s="572">
        <f t="shared" si="182"/>
        <v>0</v>
      </c>
      <c r="O283" s="572">
        <f t="shared" si="177"/>
        <v>0</v>
      </c>
      <c r="P283" s="572">
        <f t="shared" si="178"/>
        <v>0</v>
      </c>
      <c r="Q283" s="572">
        <f t="shared" ref="Q283:S284" si="183">Q286+Q289</f>
        <v>0</v>
      </c>
      <c r="R283" s="572">
        <f t="shared" si="183"/>
        <v>0</v>
      </c>
      <c r="S283" s="572">
        <f t="shared" si="183"/>
        <v>0</v>
      </c>
      <c r="T283" s="572">
        <f t="shared" si="180"/>
        <v>0</v>
      </c>
      <c r="U283" s="572">
        <f t="shared" si="181"/>
        <v>0</v>
      </c>
    </row>
    <row r="284" spans="1:21" ht="18.75" x14ac:dyDescent="0.25">
      <c r="A284" s="674"/>
      <c r="B284" s="561"/>
      <c r="C284" s="561"/>
      <c r="D284" s="561"/>
      <c r="E284" s="573" t="s">
        <v>21</v>
      </c>
      <c r="F284" s="561"/>
      <c r="G284" s="563"/>
      <c r="H284" s="681" t="s">
        <v>14</v>
      </c>
      <c r="I284" s="565"/>
      <c r="J284" s="565"/>
      <c r="K284" s="566"/>
      <c r="L284" s="567">
        <f t="shared" ca="1" si="182"/>
        <v>85120</v>
      </c>
      <c r="M284" s="568">
        <f t="shared" ca="1" si="182"/>
        <v>85120</v>
      </c>
      <c r="N284" s="568">
        <f t="shared" ca="1" si="182"/>
        <v>69118</v>
      </c>
      <c r="O284" s="568">
        <f t="shared" ca="1" si="177"/>
        <v>81.200657894736835</v>
      </c>
      <c r="P284" s="568">
        <f t="shared" ca="1" si="178"/>
        <v>81.200657894736835</v>
      </c>
      <c r="Q284" s="568">
        <f t="shared" si="183"/>
        <v>0</v>
      </c>
      <c r="R284" s="568">
        <f t="shared" si="183"/>
        <v>0</v>
      </c>
      <c r="S284" s="568">
        <f t="shared" si="183"/>
        <v>0</v>
      </c>
      <c r="T284" s="568">
        <f t="shared" si="180"/>
        <v>0</v>
      </c>
      <c r="U284" s="568">
        <f t="shared" si="181"/>
        <v>0</v>
      </c>
    </row>
    <row r="285" spans="1:21" ht="18.75" x14ac:dyDescent="0.25">
      <c r="A285" s="674"/>
      <c r="B285" s="561"/>
      <c r="C285" s="561"/>
      <c r="D285" s="562" t="s">
        <v>22</v>
      </c>
      <c r="E285" s="561"/>
      <c r="F285" s="561"/>
      <c r="G285" s="563"/>
      <c r="H285" s="682" t="s">
        <v>14</v>
      </c>
      <c r="I285" s="683"/>
      <c r="J285" s="683"/>
      <c r="K285" s="684"/>
      <c r="L285" s="567">
        <f t="shared" ref="L285:N285" ca="1" si="184">L286+L287</f>
        <v>85120</v>
      </c>
      <c r="M285" s="568">
        <f t="shared" ca="1" si="184"/>
        <v>85120</v>
      </c>
      <c r="N285" s="568">
        <f t="shared" ca="1" si="184"/>
        <v>69118</v>
      </c>
      <c r="O285" s="568">
        <f t="shared" ca="1" si="177"/>
        <v>81.200657894736835</v>
      </c>
      <c r="P285" s="568">
        <f t="shared" ca="1" si="178"/>
        <v>81.200657894736835</v>
      </c>
      <c r="Q285" s="568">
        <f t="shared" ref="Q285:S285" si="185">Q286+Q287</f>
        <v>0</v>
      </c>
      <c r="R285" s="568">
        <f t="shared" si="185"/>
        <v>0</v>
      </c>
      <c r="S285" s="568">
        <f t="shared" si="185"/>
        <v>0</v>
      </c>
      <c r="T285" s="568">
        <f t="shared" si="180"/>
        <v>0</v>
      </c>
      <c r="U285" s="568">
        <f t="shared" si="181"/>
        <v>0</v>
      </c>
    </row>
    <row r="286" spans="1:21" ht="18.75" x14ac:dyDescent="0.25">
      <c r="A286" s="674"/>
      <c r="B286" s="561"/>
      <c r="C286" s="561"/>
      <c r="D286" s="561"/>
      <c r="E286" s="569" t="s">
        <v>36</v>
      </c>
      <c r="F286" s="561"/>
      <c r="G286" s="563"/>
      <c r="H286" s="685" t="s">
        <v>14</v>
      </c>
      <c r="I286" s="683"/>
      <c r="J286" s="683"/>
      <c r="K286" s="684"/>
      <c r="L286" s="571">
        <v>0</v>
      </c>
      <c r="M286" s="572">
        <v>0</v>
      </c>
      <c r="N286" s="572">
        <v>0</v>
      </c>
      <c r="O286" s="572">
        <f t="shared" si="177"/>
        <v>0</v>
      </c>
      <c r="P286" s="572">
        <f t="shared" si="178"/>
        <v>0</v>
      </c>
      <c r="Q286" s="572">
        <v>0</v>
      </c>
      <c r="R286" s="572">
        <v>0</v>
      </c>
      <c r="S286" s="572">
        <v>0</v>
      </c>
      <c r="T286" s="572">
        <f t="shared" si="180"/>
        <v>0</v>
      </c>
      <c r="U286" s="572">
        <f t="shared" si="181"/>
        <v>0</v>
      </c>
    </row>
    <row r="287" spans="1:21" ht="18.75" x14ac:dyDescent="0.25">
      <c r="A287" s="674"/>
      <c r="B287" s="561"/>
      <c r="C287" s="561"/>
      <c r="D287" s="561"/>
      <c r="E287" s="573" t="s">
        <v>37</v>
      </c>
      <c r="F287" s="561"/>
      <c r="G287" s="563"/>
      <c r="H287" s="682" t="s">
        <v>14</v>
      </c>
      <c r="I287" s="683"/>
      <c r="J287" s="683"/>
      <c r="K287" s="684"/>
      <c r="L287" s="567">
        <f ca="1">IFERROR(__xludf.DUMMYFUNCTION("IMPORTRANGE(""https://docs.google.com/spreadsheets/d/1-uDff_7J0KD5mKrp0Vvzr7lt3OU09vwQwhkpOPPYv2Y/edit?usp=sharing"",""งบพรบ!DO15"")"),85120)</f>
        <v>85120</v>
      </c>
      <c r="M287" s="568">
        <f ca="1">IFERROR(__xludf.DUMMYFUNCTION("IMPORTRANGE(""https://docs.google.com/spreadsheets/d/1-uDff_7J0KD5mKrp0Vvzr7lt3OU09vwQwhkpOPPYv2Y/edit?usp=sharing"",""งบพรบ!DT15"")"),85120)</f>
        <v>85120</v>
      </c>
      <c r="N287" s="568">
        <f ca="1">IFERROR(__xludf.DUMMYFUNCTION("IMPORTRANGE(""https://docs.google.com/spreadsheets/d/1-uDff_7J0KD5mKrp0Vvzr7lt3OU09vwQwhkpOPPYv2Y/edit?usp=sharing"",""งบพรบ!DV15"")"),69118)</f>
        <v>69118</v>
      </c>
      <c r="O287" s="568">
        <f t="shared" ca="1" si="177"/>
        <v>81.200657894736835</v>
      </c>
      <c r="P287" s="568">
        <f t="shared" ca="1" si="178"/>
        <v>81.200657894736835</v>
      </c>
      <c r="Q287" s="568">
        <v>0</v>
      </c>
      <c r="R287" s="568">
        <v>0</v>
      </c>
      <c r="S287" s="568">
        <v>0</v>
      </c>
      <c r="T287" s="572">
        <f t="shared" si="180"/>
        <v>0</v>
      </c>
      <c r="U287" s="572">
        <f t="shared" si="181"/>
        <v>0</v>
      </c>
    </row>
    <row r="288" spans="1:21" ht="18.75" x14ac:dyDescent="0.25">
      <c r="A288" s="674"/>
      <c r="B288" s="561"/>
      <c r="C288" s="561"/>
      <c r="D288" s="562" t="s">
        <v>23</v>
      </c>
      <c r="E288" s="561"/>
      <c r="F288" s="561"/>
      <c r="G288" s="563"/>
      <c r="H288" s="686" t="s">
        <v>14</v>
      </c>
      <c r="I288" s="683"/>
      <c r="J288" s="683"/>
      <c r="K288" s="684"/>
      <c r="L288" s="567">
        <f t="shared" ref="L288:N288" ca="1" si="186">L289+L290</f>
        <v>0</v>
      </c>
      <c r="M288" s="568">
        <f t="shared" ca="1" si="186"/>
        <v>0</v>
      </c>
      <c r="N288" s="568">
        <f t="shared" ca="1" si="186"/>
        <v>0</v>
      </c>
      <c r="O288" s="568">
        <f t="shared" ca="1" si="177"/>
        <v>0</v>
      </c>
      <c r="P288" s="568">
        <f t="shared" ca="1" si="178"/>
        <v>0</v>
      </c>
      <c r="Q288" s="568">
        <f t="shared" ref="Q288:S288" si="187">Q289+Q290</f>
        <v>0</v>
      </c>
      <c r="R288" s="568">
        <f t="shared" si="187"/>
        <v>0</v>
      </c>
      <c r="S288" s="568">
        <f t="shared" si="187"/>
        <v>0</v>
      </c>
      <c r="T288" s="568">
        <f t="shared" si="180"/>
        <v>0</v>
      </c>
      <c r="U288" s="568">
        <f t="shared" si="181"/>
        <v>0</v>
      </c>
    </row>
    <row r="289" spans="1:21" ht="18.75" x14ac:dyDescent="0.25">
      <c r="A289" s="674"/>
      <c r="B289" s="561"/>
      <c r="C289" s="561"/>
      <c r="D289" s="561"/>
      <c r="E289" s="569" t="s">
        <v>20</v>
      </c>
      <c r="F289" s="561"/>
      <c r="G289" s="563"/>
      <c r="H289" s="685" t="s">
        <v>14</v>
      </c>
      <c r="I289" s="683"/>
      <c r="J289" s="683"/>
      <c r="K289" s="684"/>
      <c r="L289" s="571">
        <v>0</v>
      </c>
      <c r="M289" s="572">
        <v>0</v>
      </c>
      <c r="N289" s="572">
        <v>0</v>
      </c>
      <c r="O289" s="572">
        <f t="shared" si="177"/>
        <v>0</v>
      </c>
      <c r="P289" s="572">
        <f t="shared" si="178"/>
        <v>0</v>
      </c>
      <c r="Q289" s="572">
        <v>0</v>
      </c>
      <c r="R289" s="572">
        <v>0</v>
      </c>
      <c r="S289" s="572">
        <v>0</v>
      </c>
      <c r="T289" s="572">
        <f t="shared" si="180"/>
        <v>0</v>
      </c>
      <c r="U289" s="572">
        <f t="shared" si="181"/>
        <v>0</v>
      </c>
    </row>
    <row r="290" spans="1:21" ht="18.75" x14ac:dyDescent="0.25">
      <c r="A290" s="674"/>
      <c r="B290" s="561"/>
      <c r="C290" s="561"/>
      <c r="D290" s="561"/>
      <c r="E290" s="573" t="s">
        <v>21</v>
      </c>
      <c r="F290" s="561"/>
      <c r="G290" s="563"/>
      <c r="H290" s="686" t="s">
        <v>14</v>
      </c>
      <c r="I290" s="683"/>
      <c r="J290" s="683"/>
      <c r="K290" s="684"/>
      <c r="L290" s="567">
        <f ca="1">IFERROR(__xludf.DUMMYFUNCTION("IMPORTRANGE(""https://docs.google.com/spreadsheets/d/1-uDff_7J0KD5mKrp0Vvzr7lt3OU09vwQwhkpOPPYv2Y/edit?usp=sharing"",""งบพรบ!DR15"")"),0)</f>
        <v>0</v>
      </c>
      <c r="M290" s="568">
        <f ca="1">IFERROR(__xludf.DUMMYFUNCTION("IMPORTRANGE(""https://docs.google.com/spreadsheets/d/1-uDff_7J0KD5mKrp0Vvzr7lt3OU09vwQwhkpOPPYv2Y/edit?usp=sharing"",""งบพรบ!DU15"")"),0)</f>
        <v>0</v>
      </c>
      <c r="N290" s="568">
        <f ca="1">IFERROR(__xludf.DUMMYFUNCTION("IMPORTRANGE(""https://docs.google.com/spreadsheets/d/1-uDff_7J0KD5mKrp0Vvzr7lt3OU09vwQwhkpOPPYv2Y/edit?usp=sharing"",""งบพรบ!DW15"")"),0)</f>
        <v>0</v>
      </c>
      <c r="O290" s="568">
        <f t="shared" ca="1" si="177"/>
        <v>0</v>
      </c>
      <c r="P290" s="568">
        <f t="shared" ca="1" si="178"/>
        <v>0</v>
      </c>
      <c r="Q290" s="568">
        <v>0</v>
      </c>
      <c r="R290" s="568">
        <v>0</v>
      </c>
      <c r="S290" s="568">
        <v>0</v>
      </c>
      <c r="T290" s="568">
        <f t="shared" si="180"/>
        <v>0</v>
      </c>
      <c r="U290" s="568">
        <f t="shared" si="181"/>
        <v>0</v>
      </c>
    </row>
    <row r="291" spans="1:21" ht="19.5" x14ac:dyDescent="0.3">
      <c r="A291" s="687"/>
      <c r="B291" s="688"/>
      <c r="C291" s="675" t="s">
        <v>18</v>
      </c>
      <c r="D291" s="689" t="s">
        <v>38</v>
      </c>
      <c r="E291" s="690"/>
      <c r="F291" s="690"/>
      <c r="G291" s="691"/>
      <c r="H291" s="692"/>
      <c r="I291" s="683"/>
      <c r="J291" s="683"/>
      <c r="K291" s="684"/>
      <c r="L291" s="693"/>
      <c r="M291" s="684"/>
      <c r="N291" s="684"/>
      <c r="O291" s="684"/>
      <c r="P291" s="684"/>
      <c r="Q291" s="684"/>
      <c r="R291" s="684"/>
      <c r="S291" s="684"/>
      <c r="T291" s="684"/>
      <c r="U291" s="684"/>
    </row>
    <row r="292" spans="1:21" ht="18.75" x14ac:dyDescent="0.25">
      <c r="A292" s="687"/>
      <c r="B292" s="688"/>
      <c r="C292" s="688"/>
      <c r="D292" s="699" t="s">
        <v>120</v>
      </c>
      <c r="E292" s="688"/>
      <c r="F292" s="695"/>
      <c r="G292" s="692"/>
      <c r="H292" s="704" t="s">
        <v>46</v>
      </c>
      <c r="I292" s="708">
        <f ca="1">IFERROR(__xludf.DUMMYFUNCTION("IMPORTRANGE(""https://docs.google.com/spreadsheets/d/1eHaY18a8A9IcSdp1K8H6x8fbOy06t2VsZHhMHf-1x7Y/edit?usp=sharing"",""แผน!EE15"")"),300)</f>
        <v>300</v>
      </c>
      <c r="J292" s="702">
        <v>300</v>
      </c>
      <c r="K292" s="703">
        <f t="shared" ref="K292:K293" ca="1" si="188">IF(I292&gt;0,J292*100/I292,0)</f>
        <v>100</v>
      </c>
      <c r="L292" s="693"/>
      <c r="M292" s="684"/>
      <c r="N292" s="684"/>
      <c r="O292" s="684"/>
      <c r="P292" s="684"/>
      <c r="Q292" s="684"/>
      <c r="R292" s="684"/>
      <c r="S292" s="684"/>
      <c r="T292" s="684"/>
      <c r="U292" s="684"/>
    </row>
    <row r="293" spans="1:21" ht="19.5" x14ac:dyDescent="0.3">
      <c r="A293" s="687"/>
      <c r="B293" s="688"/>
      <c r="C293" s="688"/>
      <c r="D293" s="699" t="s">
        <v>121</v>
      </c>
      <c r="E293" s="688"/>
      <c r="F293" s="695"/>
      <c r="G293" s="692"/>
      <c r="H293" s="696" t="s">
        <v>35</v>
      </c>
      <c r="I293" s="697">
        <f ca="1">IFERROR(__xludf.DUMMYFUNCTION("IMPORTRANGE(""https://docs.google.com/spreadsheets/d/1eHaY18a8A9IcSdp1K8H6x8fbOy06t2VsZHhMHf-1x7Y/edit?usp=sharing"",""แผน!ED15"")"),30)</f>
        <v>30</v>
      </c>
      <c r="J293" s="697">
        <f>J296</f>
        <v>30</v>
      </c>
      <c r="K293" s="698">
        <f t="shared" ca="1" si="188"/>
        <v>100</v>
      </c>
      <c r="L293" s="693"/>
      <c r="M293" s="684"/>
      <c r="N293" s="684"/>
      <c r="O293" s="684"/>
      <c r="P293" s="684"/>
      <c r="Q293" s="684"/>
      <c r="R293" s="684"/>
      <c r="S293" s="684"/>
      <c r="T293" s="684"/>
      <c r="U293" s="684"/>
    </row>
    <row r="294" spans="1:21" ht="19.5" x14ac:dyDescent="0.3">
      <c r="A294" s="687"/>
      <c r="B294" s="688"/>
      <c r="C294" s="688"/>
      <c r="D294" s="695"/>
      <c r="E294" s="707" t="s">
        <v>303</v>
      </c>
      <c r="F294" s="695"/>
      <c r="G294" s="692"/>
      <c r="H294" s="692"/>
      <c r="I294" s="683"/>
      <c r="J294" s="565"/>
      <c r="K294" s="684"/>
      <c r="L294" s="693"/>
      <c r="M294" s="684"/>
      <c r="N294" s="684"/>
      <c r="O294" s="684"/>
      <c r="P294" s="684"/>
      <c r="Q294" s="684"/>
      <c r="R294" s="684"/>
      <c r="S294" s="684"/>
      <c r="T294" s="684"/>
      <c r="U294" s="684"/>
    </row>
    <row r="295" spans="1:21" ht="19.5" x14ac:dyDescent="0.3">
      <c r="A295" s="687"/>
      <c r="B295" s="688"/>
      <c r="C295" s="688"/>
      <c r="D295" s="695"/>
      <c r="E295" s="699" t="s">
        <v>304</v>
      </c>
      <c r="F295" s="695"/>
      <c r="G295" s="692"/>
      <c r="H295" s="700" t="s">
        <v>35</v>
      </c>
      <c r="I295" s="701">
        <f ca="1">IFERROR(__xludf.DUMMYFUNCTION("IMPORTRANGE(""https://docs.google.com/spreadsheets/d/1eHaY18a8A9IcSdp1K8H6x8fbOy06t2VsZHhMHf-1x7Y/edit?usp=sharing"",""แผน!ED15"")"),30)</f>
        <v>30</v>
      </c>
      <c r="J295" s="702">
        <v>30</v>
      </c>
      <c r="K295" s="703">
        <f t="shared" ref="K295:K296" ca="1" si="189">IF(I295&gt;0,J295*100/I295,0)</f>
        <v>100</v>
      </c>
      <c r="L295" s="693"/>
      <c r="M295" s="684"/>
      <c r="N295" s="684"/>
      <c r="O295" s="684"/>
      <c r="P295" s="684"/>
      <c r="Q295" s="684"/>
      <c r="R295" s="684"/>
      <c r="S295" s="684"/>
      <c r="T295" s="684"/>
      <c r="U295" s="684"/>
    </row>
    <row r="296" spans="1:21" ht="19.5" x14ac:dyDescent="0.3">
      <c r="A296" s="687"/>
      <c r="B296" s="688"/>
      <c r="C296" s="688"/>
      <c r="D296" s="695"/>
      <c r="E296" s="699" t="s">
        <v>305</v>
      </c>
      <c r="F296" s="695"/>
      <c r="G296" s="692"/>
      <c r="H296" s="700" t="s">
        <v>35</v>
      </c>
      <c r="I296" s="701">
        <f ca="1">IFERROR(__xludf.DUMMYFUNCTION("IMPORTRANGE(""https://docs.google.com/spreadsheets/d/1eHaY18a8A9IcSdp1K8H6x8fbOy06t2VsZHhMHf-1x7Y/edit?usp=sharing"",""แผน!ED15"")"),30)</f>
        <v>30</v>
      </c>
      <c r="J296" s="702">
        <v>30</v>
      </c>
      <c r="K296" s="703">
        <f t="shared" ca="1" si="189"/>
        <v>100</v>
      </c>
      <c r="L296" s="693"/>
      <c r="M296" s="684"/>
      <c r="N296" s="684"/>
      <c r="O296" s="684"/>
      <c r="P296" s="684"/>
      <c r="Q296" s="684"/>
      <c r="R296" s="684"/>
      <c r="S296" s="684"/>
      <c r="T296" s="684"/>
      <c r="U296" s="684"/>
    </row>
    <row r="297" spans="1:21" ht="12.75" hidden="1" x14ac:dyDescent="0.2">
      <c r="A297" s="705"/>
      <c r="B297" s="706"/>
      <c r="C297" s="706"/>
      <c r="D297" s="531"/>
      <c r="E297" s="531"/>
      <c r="F297" s="531"/>
      <c r="G297" s="532"/>
      <c r="H297" s="532"/>
      <c r="I297" s="533"/>
      <c r="J297" s="533"/>
      <c r="K297" s="534"/>
      <c r="L297" s="535"/>
      <c r="M297" s="534"/>
      <c r="N297" s="534"/>
      <c r="O297" s="534"/>
      <c r="P297" s="534"/>
      <c r="Q297" s="534"/>
      <c r="R297" s="534"/>
      <c r="S297" s="534"/>
      <c r="T297" s="534"/>
      <c r="U297" s="534"/>
    </row>
    <row r="298" spans="1:21" ht="12.75" hidden="1" x14ac:dyDescent="0.2">
      <c r="A298" s="705"/>
      <c r="B298" s="706"/>
      <c r="C298" s="706"/>
      <c r="D298" s="531"/>
      <c r="E298" s="531"/>
      <c r="F298" s="531"/>
      <c r="G298" s="532"/>
      <c r="H298" s="532"/>
      <c r="I298" s="533"/>
      <c r="J298" s="533"/>
      <c r="K298" s="534"/>
      <c r="L298" s="535"/>
      <c r="M298" s="534"/>
      <c r="N298" s="534"/>
      <c r="O298" s="534"/>
      <c r="P298" s="534"/>
      <c r="Q298" s="534"/>
      <c r="R298" s="534"/>
      <c r="S298" s="534"/>
      <c r="T298" s="534"/>
      <c r="U298" s="534"/>
    </row>
    <row r="299" spans="1:21" ht="12.75" hidden="1" x14ac:dyDescent="0.2">
      <c r="A299" s="894"/>
      <c r="B299" s="895"/>
      <c r="C299" s="895"/>
      <c r="D299" s="537"/>
      <c r="E299" s="537"/>
      <c r="F299" s="537"/>
      <c r="G299" s="526"/>
      <c r="H299" s="526"/>
      <c r="I299" s="527"/>
      <c r="J299" s="527"/>
      <c r="K299" s="528"/>
      <c r="L299" s="529"/>
      <c r="M299" s="528"/>
      <c r="N299" s="528"/>
      <c r="O299" s="528"/>
      <c r="P299" s="528"/>
      <c r="Q299" s="528"/>
      <c r="R299" s="528"/>
      <c r="S299" s="528"/>
      <c r="T299" s="528"/>
      <c r="U299" s="528"/>
    </row>
    <row r="300" spans="1:21" ht="19.5" x14ac:dyDescent="0.3">
      <c r="A300" s="896" t="s">
        <v>125</v>
      </c>
      <c r="B300" s="897"/>
      <c r="C300" s="897"/>
      <c r="D300" s="897"/>
      <c r="E300" s="898"/>
      <c r="F300" s="898"/>
      <c r="G300" s="898"/>
      <c r="H300" s="898"/>
      <c r="I300" s="899"/>
      <c r="J300" s="899"/>
      <c r="K300" s="900"/>
      <c r="L300" s="900"/>
      <c r="M300" s="900"/>
      <c r="N300" s="900"/>
      <c r="O300" s="900"/>
      <c r="P300" s="901"/>
      <c r="Q300" s="900"/>
      <c r="R300" s="900"/>
      <c r="S300" s="900"/>
      <c r="T300" s="900"/>
      <c r="U300" s="901"/>
    </row>
    <row r="301" spans="1:21" ht="19.5" x14ac:dyDescent="0.3">
      <c r="A301" s="902" t="s">
        <v>126</v>
      </c>
      <c r="B301" s="903"/>
      <c r="C301" s="903"/>
      <c r="D301" s="904"/>
      <c r="E301" s="904"/>
      <c r="F301" s="904"/>
      <c r="G301" s="905"/>
      <c r="H301" s="905"/>
      <c r="I301" s="906"/>
      <c r="J301" s="906"/>
      <c r="K301" s="907"/>
      <c r="L301" s="908"/>
      <c r="M301" s="907"/>
      <c r="N301" s="907"/>
      <c r="O301" s="907"/>
      <c r="P301" s="907"/>
      <c r="Q301" s="907"/>
      <c r="R301" s="907"/>
      <c r="S301" s="907"/>
      <c r="T301" s="907"/>
      <c r="U301" s="907"/>
    </row>
    <row r="302" spans="1:21" ht="19.5" x14ac:dyDescent="0.3">
      <c r="A302" s="909"/>
      <c r="B302" s="910" t="s">
        <v>127</v>
      </c>
      <c r="C302" s="911"/>
      <c r="D302" s="911"/>
      <c r="E302" s="911"/>
      <c r="F302" s="911"/>
      <c r="G302" s="912"/>
      <c r="H302" s="913" t="s">
        <v>35</v>
      </c>
      <c r="I302" s="914">
        <f t="shared" ref="I302:J302" ca="1" si="190">I314</f>
        <v>20</v>
      </c>
      <c r="J302" s="914">
        <f t="shared" si="190"/>
        <v>20</v>
      </c>
      <c r="K302" s="915">
        <f ca="1">IF(I302&gt;0,J302*100/I302,0)</f>
        <v>100</v>
      </c>
      <c r="L302" s="916"/>
      <c r="M302" s="917"/>
      <c r="N302" s="917"/>
      <c r="O302" s="917"/>
      <c r="P302" s="917"/>
      <c r="Q302" s="917"/>
      <c r="R302" s="917"/>
      <c r="S302" s="917"/>
      <c r="T302" s="917"/>
      <c r="U302" s="917"/>
    </row>
    <row r="303" spans="1:21" ht="19.5" x14ac:dyDescent="0.3">
      <c r="A303" s="674"/>
      <c r="B303" s="561"/>
      <c r="C303" s="675" t="s">
        <v>18</v>
      </c>
      <c r="D303" s="676" t="s">
        <v>19</v>
      </c>
      <c r="E303" s="561"/>
      <c r="F303" s="561"/>
      <c r="G303" s="563"/>
      <c r="H303" s="677" t="s">
        <v>14</v>
      </c>
      <c r="I303" s="565"/>
      <c r="J303" s="565"/>
      <c r="K303" s="566"/>
      <c r="L303" s="678">
        <f t="shared" ref="L303:N303" ca="1" si="191">L304+L305</f>
        <v>410500</v>
      </c>
      <c r="M303" s="679">
        <f t="shared" ca="1" si="191"/>
        <v>389000</v>
      </c>
      <c r="N303" s="679">
        <f t="shared" ca="1" si="191"/>
        <v>342913.77</v>
      </c>
      <c r="O303" s="679">
        <f t="shared" ref="O303:O311" ca="1" si="192">IF(L303&gt;0,N303*100/L303,0)</f>
        <v>83.535632155907436</v>
      </c>
      <c r="P303" s="679">
        <f t="shared" ref="P303:P311" ca="1" si="193">IF(M303&gt;0,N303*100/M303,0)</f>
        <v>88.15264010282776</v>
      </c>
      <c r="Q303" s="679">
        <f t="shared" ref="Q303:S303" ca="1" si="194">Q304+Q305</f>
        <v>144609.24</v>
      </c>
      <c r="R303" s="679">
        <f t="shared" ca="1" si="194"/>
        <v>144609</v>
      </c>
      <c r="S303" s="679">
        <f t="shared" ca="1" si="194"/>
        <v>68320</v>
      </c>
      <c r="T303" s="679">
        <f t="shared" ref="T303:T311" ca="1" si="195">IF(Q303&gt;0,S303*100/Q303,0)</f>
        <v>47.244560582712424</v>
      </c>
      <c r="U303" s="679">
        <f t="shared" ref="U303:U311" ca="1" si="196">IF(R303&gt;0,S303*100/R303,0)</f>
        <v>47.244638992040606</v>
      </c>
    </row>
    <row r="304" spans="1:21" ht="18.75" x14ac:dyDescent="0.25">
      <c r="A304" s="674"/>
      <c r="B304" s="561"/>
      <c r="C304" s="561"/>
      <c r="D304" s="561"/>
      <c r="E304" s="569" t="s">
        <v>20</v>
      </c>
      <c r="F304" s="561"/>
      <c r="G304" s="563"/>
      <c r="H304" s="680" t="s">
        <v>14</v>
      </c>
      <c r="I304" s="565"/>
      <c r="J304" s="565"/>
      <c r="K304" s="566"/>
      <c r="L304" s="571">
        <f t="shared" ref="L304:N305" si="197">L307+L310</f>
        <v>0</v>
      </c>
      <c r="M304" s="572">
        <f t="shared" si="197"/>
        <v>0</v>
      </c>
      <c r="N304" s="572">
        <f t="shared" si="197"/>
        <v>0</v>
      </c>
      <c r="O304" s="572">
        <f t="shared" si="192"/>
        <v>0</v>
      </c>
      <c r="P304" s="572">
        <f t="shared" si="193"/>
        <v>0</v>
      </c>
      <c r="Q304" s="572">
        <f t="shared" ref="Q304:S305" si="198">Q307+Q310</f>
        <v>0</v>
      </c>
      <c r="R304" s="572">
        <f t="shared" si="198"/>
        <v>0</v>
      </c>
      <c r="S304" s="572">
        <f t="shared" si="198"/>
        <v>0</v>
      </c>
      <c r="T304" s="572">
        <f t="shared" si="195"/>
        <v>0</v>
      </c>
      <c r="U304" s="572">
        <f t="shared" si="196"/>
        <v>0</v>
      </c>
    </row>
    <row r="305" spans="1:21" ht="18.75" x14ac:dyDescent="0.25">
      <c r="A305" s="674"/>
      <c r="B305" s="561"/>
      <c r="C305" s="561"/>
      <c r="D305" s="561"/>
      <c r="E305" s="573" t="s">
        <v>21</v>
      </c>
      <c r="F305" s="561"/>
      <c r="G305" s="563"/>
      <c r="H305" s="681" t="s">
        <v>14</v>
      </c>
      <c r="I305" s="565"/>
      <c r="J305" s="565"/>
      <c r="K305" s="566"/>
      <c r="L305" s="567">
        <f t="shared" ca="1" si="197"/>
        <v>410500</v>
      </c>
      <c r="M305" s="568">
        <f t="shared" ca="1" si="197"/>
        <v>389000</v>
      </c>
      <c r="N305" s="568">
        <f t="shared" ca="1" si="197"/>
        <v>342913.77</v>
      </c>
      <c r="O305" s="568">
        <f t="shared" ca="1" si="192"/>
        <v>83.535632155907436</v>
      </c>
      <c r="P305" s="568">
        <f t="shared" ca="1" si="193"/>
        <v>88.15264010282776</v>
      </c>
      <c r="Q305" s="568">
        <f t="shared" ca="1" si="198"/>
        <v>144609.24</v>
      </c>
      <c r="R305" s="568">
        <f t="shared" ca="1" si="198"/>
        <v>144609</v>
      </c>
      <c r="S305" s="568">
        <f t="shared" ca="1" si="198"/>
        <v>68320</v>
      </c>
      <c r="T305" s="568">
        <f t="shared" ca="1" si="195"/>
        <v>47.244560582712424</v>
      </c>
      <c r="U305" s="568">
        <f t="shared" ca="1" si="196"/>
        <v>47.244638992040606</v>
      </c>
    </row>
    <row r="306" spans="1:21" ht="18.75" x14ac:dyDescent="0.25">
      <c r="A306" s="674"/>
      <c r="B306" s="561"/>
      <c r="C306" s="561"/>
      <c r="D306" s="562" t="s">
        <v>22</v>
      </c>
      <c r="E306" s="561"/>
      <c r="F306" s="561"/>
      <c r="G306" s="563"/>
      <c r="H306" s="682" t="s">
        <v>14</v>
      </c>
      <c r="I306" s="683"/>
      <c r="J306" s="683"/>
      <c r="K306" s="684"/>
      <c r="L306" s="567">
        <f t="shared" ref="L306:N306" ca="1" si="199">L307+L308</f>
        <v>410500</v>
      </c>
      <c r="M306" s="568">
        <f t="shared" ca="1" si="199"/>
        <v>389000</v>
      </c>
      <c r="N306" s="568">
        <f t="shared" ca="1" si="199"/>
        <v>342913.77</v>
      </c>
      <c r="O306" s="568">
        <f t="shared" ca="1" si="192"/>
        <v>83.535632155907436</v>
      </c>
      <c r="P306" s="568">
        <f t="shared" ca="1" si="193"/>
        <v>88.15264010282776</v>
      </c>
      <c r="Q306" s="568">
        <f t="shared" ref="Q306:S306" ca="1" si="200">Q307+Q308</f>
        <v>144609.24</v>
      </c>
      <c r="R306" s="568">
        <f t="shared" ca="1" si="200"/>
        <v>144609</v>
      </c>
      <c r="S306" s="568">
        <f t="shared" ca="1" si="200"/>
        <v>68320</v>
      </c>
      <c r="T306" s="568">
        <f t="shared" ca="1" si="195"/>
        <v>47.244560582712424</v>
      </c>
      <c r="U306" s="568">
        <f t="shared" ca="1" si="196"/>
        <v>47.244638992040606</v>
      </c>
    </row>
    <row r="307" spans="1:21" ht="18.75" x14ac:dyDescent="0.25">
      <c r="A307" s="674"/>
      <c r="B307" s="561"/>
      <c r="C307" s="561"/>
      <c r="D307" s="561"/>
      <c r="E307" s="569" t="s">
        <v>36</v>
      </c>
      <c r="F307" s="561"/>
      <c r="G307" s="563"/>
      <c r="H307" s="685" t="s">
        <v>14</v>
      </c>
      <c r="I307" s="683"/>
      <c r="J307" s="683"/>
      <c r="K307" s="684"/>
      <c r="L307" s="571">
        <v>0</v>
      </c>
      <c r="M307" s="572">
        <v>0</v>
      </c>
      <c r="N307" s="572">
        <v>0</v>
      </c>
      <c r="O307" s="572">
        <f t="shared" si="192"/>
        <v>0</v>
      </c>
      <c r="P307" s="572">
        <f t="shared" si="193"/>
        <v>0</v>
      </c>
      <c r="Q307" s="572">
        <v>0</v>
      </c>
      <c r="R307" s="572">
        <v>0</v>
      </c>
      <c r="S307" s="572">
        <v>0</v>
      </c>
      <c r="T307" s="572">
        <f t="shared" si="195"/>
        <v>0</v>
      </c>
      <c r="U307" s="572">
        <f t="shared" si="196"/>
        <v>0</v>
      </c>
    </row>
    <row r="308" spans="1:21" ht="18.75" x14ac:dyDescent="0.25">
      <c r="A308" s="674"/>
      <c r="B308" s="561"/>
      <c r="C308" s="561"/>
      <c r="D308" s="561"/>
      <c r="E308" s="573" t="s">
        <v>37</v>
      </c>
      <c r="F308" s="561"/>
      <c r="G308" s="563"/>
      <c r="H308" s="682" t="s">
        <v>14</v>
      </c>
      <c r="I308" s="683"/>
      <c r="J308" s="683"/>
      <c r="K308" s="684"/>
      <c r="L308" s="567">
        <f ca="1">IFERROR(__xludf.DUMMYFUNCTION("IMPORTRANGE(""https://docs.google.com/spreadsheets/d/1-uDff_7J0KD5mKrp0Vvzr7lt3OU09vwQwhkpOPPYv2Y/edit?usp=sharing"",""งบพรบ!DY15"")"),410500)</f>
        <v>410500</v>
      </c>
      <c r="M308" s="568">
        <f ca="1">IFERROR(__xludf.DUMMYFUNCTION("IMPORTRANGE(""https://docs.google.com/spreadsheets/d/1-uDff_7J0KD5mKrp0Vvzr7lt3OU09vwQwhkpOPPYv2Y/edit?usp=sharing"",""งบพรบ!ED15"")"),389000)</f>
        <v>389000</v>
      </c>
      <c r="N308" s="568">
        <f ca="1">IFERROR(__xludf.DUMMYFUNCTION("IMPORTRANGE(""https://docs.google.com/spreadsheets/d/1-uDff_7J0KD5mKrp0Vvzr7lt3OU09vwQwhkpOPPYv2Y/edit?usp=sharing"",""งบพรบ!EF15"")"),342913.77)</f>
        <v>342913.77</v>
      </c>
      <c r="O308" s="568">
        <f t="shared" ca="1" si="192"/>
        <v>83.535632155907436</v>
      </c>
      <c r="P308" s="568">
        <f t="shared" ca="1" si="193"/>
        <v>88.15264010282776</v>
      </c>
      <c r="Q308" s="568">
        <f ca="1">IFERROR(__xludf.DUMMYFUNCTION("IMPORTRANGE(""https://docs.google.com/spreadsheets/d/1ItG2mGa2ceCfYo0BwxsXqNm01IGEUdYcSSLTEv9YCik/edit?usp=sharing"",""เบิกจ่ายกองทุน!BB15"")"),144609.24)</f>
        <v>144609.24</v>
      </c>
      <c r="R308" s="568">
        <f ca="1">IFERROR(__xludf.DUMMYFUNCTION("IMPORTRANGE(""https://docs.google.com/spreadsheets/d/1ItG2mGa2ceCfYo0BwxsXqNm01IGEUdYcSSLTEv9YCik/edit?usp=sharing"",""เบิกจ่ายกองทุน!BC15"")"),144609)</f>
        <v>144609</v>
      </c>
      <c r="S308" s="568">
        <f ca="1">IFERROR(__xludf.DUMMYFUNCTION("IMPORTRANGE(""https://docs.google.com/spreadsheets/d/1ItG2mGa2ceCfYo0BwxsXqNm01IGEUdYcSSLTEv9YCik/edit?usp=sharing"",""เบิกจ่ายกองทุน!BD15"")"),68320)</f>
        <v>68320</v>
      </c>
      <c r="T308" s="568">
        <f t="shared" ca="1" si="195"/>
        <v>47.244560582712424</v>
      </c>
      <c r="U308" s="568">
        <f t="shared" ca="1" si="196"/>
        <v>47.244638992040606</v>
      </c>
    </row>
    <row r="309" spans="1:21" ht="18.75" x14ac:dyDescent="0.25">
      <c r="A309" s="674"/>
      <c r="B309" s="561"/>
      <c r="C309" s="561"/>
      <c r="D309" s="562" t="s">
        <v>23</v>
      </c>
      <c r="E309" s="561"/>
      <c r="F309" s="561"/>
      <c r="G309" s="563"/>
      <c r="H309" s="686" t="s">
        <v>14</v>
      </c>
      <c r="I309" s="683"/>
      <c r="J309" s="683"/>
      <c r="K309" s="684"/>
      <c r="L309" s="567">
        <f t="shared" ref="L309:N309" ca="1" si="201">L310+L311</f>
        <v>0</v>
      </c>
      <c r="M309" s="568">
        <f t="shared" ca="1" si="201"/>
        <v>0</v>
      </c>
      <c r="N309" s="568">
        <f t="shared" ca="1" si="201"/>
        <v>0</v>
      </c>
      <c r="O309" s="568">
        <f t="shared" ca="1" si="192"/>
        <v>0</v>
      </c>
      <c r="P309" s="568">
        <f t="shared" ca="1" si="193"/>
        <v>0</v>
      </c>
      <c r="Q309" s="568">
        <f t="shared" ref="Q309:S309" si="202">Q310+Q311</f>
        <v>0</v>
      </c>
      <c r="R309" s="568">
        <f t="shared" si="202"/>
        <v>0</v>
      </c>
      <c r="S309" s="568">
        <f t="shared" si="202"/>
        <v>0</v>
      </c>
      <c r="T309" s="568">
        <f t="shared" si="195"/>
        <v>0</v>
      </c>
      <c r="U309" s="568">
        <f t="shared" si="196"/>
        <v>0</v>
      </c>
    </row>
    <row r="310" spans="1:21" ht="18.75" x14ac:dyDescent="0.25">
      <c r="A310" s="674"/>
      <c r="B310" s="561"/>
      <c r="C310" s="561"/>
      <c r="D310" s="561"/>
      <c r="E310" s="569" t="s">
        <v>20</v>
      </c>
      <c r="F310" s="561"/>
      <c r="G310" s="563"/>
      <c r="H310" s="685" t="s">
        <v>14</v>
      </c>
      <c r="I310" s="683"/>
      <c r="J310" s="683"/>
      <c r="K310" s="684"/>
      <c r="L310" s="571">
        <v>0</v>
      </c>
      <c r="M310" s="572">
        <v>0</v>
      </c>
      <c r="N310" s="572">
        <v>0</v>
      </c>
      <c r="O310" s="572">
        <f t="shared" si="192"/>
        <v>0</v>
      </c>
      <c r="P310" s="572">
        <f t="shared" si="193"/>
        <v>0</v>
      </c>
      <c r="Q310" s="572">
        <v>0</v>
      </c>
      <c r="R310" s="572">
        <v>0</v>
      </c>
      <c r="S310" s="572">
        <v>0</v>
      </c>
      <c r="T310" s="572">
        <f t="shared" si="195"/>
        <v>0</v>
      </c>
      <c r="U310" s="572">
        <f t="shared" si="196"/>
        <v>0</v>
      </c>
    </row>
    <row r="311" spans="1:21" ht="18.75" x14ac:dyDescent="0.25">
      <c r="A311" s="674"/>
      <c r="B311" s="561"/>
      <c r="C311" s="561"/>
      <c r="D311" s="561"/>
      <c r="E311" s="573" t="s">
        <v>21</v>
      </c>
      <c r="F311" s="561"/>
      <c r="G311" s="563"/>
      <c r="H311" s="686" t="s">
        <v>14</v>
      </c>
      <c r="I311" s="683"/>
      <c r="J311" s="683"/>
      <c r="K311" s="684"/>
      <c r="L311" s="567">
        <f ca="1">IFERROR(__xludf.DUMMYFUNCTION("IMPORTRANGE(""https://docs.google.com/spreadsheets/d/1-uDff_7J0KD5mKrp0Vvzr7lt3OU09vwQwhkpOPPYv2Y/edit?usp=sharing"",""งบพรบ!EB15"")"),0)</f>
        <v>0</v>
      </c>
      <c r="M311" s="568">
        <f ca="1">IFERROR(__xludf.DUMMYFUNCTION("IMPORTRANGE(""https://docs.google.com/spreadsheets/d/1-uDff_7J0KD5mKrp0Vvzr7lt3OU09vwQwhkpOPPYv2Y/edit?usp=sharing"",""งบพรบ!EE15"")"),0)</f>
        <v>0</v>
      </c>
      <c r="N311" s="568">
        <f ca="1">IFERROR(__xludf.DUMMYFUNCTION("IMPORTRANGE(""https://docs.google.com/spreadsheets/d/1-uDff_7J0KD5mKrp0Vvzr7lt3OU09vwQwhkpOPPYv2Y/edit?usp=sharing"",""งบพรบ!EG15"")"),0)</f>
        <v>0</v>
      </c>
      <c r="O311" s="568">
        <f t="shared" ca="1" si="192"/>
        <v>0</v>
      </c>
      <c r="P311" s="568">
        <f t="shared" ca="1" si="193"/>
        <v>0</v>
      </c>
      <c r="Q311" s="568">
        <v>0</v>
      </c>
      <c r="R311" s="568">
        <v>0</v>
      </c>
      <c r="S311" s="568">
        <v>0</v>
      </c>
      <c r="T311" s="568">
        <f t="shared" si="195"/>
        <v>0</v>
      </c>
      <c r="U311" s="568">
        <f t="shared" si="196"/>
        <v>0</v>
      </c>
    </row>
    <row r="312" spans="1:21" ht="19.5" x14ac:dyDescent="0.3">
      <c r="A312" s="687"/>
      <c r="B312" s="688"/>
      <c r="C312" s="675" t="s">
        <v>18</v>
      </c>
      <c r="D312" s="689" t="s">
        <v>38</v>
      </c>
      <c r="E312" s="690"/>
      <c r="F312" s="690"/>
      <c r="G312" s="691"/>
      <c r="H312" s="692"/>
      <c r="I312" s="565"/>
      <c r="J312" s="565"/>
      <c r="K312" s="566"/>
      <c r="L312" s="574"/>
      <c r="M312" s="566"/>
      <c r="N312" s="566"/>
      <c r="O312" s="566"/>
      <c r="P312" s="566"/>
      <c r="Q312" s="566"/>
      <c r="R312" s="566"/>
      <c r="S312" s="566"/>
      <c r="T312" s="566"/>
      <c r="U312" s="566"/>
    </row>
    <row r="313" spans="1:21" ht="18.75" hidden="1" x14ac:dyDescent="0.25">
      <c r="A313" s="705"/>
      <c r="B313" s="706"/>
      <c r="C313" s="706"/>
      <c r="D313" s="918"/>
      <c r="E313" s="531"/>
      <c r="F313" s="531"/>
      <c r="G313" s="532"/>
      <c r="H313" s="532"/>
      <c r="I313" s="533"/>
      <c r="J313" s="919"/>
      <c r="K313" s="534"/>
      <c r="L313" s="535"/>
      <c r="M313" s="534"/>
      <c r="N313" s="534"/>
      <c r="O313" s="534"/>
      <c r="P313" s="534"/>
      <c r="Q313" s="534"/>
      <c r="R313" s="534"/>
      <c r="S313" s="534"/>
      <c r="T313" s="534"/>
      <c r="U313" s="534"/>
    </row>
    <row r="314" spans="1:21" ht="18.75" x14ac:dyDescent="0.25">
      <c r="A314" s="687"/>
      <c r="B314" s="688"/>
      <c r="C314" s="688"/>
      <c r="D314" s="699" t="s">
        <v>121</v>
      </c>
      <c r="E314" s="695"/>
      <c r="F314" s="695"/>
      <c r="G314" s="692"/>
      <c r="H314" s="700" t="s">
        <v>35</v>
      </c>
      <c r="I314" s="708">
        <f ca="1">IFERROR(__xludf.DUMMYFUNCTION("IMPORTRANGE(""https://docs.google.com/spreadsheets/d/1eHaY18a8A9IcSdp1K8H6x8fbOy06t2VsZHhMHf-1x7Y/edit?usp=sharing"",""แผน!EF15"")"),20)</f>
        <v>20</v>
      </c>
      <c r="J314" s="702">
        <v>20</v>
      </c>
      <c r="K314" s="568">
        <f ca="1">IF(I314&gt;0,J314*100/I314,0)</f>
        <v>100</v>
      </c>
      <c r="L314" s="574"/>
      <c r="M314" s="566"/>
      <c r="N314" s="566"/>
      <c r="O314" s="566"/>
      <c r="P314" s="566"/>
      <c r="Q314" s="566"/>
      <c r="R314" s="566"/>
      <c r="S314" s="566"/>
      <c r="T314" s="566"/>
      <c r="U314" s="566"/>
    </row>
    <row r="315" spans="1:21" ht="18.75" hidden="1" x14ac:dyDescent="0.25">
      <c r="A315" s="705"/>
      <c r="B315" s="706"/>
      <c r="C315" s="706"/>
      <c r="D315" s="918"/>
      <c r="E315" s="531"/>
      <c r="F315" s="531"/>
      <c r="G315" s="532"/>
      <c r="H315" s="920"/>
      <c r="I315" s="919"/>
      <c r="J315" s="919"/>
      <c r="K315" s="921"/>
      <c r="L315" s="535"/>
      <c r="M315" s="534"/>
      <c r="N315" s="534"/>
      <c r="O315" s="534"/>
      <c r="P315" s="534"/>
      <c r="Q315" s="534"/>
      <c r="R315" s="534"/>
      <c r="S315" s="534"/>
      <c r="T315" s="534"/>
      <c r="U315" s="534"/>
    </row>
    <row r="316" spans="1:21" ht="18.75" hidden="1" x14ac:dyDescent="0.25">
      <c r="A316" s="705"/>
      <c r="B316" s="706"/>
      <c r="C316" s="706"/>
      <c r="D316" s="918"/>
      <c r="E316" s="531"/>
      <c r="F316" s="531"/>
      <c r="G316" s="532"/>
      <c r="H316" s="920"/>
      <c r="I316" s="919"/>
      <c r="J316" s="919"/>
      <c r="K316" s="921"/>
      <c r="L316" s="535"/>
      <c r="M316" s="534"/>
      <c r="N316" s="534"/>
      <c r="O316" s="534"/>
      <c r="P316" s="534"/>
      <c r="Q316" s="534"/>
      <c r="R316" s="534"/>
      <c r="S316" s="534"/>
      <c r="T316" s="534"/>
      <c r="U316" s="534"/>
    </row>
    <row r="317" spans="1:21" ht="18.75" hidden="1" x14ac:dyDescent="0.25">
      <c r="A317" s="705"/>
      <c r="B317" s="706"/>
      <c r="C317" s="706"/>
      <c r="D317" s="922"/>
      <c r="E317" s="531"/>
      <c r="F317" s="531"/>
      <c r="G317" s="532"/>
      <c r="H317" s="923"/>
      <c r="I317" s="924"/>
      <c r="J317" s="924"/>
      <c r="K317" s="925"/>
      <c r="L317" s="535"/>
      <c r="M317" s="534"/>
      <c r="N317" s="534"/>
      <c r="O317" s="534"/>
      <c r="P317" s="534"/>
      <c r="Q317" s="534"/>
      <c r="R317" s="534"/>
      <c r="S317" s="534"/>
      <c r="T317" s="534"/>
      <c r="U317" s="534"/>
    </row>
    <row r="318" spans="1:21" ht="19.5" hidden="1" x14ac:dyDescent="0.3">
      <c r="A318" s="902" t="s">
        <v>131</v>
      </c>
      <c r="B318" s="903"/>
      <c r="C318" s="903"/>
      <c r="D318" s="904"/>
      <c r="E318" s="903"/>
      <c r="F318" s="903"/>
      <c r="G318" s="903"/>
      <c r="H318" s="904"/>
      <c r="I318" s="906"/>
      <c r="J318" s="906"/>
      <c r="K318" s="907"/>
      <c r="L318" s="908"/>
      <c r="M318" s="907"/>
      <c r="N318" s="907"/>
      <c r="O318" s="907"/>
      <c r="P318" s="907"/>
      <c r="Q318" s="907"/>
      <c r="R318" s="907"/>
      <c r="S318" s="907"/>
      <c r="T318" s="907"/>
      <c r="U318" s="907"/>
    </row>
    <row r="319" spans="1:21" ht="19.5" hidden="1" x14ac:dyDescent="0.3">
      <c r="A319" s="926"/>
      <c r="B319" s="910" t="s">
        <v>132</v>
      </c>
      <c r="C319" s="927"/>
      <c r="D319" s="928"/>
      <c r="E319" s="911"/>
      <c r="F319" s="911"/>
      <c r="G319" s="912"/>
      <c r="H319" s="913" t="s">
        <v>133</v>
      </c>
      <c r="I319" s="914">
        <f t="shared" ref="I319:J319" ca="1" si="203">I330</f>
        <v>0</v>
      </c>
      <c r="J319" s="914">
        <f t="shared" si="203"/>
        <v>0</v>
      </c>
      <c r="K319" s="915">
        <f ca="1">IF(I319&gt;0,J319*100/I319,0)</f>
        <v>0</v>
      </c>
      <c r="L319" s="916"/>
      <c r="M319" s="917"/>
      <c r="N319" s="917"/>
      <c r="O319" s="917"/>
      <c r="P319" s="917"/>
      <c r="Q319" s="917"/>
      <c r="R319" s="917"/>
      <c r="S319" s="917"/>
      <c r="T319" s="917"/>
      <c r="U319" s="917"/>
    </row>
    <row r="320" spans="1:21" ht="19.5" hidden="1" x14ac:dyDescent="0.3">
      <c r="A320" s="674"/>
      <c r="B320" s="561"/>
      <c r="C320" s="675" t="s">
        <v>18</v>
      </c>
      <c r="D320" s="676" t="s">
        <v>19</v>
      </c>
      <c r="E320" s="561"/>
      <c r="F320" s="561"/>
      <c r="G320" s="563"/>
      <c r="H320" s="677" t="s">
        <v>14</v>
      </c>
      <c r="I320" s="565"/>
      <c r="J320" s="565"/>
      <c r="K320" s="566"/>
      <c r="L320" s="678">
        <f t="shared" ref="L320:N320" ca="1" si="204">L321+L322</f>
        <v>0</v>
      </c>
      <c r="M320" s="679">
        <f t="shared" ca="1" si="204"/>
        <v>0</v>
      </c>
      <c r="N320" s="679">
        <f t="shared" ca="1" si="204"/>
        <v>0</v>
      </c>
      <c r="O320" s="679">
        <f t="shared" ref="O320:O328" ca="1" si="205">IF(L320&gt;0,N320*100/L320,0)</f>
        <v>0</v>
      </c>
      <c r="P320" s="679">
        <f t="shared" ref="P320:P328" ca="1" si="206">IF(M320&gt;0,N320*100/M320,0)</f>
        <v>0</v>
      </c>
      <c r="Q320" s="679">
        <f t="shared" ref="Q320:S320" si="207">Q321+Q322</f>
        <v>0</v>
      </c>
      <c r="R320" s="679">
        <f t="shared" si="207"/>
        <v>0</v>
      </c>
      <c r="S320" s="679">
        <f t="shared" si="207"/>
        <v>0</v>
      </c>
      <c r="T320" s="679">
        <f t="shared" ref="T320:T328" si="208">IF(Q320&gt;0,S320*100/Q320,0)</f>
        <v>0</v>
      </c>
      <c r="U320" s="679">
        <f t="shared" ref="U320:U328" si="209">IF(R320&gt;0,S320*100/R320,0)</f>
        <v>0</v>
      </c>
    </row>
    <row r="321" spans="1:21" ht="18.75" hidden="1" x14ac:dyDescent="0.25">
      <c r="A321" s="674"/>
      <c r="B321" s="561"/>
      <c r="C321" s="561"/>
      <c r="D321" s="561"/>
      <c r="E321" s="569" t="s">
        <v>20</v>
      </c>
      <c r="F321" s="561"/>
      <c r="G321" s="563"/>
      <c r="H321" s="680" t="s">
        <v>14</v>
      </c>
      <c r="I321" s="565"/>
      <c r="J321" s="565"/>
      <c r="K321" s="566"/>
      <c r="L321" s="571">
        <f t="shared" ref="L321:N322" si="210">L324+L327</f>
        <v>0</v>
      </c>
      <c r="M321" s="572">
        <f t="shared" si="210"/>
        <v>0</v>
      </c>
      <c r="N321" s="572">
        <f t="shared" si="210"/>
        <v>0</v>
      </c>
      <c r="O321" s="572">
        <f t="shared" si="205"/>
        <v>0</v>
      </c>
      <c r="P321" s="572">
        <f t="shared" si="206"/>
        <v>0</v>
      </c>
      <c r="Q321" s="572">
        <f t="shared" ref="Q321:S322" si="211">Q324+Q327</f>
        <v>0</v>
      </c>
      <c r="R321" s="572">
        <f t="shared" si="211"/>
        <v>0</v>
      </c>
      <c r="S321" s="572">
        <f t="shared" si="211"/>
        <v>0</v>
      </c>
      <c r="T321" s="572">
        <f t="shared" si="208"/>
        <v>0</v>
      </c>
      <c r="U321" s="572">
        <f t="shared" si="209"/>
        <v>0</v>
      </c>
    </row>
    <row r="322" spans="1:21" ht="18.75" hidden="1" x14ac:dyDescent="0.25">
      <c r="A322" s="674"/>
      <c r="B322" s="561"/>
      <c r="C322" s="561"/>
      <c r="D322" s="561"/>
      <c r="E322" s="573" t="s">
        <v>21</v>
      </c>
      <c r="F322" s="561"/>
      <c r="G322" s="563"/>
      <c r="H322" s="681" t="s">
        <v>14</v>
      </c>
      <c r="I322" s="565"/>
      <c r="J322" s="565"/>
      <c r="K322" s="566"/>
      <c r="L322" s="567">
        <f t="shared" ca="1" si="210"/>
        <v>0</v>
      </c>
      <c r="M322" s="568">
        <f t="shared" ca="1" si="210"/>
        <v>0</v>
      </c>
      <c r="N322" s="568">
        <f t="shared" ca="1" si="210"/>
        <v>0</v>
      </c>
      <c r="O322" s="568">
        <f t="shared" ca="1" si="205"/>
        <v>0</v>
      </c>
      <c r="P322" s="568">
        <f t="shared" ca="1" si="206"/>
        <v>0</v>
      </c>
      <c r="Q322" s="568">
        <f t="shared" si="211"/>
        <v>0</v>
      </c>
      <c r="R322" s="568">
        <f t="shared" si="211"/>
        <v>0</v>
      </c>
      <c r="S322" s="568">
        <f t="shared" si="211"/>
        <v>0</v>
      </c>
      <c r="T322" s="568">
        <f t="shared" si="208"/>
        <v>0</v>
      </c>
      <c r="U322" s="568">
        <f t="shared" si="209"/>
        <v>0</v>
      </c>
    </row>
    <row r="323" spans="1:21" ht="18.75" hidden="1" x14ac:dyDescent="0.25">
      <c r="A323" s="674"/>
      <c r="B323" s="561"/>
      <c r="C323" s="561"/>
      <c r="D323" s="562" t="s">
        <v>22</v>
      </c>
      <c r="E323" s="561"/>
      <c r="F323" s="561"/>
      <c r="G323" s="563"/>
      <c r="H323" s="682" t="s">
        <v>14</v>
      </c>
      <c r="I323" s="683"/>
      <c r="J323" s="683"/>
      <c r="K323" s="684"/>
      <c r="L323" s="567">
        <f t="shared" ref="L323:N323" ca="1" si="212">L324+L325</f>
        <v>0</v>
      </c>
      <c r="M323" s="568">
        <f t="shared" ca="1" si="212"/>
        <v>0</v>
      </c>
      <c r="N323" s="568">
        <f t="shared" ca="1" si="212"/>
        <v>0</v>
      </c>
      <c r="O323" s="568">
        <f t="shared" ca="1" si="205"/>
        <v>0</v>
      </c>
      <c r="P323" s="568">
        <f t="shared" ca="1" si="206"/>
        <v>0</v>
      </c>
      <c r="Q323" s="568">
        <f t="shared" ref="Q323:S323" si="213">Q324+Q325</f>
        <v>0</v>
      </c>
      <c r="R323" s="568">
        <f t="shared" si="213"/>
        <v>0</v>
      </c>
      <c r="S323" s="568">
        <f t="shared" si="213"/>
        <v>0</v>
      </c>
      <c r="T323" s="568">
        <f t="shared" si="208"/>
        <v>0</v>
      </c>
      <c r="U323" s="568">
        <f t="shared" si="209"/>
        <v>0</v>
      </c>
    </row>
    <row r="324" spans="1:21" ht="18.75" hidden="1" x14ac:dyDescent="0.25">
      <c r="A324" s="674"/>
      <c r="B324" s="561"/>
      <c r="C324" s="561"/>
      <c r="D324" s="561"/>
      <c r="E324" s="569" t="s">
        <v>36</v>
      </c>
      <c r="F324" s="561"/>
      <c r="G324" s="563"/>
      <c r="H324" s="685" t="s">
        <v>14</v>
      </c>
      <c r="I324" s="683"/>
      <c r="J324" s="683"/>
      <c r="K324" s="684"/>
      <c r="L324" s="571">
        <v>0</v>
      </c>
      <c r="M324" s="572">
        <v>0</v>
      </c>
      <c r="N324" s="572">
        <v>0</v>
      </c>
      <c r="O324" s="572">
        <f t="shared" si="205"/>
        <v>0</v>
      </c>
      <c r="P324" s="572">
        <f t="shared" si="206"/>
        <v>0</v>
      </c>
      <c r="Q324" s="572">
        <v>0</v>
      </c>
      <c r="R324" s="572">
        <v>0</v>
      </c>
      <c r="S324" s="572">
        <v>0</v>
      </c>
      <c r="T324" s="572">
        <f t="shared" si="208"/>
        <v>0</v>
      </c>
      <c r="U324" s="572">
        <f t="shared" si="209"/>
        <v>0</v>
      </c>
    </row>
    <row r="325" spans="1:21" ht="18.75" hidden="1" x14ac:dyDescent="0.25">
      <c r="A325" s="674"/>
      <c r="B325" s="561"/>
      <c r="C325" s="561"/>
      <c r="D325" s="561"/>
      <c r="E325" s="573" t="s">
        <v>37</v>
      </c>
      <c r="F325" s="561"/>
      <c r="G325" s="563"/>
      <c r="H325" s="682" t="s">
        <v>14</v>
      </c>
      <c r="I325" s="683"/>
      <c r="J325" s="683"/>
      <c r="K325" s="684"/>
      <c r="L325" s="567">
        <f ca="1">IFERROR(__xludf.DUMMYFUNCTION("IMPORTRANGE(""https://docs.google.com/spreadsheets/d/1-uDff_7J0KD5mKrp0Vvzr7lt3OU09vwQwhkpOPPYv2Y/edit?usp=sharing"",""งบพรบ!EI15"")"),0)</f>
        <v>0</v>
      </c>
      <c r="M325" s="568">
        <f ca="1">IFERROR(__xludf.DUMMYFUNCTION("IMPORTRANGE(""https://docs.google.com/spreadsheets/d/1-uDff_7J0KD5mKrp0Vvzr7lt3OU09vwQwhkpOPPYv2Y/edit?usp=sharing"",""งบพรบ!EN15"")"),0)</f>
        <v>0</v>
      </c>
      <c r="N325" s="568">
        <f ca="1">IFERROR(__xludf.DUMMYFUNCTION("IMPORTRANGE(""https://docs.google.com/spreadsheets/d/1-uDff_7J0KD5mKrp0Vvzr7lt3OU09vwQwhkpOPPYv2Y/edit?usp=sharing"",""งบพรบ!EP15"")"),0)</f>
        <v>0</v>
      </c>
      <c r="O325" s="568">
        <f t="shared" ca="1" si="205"/>
        <v>0</v>
      </c>
      <c r="P325" s="568">
        <f t="shared" ca="1" si="206"/>
        <v>0</v>
      </c>
      <c r="Q325" s="568">
        <v>0</v>
      </c>
      <c r="R325" s="568">
        <v>0</v>
      </c>
      <c r="S325" s="568">
        <v>0</v>
      </c>
      <c r="T325" s="568">
        <f t="shared" si="208"/>
        <v>0</v>
      </c>
      <c r="U325" s="568">
        <f t="shared" si="209"/>
        <v>0</v>
      </c>
    </row>
    <row r="326" spans="1:21" ht="18.75" hidden="1" x14ac:dyDescent="0.25">
      <c r="A326" s="674"/>
      <c r="B326" s="561"/>
      <c r="C326" s="561"/>
      <c r="D326" s="562" t="s">
        <v>23</v>
      </c>
      <c r="E326" s="561"/>
      <c r="F326" s="561"/>
      <c r="G326" s="563"/>
      <c r="H326" s="686" t="s">
        <v>14</v>
      </c>
      <c r="I326" s="683"/>
      <c r="J326" s="683"/>
      <c r="K326" s="684"/>
      <c r="L326" s="567">
        <f t="shared" ref="L326:N326" ca="1" si="214">L327+L328</f>
        <v>0</v>
      </c>
      <c r="M326" s="568">
        <f t="shared" ca="1" si="214"/>
        <v>0</v>
      </c>
      <c r="N326" s="568">
        <f t="shared" ca="1" si="214"/>
        <v>0</v>
      </c>
      <c r="O326" s="568">
        <f t="shared" ca="1" si="205"/>
        <v>0</v>
      </c>
      <c r="P326" s="568">
        <f t="shared" ca="1" si="206"/>
        <v>0</v>
      </c>
      <c r="Q326" s="568">
        <f t="shared" ref="Q326:S326" si="215">Q327+Q328</f>
        <v>0</v>
      </c>
      <c r="R326" s="568">
        <f t="shared" si="215"/>
        <v>0</v>
      </c>
      <c r="S326" s="568">
        <f t="shared" si="215"/>
        <v>0</v>
      </c>
      <c r="T326" s="568">
        <f t="shared" si="208"/>
        <v>0</v>
      </c>
      <c r="U326" s="568">
        <f t="shared" si="209"/>
        <v>0</v>
      </c>
    </row>
    <row r="327" spans="1:21" ht="18.75" hidden="1" x14ac:dyDescent="0.25">
      <c r="A327" s="674"/>
      <c r="B327" s="561"/>
      <c r="C327" s="561"/>
      <c r="D327" s="561"/>
      <c r="E327" s="569" t="s">
        <v>20</v>
      </c>
      <c r="F327" s="561"/>
      <c r="G327" s="563"/>
      <c r="H327" s="685" t="s">
        <v>14</v>
      </c>
      <c r="I327" s="683"/>
      <c r="J327" s="683"/>
      <c r="K327" s="684"/>
      <c r="L327" s="571">
        <v>0</v>
      </c>
      <c r="M327" s="572">
        <v>0</v>
      </c>
      <c r="N327" s="572">
        <v>0</v>
      </c>
      <c r="O327" s="572">
        <f t="shared" si="205"/>
        <v>0</v>
      </c>
      <c r="P327" s="572">
        <f t="shared" si="206"/>
        <v>0</v>
      </c>
      <c r="Q327" s="572">
        <v>0</v>
      </c>
      <c r="R327" s="572">
        <v>0</v>
      </c>
      <c r="S327" s="572">
        <v>0</v>
      </c>
      <c r="T327" s="572">
        <f t="shared" si="208"/>
        <v>0</v>
      </c>
      <c r="U327" s="572">
        <f t="shared" si="209"/>
        <v>0</v>
      </c>
    </row>
    <row r="328" spans="1:21" ht="18.75" hidden="1" x14ac:dyDescent="0.25">
      <c r="A328" s="674"/>
      <c r="B328" s="561"/>
      <c r="C328" s="561"/>
      <c r="D328" s="561"/>
      <c r="E328" s="573" t="s">
        <v>21</v>
      </c>
      <c r="F328" s="561"/>
      <c r="G328" s="563"/>
      <c r="H328" s="686" t="s">
        <v>14</v>
      </c>
      <c r="I328" s="683"/>
      <c r="J328" s="683"/>
      <c r="K328" s="684"/>
      <c r="L328" s="567">
        <f ca="1">IFERROR(__xludf.DUMMYFUNCTION("IMPORTRANGE(""https://docs.google.com/spreadsheets/d/1-uDff_7J0KD5mKrp0Vvzr7lt3OU09vwQwhkpOPPYv2Y/edit?usp=sharing"",""งบพรบ!EL15"")"),0)</f>
        <v>0</v>
      </c>
      <c r="M328" s="568">
        <f ca="1">IFERROR(__xludf.DUMMYFUNCTION("IMPORTRANGE(""https://docs.google.com/spreadsheets/d/1-uDff_7J0KD5mKrp0Vvzr7lt3OU09vwQwhkpOPPYv2Y/edit?usp=sharing"",""งบพรบ!EO15"")"),0)</f>
        <v>0</v>
      </c>
      <c r="N328" s="568">
        <f ca="1">IFERROR(__xludf.DUMMYFUNCTION("IMPORTRANGE(""https://docs.google.com/spreadsheets/d/1-uDff_7J0KD5mKrp0Vvzr7lt3OU09vwQwhkpOPPYv2Y/edit?usp=sharing"",""งบพรบ!EQ15"")"),0)</f>
        <v>0</v>
      </c>
      <c r="O328" s="568">
        <f t="shared" ca="1" si="205"/>
        <v>0</v>
      </c>
      <c r="P328" s="568">
        <f t="shared" ca="1" si="206"/>
        <v>0</v>
      </c>
      <c r="Q328" s="568">
        <v>0</v>
      </c>
      <c r="R328" s="568">
        <v>0</v>
      </c>
      <c r="S328" s="568">
        <v>0</v>
      </c>
      <c r="T328" s="568">
        <f t="shared" si="208"/>
        <v>0</v>
      </c>
      <c r="U328" s="568">
        <f t="shared" si="209"/>
        <v>0</v>
      </c>
    </row>
    <row r="329" spans="1:21" ht="19.5" hidden="1" x14ac:dyDescent="0.3">
      <c r="A329" s="687"/>
      <c r="B329" s="688"/>
      <c r="C329" s="675" t="s">
        <v>18</v>
      </c>
      <c r="D329" s="689" t="s">
        <v>38</v>
      </c>
      <c r="E329" s="690"/>
      <c r="F329" s="690"/>
      <c r="G329" s="691"/>
      <c r="H329" s="692"/>
      <c r="I329" s="683"/>
      <c r="J329" s="565"/>
      <c r="K329" s="566"/>
      <c r="L329" s="574"/>
      <c r="M329" s="566"/>
      <c r="N329" s="566"/>
      <c r="O329" s="684"/>
      <c r="P329" s="684"/>
      <c r="Q329" s="566"/>
      <c r="R329" s="566"/>
      <c r="S329" s="566"/>
      <c r="T329" s="684"/>
      <c r="U329" s="684"/>
    </row>
    <row r="330" spans="1:21" ht="18.75" hidden="1" x14ac:dyDescent="0.25">
      <c r="A330" s="687"/>
      <c r="B330" s="688"/>
      <c r="C330" s="688"/>
      <c r="D330" s="694" t="s">
        <v>134</v>
      </c>
      <c r="E330" s="695"/>
      <c r="F330" s="695"/>
      <c r="G330" s="692"/>
      <c r="H330" s="564" t="s">
        <v>133</v>
      </c>
      <c r="I330" s="708">
        <f ca="1">IFERROR(__xludf.DUMMYFUNCTION("IMPORTRANGE(""https://docs.google.com/spreadsheets/d/1eHaY18a8A9IcSdp1K8H6x8fbOy06t2VsZHhMHf-1x7Y/edit?usp=sharing"",""แผน!EJ15"")"),0)</f>
        <v>0</v>
      </c>
      <c r="J330" s="702">
        <v>0</v>
      </c>
      <c r="K330" s="568">
        <f ca="1">IF(I330&gt;0,J330*100/I330,0)</f>
        <v>0</v>
      </c>
      <c r="L330" s="574"/>
      <c r="M330" s="566"/>
      <c r="N330" s="566"/>
      <c r="O330" s="684"/>
      <c r="P330" s="684"/>
      <c r="Q330" s="566"/>
      <c r="R330" s="566"/>
      <c r="S330" s="566"/>
      <c r="T330" s="684"/>
      <c r="U330" s="684"/>
    </row>
    <row r="331" spans="1:21" ht="19.5" x14ac:dyDescent="0.3">
      <c r="A331" s="902" t="s">
        <v>135</v>
      </c>
      <c r="B331" s="903"/>
      <c r="C331" s="903"/>
      <c r="D331" s="904"/>
      <c r="E331" s="903"/>
      <c r="F331" s="903"/>
      <c r="G331" s="903"/>
      <c r="H331" s="904"/>
      <c r="I331" s="906"/>
      <c r="J331" s="906"/>
      <c r="K331" s="907"/>
      <c r="L331" s="908"/>
      <c r="M331" s="907"/>
      <c r="N331" s="907"/>
      <c r="O331" s="907"/>
      <c r="P331" s="907"/>
      <c r="Q331" s="907"/>
      <c r="R331" s="907"/>
      <c r="S331" s="907"/>
      <c r="T331" s="907"/>
      <c r="U331" s="907"/>
    </row>
    <row r="332" spans="1:21" ht="19.5" x14ac:dyDescent="0.3">
      <c r="A332" s="909"/>
      <c r="B332" s="910" t="s">
        <v>136</v>
      </c>
      <c r="C332" s="928"/>
      <c r="D332" s="911"/>
      <c r="E332" s="911"/>
      <c r="F332" s="911"/>
      <c r="G332" s="912"/>
      <c r="H332" s="913" t="s">
        <v>35</v>
      </c>
      <c r="I332" s="929">
        <f ca="1">I344</f>
        <v>4000</v>
      </c>
      <c r="J332" s="930">
        <f ca="1">J344+J347+J348+J349+J353</f>
        <v>13545</v>
      </c>
      <c r="K332" s="931">
        <f ca="1">IF(I332&gt;0,J332*100/I332,0)</f>
        <v>338.625</v>
      </c>
      <c r="L332" s="916"/>
      <c r="M332" s="917"/>
      <c r="N332" s="917"/>
      <c r="O332" s="917"/>
      <c r="P332" s="917"/>
      <c r="Q332" s="917"/>
      <c r="R332" s="917"/>
      <c r="S332" s="917"/>
      <c r="T332" s="917"/>
      <c r="U332" s="917"/>
    </row>
    <row r="333" spans="1:21" ht="19.5" x14ac:dyDescent="0.3">
      <c r="A333" s="674"/>
      <c r="B333" s="561"/>
      <c r="C333" s="675" t="s">
        <v>18</v>
      </c>
      <c r="D333" s="676" t="s">
        <v>19</v>
      </c>
      <c r="E333" s="561"/>
      <c r="F333" s="561"/>
      <c r="G333" s="563"/>
      <c r="H333" s="677" t="s">
        <v>14</v>
      </c>
      <c r="I333" s="565"/>
      <c r="J333" s="565"/>
      <c r="K333" s="566"/>
      <c r="L333" s="678">
        <f t="shared" ref="L333:N333" ca="1" si="216">L334+L335</f>
        <v>199000</v>
      </c>
      <c r="M333" s="679">
        <f t="shared" ca="1" si="216"/>
        <v>121000</v>
      </c>
      <c r="N333" s="679">
        <f t="shared" ca="1" si="216"/>
        <v>119766</v>
      </c>
      <c r="O333" s="679">
        <f t="shared" ref="O333:O341" ca="1" si="217">IF(L333&gt;0,N333*100/L333,0)</f>
        <v>60.183919597989949</v>
      </c>
      <c r="P333" s="679">
        <f t="shared" ref="P333:P341" ca="1" si="218">IF(M333&gt;0,N333*100/M333,0)</f>
        <v>98.980165289256192</v>
      </c>
      <c r="Q333" s="679">
        <f t="shared" ref="Q333:S333" si="219">Q334+Q335</f>
        <v>0</v>
      </c>
      <c r="R333" s="679">
        <f t="shared" si="219"/>
        <v>0</v>
      </c>
      <c r="S333" s="679">
        <f t="shared" si="219"/>
        <v>0</v>
      </c>
      <c r="T333" s="679">
        <f t="shared" ref="T333:T341" si="220">IF(Q333&gt;0,S333*100/Q333,0)</f>
        <v>0</v>
      </c>
      <c r="U333" s="679">
        <f t="shared" ref="U333:U341" si="221">IF(R333&gt;0,S333*100/R333,0)</f>
        <v>0</v>
      </c>
    </row>
    <row r="334" spans="1:21" ht="18.75" x14ac:dyDescent="0.25">
      <c r="A334" s="674"/>
      <c r="B334" s="561"/>
      <c r="C334" s="561"/>
      <c r="D334" s="561"/>
      <c r="E334" s="569" t="s">
        <v>20</v>
      </c>
      <c r="F334" s="561"/>
      <c r="G334" s="563"/>
      <c r="H334" s="680" t="s">
        <v>14</v>
      </c>
      <c r="I334" s="565"/>
      <c r="J334" s="565"/>
      <c r="K334" s="566"/>
      <c r="L334" s="571">
        <f t="shared" ref="L334:N335" si="222">L337+L340</f>
        <v>0</v>
      </c>
      <c r="M334" s="572">
        <f t="shared" si="222"/>
        <v>0</v>
      </c>
      <c r="N334" s="572">
        <f t="shared" si="222"/>
        <v>0</v>
      </c>
      <c r="O334" s="572">
        <f t="shared" si="217"/>
        <v>0</v>
      </c>
      <c r="P334" s="572">
        <f t="shared" si="218"/>
        <v>0</v>
      </c>
      <c r="Q334" s="572">
        <f t="shared" ref="Q334:S335" si="223">Q337+Q340</f>
        <v>0</v>
      </c>
      <c r="R334" s="572">
        <f t="shared" si="223"/>
        <v>0</v>
      </c>
      <c r="S334" s="572">
        <f t="shared" si="223"/>
        <v>0</v>
      </c>
      <c r="T334" s="572">
        <f t="shared" si="220"/>
        <v>0</v>
      </c>
      <c r="U334" s="572">
        <f t="shared" si="221"/>
        <v>0</v>
      </c>
    </row>
    <row r="335" spans="1:21" ht="18.75" x14ac:dyDescent="0.25">
      <c r="A335" s="674"/>
      <c r="B335" s="561"/>
      <c r="C335" s="561"/>
      <c r="D335" s="561"/>
      <c r="E335" s="573" t="s">
        <v>21</v>
      </c>
      <c r="F335" s="561"/>
      <c r="G335" s="563"/>
      <c r="H335" s="681" t="s">
        <v>14</v>
      </c>
      <c r="I335" s="565"/>
      <c r="J335" s="565"/>
      <c r="K335" s="566"/>
      <c r="L335" s="567">
        <f t="shared" ca="1" si="222"/>
        <v>199000</v>
      </c>
      <c r="M335" s="568">
        <f t="shared" ca="1" si="222"/>
        <v>121000</v>
      </c>
      <c r="N335" s="568">
        <f t="shared" ca="1" si="222"/>
        <v>119766</v>
      </c>
      <c r="O335" s="568">
        <f t="shared" ca="1" si="217"/>
        <v>60.183919597989949</v>
      </c>
      <c r="P335" s="568">
        <f t="shared" ca="1" si="218"/>
        <v>98.980165289256192</v>
      </c>
      <c r="Q335" s="568">
        <f t="shared" si="223"/>
        <v>0</v>
      </c>
      <c r="R335" s="568">
        <f t="shared" si="223"/>
        <v>0</v>
      </c>
      <c r="S335" s="568">
        <f t="shared" si="223"/>
        <v>0</v>
      </c>
      <c r="T335" s="568">
        <f t="shared" si="220"/>
        <v>0</v>
      </c>
      <c r="U335" s="568">
        <f t="shared" si="221"/>
        <v>0</v>
      </c>
    </row>
    <row r="336" spans="1:21" ht="18.75" x14ac:dyDescent="0.25">
      <c r="A336" s="674"/>
      <c r="B336" s="561"/>
      <c r="C336" s="561"/>
      <c r="D336" s="562" t="s">
        <v>22</v>
      </c>
      <c r="E336" s="561"/>
      <c r="F336" s="561"/>
      <c r="G336" s="563"/>
      <c r="H336" s="682" t="s">
        <v>14</v>
      </c>
      <c r="I336" s="683"/>
      <c r="J336" s="683"/>
      <c r="K336" s="684"/>
      <c r="L336" s="567">
        <f t="shared" ref="L336:N336" ca="1" si="224">L337+L338</f>
        <v>199000</v>
      </c>
      <c r="M336" s="568">
        <f t="shared" ca="1" si="224"/>
        <v>121000</v>
      </c>
      <c r="N336" s="568">
        <f t="shared" ca="1" si="224"/>
        <v>119766</v>
      </c>
      <c r="O336" s="568">
        <f t="shared" ca="1" si="217"/>
        <v>60.183919597989949</v>
      </c>
      <c r="P336" s="568">
        <f t="shared" ca="1" si="218"/>
        <v>98.980165289256192</v>
      </c>
      <c r="Q336" s="568">
        <f t="shared" ref="Q336:S336" si="225">Q337+Q338</f>
        <v>0</v>
      </c>
      <c r="R336" s="568">
        <f t="shared" si="225"/>
        <v>0</v>
      </c>
      <c r="S336" s="568">
        <f t="shared" si="225"/>
        <v>0</v>
      </c>
      <c r="T336" s="568">
        <f t="shared" si="220"/>
        <v>0</v>
      </c>
      <c r="U336" s="568">
        <f t="shared" si="221"/>
        <v>0</v>
      </c>
    </row>
    <row r="337" spans="1:21" ht="18.75" x14ac:dyDescent="0.25">
      <c r="A337" s="674"/>
      <c r="B337" s="561"/>
      <c r="C337" s="561"/>
      <c r="D337" s="561"/>
      <c r="E337" s="569" t="s">
        <v>36</v>
      </c>
      <c r="F337" s="561"/>
      <c r="G337" s="563"/>
      <c r="H337" s="685" t="s">
        <v>14</v>
      </c>
      <c r="I337" s="683"/>
      <c r="J337" s="683"/>
      <c r="K337" s="684"/>
      <c r="L337" s="571">
        <v>0</v>
      </c>
      <c r="M337" s="572">
        <v>0</v>
      </c>
      <c r="N337" s="572">
        <v>0</v>
      </c>
      <c r="O337" s="572">
        <f t="shared" si="217"/>
        <v>0</v>
      </c>
      <c r="P337" s="572">
        <f t="shared" si="218"/>
        <v>0</v>
      </c>
      <c r="Q337" s="572">
        <v>0</v>
      </c>
      <c r="R337" s="572">
        <v>0</v>
      </c>
      <c r="S337" s="572">
        <v>0</v>
      </c>
      <c r="T337" s="572">
        <f t="shared" si="220"/>
        <v>0</v>
      </c>
      <c r="U337" s="572">
        <f t="shared" si="221"/>
        <v>0</v>
      </c>
    </row>
    <row r="338" spans="1:21" ht="18.75" x14ac:dyDescent="0.25">
      <c r="A338" s="674"/>
      <c r="B338" s="561"/>
      <c r="C338" s="561"/>
      <c r="D338" s="561"/>
      <c r="E338" s="573" t="s">
        <v>37</v>
      </c>
      <c r="F338" s="561"/>
      <c r="G338" s="563"/>
      <c r="H338" s="682" t="s">
        <v>14</v>
      </c>
      <c r="I338" s="683"/>
      <c r="J338" s="683"/>
      <c r="K338" s="684"/>
      <c r="L338" s="567">
        <f ca="1">IFERROR(__xludf.DUMMYFUNCTION("IMPORTRANGE(""https://docs.google.com/spreadsheets/d/1-uDff_7J0KD5mKrp0Vvzr7lt3OU09vwQwhkpOPPYv2Y/edit?usp=sharing"",""งบพรบ!ES15"")"),199000)</f>
        <v>199000</v>
      </c>
      <c r="M338" s="568">
        <f ca="1">IFERROR(__xludf.DUMMYFUNCTION("IMPORTRANGE(""https://docs.google.com/spreadsheets/d/1-uDff_7J0KD5mKrp0Vvzr7lt3OU09vwQwhkpOPPYv2Y/edit?usp=sharing"",""งบพรบ!EX15"")"),121000)</f>
        <v>121000</v>
      </c>
      <c r="N338" s="568">
        <f ca="1">IFERROR(__xludf.DUMMYFUNCTION("IMPORTRANGE(""https://docs.google.com/spreadsheets/d/1-uDff_7J0KD5mKrp0Vvzr7lt3OU09vwQwhkpOPPYv2Y/edit?usp=sharing"",""งบพรบ!EZ15"")"),119766)</f>
        <v>119766</v>
      </c>
      <c r="O338" s="568">
        <f t="shared" ca="1" si="217"/>
        <v>60.183919597989949</v>
      </c>
      <c r="P338" s="568">
        <f t="shared" ca="1" si="218"/>
        <v>98.980165289256192</v>
      </c>
      <c r="Q338" s="568">
        <v>0</v>
      </c>
      <c r="R338" s="568">
        <v>0</v>
      </c>
      <c r="S338" s="568">
        <v>0</v>
      </c>
      <c r="T338" s="568">
        <f t="shared" si="220"/>
        <v>0</v>
      </c>
      <c r="U338" s="568">
        <f t="shared" si="221"/>
        <v>0</v>
      </c>
    </row>
    <row r="339" spans="1:21" ht="18.75" x14ac:dyDescent="0.25">
      <c r="A339" s="674"/>
      <c r="B339" s="561"/>
      <c r="C339" s="561"/>
      <c r="D339" s="562" t="s">
        <v>23</v>
      </c>
      <c r="E339" s="561"/>
      <c r="F339" s="561"/>
      <c r="G339" s="563"/>
      <c r="H339" s="686" t="s">
        <v>14</v>
      </c>
      <c r="I339" s="683"/>
      <c r="J339" s="683"/>
      <c r="K339" s="684"/>
      <c r="L339" s="567">
        <f t="shared" ref="L339:N339" ca="1" si="226">L340+L341</f>
        <v>0</v>
      </c>
      <c r="M339" s="568">
        <f t="shared" ca="1" si="226"/>
        <v>0</v>
      </c>
      <c r="N339" s="568">
        <f t="shared" ca="1" si="226"/>
        <v>0</v>
      </c>
      <c r="O339" s="568">
        <f t="shared" ca="1" si="217"/>
        <v>0</v>
      </c>
      <c r="P339" s="568">
        <f t="shared" ca="1" si="218"/>
        <v>0</v>
      </c>
      <c r="Q339" s="568">
        <f t="shared" ref="Q339:S339" si="227">Q340+Q341</f>
        <v>0</v>
      </c>
      <c r="R339" s="568">
        <f t="shared" si="227"/>
        <v>0</v>
      </c>
      <c r="S339" s="568">
        <f t="shared" si="227"/>
        <v>0</v>
      </c>
      <c r="T339" s="568">
        <f t="shared" si="220"/>
        <v>0</v>
      </c>
      <c r="U339" s="568">
        <f t="shared" si="221"/>
        <v>0</v>
      </c>
    </row>
    <row r="340" spans="1:21" ht="18.75" x14ac:dyDescent="0.25">
      <c r="A340" s="674"/>
      <c r="B340" s="561"/>
      <c r="C340" s="561"/>
      <c r="D340" s="561"/>
      <c r="E340" s="569" t="s">
        <v>20</v>
      </c>
      <c r="F340" s="561"/>
      <c r="G340" s="563"/>
      <c r="H340" s="685" t="s">
        <v>14</v>
      </c>
      <c r="I340" s="683"/>
      <c r="J340" s="683"/>
      <c r="K340" s="684"/>
      <c r="L340" s="571">
        <v>0</v>
      </c>
      <c r="M340" s="572">
        <v>0</v>
      </c>
      <c r="N340" s="572">
        <v>0</v>
      </c>
      <c r="O340" s="572">
        <f t="shared" si="217"/>
        <v>0</v>
      </c>
      <c r="P340" s="572">
        <f t="shared" si="218"/>
        <v>0</v>
      </c>
      <c r="Q340" s="572">
        <v>0</v>
      </c>
      <c r="R340" s="572">
        <v>0</v>
      </c>
      <c r="S340" s="572">
        <v>0</v>
      </c>
      <c r="T340" s="572">
        <f t="shared" si="220"/>
        <v>0</v>
      </c>
      <c r="U340" s="572">
        <f t="shared" si="221"/>
        <v>0</v>
      </c>
    </row>
    <row r="341" spans="1:21" ht="18.75" x14ac:dyDescent="0.25">
      <c r="A341" s="674"/>
      <c r="B341" s="561"/>
      <c r="C341" s="561"/>
      <c r="D341" s="561"/>
      <c r="E341" s="573" t="s">
        <v>21</v>
      </c>
      <c r="F341" s="561"/>
      <c r="G341" s="563"/>
      <c r="H341" s="686" t="s">
        <v>14</v>
      </c>
      <c r="I341" s="683"/>
      <c r="J341" s="683"/>
      <c r="K341" s="684"/>
      <c r="L341" s="567">
        <f ca="1">IFERROR(__xludf.DUMMYFUNCTION("IMPORTRANGE(""https://docs.google.com/spreadsheets/d/1-uDff_7J0KD5mKrp0Vvzr7lt3OU09vwQwhkpOPPYv2Y/edit?usp=sharing"",""งบพรบ!EV15"")"),0)</f>
        <v>0</v>
      </c>
      <c r="M341" s="568">
        <f ca="1">IFERROR(__xludf.DUMMYFUNCTION("IMPORTRANGE(""https://docs.google.com/spreadsheets/d/1-uDff_7J0KD5mKrp0Vvzr7lt3OU09vwQwhkpOPPYv2Y/edit?usp=sharing"",""งบพรบ!EY15"")"),0)</f>
        <v>0</v>
      </c>
      <c r="N341" s="568">
        <f ca="1">IFERROR(__xludf.DUMMYFUNCTION("IMPORTRANGE(""https://docs.google.com/spreadsheets/d/1-uDff_7J0KD5mKrp0Vvzr7lt3OU09vwQwhkpOPPYv2Y/edit?usp=sharing"",""งบพรบ!FA15"")"),0)</f>
        <v>0</v>
      </c>
      <c r="O341" s="568">
        <f t="shared" ca="1" si="217"/>
        <v>0</v>
      </c>
      <c r="P341" s="568">
        <f t="shared" ca="1" si="218"/>
        <v>0</v>
      </c>
      <c r="Q341" s="568">
        <v>0</v>
      </c>
      <c r="R341" s="568">
        <v>0</v>
      </c>
      <c r="S341" s="568">
        <v>0</v>
      </c>
      <c r="T341" s="568">
        <f t="shared" si="220"/>
        <v>0</v>
      </c>
      <c r="U341" s="568">
        <f t="shared" si="221"/>
        <v>0</v>
      </c>
    </row>
    <row r="342" spans="1:21" ht="19.5" x14ac:dyDescent="0.3">
      <c r="A342" s="687"/>
      <c r="B342" s="688"/>
      <c r="C342" s="675" t="s">
        <v>18</v>
      </c>
      <c r="D342" s="757" t="s">
        <v>38</v>
      </c>
      <c r="E342" s="690"/>
      <c r="F342" s="690"/>
      <c r="G342" s="691"/>
      <c r="H342" s="563"/>
      <c r="I342" s="565"/>
      <c r="J342" s="565"/>
      <c r="K342" s="566"/>
      <c r="L342" s="574"/>
      <c r="M342" s="566"/>
      <c r="N342" s="566"/>
      <c r="O342" s="684"/>
      <c r="P342" s="684"/>
      <c r="Q342" s="566"/>
      <c r="R342" s="566"/>
      <c r="S342" s="566"/>
      <c r="T342" s="684"/>
      <c r="U342" s="684"/>
    </row>
    <row r="343" spans="1:21" ht="19.5" x14ac:dyDescent="0.3">
      <c r="A343" s="932"/>
      <c r="B343" s="933"/>
      <c r="C343" s="934"/>
      <c r="D343" s="933"/>
      <c r="E343" s="935" t="s">
        <v>137</v>
      </c>
      <c r="F343" s="933"/>
      <c r="G343" s="936"/>
      <c r="H343" s="937" t="s">
        <v>35</v>
      </c>
      <c r="I343" s="938">
        <v>0</v>
      </c>
      <c r="J343" s="938">
        <f ca="1">J344+J347+J348+J349</f>
        <v>4051</v>
      </c>
      <c r="K343" s="939">
        <v>0</v>
      </c>
      <c r="L343" s="777"/>
      <c r="M343" s="778"/>
      <c r="N343" s="778"/>
      <c r="O343" s="778"/>
      <c r="P343" s="778"/>
      <c r="Q343" s="778"/>
      <c r="R343" s="778"/>
      <c r="S343" s="778"/>
      <c r="T343" s="778"/>
      <c r="U343" s="778"/>
    </row>
    <row r="344" spans="1:21" ht="18.75" x14ac:dyDescent="0.25">
      <c r="A344" s="764"/>
      <c r="B344" s="561"/>
      <c r="C344" s="718"/>
      <c r="D344" s="695"/>
      <c r="E344" s="699" t="s">
        <v>138</v>
      </c>
      <c r="F344" s="561"/>
      <c r="G344" s="563"/>
      <c r="H344" s="766" t="s">
        <v>35</v>
      </c>
      <c r="I344" s="708">
        <f ca="1">IFERROR(__xludf.DUMMYFUNCTION("IMPORTRANGE(""https://docs.google.com/spreadsheets/d/1eHaY18a8A9IcSdp1K8H6x8fbOy06t2VsZHhMHf-1x7Y/edit?usp=sharing"",""แผน!EK15"")"),4000)</f>
        <v>4000</v>
      </c>
      <c r="J344" s="708">
        <f ca="1">IFERROR(__xludf.DUMMYFUNCTION("IMPORTRANGE(""https://docs.google.com/spreadsheets/d/1awYsYK3VOup2i3Pq_Yjnu8DRu_mYwSBnCR2QPthd0rU/edit?usp=sharing"",""ศูนย์ยกเว้นโฉนด!D15"")"),4041)</f>
        <v>4041</v>
      </c>
      <c r="K344" s="568">
        <f ca="1">IF(I344&gt;0,J344*100/I344,0)</f>
        <v>101.02500000000001</v>
      </c>
      <c r="L344" s="574"/>
      <c r="M344" s="566"/>
      <c r="N344" s="566"/>
      <c r="O344" s="566"/>
      <c r="P344" s="566"/>
      <c r="Q344" s="566"/>
      <c r="R344" s="566"/>
      <c r="S344" s="566"/>
      <c r="T344" s="566"/>
      <c r="U344" s="566"/>
    </row>
    <row r="345" spans="1:21" ht="18.75" x14ac:dyDescent="0.25">
      <c r="A345" s="764"/>
      <c r="B345" s="561"/>
      <c r="C345" s="718"/>
      <c r="D345" s="695"/>
      <c r="E345" s="699" t="s">
        <v>139</v>
      </c>
      <c r="F345" s="561"/>
      <c r="G345" s="563"/>
      <c r="H345" s="727"/>
      <c r="I345" s="565"/>
      <c r="J345" s="565"/>
      <c r="K345" s="566"/>
      <c r="L345" s="574"/>
      <c r="M345" s="566"/>
      <c r="N345" s="566"/>
      <c r="O345" s="566"/>
      <c r="P345" s="566"/>
      <c r="Q345" s="566"/>
      <c r="R345" s="566"/>
      <c r="S345" s="566"/>
      <c r="T345" s="566"/>
      <c r="U345" s="566"/>
    </row>
    <row r="346" spans="1:21" ht="18.75" x14ac:dyDescent="0.25">
      <c r="A346" s="764"/>
      <c r="B346" s="561"/>
      <c r="C346" s="718"/>
      <c r="D346" s="695"/>
      <c r="E346" s="695"/>
      <c r="F346" s="699" t="s">
        <v>140</v>
      </c>
      <c r="G346" s="563"/>
      <c r="H346" s="722" t="s">
        <v>141</v>
      </c>
      <c r="I346" s="708">
        <f ca="1">IFERROR(__xludf.DUMMYFUNCTION("IMPORTRANGE(""https://docs.google.com/spreadsheets/d/1eHaY18a8A9IcSdp1K8H6x8fbOy06t2VsZHhMHf-1x7Y/edit?usp=sharing"",""แผน!EL15"")"),5)</f>
        <v>5</v>
      </c>
      <c r="J346" s="708">
        <f ca="1">IFERROR(__xludf.DUMMYFUNCTION("IMPORTRANGE(""https://docs.google.com/spreadsheets/d/1awYsYK3VOup2i3Pq_Yjnu8DRu_mYwSBnCR2QPthd0rU/edit?usp=sharing"",""ศูนย์รวม!E15"")"),0)</f>
        <v>0</v>
      </c>
      <c r="K346" s="568">
        <f ca="1">IF(I346&gt;0,J346*100/I346,0)</f>
        <v>0</v>
      </c>
      <c r="L346" s="574"/>
      <c r="M346" s="566"/>
      <c r="N346" s="566"/>
      <c r="O346" s="566"/>
      <c r="P346" s="566"/>
      <c r="Q346" s="566"/>
      <c r="R346" s="566"/>
      <c r="S346" s="566"/>
      <c r="T346" s="566"/>
      <c r="U346" s="566"/>
    </row>
    <row r="347" spans="1:21" ht="18.75" x14ac:dyDescent="0.25">
      <c r="A347" s="764"/>
      <c r="B347" s="561"/>
      <c r="C347" s="718"/>
      <c r="D347" s="695"/>
      <c r="E347" s="695"/>
      <c r="F347" s="699" t="s">
        <v>142</v>
      </c>
      <c r="G347" s="563"/>
      <c r="H347" s="722" t="s">
        <v>35</v>
      </c>
      <c r="I347" s="565"/>
      <c r="J347" s="708">
        <f ca="1">IFERROR(__xludf.DUMMYFUNCTION("IMPORTRANGE(""https://docs.google.com/spreadsheets/d/1awYsYK3VOup2i3Pq_Yjnu8DRu_mYwSBnCR2QPthd0rU/edit?usp=sharing"",""ศูนย์ยกเว้นโฉนด!F15"")"),0)</f>
        <v>0</v>
      </c>
      <c r="K347" s="566"/>
      <c r="L347" s="574"/>
      <c r="M347" s="566"/>
      <c r="N347" s="566"/>
      <c r="O347" s="566"/>
      <c r="P347" s="566"/>
      <c r="Q347" s="566"/>
      <c r="R347" s="566"/>
      <c r="S347" s="566"/>
      <c r="T347" s="566"/>
      <c r="U347" s="566"/>
    </row>
    <row r="348" spans="1:21" ht="18.75" x14ac:dyDescent="0.25">
      <c r="A348" s="764"/>
      <c r="B348" s="561"/>
      <c r="C348" s="718"/>
      <c r="D348" s="695"/>
      <c r="E348" s="699" t="s">
        <v>143</v>
      </c>
      <c r="F348" s="695"/>
      <c r="G348" s="563"/>
      <c r="H348" s="722" t="s">
        <v>35</v>
      </c>
      <c r="I348" s="565"/>
      <c r="J348" s="708">
        <f ca="1">IFERROR(__xludf.DUMMYFUNCTION("IMPORTRANGE(""https://docs.google.com/spreadsheets/d/1awYsYK3VOup2i3Pq_Yjnu8DRu_mYwSBnCR2QPthd0rU/edit?usp=sharing"",""ศูนย์ยกเว้นโฉนด!G15"")"),10)</f>
        <v>10</v>
      </c>
      <c r="K348" s="566"/>
      <c r="L348" s="574"/>
      <c r="M348" s="566"/>
      <c r="N348" s="566"/>
      <c r="O348" s="566"/>
      <c r="P348" s="566"/>
      <c r="Q348" s="566"/>
      <c r="R348" s="566"/>
      <c r="S348" s="566"/>
      <c r="T348" s="566"/>
      <c r="U348" s="566"/>
    </row>
    <row r="349" spans="1:21" ht="18.75" x14ac:dyDescent="0.25">
      <c r="A349" s="764"/>
      <c r="B349" s="561"/>
      <c r="C349" s="718"/>
      <c r="D349" s="688"/>
      <c r="E349" s="699" t="s">
        <v>144</v>
      </c>
      <c r="F349" s="695"/>
      <c r="G349" s="563"/>
      <c r="H349" s="722" t="s">
        <v>35</v>
      </c>
      <c r="I349" s="565"/>
      <c r="J349" s="708">
        <f ca="1">IFERROR(__xludf.DUMMYFUNCTION("IMPORTRANGE(""https://docs.google.com/spreadsheets/d/1awYsYK3VOup2i3Pq_Yjnu8DRu_mYwSBnCR2QPthd0rU/edit?usp=sharing"",""ศูนย์ยกเว้นโฉนด!H15"")"),0)</f>
        <v>0</v>
      </c>
      <c r="K349" s="566"/>
      <c r="L349" s="574"/>
      <c r="M349" s="566"/>
      <c r="N349" s="566"/>
      <c r="O349" s="566"/>
      <c r="P349" s="566"/>
      <c r="Q349" s="566"/>
      <c r="R349" s="566"/>
      <c r="S349" s="566"/>
      <c r="T349" s="566"/>
      <c r="U349" s="566"/>
    </row>
    <row r="350" spans="1:21" ht="16.5" x14ac:dyDescent="0.25">
      <c r="A350" s="718"/>
      <c r="B350" s="561"/>
      <c r="C350" s="718"/>
      <c r="D350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61"/>
      <c r="F350" s="561"/>
      <c r="G350" s="563"/>
      <c r="H350" s="727"/>
      <c r="I350" s="565"/>
      <c r="J350" s="565"/>
      <c r="K350" s="566"/>
      <c r="L350" s="574"/>
      <c r="M350" s="566"/>
      <c r="N350" s="566"/>
      <c r="O350" s="566"/>
      <c r="P350" s="566"/>
      <c r="Q350" s="566"/>
      <c r="R350" s="566"/>
      <c r="S350" s="566"/>
      <c r="T350" s="566"/>
      <c r="U350" s="566"/>
    </row>
    <row r="351" spans="1:21" ht="19.5" x14ac:dyDescent="0.3">
      <c r="A351" s="769"/>
      <c r="B351" s="772"/>
      <c r="C351" s="770"/>
      <c r="D351" s="772"/>
      <c r="E351" s="941" t="s">
        <v>145</v>
      </c>
      <c r="F351" s="772"/>
      <c r="G351" s="773"/>
      <c r="H351" s="774" t="s">
        <v>35</v>
      </c>
      <c r="I351" s="775">
        <v>0</v>
      </c>
      <c r="J351" s="775">
        <f ca="1">J352+J353</f>
        <v>13453</v>
      </c>
      <c r="K351" s="776">
        <v>0</v>
      </c>
      <c r="L351" s="777"/>
      <c r="M351" s="778"/>
      <c r="N351" s="778"/>
      <c r="O351" s="778"/>
      <c r="P351" s="778"/>
      <c r="Q351" s="778"/>
      <c r="R351" s="778"/>
      <c r="S351" s="778"/>
      <c r="T351" s="778"/>
      <c r="U351" s="778"/>
    </row>
    <row r="352" spans="1:21" ht="18.75" x14ac:dyDescent="0.25">
      <c r="A352" s="718"/>
      <c r="B352" s="561"/>
      <c r="C352" s="718"/>
      <c r="D352" s="695"/>
      <c r="E352" s="699" t="s">
        <v>146</v>
      </c>
      <c r="F352" s="561"/>
      <c r="G352" s="563"/>
      <c r="H352" s="681" t="s">
        <v>35</v>
      </c>
      <c r="I352" s="565"/>
      <c r="J352" s="708">
        <f ca="1">IFERROR(__xludf.DUMMYFUNCTION("IMPORTRANGE(""https://docs.google.com/spreadsheets/d/1awYsYK3VOup2i3Pq_Yjnu8DRu_mYwSBnCR2QPthd0rU/edit?usp=sharing"",""โฉนดM3!G15"")"),3959)</f>
        <v>3959</v>
      </c>
      <c r="K352" s="566"/>
      <c r="L352" s="574"/>
      <c r="M352" s="566"/>
      <c r="N352" s="566"/>
      <c r="O352" s="566"/>
      <c r="P352" s="566"/>
      <c r="Q352" s="566"/>
      <c r="R352" s="566"/>
      <c r="S352" s="566"/>
      <c r="T352" s="566"/>
      <c r="U352" s="566"/>
    </row>
    <row r="353" spans="1:21" ht="18.75" x14ac:dyDescent="0.25">
      <c r="A353" s="718"/>
      <c r="B353" s="561"/>
      <c r="C353" s="718"/>
      <c r="D353" s="695"/>
      <c r="E353" s="699" t="s">
        <v>147</v>
      </c>
      <c r="F353" s="561"/>
      <c r="G353" s="563"/>
      <c r="H353" s="681" t="s">
        <v>35</v>
      </c>
      <c r="I353" s="565"/>
      <c r="J353" s="708">
        <f ca="1">IFERROR(__xludf.DUMMYFUNCTION("IMPORTRANGE(""https://docs.google.com/spreadsheets/d/1awYsYK3VOup2i3Pq_Yjnu8DRu_mYwSBnCR2QPthd0rU/edit?usp=sharing"",""โฉนดM3!H15"")"),9494)</f>
        <v>9494</v>
      </c>
      <c r="K353" s="566"/>
      <c r="L353" s="574"/>
      <c r="M353" s="566"/>
      <c r="N353" s="566"/>
      <c r="O353" s="566"/>
      <c r="P353" s="566"/>
      <c r="Q353" s="566"/>
      <c r="R353" s="566"/>
      <c r="S353" s="566"/>
      <c r="T353" s="566"/>
      <c r="U353" s="566"/>
    </row>
    <row r="354" spans="1:21" ht="16.5" x14ac:dyDescent="0.25">
      <c r="A354" s="718"/>
      <c r="B354" s="561"/>
      <c r="C354" s="718"/>
      <c r="D354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61"/>
      <c r="F354" s="561"/>
      <c r="G354" s="563"/>
      <c r="H354" s="727"/>
      <c r="I354" s="565"/>
      <c r="J354" s="565"/>
      <c r="K354" s="566"/>
      <c r="L354" s="574"/>
      <c r="M354" s="566"/>
      <c r="N354" s="566"/>
      <c r="O354" s="566"/>
      <c r="P354" s="566"/>
      <c r="Q354" s="566"/>
      <c r="R354" s="566"/>
      <c r="S354" s="566"/>
      <c r="T354" s="566"/>
      <c r="U354" s="566"/>
    </row>
    <row r="355" spans="1:21" ht="19.5" x14ac:dyDescent="0.3">
      <c r="A355" s="909"/>
      <c r="B355" s="910" t="s">
        <v>148</v>
      </c>
      <c r="C355" s="928"/>
      <c r="D355" s="911"/>
      <c r="E355" s="911"/>
      <c r="F355" s="911"/>
      <c r="G355" s="912"/>
      <c r="H355" s="912"/>
      <c r="I355" s="942"/>
      <c r="J355" s="942"/>
      <c r="K355" s="917"/>
      <c r="L355" s="916"/>
      <c r="M355" s="917"/>
      <c r="N355" s="917"/>
      <c r="O355" s="917"/>
      <c r="P355" s="917"/>
      <c r="Q355" s="917"/>
      <c r="R355" s="917"/>
      <c r="S355" s="917"/>
      <c r="T355" s="917"/>
      <c r="U355" s="917"/>
    </row>
    <row r="356" spans="1:21" ht="19.5" x14ac:dyDescent="0.3">
      <c r="A356" s="674"/>
      <c r="B356" s="561"/>
      <c r="C356" s="675" t="s">
        <v>18</v>
      </c>
      <c r="D356" s="676" t="s">
        <v>19</v>
      </c>
      <c r="E356" s="561"/>
      <c r="F356" s="561"/>
      <c r="G356" s="563"/>
      <c r="H356" s="677" t="s">
        <v>14</v>
      </c>
      <c r="I356" s="565"/>
      <c r="J356" s="565"/>
      <c r="K356" s="566"/>
      <c r="L356" s="678">
        <f t="shared" ref="L356:N356" ca="1" si="228">L357+L358</f>
        <v>645420</v>
      </c>
      <c r="M356" s="679">
        <f t="shared" ca="1" si="228"/>
        <v>656110</v>
      </c>
      <c r="N356" s="679">
        <f t="shared" ca="1" si="228"/>
        <v>326639.73</v>
      </c>
      <c r="O356" s="679">
        <f t="shared" ref="O356:O364" ca="1" si="229">IF(L356&gt;0,N356*100/L356,0)</f>
        <v>50.608863995537789</v>
      </c>
      <c r="P356" s="679">
        <f t="shared" ref="P356:P364" ca="1" si="230">IF(M356&gt;0,N356*100/M356,0)</f>
        <v>49.784293792199477</v>
      </c>
      <c r="Q356" s="679">
        <f t="shared" ref="Q356:S356" si="231">Q357+Q358</f>
        <v>0</v>
      </c>
      <c r="R356" s="679">
        <f t="shared" si="231"/>
        <v>0</v>
      </c>
      <c r="S356" s="679">
        <f t="shared" si="231"/>
        <v>0</v>
      </c>
      <c r="T356" s="679">
        <f t="shared" ref="T356:T364" si="232">IF(Q356&gt;0,S356*100/Q356,0)</f>
        <v>0</v>
      </c>
      <c r="U356" s="679">
        <f t="shared" ref="U356:U364" si="233">IF(R356&gt;0,S356*100/R356,0)</f>
        <v>0</v>
      </c>
    </row>
    <row r="357" spans="1:21" ht="18.75" x14ac:dyDescent="0.25">
      <c r="A357" s="674"/>
      <c r="B357" s="561"/>
      <c r="C357" s="561"/>
      <c r="D357" s="561"/>
      <c r="E357" s="569" t="s">
        <v>20</v>
      </c>
      <c r="F357" s="561"/>
      <c r="G357" s="563"/>
      <c r="H357" s="680" t="s">
        <v>14</v>
      </c>
      <c r="I357" s="565"/>
      <c r="J357" s="565"/>
      <c r="K357" s="566"/>
      <c r="L357" s="571">
        <f t="shared" ref="L357:N358" si="234">L360+L363</f>
        <v>0</v>
      </c>
      <c r="M357" s="572">
        <f t="shared" si="234"/>
        <v>0</v>
      </c>
      <c r="N357" s="572">
        <f t="shared" si="234"/>
        <v>0</v>
      </c>
      <c r="O357" s="572">
        <f t="shared" si="229"/>
        <v>0</v>
      </c>
      <c r="P357" s="572">
        <f t="shared" si="230"/>
        <v>0</v>
      </c>
      <c r="Q357" s="572">
        <f t="shared" ref="Q357:S358" si="235">Q360+Q363</f>
        <v>0</v>
      </c>
      <c r="R357" s="572">
        <f t="shared" si="235"/>
        <v>0</v>
      </c>
      <c r="S357" s="572">
        <f t="shared" si="235"/>
        <v>0</v>
      </c>
      <c r="T357" s="572">
        <f t="shared" si="232"/>
        <v>0</v>
      </c>
      <c r="U357" s="572">
        <f t="shared" si="233"/>
        <v>0</v>
      </c>
    </row>
    <row r="358" spans="1:21" ht="18.75" x14ac:dyDescent="0.25">
      <c r="A358" s="674"/>
      <c r="B358" s="561"/>
      <c r="C358" s="561"/>
      <c r="D358" s="561"/>
      <c r="E358" s="573" t="s">
        <v>21</v>
      </c>
      <c r="F358" s="561"/>
      <c r="G358" s="563"/>
      <c r="H358" s="681" t="s">
        <v>14</v>
      </c>
      <c r="I358" s="565"/>
      <c r="J358" s="565"/>
      <c r="K358" s="566"/>
      <c r="L358" s="567">
        <f t="shared" ca="1" si="234"/>
        <v>645420</v>
      </c>
      <c r="M358" s="568">
        <f t="shared" ca="1" si="234"/>
        <v>656110</v>
      </c>
      <c r="N358" s="568">
        <f t="shared" ca="1" si="234"/>
        <v>326639.73</v>
      </c>
      <c r="O358" s="568">
        <f t="shared" ca="1" si="229"/>
        <v>50.608863995537789</v>
      </c>
      <c r="P358" s="568">
        <f t="shared" ca="1" si="230"/>
        <v>49.784293792199477</v>
      </c>
      <c r="Q358" s="568">
        <f t="shared" si="235"/>
        <v>0</v>
      </c>
      <c r="R358" s="568">
        <f t="shared" si="235"/>
        <v>0</v>
      </c>
      <c r="S358" s="568">
        <f t="shared" si="235"/>
        <v>0</v>
      </c>
      <c r="T358" s="568">
        <f t="shared" si="232"/>
        <v>0</v>
      </c>
      <c r="U358" s="568">
        <f t="shared" si="233"/>
        <v>0</v>
      </c>
    </row>
    <row r="359" spans="1:21" ht="18.75" x14ac:dyDescent="0.25">
      <c r="A359" s="674"/>
      <c r="B359" s="561"/>
      <c r="C359" s="561"/>
      <c r="D359" s="562" t="s">
        <v>22</v>
      </c>
      <c r="E359" s="561"/>
      <c r="F359" s="561"/>
      <c r="G359" s="563"/>
      <c r="H359" s="682" t="s">
        <v>14</v>
      </c>
      <c r="I359" s="683"/>
      <c r="J359" s="683"/>
      <c r="K359" s="684"/>
      <c r="L359" s="567">
        <f t="shared" ref="L359:N359" ca="1" si="236">L360+L361</f>
        <v>645420</v>
      </c>
      <c r="M359" s="568">
        <f t="shared" ca="1" si="236"/>
        <v>656110</v>
      </c>
      <c r="N359" s="568">
        <f t="shared" ca="1" si="236"/>
        <v>326639.73</v>
      </c>
      <c r="O359" s="568">
        <f t="shared" ca="1" si="229"/>
        <v>50.608863995537789</v>
      </c>
      <c r="P359" s="568">
        <f t="shared" ca="1" si="230"/>
        <v>49.784293792199477</v>
      </c>
      <c r="Q359" s="568">
        <f t="shared" ref="Q359:S359" si="237">Q360+Q361</f>
        <v>0</v>
      </c>
      <c r="R359" s="568">
        <f t="shared" si="237"/>
        <v>0</v>
      </c>
      <c r="S359" s="568">
        <f t="shared" si="237"/>
        <v>0</v>
      </c>
      <c r="T359" s="568">
        <f t="shared" si="232"/>
        <v>0</v>
      </c>
      <c r="U359" s="568">
        <f t="shared" si="233"/>
        <v>0</v>
      </c>
    </row>
    <row r="360" spans="1:21" ht="18.75" x14ac:dyDescent="0.25">
      <c r="A360" s="674"/>
      <c r="B360" s="561"/>
      <c r="C360" s="561"/>
      <c r="D360" s="561"/>
      <c r="E360" s="569" t="s">
        <v>36</v>
      </c>
      <c r="F360" s="561"/>
      <c r="G360" s="563"/>
      <c r="H360" s="685" t="s">
        <v>14</v>
      </c>
      <c r="I360" s="683"/>
      <c r="J360" s="683"/>
      <c r="K360" s="684"/>
      <c r="L360" s="571">
        <v>0</v>
      </c>
      <c r="M360" s="572">
        <v>0</v>
      </c>
      <c r="N360" s="572">
        <v>0</v>
      </c>
      <c r="O360" s="572">
        <f t="shared" si="229"/>
        <v>0</v>
      </c>
      <c r="P360" s="572">
        <f t="shared" si="230"/>
        <v>0</v>
      </c>
      <c r="Q360" s="572">
        <v>0</v>
      </c>
      <c r="R360" s="572">
        <v>0</v>
      </c>
      <c r="S360" s="572">
        <v>0</v>
      </c>
      <c r="T360" s="572">
        <f t="shared" si="232"/>
        <v>0</v>
      </c>
      <c r="U360" s="572">
        <f t="shared" si="233"/>
        <v>0</v>
      </c>
    </row>
    <row r="361" spans="1:21" ht="18.75" x14ac:dyDescent="0.25">
      <c r="A361" s="674"/>
      <c r="B361" s="561"/>
      <c r="C361" s="561"/>
      <c r="D361" s="561"/>
      <c r="E361" s="573" t="s">
        <v>37</v>
      </c>
      <c r="F361" s="561"/>
      <c r="G361" s="563"/>
      <c r="H361" s="682" t="s">
        <v>14</v>
      </c>
      <c r="I361" s="683"/>
      <c r="J361" s="683"/>
      <c r="K361" s="684"/>
      <c r="L361" s="567">
        <f ca="1">IFERROR(__xludf.DUMMYFUNCTION("IMPORTRANGE(""https://docs.google.com/spreadsheets/d/1-uDff_7J0KD5mKrp0Vvzr7lt3OU09vwQwhkpOPPYv2Y/edit?usp=sharing"",""งบพรบ!FC15"")"),645420)</f>
        <v>645420</v>
      </c>
      <c r="M361" s="568">
        <f ca="1">IFERROR(__xludf.DUMMYFUNCTION("IMPORTRANGE(""https://docs.google.com/spreadsheets/d/1-uDff_7J0KD5mKrp0Vvzr7lt3OU09vwQwhkpOPPYv2Y/edit?usp=sharing"",""งบพรบ!FH15"")"),656110)</f>
        <v>656110</v>
      </c>
      <c r="N361" s="568">
        <f ca="1">IFERROR(__xludf.DUMMYFUNCTION("IMPORTRANGE(""https://docs.google.com/spreadsheets/d/1-uDff_7J0KD5mKrp0Vvzr7lt3OU09vwQwhkpOPPYv2Y/edit?usp=sharing"",""งบพรบ!FJ15"")"),326639.73)</f>
        <v>326639.73</v>
      </c>
      <c r="O361" s="568">
        <f t="shared" ca="1" si="229"/>
        <v>50.608863995537789</v>
      </c>
      <c r="P361" s="568">
        <f t="shared" ca="1" si="230"/>
        <v>49.784293792199477</v>
      </c>
      <c r="Q361" s="568">
        <v>0</v>
      </c>
      <c r="R361" s="568">
        <v>0</v>
      </c>
      <c r="S361" s="568">
        <v>0</v>
      </c>
      <c r="T361" s="568">
        <f t="shared" si="232"/>
        <v>0</v>
      </c>
      <c r="U361" s="568">
        <f t="shared" si="233"/>
        <v>0</v>
      </c>
    </row>
    <row r="362" spans="1:21" ht="18.75" x14ac:dyDescent="0.25">
      <c r="A362" s="674"/>
      <c r="B362" s="561"/>
      <c r="C362" s="561"/>
      <c r="D362" s="562" t="s">
        <v>23</v>
      </c>
      <c r="E362" s="561"/>
      <c r="F362" s="561"/>
      <c r="G362" s="563"/>
      <c r="H362" s="686" t="s">
        <v>14</v>
      </c>
      <c r="I362" s="683"/>
      <c r="J362" s="683"/>
      <c r="K362" s="684"/>
      <c r="L362" s="567">
        <f t="shared" ref="L362:N362" ca="1" si="238">L363+L364</f>
        <v>0</v>
      </c>
      <c r="M362" s="568">
        <f t="shared" ca="1" si="238"/>
        <v>0</v>
      </c>
      <c r="N362" s="568">
        <f t="shared" ca="1" si="238"/>
        <v>0</v>
      </c>
      <c r="O362" s="568">
        <f t="shared" ca="1" si="229"/>
        <v>0</v>
      </c>
      <c r="P362" s="568">
        <f t="shared" ca="1" si="230"/>
        <v>0</v>
      </c>
      <c r="Q362" s="568">
        <f t="shared" ref="Q362:S362" si="239">Q363+Q364</f>
        <v>0</v>
      </c>
      <c r="R362" s="568">
        <f t="shared" si="239"/>
        <v>0</v>
      </c>
      <c r="S362" s="568">
        <f t="shared" si="239"/>
        <v>0</v>
      </c>
      <c r="T362" s="568">
        <f t="shared" si="232"/>
        <v>0</v>
      </c>
      <c r="U362" s="568">
        <f t="shared" si="233"/>
        <v>0</v>
      </c>
    </row>
    <row r="363" spans="1:21" ht="18.75" x14ac:dyDescent="0.25">
      <c r="A363" s="674"/>
      <c r="B363" s="561"/>
      <c r="C363" s="561"/>
      <c r="D363" s="561"/>
      <c r="E363" s="569" t="s">
        <v>20</v>
      </c>
      <c r="F363" s="561"/>
      <c r="G363" s="563"/>
      <c r="H363" s="685" t="s">
        <v>14</v>
      </c>
      <c r="I363" s="683"/>
      <c r="J363" s="683"/>
      <c r="K363" s="684"/>
      <c r="L363" s="571">
        <v>0</v>
      </c>
      <c r="M363" s="572">
        <v>0</v>
      </c>
      <c r="N363" s="572">
        <v>0</v>
      </c>
      <c r="O363" s="572">
        <f t="shared" si="229"/>
        <v>0</v>
      </c>
      <c r="P363" s="572">
        <f t="shared" si="230"/>
        <v>0</v>
      </c>
      <c r="Q363" s="572">
        <v>0</v>
      </c>
      <c r="R363" s="572">
        <v>0</v>
      </c>
      <c r="S363" s="572">
        <v>0</v>
      </c>
      <c r="T363" s="572">
        <f t="shared" si="232"/>
        <v>0</v>
      </c>
      <c r="U363" s="572">
        <f t="shared" si="233"/>
        <v>0</v>
      </c>
    </row>
    <row r="364" spans="1:21" ht="18.75" x14ac:dyDescent="0.25">
      <c r="A364" s="674"/>
      <c r="B364" s="561"/>
      <c r="C364" s="561"/>
      <c r="D364" s="561"/>
      <c r="E364" s="573" t="s">
        <v>21</v>
      </c>
      <c r="F364" s="561"/>
      <c r="G364" s="563"/>
      <c r="H364" s="686" t="s">
        <v>14</v>
      </c>
      <c r="I364" s="683"/>
      <c r="J364" s="683"/>
      <c r="K364" s="684"/>
      <c r="L364" s="567">
        <f ca="1">IFERROR(__xludf.DUMMYFUNCTION("IMPORTRANGE(""https://docs.google.com/spreadsheets/d/1-uDff_7J0KD5mKrp0Vvzr7lt3OU09vwQwhkpOPPYv2Y/edit?usp=sharing"",""งบพรบ!FF15"")"),0)</f>
        <v>0</v>
      </c>
      <c r="M364" s="568">
        <f ca="1">IFERROR(__xludf.DUMMYFUNCTION("IMPORTRANGE(""https://docs.google.com/spreadsheets/d/1-uDff_7J0KD5mKrp0Vvzr7lt3OU09vwQwhkpOPPYv2Y/edit?usp=sharing"",""งบพรบ!FI15"")"),0)</f>
        <v>0</v>
      </c>
      <c r="N364" s="568">
        <f ca="1">IFERROR(__xludf.DUMMYFUNCTION("IMPORTRANGE(""https://docs.google.com/spreadsheets/d/1-uDff_7J0KD5mKrp0Vvzr7lt3OU09vwQwhkpOPPYv2Y/edit?usp=sharing"",""งบพรบ!FK15"")"),0)</f>
        <v>0</v>
      </c>
      <c r="O364" s="568">
        <f t="shared" ca="1" si="229"/>
        <v>0</v>
      </c>
      <c r="P364" s="568">
        <f t="shared" ca="1" si="230"/>
        <v>0</v>
      </c>
      <c r="Q364" s="568">
        <v>0</v>
      </c>
      <c r="R364" s="568">
        <v>0</v>
      </c>
      <c r="S364" s="568">
        <v>0</v>
      </c>
      <c r="T364" s="568">
        <f t="shared" si="232"/>
        <v>0</v>
      </c>
      <c r="U364" s="568">
        <f t="shared" si="233"/>
        <v>0</v>
      </c>
    </row>
    <row r="365" spans="1:21" ht="19.5" x14ac:dyDescent="0.3">
      <c r="A365" s="769"/>
      <c r="B365" s="770"/>
      <c r="C365" s="772"/>
      <c r="D365" s="941" t="s">
        <v>149</v>
      </c>
      <c r="E365" s="772"/>
      <c r="F365" s="772"/>
      <c r="G365" s="773"/>
      <c r="H365" s="782" t="s">
        <v>35</v>
      </c>
      <c r="I365" s="775">
        <f t="shared" ref="I365:J365" ca="1" si="240">I371</f>
        <v>805</v>
      </c>
      <c r="J365" s="775">
        <f t="shared" ca="1" si="240"/>
        <v>542</v>
      </c>
      <c r="K365" s="776">
        <f ca="1">IF(I365&gt;0,J365*100/I365,0)</f>
        <v>67.329192546583855</v>
      </c>
      <c r="L365" s="777"/>
      <c r="M365" s="778"/>
      <c r="N365" s="778"/>
      <c r="O365" s="778"/>
      <c r="P365" s="778"/>
      <c r="Q365" s="778"/>
      <c r="R365" s="778"/>
      <c r="S365" s="778"/>
      <c r="T365" s="778"/>
      <c r="U365" s="778"/>
    </row>
    <row r="366" spans="1:21" ht="19.5" x14ac:dyDescent="0.3">
      <c r="A366" s="687"/>
      <c r="B366" s="688"/>
      <c r="C366" s="675" t="s">
        <v>18</v>
      </c>
      <c r="D366" s="689" t="s">
        <v>38</v>
      </c>
      <c r="E366" s="690"/>
      <c r="F366" s="690"/>
      <c r="G366" s="691"/>
      <c r="H366" s="692"/>
      <c r="I366" s="565"/>
      <c r="J366" s="565"/>
      <c r="K366" s="566"/>
      <c r="L366" s="693"/>
      <c r="M366" s="684"/>
      <c r="N366" s="684"/>
      <c r="O366" s="684"/>
      <c r="P366" s="684"/>
      <c r="Q366" s="684"/>
      <c r="R366" s="684"/>
      <c r="S366" s="684"/>
      <c r="T366" s="684"/>
      <c r="U366" s="684"/>
    </row>
    <row r="367" spans="1:21" ht="18.75" x14ac:dyDescent="0.25">
      <c r="A367" s="687"/>
      <c r="B367" s="695"/>
      <c r="C367" s="688"/>
      <c r="D367" s="695"/>
      <c r="E367" s="694" t="s">
        <v>150</v>
      </c>
      <c r="F367" s="695"/>
      <c r="G367" s="692"/>
      <c r="H367" s="704" t="s">
        <v>35</v>
      </c>
      <c r="I367" s="708">
        <v>0</v>
      </c>
      <c r="J367" s="708">
        <f ca="1">IFERROR(__xludf.DUMMYFUNCTION("IMPORTRANGE(""https://docs.google.com/spreadsheets/d/1tdoBKaGub7dwA3U6UFTqxio9LNnvDCQjHKmttSEBsFQ/edit?usp=sharing"",""จัดที่ดิน!AB15"")"),280)</f>
        <v>280</v>
      </c>
      <c r="K367" s="568">
        <f t="shared" ref="K367:K372" si="241">IF(I367&gt;0,J367*100/I367,0)</f>
        <v>0</v>
      </c>
      <c r="L367" s="693"/>
      <c r="M367" s="684"/>
      <c r="N367" s="684"/>
      <c r="O367" s="684"/>
      <c r="P367" s="684"/>
      <c r="Q367" s="684"/>
      <c r="R367" s="684"/>
      <c r="S367" s="684"/>
      <c r="T367" s="684"/>
      <c r="U367" s="684"/>
    </row>
    <row r="368" spans="1:21" ht="18.75" x14ac:dyDescent="0.25">
      <c r="A368" s="687"/>
      <c r="B368" s="695"/>
      <c r="C368" s="688"/>
      <c r="D368" s="695"/>
      <c r="E368" s="695"/>
      <c r="F368" s="695"/>
      <c r="G368" s="692"/>
      <c r="H368" s="704" t="s">
        <v>46</v>
      </c>
      <c r="I368" s="708">
        <f ca="1">IFERROR(__xludf.DUMMYFUNCTION("IMPORTRANGE(""https://docs.google.com/spreadsheets/d/1eHaY18a8A9IcSdp1K8H6x8fbOy06t2VsZHhMHf-1x7Y/edit?usp=sharing"",""แผน!EW15"")"),590)</f>
        <v>590</v>
      </c>
      <c r="J368" s="943">
        <f ca="1">IFERROR(__xludf.DUMMYFUNCTION("IMPORTRANGE(""https://docs.google.com/spreadsheets/d/1tdoBKaGub7dwA3U6UFTqxio9LNnvDCQjHKmttSEBsFQ/edit?usp=sharing"",""จัดที่ดิน!AC15"")"),1204.84)</f>
        <v>1204.8399999999999</v>
      </c>
      <c r="K368" s="568">
        <f t="shared" ca="1" si="241"/>
        <v>204.21016949152539</v>
      </c>
      <c r="L368" s="693"/>
      <c r="M368" s="684"/>
      <c r="N368" s="684"/>
      <c r="O368" s="684"/>
      <c r="P368" s="684"/>
      <c r="Q368" s="684"/>
      <c r="R368" s="684"/>
      <c r="S368" s="684"/>
      <c r="T368" s="684"/>
      <c r="U368" s="684"/>
    </row>
    <row r="369" spans="1:21" ht="18.75" x14ac:dyDescent="0.25">
      <c r="A369" s="687"/>
      <c r="B369" s="695"/>
      <c r="C369" s="688"/>
      <c r="D369" s="695"/>
      <c r="E369" s="694" t="s">
        <v>151</v>
      </c>
      <c r="F369" s="695"/>
      <c r="G369" s="692"/>
      <c r="H369" s="700" t="s">
        <v>35</v>
      </c>
      <c r="I369" s="708">
        <f ca="1">IFERROR(__xludf.DUMMYFUNCTION("IMPORTRANGE(""https://docs.google.com/spreadsheets/d/1eHaY18a8A9IcSdp1K8H6x8fbOy06t2VsZHhMHf-1x7Y/edit?usp=sharing"",""แผน!EX15"")"),805)</f>
        <v>805</v>
      </c>
      <c r="J369" s="708">
        <f ca="1">IFERROR(__xludf.DUMMYFUNCTION("IMPORTRANGE(""https://docs.google.com/spreadsheets/d/1tdoBKaGub7dwA3U6UFTqxio9LNnvDCQjHKmttSEBsFQ/edit?usp=sharing"",""จัดที่ดิน!AD15"")"),694)</f>
        <v>694</v>
      </c>
      <c r="K369" s="568">
        <f t="shared" ca="1" si="241"/>
        <v>86.211180124223603</v>
      </c>
      <c r="L369" s="693"/>
      <c r="M369" s="684"/>
      <c r="N369" s="684"/>
      <c r="O369" s="684"/>
      <c r="P369" s="684"/>
      <c r="Q369" s="684"/>
      <c r="R369" s="684"/>
      <c r="S369" s="684"/>
      <c r="T369" s="684"/>
      <c r="U369" s="684"/>
    </row>
    <row r="370" spans="1:21" ht="18.75" x14ac:dyDescent="0.25">
      <c r="A370" s="687"/>
      <c r="B370" s="695"/>
      <c r="C370" s="688"/>
      <c r="D370" s="695"/>
      <c r="E370" s="695"/>
      <c r="F370" s="695"/>
      <c r="G370" s="692"/>
      <c r="H370" s="700" t="s">
        <v>46</v>
      </c>
      <c r="I370" s="708">
        <v>0</v>
      </c>
      <c r="J370" s="943">
        <f ca="1">IFERROR(__xludf.DUMMYFUNCTION("IMPORTRANGE(""https://docs.google.com/spreadsheets/d/1tdoBKaGub7dwA3U6UFTqxio9LNnvDCQjHKmttSEBsFQ/edit?usp=sharing"",""จัดที่ดิน!AE15"")"),4849.25)</f>
        <v>4849.25</v>
      </c>
      <c r="K370" s="568">
        <f t="shared" si="241"/>
        <v>0</v>
      </c>
      <c r="L370" s="693"/>
      <c r="M370" s="684"/>
      <c r="N370" s="684"/>
      <c r="O370" s="684"/>
      <c r="P370" s="684"/>
      <c r="Q370" s="684"/>
      <c r="R370" s="684"/>
      <c r="S370" s="684"/>
      <c r="T370" s="684"/>
      <c r="U370" s="684"/>
    </row>
    <row r="371" spans="1:21" ht="18.75" x14ac:dyDescent="0.25">
      <c r="A371" s="687"/>
      <c r="B371" s="695"/>
      <c r="C371" s="688"/>
      <c r="D371" s="695"/>
      <c r="E371" s="944" t="s">
        <v>152</v>
      </c>
      <c r="F371" s="695"/>
      <c r="G371" s="692"/>
      <c r="H371" s="700" t="s">
        <v>35</v>
      </c>
      <c r="I371" s="708">
        <f ca="1">IFERROR(__xludf.DUMMYFUNCTION("IMPORTRANGE(""https://docs.google.com/spreadsheets/d/1eHaY18a8A9IcSdp1K8H6x8fbOy06t2VsZHhMHf-1x7Y/edit?usp=sharing"",""แผน!EY15"")"),805)</f>
        <v>805</v>
      </c>
      <c r="J371" s="708">
        <f ca="1">IFERROR(__xludf.DUMMYFUNCTION("IMPORTRANGE(""https://docs.google.com/spreadsheets/d/1tdoBKaGub7dwA3U6UFTqxio9LNnvDCQjHKmttSEBsFQ/edit?usp=sharing"",""จัดที่ดิน!AF15"")"),542)</f>
        <v>542</v>
      </c>
      <c r="K371" s="568">
        <f t="shared" ca="1" si="241"/>
        <v>67.329192546583855</v>
      </c>
      <c r="L371" s="693"/>
      <c r="M371" s="684"/>
      <c r="N371" s="684"/>
      <c r="O371" s="684"/>
      <c r="P371" s="684"/>
      <c r="Q371" s="684"/>
      <c r="R371" s="684"/>
      <c r="S371" s="684"/>
      <c r="T371" s="684"/>
      <c r="U371" s="684"/>
    </row>
    <row r="372" spans="1:21" ht="18.75" x14ac:dyDescent="0.25">
      <c r="A372" s="687"/>
      <c r="B372" s="695"/>
      <c r="C372" s="688"/>
      <c r="D372" s="695"/>
      <c r="E372" s="695"/>
      <c r="F372" s="695"/>
      <c r="G372" s="692"/>
      <c r="H372" s="700" t="s">
        <v>46</v>
      </c>
      <c r="I372" s="708">
        <v>0</v>
      </c>
      <c r="J372" s="943">
        <f ca="1">IFERROR(__xludf.DUMMYFUNCTION("IMPORTRANGE(""https://docs.google.com/spreadsheets/d/1tdoBKaGub7dwA3U6UFTqxio9LNnvDCQjHKmttSEBsFQ/edit?usp=sharing"",""จัดที่ดิน!AG15"")"),3887.54999999999)</f>
        <v>3887.5499999999902</v>
      </c>
      <c r="K372" s="568">
        <f t="shared" si="241"/>
        <v>0</v>
      </c>
      <c r="L372" s="693"/>
      <c r="M372" s="684"/>
      <c r="N372" s="684"/>
      <c r="O372" s="684"/>
      <c r="P372" s="684"/>
      <c r="Q372" s="684"/>
      <c r="R372" s="684"/>
      <c r="S372" s="684"/>
      <c r="T372" s="684"/>
      <c r="U372" s="684"/>
    </row>
    <row r="373" spans="1:21" ht="16.5" x14ac:dyDescent="0.25">
      <c r="A373" s="514"/>
      <c r="B373" s="513"/>
      <c r="C373" s="514"/>
      <c r="D373" s="9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513"/>
      <c r="F373" s="513"/>
      <c r="G373" s="577"/>
      <c r="H373" s="577"/>
      <c r="I373" s="579"/>
      <c r="J373" s="579"/>
      <c r="K373" s="580"/>
      <c r="L373" s="581"/>
      <c r="M373" s="580"/>
      <c r="N373" s="580"/>
      <c r="O373" s="580"/>
      <c r="P373" s="580"/>
      <c r="Q373" s="580"/>
      <c r="R373" s="580"/>
      <c r="S373" s="580"/>
      <c r="T373" s="580"/>
      <c r="U373" s="580"/>
    </row>
    <row r="374" spans="1:21" ht="19.5" x14ac:dyDescent="0.3">
      <c r="A374" s="946"/>
      <c r="B374" s="947" t="s">
        <v>153</v>
      </c>
      <c r="C374" s="948"/>
      <c r="D374" s="949"/>
      <c r="E374" s="950"/>
      <c r="F374" s="950"/>
      <c r="G374" s="951"/>
      <c r="H374" s="952" t="s">
        <v>46</v>
      </c>
      <c r="I374" s="953">
        <f t="shared" ref="I374:J374" ca="1" si="242">I386+I388</f>
        <v>2000</v>
      </c>
      <c r="J374" s="953">
        <f t="shared" ca="1" si="242"/>
        <v>12</v>
      </c>
      <c r="K374" s="954">
        <f ca="1">IF(I374&gt;0,J374*100/I374,0)</f>
        <v>0.6</v>
      </c>
      <c r="L374" s="916"/>
      <c r="M374" s="917"/>
      <c r="N374" s="917"/>
      <c r="O374" s="917"/>
      <c r="P374" s="917"/>
      <c r="Q374" s="917"/>
      <c r="R374" s="917"/>
      <c r="S374" s="917"/>
      <c r="T374" s="917"/>
      <c r="U374" s="917"/>
    </row>
    <row r="375" spans="1:21" ht="19.5" x14ac:dyDescent="0.3">
      <c r="A375" s="674"/>
      <c r="B375" s="718"/>
      <c r="C375" s="719" t="s">
        <v>18</v>
      </c>
      <c r="D375" s="955" t="s">
        <v>19</v>
      </c>
      <c r="E375" s="561"/>
      <c r="F375" s="561"/>
      <c r="G375" s="563"/>
      <c r="H375" s="677" t="s">
        <v>14</v>
      </c>
      <c r="I375" s="565"/>
      <c r="J375" s="565"/>
      <c r="K375" s="566"/>
      <c r="L375" s="678">
        <f t="shared" ref="L375:N375" ca="1" si="243">L376+L377</f>
        <v>0</v>
      </c>
      <c r="M375" s="679">
        <f t="shared" ca="1" si="243"/>
        <v>0</v>
      </c>
      <c r="N375" s="679">
        <f t="shared" ca="1" si="243"/>
        <v>0</v>
      </c>
      <c r="O375" s="679">
        <f t="shared" ref="O375:O383" ca="1" si="244">IF(L375&gt;0,N375*100/L375,0)</f>
        <v>0</v>
      </c>
      <c r="P375" s="679">
        <f t="shared" ref="P375:P383" ca="1" si="245">IF(M375&gt;0,N375*100/M375,0)</f>
        <v>0</v>
      </c>
      <c r="Q375" s="679">
        <f t="shared" ref="Q375:S375" ca="1" si="246">Q376+Q377</f>
        <v>125000</v>
      </c>
      <c r="R375" s="679">
        <f t="shared" ca="1" si="246"/>
        <v>125000</v>
      </c>
      <c r="S375" s="679">
        <f t="shared" ca="1" si="246"/>
        <v>0</v>
      </c>
      <c r="T375" s="679">
        <f t="shared" ref="T375:T383" ca="1" si="247">IF(Q375&gt;0,S375*100/Q375,0)</f>
        <v>0</v>
      </c>
      <c r="U375" s="679">
        <f t="shared" ref="U375:U383" ca="1" si="248">IF(R375&gt;0,S375*100/R375,0)</f>
        <v>0</v>
      </c>
    </row>
    <row r="376" spans="1:21" ht="18.75" x14ac:dyDescent="0.25">
      <c r="A376" s="674"/>
      <c r="B376" s="718"/>
      <c r="C376" s="718"/>
      <c r="D376" s="718"/>
      <c r="E376" s="569" t="s">
        <v>20</v>
      </c>
      <c r="F376" s="561"/>
      <c r="G376" s="563"/>
      <c r="H376" s="680" t="s">
        <v>14</v>
      </c>
      <c r="I376" s="565"/>
      <c r="J376" s="565"/>
      <c r="K376" s="566"/>
      <c r="L376" s="571">
        <f t="shared" ref="L376:N377" si="249">L379+L382</f>
        <v>0</v>
      </c>
      <c r="M376" s="572">
        <f t="shared" si="249"/>
        <v>0</v>
      </c>
      <c r="N376" s="572">
        <f t="shared" si="249"/>
        <v>0</v>
      </c>
      <c r="O376" s="572">
        <f t="shared" si="244"/>
        <v>0</v>
      </c>
      <c r="P376" s="572">
        <f t="shared" si="245"/>
        <v>0</v>
      </c>
      <c r="Q376" s="572">
        <f t="shared" ref="Q376:S377" si="250">Q379+Q382</f>
        <v>0</v>
      </c>
      <c r="R376" s="572">
        <f t="shared" si="250"/>
        <v>0</v>
      </c>
      <c r="S376" s="572">
        <f t="shared" si="250"/>
        <v>0</v>
      </c>
      <c r="T376" s="572">
        <f t="shared" si="247"/>
        <v>0</v>
      </c>
      <c r="U376" s="572">
        <f t="shared" si="248"/>
        <v>0</v>
      </c>
    </row>
    <row r="377" spans="1:21" ht="18.75" x14ac:dyDescent="0.25">
      <c r="A377" s="674"/>
      <c r="B377" s="718"/>
      <c r="C377" s="718"/>
      <c r="D377" s="718"/>
      <c r="E377" s="573" t="s">
        <v>21</v>
      </c>
      <c r="F377" s="561"/>
      <c r="G377" s="563"/>
      <c r="H377" s="681" t="s">
        <v>14</v>
      </c>
      <c r="I377" s="565"/>
      <c r="J377" s="565"/>
      <c r="K377" s="566"/>
      <c r="L377" s="567">
        <f t="shared" ca="1" si="249"/>
        <v>0</v>
      </c>
      <c r="M377" s="568">
        <f t="shared" ca="1" si="249"/>
        <v>0</v>
      </c>
      <c r="N377" s="568">
        <f t="shared" ca="1" si="249"/>
        <v>0</v>
      </c>
      <c r="O377" s="568">
        <f t="shared" ca="1" si="244"/>
        <v>0</v>
      </c>
      <c r="P377" s="568">
        <f t="shared" ca="1" si="245"/>
        <v>0</v>
      </c>
      <c r="Q377" s="568">
        <f t="shared" ca="1" si="250"/>
        <v>125000</v>
      </c>
      <c r="R377" s="568">
        <f t="shared" ca="1" si="250"/>
        <v>125000</v>
      </c>
      <c r="S377" s="568">
        <f t="shared" ca="1" si="250"/>
        <v>0</v>
      </c>
      <c r="T377" s="568">
        <f t="shared" ca="1" si="247"/>
        <v>0</v>
      </c>
      <c r="U377" s="568">
        <f t="shared" ca="1" si="248"/>
        <v>0</v>
      </c>
    </row>
    <row r="378" spans="1:21" ht="18.75" x14ac:dyDescent="0.25">
      <c r="A378" s="674"/>
      <c r="B378" s="718"/>
      <c r="C378" s="718"/>
      <c r="D378" s="721" t="s">
        <v>22</v>
      </c>
      <c r="E378" s="561"/>
      <c r="F378" s="561"/>
      <c r="G378" s="563"/>
      <c r="H378" s="682" t="s">
        <v>14</v>
      </c>
      <c r="I378" s="683"/>
      <c r="J378" s="683"/>
      <c r="K378" s="684"/>
      <c r="L378" s="567">
        <f t="shared" ref="L378:N378" ca="1" si="251">L379+L380</f>
        <v>0</v>
      </c>
      <c r="M378" s="568">
        <f t="shared" ca="1" si="251"/>
        <v>0</v>
      </c>
      <c r="N378" s="568">
        <f t="shared" ca="1" si="251"/>
        <v>0</v>
      </c>
      <c r="O378" s="568">
        <f t="shared" ca="1" si="244"/>
        <v>0</v>
      </c>
      <c r="P378" s="568">
        <f t="shared" ca="1" si="245"/>
        <v>0</v>
      </c>
      <c r="Q378" s="568">
        <f t="shared" ref="Q378:S378" ca="1" si="252">Q379+Q380</f>
        <v>125000</v>
      </c>
      <c r="R378" s="568">
        <f t="shared" ca="1" si="252"/>
        <v>125000</v>
      </c>
      <c r="S378" s="568">
        <f t="shared" ca="1" si="252"/>
        <v>0</v>
      </c>
      <c r="T378" s="568">
        <f t="shared" ca="1" si="247"/>
        <v>0</v>
      </c>
      <c r="U378" s="568">
        <f t="shared" ca="1" si="248"/>
        <v>0</v>
      </c>
    </row>
    <row r="379" spans="1:21" ht="18.75" x14ac:dyDescent="0.25">
      <c r="A379" s="674"/>
      <c r="B379" s="718"/>
      <c r="C379" s="718"/>
      <c r="D379" s="718"/>
      <c r="E379" s="569" t="s">
        <v>36</v>
      </c>
      <c r="F379" s="561"/>
      <c r="G379" s="563"/>
      <c r="H379" s="685" t="s">
        <v>14</v>
      </c>
      <c r="I379" s="683"/>
      <c r="J379" s="683"/>
      <c r="K379" s="684"/>
      <c r="L379" s="571">
        <v>0</v>
      </c>
      <c r="M379" s="572">
        <v>0</v>
      </c>
      <c r="N379" s="572">
        <v>0</v>
      </c>
      <c r="O379" s="572">
        <f t="shared" si="244"/>
        <v>0</v>
      </c>
      <c r="P379" s="572">
        <f t="shared" si="245"/>
        <v>0</v>
      </c>
      <c r="Q379" s="572">
        <v>0</v>
      </c>
      <c r="R379" s="572">
        <v>0</v>
      </c>
      <c r="S379" s="572">
        <v>0</v>
      </c>
      <c r="T379" s="572">
        <f t="shared" si="247"/>
        <v>0</v>
      </c>
      <c r="U379" s="572">
        <f t="shared" si="248"/>
        <v>0</v>
      </c>
    </row>
    <row r="380" spans="1:21" ht="18.75" x14ac:dyDescent="0.25">
      <c r="A380" s="674"/>
      <c r="B380" s="718"/>
      <c r="C380" s="718"/>
      <c r="D380" s="718"/>
      <c r="E380" s="765" t="s">
        <v>37</v>
      </c>
      <c r="F380" s="718"/>
      <c r="G380" s="727"/>
      <c r="H380" s="682" t="s">
        <v>14</v>
      </c>
      <c r="I380" s="683"/>
      <c r="J380" s="683"/>
      <c r="K380" s="684"/>
      <c r="L380" s="567">
        <f ca="1">IFERROR(__xludf.DUMMYFUNCTION("IMPORTRANGE(""https://docs.google.com/spreadsheets/d/1-uDff_7J0KD5mKrp0Vvzr7lt3OU09vwQwhkpOPPYv2Y/edit?usp=sharing"",""งบพรบ!IE15"")"),0)</f>
        <v>0</v>
      </c>
      <c r="M380" s="568">
        <f ca="1">IFERROR(__xludf.DUMMYFUNCTION("IMPORTRANGE(""https://docs.google.com/spreadsheets/d/1-uDff_7J0KD5mKrp0Vvzr7lt3OU09vwQwhkpOPPYv2Y/edit?usp=sharing"",""งบพรบ!IJ15"")"),0)</f>
        <v>0</v>
      </c>
      <c r="N380" s="568">
        <f ca="1">IFERROR(__xludf.DUMMYFUNCTION("IMPORTRANGE(""https://docs.google.com/spreadsheets/d/1-uDff_7J0KD5mKrp0Vvzr7lt3OU09vwQwhkpOPPYv2Y/edit?usp=sharing"",""งบพรบ!IL15"")"),0)</f>
        <v>0</v>
      </c>
      <c r="O380" s="568">
        <f t="shared" ca="1" si="244"/>
        <v>0</v>
      </c>
      <c r="P380" s="568">
        <f t="shared" ca="1" si="245"/>
        <v>0</v>
      </c>
      <c r="Q380" s="568">
        <f ca="1">IFERROR(__xludf.DUMMYFUNCTION("IMPORTRANGE(""https://docs.google.com/spreadsheets/d/1ItG2mGa2ceCfYo0BwxsXqNm01IGEUdYcSSLTEv9YCik/edit?usp=sharing"",""เบิกจ่ายกองทุน!BW15"")"),125000)</f>
        <v>125000</v>
      </c>
      <c r="R380" s="568">
        <f ca="1">IFERROR(__xludf.DUMMYFUNCTION("IMPORTRANGE(""https://docs.google.com/spreadsheets/d/1ItG2mGa2ceCfYo0BwxsXqNm01IGEUdYcSSLTEv9YCik/edit?usp=sharing"",""เบิกจ่ายกองทุน!BX15"")"),125000)</f>
        <v>125000</v>
      </c>
      <c r="S380" s="568">
        <f ca="1">IFERROR(__xludf.DUMMYFUNCTION("IMPORTRANGE(""https://docs.google.com/spreadsheets/d/1ItG2mGa2ceCfYo0BwxsXqNm01IGEUdYcSSLTEv9YCik/edit?usp=sharing"",""เบิกจ่ายกองทุน!BY15"")"),0)</f>
        <v>0</v>
      </c>
      <c r="T380" s="568">
        <f t="shared" ca="1" si="247"/>
        <v>0</v>
      </c>
      <c r="U380" s="568">
        <f t="shared" ca="1" si="248"/>
        <v>0</v>
      </c>
    </row>
    <row r="381" spans="1:21" ht="18.75" x14ac:dyDescent="0.25">
      <c r="A381" s="674"/>
      <c r="B381" s="718"/>
      <c r="C381" s="718"/>
      <c r="D381" s="721" t="s">
        <v>23</v>
      </c>
      <c r="E381" s="561"/>
      <c r="F381" s="561"/>
      <c r="G381" s="563"/>
      <c r="H381" s="686" t="s">
        <v>14</v>
      </c>
      <c r="I381" s="683"/>
      <c r="J381" s="683"/>
      <c r="K381" s="684"/>
      <c r="L381" s="567">
        <f t="shared" ref="L381:N381" ca="1" si="253">L382+L383</f>
        <v>0</v>
      </c>
      <c r="M381" s="568">
        <f t="shared" ca="1" si="253"/>
        <v>0</v>
      </c>
      <c r="N381" s="568">
        <f t="shared" ca="1" si="253"/>
        <v>0</v>
      </c>
      <c r="O381" s="568">
        <f t="shared" ca="1" si="244"/>
        <v>0</v>
      </c>
      <c r="P381" s="568">
        <f t="shared" ca="1" si="245"/>
        <v>0</v>
      </c>
      <c r="Q381" s="568">
        <f t="shared" ref="Q381:S381" si="254">Q382+Q383</f>
        <v>0</v>
      </c>
      <c r="R381" s="568">
        <f t="shared" si="254"/>
        <v>0</v>
      </c>
      <c r="S381" s="568">
        <f t="shared" si="254"/>
        <v>0</v>
      </c>
      <c r="T381" s="568">
        <f t="shared" si="247"/>
        <v>0</v>
      </c>
      <c r="U381" s="568">
        <f t="shared" si="248"/>
        <v>0</v>
      </c>
    </row>
    <row r="382" spans="1:21" ht="18.75" x14ac:dyDescent="0.25">
      <c r="A382" s="674"/>
      <c r="B382" s="718"/>
      <c r="C382" s="718"/>
      <c r="D382" s="718"/>
      <c r="E382" s="569" t="s">
        <v>20</v>
      </c>
      <c r="F382" s="561"/>
      <c r="G382" s="563"/>
      <c r="H382" s="685" t="s">
        <v>14</v>
      </c>
      <c r="I382" s="683"/>
      <c r="J382" s="683"/>
      <c r="K382" s="684"/>
      <c r="L382" s="571">
        <v>0</v>
      </c>
      <c r="M382" s="572">
        <v>0</v>
      </c>
      <c r="N382" s="572">
        <v>0</v>
      </c>
      <c r="O382" s="572">
        <f t="shared" si="244"/>
        <v>0</v>
      </c>
      <c r="P382" s="572">
        <f t="shared" si="245"/>
        <v>0</v>
      </c>
      <c r="Q382" s="572">
        <v>0</v>
      </c>
      <c r="R382" s="572">
        <v>0</v>
      </c>
      <c r="S382" s="572">
        <v>0</v>
      </c>
      <c r="T382" s="572">
        <f t="shared" si="247"/>
        <v>0</v>
      </c>
      <c r="U382" s="572">
        <f t="shared" si="248"/>
        <v>0</v>
      </c>
    </row>
    <row r="383" spans="1:21" ht="18.75" x14ac:dyDescent="0.25">
      <c r="A383" s="674"/>
      <c r="B383" s="718"/>
      <c r="C383" s="718"/>
      <c r="D383" s="718"/>
      <c r="E383" s="573" t="s">
        <v>21</v>
      </c>
      <c r="F383" s="561"/>
      <c r="G383" s="563"/>
      <c r="H383" s="686" t="s">
        <v>14</v>
      </c>
      <c r="I383" s="683"/>
      <c r="J383" s="683"/>
      <c r="K383" s="684"/>
      <c r="L383" s="567">
        <f ca="1">IFERROR(__xludf.DUMMYFUNCTION("IMPORTRANGE(""https://docs.google.com/spreadsheets/d/1-uDff_7J0KD5mKrp0Vvzr7lt3OU09vwQwhkpOPPYv2Y/edit?usp=sharing"",""งบพรบ!IH15"")"),0)</f>
        <v>0</v>
      </c>
      <c r="M383" s="568">
        <f ca="1">IFERROR(__xludf.DUMMYFUNCTION("IMPORTRANGE(""https://docs.google.com/spreadsheets/d/1-uDff_7J0KD5mKrp0Vvzr7lt3OU09vwQwhkpOPPYv2Y/edit?usp=sharing"",""งบพรบ!IK15"")"),0)</f>
        <v>0</v>
      </c>
      <c r="N383" s="568">
        <f ca="1">IFERROR(__xludf.DUMMYFUNCTION("IMPORTRANGE(""https://docs.google.com/spreadsheets/d/1-uDff_7J0KD5mKrp0Vvzr7lt3OU09vwQwhkpOPPYv2Y/edit?usp=sharing"",""งบพรบ!IM15"")"),0)</f>
        <v>0</v>
      </c>
      <c r="O383" s="568">
        <f t="shared" ca="1" si="244"/>
        <v>0</v>
      </c>
      <c r="P383" s="568">
        <f t="shared" ca="1" si="245"/>
        <v>0</v>
      </c>
      <c r="Q383" s="568">
        <v>0</v>
      </c>
      <c r="R383" s="568">
        <v>0</v>
      </c>
      <c r="S383" s="568">
        <v>0</v>
      </c>
      <c r="T383" s="568">
        <f t="shared" si="247"/>
        <v>0</v>
      </c>
      <c r="U383" s="568">
        <f t="shared" si="248"/>
        <v>0</v>
      </c>
    </row>
    <row r="384" spans="1:21" ht="19.5" x14ac:dyDescent="0.3">
      <c r="A384" s="687"/>
      <c r="B384" s="688"/>
      <c r="C384" s="719" t="s">
        <v>18</v>
      </c>
      <c r="D384" s="956" t="s">
        <v>38</v>
      </c>
      <c r="E384" s="690"/>
      <c r="F384" s="690"/>
      <c r="G384" s="691"/>
      <c r="H384" s="725"/>
      <c r="I384" s="683"/>
      <c r="J384" s="565"/>
      <c r="K384" s="566"/>
      <c r="L384" s="574"/>
      <c r="M384" s="566"/>
      <c r="N384" s="566"/>
      <c r="O384" s="684"/>
      <c r="P384" s="684"/>
      <c r="Q384" s="566"/>
      <c r="R384" s="566"/>
      <c r="S384" s="566"/>
      <c r="T384" s="684"/>
      <c r="U384" s="684"/>
    </row>
    <row r="385" spans="1:21" ht="18.75" x14ac:dyDescent="0.25">
      <c r="A385" s="764"/>
      <c r="B385" s="718"/>
      <c r="C385" s="718"/>
      <c r="D385" s="718"/>
      <c r="E385" s="573" t="s">
        <v>154</v>
      </c>
      <c r="F385" s="561"/>
      <c r="G385" s="563"/>
      <c r="H385" s="681" t="s">
        <v>34</v>
      </c>
      <c r="I385" s="708">
        <v>0</v>
      </c>
      <c r="J385" s="708">
        <f ca="1">IFERROR(__xludf.DUMMYFUNCTION("IMPORTRANGE(""https://docs.google.com/spreadsheets/d/1w5rwWK1o49a35cNtocGL0gxDwhFSTZUQu90BiH9_zqM/edit?usp=sharing"",""RTK!H15"")"),3)</f>
        <v>3</v>
      </c>
      <c r="K385" s="568">
        <f t="shared" ref="K385:K388" si="255">IF(I385&gt;0,J385*100/I385,0)</f>
        <v>0</v>
      </c>
      <c r="L385" s="574"/>
      <c r="M385" s="566"/>
      <c r="N385" s="566"/>
      <c r="O385" s="566"/>
      <c r="P385" s="566"/>
      <c r="Q385" s="566"/>
      <c r="R385" s="566"/>
      <c r="S385" s="566"/>
      <c r="T385" s="566"/>
      <c r="U385" s="566"/>
    </row>
    <row r="386" spans="1:21" ht="18.75" x14ac:dyDescent="0.25">
      <c r="A386" s="718"/>
      <c r="B386" s="718"/>
      <c r="C386" s="718"/>
      <c r="D386" s="718"/>
      <c r="E386" s="718"/>
      <c r="F386" s="718"/>
      <c r="G386" s="727"/>
      <c r="H386" s="681" t="s">
        <v>46</v>
      </c>
      <c r="I386" s="708">
        <f ca="1">IFERROR(__xludf.DUMMYFUNCTION("IMPORTRANGE(""https://docs.google.com/spreadsheets/d/1w5rwWK1o49a35cNtocGL0gxDwhFSTZUQu90BiH9_zqM/edit?usp=sharing"",""RTK!G15"")"),2000)</f>
        <v>2000</v>
      </c>
      <c r="J386" s="708">
        <f ca="1">IFERROR(__xludf.DUMMYFUNCTION("IMPORTRANGE(""https://docs.google.com/spreadsheets/d/1w5rwWK1o49a35cNtocGL0gxDwhFSTZUQu90BiH9_zqM/edit?usp=sharing"",""RTK!I15"")"),12)</f>
        <v>12</v>
      </c>
      <c r="K386" s="568">
        <f t="shared" ca="1" si="255"/>
        <v>0.6</v>
      </c>
      <c r="L386" s="574"/>
      <c r="M386" s="566"/>
      <c r="N386" s="566"/>
      <c r="O386" s="566"/>
      <c r="P386" s="566"/>
      <c r="Q386" s="566"/>
      <c r="R386" s="566"/>
      <c r="S386" s="566"/>
      <c r="T386" s="566"/>
      <c r="U386" s="566"/>
    </row>
    <row r="387" spans="1:21" ht="18.75" x14ac:dyDescent="0.25">
      <c r="A387" s="957"/>
      <c r="B387" s="957"/>
      <c r="C387" s="957"/>
      <c r="D387" s="957"/>
      <c r="E387" s="958" t="s">
        <v>155</v>
      </c>
      <c r="F387" s="957"/>
      <c r="G387" s="959"/>
      <c r="H387" s="839" t="s">
        <v>34</v>
      </c>
      <c r="I387" s="960">
        <v>0</v>
      </c>
      <c r="J387" s="960">
        <f ca="1">IFERROR(__xludf.DUMMYFUNCTION("IMPORTRANGE(""https://docs.google.com/spreadsheets/d/1w5rwWK1o49a35cNtocGL0gxDwhFSTZUQu90BiH9_zqM/edit?usp=sharing"",""RTK!L15"")"),0)</f>
        <v>0</v>
      </c>
      <c r="K387" s="841">
        <f t="shared" si="255"/>
        <v>0</v>
      </c>
      <c r="L387" s="1106"/>
      <c r="M387" s="830"/>
      <c r="N387" s="830"/>
      <c r="O387" s="830"/>
      <c r="P387" s="830"/>
      <c r="Q387" s="830"/>
      <c r="R387" s="830"/>
      <c r="S387" s="830"/>
      <c r="T387" s="830"/>
      <c r="U387" s="830"/>
    </row>
    <row r="388" spans="1:21" ht="18.75" x14ac:dyDescent="0.25">
      <c r="A388" s="957"/>
      <c r="B388" s="957"/>
      <c r="C388" s="957"/>
      <c r="D388" s="957"/>
      <c r="E388" s="957"/>
      <c r="F388" s="957"/>
      <c r="G388" s="959"/>
      <c r="H388" s="839" t="s">
        <v>46</v>
      </c>
      <c r="I388" s="960">
        <f ca="1">IFERROR(__xludf.DUMMYFUNCTION("IMPORTRANGE(""https://docs.google.com/spreadsheets/d/1w5rwWK1o49a35cNtocGL0gxDwhFSTZUQu90BiH9_zqM/edit?usp=sharing"",""RTK!K15"")"),0)</f>
        <v>0</v>
      </c>
      <c r="J388" s="960">
        <f ca="1">IFERROR(__xludf.DUMMYFUNCTION("IMPORTRANGE(""https://docs.google.com/spreadsheets/d/1w5rwWK1o49a35cNtocGL0gxDwhFSTZUQu90BiH9_zqM/edit?usp=sharing"",""RTK!M15"")"),0)</f>
        <v>0</v>
      </c>
      <c r="K388" s="841">
        <f t="shared" ca="1" si="255"/>
        <v>0</v>
      </c>
      <c r="L388" s="1106"/>
      <c r="M388" s="830"/>
      <c r="N388" s="830"/>
      <c r="O388" s="830"/>
      <c r="P388" s="830"/>
      <c r="Q388" s="830"/>
      <c r="R388" s="830"/>
      <c r="S388" s="830"/>
      <c r="T388" s="830"/>
      <c r="U388" s="830"/>
    </row>
    <row r="389" spans="1:21" ht="12.75" hidden="1" x14ac:dyDescent="0.2">
      <c r="A389" s="961"/>
      <c r="B389" s="961"/>
      <c r="C389" s="961"/>
      <c r="D389" s="961"/>
      <c r="E389" s="961"/>
      <c r="F389" s="961"/>
      <c r="G389" s="962"/>
      <c r="H389" s="962"/>
      <c r="I389" s="963"/>
      <c r="J389" s="963"/>
      <c r="K389" s="964"/>
      <c r="L389" s="965"/>
      <c r="M389" s="964"/>
      <c r="N389" s="964"/>
      <c r="O389" s="964"/>
      <c r="P389" s="964"/>
      <c r="Q389" s="964"/>
      <c r="R389" s="964"/>
      <c r="S389" s="964"/>
      <c r="T389" s="964"/>
      <c r="U389" s="964"/>
    </row>
    <row r="390" spans="1:21" ht="12.75" hidden="1" x14ac:dyDescent="0.2">
      <c r="A390" s="966"/>
      <c r="B390" s="966"/>
      <c r="C390" s="966"/>
      <c r="D390" s="966"/>
      <c r="E390" s="966"/>
      <c r="F390" s="966"/>
      <c r="G390" s="967"/>
      <c r="H390" s="967"/>
      <c r="I390" s="968"/>
      <c r="J390" s="968"/>
      <c r="K390" s="969"/>
      <c r="L390" s="970"/>
      <c r="M390" s="969"/>
      <c r="N390" s="969"/>
      <c r="O390" s="969"/>
      <c r="P390" s="969"/>
      <c r="Q390" s="969"/>
      <c r="R390" s="969"/>
      <c r="S390" s="969"/>
      <c r="T390" s="969"/>
      <c r="U390" s="969"/>
    </row>
    <row r="391" spans="1:21" ht="19.5" x14ac:dyDescent="0.3">
      <c r="A391" s="926"/>
      <c r="B391" s="971" t="s">
        <v>156</v>
      </c>
      <c r="C391" s="927"/>
      <c r="D391" s="928"/>
      <c r="E391" s="911"/>
      <c r="F391" s="911"/>
      <c r="G391" s="912"/>
      <c r="H391" s="972" t="s">
        <v>61</v>
      </c>
      <c r="I391" s="942">
        <f t="shared" ref="I391:J391" si="256">I402</f>
        <v>0</v>
      </c>
      <c r="J391" s="942">
        <f t="shared" si="256"/>
        <v>0</v>
      </c>
      <c r="K391" s="915">
        <f>IF(I391&gt;0,J391*100/I391,0)</f>
        <v>0</v>
      </c>
      <c r="L391" s="916"/>
      <c r="M391" s="917"/>
      <c r="N391" s="917"/>
      <c r="O391" s="917"/>
      <c r="P391" s="917"/>
      <c r="Q391" s="917"/>
      <c r="R391" s="917"/>
      <c r="S391" s="917"/>
      <c r="T391" s="917"/>
      <c r="U391" s="917"/>
    </row>
    <row r="392" spans="1:21" ht="19.5" x14ac:dyDescent="0.3">
      <c r="A392" s="674"/>
      <c r="B392" s="718"/>
      <c r="C392" s="719" t="s">
        <v>18</v>
      </c>
      <c r="D392" s="955" t="s">
        <v>19</v>
      </c>
      <c r="E392" s="561"/>
      <c r="F392" s="561"/>
      <c r="G392" s="563"/>
      <c r="H392" s="677" t="s">
        <v>14</v>
      </c>
      <c r="I392" s="565"/>
      <c r="J392" s="565"/>
      <c r="K392" s="566"/>
      <c r="L392" s="678">
        <f t="shared" ref="L392:N392" si="257">L393+L394</f>
        <v>0</v>
      </c>
      <c r="M392" s="679">
        <f t="shared" si="257"/>
        <v>0</v>
      </c>
      <c r="N392" s="679">
        <f t="shared" si="257"/>
        <v>0</v>
      </c>
      <c r="O392" s="679">
        <f t="shared" ref="O392:O400" si="258">IF(L392&gt;0,N392*100/L392,0)</f>
        <v>0</v>
      </c>
      <c r="P392" s="679">
        <f t="shared" ref="P392:P400" si="259">IF(M392&gt;0,N392*100/M392,0)</f>
        <v>0</v>
      </c>
      <c r="Q392" s="679">
        <f t="shared" ref="Q392:S392" ca="1" si="260">Q393+Q394</f>
        <v>0</v>
      </c>
      <c r="R392" s="679">
        <f t="shared" ca="1" si="260"/>
        <v>0</v>
      </c>
      <c r="S392" s="679">
        <f t="shared" ca="1" si="260"/>
        <v>0</v>
      </c>
      <c r="T392" s="679">
        <f t="shared" ref="T392:T400" ca="1" si="261">IF(Q392&gt;0,S392*100/Q392,0)</f>
        <v>0</v>
      </c>
      <c r="U392" s="679">
        <f t="shared" ref="U392:U400" ca="1" si="262">IF(R392&gt;0,S392*100/R392,0)</f>
        <v>0</v>
      </c>
    </row>
    <row r="393" spans="1:21" ht="18.75" x14ac:dyDescent="0.25">
      <c r="A393" s="674"/>
      <c r="B393" s="718"/>
      <c r="C393" s="718"/>
      <c r="D393" s="718"/>
      <c r="E393" s="569" t="s">
        <v>20</v>
      </c>
      <c r="F393" s="561"/>
      <c r="G393" s="563"/>
      <c r="H393" s="680" t="s">
        <v>14</v>
      </c>
      <c r="I393" s="565"/>
      <c r="J393" s="565"/>
      <c r="K393" s="566"/>
      <c r="L393" s="571">
        <f t="shared" ref="L393:N394" si="263">L396+L399</f>
        <v>0</v>
      </c>
      <c r="M393" s="572">
        <f t="shared" si="263"/>
        <v>0</v>
      </c>
      <c r="N393" s="572">
        <f t="shared" si="263"/>
        <v>0</v>
      </c>
      <c r="O393" s="572">
        <f t="shared" si="258"/>
        <v>0</v>
      </c>
      <c r="P393" s="572">
        <f t="shared" si="259"/>
        <v>0</v>
      </c>
      <c r="Q393" s="572">
        <f t="shared" ref="Q393:S394" si="264">Q396+Q399</f>
        <v>0</v>
      </c>
      <c r="R393" s="572">
        <f t="shared" si="264"/>
        <v>0</v>
      </c>
      <c r="S393" s="572">
        <f t="shared" si="264"/>
        <v>0</v>
      </c>
      <c r="T393" s="572">
        <f t="shared" si="261"/>
        <v>0</v>
      </c>
      <c r="U393" s="572">
        <f t="shared" si="262"/>
        <v>0</v>
      </c>
    </row>
    <row r="394" spans="1:21" ht="18.75" x14ac:dyDescent="0.25">
      <c r="A394" s="674"/>
      <c r="B394" s="718"/>
      <c r="C394" s="718"/>
      <c r="D394" s="718"/>
      <c r="E394" s="573" t="s">
        <v>21</v>
      </c>
      <c r="F394" s="561"/>
      <c r="G394" s="563"/>
      <c r="H394" s="681" t="s">
        <v>14</v>
      </c>
      <c r="I394" s="565"/>
      <c r="J394" s="565"/>
      <c r="K394" s="566"/>
      <c r="L394" s="567">
        <f t="shared" si="263"/>
        <v>0</v>
      </c>
      <c r="M394" s="568">
        <f t="shared" si="263"/>
        <v>0</v>
      </c>
      <c r="N394" s="568">
        <f t="shared" si="263"/>
        <v>0</v>
      </c>
      <c r="O394" s="568">
        <f t="shared" si="258"/>
        <v>0</v>
      </c>
      <c r="P394" s="568">
        <f t="shared" si="259"/>
        <v>0</v>
      </c>
      <c r="Q394" s="568">
        <f t="shared" ca="1" si="264"/>
        <v>0</v>
      </c>
      <c r="R394" s="568">
        <f t="shared" ca="1" si="264"/>
        <v>0</v>
      </c>
      <c r="S394" s="568">
        <f t="shared" ca="1" si="264"/>
        <v>0</v>
      </c>
      <c r="T394" s="568">
        <f t="shared" ca="1" si="261"/>
        <v>0</v>
      </c>
      <c r="U394" s="568">
        <f t="shared" ca="1" si="262"/>
        <v>0</v>
      </c>
    </row>
    <row r="395" spans="1:21" ht="18.75" x14ac:dyDescent="0.25">
      <c r="A395" s="674"/>
      <c r="B395" s="718"/>
      <c r="C395" s="718"/>
      <c r="D395" s="721" t="s">
        <v>22</v>
      </c>
      <c r="E395" s="561"/>
      <c r="F395" s="561"/>
      <c r="G395" s="563"/>
      <c r="H395" s="682" t="s">
        <v>14</v>
      </c>
      <c r="I395" s="683"/>
      <c r="J395" s="683"/>
      <c r="K395" s="684"/>
      <c r="L395" s="567">
        <f t="shared" ref="L395:N395" si="265">L396+L397</f>
        <v>0</v>
      </c>
      <c r="M395" s="568">
        <f t="shared" si="265"/>
        <v>0</v>
      </c>
      <c r="N395" s="568">
        <f t="shared" si="265"/>
        <v>0</v>
      </c>
      <c r="O395" s="568">
        <f t="shared" si="258"/>
        <v>0</v>
      </c>
      <c r="P395" s="568">
        <f t="shared" si="259"/>
        <v>0</v>
      </c>
      <c r="Q395" s="568">
        <f t="shared" ref="Q395:S395" ca="1" si="266">Q396+Q397</f>
        <v>0</v>
      </c>
      <c r="R395" s="568">
        <f t="shared" ca="1" si="266"/>
        <v>0</v>
      </c>
      <c r="S395" s="568">
        <f t="shared" ca="1" si="266"/>
        <v>0</v>
      </c>
      <c r="T395" s="568">
        <f t="shared" ca="1" si="261"/>
        <v>0</v>
      </c>
      <c r="U395" s="568">
        <f t="shared" ca="1" si="262"/>
        <v>0</v>
      </c>
    </row>
    <row r="396" spans="1:21" ht="18.75" x14ac:dyDescent="0.25">
      <c r="A396" s="674"/>
      <c r="B396" s="718"/>
      <c r="C396" s="718"/>
      <c r="D396" s="718"/>
      <c r="E396" s="569" t="s">
        <v>36</v>
      </c>
      <c r="F396" s="561"/>
      <c r="G396" s="563"/>
      <c r="H396" s="685" t="s">
        <v>14</v>
      </c>
      <c r="I396" s="683"/>
      <c r="J396" s="683"/>
      <c r="K396" s="684"/>
      <c r="L396" s="571">
        <v>0</v>
      </c>
      <c r="M396" s="572">
        <v>0</v>
      </c>
      <c r="N396" s="572">
        <v>0</v>
      </c>
      <c r="O396" s="572">
        <f t="shared" si="258"/>
        <v>0</v>
      </c>
      <c r="P396" s="572">
        <f t="shared" si="259"/>
        <v>0</v>
      </c>
      <c r="Q396" s="572">
        <v>0</v>
      </c>
      <c r="R396" s="572">
        <v>0</v>
      </c>
      <c r="S396" s="572">
        <v>0</v>
      </c>
      <c r="T396" s="572">
        <f t="shared" si="261"/>
        <v>0</v>
      </c>
      <c r="U396" s="572">
        <f t="shared" si="262"/>
        <v>0</v>
      </c>
    </row>
    <row r="397" spans="1:21" ht="18.75" x14ac:dyDescent="0.25">
      <c r="A397" s="674"/>
      <c r="B397" s="718"/>
      <c r="C397" s="718"/>
      <c r="D397" s="718"/>
      <c r="E397" s="765" t="s">
        <v>37</v>
      </c>
      <c r="F397" s="718"/>
      <c r="G397" s="727"/>
      <c r="H397" s="682" t="s">
        <v>14</v>
      </c>
      <c r="I397" s="683"/>
      <c r="J397" s="683"/>
      <c r="K397" s="684"/>
      <c r="L397" s="567">
        <v>0</v>
      </c>
      <c r="M397" s="568">
        <v>0</v>
      </c>
      <c r="N397" s="568">
        <v>0</v>
      </c>
      <c r="O397" s="568">
        <f t="shared" si="258"/>
        <v>0</v>
      </c>
      <c r="P397" s="568">
        <f t="shared" si="259"/>
        <v>0</v>
      </c>
      <c r="Q397" s="568">
        <f ca="1">IFERROR(__xludf.DUMMYFUNCTION("IMPORTRANGE(""https://docs.google.com/spreadsheets/d/1ItG2mGa2ceCfYo0BwxsXqNm01IGEUdYcSSLTEv9YCik/edit?usp=sharing"",""เบิกจ่ายกองทุน!CL15"")"),0)</f>
        <v>0</v>
      </c>
      <c r="R397" s="568">
        <f ca="1">IFERROR(__xludf.DUMMYFUNCTION("IMPORTRANGE(""https://docs.google.com/spreadsheets/d/1ItG2mGa2ceCfYo0BwxsXqNm01IGEUdYcSSLTEv9YCik/edit?usp=sharing"",""เบิกจ่ายกองทุน!CM15"")"),0)</f>
        <v>0</v>
      </c>
      <c r="S397" s="568">
        <f ca="1">IFERROR(__xludf.DUMMYFUNCTION("IMPORTRANGE(""https://docs.google.com/spreadsheets/d/1ItG2mGa2ceCfYo0BwxsXqNm01IGEUdYcSSLTEv9YCik/edit?usp=sharing"",""เบิกจ่ายกองทุน!CN15"")"),0)</f>
        <v>0</v>
      </c>
      <c r="T397" s="568">
        <f t="shared" ca="1" si="261"/>
        <v>0</v>
      </c>
      <c r="U397" s="568">
        <f t="shared" ca="1" si="262"/>
        <v>0</v>
      </c>
    </row>
    <row r="398" spans="1:21" ht="18.75" x14ac:dyDescent="0.25">
      <c r="A398" s="674"/>
      <c r="B398" s="718"/>
      <c r="C398" s="718"/>
      <c r="D398" s="721" t="s">
        <v>23</v>
      </c>
      <c r="E398" s="561"/>
      <c r="F398" s="561"/>
      <c r="G398" s="563"/>
      <c r="H398" s="686" t="s">
        <v>14</v>
      </c>
      <c r="I398" s="683"/>
      <c r="J398" s="683"/>
      <c r="K398" s="684"/>
      <c r="L398" s="567">
        <f t="shared" ref="L398:N398" si="267">L399+L400</f>
        <v>0</v>
      </c>
      <c r="M398" s="568">
        <f t="shared" si="267"/>
        <v>0</v>
      </c>
      <c r="N398" s="568">
        <f t="shared" si="267"/>
        <v>0</v>
      </c>
      <c r="O398" s="568">
        <f t="shared" si="258"/>
        <v>0</v>
      </c>
      <c r="P398" s="568">
        <f t="shared" si="259"/>
        <v>0</v>
      </c>
      <c r="Q398" s="568">
        <f t="shared" ref="Q398:S398" si="268">Q399+Q400</f>
        <v>0</v>
      </c>
      <c r="R398" s="568">
        <f t="shared" si="268"/>
        <v>0</v>
      </c>
      <c r="S398" s="568">
        <f t="shared" si="268"/>
        <v>0</v>
      </c>
      <c r="T398" s="568">
        <f t="shared" si="261"/>
        <v>0</v>
      </c>
      <c r="U398" s="568">
        <f t="shared" si="262"/>
        <v>0</v>
      </c>
    </row>
    <row r="399" spans="1:21" ht="18.75" x14ac:dyDescent="0.25">
      <c r="A399" s="674"/>
      <c r="B399" s="718"/>
      <c r="C399" s="718"/>
      <c r="D399" s="718"/>
      <c r="E399" s="569" t="s">
        <v>20</v>
      </c>
      <c r="F399" s="561"/>
      <c r="G399" s="563"/>
      <c r="H399" s="685" t="s">
        <v>14</v>
      </c>
      <c r="I399" s="683"/>
      <c r="J399" s="683"/>
      <c r="K399" s="684"/>
      <c r="L399" s="571">
        <v>0</v>
      </c>
      <c r="M399" s="572">
        <v>0</v>
      </c>
      <c r="N399" s="572">
        <v>0</v>
      </c>
      <c r="O399" s="572">
        <f t="shared" si="258"/>
        <v>0</v>
      </c>
      <c r="P399" s="572">
        <f t="shared" si="259"/>
        <v>0</v>
      </c>
      <c r="Q399" s="572">
        <v>0</v>
      </c>
      <c r="R399" s="572">
        <v>0</v>
      </c>
      <c r="S399" s="572">
        <v>0</v>
      </c>
      <c r="T399" s="572">
        <f t="shared" si="261"/>
        <v>0</v>
      </c>
      <c r="U399" s="572">
        <f t="shared" si="262"/>
        <v>0</v>
      </c>
    </row>
    <row r="400" spans="1:21" ht="18.75" x14ac:dyDescent="0.25">
      <c r="A400" s="674"/>
      <c r="B400" s="718"/>
      <c r="C400" s="718"/>
      <c r="D400" s="718"/>
      <c r="E400" s="573" t="s">
        <v>21</v>
      </c>
      <c r="F400" s="561"/>
      <c r="G400" s="563"/>
      <c r="H400" s="686" t="s">
        <v>14</v>
      </c>
      <c r="I400" s="683"/>
      <c r="J400" s="683"/>
      <c r="K400" s="684"/>
      <c r="L400" s="567">
        <v>0</v>
      </c>
      <c r="M400" s="568">
        <v>0</v>
      </c>
      <c r="N400" s="568">
        <v>0</v>
      </c>
      <c r="O400" s="568">
        <f t="shared" si="258"/>
        <v>0</v>
      </c>
      <c r="P400" s="568">
        <f t="shared" si="259"/>
        <v>0</v>
      </c>
      <c r="Q400" s="568">
        <v>0</v>
      </c>
      <c r="R400" s="568">
        <v>0</v>
      </c>
      <c r="S400" s="568">
        <v>0</v>
      </c>
      <c r="T400" s="568">
        <f t="shared" si="261"/>
        <v>0</v>
      </c>
      <c r="U400" s="568">
        <f t="shared" si="262"/>
        <v>0</v>
      </c>
    </row>
    <row r="401" spans="1:21" ht="19.5" hidden="1" x14ac:dyDescent="0.3">
      <c r="A401" s="687"/>
      <c r="B401" s="688"/>
      <c r="C401" s="719" t="s">
        <v>18</v>
      </c>
      <c r="D401" s="956" t="s">
        <v>38</v>
      </c>
      <c r="E401" s="690"/>
      <c r="F401" s="690"/>
      <c r="G401" s="691"/>
      <c r="H401" s="725"/>
      <c r="I401" s="683"/>
      <c r="J401" s="565"/>
      <c r="K401" s="566"/>
      <c r="L401" s="574"/>
      <c r="M401" s="566"/>
      <c r="N401" s="566"/>
      <c r="O401" s="684"/>
      <c r="P401" s="684"/>
      <c r="Q401" s="566"/>
      <c r="R401" s="566"/>
      <c r="S401" s="566"/>
      <c r="T401" s="684"/>
      <c r="U401" s="684"/>
    </row>
    <row r="402" spans="1:21" ht="12.75" hidden="1" x14ac:dyDescent="0.2">
      <c r="A402" s="973"/>
      <c r="B402" s="961"/>
      <c r="C402" s="961"/>
      <c r="D402" s="961"/>
      <c r="E402" s="974"/>
      <c r="F402" s="974"/>
      <c r="G402" s="975"/>
      <c r="H402" s="962"/>
      <c r="I402" s="963"/>
      <c r="J402" s="963"/>
      <c r="K402" s="964"/>
      <c r="L402" s="965"/>
      <c r="M402" s="964"/>
      <c r="N402" s="964"/>
      <c r="O402" s="964"/>
      <c r="P402" s="964"/>
      <c r="Q402" s="964"/>
      <c r="R402" s="964"/>
      <c r="S402" s="964"/>
      <c r="T402" s="964"/>
      <c r="U402" s="964"/>
    </row>
    <row r="403" spans="1:21" ht="12.75" hidden="1" x14ac:dyDescent="0.2">
      <c r="A403" s="961"/>
      <c r="B403" s="961"/>
      <c r="C403" s="961"/>
      <c r="D403" s="961"/>
      <c r="E403" s="961"/>
      <c r="F403" s="961"/>
      <c r="G403" s="962"/>
      <c r="H403" s="962"/>
      <c r="I403" s="963"/>
      <c r="J403" s="963"/>
      <c r="K403" s="964"/>
      <c r="L403" s="965"/>
      <c r="M403" s="964"/>
      <c r="N403" s="964"/>
      <c r="O403" s="964"/>
      <c r="P403" s="964"/>
      <c r="Q403" s="964"/>
      <c r="R403" s="964"/>
      <c r="S403" s="964"/>
      <c r="T403" s="964"/>
      <c r="U403" s="964"/>
    </row>
    <row r="404" spans="1:21" ht="12.75" hidden="1" x14ac:dyDescent="0.2">
      <c r="A404" s="961"/>
      <c r="B404" s="961"/>
      <c r="C404" s="961"/>
      <c r="D404" s="961"/>
      <c r="E404" s="961"/>
      <c r="F404" s="961"/>
      <c r="G404" s="962"/>
      <c r="H404" s="962"/>
      <c r="I404" s="963"/>
      <c r="J404" s="963"/>
      <c r="K404" s="964"/>
      <c r="L404" s="965"/>
      <c r="M404" s="964"/>
      <c r="N404" s="964"/>
      <c r="O404" s="964"/>
      <c r="P404" s="964"/>
      <c r="Q404" s="964"/>
      <c r="R404" s="964"/>
      <c r="S404" s="964"/>
      <c r="T404" s="964"/>
      <c r="U404" s="964"/>
    </row>
    <row r="405" spans="1:21" ht="12.75" hidden="1" x14ac:dyDescent="0.2">
      <c r="A405" s="961"/>
      <c r="B405" s="961"/>
      <c r="C405" s="961"/>
      <c r="D405" s="961"/>
      <c r="E405" s="961"/>
      <c r="F405" s="961"/>
      <c r="G405" s="962"/>
      <c r="H405" s="962"/>
      <c r="I405" s="963"/>
      <c r="J405" s="963"/>
      <c r="K405" s="964"/>
      <c r="L405" s="965"/>
      <c r="M405" s="964"/>
      <c r="N405" s="964"/>
      <c r="O405" s="964"/>
      <c r="P405" s="964"/>
      <c r="Q405" s="964"/>
      <c r="R405" s="964"/>
      <c r="S405" s="964"/>
      <c r="T405" s="964"/>
      <c r="U405" s="964"/>
    </row>
    <row r="406" spans="1:21" ht="12.75" hidden="1" x14ac:dyDescent="0.2">
      <c r="A406" s="961"/>
      <c r="B406" s="961"/>
      <c r="C406" s="961"/>
      <c r="D406" s="961"/>
      <c r="E406" s="961"/>
      <c r="F406" s="961"/>
      <c r="G406" s="962"/>
      <c r="H406" s="962"/>
      <c r="I406" s="963"/>
      <c r="J406" s="963"/>
      <c r="K406" s="964"/>
      <c r="L406" s="965"/>
      <c r="M406" s="964"/>
      <c r="N406" s="964"/>
      <c r="O406" s="964"/>
      <c r="P406" s="964"/>
      <c r="Q406" s="964"/>
      <c r="R406" s="964"/>
      <c r="S406" s="964"/>
      <c r="T406" s="964"/>
      <c r="U406" s="964"/>
    </row>
    <row r="407" spans="1:21" ht="12.75" hidden="1" x14ac:dyDescent="0.2">
      <c r="A407" s="961"/>
      <c r="B407" s="961"/>
      <c r="C407" s="961"/>
      <c r="D407" s="961"/>
      <c r="E407" s="961"/>
      <c r="F407" s="961"/>
      <c r="G407" s="962"/>
      <c r="H407" s="962"/>
      <c r="I407" s="963"/>
      <c r="J407" s="963"/>
      <c r="K407" s="964"/>
      <c r="L407" s="965"/>
      <c r="M407" s="964"/>
      <c r="N407" s="964"/>
      <c r="O407" s="964"/>
      <c r="P407" s="964"/>
      <c r="Q407" s="964"/>
      <c r="R407" s="964"/>
      <c r="S407" s="964"/>
      <c r="T407" s="964"/>
      <c r="U407" s="964"/>
    </row>
    <row r="408" spans="1:21" ht="12.75" hidden="1" x14ac:dyDescent="0.2">
      <c r="A408" s="961"/>
      <c r="B408" s="961"/>
      <c r="C408" s="961"/>
      <c r="D408" s="961"/>
      <c r="E408" s="961"/>
      <c r="F408" s="961"/>
      <c r="G408" s="962"/>
      <c r="H408" s="962"/>
      <c r="I408" s="963"/>
      <c r="J408" s="963"/>
      <c r="K408" s="964"/>
      <c r="L408" s="965"/>
      <c r="M408" s="964"/>
      <c r="N408" s="964"/>
      <c r="O408" s="964"/>
      <c r="P408" s="964"/>
      <c r="Q408" s="964"/>
      <c r="R408" s="964"/>
      <c r="S408" s="964"/>
      <c r="T408" s="964"/>
      <c r="U408" s="964"/>
    </row>
    <row r="409" spans="1:21" ht="12.75" hidden="1" x14ac:dyDescent="0.2">
      <c r="A409" s="961"/>
      <c r="B409" s="961"/>
      <c r="C409" s="961"/>
      <c r="D409" s="961"/>
      <c r="E409" s="961"/>
      <c r="F409" s="961"/>
      <c r="G409" s="962"/>
      <c r="H409" s="962"/>
      <c r="I409" s="963"/>
      <c r="J409" s="963"/>
      <c r="K409" s="964"/>
      <c r="L409" s="965"/>
      <c r="M409" s="964"/>
      <c r="N409" s="964"/>
      <c r="O409" s="964"/>
      <c r="P409" s="964"/>
      <c r="Q409" s="964"/>
      <c r="R409" s="964"/>
      <c r="S409" s="964"/>
      <c r="T409" s="964"/>
      <c r="U409" s="964"/>
    </row>
    <row r="410" spans="1:21" ht="12.75" hidden="1" x14ac:dyDescent="0.2">
      <c r="A410" s="961"/>
      <c r="B410" s="961"/>
      <c r="C410" s="961"/>
      <c r="D410" s="961"/>
      <c r="E410" s="961"/>
      <c r="F410" s="961"/>
      <c r="G410" s="962"/>
      <c r="H410" s="962"/>
      <c r="I410" s="963"/>
      <c r="J410" s="963"/>
      <c r="K410" s="964"/>
      <c r="L410" s="965"/>
      <c r="M410" s="964"/>
      <c r="N410" s="964"/>
      <c r="O410" s="964"/>
      <c r="P410" s="964"/>
      <c r="Q410" s="964"/>
      <c r="R410" s="964"/>
      <c r="S410" s="964"/>
      <c r="T410" s="964"/>
      <c r="U410" s="964"/>
    </row>
    <row r="411" spans="1:21" ht="12.75" hidden="1" x14ac:dyDescent="0.2">
      <c r="A411" s="966"/>
      <c r="B411" s="966"/>
      <c r="C411" s="966"/>
      <c r="D411" s="966"/>
      <c r="E411" s="966"/>
      <c r="F411" s="966"/>
      <c r="G411" s="967"/>
      <c r="H411" s="967"/>
      <c r="I411" s="968"/>
      <c r="J411" s="968"/>
      <c r="K411" s="969"/>
      <c r="L411" s="970"/>
      <c r="M411" s="969"/>
      <c r="N411" s="969"/>
      <c r="O411" s="969"/>
      <c r="P411" s="969"/>
      <c r="Q411" s="969"/>
      <c r="R411" s="969"/>
      <c r="S411" s="969"/>
      <c r="T411" s="969"/>
      <c r="U411" s="969"/>
    </row>
    <row r="412" spans="1:21" ht="19.5" x14ac:dyDescent="0.3">
      <c r="A412" s="928"/>
      <c r="B412" s="971" t="s">
        <v>157</v>
      </c>
      <c r="C412" s="928"/>
      <c r="D412" s="928"/>
      <c r="E412" s="928"/>
      <c r="F412" s="928"/>
      <c r="G412" s="976"/>
      <c r="H412" s="977" t="s">
        <v>46</v>
      </c>
      <c r="I412" s="914">
        <f t="shared" ref="I412:J412" ca="1" si="269">I423</f>
        <v>95804</v>
      </c>
      <c r="J412" s="914">
        <f t="shared" si="269"/>
        <v>0</v>
      </c>
      <c r="K412" s="915">
        <f ca="1">IF(I412&gt;0,J412*100/I412,0)</f>
        <v>0</v>
      </c>
      <c r="L412" s="916"/>
      <c r="M412" s="917"/>
      <c r="N412" s="917"/>
      <c r="O412" s="917"/>
      <c r="P412" s="917"/>
      <c r="Q412" s="917"/>
      <c r="R412" s="917"/>
      <c r="S412" s="917"/>
      <c r="T412" s="917"/>
      <c r="U412" s="917"/>
    </row>
    <row r="413" spans="1:21" ht="19.5" x14ac:dyDescent="0.3">
      <c r="A413" s="674"/>
      <c r="B413" s="718"/>
      <c r="C413" s="978" t="s">
        <v>18</v>
      </c>
      <c r="D413" s="1313" t="s">
        <v>19</v>
      </c>
      <c r="E413" s="1314"/>
      <c r="F413" s="1314"/>
      <c r="G413" s="1317"/>
      <c r="H413" s="979" t="s">
        <v>14</v>
      </c>
      <c r="I413" s="565"/>
      <c r="J413" s="565"/>
      <c r="K413" s="566"/>
      <c r="L413" s="678">
        <f t="shared" ref="L413:N413" ca="1" si="270">L414+L415</f>
        <v>896950</v>
      </c>
      <c r="M413" s="679">
        <f t="shared" ca="1" si="270"/>
        <v>441600</v>
      </c>
      <c r="N413" s="679">
        <f t="shared" ca="1" si="270"/>
        <v>0</v>
      </c>
      <c r="O413" s="679">
        <f t="shared" ref="O413:O421" ca="1" si="271">IF(L413&gt;0,N413*100/L413,0)</f>
        <v>0</v>
      </c>
      <c r="P413" s="679">
        <f t="shared" ref="P413:P421" ca="1" si="272">IF(M413&gt;0,N413*100/M413,0)</f>
        <v>0</v>
      </c>
      <c r="Q413" s="679">
        <f t="shared" ref="Q413:S413" ca="1" si="273">Q414+Q415</f>
        <v>95270</v>
      </c>
      <c r="R413" s="679">
        <f t="shared" ca="1" si="273"/>
        <v>95270</v>
      </c>
      <c r="S413" s="679">
        <f t="shared" ca="1" si="273"/>
        <v>0</v>
      </c>
      <c r="T413" s="679">
        <f t="shared" ref="T413:T421" ca="1" si="274">IF(Q413&gt;0,S413*100/Q413,0)</f>
        <v>0</v>
      </c>
      <c r="U413" s="679">
        <f t="shared" ref="U413:U421" ca="1" si="275">IF(R413&gt;0,S413*100/R413,0)</f>
        <v>0</v>
      </c>
    </row>
    <row r="414" spans="1:21" ht="18.75" x14ac:dyDescent="0.25">
      <c r="A414" s="674"/>
      <c r="B414" s="718"/>
      <c r="C414" s="718"/>
      <c r="D414" s="718"/>
      <c r="E414" s="767" t="s">
        <v>158</v>
      </c>
      <c r="F414" s="718"/>
      <c r="G414" s="727"/>
      <c r="H414" s="723" t="s">
        <v>14</v>
      </c>
      <c r="I414" s="565"/>
      <c r="J414" s="565"/>
      <c r="K414" s="566"/>
      <c r="L414" s="571">
        <f t="shared" ref="L414:N415" si="276">L417+L420</f>
        <v>0</v>
      </c>
      <c r="M414" s="572">
        <f t="shared" si="276"/>
        <v>0</v>
      </c>
      <c r="N414" s="572">
        <f t="shared" si="276"/>
        <v>0</v>
      </c>
      <c r="O414" s="572">
        <f t="shared" si="271"/>
        <v>0</v>
      </c>
      <c r="P414" s="572">
        <f t="shared" si="272"/>
        <v>0</v>
      </c>
      <c r="Q414" s="572">
        <f t="shared" ref="Q414:S415" si="277">Q417+Q420</f>
        <v>0</v>
      </c>
      <c r="R414" s="572">
        <f t="shared" si="277"/>
        <v>0</v>
      </c>
      <c r="S414" s="572">
        <f t="shared" si="277"/>
        <v>0</v>
      </c>
      <c r="T414" s="572">
        <f t="shared" si="274"/>
        <v>0</v>
      </c>
      <c r="U414" s="572">
        <f t="shared" si="275"/>
        <v>0</v>
      </c>
    </row>
    <row r="415" spans="1:21" ht="18.75" x14ac:dyDescent="0.25">
      <c r="A415" s="674"/>
      <c r="B415" s="718"/>
      <c r="C415" s="718"/>
      <c r="D415" s="718"/>
      <c r="E415" s="765" t="s">
        <v>159</v>
      </c>
      <c r="F415" s="718"/>
      <c r="G415" s="727"/>
      <c r="H415" s="722" t="s">
        <v>14</v>
      </c>
      <c r="I415" s="565"/>
      <c r="J415" s="565"/>
      <c r="K415" s="566"/>
      <c r="L415" s="567">
        <f t="shared" ca="1" si="276"/>
        <v>896950</v>
      </c>
      <c r="M415" s="568">
        <f t="shared" ca="1" si="276"/>
        <v>441600</v>
      </c>
      <c r="N415" s="568">
        <f t="shared" ca="1" si="276"/>
        <v>0</v>
      </c>
      <c r="O415" s="568">
        <f t="shared" ca="1" si="271"/>
        <v>0</v>
      </c>
      <c r="P415" s="568">
        <f t="shared" ca="1" si="272"/>
        <v>0</v>
      </c>
      <c r="Q415" s="568">
        <f t="shared" ca="1" si="277"/>
        <v>95270</v>
      </c>
      <c r="R415" s="568">
        <f t="shared" ca="1" si="277"/>
        <v>95270</v>
      </c>
      <c r="S415" s="568">
        <f t="shared" ca="1" si="277"/>
        <v>0</v>
      </c>
      <c r="T415" s="568">
        <f t="shared" ca="1" si="274"/>
        <v>0</v>
      </c>
      <c r="U415" s="568">
        <f t="shared" ca="1" si="275"/>
        <v>0</v>
      </c>
    </row>
    <row r="416" spans="1:21" ht="19.5" x14ac:dyDescent="0.3">
      <c r="A416" s="674"/>
      <c r="B416" s="718"/>
      <c r="C416" s="718"/>
      <c r="D416" s="955" t="s">
        <v>22</v>
      </c>
      <c r="E416" s="718"/>
      <c r="F416" s="718"/>
      <c r="G416" s="727"/>
      <c r="H416" s="979" t="s">
        <v>14</v>
      </c>
      <c r="I416" s="565"/>
      <c r="J416" s="565"/>
      <c r="K416" s="566"/>
      <c r="L416" s="567">
        <f t="shared" ref="L416:N416" ca="1" si="278">L417+L418</f>
        <v>896950</v>
      </c>
      <c r="M416" s="568">
        <f t="shared" ca="1" si="278"/>
        <v>441600</v>
      </c>
      <c r="N416" s="568">
        <f t="shared" ca="1" si="278"/>
        <v>0</v>
      </c>
      <c r="O416" s="568">
        <f t="shared" ca="1" si="271"/>
        <v>0</v>
      </c>
      <c r="P416" s="568">
        <f t="shared" ca="1" si="272"/>
        <v>0</v>
      </c>
      <c r="Q416" s="568">
        <f t="shared" ref="Q416:S416" ca="1" si="279">Q417+Q418</f>
        <v>95270</v>
      </c>
      <c r="R416" s="568">
        <f t="shared" ca="1" si="279"/>
        <v>95270</v>
      </c>
      <c r="S416" s="568">
        <f t="shared" ca="1" si="279"/>
        <v>0</v>
      </c>
      <c r="T416" s="568">
        <f t="shared" ca="1" si="274"/>
        <v>0</v>
      </c>
      <c r="U416" s="568">
        <f t="shared" ca="1" si="275"/>
        <v>0</v>
      </c>
    </row>
    <row r="417" spans="1:21" ht="18.75" x14ac:dyDescent="0.25">
      <c r="A417" s="674"/>
      <c r="B417" s="718"/>
      <c r="C417" s="718"/>
      <c r="D417" s="718"/>
      <c r="E417" s="767" t="s">
        <v>158</v>
      </c>
      <c r="F417" s="718"/>
      <c r="G417" s="727"/>
      <c r="H417" s="723" t="s">
        <v>14</v>
      </c>
      <c r="I417" s="565"/>
      <c r="J417" s="565"/>
      <c r="K417" s="566"/>
      <c r="L417" s="571">
        <v>0</v>
      </c>
      <c r="M417" s="572">
        <v>0</v>
      </c>
      <c r="N417" s="572">
        <v>0</v>
      </c>
      <c r="O417" s="572">
        <f t="shared" si="271"/>
        <v>0</v>
      </c>
      <c r="P417" s="572">
        <f t="shared" si="272"/>
        <v>0</v>
      </c>
      <c r="Q417" s="572">
        <v>0</v>
      </c>
      <c r="R417" s="572">
        <v>0</v>
      </c>
      <c r="S417" s="572">
        <v>0</v>
      </c>
      <c r="T417" s="572">
        <f t="shared" si="274"/>
        <v>0</v>
      </c>
      <c r="U417" s="572">
        <f t="shared" si="275"/>
        <v>0</v>
      </c>
    </row>
    <row r="418" spans="1:21" ht="18.75" x14ac:dyDescent="0.25">
      <c r="A418" s="674"/>
      <c r="B418" s="718"/>
      <c r="C418" s="718"/>
      <c r="D418" s="718"/>
      <c r="E418" s="765" t="s">
        <v>159</v>
      </c>
      <c r="F418" s="718"/>
      <c r="G418" s="727"/>
      <c r="H418" s="722" t="s">
        <v>14</v>
      </c>
      <c r="I418" s="565"/>
      <c r="J418" s="565"/>
      <c r="K418" s="566"/>
      <c r="L418" s="567">
        <f ca="1">IFERROR(__xludf.DUMMYFUNCTION("IMPORTRANGE(""https://docs.google.com/spreadsheets/d/1-uDff_7J0KD5mKrp0Vvzr7lt3OU09vwQwhkpOPPYv2Y/edit?usp=sharing"",""งบพรบ!IO15"")"),896950)</f>
        <v>896950</v>
      </c>
      <c r="M418" s="568">
        <f ca="1">IFERROR(__xludf.DUMMYFUNCTION("IMPORTRANGE(""https://docs.google.com/spreadsheets/d/1-uDff_7J0KD5mKrp0Vvzr7lt3OU09vwQwhkpOPPYv2Y/edit?usp=sharing"",""งบพรบ!IT15"")"),441600)</f>
        <v>441600</v>
      </c>
      <c r="N418" s="568">
        <f ca="1">IFERROR(__xludf.DUMMYFUNCTION("IMPORTRANGE(""https://docs.google.com/spreadsheets/d/1-uDff_7J0KD5mKrp0Vvzr7lt3OU09vwQwhkpOPPYv2Y/edit?usp=sharing"",""งบพรบ!IV15"")"),0)</f>
        <v>0</v>
      </c>
      <c r="O418" s="568">
        <f t="shared" ca="1" si="271"/>
        <v>0</v>
      </c>
      <c r="P418" s="568">
        <f t="shared" ca="1" si="272"/>
        <v>0</v>
      </c>
      <c r="Q418" s="568">
        <f ca="1">IFERROR(__xludf.DUMMYFUNCTION("IMPORTRANGE(""https://docs.google.com/spreadsheets/d/1ItG2mGa2ceCfYo0BwxsXqNm01IGEUdYcSSLTEv9YCik/edit?usp=sharing"",""เบิกจ่ายกองทุน!BZ15"")"),95270)</f>
        <v>95270</v>
      </c>
      <c r="R418" s="568">
        <f ca="1">IFERROR(__xludf.DUMMYFUNCTION("IMPORTRANGE(""https://docs.google.com/spreadsheets/d/1ItG2mGa2ceCfYo0BwxsXqNm01IGEUdYcSSLTEv9YCik/edit?usp=sharing"",""เบิกจ่ายกองทุน!CA15"")"),95270)</f>
        <v>95270</v>
      </c>
      <c r="S418" s="568">
        <f ca="1">IFERROR(__xludf.DUMMYFUNCTION("IMPORTRANGE(""https://docs.google.com/spreadsheets/d/1ItG2mGa2ceCfYo0BwxsXqNm01IGEUdYcSSLTEv9YCik/edit?usp=sharing"",""เบิกจ่ายกองทุน!CB15"")"),0)</f>
        <v>0</v>
      </c>
      <c r="T418" s="568">
        <f t="shared" ca="1" si="274"/>
        <v>0</v>
      </c>
      <c r="U418" s="568">
        <f t="shared" ca="1" si="275"/>
        <v>0</v>
      </c>
    </row>
    <row r="419" spans="1:21" ht="19.5" x14ac:dyDescent="0.3">
      <c r="A419" s="674"/>
      <c r="B419" s="718"/>
      <c r="C419" s="718"/>
      <c r="D419" s="955" t="s">
        <v>23</v>
      </c>
      <c r="E419" s="718"/>
      <c r="F419" s="718"/>
      <c r="G419" s="727"/>
      <c r="H419" s="677" t="s">
        <v>14</v>
      </c>
      <c r="I419" s="565"/>
      <c r="J419" s="565"/>
      <c r="K419" s="566"/>
      <c r="L419" s="567">
        <f t="shared" ref="L419:N419" ca="1" si="280">L420+L421</f>
        <v>0</v>
      </c>
      <c r="M419" s="568">
        <f t="shared" ca="1" si="280"/>
        <v>0</v>
      </c>
      <c r="N419" s="568">
        <f t="shared" ca="1" si="280"/>
        <v>0</v>
      </c>
      <c r="O419" s="568">
        <f t="shared" ca="1" si="271"/>
        <v>0</v>
      </c>
      <c r="P419" s="568">
        <f t="shared" ca="1" si="272"/>
        <v>0</v>
      </c>
      <c r="Q419" s="568">
        <f t="shared" ref="Q419:S419" si="281">Q420+Q421</f>
        <v>0</v>
      </c>
      <c r="R419" s="568">
        <f t="shared" si="281"/>
        <v>0</v>
      </c>
      <c r="S419" s="568">
        <f t="shared" si="281"/>
        <v>0</v>
      </c>
      <c r="T419" s="568">
        <f t="shared" si="274"/>
        <v>0</v>
      </c>
      <c r="U419" s="568">
        <f t="shared" si="275"/>
        <v>0</v>
      </c>
    </row>
    <row r="420" spans="1:21" ht="18.75" x14ac:dyDescent="0.25">
      <c r="A420" s="674"/>
      <c r="B420" s="718"/>
      <c r="C420" s="718"/>
      <c r="D420" s="718"/>
      <c r="E420" s="767" t="s">
        <v>20</v>
      </c>
      <c r="F420" s="718"/>
      <c r="G420" s="727"/>
      <c r="H420" s="723" t="s">
        <v>14</v>
      </c>
      <c r="I420" s="565"/>
      <c r="J420" s="565"/>
      <c r="K420" s="566"/>
      <c r="L420" s="571">
        <v>0</v>
      </c>
      <c r="M420" s="572">
        <v>0</v>
      </c>
      <c r="N420" s="572">
        <v>0</v>
      </c>
      <c r="O420" s="572">
        <f t="shared" si="271"/>
        <v>0</v>
      </c>
      <c r="P420" s="572">
        <f t="shared" si="272"/>
        <v>0</v>
      </c>
      <c r="Q420" s="572">
        <v>0</v>
      </c>
      <c r="R420" s="572">
        <v>0</v>
      </c>
      <c r="S420" s="572">
        <v>0</v>
      </c>
      <c r="T420" s="572">
        <f t="shared" si="274"/>
        <v>0</v>
      </c>
      <c r="U420" s="572">
        <f t="shared" si="275"/>
        <v>0</v>
      </c>
    </row>
    <row r="421" spans="1:21" ht="18.75" x14ac:dyDescent="0.25">
      <c r="A421" s="674"/>
      <c r="B421" s="718"/>
      <c r="C421" s="718"/>
      <c r="D421" s="718"/>
      <c r="E421" s="765" t="s">
        <v>21</v>
      </c>
      <c r="F421" s="718"/>
      <c r="G421" s="727"/>
      <c r="H421" s="681" t="s">
        <v>14</v>
      </c>
      <c r="I421" s="565"/>
      <c r="J421" s="565"/>
      <c r="K421" s="566"/>
      <c r="L421" s="567">
        <f ca="1">IFERROR(__xludf.DUMMYFUNCTION("IMPORTRANGE(""https://docs.google.com/spreadsheets/d/1-uDff_7J0KD5mKrp0Vvzr7lt3OU09vwQwhkpOPPYv2Y/edit?usp=sharing"",""งบพรบ!IR15"")"),0)</f>
        <v>0</v>
      </c>
      <c r="M421" s="568">
        <f ca="1">IFERROR(__xludf.DUMMYFUNCTION("IMPORTRANGE(""https://docs.google.com/spreadsheets/d/1-uDff_7J0KD5mKrp0Vvzr7lt3OU09vwQwhkpOPPYv2Y/edit?usp=sharing"",""งบพรบ!IU15"")"),0)</f>
        <v>0</v>
      </c>
      <c r="N421" s="568">
        <f ca="1">IFERROR(__xludf.DUMMYFUNCTION("IMPORTRANGE(""https://docs.google.com/spreadsheets/d/1-uDff_7J0KD5mKrp0Vvzr7lt3OU09vwQwhkpOPPYv2Y/edit?usp=sharing"",""งบพรบ!IW15"")"),0)</f>
        <v>0</v>
      </c>
      <c r="O421" s="568">
        <f t="shared" ca="1" si="271"/>
        <v>0</v>
      </c>
      <c r="P421" s="568">
        <f t="shared" ca="1" si="272"/>
        <v>0</v>
      </c>
      <c r="Q421" s="568">
        <v>0</v>
      </c>
      <c r="R421" s="568">
        <v>0</v>
      </c>
      <c r="S421" s="568">
        <v>0</v>
      </c>
      <c r="T421" s="568">
        <f t="shared" si="274"/>
        <v>0</v>
      </c>
      <c r="U421" s="568">
        <f t="shared" si="275"/>
        <v>0</v>
      </c>
    </row>
    <row r="422" spans="1:21" ht="19.5" x14ac:dyDescent="0.3">
      <c r="A422" s="764"/>
      <c r="B422" s="718"/>
      <c r="C422" s="978" t="s">
        <v>18</v>
      </c>
      <c r="D422" s="980" t="s">
        <v>38</v>
      </c>
      <c r="E422" s="718"/>
      <c r="F422" s="718"/>
      <c r="G422" s="727"/>
      <c r="H422" s="727"/>
      <c r="I422" s="565"/>
      <c r="J422" s="565"/>
      <c r="K422" s="566"/>
      <c r="L422" s="574"/>
      <c r="M422" s="566"/>
      <c r="N422" s="566"/>
      <c r="O422" s="566"/>
      <c r="P422" s="566"/>
      <c r="Q422" s="566"/>
      <c r="R422" s="566"/>
      <c r="S422" s="566"/>
      <c r="T422" s="566"/>
      <c r="U422" s="566"/>
    </row>
    <row r="423" spans="1:21" ht="19.5" x14ac:dyDescent="0.3">
      <c r="A423" s="764"/>
      <c r="B423" s="719" t="s">
        <v>160</v>
      </c>
      <c r="C423" s="718"/>
      <c r="D423" s="718"/>
      <c r="E423" s="718"/>
      <c r="F423" s="718"/>
      <c r="G423" s="727"/>
      <c r="H423" s="979" t="s">
        <v>46</v>
      </c>
      <c r="I423" s="697">
        <f t="shared" ref="I423:J423" ca="1" si="282">I440</f>
        <v>95804</v>
      </c>
      <c r="J423" s="697">
        <f t="shared" si="282"/>
        <v>0</v>
      </c>
      <c r="K423" s="679">
        <f t="shared" ref="K423:K425" ca="1" si="283">IF(I423&gt;0,J423*100/I423,0)</f>
        <v>0</v>
      </c>
      <c r="L423" s="574"/>
      <c r="M423" s="566"/>
      <c r="N423" s="566"/>
      <c r="O423" s="566"/>
      <c r="P423" s="566"/>
      <c r="Q423" s="566"/>
      <c r="R423" s="566"/>
      <c r="S423" s="566"/>
      <c r="T423" s="566"/>
      <c r="U423" s="566"/>
    </row>
    <row r="424" spans="1:21" ht="19.5" x14ac:dyDescent="0.3">
      <c r="A424" s="764"/>
      <c r="B424" s="718"/>
      <c r="C424" s="719" t="s">
        <v>161</v>
      </c>
      <c r="D424" s="718"/>
      <c r="E424" s="718"/>
      <c r="F424" s="718"/>
      <c r="G424" s="727"/>
      <c r="H424" s="677" t="s">
        <v>46</v>
      </c>
      <c r="I424" s="697">
        <f ca="1">IFERROR(__xludf.DUMMYFUNCTION("IMPORTRANGE(""https://docs.google.com/spreadsheets/d/1eHaY18a8A9IcSdp1K8H6x8fbOy06t2VsZHhMHf-1x7Y/edit?usp=sharing"",""แผน!HJ15"")"),95804)</f>
        <v>95804</v>
      </c>
      <c r="J424" s="697">
        <f t="shared" ref="J424:J425" si="284">J426+J428+J430</f>
        <v>0</v>
      </c>
      <c r="K424" s="679">
        <f t="shared" ca="1" si="283"/>
        <v>0</v>
      </c>
      <c r="L424" s="574"/>
      <c r="M424" s="566"/>
      <c r="N424" s="566"/>
      <c r="O424" s="566"/>
      <c r="P424" s="566"/>
      <c r="Q424" s="566"/>
      <c r="R424" s="566"/>
      <c r="S424" s="566"/>
      <c r="T424" s="566"/>
      <c r="U424" s="566"/>
    </row>
    <row r="425" spans="1:21" ht="19.5" x14ac:dyDescent="0.3">
      <c r="A425" s="764"/>
      <c r="B425" s="718"/>
      <c r="C425" s="718"/>
      <c r="D425" s="718"/>
      <c r="E425" s="718"/>
      <c r="F425" s="718"/>
      <c r="G425" s="727"/>
      <c r="H425" s="677" t="s">
        <v>34</v>
      </c>
      <c r="I425" s="697">
        <f ca="1">IFERROR(__xludf.DUMMYFUNCTION("IMPORTRANGE(""https://docs.google.com/spreadsheets/d/1eHaY18a8A9IcSdp1K8H6x8fbOy06t2VsZHhMHf-1x7Y/edit?usp=sharing"",""แผน!HK15"")"),15699)</f>
        <v>15699</v>
      </c>
      <c r="J425" s="697">
        <f t="shared" si="284"/>
        <v>0</v>
      </c>
      <c r="K425" s="679">
        <f t="shared" ca="1" si="283"/>
        <v>0</v>
      </c>
      <c r="L425" s="574"/>
      <c r="M425" s="566"/>
      <c r="N425" s="566"/>
      <c r="O425" s="566"/>
      <c r="P425" s="566"/>
      <c r="Q425" s="566"/>
      <c r="R425" s="566"/>
      <c r="S425" s="566"/>
      <c r="T425" s="566"/>
      <c r="U425" s="566"/>
    </row>
    <row r="426" spans="1:21" ht="18.75" x14ac:dyDescent="0.25">
      <c r="A426" s="764"/>
      <c r="B426" s="718"/>
      <c r="C426" s="718"/>
      <c r="D426" s="765" t="s">
        <v>162</v>
      </c>
      <c r="E426" s="718"/>
      <c r="F426" s="718"/>
      <c r="G426" s="727"/>
      <c r="H426" s="681" t="s">
        <v>46</v>
      </c>
      <c r="I426" s="565"/>
      <c r="J426" s="565"/>
      <c r="K426" s="566"/>
      <c r="L426" s="574"/>
      <c r="M426" s="566"/>
      <c r="N426" s="566"/>
      <c r="O426" s="566"/>
      <c r="P426" s="566"/>
      <c r="Q426" s="566"/>
      <c r="R426" s="566"/>
      <c r="S426" s="566"/>
      <c r="T426" s="566"/>
      <c r="U426" s="566"/>
    </row>
    <row r="427" spans="1:21" ht="18.75" x14ac:dyDescent="0.25">
      <c r="A427" s="764"/>
      <c r="B427" s="718"/>
      <c r="C427" s="718"/>
      <c r="D427" s="718"/>
      <c r="E427" s="718"/>
      <c r="F427" s="718"/>
      <c r="G427" s="727"/>
      <c r="H427" s="681" t="s">
        <v>34</v>
      </c>
      <c r="I427" s="565"/>
      <c r="J427" s="565"/>
      <c r="K427" s="566"/>
      <c r="L427" s="574"/>
      <c r="M427" s="566"/>
      <c r="N427" s="566"/>
      <c r="O427" s="566"/>
      <c r="P427" s="566"/>
      <c r="Q427" s="566"/>
      <c r="R427" s="566"/>
      <c r="S427" s="566"/>
      <c r="T427" s="566"/>
      <c r="U427" s="566"/>
    </row>
    <row r="428" spans="1:21" ht="18.75" x14ac:dyDescent="0.25">
      <c r="A428" s="764"/>
      <c r="B428" s="718"/>
      <c r="C428" s="718"/>
      <c r="D428" s="765" t="s">
        <v>163</v>
      </c>
      <c r="E428" s="718"/>
      <c r="F428" s="718"/>
      <c r="G428" s="727"/>
      <c r="H428" s="681" t="s">
        <v>46</v>
      </c>
      <c r="I428" s="565"/>
      <c r="J428" s="565"/>
      <c r="K428" s="566"/>
      <c r="L428" s="574"/>
      <c r="M428" s="566"/>
      <c r="N428" s="566"/>
      <c r="O428" s="566"/>
      <c r="P428" s="566"/>
      <c r="Q428" s="566"/>
      <c r="R428" s="566"/>
      <c r="S428" s="566"/>
      <c r="T428" s="566"/>
      <c r="U428" s="566"/>
    </row>
    <row r="429" spans="1:21" ht="18.75" x14ac:dyDescent="0.25">
      <c r="A429" s="764"/>
      <c r="B429" s="718"/>
      <c r="C429" s="718"/>
      <c r="D429" s="718"/>
      <c r="E429" s="718"/>
      <c r="F429" s="718"/>
      <c r="G429" s="727"/>
      <c r="H429" s="681" t="s">
        <v>34</v>
      </c>
      <c r="I429" s="565"/>
      <c r="J429" s="565"/>
      <c r="K429" s="566"/>
      <c r="L429" s="574"/>
      <c r="M429" s="566"/>
      <c r="N429" s="566"/>
      <c r="O429" s="566"/>
      <c r="P429" s="566"/>
      <c r="Q429" s="566"/>
      <c r="R429" s="566"/>
      <c r="S429" s="566"/>
      <c r="T429" s="566"/>
      <c r="U429" s="566"/>
    </row>
    <row r="430" spans="1:21" ht="18.75" x14ac:dyDescent="0.25">
      <c r="A430" s="764"/>
      <c r="B430" s="718"/>
      <c r="C430" s="718"/>
      <c r="D430" s="765" t="s">
        <v>164</v>
      </c>
      <c r="E430" s="718"/>
      <c r="F430" s="718"/>
      <c r="G430" s="727"/>
      <c r="H430" s="681" t="s">
        <v>46</v>
      </c>
      <c r="I430" s="565"/>
      <c r="J430" s="565"/>
      <c r="K430" s="566"/>
      <c r="L430" s="574"/>
      <c r="M430" s="566"/>
      <c r="N430" s="566"/>
      <c r="O430" s="566"/>
      <c r="P430" s="566"/>
      <c r="Q430" s="566"/>
      <c r="R430" s="566"/>
      <c r="S430" s="566"/>
      <c r="T430" s="566"/>
      <c r="U430" s="566"/>
    </row>
    <row r="431" spans="1:21" ht="18.75" x14ac:dyDescent="0.25">
      <c r="A431" s="764"/>
      <c r="B431" s="718"/>
      <c r="C431" s="718"/>
      <c r="D431" s="718"/>
      <c r="E431" s="718"/>
      <c r="F431" s="718"/>
      <c r="G431" s="727"/>
      <c r="H431" s="681" t="s">
        <v>34</v>
      </c>
      <c r="I431" s="565"/>
      <c r="J431" s="565"/>
      <c r="K431" s="566"/>
      <c r="L431" s="574"/>
      <c r="M431" s="566"/>
      <c r="N431" s="566"/>
      <c r="O431" s="566"/>
      <c r="P431" s="566"/>
      <c r="Q431" s="566"/>
      <c r="R431" s="566"/>
      <c r="S431" s="566"/>
      <c r="T431" s="566"/>
      <c r="U431" s="566"/>
    </row>
    <row r="432" spans="1:21" ht="19.5" x14ac:dyDescent="0.3">
      <c r="A432" s="764"/>
      <c r="B432" s="718"/>
      <c r="C432" s="719" t="s">
        <v>165</v>
      </c>
      <c r="D432" s="718"/>
      <c r="E432" s="718"/>
      <c r="F432" s="718"/>
      <c r="G432" s="727"/>
      <c r="H432" s="677" t="s">
        <v>46</v>
      </c>
      <c r="I432" s="697">
        <f ca="1">IFERROR(__xludf.DUMMYFUNCTION("IMPORTRANGE(""https://docs.google.com/spreadsheets/d/1eHaY18a8A9IcSdp1K8H6x8fbOy06t2VsZHhMHf-1x7Y/edit?usp=sharing"",""แผน!HJ15"")"),95804)</f>
        <v>95804</v>
      </c>
      <c r="J432" s="697">
        <f t="shared" ref="J432:J433" si="285">J434+J436+J438</f>
        <v>0</v>
      </c>
      <c r="K432" s="679">
        <f t="shared" ref="K432:K433" ca="1" si="286">IF(I432&gt;0,J432*100/I432,0)</f>
        <v>0</v>
      </c>
      <c r="L432" s="574"/>
      <c r="M432" s="566"/>
      <c r="N432" s="566"/>
      <c r="O432" s="566"/>
      <c r="P432" s="566"/>
      <c r="Q432" s="566"/>
      <c r="R432" s="566"/>
      <c r="S432" s="566"/>
      <c r="T432" s="566"/>
      <c r="U432" s="566"/>
    </row>
    <row r="433" spans="1:21" ht="19.5" x14ac:dyDescent="0.3">
      <c r="A433" s="764"/>
      <c r="B433" s="718"/>
      <c r="C433" s="718"/>
      <c r="D433" s="718"/>
      <c r="E433" s="718"/>
      <c r="F433" s="718"/>
      <c r="G433" s="727"/>
      <c r="H433" s="677" t="s">
        <v>34</v>
      </c>
      <c r="I433" s="697">
        <f ca="1">IFERROR(__xludf.DUMMYFUNCTION("IMPORTRANGE(""https://docs.google.com/spreadsheets/d/1eHaY18a8A9IcSdp1K8H6x8fbOy06t2VsZHhMHf-1x7Y/edit?usp=sharing"",""แผน!HK15"")"),15699)</f>
        <v>15699</v>
      </c>
      <c r="J433" s="697">
        <f t="shared" si="285"/>
        <v>0</v>
      </c>
      <c r="K433" s="679">
        <f t="shared" ca="1" si="286"/>
        <v>0</v>
      </c>
      <c r="L433" s="574"/>
      <c r="M433" s="566"/>
      <c r="N433" s="566"/>
      <c r="O433" s="566"/>
      <c r="P433" s="566"/>
      <c r="Q433" s="566"/>
      <c r="R433" s="566"/>
      <c r="S433" s="566"/>
      <c r="T433" s="566"/>
      <c r="U433" s="566"/>
    </row>
    <row r="434" spans="1:21" ht="18.75" x14ac:dyDescent="0.25">
      <c r="A434" s="764"/>
      <c r="B434" s="718"/>
      <c r="C434" s="718"/>
      <c r="D434" s="765" t="s">
        <v>166</v>
      </c>
      <c r="E434" s="718"/>
      <c r="F434" s="718"/>
      <c r="G434" s="727"/>
      <c r="H434" s="681" t="s">
        <v>46</v>
      </c>
      <c r="I434" s="565"/>
      <c r="J434" s="565"/>
      <c r="K434" s="566"/>
      <c r="L434" s="574"/>
      <c r="M434" s="566"/>
      <c r="N434" s="566"/>
      <c r="O434" s="566"/>
      <c r="P434" s="566"/>
      <c r="Q434" s="566"/>
      <c r="R434" s="566"/>
      <c r="S434" s="566"/>
      <c r="T434" s="566"/>
      <c r="U434" s="566"/>
    </row>
    <row r="435" spans="1:21" ht="18.75" x14ac:dyDescent="0.25">
      <c r="A435" s="764"/>
      <c r="B435" s="718"/>
      <c r="C435" s="718"/>
      <c r="D435" s="718"/>
      <c r="E435" s="718"/>
      <c r="F435" s="718"/>
      <c r="G435" s="727"/>
      <c r="H435" s="681" t="s">
        <v>34</v>
      </c>
      <c r="I435" s="565"/>
      <c r="J435" s="565"/>
      <c r="K435" s="566"/>
      <c r="L435" s="574"/>
      <c r="M435" s="566"/>
      <c r="N435" s="566"/>
      <c r="O435" s="566"/>
      <c r="P435" s="566"/>
      <c r="Q435" s="566"/>
      <c r="R435" s="566"/>
      <c r="S435" s="566"/>
      <c r="T435" s="566"/>
      <c r="U435" s="566"/>
    </row>
    <row r="436" spans="1:21" ht="18.75" x14ac:dyDescent="0.25">
      <c r="A436" s="764"/>
      <c r="B436" s="718"/>
      <c r="C436" s="718"/>
      <c r="D436" s="765" t="s">
        <v>167</v>
      </c>
      <c r="E436" s="718"/>
      <c r="F436" s="718"/>
      <c r="G436" s="727"/>
      <c r="H436" s="681" t="s">
        <v>46</v>
      </c>
      <c r="I436" s="565"/>
      <c r="J436" s="565"/>
      <c r="K436" s="566"/>
      <c r="L436" s="574"/>
      <c r="M436" s="566"/>
      <c r="N436" s="566"/>
      <c r="O436" s="566"/>
      <c r="P436" s="566"/>
      <c r="Q436" s="566"/>
      <c r="R436" s="566"/>
      <c r="S436" s="566"/>
      <c r="T436" s="566"/>
      <c r="U436" s="566"/>
    </row>
    <row r="437" spans="1:21" ht="18.75" x14ac:dyDescent="0.25">
      <c r="A437" s="764"/>
      <c r="B437" s="718"/>
      <c r="C437" s="718"/>
      <c r="D437" s="718"/>
      <c r="E437" s="718"/>
      <c r="F437" s="718"/>
      <c r="G437" s="727"/>
      <c r="H437" s="681" t="s">
        <v>34</v>
      </c>
      <c r="I437" s="565"/>
      <c r="J437" s="565"/>
      <c r="K437" s="566"/>
      <c r="L437" s="574"/>
      <c r="M437" s="566"/>
      <c r="N437" s="566"/>
      <c r="O437" s="566"/>
      <c r="P437" s="566"/>
      <c r="Q437" s="566"/>
      <c r="R437" s="566"/>
      <c r="S437" s="566"/>
      <c r="T437" s="566"/>
      <c r="U437" s="566"/>
    </row>
    <row r="438" spans="1:21" ht="18.75" x14ac:dyDescent="0.25">
      <c r="A438" s="764"/>
      <c r="B438" s="718"/>
      <c r="C438" s="718"/>
      <c r="D438" s="765" t="s">
        <v>168</v>
      </c>
      <c r="E438" s="718"/>
      <c r="F438" s="718"/>
      <c r="G438" s="727"/>
      <c r="H438" s="681" t="s">
        <v>46</v>
      </c>
      <c r="I438" s="565"/>
      <c r="J438" s="565"/>
      <c r="K438" s="566"/>
      <c r="L438" s="574"/>
      <c r="M438" s="566"/>
      <c r="N438" s="566"/>
      <c r="O438" s="566"/>
      <c r="P438" s="566"/>
      <c r="Q438" s="566"/>
      <c r="R438" s="566"/>
      <c r="S438" s="566"/>
      <c r="T438" s="566"/>
      <c r="U438" s="566"/>
    </row>
    <row r="439" spans="1:21" ht="18.75" x14ac:dyDescent="0.25">
      <c r="A439" s="764"/>
      <c r="B439" s="718"/>
      <c r="C439" s="718"/>
      <c r="D439" s="718"/>
      <c r="E439" s="718"/>
      <c r="F439" s="718"/>
      <c r="G439" s="727"/>
      <c r="H439" s="681" t="s">
        <v>34</v>
      </c>
      <c r="I439" s="565"/>
      <c r="J439" s="565"/>
      <c r="K439" s="566"/>
      <c r="L439" s="574"/>
      <c r="M439" s="566"/>
      <c r="N439" s="566"/>
      <c r="O439" s="566"/>
      <c r="P439" s="566"/>
      <c r="Q439" s="566"/>
      <c r="R439" s="566"/>
      <c r="S439" s="566"/>
      <c r="T439" s="566"/>
      <c r="U439" s="566"/>
    </row>
    <row r="440" spans="1:21" ht="19.5" x14ac:dyDescent="0.3">
      <c r="A440" s="764"/>
      <c r="B440" s="718"/>
      <c r="C440" s="719" t="s">
        <v>169</v>
      </c>
      <c r="D440" s="718"/>
      <c r="E440" s="718"/>
      <c r="F440" s="718"/>
      <c r="G440" s="727"/>
      <c r="H440" s="677" t="s">
        <v>46</v>
      </c>
      <c r="I440" s="697">
        <f ca="1">IFERROR(__xludf.DUMMYFUNCTION("IMPORTRANGE(""https://docs.google.com/spreadsheets/d/1eHaY18a8A9IcSdp1K8H6x8fbOy06t2VsZHhMHf-1x7Y/edit?usp=sharing"",""แผน!HJ15"")"),95804)</f>
        <v>95804</v>
      </c>
      <c r="J440" s="697">
        <f t="shared" ref="J440:J441" si="287">J442+J444+J446+J452+J454</f>
        <v>0</v>
      </c>
      <c r="K440" s="679">
        <f t="shared" ref="K440:K441" ca="1" si="288">IF(I440&gt;0,J440*100/I440,0)</f>
        <v>0</v>
      </c>
      <c r="L440" s="574"/>
      <c r="M440" s="566"/>
      <c r="N440" s="566"/>
      <c r="O440" s="566"/>
      <c r="P440" s="566"/>
      <c r="Q440" s="566"/>
      <c r="R440" s="566"/>
      <c r="S440" s="566"/>
      <c r="T440" s="566"/>
      <c r="U440" s="566"/>
    </row>
    <row r="441" spans="1:21" ht="19.5" x14ac:dyDescent="0.3">
      <c r="A441" s="764"/>
      <c r="B441" s="718"/>
      <c r="C441" s="718"/>
      <c r="D441" s="718"/>
      <c r="E441" s="718"/>
      <c r="F441" s="718"/>
      <c r="G441" s="727"/>
      <c r="H441" s="677" t="s">
        <v>34</v>
      </c>
      <c r="I441" s="697">
        <f ca="1">IFERROR(__xludf.DUMMYFUNCTION("IMPORTRANGE(""https://docs.google.com/spreadsheets/d/1eHaY18a8A9IcSdp1K8H6x8fbOy06t2VsZHhMHf-1x7Y/edit?usp=sharing"",""แผน!HK15"")"),15699)</f>
        <v>15699</v>
      </c>
      <c r="J441" s="697">
        <f t="shared" si="287"/>
        <v>0</v>
      </c>
      <c r="K441" s="679">
        <f t="shared" ca="1" si="288"/>
        <v>0</v>
      </c>
      <c r="L441" s="574"/>
      <c r="M441" s="566"/>
      <c r="N441" s="566"/>
      <c r="O441" s="566"/>
      <c r="P441" s="566"/>
      <c r="Q441" s="566"/>
      <c r="R441" s="566"/>
      <c r="S441" s="566"/>
      <c r="T441" s="566"/>
      <c r="U441" s="566"/>
    </row>
    <row r="442" spans="1:21" ht="18.75" x14ac:dyDescent="0.25">
      <c r="A442" s="764"/>
      <c r="B442" s="718"/>
      <c r="C442" s="718"/>
      <c r="D442" s="765" t="s">
        <v>170</v>
      </c>
      <c r="E442" s="718"/>
      <c r="F442" s="718"/>
      <c r="G442" s="727"/>
      <c r="H442" s="681" t="s">
        <v>46</v>
      </c>
      <c r="I442" s="565"/>
      <c r="J442" s="565"/>
      <c r="K442" s="566"/>
      <c r="L442" s="574"/>
      <c r="M442" s="566"/>
      <c r="N442" s="566"/>
      <c r="O442" s="566"/>
      <c r="P442" s="566"/>
      <c r="Q442" s="566"/>
      <c r="R442" s="566"/>
      <c r="S442" s="566"/>
      <c r="T442" s="566"/>
      <c r="U442" s="566"/>
    </row>
    <row r="443" spans="1:21" ht="18.75" x14ac:dyDescent="0.25">
      <c r="A443" s="764"/>
      <c r="B443" s="718"/>
      <c r="C443" s="718"/>
      <c r="D443" s="718"/>
      <c r="E443" s="718"/>
      <c r="F443" s="718"/>
      <c r="G443" s="727"/>
      <c r="H443" s="681" t="s">
        <v>34</v>
      </c>
      <c r="I443" s="565"/>
      <c r="J443" s="565"/>
      <c r="K443" s="566"/>
      <c r="L443" s="574"/>
      <c r="M443" s="566"/>
      <c r="N443" s="566"/>
      <c r="O443" s="566"/>
      <c r="P443" s="566"/>
      <c r="Q443" s="566"/>
      <c r="R443" s="566"/>
      <c r="S443" s="566"/>
      <c r="T443" s="566"/>
      <c r="U443" s="566"/>
    </row>
    <row r="444" spans="1:21" ht="18.75" x14ac:dyDescent="0.25">
      <c r="A444" s="764"/>
      <c r="B444" s="718"/>
      <c r="C444" s="718"/>
      <c r="D444" s="765" t="s">
        <v>171</v>
      </c>
      <c r="E444" s="718"/>
      <c r="F444" s="718"/>
      <c r="G444" s="727"/>
      <c r="H444" s="681" t="s">
        <v>46</v>
      </c>
      <c r="I444" s="565"/>
      <c r="J444" s="565"/>
      <c r="K444" s="566"/>
      <c r="L444" s="574"/>
      <c r="M444" s="566"/>
      <c r="N444" s="566"/>
      <c r="O444" s="566"/>
      <c r="P444" s="566"/>
      <c r="Q444" s="566"/>
      <c r="R444" s="566"/>
      <c r="S444" s="566"/>
      <c r="T444" s="566"/>
      <c r="U444" s="566"/>
    </row>
    <row r="445" spans="1:21" ht="18.75" x14ac:dyDescent="0.25">
      <c r="A445" s="764"/>
      <c r="B445" s="718"/>
      <c r="C445" s="718"/>
      <c r="D445" s="718"/>
      <c r="E445" s="718"/>
      <c r="F445" s="718"/>
      <c r="G445" s="727"/>
      <c r="H445" s="681" t="s">
        <v>34</v>
      </c>
      <c r="I445" s="565"/>
      <c r="J445" s="565"/>
      <c r="K445" s="566"/>
      <c r="L445" s="574"/>
      <c r="M445" s="566"/>
      <c r="N445" s="566"/>
      <c r="O445" s="566"/>
      <c r="P445" s="566"/>
      <c r="Q445" s="566"/>
      <c r="R445" s="566"/>
      <c r="S445" s="566"/>
      <c r="T445" s="566"/>
      <c r="U445" s="566"/>
    </row>
    <row r="446" spans="1:21" ht="19.5" x14ac:dyDescent="0.3">
      <c r="A446" s="764"/>
      <c r="B446" s="718"/>
      <c r="C446" s="718"/>
      <c r="D446" s="765" t="s">
        <v>172</v>
      </c>
      <c r="E446" s="718"/>
      <c r="F446" s="718"/>
      <c r="G446" s="727"/>
      <c r="H446" s="681" t="s">
        <v>46</v>
      </c>
      <c r="I446" s="565"/>
      <c r="J446" s="697">
        <f t="shared" ref="J446:J447" si="289">J448+J450</f>
        <v>0</v>
      </c>
      <c r="K446" s="566"/>
      <c r="L446" s="574"/>
      <c r="M446" s="566"/>
      <c r="N446" s="566"/>
      <c r="O446" s="566"/>
      <c r="P446" s="566"/>
      <c r="Q446" s="566"/>
      <c r="R446" s="566"/>
      <c r="S446" s="566"/>
      <c r="T446" s="566"/>
      <c r="U446" s="566"/>
    </row>
    <row r="447" spans="1:21" ht="19.5" x14ac:dyDescent="0.3">
      <c r="A447" s="764"/>
      <c r="B447" s="718"/>
      <c r="C447" s="718"/>
      <c r="D447" s="718"/>
      <c r="E447" s="718"/>
      <c r="F447" s="718"/>
      <c r="G447" s="727"/>
      <c r="H447" s="681" t="s">
        <v>34</v>
      </c>
      <c r="I447" s="565"/>
      <c r="J447" s="697">
        <f t="shared" si="289"/>
        <v>0</v>
      </c>
      <c r="K447" s="566"/>
      <c r="L447" s="574"/>
      <c r="M447" s="566"/>
      <c r="N447" s="566"/>
      <c r="O447" s="566"/>
      <c r="P447" s="566"/>
      <c r="Q447" s="566"/>
      <c r="R447" s="566"/>
      <c r="S447" s="566"/>
      <c r="T447" s="566"/>
      <c r="U447" s="566"/>
    </row>
    <row r="448" spans="1:21" ht="18.75" x14ac:dyDescent="0.25">
      <c r="A448" s="764"/>
      <c r="B448" s="718"/>
      <c r="C448" s="718"/>
      <c r="D448" s="718"/>
      <c r="E448" s="765" t="s">
        <v>173</v>
      </c>
      <c r="F448" s="718"/>
      <c r="G448" s="727"/>
      <c r="H448" s="681" t="s">
        <v>46</v>
      </c>
      <c r="I448" s="565"/>
      <c r="J448" s="565"/>
      <c r="K448" s="566"/>
      <c r="L448" s="574"/>
      <c r="M448" s="566"/>
      <c r="N448" s="566"/>
      <c r="O448" s="566"/>
      <c r="P448" s="566"/>
      <c r="Q448" s="566"/>
      <c r="R448" s="566"/>
      <c r="S448" s="566"/>
      <c r="T448" s="566"/>
      <c r="U448" s="566"/>
    </row>
    <row r="449" spans="1:21" ht="18.75" x14ac:dyDescent="0.25">
      <c r="A449" s="764"/>
      <c r="B449" s="718"/>
      <c r="C449" s="718"/>
      <c r="D449" s="718"/>
      <c r="E449" s="718"/>
      <c r="F449" s="718"/>
      <c r="G449" s="727"/>
      <c r="H449" s="681" t="s">
        <v>34</v>
      </c>
      <c r="I449" s="565"/>
      <c r="J449" s="565"/>
      <c r="K449" s="566"/>
      <c r="L449" s="574"/>
      <c r="M449" s="566"/>
      <c r="N449" s="566"/>
      <c r="O449" s="566"/>
      <c r="P449" s="566"/>
      <c r="Q449" s="566"/>
      <c r="R449" s="566"/>
      <c r="S449" s="566"/>
      <c r="T449" s="566"/>
      <c r="U449" s="566"/>
    </row>
    <row r="450" spans="1:21" ht="18.75" x14ac:dyDescent="0.25">
      <c r="A450" s="764"/>
      <c r="B450" s="718"/>
      <c r="C450" s="718"/>
      <c r="D450" s="718"/>
      <c r="E450" s="765" t="s">
        <v>174</v>
      </c>
      <c r="F450" s="718"/>
      <c r="G450" s="727"/>
      <c r="H450" s="681" t="s">
        <v>46</v>
      </c>
      <c r="I450" s="565"/>
      <c r="J450" s="565"/>
      <c r="K450" s="566"/>
      <c r="L450" s="574"/>
      <c r="M450" s="566"/>
      <c r="N450" s="566"/>
      <c r="O450" s="566"/>
      <c r="P450" s="566"/>
      <c r="Q450" s="566"/>
      <c r="R450" s="566"/>
      <c r="S450" s="566"/>
      <c r="T450" s="566"/>
      <c r="U450" s="566"/>
    </row>
    <row r="451" spans="1:21" ht="18.75" x14ac:dyDescent="0.25">
      <c r="A451" s="764"/>
      <c r="B451" s="718"/>
      <c r="C451" s="718"/>
      <c r="D451" s="718"/>
      <c r="E451" s="718"/>
      <c r="F451" s="718"/>
      <c r="G451" s="727"/>
      <c r="H451" s="681" t="s">
        <v>34</v>
      </c>
      <c r="I451" s="565"/>
      <c r="J451" s="565"/>
      <c r="K451" s="566"/>
      <c r="L451" s="574"/>
      <c r="M451" s="566"/>
      <c r="N451" s="566"/>
      <c r="O451" s="566"/>
      <c r="P451" s="566"/>
      <c r="Q451" s="566"/>
      <c r="R451" s="566"/>
      <c r="S451" s="566"/>
      <c r="T451" s="566"/>
      <c r="U451" s="566"/>
    </row>
    <row r="452" spans="1:21" ht="18.75" x14ac:dyDescent="0.25">
      <c r="A452" s="764"/>
      <c r="B452" s="718"/>
      <c r="C452" s="718"/>
      <c r="D452" s="765" t="s">
        <v>175</v>
      </c>
      <c r="E452" s="718"/>
      <c r="F452" s="718"/>
      <c r="G452" s="727"/>
      <c r="H452" s="681" t="s">
        <v>46</v>
      </c>
      <c r="I452" s="565"/>
      <c r="J452" s="565"/>
      <c r="K452" s="566"/>
      <c r="L452" s="574"/>
      <c r="M452" s="566"/>
      <c r="N452" s="566"/>
      <c r="O452" s="566"/>
      <c r="P452" s="566"/>
      <c r="Q452" s="566"/>
      <c r="R452" s="566"/>
      <c r="S452" s="566"/>
      <c r="T452" s="566"/>
      <c r="U452" s="566"/>
    </row>
    <row r="453" spans="1:21" ht="18.75" x14ac:dyDescent="0.25">
      <c r="A453" s="764"/>
      <c r="B453" s="718"/>
      <c r="C453" s="718"/>
      <c r="D453" s="718"/>
      <c r="E453" s="718"/>
      <c r="F453" s="718"/>
      <c r="G453" s="727"/>
      <c r="H453" s="681" t="s">
        <v>34</v>
      </c>
      <c r="I453" s="565"/>
      <c r="J453" s="565"/>
      <c r="K453" s="566"/>
      <c r="L453" s="574"/>
      <c r="M453" s="566"/>
      <c r="N453" s="566"/>
      <c r="O453" s="566"/>
      <c r="P453" s="566"/>
      <c r="Q453" s="566"/>
      <c r="R453" s="566"/>
      <c r="S453" s="566"/>
      <c r="T453" s="566"/>
      <c r="U453" s="566"/>
    </row>
    <row r="454" spans="1:21" ht="18.75" x14ac:dyDescent="0.25">
      <c r="A454" s="764"/>
      <c r="B454" s="718"/>
      <c r="C454" s="718"/>
      <c r="D454" s="765" t="s">
        <v>176</v>
      </c>
      <c r="E454" s="718"/>
      <c r="F454" s="718"/>
      <c r="G454" s="727"/>
      <c r="H454" s="681" t="s">
        <v>46</v>
      </c>
      <c r="I454" s="565"/>
      <c r="J454" s="981"/>
      <c r="K454" s="566"/>
      <c r="L454" s="574"/>
      <c r="M454" s="566"/>
      <c r="N454" s="566"/>
      <c r="O454" s="566"/>
      <c r="P454" s="566"/>
      <c r="Q454" s="566"/>
      <c r="R454" s="566"/>
      <c r="S454" s="566"/>
      <c r="T454" s="566"/>
      <c r="U454" s="566"/>
    </row>
    <row r="455" spans="1:21" ht="18.75" x14ac:dyDescent="0.25">
      <c r="A455" s="764"/>
      <c r="B455" s="718"/>
      <c r="C455" s="718"/>
      <c r="D455" s="718"/>
      <c r="E455" s="718"/>
      <c r="F455" s="718"/>
      <c r="G455" s="727"/>
      <c r="H455" s="681" t="s">
        <v>34</v>
      </c>
      <c r="I455" s="565"/>
      <c r="J455" s="565"/>
      <c r="K455" s="566"/>
      <c r="L455" s="574"/>
      <c r="M455" s="566"/>
      <c r="N455" s="566"/>
      <c r="O455" s="566"/>
      <c r="P455" s="566"/>
      <c r="Q455" s="566"/>
      <c r="R455" s="566"/>
      <c r="S455" s="566"/>
      <c r="T455" s="566"/>
      <c r="U455" s="566"/>
    </row>
    <row r="456" spans="1:21" ht="19.5" x14ac:dyDescent="0.3">
      <c r="A456" s="764"/>
      <c r="B456" s="719" t="s">
        <v>177</v>
      </c>
      <c r="C456" s="718"/>
      <c r="D456" s="718"/>
      <c r="E456" s="718"/>
      <c r="F456" s="718"/>
      <c r="G456" s="727"/>
      <c r="H456" s="979" t="s">
        <v>46</v>
      </c>
      <c r="I456" s="697">
        <f t="shared" ref="I456:J456" ca="1" si="290">I457</f>
        <v>371</v>
      </c>
      <c r="J456" s="697">
        <f t="shared" si="290"/>
        <v>0</v>
      </c>
      <c r="K456" s="679">
        <f t="shared" ref="K456:K458" ca="1" si="291">IF(I456&gt;0,J456*100/I456,0)</f>
        <v>0</v>
      </c>
      <c r="L456" s="574"/>
      <c r="M456" s="566"/>
      <c r="N456" s="566"/>
      <c r="O456" s="566"/>
      <c r="P456" s="566"/>
      <c r="Q456" s="566"/>
      <c r="R456" s="566"/>
      <c r="S456" s="566"/>
      <c r="T456" s="566"/>
      <c r="U456" s="566"/>
    </row>
    <row r="457" spans="1:21" ht="19.5" x14ac:dyDescent="0.3">
      <c r="A457" s="764"/>
      <c r="B457" s="718"/>
      <c r="C457" s="719" t="s">
        <v>178</v>
      </c>
      <c r="D457" s="718"/>
      <c r="E457" s="718"/>
      <c r="F457" s="718"/>
      <c r="G457" s="727"/>
      <c r="H457" s="677" t="s">
        <v>46</v>
      </c>
      <c r="I457" s="697">
        <f ca="1">IFERROR(__xludf.DUMMYFUNCTION("IMPORTRANGE(""https://docs.google.com/spreadsheets/d/1eHaY18a8A9IcSdp1K8H6x8fbOy06t2VsZHhMHf-1x7Y/edit?usp=sharing"",""แผน!HL15"")"),371)</f>
        <v>371</v>
      </c>
      <c r="J457" s="697">
        <f t="shared" ref="J457:J458" si="292">J459+J467+J473</f>
        <v>0</v>
      </c>
      <c r="K457" s="679">
        <f t="shared" ca="1" si="291"/>
        <v>0</v>
      </c>
      <c r="L457" s="574"/>
      <c r="M457" s="566"/>
      <c r="N457" s="566"/>
      <c r="O457" s="566"/>
      <c r="P457" s="566"/>
      <c r="Q457" s="566"/>
      <c r="R457" s="566"/>
      <c r="S457" s="566"/>
      <c r="T457" s="566"/>
      <c r="U457" s="566"/>
    </row>
    <row r="458" spans="1:21" ht="19.5" x14ac:dyDescent="0.3">
      <c r="A458" s="764"/>
      <c r="B458" s="718"/>
      <c r="C458" s="718"/>
      <c r="D458" s="718"/>
      <c r="E458" s="718"/>
      <c r="F458" s="718"/>
      <c r="G458" s="727"/>
      <c r="H458" s="677" t="s">
        <v>34</v>
      </c>
      <c r="I458" s="697">
        <f ca="1">IFERROR(__xludf.DUMMYFUNCTION("IMPORTRANGE(""https://docs.google.com/spreadsheets/d/1eHaY18a8A9IcSdp1K8H6x8fbOy06t2VsZHhMHf-1x7Y/edit?usp=sharing"",""แผน!HM15"")"),0)</f>
        <v>0</v>
      </c>
      <c r="J458" s="697">
        <f t="shared" si="292"/>
        <v>0</v>
      </c>
      <c r="K458" s="679">
        <f t="shared" ca="1" si="291"/>
        <v>0</v>
      </c>
      <c r="L458" s="574"/>
      <c r="M458" s="566"/>
      <c r="N458" s="566"/>
      <c r="O458" s="566"/>
      <c r="P458" s="566"/>
      <c r="Q458" s="566"/>
      <c r="R458" s="566"/>
      <c r="S458" s="566"/>
      <c r="T458" s="566"/>
      <c r="U458" s="566"/>
    </row>
    <row r="459" spans="1:21" ht="18.75" x14ac:dyDescent="0.25">
      <c r="A459" s="764"/>
      <c r="B459" s="718"/>
      <c r="C459" s="765" t="s">
        <v>179</v>
      </c>
      <c r="D459" s="718"/>
      <c r="E459" s="718"/>
      <c r="F459" s="718"/>
      <c r="G459" s="727"/>
      <c r="H459" s="681" t="s">
        <v>46</v>
      </c>
      <c r="I459" s="565"/>
      <c r="J459" s="708">
        <f t="shared" ref="J459:J460" si="293">J461+J463</f>
        <v>0</v>
      </c>
      <c r="K459" s="566"/>
      <c r="L459" s="574"/>
      <c r="M459" s="566"/>
      <c r="N459" s="566"/>
      <c r="O459" s="566"/>
      <c r="P459" s="566"/>
      <c r="Q459" s="566"/>
      <c r="R459" s="566"/>
      <c r="S459" s="566"/>
      <c r="T459" s="566"/>
      <c r="U459" s="566"/>
    </row>
    <row r="460" spans="1:21" ht="18.75" x14ac:dyDescent="0.25">
      <c r="A460" s="764"/>
      <c r="B460" s="718"/>
      <c r="C460" s="718"/>
      <c r="D460" s="718"/>
      <c r="E460" s="718"/>
      <c r="F460" s="718"/>
      <c r="G460" s="727"/>
      <c r="H460" s="681" t="s">
        <v>34</v>
      </c>
      <c r="I460" s="565"/>
      <c r="J460" s="708">
        <f t="shared" si="293"/>
        <v>0</v>
      </c>
      <c r="K460" s="566"/>
      <c r="L460" s="574"/>
      <c r="M460" s="566"/>
      <c r="N460" s="566"/>
      <c r="O460" s="566"/>
      <c r="P460" s="566"/>
      <c r="Q460" s="566"/>
      <c r="R460" s="566"/>
      <c r="S460" s="566"/>
      <c r="T460" s="566"/>
      <c r="U460" s="566"/>
    </row>
    <row r="461" spans="1:21" ht="18.75" x14ac:dyDescent="0.25">
      <c r="A461" s="764"/>
      <c r="B461" s="718"/>
      <c r="C461" s="718"/>
      <c r="D461" s="982" t="s">
        <v>180</v>
      </c>
      <c r="E461" s="718"/>
      <c r="F461" s="718"/>
      <c r="G461" s="727"/>
      <c r="H461" s="681" t="s">
        <v>46</v>
      </c>
      <c r="I461" s="565"/>
      <c r="J461" s="565"/>
      <c r="K461" s="566"/>
      <c r="L461" s="574"/>
      <c r="M461" s="566"/>
      <c r="N461" s="566"/>
      <c r="O461" s="566"/>
      <c r="P461" s="566"/>
      <c r="Q461" s="566"/>
      <c r="R461" s="566"/>
      <c r="S461" s="566"/>
      <c r="T461" s="566"/>
      <c r="U461" s="566"/>
    </row>
    <row r="462" spans="1:21" ht="18.75" x14ac:dyDescent="0.25">
      <c r="A462" s="764"/>
      <c r="B462" s="718"/>
      <c r="C462" s="718"/>
      <c r="D462" s="718"/>
      <c r="E462" s="718"/>
      <c r="F462" s="718"/>
      <c r="G462" s="727"/>
      <c r="H462" s="681" t="s">
        <v>34</v>
      </c>
      <c r="I462" s="565"/>
      <c r="J462" s="565"/>
      <c r="K462" s="566"/>
      <c r="L462" s="574"/>
      <c r="M462" s="566"/>
      <c r="N462" s="566"/>
      <c r="O462" s="566"/>
      <c r="P462" s="566"/>
      <c r="Q462" s="566"/>
      <c r="R462" s="566"/>
      <c r="S462" s="566"/>
      <c r="T462" s="566"/>
      <c r="U462" s="566"/>
    </row>
    <row r="463" spans="1:21" ht="18.75" x14ac:dyDescent="0.25">
      <c r="A463" s="764"/>
      <c r="B463" s="718"/>
      <c r="C463" s="718"/>
      <c r="D463" s="982" t="s">
        <v>181</v>
      </c>
      <c r="E463" s="718"/>
      <c r="F463" s="718"/>
      <c r="G463" s="727"/>
      <c r="H463" s="681" t="s">
        <v>46</v>
      </c>
      <c r="I463" s="565"/>
      <c r="J463" s="565"/>
      <c r="K463" s="566"/>
      <c r="L463" s="574"/>
      <c r="M463" s="566"/>
      <c r="N463" s="566"/>
      <c r="O463" s="566"/>
      <c r="P463" s="566"/>
      <c r="Q463" s="566"/>
      <c r="R463" s="566"/>
      <c r="S463" s="566"/>
      <c r="T463" s="566"/>
      <c r="U463" s="566"/>
    </row>
    <row r="464" spans="1:21" ht="18.75" x14ac:dyDescent="0.25">
      <c r="A464" s="764"/>
      <c r="B464" s="718"/>
      <c r="C464" s="718"/>
      <c r="D464" s="718"/>
      <c r="E464" s="718"/>
      <c r="F464" s="718"/>
      <c r="G464" s="727"/>
      <c r="H464" s="681" t="s">
        <v>34</v>
      </c>
      <c r="I464" s="565"/>
      <c r="J464" s="565"/>
      <c r="K464" s="566"/>
      <c r="L464" s="574"/>
      <c r="M464" s="566"/>
      <c r="N464" s="566"/>
      <c r="O464" s="566"/>
      <c r="P464" s="566"/>
      <c r="Q464" s="566"/>
      <c r="R464" s="566"/>
      <c r="S464" s="566"/>
      <c r="T464" s="566"/>
      <c r="U464" s="566"/>
    </row>
    <row r="465" spans="1:21" ht="18.75" x14ac:dyDescent="0.25">
      <c r="A465" s="764"/>
      <c r="B465" s="718"/>
      <c r="C465" s="718"/>
      <c r="D465" s="982" t="s">
        <v>182</v>
      </c>
      <c r="E465" s="718"/>
      <c r="F465" s="718"/>
      <c r="G465" s="727"/>
      <c r="H465" s="681" t="s">
        <v>46</v>
      </c>
      <c r="I465" s="565"/>
      <c r="J465" s="565"/>
      <c r="K465" s="566"/>
      <c r="L465" s="574"/>
      <c r="M465" s="566"/>
      <c r="N465" s="566"/>
      <c r="O465" s="566"/>
      <c r="P465" s="566"/>
      <c r="Q465" s="566"/>
      <c r="R465" s="566"/>
      <c r="S465" s="566"/>
      <c r="T465" s="566"/>
      <c r="U465" s="566"/>
    </row>
    <row r="466" spans="1:21" ht="18.75" x14ac:dyDescent="0.25">
      <c r="A466" s="764"/>
      <c r="B466" s="718"/>
      <c r="C466" s="718"/>
      <c r="D466" s="718"/>
      <c r="E466" s="718"/>
      <c r="F466" s="718"/>
      <c r="G466" s="727"/>
      <c r="H466" s="681" t="s">
        <v>34</v>
      </c>
      <c r="I466" s="565"/>
      <c r="J466" s="565"/>
      <c r="K466" s="566"/>
      <c r="L466" s="574"/>
      <c r="M466" s="566"/>
      <c r="N466" s="566"/>
      <c r="O466" s="566"/>
      <c r="P466" s="566"/>
      <c r="Q466" s="566"/>
      <c r="R466" s="566"/>
      <c r="S466" s="566"/>
      <c r="T466" s="566"/>
      <c r="U466" s="566"/>
    </row>
    <row r="467" spans="1:21" ht="18.75" x14ac:dyDescent="0.25">
      <c r="A467" s="764"/>
      <c r="B467" s="718"/>
      <c r="C467" s="982" t="s">
        <v>183</v>
      </c>
      <c r="D467" s="718"/>
      <c r="E467" s="718"/>
      <c r="F467" s="718"/>
      <c r="G467" s="727"/>
      <c r="H467" s="681" t="s">
        <v>46</v>
      </c>
      <c r="I467" s="565"/>
      <c r="J467" s="708">
        <f t="shared" ref="J467:J468" si="294">J469+J471</f>
        <v>0</v>
      </c>
      <c r="K467" s="566"/>
      <c r="L467" s="574"/>
      <c r="M467" s="566"/>
      <c r="N467" s="566"/>
      <c r="O467" s="566"/>
      <c r="P467" s="566"/>
      <c r="Q467" s="566"/>
      <c r="R467" s="566"/>
      <c r="S467" s="566"/>
      <c r="T467" s="566"/>
      <c r="U467" s="566"/>
    </row>
    <row r="468" spans="1:21" ht="18.75" x14ac:dyDescent="0.25">
      <c r="A468" s="764"/>
      <c r="B468" s="718"/>
      <c r="C468" s="718"/>
      <c r="D468" s="718"/>
      <c r="E468" s="718"/>
      <c r="F468" s="718"/>
      <c r="G468" s="727"/>
      <c r="H468" s="681" t="s">
        <v>34</v>
      </c>
      <c r="I468" s="565"/>
      <c r="J468" s="708">
        <f t="shared" si="294"/>
        <v>0</v>
      </c>
      <c r="K468" s="566"/>
      <c r="L468" s="574"/>
      <c r="M468" s="566"/>
      <c r="N468" s="566"/>
      <c r="O468" s="566"/>
      <c r="P468" s="566"/>
      <c r="Q468" s="566"/>
      <c r="R468" s="566"/>
      <c r="S468" s="566"/>
      <c r="T468" s="566"/>
      <c r="U468" s="566"/>
    </row>
    <row r="469" spans="1:21" ht="18.75" x14ac:dyDescent="0.25">
      <c r="A469" s="764"/>
      <c r="B469" s="718"/>
      <c r="C469" s="718"/>
      <c r="D469" s="982" t="s">
        <v>184</v>
      </c>
      <c r="E469" s="718"/>
      <c r="F469" s="718"/>
      <c r="G469" s="727"/>
      <c r="H469" s="681" t="s">
        <v>46</v>
      </c>
      <c r="I469" s="565"/>
      <c r="J469" s="565"/>
      <c r="K469" s="566"/>
      <c r="L469" s="574"/>
      <c r="M469" s="566"/>
      <c r="N469" s="566"/>
      <c r="O469" s="566"/>
      <c r="P469" s="566"/>
      <c r="Q469" s="566"/>
      <c r="R469" s="566"/>
      <c r="S469" s="566"/>
      <c r="T469" s="566"/>
      <c r="U469" s="566"/>
    </row>
    <row r="470" spans="1:21" ht="18.75" x14ac:dyDescent="0.25">
      <c r="A470" s="764"/>
      <c r="B470" s="718"/>
      <c r="C470" s="718"/>
      <c r="D470" s="718"/>
      <c r="E470" s="718"/>
      <c r="F470" s="718"/>
      <c r="G470" s="727"/>
      <c r="H470" s="681" t="s">
        <v>34</v>
      </c>
      <c r="I470" s="565"/>
      <c r="J470" s="565"/>
      <c r="K470" s="566"/>
      <c r="L470" s="574"/>
      <c r="M470" s="566"/>
      <c r="N470" s="566"/>
      <c r="O470" s="566"/>
      <c r="P470" s="566"/>
      <c r="Q470" s="566"/>
      <c r="R470" s="566"/>
      <c r="S470" s="566"/>
      <c r="T470" s="566"/>
      <c r="U470" s="566"/>
    </row>
    <row r="471" spans="1:21" ht="18.75" x14ac:dyDescent="0.25">
      <c r="A471" s="764"/>
      <c r="B471" s="718"/>
      <c r="C471" s="718"/>
      <c r="D471" s="982" t="s">
        <v>185</v>
      </c>
      <c r="E471" s="718"/>
      <c r="F471" s="718"/>
      <c r="G471" s="727"/>
      <c r="H471" s="681" t="s">
        <v>46</v>
      </c>
      <c r="I471" s="565"/>
      <c r="J471" s="565"/>
      <c r="K471" s="566"/>
      <c r="L471" s="574"/>
      <c r="M471" s="566"/>
      <c r="N471" s="566"/>
      <c r="O471" s="566"/>
      <c r="P471" s="566"/>
      <c r="Q471" s="566"/>
      <c r="R471" s="566"/>
      <c r="S471" s="566"/>
      <c r="T471" s="566"/>
      <c r="U471" s="566"/>
    </row>
    <row r="472" spans="1:21" ht="18.75" x14ac:dyDescent="0.25">
      <c r="A472" s="764"/>
      <c r="B472" s="718"/>
      <c r="C472" s="718"/>
      <c r="D472" s="718"/>
      <c r="E472" s="718"/>
      <c r="F472" s="718"/>
      <c r="G472" s="727"/>
      <c r="H472" s="681" t="s">
        <v>34</v>
      </c>
      <c r="I472" s="565"/>
      <c r="J472" s="565"/>
      <c r="K472" s="566"/>
      <c r="L472" s="574"/>
      <c r="M472" s="566"/>
      <c r="N472" s="566"/>
      <c r="O472" s="566"/>
      <c r="P472" s="566"/>
      <c r="Q472" s="566"/>
      <c r="R472" s="566"/>
      <c r="S472" s="566"/>
      <c r="T472" s="566"/>
      <c r="U472" s="566"/>
    </row>
    <row r="473" spans="1:21" ht="18.75" x14ac:dyDescent="0.25">
      <c r="A473" s="764"/>
      <c r="B473" s="718"/>
      <c r="C473" s="765" t="s">
        <v>186</v>
      </c>
      <c r="D473" s="718"/>
      <c r="E473" s="718"/>
      <c r="F473" s="718"/>
      <c r="G473" s="727"/>
      <c r="H473" s="681" t="s">
        <v>46</v>
      </c>
      <c r="I473" s="565"/>
      <c r="J473" s="565"/>
      <c r="K473" s="566"/>
      <c r="L473" s="574"/>
      <c r="M473" s="566"/>
      <c r="N473" s="566"/>
      <c r="O473" s="566"/>
      <c r="P473" s="566"/>
      <c r="Q473" s="566"/>
      <c r="R473" s="566"/>
      <c r="S473" s="566"/>
      <c r="T473" s="566"/>
      <c r="U473" s="566"/>
    </row>
    <row r="474" spans="1:21" ht="18.75" x14ac:dyDescent="0.25">
      <c r="A474" s="764"/>
      <c r="B474" s="718"/>
      <c r="C474" s="718"/>
      <c r="D474" s="718"/>
      <c r="E474" s="718"/>
      <c r="F474" s="718"/>
      <c r="G474" s="727"/>
      <c r="H474" s="681" t="s">
        <v>34</v>
      </c>
      <c r="I474" s="565"/>
      <c r="J474" s="565"/>
      <c r="K474" s="566"/>
      <c r="L474" s="574"/>
      <c r="M474" s="566"/>
      <c r="N474" s="566"/>
      <c r="O474" s="566"/>
      <c r="P474" s="566"/>
      <c r="Q474" s="566"/>
      <c r="R474" s="566"/>
      <c r="S474" s="566"/>
      <c r="T474" s="566"/>
      <c r="U474" s="566"/>
    </row>
    <row r="475" spans="1:21" ht="19.5" x14ac:dyDescent="0.3">
      <c r="A475" s="764"/>
      <c r="B475" s="983" t="s">
        <v>187</v>
      </c>
      <c r="C475" s="718"/>
      <c r="D475" s="718"/>
      <c r="E475" s="718"/>
      <c r="F475" s="718"/>
      <c r="G475" s="727"/>
      <c r="H475" s="677" t="s">
        <v>46</v>
      </c>
      <c r="I475" s="697">
        <v>0</v>
      </c>
      <c r="J475" s="697">
        <f>J478+J480</f>
        <v>0</v>
      </c>
      <c r="K475" s="679">
        <f t="shared" ref="K475:K477" si="295">IF(I475&gt;0,J475*100/I475,0)</f>
        <v>0</v>
      </c>
      <c r="L475" s="574"/>
      <c r="M475" s="566"/>
      <c r="N475" s="566"/>
      <c r="O475" s="566"/>
      <c r="P475" s="566"/>
      <c r="Q475" s="566"/>
      <c r="R475" s="566"/>
      <c r="S475" s="566"/>
      <c r="T475" s="566"/>
      <c r="U475" s="566"/>
    </row>
    <row r="476" spans="1:21" ht="19.5" x14ac:dyDescent="0.3">
      <c r="A476" s="764"/>
      <c r="B476" s="718"/>
      <c r="C476" s="719" t="s">
        <v>188</v>
      </c>
      <c r="D476" s="718"/>
      <c r="E476" s="718"/>
      <c r="F476" s="718"/>
      <c r="G476" s="727"/>
      <c r="H476" s="677" t="s">
        <v>46</v>
      </c>
      <c r="I476" s="697">
        <v>0</v>
      </c>
      <c r="J476" s="697">
        <f t="shared" ref="J476:J477" si="296">J478+J480</f>
        <v>0</v>
      </c>
      <c r="K476" s="679">
        <f t="shared" si="295"/>
        <v>0</v>
      </c>
      <c r="L476" s="574"/>
      <c r="M476" s="566"/>
      <c r="N476" s="566"/>
      <c r="O476" s="566"/>
      <c r="P476" s="566"/>
      <c r="Q476" s="566"/>
      <c r="R476" s="566"/>
      <c r="S476" s="566"/>
      <c r="T476" s="566"/>
      <c r="U476" s="566"/>
    </row>
    <row r="477" spans="1:21" ht="19.5" x14ac:dyDescent="0.3">
      <c r="A477" s="764"/>
      <c r="B477" s="718"/>
      <c r="C477" s="765" t="s">
        <v>189</v>
      </c>
      <c r="D477" s="718"/>
      <c r="E477" s="718"/>
      <c r="F477" s="718"/>
      <c r="G477" s="727"/>
      <c r="H477" s="677" t="s">
        <v>34</v>
      </c>
      <c r="I477" s="697">
        <v>0</v>
      </c>
      <c r="J477" s="697">
        <f t="shared" si="296"/>
        <v>0</v>
      </c>
      <c r="K477" s="679">
        <f t="shared" si="295"/>
        <v>0</v>
      </c>
      <c r="L477" s="574"/>
      <c r="M477" s="566"/>
      <c r="N477" s="566"/>
      <c r="O477" s="566"/>
      <c r="P477" s="566"/>
      <c r="Q477" s="566"/>
      <c r="R477" s="566"/>
      <c r="S477" s="566"/>
      <c r="T477" s="566"/>
      <c r="U477" s="566"/>
    </row>
    <row r="478" spans="1:21" ht="18.75" x14ac:dyDescent="0.25">
      <c r="A478" s="764"/>
      <c r="B478" s="718"/>
      <c r="C478" s="718"/>
      <c r="D478" s="765" t="s">
        <v>190</v>
      </c>
      <c r="E478" s="718"/>
      <c r="F478" s="718"/>
      <c r="G478" s="727"/>
      <c r="H478" s="681" t="s">
        <v>46</v>
      </c>
      <c r="I478" s="565"/>
      <c r="J478" s="565"/>
      <c r="K478" s="566"/>
      <c r="L478" s="574"/>
      <c r="M478" s="566"/>
      <c r="N478" s="566"/>
      <c r="O478" s="566"/>
      <c r="P478" s="566"/>
      <c r="Q478" s="566"/>
      <c r="R478" s="566"/>
      <c r="S478" s="566"/>
      <c r="T478" s="566"/>
      <c r="U478" s="566"/>
    </row>
    <row r="479" spans="1:21" ht="18.75" x14ac:dyDescent="0.25">
      <c r="A479" s="764"/>
      <c r="B479" s="718"/>
      <c r="C479" s="718"/>
      <c r="D479" s="718"/>
      <c r="E479" s="718"/>
      <c r="F479" s="718"/>
      <c r="G479" s="727"/>
      <c r="H479" s="681" t="s">
        <v>34</v>
      </c>
      <c r="I479" s="565"/>
      <c r="J479" s="565"/>
      <c r="K479" s="566"/>
      <c r="L479" s="574"/>
      <c r="M479" s="566"/>
      <c r="N479" s="566"/>
      <c r="O479" s="566"/>
      <c r="P479" s="566"/>
      <c r="Q479" s="566"/>
      <c r="R479" s="566"/>
      <c r="S479" s="566"/>
      <c r="T479" s="566"/>
      <c r="U479" s="566"/>
    </row>
    <row r="480" spans="1:21" ht="18.75" x14ac:dyDescent="0.25">
      <c r="A480" s="764"/>
      <c r="B480" s="718"/>
      <c r="C480" s="718"/>
      <c r="D480" s="982" t="s">
        <v>191</v>
      </c>
      <c r="E480" s="718"/>
      <c r="F480" s="718"/>
      <c r="G480" s="727"/>
      <c r="H480" s="681" t="s">
        <v>46</v>
      </c>
      <c r="I480" s="565"/>
      <c r="J480" s="565"/>
      <c r="K480" s="566"/>
      <c r="L480" s="574"/>
      <c r="M480" s="566"/>
      <c r="N480" s="566"/>
      <c r="O480" s="566"/>
      <c r="P480" s="566"/>
      <c r="Q480" s="566"/>
      <c r="R480" s="566"/>
      <c r="S480" s="566"/>
      <c r="T480" s="566"/>
      <c r="U480" s="566"/>
    </row>
    <row r="481" spans="1:21" ht="18.75" x14ac:dyDescent="0.25">
      <c r="A481" s="764"/>
      <c r="B481" s="718"/>
      <c r="C481" s="718"/>
      <c r="D481" s="718"/>
      <c r="E481" s="718"/>
      <c r="F481" s="718"/>
      <c r="G481" s="727"/>
      <c r="H481" s="681" t="s">
        <v>34</v>
      </c>
      <c r="I481" s="565"/>
      <c r="J481" s="565"/>
      <c r="K481" s="566"/>
      <c r="L481" s="574"/>
      <c r="M481" s="566"/>
      <c r="N481" s="566"/>
      <c r="O481" s="566"/>
      <c r="P481" s="566"/>
      <c r="Q481" s="566"/>
      <c r="R481" s="566"/>
      <c r="S481" s="566"/>
      <c r="T481" s="566"/>
      <c r="U481" s="566"/>
    </row>
    <row r="482" spans="1:21" ht="18.75" x14ac:dyDescent="0.25">
      <c r="A482" s="764"/>
      <c r="B482" s="718"/>
      <c r="C482" s="718"/>
      <c r="D482" s="982" t="s">
        <v>192</v>
      </c>
      <c r="E482" s="718"/>
      <c r="F482" s="718"/>
      <c r="G482" s="727"/>
      <c r="H482" s="681" t="s">
        <v>46</v>
      </c>
      <c r="I482" s="565"/>
      <c r="J482" s="708">
        <f ca="1">IFERROR(__xludf.DUMMYFUNCTION("IMPORTRANGE(""https://docs.google.com/spreadsheets/d/1eHaY18a8A9IcSdp1K8H6x8fbOy06t2VsZHhMHf-1x7Y/edit?usp=sharing"",""แผน!HN15"")"),0)</f>
        <v>0</v>
      </c>
      <c r="K482" s="566"/>
      <c r="L482" s="574"/>
      <c r="M482" s="566"/>
      <c r="N482" s="566"/>
      <c r="O482" s="566"/>
      <c r="P482" s="566"/>
      <c r="Q482" s="566"/>
      <c r="R482" s="566"/>
      <c r="S482" s="566"/>
      <c r="T482" s="566"/>
      <c r="U482" s="566"/>
    </row>
    <row r="483" spans="1:21" ht="18.75" x14ac:dyDescent="0.25">
      <c r="A483" s="764"/>
      <c r="B483" s="718"/>
      <c r="C483" s="718"/>
      <c r="D483" s="718"/>
      <c r="E483" s="718"/>
      <c r="F483" s="718"/>
      <c r="G483" s="727"/>
      <c r="H483" s="681" t="s">
        <v>34</v>
      </c>
      <c r="I483" s="565"/>
      <c r="J483" s="708">
        <f ca="1">IFERROR(__xludf.DUMMYFUNCTION("IMPORTRANGE(""https://docs.google.com/spreadsheets/d/1eHaY18a8A9IcSdp1K8H6x8fbOy06t2VsZHhMHf-1x7Y/edit?usp=sharing"",""แผน!HO15"")"),0)</f>
        <v>0</v>
      </c>
      <c r="K483" s="566"/>
      <c r="L483" s="574"/>
      <c r="M483" s="566"/>
      <c r="N483" s="566"/>
      <c r="O483" s="566"/>
      <c r="P483" s="566"/>
      <c r="Q483" s="566"/>
      <c r="R483" s="566"/>
      <c r="S483" s="566"/>
      <c r="T483" s="566"/>
      <c r="U483" s="566"/>
    </row>
    <row r="484" spans="1:21" ht="19.5" x14ac:dyDescent="0.3">
      <c r="A484" s="764"/>
      <c r="B484" s="718"/>
      <c r="C484" s="719" t="s">
        <v>193</v>
      </c>
      <c r="D484" s="718"/>
      <c r="E484" s="718"/>
      <c r="F484" s="718"/>
      <c r="G484" s="727"/>
      <c r="H484" s="677" t="s">
        <v>46</v>
      </c>
      <c r="I484" s="565">
        <f t="shared" ref="I484:I485" si="297">J480</f>
        <v>0</v>
      </c>
      <c r="J484" s="697">
        <f t="shared" ref="J484:J485" si="298">J486+J488+J490</f>
        <v>0</v>
      </c>
      <c r="K484" s="679">
        <f t="shared" ref="K484:K485" si="299">IF(I484&gt;0,J484*100/I484,0)</f>
        <v>0</v>
      </c>
      <c r="L484" s="574"/>
      <c r="M484" s="566"/>
      <c r="N484" s="566"/>
      <c r="O484" s="566"/>
      <c r="P484" s="566"/>
      <c r="Q484" s="566"/>
      <c r="R484" s="566"/>
      <c r="S484" s="566"/>
      <c r="T484" s="566"/>
      <c r="U484" s="566"/>
    </row>
    <row r="485" spans="1:21" ht="19.5" x14ac:dyDescent="0.3">
      <c r="A485" s="764"/>
      <c r="B485" s="718"/>
      <c r="C485" s="765" t="s">
        <v>194</v>
      </c>
      <c r="D485" s="718"/>
      <c r="E485" s="718"/>
      <c r="F485" s="718"/>
      <c r="G485" s="727"/>
      <c r="H485" s="677" t="s">
        <v>34</v>
      </c>
      <c r="I485" s="565">
        <f t="shared" si="297"/>
        <v>0</v>
      </c>
      <c r="J485" s="697">
        <f t="shared" si="298"/>
        <v>0</v>
      </c>
      <c r="K485" s="679">
        <f t="shared" si="299"/>
        <v>0</v>
      </c>
      <c r="L485" s="574"/>
      <c r="M485" s="566"/>
      <c r="N485" s="566"/>
      <c r="O485" s="566"/>
      <c r="P485" s="566"/>
      <c r="Q485" s="566"/>
      <c r="R485" s="566"/>
      <c r="S485" s="566"/>
      <c r="T485" s="566"/>
      <c r="U485" s="566"/>
    </row>
    <row r="486" spans="1:21" ht="18.75" x14ac:dyDescent="0.25">
      <c r="A486" s="764"/>
      <c r="B486" s="718"/>
      <c r="C486" s="718"/>
      <c r="D486" s="982" t="s">
        <v>195</v>
      </c>
      <c r="E486" s="718"/>
      <c r="F486" s="718"/>
      <c r="G486" s="727"/>
      <c r="H486" s="681" t="s">
        <v>46</v>
      </c>
      <c r="I486" s="565"/>
      <c r="J486" s="565"/>
      <c r="K486" s="566"/>
      <c r="L486" s="574"/>
      <c r="M486" s="566"/>
      <c r="N486" s="566"/>
      <c r="O486" s="566"/>
      <c r="P486" s="566"/>
      <c r="Q486" s="566"/>
      <c r="R486" s="566"/>
      <c r="S486" s="566"/>
      <c r="T486" s="566"/>
      <c r="U486" s="566"/>
    </row>
    <row r="487" spans="1:21" ht="18.75" x14ac:dyDescent="0.25">
      <c r="A487" s="764"/>
      <c r="B487" s="718"/>
      <c r="C487" s="718"/>
      <c r="D487" s="718"/>
      <c r="E487" s="718"/>
      <c r="F487" s="718"/>
      <c r="G487" s="727"/>
      <c r="H487" s="681" t="s">
        <v>34</v>
      </c>
      <c r="I487" s="565"/>
      <c r="J487" s="565"/>
      <c r="K487" s="566"/>
      <c r="L487" s="574"/>
      <c r="M487" s="566"/>
      <c r="N487" s="566"/>
      <c r="O487" s="566"/>
      <c r="P487" s="566"/>
      <c r="Q487" s="566"/>
      <c r="R487" s="566"/>
      <c r="S487" s="566"/>
      <c r="T487" s="566"/>
      <c r="U487" s="566"/>
    </row>
    <row r="488" spans="1:21" ht="18.75" x14ac:dyDescent="0.25">
      <c r="A488" s="764"/>
      <c r="B488" s="718"/>
      <c r="C488" s="718"/>
      <c r="D488" s="982" t="s">
        <v>196</v>
      </c>
      <c r="E488" s="718"/>
      <c r="F488" s="718"/>
      <c r="G488" s="727"/>
      <c r="H488" s="681" t="s">
        <v>46</v>
      </c>
      <c r="I488" s="565"/>
      <c r="J488" s="565"/>
      <c r="K488" s="566"/>
      <c r="L488" s="574"/>
      <c r="M488" s="566"/>
      <c r="N488" s="566"/>
      <c r="O488" s="566"/>
      <c r="P488" s="566"/>
      <c r="Q488" s="566"/>
      <c r="R488" s="566"/>
      <c r="S488" s="566"/>
      <c r="T488" s="566"/>
      <c r="U488" s="566"/>
    </row>
    <row r="489" spans="1:21" ht="18.75" x14ac:dyDescent="0.25">
      <c r="A489" s="764"/>
      <c r="B489" s="718"/>
      <c r="C489" s="718"/>
      <c r="D489" s="718"/>
      <c r="E489" s="718"/>
      <c r="F489" s="718"/>
      <c r="G489" s="727"/>
      <c r="H489" s="681" t="s">
        <v>34</v>
      </c>
      <c r="I489" s="565"/>
      <c r="J489" s="565"/>
      <c r="K489" s="566"/>
      <c r="L489" s="574"/>
      <c r="M489" s="566"/>
      <c r="N489" s="566"/>
      <c r="O489" s="566"/>
      <c r="P489" s="566"/>
      <c r="Q489" s="566"/>
      <c r="R489" s="566"/>
      <c r="S489" s="566"/>
      <c r="T489" s="566"/>
      <c r="U489" s="566"/>
    </row>
    <row r="490" spans="1:21" ht="18.75" x14ac:dyDescent="0.25">
      <c r="A490" s="764"/>
      <c r="B490" s="718"/>
      <c r="C490" s="718"/>
      <c r="D490" s="982" t="s">
        <v>197</v>
      </c>
      <c r="E490" s="718"/>
      <c r="F490" s="718"/>
      <c r="G490" s="727"/>
      <c r="H490" s="681" t="s">
        <v>46</v>
      </c>
      <c r="I490" s="565"/>
      <c r="J490" s="565"/>
      <c r="K490" s="566"/>
      <c r="L490" s="574"/>
      <c r="M490" s="566"/>
      <c r="N490" s="566"/>
      <c r="O490" s="566"/>
      <c r="P490" s="566"/>
      <c r="Q490" s="566"/>
      <c r="R490" s="566"/>
      <c r="S490" s="566"/>
      <c r="T490" s="566"/>
      <c r="U490" s="566"/>
    </row>
    <row r="491" spans="1:21" ht="18.75" x14ac:dyDescent="0.25">
      <c r="A491" s="984"/>
      <c r="B491" s="514"/>
      <c r="C491" s="514"/>
      <c r="D491" s="514"/>
      <c r="E491" s="514"/>
      <c r="F491" s="514"/>
      <c r="G491" s="985"/>
      <c r="H491" s="986" t="s">
        <v>34</v>
      </c>
      <c r="I491" s="579"/>
      <c r="J491" s="579"/>
      <c r="K491" s="580"/>
      <c r="L491" s="581"/>
      <c r="M491" s="580"/>
      <c r="N491" s="580"/>
      <c r="O491" s="580"/>
      <c r="P491" s="580"/>
      <c r="Q491" s="580"/>
      <c r="R491" s="580"/>
      <c r="S491" s="580"/>
      <c r="T491" s="580"/>
      <c r="U491" s="580"/>
    </row>
    <row r="492" spans="1:21" ht="19.5" hidden="1" x14ac:dyDescent="0.3">
      <c r="A492" s="926"/>
      <c r="B492" s="971" t="s">
        <v>198</v>
      </c>
      <c r="C492" s="928"/>
      <c r="D492" s="928"/>
      <c r="E492" s="911"/>
      <c r="F492" s="911"/>
      <c r="G492" s="912"/>
      <c r="H492" s="977" t="s">
        <v>35</v>
      </c>
      <c r="I492" s="914">
        <f t="shared" ref="I492:J492" ca="1" si="300">I503</f>
        <v>0</v>
      </c>
      <c r="J492" s="914">
        <f t="shared" ca="1" si="300"/>
        <v>0</v>
      </c>
      <c r="K492" s="915">
        <f ca="1">IF(I492&gt;0,J492*100/I492,0)</f>
        <v>0</v>
      </c>
      <c r="L492" s="916"/>
      <c r="M492" s="917"/>
      <c r="N492" s="917"/>
      <c r="O492" s="917"/>
      <c r="P492" s="917"/>
      <c r="Q492" s="917"/>
      <c r="R492" s="917"/>
      <c r="S492" s="917"/>
      <c r="T492" s="917"/>
      <c r="U492" s="917"/>
    </row>
    <row r="493" spans="1:21" ht="19.5" hidden="1" x14ac:dyDescent="0.3">
      <c r="A493" s="674"/>
      <c r="B493" s="718"/>
      <c r="C493" s="724" t="s">
        <v>18</v>
      </c>
      <c r="D493" s="1313" t="s">
        <v>19</v>
      </c>
      <c r="E493" s="1314"/>
      <c r="F493" s="1314"/>
      <c r="G493" s="563"/>
      <c r="H493" s="780" t="s">
        <v>14</v>
      </c>
      <c r="I493" s="565"/>
      <c r="J493" s="565"/>
      <c r="K493" s="566"/>
      <c r="L493" s="678">
        <f t="shared" ref="L493:N493" ca="1" si="301">L494+L495</f>
        <v>0</v>
      </c>
      <c r="M493" s="679">
        <f t="shared" ca="1" si="301"/>
        <v>0</v>
      </c>
      <c r="N493" s="679">
        <f t="shared" ca="1" si="301"/>
        <v>0</v>
      </c>
      <c r="O493" s="679">
        <f t="shared" ref="O493:O501" ca="1" si="302">IF(L493&gt;0,N493*100/L493,0)</f>
        <v>0</v>
      </c>
      <c r="P493" s="679">
        <f t="shared" ref="P493:P501" ca="1" si="303">IF(M493&gt;0,N493*100/M493,0)</f>
        <v>0</v>
      </c>
      <c r="Q493" s="679">
        <f t="shared" ref="Q493:S493" ca="1" si="304">Q494+Q495</f>
        <v>0</v>
      </c>
      <c r="R493" s="679">
        <f t="shared" ca="1" si="304"/>
        <v>0</v>
      </c>
      <c r="S493" s="679">
        <f t="shared" ca="1" si="304"/>
        <v>0</v>
      </c>
      <c r="T493" s="679">
        <f t="shared" ref="T493:T501" ca="1" si="305">IF(Q493&gt;0,S493*100/Q493,0)</f>
        <v>0</v>
      </c>
      <c r="U493" s="679">
        <f t="shared" ref="U493:U501" ca="1" si="306">IF(R493&gt;0,S493*100/R493,0)</f>
        <v>0</v>
      </c>
    </row>
    <row r="494" spans="1:21" ht="18.75" hidden="1" x14ac:dyDescent="0.25">
      <c r="A494" s="674"/>
      <c r="B494" s="718"/>
      <c r="C494" s="718"/>
      <c r="D494" s="688"/>
      <c r="E494" s="569" t="s">
        <v>158</v>
      </c>
      <c r="F494" s="561"/>
      <c r="G494" s="563"/>
      <c r="H494" s="685" t="s">
        <v>14</v>
      </c>
      <c r="I494" s="565"/>
      <c r="J494" s="565"/>
      <c r="K494" s="566"/>
      <c r="L494" s="571">
        <f t="shared" ref="L494:N495" si="307">L497+L500</f>
        <v>0</v>
      </c>
      <c r="M494" s="572">
        <f t="shared" si="307"/>
        <v>0</v>
      </c>
      <c r="N494" s="572">
        <f t="shared" si="307"/>
        <v>0</v>
      </c>
      <c r="O494" s="572">
        <f t="shared" si="302"/>
        <v>0</v>
      </c>
      <c r="P494" s="572">
        <f t="shared" si="303"/>
        <v>0</v>
      </c>
      <c r="Q494" s="572">
        <f t="shared" ref="Q494:S495" si="308">Q497+Q500</f>
        <v>0</v>
      </c>
      <c r="R494" s="572">
        <f t="shared" si="308"/>
        <v>0</v>
      </c>
      <c r="S494" s="572">
        <f t="shared" si="308"/>
        <v>0</v>
      </c>
      <c r="T494" s="572">
        <f t="shared" si="305"/>
        <v>0</v>
      </c>
      <c r="U494" s="572">
        <f t="shared" si="306"/>
        <v>0</v>
      </c>
    </row>
    <row r="495" spans="1:21" ht="18.75" hidden="1" x14ac:dyDescent="0.25">
      <c r="A495" s="674"/>
      <c r="B495" s="718"/>
      <c r="C495" s="718"/>
      <c r="D495" s="688"/>
      <c r="E495" s="573" t="s">
        <v>159</v>
      </c>
      <c r="F495" s="561"/>
      <c r="G495" s="563"/>
      <c r="H495" s="682" t="s">
        <v>14</v>
      </c>
      <c r="I495" s="565"/>
      <c r="J495" s="565"/>
      <c r="K495" s="566"/>
      <c r="L495" s="567">
        <f t="shared" ca="1" si="307"/>
        <v>0</v>
      </c>
      <c r="M495" s="568">
        <f t="shared" ca="1" si="307"/>
        <v>0</v>
      </c>
      <c r="N495" s="568">
        <f t="shared" ca="1" si="307"/>
        <v>0</v>
      </c>
      <c r="O495" s="568">
        <f t="shared" ca="1" si="302"/>
        <v>0</v>
      </c>
      <c r="P495" s="568">
        <f t="shared" ca="1" si="303"/>
        <v>0</v>
      </c>
      <c r="Q495" s="568">
        <f t="shared" ca="1" si="308"/>
        <v>0</v>
      </c>
      <c r="R495" s="568">
        <f t="shared" ca="1" si="308"/>
        <v>0</v>
      </c>
      <c r="S495" s="568">
        <f t="shared" ca="1" si="308"/>
        <v>0</v>
      </c>
      <c r="T495" s="568">
        <f t="shared" ca="1" si="305"/>
        <v>0</v>
      </c>
      <c r="U495" s="568">
        <f t="shared" ca="1" si="306"/>
        <v>0</v>
      </c>
    </row>
    <row r="496" spans="1:21" ht="18.75" hidden="1" x14ac:dyDescent="0.25">
      <c r="A496" s="674"/>
      <c r="B496" s="718"/>
      <c r="C496" s="718"/>
      <c r="D496" s="721" t="s">
        <v>22</v>
      </c>
      <c r="E496" s="561"/>
      <c r="F496" s="561"/>
      <c r="G496" s="563"/>
      <c r="H496" s="682" t="s">
        <v>14</v>
      </c>
      <c r="I496" s="683"/>
      <c r="J496" s="683"/>
      <c r="K496" s="684"/>
      <c r="L496" s="567">
        <f t="shared" ref="L496:N496" ca="1" si="309">L497+L498</f>
        <v>0</v>
      </c>
      <c r="M496" s="568">
        <f t="shared" ca="1" si="309"/>
        <v>0</v>
      </c>
      <c r="N496" s="568">
        <f t="shared" ca="1" si="309"/>
        <v>0</v>
      </c>
      <c r="O496" s="568">
        <f t="shared" ca="1" si="302"/>
        <v>0</v>
      </c>
      <c r="P496" s="568">
        <f t="shared" ca="1" si="303"/>
        <v>0</v>
      </c>
      <c r="Q496" s="568">
        <f t="shared" ref="Q496:S496" ca="1" si="310">Q497+Q498</f>
        <v>0</v>
      </c>
      <c r="R496" s="568">
        <f t="shared" ca="1" si="310"/>
        <v>0</v>
      </c>
      <c r="S496" s="568">
        <f t="shared" ca="1" si="310"/>
        <v>0</v>
      </c>
      <c r="T496" s="568">
        <f t="shared" ca="1" si="305"/>
        <v>0</v>
      </c>
      <c r="U496" s="568">
        <f t="shared" ca="1" si="306"/>
        <v>0</v>
      </c>
    </row>
    <row r="497" spans="1:21" ht="18.75" hidden="1" x14ac:dyDescent="0.25">
      <c r="A497" s="674"/>
      <c r="B497" s="718"/>
      <c r="C497" s="718"/>
      <c r="D497" s="688"/>
      <c r="E497" s="569" t="s">
        <v>158</v>
      </c>
      <c r="F497" s="561"/>
      <c r="G497" s="563"/>
      <c r="H497" s="685" t="s">
        <v>14</v>
      </c>
      <c r="I497" s="565"/>
      <c r="J497" s="565"/>
      <c r="K497" s="566"/>
      <c r="L497" s="571">
        <v>0</v>
      </c>
      <c r="M497" s="572">
        <v>0</v>
      </c>
      <c r="N497" s="572">
        <v>0</v>
      </c>
      <c r="O497" s="572">
        <f t="shared" si="302"/>
        <v>0</v>
      </c>
      <c r="P497" s="572">
        <f t="shared" si="303"/>
        <v>0</v>
      </c>
      <c r="Q497" s="572">
        <v>0</v>
      </c>
      <c r="R497" s="572">
        <v>0</v>
      </c>
      <c r="S497" s="572">
        <v>0</v>
      </c>
      <c r="T497" s="572">
        <f t="shared" si="305"/>
        <v>0</v>
      </c>
      <c r="U497" s="572">
        <f t="shared" si="306"/>
        <v>0</v>
      </c>
    </row>
    <row r="498" spans="1:21" ht="18.75" hidden="1" x14ac:dyDescent="0.25">
      <c r="A498" s="674"/>
      <c r="B498" s="718"/>
      <c r="C498" s="718"/>
      <c r="D498" s="688"/>
      <c r="E498" s="573" t="s">
        <v>159</v>
      </c>
      <c r="F498" s="561"/>
      <c r="G498" s="563"/>
      <c r="H498" s="682" t="s">
        <v>14</v>
      </c>
      <c r="I498" s="565"/>
      <c r="J498" s="565"/>
      <c r="K498" s="566"/>
      <c r="L498" s="567">
        <f ca="1">IFERROR(__xludf.DUMMYFUNCTION("IMPORTRANGE(""https://docs.google.com/spreadsheets/d/1-uDff_7J0KD5mKrp0Vvzr7lt3OU09vwQwhkpOPPYv2Y/edit?usp=sharing"",""งบพรบ!HU15"")"),0)</f>
        <v>0</v>
      </c>
      <c r="M498" s="568">
        <f ca="1">IFERROR(__xludf.DUMMYFUNCTION("IMPORTRANGE(""https://docs.google.com/spreadsheets/d/1-uDff_7J0KD5mKrp0Vvzr7lt3OU09vwQwhkpOPPYv2Y/edit?usp=sharing"",""งบพรบ!HZ15"")"),0)</f>
        <v>0</v>
      </c>
      <c r="N498" s="568">
        <f ca="1">IFERROR(__xludf.DUMMYFUNCTION("IMPORTRANGE(""https://docs.google.com/spreadsheets/d/1-uDff_7J0KD5mKrp0Vvzr7lt3OU09vwQwhkpOPPYv2Y/edit?usp=sharing"",""งบพรบ!IB15"")"),0)</f>
        <v>0</v>
      </c>
      <c r="O498" s="568">
        <f t="shared" ca="1" si="302"/>
        <v>0</v>
      </c>
      <c r="P498" s="568">
        <f t="shared" ca="1" si="303"/>
        <v>0</v>
      </c>
      <c r="Q498" s="568">
        <f ca="1">IFERROR(__xludf.DUMMYFUNCTION("IMPORTRANGE(""https://docs.google.com/spreadsheets/d/1ItG2mGa2ceCfYo0BwxsXqNm01IGEUdYcSSLTEv9YCik/edit?usp=sharing"",""เบิกจ่ายกองทุน!AD15"")"),0)</f>
        <v>0</v>
      </c>
      <c r="R498" s="568">
        <f ca="1">IFERROR(__xludf.DUMMYFUNCTION("IMPORTRANGE(""https://docs.google.com/spreadsheets/d/1ItG2mGa2ceCfYo0BwxsXqNm01IGEUdYcSSLTEv9YCik/edit?usp=sharing"",""เบิกจ่ายกองทุน!AE15"")"),0)</f>
        <v>0</v>
      </c>
      <c r="S498" s="568">
        <f ca="1">IFERROR(__xludf.DUMMYFUNCTION("IMPORTRANGE(""https://docs.google.com/spreadsheets/d/1ItG2mGa2ceCfYo0BwxsXqNm01IGEUdYcSSLTEv9YCik/edit?usp=sharing"",""เบิกจ่ายกองทุน!AF15"")"),0)</f>
        <v>0</v>
      </c>
      <c r="T498" s="568">
        <f t="shared" ca="1" si="305"/>
        <v>0</v>
      </c>
      <c r="U498" s="568">
        <f t="shared" ca="1" si="306"/>
        <v>0</v>
      </c>
    </row>
    <row r="499" spans="1:21" ht="18.75" hidden="1" x14ac:dyDescent="0.25">
      <c r="A499" s="674"/>
      <c r="B499" s="718"/>
      <c r="C499" s="718"/>
      <c r="D499" s="721" t="s">
        <v>23</v>
      </c>
      <c r="E499" s="561"/>
      <c r="F499" s="561"/>
      <c r="G499" s="563"/>
      <c r="H499" s="686" t="s">
        <v>14</v>
      </c>
      <c r="I499" s="683"/>
      <c r="J499" s="683"/>
      <c r="K499" s="684"/>
      <c r="L499" s="567">
        <f t="shared" ref="L499:N499" ca="1" si="311">L500+L501</f>
        <v>0</v>
      </c>
      <c r="M499" s="568">
        <f t="shared" ca="1" si="311"/>
        <v>0</v>
      </c>
      <c r="N499" s="568">
        <f t="shared" ca="1" si="311"/>
        <v>0</v>
      </c>
      <c r="O499" s="568">
        <f t="shared" ca="1" si="302"/>
        <v>0</v>
      </c>
      <c r="P499" s="568">
        <f t="shared" ca="1" si="303"/>
        <v>0</v>
      </c>
      <c r="Q499" s="568">
        <f t="shared" ref="Q499:S499" si="312">Q500+Q501</f>
        <v>0</v>
      </c>
      <c r="R499" s="568">
        <f t="shared" si="312"/>
        <v>0</v>
      </c>
      <c r="S499" s="568">
        <f t="shared" si="312"/>
        <v>0</v>
      </c>
      <c r="T499" s="568">
        <f t="shared" si="305"/>
        <v>0</v>
      </c>
      <c r="U499" s="568">
        <f t="shared" si="306"/>
        <v>0</v>
      </c>
    </row>
    <row r="500" spans="1:21" ht="18.75" hidden="1" x14ac:dyDescent="0.25">
      <c r="A500" s="674"/>
      <c r="B500" s="718"/>
      <c r="C500" s="718"/>
      <c r="D500" s="718"/>
      <c r="E500" s="569" t="s">
        <v>20</v>
      </c>
      <c r="F500" s="561"/>
      <c r="G500" s="563"/>
      <c r="H500" s="685" t="s">
        <v>14</v>
      </c>
      <c r="I500" s="683"/>
      <c r="J500" s="683"/>
      <c r="K500" s="684"/>
      <c r="L500" s="571">
        <v>0</v>
      </c>
      <c r="M500" s="572">
        <v>0</v>
      </c>
      <c r="N500" s="572">
        <v>0</v>
      </c>
      <c r="O500" s="572">
        <f t="shared" si="302"/>
        <v>0</v>
      </c>
      <c r="P500" s="572">
        <f t="shared" si="303"/>
        <v>0</v>
      </c>
      <c r="Q500" s="572">
        <v>0</v>
      </c>
      <c r="R500" s="572">
        <v>0</v>
      </c>
      <c r="S500" s="572">
        <v>0</v>
      </c>
      <c r="T500" s="572">
        <f t="shared" si="305"/>
        <v>0</v>
      </c>
      <c r="U500" s="572">
        <f t="shared" si="306"/>
        <v>0</v>
      </c>
    </row>
    <row r="501" spans="1:21" ht="18.75" hidden="1" x14ac:dyDescent="0.25">
      <c r="A501" s="674"/>
      <c r="B501" s="718"/>
      <c r="C501" s="718"/>
      <c r="D501" s="718"/>
      <c r="E501" s="573" t="s">
        <v>21</v>
      </c>
      <c r="F501" s="561"/>
      <c r="G501" s="563"/>
      <c r="H501" s="686" t="s">
        <v>14</v>
      </c>
      <c r="I501" s="683"/>
      <c r="J501" s="683"/>
      <c r="K501" s="684"/>
      <c r="L501" s="567">
        <f ca="1">IFERROR(__xludf.DUMMYFUNCTION("IMPORTRANGE(""https://docs.google.com/spreadsheets/d/1-uDff_7J0KD5mKrp0Vvzr7lt3OU09vwQwhkpOPPYv2Y/edit?usp=sharing"",""งบพรบ!HX15"")"),0)</f>
        <v>0</v>
      </c>
      <c r="M501" s="568">
        <f ca="1">IFERROR(__xludf.DUMMYFUNCTION("IMPORTRANGE(""https://docs.google.com/spreadsheets/d/1-uDff_7J0KD5mKrp0Vvzr7lt3OU09vwQwhkpOPPYv2Y/edit?usp=sharing"",""งบพรบ!IA15"")"),0)</f>
        <v>0</v>
      </c>
      <c r="N501" s="568">
        <f ca="1">IFERROR(__xludf.DUMMYFUNCTION("IMPORTRANGE(""https://docs.google.com/spreadsheets/d/1-uDff_7J0KD5mKrp0Vvzr7lt3OU09vwQwhkpOPPYv2Y/edit?usp=sharing"",""งบพรบ!IC15"")"),0)</f>
        <v>0</v>
      </c>
      <c r="O501" s="568">
        <f t="shared" ca="1" si="302"/>
        <v>0</v>
      </c>
      <c r="P501" s="568">
        <f t="shared" ca="1" si="303"/>
        <v>0</v>
      </c>
      <c r="Q501" s="568">
        <v>0</v>
      </c>
      <c r="R501" s="568">
        <v>0</v>
      </c>
      <c r="S501" s="568">
        <v>0</v>
      </c>
      <c r="T501" s="568">
        <f t="shared" si="305"/>
        <v>0</v>
      </c>
      <c r="U501" s="568">
        <f t="shared" si="306"/>
        <v>0</v>
      </c>
    </row>
    <row r="502" spans="1:21" ht="19.5" hidden="1" x14ac:dyDescent="0.3">
      <c r="A502" s="687"/>
      <c r="B502" s="688"/>
      <c r="C502" s="724" t="s">
        <v>18</v>
      </c>
      <c r="D502" s="956" t="s">
        <v>38</v>
      </c>
      <c r="E502" s="690"/>
      <c r="F502" s="690"/>
      <c r="G502" s="691"/>
      <c r="H502" s="725"/>
      <c r="I502" s="683"/>
      <c r="J502" s="683"/>
      <c r="K502" s="684"/>
      <c r="L502" s="693"/>
      <c r="M502" s="684"/>
      <c r="N502" s="684"/>
      <c r="O502" s="684"/>
      <c r="P502" s="684"/>
      <c r="Q502" s="684"/>
      <c r="R502" s="684"/>
      <c r="S502" s="684"/>
      <c r="T502" s="684"/>
      <c r="U502" s="684"/>
    </row>
    <row r="503" spans="1:21" ht="19.5" hidden="1" x14ac:dyDescent="0.3">
      <c r="A503" s="764"/>
      <c r="B503" s="718"/>
      <c r="C503" s="718"/>
      <c r="D503" s="719" t="s">
        <v>199</v>
      </c>
      <c r="E503" s="561"/>
      <c r="F503" s="561"/>
      <c r="G503" s="563"/>
      <c r="H503" s="681" t="s">
        <v>35</v>
      </c>
      <c r="I503" s="697">
        <f ca="1">IFERROR(__xludf.DUMMYFUNCTION("IMPORTRANGE(""https://docs.google.com/spreadsheets/d/1eHaY18a8A9IcSdp1K8H6x8fbOy06t2VsZHhMHf-1x7Y/edit?usp=sharing"",""แผน!GX15"")"),0)</f>
        <v>0</v>
      </c>
      <c r="J503" s="697">
        <f ca="1">IF(AND(J504=I504,J505=I505,J506=I506,J507=I507),I503,0)</f>
        <v>0</v>
      </c>
      <c r="K503" s="679">
        <f t="shared" ref="K503:K509" ca="1" si="313">IF(I503&gt;0,J503*100/I503,0)</f>
        <v>0</v>
      </c>
      <c r="L503" s="574"/>
      <c r="M503" s="566"/>
      <c r="N503" s="566"/>
      <c r="O503" s="566"/>
      <c r="P503" s="566"/>
      <c r="Q503" s="566"/>
      <c r="R503" s="566"/>
      <c r="S503" s="566"/>
      <c r="T503" s="566"/>
      <c r="U503" s="566"/>
    </row>
    <row r="504" spans="1:21" ht="18.75" hidden="1" x14ac:dyDescent="0.25">
      <c r="A504" s="764"/>
      <c r="B504" s="718"/>
      <c r="C504" s="718"/>
      <c r="D504" s="718"/>
      <c r="E504" s="573" t="s">
        <v>200</v>
      </c>
      <c r="F504" s="561"/>
      <c r="G504" s="563"/>
      <c r="H504" s="681" t="s">
        <v>35</v>
      </c>
      <c r="I504" s="708">
        <f ca="1">IFERROR(__xludf.DUMMYFUNCTION("IMPORTRANGE(""https://docs.google.com/spreadsheets/d/1eHaY18a8A9IcSdp1K8H6x8fbOy06t2VsZHhMHf-1x7Y/edit?usp=sharing"",""แผน!GY15"")"),0)</f>
        <v>0</v>
      </c>
      <c r="J504" s="702">
        <v>0</v>
      </c>
      <c r="K504" s="568">
        <f t="shared" ca="1" si="313"/>
        <v>0</v>
      </c>
      <c r="L504" s="574"/>
      <c r="M504" s="566"/>
      <c r="N504" s="566"/>
      <c r="O504" s="566"/>
      <c r="P504" s="566"/>
      <c r="Q504" s="566"/>
      <c r="R504" s="566"/>
      <c r="S504" s="566"/>
      <c r="T504" s="566"/>
      <c r="U504" s="566"/>
    </row>
    <row r="505" spans="1:21" ht="18.75" hidden="1" x14ac:dyDescent="0.25">
      <c r="A505" s="764"/>
      <c r="B505" s="718"/>
      <c r="C505" s="718"/>
      <c r="D505" s="718"/>
      <c r="E505" s="573" t="s">
        <v>201</v>
      </c>
      <c r="F505" s="561"/>
      <c r="G505" s="563"/>
      <c r="H505" s="681" t="s">
        <v>35</v>
      </c>
      <c r="I505" s="708">
        <f ca="1">IFERROR(__xludf.DUMMYFUNCTION("IMPORTRANGE(""https://docs.google.com/spreadsheets/d/1eHaY18a8A9IcSdp1K8H6x8fbOy06t2VsZHhMHf-1x7Y/edit?usp=sharing"",""แผน!GZ15"")"),0)</f>
        <v>0</v>
      </c>
      <c r="J505" s="702">
        <v>0</v>
      </c>
      <c r="K505" s="568">
        <f t="shared" ca="1" si="313"/>
        <v>0</v>
      </c>
      <c r="L505" s="574"/>
      <c r="M505" s="566"/>
      <c r="N505" s="566"/>
      <c r="O505" s="566"/>
      <c r="P505" s="566"/>
      <c r="Q505" s="566"/>
      <c r="R505" s="566"/>
      <c r="S505" s="566"/>
      <c r="T505" s="566"/>
      <c r="U505" s="566"/>
    </row>
    <row r="506" spans="1:21" ht="18.75" hidden="1" x14ac:dyDescent="0.25">
      <c r="A506" s="764"/>
      <c r="B506" s="718"/>
      <c r="C506" s="718"/>
      <c r="D506" s="718"/>
      <c r="E506" s="573" t="s">
        <v>202</v>
      </c>
      <c r="F506" s="561"/>
      <c r="G506" s="563"/>
      <c r="H506" s="681" t="s">
        <v>35</v>
      </c>
      <c r="I506" s="708">
        <f ca="1">IFERROR(__xludf.DUMMYFUNCTION("IMPORTRANGE(""https://docs.google.com/spreadsheets/d/1eHaY18a8A9IcSdp1K8H6x8fbOy06t2VsZHhMHf-1x7Y/edit?usp=sharing"",""แผน!HA15"")"),0)</f>
        <v>0</v>
      </c>
      <c r="J506" s="702">
        <v>0</v>
      </c>
      <c r="K506" s="568">
        <f t="shared" ca="1" si="313"/>
        <v>0</v>
      </c>
      <c r="L506" s="574"/>
      <c r="M506" s="566"/>
      <c r="N506" s="566"/>
      <c r="O506" s="566"/>
      <c r="P506" s="566"/>
      <c r="Q506" s="566"/>
      <c r="R506" s="566"/>
      <c r="S506" s="566"/>
      <c r="T506" s="566"/>
      <c r="U506" s="566"/>
    </row>
    <row r="507" spans="1:21" ht="18.75" hidden="1" x14ac:dyDescent="0.25">
      <c r="A507" s="764"/>
      <c r="B507" s="718"/>
      <c r="C507" s="718"/>
      <c r="D507" s="718"/>
      <c r="E507" s="987" t="s">
        <v>203</v>
      </c>
      <c r="F507" s="561"/>
      <c r="G507" s="563"/>
      <c r="H507" s="681" t="s">
        <v>35</v>
      </c>
      <c r="I507" s="708">
        <f ca="1">IFERROR(__xludf.DUMMYFUNCTION("IMPORTRANGE(""https://docs.google.com/spreadsheets/d/1eHaY18a8A9IcSdp1K8H6x8fbOy06t2VsZHhMHf-1x7Y/edit?usp=sharing"",""แผน!HB15"")"),0)</f>
        <v>0</v>
      </c>
      <c r="J507" s="702">
        <v>0</v>
      </c>
      <c r="K507" s="568">
        <f t="shared" ca="1" si="313"/>
        <v>0</v>
      </c>
      <c r="L507" s="574"/>
      <c r="M507" s="566"/>
      <c r="N507" s="566"/>
      <c r="O507" s="566"/>
      <c r="P507" s="566"/>
      <c r="Q507" s="566"/>
      <c r="R507" s="566"/>
      <c r="S507" s="566"/>
      <c r="T507" s="566"/>
      <c r="U507" s="566"/>
    </row>
    <row r="508" spans="1:21" ht="18.75" hidden="1" x14ac:dyDescent="0.25">
      <c r="A508" s="764"/>
      <c r="B508" s="718"/>
      <c r="C508" s="718"/>
      <c r="D508" s="718"/>
      <c r="E508" s="573" t="s">
        <v>204</v>
      </c>
      <c r="F508" s="561"/>
      <c r="G508" s="563"/>
      <c r="H508" s="681" t="s">
        <v>35</v>
      </c>
      <c r="I508" s="708">
        <v>0</v>
      </c>
      <c r="J508" s="708">
        <v>0</v>
      </c>
      <c r="K508" s="568">
        <f t="shared" si="313"/>
        <v>0</v>
      </c>
      <c r="L508" s="574"/>
      <c r="M508" s="566"/>
      <c r="N508" s="566"/>
      <c r="O508" s="566"/>
      <c r="P508" s="566"/>
      <c r="Q508" s="566"/>
      <c r="R508" s="566"/>
      <c r="S508" s="566"/>
      <c r="T508" s="566"/>
      <c r="U508" s="566"/>
    </row>
    <row r="509" spans="1:21" ht="19.5" hidden="1" x14ac:dyDescent="0.3">
      <c r="A509" s="984"/>
      <c r="B509" s="514"/>
      <c r="C509" s="514"/>
      <c r="D509" s="988" t="s">
        <v>50</v>
      </c>
      <c r="E509" s="513"/>
      <c r="F509" s="513"/>
      <c r="G509" s="577"/>
      <c r="H509" s="986" t="s">
        <v>35</v>
      </c>
      <c r="I509" s="989">
        <f ca="1">IFERROR(__xludf.DUMMYFUNCTION("IMPORTRANGE(""https://docs.google.com/spreadsheets/d/1eHaY18a8A9IcSdp1K8H6x8fbOy06t2VsZHhMHf-1x7Y/edit?usp=sharing"",""แผน!HC15"")"),0)</f>
        <v>0</v>
      </c>
      <c r="J509" s="990">
        <v>0</v>
      </c>
      <c r="K509" s="655">
        <f t="shared" ca="1" si="313"/>
        <v>0</v>
      </c>
      <c r="L509" s="581"/>
      <c r="M509" s="580"/>
      <c r="N509" s="580"/>
      <c r="O509" s="580"/>
      <c r="P509" s="580"/>
      <c r="Q509" s="580"/>
      <c r="R509" s="580"/>
      <c r="S509" s="580"/>
      <c r="T509" s="580"/>
      <c r="U509" s="580"/>
    </row>
    <row r="510" spans="1:21" ht="19.5" hidden="1" x14ac:dyDescent="0.3">
      <c r="A510" s="991" t="s">
        <v>205</v>
      </c>
      <c r="B510" s="992"/>
      <c r="C510" s="992"/>
      <c r="D510" s="992"/>
      <c r="E510" s="993"/>
      <c r="F510" s="993"/>
      <c r="G510" s="993"/>
      <c r="H510" s="993"/>
      <c r="I510" s="994"/>
      <c r="J510" s="994"/>
      <c r="K510" s="995"/>
      <c r="L510" s="996"/>
      <c r="M510" s="997"/>
      <c r="N510" s="997"/>
      <c r="O510" s="997"/>
      <c r="P510" s="997"/>
      <c r="Q510" s="997"/>
      <c r="R510" s="997"/>
      <c r="S510" s="997"/>
      <c r="T510" s="997"/>
      <c r="U510" s="997"/>
    </row>
    <row r="511" spans="1:21" ht="19.5" hidden="1" x14ac:dyDescent="0.3">
      <c r="A511" s="998" t="s">
        <v>206</v>
      </c>
      <c r="B511" s="999"/>
      <c r="C511" s="999"/>
      <c r="D511" s="1000"/>
      <c r="E511" s="999"/>
      <c r="F511" s="999"/>
      <c r="G511" s="999"/>
      <c r="H511" s="1001"/>
      <c r="I511" s="1002"/>
      <c r="J511" s="1002"/>
      <c r="K511" s="1003"/>
      <c r="L511" s="1004"/>
      <c r="M511" s="1005"/>
      <c r="N511" s="1005"/>
      <c r="O511" s="1005"/>
      <c r="P511" s="1005"/>
      <c r="Q511" s="1005"/>
      <c r="R511" s="1005"/>
      <c r="S511" s="1005"/>
      <c r="T511" s="1005"/>
      <c r="U511" s="1005"/>
    </row>
    <row r="512" spans="1:21" ht="19.5" hidden="1" x14ac:dyDescent="0.3">
      <c r="A512" s="1006"/>
      <c r="B512" s="1007" t="s">
        <v>207</v>
      </c>
      <c r="C512" s="1008"/>
      <c r="D512" s="1009"/>
      <c r="E512" s="1009"/>
      <c r="F512" s="1009"/>
      <c r="G512" s="1010"/>
      <c r="H512" s="1011" t="s">
        <v>61</v>
      </c>
      <c r="I512" s="1012">
        <f t="shared" ref="I512:J512" si="314">I524</f>
        <v>0</v>
      </c>
      <c r="J512" s="1012">
        <f t="shared" si="314"/>
        <v>0</v>
      </c>
      <c r="K512" s="1013">
        <f>IF(I512&gt;0,J512*100/I512,0)</f>
        <v>0</v>
      </c>
      <c r="L512" s="1014"/>
      <c r="M512" s="1015"/>
      <c r="N512" s="1015"/>
      <c r="O512" s="1015"/>
      <c r="P512" s="1015"/>
      <c r="Q512" s="1015"/>
      <c r="R512" s="1015"/>
      <c r="S512" s="1015"/>
      <c r="T512" s="1015"/>
      <c r="U512" s="1015"/>
    </row>
    <row r="513" spans="1:21" ht="19.5" hidden="1" x14ac:dyDescent="0.3">
      <c r="A513" s="674"/>
      <c r="B513" s="561"/>
      <c r="C513" s="797" t="s">
        <v>18</v>
      </c>
      <c r="D513" s="798" t="s">
        <v>19</v>
      </c>
      <c r="E513" s="561"/>
      <c r="F513" s="561"/>
      <c r="G513" s="563"/>
      <c r="H513" s="1016" t="s">
        <v>14</v>
      </c>
      <c r="I513" s="565"/>
      <c r="J513" s="565"/>
      <c r="K513" s="566"/>
      <c r="L513" s="678">
        <f t="shared" ref="L513:N513" ca="1" si="315">L514+L515</f>
        <v>0</v>
      </c>
      <c r="M513" s="679">
        <f t="shared" ca="1" si="315"/>
        <v>0</v>
      </c>
      <c r="N513" s="679">
        <f t="shared" ca="1" si="315"/>
        <v>0</v>
      </c>
      <c r="O513" s="679">
        <f t="shared" ref="O513:O521" ca="1" si="316">IF(L513&gt;0,N513*100/L513,0)</f>
        <v>0</v>
      </c>
      <c r="P513" s="679">
        <f t="shared" ref="P513:P521" ca="1" si="317">IF(M513&gt;0,N513*100/M513,0)</f>
        <v>0</v>
      </c>
      <c r="Q513" s="679">
        <f t="shared" ref="Q513:S513" si="318">Q514+Q515</f>
        <v>0</v>
      </c>
      <c r="R513" s="679">
        <f t="shared" si="318"/>
        <v>0</v>
      </c>
      <c r="S513" s="679">
        <f t="shared" si="318"/>
        <v>0</v>
      </c>
      <c r="T513" s="679">
        <f t="shared" ref="T513:T521" si="319">IF(Q513&gt;0,S513*100/Q513,0)</f>
        <v>0</v>
      </c>
      <c r="U513" s="679">
        <f t="shared" ref="U513:U521" si="320">IF(R513&gt;0,S513*100/R513,0)</f>
        <v>0</v>
      </c>
    </row>
    <row r="514" spans="1:21" ht="18.75" hidden="1" x14ac:dyDescent="0.25">
      <c r="A514" s="674"/>
      <c r="B514" s="561"/>
      <c r="C514" s="561"/>
      <c r="D514" s="561"/>
      <c r="E514" s="569" t="s">
        <v>20</v>
      </c>
      <c r="F514" s="561"/>
      <c r="G514" s="563"/>
      <c r="H514" s="680" t="s">
        <v>14</v>
      </c>
      <c r="I514" s="565"/>
      <c r="J514" s="565"/>
      <c r="K514" s="566"/>
      <c r="L514" s="571">
        <f t="shared" ref="L514:N515" si="321">L517+L520</f>
        <v>0</v>
      </c>
      <c r="M514" s="572">
        <f t="shared" si="321"/>
        <v>0</v>
      </c>
      <c r="N514" s="572">
        <f t="shared" si="321"/>
        <v>0</v>
      </c>
      <c r="O514" s="572">
        <f t="shared" si="316"/>
        <v>0</v>
      </c>
      <c r="P514" s="572">
        <f t="shared" si="317"/>
        <v>0</v>
      </c>
      <c r="Q514" s="572">
        <f t="shared" ref="Q514:S515" si="322">Q517+Q520</f>
        <v>0</v>
      </c>
      <c r="R514" s="572">
        <f t="shared" si="322"/>
        <v>0</v>
      </c>
      <c r="S514" s="572">
        <f t="shared" si="322"/>
        <v>0</v>
      </c>
      <c r="T514" s="572">
        <f t="shared" si="319"/>
        <v>0</v>
      </c>
      <c r="U514" s="572">
        <f t="shared" si="320"/>
        <v>0</v>
      </c>
    </row>
    <row r="515" spans="1:21" ht="18.75" hidden="1" x14ac:dyDescent="0.25">
      <c r="A515" s="674"/>
      <c r="B515" s="561"/>
      <c r="C515" s="561"/>
      <c r="D515" s="561"/>
      <c r="E515" s="569" t="s">
        <v>21</v>
      </c>
      <c r="F515" s="561"/>
      <c r="G515" s="563"/>
      <c r="H515" s="680" t="s">
        <v>14</v>
      </c>
      <c r="I515" s="565"/>
      <c r="J515" s="565"/>
      <c r="K515" s="566"/>
      <c r="L515" s="567">
        <f t="shared" ca="1" si="321"/>
        <v>0</v>
      </c>
      <c r="M515" s="568">
        <f t="shared" ca="1" si="321"/>
        <v>0</v>
      </c>
      <c r="N515" s="568">
        <f t="shared" ca="1" si="321"/>
        <v>0</v>
      </c>
      <c r="O515" s="568">
        <f t="shared" ca="1" si="316"/>
        <v>0</v>
      </c>
      <c r="P515" s="568">
        <f t="shared" ca="1" si="317"/>
        <v>0</v>
      </c>
      <c r="Q515" s="568">
        <f t="shared" si="322"/>
        <v>0</v>
      </c>
      <c r="R515" s="568">
        <f t="shared" si="322"/>
        <v>0</v>
      </c>
      <c r="S515" s="568">
        <f t="shared" si="322"/>
        <v>0</v>
      </c>
      <c r="T515" s="568">
        <f t="shared" si="319"/>
        <v>0</v>
      </c>
      <c r="U515" s="568">
        <f t="shared" si="320"/>
        <v>0</v>
      </c>
    </row>
    <row r="516" spans="1:21" ht="18.75" hidden="1" x14ac:dyDescent="0.25">
      <c r="A516" s="674"/>
      <c r="B516" s="561"/>
      <c r="C516" s="561"/>
      <c r="D516" s="1017" t="s">
        <v>22</v>
      </c>
      <c r="E516" s="561"/>
      <c r="F516" s="561"/>
      <c r="G516" s="563"/>
      <c r="H516" s="685" t="s">
        <v>14</v>
      </c>
      <c r="I516" s="683"/>
      <c r="J516" s="683"/>
      <c r="K516" s="684"/>
      <c r="L516" s="567">
        <f t="shared" ref="L516:N516" ca="1" si="323">L517+L518</f>
        <v>0</v>
      </c>
      <c r="M516" s="568">
        <f t="shared" ca="1" si="323"/>
        <v>0</v>
      </c>
      <c r="N516" s="568">
        <f t="shared" ca="1" si="323"/>
        <v>0</v>
      </c>
      <c r="O516" s="568">
        <f t="shared" ca="1" si="316"/>
        <v>0</v>
      </c>
      <c r="P516" s="568">
        <f t="shared" ca="1" si="317"/>
        <v>0</v>
      </c>
      <c r="Q516" s="568">
        <f t="shared" ref="Q516:S516" si="324">Q517+Q518</f>
        <v>0</v>
      </c>
      <c r="R516" s="568">
        <f t="shared" si="324"/>
        <v>0</v>
      </c>
      <c r="S516" s="568">
        <f t="shared" si="324"/>
        <v>0</v>
      </c>
      <c r="T516" s="568">
        <f t="shared" si="319"/>
        <v>0</v>
      </c>
      <c r="U516" s="568">
        <f t="shared" si="320"/>
        <v>0</v>
      </c>
    </row>
    <row r="517" spans="1:21" ht="18.75" hidden="1" x14ac:dyDescent="0.25">
      <c r="A517" s="674"/>
      <c r="B517" s="561"/>
      <c r="C517" s="561"/>
      <c r="D517" s="561"/>
      <c r="E517" s="569" t="s">
        <v>36</v>
      </c>
      <c r="F517" s="561"/>
      <c r="G517" s="563"/>
      <c r="H517" s="685" t="s">
        <v>14</v>
      </c>
      <c r="I517" s="683"/>
      <c r="J517" s="683"/>
      <c r="K517" s="684"/>
      <c r="L517" s="571">
        <v>0</v>
      </c>
      <c r="M517" s="572">
        <v>0</v>
      </c>
      <c r="N517" s="572">
        <v>0</v>
      </c>
      <c r="O517" s="572">
        <f t="shared" si="316"/>
        <v>0</v>
      </c>
      <c r="P517" s="572">
        <f t="shared" si="317"/>
        <v>0</v>
      </c>
      <c r="Q517" s="572">
        <v>0</v>
      </c>
      <c r="R517" s="572">
        <v>0</v>
      </c>
      <c r="S517" s="572">
        <v>0</v>
      </c>
      <c r="T517" s="572">
        <f t="shared" si="319"/>
        <v>0</v>
      </c>
      <c r="U517" s="572">
        <f t="shared" si="320"/>
        <v>0</v>
      </c>
    </row>
    <row r="518" spans="1:21" ht="18.75" hidden="1" x14ac:dyDescent="0.25">
      <c r="A518" s="674"/>
      <c r="B518" s="561"/>
      <c r="C518" s="561"/>
      <c r="D518" s="561"/>
      <c r="E518" s="569" t="s">
        <v>37</v>
      </c>
      <c r="F518" s="561"/>
      <c r="G518" s="563"/>
      <c r="H518" s="685" t="s">
        <v>14</v>
      </c>
      <c r="I518" s="683"/>
      <c r="J518" s="683"/>
      <c r="K518" s="684"/>
      <c r="L518" s="567">
        <f ca="1">IFERROR(__xludf.DUMMYFUNCTION("IMPORTRANGE(""https://docs.google.com/spreadsheets/d/1-uDff_7J0KD5mKrp0Vvzr7lt3OU09vwQwhkpOPPYv2Y/edit?usp=sharing"",""งบพรบ!FM15"")"),0)</f>
        <v>0</v>
      </c>
      <c r="M518" s="568">
        <f ca="1">IFERROR(__xludf.DUMMYFUNCTION("IMPORTRANGE(""https://docs.google.com/spreadsheets/d/1-uDff_7J0KD5mKrp0Vvzr7lt3OU09vwQwhkpOPPYv2Y/edit?usp=sharing"",""งบพรบ!FR15"")"),0)</f>
        <v>0</v>
      </c>
      <c r="N518" s="568">
        <f ca="1">IFERROR(__xludf.DUMMYFUNCTION("IMPORTRANGE(""https://docs.google.com/spreadsheets/d/1-uDff_7J0KD5mKrp0Vvzr7lt3OU09vwQwhkpOPPYv2Y/edit?usp=sharing"",""งบพรบ!FT15"")"),0)</f>
        <v>0</v>
      </c>
      <c r="O518" s="568">
        <f t="shared" ca="1" si="316"/>
        <v>0</v>
      </c>
      <c r="P518" s="568">
        <f t="shared" ca="1" si="317"/>
        <v>0</v>
      </c>
      <c r="Q518" s="568">
        <v>0</v>
      </c>
      <c r="R518" s="568">
        <v>0</v>
      </c>
      <c r="S518" s="568">
        <v>0</v>
      </c>
      <c r="T518" s="568">
        <f t="shared" si="319"/>
        <v>0</v>
      </c>
      <c r="U518" s="568">
        <f t="shared" si="320"/>
        <v>0</v>
      </c>
    </row>
    <row r="519" spans="1:21" ht="18.75" hidden="1" x14ac:dyDescent="0.25">
      <c r="A519" s="674"/>
      <c r="B519" s="561"/>
      <c r="C519" s="561"/>
      <c r="D519" s="1017" t="s">
        <v>23</v>
      </c>
      <c r="E519" s="561"/>
      <c r="F519" s="561"/>
      <c r="G519" s="563"/>
      <c r="H519" s="734" t="s">
        <v>14</v>
      </c>
      <c r="I519" s="683"/>
      <c r="J519" s="683"/>
      <c r="K519" s="684"/>
      <c r="L519" s="567">
        <f t="shared" ref="L519:N519" ca="1" si="325">L520+L521</f>
        <v>0</v>
      </c>
      <c r="M519" s="568">
        <f t="shared" ca="1" si="325"/>
        <v>0</v>
      </c>
      <c r="N519" s="568">
        <f t="shared" ca="1" si="325"/>
        <v>0</v>
      </c>
      <c r="O519" s="568">
        <f t="shared" ca="1" si="316"/>
        <v>0</v>
      </c>
      <c r="P519" s="568">
        <f t="shared" ca="1" si="317"/>
        <v>0</v>
      </c>
      <c r="Q519" s="568">
        <f t="shared" ref="Q519:S519" si="326">Q520+Q521</f>
        <v>0</v>
      </c>
      <c r="R519" s="568">
        <f t="shared" si="326"/>
        <v>0</v>
      </c>
      <c r="S519" s="568">
        <f t="shared" si="326"/>
        <v>0</v>
      </c>
      <c r="T519" s="568">
        <f t="shared" si="319"/>
        <v>0</v>
      </c>
      <c r="U519" s="568">
        <f t="shared" si="320"/>
        <v>0</v>
      </c>
    </row>
    <row r="520" spans="1:21" ht="18.75" hidden="1" x14ac:dyDescent="0.25">
      <c r="A520" s="674"/>
      <c r="B520" s="561"/>
      <c r="C520" s="561"/>
      <c r="D520" s="561"/>
      <c r="E520" s="569" t="s">
        <v>20</v>
      </c>
      <c r="F520" s="561"/>
      <c r="G520" s="563"/>
      <c r="H520" s="685" t="s">
        <v>14</v>
      </c>
      <c r="I520" s="683"/>
      <c r="J520" s="683"/>
      <c r="K520" s="684"/>
      <c r="L520" s="571">
        <v>0</v>
      </c>
      <c r="M520" s="572">
        <v>0</v>
      </c>
      <c r="N520" s="572">
        <v>0</v>
      </c>
      <c r="O520" s="572">
        <f t="shared" si="316"/>
        <v>0</v>
      </c>
      <c r="P520" s="572">
        <f t="shared" si="317"/>
        <v>0</v>
      </c>
      <c r="Q520" s="572">
        <v>0</v>
      </c>
      <c r="R520" s="572">
        <v>0</v>
      </c>
      <c r="S520" s="572">
        <v>0</v>
      </c>
      <c r="T520" s="572">
        <f t="shared" si="319"/>
        <v>0</v>
      </c>
      <c r="U520" s="572">
        <f t="shared" si="320"/>
        <v>0</v>
      </c>
    </row>
    <row r="521" spans="1:21" ht="18.75" hidden="1" x14ac:dyDescent="0.25">
      <c r="A521" s="674"/>
      <c r="B521" s="561"/>
      <c r="C521" s="561"/>
      <c r="D521" s="561"/>
      <c r="E521" s="569" t="s">
        <v>21</v>
      </c>
      <c r="F521" s="561"/>
      <c r="G521" s="563"/>
      <c r="H521" s="734" t="s">
        <v>14</v>
      </c>
      <c r="I521" s="683"/>
      <c r="J521" s="683"/>
      <c r="K521" s="684"/>
      <c r="L521" s="567">
        <f ca="1">IFERROR(__xludf.DUMMYFUNCTION("IMPORTRANGE(""https://docs.google.com/spreadsheets/d/1-uDff_7J0KD5mKrp0Vvzr7lt3OU09vwQwhkpOPPYv2Y/edit?usp=sharing"",""งบพรบ!FP15"")"),0)</f>
        <v>0</v>
      </c>
      <c r="M521" s="568">
        <f ca="1">IFERROR(__xludf.DUMMYFUNCTION("IMPORTRANGE(""https://docs.google.com/spreadsheets/d/1-uDff_7J0KD5mKrp0Vvzr7lt3OU09vwQwhkpOPPYv2Y/edit?usp=sharing"",""งบพรบ!FS15"")"),0)</f>
        <v>0</v>
      </c>
      <c r="N521" s="568">
        <f ca="1">IFERROR(__xludf.DUMMYFUNCTION("IMPORTRANGE(""https://docs.google.com/spreadsheets/d/1-uDff_7J0KD5mKrp0Vvzr7lt3OU09vwQwhkpOPPYv2Y/edit?usp=sharing"",""งบพรบ!FU15"")"),0)</f>
        <v>0</v>
      </c>
      <c r="O521" s="568">
        <f t="shared" ca="1" si="316"/>
        <v>0</v>
      </c>
      <c r="P521" s="568">
        <f t="shared" ca="1" si="317"/>
        <v>0</v>
      </c>
      <c r="Q521" s="568">
        <v>0</v>
      </c>
      <c r="R521" s="568">
        <v>0</v>
      </c>
      <c r="S521" s="568">
        <v>0</v>
      </c>
      <c r="T521" s="568">
        <f t="shared" si="319"/>
        <v>0</v>
      </c>
      <c r="U521" s="568">
        <f t="shared" si="320"/>
        <v>0</v>
      </c>
    </row>
    <row r="522" spans="1:21" ht="19.5" hidden="1" x14ac:dyDescent="0.3">
      <c r="A522" s="687"/>
      <c r="B522" s="688"/>
      <c r="C522" s="797" t="s">
        <v>18</v>
      </c>
      <c r="D522" s="801" t="s">
        <v>38</v>
      </c>
      <c r="E522" s="690"/>
      <c r="F522" s="690"/>
      <c r="G522" s="691"/>
      <c r="H522" s="692"/>
      <c r="I522" s="683"/>
      <c r="J522" s="565"/>
      <c r="K522" s="566"/>
      <c r="L522" s="574"/>
      <c r="M522" s="566"/>
      <c r="N522" s="566"/>
      <c r="O522" s="684"/>
      <c r="P522" s="684"/>
      <c r="Q522" s="566"/>
      <c r="R522" s="566"/>
      <c r="S522" s="566"/>
      <c r="T522" s="684"/>
      <c r="U522" s="684"/>
    </row>
    <row r="523" spans="1:21" ht="18.75" hidden="1" x14ac:dyDescent="0.25">
      <c r="A523" s="764"/>
      <c r="B523" s="561"/>
      <c r="C523" s="718"/>
      <c r="D523" s="726" t="s">
        <v>208</v>
      </c>
      <c r="E523" s="688"/>
      <c r="F523" s="561"/>
      <c r="G523" s="563"/>
      <c r="H523" s="768" t="s">
        <v>11</v>
      </c>
      <c r="I523" s="735">
        <v>0</v>
      </c>
      <c r="J523" s="736">
        <v>0</v>
      </c>
      <c r="K523" s="572">
        <f t="shared" ref="K523:K524" si="327">IF(I523&gt;0,J523*100/I523,0)</f>
        <v>0</v>
      </c>
      <c r="L523" s="574"/>
      <c r="M523" s="566"/>
      <c r="N523" s="566"/>
      <c r="O523" s="566"/>
      <c r="P523" s="566"/>
      <c r="Q523" s="566"/>
      <c r="R523" s="566"/>
      <c r="S523" s="566"/>
      <c r="T523" s="566"/>
      <c r="U523" s="566"/>
    </row>
    <row r="524" spans="1:21" ht="18.75" hidden="1" x14ac:dyDescent="0.25">
      <c r="A524" s="984"/>
      <c r="B524" s="513"/>
      <c r="C524" s="514"/>
      <c r="D524" s="1018" t="s">
        <v>209</v>
      </c>
      <c r="E524" s="864"/>
      <c r="F524" s="513"/>
      <c r="G524" s="577"/>
      <c r="H524" s="1019" t="s">
        <v>61</v>
      </c>
      <c r="I524" s="740">
        <v>0</v>
      </c>
      <c r="J524" s="741">
        <v>0</v>
      </c>
      <c r="K524" s="742">
        <f t="shared" si="327"/>
        <v>0</v>
      </c>
      <c r="L524" s="574"/>
      <c r="M524" s="566"/>
      <c r="N524" s="566"/>
      <c r="O524" s="566"/>
      <c r="P524" s="566"/>
      <c r="Q524" s="566"/>
      <c r="R524" s="566"/>
      <c r="S524" s="566"/>
      <c r="T524" s="566"/>
      <c r="U524" s="566"/>
    </row>
    <row r="525" spans="1:21" ht="12.75" hidden="1" x14ac:dyDescent="0.2">
      <c r="A525" s="1020"/>
      <c r="B525" s="1021"/>
      <c r="C525" s="1021"/>
      <c r="D525" s="1022"/>
      <c r="E525" s="1022"/>
      <c r="F525" s="1022"/>
      <c r="G525" s="1023"/>
      <c r="H525" s="1024"/>
      <c r="I525" s="1025"/>
      <c r="J525" s="1025"/>
      <c r="K525" s="1026"/>
      <c r="L525" s="965"/>
      <c r="M525" s="964"/>
      <c r="N525" s="964"/>
      <c r="O525" s="964"/>
      <c r="P525" s="964"/>
      <c r="Q525" s="964"/>
      <c r="R525" s="964"/>
      <c r="S525" s="964"/>
      <c r="T525" s="964"/>
      <c r="U525" s="964"/>
    </row>
    <row r="526" spans="1:21" ht="12.75" hidden="1" x14ac:dyDescent="0.2">
      <c r="A526" s="973"/>
      <c r="B526" s="961"/>
      <c r="C526" s="961"/>
      <c r="D526" s="974"/>
      <c r="E526" s="974"/>
      <c r="F526" s="974"/>
      <c r="G526" s="975"/>
      <c r="H526" s="962"/>
      <c r="I526" s="963"/>
      <c r="J526" s="963"/>
      <c r="K526" s="964"/>
      <c r="L526" s="965"/>
      <c r="M526" s="964"/>
      <c r="N526" s="964"/>
      <c r="O526" s="964"/>
      <c r="P526" s="964"/>
      <c r="Q526" s="964"/>
      <c r="R526" s="964"/>
      <c r="S526" s="964"/>
      <c r="T526" s="964"/>
      <c r="U526" s="964"/>
    </row>
    <row r="527" spans="1:21" ht="12.75" hidden="1" x14ac:dyDescent="0.2">
      <c r="A527" s="973"/>
      <c r="B527" s="961"/>
      <c r="C527" s="961"/>
      <c r="D527" s="974"/>
      <c r="E527" s="974"/>
      <c r="F527" s="974"/>
      <c r="G527" s="975"/>
      <c r="H527" s="962"/>
      <c r="I527" s="963"/>
      <c r="J527" s="963"/>
      <c r="K527" s="964"/>
      <c r="L527" s="965"/>
      <c r="M527" s="964"/>
      <c r="N527" s="964"/>
      <c r="O527" s="964"/>
      <c r="P527" s="964"/>
      <c r="Q527" s="964"/>
      <c r="R527" s="964"/>
      <c r="S527" s="964"/>
      <c r="T527" s="964"/>
      <c r="U527" s="964"/>
    </row>
    <row r="528" spans="1:21" ht="12.75" hidden="1" x14ac:dyDescent="0.2">
      <c r="A528" s="973"/>
      <c r="B528" s="961"/>
      <c r="C528" s="961"/>
      <c r="D528" s="974"/>
      <c r="E528" s="974"/>
      <c r="F528" s="974"/>
      <c r="G528" s="975"/>
      <c r="H528" s="962"/>
      <c r="I528" s="963"/>
      <c r="J528" s="963"/>
      <c r="K528" s="964"/>
      <c r="L528" s="965"/>
      <c r="M528" s="964"/>
      <c r="N528" s="964"/>
      <c r="O528" s="964"/>
      <c r="P528" s="964"/>
      <c r="Q528" s="964"/>
      <c r="R528" s="964"/>
      <c r="S528" s="964"/>
      <c r="T528" s="964"/>
      <c r="U528" s="964"/>
    </row>
    <row r="529" spans="1:21" ht="12.75" hidden="1" x14ac:dyDescent="0.2">
      <c r="A529" s="973"/>
      <c r="B529" s="961"/>
      <c r="C529" s="961"/>
      <c r="D529" s="974"/>
      <c r="E529" s="974"/>
      <c r="F529" s="974"/>
      <c r="G529" s="975"/>
      <c r="H529" s="962"/>
      <c r="I529" s="963"/>
      <c r="J529" s="963"/>
      <c r="K529" s="964"/>
      <c r="L529" s="965"/>
      <c r="M529" s="964"/>
      <c r="N529" s="964"/>
      <c r="O529" s="964"/>
      <c r="P529" s="964"/>
      <c r="Q529" s="964"/>
      <c r="R529" s="964"/>
      <c r="S529" s="964"/>
      <c r="T529" s="964"/>
      <c r="U529" s="964"/>
    </row>
    <row r="530" spans="1:21" ht="12.75" hidden="1" x14ac:dyDescent="0.2">
      <c r="A530" s="973"/>
      <c r="B530" s="961"/>
      <c r="C530" s="961"/>
      <c r="D530" s="974"/>
      <c r="E530" s="974"/>
      <c r="F530" s="974"/>
      <c r="G530" s="975"/>
      <c r="H530" s="962"/>
      <c r="I530" s="963"/>
      <c r="J530" s="963"/>
      <c r="K530" s="964"/>
      <c r="L530" s="965"/>
      <c r="M530" s="964"/>
      <c r="N530" s="964"/>
      <c r="O530" s="964"/>
      <c r="P530" s="964"/>
      <c r="Q530" s="964"/>
      <c r="R530" s="964"/>
      <c r="S530" s="964"/>
      <c r="T530" s="964"/>
      <c r="U530" s="964"/>
    </row>
    <row r="531" spans="1:21" ht="12.75" hidden="1" x14ac:dyDescent="0.2">
      <c r="A531" s="973"/>
      <c r="B531" s="961"/>
      <c r="C531" s="961"/>
      <c r="D531" s="974"/>
      <c r="E531" s="974"/>
      <c r="F531" s="974"/>
      <c r="G531" s="975"/>
      <c r="H531" s="962"/>
      <c r="I531" s="963"/>
      <c r="J531" s="963"/>
      <c r="K531" s="964"/>
      <c r="L531" s="965"/>
      <c r="M531" s="964"/>
      <c r="N531" s="964"/>
      <c r="O531" s="964"/>
      <c r="P531" s="964"/>
      <c r="Q531" s="964"/>
      <c r="R531" s="964"/>
      <c r="S531" s="964"/>
      <c r="T531" s="964"/>
      <c r="U531" s="964"/>
    </row>
    <row r="532" spans="1:21" ht="12.75" hidden="1" x14ac:dyDescent="0.2">
      <c r="A532" s="1027"/>
      <c r="B532" s="966"/>
      <c r="C532" s="966"/>
      <c r="D532" s="1028"/>
      <c r="E532" s="1028"/>
      <c r="F532" s="1028"/>
      <c r="G532" s="1029"/>
      <c r="H532" s="967"/>
      <c r="I532" s="968"/>
      <c r="J532" s="968"/>
      <c r="K532" s="969"/>
      <c r="L532" s="970"/>
      <c r="M532" s="969"/>
      <c r="N532" s="969"/>
      <c r="O532" s="969"/>
      <c r="P532" s="969"/>
      <c r="Q532" s="969"/>
      <c r="R532" s="969"/>
      <c r="S532" s="969"/>
      <c r="T532" s="969"/>
      <c r="U532" s="969"/>
    </row>
    <row r="533" spans="1:21" ht="19.5" hidden="1" x14ac:dyDescent="0.3">
      <c r="A533" s="1006"/>
      <c r="B533" s="1030" t="s">
        <v>210</v>
      </c>
      <c r="C533" s="1008"/>
      <c r="D533" s="1009"/>
      <c r="E533" s="1009"/>
      <c r="F533" s="1009"/>
      <c r="G533" s="1010"/>
      <c r="H533" s="1031" t="s">
        <v>61</v>
      </c>
      <c r="I533" s="1032">
        <f t="shared" ref="I533:J533" si="328">I545</f>
        <v>0</v>
      </c>
      <c r="J533" s="1032">
        <f t="shared" si="328"/>
        <v>0</v>
      </c>
      <c r="K533" s="1033">
        <f>IF(I533&gt;0,J533*100/I533,0)</f>
        <v>0</v>
      </c>
      <c r="L533" s="1014"/>
      <c r="M533" s="1015"/>
      <c r="N533" s="1015"/>
      <c r="O533" s="1015"/>
      <c r="P533" s="1015"/>
      <c r="Q533" s="1015"/>
      <c r="R533" s="1015"/>
      <c r="S533" s="1015"/>
      <c r="T533" s="1015"/>
      <c r="U533" s="1015"/>
    </row>
    <row r="534" spans="1:21" ht="19.5" hidden="1" x14ac:dyDescent="0.3">
      <c r="A534" s="674"/>
      <c r="B534" s="561"/>
      <c r="C534" s="675" t="s">
        <v>18</v>
      </c>
      <c r="D534" s="676" t="s">
        <v>19</v>
      </c>
      <c r="E534" s="561"/>
      <c r="F534" s="561"/>
      <c r="G534" s="563"/>
      <c r="H534" s="677" t="s">
        <v>14</v>
      </c>
      <c r="I534" s="565"/>
      <c r="J534" s="565"/>
      <c r="K534" s="566"/>
      <c r="L534" s="678">
        <f t="shared" ref="L534:N534" ca="1" si="329">L535+L536</f>
        <v>0</v>
      </c>
      <c r="M534" s="679">
        <f t="shared" ca="1" si="329"/>
        <v>0</v>
      </c>
      <c r="N534" s="679">
        <f t="shared" ca="1" si="329"/>
        <v>0</v>
      </c>
      <c r="O534" s="679">
        <f t="shared" ref="O534:O542" ca="1" si="330">IF(L534&gt;0,N534*100/L534,0)</f>
        <v>0</v>
      </c>
      <c r="P534" s="679">
        <f t="shared" ref="P534:P542" ca="1" si="331">IF(M534&gt;0,N534*100/M534,0)</f>
        <v>0</v>
      </c>
      <c r="Q534" s="679">
        <f t="shared" ref="Q534:S534" si="332">Q535+Q536</f>
        <v>0</v>
      </c>
      <c r="R534" s="679">
        <f t="shared" si="332"/>
        <v>0</v>
      </c>
      <c r="S534" s="679">
        <f t="shared" si="332"/>
        <v>0</v>
      </c>
      <c r="T534" s="679">
        <f t="shared" ref="T534:T542" si="333">IF(Q534&gt;0,S534*100/Q534,0)</f>
        <v>0</v>
      </c>
      <c r="U534" s="679">
        <f t="shared" ref="U534:U542" si="334">IF(R534&gt;0,S534*100/R534,0)</f>
        <v>0</v>
      </c>
    </row>
    <row r="535" spans="1:21" ht="18.75" hidden="1" x14ac:dyDescent="0.25">
      <c r="A535" s="674"/>
      <c r="B535" s="718"/>
      <c r="C535" s="561"/>
      <c r="D535" s="561"/>
      <c r="E535" s="569" t="s">
        <v>20</v>
      </c>
      <c r="F535" s="561"/>
      <c r="G535" s="563"/>
      <c r="H535" s="680" t="s">
        <v>14</v>
      </c>
      <c r="I535" s="565"/>
      <c r="J535" s="565"/>
      <c r="K535" s="566"/>
      <c r="L535" s="571">
        <f t="shared" ref="L535:N536" si="335">L538+L541</f>
        <v>0</v>
      </c>
      <c r="M535" s="572">
        <f t="shared" si="335"/>
        <v>0</v>
      </c>
      <c r="N535" s="572">
        <f t="shared" si="335"/>
        <v>0</v>
      </c>
      <c r="O535" s="572">
        <f t="shared" si="330"/>
        <v>0</v>
      </c>
      <c r="P535" s="572">
        <f t="shared" si="331"/>
        <v>0</v>
      </c>
      <c r="Q535" s="572">
        <f t="shared" ref="Q535:S536" si="336">Q538+Q541</f>
        <v>0</v>
      </c>
      <c r="R535" s="572">
        <f t="shared" si="336"/>
        <v>0</v>
      </c>
      <c r="S535" s="572">
        <f t="shared" si="336"/>
        <v>0</v>
      </c>
      <c r="T535" s="572">
        <f t="shared" si="333"/>
        <v>0</v>
      </c>
      <c r="U535" s="572">
        <f t="shared" si="334"/>
        <v>0</v>
      </c>
    </row>
    <row r="536" spans="1:21" ht="18.75" hidden="1" x14ac:dyDescent="0.25">
      <c r="A536" s="674"/>
      <c r="B536" s="561"/>
      <c r="C536" s="718"/>
      <c r="D536" s="561"/>
      <c r="E536" s="765" t="s">
        <v>21</v>
      </c>
      <c r="F536" s="561"/>
      <c r="G536" s="563"/>
      <c r="H536" s="681" t="s">
        <v>14</v>
      </c>
      <c r="I536" s="565"/>
      <c r="J536" s="565"/>
      <c r="K536" s="566"/>
      <c r="L536" s="567">
        <f t="shared" ca="1" si="335"/>
        <v>0</v>
      </c>
      <c r="M536" s="568">
        <f t="shared" ca="1" si="335"/>
        <v>0</v>
      </c>
      <c r="N536" s="568">
        <f t="shared" ca="1" si="335"/>
        <v>0</v>
      </c>
      <c r="O536" s="568">
        <f t="shared" ca="1" si="330"/>
        <v>0</v>
      </c>
      <c r="P536" s="568">
        <f t="shared" ca="1" si="331"/>
        <v>0</v>
      </c>
      <c r="Q536" s="568">
        <f t="shared" si="336"/>
        <v>0</v>
      </c>
      <c r="R536" s="568">
        <f t="shared" si="336"/>
        <v>0</v>
      </c>
      <c r="S536" s="568">
        <f t="shared" si="336"/>
        <v>0</v>
      </c>
      <c r="T536" s="568">
        <f t="shared" si="333"/>
        <v>0</v>
      </c>
      <c r="U536" s="568">
        <f t="shared" si="334"/>
        <v>0</v>
      </c>
    </row>
    <row r="537" spans="1:21" ht="18.75" hidden="1" x14ac:dyDescent="0.25">
      <c r="A537" s="674"/>
      <c r="B537" s="561"/>
      <c r="C537" s="718"/>
      <c r="D537" s="562" t="s">
        <v>22</v>
      </c>
      <c r="E537" s="718"/>
      <c r="F537" s="561"/>
      <c r="G537" s="563"/>
      <c r="H537" s="682" t="s">
        <v>14</v>
      </c>
      <c r="I537" s="683"/>
      <c r="J537" s="683"/>
      <c r="K537" s="684"/>
      <c r="L537" s="567">
        <f t="shared" ref="L537:N537" ca="1" si="337">L538+L539</f>
        <v>0</v>
      </c>
      <c r="M537" s="568">
        <f t="shared" ca="1" si="337"/>
        <v>0</v>
      </c>
      <c r="N537" s="568">
        <f t="shared" ca="1" si="337"/>
        <v>0</v>
      </c>
      <c r="O537" s="568">
        <f t="shared" ca="1" si="330"/>
        <v>0</v>
      </c>
      <c r="P537" s="568">
        <f t="shared" ca="1" si="331"/>
        <v>0</v>
      </c>
      <c r="Q537" s="568">
        <f t="shared" ref="Q537:S537" si="338">Q538+Q539</f>
        <v>0</v>
      </c>
      <c r="R537" s="568">
        <f t="shared" si="338"/>
        <v>0</v>
      </c>
      <c r="S537" s="568">
        <f t="shared" si="338"/>
        <v>0</v>
      </c>
      <c r="T537" s="568">
        <f t="shared" si="333"/>
        <v>0</v>
      </c>
      <c r="U537" s="568">
        <f t="shared" si="334"/>
        <v>0</v>
      </c>
    </row>
    <row r="538" spans="1:21" ht="18.75" hidden="1" x14ac:dyDescent="0.25">
      <c r="A538" s="674"/>
      <c r="B538" s="561"/>
      <c r="C538" s="561"/>
      <c r="D538" s="561"/>
      <c r="E538" s="569" t="s">
        <v>36</v>
      </c>
      <c r="F538" s="561"/>
      <c r="G538" s="563"/>
      <c r="H538" s="685" t="s">
        <v>14</v>
      </c>
      <c r="I538" s="683"/>
      <c r="J538" s="683"/>
      <c r="K538" s="684"/>
      <c r="L538" s="571">
        <v>0</v>
      </c>
      <c r="M538" s="572">
        <v>0</v>
      </c>
      <c r="N538" s="572">
        <v>0</v>
      </c>
      <c r="O538" s="572">
        <f t="shared" si="330"/>
        <v>0</v>
      </c>
      <c r="P538" s="572">
        <f t="shared" si="331"/>
        <v>0</v>
      </c>
      <c r="Q538" s="572">
        <v>0</v>
      </c>
      <c r="R538" s="572">
        <v>0</v>
      </c>
      <c r="S538" s="572">
        <v>0</v>
      </c>
      <c r="T538" s="572">
        <f t="shared" si="333"/>
        <v>0</v>
      </c>
      <c r="U538" s="572">
        <f t="shared" si="334"/>
        <v>0</v>
      </c>
    </row>
    <row r="539" spans="1:21" ht="18.75" hidden="1" x14ac:dyDescent="0.25">
      <c r="A539" s="674"/>
      <c r="B539" s="561"/>
      <c r="C539" s="561"/>
      <c r="D539" s="561"/>
      <c r="E539" s="573" t="s">
        <v>37</v>
      </c>
      <c r="F539" s="561"/>
      <c r="G539" s="563"/>
      <c r="H539" s="682" t="s">
        <v>14</v>
      </c>
      <c r="I539" s="683"/>
      <c r="J539" s="683"/>
      <c r="K539" s="684"/>
      <c r="L539" s="567">
        <f ca="1">IFERROR(__xludf.DUMMYFUNCTION("IMPORTRANGE(""https://docs.google.com/spreadsheets/d/1-uDff_7J0KD5mKrp0Vvzr7lt3OU09vwQwhkpOPPYv2Y/edit?usp=sharing"",""งบพรบ!FW15"")"),0)</f>
        <v>0</v>
      </c>
      <c r="M539" s="568">
        <f ca="1">IFERROR(__xludf.DUMMYFUNCTION("IMPORTRANGE(""https://docs.google.com/spreadsheets/d/1-uDff_7J0KD5mKrp0Vvzr7lt3OU09vwQwhkpOPPYv2Y/edit?usp=sharing"",""งบพรบ!GB15"")"),0)</f>
        <v>0</v>
      </c>
      <c r="N539" s="568">
        <f ca="1">IFERROR(__xludf.DUMMYFUNCTION("IMPORTRANGE(""https://docs.google.com/spreadsheets/d/1-uDff_7J0KD5mKrp0Vvzr7lt3OU09vwQwhkpOPPYv2Y/edit?usp=sharing"",""งบพรบ!GD15"")"),0)</f>
        <v>0</v>
      </c>
      <c r="O539" s="568">
        <f t="shared" ca="1" si="330"/>
        <v>0</v>
      </c>
      <c r="P539" s="568">
        <f t="shared" ca="1" si="331"/>
        <v>0</v>
      </c>
      <c r="Q539" s="568">
        <v>0</v>
      </c>
      <c r="R539" s="568">
        <v>0</v>
      </c>
      <c r="S539" s="568">
        <v>0</v>
      </c>
      <c r="T539" s="568">
        <f t="shared" si="333"/>
        <v>0</v>
      </c>
      <c r="U539" s="568">
        <f t="shared" si="334"/>
        <v>0</v>
      </c>
    </row>
    <row r="540" spans="1:21" ht="18.75" hidden="1" x14ac:dyDescent="0.25">
      <c r="A540" s="674"/>
      <c r="B540" s="561"/>
      <c r="C540" s="561"/>
      <c r="D540" s="562" t="s">
        <v>23</v>
      </c>
      <c r="E540" s="561"/>
      <c r="F540" s="561"/>
      <c r="G540" s="563"/>
      <c r="H540" s="686" t="s">
        <v>14</v>
      </c>
      <c r="I540" s="683"/>
      <c r="J540" s="683"/>
      <c r="K540" s="684"/>
      <c r="L540" s="567">
        <f t="shared" ref="L540:N540" ca="1" si="339">L541+L542</f>
        <v>0</v>
      </c>
      <c r="M540" s="568">
        <f t="shared" ca="1" si="339"/>
        <v>0</v>
      </c>
      <c r="N540" s="568">
        <f t="shared" ca="1" si="339"/>
        <v>0</v>
      </c>
      <c r="O540" s="568">
        <f t="shared" ca="1" si="330"/>
        <v>0</v>
      </c>
      <c r="P540" s="568">
        <f t="shared" ca="1" si="331"/>
        <v>0</v>
      </c>
      <c r="Q540" s="568">
        <f t="shared" ref="Q540:S540" si="340">Q541+Q542</f>
        <v>0</v>
      </c>
      <c r="R540" s="568">
        <f t="shared" si="340"/>
        <v>0</v>
      </c>
      <c r="S540" s="568">
        <f t="shared" si="340"/>
        <v>0</v>
      </c>
      <c r="T540" s="568">
        <f t="shared" si="333"/>
        <v>0</v>
      </c>
      <c r="U540" s="568">
        <f t="shared" si="334"/>
        <v>0</v>
      </c>
    </row>
    <row r="541" spans="1:21" ht="18.75" hidden="1" x14ac:dyDescent="0.25">
      <c r="A541" s="674"/>
      <c r="B541" s="561"/>
      <c r="C541" s="561"/>
      <c r="D541" s="561"/>
      <c r="E541" s="569" t="s">
        <v>20</v>
      </c>
      <c r="F541" s="561"/>
      <c r="G541" s="563"/>
      <c r="H541" s="685" t="s">
        <v>14</v>
      </c>
      <c r="I541" s="683"/>
      <c r="J541" s="683"/>
      <c r="K541" s="684"/>
      <c r="L541" s="571">
        <v>0</v>
      </c>
      <c r="M541" s="572">
        <v>0</v>
      </c>
      <c r="N541" s="572">
        <v>0</v>
      </c>
      <c r="O541" s="572">
        <f t="shared" si="330"/>
        <v>0</v>
      </c>
      <c r="P541" s="572">
        <f t="shared" si="331"/>
        <v>0</v>
      </c>
      <c r="Q541" s="572">
        <v>0</v>
      </c>
      <c r="R541" s="572">
        <v>0</v>
      </c>
      <c r="S541" s="572">
        <v>0</v>
      </c>
      <c r="T541" s="572">
        <f t="shared" si="333"/>
        <v>0</v>
      </c>
      <c r="U541" s="572">
        <f t="shared" si="334"/>
        <v>0</v>
      </c>
    </row>
    <row r="542" spans="1:21" ht="18.75" hidden="1" x14ac:dyDescent="0.25">
      <c r="A542" s="674"/>
      <c r="B542" s="561"/>
      <c r="C542" s="561"/>
      <c r="D542" s="561"/>
      <c r="E542" s="573" t="s">
        <v>21</v>
      </c>
      <c r="F542" s="561"/>
      <c r="G542" s="563"/>
      <c r="H542" s="686" t="s">
        <v>14</v>
      </c>
      <c r="I542" s="683"/>
      <c r="J542" s="683"/>
      <c r="K542" s="684"/>
      <c r="L542" s="567">
        <f ca="1">IFERROR(__xludf.DUMMYFUNCTION("IMPORTRANGE(""https://docs.google.com/spreadsheets/d/1-uDff_7J0KD5mKrp0Vvzr7lt3OU09vwQwhkpOPPYv2Y/edit?usp=sharing"",""งบพรบ!FZ15"")"),0)</f>
        <v>0</v>
      </c>
      <c r="M542" s="568">
        <f ca="1">IFERROR(__xludf.DUMMYFUNCTION("IMPORTRANGE(""https://docs.google.com/spreadsheets/d/1-uDff_7J0KD5mKrp0Vvzr7lt3OU09vwQwhkpOPPYv2Y/edit?usp=sharing"",""งบพรบ!GC15"")"),0)</f>
        <v>0</v>
      </c>
      <c r="N542" s="568">
        <f ca="1">IFERROR(__xludf.DUMMYFUNCTION("IMPORTRANGE(""https://docs.google.com/spreadsheets/d/1-uDff_7J0KD5mKrp0Vvzr7lt3OU09vwQwhkpOPPYv2Y/edit?usp=sharing"",""งบพรบ!GE15"")"),0)</f>
        <v>0</v>
      </c>
      <c r="O542" s="568">
        <f t="shared" ca="1" si="330"/>
        <v>0</v>
      </c>
      <c r="P542" s="568">
        <f t="shared" ca="1" si="331"/>
        <v>0</v>
      </c>
      <c r="Q542" s="568">
        <v>0</v>
      </c>
      <c r="R542" s="568">
        <v>0</v>
      </c>
      <c r="S542" s="568">
        <v>0</v>
      </c>
      <c r="T542" s="568">
        <f t="shared" si="333"/>
        <v>0</v>
      </c>
      <c r="U542" s="568">
        <f t="shared" si="334"/>
        <v>0</v>
      </c>
    </row>
    <row r="543" spans="1:21" ht="19.5" hidden="1" x14ac:dyDescent="0.3">
      <c r="A543" s="687"/>
      <c r="B543" s="688"/>
      <c r="C543" s="1034" t="s">
        <v>18</v>
      </c>
      <c r="D543" s="689" t="s">
        <v>38</v>
      </c>
      <c r="E543" s="690"/>
      <c r="F543" s="690"/>
      <c r="G543" s="691"/>
      <c r="H543" s="692"/>
      <c r="I543" s="683"/>
      <c r="J543" s="565"/>
      <c r="K543" s="566"/>
      <c r="L543" s="574"/>
      <c r="M543" s="566"/>
      <c r="N543" s="566"/>
      <c r="O543" s="684"/>
      <c r="P543" s="684"/>
      <c r="Q543" s="566"/>
      <c r="R543" s="566"/>
      <c r="S543" s="566"/>
      <c r="T543" s="684"/>
      <c r="U543" s="684"/>
    </row>
    <row r="544" spans="1:21" ht="12.75" hidden="1" x14ac:dyDescent="0.2">
      <c r="A544" s="973"/>
      <c r="B544" s="974"/>
      <c r="C544" s="961"/>
      <c r="D544" s="974"/>
      <c r="E544" s="961"/>
      <c r="F544" s="974"/>
      <c r="G544" s="975"/>
      <c r="H544" s="975"/>
      <c r="I544" s="963"/>
      <c r="J544" s="963"/>
      <c r="K544" s="964"/>
      <c r="L544" s="965"/>
      <c r="M544" s="964"/>
      <c r="N544" s="964"/>
      <c r="O544" s="964"/>
      <c r="P544" s="964"/>
      <c r="Q544" s="964"/>
      <c r="R544" s="964"/>
      <c r="S544" s="964"/>
      <c r="T544" s="964"/>
      <c r="U544" s="964"/>
    </row>
    <row r="545" spans="1:21" ht="12.75" hidden="1" x14ac:dyDescent="0.2">
      <c r="A545" s="973"/>
      <c r="B545" s="974"/>
      <c r="C545" s="961"/>
      <c r="D545" s="974"/>
      <c r="E545" s="961"/>
      <c r="F545" s="974"/>
      <c r="G545" s="975"/>
      <c r="H545" s="975"/>
      <c r="I545" s="963"/>
      <c r="J545" s="963"/>
      <c r="K545" s="964"/>
      <c r="L545" s="965"/>
      <c r="M545" s="964"/>
      <c r="N545" s="964"/>
      <c r="O545" s="964"/>
      <c r="P545" s="964"/>
      <c r="Q545" s="964"/>
      <c r="R545" s="964"/>
      <c r="S545" s="964"/>
      <c r="T545" s="964"/>
      <c r="U545" s="964"/>
    </row>
    <row r="546" spans="1:21" ht="12.75" hidden="1" x14ac:dyDescent="0.2">
      <c r="A546" s="973"/>
      <c r="B546" s="961"/>
      <c r="C546" s="961"/>
      <c r="D546" s="974"/>
      <c r="E546" s="974"/>
      <c r="F546" s="974"/>
      <c r="G546" s="975"/>
      <c r="H546" s="962"/>
      <c r="I546" s="963"/>
      <c r="J546" s="963"/>
      <c r="K546" s="964"/>
      <c r="L546" s="965"/>
      <c r="M546" s="964"/>
      <c r="N546" s="964"/>
      <c r="O546" s="964"/>
      <c r="P546" s="964"/>
      <c r="Q546" s="964"/>
      <c r="R546" s="964"/>
      <c r="S546" s="964"/>
      <c r="T546" s="964"/>
      <c r="U546" s="964"/>
    </row>
    <row r="547" spans="1:21" ht="12.75" hidden="1" x14ac:dyDescent="0.2">
      <c r="A547" s="973"/>
      <c r="B547" s="961"/>
      <c r="C547" s="961"/>
      <c r="D547" s="974"/>
      <c r="E547" s="974"/>
      <c r="F547" s="974"/>
      <c r="G547" s="975"/>
      <c r="H547" s="962"/>
      <c r="I547" s="963"/>
      <c r="J547" s="963"/>
      <c r="K547" s="964"/>
      <c r="L547" s="965"/>
      <c r="M547" s="964"/>
      <c r="N547" s="964"/>
      <c r="O547" s="964"/>
      <c r="P547" s="964"/>
      <c r="Q547" s="964"/>
      <c r="R547" s="964"/>
      <c r="S547" s="964"/>
      <c r="T547" s="964"/>
      <c r="U547" s="964"/>
    </row>
    <row r="548" spans="1:21" ht="12.75" hidden="1" x14ac:dyDescent="0.2">
      <c r="A548" s="973"/>
      <c r="B548" s="961"/>
      <c r="C548" s="961"/>
      <c r="D548" s="974"/>
      <c r="E548" s="974"/>
      <c r="F548" s="974"/>
      <c r="G548" s="975"/>
      <c r="H548" s="962"/>
      <c r="I548" s="963"/>
      <c r="J548" s="963"/>
      <c r="K548" s="964"/>
      <c r="L548" s="965"/>
      <c r="M548" s="964"/>
      <c r="N548" s="964"/>
      <c r="O548" s="964"/>
      <c r="P548" s="964"/>
      <c r="Q548" s="964"/>
      <c r="R548" s="964"/>
      <c r="S548" s="964"/>
      <c r="T548" s="964"/>
      <c r="U548" s="964"/>
    </row>
    <row r="549" spans="1:21" ht="12.75" hidden="1" x14ac:dyDescent="0.2">
      <c r="A549" s="973"/>
      <c r="B549" s="961"/>
      <c r="C549" s="961"/>
      <c r="D549" s="974"/>
      <c r="E549" s="974"/>
      <c r="F549" s="974"/>
      <c r="G549" s="975"/>
      <c r="H549" s="962"/>
      <c r="I549" s="963"/>
      <c r="J549" s="963"/>
      <c r="K549" s="964"/>
      <c r="L549" s="965"/>
      <c r="M549" s="964"/>
      <c r="N549" s="964"/>
      <c r="O549" s="964"/>
      <c r="P549" s="964"/>
      <c r="Q549" s="964"/>
      <c r="R549" s="964"/>
      <c r="S549" s="964"/>
      <c r="T549" s="964"/>
      <c r="U549" s="964"/>
    </row>
    <row r="550" spans="1:21" ht="12.75" hidden="1" x14ac:dyDescent="0.2">
      <c r="A550" s="973"/>
      <c r="B550" s="961"/>
      <c r="C550" s="961"/>
      <c r="D550" s="974"/>
      <c r="E550" s="974"/>
      <c r="F550" s="974"/>
      <c r="G550" s="975"/>
      <c r="H550" s="962"/>
      <c r="I550" s="963"/>
      <c r="J550" s="963"/>
      <c r="K550" s="964"/>
      <c r="L550" s="965"/>
      <c r="M550" s="964"/>
      <c r="N550" s="964"/>
      <c r="O550" s="964"/>
      <c r="P550" s="964"/>
      <c r="Q550" s="964"/>
      <c r="R550" s="964"/>
      <c r="S550" s="964"/>
      <c r="T550" s="964"/>
      <c r="U550" s="964"/>
    </row>
    <row r="551" spans="1:21" ht="12.75" hidden="1" x14ac:dyDescent="0.2">
      <c r="A551" s="973"/>
      <c r="B551" s="961"/>
      <c r="C551" s="961"/>
      <c r="D551" s="974"/>
      <c r="E551" s="974"/>
      <c r="F551" s="974"/>
      <c r="G551" s="975"/>
      <c r="H551" s="962"/>
      <c r="I551" s="963"/>
      <c r="J551" s="963"/>
      <c r="K551" s="964"/>
      <c r="L551" s="965"/>
      <c r="M551" s="964"/>
      <c r="N551" s="964"/>
      <c r="O551" s="964"/>
      <c r="P551" s="964"/>
      <c r="Q551" s="964"/>
      <c r="R551" s="964"/>
      <c r="S551" s="964"/>
      <c r="T551" s="964"/>
      <c r="U551" s="964"/>
    </row>
    <row r="552" spans="1:21" ht="12.75" hidden="1" x14ac:dyDescent="0.2">
      <c r="A552" s="973"/>
      <c r="B552" s="961"/>
      <c r="C552" s="961"/>
      <c r="D552" s="974"/>
      <c r="E552" s="974"/>
      <c r="F552" s="974"/>
      <c r="G552" s="975"/>
      <c r="H552" s="962"/>
      <c r="I552" s="963"/>
      <c r="J552" s="963"/>
      <c r="K552" s="964"/>
      <c r="L552" s="965"/>
      <c r="M552" s="964"/>
      <c r="N552" s="964"/>
      <c r="O552" s="964"/>
      <c r="P552" s="964"/>
      <c r="Q552" s="964"/>
      <c r="R552" s="964"/>
      <c r="S552" s="964"/>
      <c r="T552" s="964"/>
      <c r="U552" s="964"/>
    </row>
    <row r="553" spans="1:21" ht="12.75" hidden="1" x14ac:dyDescent="0.2">
      <c r="A553" s="1027"/>
      <c r="B553" s="966"/>
      <c r="C553" s="966"/>
      <c r="D553" s="1028"/>
      <c r="E553" s="1028"/>
      <c r="F553" s="1028"/>
      <c r="G553" s="1029"/>
      <c r="H553" s="967"/>
      <c r="I553" s="968"/>
      <c r="J553" s="968"/>
      <c r="K553" s="969"/>
      <c r="L553" s="970"/>
      <c r="M553" s="969"/>
      <c r="N553" s="969"/>
      <c r="O553" s="969"/>
      <c r="P553" s="969"/>
      <c r="Q553" s="969"/>
      <c r="R553" s="969"/>
      <c r="S553" s="969"/>
      <c r="T553" s="969"/>
      <c r="U553" s="969"/>
    </row>
    <row r="554" spans="1:21" ht="19.5" hidden="1" x14ac:dyDescent="0.3">
      <c r="A554" s="1006"/>
      <c r="B554" s="1030" t="s">
        <v>211</v>
      </c>
      <c r="C554" s="1008"/>
      <c r="D554" s="1009"/>
      <c r="E554" s="1009"/>
      <c r="F554" s="1009"/>
      <c r="G554" s="1010"/>
      <c r="H554" s="1031" t="s">
        <v>61</v>
      </c>
      <c r="I554" s="1032">
        <f t="shared" ref="I554:J554" si="341">I566</f>
        <v>0</v>
      </c>
      <c r="J554" s="1032">
        <f t="shared" si="341"/>
        <v>0</v>
      </c>
      <c r="K554" s="1033">
        <f>IF(I554&gt;0,J554*100/I554,0)</f>
        <v>0</v>
      </c>
      <c r="L554" s="1014"/>
      <c r="M554" s="1015"/>
      <c r="N554" s="1015"/>
      <c r="O554" s="1015"/>
      <c r="P554" s="1015"/>
      <c r="Q554" s="1015"/>
      <c r="R554" s="1015"/>
      <c r="S554" s="1015"/>
      <c r="T554" s="1015"/>
      <c r="U554" s="1015"/>
    </row>
    <row r="555" spans="1:21" ht="19.5" hidden="1" x14ac:dyDescent="0.3">
      <c r="A555" s="674"/>
      <c r="B555" s="561"/>
      <c r="C555" s="675" t="s">
        <v>18</v>
      </c>
      <c r="D555" s="676" t="s">
        <v>19</v>
      </c>
      <c r="E555" s="561"/>
      <c r="F555" s="561"/>
      <c r="G555" s="563"/>
      <c r="H555" s="677" t="s">
        <v>14</v>
      </c>
      <c r="I555" s="565"/>
      <c r="J555" s="565"/>
      <c r="K555" s="566"/>
      <c r="L555" s="678">
        <f t="shared" ref="L555:N555" ca="1" si="342">L556+L557</f>
        <v>0</v>
      </c>
      <c r="M555" s="679">
        <f t="shared" ca="1" si="342"/>
        <v>0</v>
      </c>
      <c r="N555" s="679">
        <f t="shared" ca="1" si="342"/>
        <v>0</v>
      </c>
      <c r="O555" s="679">
        <f t="shared" ref="O555:O563" ca="1" si="343">IF(L555&gt;0,N555*100/L555,0)</f>
        <v>0</v>
      </c>
      <c r="P555" s="679">
        <f t="shared" ref="P555:P563" ca="1" si="344">IF(M555&gt;0,N555*100/M555,0)</f>
        <v>0</v>
      </c>
      <c r="Q555" s="679">
        <f t="shared" ref="Q555:S555" si="345">Q556+Q557</f>
        <v>0</v>
      </c>
      <c r="R555" s="679">
        <f t="shared" si="345"/>
        <v>0</v>
      </c>
      <c r="S555" s="679">
        <f t="shared" si="345"/>
        <v>0</v>
      </c>
      <c r="T555" s="679">
        <f t="shared" ref="T555:T563" si="346">IF(Q555&gt;0,S555*100/Q555,0)</f>
        <v>0</v>
      </c>
      <c r="U555" s="679">
        <f t="shared" ref="U555:U563" si="347">IF(R555&gt;0,S555*100/R555,0)</f>
        <v>0</v>
      </c>
    </row>
    <row r="556" spans="1:21" ht="18.75" hidden="1" x14ac:dyDescent="0.25">
      <c r="A556" s="674"/>
      <c r="B556" s="718"/>
      <c r="C556" s="561"/>
      <c r="D556" s="561"/>
      <c r="E556" s="569" t="s">
        <v>20</v>
      </c>
      <c r="F556" s="561"/>
      <c r="G556" s="563"/>
      <c r="H556" s="680" t="s">
        <v>14</v>
      </c>
      <c r="I556" s="565"/>
      <c r="J556" s="565"/>
      <c r="K556" s="566"/>
      <c r="L556" s="571">
        <f t="shared" ref="L556:N557" si="348">L559+L562</f>
        <v>0</v>
      </c>
      <c r="M556" s="572">
        <f t="shared" si="348"/>
        <v>0</v>
      </c>
      <c r="N556" s="572">
        <f t="shared" si="348"/>
        <v>0</v>
      </c>
      <c r="O556" s="572">
        <f t="shared" si="343"/>
        <v>0</v>
      </c>
      <c r="P556" s="572">
        <f t="shared" si="344"/>
        <v>0</v>
      </c>
      <c r="Q556" s="572">
        <f t="shared" ref="Q556:S557" si="349">Q559+Q562</f>
        <v>0</v>
      </c>
      <c r="R556" s="572">
        <f t="shared" si="349"/>
        <v>0</v>
      </c>
      <c r="S556" s="572">
        <f t="shared" si="349"/>
        <v>0</v>
      </c>
      <c r="T556" s="572">
        <f t="shared" si="346"/>
        <v>0</v>
      </c>
      <c r="U556" s="572">
        <f t="shared" si="347"/>
        <v>0</v>
      </c>
    </row>
    <row r="557" spans="1:21" ht="18.75" hidden="1" x14ac:dyDescent="0.25">
      <c r="A557" s="674"/>
      <c r="B557" s="561"/>
      <c r="C557" s="718"/>
      <c r="D557" s="561"/>
      <c r="E557" s="765" t="s">
        <v>21</v>
      </c>
      <c r="F557" s="561"/>
      <c r="G557" s="563"/>
      <c r="H557" s="681" t="s">
        <v>14</v>
      </c>
      <c r="I557" s="565"/>
      <c r="J557" s="565"/>
      <c r="K557" s="566"/>
      <c r="L557" s="567">
        <f t="shared" ca="1" si="348"/>
        <v>0</v>
      </c>
      <c r="M557" s="568">
        <f t="shared" ca="1" si="348"/>
        <v>0</v>
      </c>
      <c r="N557" s="568">
        <f t="shared" ca="1" si="348"/>
        <v>0</v>
      </c>
      <c r="O557" s="568">
        <f t="shared" ca="1" si="343"/>
        <v>0</v>
      </c>
      <c r="P557" s="568">
        <f t="shared" ca="1" si="344"/>
        <v>0</v>
      </c>
      <c r="Q557" s="568">
        <f t="shared" si="349"/>
        <v>0</v>
      </c>
      <c r="R557" s="568">
        <f t="shared" si="349"/>
        <v>0</v>
      </c>
      <c r="S557" s="568">
        <f t="shared" si="349"/>
        <v>0</v>
      </c>
      <c r="T557" s="568">
        <f t="shared" si="346"/>
        <v>0</v>
      </c>
      <c r="U557" s="568">
        <f t="shared" si="347"/>
        <v>0</v>
      </c>
    </row>
    <row r="558" spans="1:21" ht="18.75" hidden="1" x14ac:dyDescent="0.25">
      <c r="A558" s="674"/>
      <c r="B558" s="561"/>
      <c r="C558" s="718"/>
      <c r="D558" s="562" t="s">
        <v>22</v>
      </c>
      <c r="E558" s="718"/>
      <c r="F558" s="561"/>
      <c r="G558" s="563"/>
      <c r="H558" s="682" t="s">
        <v>14</v>
      </c>
      <c r="I558" s="683"/>
      <c r="J558" s="683"/>
      <c r="K558" s="684"/>
      <c r="L558" s="567">
        <f t="shared" ref="L558:N558" ca="1" si="350">L559+L560</f>
        <v>0</v>
      </c>
      <c r="M558" s="568">
        <f t="shared" ca="1" si="350"/>
        <v>0</v>
      </c>
      <c r="N558" s="568">
        <f t="shared" ca="1" si="350"/>
        <v>0</v>
      </c>
      <c r="O558" s="568">
        <f t="shared" ca="1" si="343"/>
        <v>0</v>
      </c>
      <c r="P558" s="568">
        <f t="shared" ca="1" si="344"/>
        <v>0</v>
      </c>
      <c r="Q558" s="568">
        <f t="shared" ref="Q558:S558" si="351">Q559+Q560</f>
        <v>0</v>
      </c>
      <c r="R558" s="568">
        <f t="shared" si="351"/>
        <v>0</v>
      </c>
      <c r="S558" s="568">
        <f t="shared" si="351"/>
        <v>0</v>
      </c>
      <c r="T558" s="568">
        <f t="shared" si="346"/>
        <v>0</v>
      </c>
      <c r="U558" s="568">
        <f t="shared" si="347"/>
        <v>0</v>
      </c>
    </row>
    <row r="559" spans="1:21" ht="18.75" hidden="1" x14ac:dyDescent="0.25">
      <c r="A559" s="674"/>
      <c r="B559" s="561"/>
      <c r="C559" s="561"/>
      <c r="D559" s="561"/>
      <c r="E559" s="569" t="s">
        <v>36</v>
      </c>
      <c r="F559" s="561"/>
      <c r="G559" s="563"/>
      <c r="H559" s="685" t="s">
        <v>14</v>
      </c>
      <c r="I559" s="683"/>
      <c r="J559" s="683"/>
      <c r="K559" s="684"/>
      <c r="L559" s="571">
        <v>0</v>
      </c>
      <c r="M559" s="572">
        <v>0</v>
      </c>
      <c r="N559" s="572">
        <v>0</v>
      </c>
      <c r="O559" s="572">
        <f t="shared" si="343"/>
        <v>0</v>
      </c>
      <c r="P559" s="572">
        <f t="shared" si="344"/>
        <v>0</v>
      </c>
      <c r="Q559" s="572">
        <v>0</v>
      </c>
      <c r="R559" s="572">
        <v>0</v>
      </c>
      <c r="S559" s="572">
        <v>0</v>
      </c>
      <c r="T559" s="572">
        <f t="shared" si="346"/>
        <v>0</v>
      </c>
      <c r="U559" s="572">
        <f t="shared" si="347"/>
        <v>0</v>
      </c>
    </row>
    <row r="560" spans="1:21" ht="18.75" hidden="1" x14ac:dyDescent="0.25">
      <c r="A560" s="674"/>
      <c r="B560" s="561"/>
      <c r="C560" s="561"/>
      <c r="D560" s="561"/>
      <c r="E560" s="573" t="s">
        <v>37</v>
      </c>
      <c r="F560" s="561"/>
      <c r="G560" s="563"/>
      <c r="H560" s="682" t="s">
        <v>14</v>
      </c>
      <c r="I560" s="683"/>
      <c r="J560" s="683"/>
      <c r="K560" s="684"/>
      <c r="L560" s="567">
        <f ca="1">IFERROR(__xludf.DUMMYFUNCTION("IMPORTRANGE(""https://docs.google.com/spreadsheets/d/1-uDff_7J0KD5mKrp0Vvzr7lt3OU09vwQwhkpOPPYv2Y/edit?usp=sharing"",""งบพรบ!GG15"")"),0)</f>
        <v>0</v>
      </c>
      <c r="M560" s="568">
        <f ca="1">IFERROR(__xludf.DUMMYFUNCTION("IMPORTRANGE(""https://docs.google.com/spreadsheets/d/1-uDff_7J0KD5mKrp0Vvzr7lt3OU09vwQwhkpOPPYv2Y/edit?usp=sharing"",""งบพรบ!GL15"")"),0)</f>
        <v>0</v>
      </c>
      <c r="N560" s="568">
        <f ca="1">IFERROR(__xludf.DUMMYFUNCTION("IMPORTRANGE(""https://docs.google.com/spreadsheets/d/1-uDff_7J0KD5mKrp0Vvzr7lt3OU09vwQwhkpOPPYv2Y/edit?usp=sharing"",""งบพรบ!GN15"")"),0)</f>
        <v>0</v>
      </c>
      <c r="O560" s="568">
        <f t="shared" ca="1" si="343"/>
        <v>0</v>
      </c>
      <c r="P560" s="568">
        <f t="shared" ca="1" si="344"/>
        <v>0</v>
      </c>
      <c r="Q560" s="568">
        <v>0</v>
      </c>
      <c r="R560" s="568">
        <v>0</v>
      </c>
      <c r="S560" s="568">
        <v>0</v>
      </c>
      <c r="T560" s="568">
        <f t="shared" si="346"/>
        <v>0</v>
      </c>
      <c r="U560" s="568">
        <f t="shared" si="347"/>
        <v>0</v>
      </c>
    </row>
    <row r="561" spans="1:21" ht="18.75" hidden="1" x14ac:dyDescent="0.25">
      <c r="A561" s="674"/>
      <c r="B561" s="561"/>
      <c r="C561" s="561"/>
      <c r="D561" s="562" t="s">
        <v>23</v>
      </c>
      <c r="E561" s="561"/>
      <c r="F561" s="561"/>
      <c r="G561" s="563"/>
      <c r="H561" s="686" t="s">
        <v>14</v>
      </c>
      <c r="I561" s="683"/>
      <c r="J561" s="683"/>
      <c r="K561" s="684"/>
      <c r="L561" s="567">
        <f t="shared" ref="L561:N561" ca="1" si="352">L562+L563</f>
        <v>0</v>
      </c>
      <c r="M561" s="568">
        <f t="shared" ca="1" si="352"/>
        <v>0</v>
      </c>
      <c r="N561" s="568">
        <f t="shared" ca="1" si="352"/>
        <v>0</v>
      </c>
      <c r="O561" s="568">
        <f t="shared" ca="1" si="343"/>
        <v>0</v>
      </c>
      <c r="P561" s="568">
        <f t="shared" ca="1" si="344"/>
        <v>0</v>
      </c>
      <c r="Q561" s="568">
        <f t="shared" ref="Q561:S561" si="353">Q562+Q563</f>
        <v>0</v>
      </c>
      <c r="R561" s="568">
        <f t="shared" si="353"/>
        <v>0</v>
      </c>
      <c r="S561" s="568">
        <f t="shared" si="353"/>
        <v>0</v>
      </c>
      <c r="T561" s="568">
        <f t="shared" si="346"/>
        <v>0</v>
      </c>
      <c r="U561" s="568">
        <f t="shared" si="347"/>
        <v>0</v>
      </c>
    </row>
    <row r="562" spans="1:21" ht="18.75" hidden="1" x14ac:dyDescent="0.25">
      <c r="A562" s="674"/>
      <c r="B562" s="561"/>
      <c r="C562" s="561"/>
      <c r="D562" s="561"/>
      <c r="E562" s="569" t="s">
        <v>20</v>
      </c>
      <c r="F562" s="561"/>
      <c r="G562" s="563"/>
      <c r="H562" s="685" t="s">
        <v>14</v>
      </c>
      <c r="I562" s="683"/>
      <c r="J562" s="683"/>
      <c r="K562" s="684"/>
      <c r="L562" s="571">
        <v>0</v>
      </c>
      <c r="M562" s="572">
        <v>0</v>
      </c>
      <c r="N562" s="572">
        <v>0</v>
      </c>
      <c r="O562" s="572">
        <f t="shared" si="343"/>
        <v>0</v>
      </c>
      <c r="P562" s="572">
        <f t="shared" si="344"/>
        <v>0</v>
      </c>
      <c r="Q562" s="572">
        <v>0</v>
      </c>
      <c r="R562" s="572">
        <v>0</v>
      </c>
      <c r="S562" s="572">
        <v>0</v>
      </c>
      <c r="T562" s="572">
        <f t="shared" si="346"/>
        <v>0</v>
      </c>
      <c r="U562" s="572">
        <f t="shared" si="347"/>
        <v>0</v>
      </c>
    </row>
    <row r="563" spans="1:21" ht="18.75" hidden="1" x14ac:dyDescent="0.25">
      <c r="A563" s="674"/>
      <c r="B563" s="561"/>
      <c r="C563" s="561"/>
      <c r="D563" s="561"/>
      <c r="E563" s="573" t="s">
        <v>21</v>
      </c>
      <c r="F563" s="561"/>
      <c r="G563" s="563"/>
      <c r="H563" s="686" t="s">
        <v>14</v>
      </c>
      <c r="I563" s="683"/>
      <c r="J563" s="683"/>
      <c r="K563" s="684"/>
      <c r="L563" s="567">
        <f ca="1">IFERROR(__xludf.DUMMYFUNCTION("IMPORTRANGE(""https://docs.google.com/spreadsheets/d/1-uDff_7J0KD5mKrp0Vvzr7lt3OU09vwQwhkpOPPYv2Y/edit?usp=sharing"",""งบพรบ!GJ15"")"),0)</f>
        <v>0</v>
      </c>
      <c r="M563" s="568">
        <f ca="1">IFERROR(__xludf.DUMMYFUNCTION("IMPORTRANGE(""https://docs.google.com/spreadsheets/d/1-uDff_7J0KD5mKrp0Vvzr7lt3OU09vwQwhkpOPPYv2Y/edit?usp=sharing"",""งบพรบ!GM15"")"),0)</f>
        <v>0</v>
      </c>
      <c r="N563" s="568">
        <f ca="1">IFERROR(__xludf.DUMMYFUNCTION("IMPORTRANGE(""https://docs.google.com/spreadsheets/d/1-uDff_7J0KD5mKrp0Vvzr7lt3OU09vwQwhkpOPPYv2Y/edit?usp=sharing"",""งบพรบ!GO15"")"),0)</f>
        <v>0</v>
      </c>
      <c r="O563" s="568">
        <f t="shared" ca="1" si="343"/>
        <v>0</v>
      </c>
      <c r="P563" s="568">
        <f t="shared" ca="1" si="344"/>
        <v>0</v>
      </c>
      <c r="Q563" s="568">
        <v>0</v>
      </c>
      <c r="R563" s="568">
        <v>0</v>
      </c>
      <c r="S563" s="568">
        <v>0</v>
      </c>
      <c r="T563" s="568">
        <f t="shared" si="346"/>
        <v>0</v>
      </c>
      <c r="U563" s="568">
        <f t="shared" si="347"/>
        <v>0</v>
      </c>
    </row>
    <row r="564" spans="1:21" ht="19.5" hidden="1" x14ac:dyDescent="0.3">
      <c r="A564" s="687"/>
      <c r="B564" s="688"/>
      <c r="C564" s="1034" t="s">
        <v>18</v>
      </c>
      <c r="D564" s="689" t="s">
        <v>38</v>
      </c>
      <c r="E564" s="690"/>
      <c r="F564" s="690"/>
      <c r="G564" s="691"/>
      <c r="H564" s="692"/>
      <c r="I564" s="683"/>
      <c r="J564" s="565"/>
      <c r="K564" s="566"/>
      <c r="L564" s="574"/>
      <c r="M564" s="566"/>
      <c r="N564" s="566"/>
      <c r="O564" s="684"/>
      <c r="P564" s="684"/>
      <c r="Q564" s="566"/>
      <c r="R564" s="566"/>
      <c r="S564" s="566"/>
      <c r="T564" s="684"/>
      <c r="U564" s="684"/>
    </row>
    <row r="565" spans="1:21" ht="12.75" hidden="1" x14ac:dyDescent="0.2">
      <c r="A565" s="973"/>
      <c r="B565" s="974"/>
      <c r="C565" s="961"/>
      <c r="D565" s="974"/>
      <c r="E565" s="961"/>
      <c r="F565" s="974"/>
      <c r="G565" s="975"/>
      <c r="H565" s="975"/>
      <c r="I565" s="963"/>
      <c r="J565" s="963"/>
      <c r="K565" s="964"/>
      <c r="L565" s="965"/>
      <c r="M565" s="964"/>
      <c r="N565" s="964"/>
      <c r="O565" s="964"/>
      <c r="P565" s="964"/>
      <c r="Q565" s="964"/>
      <c r="R565" s="964"/>
      <c r="S565" s="964"/>
      <c r="T565" s="964"/>
      <c r="U565" s="964"/>
    </row>
    <row r="566" spans="1:21" ht="12.75" hidden="1" x14ac:dyDescent="0.2">
      <c r="A566" s="973"/>
      <c r="B566" s="974"/>
      <c r="C566" s="961"/>
      <c r="D566" s="974"/>
      <c r="E566" s="961"/>
      <c r="F566" s="974"/>
      <c r="G566" s="975"/>
      <c r="H566" s="975"/>
      <c r="I566" s="963"/>
      <c r="J566" s="963"/>
      <c r="K566" s="964"/>
      <c r="L566" s="965"/>
      <c r="M566" s="964"/>
      <c r="N566" s="964"/>
      <c r="O566" s="964"/>
      <c r="P566" s="964"/>
      <c r="Q566" s="964"/>
      <c r="R566" s="964"/>
      <c r="S566" s="964"/>
      <c r="T566" s="964"/>
      <c r="U566" s="964"/>
    </row>
    <row r="567" spans="1:21" ht="12.75" hidden="1" x14ac:dyDescent="0.2">
      <c r="A567" s="973"/>
      <c r="B567" s="961"/>
      <c r="C567" s="961"/>
      <c r="D567" s="974"/>
      <c r="E567" s="974"/>
      <c r="F567" s="974"/>
      <c r="G567" s="975"/>
      <c r="H567" s="962"/>
      <c r="I567" s="963"/>
      <c r="J567" s="963"/>
      <c r="K567" s="964"/>
      <c r="L567" s="965"/>
      <c r="M567" s="964"/>
      <c r="N567" s="964"/>
      <c r="O567" s="964"/>
      <c r="P567" s="964"/>
      <c r="Q567" s="964"/>
      <c r="R567" s="964"/>
      <c r="S567" s="964"/>
      <c r="T567" s="964"/>
      <c r="U567" s="964"/>
    </row>
    <row r="568" spans="1:21" ht="12.75" hidden="1" x14ac:dyDescent="0.2">
      <c r="A568" s="973"/>
      <c r="B568" s="961"/>
      <c r="C568" s="961"/>
      <c r="D568" s="974"/>
      <c r="E568" s="974"/>
      <c r="F568" s="974"/>
      <c r="G568" s="975"/>
      <c r="H568" s="962"/>
      <c r="I568" s="963"/>
      <c r="J568" s="963"/>
      <c r="K568" s="964"/>
      <c r="L568" s="965"/>
      <c r="M568" s="964"/>
      <c r="N568" s="964"/>
      <c r="O568" s="964"/>
      <c r="P568" s="964"/>
      <c r="Q568" s="964"/>
      <c r="R568" s="964"/>
      <c r="S568" s="964"/>
      <c r="T568" s="964"/>
      <c r="U568" s="964"/>
    </row>
    <row r="569" spans="1:21" ht="12.75" hidden="1" x14ac:dyDescent="0.2">
      <c r="A569" s="973"/>
      <c r="B569" s="961"/>
      <c r="C569" s="961"/>
      <c r="D569" s="974"/>
      <c r="E569" s="974"/>
      <c r="F569" s="974"/>
      <c r="G569" s="975"/>
      <c r="H569" s="962"/>
      <c r="I569" s="963"/>
      <c r="J569" s="963"/>
      <c r="K569" s="964"/>
      <c r="L569" s="965"/>
      <c r="M569" s="964"/>
      <c r="N569" s="964"/>
      <c r="O569" s="964"/>
      <c r="P569" s="964"/>
      <c r="Q569" s="964"/>
      <c r="R569" s="964"/>
      <c r="S569" s="964"/>
      <c r="T569" s="964"/>
      <c r="U569" s="964"/>
    </row>
    <row r="570" spans="1:21" ht="12.75" hidden="1" x14ac:dyDescent="0.2">
      <c r="A570" s="973"/>
      <c r="B570" s="961"/>
      <c r="C570" s="961"/>
      <c r="D570" s="974"/>
      <c r="E570" s="974"/>
      <c r="F570" s="974"/>
      <c r="G570" s="975"/>
      <c r="H570" s="962"/>
      <c r="I570" s="963"/>
      <c r="J570" s="963"/>
      <c r="K570" s="964"/>
      <c r="L570" s="965"/>
      <c r="M570" s="964"/>
      <c r="N570" s="964"/>
      <c r="O570" s="964"/>
      <c r="P570" s="964"/>
      <c r="Q570" s="964"/>
      <c r="R570" s="964"/>
      <c r="S570" s="964"/>
      <c r="T570" s="964"/>
      <c r="U570" s="964"/>
    </row>
    <row r="571" spans="1:21" ht="12.75" hidden="1" x14ac:dyDescent="0.2">
      <c r="A571" s="973"/>
      <c r="B571" s="961"/>
      <c r="C571" s="961"/>
      <c r="D571" s="974"/>
      <c r="E571" s="974"/>
      <c r="F571" s="974"/>
      <c r="G571" s="975"/>
      <c r="H571" s="962"/>
      <c r="I571" s="963"/>
      <c r="J571" s="963"/>
      <c r="K571" s="964"/>
      <c r="L571" s="965"/>
      <c r="M571" s="964"/>
      <c r="N571" s="964"/>
      <c r="O571" s="964"/>
      <c r="P571" s="964"/>
      <c r="Q571" s="964"/>
      <c r="R571" s="964"/>
      <c r="S571" s="964"/>
      <c r="T571" s="964"/>
      <c r="U571" s="964"/>
    </row>
    <row r="572" spans="1:21" ht="12.75" hidden="1" x14ac:dyDescent="0.2">
      <c r="A572" s="973"/>
      <c r="B572" s="961"/>
      <c r="C572" s="961"/>
      <c r="D572" s="974"/>
      <c r="E572" s="974"/>
      <c r="F572" s="974"/>
      <c r="G572" s="975"/>
      <c r="H572" s="962"/>
      <c r="I572" s="963"/>
      <c r="J572" s="963"/>
      <c r="K572" s="964"/>
      <c r="L572" s="965"/>
      <c r="M572" s="964"/>
      <c r="N572" s="964"/>
      <c r="O572" s="964"/>
      <c r="P572" s="964"/>
      <c r="Q572" s="964"/>
      <c r="R572" s="964"/>
      <c r="S572" s="964"/>
      <c r="T572" s="964"/>
      <c r="U572" s="964"/>
    </row>
    <row r="573" spans="1:21" ht="12.75" hidden="1" x14ac:dyDescent="0.2">
      <c r="A573" s="973"/>
      <c r="B573" s="961"/>
      <c r="C573" s="961"/>
      <c r="D573" s="974"/>
      <c r="E573" s="974"/>
      <c r="F573" s="974"/>
      <c r="G573" s="975"/>
      <c r="H573" s="962"/>
      <c r="I573" s="963"/>
      <c r="J573" s="963"/>
      <c r="K573" s="964"/>
      <c r="L573" s="965"/>
      <c r="M573" s="964"/>
      <c r="N573" s="964"/>
      <c r="O573" s="964"/>
      <c r="P573" s="964"/>
      <c r="Q573" s="964"/>
      <c r="R573" s="964"/>
      <c r="S573" s="964"/>
      <c r="T573" s="964"/>
      <c r="U573" s="964"/>
    </row>
    <row r="574" spans="1:21" ht="12.75" hidden="1" x14ac:dyDescent="0.2">
      <c r="A574" s="1027"/>
      <c r="B574" s="966"/>
      <c r="C574" s="966"/>
      <c r="D574" s="1028"/>
      <c r="E574" s="1028"/>
      <c r="F574" s="1028"/>
      <c r="G574" s="1029"/>
      <c r="H574" s="967"/>
      <c r="I574" s="968"/>
      <c r="J574" s="968"/>
      <c r="K574" s="969"/>
      <c r="L574" s="970"/>
      <c r="M574" s="969"/>
      <c r="N574" s="969"/>
      <c r="O574" s="969"/>
      <c r="P574" s="969"/>
      <c r="Q574" s="969"/>
      <c r="R574" s="969"/>
      <c r="S574" s="969"/>
      <c r="T574" s="969"/>
      <c r="U574" s="969"/>
    </row>
    <row r="575" spans="1:21" ht="19.5" hidden="1" x14ac:dyDescent="0.3">
      <c r="A575" s="1006"/>
      <c r="B575" s="1030" t="s">
        <v>212</v>
      </c>
      <c r="C575" s="1008"/>
      <c r="D575" s="1009"/>
      <c r="E575" s="1009"/>
      <c r="F575" s="1009"/>
      <c r="G575" s="1010"/>
      <c r="H575" s="1031" t="s">
        <v>61</v>
      </c>
      <c r="I575" s="1032">
        <f t="shared" ref="I575:J575" si="354">I587</f>
        <v>0</v>
      </c>
      <c r="J575" s="1032">
        <f t="shared" si="354"/>
        <v>0</v>
      </c>
      <c r="K575" s="1033">
        <f>IF(I575&gt;0,J575*100/I575,0)</f>
        <v>0</v>
      </c>
      <c r="L575" s="1014"/>
      <c r="M575" s="1015"/>
      <c r="N575" s="1015"/>
      <c r="O575" s="1015"/>
      <c r="P575" s="1015"/>
      <c r="Q575" s="1015"/>
      <c r="R575" s="1015"/>
      <c r="S575" s="1015"/>
      <c r="T575" s="1015"/>
      <c r="U575" s="1015"/>
    </row>
    <row r="576" spans="1:21" ht="19.5" hidden="1" x14ac:dyDescent="0.3">
      <c r="A576" s="674"/>
      <c r="B576" s="561"/>
      <c r="C576" s="675" t="s">
        <v>18</v>
      </c>
      <c r="D576" s="676" t="s">
        <v>19</v>
      </c>
      <c r="E576" s="561"/>
      <c r="F576" s="561"/>
      <c r="G576" s="563"/>
      <c r="H576" s="677" t="s">
        <v>14</v>
      </c>
      <c r="I576" s="565"/>
      <c r="J576" s="565"/>
      <c r="K576" s="566"/>
      <c r="L576" s="678">
        <f t="shared" ref="L576:N576" ca="1" si="355">L577+L578</f>
        <v>0</v>
      </c>
      <c r="M576" s="679">
        <f t="shared" ca="1" si="355"/>
        <v>0</v>
      </c>
      <c r="N576" s="679">
        <f t="shared" ca="1" si="355"/>
        <v>0</v>
      </c>
      <c r="O576" s="679">
        <f t="shared" ref="O576:O584" ca="1" si="356">IF(L576&gt;0,N576*100/L576,0)</f>
        <v>0</v>
      </c>
      <c r="P576" s="679">
        <f t="shared" ref="P576:P584" ca="1" si="357">IF(M576&gt;0,N576*100/M576,0)</f>
        <v>0</v>
      </c>
      <c r="Q576" s="679">
        <f t="shared" ref="Q576:S576" si="358">Q577+Q578</f>
        <v>0</v>
      </c>
      <c r="R576" s="679">
        <f t="shared" si="358"/>
        <v>0</v>
      </c>
      <c r="S576" s="679">
        <f t="shared" si="358"/>
        <v>0</v>
      </c>
      <c r="T576" s="679">
        <f t="shared" ref="T576:T584" si="359">IF(Q576&gt;0,S576*100/Q576,0)</f>
        <v>0</v>
      </c>
      <c r="U576" s="679">
        <f t="shared" ref="U576:U584" si="360">IF(R576&gt;0,S576*100/R576,0)</f>
        <v>0</v>
      </c>
    </row>
    <row r="577" spans="1:21" ht="18.75" hidden="1" x14ac:dyDescent="0.25">
      <c r="A577" s="674"/>
      <c r="B577" s="718"/>
      <c r="C577" s="561"/>
      <c r="D577" s="561"/>
      <c r="E577" s="569" t="s">
        <v>20</v>
      </c>
      <c r="F577" s="561"/>
      <c r="G577" s="563"/>
      <c r="H577" s="680" t="s">
        <v>14</v>
      </c>
      <c r="I577" s="565"/>
      <c r="J577" s="565"/>
      <c r="K577" s="566"/>
      <c r="L577" s="571">
        <f t="shared" ref="L577:N578" si="361">L580+L583</f>
        <v>0</v>
      </c>
      <c r="M577" s="572">
        <f t="shared" si="361"/>
        <v>0</v>
      </c>
      <c r="N577" s="572">
        <f t="shared" si="361"/>
        <v>0</v>
      </c>
      <c r="O577" s="572">
        <f t="shared" si="356"/>
        <v>0</v>
      </c>
      <c r="P577" s="572">
        <f t="shared" si="357"/>
        <v>0</v>
      </c>
      <c r="Q577" s="572">
        <f t="shared" ref="Q577:S578" si="362">Q580+Q583</f>
        <v>0</v>
      </c>
      <c r="R577" s="572">
        <f t="shared" si="362"/>
        <v>0</v>
      </c>
      <c r="S577" s="572">
        <f t="shared" si="362"/>
        <v>0</v>
      </c>
      <c r="T577" s="572">
        <f t="shared" si="359"/>
        <v>0</v>
      </c>
      <c r="U577" s="572">
        <f t="shared" si="360"/>
        <v>0</v>
      </c>
    </row>
    <row r="578" spans="1:21" ht="18.75" hidden="1" x14ac:dyDescent="0.25">
      <c r="A578" s="674"/>
      <c r="B578" s="561"/>
      <c r="C578" s="718"/>
      <c r="D578" s="561"/>
      <c r="E578" s="765" t="s">
        <v>21</v>
      </c>
      <c r="F578" s="561"/>
      <c r="G578" s="563"/>
      <c r="H578" s="681" t="s">
        <v>14</v>
      </c>
      <c r="I578" s="565"/>
      <c r="J578" s="565"/>
      <c r="K578" s="566"/>
      <c r="L578" s="567">
        <f t="shared" ca="1" si="361"/>
        <v>0</v>
      </c>
      <c r="M578" s="568">
        <f t="shared" ca="1" si="361"/>
        <v>0</v>
      </c>
      <c r="N578" s="568">
        <f t="shared" ca="1" si="361"/>
        <v>0</v>
      </c>
      <c r="O578" s="568">
        <f t="shared" ca="1" si="356"/>
        <v>0</v>
      </c>
      <c r="P578" s="568">
        <f t="shared" ca="1" si="357"/>
        <v>0</v>
      </c>
      <c r="Q578" s="568">
        <f t="shared" si="362"/>
        <v>0</v>
      </c>
      <c r="R578" s="568">
        <f t="shared" si="362"/>
        <v>0</v>
      </c>
      <c r="S578" s="568">
        <f t="shared" si="362"/>
        <v>0</v>
      </c>
      <c r="T578" s="568">
        <f t="shared" si="359"/>
        <v>0</v>
      </c>
      <c r="U578" s="568">
        <f t="shared" si="360"/>
        <v>0</v>
      </c>
    </row>
    <row r="579" spans="1:21" ht="18.75" hidden="1" x14ac:dyDescent="0.25">
      <c r="A579" s="674"/>
      <c r="B579" s="561"/>
      <c r="C579" s="718"/>
      <c r="D579" s="562" t="s">
        <v>22</v>
      </c>
      <c r="E579" s="718"/>
      <c r="F579" s="561"/>
      <c r="G579" s="563"/>
      <c r="H579" s="682" t="s">
        <v>14</v>
      </c>
      <c r="I579" s="683"/>
      <c r="J579" s="683"/>
      <c r="K579" s="684"/>
      <c r="L579" s="567">
        <f t="shared" ref="L579:N579" ca="1" si="363">L580+L581</f>
        <v>0</v>
      </c>
      <c r="M579" s="568">
        <f t="shared" ca="1" si="363"/>
        <v>0</v>
      </c>
      <c r="N579" s="568">
        <f t="shared" ca="1" si="363"/>
        <v>0</v>
      </c>
      <c r="O579" s="568">
        <f t="shared" ca="1" si="356"/>
        <v>0</v>
      </c>
      <c r="P579" s="568">
        <f t="shared" ca="1" si="357"/>
        <v>0</v>
      </c>
      <c r="Q579" s="568">
        <f t="shared" ref="Q579:S579" si="364">Q580+Q581</f>
        <v>0</v>
      </c>
      <c r="R579" s="568">
        <f t="shared" si="364"/>
        <v>0</v>
      </c>
      <c r="S579" s="568">
        <f t="shared" si="364"/>
        <v>0</v>
      </c>
      <c r="T579" s="568">
        <f t="shared" si="359"/>
        <v>0</v>
      </c>
      <c r="U579" s="568">
        <f t="shared" si="360"/>
        <v>0</v>
      </c>
    </row>
    <row r="580" spans="1:21" ht="18.75" hidden="1" x14ac:dyDescent="0.25">
      <c r="A580" s="674"/>
      <c r="B580" s="561"/>
      <c r="C580" s="561"/>
      <c r="D580" s="561"/>
      <c r="E580" s="569" t="s">
        <v>36</v>
      </c>
      <c r="F580" s="561"/>
      <c r="G580" s="563"/>
      <c r="H580" s="685" t="s">
        <v>14</v>
      </c>
      <c r="I580" s="683"/>
      <c r="J580" s="683"/>
      <c r="K580" s="684"/>
      <c r="L580" s="571">
        <v>0</v>
      </c>
      <c r="M580" s="572">
        <v>0</v>
      </c>
      <c r="N580" s="572">
        <v>0</v>
      </c>
      <c r="O580" s="572">
        <f t="shared" si="356"/>
        <v>0</v>
      </c>
      <c r="P580" s="572">
        <f t="shared" si="357"/>
        <v>0</v>
      </c>
      <c r="Q580" s="572">
        <v>0</v>
      </c>
      <c r="R580" s="572">
        <v>0</v>
      </c>
      <c r="S580" s="572">
        <v>0</v>
      </c>
      <c r="T580" s="572">
        <f t="shared" si="359"/>
        <v>0</v>
      </c>
      <c r="U580" s="572">
        <f t="shared" si="360"/>
        <v>0</v>
      </c>
    </row>
    <row r="581" spans="1:21" ht="18.75" hidden="1" x14ac:dyDescent="0.25">
      <c r="A581" s="674"/>
      <c r="B581" s="561"/>
      <c r="C581" s="561"/>
      <c r="D581" s="561"/>
      <c r="E581" s="573" t="s">
        <v>37</v>
      </c>
      <c r="F581" s="561"/>
      <c r="G581" s="563"/>
      <c r="H581" s="682" t="s">
        <v>14</v>
      </c>
      <c r="I581" s="683"/>
      <c r="J581" s="683"/>
      <c r="K581" s="684"/>
      <c r="L581" s="567">
        <f ca="1">IFERROR(__xludf.DUMMYFUNCTION("IMPORTRANGE(""https://docs.google.com/spreadsheets/d/1-uDff_7J0KD5mKrp0Vvzr7lt3OU09vwQwhkpOPPYv2Y/edit?usp=sharing"",""งบพรบ!GQ15"")"),0)</f>
        <v>0</v>
      </c>
      <c r="M581" s="568">
        <f ca="1">IFERROR(__xludf.DUMMYFUNCTION("IMPORTRANGE(""https://docs.google.com/spreadsheets/d/1-uDff_7J0KD5mKrp0Vvzr7lt3OU09vwQwhkpOPPYv2Y/edit?usp=sharing"",""งบพรบ!GV15"")"),0)</f>
        <v>0</v>
      </c>
      <c r="N581" s="568">
        <f ca="1">IFERROR(__xludf.DUMMYFUNCTION("IMPORTRANGE(""https://docs.google.com/spreadsheets/d/1-uDff_7J0KD5mKrp0Vvzr7lt3OU09vwQwhkpOPPYv2Y/edit?usp=sharing"",""งบพรบ!GX15"")"),0)</f>
        <v>0</v>
      </c>
      <c r="O581" s="568">
        <f t="shared" ca="1" si="356"/>
        <v>0</v>
      </c>
      <c r="P581" s="568">
        <f t="shared" ca="1" si="357"/>
        <v>0</v>
      </c>
      <c r="Q581" s="568">
        <v>0</v>
      </c>
      <c r="R581" s="568">
        <v>0</v>
      </c>
      <c r="S581" s="568">
        <v>0</v>
      </c>
      <c r="T581" s="568">
        <f t="shared" si="359"/>
        <v>0</v>
      </c>
      <c r="U581" s="568">
        <f t="shared" si="360"/>
        <v>0</v>
      </c>
    </row>
    <row r="582" spans="1:21" ht="18.75" hidden="1" x14ac:dyDescent="0.25">
      <c r="A582" s="674"/>
      <c r="B582" s="561"/>
      <c r="C582" s="561"/>
      <c r="D582" s="562" t="s">
        <v>23</v>
      </c>
      <c r="E582" s="561"/>
      <c r="F582" s="561"/>
      <c r="G582" s="563"/>
      <c r="H582" s="686" t="s">
        <v>14</v>
      </c>
      <c r="I582" s="683"/>
      <c r="J582" s="683"/>
      <c r="K582" s="684"/>
      <c r="L582" s="567">
        <f t="shared" ref="L582:N582" ca="1" si="365">L583+L584</f>
        <v>0</v>
      </c>
      <c r="M582" s="568">
        <f t="shared" ca="1" si="365"/>
        <v>0</v>
      </c>
      <c r="N582" s="568">
        <f t="shared" ca="1" si="365"/>
        <v>0</v>
      </c>
      <c r="O582" s="568">
        <f t="shared" ca="1" si="356"/>
        <v>0</v>
      </c>
      <c r="P582" s="568">
        <f t="shared" ca="1" si="357"/>
        <v>0</v>
      </c>
      <c r="Q582" s="568">
        <f t="shared" ref="Q582:S582" si="366">Q583+Q584</f>
        <v>0</v>
      </c>
      <c r="R582" s="568">
        <f t="shared" si="366"/>
        <v>0</v>
      </c>
      <c r="S582" s="568">
        <f t="shared" si="366"/>
        <v>0</v>
      </c>
      <c r="T582" s="568">
        <f t="shared" si="359"/>
        <v>0</v>
      </c>
      <c r="U582" s="568">
        <f t="shared" si="360"/>
        <v>0</v>
      </c>
    </row>
    <row r="583" spans="1:21" ht="18.75" hidden="1" x14ac:dyDescent="0.25">
      <c r="A583" s="674"/>
      <c r="B583" s="561"/>
      <c r="C583" s="561"/>
      <c r="D583" s="561"/>
      <c r="E583" s="569" t="s">
        <v>20</v>
      </c>
      <c r="F583" s="561"/>
      <c r="G583" s="563"/>
      <c r="H583" s="685" t="s">
        <v>14</v>
      </c>
      <c r="I583" s="683"/>
      <c r="J583" s="683"/>
      <c r="K583" s="684"/>
      <c r="L583" s="571">
        <v>0</v>
      </c>
      <c r="M583" s="572">
        <v>0</v>
      </c>
      <c r="N583" s="572">
        <v>0</v>
      </c>
      <c r="O583" s="572">
        <f t="shared" si="356"/>
        <v>0</v>
      </c>
      <c r="P583" s="572">
        <f t="shared" si="357"/>
        <v>0</v>
      </c>
      <c r="Q583" s="572">
        <v>0</v>
      </c>
      <c r="R583" s="572">
        <v>0</v>
      </c>
      <c r="S583" s="572">
        <v>0</v>
      </c>
      <c r="T583" s="572">
        <f t="shared" si="359"/>
        <v>0</v>
      </c>
      <c r="U583" s="572">
        <f t="shared" si="360"/>
        <v>0</v>
      </c>
    </row>
    <row r="584" spans="1:21" ht="18.75" hidden="1" x14ac:dyDescent="0.25">
      <c r="A584" s="674"/>
      <c r="B584" s="561"/>
      <c r="C584" s="561"/>
      <c r="D584" s="561"/>
      <c r="E584" s="573" t="s">
        <v>21</v>
      </c>
      <c r="F584" s="561"/>
      <c r="G584" s="563"/>
      <c r="H584" s="686" t="s">
        <v>14</v>
      </c>
      <c r="I584" s="683"/>
      <c r="J584" s="683"/>
      <c r="K584" s="684"/>
      <c r="L584" s="567">
        <f ca="1">IFERROR(__xludf.DUMMYFUNCTION("IMPORTRANGE(""https://docs.google.com/spreadsheets/d/1-uDff_7J0KD5mKrp0Vvzr7lt3OU09vwQwhkpOPPYv2Y/edit?usp=sharing"",""งบพรบ!GT15"")"),0)</f>
        <v>0</v>
      </c>
      <c r="M584" s="568">
        <f ca="1">IFERROR(__xludf.DUMMYFUNCTION("IMPORTRANGE(""https://docs.google.com/spreadsheets/d/1-uDff_7J0KD5mKrp0Vvzr7lt3OU09vwQwhkpOPPYv2Y/edit?usp=sharing"",""งบพรบ!GW15"")"),0)</f>
        <v>0</v>
      </c>
      <c r="N584" s="568">
        <f ca="1">IFERROR(__xludf.DUMMYFUNCTION("IMPORTRANGE(""https://docs.google.com/spreadsheets/d/1-uDff_7J0KD5mKrp0Vvzr7lt3OU09vwQwhkpOPPYv2Y/edit?usp=sharing"",""งบพรบ!GY15"")"),0)</f>
        <v>0</v>
      </c>
      <c r="O584" s="568">
        <f t="shared" ca="1" si="356"/>
        <v>0</v>
      </c>
      <c r="P584" s="568">
        <f t="shared" ca="1" si="357"/>
        <v>0</v>
      </c>
      <c r="Q584" s="568">
        <v>0</v>
      </c>
      <c r="R584" s="568">
        <v>0</v>
      </c>
      <c r="S584" s="568">
        <v>0</v>
      </c>
      <c r="T584" s="568">
        <f t="shared" si="359"/>
        <v>0</v>
      </c>
      <c r="U584" s="568">
        <f t="shared" si="360"/>
        <v>0</v>
      </c>
    </row>
    <row r="585" spans="1:21" ht="19.5" hidden="1" x14ac:dyDescent="0.3">
      <c r="A585" s="687"/>
      <c r="B585" s="688"/>
      <c r="C585" s="1034" t="s">
        <v>18</v>
      </c>
      <c r="D585" s="689" t="s">
        <v>38</v>
      </c>
      <c r="E585" s="690"/>
      <c r="F585" s="690"/>
      <c r="G585" s="691"/>
      <c r="H585" s="692"/>
      <c r="I585" s="683"/>
      <c r="J585" s="565"/>
      <c r="K585" s="566"/>
      <c r="L585" s="574"/>
      <c r="M585" s="566"/>
      <c r="N585" s="566"/>
      <c r="O585" s="684"/>
      <c r="P585" s="684"/>
      <c r="Q585" s="566"/>
      <c r="R585" s="566"/>
      <c r="S585" s="566"/>
      <c r="T585" s="684"/>
      <c r="U585" s="684"/>
    </row>
    <row r="586" spans="1:21" ht="12.75" hidden="1" x14ac:dyDescent="0.2">
      <c r="A586" s="973"/>
      <c r="B586" s="974"/>
      <c r="C586" s="961"/>
      <c r="D586" s="974"/>
      <c r="E586" s="961"/>
      <c r="F586" s="974"/>
      <c r="G586" s="975"/>
      <c r="H586" s="975"/>
      <c r="I586" s="963"/>
      <c r="J586" s="963"/>
      <c r="K586" s="964"/>
      <c r="L586" s="965"/>
      <c r="M586" s="964"/>
      <c r="N586" s="964"/>
      <c r="O586" s="964"/>
      <c r="P586" s="964"/>
      <c r="Q586" s="964"/>
      <c r="R586" s="964"/>
      <c r="S586" s="964"/>
      <c r="T586" s="964"/>
      <c r="U586" s="964"/>
    </row>
    <row r="587" spans="1:21" ht="12.75" hidden="1" x14ac:dyDescent="0.2">
      <c r="A587" s="973"/>
      <c r="B587" s="974"/>
      <c r="C587" s="961"/>
      <c r="D587" s="974"/>
      <c r="E587" s="961"/>
      <c r="F587" s="974"/>
      <c r="G587" s="975"/>
      <c r="H587" s="975"/>
      <c r="I587" s="963"/>
      <c r="J587" s="963"/>
      <c r="K587" s="964"/>
      <c r="L587" s="965"/>
      <c r="M587" s="964"/>
      <c r="N587" s="964"/>
      <c r="O587" s="964"/>
      <c r="P587" s="964"/>
      <c r="Q587" s="964"/>
      <c r="R587" s="964"/>
      <c r="S587" s="964"/>
      <c r="T587" s="964"/>
      <c r="U587" s="964"/>
    </row>
    <row r="588" spans="1:21" ht="12.75" hidden="1" x14ac:dyDescent="0.2">
      <c r="A588" s="973"/>
      <c r="B588" s="961"/>
      <c r="C588" s="961"/>
      <c r="D588" s="974"/>
      <c r="E588" s="974"/>
      <c r="F588" s="974"/>
      <c r="G588" s="975"/>
      <c r="H588" s="962"/>
      <c r="I588" s="963"/>
      <c r="J588" s="963"/>
      <c r="K588" s="964"/>
      <c r="L588" s="965"/>
      <c r="M588" s="964"/>
      <c r="N588" s="964"/>
      <c r="O588" s="964"/>
      <c r="P588" s="964"/>
      <c r="Q588" s="964"/>
      <c r="R588" s="964"/>
      <c r="S588" s="964"/>
      <c r="T588" s="964"/>
      <c r="U588" s="964"/>
    </row>
    <row r="589" spans="1:21" ht="12.75" hidden="1" x14ac:dyDescent="0.2">
      <c r="A589" s="973"/>
      <c r="B589" s="961"/>
      <c r="C589" s="961"/>
      <c r="D589" s="974"/>
      <c r="E589" s="974"/>
      <c r="F589" s="974"/>
      <c r="G589" s="975"/>
      <c r="H589" s="962"/>
      <c r="I589" s="963"/>
      <c r="J589" s="963"/>
      <c r="K589" s="964"/>
      <c r="L589" s="965"/>
      <c r="M589" s="964"/>
      <c r="N589" s="964"/>
      <c r="O589" s="964"/>
      <c r="P589" s="964"/>
      <c r="Q589" s="964"/>
      <c r="R589" s="964"/>
      <c r="S589" s="964"/>
      <c r="T589" s="964"/>
      <c r="U589" s="964"/>
    </row>
    <row r="590" spans="1:21" ht="12.75" hidden="1" x14ac:dyDescent="0.2">
      <c r="A590" s="973"/>
      <c r="B590" s="961"/>
      <c r="C590" s="961"/>
      <c r="D590" s="974"/>
      <c r="E590" s="974"/>
      <c r="F590" s="974"/>
      <c r="G590" s="975"/>
      <c r="H590" s="962"/>
      <c r="I590" s="963"/>
      <c r="J590" s="963"/>
      <c r="K590" s="964"/>
      <c r="L590" s="965"/>
      <c r="M590" s="964"/>
      <c r="N590" s="964"/>
      <c r="O590" s="964"/>
      <c r="P590" s="964"/>
      <c r="Q590" s="964"/>
      <c r="R590" s="964"/>
      <c r="S590" s="964"/>
      <c r="T590" s="964"/>
      <c r="U590" s="964"/>
    </row>
    <row r="591" spans="1:21" ht="12.75" hidden="1" x14ac:dyDescent="0.2">
      <c r="A591" s="973"/>
      <c r="B591" s="961"/>
      <c r="C591" s="961"/>
      <c r="D591" s="974"/>
      <c r="E591" s="974"/>
      <c r="F591" s="974"/>
      <c r="G591" s="975"/>
      <c r="H591" s="962"/>
      <c r="I591" s="963"/>
      <c r="J591" s="963"/>
      <c r="K591" s="964"/>
      <c r="L591" s="965"/>
      <c r="M591" s="964"/>
      <c r="N591" s="964"/>
      <c r="O591" s="964"/>
      <c r="P591" s="964"/>
      <c r="Q591" s="964"/>
      <c r="R591" s="964"/>
      <c r="S591" s="964"/>
      <c r="T591" s="964"/>
      <c r="U591" s="964"/>
    </row>
    <row r="592" spans="1:21" ht="12.75" hidden="1" x14ac:dyDescent="0.2">
      <c r="A592" s="973"/>
      <c r="B592" s="961"/>
      <c r="C592" s="961"/>
      <c r="D592" s="974"/>
      <c r="E592" s="974"/>
      <c r="F592" s="974"/>
      <c r="G592" s="975"/>
      <c r="H592" s="962"/>
      <c r="I592" s="963"/>
      <c r="J592" s="963"/>
      <c r="K592" s="964"/>
      <c r="L592" s="965"/>
      <c r="M592" s="964"/>
      <c r="N592" s="964"/>
      <c r="O592" s="964"/>
      <c r="P592" s="964"/>
      <c r="Q592" s="964"/>
      <c r="R592" s="964"/>
      <c r="S592" s="964"/>
      <c r="T592" s="964"/>
      <c r="U592" s="964"/>
    </row>
    <row r="593" spans="1:21" ht="12.75" hidden="1" x14ac:dyDescent="0.2">
      <c r="A593" s="973"/>
      <c r="B593" s="961"/>
      <c r="C593" s="961"/>
      <c r="D593" s="974"/>
      <c r="E593" s="974"/>
      <c r="F593" s="974"/>
      <c r="G593" s="975"/>
      <c r="H593" s="962"/>
      <c r="I593" s="963"/>
      <c r="J593" s="963"/>
      <c r="K593" s="964"/>
      <c r="L593" s="965"/>
      <c r="M593" s="964"/>
      <c r="N593" s="964"/>
      <c r="O593" s="964"/>
      <c r="P593" s="964"/>
      <c r="Q593" s="964"/>
      <c r="R593" s="964"/>
      <c r="S593" s="964"/>
      <c r="T593" s="964"/>
      <c r="U593" s="964"/>
    </row>
    <row r="594" spans="1:21" ht="12.75" hidden="1" x14ac:dyDescent="0.2">
      <c r="A594" s="973"/>
      <c r="B594" s="961"/>
      <c r="C594" s="961"/>
      <c r="D594" s="974"/>
      <c r="E594" s="974"/>
      <c r="F594" s="974"/>
      <c r="G594" s="975"/>
      <c r="H594" s="962"/>
      <c r="I594" s="963"/>
      <c r="J594" s="963"/>
      <c r="K594" s="964"/>
      <c r="L594" s="965"/>
      <c r="M594" s="964"/>
      <c r="N594" s="964"/>
      <c r="O594" s="964"/>
      <c r="P594" s="964"/>
      <c r="Q594" s="964"/>
      <c r="R594" s="964"/>
      <c r="S594" s="964"/>
      <c r="T594" s="964"/>
      <c r="U594" s="964"/>
    </row>
    <row r="595" spans="1:21" ht="12.75" hidden="1" x14ac:dyDescent="0.2">
      <c r="A595" s="1027"/>
      <c r="B595" s="966"/>
      <c r="C595" s="966"/>
      <c r="D595" s="1028"/>
      <c r="E595" s="1028"/>
      <c r="F595" s="1028"/>
      <c r="G595" s="1029"/>
      <c r="H595" s="967"/>
      <c r="I595" s="968"/>
      <c r="J595" s="968"/>
      <c r="K595" s="969"/>
      <c r="L595" s="970"/>
      <c r="M595" s="969"/>
      <c r="N595" s="969"/>
      <c r="O595" s="969"/>
      <c r="P595" s="969"/>
      <c r="Q595" s="969"/>
      <c r="R595" s="969"/>
      <c r="S595" s="969"/>
      <c r="T595" s="969"/>
      <c r="U595" s="969"/>
    </row>
    <row r="596" spans="1:21" ht="19.5" hidden="1" x14ac:dyDescent="0.3">
      <c r="A596" s="1035" t="s">
        <v>213</v>
      </c>
      <c r="B596" s="663"/>
      <c r="C596" s="729"/>
      <c r="D596" s="663"/>
      <c r="E596" s="663"/>
      <c r="F596" s="663"/>
      <c r="G596" s="663"/>
      <c r="H596" s="664"/>
      <c r="I596" s="730"/>
      <c r="J596" s="730"/>
      <c r="K596" s="731"/>
      <c r="L596" s="667"/>
      <c r="M596" s="667"/>
      <c r="N596" s="667"/>
      <c r="O596" s="667"/>
      <c r="P596" s="667"/>
      <c r="Q596" s="667"/>
      <c r="R596" s="667"/>
      <c r="S596" s="667"/>
      <c r="T596" s="667"/>
      <c r="U596" s="667"/>
    </row>
    <row r="597" spans="1:21" ht="19.5" hidden="1" x14ac:dyDescent="0.3">
      <c r="A597" s="669"/>
      <c r="B597" s="1036" t="s">
        <v>214</v>
      </c>
      <c r="C597" s="716"/>
      <c r="D597" s="670"/>
      <c r="E597" s="543"/>
      <c r="F597" s="543"/>
      <c r="G597" s="543"/>
      <c r="H597" s="1037" t="s">
        <v>99</v>
      </c>
      <c r="I597" s="732"/>
      <c r="J597" s="548"/>
      <c r="K597" s="549"/>
      <c r="L597" s="673"/>
      <c r="M597" s="549"/>
      <c r="N597" s="549"/>
      <c r="O597" s="549"/>
      <c r="P597" s="549"/>
      <c r="Q597" s="549"/>
      <c r="R597" s="549"/>
      <c r="S597" s="549"/>
      <c r="T597" s="549"/>
      <c r="U597" s="549"/>
    </row>
    <row r="598" spans="1:21" ht="19.5" hidden="1" x14ac:dyDescent="0.3">
      <c r="A598" s="1038"/>
      <c r="B598" s="1039" t="s">
        <v>215</v>
      </c>
      <c r="C598" s="670"/>
      <c r="D598" s="543"/>
      <c r="E598" s="543"/>
      <c r="F598" s="543"/>
      <c r="G598" s="546"/>
      <c r="H598" s="1040" t="s">
        <v>35</v>
      </c>
      <c r="I598" s="548"/>
      <c r="J598" s="548"/>
      <c r="K598" s="549"/>
      <c r="L598" s="673"/>
      <c r="M598" s="549"/>
      <c r="N598" s="549"/>
      <c r="O598" s="549"/>
      <c r="P598" s="549"/>
      <c r="Q598" s="549"/>
      <c r="R598" s="549"/>
      <c r="S598" s="549"/>
      <c r="T598" s="549"/>
      <c r="U598" s="549"/>
    </row>
    <row r="599" spans="1:21" ht="19.5" hidden="1" x14ac:dyDescent="0.3">
      <c r="A599" s="674"/>
      <c r="B599" s="718"/>
      <c r="C599" s="724" t="s">
        <v>18</v>
      </c>
      <c r="D599" s="1315" t="s">
        <v>19</v>
      </c>
      <c r="E599" s="1311"/>
      <c r="F599" s="1311"/>
      <c r="G599" s="1312"/>
      <c r="H599" s="799" t="s">
        <v>14</v>
      </c>
      <c r="I599" s="565"/>
      <c r="J599" s="565"/>
      <c r="K599" s="566"/>
      <c r="L599" s="678">
        <f t="shared" ref="L599:N599" ca="1" si="367">L600+L601</f>
        <v>0</v>
      </c>
      <c r="M599" s="679">
        <f t="shared" ca="1" si="367"/>
        <v>0</v>
      </c>
      <c r="N599" s="679">
        <f t="shared" ca="1" si="367"/>
        <v>0</v>
      </c>
      <c r="O599" s="679">
        <f t="shared" ref="O599:O607" ca="1" si="368">IF(L599&gt;0,N599*100/L599,0)</f>
        <v>0</v>
      </c>
      <c r="P599" s="679">
        <f t="shared" ref="P599:P607" ca="1" si="369">IF(M599&gt;0,N599*100/M599,0)</f>
        <v>0</v>
      </c>
      <c r="Q599" s="679">
        <f t="shared" ref="Q599:S599" ca="1" si="370">Q600+Q601</f>
        <v>0</v>
      </c>
      <c r="R599" s="679">
        <f t="shared" ca="1" si="370"/>
        <v>0</v>
      </c>
      <c r="S599" s="679">
        <f t="shared" ca="1" si="370"/>
        <v>0</v>
      </c>
      <c r="T599" s="679">
        <f t="shared" ref="T599:T607" ca="1" si="371">IF(Q599&gt;0,S599*100/Q599,0)</f>
        <v>0</v>
      </c>
      <c r="U599" s="679">
        <f t="shared" ref="U599:U607" ca="1" si="372">IF(R599&gt;0,S599*100/R599,0)</f>
        <v>0</v>
      </c>
    </row>
    <row r="600" spans="1:21" ht="18.75" hidden="1" x14ac:dyDescent="0.25">
      <c r="A600" s="674"/>
      <c r="B600" s="718"/>
      <c r="C600" s="718"/>
      <c r="D600" s="695"/>
      <c r="E600" s="569" t="s">
        <v>158</v>
      </c>
      <c r="F600" s="561"/>
      <c r="G600" s="563"/>
      <c r="H600" s="685" t="s">
        <v>14</v>
      </c>
      <c r="I600" s="565"/>
      <c r="J600" s="565"/>
      <c r="K600" s="566"/>
      <c r="L600" s="571">
        <f t="shared" ref="L600:N601" si="373">L603+L606</f>
        <v>0</v>
      </c>
      <c r="M600" s="572">
        <f t="shared" si="373"/>
        <v>0</v>
      </c>
      <c r="N600" s="572">
        <f t="shared" si="373"/>
        <v>0</v>
      </c>
      <c r="O600" s="572">
        <f t="shared" si="368"/>
        <v>0</v>
      </c>
      <c r="P600" s="572">
        <f t="shared" si="369"/>
        <v>0</v>
      </c>
      <c r="Q600" s="572">
        <f t="shared" ref="Q600:S601" si="374">Q603+Q606</f>
        <v>0</v>
      </c>
      <c r="R600" s="572">
        <f t="shared" si="374"/>
        <v>0</v>
      </c>
      <c r="S600" s="572">
        <f t="shared" si="374"/>
        <v>0</v>
      </c>
      <c r="T600" s="572">
        <f t="shared" si="371"/>
        <v>0</v>
      </c>
      <c r="U600" s="572">
        <f t="shared" si="372"/>
        <v>0</v>
      </c>
    </row>
    <row r="601" spans="1:21" ht="18.75" hidden="1" x14ac:dyDescent="0.25">
      <c r="A601" s="674"/>
      <c r="B601" s="718"/>
      <c r="C601" s="718"/>
      <c r="D601" s="695"/>
      <c r="E601" s="569" t="s">
        <v>159</v>
      </c>
      <c r="F601" s="561"/>
      <c r="G601" s="563"/>
      <c r="H601" s="685" t="s">
        <v>14</v>
      </c>
      <c r="I601" s="565"/>
      <c r="J601" s="565"/>
      <c r="K601" s="566"/>
      <c r="L601" s="567">
        <f t="shared" ca="1" si="373"/>
        <v>0</v>
      </c>
      <c r="M601" s="568">
        <f t="shared" ca="1" si="373"/>
        <v>0</v>
      </c>
      <c r="N601" s="568">
        <f t="shared" ca="1" si="373"/>
        <v>0</v>
      </c>
      <c r="O601" s="568">
        <f t="shared" ca="1" si="368"/>
        <v>0</v>
      </c>
      <c r="P601" s="568">
        <f t="shared" ca="1" si="369"/>
        <v>0</v>
      </c>
      <c r="Q601" s="568">
        <f t="shared" ca="1" si="374"/>
        <v>0</v>
      </c>
      <c r="R601" s="568">
        <f t="shared" ca="1" si="374"/>
        <v>0</v>
      </c>
      <c r="S601" s="568">
        <f t="shared" ca="1" si="374"/>
        <v>0</v>
      </c>
      <c r="T601" s="568">
        <f t="shared" ca="1" si="371"/>
        <v>0</v>
      </c>
      <c r="U601" s="568">
        <f t="shared" ca="1" si="372"/>
        <v>0</v>
      </c>
    </row>
    <row r="602" spans="1:21" ht="19.5" hidden="1" x14ac:dyDescent="0.3">
      <c r="A602" s="674"/>
      <c r="B602" s="718"/>
      <c r="C602" s="718"/>
      <c r="D602" s="798" t="s">
        <v>22</v>
      </c>
      <c r="E602" s="561"/>
      <c r="F602" s="561"/>
      <c r="G602" s="563"/>
      <c r="H602" s="799" t="s">
        <v>14</v>
      </c>
      <c r="I602" s="683"/>
      <c r="J602" s="683"/>
      <c r="K602" s="684"/>
      <c r="L602" s="567">
        <f t="shared" ref="L602:N602" ca="1" si="375">L603+L604</f>
        <v>0</v>
      </c>
      <c r="M602" s="568">
        <f t="shared" ca="1" si="375"/>
        <v>0</v>
      </c>
      <c r="N602" s="568">
        <f t="shared" ca="1" si="375"/>
        <v>0</v>
      </c>
      <c r="O602" s="568">
        <f t="shared" ca="1" si="368"/>
        <v>0</v>
      </c>
      <c r="P602" s="568">
        <f t="shared" ca="1" si="369"/>
        <v>0</v>
      </c>
      <c r="Q602" s="568">
        <f t="shared" ref="Q602:S602" ca="1" si="376">Q603+Q604</f>
        <v>0</v>
      </c>
      <c r="R602" s="568">
        <f t="shared" ca="1" si="376"/>
        <v>0</v>
      </c>
      <c r="S602" s="568">
        <f t="shared" ca="1" si="376"/>
        <v>0</v>
      </c>
      <c r="T602" s="568">
        <f t="shared" ca="1" si="371"/>
        <v>0</v>
      </c>
      <c r="U602" s="568">
        <f t="shared" ca="1" si="372"/>
        <v>0</v>
      </c>
    </row>
    <row r="603" spans="1:21" ht="18.75" hidden="1" x14ac:dyDescent="0.25">
      <c r="A603" s="674"/>
      <c r="B603" s="718"/>
      <c r="C603" s="718"/>
      <c r="D603" s="695"/>
      <c r="E603" s="569" t="s">
        <v>158</v>
      </c>
      <c r="F603" s="561"/>
      <c r="G603" s="563"/>
      <c r="H603" s="685" t="s">
        <v>14</v>
      </c>
      <c r="I603" s="565"/>
      <c r="J603" s="565"/>
      <c r="K603" s="566"/>
      <c r="L603" s="571">
        <v>0</v>
      </c>
      <c r="M603" s="572">
        <v>0</v>
      </c>
      <c r="N603" s="572">
        <v>0</v>
      </c>
      <c r="O603" s="572">
        <f t="shared" si="368"/>
        <v>0</v>
      </c>
      <c r="P603" s="572">
        <f t="shared" si="369"/>
        <v>0</v>
      </c>
      <c r="Q603" s="572">
        <v>0</v>
      </c>
      <c r="R603" s="572">
        <v>0</v>
      </c>
      <c r="S603" s="572">
        <v>0</v>
      </c>
      <c r="T603" s="572">
        <f t="shared" si="371"/>
        <v>0</v>
      </c>
      <c r="U603" s="572">
        <f t="shared" si="372"/>
        <v>0</v>
      </c>
    </row>
    <row r="604" spans="1:21" ht="18.75" hidden="1" x14ac:dyDescent="0.25">
      <c r="A604" s="674"/>
      <c r="B604" s="718"/>
      <c r="C604" s="718"/>
      <c r="D604" s="695"/>
      <c r="E604" s="569" t="s">
        <v>159</v>
      </c>
      <c r="F604" s="561"/>
      <c r="G604" s="563"/>
      <c r="H604" s="685" t="s">
        <v>14</v>
      </c>
      <c r="I604" s="565"/>
      <c r="J604" s="565"/>
      <c r="K604" s="566"/>
      <c r="L604" s="567">
        <f ca="1">IFERROR(__xludf.DUMMYFUNCTION("IMPORTRANGE(""https://docs.google.com/spreadsheets/d/1-uDff_7J0KD5mKrp0Vvzr7lt3OU09vwQwhkpOPPYv2Y/edit?usp=sharing"",""งบพรบ!HK15"")"),0)</f>
        <v>0</v>
      </c>
      <c r="M604" s="568">
        <f ca="1">IFERROR(__xludf.DUMMYFUNCTION("IMPORTRANGE(""https://docs.google.com/spreadsheets/d/1-uDff_7J0KD5mKrp0Vvzr7lt3OU09vwQwhkpOPPYv2Y/edit?usp=sharing"",""งบพรบ!HP15"")"),0)</f>
        <v>0</v>
      </c>
      <c r="N604" s="568">
        <f ca="1">IFERROR(__xludf.DUMMYFUNCTION("IMPORTRANGE(""https://docs.google.com/spreadsheets/d/1-uDff_7J0KD5mKrp0Vvzr7lt3OU09vwQwhkpOPPYv2Y/edit?usp=sharing"",""งบพรบ!HR15"")"),0)</f>
        <v>0</v>
      </c>
      <c r="O604" s="568">
        <f t="shared" ca="1" si="368"/>
        <v>0</v>
      </c>
      <c r="P604" s="568">
        <f t="shared" ca="1" si="369"/>
        <v>0</v>
      </c>
      <c r="Q604" s="568">
        <f ca="1">IFERROR(__xludf.DUMMYFUNCTION("IMPORTRANGE(""https://docs.google.com/spreadsheets/d/1ItG2mGa2ceCfYo0BwxsXqNm01IGEUdYcSSLTEv9YCik/edit?usp=sharing"",""เบิกจ่ายกองทุน!AV15"")"),0)</f>
        <v>0</v>
      </c>
      <c r="R604" s="568">
        <f ca="1">IFERROR(__xludf.DUMMYFUNCTION("IMPORTRANGE(""https://docs.google.com/spreadsheets/d/1ItG2mGa2ceCfYo0BwxsXqNm01IGEUdYcSSLTEv9YCik/edit?usp=sharing"",""เบิกจ่ายกองทุน!AW15"")"),0)</f>
        <v>0</v>
      </c>
      <c r="S604" s="568">
        <f ca="1">IFERROR(__xludf.DUMMYFUNCTION("IMPORTRANGE(""https://docs.google.com/spreadsheets/d/1ItG2mGa2ceCfYo0BwxsXqNm01IGEUdYcSSLTEv9YCik/edit?usp=sharing"",""เบิกจ่ายกองทุน!AX15"")"),0)</f>
        <v>0</v>
      </c>
      <c r="T604" s="568">
        <f t="shared" ca="1" si="371"/>
        <v>0</v>
      </c>
      <c r="U604" s="568">
        <f t="shared" ca="1" si="372"/>
        <v>0</v>
      </c>
    </row>
    <row r="605" spans="1:21" ht="19.5" hidden="1" x14ac:dyDescent="0.3">
      <c r="A605" s="674"/>
      <c r="B605" s="718"/>
      <c r="C605" s="718"/>
      <c r="D605" s="798" t="s">
        <v>23</v>
      </c>
      <c r="E605" s="718"/>
      <c r="F605" s="561"/>
      <c r="G605" s="563"/>
      <c r="H605" s="1041" t="s">
        <v>14</v>
      </c>
      <c r="I605" s="683"/>
      <c r="J605" s="683"/>
      <c r="K605" s="684"/>
      <c r="L605" s="567">
        <f t="shared" ref="L605:N605" ca="1" si="377">L606+L607</f>
        <v>0</v>
      </c>
      <c r="M605" s="568">
        <f t="shared" ca="1" si="377"/>
        <v>0</v>
      </c>
      <c r="N605" s="568">
        <f t="shared" ca="1" si="377"/>
        <v>0</v>
      </c>
      <c r="O605" s="568">
        <f t="shared" ca="1" si="368"/>
        <v>0</v>
      </c>
      <c r="P605" s="568">
        <f t="shared" ca="1" si="369"/>
        <v>0</v>
      </c>
      <c r="Q605" s="568">
        <f t="shared" ref="Q605:S605" ca="1" si="378">Q606+Q607</f>
        <v>0</v>
      </c>
      <c r="R605" s="568">
        <f t="shared" ca="1" si="378"/>
        <v>0</v>
      </c>
      <c r="S605" s="568">
        <f t="shared" ca="1" si="378"/>
        <v>0</v>
      </c>
      <c r="T605" s="568">
        <f t="shared" ca="1" si="371"/>
        <v>0</v>
      </c>
      <c r="U605" s="568">
        <f t="shared" ca="1" si="372"/>
        <v>0</v>
      </c>
    </row>
    <row r="606" spans="1:21" ht="18.75" hidden="1" x14ac:dyDescent="0.25">
      <c r="A606" s="674"/>
      <c r="B606" s="718"/>
      <c r="C606" s="718"/>
      <c r="D606" s="718"/>
      <c r="E606" s="767" t="s">
        <v>20</v>
      </c>
      <c r="F606" s="561"/>
      <c r="G606" s="563"/>
      <c r="H606" s="685" t="s">
        <v>14</v>
      </c>
      <c r="I606" s="683"/>
      <c r="J606" s="683"/>
      <c r="K606" s="684"/>
      <c r="L606" s="571">
        <v>0</v>
      </c>
      <c r="M606" s="572">
        <v>0</v>
      </c>
      <c r="N606" s="572">
        <v>0</v>
      </c>
      <c r="O606" s="572">
        <f t="shared" si="368"/>
        <v>0</v>
      </c>
      <c r="P606" s="572">
        <f t="shared" si="369"/>
        <v>0</v>
      </c>
      <c r="Q606" s="572">
        <v>0</v>
      </c>
      <c r="R606" s="572">
        <v>0</v>
      </c>
      <c r="S606" s="572">
        <v>0</v>
      </c>
      <c r="T606" s="572">
        <f t="shared" si="371"/>
        <v>0</v>
      </c>
      <c r="U606" s="572">
        <f t="shared" si="372"/>
        <v>0</v>
      </c>
    </row>
    <row r="607" spans="1:21" ht="18.75" hidden="1" x14ac:dyDescent="0.25">
      <c r="A607" s="674"/>
      <c r="B607" s="718"/>
      <c r="C607" s="718"/>
      <c r="D607" s="561"/>
      <c r="E607" s="767" t="s">
        <v>21</v>
      </c>
      <c r="F607" s="561"/>
      <c r="G607" s="563"/>
      <c r="H607" s="734" t="s">
        <v>14</v>
      </c>
      <c r="I607" s="683"/>
      <c r="J607" s="683"/>
      <c r="K607" s="684"/>
      <c r="L607" s="567">
        <f ca="1">IFERROR(__xludf.DUMMYFUNCTION("IMPORTRANGE(""https://docs.google.com/spreadsheets/d/1-uDff_7J0KD5mKrp0Vvzr7lt3OU09vwQwhkpOPPYv2Y/edit?usp=sharing"",""งบพรบ!HN15"")"),0)</f>
        <v>0</v>
      </c>
      <c r="M607" s="568">
        <f ca="1">IFERROR(__xludf.DUMMYFUNCTION("IMPORTRANGE(""https://docs.google.com/spreadsheets/d/1-uDff_7J0KD5mKrp0Vvzr7lt3OU09vwQwhkpOPPYv2Y/edit?usp=sharing"",""งบพรบ!HQ15"")"),0)</f>
        <v>0</v>
      </c>
      <c r="N607" s="568">
        <f ca="1">IFERROR(__xludf.DUMMYFUNCTION("IMPORTRANGE(""https://docs.google.com/spreadsheets/d/1-uDff_7J0KD5mKrp0Vvzr7lt3OU09vwQwhkpOPPYv2Y/edit?usp=sharing"",""งบพรบ!HS15"")"),0)</f>
        <v>0</v>
      </c>
      <c r="O607" s="568">
        <f t="shared" ca="1" si="368"/>
        <v>0</v>
      </c>
      <c r="P607" s="568">
        <f t="shared" ca="1" si="369"/>
        <v>0</v>
      </c>
      <c r="Q607" s="568">
        <f ca="1">IFERROR(__xludf.DUMMYFUNCTION("IMPORTRANGE(""https://docs.google.com/spreadsheets/d/1ItG2mGa2ceCfYo0BwxsXqNm01IGEUdYcSSLTEv9YCik/edit?usp=sharing"",""เบิกจ่ายกองทุน!AY15"")"),0)</f>
        <v>0</v>
      </c>
      <c r="R607" s="568">
        <f ca="1">IFERROR(__xludf.DUMMYFUNCTION("IMPORTRANGE(""https://docs.google.com/spreadsheets/d/1ItG2mGa2ceCfYo0BwxsXqNm01IGEUdYcSSLTEv9YCik/edit?usp=sharing"",""เบิกจ่ายกองทุน!AZ15"")"),0)</f>
        <v>0</v>
      </c>
      <c r="S607" s="568">
        <f ca="1">IFERROR(__xludf.DUMMYFUNCTION("IMPORTRANGE(""https://docs.google.com/spreadsheets/d/1ItG2mGa2ceCfYo0BwxsXqNm01IGEUdYcSSLTEv9YCik/edit?usp=sharing"",""เบิกจ่ายกองทุน!BA15"")"),0)</f>
        <v>0</v>
      </c>
      <c r="T607" s="568">
        <f t="shared" ca="1" si="371"/>
        <v>0</v>
      </c>
      <c r="U607" s="568">
        <f t="shared" ca="1" si="372"/>
        <v>0</v>
      </c>
    </row>
    <row r="608" spans="1:21" ht="19.5" hidden="1" x14ac:dyDescent="0.3">
      <c r="A608" s="687"/>
      <c r="B608" s="688"/>
      <c r="C608" s="724" t="s">
        <v>18</v>
      </c>
      <c r="D608" s="801" t="s">
        <v>38</v>
      </c>
      <c r="E608" s="690"/>
      <c r="F608" s="690"/>
      <c r="G608" s="691"/>
      <c r="H608" s="725"/>
      <c r="I608" s="683"/>
      <c r="J608" s="683"/>
      <c r="K608" s="684"/>
      <c r="L608" s="574"/>
      <c r="M608" s="566"/>
      <c r="N608" s="566"/>
      <c r="O608" s="566"/>
      <c r="P608" s="566"/>
      <c r="Q608" s="566"/>
      <c r="R608" s="566"/>
      <c r="S608" s="566"/>
      <c r="T608" s="566"/>
      <c r="U608" s="566"/>
    </row>
    <row r="609" spans="1:21" ht="18.75" hidden="1" x14ac:dyDescent="0.25">
      <c r="A609" s="687"/>
      <c r="B609" s="688"/>
      <c r="C609" s="688"/>
      <c r="D609" s="1042" t="s">
        <v>216</v>
      </c>
      <c r="E609" s="695"/>
      <c r="F609" s="695"/>
      <c r="G609" s="692"/>
      <c r="H609" s="685" t="s">
        <v>99</v>
      </c>
      <c r="I609" s="565"/>
      <c r="J609" s="565"/>
      <c r="K609" s="684"/>
      <c r="L609" s="574"/>
      <c r="M609" s="566"/>
      <c r="N609" s="566"/>
      <c r="O609" s="566"/>
      <c r="P609" s="566"/>
      <c r="Q609" s="566"/>
      <c r="R609" s="566"/>
      <c r="S609" s="566"/>
      <c r="T609" s="566"/>
      <c r="U609" s="566"/>
    </row>
    <row r="610" spans="1:21" ht="19.5" hidden="1" x14ac:dyDescent="0.3">
      <c r="A610" s="687"/>
      <c r="B610" s="688"/>
      <c r="C610" s="688"/>
      <c r="D610" s="1042" t="s">
        <v>217</v>
      </c>
      <c r="E610" s="695"/>
      <c r="F610" s="695"/>
      <c r="G610" s="692"/>
      <c r="H610" s="799" t="s">
        <v>35</v>
      </c>
      <c r="I610" s="565"/>
      <c r="J610" s="565"/>
      <c r="K610" s="684"/>
      <c r="L610" s="574"/>
      <c r="M610" s="566"/>
      <c r="N610" s="566"/>
      <c r="O610" s="566"/>
      <c r="P610" s="566"/>
      <c r="Q610" s="566"/>
      <c r="R610" s="566"/>
      <c r="S610" s="566"/>
      <c r="T610" s="566"/>
      <c r="U610" s="566"/>
    </row>
    <row r="611" spans="1:21" ht="18.75" hidden="1" x14ac:dyDescent="0.25">
      <c r="A611" s="687"/>
      <c r="B611" s="688"/>
      <c r="C611" s="688"/>
      <c r="D611" s="688"/>
      <c r="E611" s="1042" t="s">
        <v>218</v>
      </c>
      <c r="F611" s="695"/>
      <c r="G611" s="692"/>
      <c r="H611" s="734" t="s">
        <v>35</v>
      </c>
      <c r="I611" s="565"/>
      <c r="J611" s="565"/>
      <c r="K611" s="684"/>
      <c r="L611" s="574"/>
      <c r="M611" s="566"/>
      <c r="N611" s="566"/>
      <c r="O611" s="566"/>
      <c r="P611" s="566"/>
      <c r="Q611" s="566"/>
      <c r="R611" s="566"/>
      <c r="S611" s="566"/>
      <c r="T611" s="566"/>
      <c r="U611" s="566"/>
    </row>
    <row r="612" spans="1:21" ht="19.5" hidden="1" thickBot="1" x14ac:dyDescent="0.3">
      <c r="A612" s="1043"/>
      <c r="B612" s="1044"/>
      <c r="C612" s="1044"/>
      <c r="D612" s="1044"/>
      <c r="E612" s="1045" t="s">
        <v>219</v>
      </c>
      <c r="F612" s="1046"/>
      <c r="G612" s="1047"/>
      <c r="H612" s="1048" t="s">
        <v>35</v>
      </c>
      <c r="I612" s="1049"/>
      <c r="J612" s="1049"/>
      <c r="K612" s="1050"/>
      <c r="L612" s="1051"/>
      <c r="M612" s="1052"/>
      <c r="N612" s="1052"/>
      <c r="O612" s="1052"/>
      <c r="P612" s="1052"/>
      <c r="Q612" s="1052"/>
      <c r="R612" s="1052"/>
      <c r="S612" s="1052"/>
      <c r="T612" s="1052"/>
      <c r="U612" s="1052"/>
    </row>
    <row r="613" spans="1:21" ht="19.5" x14ac:dyDescent="0.3">
      <c r="A613" s="1053" t="s">
        <v>220</v>
      </c>
      <c r="B613" s="1054"/>
      <c r="C613" s="1054"/>
      <c r="D613" s="1055"/>
      <c r="E613" s="1055"/>
      <c r="F613" s="1055"/>
      <c r="G613" s="1056"/>
      <c r="H613" s="1057"/>
      <c r="I613" s="1058"/>
      <c r="J613" s="1058"/>
      <c r="K613" s="1059"/>
      <c r="L613" s="1060"/>
      <c r="M613" s="1059"/>
      <c r="N613" s="1059"/>
      <c r="O613" s="1059"/>
      <c r="P613" s="1059"/>
      <c r="Q613" s="1059"/>
      <c r="R613" s="1059"/>
      <c r="S613" s="1059"/>
      <c r="T613" s="1059"/>
      <c r="U613" s="1059"/>
    </row>
    <row r="614" spans="1:21" ht="19.5" x14ac:dyDescent="0.3">
      <c r="A614" s="1061"/>
      <c r="B614" s="1062" t="s">
        <v>221</v>
      </c>
      <c r="C614" s="1061"/>
      <c r="D614" s="1063"/>
      <c r="E614" s="1063"/>
      <c r="F614" s="1063"/>
      <c r="G614" s="1064"/>
      <c r="H614" s="1065"/>
      <c r="I614" s="1066"/>
      <c r="J614" s="1066"/>
      <c r="K614" s="1067"/>
      <c r="L614" s="1068"/>
      <c r="M614" s="1067"/>
      <c r="N614" s="1067"/>
      <c r="O614" s="1067"/>
      <c r="P614" s="1067"/>
      <c r="Q614" s="1067"/>
      <c r="R614" s="1067"/>
      <c r="S614" s="1067"/>
      <c r="T614" s="1067"/>
      <c r="U614" s="1067"/>
    </row>
    <row r="615" spans="1:21" ht="19.5" x14ac:dyDescent="0.3">
      <c r="A615" s="1069"/>
      <c r="B615" s="1070" t="s">
        <v>222</v>
      </c>
      <c r="C615" s="1069"/>
      <c r="D615" s="1071"/>
      <c r="E615" s="1071"/>
      <c r="F615" s="1071"/>
      <c r="G615" s="1072"/>
      <c r="H615" s="1073" t="s">
        <v>46</v>
      </c>
      <c r="I615" s="1074">
        <f t="shared" ref="I615:J615" ca="1" si="379">I626</f>
        <v>200</v>
      </c>
      <c r="J615" s="1074">
        <f t="shared" si="379"/>
        <v>0</v>
      </c>
      <c r="K615" s="1075">
        <f ca="1">IF(I615&gt;0,J615*100/I615,0)</f>
        <v>0</v>
      </c>
      <c r="L615" s="1076"/>
      <c r="M615" s="1077"/>
      <c r="N615" s="1077"/>
      <c r="O615" s="1077"/>
      <c r="P615" s="1077"/>
      <c r="Q615" s="1077"/>
      <c r="R615" s="1077"/>
      <c r="S615" s="1077"/>
      <c r="T615" s="1077"/>
      <c r="U615" s="1077"/>
    </row>
    <row r="616" spans="1:21" ht="19.5" x14ac:dyDescent="0.3">
      <c r="A616" s="674"/>
      <c r="B616" s="718"/>
      <c r="C616" s="724" t="s">
        <v>18</v>
      </c>
      <c r="D616" s="1310" t="s">
        <v>19</v>
      </c>
      <c r="E616" s="1311"/>
      <c r="F616" s="1311"/>
      <c r="G616" s="1312"/>
      <c r="H616" s="780" t="s">
        <v>14</v>
      </c>
      <c r="I616" s="565"/>
      <c r="J616" s="565"/>
      <c r="K616" s="566"/>
      <c r="L616" s="678">
        <f t="shared" ref="L616:N616" si="380">L617+L618</f>
        <v>0</v>
      </c>
      <c r="M616" s="679">
        <f t="shared" si="380"/>
        <v>0</v>
      </c>
      <c r="N616" s="679">
        <f t="shared" si="380"/>
        <v>0</v>
      </c>
      <c r="O616" s="679">
        <f t="shared" ref="O616:O624" si="381">IF(L616&gt;0,N616*100/L616,0)</f>
        <v>0</v>
      </c>
      <c r="P616" s="679">
        <f t="shared" ref="P616:P624" si="382">IF(M616&gt;0,N616*100/M616,0)</f>
        <v>0</v>
      </c>
      <c r="Q616" s="679">
        <f t="shared" ref="Q616:S616" ca="1" si="383">Q617+Q618</f>
        <v>21950</v>
      </c>
      <c r="R616" s="679">
        <f t="shared" ca="1" si="383"/>
        <v>21950</v>
      </c>
      <c r="S616" s="679">
        <f t="shared" ca="1" si="383"/>
        <v>0</v>
      </c>
      <c r="T616" s="679">
        <f t="shared" ref="T616:T624" ca="1" si="384">IF(Q616&gt;0,S616*100/Q616,0)</f>
        <v>0</v>
      </c>
      <c r="U616" s="679">
        <f t="shared" ref="U616:U624" ca="1" si="385">IF(R616&gt;0,S616*100/R616,0)</f>
        <v>0</v>
      </c>
    </row>
    <row r="617" spans="1:21" ht="18.75" x14ac:dyDescent="0.25">
      <c r="A617" s="674"/>
      <c r="B617" s="718"/>
      <c r="C617" s="718"/>
      <c r="D617" s="695"/>
      <c r="E617" s="569" t="s">
        <v>158</v>
      </c>
      <c r="F617" s="561"/>
      <c r="G617" s="563"/>
      <c r="H617" s="685" t="s">
        <v>14</v>
      </c>
      <c r="I617" s="565"/>
      <c r="J617" s="565"/>
      <c r="K617" s="566"/>
      <c r="L617" s="571">
        <f t="shared" ref="L617:N618" si="386">L620+L623</f>
        <v>0</v>
      </c>
      <c r="M617" s="572">
        <f t="shared" si="386"/>
        <v>0</v>
      </c>
      <c r="N617" s="572">
        <f t="shared" si="386"/>
        <v>0</v>
      </c>
      <c r="O617" s="572">
        <f t="shared" si="381"/>
        <v>0</v>
      </c>
      <c r="P617" s="572">
        <f t="shared" si="382"/>
        <v>0</v>
      </c>
      <c r="Q617" s="572">
        <f t="shared" ref="Q617:S618" si="387">Q620+Q623</f>
        <v>0</v>
      </c>
      <c r="R617" s="572">
        <f t="shared" si="387"/>
        <v>0</v>
      </c>
      <c r="S617" s="572">
        <f t="shared" si="387"/>
        <v>0</v>
      </c>
      <c r="T617" s="572">
        <f t="shared" si="384"/>
        <v>0</v>
      </c>
      <c r="U617" s="572">
        <f t="shared" si="385"/>
        <v>0</v>
      </c>
    </row>
    <row r="618" spans="1:21" ht="18.75" x14ac:dyDescent="0.25">
      <c r="A618" s="674"/>
      <c r="B618" s="718"/>
      <c r="C618" s="718"/>
      <c r="D618" s="695"/>
      <c r="E618" s="573" t="s">
        <v>159</v>
      </c>
      <c r="F618" s="561"/>
      <c r="G618" s="563"/>
      <c r="H618" s="682" t="s">
        <v>14</v>
      </c>
      <c r="I618" s="565"/>
      <c r="J618" s="565"/>
      <c r="K618" s="566"/>
      <c r="L618" s="567">
        <f t="shared" si="386"/>
        <v>0</v>
      </c>
      <c r="M618" s="568">
        <f t="shared" si="386"/>
        <v>0</v>
      </c>
      <c r="N618" s="568">
        <f t="shared" si="386"/>
        <v>0</v>
      </c>
      <c r="O618" s="568">
        <f t="shared" si="381"/>
        <v>0</v>
      </c>
      <c r="P618" s="568">
        <f t="shared" si="382"/>
        <v>0</v>
      </c>
      <c r="Q618" s="568">
        <f t="shared" ca="1" si="387"/>
        <v>21950</v>
      </c>
      <c r="R618" s="568">
        <f t="shared" ca="1" si="387"/>
        <v>21950</v>
      </c>
      <c r="S618" s="568">
        <f t="shared" ca="1" si="387"/>
        <v>0</v>
      </c>
      <c r="T618" s="568">
        <f t="shared" ca="1" si="384"/>
        <v>0</v>
      </c>
      <c r="U618" s="568">
        <f t="shared" ca="1" si="385"/>
        <v>0</v>
      </c>
    </row>
    <row r="619" spans="1:21" ht="18.75" x14ac:dyDescent="0.25">
      <c r="A619" s="674"/>
      <c r="B619" s="718"/>
      <c r="C619" s="718"/>
      <c r="D619" s="562" t="s">
        <v>22</v>
      </c>
      <c r="E619" s="561"/>
      <c r="F619" s="561"/>
      <c r="G619" s="563"/>
      <c r="H619" s="682" t="s">
        <v>14</v>
      </c>
      <c r="I619" s="683"/>
      <c r="J619" s="683"/>
      <c r="K619" s="684"/>
      <c r="L619" s="567">
        <f t="shared" ref="L619:N619" si="388">L620+L621</f>
        <v>0</v>
      </c>
      <c r="M619" s="568">
        <f t="shared" si="388"/>
        <v>0</v>
      </c>
      <c r="N619" s="568">
        <f t="shared" si="388"/>
        <v>0</v>
      </c>
      <c r="O619" s="568">
        <f t="shared" si="381"/>
        <v>0</v>
      </c>
      <c r="P619" s="568">
        <f t="shared" si="382"/>
        <v>0</v>
      </c>
      <c r="Q619" s="568">
        <f t="shared" ref="Q619:S619" ca="1" si="389">Q620+Q621</f>
        <v>21950</v>
      </c>
      <c r="R619" s="568">
        <f t="shared" ca="1" si="389"/>
        <v>21950</v>
      </c>
      <c r="S619" s="568">
        <f t="shared" ca="1" si="389"/>
        <v>0</v>
      </c>
      <c r="T619" s="568">
        <f t="shared" ca="1" si="384"/>
        <v>0</v>
      </c>
      <c r="U619" s="568">
        <f t="shared" ca="1" si="385"/>
        <v>0</v>
      </c>
    </row>
    <row r="620" spans="1:21" ht="18.75" x14ac:dyDescent="0.25">
      <c r="A620" s="674"/>
      <c r="B620" s="718"/>
      <c r="C620" s="718"/>
      <c r="D620" s="695"/>
      <c r="E620" s="569" t="s">
        <v>158</v>
      </c>
      <c r="F620" s="561"/>
      <c r="G620" s="563"/>
      <c r="H620" s="685" t="s">
        <v>14</v>
      </c>
      <c r="I620" s="565"/>
      <c r="J620" s="565"/>
      <c r="K620" s="566"/>
      <c r="L620" s="571">
        <v>0</v>
      </c>
      <c r="M620" s="572">
        <v>0</v>
      </c>
      <c r="N620" s="572">
        <v>0</v>
      </c>
      <c r="O620" s="572">
        <f t="shared" si="381"/>
        <v>0</v>
      </c>
      <c r="P620" s="572">
        <f t="shared" si="382"/>
        <v>0</v>
      </c>
      <c r="Q620" s="572">
        <v>0</v>
      </c>
      <c r="R620" s="572">
        <v>0</v>
      </c>
      <c r="S620" s="572">
        <v>0</v>
      </c>
      <c r="T620" s="572">
        <f t="shared" si="384"/>
        <v>0</v>
      </c>
      <c r="U620" s="572">
        <f t="shared" si="385"/>
        <v>0</v>
      </c>
    </row>
    <row r="621" spans="1:21" ht="18.75" x14ac:dyDescent="0.25">
      <c r="A621" s="674"/>
      <c r="B621" s="718"/>
      <c r="C621" s="718"/>
      <c r="D621" s="695"/>
      <c r="E621" s="573" t="s">
        <v>159</v>
      </c>
      <c r="F621" s="561"/>
      <c r="G621" s="563"/>
      <c r="H621" s="682" t="s">
        <v>14</v>
      </c>
      <c r="I621" s="565"/>
      <c r="J621" s="565"/>
      <c r="K621" s="566"/>
      <c r="L621" s="567">
        <v>0</v>
      </c>
      <c r="M621" s="568">
        <v>0</v>
      </c>
      <c r="N621" s="568">
        <v>0</v>
      </c>
      <c r="O621" s="568">
        <f t="shared" si="381"/>
        <v>0</v>
      </c>
      <c r="P621" s="568">
        <f t="shared" si="382"/>
        <v>0</v>
      </c>
      <c r="Q621" s="568">
        <f ca="1">IFERROR(__xludf.DUMMYFUNCTION("IMPORTRANGE(""https://docs.google.com/spreadsheets/d/1ItG2mGa2ceCfYo0BwxsXqNm01IGEUdYcSSLTEv9YCik/edit?usp=sharing"",""เบิกจ่ายกองทุน!F15"")"),21950)</f>
        <v>21950</v>
      </c>
      <c r="R621" s="568">
        <f ca="1">IFERROR(__xludf.DUMMYFUNCTION("IMPORTRANGE(""https://docs.google.com/spreadsheets/d/1ItG2mGa2ceCfYo0BwxsXqNm01IGEUdYcSSLTEv9YCik/edit?usp=sharing"",""เบิกจ่ายกองทุน!G15"")"),21950)</f>
        <v>21950</v>
      </c>
      <c r="S621" s="568">
        <f ca="1">IFERROR(__xludf.DUMMYFUNCTION("IMPORTRANGE(""https://docs.google.com/spreadsheets/d/1ItG2mGa2ceCfYo0BwxsXqNm01IGEUdYcSSLTEv9YCik/edit?usp=sharing"",""เบิกจ่ายกองทุน!H15"")"),0)</f>
        <v>0</v>
      </c>
      <c r="T621" s="568">
        <f t="shared" ca="1" si="384"/>
        <v>0</v>
      </c>
      <c r="U621" s="568">
        <f t="shared" ca="1" si="385"/>
        <v>0</v>
      </c>
    </row>
    <row r="622" spans="1:21" ht="18.75" x14ac:dyDescent="0.25">
      <c r="A622" s="674"/>
      <c r="B622" s="718"/>
      <c r="C622" s="718"/>
      <c r="D622" s="562" t="s">
        <v>23</v>
      </c>
      <c r="E622" s="561"/>
      <c r="F622" s="561"/>
      <c r="G622" s="563"/>
      <c r="H622" s="686" t="s">
        <v>14</v>
      </c>
      <c r="I622" s="683"/>
      <c r="J622" s="683"/>
      <c r="K622" s="684"/>
      <c r="L622" s="567">
        <f t="shared" ref="L622:N622" si="390">L623+L624</f>
        <v>0</v>
      </c>
      <c r="M622" s="568">
        <f t="shared" si="390"/>
        <v>0</v>
      </c>
      <c r="N622" s="568">
        <f t="shared" si="390"/>
        <v>0</v>
      </c>
      <c r="O622" s="568">
        <f t="shared" si="381"/>
        <v>0</v>
      </c>
      <c r="P622" s="568">
        <f t="shared" si="382"/>
        <v>0</v>
      </c>
      <c r="Q622" s="568">
        <f t="shared" ref="Q622:S622" si="391">Q623+Q624</f>
        <v>0</v>
      </c>
      <c r="R622" s="568">
        <f t="shared" si="391"/>
        <v>0</v>
      </c>
      <c r="S622" s="568">
        <f t="shared" si="391"/>
        <v>0</v>
      </c>
      <c r="T622" s="568">
        <f t="shared" si="384"/>
        <v>0</v>
      </c>
      <c r="U622" s="568">
        <f t="shared" si="385"/>
        <v>0</v>
      </c>
    </row>
    <row r="623" spans="1:21" ht="18.75" x14ac:dyDescent="0.25">
      <c r="A623" s="674"/>
      <c r="B623" s="718"/>
      <c r="C623" s="718"/>
      <c r="D623" s="718"/>
      <c r="E623" s="569" t="s">
        <v>20</v>
      </c>
      <c r="F623" s="561"/>
      <c r="G623" s="563"/>
      <c r="H623" s="685" t="s">
        <v>14</v>
      </c>
      <c r="I623" s="683"/>
      <c r="J623" s="683"/>
      <c r="K623" s="684"/>
      <c r="L623" s="571">
        <v>0</v>
      </c>
      <c r="M623" s="572">
        <v>0</v>
      </c>
      <c r="N623" s="572">
        <v>0</v>
      </c>
      <c r="O623" s="572">
        <f t="shared" si="381"/>
        <v>0</v>
      </c>
      <c r="P623" s="572">
        <f t="shared" si="382"/>
        <v>0</v>
      </c>
      <c r="Q623" s="572">
        <v>0</v>
      </c>
      <c r="R623" s="572">
        <v>0</v>
      </c>
      <c r="S623" s="572">
        <v>0</v>
      </c>
      <c r="T623" s="572">
        <f t="shared" si="384"/>
        <v>0</v>
      </c>
      <c r="U623" s="572">
        <f t="shared" si="385"/>
        <v>0</v>
      </c>
    </row>
    <row r="624" spans="1:21" ht="18.75" x14ac:dyDescent="0.25">
      <c r="A624" s="674"/>
      <c r="B624" s="718"/>
      <c r="C624" s="718"/>
      <c r="D624" s="718"/>
      <c r="E624" s="573" t="s">
        <v>21</v>
      </c>
      <c r="F624" s="561"/>
      <c r="G624" s="563"/>
      <c r="H624" s="686" t="s">
        <v>14</v>
      </c>
      <c r="I624" s="683"/>
      <c r="J624" s="683"/>
      <c r="K624" s="684"/>
      <c r="L624" s="567">
        <v>0</v>
      </c>
      <c r="M624" s="568">
        <v>0</v>
      </c>
      <c r="N624" s="568">
        <v>0</v>
      </c>
      <c r="O624" s="568">
        <f t="shared" si="381"/>
        <v>0</v>
      </c>
      <c r="P624" s="568">
        <f t="shared" si="382"/>
        <v>0</v>
      </c>
      <c r="Q624" s="568">
        <v>0</v>
      </c>
      <c r="R624" s="568">
        <v>0</v>
      </c>
      <c r="S624" s="568">
        <v>0</v>
      </c>
      <c r="T624" s="568">
        <f t="shared" si="384"/>
        <v>0</v>
      </c>
      <c r="U624" s="568">
        <f t="shared" si="385"/>
        <v>0</v>
      </c>
    </row>
    <row r="625" spans="1:21" ht="19.5" x14ac:dyDescent="0.3">
      <c r="A625" s="687"/>
      <c r="B625" s="688"/>
      <c r="C625" s="724" t="s">
        <v>18</v>
      </c>
      <c r="D625" s="1078" t="s">
        <v>38</v>
      </c>
      <c r="E625" s="690"/>
      <c r="F625" s="690"/>
      <c r="G625" s="691"/>
      <c r="H625" s="725"/>
      <c r="I625" s="683"/>
      <c r="J625" s="683"/>
      <c r="K625" s="684"/>
      <c r="L625" s="693"/>
      <c r="M625" s="684"/>
      <c r="N625" s="684"/>
      <c r="O625" s="684"/>
      <c r="P625" s="684"/>
      <c r="Q625" s="684"/>
      <c r="R625" s="684"/>
      <c r="S625" s="684"/>
      <c r="T625" s="684"/>
      <c r="U625" s="684"/>
    </row>
    <row r="626" spans="1:21" ht="19.5" x14ac:dyDescent="0.3">
      <c r="A626" s="687"/>
      <c r="B626" s="688"/>
      <c r="C626" s="688"/>
      <c r="D626" s="1079" t="s">
        <v>223</v>
      </c>
      <c r="E626" s="695"/>
      <c r="F626" s="695"/>
      <c r="G626" s="692"/>
      <c r="H626" s="1080" t="s">
        <v>46</v>
      </c>
      <c r="I626" s="697">
        <f ca="1">IFERROR(__xludf.DUMMYFUNCTION("IMPORTRANGE(""https://docs.google.com/spreadsheets/d/1eHaY18a8A9IcSdp1K8H6x8fbOy06t2VsZHhMHf-1x7Y/edit?usp=sharing"",""แผน!ID15"")"),200)</f>
        <v>200</v>
      </c>
      <c r="J626" s="697">
        <f>J632</f>
        <v>0</v>
      </c>
      <c r="K626" s="679">
        <f ca="1">IF(I626&gt;0,J626*100/I626,0)</f>
        <v>0</v>
      </c>
      <c r="L626" s="693"/>
      <c r="M626" s="684"/>
      <c r="N626" s="684"/>
      <c r="O626" s="684"/>
      <c r="P626" s="684"/>
      <c r="Q626" s="684"/>
      <c r="R626" s="684"/>
      <c r="S626" s="684"/>
      <c r="T626" s="684"/>
      <c r="U626" s="684"/>
    </row>
    <row r="627" spans="1:21" ht="18.75" x14ac:dyDescent="0.25">
      <c r="A627" s="687"/>
      <c r="B627" s="688"/>
      <c r="C627" s="688"/>
      <c r="D627" s="688"/>
      <c r="E627" s="699" t="s">
        <v>224</v>
      </c>
      <c r="F627" s="695"/>
      <c r="G627" s="692"/>
      <c r="H627" s="686" t="s">
        <v>61</v>
      </c>
      <c r="I627" s="708">
        <f ca="1">IFERROR(__xludf.DUMMYFUNCTION("IMPORTRANGE(""https://docs.google.com/spreadsheets/d/1eHaY18a8A9IcSdp1K8H6x8fbOy06t2VsZHhMHf-1x7Y/edit?usp=sharing"",""แผน!IC15"")"),0)</f>
        <v>0</v>
      </c>
      <c r="J627" s="702">
        <v>0</v>
      </c>
      <c r="K627" s="568">
        <f t="shared" ref="K627:K628" ca="1" si="392">IF(I627&gt;0,(J627*100)/I627,0)</f>
        <v>0</v>
      </c>
      <c r="L627" s="693"/>
      <c r="M627" s="684"/>
      <c r="N627" s="684"/>
      <c r="O627" s="684"/>
      <c r="P627" s="684"/>
      <c r="Q627" s="684"/>
      <c r="R627" s="684"/>
      <c r="S627" s="684"/>
      <c r="T627" s="684"/>
      <c r="U627" s="684"/>
    </row>
    <row r="628" spans="1:21" ht="18.75" x14ac:dyDescent="0.25">
      <c r="A628" s="687"/>
      <c r="B628" s="688"/>
      <c r="C628" s="688"/>
      <c r="D628" s="688"/>
      <c r="E628" s="699" t="s">
        <v>225</v>
      </c>
      <c r="F628" s="695"/>
      <c r="G628" s="692"/>
      <c r="H628" s="686" t="s">
        <v>61</v>
      </c>
      <c r="I628" s="708">
        <f ca="1">IFERROR(__xludf.DUMMYFUNCTION("IMPORTRANGE(""https://docs.google.com/spreadsheets/d/1eHaY18a8A9IcSdp1K8H6x8fbOy06t2VsZHhMHf-1x7Y/edit?usp=sharing"",""แผน!IC15"")"),0)</f>
        <v>0</v>
      </c>
      <c r="J628" s="702">
        <v>0</v>
      </c>
      <c r="K628" s="568">
        <f t="shared" ca="1" si="392"/>
        <v>0</v>
      </c>
      <c r="L628" s="693"/>
      <c r="M628" s="684"/>
      <c r="N628" s="684"/>
      <c r="O628" s="684"/>
      <c r="P628" s="684"/>
      <c r="Q628" s="684"/>
      <c r="R628" s="684"/>
      <c r="S628" s="684"/>
      <c r="T628" s="684"/>
      <c r="U628" s="684"/>
    </row>
    <row r="629" spans="1:21" ht="18.75" x14ac:dyDescent="0.25">
      <c r="A629" s="687"/>
      <c r="B629" s="688"/>
      <c r="C629" s="688"/>
      <c r="D629" s="688"/>
      <c r="E629" s="699" t="s">
        <v>226</v>
      </c>
      <c r="F629" s="695"/>
      <c r="G629" s="692"/>
      <c r="H629" s="686" t="s">
        <v>46</v>
      </c>
      <c r="I629" s="565"/>
      <c r="J629" s="702">
        <v>0</v>
      </c>
      <c r="K629" s="568">
        <f t="shared" ref="K629:K631" ca="1" si="393">IF(I$626&gt;0,J629*100/I$626,0)</f>
        <v>0</v>
      </c>
      <c r="L629" s="693"/>
      <c r="M629" s="684"/>
      <c r="N629" s="684"/>
      <c r="O629" s="684"/>
      <c r="P629" s="684"/>
      <c r="Q629" s="684"/>
      <c r="R629" s="684"/>
      <c r="S629" s="684"/>
      <c r="T629" s="684"/>
      <c r="U629" s="684"/>
    </row>
    <row r="630" spans="1:21" ht="18.75" x14ac:dyDescent="0.25">
      <c r="A630" s="687"/>
      <c r="B630" s="688"/>
      <c r="C630" s="688"/>
      <c r="D630" s="688"/>
      <c r="E630" s="699" t="s">
        <v>227</v>
      </c>
      <c r="F630" s="695"/>
      <c r="G630" s="692"/>
      <c r="H630" s="686" t="s">
        <v>46</v>
      </c>
      <c r="I630" s="565"/>
      <c r="J630" s="702">
        <v>0</v>
      </c>
      <c r="K630" s="568">
        <f t="shared" ca="1" si="393"/>
        <v>0</v>
      </c>
      <c r="L630" s="693"/>
      <c r="M630" s="684"/>
      <c r="N630" s="684"/>
      <c r="O630" s="684"/>
      <c r="P630" s="684"/>
      <c r="Q630" s="684"/>
      <c r="R630" s="684"/>
      <c r="S630" s="684"/>
      <c r="T630" s="684"/>
      <c r="U630" s="684"/>
    </row>
    <row r="631" spans="1:21" ht="18.75" x14ac:dyDescent="0.25">
      <c r="A631" s="687"/>
      <c r="B631" s="688"/>
      <c r="C631" s="688"/>
      <c r="D631" s="688"/>
      <c r="E631" s="699" t="s">
        <v>228</v>
      </c>
      <c r="F631" s="695"/>
      <c r="G631" s="692"/>
      <c r="H631" s="686" t="s">
        <v>46</v>
      </c>
      <c r="I631" s="565"/>
      <c r="J631" s="702">
        <v>0</v>
      </c>
      <c r="K631" s="568">
        <f t="shared" ca="1" si="393"/>
        <v>0</v>
      </c>
      <c r="L631" s="693"/>
      <c r="M631" s="684"/>
      <c r="N631" s="684"/>
      <c r="O631" s="684"/>
      <c r="P631" s="684"/>
      <c r="Q631" s="684"/>
      <c r="R631" s="684"/>
      <c r="S631" s="684"/>
      <c r="T631" s="684"/>
      <c r="U631" s="684"/>
    </row>
    <row r="632" spans="1:21" ht="19.5" x14ac:dyDescent="0.3">
      <c r="A632" s="687"/>
      <c r="B632" s="688"/>
      <c r="C632" s="688"/>
      <c r="D632" s="688"/>
      <c r="E632" s="699" t="s">
        <v>229</v>
      </c>
      <c r="F632" s="695"/>
      <c r="G632" s="692"/>
      <c r="H632" s="686" t="s">
        <v>46</v>
      </c>
      <c r="I632" s="565"/>
      <c r="J632" s="697">
        <f>J633+J634</f>
        <v>0</v>
      </c>
      <c r="K632" s="679">
        <f ca="1">IF(I626&gt;0,J632*100/I626,0)</f>
        <v>0</v>
      </c>
      <c r="L632" s="693"/>
      <c r="M632" s="684"/>
      <c r="N632" s="684"/>
      <c r="O632" s="684"/>
      <c r="P632" s="684"/>
      <c r="Q632" s="684"/>
      <c r="R632" s="684"/>
      <c r="S632" s="684"/>
      <c r="T632" s="684"/>
      <c r="U632" s="684"/>
    </row>
    <row r="633" spans="1:21" ht="18.75" x14ac:dyDescent="0.25">
      <c r="A633" s="687"/>
      <c r="B633" s="688"/>
      <c r="C633" s="688"/>
      <c r="D633" s="688"/>
      <c r="E633" s="695"/>
      <c r="F633" s="699" t="s">
        <v>230</v>
      </c>
      <c r="G633" s="692"/>
      <c r="H633" s="686" t="s">
        <v>46</v>
      </c>
      <c r="I633" s="565"/>
      <c r="J633" s="702">
        <v>0</v>
      </c>
      <c r="K633" s="566"/>
      <c r="L633" s="693"/>
      <c r="M633" s="684"/>
      <c r="N633" s="684"/>
      <c r="O633" s="684"/>
      <c r="P633" s="684"/>
      <c r="Q633" s="684"/>
      <c r="R633" s="684"/>
      <c r="S633" s="684"/>
      <c r="T633" s="684"/>
      <c r="U633" s="684"/>
    </row>
    <row r="634" spans="1:21" ht="18.75" x14ac:dyDescent="0.25">
      <c r="A634" s="687"/>
      <c r="B634" s="688"/>
      <c r="C634" s="688"/>
      <c r="D634" s="688"/>
      <c r="E634" s="695"/>
      <c r="F634" s="699" t="s">
        <v>231</v>
      </c>
      <c r="G634" s="692"/>
      <c r="H634" s="686" t="s">
        <v>46</v>
      </c>
      <c r="I634" s="565"/>
      <c r="J634" s="702">
        <v>0</v>
      </c>
      <c r="K634" s="566"/>
      <c r="L634" s="693"/>
      <c r="M634" s="684"/>
      <c r="N634" s="684"/>
      <c r="O634" s="684"/>
      <c r="P634" s="684"/>
      <c r="Q634" s="684"/>
      <c r="R634" s="684"/>
      <c r="S634" s="684"/>
      <c r="T634" s="684"/>
      <c r="U634" s="684"/>
    </row>
    <row r="635" spans="1:21" ht="19.5" x14ac:dyDescent="0.3">
      <c r="A635" s="687"/>
      <c r="B635" s="688"/>
      <c r="C635" s="688"/>
      <c r="D635" s="1079" t="s">
        <v>232</v>
      </c>
      <c r="E635" s="695"/>
      <c r="F635" s="695"/>
      <c r="G635" s="692"/>
      <c r="H635" s="686" t="s">
        <v>46</v>
      </c>
      <c r="I635" s="697">
        <f ca="1">IFERROR(__xludf.DUMMYFUNCTION("IMPORTRANGE(""https://docs.google.com/spreadsheets/d/1eHaY18a8A9IcSdp1K8H6x8fbOy06t2VsZHhMHf-1x7Y/edit?usp=sharing"",""แผน!IE15"")"),0)</f>
        <v>0</v>
      </c>
      <c r="J635" s="697">
        <f>J636</f>
        <v>0</v>
      </c>
      <c r="K635" s="679">
        <f ca="1">IF(I635&gt;0,J635*100/I635,0)</f>
        <v>0</v>
      </c>
      <c r="L635" s="693"/>
      <c r="M635" s="684"/>
      <c r="N635" s="684"/>
      <c r="O635" s="684"/>
      <c r="P635" s="684"/>
      <c r="Q635" s="684"/>
      <c r="R635" s="684"/>
      <c r="S635" s="684"/>
      <c r="T635" s="684"/>
      <c r="U635" s="684"/>
    </row>
    <row r="636" spans="1:21" ht="18.75" x14ac:dyDescent="0.25">
      <c r="A636" s="687"/>
      <c r="B636" s="688"/>
      <c r="C636" s="688"/>
      <c r="D636" s="688"/>
      <c r="E636" s="699" t="s">
        <v>233</v>
      </c>
      <c r="F636" s="695"/>
      <c r="G636" s="692"/>
      <c r="H636" s="686" t="s">
        <v>46</v>
      </c>
      <c r="I636" s="565"/>
      <c r="J636" s="708">
        <f>J637+J638</f>
        <v>0</v>
      </c>
      <c r="K636" s="566"/>
      <c r="L636" s="693"/>
      <c r="M636" s="684"/>
      <c r="N636" s="684"/>
      <c r="O636" s="684"/>
      <c r="P636" s="684"/>
      <c r="Q636" s="684"/>
      <c r="R636" s="684"/>
      <c r="S636" s="684"/>
      <c r="T636" s="684"/>
      <c r="U636" s="684"/>
    </row>
    <row r="637" spans="1:21" ht="18.75" x14ac:dyDescent="0.25">
      <c r="A637" s="687"/>
      <c r="B637" s="688"/>
      <c r="C637" s="688"/>
      <c r="D637" s="688"/>
      <c r="E637" s="695"/>
      <c r="F637" s="699" t="s">
        <v>230</v>
      </c>
      <c r="G637" s="692"/>
      <c r="H637" s="686" t="s">
        <v>46</v>
      </c>
      <c r="I637" s="565"/>
      <c r="J637" s="702">
        <v>0</v>
      </c>
      <c r="K637" s="566"/>
      <c r="L637" s="693"/>
      <c r="M637" s="684"/>
      <c r="N637" s="684"/>
      <c r="O637" s="684"/>
      <c r="P637" s="684"/>
      <c r="Q637" s="684"/>
      <c r="R637" s="684"/>
      <c r="S637" s="684"/>
      <c r="T637" s="684"/>
      <c r="U637" s="684"/>
    </row>
    <row r="638" spans="1:21" ht="18.75" x14ac:dyDescent="0.25">
      <c r="A638" s="687"/>
      <c r="B638" s="688"/>
      <c r="C638" s="688"/>
      <c r="D638" s="688"/>
      <c r="E638" s="695"/>
      <c r="F638" s="699" t="s">
        <v>231</v>
      </c>
      <c r="G638" s="692"/>
      <c r="H638" s="686" t="s">
        <v>46</v>
      </c>
      <c r="I638" s="565"/>
      <c r="J638" s="702">
        <v>0</v>
      </c>
      <c r="K638" s="566"/>
      <c r="L638" s="693"/>
      <c r="M638" s="684"/>
      <c r="N638" s="684"/>
      <c r="O638" s="684"/>
      <c r="P638" s="684"/>
      <c r="Q638" s="684"/>
      <c r="R638" s="684"/>
      <c r="S638" s="684"/>
      <c r="T638" s="684"/>
      <c r="U638" s="684"/>
    </row>
    <row r="639" spans="1:21" ht="18.75" x14ac:dyDescent="0.25">
      <c r="A639" s="687"/>
      <c r="B639" s="688"/>
      <c r="C639" s="688"/>
      <c r="D639" s="688"/>
      <c r="E639" s="699" t="s">
        <v>234</v>
      </c>
      <c r="F639" s="695"/>
      <c r="G639" s="692"/>
      <c r="H639" s="686" t="s">
        <v>46</v>
      </c>
      <c r="I639" s="565"/>
      <c r="J639" s="702">
        <v>0</v>
      </c>
      <c r="K639" s="566"/>
      <c r="L639" s="693"/>
      <c r="M639" s="684"/>
      <c r="N639" s="684"/>
      <c r="O639" s="684"/>
      <c r="P639" s="684"/>
      <c r="Q639" s="684"/>
      <c r="R639" s="684"/>
      <c r="S639" s="684"/>
      <c r="T639" s="684"/>
      <c r="U639" s="684"/>
    </row>
    <row r="640" spans="1:21" ht="18.75" x14ac:dyDescent="0.25">
      <c r="A640" s="687"/>
      <c r="B640" s="688"/>
      <c r="C640" s="688"/>
      <c r="D640" s="688"/>
      <c r="E640" s="695"/>
      <c r="F640" s="699" t="s">
        <v>235</v>
      </c>
      <c r="G640" s="692"/>
      <c r="H640" s="686" t="s">
        <v>46</v>
      </c>
      <c r="I640" s="565"/>
      <c r="J640" s="702">
        <v>0</v>
      </c>
      <c r="K640" s="566"/>
      <c r="L640" s="693"/>
      <c r="M640" s="684"/>
      <c r="N640" s="684"/>
      <c r="O640" s="684"/>
      <c r="P640" s="684"/>
      <c r="Q640" s="684"/>
      <c r="R640" s="684"/>
      <c r="S640" s="684"/>
      <c r="T640" s="684"/>
      <c r="U640" s="684"/>
    </row>
    <row r="641" spans="1:21" ht="19.5" x14ac:dyDescent="0.3">
      <c r="A641" s="1069"/>
      <c r="B641" s="1070" t="s">
        <v>236</v>
      </c>
      <c r="C641" s="1069"/>
      <c r="D641" s="1071"/>
      <c r="E641" s="1071"/>
      <c r="F641" s="1071"/>
      <c r="G641" s="1072"/>
      <c r="H641" s="1081"/>
      <c r="I641" s="1082"/>
      <c r="J641" s="1082"/>
      <c r="K641" s="1077"/>
      <c r="L641" s="1076"/>
      <c r="M641" s="1077"/>
      <c r="N641" s="1077"/>
      <c r="O641" s="1077"/>
      <c r="P641" s="1077"/>
      <c r="Q641" s="1077"/>
      <c r="R641" s="1077"/>
      <c r="S641" s="1077"/>
      <c r="T641" s="1077"/>
      <c r="U641" s="1077"/>
    </row>
    <row r="642" spans="1:21" ht="19.5" x14ac:dyDescent="0.3">
      <c r="A642" s="674"/>
      <c r="B642" s="718"/>
      <c r="C642" s="765" t="s">
        <v>18</v>
      </c>
      <c r="D642" s="1310" t="s">
        <v>19</v>
      </c>
      <c r="E642" s="1311"/>
      <c r="F642" s="1311"/>
      <c r="G642" s="1312"/>
      <c r="H642" s="780" t="s">
        <v>14</v>
      </c>
      <c r="I642" s="565"/>
      <c r="J642" s="565"/>
      <c r="K642" s="566"/>
      <c r="L642" s="678">
        <f t="shared" ref="L642:N642" si="394">L643+L644</f>
        <v>0</v>
      </c>
      <c r="M642" s="679">
        <f t="shared" si="394"/>
        <v>0</v>
      </c>
      <c r="N642" s="679">
        <f t="shared" si="394"/>
        <v>0</v>
      </c>
      <c r="O642" s="679">
        <f t="shared" ref="O642:O650" si="395">IF(L642&gt;0,N642*100/L642,0)</f>
        <v>0</v>
      </c>
      <c r="P642" s="679">
        <f t="shared" ref="P642:P650" si="396">IF(M642&gt;0,N642*100/M642,0)</f>
        <v>0</v>
      </c>
      <c r="Q642" s="679">
        <f t="shared" ref="Q642:S642" ca="1" si="397">Q643+Q644</f>
        <v>0</v>
      </c>
      <c r="R642" s="679">
        <f t="shared" ca="1" si="397"/>
        <v>0</v>
      </c>
      <c r="S642" s="679">
        <f t="shared" ca="1" si="397"/>
        <v>0</v>
      </c>
      <c r="T642" s="679">
        <f t="shared" ref="T642:T650" ca="1" si="398">IF(Q642&gt;0,S642*100/Q642,0)</f>
        <v>0</v>
      </c>
      <c r="U642" s="679">
        <f t="shared" ref="U642:U650" ca="1" si="399">IF(R642&gt;0,S642*100/R642,0)</f>
        <v>0</v>
      </c>
    </row>
    <row r="643" spans="1:21" ht="18.75" x14ac:dyDescent="0.25">
      <c r="A643" s="674"/>
      <c r="B643" s="718"/>
      <c r="C643" s="718"/>
      <c r="D643" s="695"/>
      <c r="E643" s="569" t="s">
        <v>158</v>
      </c>
      <c r="F643" s="561"/>
      <c r="G643" s="563"/>
      <c r="H643" s="685" t="s">
        <v>14</v>
      </c>
      <c r="I643" s="565"/>
      <c r="J643" s="565"/>
      <c r="K643" s="566"/>
      <c r="L643" s="571">
        <f t="shared" ref="L643:N644" si="400">L646+L649</f>
        <v>0</v>
      </c>
      <c r="M643" s="572">
        <f t="shared" si="400"/>
        <v>0</v>
      </c>
      <c r="N643" s="572">
        <f t="shared" si="400"/>
        <v>0</v>
      </c>
      <c r="O643" s="572">
        <f t="shared" si="395"/>
        <v>0</v>
      </c>
      <c r="P643" s="572">
        <f t="shared" si="396"/>
        <v>0</v>
      </c>
      <c r="Q643" s="572">
        <f t="shared" ref="Q643:S644" si="401">Q646+Q649</f>
        <v>0</v>
      </c>
      <c r="R643" s="572">
        <f t="shared" si="401"/>
        <v>0</v>
      </c>
      <c r="S643" s="572">
        <f t="shared" si="401"/>
        <v>0</v>
      </c>
      <c r="T643" s="572">
        <f t="shared" si="398"/>
        <v>0</v>
      </c>
      <c r="U643" s="572">
        <f t="shared" si="399"/>
        <v>0</v>
      </c>
    </row>
    <row r="644" spans="1:21" ht="18.75" x14ac:dyDescent="0.25">
      <c r="A644" s="674"/>
      <c r="B644" s="718"/>
      <c r="C644" s="718"/>
      <c r="D644" s="695"/>
      <c r="E644" s="573" t="s">
        <v>159</v>
      </c>
      <c r="F644" s="561"/>
      <c r="G644" s="563"/>
      <c r="H644" s="682" t="s">
        <v>14</v>
      </c>
      <c r="I644" s="565"/>
      <c r="J644" s="565"/>
      <c r="K644" s="566"/>
      <c r="L644" s="567">
        <f t="shared" si="400"/>
        <v>0</v>
      </c>
      <c r="M644" s="568">
        <f t="shared" si="400"/>
        <v>0</v>
      </c>
      <c r="N644" s="568">
        <f t="shared" si="400"/>
        <v>0</v>
      </c>
      <c r="O644" s="568">
        <f t="shared" si="395"/>
        <v>0</v>
      </c>
      <c r="P644" s="568">
        <f t="shared" si="396"/>
        <v>0</v>
      </c>
      <c r="Q644" s="568">
        <f t="shared" ca="1" si="401"/>
        <v>0</v>
      </c>
      <c r="R644" s="568">
        <f t="shared" ca="1" si="401"/>
        <v>0</v>
      </c>
      <c r="S644" s="568">
        <f t="shared" ca="1" si="401"/>
        <v>0</v>
      </c>
      <c r="T644" s="568">
        <f t="shared" ca="1" si="398"/>
        <v>0</v>
      </c>
      <c r="U644" s="568">
        <f t="shared" ca="1" si="399"/>
        <v>0</v>
      </c>
    </row>
    <row r="645" spans="1:21" ht="18.75" x14ac:dyDescent="0.25">
      <c r="A645" s="674"/>
      <c r="B645" s="718"/>
      <c r="C645" s="718"/>
      <c r="D645" s="562" t="s">
        <v>22</v>
      </c>
      <c r="E645" s="561"/>
      <c r="F645" s="561"/>
      <c r="G645" s="563"/>
      <c r="H645" s="682" t="s">
        <v>14</v>
      </c>
      <c r="I645" s="683"/>
      <c r="J645" s="683"/>
      <c r="K645" s="684"/>
      <c r="L645" s="567">
        <f t="shared" ref="L645:N645" si="402">L646+L647</f>
        <v>0</v>
      </c>
      <c r="M645" s="568">
        <f t="shared" si="402"/>
        <v>0</v>
      </c>
      <c r="N645" s="568">
        <f t="shared" si="402"/>
        <v>0</v>
      </c>
      <c r="O645" s="568">
        <f t="shared" si="395"/>
        <v>0</v>
      </c>
      <c r="P645" s="568">
        <f t="shared" si="396"/>
        <v>0</v>
      </c>
      <c r="Q645" s="568">
        <f t="shared" ref="Q645:S645" ca="1" si="403">Q646+Q647</f>
        <v>0</v>
      </c>
      <c r="R645" s="568">
        <f t="shared" ca="1" si="403"/>
        <v>0</v>
      </c>
      <c r="S645" s="568">
        <f t="shared" ca="1" si="403"/>
        <v>0</v>
      </c>
      <c r="T645" s="568">
        <f t="shared" ca="1" si="398"/>
        <v>0</v>
      </c>
      <c r="U645" s="568">
        <f t="shared" ca="1" si="399"/>
        <v>0</v>
      </c>
    </row>
    <row r="646" spans="1:21" ht="18.75" x14ac:dyDescent="0.25">
      <c r="A646" s="674"/>
      <c r="B646" s="718"/>
      <c r="C646" s="718"/>
      <c r="D646" s="695"/>
      <c r="E646" s="569" t="s">
        <v>158</v>
      </c>
      <c r="F646" s="561"/>
      <c r="G646" s="563"/>
      <c r="H646" s="685" t="s">
        <v>14</v>
      </c>
      <c r="I646" s="565"/>
      <c r="J646" s="565"/>
      <c r="K646" s="566"/>
      <c r="L646" s="571">
        <v>0</v>
      </c>
      <c r="M646" s="572">
        <v>0</v>
      </c>
      <c r="N646" s="572">
        <v>0</v>
      </c>
      <c r="O646" s="572">
        <f t="shared" si="395"/>
        <v>0</v>
      </c>
      <c r="P646" s="572">
        <f t="shared" si="396"/>
        <v>0</v>
      </c>
      <c r="Q646" s="572">
        <v>0</v>
      </c>
      <c r="R646" s="572">
        <v>0</v>
      </c>
      <c r="S646" s="572">
        <v>0</v>
      </c>
      <c r="T646" s="572">
        <f t="shared" si="398"/>
        <v>0</v>
      </c>
      <c r="U646" s="572">
        <f t="shared" si="399"/>
        <v>0</v>
      </c>
    </row>
    <row r="647" spans="1:21" ht="18.75" x14ac:dyDescent="0.25">
      <c r="A647" s="674"/>
      <c r="B647" s="718"/>
      <c r="C647" s="718"/>
      <c r="D647" s="695"/>
      <c r="E647" s="573" t="s">
        <v>159</v>
      </c>
      <c r="F647" s="561"/>
      <c r="G647" s="563"/>
      <c r="H647" s="682" t="s">
        <v>14</v>
      </c>
      <c r="I647" s="565"/>
      <c r="J647" s="565"/>
      <c r="K647" s="566"/>
      <c r="L647" s="567">
        <v>0</v>
      </c>
      <c r="M647" s="568">
        <v>0</v>
      </c>
      <c r="N647" s="568">
        <v>0</v>
      </c>
      <c r="O647" s="568">
        <f t="shared" si="395"/>
        <v>0</v>
      </c>
      <c r="P647" s="568">
        <f t="shared" si="396"/>
        <v>0</v>
      </c>
      <c r="Q647" s="568">
        <f ca="1">IFERROR(__xludf.DUMMYFUNCTION("IMPORTRANGE(""https://docs.google.com/spreadsheets/d/1ItG2mGa2ceCfYo0BwxsXqNm01IGEUdYcSSLTEv9YCik/edit?usp=sharing"",""เบิกจ่ายกองทุน!I15"")"),0)</f>
        <v>0</v>
      </c>
      <c r="R647" s="568">
        <f ca="1">IFERROR(__xludf.DUMMYFUNCTION("IMPORTRANGE(""https://docs.google.com/spreadsheets/d/1ItG2mGa2ceCfYo0BwxsXqNm01IGEUdYcSSLTEv9YCik/edit?usp=sharing"",""เบิกจ่ายกองทุน!J15"")"),0)</f>
        <v>0</v>
      </c>
      <c r="S647" s="568">
        <f ca="1">IFERROR(__xludf.DUMMYFUNCTION("IMPORTRANGE(""https://docs.google.com/spreadsheets/d/1ItG2mGa2ceCfYo0BwxsXqNm01IGEUdYcSSLTEv9YCik/edit?usp=sharing"",""เบิกจ่ายกองทุน!K15"")"),0)</f>
        <v>0</v>
      </c>
      <c r="T647" s="568">
        <f t="shared" ca="1" si="398"/>
        <v>0</v>
      </c>
      <c r="U647" s="568">
        <f t="shared" ca="1" si="399"/>
        <v>0</v>
      </c>
    </row>
    <row r="648" spans="1:21" ht="18.75" x14ac:dyDescent="0.25">
      <c r="A648" s="674"/>
      <c r="B648" s="718"/>
      <c r="C648" s="718"/>
      <c r="D648" s="562" t="s">
        <v>23</v>
      </c>
      <c r="E648" s="561"/>
      <c r="F648" s="561"/>
      <c r="G648" s="563"/>
      <c r="H648" s="686" t="s">
        <v>14</v>
      </c>
      <c r="I648" s="683"/>
      <c r="J648" s="683"/>
      <c r="K648" s="684"/>
      <c r="L648" s="567">
        <f t="shared" ref="L648:N648" si="404">L649+L650</f>
        <v>0</v>
      </c>
      <c r="M648" s="568">
        <f t="shared" si="404"/>
        <v>0</v>
      </c>
      <c r="N648" s="568">
        <f t="shared" si="404"/>
        <v>0</v>
      </c>
      <c r="O648" s="568">
        <f t="shared" si="395"/>
        <v>0</v>
      </c>
      <c r="P648" s="568">
        <f t="shared" si="396"/>
        <v>0</v>
      </c>
      <c r="Q648" s="568">
        <f t="shared" ref="Q648:S648" si="405">Q649+Q650</f>
        <v>0</v>
      </c>
      <c r="R648" s="568">
        <f t="shared" si="405"/>
        <v>0</v>
      </c>
      <c r="S648" s="568">
        <f t="shared" si="405"/>
        <v>0</v>
      </c>
      <c r="T648" s="568">
        <f t="shared" si="398"/>
        <v>0</v>
      </c>
      <c r="U648" s="568">
        <f t="shared" si="399"/>
        <v>0</v>
      </c>
    </row>
    <row r="649" spans="1:21" ht="18.75" x14ac:dyDescent="0.25">
      <c r="A649" s="674"/>
      <c r="B649" s="718"/>
      <c r="C649" s="718"/>
      <c r="D649" s="561"/>
      <c r="E649" s="569" t="s">
        <v>20</v>
      </c>
      <c r="F649" s="561"/>
      <c r="G649" s="563"/>
      <c r="H649" s="685" t="s">
        <v>14</v>
      </c>
      <c r="I649" s="683"/>
      <c r="J649" s="683"/>
      <c r="K649" s="684"/>
      <c r="L649" s="571">
        <v>0</v>
      </c>
      <c r="M649" s="572">
        <v>0</v>
      </c>
      <c r="N649" s="572">
        <v>0</v>
      </c>
      <c r="O649" s="572">
        <f t="shared" si="395"/>
        <v>0</v>
      </c>
      <c r="P649" s="572">
        <f t="shared" si="396"/>
        <v>0</v>
      </c>
      <c r="Q649" s="572">
        <v>0</v>
      </c>
      <c r="R649" s="572">
        <v>0</v>
      </c>
      <c r="S649" s="572">
        <v>0</v>
      </c>
      <c r="T649" s="572">
        <f t="shared" si="398"/>
        <v>0</v>
      </c>
      <c r="U649" s="572">
        <f t="shared" si="399"/>
        <v>0</v>
      </c>
    </row>
    <row r="650" spans="1:21" ht="18.75" x14ac:dyDescent="0.25">
      <c r="A650" s="674"/>
      <c r="B650" s="718"/>
      <c r="C650" s="718"/>
      <c r="D650" s="561"/>
      <c r="E650" s="573" t="s">
        <v>21</v>
      </c>
      <c r="F650" s="561"/>
      <c r="G650" s="563"/>
      <c r="H650" s="686" t="s">
        <v>14</v>
      </c>
      <c r="I650" s="683"/>
      <c r="J650" s="683"/>
      <c r="K650" s="684"/>
      <c r="L650" s="567">
        <v>0</v>
      </c>
      <c r="M650" s="568">
        <v>0</v>
      </c>
      <c r="N650" s="568">
        <v>0</v>
      </c>
      <c r="O650" s="568">
        <f t="shared" si="395"/>
        <v>0</v>
      </c>
      <c r="P650" s="568">
        <f t="shared" si="396"/>
        <v>0</v>
      </c>
      <c r="Q650" s="568">
        <v>0</v>
      </c>
      <c r="R650" s="568">
        <v>0</v>
      </c>
      <c r="S650" s="568">
        <v>0</v>
      </c>
      <c r="T650" s="568">
        <f t="shared" si="398"/>
        <v>0</v>
      </c>
      <c r="U650" s="568">
        <f t="shared" si="399"/>
        <v>0</v>
      </c>
    </row>
    <row r="651" spans="1:21" ht="19.5" x14ac:dyDescent="0.3">
      <c r="A651" s="687"/>
      <c r="B651" s="688"/>
      <c r="C651" s="765" t="s">
        <v>18</v>
      </c>
      <c r="D651" s="1083" t="s">
        <v>38</v>
      </c>
      <c r="E651" s="690"/>
      <c r="F651" s="690"/>
      <c r="G651" s="691"/>
      <c r="H651" s="725"/>
      <c r="I651" s="683"/>
      <c r="J651" s="683"/>
      <c r="K651" s="684"/>
      <c r="L651" s="693"/>
      <c r="M651" s="684"/>
      <c r="N651" s="684"/>
      <c r="O651" s="684"/>
      <c r="P651" s="684"/>
      <c r="Q651" s="566"/>
      <c r="R651" s="566"/>
      <c r="S651" s="566"/>
      <c r="T651" s="684"/>
      <c r="U651" s="684"/>
    </row>
    <row r="652" spans="1:21" ht="18.75" x14ac:dyDescent="0.25">
      <c r="A652" s="764"/>
      <c r="B652" s="718"/>
      <c r="C652" s="718"/>
      <c r="D652" s="573" t="s">
        <v>237</v>
      </c>
      <c r="E652" s="561"/>
      <c r="F652" s="561"/>
      <c r="G652" s="563"/>
      <c r="H652" s="686" t="s">
        <v>46</v>
      </c>
      <c r="I652" s="1084">
        <f ca="1">IFERROR(__xludf.DUMMYFUNCTION("IMPORTRANGE(""https://docs.google.com/spreadsheets/d/1eHaY18a8A9IcSdp1K8H6x8fbOy06t2VsZHhMHf-1x7Y/edit?usp=sharing"",""แผน!IF15"")"),0)</f>
        <v>0</v>
      </c>
      <c r="J652" s="708">
        <f ca="1">IFERROR(__xludf.DUMMYFUNCTION("IMPORTRANGE(""https://docs.google.com/spreadsheets/d/1tdoBKaGub7dwA3U6UFTqxio9LNnvDCQjHKmttSEBsFQ/edit?usp=sharing"",""จัดที่ดิน!AU15"")"),0)</f>
        <v>0</v>
      </c>
      <c r="K652" s="568">
        <f t="shared" ref="K652:K654" ca="1" si="406">IF(I652&gt;0,J652*100/I652,0)</f>
        <v>0</v>
      </c>
      <c r="L652" s="574"/>
      <c r="M652" s="566"/>
      <c r="N652" s="1085"/>
      <c r="O652" s="566"/>
      <c r="P652" s="566"/>
      <c r="Q652" s="566"/>
      <c r="R652" s="566"/>
      <c r="S652" s="1085"/>
      <c r="T652" s="566"/>
      <c r="U652" s="566"/>
    </row>
    <row r="653" spans="1:21" ht="18.75" x14ac:dyDescent="0.25">
      <c r="A653" s="764"/>
      <c r="B653" s="718"/>
      <c r="C653" s="718"/>
      <c r="D653" s="573" t="s">
        <v>238</v>
      </c>
      <c r="E653" s="561"/>
      <c r="F653" s="561"/>
      <c r="G653" s="563"/>
      <c r="H653" s="686" t="s">
        <v>35</v>
      </c>
      <c r="I653" s="1084">
        <f ca="1">IFERROR(__xludf.DUMMYFUNCTION("IMPORTRANGE(""https://docs.google.com/spreadsheets/d/1eHaY18a8A9IcSdp1K8H6x8fbOy06t2VsZHhMHf-1x7Y/edit?usp=sharing"",""แผน!IG15"")"),0)</f>
        <v>0</v>
      </c>
      <c r="J653" s="708">
        <f ca="1">IFERROR(__xludf.DUMMYFUNCTION("IMPORTRANGE(""https://docs.google.com/spreadsheets/d/1tdoBKaGub7dwA3U6UFTqxio9LNnvDCQjHKmttSEBsFQ/edit?usp=sharing"",""จัดที่ดิน!AW15"")"),0)</f>
        <v>0</v>
      </c>
      <c r="K653" s="568">
        <f t="shared" ca="1" si="406"/>
        <v>0</v>
      </c>
      <c r="L653" s="574"/>
      <c r="M653" s="566"/>
      <c r="N653" s="1085"/>
      <c r="O653" s="566"/>
      <c r="P653" s="566"/>
      <c r="Q653" s="566"/>
      <c r="R653" s="566"/>
      <c r="S653" s="1085"/>
      <c r="T653" s="566"/>
      <c r="U653" s="566"/>
    </row>
    <row r="654" spans="1:21" ht="19.5" x14ac:dyDescent="0.3">
      <c r="A654" s="764"/>
      <c r="B654" s="718"/>
      <c r="C654" s="718"/>
      <c r="D654" s="573" t="s">
        <v>239</v>
      </c>
      <c r="E654" s="561"/>
      <c r="F654" s="561"/>
      <c r="G654" s="563"/>
      <c r="H654" s="1080" t="s">
        <v>46</v>
      </c>
      <c r="I654" s="1086">
        <f ca="1">IFERROR(__xludf.DUMMYFUNCTION("IMPORTRANGE(""https://docs.google.com/spreadsheets/d/1eHaY18a8A9IcSdp1K8H6x8fbOy06t2VsZHhMHf-1x7Y/edit?usp=sharing"",""แผน!IH15"")"),0)</f>
        <v>0</v>
      </c>
      <c r="J654" s="697">
        <f>J657+J660</f>
        <v>0</v>
      </c>
      <c r="K654" s="679">
        <f t="shared" ca="1" si="406"/>
        <v>0</v>
      </c>
      <c r="L654" s="574"/>
      <c r="M654" s="566"/>
      <c r="N654" s="1085"/>
      <c r="O654" s="566"/>
      <c r="P654" s="566"/>
      <c r="Q654" s="566"/>
      <c r="R654" s="566"/>
      <c r="S654" s="1085"/>
      <c r="T654" s="566"/>
      <c r="U654" s="566"/>
    </row>
    <row r="655" spans="1:21" ht="18.75" x14ac:dyDescent="0.25">
      <c r="A655" s="764"/>
      <c r="B655" s="718"/>
      <c r="C655" s="718"/>
      <c r="D655" s="561"/>
      <c r="E655" s="573" t="s">
        <v>240</v>
      </c>
      <c r="F655" s="561"/>
      <c r="G655" s="563"/>
      <c r="H655" s="686" t="s">
        <v>35</v>
      </c>
      <c r="I655" s="727"/>
      <c r="J655" s="702">
        <v>0</v>
      </c>
      <c r="K655" s="566"/>
      <c r="L655" s="574"/>
      <c r="M655" s="566"/>
      <c r="N655" s="1085"/>
      <c r="O655" s="566"/>
      <c r="P655" s="566"/>
      <c r="Q655" s="566"/>
      <c r="R655" s="566"/>
      <c r="S655" s="1085"/>
      <c r="T655" s="566"/>
      <c r="U655" s="566"/>
    </row>
    <row r="656" spans="1:21" ht="18.75" x14ac:dyDescent="0.25">
      <c r="A656" s="764"/>
      <c r="B656" s="718"/>
      <c r="C656" s="718"/>
      <c r="D656" s="561"/>
      <c r="E656" s="561"/>
      <c r="F656" s="561"/>
      <c r="G656" s="563"/>
      <c r="H656" s="686" t="s">
        <v>34</v>
      </c>
      <c r="I656" s="727"/>
      <c r="J656" s="702">
        <v>0</v>
      </c>
      <c r="K656" s="566"/>
      <c r="L656" s="574"/>
      <c r="M656" s="566"/>
      <c r="N656" s="1085"/>
      <c r="O656" s="566"/>
      <c r="P656" s="566"/>
      <c r="Q656" s="566"/>
      <c r="R656" s="566"/>
      <c r="S656" s="1085"/>
      <c r="T656" s="566"/>
      <c r="U656" s="566"/>
    </row>
    <row r="657" spans="1:21" ht="18.75" x14ac:dyDescent="0.25">
      <c r="A657" s="764"/>
      <c r="B657" s="718"/>
      <c r="C657" s="718"/>
      <c r="D657" s="561"/>
      <c r="E657" s="561"/>
      <c r="F657" s="561"/>
      <c r="G657" s="563"/>
      <c r="H657" s="686" t="s">
        <v>46</v>
      </c>
      <c r="I657" s="1084">
        <f ca="1">IFERROR(__xludf.DUMMYFUNCTION("IMPORTRANGE(""https://docs.google.com/spreadsheets/d/1eHaY18a8A9IcSdp1K8H6x8fbOy06t2VsZHhMHf-1x7Y/edit?usp=sharing"",""แผน!II15"")"),0)</f>
        <v>0</v>
      </c>
      <c r="J657" s="702">
        <v>0</v>
      </c>
      <c r="K657" s="566"/>
      <c r="L657" s="574"/>
      <c r="M657" s="566"/>
      <c r="N657" s="1085"/>
      <c r="O657" s="566"/>
      <c r="P657" s="566"/>
      <c r="Q657" s="566"/>
      <c r="R657" s="566"/>
      <c r="S657" s="1085"/>
      <c r="T657" s="566"/>
      <c r="U657" s="566"/>
    </row>
    <row r="658" spans="1:21" ht="18.75" x14ac:dyDescent="0.25">
      <c r="A658" s="764"/>
      <c r="B658" s="718"/>
      <c r="C658" s="718"/>
      <c r="D658" s="561"/>
      <c r="E658" s="573" t="s">
        <v>241</v>
      </c>
      <c r="F658" s="561"/>
      <c r="G658" s="563"/>
      <c r="H658" s="686" t="s">
        <v>35</v>
      </c>
      <c r="I658" s="727"/>
      <c r="J658" s="702">
        <v>0</v>
      </c>
      <c r="K658" s="566"/>
      <c r="L658" s="574"/>
      <c r="M658" s="566"/>
      <c r="N658" s="1085"/>
      <c r="O658" s="566"/>
      <c r="P658" s="566"/>
      <c r="Q658" s="566"/>
      <c r="R658" s="566"/>
      <c r="S658" s="1085"/>
      <c r="T658" s="566"/>
      <c r="U658" s="566"/>
    </row>
    <row r="659" spans="1:21" ht="18.75" x14ac:dyDescent="0.25">
      <c r="A659" s="764"/>
      <c r="B659" s="718"/>
      <c r="C659" s="718"/>
      <c r="D659" s="561"/>
      <c r="E659" s="561"/>
      <c r="F659" s="561"/>
      <c r="G659" s="563"/>
      <c r="H659" s="686" t="s">
        <v>34</v>
      </c>
      <c r="I659" s="727"/>
      <c r="J659" s="702">
        <v>0</v>
      </c>
      <c r="K659" s="566"/>
      <c r="L659" s="574"/>
      <c r="M659" s="566"/>
      <c r="N659" s="1085"/>
      <c r="O659" s="566"/>
      <c r="P659" s="566"/>
      <c r="Q659" s="566"/>
      <c r="R659" s="566"/>
      <c r="S659" s="1085"/>
      <c r="T659" s="566"/>
      <c r="U659" s="566"/>
    </row>
    <row r="660" spans="1:21" ht="18.75" x14ac:dyDescent="0.25">
      <c r="A660" s="764"/>
      <c r="B660" s="718"/>
      <c r="C660" s="718"/>
      <c r="D660" s="561"/>
      <c r="E660" s="561"/>
      <c r="F660" s="561"/>
      <c r="G660" s="563"/>
      <c r="H660" s="686" t="s">
        <v>46</v>
      </c>
      <c r="I660" s="1084">
        <f ca="1">IFERROR(__xludf.DUMMYFUNCTION("IMPORTRANGE(""https://docs.google.com/spreadsheets/d/1eHaY18a8A9IcSdp1K8H6x8fbOy06t2VsZHhMHf-1x7Y/edit?usp=sharing"",""แผน!IJ15"")"),0)</f>
        <v>0</v>
      </c>
      <c r="J660" s="702">
        <v>0</v>
      </c>
      <c r="K660" s="566"/>
      <c r="L660" s="574"/>
      <c r="M660" s="566"/>
      <c r="N660" s="1085"/>
      <c r="O660" s="566"/>
      <c r="P660" s="566"/>
      <c r="Q660" s="566"/>
      <c r="R660" s="566"/>
      <c r="S660" s="1085"/>
      <c r="T660" s="566"/>
      <c r="U660" s="566"/>
    </row>
    <row r="661" spans="1:21" ht="19.5" x14ac:dyDescent="0.3">
      <c r="A661" s="764"/>
      <c r="B661" s="718"/>
      <c r="C661" s="718"/>
      <c r="D661" s="987" t="s">
        <v>242</v>
      </c>
      <c r="E661" s="561"/>
      <c r="F661" s="561"/>
      <c r="G661" s="563"/>
      <c r="H661" s="1080" t="s">
        <v>46</v>
      </c>
      <c r="I661" s="1086">
        <f ca="1">IFERROR(__xludf.DUMMYFUNCTION("IMPORTRANGE(""https://docs.google.com/spreadsheets/d/1eHaY18a8A9IcSdp1K8H6x8fbOy06t2VsZHhMHf-1x7Y/edit?usp=sharing"",""แผน!IK15"")"),0)</f>
        <v>0</v>
      </c>
      <c r="J661" s="697">
        <f>J667+J670</f>
        <v>0</v>
      </c>
      <c r="K661" s="679">
        <f ca="1">IF(I661&gt;0,J661*100/I661,0)</f>
        <v>0</v>
      </c>
      <c r="L661" s="574"/>
      <c r="M661" s="566"/>
      <c r="N661" s="1085"/>
      <c r="O661" s="566"/>
      <c r="P661" s="566"/>
      <c r="Q661" s="566"/>
      <c r="R661" s="566"/>
      <c r="S661" s="1085"/>
      <c r="T661" s="566"/>
      <c r="U661" s="566"/>
    </row>
    <row r="662" spans="1:21" ht="18.75" x14ac:dyDescent="0.25">
      <c r="A662" s="764"/>
      <c r="B662" s="718"/>
      <c r="C662" s="718"/>
      <c r="D662" s="561"/>
      <c r="E662" s="573" t="s">
        <v>243</v>
      </c>
      <c r="F662" s="561"/>
      <c r="G662" s="563"/>
      <c r="H662" s="686" t="s">
        <v>34</v>
      </c>
      <c r="I662" s="727"/>
      <c r="J662" s="702">
        <v>0</v>
      </c>
      <c r="K662" s="566"/>
      <c r="L662" s="1087"/>
      <c r="M662" s="566"/>
      <c r="N662" s="1085"/>
      <c r="O662" s="566"/>
      <c r="P662" s="566"/>
      <c r="Q662" s="1085"/>
      <c r="R662" s="566"/>
      <c r="S662" s="1085"/>
      <c r="T662" s="566"/>
      <c r="U662" s="566"/>
    </row>
    <row r="663" spans="1:21" ht="18.75" x14ac:dyDescent="0.25">
      <c r="A663" s="764"/>
      <c r="B663" s="718"/>
      <c r="C663" s="718"/>
      <c r="D663" s="561"/>
      <c r="E663" s="561"/>
      <c r="F663" s="561"/>
      <c r="G663" s="563"/>
      <c r="H663" s="686" t="s">
        <v>46</v>
      </c>
      <c r="I663" s="727"/>
      <c r="J663" s="702">
        <v>0</v>
      </c>
      <c r="K663" s="566"/>
      <c r="L663" s="1087"/>
      <c r="M663" s="566"/>
      <c r="N663" s="1085"/>
      <c r="O663" s="566"/>
      <c r="P663" s="566"/>
      <c r="Q663" s="1085"/>
      <c r="R663" s="566"/>
      <c r="S663" s="1085"/>
      <c r="T663" s="566"/>
      <c r="U663" s="566"/>
    </row>
    <row r="664" spans="1:21" ht="18.75" x14ac:dyDescent="0.25">
      <c r="A664" s="764"/>
      <c r="B664" s="718"/>
      <c r="C664" s="718"/>
      <c r="D664" s="561"/>
      <c r="E664" s="573" t="s">
        <v>244</v>
      </c>
      <c r="F664" s="561"/>
      <c r="G664" s="563"/>
      <c r="H664" s="725"/>
      <c r="I664" s="727"/>
      <c r="J664" s="565"/>
      <c r="K664" s="566"/>
      <c r="L664" s="1087"/>
      <c r="M664" s="566"/>
      <c r="N664" s="1085"/>
      <c r="O664" s="566"/>
      <c r="P664" s="566"/>
      <c r="Q664" s="1085"/>
      <c r="R664" s="566"/>
      <c r="S664" s="1085"/>
      <c r="T664" s="566"/>
      <c r="U664" s="566"/>
    </row>
    <row r="665" spans="1:21" ht="18.75" x14ac:dyDescent="0.25">
      <c r="A665" s="764"/>
      <c r="B665" s="718"/>
      <c r="C665" s="718"/>
      <c r="D665" s="561"/>
      <c r="E665" s="561"/>
      <c r="F665" s="573" t="s">
        <v>245</v>
      </c>
      <c r="G665" s="563"/>
      <c r="H665" s="686" t="s">
        <v>35</v>
      </c>
      <c r="I665" s="727"/>
      <c r="J665" s="702">
        <v>0</v>
      </c>
      <c r="K665" s="566"/>
      <c r="L665" s="1087"/>
      <c r="M665" s="566"/>
      <c r="N665" s="1085"/>
      <c r="O665" s="566"/>
      <c r="P665" s="566"/>
      <c r="Q665" s="1085"/>
      <c r="R665" s="566"/>
      <c r="S665" s="1085"/>
      <c r="T665" s="566"/>
      <c r="U665" s="566"/>
    </row>
    <row r="666" spans="1:21" ht="18.75" x14ac:dyDescent="0.25">
      <c r="A666" s="764"/>
      <c r="B666" s="718"/>
      <c r="C666" s="718"/>
      <c r="D666" s="561"/>
      <c r="E666" s="561"/>
      <c r="F666" s="561"/>
      <c r="G666" s="563"/>
      <c r="H666" s="686" t="s">
        <v>34</v>
      </c>
      <c r="I666" s="727"/>
      <c r="J666" s="702">
        <v>0</v>
      </c>
      <c r="K666" s="566"/>
      <c r="L666" s="1087"/>
      <c r="M666" s="566"/>
      <c r="N666" s="1085"/>
      <c r="O666" s="566"/>
      <c r="P666" s="566"/>
      <c r="Q666" s="1085"/>
      <c r="R666" s="566"/>
      <c r="S666" s="1085"/>
      <c r="T666" s="566"/>
      <c r="U666" s="566"/>
    </row>
    <row r="667" spans="1:21" ht="18.75" x14ac:dyDescent="0.25">
      <c r="A667" s="764"/>
      <c r="B667" s="718"/>
      <c r="C667" s="718"/>
      <c r="D667" s="561"/>
      <c r="E667" s="561"/>
      <c r="F667" s="561"/>
      <c r="G667" s="563"/>
      <c r="H667" s="686" t="s">
        <v>46</v>
      </c>
      <c r="I667" s="727"/>
      <c r="J667" s="702">
        <v>0</v>
      </c>
      <c r="K667" s="566"/>
      <c r="L667" s="1087"/>
      <c r="M667" s="566"/>
      <c r="N667" s="1085"/>
      <c r="O667" s="566"/>
      <c r="P667" s="566"/>
      <c r="Q667" s="1085"/>
      <c r="R667" s="566"/>
      <c r="S667" s="1085"/>
      <c r="T667" s="566"/>
      <c r="U667" s="566"/>
    </row>
    <row r="668" spans="1:21" ht="18.75" x14ac:dyDescent="0.25">
      <c r="A668" s="764"/>
      <c r="B668" s="718"/>
      <c r="C668" s="718"/>
      <c r="D668" s="561"/>
      <c r="E668" s="561"/>
      <c r="F668" s="573" t="s">
        <v>246</v>
      </c>
      <c r="G668" s="563"/>
      <c r="H668" s="686" t="s">
        <v>35</v>
      </c>
      <c r="I668" s="727"/>
      <c r="J668" s="702">
        <v>0</v>
      </c>
      <c r="K668" s="566"/>
      <c r="L668" s="1087"/>
      <c r="M668" s="566"/>
      <c r="N668" s="1085"/>
      <c r="O668" s="566"/>
      <c r="P668" s="566"/>
      <c r="Q668" s="1085"/>
      <c r="R668" s="566"/>
      <c r="S668" s="1085"/>
      <c r="T668" s="566"/>
      <c r="U668" s="566"/>
    </row>
    <row r="669" spans="1:21" ht="18.75" x14ac:dyDescent="0.25">
      <c r="A669" s="764"/>
      <c r="B669" s="718"/>
      <c r="C669" s="718"/>
      <c r="D669" s="561"/>
      <c r="E669" s="561"/>
      <c r="F669" s="561"/>
      <c r="G669" s="563"/>
      <c r="H669" s="686" t="s">
        <v>34</v>
      </c>
      <c r="I669" s="727"/>
      <c r="J669" s="702">
        <v>0</v>
      </c>
      <c r="K669" s="566"/>
      <c r="L669" s="1087"/>
      <c r="M669" s="566"/>
      <c r="N669" s="1085"/>
      <c r="O669" s="566"/>
      <c r="P669" s="566"/>
      <c r="Q669" s="1085"/>
      <c r="R669" s="566"/>
      <c r="S669" s="1085"/>
      <c r="T669" s="566"/>
      <c r="U669" s="566"/>
    </row>
    <row r="670" spans="1:21" ht="18.75" x14ac:dyDescent="0.25">
      <c r="A670" s="764"/>
      <c r="B670" s="718"/>
      <c r="C670" s="718"/>
      <c r="D670" s="561"/>
      <c r="E670" s="561"/>
      <c r="F670" s="561"/>
      <c r="G670" s="563"/>
      <c r="H670" s="686" t="s">
        <v>46</v>
      </c>
      <c r="I670" s="727"/>
      <c r="J670" s="702">
        <v>0</v>
      </c>
      <c r="K670" s="566"/>
      <c r="L670" s="1087"/>
      <c r="M670" s="566"/>
      <c r="N670" s="1085"/>
      <c r="O670" s="566"/>
      <c r="P670" s="566"/>
      <c r="Q670" s="1085"/>
      <c r="R670" s="566"/>
      <c r="S670" s="1085"/>
      <c r="T670" s="566"/>
      <c r="U670" s="566"/>
    </row>
    <row r="671" spans="1:21" ht="18.75" x14ac:dyDescent="0.25">
      <c r="A671" s="764"/>
      <c r="B671" s="718"/>
      <c r="C671" s="718"/>
      <c r="D671" s="573" t="s">
        <v>247</v>
      </c>
      <c r="E671" s="561"/>
      <c r="F671" s="561"/>
      <c r="G671" s="563"/>
      <c r="H671" s="686" t="s">
        <v>35</v>
      </c>
      <c r="I671" s="727"/>
      <c r="J671" s="708">
        <f ca="1">IFERROR(__xludf.DUMMYFUNCTION("IMPORTRANGE(""https://docs.google.com/spreadsheets/d/1tdoBKaGub7dwA3U6UFTqxio9LNnvDCQjHKmttSEBsFQ/edit?usp=sharing"",""จัดที่ดิน!AY15"")"),0)</f>
        <v>0</v>
      </c>
      <c r="K671" s="566"/>
      <c r="L671" s="574"/>
      <c r="M671" s="566"/>
      <c r="N671" s="1085"/>
      <c r="O671" s="566"/>
      <c r="P671" s="566"/>
      <c r="Q671" s="566"/>
      <c r="R671" s="566"/>
      <c r="S671" s="1085"/>
      <c r="T671" s="566"/>
      <c r="U671" s="566"/>
    </row>
    <row r="672" spans="1:21" ht="18.75" x14ac:dyDescent="0.25">
      <c r="A672" s="764"/>
      <c r="B672" s="718"/>
      <c r="C672" s="718"/>
      <c r="D672" s="561"/>
      <c r="E672" s="561"/>
      <c r="F672" s="561"/>
      <c r="G672" s="563"/>
      <c r="H672" s="686" t="s">
        <v>34</v>
      </c>
      <c r="I672" s="727"/>
      <c r="J672" s="708">
        <f ca="1">IFERROR(__xludf.DUMMYFUNCTION("IMPORTRANGE(""https://docs.google.com/spreadsheets/d/1tdoBKaGub7dwA3U6UFTqxio9LNnvDCQjHKmttSEBsFQ/edit?usp=sharing"",""จัดที่ดิน!AZ15"")"),0)</f>
        <v>0</v>
      </c>
      <c r="K672" s="566"/>
      <c r="L672" s="1087"/>
      <c r="M672" s="566"/>
      <c r="N672" s="1085"/>
      <c r="O672" s="566"/>
      <c r="P672" s="566"/>
      <c r="Q672" s="1085"/>
      <c r="R672" s="566"/>
      <c r="S672" s="1085"/>
      <c r="T672" s="566"/>
      <c r="U672" s="566"/>
    </row>
    <row r="673" spans="1:21" ht="18.75" x14ac:dyDescent="0.25">
      <c r="A673" s="764"/>
      <c r="B673" s="718"/>
      <c r="C673" s="718"/>
      <c r="D673" s="561"/>
      <c r="E673" s="561"/>
      <c r="F673" s="561"/>
      <c r="G673" s="563"/>
      <c r="H673" s="686" t="s">
        <v>46</v>
      </c>
      <c r="I673" s="1084">
        <f ca="1">IFERROR(__xludf.DUMMYFUNCTION("IMPORTRANGE(""https://docs.google.com/spreadsheets/d/1eHaY18a8A9IcSdp1K8H6x8fbOy06t2VsZHhMHf-1x7Y/edit?usp=sharing"",""แผน!IL15"")"),0)</f>
        <v>0</v>
      </c>
      <c r="J673" s="708">
        <f ca="1">IFERROR(__xludf.DUMMYFUNCTION("IMPORTRANGE(""https://docs.google.com/spreadsheets/d/1tdoBKaGub7dwA3U6UFTqxio9LNnvDCQjHKmttSEBsFQ/edit?usp=sharing"",""จัดที่ดิน!BA15"")"),0)</f>
        <v>0</v>
      </c>
      <c r="K673" s="568">
        <f t="shared" ref="K673:K676" ca="1" si="407">IF(I673&gt;0,J673*100/I673,0)</f>
        <v>0</v>
      </c>
      <c r="L673" s="1087"/>
      <c r="M673" s="566"/>
      <c r="N673" s="1085"/>
      <c r="O673" s="566"/>
      <c r="P673" s="566"/>
      <c r="Q673" s="1085"/>
      <c r="R673" s="566"/>
      <c r="S673" s="1085"/>
      <c r="T673" s="566"/>
      <c r="U673" s="566"/>
    </row>
    <row r="674" spans="1:21" ht="19.5" x14ac:dyDescent="0.3">
      <c r="A674" s="764"/>
      <c r="B674" s="718"/>
      <c r="C674" s="718"/>
      <c r="D674" s="573" t="s">
        <v>248</v>
      </c>
      <c r="E674" s="561"/>
      <c r="F674" s="561"/>
      <c r="G674" s="563"/>
      <c r="H674" s="1080" t="s">
        <v>35</v>
      </c>
      <c r="I674" s="1086">
        <f ca="1">IFERROR(__xludf.DUMMYFUNCTION("IMPORTRANGE(""https://docs.google.com/spreadsheets/d/1eHaY18a8A9IcSdp1K8H6x8fbOy06t2VsZHhMHf-1x7Y/edit?usp=sharing"",""แผน!IM15"")"),0)</f>
        <v>0</v>
      </c>
      <c r="J674" s="697">
        <f ca="1">J676+J679</f>
        <v>0</v>
      </c>
      <c r="K674" s="679">
        <f t="shared" ca="1" si="407"/>
        <v>0</v>
      </c>
      <c r="L674" s="1087"/>
      <c r="M674" s="566"/>
      <c r="N674" s="1085"/>
      <c r="O674" s="566"/>
      <c r="P674" s="566"/>
      <c r="Q674" s="1085"/>
      <c r="R674" s="566"/>
      <c r="S674" s="1085"/>
      <c r="T674" s="566"/>
      <c r="U674" s="566"/>
    </row>
    <row r="675" spans="1:21" ht="19.5" x14ac:dyDescent="0.3">
      <c r="A675" s="764"/>
      <c r="B675" s="718"/>
      <c r="C675" s="718"/>
      <c r="D675" s="561"/>
      <c r="E675" s="561"/>
      <c r="F675" s="561"/>
      <c r="G675" s="563"/>
      <c r="H675" s="1080" t="s">
        <v>46</v>
      </c>
      <c r="I675" s="1086">
        <f ca="1">IFERROR(__xludf.DUMMYFUNCTION("IMPORTRANGE(""https://docs.google.com/spreadsheets/d/1eHaY18a8A9IcSdp1K8H6x8fbOy06t2VsZHhMHf-1x7Y/edit?usp=sharing"",""แผน!IN15"")"),0)</f>
        <v>0</v>
      </c>
      <c r="J675" s="697">
        <f ca="1">J678+J681</f>
        <v>0</v>
      </c>
      <c r="K675" s="679">
        <f t="shared" ca="1" si="407"/>
        <v>0</v>
      </c>
      <c r="L675" s="574"/>
      <c r="M675" s="566"/>
      <c r="N675" s="1085"/>
      <c r="O675" s="566"/>
      <c r="P675" s="566"/>
      <c r="Q675" s="566"/>
      <c r="R675" s="566"/>
      <c r="S675" s="1085"/>
      <c r="T675" s="566"/>
      <c r="U675" s="566"/>
    </row>
    <row r="676" spans="1:21" ht="18.75" x14ac:dyDescent="0.25">
      <c r="A676" s="764"/>
      <c r="B676" s="718"/>
      <c r="C676" s="718"/>
      <c r="D676" s="561"/>
      <c r="E676" s="573" t="s">
        <v>249</v>
      </c>
      <c r="F676" s="561"/>
      <c r="G676" s="563"/>
      <c r="H676" s="686" t="s">
        <v>35</v>
      </c>
      <c r="I676" s="1084">
        <f ca="1">IFERROR(__xludf.DUMMYFUNCTION("IMPORTRANGE(""https://docs.google.com/spreadsheets/d/1eHaY18a8A9IcSdp1K8H6x8fbOy06t2VsZHhMHf-1x7Y/edit?usp=sharing"",""แผน!IO15"")"),0)</f>
        <v>0</v>
      </c>
      <c r="J676" s="708">
        <f ca="1">IFERROR(__xludf.DUMMYFUNCTION("IMPORTRANGE(""https://docs.google.com/spreadsheets/d/1tdoBKaGub7dwA3U6UFTqxio9LNnvDCQjHKmttSEBsFQ/edit?usp=sharing"",""จัดที่ดิน!BF15"")"),0)</f>
        <v>0</v>
      </c>
      <c r="K676" s="568">
        <f t="shared" ca="1" si="407"/>
        <v>0</v>
      </c>
      <c r="L676" s="574"/>
      <c r="M676" s="566"/>
      <c r="N676" s="1085"/>
      <c r="O676" s="566"/>
      <c r="P676" s="566"/>
      <c r="Q676" s="566"/>
      <c r="R676" s="566"/>
      <c r="S676" s="1085"/>
      <c r="T676" s="566"/>
      <c r="U676" s="566"/>
    </row>
    <row r="677" spans="1:21" ht="18.75" x14ac:dyDescent="0.25">
      <c r="A677" s="764"/>
      <c r="B677" s="718"/>
      <c r="C677" s="718"/>
      <c r="D677" s="561"/>
      <c r="E677" s="561"/>
      <c r="F677" s="561"/>
      <c r="G677" s="563"/>
      <c r="H677" s="686" t="s">
        <v>34</v>
      </c>
      <c r="I677" s="727"/>
      <c r="J677" s="708">
        <f ca="1">IFERROR(__xludf.DUMMYFUNCTION("IMPORTRANGE(""https://docs.google.com/spreadsheets/d/1tdoBKaGub7dwA3U6UFTqxio9LNnvDCQjHKmttSEBsFQ/edit?usp=sharing"",""จัดที่ดิน!BG15"")"),0)</f>
        <v>0</v>
      </c>
      <c r="K677" s="566"/>
      <c r="L677" s="1087"/>
      <c r="M677" s="566"/>
      <c r="N677" s="1085"/>
      <c r="O677" s="566"/>
      <c r="P677" s="566"/>
      <c r="Q677" s="1085"/>
      <c r="R677" s="566"/>
      <c r="S677" s="1085"/>
      <c r="T677" s="566"/>
      <c r="U677" s="566"/>
    </row>
    <row r="678" spans="1:21" ht="18.75" x14ac:dyDescent="0.25">
      <c r="A678" s="764"/>
      <c r="B678" s="718"/>
      <c r="C678" s="718"/>
      <c r="D678" s="561"/>
      <c r="E678" s="561"/>
      <c r="F678" s="561"/>
      <c r="G678" s="563"/>
      <c r="H678" s="686" t="s">
        <v>46</v>
      </c>
      <c r="I678" s="1084">
        <f ca="1">IFERROR(__xludf.DUMMYFUNCTION("IMPORTRANGE(""https://docs.google.com/spreadsheets/d/1eHaY18a8A9IcSdp1K8H6x8fbOy06t2VsZHhMHf-1x7Y/edit?usp=sharing"",""แผน!IP15"")"),0)</f>
        <v>0</v>
      </c>
      <c r="J678" s="708">
        <f ca="1">IFERROR(__xludf.DUMMYFUNCTION("IMPORTRANGE(""https://docs.google.com/spreadsheets/d/1tdoBKaGub7dwA3U6UFTqxio9LNnvDCQjHKmttSEBsFQ/edit?usp=sharing"",""จัดที่ดิน!BH15"")"),0)</f>
        <v>0</v>
      </c>
      <c r="K678" s="568">
        <f t="shared" ref="K678:K679" ca="1" si="408">IF(I678&gt;0,J678*100/I678,0)</f>
        <v>0</v>
      </c>
      <c r="L678" s="1087"/>
      <c r="M678" s="566"/>
      <c r="N678" s="1085"/>
      <c r="O678" s="566"/>
      <c r="P678" s="566"/>
      <c r="Q678" s="1085"/>
      <c r="R678" s="566"/>
      <c r="S678" s="1085"/>
      <c r="T678" s="566"/>
      <c r="U678" s="566"/>
    </row>
    <row r="679" spans="1:21" ht="18.75" x14ac:dyDescent="0.25">
      <c r="A679" s="764"/>
      <c r="B679" s="718"/>
      <c r="C679" s="718"/>
      <c r="D679" s="561"/>
      <c r="E679" s="573" t="s">
        <v>250</v>
      </c>
      <c r="F679" s="561"/>
      <c r="G679" s="563"/>
      <c r="H679" s="686" t="s">
        <v>35</v>
      </c>
      <c r="I679" s="1084">
        <f ca="1">IFERROR(__xludf.DUMMYFUNCTION("IMPORTRANGE(""https://docs.google.com/spreadsheets/d/1eHaY18a8A9IcSdp1K8H6x8fbOy06t2VsZHhMHf-1x7Y/edit?usp=sharing"",""แผน!IQ15"")"),0)</f>
        <v>0</v>
      </c>
      <c r="J679" s="708">
        <f ca="1">IFERROR(__xludf.DUMMYFUNCTION("IMPORTRANGE(""https://docs.google.com/spreadsheets/d/1tdoBKaGub7dwA3U6UFTqxio9LNnvDCQjHKmttSEBsFQ/edit?usp=sharing"",""จัดที่ดิน!BK15"")"),0)</f>
        <v>0</v>
      </c>
      <c r="K679" s="568">
        <f t="shared" ca="1" si="408"/>
        <v>0</v>
      </c>
      <c r="L679" s="574"/>
      <c r="M679" s="566"/>
      <c r="N679" s="1085"/>
      <c r="O679" s="566"/>
      <c r="P679" s="566"/>
      <c r="Q679" s="566"/>
      <c r="R679" s="566"/>
      <c r="S679" s="1085"/>
      <c r="T679" s="566"/>
      <c r="U679" s="566"/>
    </row>
    <row r="680" spans="1:21" ht="18.75" x14ac:dyDescent="0.25">
      <c r="A680" s="764"/>
      <c r="B680" s="718"/>
      <c r="C680" s="718"/>
      <c r="D680" s="561"/>
      <c r="E680" s="561"/>
      <c r="F680" s="561"/>
      <c r="G680" s="563"/>
      <c r="H680" s="686" t="s">
        <v>34</v>
      </c>
      <c r="I680" s="727"/>
      <c r="J680" s="708">
        <f ca="1">IFERROR(__xludf.DUMMYFUNCTION("IMPORTRANGE(""https://docs.google.com/spreadsheets/d/1tdoBKaGub7dwA3U6UFTqxio9LNnvDCQjHKmttSEBsFQ/edit?usp=sharing"",""จัดที่ดิน!BL15"")"),0)</f>
        <v>0</v>
      </c>
      <c r="K680" s="566"/>
      <c r="L680" s="1087"/>
      <c r="M680" s="566"/>
      <c r="N680" s="1085"/>
      <c r="O680" s="566"/>
      <c r="P680" s="566"/>
      <c r="Q680" s="1085"/>
      <c r="R680" s="566"/>
      <c r="S680" s="1085"/>
      <c r="T680" s="566"/>
      <c r="U680" s="566"/>
    </row>
    <row r="681" spans="1:21" ht="18.75" x14ac:dyDescent="0.25">
      <c r="A681" s="764"/>
      <c r="B681" s="718"/>
      <c r="C681" s="718"/>
      <c r="D681" s="561"/>
      <c r="E681" s="561"/>
      <c r="F681" s="561"/>
      <c r="G681" s="563"/>
      <c r="H681" s="686" t="s">
        <v>46</v>
      </c>
      <c r="I681" s="1084">
        <f ca="1">IFERROR(__xludf.DUMMYFUNCTION("IMPORTRANGE(""https://docs.google.com/spreadsheets/d/1eHaY18a8A9IcSdp1K8H6x8fbOy06t2VsZHhMHf-1x7Y/edit?usp=sharing"",""แผน!IR15"")"),0)</f>
        <v>0</v>
      </c>
      <c r="J681" s="708">
        <f ca="1">IFERROR(__xludf.DUMMYFUNCTION("IMPORTRANGE(""https://docs.google.com/spreadsheets/d/1tdoBKaGub7dwA3U6UFTqxio9LNnvDCQjHKmttSEBsFQ/edit?usp=sharing"",""จัดที่ดิน!BM15"")"),0)</f>
        <v>0</v>
      </c>
      <c r="K681" s="568">
        <f t="shared" ref="K681:K682" ca="1" si="409">IF(I681&gt;0,J681*100/I681,0)</f>
        <v>0</v>
      </c>
      <c r="L681" s="1087"/>
      <c r="M681" s="566"/>
      <c r="N681" s="1085"/>
      <c r="O681" s="566"/>
      <c r="P681" s="566"/>
      <c r="Q681" s="1085"/>
      <c r="R681" s="566"/>
      <c r="S681" s="1085"/>
      <c r="T681" s="566"/>
      <c r="U681" s="566"/>
    </row>
    <row r="682" spans="1:21" ht="19.5" x14ac:dyDescent="0.3">
      <c r="A682" s="764"/>
      <c r="B682" s="718"/>
      <c r="C682" s="718"/>
      <c r="D682" s="573" t="s">
        <v>251</v>
      </c>
      <c r="E682" s="561"/>
      <c r="F682" s="561"/>
      <c r="G682" s="563"/>
      <c r="H682" s="1080" t="s">
        <v>46</v>
      </c>
      <c r="I682" s="1086">
        <f ca="1">IFERROR(__xludf.DUMMYFUNCTION("IMPORTRANGE(""https://docs.google.com/spreadsheets/d/1eHaY18a8A9IcSdp1K8H6x8fbOy06t2VsZHhMHf-1x7Y/edit?usp=sharing"",""แผน!IS15"")"),0)</f>
        <v>0</v>
      </c>
      <c r="J682" s="697">
        <f>J685+J688</f>
        <v>0</v>
      </c>
      <c r="K682" s="679">
        <f t="shared" ca="1" si="409"/>
        <v>0</v>
      </c>
      <c r="L682" s="574"/>
      <c r="M682" s="566"/>
      <c r="N682" s="1085"/>
      <c r="O682" s="566"/>
      <c r="P682" s="566"/>
      <c r="Q682" s="566"/>
      <c r="R682" s="566"/>
      <c r="S682" s="1085"/>
      <c r="T682" s="566"/>
      <c r="U682" s="566"/>
    </row>
    <row r="683" spans="1:21" ht="18.75" x14ac:dyDescent="0.25">
      <c r="A683" s="764"/>
      <c r="B683" s="718"/>
      <c r="C683" s="718"/>
      <c r="D683" s="561"/>
      <c r="E683" s="573" t="s">
        <v>252</v>
      </c>
      <c r="F683" s="561"/>
      <c r="G683" s="563"/>
      <c r="H683" s="686" t="s">
        <v>35</v>
      </c>
      <c r="I683" s="727"/>
      <c r="J683" s="702">
        <v>0</v>
      </c>
      <c r="K683" s="566"/>
      <c r="L683" s="1087"/>
      <c r="M683" s="566"/>
      <c r="N683" s="1085"/>
      <c r="O683" s="566"/>
      <c r="P683" s="566"/>
      <c r="Q683" s="1085"/>
      <c r="R683" s="566"/>
      <c r="S683" s="1085"/>
      <c r="T683" s="566"/>
      <c r="U683" s="566"/>
    </row>
    <row r="684" spans="1:21" ht="18.75" x14ac:dyDescent="0.25">
      <c r="A684" s="764"/>
      <c r="B684" s="718"/>
      <c r="C684" s="718"/>
      <c r="D684" s="561"/>
      <c r="E684" s="561"/>
      <c r="F684" s="561"/>
      <c r="G684" s="563"/>
      <c r="H684" s="686" t="s">
        <v>34</v>
      </c>
      <c r="I684" s="727"/>
      <c r="J684" s="702">
        <v>0</v>
      </c>
      <c r="K684" s="566"/>
      <c r="L684" s="1087"/>
      <c r="M684" s="566"/>
      <c r="N684" s="1085"/>
      <c r="O684" s="566"/>
      <c r="P684" s="566"/>
      <c r="Q684" s="1085"/>
      <c r="R684" s="566"/>
      <c r="S684" s="1085"/>
      <c r="T684" s="566"/>
      <c r="U684" s="566"/>
    </row>
    <row r="685" spans="1:21" ht="18.75" x14ac:dyDescent="0.25">
      <c r="A685" s="764"/>
      <c r="B685" s="718"/>
      <c r="C685" s="718"/>
      <c r="D685" s="561"/>
      <c r="E685" s="561"/>
      <c r="F685" s="561"/>
      <c r="G685" s="563"/>
      <c r="H685" s="686" t="s">
        <v>46</v>
      </c>
      <c r="I685" s="727"/>
      <c r="J685" s="702">
        <v>0</v>
      </c>
      <c r="K685" s="566"/>
      <c r="L685" s="1087"/>
      <c r="M685" s="566"/>
      <c r="N685" s="1085"/>
      <c r="O685" s="566"/>
      <c r="P685" s="566"/>
      <c r="Q685" s="1085"/>
      <c r="R685" s="566"/>
      <c r="S685" s="1085"/>
      <c r="T685" s="566"/>
      <c r="U685" s="566"/>
    </row>
    <row r="686" spans="1:21" ht="18.75" x14ac:dyDescent="0.25">
      <c r="A686" s="764"/>
      <c r="B686" s="718"/>
      <c r="C686" s="718"/>
      <c r="D686" s="561"/>
      <c r="E686" s="573" t="s">
        <v>253</v>
      </c>
      <c r="F686" s="561"/>
      <c r="G686" s="563"/>
      <c r="H686" s="686" t="s">
        <v>35</v>
      </c>
      <c r="I686" s="727"/>
      <c r="J686" s="702">
        <v>0</v>
      </c>
      <c r="K686" s="566"/>
      <c r="L686" s="1087"/>
      <c r="M686" s="566"/>
      <c r="N686" s="1085"/>
      <c r="O686" s="566"/>
      <c r="P686" s="566"/>
      <c r="Q686" s="1085"/>
      <c r="R686" s="566"/>
      <c r="S686" s="1085"/>
      <c r="T686" s="566"/>
      <c r="U686" s="566"/>
    </row>
    <row r="687" spans="1:21" ht="18.75" x14ac:dyDescent="0.25">
      <c r="A687" s="764"/>
      <c r="B687" s="718"/>
      <c r="C687" s="718"/>
      <c r="D687" s="561"/>
      <c r="E687" s="561"/>
      <c r="F687" s="561"/>
      <c r="G687" s="563"/>
      <c r="H687" s="686" t="s">
        <v>34</v>
      </c>
      <c r="I687" s="727"/>
      <c r="J687" s="702">
        <v>0</v>
      </c>
      <c r="K687" s="566"/>
      <c r="L687" s="1087"/>
      <c r="M687" s="566"/>
      <c r="N687" s="1085"/>
      <c r="O687" s="566"/>
      <c r="P687" s="566"/>
      <c r="Q687" s="1085"/>
      <c r="R687" s="566"/>
      <c r="S687" s="1085"/>
      <c r="T687" s="566"/>
      <c r="U687" s="566"/>
    </row>
    <row r="688" spans="1:21" ht="19.5" x14ac:dyDescent="0.3">
      <c r="A688" s="863"/>
      <c r="B688" s="1088" t="s">
        <v>254</v>
      </c>
      <c r="C688" s="864"/>
      <c r="D688" s="512"/>
      <c r="E688" s="512"/>
      <c r="F688" s="512"/>
      <c r="G688" s="866"/>
      <c r="H688" s="1089" t="s">
        <v>46</v>
      </c>
      <c r="I688" s="985"/>
      <c r="J688" s="990">
        <v>0</v>
      </c>
      <c r="K688" s="580"/>
      <c r="L688" s="1090"/>
      <c r="M688" s="580"/>
      <c r="N688" s="1091"/>
      <c r="O688" s="580"/>
      <c r="P688" s="580"/>
      <c r="Q688" s="1091"/>
      <c r="R688" s="580"/>
      <c r="S688" s="1091"/>
      <c r="T688" s="580"/>
      <c r="U688" s="580"/>
    </row>
    <row r="689" spans="1:21" ht="19.5" x14ac:dyDescent="0.3">
      <c r="A689" s="1061"/>
      <c r="B689" s="1062" t="s">
        <v>255</v>
      </c>
      <c r="C689" s="1061"/>
      <c r="D689" s="1063"/>
      <c r="E689" s="1063"/>
      <c r="F689" s="1063"/>
      <c r="G689" s="1064"/>
      <c r="H689" s="1092" t="s">
        <v>35</v>
      </c>
      <c r="I689" s="1093">
        <f t="shared" ref="I689:J689" ca="1" si="410">I707</f>
        <v>100</v>
      </c>
      <c r="J689" s="1093">
        <f t="shared" ca="1" si="410"/>
        <v>30</v>
      </c>
      <c r="K689" s="1094">
        <f ca="1">IF(I689&gt;0,J689*100/I689,0)</f>
        <v>30</v>
      </c>
      <c r="L689" s="1068"/>
      <c r="M689" s="1067"/>
      <c r="N689" s="1067"/>
      <c r="O689" s="1067"/>
      <c r="P689" s="1067"/>
      <c r="Q689" s="1067"/>
      <c r="R689" s="1067"/>
      <c r="S689" s="1067"/>
      <c r="T689" s="1067"/>
      <c r="U689" s="1067"/>
    </row>
    <row r="690" spans="1:21" ht="19.5" x14ac:dyDescent="0.3">
      <c r="A690" s="674"/>
      <c r="B690" s="718"/>
      <c r="C690" s="724" t="s">
        <v>18</v>
      </c>
      <c r="D690" s="1310" t="s">
        <v>19</v>
      </c>
      <c r="E690" s="1311"/>
      <c r="F690" s="1311"/>
      <c r="G690" s="1312"/>
      <c r="H690" s="780" t="s">
        <v>14</v>
      </c>
      <c r="I690" s="565"/>
      <c r="J690" s="565"/>
      <c r="K690" s="566"/>
      <c r="L690" s="678">
        <f t="shared" ref="L690:N690" si="411">L691+L692</f>
        <v>0</v>
      </c>
      <c r="M690" s="679">
        <f t="shared" si="411"/>
        <v>0</v>
      </c>
      <c r="N690" s="679">
        <f t="shared" si="411"/>
        <v>0</v>
      </c>
      <c r="O690" s="679">
        <f t="shared" ref="O690:O698" si="412">IF(L690&gt;0,N690*100/L690,0)</f>
        <v>0</v>
      </c>
      <c r="P690" s="679">
        <f t="shared" ref="P690:P698" si="413">IF(M690&gt;0,N690*100/M690,0)</f>
        <v>0</v>
      </c>
      <c r="Q690" s="679">
        <f t="shared" ref="Q690:S690" ca="1" si="414">Q691+Q692</f>
        <v>169140</v>
      </c>
      <c r="R690" s="679">
        <f t="shared" ca="1" si="414"/>
        <v>169140</v>
      </c>
      <c r="S690" s="679">
        <f t="shared" ca="1" si="414"/>
        <v>13000</v>
      </c>
      <c r="T690" s="679">
        <f t="shared" ref="T690:T698" ca="1" si="415">IF(Q690&gt;0,S690*100/Q690,0)</f>
        <v>7.6859406408892044</v>
      </c>
      <c r="U690" s="679">
        <f t="shared" ref="U690:U698" ca="1" si="416">IF(R690&gt;0,S690*100/R690,0)</f>
        <v>7.6859406408892044</v>
      </c>
    </row>
    <row r="691" spans="1:21" ht="18.75" x14ac:dyDescent="0.25">
      <c r="A691" s="674"/>
      <c r="B691" s="718"/>
      <c r="C691" s="718"/>
      <c r="D691" s="695"/>
      <c r="E691" s="569" t="s">
        <v>158</v>
      </c>
      <c r="F691" s="561"/>
      <c r="G691" s="563"/>
      <c r="H691" s="685" t="s">
        <v>14</v>
      </c>
      <c r="I691" s="565"/>
      <c r="J691" s="565"/>
      <c r="K691" s="566"/>
      <c r="L691" s="571">
        <f t="shared" ref="L691:N692" si="417">L694+L697</f>
        <v>0</v>
      </c>
      <c r="M691" s="572">
        <f t="shared" si="417"/>
        <v>0</v>
      </c>
      <c r="N691" s="572">
        <f t="shared" si="417"/>
        <v>0</v>
      </c>
      <c r="O691" s="572">
        <f t="shared" si="412"/>
        <v>0</v>
      </c>
      <c r="P691" s="572">
        <f t="shared" si="413"/>
        <v>0</v>
      </c>
      <c r="Q691" s="572">
        <f t="shared" ref="Q691:S692" si="418">Q694+Q697</f>
        <v>0</v>
      </c>
      <c r="R691" s="572">
        <f t="shared" si="418"/>
        <v>0</v>
      </c>
      <c r="S691" s="572">
        <f t="shared" si="418"/>
        <v>0</v>
      </c>
      <c r="T691" s="572">
        <f t="shared" si="415"/>
        <v>0</v>
      </c>
      <c r="U691" s="572">
        <f t="shared" si="416"/>
        <v>0</v>
      </c>
    </row>
    <row r="692" spans="1:21" ht="18.75" x14ac:dyDescent="0.25">
      <c r="A692" s="674"/>
      <c r="B692" s="718"/>
      <c r="C692" s="718"/>
      <c r="D692" s="695"/>
      <c r="E692" s="573" t="s">
        <v>159</v>
      </c>
      <c r="F692" s="561"/>
      <c r="G692" s="563"/>
      <c r="H692" s="682" t="s">
        <v>14</v>
      </c>
      <c r="I692" s="565"/>
      <c r="J692" s="565"/>
      <c r="K692" s="566"/>
      <c r="L692" s="567">
        <f t="shared" si="417"/>
        <v>0</v>
      </c>
      <c r="M692" s="568">
        <f t="shared" si="417"/>
        <v>0</v>
      </c>
      <c r="N692" s="568">
        <f t="shared" si="417"/>
        <v>0</v>
      </c>
      <c r="O692" s="568">
        <f t="shared" si="412"/>
        <v>0</v>
      </c>
      <c r="P692" s="568">
        <f t="shared" si="413"/>
        <v>0</v>
      </c>
      <c r="Q692" s="568">
        <f t="shared" ca="1" si="418"/>
        <v>169140</v>
      </c>
      <c r="R692" s="568">
        <f t="shared" ca="1" si="418"/>
        <v>169140</v>
      </c>
      <c r="S692" s="568">
        <f t="shared" ca="1" si="418"/>
        <v>13000</v>
      </c>
      <c r="T692" s="568">
        <f t="shared" ca="1" si="415"/>
        <v>7.6859406408892044</v>
      </c>
      <c r="U692" s="568">
        <f t="shared" ca="1" si="416"/>
        <v>7.6859406408892044</v>
      </c>
    </row>
    <row r="693" spans="1:21" ht="18.75" x14ac:dyDescent="0.25">
      <c r="A693" s="674"/>
      <c r="B693" s="718"/>
      <c r="C693" s="718"/>
      <c r="D693" s="562" t="s">
        <v>22</v>
      </c>
      <c r="E693" s="561"/>
      <c r="F693" s="561"/>
      <c r="G693" s="563"/>
      <c r="H693" s="682" t="s">
        <v>14</v>
      </c>
      <c r="I693" s="683"/>
      <c r="J693" s="683"/>
      <c r="K693" s="684"/>
      <c r="L693" s="567">
        <f t="shared" ref="L693:N693" si="419">L694+L695</f>
        <v>0</v>
      </c>
      <c r="M693" s="568">
        <f t="shared" si="419"/>
        <v>0</v>
      </c>
      <c r="N693" s="568">
        <f t="shared" si="419"/>
        <v>0</v>
      </c>
      <c r="O693" s="568">
        <f t="shared" si="412"/>
        <v>0</v>
      </c>
      <c r="P693" s="568">
        <f t="shared" si="413"/>
        <v>0</v>
      </c>
      <c r="Q693" s="568">
        <f t="shared" ref="Q693:S693" ca="1" si="420">Q694+Q695</f>
        <v>169140</v>
      </c>
      <c r="R693" s="568">
        <f t="shared" ca="1" si="420"/>
        <v>169140</v>
      </c>
      <c r="S693" s="568">
        <f t="shared" ca="1" si="420"/>
        <v>13000</v>
      </c>
      <c r="T693" s="568">
        <f t="shared" ca="1" si="415"/>
        <v>7.6859406408892044</v>
      </c>
      <c r="U693" s="568">
        <f t="shared" ca="1" si="416"/>
        <v>7.6859406408892044</v>
      </c>
    </row>
    <row r="694" spans="1:21" ht="18.75" x14ac:dyDescent="0.25">
      <c r="A694" s="674"/>
      <c r="B694" s="718"/>
      <c r="C694" s="718"/>
      <c r="D694" s="695"/>
      <c r="E694" s="569" t="s">
        <v>158</v>
      </c>
      <c r="F694" s="561"/>
      <c r="G694" s="563"/>
      <c r="H694" s="685" t="s">
        <v>14</v>
      </c>
      <c r="I694" s="565"/>
      <c r="J694" s="565"/>
      <c r="K694" s="566"/>
      <c r="L694" s="571">
        <v>0</v>
      </c>
      <c r="M694" s="572">
        <v>0</v>
      </c>
      <c r="N694" s="572">
        <v>0</v>
      </c>
      <c r="O694" s="572">
        <f t="shared" si="412"/>
        <v>0</v>
      </c>
      <c r="P694" s="572">
        <f t="shared" si="413"/>
        <v>0</v>
      </c>
      <c r="Q694" s="572">
        <v>0</v>
      </c>
      <c r="R694" s="572">
        <v>0</v>
      </c>
      <c r="S694" s="572">
        <v>0</v>
      </c>
      <c r="T694" s="572">
        <f t="shared" si="415"/>
        <v>0</v>
      </c>
      <c r="U694" s="572">
        <f t="shared" si="416"/>
        <v>0</v>
      </c>
    </row>
    <row r="695" spans="1:21" ht="18.75" x14ac:dyDescent="0.25">
      <c r="A695" s="674"/>
      <c r="B695" s="718"/>
      <c r="C695" s="718"/>
      <c r="D695" s="695"/>
      <c r="E695" s="573" t="s">
        <v>159</v>
      </c>
      <c r="F695" s="561"/>
      <c r="G695" s="563"/>
      <c r="H695" s="682" t="s">
        <v>14</v>
      </c>
      <c r="I695" s="565"/>
      <c r="J695" s="565"/>
      <c r="K695" s="566"/>
      <c r="L695" s="567">
        <v>0</v>
      </c>
      <c r="M695" s="568">
        <v>0</v>
      </c>
      <c r="N695" s="568">
        <v>0</v>
      </c>
      <c r="O695" s="568">
        <f t="shared" si="412"/>
        <v>0</v>
      </c>
      <c r="P695" s="568">
        <f t="shared" si="413"/>
        <v>0</v>
      </c>
      <c r="Q695" s="568">
        <f ca="1">IFERROR(__xludf.DUMMYFUNCTION("IMPORTRANGE(""https://docs.google.com/spreadsheets/d/1ItG2mGa2ceCfYo0BwxsXqNm01IGEUdYcSSLTEv9YCik/edit?usp=sharing"",""เบิกจ่ายกองทุน!L15"")"),169140)</f>
        <v>169140</v>
      </c>
      <c r="R695" s="568">
        <f ca="1">IFERROR(__xludf.DUMMYFUNCTION("IMPORTRANGE(""https://docs.google.com/spreadsheets/d/1ItG2mGa2ceCfYo0BwxsXqNm01IGEUdYcSSLTEv9YCik/edit?usp=sharing"",""เบิกจ่ายกองทุน!M15"")"),169140)</f>
        <v>169140</v>
      </c>
      <c r="S695" s="568">
        <f ca="1">IFERROR(__xludf.DUMMYFUNCTION("IMPORTRANGE(""https://docs.google.com/spreadsheets/d/1ItG2mGa2ceCfYo0BwxsXqNm01IGEUdYcSSLTEv9YCik/edit?usp=sharing"",""เบิกจ่ายกองทุน!N15"")"),13000)</f>
        <v>13000</v>
      </c>
      <c r="T695" s="568">
        <f t="shared" ca="1" si="415"/>
        <v>7.6859406408892044</v>
      </c>
      <c r="U695" s="568">
        <f t="shared" ca="1" si="416"/>
        <v>7.6859406408892044</v>
      </c>
    </row>
    <row r="696" spans="1:21" ht="18.75" x14ac:dyDescent="0.25">
      <c r="A696" s="674"/>
      <c r="B696" s="718"/>
      <c r="C696" s="718"/>
      <c r="D696" s="562" t="s">
        <v>23</v>
      </c>
      <c r="E696" s="561"/>
      <c r="F696" s="561"/>
      <c r="G696" s="563"/>
      <c r="H696" s="686" t="s">
        <v>14</v>
      </c>
      <c r="I696" s="683"/>
      <c r="J696" s="683"/>
      <c r="K696" s="684"/>
      <c r="L696" s="567">
        <f t="shared" ref="L696:N696" si="421">L697+L698</f>
        <v>0</v>
      </c>
      <c r="M696" s="568">
        <f t="shared" si="421"/>
        <v>0</v>
      </c>
      <c r="N696" s="568">
        <f t="shared" si="421"/>
        <v>0</v>
      </c>
      <c r="O696" s="568">
        <f t="shared" si="412"/>
        <v>0</v>
      </c>
      <c r="P696" s="568">
        <f t="shared" si="413"/>
        <v>0</v>
      </c>
      <c r="Q696" s="568">
        <f t="shared" ref="Q696:S696" si="422">Q697+Q698</f>
        <v>0</v>
      </c>
      <c r="R696" s="568">
        <f t="shared" si="422"/>
        <v>0</v>
      </c>
      <c r="S696" s="568">
        <f t="shared" si="422"/>
        <v>0</v>
      </c>
      <c r="T696" s="568">
        <f t="shared" si="415"/>
        <v>0</v>
      </c>
      <c r="U696" s="568">
        <f t="shared" si="416"/>
        <v>0</v>
      </c>
    </row>
    <row r="697" spans="1:21" ht="18.75" x14ac:dyDescent="0.25">
      <c r="A697" s="674"/>
      <c r="B697" s="718"/>
      <c r="C697" s="718"/>
      <c r="D697" s="561"/>
      <c r="E697" s="569" t="s">
        <v>20</v>
      </c>
      <c r="F697" s="561"/>
      <c r="G697" s="563"/>
      <c r="H697" s="685" t="s">
        <v>14</v>
      </c>
      <c r="I697" s="683"/>
      <c r="J697" s="683"/>
      <c r="K697" s="684"/>
      <c r="L697" s="571">
        <v>0</v>
      </c>
      <c r="M697" s="572">
        <v>0</v>
      </c>
      <c r="N697" s="572">
        <v>0</v>
      </c>
      <c r="O697" s="572">
        <f t="shared" si="412"/>
        <v>0</v>
      </c>
      <c r="P697" s="572">
        <f t="shared" si="413"/>
        <v>0</v>
      </c>
      <c r="Q697" s="572">
        <v>0</v>
      </c>
      <c r="R697" s="572">
        <v>0</v>
      </c>
      <c r="S697" s="572">
        <v>0</v>
      </c>
      <c r="T697" s="572">
        <f t="shared" si="415"/>
        <v>0</v>
      </c>
      <c r="U697" s="572">
        <f t="shared" si="416"/>
        <v>0</v>
      </c>
    </row>
    <row r="698" spans="1:21" ht="18.75" x14ac:dyDescent="0.25">
      <c r="A698" s="674"/>
      <c r="B698" s="718"/>
      <c r="C698" s="718"/>
      <c r="D698" s="561"/>
      <c r="E698" s="573" t="s">
        <v>21</v>
      </c>
      <c r="F698" s="561"/>
      <c r="G698" s="563"/>
      <c r="H698" s="686" t="s">
        <v>14</v>
      </c>
      <c r="I698" s="683"/>
      <c r="J698" s="683"/>
      <c r="K698" s="684"/>
      <c r="L698" s="567">
        <v>0</v>
      </c>
      <c r="M698" s="568">
        <v>0</v>
      </c>
      <c r="N698" s="568">
        <v>0</v>
      </c>
      <c r="O698" s="568">
        <f t="shared" si="412"/>
        <v>0</v>
      </c>
      <c r="P698" s="568">
        <f t="shared" si="413"/>
        <v>0</v>
      </c>
      <c r="Q698" s="568">
        <v>0</v>
      </c>
      <c r="R698" s="568">
        <v>0</v>
      </c>
      <c r="S698" s="568">
        <v>0</v>
      </c>
      <c r="T698" s="568">
        <f t="shared" si="415"/>
        <v>0</v>
      </c>
      <c r="U698" s="568">
        <f t="shared" si="416"/>
        <v>0</v>
      </c>
    </row>
    <row r="699" spans="1:21" ht="19.5" x14ac:dyDescent="0.3">
      <c r="A699" s="687"/>
      <c r="B699" s="688"/>
      <c r="C699" s="724" t="s">
        <v>18</v>
      </c>
      <c r="D699" s="689" t="s">
        <v>38</v>
      </c>
      <c r="E699" s="690"/>
      <c r="F699" s="690"/>
      <c r="G699" s="690"/>
      <c r="H699" s="725"/>
      <c r="I699" s="683"/>
      <c r="J699" s="683"/>
      <c r="K699" s="684"/>
      <c r="L699" s="574"/>
      <c r="M699" s="566"/>
      <c r="N699" s="566"/>
      <c r="O699" s="566"/>
      <c r="P699" s="566"/>
      <c r="Q699" s="566"/>
      <c r="R699" s="566"/>
      <c r="S699" s="566"/>
      <c r="T699" s="566"/>
      <c r="U699" s="566"/>
    </row>
    <row r="700" spans="1:21" ht="18.75" x14ac:dyDescent="0.25">
      <c r="A700" s="764"/>
      <c r="B700" s="718"/>
      <c r="C700" s="718"/>
      <c r="D700" s="695"/>
      <c r="E700" s="694" t="s">
        <v>256</v>
      </c>
      <c r="F700" s="695"/>
      <c r="G700" s="692"/>
      <c r="H700" s="686" t="s">
        <v>257</v>
      </c>
      <c r="I700" s="708">
        <f ca="1">IFERROR(__xludf.DUMMYFUNCTION("IMPORTRANGE(""https://docs.google.com/spreadsheets/d/1eHaY18a8A9IcSdp1K8H6x8fbOy06t2VsZHhMHf-1x7Y/edit?usp=sharing"",""แผน!LC15"")"),0)</f>
        <v>0</v>
      </c>
      <c r="J700" s="702">
        <v>0</v>
      </c>
      <c r="K700" s="703">
        <f t="shared" ref="K700:K710" ca="1" si="423">IF(I700&gt;0,J700*100/I700,0)</f>
        <v>0</v>
      </c>
      <c r="L700" s="693"/>
      <c r="M700" s="684"/>
      <c r="N700" s="566"/>
      <c r="O700" s="684"/>
      <c r="P700" s="684"/>
      <c r="Q700" s="684"/>
      <c r="R700" s="684"/>
      <c r="S700" s="566"/>
      <c r="T700" s="684"/>
      <c r="U700" s="684"/>
    </row>
    <row r="701" spans="1:21" ht="19.5" x14ac:dyDescent="0.3">
      <c r="A701" s="764"/>
      <c r="B701" s="718"/>
      <c r="C701" s="718"/>
      <c r="D701" s="695"/>
      <c r="E701" s="1095" t="s">
        <v>258</v>
      </c>
      <c r="F701" s="695"/>
      <c r="G701" s="692"/>
      <c r="H701" s="677" t="s">
        <v>35</v>
      </c>
      <c r="I701" s="697">
        <f t="shared" ref="I701:J701" ca="1" si="424">I703+I705</f>
        <v>100</v>
      </c>
      <c r="J701" s="697">
        <f t="shared" ca="1" si="424"/>
        <v>90</v>
      </c>
      <c r="K701" s="679">
        <f t="shared" ca="1" si="423"/>
        <v>90</v>
      </c>
      <c r="L701" s="693"/>
      <c r="M701" s="684"/>
      <c r="N701" s="684"/>
      <c r="O701" s="684"/>
      <c r="P701" s="684"/>
      <c r="Q701" s="684"/>
      <c r="R701" s="684"/>
      <c r="S701" s="684"/>
      <c r="T701" s="684"/>
      <c r="U701" s="684"/>
    </row>
    <row r="702" spans="1:21" ht="19.5" x14ac:dyDescent="0.3">
      <c r="A702" s="764"/>
      <c r="B702" s="718"/>
      <c r="C702" s="718"/>
      <c r="D702" s="695"/>
      <c r="E702" s="695"/>
      <c r="F702" s="695"/>
      <c r="G702" s="692"/>
      <c r="H702" s="677" t="s">
        <v>46</v>
      </c>
      <c r="I702" s="697">
        <v>0</v>
      </c>
      <c r="J702" s="697">
        <f ca="1">J704+J706</f>
        <v>61.83</v>
      </c>
      <c r="K702" s="679">
        <f t="shared" si="423"/>
        <v>0</v>
      </c>
      <c r="L702" s="693"/>
      <c r="M702" s="684"/>
      <c r="N702" s="684"/>
      <c r="O702" s="684"/>
      <c r="P702" s="684"/>
      <c r="Q702" s="684"/>
      <c r="R702" s="684"/>
      <c r="S702" s="684"/>
      <c r="T702" s="684"/>
      <c r="U702" s="684"/>
    </row>
    <row r="703" spans="1:21" ht="18.75" x14ac:dyDescent="0.25">
      <c r="A703" s="764"/>
      <c r="B703" s="718"/>
      <c r="C703" s="718"/>
      <c r="D703" s="695"/>
      <c r="E703" s="695"/>
      <c r="F703" s="694" t="s">
        <v>259</v>
      </c>
      <c r="G703" s="692"/>
      <c r="H703" s="686" t="s">
        <v>35</v>
      </c>
      <c r="I703" s="708">
        <f ca="1">IFERROR(__xludf.DUMMYFUNCTION("IMPORTRANGE(""https://docs.google.com/spreadsheets/d/1eHaY18a8A9IcSdp1K8H6x8fbOy06t2VsZHhMHf-1x7Y/edit?usp=sharing"",""แผน!LJ15"")"),100)</f>
        <v>100</v>
      </c>
      <c r="J703" s="708">
        <f ca="1">IFERROR(__xludf.DUMMYFUNCTION("IMPORTRANGE(""https://docs.google.com/spreadsheets/d/1tdoBKaGub7dwA3U6UFTqxio9LNnvDCQjHKmttSEBsFQ/edit?usp=sharing"",""จัดที่ดิน!AP15"")"),90)</f>
        <v>90</v>
      </c>
      <c r="K703" s="568">
        <f t="shared" ca="1" si="423"/>
        <v>90</v>
      </c>
      <c r="L703" s="693"/>
      <c r="M703" s="684"/>
      <c r="N703" s="684"/>
      <c r="O703" s="684"/>
      <c r="P703" s="684"/>
      <c r="Q703" s="684"/>
      <c r="R703" s="684"/>
      <c r="S703" s="684"/>
      <c r="T703" s="684"/>
      <c r="U703" s="684"/>
    </row>
    <row r="704" spans="1:21" ht="18.75" x14ac:dyDescent="0.25">
      <c r="A704" s="764"/>
      <c r="B704" s="718"/>
      <c r="C704" s="718"/>
      <c r="D704" s="695"/>
      <c r="E704" s="695"/>
      <c r="F704" s="695"/>
      <c r="G704" s="692"/>
      <c r="H704" s="686" t="s">
        <v>46</v>
      </c>
      <c r="I704" s="708">
        <v>0</v>
      </c>
      <c r="J704" s="708">
        <f ca="1">IFERROR(__xludf.DUMMYFUNCTION("IMPORTRANGE(""https://docs.google.com/spreadsheets/d/1tdoBKaGub7dwA3U6UFTqxio9LNnvDCQjHKmttSEBsFQ/edit?usp=sharing"",""จัดที่ดิน!AQ15"")"),61.83)</f>
        <v>61.83</v>
      </c>
      <c r="K704" s="568">
        <f t="shared" si="423"/>
        <v>0</v>
      </c>
      <c r="L704" s="693"/>
      <c r="M704" s="684"/>
      <c r="N704" s="684"/>
      <c r="O704" s="684"/>
      <c r="P704" s="684"/>
      <c r="Q704" s="684"/>
      <c r="R704" s="684"/>
      <c r="S704" s="684"/>
      <c r="T704" s="684"/>
      <c r="U704" s="684"/>
    </row>
    <row r="705" spans="1:21" ht="18.75" x14ac:dyDescent="0.25">
      <c r="A705" s="764"/>
      <c r="B705" s="718"/>
      <c r="C705" s="718"/>
      <c r="D705" s="695"/>
      <c r="E705" s="695"/>
      <c r="F705" s="694" t="s">
        <v>260</v>
      </c>
      <c r="G705" s="692"/>
      <c r="H705" s="686" t="s">
        <v>35</v>
      </c>
      <c r="I705" s="708">
        <f ca="1">IFERROR(__xludf.DUMMYFUNCTION("IMPORTRANGE(""https://docs.google.com/spreadsheets/d/1eHaY18a8A9IcSdp1K8H6x8fbOy06t2VsZHhMHf-1x7Y/edit?usp=sharing"",""แผน!LK15"")"),0)</f>
        <v>0</v>
      </c>
      <c r="J705" s="708">
        <f ca="1">IFERROR(__xludf.DUMMYFUNCTION("IMPORTRANGE(""https://docs.google.com/spreadsheets/d/1tdoBKaGub7dwA3U6UFTqxio9LNnvDCQjHKmttSEBsFQ/edit?usp=sharing"",""จัดที่ดิน!AR15"")"),0)</f>
        <v>0</v>
      </c>
      <c r="K705" s="703">
        <f t="shared" ca="1" si="423"/>
        <v>0</v>
      </c>
      <c r="L705" s="693"/>
      <c r="M705" s="684"/>
      <c r="N705" s="684"/>
      <c r="O705" s="684"/>
      <c r="P705" s="684"/>
      <c r="Q705" s="684"/>
      <c r="R705" s="684"/>
      <c r="S705" s="684"/>
      <c r="T705" s="684"/>
      <c r="U705" s="684"/>
    </row>
    <row r="706" spans="1:21" ht="18.75" x14ac:dyDescent="0.25">
      <c r="A706" s="764"/>
      <c r="B706" s="718"/>
      <c r="C706" s="718"/>
      <c r="D706" s="695"/>
      <c r="E706" s="695"/>
      <c r="F706" s="695"/>
      <c r="G706" s="692"/>
      <c r="H706" s="686" t="s">
        <v>46</v>
      </c>
      <c r="I706" s="708">
        <v>0</v>
      </c>
      <c r="J706" s="708">
        <f ca="1">IFERROR(__xludf.DUMMYFUNCTION("IMPORTRANGE(""https://docs.google.com/spreadsheets/d/1tdoBKaGub7dwA3U6UFTqxio9LNnvDCQjHKmttSEBsFQ/edit?usp=sharing"",""จัดที่ดิน!AS15"")"),0)</f>
        <v>0</v>
      </c>
      <c r="K706" s="568">
        <f t="shared" si="423"/>
        <v>0</v>
      </c>
      <c r="L706" s="693"/>
      <c r="M706" s="684"/>
      <c r="N706" s="684"/>
      <c r="O706" s="684"/>
      <c r="P706" s="684"/>
      <c r="Q706" s="684"/>
      <c r="R706" s="684"/>
      <c r="S706" s="684"/>
      <c r="T706" s="684"/>
      <c r="U706" s="684"/>
    </row>
    <row r="707" spans="1:21" ht="18.75" x14ac:dyDescent="0.25">
      <c r="A707" s="764"/>
      <c r="B707" s="718"/>
      <c r="C707" s="718"/>
      <c r="D707" s="695"/>
      <c r="E707" s="694" t="s">
        <v>261</v>
      </c>
      <c r="F707" s="695"/>
      <c r="G707" s="692"/>
      <c r="H707" s="682" t="s">
        <v>35</v>
      </c>
      <c r="I707" s="708">
        <f ca="1">IFERROR(__xludf.DUMMYFUNCTION("IMPORTRANGE(""https://docs.google.com/spreadsheets/d/1eHaY18a8A9IcSdp1K8H6x8fbOy06t2VsZHhMHf-1x7Y/edit?usp=sharing"",""แผน!LJ15"")"),100)</f>
        <v>100</v>
      </c>
      <c r="J707" s="708">
        <f ca="1">IFERROR(__xludf.DUMMYFUNCTION("IMPORTRANGE(""https://docs.google.com/spreadsheets/d/1tdoBKaGub7dwA3U6UFTqxio9LNnvDCQjHKmttSEBsFQ/edit?usp=sharing"",""จัดที่ดิน!BN15"")"),30)</f>
        <v>30</v>
      </c>
      <c r="K707" s="568">
        <f t="shared" ca="1" si="423"/>
        <v>30</v>
      </c>
      <c r="L707" s="693"/>
      <c r="M707" s="684"/>
      <c r="N707" s="684"/>
      <c r="O707" s="684"/>
      <c r="P707" s="684"/>
      <c r="Q707" s="684"/>
      <c r="R707" s="684"/>
      <c r="S707" s="684"/>
      <c r="T707" s="684"/>
      <c r="U707" s="684"/>
    </row>
    <row r="708" spans="1:21" ht="18.75" x14ac:dyDescent="0.25">
      <c r="A708" s="764"/>
      <c r="B708" s="718"/>
      <c r="C708" s="718"/>
      <c r="D708" s="695"/>
      <c r="E708" s="1096" t="s">
        <v>262</v>
      </c>
      <c r="F708" s="695"/>
      <c r="G708" s="692"/>
      <c r="H708" s="682" t="s">
        <v>46</v>
      </c>
      <c r="I708" s="708">
        <v>0</v>
      </c>
      <c r="J708" s="708">
        <f ca="1">IFERROR(__xludf.DUMMYFUNCTION("IMPORTRANGE(""https://docs.google.com/spreadsheets/d/1tdoBKaGub7dwA3U6UFTqxio9LNnvDCQjHKmttSEBsFQ/edit?usp=sharing"",""จัดที่ดิน!BO15"")"),19)</f>
        <v>19</v>
      </c>
      <c r="K708" s="568">
        <f t="shared" si="423"/>
        <v>0</v>
      </c>
      <c r="L708" s="693"/>
      <c r="M708" s="684"/>
      <c r="N708" s="684"/>
      <c r="O708" s="684"/>
      <c r="P708" s="684"/>
      <c r="Q708" s="684"/>
      <c r="R708" s="684"/>
      <c r="S708" s="684"/>
      <c r="T708" s="684"/>
      <c r="U708" s="684"/>
    </row>
    <row r="709" spans="1:21" ht="18.75" x14ac:dyDescent="0.25">
      <c r="A709" s="764"/>
      <c r="B709" s="718"/>
      <c r="C709" s="718"/>
      <c r="D709" s="561"/>
      <c r="E709" s="573" t="s">
        <v>263</v>
      </c>
      <c r="F709" s="561"/>
      <c r="G709" s="563"/>
      <c r="H709" s="722" t="s">
        <v>35</v>
      </c>
      <c r="I709" s="708">
        <f ca="1">IFERROR(__xludf.DUMMYFUNCTION("IMPORTRANGE(""https://docs.google.com/spreadsheets/d/1eHaY18a8A9IcSdp1K8H6x8fbOy06t2VsZHhMHf-1x7Y/edit?usp=sharing"",""แผน!LK15"")"),0)</f>
        <v>0</v>
      </c>
      <c r="J709" s="708">
        <f ca="1">IFERROR(__xludf.DUMMYFUNCTION("IMPORTRANGE(""https://docs.google.com/spreadsheets/d/1tdoBKaGub7dwA3U6UFTqxio9LNnvDCQjHKmttSEBsFQ/edit?usp=sharing"",""จัดที่ดิน!BP15"")"),0)</f>
        <v>0</v>
      </c>
      <c r="K709" s="568">
        <f t="shared" ca="1" si="423"/>
        <v>0</v>
      </c>
      <c r="L709" s="574"/>
      <c r="M709" s="566"/>
      <c r="N709" s="566"/>
      <c r="O709" s="566"/>
      <c r="P709" s="566"/>
      <c r="Q709" s="566"/>
      <c r="R709" s="566"/>
      <c r="S709" s="566"/>
      <c r="T709" s="566"/>
      <c r="U709" s="566"/>
    </row>
    <row r="710" spans="1:21" ht="18.75" x14ac:dyDescent="0.25">
      <c r="A710" s="764"/>
      <c r="B710" s="718"/>
      <c r="C710" s="718"/>
      <c r="D710" s="561"/>
      <c r="E710" s="1096" t="s">
        <v>264</v>
      </c>
      <c r="F710" s="561"/>
      <c r="G710" s="563"/>
      <c r="H710" s="722" t="s">
        <v>46</v>
      </c>
      <c r="I710" s="708">
        <v>0</v>
      </c>
      <c r="J710" s="708">
        <f ca="1">IFERROR(__xludf.DUMMYFUNCTION("IMPORTRANGE(""https://docs.google.com/spreadsheets/d/1tdoBKaGub7dwA3U6UFTqxio9LNnvDCQjHKmttSEBsFQ/edit?usp=sharing"",""จัดที่ดิน!BQ15"")"),0)</f>
        <v>0</v>
      </c>
      <c r="K710" s="568">
        <f t="shared" si="423"/>
        <v>0</v>
      </c>
      <c r="L710" s="574"/>
      <c r="M710" s="566"/>
      <c r="N710" s="566"/>
      <c r="O710" s="566"/>
      <c r="P710" s="566"/>
      <c r="Q710" s="566"/>
      <c r="R710" s="566"/>
      <c r="S710" s="566"/>
      <c r="T710" s="566"/>
      <c r="U710" s="566"/>
    </row>
    <row r="711" spans="1:21" ht="12.75" hidden="1" x14ac:dyDescent="0.2">
      <c r="A711" s="1027"/>
      <c r="B711" s="966"/>
      <c r="C711" s="966"/>
      <c r="D711" s="1028"/>
      <c r="E711" s="1028"/>
      <c r="F711" s="1028"/>
      <c r="G711" s="1029"/>
      <c r="H711" s="967"/>
      <c r="I711" s="968"/>
      <c r="J711" s="968"/>
      <c r="K711" s="969"/>
      <c r="L711" s="970"/>
      <c r="M711" s="969"/>
      <c r="N711" s="969"/>
      <c r="O711" s="969"/>
      <c r="P711" s="969"/>
      <c r="Q711" s="969"/>
      <c r="R711" s="969"/>
      <c r="S711" s="969"/>
      <c r="T711" s="969"/>
      <c r="U711" s="969"/>
    </row>
    <row r="712" spans="1:21" ht="19.5" hidden="1" x14ac:dyDescent="0.3">
      <c r="A712" s="1061"/>
      <c r="B712" s="1097" t="s">
        <v>265</v>
      </c>
      <c r="C712" s="1061"/>
      <c r="D712" s="1063"/>
      <c r="E712" s="1063"/>
      <c r="F712" s="1063"/>
      <c r="G712" s="1064"/>
      <c r="H712" s="1098" t="s">
        <v>46</v>
      </c>
      <c r="I712" s="1066"/>
      <c r="J712" s="1066">
        <f>J724</f>
        <v>0</v>
      </c>
      <c r="K712" s="1099">
        <f>IF(I712&gt;0,J712*100/I712,0)</f>
        <v>0</v>
      </c>
      <c r="L712" s="1068"/>
      <c r="M712" s="1067"/>
      <c r="N712" s="1067"/>
      <c r="O712" s="1067"/>
      <c r="P712" s="1067"/>
      <c r="Q712" s="1067"/>
      <c r="R712" s="1067"/>
      <c r="S712" s="1067"/>
      <c r="T712" s="1067"/>
      <c r="U712" s="1067"/>
    </row>
    <row r="713" spans="1:21" ht="19.5" hidden="1" x14ac:dyDescent="0.3">
      <c r="A713" s="1061"/>
      <c r="B713" s="1097" t="s">
        <v>266</v>
      </c>
      <c r="C713" s="1061"/>
      <c r="D713" s="1063"/>
      <c r="E713" s="1063"/>
      <c r="F713" s="1063"/>
      <c r="G713" s="1064"/>
      <c r="H713" s="1065"/>
      <c r="I713" s="1066"/>
      <c r="J713" s="1066"/>
      <c r="K713" s="1067"/>
      <c r="L713" s="1068"/>
      <c r="M713" s="1067"/>
      <c r="N713" s="1067"/>
      <c r="O713" s="1067"/>
      <c r="P713" s="1067"/>
      <c r="Q713" s="1067"/>
      <c r="R713" s="1067"/>
      <c r="S713" s="1067"/>
      <c r="T713" s="1067"/>
      <c r="U713" s="1067"/>
    </row>
    <row r="714" spans="1:21" ht="19.5" hidden="1" x14ac:dyDescent="0.3">
      <c r="A714" s="674"/>
      <c r="B714" s="718"/>
      <c r="C714" s="767" t="s">
        <v>18</v>
      </c>
      <c r="D714" s="1315" t="s">
        <v>19</v>
      </c>
      <c r="E714" s="1311"/>
      <c r="F714" s="1311"/>
      <c r="G714" s="1312"/>
      <c r="H714" s="799" t="s">
        <v>14</v>
      </c>
      <c r="I714" s="565"/>
      <c r="J714" s="565"/>
      <c r="K714" s="566"/>
      <c r="L714" s="678">
        <f t="shared" ref="L714:N714" si="425">L715+L716</f>
        <v>0</v>
      </c>
      <c r="M714" s="679">
        <f t="shared" si="425"/>
        <v>0</v>
      </c>
      <c r="N714" s="679">
        <f t="shared" si="425"/>
        <v>0</v>
      </c>
      <c r="O714" s="679">
        <f t="shared" ref="O714:O722" si="426">IF(L714&gt;0,N714*100/L714,0)</f>
        <v>0</v>
      </c>
      <c r="P714" s="679">
        <f t="shared" ref="P714:P722" si="427">IF(M714&gt;0,N714*100/M714,0)</f>
        <v>0</v>
      </c>
      <c r="Q714" s="679">
        <f t="shared" ref="Q714:S714" si="428">Q715+Q716</f>
        <v>0</v>
      </c>
      <c r="R714" s="679">
        <f t="shared" si="428"/>
        <v>0</v>
      </c>
      <c r="S714" s="679">
        <f t="shared" si="428"/>
        <v>0</v>
      </c>
      <c r="T714" s="679">
        <f t="shared" ref="T714:T722" si="429">IF(Q714&gt;0,S714*100/Q714,0)</f>
        <v>0</v>
      </c>
      <c r="U714" s="679">
        <f t="shared" ref="U714:U722" si="430">IF(R714&gt;0,S714*100/R714,0)</f>
        <v>0</v>
      </c>
    </row>
    <row r="715" spans="1:21" ht="18.75" hidden="1" x14ac:dyDescent="0.25">
      <c r="A715" s="674"/>
      <c r="B715" s="718"/>
      <c r="C715" s="718"/>
      <c r="D715" s="695"/>
      <c r="E715" s="569" t="s">
        <v>158</v>
      </c>
      <c r="F715" s="561"/>
      <c r="G715" s="563"/>
      <c r="H715" s="685" t="s">
        <v>14</v>
      </c>
      <c r="I715" s="565"/>
      <c r="J715" s="565"/>
      <c r="K715" s="566"/>
      <c r="L715" s="571">
        <f t="shared" ref="L715:N716" si="431">L718+L721</f>
        <v>0</v>
      </c>
      <c r="M715" s="572">
        <f t="shared" si="431"/>
        <v>0</v>
      </c>
      <c r="N715" s="572">
        <f t="shared" si="431"/>
        <v>0</v>
      </c>
      <c r="O715" s="572">
        <f t="shared" si="426"/>
        <v>0</v>
      </c>
      <c r="P715" s="572">
        <f t="shared" si="427"/>
        <v>0</v>
      </c>
      <c r="Q715" s="572">
        <f t="shared" ref="Q715:S716" si="432">Q718+Q721</f>
        <v>0</v>
      </c>
      <c r="R715" s="572">
        <f t="shared" si="432"/>
        <v>0</v>
      </c>
      <c r="S715" s="572">
        <f t="shared" si="432"/>
        <v>0</v>
      </c>
      <c r="T715" s="572">
        <f t="shared" si="429"/>
        <v>0</v>
      </c>
      <c r="U715" s="572">
        <f t="shared" si="430"/>
        <v>0</v>
      </c>
    </row>
    <row r="716" spans="1:21" ht="18.75" hidden="1" x14ac:dyDescent="0.25">
      <c r="A716" s="674"/>
      <c r="B716" s="718"/>
      <c r="C716" s="718"/>
      <c r="D716" s="695"/>
      <c r="E716" s="569" t="s">
        <v>159</v>
      </c>
      <c r="F716" s="561"/>
      <c r="G716" s="563"/>
      <c r="H716" s="685" t="s">
        <v>14</v>
      </c>
      <c r="I716" s="565"/>
      <c r="J716" s="565"/>
      <c r="K716" s="566"/>
      <c r="L716" s="567">
        <f t="shared" si="431"/>
        <v>0</v>
      </c>
      <c r="M716" s="568">
        <f t="shared" si="431"/>
        <v>0</v>
      </c>
      <c r="N716" s="568">
        <f t="shared" si="431"/>
        <v>0</v>
      </c>
      <c r="O716" s="568">
        <f t="shared" si="426"/>
        <v>0</v>
      </c>
      <c r="P716" s="568">
        <f t="shared" si="427"/>
        <v>0</v>
      </c>
      <c r="Q716" s="568">
        <f t="shared" si="432"/>
        <v>0</v>
      </c>
      <c r="R716" s="568">
        <f t="shared" si="432"/>
        <v>0</v>
      </c>
      <c r="S716" s="568">
        <f t="shared" si="432"/>
        <v>0</v>
      </c>
      <c r="T716" s="568">
        <f t="shared" si="429"/>
        <v>0</v>
      </c>
      <c r="U716" s="568">
        <f t="shared" si="430"/>
        <v>0</v>
      </c>
    </row>
    <row r="717" spans="1:21" ht="19.5" hidden="1" x14ac:dyDescent="0.3">
      <c r="A717" s="674"/>
      <c r="B717" s="718"/>
      <c r="C717" s="718"/>
      <c r="D717" s="798" t="s">
        <v>22</v>
      </c>
      <c r="E717" s="561"/>
      <c r="F717" s="561"/>
      <c r="G717" s="563"/>
      <c r="H717" s="799" t="s">
        <v>14</v>
      </c>
      <c r="I717" s="683"/>
      <c r="J717" s="683"/>
      <c r="K717" s="684"/>
      <c r="L717" s="567">
        <f t="shared" ref="L717:N717" si="433">L718+L719</f>
        <v>0</v>
      </c>
      <c r="M717" s="568">
        <f t="shared" si="433"/>
        <v>0</v>
      </c>
      <c r="N717" s="568">
        <f t="shared" si="433"/>
        <v>0</v>
      </c>
      <c r="O717" s="568">
        <f t="shared" si="426"/>
        <v>0</v>
      </c>
      <c r="P717" s="568">
        <f t="shared" si="427"/>
        <v>0</v>
      </c>
      <c r="Q717" s="568">
        <f t="shared" ref="Q717:S717" si="434">Q718+Q719</f>
        <v>0</v>
      </c>
      <c r="R717" s="568">
        <f t="shared" si="434"/>
        <v>0</v>
      </c>
      <c r="S717" s="568">
        <f t="shared" si="434"/>
        <v>0</v>
      </c>
      <c r="T717" s="568">
        <f t="shared" si="429"/>
        <v>0</v>
      </c>
      <c r="U717" s="568">
        <f t="shared" si="430"/>
        <v>0</v>
      </c>
    </row>
    <row r="718" spans="1:21" ht="18.75" hidden="1" x14ac:dyDescent="0.25">
      <c r="A718" s="674"/>
      <c r="B718" s="718"/>
      <c r="C718" s="718"/>
      <c r="D718" s="695"/>
      <c r="E718" s="569" t="s">
        <v>158</v>
      </c>
      <c r="F718" s="561"/>
      <c r="G718" s="563"/>
      <c r="H718" s="685" t="s">
        <v>14</v>
      </c>
      <c r="I718" s="565"/>
      <c r="J718" s="565"/>
      <c r="K718" s="566"/>
      <c r="L718" s="571">
        <v>0</v>
      </c>
      <c r="M718" s="572">
        <v>0</v>
      </c>
      <c r="N718" s="572">
        <v>0</v>
      </c>
      <c r="O718" s="572">
        <f t="shared" si="426"/>
        <v>0</v>
      </c>
      <c r="P718" s="572">
        <f t="shared" si="427"/>
        <v>0</v>
      </c>
      <c r="Q718" s="572">
        <v>0</v>
      </c>
      <c r="R718" s="572">
        <v>0</v>
      </c>
      <c r="S718" s="572">
        <v>0</v>
      </c>
      <c r="T718" s="572">
        <f t="shared" si="429"/>
        <v>0</v>
      </c>
      <c r="U718" s="572">
        <f t="shared" si="430"/>
        <v>0</v>
      </c>
    </row>
    <row r="719" spans="1:21" ht="18.75" hidden="1" x14ac:dyDescent="0.25">
      <c r="A719" s="674"/>
      <c r="B719" s="718"/>
      <c r="C719" s="718"/>
      <c r="D719" s="695"/>
      <c r="E719" s="569" t="s">
        <v>159</v>
      </c>
      <c r="F719" s="561"/>
      <c r="G719" s="563"/>
      <c r="H719" s="685" t="s">
        <v>14</v>
      </c>
      <c r="I719" s="565"/>
      <c r="J719" s="565"/>
      <c r="K719" s="566"/>
      <c r="L719" s="567">
        <v>0</v>
      </c>
      <c r="M719" s="568">
        <v>0</v>
      </c>
      <c r="N719" s="568">
        <v>0</v>
      </c>
      <c r="O719" s="568">
        <f t="shared" si="426"/>
        <v>0</v>
      </c>
      <c r="P719" s="568">
        <f t="shared" si="427"/>
        <v>0</v>
      </c>
      <c r="Q719" s="568">
        <v>0</v>
      </c>
      <c r="R719" s="568">
        <v>0</v>
      </c>
      <c r="S719" s="568">
        <v>0</v>
      </c>
      <c r="T719" s="568">
        <f t="shared" si="429"/>
        <v>0</v>
      </c>
      <c r="U719" s="568">
        <f t="shared" si="430"/>
        <v>0</v>
      </c>
    </row>
    <row r="720" spans="1:21" ht="19.5" hidden="1" x14ac:dyDescent="0.3">
      <c r="A720" s="674"/>
      <c r="B720" s="718"/>
      <c r="C720" s="718"/>
      <c r="D720" s="798" t="s">
        <v>23</v>
      </c>
      <c r="E720" s="561"/>
      <c r="F720" s="561"/>
      <c r="G720" s="563"/>
      <c r="H720" s="1041" t="s">
        <v>14</v>
      </c>
      <c r="I720" s="683"/>
      <c r="J720" s="683"/>
      <c r="K720" s="684"/>
      <c r="L720" s="567">
        <f t="shared" ref="L720:N720" si="435">L721+L722</f>
        <v>0</v>
      </c>
      <c r="M720" s="568">
        <f t="shared" si="435"/>
        <v>0</v>
      </c>
      <c r="N720" s="568">
        <f t="shared" si="435"/>
        <v>0</v>
      </c>
      <c r="O720" s="568">
        <f t="shared" si="426"/>
        <v>0</v>
      </c>
      <c r="P720" s="568">
        <f t="shared" si="427"/>
        <v>0</v>
      </c>
      <c r="Q720" s="568">
        <f t="shared" ref="Q720:S720" si="436">Q721+Q722</f>
        <v>0</v>
      </c>
      <c r="R720" s="568">
        <f t="shared" si="436"/>
        <v>0</v>
      </c>
      <c r="S720" s="568">
        <f t="shared" si="436"/>
        <v>0</v>
      </c>
      <c r="T720" s="568">
        <f t="shared" si="429"/>
        <v>0</v>
      </c>
      <c r="U720" s="568">
        <f t="shared" si="430"/>
        <v>0</v>
      </c>
    </row>
    <row r="721" spans="1:21" ht="18.75" hidden="1" x14ac:dyDescent="0.25">
      <c r="A721" s="674"/>
      <c r="B721" s="718"/>
      <c r="C721" s="718"/>
      <c r="D721" s="561"/>
      <c r="E721" s="569" t="s">
        <v>20</v>
      </c>
      <c r="F721" s="561"/>
      <c r="G721" s="563"/>
      <c r="H721" s="685" t="s">
        <v>14</v>
      </c>
      <c r="I721" s="683"/>
      <c r="J721" s="683"/>
      <c r="K721" s="684"/>
      <c r="L721" s="571">
        <v>0</v>
      </c>
      <c r="M721" s="572">
        <v>0</v>
      </c>
      <c r="N721" s="572">
        <v>0</v>
      </c>
      <c r="O721" s="572">
        <f t="shared" si="426"/>
        <v>0</v>
      </c>
      <c r="P721" s="572">
        <f t="shared" si="427"/>
        <v>0</v>
      </c>
      <c r="Q721" s="572">
        <v>0</v>
      </c>
      <c r="R721" s="572">
        <v>0</v>
      </c>
      <c r="S721" s="572">
        <v>0</v>
      </c>
      <c r="T721" s="572">
        <f t="shared" si="429"/>
        <v>0</v>
      </c>
      <c r="U721" s="572">
        <f t="shared" si="430"/>
        <v>0</v>
      </c>
    </row>
    <row r="722" spans="1:21" ht="18.75" hidden="1" x14ac:dyDescent="0.25">
      <c r="A722" s="674"/>
      <c r="B722" s="718"/>
      <c r="C722" s="718"/>
      <c r="D722" s="561"/>
      <c r="E722" s="569" t="s">
        <v>21</v>
      </c>
      <c r="F722" s="561"/>
      <c r="G722" s="563"/>
      <c r="H722" s="734" t="s">
        <v>14</v>
      </c>
      <c r="I722" s="683"/>
      <c r="J722" s="683"/>
      <c r="K722" s="684"/>
      <c r="L722" s="567">
        <v>0</v>
      </c>
      <c r="M722" s="568">
        <v>0</v>
      </c>
      <c r="N722" s="568">
        <v>0</v>
      </c>
      <c r="O722" s="568">
        <f t="shared" si="426"/>
        <v>0</v>
      </c>
      <c r="P722" s="568">
        <f t="shared" si="427"/>
        <v>0</v>
      </c>
      <c r="Q722" s="568">
        <v>0</v>
      </c>
      <c r="R722" s="568">
        <v>0</v>
      </c>
      <c r="S722" s="568">
        <v>0</v>
      </c>
      <c r="T722" s="568">
        <f t="shared" si="429"/>
        <v>0</v>
      </c>
      <c r="U722" s="568">
        <f t="shared" si="430"/>
        <v>0</v>
      </c>
    </row>
    <row r="723" spans="1:21" ht="19.5" hidden="1" x14ac:dyDescent="0.3">
      <c r="A723" s="687"/>
      <c r="B723" s="688"/>
      <c r="C723" s="767" t="s">
        <v>18</v>
      </c>
      <c r="D723" s="1100" t="s">
        <v>38</v>
      </c>
      <c r="E723" s="690"/>
      <c r="F723" s="690"/>
      <c r="G723" s="691"/>
      <c r="H723" s="725"/>
      <c r="I723" s="683"/>
      <c r="J723" s="683"/>
      <c r="K723" s="684"/>
      <c r="L723" s="693"/>
      <c r="M723" s="684"/>
      <c r="N723" s="684"/>
      <c r="O723" s="684"/>
      <c r="P723" s="684"/>
      <c r="Q723" s="684"/>
      <c r="R723" s="684"/>
      <c r="S723" s="684"/>
      <c r="T723" s="684"/>
      <c r="U723" s="684"/>
    </row>
    <row r="724" spans="1:21" ht="18.75" hidden="1" x14ac:dyDescent="0.25">
      <c r="A724" s="764"/>
      <c r="B724" s="718"/>
      <c r="C724" s="718"/>
      <c r="D724" s="561"/>
      <c r="E724" s="569" t="s">
        <v>267</v>
      </c>
      <c r="F724" s="561"/>
      <c r="G724" s="563"/>
      <c r="H724" s="685" t="s">
        <v>46</v>
      </c>
      <c r="I724" s="735">
        <v>0</v>
      </c>
      <c r="J724" s="565"/>
      <c r="K724" s="566"/>
      <c r="L724" s="574"/>
      <c r="M724" s="566"/>
      <c r="N724" s="566"/>
      <c r="O724" s="566"/>
      <c r="P724" s="566"/>
      <c r="Q724" s="566"/>
      <c r="R724" s="566"/>
      <c r="S724" s="566"/>
      <c r="T724" s="566"/>
      <c r="U724" s="566"/>
    </row>
    <row r="725" spans="1:21" ht="18.75" hidden="1" x14ac:dyDescent="0.25">
      <c r="A725" s="984"/>
      <c r="B725" s="514"/>
      <c r="C725" s="514"/>
      <c r="D725" s="513"/>
      <c r="E725" s="738" t="s">
        <v>268</v>
      </c>
      <c r="F725" s="513"/>
      <c r="G725" s="577"/>
      <c r="H725" s="1101" t="s">
        <v>46</v>
      </c>
      <c r="I725" s="740">
        <v>0</v>
      </c>
      <c r="J725" s="579"/>
      <c r="K725" s="580"/>
      <c r="L725" s="581"/>
      <c r="M725" s="580"/>
      <c r="N725" s="580"/>
      <c r="O725" s="580"/>
      <c r="P725" s="580"/>
      <c r="Q725" s="580"/>
      <c r="R725" s="580"/>
      <c r="S725" s="580"/>
      <c r="T725" s="580"/>
      <c r="U725" s="580"/>
    </row>
    <row r="726" spans="1:21" ht="19.5" x14ac:dyDescent="0.3">
      <c r="A726" s="1061"/>
      <c r="B726" s="1062" t="s">
        <v>269</v>
      </c>
      <c r="C726" s="1061"/>
      <c r="D726" s="1063"/>
      <c r="E726" s="1063"/>
      <c r="F726" s="1063"/>
      <c r="G726" s="1064"/>
      <c r="H726" s="1092" t="s">
        <v>35</v>
      </c>
      <c r="I726" s="1093">
        <f ca="1">IFERROR(__xludf.DUMMYFUNCTION("IMPORTRANGE(""https://docs.google.com/spreadsheets/d/1eHaY18a8A9IcSdp1K8H6x8fbOy06t2VsZHhMHf-1x7Y/edit?usp=sharing"",""แผน!GA15"")"),128)</f>
        <v>128</v>
      </c>
      <c r="J726" s="1093">
        <f>J742+J746+J749</f>
        <v>137</v>
      </c>
      <c r="K726" s="1094">
        <f t="shared" ref="K726:K727" ca="1" si="437">IF(I726&gt;0,J726*100/I726,0)</f>
        <v>107.03125</v>
      </c>
      <c r="L726" s="1068"/>
      <c r="M726" s="1067"/>
      <c r="N726" s="1067"/>
      <c r="O726" s="1067"/>
      <c r="P726" s="1067"/>
      <c r="Q726" s="1067"/>
      <c r="R726" s="1067"/>
      <c r="S726" s="1067"/>
      <c r="T726" s="1067"/>
      <c r="U726" s="1067"/>
    </row>
    <row r="727" spans="1:21" ht="19.5" x14ac:dyDescent="0.3">
      <c r="A727" s="1102"/>
      <c r="B727" s="1061"/>
      <c r="C727" s="1061"/>
      <c r="D727" s="1063"/>
      <c r="E727" s="1063"/>
      <c r="F727" s="1063"/>
      <c r="G727" s="1064"/>
      <c r="H727" s="1092" t="s">
        <v>46</v>
      </c>
      <c r="I727" s="1093">
        <f ca="1">IFERROR(__xludf.DUMMYFUNCTION("IMPORTRANGE(""https://docs.google.com/spreadsheets/d/1eHaY18a8A9IcSdp1K8H6x8fbOy06t2VsZHhMHf-1x7Y/edit?usp=sharing"",""แผน!FZ15"")"),1250)</f>
        <v>1250</v>
      </c>
      <c r="J727" s="1093">
        <f>J752+J755</f>
        <v>0</v>
      </c>
      <c r="K727" s="1094">
        <f t="shared" ca="1" si="437"/>
        <v>0</v>
      </c>
      <c r="L727" s="1068"/>
      <c r="M727" s="1067"/>
      <c r="N727" s="1067"/>
      <c r="O727" s="1067"/>
      <c r="P727" s="1067"/>
      <c r="Q727" s="1067"/>
      <c r="R727" s="1067"/>
      <c r="S727" s="1067"/>
      <c r="T727" s="1067"/>
      <c r="U727" s="1067"/>
    </row>
    <row r="728" spans="1:21" ht="19.5" x14ac:dyDescent="0.3">
      <c r="A728" s="674"/>
      <c r="B728" s="718"/>
      <c r="C728" s="724" t="s">
        <v>18</v>
      </c>
      <c r="D728" s="1310" t="s">
        <v>19</v>
      </c>
      <c r="E728" s="1311"/>
      <c r="F728" s="1311"/>
      <c r="G728" s="1312"/>
      <c r="H728" s="780" t="s">
        <v>14</v>
      </c>
      <c r="I728" s="565"/>
      <c r="J728" s="565"/>
      <c r="K728" s="566"/>
      <c r="L728" s="678">
        <f t="shared" ref="L728:N728" si="438">L729+L730</f>
        <v>0</v>
      </c>
      <c r="M728" s="679">
        <f t="shared" si="438"/>
        <v>0</v>
      </c>
      <c r="N728" s="679">
        <f t="shared" si="438"/>
        <v>0</v>
      </c>
      <c r="O728" s="679">
        <f t="shared" ref="O728:O736" si="439">IF(L728&gt;0,N728*100/L728,0)</f>
        <v>0</v>
      </c>
      <c r="P728" s="679">
        <f t="shared" ref="P728:P736" si="440">IF(M728&gt;0,N728*100/M728,0)</f>
        <v>0</v>
      </c>
      <c r="Q728" s="679">
        <f t="shared" ref="Q728:S728" ca="1" si="441">Q729+Q730</f>
        <v>1008470</v>
      </c>
      <c r="R728" s="679">
        <f t="shared" ca="1" si="441"/>
        <v>1008470</v>
      </c>
      <c r="S728" s="679">
        <f t="shared" ca="1" si="441"/>
        <v>72034.509999999995</v>
      </c>
      <c r="T728" s="679">
        <f t="shared" ref="T728:T736" ca="1" si="442">IF(Q728&gt;0,S728*100/Q728,0)</f>
        <v>7.1429502117068422</v>
      </c>
      <c r="U728" s="679">
        <f t="shared" ref="U728:U736" ca="1" si="443">IF(R728&gt;0,S728*100/R728,0)</f>
        <v>7.1429502117068422</v>
      </c>
    </row>
    <row r="729" spans="1:21" ht="18.75" x14ac:dyDescent="0.25">
      <c r="A729" s="674"/>
      <c r="B729" s="718"/>
      <c r="C729" s="718"/>
      <c r="D729" s="695"/>
      <c r="E729" s="569" t="s">
        <v>158</v>
      </c>
      <c r="F729" s="561"/>
      <c r="G729" s="563"/>
      <c r="H729" s="685" t="s">
        <v>14</v>
      </c>
      <c r="I729" s="565"/>
      <c r="J729" s="565"/>
      <c r="K729" s="566"/>
      <c r="L729" s="571">
        <f t="shared" ref="L729:N730" si="444">L732+L735</f>
        <v>0</v>
      </c>
      <c r="M729" s="572">
        <f t="shared" si="444"/>
        <v>0</v>
      </c>
      <c r="N729" s="572">
        <f t="shared" si="444"/>
        <v>0</v>
      </c>
      <c r="O729" s="572">
        <f t="shared" si="439"/>
        <v>0</v>
      </c>
      <c r="P729" s="572">
        <f t="shared" si="440"/>
        <v>0</v>
      </c>
      <c r="Q729" s="572">
        <f t="shared" ref="Q729:S730" si="445">Q732+Q735</f>
        <v>0</v>
      </c>
      <c r="R729" s="572">
        <f t="shared" si="445"/>
        <v>0</v>
      </c>
      <c r="S729" s="572">
        <f t="shared" si="445"/>
        <v>0</v>
      </c>
      <c r="T729" s="572">
        <f t="shared" si="442"/>
        <v>0</v>
      </c>
      <c r="U729" s="572">
        <f t="shared" si="443"/>
        <v>0</v>
      </c>
    </row>
    <row r="730" spans="1:21" ht="18.75" x14ac:dyDescent="0.25">
      <c r="A730" s="674"/>
      <c r="B730" s="718"/>
      <c r="C730" s="718"/>
      <c r="D730" s="695"/>
      <c r="E730" s="573" t="s">
        <v>159</v>
      </c>
      <c r="F730" s="561"/>
      <c r="G730" s="563"/>
      <c r="H730" s="682" t="s">
        <v>14</v>
      </c>
      <c r="I730" s="565"/>
      <c r="J730" s="565"/>
      <c r="K730" s="566"/>
      <c r="L730" s="567">
        <f t="shared" si="444"/>
        <v>0</v>
      </c>
      <c r="M730" s="568">
        <f t="shared" si="444"/>
        <v>0</v>
      </c>
      <c r="N730" s="568">
        <f t="shared" si="444"/>
        <v>0</v>
      </c>
      <c r="O730" s="568">
        <f t="shared" si="439"/>
        <v>0</v>
      </c>
      <c r="P730" s="568">
        <f t="shared" si="440"/>
        <v>0</v>
      </c>
      <c r="Q730" s="568">
        <f t="shared" ca="1" si="445"/>
        <v>1008470</v>
      </c>
      <c r="R730" s="568">
        <f t="shared" ca="1" si="445"/>
        <v>1008470</v>
      </c>
      <c r="S730" s="568">
        <f t="shared" ca="1" si="445"/>
        <v>72034.509999999995</v>
      </c>
      <c r="T730" s="568">
        <f t="shared" ca="1" si="442"/>
        <v>7.1429502117068422</v>
      </c>
      <c r="U730" s="568">
        <f t="shared" ca="1" si="443"/>
        <v>7.1429502117068422</v>
      </c>
    </row>
    <row r="731" spans="1:21" ht="18.75" x14ac:dyDescent="0.25">
      <c r="A731" s="674"/>
      <c r="B731" s="718"/>
      <c r="C731" s="718"/>
      <c r="D731" s="562" t="s">
        <v>22</v>
      </c>
      <c r="E731" s="561"/>
      <c r="F731" s="561"/>
      <c r="G731" s="563"/>
      <c r="H731" s="682" t="s">
        <v>14</v>
      </c>
      <c r="I731" s="683"/>
      <c r="J731" s="683"/>
      <c r="K731" s="684"/>
      <c r="L731" s="567">
        <f t="shared" ref="L731:N731" si="446">L732+L733</f>
        <v>0</v>
      </c>
      <c r="M731" s="568">
        <f t="shared" si="446"/>
        <v>0</v>
      </c>
      <c r="N731" s="568">
        <f t="shared" si="446"/>
        <v>0</v>
      </c>
      <c r="O731" s="568">
        <f t="shared" si="439"/>
        <v>0</v>
      </c>
      <c r="P731" s="568">
        <f t="shared" si="440"/>
        <v>0</v>
      </c>
      <c r="Q731" s="568">
        <f t="shared" ref="Q731:S731" ca="1" si="447">Q732+Q733</f>
        <v>1008470</v>
      </c>
      <c r="R731" s="568">
        <f t="shared" ca="1" si="447"/>
        <v>1008470</v>
      </c>
      <c r="S731" s="568">
        <f t="shared" ca="1" si="447"/>
        <v>72034.509999999995</v>
      </c>
      <c r="T731" s="568">
        <f t="shared" ca="1" si="442"/>
        <v>7.1429502117068422</v>
      </c>
      <c r="U731" s="568">
        <f t="shared" ca="1" si="443"/>
        <v>7.1429502117068422</v>
      </c>
    </row>
    <row r="732" spans="1:21" ht="18.75" x14ac:dyDescent="0.25">
      <c r="A732" s="674"/>
      <c r="B732" s="718"/>
      <c r="C732" s="718"/>
      <c r="D732" s="695"/>
      <c r="E732" s="569" t="s">
        <v>158</v>
      </c>
      <c r="F732" s="561"/>
      <c r="G732" s="563"/>
      <c r="H732" s="685" t="s">
        <v>14</v>
      </c>
      <c r="I732" s="565"/>
      <c r="J732" s="565"/>
      <c r="K732" s="566"/>
      <c r="L732" s="571">
        <v>0</v>
      </c>
      <c r="M732" s="572">
        <v>0</v>
      </c>
      <c r="N732" s="572">
        <v>0</v>
      </c>
      <c r="O732" s="572">
        <f t="shared" si="439"/>
        <v>0</v>
      </c>
      <c r="P732" s="572">
        <f t="shared" si="440"/>
        <v>0</v>
      </c>
      <c r="Q732" s="572">
        <v>0</v>
      </c>
      <c r="R732" s="572">
        <v>0</v>
      </c>
      <c r="S732" s="572">
        <v>0</v>
      </c>
      <c r="T732" s="572">
        <f t="shared" si="442"/>
        <v>0</v>
      </c>
      <c r="U732" s="572">
        <f t="shared" si="443"/>
        <v>0</v>
      </c>
    </row>
    <row r="733" spans="1:21" ht="18.75" x14ac:dyDescent="0.25">
      <c r="A733" s="674"/>
      <c r="B733" s="718"/>
      <c r="C733" s="718"/>
      <c r="D733" s="695"/>
      <c r="E733" s="573" t="s">
        <v>159</v>
      </c>
      <c r="F733" s="561"/>
      <c r="G733" s="563"/>
      <c r="H733" s="682" t="s">
        <v>14</v>
      </c>
      <c r="I733" s="565"/>
      <c r="J733" s="565"/>
      <c r="K733" s="566"/>
      <c r="L733" s="567">
        <v>0</v>
      </c>
      <c r="M733" s="568">
        <v>0</v>
      </c>
      <c r="N733" s="568">
        <v>0</v>
      </c>
      <c r="O733" s="568">
        <f t="shared" si="439"/>
        <v>0</v>
      </c>
      <c r="P733" s="568">
        <f t="shared" si="440"/>
        <v>0</v>
      </c>
      <c r="Q733" s="568">
        <f ca="1">IFERROR(__xludf.DUMMYFUNCTION("IMPORTRANGE(""https://docs.google.com/spreadsheets/d/1ItG2mGa2ceCfYo0BwxsXqNm01IGEUdYcSSLTEv9YCik/edit?usp=sharing"",""เบิกจ่ายกองทุน!O15"")"),1008470)</f>
        <v>1008470</v>
      </c>
      <c r="R733" s="568">
        <f ca="1">IFERROR(__xludf.DUMMYFUNCTION("IMPORTRANGE(""https://docs.google.com/spreadsheets/d/1ItG2mGa2ceCfYo0BwxsXqNm01IGEUdYcSSLTEv9YCik/edit?usp=sharing"",""เบิกจ่ายกองทุน!P15"")"),1008470)</f>
        <v>1008470</v>
      </c>
      <c r="S733" s="568">
        <f ca="1">IFERROR(__xludf.DUMMYFUNCTION("IMPORTRANGE(""https://docs.google.com/spreadsheets/d/1ItG2mGa2ceCfYo0BwxsXqNm01IGEUdYcSSLTEv9YCik/edit?usp=sharing"",""เบิกจ่ายกองทุน!Q15"")"),72034.51)</f>
        <v>72034.509999999995</v>
      </c>
      <c r="T733" s="568">
        <f t="shared" ca="1" si="442"/>
        <v>7.1429502117068422</v>
      </c>
      <c r="U733" s="568">
        <f t="shared" ca="1" si="443"/>
        <v>7.1429502117068422</v>
      </c>
    </row>
    <row r="734" spans="1:21" ht="18.75" x14ac:dyDescent="0.25">
      <c r="A734" s="674"/>
      <c r="B734" s="718"/>
      <c r="C734" s="718"/>
      <c r="D734" s="562" t="s">
        <v>23</v>
      </c>
      <c r="E734" s="718"/>
      <c r="F734" s="718"/>
      <c r="G734" s="563"/>
      <c r="H734" s="686" t="s">
        <v>14</v>
      </c>
      <c r="I734" s="683"/>
      <c r="J734" s="683"/>
      <c r="K734" s="684"/>
      <c r="L734" s="567">
        <f t="shared" ref="L734:N734" si="448">L735+L736</f>
        <v>0</v>
      </c>
      <c r="M734" s="568">
        <f t="shared" si="448"/>
        <v>0</v>
      </c>
      <c r="N734" s="568">
        <f t="shared" si="448"/>
        <v>0</v>
      </c>
      <c r="O734" s="568">
        <f t="shared" si="439"/>
        <v>0</v>
      </c>
      <c r="P734" s="568">
        <f t="shared" si="440"/>
        <v>0</v>
      </c>
      <c r="Q734" s="568">
        <f t="shared" ref="Q734:S734" si="449">Q735+Q736</f>
        <v>0</v>
      </c>
      <c r="R734" s="568">
        <f t="shared" si="449"/>
        <v>0</v>
      </c>
      <c r="S734" s="568">
        <f t="shared" si="449"/>
        <v>0</v>
      </c>
      <c r="T734" s="568">
        <f t="shared" si="442"/>
        <v>0</v>
      </c>
      <c r="U734" s="568">
        <f t="shared" si="443"/>
        <v>0</v>
      </c>
    </row>
    <row r="735" spans="1:21" ht="18.75" x14ac:dyDescent="0.25">
      <c r="A735" s="674"/>
      <c r="B735" s="718"/>
      <c r="C735" s="718"/>
      <c r="D735" s="718"/>
      <c r="E735" s="767" t="s">
        <v>20</v>
      </c>
      <c r="F735" s="718"/>
      <c r="G735" s="563"/>
      <c r="H735" s="685" t="s">
        <v>14</v>
      </c>
      <c r="I735" s="683"/>
      <c r="J735" s="683"/>
      <c r="K735" s="684"/>
      <c r="L735" s="571">
        <v>0</v>
      </c>
      <c r="M735" s="572">
        <v>0</v>
      </c>
      <c r="N735" s="572">
        <v>0</v>
      </c>
      <c r="O735" s="572">
        <f t="shared" si="439"/>
        <v>0</v>
      </c>
      <c r="P735" s="572">
        <f t="shared" si="440"/>
        <v>0</v>
      </c>
      <c r="Q735" s="572">
        <v>0</v>
      </c>
      <c r="R735" s="572">
        <v>0</v>
      </c>
      <c r="S735" s="572">
        <v>0</v>
      </c>
      <c r="T735" s="572">
        <f t="shared" si="442"/>
        <v>0</v>
      </c>
      <c r="U735" s="572">
        <f t="shared" si="443"/>
        <v>0</v>
      </c>
    </row>
    <row r="736" spans="1:21" ht="18.75" x14ac:dyDescent="0.25">
      <c r="A736" s="674"/>
      <c r="B736" s="718"/>
      <c r="C736" s="718"/>
      <c r="D736" s="718"/>
      <c r="E736" s="765" t="s">
        <v>21</v>
      </c>
      <c r="F736" s="718"/>
      <c r="G736" s="563"/>
      <c r="H736" s="686" t="s">
        <v>14</v>
      </c>
      <c r="I736" s="683"/>
      <c r="J736" s="683"/>
      <c r="K736" s="684"/>
      <c r="L736" s="567">
        <v>0</v>
      </c>
      <c r="M736" s="568">
        <v>0</v>
      </c>
      <c r="N736" s="568">
        <v>0</v>
      </c>
      <c r="O736" s="568">
        <f t="shared" si="439"/>
        <v>0</v>
      </c>
      <c r="P736" s="568">
        <f t="shared" si="440"/>
        <v>0</v>
      </c>
      <c r="Q736" s="568">
        <v>0</v>
      </c>
      <c r="R736" s="568">
        <v>0</v>
      </c>
      <c r="S736" s="568">
        <v>0</v>
      </c>
      <c r="T736" s="568">
        <f t="shared" si="442"/>
        <v>0</v>
      </c>
      <c r="U736" s="568">
        <f t="shared" si="443"/>
        <v>0</v>
      </c>
    </row>
    <row r="737" spans="1:21" ht="19.5" x14ac:dyDescent="0.3">
      <c r="A737" s="687"/>
      <c r="B737" s="688"/>
      <c r="C737" s="724" t="s">
        <v>18</v>
      </c>
      <c r="D737" s="956" t="s">
        <v>38</v>
      </c>
      <c r="E737" s="758"/>
      <c r="F737" s="690"/>
      <c r="G737" s="691"/>
      <c r="H737" s="725"/>
      <c r="I737" s="565"/>
      <c r="J737" s="565"/>
      <c r="K737" s="566"/>
      <c r="L737" s="574"/>
      <c r="M737" s="566"/>
      <c r="N737" s="566"/>
      <c r="O737" s="566"/>
      <c r="P737" s="566"/>
      <c r="Q737" s="566"/>
      <c r="R737" s="566"/>
      <c r="S737" s="566"/>
      <c r="T737" s="566"/>
      <c r="U737" s="566"/>
    </row>
    <row r="738" spans="1:21" ht="19.5" x14ac:dyDescent="0.3">
      <c r="A738" s="687"/>
      <c r="B738" s="688"/>
      <c r="C738" s="688"/>
      <c r="D738" s="1103" t="s">
        <v>121</v>
      </c>
      <c r="E738" s="688"/>
      <c r="F738" s="688"/>
      <c r="G738" s="692"/>
      <c r="H738" s="727"/>
      <c r="I738" s="565"/>
      <c r="J738" s="565"/>
      <c r="K738" s="566"/>
      <c r="L738" s="574"/>
      <c r="M738" s="566"/>
      <c r="N738" s="566"/>
      <c r="O738" s="566"/>
      <c r="P738" s="566"/>
      <c r="Q738" s="566"/>
      <c r="R738" s="566"/>
      <c r="S738" s="566"/>
      <c r="T738" s="566"/>
      <c r="U738" s="566"/>
    </row>
    <row r="739" spans="1:21" ht="18.75" x14ac:dyDescent="0.25">
      <c r="A739" s="687"/>
      <c r="B739" s="688"/>
      <c r="C739" s="688"/>
      <c r="D739" s="688"/>
      <c r="E739" s="1079" t="s">
        <v>270</v>
      </c>
      <c r="F739" s="688"/>
      <c r="G739" s="692"/>
      <c r="H739" s="727"/>
      <c r="I739" s="565"/>
      <c r="J739" s="565"/>
      <c r="K739" s="566"/>
      <c r="L739" s="574"/>
      <c r="M739" s="566"/>
      <c r="N739" s="566"/>
      <c r="O739" s="566"/>
      <c r="P739" s="566"/>
      <c r="Q739" s="566"/>
      <c r="R739" s="566"/>
      <c r="S739" s="566"/>
      <c r="T739" s="566"/>
      <c r="U739" s="566"/>
    </row>
    <row r="740" spans="1:21" ht="18.75" x14ac:dyDescent="0.25">
      <c r="A740" s="849"/>
      <c r="B740" s="850"/>
      <c r="C740" s="850"/>
      <c r="D740" s="850"/>
      <c r="E740" s="850"/>
      <c r="F740" s="1104" t="s">
        <v>271</v>
      </c>
      <c r="G740" s="852"/>
      <c r="H740" s="839" t="s">
        <v>46</v>
      </c>
      <c r="I740" s="960">
        <f ca="1">IFERROR(__xludf.DUMMYFUNCTION("IMPORTRANGE(""https://docs.google.com/spreadsheets/d/1eHaY18a8A9IcSdp1K8H6x8fbOy06t2VsZHhMHf-1x7Y/edit?usp=sharing"",""แผน!GB15"")"),1000)</f>
        <v>1000</v>
      </c>
      <c r="J740" s="1105">
        <v>1000</v>
      </c>
      <c r="K740" s="841">
        <f ca="1">IF(I740&gt;0,J740*100/I740,0)</f>
        <v>100</v>
      </c>
      <c r="L740" s="1106"/>
      <c r="M740" s="830"/>
      <c r="N740" s="830"/>
      <c r="O740" s="830"/>
      <c r="P740" s="830"/>
      <c r="Q740" s="830"/>
      <c r="R740" s="830"/>
      <c r="S740" s="830"/>
      <c r="T740" s="830"/>
      <c r="U740" s="830"/>
    </row>
    <row r="741" spans="1:21" ht="18.75" x14ac:dyDescent="0.25">
      <c r="A741" s="849"/>
      <c r="B741" s="850"/>
      <c r="C741" s="850"/>
      <c r="D741" s="850"/>
      <c r="E741" s="850"/>
      <c r="F741" s="1104" t="s">
        <v>306</v>
      </c>
      <c r="G741" s="852"/>
      <c r="H741" s="839" t="s">
        <v>35</v>
      </c>
      <c r="I741" s="829"/>
      <c r="J741" s="1105">
        <v>0</v>
      </c>
      <c r="K741" s="830"/>
      <c r="L741" s="1106"/>
      <c r="M741" s="830"/>
      <c r="N741" s="830"/>
      <c r="O741" s="830"/>
      <c r="P741" s="830"/>
      <c r="Q741" s="830"/>
      <c r="R741" s="830"/>
      <c r="S741" s="830"/>
      <c r="T741" s="830"/>
      <c r="U741" s="830"/>
    </row>
    <row r="742" spans="1:21" ht="18.75" x14ac:dyDescent="0.25">
      <c r="A742" s="849"/>
      <c r="B742" s="850"/>
      <c r="C742" s="850"/>
      <c r="D742" s="850"/>
      <c r="E742" s="850"/>
      <c r="F742" s="1104" t="s">
        <v>307</v>
      </c>
      <c r="G742" s="852"/>
      <c r="H742" s="839" t="s">
        <v>35</v>
      </c>
      <c r="I742" s="960">
        <f ca="1">IFERROR(__xludf.DUMMYFUNCTION("IMPORTRANGE(""https://docs.google.com/spreadsheets/d/1eHaY18a8A9IcSdp1K8H6x8fbOy06t2VsZHhMHf-1x7Y/edit?usp=sharing"",""แผน!GC15"")"),100)</f>
        <v>100</v>
      </c>
      <c r="J742" s="1105">
        <v>137</v>
      </c>
      <c r="K742" s="841">
        <f ca="1">IF(I742&gt;0,J742*100/I742,0)</f>
        <v>137</v>
      </c>
      <c r="L742" s="1106"/>
      <c r="M742" s="830"/>
      <c r="N742" s="830"/>
      <c r="O742" s="830"/>
      <c r="P742" s="830"/>
      <c r="Q742" s="830"/>
      <c r="R742" s="830"/>
      <c r="S742" s="830"/>
      <c r="T742" s="830"/>
      <c r="U742" s="830"/>
    </row>
    <row r="743" spans="1:21" ht="18.75" x14ac:dyDescent="0.25">
      <c r="A743" s="849"/>
      <c r="B743" s="850"/>
      <c r="C743" s="850"/>
      <c r="D743" s="850"/>
      <c r="E743" s="1104" t="s">
        <v>274</v>
      </c>
      <c r="F743" s="850"/>
      <c r="G743" s="852"/>
      <c r="H743" s="959"/>
      <c r="I743" s="829"/>
      <c r="J743" s="829"/>
      <c r="K743" s="830"/>
      <c r="L743" s="1106"/>
      <c r="M743" s="830"/>
      <c r="N743" s="830"/>
      <c r="O743" s="830"/>
      <c r="P743" s="830"/>
      <c r="Q743" s="830"/>
      <c r="R743" s="830"/>
      <c r="S743" s="830"/>
      <c r="T743" s="830"/>
      <c r="U743" s="830"/>
    </row>
    <row r="744" spans="1:21" ht="18.75" x14ac:dyDescent="0.25">
      <c r="A744" s="849"/>
      <c r="B744" s="850"/>
      <c r="C744" s="850"/>
      <c r="D744" s="850"/>
      <c r="E744" s="850"/>
      <c r="F744" s="1104" t="s">
        <v>271</v>
      </c>
      <c r="G744" s="852"/>
      <c r="H744" s="839" t="s">
        <v>46</v>
      </c>
      <c r="I744" s="960">
        <f ca="1">IFERROR(__xludf.DUMMYFUNCTION("IMPORTRANGE(""https://docs.google.com/spreadsheets/d/1eHaY18a8A9IcSdp1K8H6x8fbOy06t2VsZHhMHf-1x7Y/edit?usp=sharing"",""แผน!GD15"")"),250)</f>
        <v>250</v>
      </c>
      <c r="J744" s="1105">
        <v>0</v>
      </c>
      <c r="K744" s="841">
        <f ca="1">IF(I744&gt;0,J744*100/I744,0)</f>
        <v>0</v>
      </c>
      <c r="L744" s="1106"/>
      <c r="M744" s="830"/>
      <c r="N744" s="830"/>
      <c r="O744" s="830"/>
      <c r="P744" s="830"/>
      <c r="Q744" s="830"/>
      <c r="R744" s="830"/>
      <c r="S744" s="830"/>
      <c r="T744" s="830"/>
      <c r="U744" s="830"/>
    </row>
    <row r="745" spans="1:21" ht="18.75" x14ac:dyDescent="0.25">
      <c r="A745" s="849"/>
      <c r="B745" s="850"/>
      <c r="C745" s="850"/>
      <c r="D745" s="850"/>
      <c r="E745" s="850"/>
      <c r="F745" s="1104" t="s">
        <v>308</v>
      </c>
      <c r="G745" s="852"/>
      <c r="H745" s="839" t="s">
        <v>35</v>
      </c>
      <c r="I745" s="829"/>
      <c r="J745" s="1105">
        <v>0</v>
      </c>
      <c r="K745" s="830"/>
      <c r="L745" s="1106"/>
      <c r="M745" s="830"/>
      <c r="N745" s="830"/>
      <c r="O745" s="830"/>
      <c r="P745" s="830"/>
      <c r="Q745" s="830"/>
      <c r="R745" s="830"/>
      <c r="S745" s="830"/>
      <c r="T745" s="830"/>
      <c r="U745" s="830"/>
    </row>
    <row r="746" spans="1:21" ht="18.75" x14ac:dyDescent="0.25">
      <c r="A746" s="849"/>
      <c r="B746" s="850"/>
      <c r="C746" s="850"/>
      <c r="D746" s="850"/>
      <c r="E746" s="850"/>
      <c r="F746" s="1104" t="s">
        <v>309</v>
      </c>
      <c r="G746" s="852"/>
      <c r="H746" s="839" t="s">
        <v>35</v>
      </c>
      <c r="I746" s="960">
        <f ca="1">IFERROR(__xludf.DUMMYFUNCTION("IMPORTRANGE(""https://docs.google.com/spreadsheets/d/1eHaY18a8A9IcSdp1K8H6x8fbOy06t2VsZHhMHf-1x7Y/edit?usp=sharing"",""แผน!GE15"")"),25)</f>
        <v>25</v>
      </c>
      <c r="J746" s="1105">
        <v>0</v>
      </c>
      <c r="K746" s="841">
        <f ca="1">IF(I746&gt;0,J746*100/I746,0)</f>
        <v>0</v>
      </c>
      <c r="L746" s="1106"/>
      <c r="M746" s="830"/>
      <c r="N746" s="830"/>
      <c r="O746" s="830"/>
      <c r="P746" s="830"/>
      <c r="Q746" s="830"/>
      <c r="R746" s="830"/>
      <c r="S746" s="830"/>
      <c r="T746" s="830"/>
      <c r="U746" s="830"/>
    </row>
    <row r="747" spans="1:21" ht="18.75" x14ac:dyDescent="0.25">
      <c r="A747" s="849"/>
      <c r="B747" s="850"/>
      <c r="C747" s="850"/>
      <c r="D747" s="850"/>
      <c r="E747" s="1104" t="s">
        <v>277</v>
      </c>
      <c r="F747" s="1107"/>
      <c r="G747" s="852"/>
      <c r="H747" s="959"/>
      <c r="I747" s="829"/>
      <c r="J747" s="829"/>
      <c r="K747" s="830"/>
      <c r="L747" s="1106"/>
      <c r="M747" s="830"/>
      <c r="N747" s="830"/>
      <c r="O747" s="830"/>
      <c r="P747" s="830"/>
      <c r="Q747" s="830"/>
      <c r="R747" s="830"/>
      <c r="S747" s="830"/>
      <c r="T747" s="830"/>
      <c r="U747" s="830"/>
    </row>
    <row r="748" spans="1:21" ht="18.75" x14ac:dyDescent="0.25">
      <c r="A748" s="849"/>
      <c r="B748" s="850"/>
      <c r="C748" s="850"/>
      <c r="D748" s="850"/>
      <c r="E748" s="850"/>
      <c r="F748" s="1104" t="s">
        <v>310</v>
      </c>
      <c r="G748" s="852"/>
      <c r="H748" s="839" t="s">
        <v>35</v>
      </c>
      <c r="I748" s="829"/>
      <c r="J748" s="1105">
        <v>0</v>
      </c>
      <c r="K748" s="830"/>
      <c r="L748" s="1106"/>
      <c r="M748" s="830"/>
      <c r="N748" s="830"/>
      <c r="O748" s="830"/>
      <c r="P748" s="830"/>
      <c r="Q748" s="830"/>
      <c r="R748" s="830"/>
      <c r="S748" s="830"/>
      <c r="T748" s="830"/>
      <c r="U748" s="830"/>
    </row>
    <row r="749" spans="1:21" ht="18.75" x14ac:dyDescent="0.25">
      <c r="A749" s="849"/>
      <c r="B749" s="850"/>
      <c r="C749" s="850"/>
      <c r="D749" s="850"/>
      <c r="E749" s="850"/>
      <c r="F749" s="1104" t="s">
        <v>311</v>
      </c>
      <c r="G749" s="852"/>
      <c r="H749" s="839" t="s">
        <v>35</v>
      </c>
      <c r="I749" s="960">
        <f ca="1">IFERROR(__xludf.DUMMYFUNCTION("IMPORTRANGE(""https://docs.google.com/spreadsheets/d/1eHaY18a8A9IcSdp1K8H6x8fbOy06t2VsZHhMHf-1x7Y/edit?usp=sharing"",""แผน!GF15"")"),3)</f>
        <v>3</v>
      </c>
      <c r="J749" s="1105">
        <v>0</v>
      </c>
      <c r="K749" s="841">
        <f ca="1">IF(I749&gt;0,J749*100/I749,0)</f>
        <v>0</v>
      </c>
      <c r="L749" s="1106"/>
      <c r="M749" s="830"/>
      <c r="N749" s="830"/>
      <c r="O749" s="830"/>
      <c r="P749" s="830"/>
      <c r="Q749" s="830"/>
      <c r="R749" s="830"/>
      <c r="S749" s="830"/>
      <c r="T749" s="830"/>
      <c r="U749" s="830"/>
    </row>
    <row r="750" spans="1:21" ht="19.5" x14ac:dyDescent="0.3">
      <c r="A750" s="849"/>
      <c r="B750" s="850"/>
      <c r="C750" s="850"/>
      <c r="D750" s="1108" t="s">
        <v>50</v>
      </c>
      <c r="E750" s="850"/>
      <c r="F750" s="1107"/>
      <c r="G750" s="852"/>
      <c r="H750" s="959"/>
      <c r="I750" s="829"/>
      <c r="J750" s="829"/>
      <c r="K750" s="830"/>
      <c r="L750" s="1106"/>
      <c r="M750" s="830"/>
      <c r="N750" s="830"/>
      <c r="O750" s="830"/>
      <c r="P750" s="830"/>
      <c r="Q750" s="830"/>
      <c r="R750" s="830"/>
      <c r="S750" s="830"/>
      <c r="T750" s="830"/>
      <c r="U750" s="830"/>
    </row>
    <row r="751" spans="1:21" ht="18.75" x14ac:dyDescent="0.25">
      <c r="A751" s="849"/>
      <c r="B751" s="850"/>
      <c r="C751" s="850"/>
      <c r="D751" s="850"/>
      <c r="E751" s="1104" t="s">
        <v>270</v>
      </c>
      <c r="F751" s="1107"/>
      <c r="G751" s="852"/>
      <c r="H751" s="959"/>
      <c r="I751" s="829"/>
      <c r="J751" s="829"/>
      <c r="K751" s="830"/>
      <c r="L751" s="1106"/>
      <c r="M751" s="830"/>
      <c r="N751" s="830"/>
      <c r="O751" s="830"/>
      <c r="P751" s="830"/>
      <c r="Q751" s="830"/>
      <c r="R751" s="830"/>
      <c r="S751" s="830"/>
      <c r="T751" s="830"/>
      <c r="U751" s="830"/>
    </row>
    <row r="752" spans="1:21" ht="18.75" x14ac:dyDescent="0.25">
      <c r="A752" s="849"/>
      <c r="B752" s="850"/>
      <c r="C752" s="850"/>
      <c r="D752" s="850"/>
      <c r="E752" s="850"/>
      <c r="F752" s="1109" t="s">
        <v>312</v>
      </c>
      <c r="G752" s="852"/>
      <c r="H752" s="839" t="s">
        <v>46</v>
      </c>
      <c r="I752" s="960">
        <f ca="1">IFERROR(__xludf.DUMMYFUNCTION("IMPORTRANGE(""https://docs.google.com/spreadsheets/d/1eHaY18a8A9IcSdp1K8H6x8fbOy06t2VsZHhMHf-1x7Y/edit?usp=sharing"",""แผน!GB15"")"),1000)</f>
        <v>1000</v>
      </c>
      <c r="J752" s="1105">
        <v>0</v>
      </c>
      <c r="K752" s="841">
        <f ca="1">IF(I752&gt;0,J752*100/I752,0)</f>
        <v>0</v>
      </c>
      <c r="L752" s="1106"/>
      <c r="M752" s="830"/>
      <c r="N752" s="830"/>
      <c r="O752" s="830"/>
      <c r="P752" s="830"/>
      <c r="Q752" s="830"/>
      <c r="R752" s="830"/>
      <c r="S752" s="830"/>
      <c r="T752" s="830"/>
      <c r="U752" s="830"/>
    </row>
    <row r="753" spans="1:21" ht="18.75" x14ac:dyDescent="0.25">
      <c r="A753" s="849"/>
      <c r="B753" s="850"/>
      <c r="C753" s="850"/>
      <c r="D753" s="850"/>
      <c r="E753" s="850"/>
      <c r="F753" s="1109" t="s">
        <v>313</v>
      </c>
      <c r="G753" s="852"/>
      <c r="H753" s="839" t="s">
        <v>46</v>
      </c>
      <c r="I753" s="829"/>
      <c r="J753" s="1105">
        <v>0</v>
      </c>
      <c r="K753" s="830"/>
      <c r="L753" s="1106"/>
      <c r="M753" s="830"/>
      <c r="N753" s="830"/>
      <c r="O753" s="830"/>
      <c r="P753" s="830"/>
      <c r="Q753" s="830"/>
      <c r="R753" s="830"/>
      <c r="S753" s="830"/>
      <c r="T753" s="830"/>
      <c r="U753" s="830"/>
    </row>
    <row r="754" spans="1:21" ht="18.75" x14ac:dyDescent="0.25">
      <c r="A754" s="849"/>
      <c r="B754" s="850"/>
      <c r="C754" s="850"/>
      <c r="D754" s="850"/>
      <c r="E754" s="1104" t="s">
        <v>274</v>
      </c>
      <c r="F754" s="1107"/>
      <c r="G754" s="852"/>
      <c r="H754" s="959"/>
      <c r="I754" s="829"/>
      <c r="J754" s="829"/>
      <c r="K754" s="830"/>
      <c r="L754" s="1106"/>
      <c r="M754" s="830"/>
      <c r="N754" s="830"/>
      <c r="O754" s="830"/>
      <c r="P754" s="830"/>
      <c r="Q754" s="830"/>
      <c r="R754" s="830"/>
      <c r="S754" s="830"/>
      <c r="T754" s="830"/>
      <c r="U754" s="830"/>
    </row>
    <row r="755" spans="1:21" ht="18.75" x14ac:dyDescent="0.25">
      <c r="A755" s="849"/>
      <c r="B755" s="850"/>
      <c r="C755" s="850"/>
      <c r="D755" s="850"/>
      <c r="E755" s="1107"/>
      <c r="F755" s="1109" t="s">
        <v>314</v>
      </c>
      <c r="G755" s="852"/>
      <c r="H755" s="839" t="s">
        <v>46</v>
      </c>
      <c r="I755" s="960">
        <f ca="1">IFERROR(__xludf.DUMMYFUNCTION("IMPORTRANGE(""https://docs.google.com/spreadsheets/d/1eHaY18a8A9IcSdp1K8H6x8fbOy06t2VsZHhMHf-1x7Y/edit?usp=sharing"",""แผน!GD15"")"),250)</f>
        <v>250</v>
      </c>
      <c r="J755" s="1105">
        <v>0</v>
      </c>
      <c r="K755" s="841">
        <f ca="1">IF(I755&gt;0,J755*100/I755,0)</f>
        <v>0</v>
      </c>
      <c r="L755" s="1106"/>
      <c r="M755" s="830"/>
      <c r="N755" s="830"/>
      <c r="O755" s="830"/>
      <c r="P755" s="830"/>
      <c r="Q755" s="830"/>
      <c r="R755" s="830"/>
      <c r="S755" s="830"/>
      <c r="T755" s="830"/>
      <c r="U755" s="830"/>
    </row>
    <row r="756" spans="1:21" ht="18.75" x14ac:dyDescent="0.25">
      <c r="A756" s="849"/>
      <c r="B756" s="850"/>
      <c r="C756" s="850"/>
      <c r="D756" s="850"/>
      <c r="E756" s="1107"/>
      <c r="F756" s="1109" t="s">
        <v>315</v>
      </c>
      <c r="G756" s="852"/>
      <c r="H756" s="839" t="s">
        <v>46</v>
      </c>
      <c r="I756" s="829"/>
      <c r="J756" s="1105">
        <v>0</v>
      </c>
      <c r="K756" s="830"/>
      <c r="L756" s="1106"/>
      <c r="M756" s="830"/>
      <c r="N756" s="830"/>
      <c r="O756" s="830"/>
      <c r="P756" s="830"/>
      <c r="Q756" s="830"/>
      <c r="R756" s="830"/>
      <c r="S756" s="830"/>
      <c r="T756" s="830"/>
      <c r="U756" s="830"/>
    </row>
    <row r="757" spans="1:21" ht="18.75" x14ac:dyDescent="0.25">
      <c r="A757" s="1110"/>
      <c r="B757" s="1110"/>
      <c r="C757" s="1110"/>
      <c r="D757" s="1110"/>
      <c r="E757" s="1111" t="s">
        <v>284</v>
      </c>
      <c r="F757" s="1112"/>
      <c r="G757" s="1113"/>
      <c r="H757" s="1114" t="s">
        <v>35</v>
      </c>
      <c r="I757" s="1115"/>
      <c r="J757" s="861">
        <v>0</v>
      </c>
      <c r="K757" s="1116"/>
      <c r="L757" s="1116"/>
      <c r="M757" s="1116"/>
      <c r="N757" s="1116"/>
      <c r="O757" s="1116"/>
      <c r="P757" s="1116"/>
      <c r="Q757" s="1116"/>
      <c r="R757" s="1116"/>
      <c r="S757" s="1116"/>
      <c r="T757" s="1116"/>
      <c r="U757" s="1116"/>
    </row>
    <row r="758" spans="1:21" ht="19.5" x14ac:dyDescent="0.3">
      <c r="A758" s="1061"/>
      <c r="B758" s="1062" t="s">
        <v>285</v>
      </c>
      <c r="C758" s="1061"/>
      <c r="D758" s="1063"/>
      <c r="E758" s="1063"/>
      <c r="F758" s="1063"/>
      <c r="G758" s="1064"/>
      <c r="H758" s="1092" t="s">
        <v>35</v>
      </c>
      <c r="I758" s="1093">
        <f t="shared" ref="I758:J758" ca="1" si="450">I772</f>
        <v>150</v>
      </c>
      <c r="J758" s="1093">
        <f t="shared" si="450"/>
        <v>50</v>
      </c>
      <c r="K758" s="1094">
        <f t="shared" ref="K758:K759" ca="1" si="451">IF(I758&gt;0,J758*100/I758,0)</f>
        <v>33.333333333333336</v>
      </c>
      <c r="L758" s="1068"/>
      <c r="M758" s="1067"/>
      <c r="N758" s="1067"/>
      <c r="O758" s="1067"/>
      <c r="P758" s="1067"/>
      <c r="Q758" s="1067"/>
      <c r="R758" s="1067"/>
      <c r="S758" s="1067"/>
      <c r="T758" s="1067"/>
      <c r="U758" s="1067"/>
    </row>
    <row r="759" spans="1:21" ht="19.5" x14ac:dyDescent="0.3">
      <c r="A759" s="1102"/>
      <c r="B759" s="1061"/>
      <c r="C759" s="1061"/>
      <c r="D759" s="1063"/>
      <c r="E759" s="1063"/>
      <c r="F759" s="1063"/>
      <c r="G759" s="1064"/>
      <c r="H759" s="1092" t="s">
        <v>46</v>
      </c>
      <c r="I759" s="1093">
        <f t="shared" ref="I759:J759" ca="1" si="452">I774</f>
        <v>300</v>
      </c>
      <c r="J759" s="1093">
        <f t="shared" si="452"/>
        <v>0</v>
      </c>
      <c r="K759" s="1094">
        <f t="shared" ca="1" si="451"/>
        <v>0</v>
      </c>
      <c r="L759" s="1068"/>
      <c r="M759" s="1067"/>
      <c r="N759" s="1067"/>
      <c r="O759" s="1067"/>
      <c r="P759" s="1067"/>
      <c r="Q759" s="1067"/>
      <c r="R759" s="1067"/>
      <c r="S759" s="1067"/>
      <c r="T759" s="1067"/>
      <c r="U759" s="1067"/>
    </row>
    <row r="760" spans="1:21" ht="19.5" x14ac:dyDescent="0.3">
      <c r="A760" s="674"/>
      <c r="B760" s="718"/>
      <c r="C760" s="724" t="s">
        <v>18</v>
      </c>
      <c r="D760" s="1310" t="s">
        <v>19</v>
      </c>
      <c r="E760" s="1311"/>
      <c r="F760" s="1311"/>
      <c r="G760" s="1312"/>
      <c r="H760" s="780" t="s">
        <v>14</v>
      </c>
      <c r="I760" s="565"/>
      <c r="J760" s="565"/>
      <c r="K760" s="566"/>
      <c r="L760" s="678">
        <f t="shared" ref="L760:N760" si="453">L761+L762</f>
        <v>0</v>
      </c>
      <c r="M760" s="679">
        <f t="shared" si="453"/>
        <v>0</v>
      </c>
      <c r="N760" s="679">
        <f t="shared" si="453"/>
        <v>0</v>
      </c>
      <c r="O760" s="679">
        <f t="shared" ref="O760:O768" si="454">IF(L760&gt;0,N760*100/L760,0)</f>
        <v>0</v>
      </c>
      <c r="P760" s="679">
        <f t="shared" ref="P760:P768" si="455">IF(M760&gt;0,N760*100/M760,0)</f>
        <v>0</v>
      </c>
      <c r="Q760" s="679">
        <f t="shared" ref="Q760:S760" ca="1" si="456">Q761+Q762</f>
        <v>806680</v>
      </c>
      <c r="R760" s="679">
        <f t="shared" ca="1" si="456"/>
        <v>806680</v>
      </c>
      <c r="S760" s="679">
        <f t="shared" ca="1" si="456"/>
        <v>183717</v>
      </c>
      <c r="T760" s="679">
        <f t="shared" ref="T760:T768" ca="1" si="457">IF(Q760&gt;0,S760*100/Q760,0)</f>
        <v>22.774458273416968</v>
      </c>
      <c r="U760" s="679">
        <f t="shared" ref="U760:U768" ca="1" si="458">IF(R760&gt;0,S760*100/R760,0)</f>
        <v>22.774458273416968</v>
      </c>
    </row>
    <row r="761" spans="1:21" ht="18.75" x14ac:dyDescent="0.25">
      <c r="A761" s="674"/>
      <c r="B761" s="718"/>
      <c r="C761" s="718"/>
      <c r="D761" s="695"/>
      <c r="E761" s="569" t="s">
        <v>158</v>
      </c>
      <c r="F761" s="561"/>
      <c r="G761" s="563"/>
      <c r="H761" s="685" t="s">
        <v>14</v>
      </c>
      <c r="I761" s="565"/>
      <c r="J761" s="565"/>
      <c r="K761" s="566"/>
      <c r="L761" s="571">
        <f t="shared" ref="L761:N762" si="459">L764+L767</f>
        <v>0</v>
      </c>
      <c r="M761" s="572">
        <f t="shared" si="459"/>
        <v>0</v>
      </c>
      <c r="N761" s="572">
        <f t="shared" si="459"/>
        <v>0</v>
      </c>
      <c r="O761" s="572">
        <f t="shared" si="454"/>
        <v>0</v>
      </c>
      <c r="P761" s="572">
        <f t="shared" si="455"/>
        <v>0</v>
      </c>
      <c r="Q761" s="572">
        <f t="shared" ref="Q761:S762" si="460">Q764+Q767</f>
        <v>0</v>
      </c>
      <c r="R761" s="572">
        <f t="shared" si="460"/>
        <v>0</v>
      </c>
      <c r="S761" s="572">
        <f t="shared" si="460"/>
        <v>0</v>
      </c>
      <c r="T761" s="572">
        <f t="shared" si="457"/>
        <v>0</v>
      </c>
      <c r="U761" s="572">
        <f t="shared" si="458"/>
        <v>0</v>
      </c>
    </row>
    <row r="762" spans="1:21" ht="18.75" x14ac:dyDescent="0.25">
      <c r="A762" s="674"/>
      <c r="B762" s="718"/>
      <c r="C762" s="720"/>
      <c r="D762" s="695"/>
      <c r="E762" s="573" t="s">
        <v>159</v>
      </c>
      <c r="F762" s="561"/>
      <c r="G762" s="563"/>
      <c r="H762" s="682" t="s">
        <v>14</v>
      </c>
      <c r="I762" s="565"/>
      <c r="J762" s="565"/>
      <c r="K762" s="566"/>
      <c r="L762" s="567">
        <f t="shared" si="459"/>
        <v>0</v>
      </c>
      <c r="M762" s="568">
        <f t="shared" si="459"/>
        <v>0</v>
      </c>
      <c r="N762" s="568">
        <f t="shared" si="459"/>
        <v>0</v>
      </c>
      <c r="O762" s="568">
        <f t="shared" si="454"/>
        <v>0</v>
      </c>
      <c r="P762" s="568">
        <f t="shared" si="455"/>
        <v>0</v>
      </c>
      <c r="Q762" s="568">
        <f t="shared" ca="1" si="460"/>
        <v>806680</v>
      </c>
      <c r="R762" s="568">
        <f t="shared" ca="1" si="460"/>
        <v>806680</v>
      </c>
      <c r="S762" s="568">
        <f t="shared" ca="1" si="460"/>
        <v>183717</v>
      </c>
      <c r="T762" s="568">
        <f t="shared" ca="1" si="457"/>
        <v>22.774458273416968</v>
      </c>
      <c r="U762" s="568">
        <f t="shared" ca="1" si="458"/>
        <v>22.774458273416968</v>
      </c>
    </row>
    <row r="763" spans="1:21" ht="18.75" x14ac:dyDescent="0.25">
      <c r="A763" s="674"/>
      <c r="B763" s="718"/>
      <c r="C763" s="720"/>
      <c r="D763" s="562" t="s">
        <v>22</v>
      </c>
      <c r="E763" s="561"/>
      <c r="F763" s="561"/>
      <c r="G763" s="563"/>
      <c r="H763" s="682" t="s">
        <v>14</v>
      </c>
      <c r="I763" s="683"/>
      <c r="J763" s="683"/>
      <c r="K763" s="684"/>
      <c r="L763" s="567">
        <f t="shared" ref="L763:N763" si="461">L764+L765</f>
        <v>0</v>
      </c>
      <c r="M763" s="568">
        <f t="shared" si="461"/>
        <v>0</v>
      </c>
      <c r="N763" s="568">
        <f t="shared" si="461"/>
        <v>0</v>
      </c>
      <c r="O763" s="568">
        <f t="shared" si="454"/>
        <v>0</v>
      </c>
      <c r="P763" s="568">
        <f t="shared" si="455"/>
        <v>0</v>
      </c>
      <c r="Q763" s="568">
        <f t="shared" ref="Q763:S763" ca="1" si="462">Q764+Q765</f>
        <v>806680</v>
      </c>
      <c r="R763" s="568">
        <f t="shared" ca="1" si="462"/>
        <v>806680</v>
      </c>
      <c r="S763" s="568">
        <f t="shared" ca="1" si="462"/>
        <v>183717</v>
      </c>
      <c r="T763" s="568">
        <f t="shared" ca="1" si="457"/>
        <v>22.774458273416968</v>
      </c>
      <c r="U763" s="568">
        <f t="shared" ca="1" si="458"/>
        <v>22.774458273416968</v>
      </c>
    </row>
    <row r="764" spans="1:21" ht="18.75" x14ac:dyDescent="0.25">
      <c r="A764" s="674"/>
      <c r="B764" s="718"/>
      <c r="C764" s="720"/>
      <c r="D764" s="695"/>
      <c r="E764" s="569" t="s">
        <v>158</v>
      </c>
      <c r="F764" s="561"/>
      <c r="G764" s="563"/>
      <c r="H764" s="685" t="s">
        <v>14</v>
      </c>
      <c r="I764" s="565"/>
      <c r="J764" s="565"/>
      <c r="K764" s="566"/>
      <c r="L764" s="571">
        <v>0</v>
      </c>
      <c r="M764" s="572">
        <v>0</v>
      </c>
      <c r="N764" s="572">
        <v>0</v>
      </c>
      <c r="O764" s="572">
        <f t="shared" si="454"/>
        <v>0</v>
      </c>
      <c r="P764" s="572">
        <f t="shared" si="455"/>
        <v>0</v>
      </c>
      <c r="Q764" s="572">
        <v>0</v>
      </c>
      <c r="R764" s="572">
        <v>0</v>
      </c>
      <c r="S764" s="572">
        <v>0</v>
      </c>
      <c r="T764" s="572">
        <f t="shared" si="457"/>
        <v>0</v>
      </c>
      <c r="U764" s="572">
        <f t="shared" si="458"/>
        <v>0</v>
      </c>
    </row>
    <row r="765" spans="1:21" ht="18.75" x14ac:dyDescent="0.25">
      <c r="A765" s="674"/>
      <c r="B765" s="718"/>
      <c r="C765" s="720"/>
      <c r="D765" s="695"/>
      <c r="E765" s="573" t="s">
        <v>159</v>
      </c>
      <c r="F765" s="561"/>
      <c r="G765" s="563"/>
      <c r="H765" s="682" t="s">
        <v>14</v>
      </c>
      <c r="I765" s="565"/>
      <c r="J765" s="565"/>
      <c r="K765" s="566"/>
      <c r="L765" s="567">
        <v>0</v>
      </c>
      <c r="M765" s="568">
        <v>0</v>
      </c>
      <c r="N765" s="568">
        <v>0</v>
      </c>
      <c r="O765" s="568">
        <f t="shared" si="454"/>
        <v>0</v>
      </c>
      <c r="P765" s="568">
        <f t="shared" si="455"/>
        <v>0</v>
      </c>
      <c r="Q765" s="568">
        <f ca="1">IFERROR(__xludf.DUMMYFUNCTION("IMPORTRANGE(""https://docs.google.com/spreadsheets/d/1ItG2mGa2ceCfYo0BwxsXqNm01IGEUdYcSSLTEv9YCik/edit?usp=sharing"",""เบิกจ่ายกองทุน!AA15"")"),806680)</f>
        <v>806680</v>
      </c>
      <c r="R765" s="568">
        <f ca="1">IFERROR(__xludf.DUMMYFUNCTION("IMPORTRANGE(""https://docs.google.com/spreadsheets/d/1ItG2mGa2ceCfYo0BwxsXqNm01IGEUdYcSSLTEv9YCik/edit?usp=sharing"",""เบิกจ่ายกองทุน!AB15"")"),806680)</f>
        <v>806680</v>
      </c>
      <c r="S765" s="568">
        <f ca="1">IFERROR(__xludf.DUMMYFUNCTION("IMPORTRANGE(""https://docs.google.com/spreadsheets/d/1ItG2mGa2ceCfYo0BwxsXqNm01IGEUdYcSSLTEv9YCik/edit?usp=sharing"",""เบิกจ่ายกองทุน!AC15"")"),183717)</f>
        <v>183717</v>
      </c>
      <c r="T765" s="568">
        <f t="shared" ca="1" si="457"/>
        <v>22.774458273416968</v>
      </c>
      <c r="U765" s="568">
        <f t="shared" ca="1" si="458"/>
        <v>22.774458273416968</v>
      </c>
    </row>
    <row r="766" spans="1:21" ht="18.75" x14ac:dyDescent="0.25">
      <c r="A766" s="674"/>
      <c r="B766" s="718"/>
      <c r="C766" s="718"/>
      <c r="D766" s="562" t="s">
        <v>23</v>
      </c>
      <c r="E766" s="718"/>
      <c r="F766" s="561"/>
      <c r="G766" s="563"/>
      <c r="H766" s="686" t="s">
        <v>14</v>
      </c>
      <c r="I766" s="683"/>
      <c r="J766" s="683"/>
      <c r="K766" s="684"/>
      <c r="L766" s="567">
        <f t="shared" ref="L766:N766" si="463">L767+L768</f>
        <v>0</v>
      </c>
      <c r="M766" s="568">
        <f t="shared" si="463"/>
        <v>0</v>
      </c>
      <c r="N766" s="568">
        <f t="shared" si="463"/>
        <v>0</v>
      </c>
      <c r="O766" s="568">
        <f t="shared" si="454"/>
        <v>0</v>
      </c>
      <c r="P766" s="568">
        <f t="shared" si="455"/>
        <v>0</v>
      </c>
      <c r="Q766" s="568">
        <f t="shared" ref="Q766:S766" si="464">Q767+Q768</f>
        <v>0</v>
      </c>
      <c r="R766" s="568">
        <f t="shared" si="464"/>
        <v>0</v>
      </c>
      <c r="S766" s="568">
        <f t="shared" si="464"/>
        <v>0</v>
      </c>
      <c r="T766" s="568">
        <f t="shared" si="457"/>
        <v>0</v>
      </c>
      <c r="U766" s="568">
        <f t="shared" si="458"/>
        <v>0</v>
      </c>
    </row>
    <row r="767" spans="1:21" ht="18.75" x14ac:dyDescent="0.25">
      <c r="A767" s="674"/>
      <c r="B767" s="718"/>
      <c r="C767" s="718"/>
      <c r="D767" s="718"/>
      <c r="E767" s="767" t="s">
        <v>20</v>
      </c>
      <c r="F767" s="561"/>
      <c r="G767" s="563"/>
      <c r="H767" s="685" t="s">
        <v>14</v>
      </c>
      <c r="I767" s="683"/>
      <c r="J767" s="683"/>
      <c r="K767" s="684"/>
      <c r="L767" s="571">
        <v>0</v>
      </c>
      <c r="M767" s="572">
        <v>0</v>
      </c>
      <c r="N767" s="572">
        <v>0</v>
      </c>
      <c r="O767" s="572">
        <f t="shared" si="454"/>
        <v>0</v>
      </c>
      <c r="P767" s="572">
        <f t="shared" si="455"/>
        <v>0</v>
      </c>
      <c r="Q767" s="572">
        <v>0</v>
      </c>
      <c r="R767" s="572">
        <v>0</v>
      </c>
      <c r="S767" s="572">
        <v>0</v>
      </c>
      <c r="T767" s="572">
        <f t="shared" si="457"/>
        <v>0</v>
      </c>
      <c r="U767" s="572">
        <f t="shared" si="458"/>
        <v>0</v>
      </c>
    </row>
    <row r="768" spans="1:21" ht="18.75" x14ac:dyDescent="0.25">
      <c r="A768" s="674"/>
      <c r="B768" s="718"/>
      <c r="C768" s="718"/>
      <c r="D768" s="718"/>
      <c r="E768" s="765" t="s">
        <v>21</v>
      </c>
      <c r="F768" s="561"/>
      <c r="G768" s="563"/>
      <c r="H768" s="686" t="s">
        <v>14</v>
      </c>
      <c r="I768" s="683"/>
      <c r="J768" s="683"/>
      <c r="K768" s="684"/>
      <c r="L768" s="567">
        <v>0</v>
      </c>
      <c r="M768" s="568">
        <v>0</v>
      </c>
      <c r="N768" s="568">
        <v>0</v>
      </c>
      <c r="O768" s="568">
        <f t="shared" si="454"/>
        <v>0</v>
      </c>
      <c r="P768" s="568">
        <f t="shared" si="455"/>
        <v>0</v>
      </c>
      <c r="Q768" s="568">
        <v>0</v>
      </c>
      <c r="R768" s="568">
        <v>0</v>
      </c>
      <c r="S768" s="568">
        <v>0</v>
      </c>
      <c r="T768" s="568">
        <f t="shared" si="457"/>
        <v>0</v>
      </c>
      <c r="U768" s="568">
        <f t="shared" si="458"/>
        <v>0</v>
      </c>
    </row>
    <row r="769" spans="1:21" ht="19.5" x14ac:dyDescent="0.3">
      <c r="A769" s="687"/>
      <c r="B769" s="688"/>
      <c r="C769" s="1117" t="s">
        <v>18</v>
      </c>
      <c r="D769" s="1078" t="s">
        <v>38</v>
      </c>
      <c r="E769" s="758"/>
      <c r="F769" s="690"/>
      <c r="G769" s="691"/>
      <c r="H769" s="725"/>
      <c r="I769" s="565"/>
      <c r="J769" s="565"/>
      <c r="K769" s="566"/>
      <c r="L769" s="574"/>
      <c r="M769" s="566"/>
      <c r="N769" s="566"/>
      <c r="O769" s="566"/>
      <c r="P769" s="566"/>
      <c r="Q769" s="566"/>
      <c r="R769" s="566"/>
      <c r="S769" s="566"/>
      <c r="T769" s="566"/>
      <c r="U769" s="566"/>
    </row>
    <row r="770" spans="1:21" ht="18.75" x14ac:dyDescent="0.25">
      <c r="A770" s="687"/>
      <c r="B770" s="688"/>
      <c r="C770" s="688"/>
      <c r="D770" s="1042" t="s">
        <v>286</v>
      </c>
      <c r="E770" s="688"/>
      <c r="F770" s="695"/>
      <c r="G770" s="692"/>
      <c r="H770" s="734" t="s">
        <v>35</v>
      </c>
      <c r="I770" s="735">
        <f ca="1">IFERROR(__xludf.DUMMYFUNCTION("IMPORTRANGE(""https://docs.google.com/spreadsheets/d/1eHaY18a8A9IcSdp1K8H6x8fbOy06t2VsZHhMHf-1x7Y/edit?usp=sharing"",""แผน!FI15"")"),0)</f>
        <v>0</v>
      </c>
      <c r="J770" s="735">
        <v>0</v>
      </c>
      <c r="K770" s="572">
        <f ca="1">IF(I770&gt;0,J770*100/I770,0)</f>
        <v>0</v>
      </c>
      <c r="L770" s="574"/>
      <c r="M770" s="566"/>
      <c r="N770" s="566"/>
      <c r="O770" s="566"/>
      <c r="P770" s="566"/>
      <c r="Q770" s="566"/>
      <c r="R770" s="566"/>
      <c r="S770" s="566"/>
      <c r="T770" s="566"/>
      <c r="U770" s="566"/>
    </row>
    <row r="771" spans="1:21" ht="18.75" x14ac:dyDescent="0.25">
      <c r="A771" s="687"/>
      <c r="B771" s="688"/>
      <c r="C771" s="688"/>
      <c r="D771" s="1042" t="s">
        <v>287</v>
      </c>
      <c r="E771" s="688"/>
      <c r="F771" s="695"/>
      <c r="G771" s="692"/>
      <c r="H771" s="725"/>
      <c r="I771" s="565"/>
      <c r="J771" s="565"/>
      <c r="K771" s="566"/>
      <c r="L771" s="574"/>
      <c r="M771" s="566"/>
      <c r="N771" s="566"/>
      <c r="O771" s="566"/>
      <c r="P771" s="566"/>
      <c r="Q771" s="566"/>
      <c r="R771" s="566"/>
      <c r="S771" s="566"/>
      <c r="T771" s="566"/>
      <c r="U771" s="566"/>
    </row>
    <row r="772" spans="1:21" ht="18.75" x14ac:dyDescent="0.25">
      <c r="A772" s="687"/>
      <c r="B772" s="688"/>
      <c r="C772" s="688"/>
      <c r="D772" s="1079" t="s">
        <v>288</v>
      </c>
      <c r="E772" s="688"/>
      <c r="F772" s="695"/>
      <c r="G772" s="692"/>
      <c r="H772" s="686" t="s">
        <v>35</v>
      </c>
      <c r="I772" s="708">
        <f ca="1">IFERROR(__xludf.DUMMYFUNCTION("IMPORTRANGE(""https://docs.google.com/spreadsheets/d/1eHaY18a8A9IcSdp1K8H6x8fbOy06t2VsZHhMHf-1x7Y/edit?usp=sharing"",""แผน!FQ15"")"),150)</f>
        <v>150</v>
      </c>
      <c r="J772" s="702">
        <v>50</v>
      </c>
      <c r="K772" s="568">
        <f ca="1">IF(I772&gt;0,J772*100/I772,0)</f>
        <v>33.333333333333336</v>
      </c>
      <c r="L772" s="574"/>
      <c r="M772" s="566"/>
      <c r="N772" s="566"/>
      <c r="O772" s="566"/>
      <c r="P772" s="566"/>
      <c r="Q772" s="566"/>
      <c r="R772" s="566"/>
      <c r="S772" s="566"/>
      <c r="T772" s="566"/>
      <c r="U772" s="566"/>
    </row>
    <row r="773" spans="1:21" ht="18.75" x14ac:dyDescent="0.25">
      <c r="A773" s="687"/>
      <c r="B773" s="688"/>
      <c r="C773" s="688"/>
      <c r="D773" s="1079" t="s">
        <v>289</v>
      </c>
      <c r="E773" s="688"/>
      <c r="F773" s="695"/>
      <c r="G773" s="692"/>
      <c r="H773" s="725"/>
      <c r="I773" s="565"/>
      <c r="J773" s="565"/>
      <c r="K773" s="566"/>
      <c r="L773" s="574"/>
      <c r="M773" s="566"/>
      <c r="N773" s="566"/>
      <c r="O773" s="566"/>
      <c r="P773" s="566"/>
      <c r="Q773" s="566"/>
      <c r="R773" s="566"/>
      <c r="S773" s="566"/>
      <c r="T773" s="566"/>
      <c r="U773" s="566"/>
    </row>
    <row r="774" spans="1:21" ht="18.75" x14ac:dyDescent="0.25">
      <c r="A774" s="687"/>
      <c r="B774" s="688"/>
      <c r="C774" s="688"/>
      <c r="D774" s="1079" t="s">
        <v>290</v>
      </c>
      <c r="E774" s="688"/>
      <c r="F774" s="695"/>
      <c r="G774" s="692"/>
      <c r="H774" s="686" t="s">
        <v>46</v>
      </c>
      <c r="I774" s="708">
        <f ca="1">IFERROR(__xludf.DUMMYFUNCTION("IMPORTRANGE(""https://docs.google.com/spreadsheets/d/1eHaY18a8A9IcSdp1K8H6x8fbOy06t2VsZHhMHf-1x7Y/edit?usp=sharing"",""แผน!FR15"")"),300)</f>
        <v>300</v>
      </c>
      <c r="J774" s="702">
        <v>0</v>
      </c>
      <c r="K774" s="568">
        <f ca="1">IF(I774&gt;0,J774*100/I774,0)</f>
        <v>0</v>
      </c>
      <c r="L774" s="574"/>
      <c r="M774" s="566"/>
      <c r="N774" s="566"/>
      <c r="O774" s="566"/>
      <c r="P774" s="566"/>
      <c r="Q774" s="566"/>
      <c r="R774" s="566"/>
      <c r="S774" s="566"/>
      <c r="T774" s="566"/>
      <c r="U774" s="566"/>
    </row>
    <row r="775" spans="1:21" ht="18.75" x14ac:dyDescent="0.25">
      <c r="A775" s="687"/>
      <c r="B775" s="688"/>
      <c r="C775" s="688"/>
      <c r="D775" s="1079" t="s">
        <v>50</v>
      </c>
      <c r="E775" s="695"/>
      <c r="F775" s="561"/>
      <c r="G775" s="563"/>
      <c r="H775" s="686" t="s">
        <v>46</v>
      </c>
      <c r="I775" s="708">
        <f ca="1">IFERROR(__xludf.DUMMYFUNCTION("IMPORTRANGE(""https://docs.google.com/spreadsheets/d/1eHaY18a8A9IcSdp1K8H6x8fbOy06t2VsZHhMHf-1x7Y/edit?usp=sharing"",""แผน!FS15"")"),300)</f>
        <v>300</v>
      </c>
      <c r="J775" s="702">
        <v>0</v>
      </c>
      <c r="K775" s="566"/>
      <c r="L775" s="574"/>
      <c r="M775" s="566"/>
      <c r="N775" s="566"/>
      <c r="O775" s="566"/>
      <c r="P775" s="566"/>
      <c r="Q775" s="566"/>
      <c r="R775" s="566"/>
      <c r="S775" s="566"/>
      <c r="T775" s="566"/>
      <c r="U775" s="566"/>
    </row>
    <row r="776" spans="1:21" ht="18.75" x14ac:dyDescent="0.25">
      <c r="A776" s="863"/>
      <c r="B776" s="864"/>
      <c r="C776" s="864"/>
      <c r="D776" s="864"/>
      <c r="E776" s="512"/>
      <c r="F776" s="512"/>
      <c r="G776" s="577"/>
      <c r="H776" s="1089" t="s">
        <v>35</v>
      </c>
      <c r="I776" s="989">
        <f ca="1">IFERROR(__xludf.DUMMYFUNCTION("IMPORTRANGE(""https://docs.google.com/spreadsheets/d/1eHaY18a8A9IcSdp1K8H6x8fbOy06t2VsZHhMHf-1x7Y/edit?usp=sharing"",""แผน!FT15"")"),150)</f>
        <v>150</v>
      </c>
      <c r="J776" s="990">
        <v>0</v>
      </c>
      <c r="K776" s="580"/>
      <c r="L776" s="581"/>
      <c r="M776" s="580"/>
      <c r="N776" s="580"/>
      <c r="O776" s="580"/>
      <c r="P776" s="580"/>
      <c r="Q776" s="580"/>
      <c r="R776" s="580"/>
      <c r="S776" s="580"/>
      <c r="T776" s="580"/>
      <c r="U776" s="580"/>
    </row>
    <row r="777" spans="1:21" ht="19.5" x14ac:dyDescent="0.3">
      <c r="A777" s="1118" t="s">
        <v>291</v>
      </c>
      <c r="B777" s="1119"/>
      <c r="C777" s="1119"/>
      <c r="D777" s="1120"/>
      <c r="E777" s="1119"/>
      <c r="F777" s="1119"/>
      <c r="G777" s="1121"/>
      <c r="H777" s="112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1123"/>
      <c r="J777" s="1124"/>
      <c r="K777" s="1125"/>
      <c r="L777" s="1125"/>
      <c r="M777" s="1125"/>
      <c r="N777" s="1125"/>
      <c r="O777" s="1125"/>
      <c r="P777" s="1125"/>
      <c r="Q777" s="1125"/>
      <c r="R777" s="1125"/>
      <c r="S777" s="1125"/>
      <c r="T777" s="1125"/>
      <c r="U777" s="1125"/>
    </row>
    <row r="778" spans="1:21" ht="18.75" x14ac:dyDescent="0.25">
      <c r="A778" s="560"/>
      <c r="B778" s="573" t="s">
        <v>292</v>
      </c>
      <c r="C778" s="561"/>
      <c r="D778" s="718"/>
      <c r="E778" s="561"/>
      <c r="F778" s="561"/>
      <c r="G778" s="563"/>
      <c r="H778" s="564" t="s">
        <v>14</v>
      </c>
      <c r="I778" s="708">
        <f ca="1">IFERROR(__xludf.DUMMYFUNCTION("IMPORTRANGE(""https://docs.google.com/spreadsheets/d/10OvvATaaLtwErnr3qtWFcTmtbfpFEt5Bsqel9sXx0uE/edit?usp=sharing"",""งานกองทุน!D15"")"),7398675.45)</f>
        <v>7398675.4500000002</v>
      </c>
      <c r="J778" s="708">
        <f ca="1">IFERROR(__xludf.DUMMYFUNCTION("IMPORTRANGE(""https://docs.google.com/spreadsheets/d/10OvvATaaLtwErnr3qtWFcTmtbfpFEt5Bsqel9sXx0uE/edit?usp=sharing"",""งานกองทุน!F15"")"),1401381.92)</f>
        <v>1401381.92</v>
      </c>
      <c r="K778" s="568">
        <f t="shared" ref="K778:K785" ca="1" si="465">IF(I778&gt;0,J778*100/I778,0)</f>
        <v>18.940983821637968</v>
      </c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</row>
    <row r="779" spans="1:21" ht="18.75" x14ac:dyDescent="0.25">
      <c r="A779" s="560"/>
      <c r="B779" s="561"/>
      <c r="C779" s="561"/>
      <c r="D779" s="718"/>
      <c r="E779" s="561"/>
      <c r="F779" s="561"/>
      <c r="G779" s="563"/>
      <c r="H779" s="564" t="s">
        <v>35</v>
      </c>
      <c r="I779" s="708">
        <f ca="1">IFERROR(__xludf.DUMMYFUNCTION("IMPORTRANGE(""https://docs.google.com/spreadsheets/d/10OvvATaaLtwErnr3qtWFcTmtbfpFEt5Bsqel9sXx0uE/edit?usp=sharing"",""งานกองทุน!C15"")"),237)</f>
        <v>237</v>
      </c>
      <c r="J779" s="708">
        <f ca="1">IFERROR(__xludf.DUMMYFUNCTION("IMPORTRANGE(""https://docs.google.com/spreadsheets/d/10OvvATaaLtwErnr3qtWFcTmtbfpFEt5Bsqel9sXx0uE/edit?usp=sharing"",""งานกองทุน!E15"")"),58)</f>
        <v>58</v>
      </c>
      <c r="K779" s="568">
        <f t="shared" ca="1" si="465"/>
        <v>24.472573839662449</v>
      </c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</row>
    <row r="780" spans="1:21" ht="18.75" x14ac:dyDescent="0.25">
      <c r="A780" s="560"/>
      <c r="B780" s="573" t="s">
        <v>293</v>
      </c>
      <c r="C780" s="561"/>
      <c r="D780" s="718"/>
      <c r="E780" s="561"/>
      <c r="F780" s="561"/>
      <c r="G780" s="563"/>
      <c r="H780" s="564" t="s">
        <v>14</v>
      </c>
      <c r="I780" s="708">
        <f ca="1">IFERROR(__xludf.DUMMYFUNCTION("IMPORTRANGE(""https://docs.google.com/spreadsheets/d/10OvvATaaLtwErnr3qtWFcTmtbfpFEt5Bsqel9sXx0uE/edit?usp=sharing"",""งานกองทุน!I15"")"),4374705.31)</f>
        <v>4374705.3099999996</v>
      </c>
      <c r="J780" s="708">
        <f ca="1">IFERROR(__xludf.DUMMYFUNCTION("IMPORTRANGE(""https://docs.google.com/spreadsheets/d/10OvvATaaLtwErnr3qtWFcTmtbfpFEt5Bsqel9sXx0uE/edit?usp=sharing"",""งานกองทุน!K15"")"),298813.61)</f>
        <v>298813.61</v>
      </c>
      <c r="K780" s="568">
        <f t="shared" ca="1" si="465"/>
        <v>6.8304854573164384</v>
      </c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</row>
    <row r="781" spans="1:21" ht="18.75" x14ac:dyDescent="0.25">
      <c r="A781" s="560"/>
      <c r="B781" s="561"/>
      <c r="C781" s="561"/>
      <c r="D781" s="718"/>
      <c r="E781" s="561"/>
      <c r="F781" s="561"/>
      <c r="G781" s="563"/>
      <c r="H781" s="564" t="s">
        <v>35</v>
      </c>
      <c r="I781" s="708">
        <f ca="1">IFERROR(__xludf.DUMMYFUNCTION("IMPORTRANGE(""https://docs.google.com/spreadsheets/d/10OvvATaaLtwErnr3qtWFcTmtbfpFEt5Bsqel9sXx0uE/edit?usp=sharing"",""งานกองทุน!H15"")"),145)</f>
        <v>145</v>
      </c>
      <c r="J781" s="708">
        <f ca="1">IFERROR(__xludf.DUMMYFUNCTION("IMPORTRANGE(""https://docs.google.com/spreadsheets/d/10OvvATaaLtwErnr3qtWFcTmtbfpFEt5Bsqel9sXx0uE/edit?usp=sharing"",""งานกองทุน!J15"")"),50)</f>
        <v>50</v>
      </c>
      <c r="K781" s="568">
        <f t="shared" ca="1" si="465"/>
        <v>34.482758620689658</v>
      </c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</row>
    <row r="782" spans="1:21" ht="18.75" x14ac:dyDescent="0.25">
      <c r="A782" s="560"/>
      <c r="B782" s="573" t="s">
        <v>294</v>
      </c>
      <c r="C782" s="561"/>
      <c r="D782" s="718"/>
      <c r="E782" s="561"/>
      <c r="F782" s="561"/>
      <c r="G782" s="563"/>
      <c r="H782" s="564" t="s">
        <v>14</v>
      </c>
      <c r="I782" s="708">
        <f ca="1">IFERROR(__xludf.DUMMYFUNCTION("IMPORTRANGE(""https://docs.google.com/spreadsheets/d/10OvvATaaLtwErnr3qtWFcTmtbfpFEt5Bsqel9sXx0uE/edit?usp=sharing"",""งานกองทุน!N15"")"),774975.64)</f>
        <v>774975.64</v>
      </c>
      <c r="J782" s="708">
        <f ca="1">IFERROR(__xludf.DUMMYFUNCTION("IMPORTRANGE(""https://docs.google.com/spreadsheets/d/10OvvATaaLtwErnr3qtWFcTmtbfpFEt5Bsqel9sXx0uE/edit?usp=sharing"",""งานกองทุน!P15"")"),180721.4)</f>
        <v>180721.4</v>
      </c>
      <c r="K782" s="568">
        <f t="shared" ca="1" si="465"/>
        <v>23.319623310998523</v>
      </c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</row>
    <row r="783" spans="1:21" ht="18.75" x14ac:dyDescent="0.25">
      <c r="A783" s="560"/>
      <c r="B783" s="561"/>
      <c r="C783" s="561"/>
      <c r="D783" s="718"/>
      <c r="E783" s="561"/>
      <c r="F783" s="561"/>
      <c r="G783" s="563"/>
      <c r="H783" s="564" t="s">
        <v>35</v>
      </c>
      <c r="I783" s="708">
        <f ca="1">IFERROR(__xludf.DUMMYFUNCTION("IMPORTRANGE(""https://docs.google.com/spreadsheets/d/10OvvATaaLtwErnr3qtWFcTmtbfpFEt5Bsqel9sXx0uE/edit?usp=sharing"",""งานกองทุน!M15"")"),49)</f>
        <v>49</v>
      </c>
      <c r="J783" s="708">
        <f ca="1">IFERROR(__xludf.DUMMYFUNCTION("IMPORTRANGE(""https://docs.google.com/spreadsheets/d/10OvvATaaLtwErnr3qtWFcTmtbfpFEt5Bsqel9sXx0uE/edit?usp=sharing"",""งานกองทุน!O15"")"),96)</f>
        <v>96</v>
      </c>
      <c r="K783" s="568">
        <f t="shared" ca="1" si="465"/>
        <v>195.91836734693877</v>
      </c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</row>
    <row r="784" spans="1:21" ht="18.75" x14ac:dyDescent="0.25">
      <c r="A784" s="560"/>
      <c r="B784" s="573" t="s">
        <v>295</v>
      </c>
      <c r="C784" s="561"/>
      <c r="D784" s="718"/>
      <c r="E784" s="561"/>
      <c r="F784" s="561"/>
      <c r="G784" s="563"/>
      <c r="H784" s="564" t="s">
        <v>14</v>
      </c>
      <c r="I784" s="708">
        <f ca="1">IFERROR(__xludf.DUMMYFUNCTION("IMPORTRANGE(""https://docs.google.com/spreadsheets/d/10OvvATaaLtwErnr3qtWFcTmtbfpFEt5Bsqel9sXx0uE/edit?usp=sharing"",""งานกองทุน!S15"")"),9072000)</f>
        <v>9072000</v>
      </c>
      <c r="J784" s="708">
        <f ca="1">IFERROR(__xludf.DUMMYFUNCTION("IMPORTRANGE(""https://docs.google.com/spreadsheets/d/10OvvATaaLtwErnr3qtWFcTmtbfpFEt5Bsqel9sXx0uE/edit?usp=sharing"",""งานกองทุน!U15"")"),1840000)</f>
        <v>1840000</v>
      </c>
      <c r="K784" s="568">
        <f t="shared" ca="1" si="465"/>
        <v>20.282186948853617</v>
      </c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</row>
    <row r="785" spans="1:21" ht="18.75" x14ac:dyDescent="0.25">
      <c r="A785" s="575"/>
      <c r="B785" s="513"/>
      <c r="C785" s="513"/>
      <c r="D785" s="514"/>
      <c r="E785" s="513"/>
      <c r="F785" s="513"/>
      <c r="G785" s="577"/>
      <c r="H785" s="578" t="s">
        <v>35</v>
      </c>
      <c r="I785" s="989">
        <f ca="1">IFERROR(__xludf.DUMMYFUNCTION("IMPORTRANGE(""https://docs.google.com/spreadsheets/d/10OvvATaaLtwErnr3qtWFcTmtbfpFEt5Bsqel9sXx0uE/edit?usp=sharing"",""งานกองทุน!R15"")"),324)</f>
        <v>324</v>
      </c>
      <c r="J785" s="989">
        <f ca="1">IFERROR(__xludf.DUMMYFUNCTION("IMPORTRANGE(""https://docs.google.com/spreadsheets/d/10OvvATaaLtwErnr3qtWFcTmtbfpFEt5Bsqel9sXx0uE/edit?usp=sharing"",""งานกองทุน!T15"")"),59)</f>
        <v>59</v>
      </c>
      <c r="K785" s="655">
        <f t="shared" ca="1" si="465"/>
        <v>18.209876543209877</v>
      </c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</row>
    <row r="786" spans="1:21" ht="12.75" x14ac:dyDescent="0.2">
      <c r="A786" s="510"/>
      <c r="B786" s="510"/>
      <c r="C786" s="510"/>
      <c r="D786" s="510"/>
      <c r="E786" s="510"/>
      <c r="F786" s="510"/>
      <c r="G786" s="510"/>
      <c r="H786" s="510"/>
      <c r="I786" s="510"/>
      <c r="J786" s="510"/>
      <c r="K786" s="510"/>
      <c r="L786" s="510"/>
      <c r="M786" s="510"/>
      <c r="N786" s="510"/>
      <c r="O786" s="510"/>
      <c r="P786" s="510"/>
      <c r="Q786" s="510"/>
      <c r="R786" s="510"/>
      <c r="S786" s="510"/>
      <c r="T786" s="510"/>
      <c r="U786" s="510"/>
    </row>
    <row r="787" spans="1:21" ht="16.5" x14ac:dyDescent="0.25">
      <c r="A787" s="1126" t="s">
        <v>296</v>
      </c>
      <c r="B787" s="510"/>
      <c r="C787" s="510"/>
      <c r="D787" s="510"/>
      <c r="E787" s="510"/>
      <c r="F787" s="510"/>
      <c r="G787" s="510"/>
      <c r="H787" s="510"/>
      <c r="I787" s="510"/>
      <c r="J787" s="510"/>
      <c r="K787" s="510"/>
      <c r="L787" s="510"/>
      <c r="M787" s="510"/>
      <c r="N787" s="510"/>
      <c r="O787" s="510"/>
      <c r="P787" s="510"/>
      <c r="Q787" s="510"/>
      <c r="R787" s="510"/>
      <c r="S787" s="510"/>
      <c r="T787" s="510"/>
      <c r="U787" s="510"/>
    </row>
    <row r="788" spans="1:21" ht="16.5" x14ac:dyDescent="0.25">
      <c r="A788" s="112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510"/>
      <c r="C788" s="510"/>
      <c r="D788" s="510"/>
      <c r="E788" s="510"/>
      <c r="F788" s="510"/>
      <c r="G788" s="510"/>
      <c r="H788" s="510"/>
      <c r="I788" s="510"/>
      <c r="J788" s="510"/>
      <c r="K788" s="510"/>
      <c r="L788" s="510"/>
      <c r="M788" s="510"/>
      <c r="N788" s="510"/>
      <c r="O788" s="510"/>
      <c r="P788" s="510"/>
      <c r="Q788" s="510"/>
      <c r="R788" s="510"/>
      <c r="S788" s="510"/>
      <c r="T788" s="510"/>
      <c r="U788" s="510"/>
    </row>
    <row r="789" spans="1:21" ht="16.5" x14ac:dyDescent="0.25">
      <c r="A789" s="112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510"/>
      <c r="C789" s="510"/>
      <c r="D789" s="510"/>
      <c r="E789" s="510"/>
      <c r="F789" s="510"/>
      <c r="G789" s="510"/>
      <c r="H789" s="510"/>
      <c r="I789" s="510"/>
      <c r="J789" s="510"/>
      <c r="K789" s="510"/>
      <c r="L789" s="510"/>
      <c r="M789" s="510"/>
      <c r="N789" s="510"/>
      <c r="O789" s="510"/>
      <c r="P789" s="510"/>
      <c r="Q789" s="510"/>
      <c r="R789" s="510"/>
      <c r="S789" s="510"/>
      <c r="T789" s="510"/>
      <c r="U789" s="510"/>
    </row>
  </sheetData>
  <mergeCells count="25">
    <mergeCell ref="Q4:U4"/>
    <mergeCell ref="A5:G6"/>
    <mergeCell ref="I5:K5"/>
    <mergeCell ref="L5:M5"/>
    <mergeCell ref="N5:P5"/>
    <mergeCell ref="Q5:R5"/>
    <mergeCell ref="B57:G57"/>
    <mergeCell ref="L4:P4"/>
    <mergeCell ref="A1:U1"/>
    <mergeCell ref="A2:U2"/>
    <mergeCell ref="A3:U3"/>
    <mergeCell ref="S5:U5"/>
    <mergeCell ref="A7:G7"/>
    <mergeCell ref="A17:G17"/>
    <mergeCell ref="A30:G30"/>
    <mergeCell ref="A56:G56"/>
    <mergeCell ref="D714:G714"/>
    <mergeCell ref="D728:G728"/>
    <mergeCell ref="D760:G760"/>
    <mergeCell ref="D413:G413"/>
    <mergeCell ref="D493:F493"/>
    <mergeCell ref="D599:G599"/>
    <mergeCell ref="D616:G616"/>
    <mergeCell ref="D642:G642"/>
    <mergeCell ref="D690:G690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D1D6-A114-4705-B21A-1F761FDECD9D}">
  <sheetPr>
    <outlinePr summaryBelow="0" summaryRight="0"/>
  </sheetPr>
  <dimension ref="A1:U789"/>
  <sheetViews>
    <sheetView view="pageBreakPreview" zoomScale="60" zoomScaleNormal="100" workbookViewId="0">
      <pane xSplit="8" ySplit="6" topLeftCell="I1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style="511" customWidth="1"/>
    <col min="7" max="7" width="61.42578125" style="511" customWidth="1"/>
    <col min="8" max="8" width="9.42578125" style="511" customWidth="1"/>
    <col min="9" max="11" width="15.140625" style="511" customWidth="1"/>
    <col min="12" max="14" width="21.28515625" style="511" bestFit="1" customWidth="1"/>
    <col min="15" max="15" width="19.28515625" style="511" bestFit="1" customWidth="1"/>
    <col min="16" max="16" width="20.85546875" style="511" bestFit="1" customWidth="1"/>
    <col min="17" max="18" width="21.28515625" style="511" bestFit="1" customWidth="1"/>
    <col min="19" max="19" width="18.7109375" style="511" bestFit="1" customWidth="1"/>
    <col min="20" max="20" width="19.28515625" style="511" bestFit="1" customWidth="1"/>
    <col min="21" max="21" width="20.85546875" style="511" bestFit="1" customWidth="1"/>
    <col min="22" max="16384" width="12.5703125" style="511"/>
  </cols>
  <sheetData>
    <row r="1" spans="1:21" ht="15.75" customHeight="1" x14ac:dyDescent="0.3">
      <c r="A1" s="1321" t="s">
        <v>0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  <c r="R1" s="1321"/>
      <c r="S1" s="1321"/>
      <c r="T1" s="1321"/>
      <c r="U1" s="1321"/>
    </row>
    <row r="2" spans="1:21" ht="15.75" customHeight="1" x14ac:dyDescent="0.3">
      <c r="A2" s="1321" t="s">
        <v>318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</row>
    <row r="3" spans="1:21" ht="15.75" customHeight="1" x14ac:dyDescent="0.3">
      <c r="A3" s="1321" t="s">
        <v>350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</row>
    <row r="4" spans="1:21" ht="15.75" customHeight="1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4"/>
      <c r="K4" s="515"/>
      <c r="L4" s="1323" t="s">
        <v>2</v>
      </c>
      <c r="M4" s="1314"/>
      <c r="N4" s="1314"/>
      <c r="O4" s="1314"/>
      <c r="P4" s="1317"/>
      <c r="Q4" s="1324" t="s">
        <v>3</v>
      </c>
      <c r="R4" s="1314"/>
      <c r="S4" s="1314"/>
      <c r="T4" s="1314"/>
      <c r="U4" s="1317"/>
    </row>
    <row r="5" spans="1:21" ht="15.75" customHeight="1" x14ac:dyDescent="0.3">
      <c r="A5" s="1325" t="s">
        <v>4</v>
      </c>
      <c r="B5" s="1322"/>
      <c r="C5" s="1322"/>
      <c r="D5" s="1322"/>
      <c r="E5" s="1322"/>
      <c r="F5" s="1322"/>
      <c r="G5" s="1326"/>
      <c r="H5" s="516" t="s">
        <v>5</v>
      </c>
      <c r="I5" s="1328" t="s">
        <v>6</v>
      </c>
      <c r="J5" s="1314"/>
      <c r="K5" s="1317"/>
      <c r="L5" s="1329" t="s">
        <v>7</v>
      </c>
      <c r="M5" s="1317"/>
      <c r="N5" s="1330" t="s">
        <v>8</v>
      </c>
      <c r="O5" s="1314"/>
      <c r="P5" s="1317"/>
      <c r="Q5" s="1331" t="s">
        <v>7</v>
      </c>
      <c r="R5" s="1317"/>
      <c r="S5" s="1330" t="s">
        <v>8</v>
      </c>
      <c r="T5" s="1314"/>
      <c r="U5" s="1317"/>
    </row>
    <row r="6" spans="1:21" ht="15.75" customHeight="1" x14ac:dyDescent="0.3">
      <c r="A6" s="1327"/>
      <c r="B6" s="1314"/>
      <c r="C6" s="1314"/>
      <c r="D6" s="1314"/>
      <c r="E6" s="1314"/>
      <c r="F6" s="1314"/>
      <c r="G6" s="1317"/>
      <c r="H6" s="517"/>
      <c r="I6" s="518" t="s">
        <v>9</v>
      </c>
      <c r="J6" s="519" t="s">
        <v>10</v>
      </c>
      <c r="K6" s="518" t="s">
        <v>11</v>
      </c>
      <c r="L6" s="520" t="s">
        <v>12</v>
      </c>
      <c r="M6" s="521" t="s">
        <v>13</v>
      </c>
      <c r="N6" s="522" t="s">
        <v>14</v>
      </c>
      <c r="O6" s="523" t="s">
        <v>15</v>
      </c>
      <c r="P6" s="524" t="s">
        <v>16</v>
      </c>
      <c r="Q6" s="525" t="s">
        <v>12</v>
      </c>
      <c r="R6" s="521" t="s">
        <v>13</v>
      </c>
      <c r="S6" s="522" t="s">
        <v>14</v>
      </c>
      <c r="T6" s="523" t="s">
        <v>15</v>
      </c>
      <c r="U6" s="524" t="s">
        <v>16</v>
      </c>
    </row>
    <row r="7" spans="1:21" ht="12.75" hidden="1" x14ac:dyDescent="0.2">
      <c r="A7" s="1316"/>
      <c r="B7" s="1314"/>
      <c r="C7" s="1314"/>
      <c r="D7" s="1314"/>
      <c r="E7" s="1314"/>
      <c r="F7" s="1314"/>
      <c r="G7" s="1317"/>
      <c r="H7" s="526"/>
      <c r="I7" s="527"/>
      <c r="J7" s="527"/>
      <c r="K7" s="528"/>
      <c r="L7" s="529"/>
      <c r="M7" s="528"/>
      <c r="N7" s="528"/>
      <c r="O7" s="528"/>
      <c r="P7" s="528"/>
      <c r="Q7" s="528"/>
      <c r="R7" s="528"/>
      <c r="S7" s="528"/>
      <c r="T7" s="528"/>
      <c r="U7" s="528"/>
    </row>
    <row r="8" spans="1:21" ht="12.75" hidden="1" x14ac:dyDescent="0.2">
      <c r="A8" s="530"/>
      <c r="B8" s="531"/>
      <c r="C8" s="531"/>
      <c r="D8" s="531"/>
      <c r="E8" s="531"/>
      <c r="F8" s="531"/>
      <c r="G8" s="532"/>
      <c r="H8" s="532"/>
      <c r="I8" s="533"/>
      <c r="J8" s="533"/>
      <c r="K8" s="534"/>
      <c r="L8" s="535"/>
      <c r="M8" s="534"/>
      <c r="N8" s="534"/>
      <c r="O8" s="534"/>
      <c r="P8" s="534"/>
      <c r="Q8" s="534"/>
      <c r="R8" s="534"/>
      <c r="S8" s="534"/>
      <c r="T8" s="534"/>
      <c r="U8" s="534"/>
    </row>
    <row r="9" spans="1:21" ht="12.75" hidden="1" x14ac:dyDescent="0.2">
      <c r="A9" s="530"/>
      <c r="B9" s="531"/>
      <c r="C9" s="531"/>
      <c r="D9" s="531"/>
      <c r="E9" s="531"/>
      <c r="F9" s="531"/>
      <c r="G9" s="532"/>
      <c r="H9" s="532"/>
      <c r="I9" s="533"/>
      <c r="J9" s="533"/>
      <c r="K9" s="534"/>
      <c r="L9" s="535"/>
      <c r="M9" s="534"/>
      <c r="N9" s="534"/>
      <c r="O9" s="534"/>
      <c r="P9" s="534"/>
      <c r="Q9" s="534"/>
      <c r="R9" s="534"/>
      <c r="S9" s="534"/>
      <c r="T9" s="534"/>
      <c r="U9" s="534"/>
    </row>
    <row r="10" spans="1:21" ht="12.75" hidden="1" x14ac:dyDescent="0.2">
      <c r="A10" s="530"/>
      <c r="B10" s="531"/>
      <c r="C10" s="531"/>
      <c r="D10" s="531"/>
      <c r="E10" s="531"/>
      <c r="F10" s="531"/>
      <c r="G10" s="532"/>
      <c r="H10" s="532"/>
      <c r="I10" s="533"/>
      <c r="J10" s="533"/>
      <c r="K10" s="534"/>
      <c r="L10" s="535"/>
      <c r="M10" s="534"/>
      <c r="N10" s="534"/>
      <c r="O10" s="534"/>
      <c r="P10" s="534"/>
      <c r="Q10" s="534"/>
      <c r="R10" s="534"/>
      <c r="S10" s="534"/>
      <c r="T10" s="534"/>
      <c r="U10" s="534"/>
    </row>
    <row r="11" spans="1:21" ht="12.75" hidden="1" x14ac:dyDescent="0.2">
      <c r="A11" s="530"/>
      <c r="B11" s="531"/>
      <c r="C11" s="531"/>
      <c r="D11" s="531"/>
      <c r="E11" s="531"/>
      <c r="F11" s="531"/>
      <c r="G11" s="532"/>
      <c r="H11" s="532"/>
      <c r="I11" s="533"/>
      <c r="J11" s="533"/>
      <c r="K11" s="534"/>
      <c r="L11" s="535"/>
      <c r="M11" s="534"/>
      <c r="N11" s="534"/>
      <c r="O11" s="534"/>
      <c r="P11" s="534"/>
      <c r="Q11" s="534"/>
      <c r="R11" s="534"/>
      <c r="S11" s="534"/>
      <c r="T11" s="534"/>
      <c r="U11" s="534"/>
    </row>
    <row r="12" spans="1:21" ht="12.75" hidden="1" x14ac:dyDescent="0.2">
      <c r="A12" s="530"/>
      <c r="B12" s="531"/>
      <c r="C12" s="531"/>
      <c r="D12" s="531"/>
      <c r="E12" s="531"/>
      <c r="F12" s="531"/>
      <c r="G12" s="532"/>
      <c r="H12" s="532"/>
      <c r="I12" s="533"/>
      <c r="J12" s="533"/>
      <c r="K12" s="534"/>
      <c r="L12" s="535"/>
      <c r="M12" s="534"/>
      <c r="N12" s="534"/>
      <c r="O12" s="534"/>
      <c r="P12" s="534"/>
      <c r="Q12" s="534"/>
      <c r="R12" s="534"/>
      <c r="S12" s="534"/>
      <c r="T12" s="534"/>
      <c r="U12" s="534"/>
    </row>
    <row r="13" spans="1:21" ht="12.75" hidden="1" x14ac:dyDescent="0.2">
      <c r="A13" s="530"/>
      <c r="B13" s="531"/>
      <c r="C13" s="531"/>
      <c r="D13" s="531"/>
      <c r="E13" s="531"/>
      <c r="F13" s="531"/>
      <c r="G13" s="532"/>
      <c r="H13" s="532"/>
      <c r="I13" s="533"/>
      <c r="J13" s="533"/>
      <c r="K13" s="534"/>
      <c r="L13" s="535"/>
      <c r="M13" s="534"/>
      <c r="N13" s="534"/>
      <c r="O13" s="534"/>
      <c r="P13" s="534"/>
      <c r="Q13" s="534"/>
      <c r="R13" s="534"/>
      <c r="S13" s="534"/>
      <c r="T13" s="534"/>
      <c r="U13" s="534"/>
    </row>
    <row r="14" spans="1:21" ht="12.75" hidden="1" x14ac:dyDescent="0.2">
      <c r="A14" s="530"/>
      <c r="B14" s="531"/>
      <c r="C14" s="531"/>
      <c r="D14" s="531"/>
      <c r="E14" s="531"/>
      <c r="F14" s="531"/>
      <c r="G14" s="532"/>
      <c r="H14" s="532"/>
      <c r="I14" s="533"/>
      <c r="J14" s="533"/>
      <c r="K14" s="534"/>
      <c r="L14" s="535"/>
      <c r="M14" s="534"/>
      <c r="N14" s="534"/>
      <c r="O14" s="534"/>
      <c r="P14" s="534"/>
      <c r="Q14" s="534"/>
      <c r="R14" s="534"/>
      <c r="S14" s="534"/>
      <c r="T14" s="534"/>
      <c r="U14" s="534"/>
    </row>
    <row r="15" spans="1:21" ht="12.75" hidden="1" x14ac:dyDescent="0.2">
      <c r="A15" s="530"/>
      <c r="B15" s="531"/>
      <c r="C15" s="531"/>
      <c r="D15" s="531"/>
      <c r="E15" s="531"/>
      <c r="F15" s="531"/>
      <c r="G15" s="532"/>
      <c r="H15" s="532"/>
      <c r="I15" s="533"/>
      <c r="J15" s="533"/>
      <c r="K15" s="534"/>
      <c r="L15" s="535"/>
      <c r="M15" s="534"/>
      <c r="N15" s="534"/>
      <c r="O15" s="534"/>
      <c r="P15" s="534"/>
      <c r="Q15" s="534"/>
      <c r="R15" s="534"/>
      <c r="S15" s="534"/>
      <c r="T15" s="534"/>
      <c r="U15" s="534"/>
    </row>
    <row r="16" spans="1:21" ht="12.75" hidden="1" x14ac:dyDescent="0.2">
      <c r="A16" s="536"/>
      <c r="B16" s="537"/>
      <c r="C16" s="537"/>
      <c r="D16" s="537"/>
      <c r="E16" s="537"/>
      <c r="F16" s="537"/>
      <c r="G16" s="526"/>
      <c r="H16" s="526"/>
      <c r="I16" s="527"/>
      <c r="J16" s="527"/>
      <c r="K16" s="528"/>
      <c r="L16" s="529"/>
      <c r="M16" s="528"/>
      <c r="N16" s="528"/>
      <c r="O16" s="528"/>
      <c r="P16" s="528"/>
      <c r="Q16" s="528"/>
      <c r="R16" s="528"/>
      <c r="S16" s="528"/>
      <c r="T16" s="528"/>
      <c r="U16" s="528"/>
    </row>
    <row r="17" spans="1:21" ht="15.75" customHeight="1" x14ac:dyDescent="0.3">
      <c r="A17" s="1318" t="s">
        <v>298</v>
      </c>
      <c r="B17" s="1314"/>
      <c r="C17" s="1314"/>
      <c r="D17" s="1314"/>
      <c r="E17" s="1314"/>
      <c r="F17" s="1314"/>
      <c r="G17" s="1317"/>
      <c r="H17" s="538"/>
      <c r="I17" s="539"/>
      <c r="J17" s="539"/>
      <c r="K17" s="540"/>
      <c r="L17" s="541"/>
      <c r="M17" s="540"/>
      <c r="N17" s="540"/>
      <c r="O17" s="540"/>
      <c r="P17" s="540"/>
      <c r="Q17" s="540"/>
      <c r="R17" s="540"/>
      <c r="S17" s="540"/>
      <c r="T17" s="540"/>
      <c r="U17" s="540"/>
    </row>
    <row r="18" spans="1:21" ht="15.75" customHeight="1" x14ac:dyDescent="0.3">
      <c r="A18" s="542"/>
      <c r="B18" s="543"/>
      <c r="C18" s="544" t="s">
        <v>18</v>
      </c>
      <c r="D18" s="545" t="s">
        <v>19</v>
      </c>
      <c r="E18" s="543"/>
      <c r="F18" s="543"/>
      <c r="G18" s="546"/>
      <c r="H18" s="547" t="s">
        <v>14</v>
      </c>
      <c r="I18" s="548"/>
      <c r="J18" s="548"/>
      <c r="K18" s="549"/>
      <c r="L18" s="550">
        <f t="shared" ref="L18:N18" ca="1" si="0">L19+L20</f>
        <v>3535540</v>
      </c>
      <c r="M18" s="551">
        <f t="shared" ca="1" si="0"/>
        <v>3737308</v>
      </c>
      <c r="N18" s="551">
        <f t="shared" ca="1" si="0"/>
        <v>2342869.7000000002</v>
      </c>
      <c r="O18" s="551">
        <f t="shared" ref="O18:O26" ca="1" si="1">IF(L18&gt;0,N18*100/L18,0)</f>
        <v>66.266247871612265</v>
      </c>
      <c r="P18" s="551">
        <f t="shared" ref="P18:P26" ca="1" si="2">IF(M18&gt;0,N18*100/M18,0)</f>
        <v>62.688697319032855</v>
      </c>
      <c r="Q18" s="551">
        <f t="shared" ref="Q18:S18" ca="1" si="3">Q19+Q20</f>
        <v>2756724.24</v>
      </c>
      <c r="R18" s="551">
        <f t="shared" ca="1" si="3"/>
        <v>2581864</v>
      </c>
      <c r="S18" s="551">
        <f t="shared" ca="1" si="3"/>
        <v>832234.35000000009</v>
      </c>
      <c r="T18" s="551">
        <f t="shared" ref="T18:T26" ca="1" si="4">IF(Q18&gt;0,S18*100/Q18,0)</f>
        <v>30.189249179308558</v>
      </c>
      <c r="U18" s="551">
        <f t="shared" ref="U18:U26" ca="1" si="5">IF(R18&gt;0,S18*100/R18,0)</f>
        <v>32.233857011833315</v>
      </c>
    </row>
    <row r="19" spans="1:21" ht="15.75" customHeight="1" x14ac:dyDescent="0.25">
      <c r="A19" s="542"/>
      <c r="B19" s="543"/>
      <c r="C19" s="543"/>
      <c r="D19" s="543"/>
      <c r="E19" s="552" t="s">
        <v>20</v>
      </c>
      <c r="F19" s="543"/>
      <c r="G19" s="546"/>
      <c r="H19" s="553" t="s">
        <v>14</v>
      </c>
      <c r="I19" s="548"/>
      <c r="J19" s="548"/>
      <c r="K19" s="549"/>
      <c r="L19" s="554">
        <f t="shared" ref="L19:N20" si="6">L22+L25</f>
        <v>0</v>
      </c>
      <c r="M19" s="555">
        <f t="shared" si="6"/>
        <v>0</v>
      </c>
      <c r="N19" s="555">
        <f t="shared" si="6"/>
        <v>0</v>
      </c>
      <c r="O19" s="555">
        <f t="shared" si="1"/>
        <v>0</v>
      </c>
      <c r="P19" s="555">
        <f t="shared" si="2"/>
        <v>0</v>
      </c>
      <c r="Q19" s="555">
        <f t="shared" ref="Q19:S20" si="7">Q22+Q25</f>
        <v>0</v>
      </c>
      <c r="R19" s="555">
        <f t="shared" si="7"/>
        <v>0</v>
      </c>
      <c r="S19" s="555">
        <f t="shared" si="7"/>
        <v>0</v>
      </c>
      <c r="T19" s="555">
        <f t="shared" si="4"/>
        <v>0</v>
      </c>
      <c r="U19" s="555">
        <f t="shared" si="5"/>
        <v>0</v>
      </c>
    </row>
    <row r="20" spans="1:21" ht="15.75" customHeight="1" x14ac:dyDescent="0.25">
      <c r="A20" s="542"/>
      <c r="B20" s="543"/>
      <c r="C20" s="543"/>
      <c r="D20" s="543"/>
      <c r="E20" s="556" t="s">
        <v>21</v>
      </c>
      <c r="F20" s="543"/>
      <c r="G20" s="546"/>
      <c r="H20" s="557" t="s">
        <v>14</v>
      </c>
      <c r="I20" s="548"/>
      <c r="J20" s="548"/>
      <c r="K20" s="549"/>
      <c r="L20" s="558">
        <f t="shared" ca="1" si="6"/>
        <v>3535540</v>
      </c>
      <c r="M20" s="559">
        <f t="shared" ca="1" si="6"/>
        <v>3737308</v>
      </c>
      <c r="N20" s="559">
        <f t="shared" ca="1" si="6"/>
        <v>2342869.7000000002</v>
      </c>
      <c r="O20" s="559">
        <f t="shared" ca="1" si="1"/>
        <v>66.266247871612265</v>
      </c>
      <c r="P20" s="559">
        <f t="shared" ca="1" si="2"/>
        <v>62.688697319032855</v>
      </c>
      <c r="Q20" s="559">
        <f t="shared" ca="1" si="7"/>
        <v>2756724.24</v>
      </c>
      <c r="R20" s="559">
        <f t="shared" ca="1" si="7"/>
        <v>2581864</v>
      </c>
      <c r="S20" s="559">
        <f t="shared" ca="1" si="7"/>
        <v>832234.35000000009</v>
      </c>
      <c r="T20" s="559">
        <f t="shared" ca="1" si="4"/>
        <v>30.189249179308558</v>
      </c>
      <c r="U20" s="559">
        <f t="shared" ca="1" si="5"/>
        <v>32.233857011833315</v>
      </c>
    </row>
    <row r="21" spans="1:21" ht="15.75" customHeight="1" x14ac:dyDescent="0.25">
      <c r="A21" s="560"/>
      <c r="B21" s="561"/>
      <c r="C21" s="561"/>
      <c r="D21" s="562" t="s">
        <v>22</v>
      </c>
      <c r="E21" s="561"/>
      <c r="F21" s="561"/>
      <c r="G21" s="563"/>
      <c r="H21" s="564" t="s">
        <v>14</v>
      </c>
      <c r="I21" s="565"/>
      <c r="J21" s="565"/>
      <c r="K21" s="566"/>
      <c r="L21" s="567">
        <f t="shared" ref="L21:N21" ca="1" si="8">L22+L23</f>
        <v>3526040</v>
      </c>
      <c r="M21" s="568">
        <f t="shared" ca="1" si="8"/>
        <v>3727808</v>
      </c>
      <c r="N21" s="568">
        <f t="shared" ca="1" si="8"/>
        <v>2333369.7000000002</v>
      </c>
      <c r="O21" s="568">
        <f t="shared" ca="1" si="1"/>
        <v>66.175361028235656</v>
      </c>
      <c r="P21" s="568">
        <f t="shared" ca="1" si="2"/>
        <v>62.593612653870593</v>
      </c>
      <c r="Q21" s="568">
        <f t="shared" ref="Q21:S21" ca="1" si="9">Q22+Q23</f>
        <v>2756724.24</v>
      </c>
      <c r="R21" s="568">
        <f t="shared" ca="1" si="9"/>
        <v>2581864</v>
      </c>
      <c r="S21" s="568">
        <f t="shared" ca="1" si="9"/>
        <v>832234.35000000009</v>
      </c>
      <c r="T21" s="568">
        <f t="shared" ca="1" si="4"/>
        <v>30.189249179308558</v>
      </c>
      <c r="U21" s="568">
        <f t="shared" ca="1" si="5"/>
        <v>32.233857011833315</v>
      </c>
    </row>
    <row r="22" spans="1:21" ht="15.75" customHeight="1" x14ac:dyDescent="0.25">
      <c r="A22" s="560"/>
      <c r="B22" s="561"/>
      <c r="C22" s="561"/>
      <c r="D22" s="561"/>
      <c r="E22" s="569" t="s">
        <v>20</v>
      </c>
      <c r="F22" s="561"/>
      <c r="G22" s="563"/>
      <c r="H22" s="570" t="s">
        <v>14</v>
      </c>
      <c r="I22" s="565"/>
      <c r="J22" s="565"/>
      <c r="K22" s="566"/>
      <c r="L22" s="571">
        <f t="shared" ref="L22:N23" si="10">L48+L63+L76+L98+L129+L143+L161+L190+L177+L270+L286+L307+L324+L337+L360+L517</f>
        <v>0</v>
      </c>
      <c r="M22" s="572">
        <f t="shared" si="10"/>
        <v>0</v>
      </c>
      <c r="N22" s="572">
        <f t="shared" si="10"/>
        <v>0</v>
      </c>
      <c r="O22" s="572">
        <f t="shared" si="1"/>
        <v>0</v>
      </c>
      <c r="P22" s="572">
        <f t="shared" si="2"/>
        <v>0</v>
      </c>
      <c r="Q22" s="572">
        <f t="shared" ref="Q22:S23" si="11">Q76+Q98+Q121+Q143+Q161+Q177+Q190+Q270+Q286+Q307+Q337+Q379+Q396+Q417+Q497+Q603+Q620+Q646+Q694+Q718+Q732+Q764</f>
        <v>0</v>
      </c>
      <c r="R22" s="572">
        <f t="shared" si="11"/>
        <v>0</v>
      </c>
      <c r="S22" s="572">
        <f t="shared" si="11"/>
        <v>0</v>
      </c>
      <c r="T22" s="572">
        <f t="shared" si="4"/>
        <v>0</v>
      </c>
      <c r="U22" s="572">
        <f t="shared" si="5"/>
        <v>0</v>
      </c>
    </row>
    <row r="23" spans="1:21" ht="15.75" customHeight="1" x14ac:dyDescent="0.25">
      <c r="A23" s="560"/>
      <c r="B23" s="561"/>
      <c r="C23" s="561"/>
      <c r="D23" s="561"/>
      <c r="E23" s="573" t="s">
        <v>21</v>
      </c>
      <c r="F23" s="561"/>
      <c r="G23" s="563"/>
      <c r="H23" s="564" t="s">
        <v>14</v>
      </c>
      <c r="I23" s="565"/>
      <c r="J23" s="565"/>
      <c r="K23" s="566"/>
      <c r="L23" s="567">
        <f t="shared" ca="1" si="10"/>
        <v>3526040</v>
      </c>
      <c r="M23" s="568">
        <f t="shared" ca="1" si="10"/>
        <v>3727808</v>
      </c>
      <c r="N23" s="568">
        <f t="shared" ca="1" si="10"/>
        <v>2333369.7000000002</v>
      </c>
      <c r="O23" s="568">
        <f t="shared" ca="1" si="1"/>
        <v>66.175361028235656</v>
      </c>
      <c r="P23" s="568">
        <f t="shared" ca="1" si="2"/>
        <v>62.593612653870593</v>
      </c>
      <c r="Q23" s="568">
        <f t="shared" ca="1" si="11"/>
        <v>2756724.24</v>
      </c>
      <c r="R23" s="568">
        <f t="shared" ca="1" si="11"/>
        <v>2581864</v>
      </c>
      <c r="S23" s="568">
        <f t="shared" ca="1" si="11"/>
        <v>832234.35000000009</v>
      </c>
      <c r="T23" s="568">
        <f t="shared" ca="1" si="4"/>
        <v>30.189249179308558</v>
      </c>
      <c r="U23" s="568">
        <f t="shared" ca="1" si="5"/>
        <v>32.233857011833315</v>
      </c>
    </row>
    <row r="24" spans="1:21" ht="15.75" customHeight="1" x14ac:dyDescent="0.25">
      <c r="A24" s="560"/>
      <c r="B24" s="561"/>
      <c r="C24" s="561"/>
      <c r="D24" s="562" t="s">
        <v>23</v>
      </c>
      <c r="E24" s="561"/>
      <c r="F24" s="561"/>
      <c r="G24" s="563"/>
      <c r="H24" s="564" t="s">
        <v>14</v>
      </c>
      <c r="I24" s="565"/>
      <c r="J24" s="565"/>
      <c r="K24" s="566"/>
      <c r="L24" s="567">
        <f t="shared" ref="L24:N24" ca="1" si="12">L25+L26</f>
        <v>9500</v>
      </c>
      <c r="M24" s="568">
        <f t="shared" ca="1" si="12"/>
        <v>9500</v>
      </c>
      <c r="N24" s="568">
        <f t="shared" ca="1" si="12"/>
        <v>9500</v>
      </c>
      <c r="O24" s="568">
        <f t="shared" ca="1" si="1"/>
        <v>100</v>
      </c>
      <c r="P24" s="568">
        <f t="shared" ca="1" si="2"/>
        <v>100</v>
      </c>
      <c r="Q24" s="568">
        <f t="shared" ref="Q24:S24" ca="1" si="13">Q25+Q26</f>
        <v>0</v>
      </c>
      <c r="R24" s="568">
        <f t="shared" ca="1" si="13"/>
        <v>0</v>
      </c>
      <c r="S24" s="568">
        <f t="shared" ca="1" si="13"/>
        <v>0</v>
      </c>
      <c r="T24" s="568">
        <f t="shared" ca="1" si="4"/>
        <v>0</v>
      </c>
      <c r="U24" s="568">
        <f t="shared" ca="1" si="5"/>
        <v>0</v>
      </c>
    </row>
    <row r="25" spans="1:21" ht="15.75" customHeight="1" x14ac:dyDescent="0.25">
      <c r="A25" s="560"/>
      <c r="B25" s="561"/>
      <c r="C25" s="561"/>
      <c r="D25" s="561"/>
      <c r="E25" s="569" t="s">
        <v>20</v>
      </c>
      <c r="F25" s="561"/>
      <c r="G25" s="563"/>
      <c r="H25" s="570" t="s">
        <v>14</v>
      </c>
      <c r="I25" s="565"/>
      <c r="J25" s="565"/>
      <c r="K25" s="566"/>
      <c r="L25" s="571">
        <f t="shared" ref="L25:N26" si="14">L51+L66+L79+L101+L132+L146+L164+L193+L180+L273+L289+L310+L327+L340+L363+L520</f>
        <v>0</v>
      </c>
      <c r="M25" s="572">
        <f t="shared" si="14"/>
        <v>0</v>
      </c>
      <c r="N25" s="572">
        <f t="shared" si="14"/>
        <v>0</v>
      </c>
      <c r="O25" s="572">
        <f t="shared" si="1"/>
        <v>0</v>
      </c>
      <c r="P25" s="572">
        <f t="shared" si="2"/>
        <v>0</v>
      </c>
      <c r="Q25" s="572">
        <f t="shared" ref="Q25:S26" si="15">Q79+Q101+Q124+Q146+Q164+Q180+Q193+Q273+Q289+Q310+Q340+Q382+Q399+Q420+Q500+Q606+Q623+Q649+Q697+Q721+Q735+Q767</f>
        <v>0</v>
      </c>
      <c r="R25" s="572">
        <f t="shared" si="15"/>
        <v>0</v>
      </c>
      <c r="S25" s="572">
        <f t="shared" si="15"/>
        <v>0</v>
      </c>
      <c r="T25" s="572">
        <f t="shared" si="4"/>
        <v>0</v>
      </c>
      <c r="U25" s="572">
        <f t="shared" si="5"/>
        <v>0</v>
      </c>
    </row>
    <row r="26" spans="1:21" ht="15.75" customHeight="1" x14ac:dyDescent="0.25">
      <c r="A26" s="560"/>
      <c r="B26" s="561"/>
      <c r="C26" s="561"/>
      <c r="D26" s="561"/>
      <c r="E26" s="573" t="s">
        <v>21</v>
      </c>
      <c r="F26" s="561"/>
      <c r="G26" s="563"/>
      <c r="H26" s="564" t="s">
        <v>14</v>
      </c>
      <c r="I26" s="565"/>
      <c r="J26" s="565"/>
      <c r="K26" s="566"/>
      <c r="L26" s="567">
        <f t="shared" ca="1" si="14"/>
        <v>9500</v>
      </c>
      <c r="M26" s="568">
        <f t="shared" ca="1" si="14"/>
        <v>9500</v>
      </c>
      <c r="N26" s="568">
        <f t="shared" ca="1" si="14"/>
        <v>9500</v>
      </c>
      <c r="O26" s="568">
        <f t="shared" ca="1" si="1"/>
        <v>100</v>
      </c>
      <c r="P26" s="568">
        <f t="shared" ca="1" si="2"/>
        <v>100</v>
      </c>
      <c r="Q26" s="572">
        <f t="shared" ca="1" si="15"/>
        <v>0</v>
      </c>
      <c r="R26" s="572">
        <f t="shared" ca="1" si="15"/>
        <v>0</v>
      </c>
      <c r="S26" s="572">
        <f t="shared" ca="1" si="15"/>
        <v>0</v>
      </c>
      <c r="T26" s="568">
        <f t="shared" ca="1" si="4"/>
        <v>0</v>
      </c>
      <c r="U26" s="568">
        <f t="shared" ca="1" si="5"/>
        <v>0</v>
      </c>
    </row>
    <row r="27" spans="1:21" ht="15.75" customHeight="1" x14ac:dyDescent="0.25">
      <c r="A27" s="560"/>
      <c r="B27" s="561"/>
      <c r="C27" s="561"/>
      <c r="D27" s="562" t="s">
        <v>24</v>
      </c>
      <c r="E27" s="561"/>
      <c r="F27" s="561"/>
      <c r="G27" s="563"/>
      <c r="H27" s="564" t="s">
        <v>14</v>
      </c>
      <c r="I27" s="565"/>
      <c r="J27" s="565"/>
      <c r="K27" s="566"/>
      <c r="L27" s="574"/>
      <c r="M27" s="566"/>
      <c r="N27" s="566"/>
      <c r="O27" s="566"/>
      <c r="P27" s="566"/>
      <c r="Q27" s="566"/>
      <c r="R27" s="566"/>
      <c r="S27" s="566"/>
      <c r="T27" s="566"/>
      <c r="U27" s="566"/>
    </row>
    <row r="28" spans="1:21" ht="15.75" customHeight="1" x14ac:dyDescent="0.25">
      <c r="A28" s="560"/>
      <c r="B28" s="561"/>
      <c r="C28" s="561"/>
      <c r="D28" s="561"/>
      <c r="E28" s="569" t="s">
        <v>20</v>
      </c>
      <c r="F28" s="561"/>
      <c r="G28" s="563"/>
      <c r="H28" s="570" t="s">
        <v>14</v>
      </c>
      <c r="I28" s="565"/>
      <c r="J28" s="565"/>
      <c r="K28" s="566"/>
      <c r="L28" s="574"/>
      <c r="M28" s="566"/>
      <c r="N28" s="566"/>
      <c r="O28" s="566"/>
      <c r="P28" s="566"/>
      <c r="Q28" s="566"/>
      <c r="R28" s="566"/>
      <c r="S28" s="566"/>
      <c r="T28" s="566"/>
      <c r="U28" s="566"/>
    </row>
    <row r="29" spans="1:21" ht="15.75" customHeight="1" x14ac:dyDescent="0.25">
      <c r="A29" s="575"/>
      <c r="B29" s="513"/>
      <c r="C29" s="513"/>
      <c r="D29" s="513"/>
      <c r="E29" s="576" t="s">
        <v>21</v>
      </c>
      <c r="F29" s="513"/>
      <c r="G29" s="577"/>
      <c r="H29" s="578" t="s">
        <v>14</v>
      </c>
      <c r="I29" s="579"/>
      <c r="J29" s="579"/>
      <c r="K29" s="580"/>
      <c r="L29" s="581"/>
      <c r="M29" s="580"/>
      <c r="N29" s="580"/>
      <c r="O29" s="580"/>
      <c r="P29" s="580"/>
      <c r="Q29" s="580"/>
      <c r="R29" s="580"/>
      <c r="S29" s="580"/>
      <c r="T29" s="580"/>
      <c r="U29" s="580"/>
    </row>
    <row r="30" spans="1:21" ht="12.75" hidden="1" x14ac:dyDescent="0.2">
      <c r="A30" s="1316"/>
      <c r="B30" s="1314"/>
      <c r="C30" s="1314"/>
      <c r="D30" s="1314"/>
      <c r="E30" s="1314"/>
      <c r="F30" s="1314"/>
      <c r="G30" s="1317"/>
      <c r="H30" s="526"/>
      <c r="I30" s="527"/>
      <c r="J30" s="527"/>
      <c r="K30" s="528"/>
      <c r="L30" s="529"/>
      <c r="M30" s="528"/>
      <c r="N30" s="528"/>
      <c r="O30" s="528"/>
      <c r="P30" s="528"/>
      <c r="Q30" s="528"/>
      <c r="R30" s="528"/>
      <c r="S30" s="528"/>
      <c r="T30" s="528"/>
      <c r="U30" s="528"/>
    </row>
    <row r="31" spans="1:21" ht="12.75" hidden="1" x14ac:dyDescent="0.2">
      <c r="A31" s="530"/>
      <c r="B31" s="531"/>
      <c r="C31" s="531"/>
      <c r="D31" s="531"/>
      <c r="E31" s="531"/>
      <c r="F31" s="531"/>
      <c r="G31" s="532"/>
      <c r="H31" s="532"/>
      <c r="I31" s="533"/>
      <c r="J31" s="533"/>
      <c r="K31" s="534"/>
      <c r="L31" s="535"/>
      <c r="M31" s="534"/>
      <c r="N31" s="534"/>
      <c r="O31" s="534"/>
      <c r="P31" s="534"/>
      <c r="Q31" s="534"/>
      <c r="R31" s="534"/>
      <c r="S31" s="534"/>
      <c r="T31" s="534"/>
      <c r="U31" s="534"/>
    </row>
    <row r="32" spans="1:21" ht="12.75" hidden="1" x14ac:dyDescent="0.2">
      <c r="A32" s="530"/>
      <c r="B32" s="531"/>
      <c r="C32" s="531"/>
      <c r="D32" s="531"/>
      <c r="E32" s="531"/>
      <c r="F32" s="531"/>
      <c r="G32" s="532"/>
      <c r="H32" s="532"/>
      <c r="I32" s="533"/>
      <c r="J32" s="533"/>
      <c r="K32" s="534"/>
      <c r="L32" s="535"/>
      <c r="M32" s="534"/>
      <c r="N32" s="534"/>
      <c r="O32" s="534"/>
      <c r="P32" s="534"/>
      <c r="Q32" s="534"/>
      <c r="R32" s="534"/>
      <c r="S32" s="534"/>
      <c r="T32" s="534"/>
      <c r="U32" s="534"/>
    </row>
    <row r="33" spans="1:21" ht="12.75" hidden="1" x14ac:dyDescent="0.2">
      <c r="A33" s="530"/>
      <c r="B33" s="531"/>
      <c r="C33" s="531"/>
      <c r="D33" s="531"/>
      <c r="E33" s="531"/>
      <c r="F33" s="531"/>
      <c r="G33" s="532"/>
      <c r="H33" s="532"/>
      <c r="I33" s="533"/>
      <c r="J33" s="533"/>
      <c r="K33" s="534"/>
      <c r="L33" s="535"/>
      <c r="M33" s="534"/>
      <c r="N33" s="534"/>
      <c r="O33" s="534"/>
      <c r="P33" s="534"/>
      <c r="Q33" s="534"/>
      <c r="R33" s="534"/>
      <c r="S33" s="534"/>
      <c r="T33" s="534"/>
      <c r="U33" s="534"/>
    </row>
    <row r="34" spans="1:21" ht="12.75" hidden="1" x14ac:dyDescent="0.2">
      <c r="A34" s="530"/>
      <c r="B34" s="531"/>
      <c r="C34" s="531"/>
      <c r="D34" s="531"/>
      <c r="E34" s="531"/>
      <c r="F34" s="531"/>
      <c r="G34" s="532"/>
      <c r="H34" s="532"/>
      <c r="I34" s="533"/>
      <c r="J34" s="533"/>
      <c r="K34" s="534"/>
      <c r="L34" s="535"/>
      <c r="M34" s="534"/>
      <c r="N34" s="534"/>
      <c r="O34" s="534"/>
      <c r="P34" s="534"/>
      <c r="Q34" s="534"/>
      <c r="R34" s="534"/>
      <c r="S34" s="534"/>
      <c r="T34" s="534"/>
      <c r="U34" s="534"/>
    </row>
    <row r="35" spans="1:21" ht="12.75" hidden="1" x14ac:dyDescent="0.2">
      <c r="A35" s="530"/>
      <c r="B35" s="531"/>
      <c r="C35" s="531"/>
      <c r="D35" s="531"/>
      <c r="E35" s="531"/>
      <c r="F35" s="531"/>
      <c r="G35" s="532"/>
      <c r="H35" s="532"/>
      <c r="I35" s="533"/>
      <c r="J35" s="533"/>
      <c r="K35" s="534"/>
      <c r="L35" s="535"/>
      <c r="M35" s="534"/>
      <c r="N35" s="534"/>
      <c r="O35" s="534"/>
      <c r="P35" s="534"/>
      <c r="Q35" s="534"/>
      <c r="R35" s="534"/>
      <c r="S35" s="534"/>
      <c r="T35" s="534"/>
      <c r="U35" s="534"/>
    </row>
    <row r="36" spans="1:21" ht="12.75" hidden="1" x14ac:dyDescent="0.2">
      <c r="A36" s="530"/>
      <c r="B36" s="531"/>
      <c r="C36" s="531"/>
      <c r="D36" s="531"/>
      <c r="E36" s="531"/>
      <c r="F36" s="531"/>
      <c r="G36" s="532"/>
      <c r="H36" s="532"/>
      <c r="I36" s="533"/>
      <c r="J36" s="533"/>
      <c r="K36" s="534"/>
      <c r="L36" s="535"/>
      <c r="M36" s="534"/>
      <c r="N36" s="534"/>
      <c r="O36" s="534"/>
      <c r="P36" s="534"/>
      <c r="Q36" s="534"/>
      <c r="R36" s="534"/>
      <c r="S36" s="534"/>
      <c r="T36" s="534"/>
      <c r="U36" s="534"/>
    </row>
    <row r="37" spans="1:21" ht="12.75" hidden="1" x14ac:dyDescent="0.2">
      <c r="A37" s="530"/>
      <c r="B37" s="531"/>
      <c r="C37" s="531"/>
      <c r="D37" s="531"/>
      <c r="E37" s="531"/>
      <c r="F37" s="531"/>
      <c r="G37" s="532"/>
      <c r="H37" s="532"/>
      <c r="I37" s="533"/>
      <c r="J37" s="533"/>
      <c r="K37" s="534"/>
      <c r="L37" s="535"/>
      <c r="M37" s="534"/>
      <c r="N37" s="534"/>
      <c r="O37" s="534"/>
      <c r="P37" s="534"/>
      <c r="Q37" s="534"/>
      <c r="R37" s="534"/>
      <c r="S37" s="534"/>
      <c r="T37" s="534"/>
      <c r="U37" s="534"/>
    </row>
    <row r="38" spans="1:21" ht="12.75" hidden="1" x14ac:dyDescent="0.2">
      <c r="A38" s="530"/>
      <c r="B38" s="531"/>
      <c r="C38" s="531"/>
      <c r="D38" s="531"/>
      <c r="E38" s="531"/>
      <c r="F38" s="531"/>
      <c r="G38" s="532"/>
      <c r="H38" s="532"/>
      <c r="I38" s="533"/>
      <c r="J38" s="533"/>
      <c r="K38" s="534"/>
      <c r="L38" s="535"/>
      <c r="M38" s="534"/>
      <c r="N38" s="534"/>
      <c r="O38" s="534"/>
      <c r="P38" s="534"/>
      <c r="Q38" s="534"/>
      <c r="R38" s="534"/>
      <c r="S38" s="534"/>
      <c r="T38" s="534"/>
      <c r="U38" s="534"/>
    </row>
    <row r="39" spans="1:21" ht="12.75" hidden="1" x14ac:dyDescent="0.2">
      <c r="A39" s="536"/>
      <c r="B39" s="537"/>
      <c r="C39" s="537"/>
      <c r="D39" s="537"/>
      <c r="E39" s="537"/>
      <c r="F39" s="537"/>
      <c r="G39" s="526"/>
      <c r="H39" s="526"/>
      <c r="I39" s="527"/>
      <c r="J39" s="527"/>
      <c r="K39" s="528"/>
      <c r="L39" s="529"/>
      <c r="M39" s="528"/>
      <c r="N39" s="528"/>
      <c r="O39" s="528"/>
      <c r="P39" s="528"/>
      <c r="Q39" s="528"/>
      <c r="R39" s="528"/>
      <c r="S39" s="528"/>
      <c r="T39" s="528"/>
      <c r="U39" s="528"/>
    </row>
    <row r="40" spans="1:21" ht="19.5" x14ac:dyDescent="0.3">
      <c r="A40" s="582" t="s">
        <v>25</v>
      </c>
      <c r="B40" s="583"/>
      <c r="C40" s="583"/>
      <c r="D40" s="583"/>
      <c r="E40" s="583"/>
      <c r="F40" s="583"/>
      <c r="G40" s="584"/>
      <c r="H40" s="584"/>
      <c r="I40" s="585"/>
      <c r="J40" s="585"/>
      <c r="K40" s="586"/>
      <c r="L40" s="587">
        <f t="shared" ref="L40:N40" ca="1" si="16">L44+L59+L72+L94+L125+L139+L157+L173+L186+L266+L282+L303+L320+L333+L356</f>
        <v>3535540</v>
      </c>
      <c r="M40" s="588">
        <f t="shared" ca="1" si="16"/>
        <v>3737308</v>
      </c>
      <c r="N40" s="588">
        <f t="shared" ca="1" si="16"/>
        <v>2342869.7000000002</v>
      </c>
      <c r="O40" s="588">
        <f ca="1">IF(L40&gt;0,N40*100/L40,0)</f>
        <v>66.266247871612265</v>
      </c>
      <c r="P40" s="588">
        <f ca="1">IF(M40&gt;0,N40*100/M40,0)</f>
        <v>62.688697319032855</v>
      </c>
      <c r="Q40" s="586"/>
      <c r="R40" s="586"/>
      <c r="S40" s="586"/>
      <c r="T40" s="586"/>
      <c r="U40" s="586"/>
    </row>
    <row r="41" spans="1:21" ht="19.5" x14ac:dyDescent="0.3">
      <c r="A41" s="589" t="s">
        <v>26</v>
      </c>
      <c r="B41" s="590"/>
      <c r="C41" s="590"/>
      <c r="D41" s="590"/>
      <c r="E41" s="590"/>
      <c r="F41" s="590"/>
      <c r="G41" s="590"/>
      <c r="H41" s="590"/>
      <c r="I41" s="591"/>
      <c r="J41" s="591"/>
      <c r="K41" s="592"/>
      <c r="L41" s="592"/>
      <c r="M41" s="592"/>
      <c r="N41" s="592"/>
      <c r="O41" s="592"/>
      <c r="P41" s="593"/>
      <c r="Q41" s="592"/>
      <c r="R41" s="592"/>
      <c r="S41" s="592"/>
      <c r="T41" s="592"/>
      <c r="U41" s="593"/>
    </row>
    <row r="42" spans="1:21" ht="19.5" x14ac:dyDescent="0.3">
      <c r="A42" s="594"/>
      <c r="B42" s="595" t="s">
        <v>27</v>
      </c>
      <c r="C42" s="594"/>
      <c r="D42" s="594"/>
      <c r="E42" s="594"/>
      <c r="F42" s="594"/>
      <c r="G42" s="596"/>
      <c r="H42" s="596"/>
      <c r="I42" s="597"/>
      <c r="J42" s="597"/>
      <c r="K42" s="598"/>
      <c r="L42" s="599"/>
      <c r="M42" s="598"/>
      <c r="N42" s="598"/>
      <c r="O42" s="598"/>
      <c r="P42" s="598"/>
      <c r="Q42" s="598"/>
      <c r="R42" s="598"/>
      <c r="S42" s="598"/>
      <c r="T42" s="598"/>
      <c r="U42" s="598"/>
    </row>
    <row r="43" spans="1:21" ht="12.75" hidden="1" x14ac:dyDescent="0.2">
      <c r="A43" s="530"/>
      <c r="B43" s="531"/>
      <c r="C43" s="531"/>
      <c r="D43" s="531"/>
      <c r="E43" s="531"/>
      <c r="F43" s="531"/>
      <c r="G43" s="532"/>
      <c r="H43" s="532"/>
      <c r="I43" s="533"/>
      <c r="J43" s="533"/>
      <c r="K43" s="534"/>
      <c r="L43" s="535"/>
      <c r="M43" s="534"/>
      <c r="N43" s="534"/>
      <c r="O43" s="534"/>
      <c r="P43" s="534"/>
      <c r="Q43" s="534"/>
      <c r="R43" s="534"/>
      <c r="S43" s="534"/>
      <c r="T43" s="534"/>
      <c r="U43" s="534"/>
    </row>
    <row r="44" spans="1:21" ht="19.5" x14ac:dyDescent="0.3">
      <c r="A44" s="600"/>
      <c r="B44" s="601"/>
      <c r="C44" s="602" t="s">
        <v>18</v>
      </c>
      <c r="D44" s="603" t="s">
        <v>19</v>
      </c>
      <c r="E44" s="601"/>
      <c r="F44" s="601"/>
      <c r="G44" s="604"/>
      <c r="H44" s="605" t="s">
        <v>14</v>
      </c>
      <c r="I44" s="606"/>
      <c r="J44" s="606"/>
      <c r="K44" s="607"/>
      <c r="L44" s="608">
        <f t="shared" ref="L44:N44" ca="1" si="17">L45+L46</f>
        <v>854200</v>
      </c>
      <c r="M44" s="609">
        <f t="shared" ca="1" si="17"/>
        <v>854438</v>
      </c>
      <c r="N44" s="609">
        <f t="shared" ca="1" si="17"/>
        <v>474244.86</v>
      </c>
      <c r="O44" s="609">
        <f t="shared" ref="O44:O52" ca="1" si="18">IF(L44&gt;0,N44*100/L44,0)</f>
        <v>55.519182861156636</v>
      </c>
      <c r="P44" s="609">
        <f t="shared" ref="P44:P52" ca="1" si="19">IF(M44&gt;0,N44*100/M44,0)</f>
        <v>55.503718233505531</v>
      </c>
      <c r="Q44" s="609">
        <f t="shared" ref="Q44:S44" si="20">Q45+Q46</f>
        <v>0</v>
      </c>
      <c r="R44" s="609">
        <f t="shared" si="20"/>
        <v>0</v>
      </c>
      <c r="S44" s="609">
        <f t="shared" si="20"/>
        <v>0</v>
      </c>
      <c r="T44" s="609">
        <f t="shared" ref="T44:T52" si="21">IF(Q44&gt;0,S44*100/Q44,0)</f>
        <v>0</v>
      </c>
      <c r="U44" s="609">
        <f t="shared" ref="U44:U52" si="22">IF(R44&gt;0,S44*100/R44,0)</f>
        <v>0</v>
      </c>
    </row>
    <row r="45" spans="1:21" ht="18.75" x14ac:dyDescent="0.25">
      <c r="A45" s="600"/>
      <c r="B45" s="601"/>
      <c r="C45" s="601"/>
      <c r="D45" s="601"/>
      <c r="E45" s="610" t="s">
        <v>20</v>
      </c>
      <c r="F45" s="601"/>
      <c r="G45" s="604"/>
      <c r="H45" s="611" t="s">
        <v>14</v>
      </c>
      <c r="I45" s="606"/>
      <c r="J45" s="606"/>
      <c r="K45" s="607"/>
      <c r="L45" s="612">
        <f t="shared" ref="L45:N46" si="23">L48+L51</f>
        <v>0</v>
      </c>
      <c r="M45" s="613">
        <f t="shared" si="23"/>
        <v>0</v>
      </c>
      <c r="N45" s="613">
        <f t="shared" si="23"/>
        <v>0</v>
      </c>
      <c r="O45" s="613">
        <f t="shared" si="18"/>
        <v>0</v>
      </c>
      <c r="P45" s="613">
        <f t="shared" si="19"/>
        <v>0</v>
      </c>
      <c r="Q45" s="613">
        <f t="shared" ref="Q45:S46" si="24">Q48+Q51</f>
        <v>0</v>
      </c>
      <c r="R45" s="613">
        <f t="shared" si="24"/>
        <v>0</v>
      </c>
      <c r="S45" s="613">
        <f t="shared" si="24"/>
        <v>0</v>
      </c>
      <c r="T45" s="613">
        <f t="shared" si="21"/>
        <v>0</v>
      </c>
      <c r="U45" s="613">
        <f t="shared" si="22"/>
        <v>0</v>
      </c>
    </row>
    <row r="46" spans="1:21" ht="18.75" x14ac:dyDescent="0.25">
      <c r="A46" s="600"/>
      <c r="B46" s="601"/>
      <c r="C46" s="601"/>
      <c r="D46" s="601"/>
      <c r="E46" s="614" t="s">
        <v>21</v>
      </c>
      <c r="F46" s="601"/>
      <c r="G46" s="604"/>
      <c r="H46" s="615" t="s">
        <v>14</v>
      </c>
      <c r="I46" s="606"/>
      <c r="J46" s="606"/>
      <c r="K46" s="607"/>
      <c r="L46" s="616">
        <f t="shared" ca="1" si="23"/>
        <v>854200</v>
      </c>
      <c r="M46" s="617">
        <f t="shared" ca="1" si="23"/>
        <v>854438</v>
      </c>
      <c r="N46" s="617">
        <f t="shared" ca="1" si="23"/>
        <v>474244.86</v>
      </c>
      <c r="O46" s="617">
        <f t="shared" ca="1" si="18"/>
        <v>55.519182861156636</v>
      </c>
      <c r="P46" s="617">
        <f t="shared" ca="1" si="19"/>
        <v>55.503718233505531</v>
      </c>
      <c r="Q46" s="617">
        <f t="shared" si="24"/>
        <v>0</v>
      </c>
      <c r="R46" s="617">
        <f t="shared" si="24"/>
        <v>0</v>
      </c>
      <c r="S46" s="617">
        <f t="shared" si="24"/>
        <v>0</v>
      </c>
      <c r="T46" s="617">
        <f t="shared" si="21"/>
        <v>0</v>
      </c>
      <c r="U46" s="617">
        <f t="shared" si="22"/>
        <v>0</v>
      </c>
    </row>
    <row r="47" spans="1:21" ht="18.75" x14ac:dyDescent="0.25">
      <c r="A47" s="560"/>
      <c r="B47" s="561"/>
      <c r="C47" s="561"/>
      <c r="D47" s="562" t="s">
        <v>22</v>
      </c>
      <c r="E47" s="561"/>
      <c r="F47" s="561"/>
      <c r="G47" s="563"/>
      <c r="H47" s="564" t="s">
        <v>14</v>
      </c>
      <c r="I47" s="565"/>
      <c r="J47" s="565"/>
      <c r="K47" s="566"/>
      <c r="L47" s="567">
        <f t="shared" ref="L47:N47" ca="1" si="25">L48+L49</f>
        <v>854200</v>
      </c>
      <c r="M47" s="568">
        <f t="shared" ca="1" si="25"/>
        <v>854438</v>
      </c>
      <c r="N47" s="568">
        <f t="shared" ca="1" si="25"/>
        <v>474244.86</v>
      </c>
      <c r="O47" s="568">
        <f t="shared" ca="1" si="18"/>
        <v>55.519182861156636</v>
      </c>
      <c r="P47" s="568">
        <f t="shared" ca="1" si="19"/>
        <v>55.503718233505531</v>
      </c>
      <c r="Q47" s="568">
        <f t="shared" ref="Q47:S47" si="26">Q48+Q49</f>
        <v>0</v>
      </c>
      <c r="R47" s="568">
        <f t="shared" si="26"/>
        <v>0</v>
      </c>
      <c r="S47" s="568">
        <f t="shared" si="26"/>
        <v>0</v>
      </c>
      <c r="T47" s="568">
        <f t="shared" si="21"/>
        <v>0</v>
      </c>
      <c r="U47" s="568">
        <f t="shared" si="22"/>
        <v>0</v>
      </c>
    </row>
    <row r="48" spans="1:21" ht="18.75" x14ac:dyDescent="0.25">
      <c r="A48" s="560"/>
      <c r="B48" s="561"/>
      <c r="C48" s="561"/>
      <c r="D48" s="561"/>
      <c r="E48" s="569" t="s">
        <v>20</v>
      </c>
      <c r="F48" s="561"/>
      <c r="G48" s="563"/>
      <c r="H48" s="570" t="s">
        <v>14</v>
      </c>
      <c r="I48" s="565"/>
      <c r="J48" s="565"/>
      <c r="K48" s="566"/>
      <c r="L48" s="571">
        <v>0</v>
      </c>
      <c r="M48" s="572">
        <v>0</v>
      </c>
      <c r="N48" s="572">
        <v>0</v>
      </c>
      <c r="O48" s="572">
        <f t="shared" si="18"/>
        <v>0</v>
      </c>
      <c r="P48" s="572">
        <f t="shared" si="19"/>
        <v>0</v>
      </c>
      <c r="Q48" s="572">
        <v>0</v>
      </c>
      <c r="R48" s="572">
        <v>0</v>
      </c>
      <c r="S48" s="572">
        <v>0</v>
      </c>
      <c r="T48" s="572">
        <f t="shared" si="21"/>
        <v>0</v>
      </c>
      <c r="U48" s="572">
        <f t="shared" si="22"/>
        <v>0</v>
      </c>
    </row>
    <row r="49" spans="1:21" ht="18.75" x14ac:dyDescent="0.25">
      <c r="A49" s="560"/>
      <c r="B49" s="561"/>
      <c r="C49" s="561"/>
      <c r="D49" s="561"/>
      <c r="E49" s="573" t="s">
        <v>21</v>
      </c>
      <c r="F49" s="561"/>
      <c r="G49" s="563"/>
      <c r="H49" s="564" t="s">
        <v>14</v>
      </c>
      <c r="I49" s="565"/>
      <c r="J49" s="565"/>
      <c r="K49" s="566"/>
      <c r="L49" s="567">
        <f ca="1">IFERROR(__xludf.DUMMYFUNCTION("IMPORTRANGE(""https://docs.google.com/spreadsheets/d/1-uDff_7J0KD5mKrp0Vvzr7lt3OU09vwQwhkpOPPYv2Y/edit?usp=sharing"",""งบพรบ!P16"")"),854200)</f>
        <v>854200</v>
      </c>
      <c r="M49" s="568">
        <f ca="1">IFERROR(__xludf.DUMMYFUNCTION("IMPORTRANGE(""https://docs.google.com/spreadsheets/d/1-uDff_7J0KD5mKrp0Vvzr7lt3OU09vwQwhkpOPPYv2Y/edit?usp=sharing"",""งบพรบ!V16"")"),854438)</f>
        <v>854438</v>
      </c>
      <c r="N49" s="568">
        <f ca="1">IFERROR(__xludf.DUMMYFUNCTION("IMPORTRANGE(""https://docs.google.com/spreadsheets/d/1-uDff_7J0KD5mKrp0Vvzr7lt3OU09vwQwhkpOPPYv2Y/edit?usp=sharing"",""งบพรบ!Y16"")"),474244.86)</f>
        <v>474244.86</v>
      </c>
      <c r="O49" s="568">
        <f t="shared" ca="1" si="18"/>
        <v>55.519182861156636</v>
      </c>
      <c r="P49" s="568">
        <f t="shared" ca="1" si="19"/>
        <v>55.503718233505531</v>
      </c>
      <c r="Q49" s="568">
        <v>0</v>
      </c>
      <c r="R49" s="568">
        <v>0</v>
      </c>
      <c r="S49" s="568">
        <v>0</v>
      </c>
      <c r="T49" s="568">
        <f t="shared" si="21"/>
        <v>0</v>
      </c>
      <c r="U49" s="568">
        <f t="shared" si="22"/>
        <v>0</v>
      </c>
    </row>
    <row r="50" spans="1:21" ht="18.75" x14ac:dyDescent="0.25">
      <c r="A50" s="560"/>
      <c r="B50" s="561"/>
      <c r="C50" s="561"/>
      <c r="D50" s="562" t="s">
        <v>23</v>
      </c>
      <c r="E50" s="561"/>
      <c r="F50" s="561"/>
      <c r="G50" s="563"/>
      <c r="H50" s="564" t="s">
        <v>14</v>
      </c>
      <c r="I50" s="565"/>
      <c r="J50" s="565"/>
      <c r="K50" s="566"/>
      <c r="L50" s="567">
        <f t="shared" ref="L50:N50" ca="1" si="27">L51+L52</f>
        <v>0</v>
      </c>
      <c r="M50" s="568">
        <f t="shared" ca="1" si="27"/>
        <v>0</v>
      </c>
      <c r="N50" s="568">
        <f t="shared" ca="1" si="27"/>
        <v>0</v>
      </c>
      <c r="O50" s="568">
        <f t="shared" ca="1" si="18"/>
        <v>0</v>
      </c>
      <c r="P50" s="568">
        <f t="shared" ca="1" si="19"/>
        <v>0</v>
      </c>
      <c r="Q50" s="568">
        <f t="shared" ref="Q50:S50" si="28">Q51+Q52</f>
        <v>0</v>
      </c>
      <c r="R50" s="568">
        <f t="shared" si="28"/>
        <v>0</v>
      </c>
      <c r="S50" s="568">
        <f t="shared" si="28"/>
        <v>0</v>
      </c>
      <c r="T50" s="568">
        <f t="shared" si="21"/>
        <v>0</v>
      </c>
      <c r="U50" s="568">
        <f t="shared" si="22"/>
        <v>0</v>
      </c>
    </row>
    <row r="51" spans="1:21" ht="18.75" x14ac:dyDescent="0.25">
      <c r="A51" s="560"/>
      <c r="B51" s="561"/>
      <c r="C51" s="561"/>
      <c r="D51" s="561"/>
      <c r="E51" s="569" t="s">
        <v>20</v>
      </c>
      <c r="F51" s="561"/>
      <c r="G51" s="563"/>
      <c r="H51" s="570" t="s">
        <v>14</v>
      </c>
      <c r="I51" s="565"/>
      <c r="J51" s="565"/>
      <c r="K51" s="566"/>
      <c r="L51" s="571">
        <v>0</v>
      </c>
      <c r="M51" s="572">
        <v>0</v>
      </c>
      <c r="N51" s="572">
        <v>0</v>
      </c>
      <c r="O51" s="572">
        <f t="shared" si="18"/>
        <v>0</v>
      </c>
      <c r="P51" s="572">
        <f t="shared" si="19"/>
        <v>0</v>
      </c>
      <c r="Q51" s="572">
        <v>0</v>
      </c>
      <c r="R51" s="572">
        <v>0</v>
      </c>
      <c r="S51" s="572">
        <v>0</v>
      </c>
      <c r="T51" s="572">
        <f t="shared" si="21"/>
        <v>0</v>
      </c>
      <c r="U51" s="572">
        <f t="shared" si="22"/>
        <v>0</v>
      </c>
    </row>
    <row r="52" spans="1:21" ht="18.75" x14ac:dyDescent="0.25">
      <c r="A52" s="560"/>
      <c r="B52" s="561"/>
      <c r="C52" s="561"/>
      <c r="D52" s="561"/>
      <c r="E52" s="573" t="s">
        <v>21</v>
      </c>
      <c r="F52" s="561"/>
      <c r="G52" s="563"/>
      <c r="H52" s="564" t="s">
        <v>14</v>
      </c>
      <c r="I52" s="565"/>
      <c r="J52" s="565"/>
      <c r="K52" s="566"/>
      <c r="L52" s="567">
        <f ca="1">IFERROR(__xludf.DUMMYFUNCTION("IMPORTRANGE(""https://docs.google.com/spreadsheets/d/1-uDff_7J0KD5mKrp0Vvzr7lt3OU09vwQwhkpOPPYv2Y/edit?usp=sharing"",""งบพรบ!S16"")"),0)</f>
        <v>0</v>
      </c>
      <c r="M52" s="568">
        <f ca="1">IFERROR(__xludf.DUMMYFUNCTION("IMPORTRANGE(""https://docs.google.com/spreadsheets/d/1-uDff_7J0KD5mKrp0Vvzr7lt3OU09vwQwhkpOPPYv2Y/edit?usp=sharing"",""งบพรบ!W16"")"),0)</f>
        <v>0</v>
      </c>
      <c r="N52" s="568">
        <f ca="1">IFERROR(__xludf.DUMMYFUNCTION("IMPORTRANGE(""https://docs.google.com/spreadsheets/d/1-uDff_7J0KD5mKrp0Vvzr7lt3OU09vwQwhkpOPPYv2Y/edit?usp=sharing"",""งบพรบ!Z16"")"),0)</f>
        <v>0</v>
      </c>
      <c r="O52" s="568">
        <f t="shared" ca="1" si="18"/>
        <v>0</v>
      </c>
      <c r="P52" s="568">
        <f t="shared" ca="1" si="19"/>
        <v>0</v>
      </c>
      <c r="Q52" s="568">
        <v>0</v>
      </c>
      <c r="R52" s="568">
        <v>0</v>
      </c>
      <c r="S52" s="568">
        <v>0</v>
      </c>
      <c r="T52" s="568">
        <f t="shared" si="21"/>
        <v>0</v>
      </c>
      <c r="U52" s="568">
        <f t="shared" si="22"/>
        <v>0</v>
      </c>
    </row>
    <row r="53" spans="1:21" ht="18.75" x14ac:dyDescent="0.25">
      <c r="A53" s="560"/>
      <c r="B53" s="561"/>
      <c r="C53" s="561"/>
      <c r="D53" s="562" t="s">
        <v>24</v>
      </c>
      <c r="E53" s="561"/>
      <c r="F53" s="561"/>
      <c r="G53" s="563"/>
      <c r="H53" s="564" t="s">
        <v>14</v>
      </c>
      <c r="I53" s="565"/>
      <c r="J53" s="565"/>
      <c r="K53" s="566"/>
      <c r="L53" s="574"/>
      <c r="M53" s="566"/>
      <c r="N53" s="566"/>
      <c r="O53" s="566"/>
      <c r="P53" s="566"/>
      <c r="Q53" s="566"/>
      <c r="R53" s="566"/>
      <c r="S53" s="566"/>
      <c r="T53" s="566"/>
      <c r="U53" s="566"/>
    </row>
    <row r="54" spans="1:21" ht="18.75" x14ac:dyDescent="0.25">
      <c r="A54" s="560"/>
      <c r="B54" s="561"/>
      <c r="C54" s="561"/>
      <c r="D54" s="561"/>
      <c r="E54" s="569" t="s">
        <v>20</v>
      </c>
      <c r="F54" s="561"/>
      <c r="G54" s="563"/>
      <c r="H54" s="570" t="s">
        <v>14</v>
      </c>
      <c r="I54" s="565"/>
      <c r="J54" s="565"/>
      <c r="K54" s="566"/>
      <c r="L54" s="574"/>
      <c r="M54" s="566"/>
      <c r="N54" s="566"/>
      <c r="O54" s="566"/>
      <c r="P54" s="566"/>
      <c r="Q54" s="566"/>
      <c r="R54" s="566"/>
      <c r="S54" s="566"/>
      <c r="T54" s="566"/>
      <c r="U54" s="566"/>
    </row>
    <row r="55" spans="1:21" ht="18.75" x14ac:dyDescent="0.25">
      <c r="A55" s="575"/>
      <c r="B55" s="513"/>
      <c r="C55" s="513"/>
      <c r="D55" s="513"/>
      <c r="E55" s="576" t="s">
        <v>21</v>
      </c>
      <c r="F55" s="513"/>
      <c r="G55" s="577"/>
      <c r="H55" s="578" t="s">
        <v>14</v>
      </c>
      <c r="I55" s="579"/>
      <c r="J55" s="579"/>
      <c r="K55" s="580"/>
      <c r="L55" s="581"/>
      <c r="M55" s="580"/>
      <c r="N55" s="580"/>
      <c r="O55" s="580"/>
      <c r="P55" s="580"/>
      <c r="Q55" s="580"/>
      <c r="R55" s="580"/>
      <c r="S55" s="580"/>
      <c r="T55" s="580"/>
      <c r="U55" s="580"/>
    </row>
    <row r="56" spans="1:21" ht="19.5" x14ac:dyDescent="0.3">
      <c r="A56" s="1319" t="s">
        <v>28</v>
      </c>
      <c r="B56" s="1314"/>
      <c r="C56" s="1314"/>
      <c r="D56" s="1314"/>
      <c r="E56" s="1314"/>
      <c r="F56" s="1314"/>
      <c r="G56" s="1317"/>
      <c r="H56" s="618"/>
      <c r="I56" s="619"/>
      <c r="J56" s="619"/>
      <c r="K56" s="620"/>
      <c r="L56" s="620"/>
      <c r="M56" s="620"/>
      <c r="N56" s="620"/>
      <c r="O56" s="620"/>
      <c r="P56" s="621"/>
      <c r="Q56" s="620"/>
      <c r="R56" s="620"/>
      <c r="S56" s="620"/>
      <c r="T56" s="620"/>
      <c r="U56" s="621"/>
    </row>
    <row r="57" spans="1:21" ht="19.5" x14ac:dyDescent="0.3">
      <c r="A57" s="622"/>
      <c r="B57" s="1320" t="s">
        <v>29</v>
      </c>
      <c r="C57" s="1311"/>
      <c r="D57" s="1311"/>
      <c r="E57" s="1311"/>
      <c r="F57" s="1311"/>
      <c r="G57" s="1312"/>
      <c r="H57" s="625"/>
      <c r="I57" s="626"/>
      <c r="J57" s="626"/>
      <c r="K57" s="627"/>
      <c r="L57" s="628"/>
      <c r="M57" s="627"/>
      <c r="N57" s="627"/>
      <c r="O57" s="627"/>
      <c r="P57" s="627"/>
      <c r="Q57" s="627"/>
      <c r="R57" s="627"/>
      <c r="S57" s="627"/>
      <c r="T57" s="627"/>
      <c r="U57" s="627"/>
    </row>
    <row r="58" spans="1:21" ht="19.5" x14ac:dyDescent="0.3">
      <c r="A58" s="629"/>
      <c r="B58" s="630" t="s">
        <v>30</v>
      </c>
      <c r="C58" s="631"/>
      <c r="D58" s="631"/>
      <c r="E58" s="631"/>
      <c r="F58" s="631"/>
      <c r="G58" s="632"/>
      <c r="H58" s="632"/>
      <c r="I58" s="633"/>
      <c r="J58" s="633"/>
      <c r="K58" s="634"/>
      <c r="L58" s="635"/>
      <c r="M58" s="634"/>
      <c r="N58" s="634"/>
      <c r="O58" s="634"/>
      <c r="P58" s="634"/>
      <c r="Q58" s="634"/>
      <c r="R58" s="634"/>
      <c r="S58" s="634"/>
      <c r="T58" s="634"/>
      <c r="U58" s="634"/>
    </row>
    <row r="59" spans="1:21" ht="19.5" x14ac:dyDescent="0.3">
      <c r="A59" s="636"/>
      <c r="B59" s="637"/>
      <c r="C59" s="638" t="s">
        <v>18</v>
      </c>
      <c r="D59" s="639" t="s">
        <v>19</v>
      </c>
      <c r="E59" s="637"/>
      <c r="F59" s="637"/>
      <c r="G59" s="640"/>
      <c r="H59" s="641" t="s">
        <v>14</v>
      </c>
      <c r="I59" s="642"/>
      <c r="J59" s="642"/>
      <c r="K59" s="643"/>
      <c r="L59" s="644">
        <f t="shared" ref="L59:N59" ca="1" si="29">L60+L61</f>
        <v>729800</v>
      </c>
      <c r="M59" s="645">
        <f t="shared" ca="1" si="29"/>
        <v>789340</v>
      </c>
      <c r="N59" s="645">
        <f t="shared" ca="1" si="29"/>
        <v>515362.49</v>
      </c>
      <c r="O59" s="645">
        <f t="shared" ref="O59:O67" ca="1" si="30">IF(L59&gt;0,N59*100/L59,0)</f>
        <v>70.616948479035358</v>
      </c>
      <c r="P59" s="645">
        <f t="shared" ref="P59:P67" ca="1" si="31">IF(M59&gt;0,N59*100/M59,0)</f>
        <v>65.290304558238532</v>
      </c>
      <c r="Q59" s="645">
        <f t="shared" ref="Q59:S59" si="32">Q60+Q61</f>
        <v>0</v>
      </c>
      <c r="R59" s="645">
        <f t="shared" si="32"/>
        <v>0</v>
      </c>
      <c r="S59" s="645">
        <f t="shared" si="32"/>
        <v>0</v>
      </c>
      <c r="T59" s="645">
        <f t="shared" ref="T59:T67" si="33">IF(Q59&gt;0,S59*100/Q59,0)</f>
        <v>0</v>
      </c>
      <c r="U59" s="645">
        <f t="shared" ref="U59:U67" si="34">IF(R59&gt;0,S59*100/R59,0)</f>
        <v>0</v>
      </c>
    </row>
    <row r="60" spans="1:21" ht="18.75" x14ac:dyDescent="0.25">
      <c r="A60" s="636"/>
      <c r="B60" s="637"/>
      <c r="C60" s="637"/>
      <c r="D60" s="637"/>
      <c r="E60" s="646" t="s">
        <v>20</v>
      </c>
      <c r="F60" s="637"/>
      <c r="G60" s="640"/>
      <c r="H60" s="647" t="s">
        <v>14</v>
      </c>
      <c r="I60" s="642"/>
      <c r="J60" s="642"/>
      <c r="K60" s="643"/>
      <c r="L60" s="648">
        <f t="shared" ref="L60:N61" si="35">L63+L66</f>
        <v>0</v>
      </c>
      <c r="M60" s="649">
        <f t="shared" si="35"/>
        <v>0</v>
      </c>
      <c r="N60" s="649">
        <f t="shared" si="35"/>
        <v>0</v>
      </c>
      <c r="O60" s="649">
        <f t="shared" si="30"/>
        <v>0</v>
      </c>
      <c r="P60" s="649">
        <f t="shared" si="31"/>
        <v>0</v>
      </c>
      <c r="Q60" s="649">
        <f t="shared" ref="Q60:S61" si="36">Q63+Q66</f>
        <v>0</v>
      </c>
      <c r="R60" s="649">
        <f t="shared" si="36"/>
        <v>0</v>
      </c>
      <c r="S60" s="649">
        <f t="shared" si="36"/>
        <v>0</v>
      </c>
      <c r="T60" s="649">
        <f t="shared" si="33"/>
        <v>0</v>
      </c>
      <c r="U60" s="649">
        <f t="shared" si="34"/>
        <v>0</v>
      </c>
    </row>
    <row r="61" spans="1:21" ht="18.75" x14ac:dyDescent="0.25">
      <c r="A61" s="636"/>
      <c r="B61" s="637"/>
      <c r="C61" s="637"/>
      <c r="D61" s="637"/>
      <c r="E61" s="650" t="s">
        <v>21</v>
      </c>
      <c r="F61" s="637"/>
      <c r="G61" s="640"/>
      <c r="H61" s="651" t="s">
        <v>14</v>
      </c>
      <c r="I61" s="642"/>
      <c r="J61" s="642"/>
      <c r="K61" s="643"/>
      <c r="L61" s="652">
        <f t="shared" ca="1" si="35"/>
        <v>729800</v>
      </c>
      <c r="M61" s="653">
        <f t="shared" ca="1" si="35"/>
        <v>789340</v>
      </c>
      <c r="N61" s="653">
        <f t="shared" ca="1" si="35"/>
        <v>515362.49</v>
      </c>
      <c r="O61" s="653">
        <f t="shared" ca="1" si="30"/>
        <v>70.616948479035358</v>
      </c>
      <c r="P61" s="653">
        <f t="shared" ca="1" si="31"/>
        <v>65.290304558238532</v>
      </c>
      <c r="Q61" s="653">
        <f t="shared" si="36"/>
        <v>0</v>
      </c>
      <c r="R61" s="653">
        <f t="shared" si="36"/>
        <v>0</v>
      </c>
      <c r="S61" s="653">
        <f t="shared" si="36"/>
        <v>0</v>
      </c>
      <c r="T61" s="653">
        <f t="shared" si="33"/>
        <v>0</v>
      </c>
      <c r="U61" s="653">
        <f t="shared" si="34"/>
        <v>0</v>
      </c>
    </row>
    <row r="62" spans="1:21" ht="18.75" x14ac:dyDescent="0.25">
      <c r="A62" s="560"/>
      <c r="B62" s="561"/>
      <c r="C62" s="561"/>
      <c r="D62" s="562" t="s">
        <v>22</v>
      </c>
      <c r="E62" s="561"/>
      <c r="F62" s="561"/>
      <c r="G62" s="563"/>
      <c r="H62" s="564" t="s">
        <v>14</v>
      </c>
      <c r="I62" s="565"/>
      <c r="J62" s="565"/>
      <c r="K62" s="566"/>
      <c r="L62" s="567">
        <f t="shared" ref="L62:N62" ca="1" si="37">L63+L64</f>
        <v>720300</v>
      </c>
      <c r="M62" s="568">
        <f t="shared" ca="1" si="37"/>
        <v>779840</v>
      </c>
      <c r="N62" s="568">
        <f t="shared" ca="1" si="37"/>
        <v>505862.49</v>
      </c>
      <c r="O62" s="568">
        <f t="shared" ca="1" si="30"/>
        <v>70.229416909620994</v>
      </c>
      <c r="P62" s="568">
        <f t="shared" ca="1" si="31"/>
        <v>64.867471532622076</v>
      </c>
      <c r="Q62" s="568">
        <f t="shared" ref="Q62:S62" si="38">Q63+Q64</f>
        <v>0</v>
      </c>
      <c r="R62" s="568">
        <f t="shared" si="38"/>
        <v>0</v>
      </c>
      <c r="S62" s="568">
        <f t="shared" si="38"/>
        <v>0</v>
      </c>
      <c r="T62" s="568">
        <f t="shared" si="33"/>
        <v>0</v>
      </c>
      <c r="U62" s="568">
        <f t="shared" si="34"/>
        <v>0</v>
      </c>
    </row>
    <row r="63" spans="1:21" ht="18.75" x14ac:dyDescent="0.25">
      <c r="A63" s="560"/>
      <c r="B63" s="561"/>
      <c r="C63" s="561"/>
      <c r="D63" s="561"/>
      <c r="E63" s="569" t="s">
        <v>20</v>
      </c>
      <c r="F63" s="561"/>
      <c r="G63" s="563"/>
      <c r="H63" s="570" t="s">
        <v>14</v>
      </c>
      <c r="I63" s="565"/>
      <c r="J63" s="565"/>
      <c r="K63" s="566"/>
      <c r="L63" s="571">
        <v>0</v>
      </c>
      <c r="M63" s="572">
        <v>0</v>
      </c>
      <c r="N63" s="572">
        <v>0</v>
      </c>
      <c r="O63" s="572">
        <f t="shared" si="30"/>
        <v>0</v>
      </c>
      <c r="P63" s="572">
        <f t="shared" si="31"/>
        <v>0</v>
      </c>
      <c r="Q63" s="572">
        <v>0</v>
      </c>
      <c r="R63" s="572">
        <v>0</v>
      </c>
      <c r="S63" s="572">
        <v>0</v>
      </c>
      <c r="T63" s="572">
        <f t="shared" si="33"/>
        <v>0</v>
      </c>
      <c r="U63" s="572">
        <f t="shared" si="34"/>
        <v>0</v>
      </c>
    </row>
    <row r="64" spans="1:21" ht="18.75" x14ac:dyDescent="0.25">
      <c r="A64" s="560"/>
      <c r="B64" s="561"/>
      <c r="C64" s="561"/>
      <c r="D64" s="561"/>
      <c r="E64" s="573" t="s">
        <v>21</v>
      </c>
      <c r="F64" s="561"/>
      <c r="G64" s="563"/>
      <c r="H64" s="564" t="s">
        <v>14</v>
      </c>
      <c r="I64" s="565"/>
      <c r="J64" s="565"/>
      <c r="K64" s="566"/>
      <c r="L64" s="567">
        <f ca="1">IFERROR(__xludf.DUMMYFUNCTION("IMPORTRANGE(""https://docs.google.com/spreadsheets/d/1-uDff_7J0KD5mKrp0Vvzr7lt3OU09vwQwhkpOPPYv2Y/edit?usp=sharing"",""งบพรบ!AC16"")"),720300)</f>
        <v>720300</v>
      </c>
      <c r="M64" s="568">
        <f ca="1">IFERROR(__xludf.DUMMYFUNCTION("IMPORTRANGE(""https://docs.google.com/spreadsheets/d/1-uDff_7J0KD5mKrp0Vvzr7lt3OU09vwQwhkpOPPYv2Y/edit?usp=sharing"",""งบพรบ!AH16"")"),779840)</f>
        <v>779840</v>
      </c>
      <c r="N64" s="568">
        <f ca="1">IFERROR(__xludf.DUMMYFUNCTION("IMPORTRANGE(""https://docs.google.com/spreadsheets/d/1-uDff_7J0KD5mKrp0Vvzr7lt3OU09vwQwhkpOPPYv2Y/edit?usp=sharing"",""งบพรบ!AJ16"")"),505862.49)</f>
        <v>505862.49</v>
      </c>
      <c r="O64" s="568">
        <f t="shared" ca="1" si="30"/>
        <v>70.229416909620994</v>
      </c>
      <c r="P64" s="568">
        <f t="shared" ca="1" si="31"/>
        <v>64.867471532622076</v>
      </c>
      <c r="Q64" s="568">
        <v>0</v>
      </c>
      <c r="R64" s="568">
        <v>0</v>
      </c>
      <c r="S64" s="568">
        <v>0</v>
      </c>
      <c r="T64" s="568">
        <f t="shared" si="33"/>
        <v>0</v>
      </c>
      <c r="U64" s="568">
        <f t="shared" si="34"/>
        <v>0</v>
      </c>
    </row>
    <row r="65" spans="1:21" ht="18.75" x14ac:dyDescent="0.25">
      <c r="A65" s="560"/>
      <c r="B65" s="561"/>
      <c r="C65" s="561"/>
      <c r="D65" s="562" t="s">
        <v>23</v>
      </c>
      <c r="E65" s="561"/>
      <c r="F65" s="561"/>
      <c r="G65" s="563"/>
      <c r="H65" s="564" t="s">
        <v>14</v>
      </c>
      <c r="I65" s="565"/>
      <c r="J65" s="565"/>
      <c r="K65" s="566"/>
      <c r="L65" s="567">
        <f t="shared" ref="L65:N65" ca="1" si="39">L66+L67</f>
        <v>9500</v>
      </c>
      <c r="M65" s="568">
        <f t="shared" ca="1" si="39"/>
        <v>9500</v>
      </c>
      <c r="N65" s="568">
        <f t="shared" ca="1" si="39"/>
        <v>9500</v>
      </c>
      <c r="O65" s="568">
        <f t="shared" ca="1" si="30"/>
        <v>100</v>
      </c>
      <c r="P65" s="568">
        <f t="shared" ca="1" si="31"/>
        <v>100</v>
      </c>
      <c r="Q65" s="568">
        <f t="shared" ref="Q65:S65" si="40">Q66+Q67</f>
        <v>0</v>
      </c>
      <c r="R65" s="568">
        <f t="shared" si="40"/>
        <v>0</v>
      </c>
      <c r="S65" s="568">
        <f t="shared" si="40"/>
        <v>0</v>
      </c>
      <c r="T65" s="568">
        <f t="shared" si="33"/>
        <v>0</v>
      </c>
      <c r="U65" s="568">
        <f t="shared" si="34"/>
        <v>0</v>
      </c>
    </row>
    <row r="66" spans="1:21" ht="18.75" x14ac:dyDescent="0.25">
      <c r="A66" s="560"/>
      <c r="B66" s="561"/>
      <c r="C66" s="561"/>
      <c r="D66" s="561"/>
      <c r="E66" s="569" t="s">
        <v>20</v>
      </c>
      <c r="F66" s="561"/>
      <c r="G66" s="563"/>
      <c r="H66" s="570" t="s">
        <v>14</v>
      </c>
      <c r="I66" s="565"/>
      <c r="J66" s="565"/>
      <c r="K66" s="566"/>
      <c r="L66" s="571">
        <v>0</v>
      </c>
      <c r="M66" s="572">
        <v>0</v>
      </c>
      <c r="N66" s="572">
        <v>0</v>
      </c>
      <c r="O66" s="572">
        <f t="shared" si="30"/>
        <v>0</v>
      </c>
      <c r="P66" s="572">
        <f t="shared" si="31"/>
        <v>0</v>
      </c>
      <c r="Q66" s="572">
        <v>0</v>
      </c>
      <c r="R66" s="572">
        <v>0</v>
      </c>
      <c r="S66" s="572">
        <v>0</v>
      </c>
      <c r="T66" s="572">
        <f t="shared" si="33"/>
        <v>0</v>
      </c>
      <c r="U66" s="572">
        <f t="shared" si="34"/>
        <v>0</v>
      </c>
    </row>
    <row r="67" spans="1:21" ht="18.75" x14ac:dyDescent="0.25">
      <c r="A67" s="575"/>
      <c r="B67" s="513"/>
      <c r="C67" s="513"/>
      <c r="D67" s="513"/>
      <c r="E67" s="576" t="s">
        <v>21</v>
      </c>
      <c r="F67" s="513"/>
      <c r="G67" s="577"/>
      <c r="H67" s="578" t="s">
        <v>14</v>
      </c>
      <c r="I67" s="579"/>
      <c r="J67" s="579"/>
      <c r="K67" s="580"/>
      <c r="L67" s="654">
        <f ca="1">IFERROR(__xludf.DUMMYFUNCTION("IMPORTRANGE(""https://docs.google.com/spreadsheets/d/1-uDff_7J0KD5mKrp0Vvzr7lt3OU09vwQwhkpOPPYv2Y/edit?usp=sharing"",""งบพรบ!AF16"")"),9500)</f>
        <v>9500</v>
      </c>
      <c r="M67" s="655">
        <f ca="1">IFERROR(__xludf.DUMMYFUNCTION("IMPORTRANGE(""https://docs.google.com/spreadsheets/d/1-uDff_7J0KD5mKrp0Vvzr7lt3OU09vwQwhkpOPPYv2Y/edit?usp=sharing"",""งบพรบ!AI16"")"),9500)</f>
        <v>9500</v>
      </c>
      <c r="N67" s="655">
        <f ca="1">IFERROR(__xludf.DUMMYFUNCTION("IMPORTRANGE(""https://docs.google.com/spreadsheets/d/1-uDff_7J0KD5mKrp0Vvzr7lt3OU09vwQwhkpOPPYv2Y/edit?usp=sharing"",""งบพรบ!AK16"")"),9500)</f>
        <v>9500</v>
      </c>
      <c r="O67" s="655">
        <f t="shared" ca="1" si="30"/>
        <v>100</v>
      </c>
      <c r="P67" s="655">
        <f t="shared" ca="1" si="31"/>
        <v>100</v>
      </c>
      <c r="Q67" s="655">
        <v>0</v>
      </c>
      <c r="R67" s="655">
        <v>0</v>
      </c>
      <c r="S67" s="655">
        <v>0</v>
      </c>
      <c r="T67" s="655">
        <f t="shared" si="33"/>
        <v>0</v>
      </c>
      <c r="U67" s="655">
        <f t="shared" si="34"/>
        <v>0</v>
      </c>
    </row>
    <row r="68" spans="1:21" ht="19.5" x14ac:dyDescent="0.3">
      <c r="A68" s="656" t="s">
        <v>31</v>
      </c>
      <c r="B68" s="657"/>
      <c r="C68" s="657"/>
      <c r="D68" s="657"/>
      <c r="E68" s="658"/>
      <c r="F68" s="658"/>
      <c r="G68" s="658"/>
      <c r="H68" s="658"/>
      <c r="I68" s="659"/>
      <c r="J68" s="659"/>
      <c r="K68" s="660"/>
      <c r="L68" s="660"/>
      <c r="M68" s="660"/>
      <c r="N68" s="660"/>
      <c r="O68" s="660"/>
      <c r="P68" s="661"/>
      <c r="Q68" s="660"/>
      <c r="R68" s="660"/>
      <c r="S68" s="660"/>
      <c r="T68" s="660"/>
      <c r="U68" s="661"/>
    </row>
    <row r="69" spans="1:21" ht="19.5" x14ac:dyDescent="0.3">
      <c r="A69" s="662" t="s">
        <v>32</v>
      </c>
      <c r="B69" s="663"/>
      <c r="C69" s="664"/>
      <c r="D69" s="663"/>
      <c r="E69" s="663"/>
      <c r="F69" s="663"/>
      <c r="G69" s="665"/>
      <c r="H69" s="665"/>
      <c r="I69" s="666"/>
      <c r="J69" s="666"/>
      <c r="K69" s="667"/>
      <c r="L69" s="668"/>
      <c r="M69" s="667"/>
      <c r="N69" s="667"/>
      <c r="O69" s="667"/>
      <c r="P69" s="667"/>
      <c r="Q69" s="667"/>
      <c r="R69" s="667"/>
      <c r="S69" s="667"/>
      <c r="T69" s="667"/>
      <c r="U69" s="667"/>
    </row>
    <row r="70" spans="1:21" ht="19.5" x14ac:dyDescent="0.3">
      <c r="A70" s="669"/>
      <c r="B70" s="544" t="s">
        <v>33</v>
      </c>
      <c r="C70" s="543"/>
      <c r="D70" s="670"/>
      <c r="E70" s="543"/>
      <c r="F70" s="543"/>
      <c r="G70" s="546"/>
      <c r="H70" s="671" t="s">
        <v>34</v>
      </c>
      <c r="I70" s="672">
        <f t="shared" ref="I70:J71" ca="1" si="41">I82</f>
        <v>0</v>
      </c>
      <c r="J70" s="672">
        <f t="shared" si="41"/>
        <v>0</v>
      </c>
      <c r="K70" s="551">
        <f t="shared" ref="K70:K71" ca="1" si="42">IF(I70&gt;0,J70*100/I70,0)</f>
        <v>0</v>
      </c>
      <c r="L70" s="673"/>
      <c r="M70" s="549"/>
      <c r="N70" s="549"/>
      <c r="O70" s="549"/>
      <c r="P70" s="549"/>
      <c r="Q70" s="549"/>
      <c r="R70" s="549"/>
      <c r="S70" s="549"/>
      <c r="T70" s="549"/>
      <c r="U70" s="549"/>
    </row>
    <row r="71" spans="1:21" ht="19.5" x14ac:dyDescent="0.3">
      <c r="A71" s="669"/>
      <c r="B71" s="543"/>
      <c r="C71" s="543"/>
      <c r="D71" s="670"/>
      <c r="E71" s="543"/>
      <c r="F71" s="543"/>
      <c r="G71" s="546"/>
      <c r="H71" s="671" t="s">
        <v>35</v>
      </c>
      <c r="I71" s="672">
        <f t="shared" ca="1" si="41"/>
        <v>0</v>
      </c>
      <c r="J71" s="672">
        <f t="shared" si="41"/>
        <v>0</v>
      </c>
      <c r="K71" s="551">
        <f t="shared" ca="1" si="42"/>
        <v>0</v>
      </c>
      <c r="L71" s="673"/>
      <c r="M71" s="549"/>
      <c r="N71" s="549"/>
      <c r="O71" s="549"/>
      <c r="P71" s="549"/>
      <c r="Q71" s="549"/>
      <c r="R71" s="549"/>
      <c r="S71" s="549"/>
      <c r="T71" s="549"/>
      <c r="U71" s="549"/>
    </row>
    <row r="72" spans="1:21" ht="19.5" x14ac:dyDescent="0.3">
      <c r="A72" s="674"/>
      <c r="B72" s="561"/>
      <c r="C72" s="675" t="s">
        <v>18</v>
      </c>
      <c r="D72" s="676" t="s">
        <v>19</v>
      </c>
      <c r="E72" s="561"/>
      <c r="F72" s="561"/>
      <c r="G72" s="563"/>
      <c r="H72" s="677" t="s">
        <v>14</v>
      </c>
      <c r="I72" s="565"/>
      <c r="J72" s="565"/>
      <c r="K72" s="566"/>
      <c r="L72" s="678">
        <f t="shared" ref="L72:N72" ca="1" si="43">L73+L74</f>
        <v>0</v>
      </c>
      <c r="M72" s="679">
        <f t="shared" ca="1" si="43"/>
        <v>80000</v>
      </c>
      <c r="N72" s="679">
        <f t="shared" ca="1" si="43"/>
        <v>80000</v>
      </c>
      <c r="O72" s="679">
        <f t="shared" ref="O72:O80" ca="1" si="44">IF(L72&gt;0,N72*100/L72,0)</f>
        <v>0</v>
      </c>
      <c r="P72" s="679">
        <f t="shared" ref="P72:P80" ca="1" si="45">IF(M72&gt;0,N72*100/M72,0)</f>
        <v>100</v>
      </c>
      <c r="Q72" s="679">
        <f t="shared" ref="Q72:S72" ca="1" si="46">Q73+Q74</f>
        <v>0</v>
      </c>
      <c r="R72" s="679">
        <f t="shared" ca="1" si="46"/>
        <v>0</v>
      </c>
      <c r="S72" s="679">
        <f t="shared" ca="1" si="46"/>
        <v>0</v>
      </c>
      <c r="T72" s="679">
        <f t="shared" ref="T72:T80" ca="1" si="47">IF(Q72&gt;0,S72*100/Q72,0)</f>
        <v>0</v>
      </c>
      <c r="U72" s="679">
        <f t="shared" ref="U72:U80" ca="1" si="48">IF(R72&gt;0,S72*100/R72,0)</f>
        <v>0</v>
      </c>
    </row>
    <row r="73" spans="1:21" ht="18.75" x14ac:dyDescent="0.25">
      <c r="A73" s="674"/>
      <c r="B73" s="561"/>
      <c r="C73" s="561"/>
      <c r="D73" s="561"/>
      <c r="E73" s="569" t="s">
        <v>20</v>
      </c>
      <c r="F73" s="561"/>
      <c r="G73" s="563"/>
      <c r="H73" s="680" t="s">
        <v>14</v>
      </c>
      <c r="I73" s="565"/>
      <c r="J73" s="565"/>
      <c r="K73" s="566"/>
      <c r="L73" s="571">
        <f t="shared" ref="L73:N74" si="49">L76+L79</f>
        <v>0</v>
      </c>
      <c r="M73" s="572">
        <f t="shared" si="49"/>
        <v>0</v>
      </c>
      <c r="N73" s="572">
        <f t="shared" si="49"/>
        <v>0</v>
      </c>
      <c r="O73" s="572">
        <f t="shared" si="44"/>
        <v>0</v>
      </c>
      <c r="P73" s="572">
        <f t="shared" si="45"/>
        <v>0</v>
      </c>
      <c r="Q73" s="572">
        <f t="shared" ref="Q73:S74" si="50">Q76+Q79</f>
        <v>0</v>
      </c>
      <c r="R73" s="572">
        <f t="shared" si="50"/>
        <v>0</v>
      </c>
      <c r="S73" s="572">
        <f t="shared" si="50"/>
        <v>0</v>
      </c>
      <c r="T73" s="572">
        <f t="shared" si="47"/>
        <v>0</v>
      </c>
      <c r="U73" s="572">
        <f t="shared" si="48"/>
        <v>0</v>
      </c>
    </row>
    <row r="74" spans="1:21" ht="18.75" x14ac:dyDescent="0.25">
      <c r="A74" s="674"/>
      <c r="B74" s="561"/>
      <c r="C74" s="561"/>
      <c r="D74" s="561"/>
      <c r="E74" s="573" t="s">
        <v>21</v>
      </c>
      <c r="F74" s="561"/>
      <c r="G74" s="563"/>
      <c r="H74" s="681" t="s">
        <v>14</v>
      </c>
      <c r="I74" s="565"/>
      <c r="J74" s="565"/>
      <c r="K74" s="566"/>
      <c r="L74" s="567">
        <f t="shared" ca="1" si="49"/>
        <v>0</v>
      </c>
      <c r="M74" s="568">
        <f t="shared" ca="1" si="49"/>
        <v>80000</v>
      </c>
      <c r="N74" s="568">
        <f t="shared" ca="1" si="49"/>
        <v>80000</v>
      </c>
      <c r="O74" s="568">
        <f t="shared" ca="1" si="44"/>
        <v>0</v>
      </c>
      <c r="P74" s="568">
        <f t="shared" ca="1" si="45"/>
        <v>100</v>
      </c>
      <c r="Q74" s="568">
        <f t="shared" ca="1" si="50"/>
        <v>0</v>
      </c>
      <c r="R74" s="568">
        <f t="shared" ca="1" si="50"/>
        <v>0</v>
      </c>
      <c r="S74" s="568">
        <f t="shared" ca="1" si="50"/>
        <v>0</v>
      </c>
      <c r="T74" s="568">
        <f t="shared" ca="1" si="47"/>
        <v>0</v>
      </c>
      <c r="U74" s="568">
        <f t="shared" ca="1" si="48"/>
        <v>0</v>
      </c>
    </row>
    <row r="75" spans="1:21" ht="18.75" x14ac:dyDescent="0.25">
      <c r="A75" s="674"/>
      <c r="B75" s="561"/>
      <c r="C75" s="561"/>
      <c r="D75" s="562" t="s">
        <v>22</v>
      </c>
      <c r="E75" s="561"/>
      <c r="F75" s="561"/>
      <c r="G75" s="563"/>
      <c r="H75" s="682" t="s">
        <v>14</v>
      </c>
      <c r="I75" s="683"/>
      <c r="J75" s="683"/>
      <c r="K75" s="684"/>
      <c r="L75" s="567">
        <f t="shared" ref="L75:N75" ca="1" si="51">L76+L77</f>
        <v>0</v>
      </c>
      <c r="M75" s="568">
        <f t="shared" ca="1" si="51"/>
        <v>80000</v>
      </c>
      <c r="N75" s="568">
        <f t="shared" ca="1" si="51"/>
        <v>80000</v>
      </c>
      <c r="O75" s="568">
        <f t="shared" ca="1" si="44"/>
        <v>0</v>
      </c>
      <c r="P75" s="568">
        <f t="shared" ca="1" si="45"/>
        <v>100</v>
      </c>
      <c r="Q75" s="568">
        <f t="shared" ref="Q75:S75" ca="1" si="52">Q76+Q77</f>
        <v>0</v>
      </c>
      <c r="R75" s="568">
        <f t="shared" ca="1" si="52"/>
        <v>0</v>
      </c>
      <c r="S75" s="568">
        <f t="shared" ca="1" si="52"/>
        <v>0</v>
      </c>
      <c r="T75" s="568">
        <f t="shared" ca="1" si="47"/>
        <v>0</v>
      </c>
      <c r="U75" s="568">
        <f t="shared" ca="1" si="48"/>
        <v>0</v>
      </c>
    </row>
    <row r="76" spans="1:21" ht="18.75" x14ac:dyDescent="0.25">
      <c r="A76" s="674"/>
      <c r="B76" s="561"/>
      <c r="C76" s="561"/>
      <c r="D76" s="561"/>
      <c r="E76" s="569" t="s">
        <v>36</v>
      </c>
      <c r="F76" s="561"/>
      <c r="G76" s="563"/>
      <c r="H76" s="685" t="s">
        <v>14</v>
      </c>
      <c r="I76" s="683"/>
      <c r="J76" s="683"/>
      <c r="K76" s="684"/>
      <c r="L76" s="571">
        <v>0</v>
      </c>
      <c r="M76" s="572">
        <v>0</v>
      </c>
      <c r="N76" s="572">
        <v>0</v>
      </c>
      <c r="O76" s="572">
        <f t="shared" si="44"/>
        <v>0</v>
      </c>
      <c r="P76" s="572">
        <f t="shared" si="45"/>
        <v>0</v>
      </c>
      <c r="Q76" s="572">
        <v>0</v>
      </c>
      <c r="R76" s="572">
        <v>0</v>
      </c>
      <c r="S76" s="572">
        <v>0</v>
      </c>
      <c r="T76" s="572">
        <f t="shared" si="47"/>
        <v>0</v>
      </c>
      <c r="U76" s="572">
        <f t="shared" si="48"/>
        <v>0</v>
      </c>
    </row>
    <row r="77" spans="1:21" ht="18.75" x14ac:dyDescent="0.25">
      <c r="A77" s="674"/>
      <c r="B77" s="561"/>
      <c r="C77" s="561"/>
      <c r="D77" s="561"/>
      <c r="E77" s="573" t="s">
        <v>37</v>
      </c>
      <c r="F77" s="561"/>
      <c r="G77" s="563"/>
      <c r="H77" s="682" t="s">
        <v>14</v>
      </c>
      <c r="I77" s="683"/>
      <c r="J77" s="683"/>
      <c r="K77" s="684"/>
      <c r="L77" s="567">
        <f ca="1">IFERROR(__xludf.DUMMYFUNCTION("IMPORTRANGE(""https://docs.google.com/spreadsheets/d/1-uDff_7J0KD5mKrp0Vvzr7lt3OU09vwQwhkpOPPYv2Y/edit?usp=sharing"",""งบพรบ!AM16"")"),0)</f>
        <v>0</v>
      </c>
      <c r="M77" s="568">
        <f ca="1">IFERROR(__xludf.DUMMYFUNCTION("IMPORTRANGE(""https://docs.google.com/spreadsheets/d/1-uDff_7J0KD5mKrp0Vvzr7lt3OU09vwQwhkpOPPYv2Y/edit?usp=sharing"",""งบพรบ!AR16"")"),80000)</f>
        <v>80000</v>
      </c>
      <c r="N77" s="568">
        <f ca="1">IFERROR(__xludf.DUMMYFUNCTION("IMPORTRANGE(""https://docs.google.com/spreadsheets/d/1-uDff_7J0KD5mKrp0Vvzr7lt3OU09vwQwhkpOPPYv2Y/edit?usp=sharing"",""งบพรบ!AT16"")"),80000)</f>
        <v>80000</v>
      </c>
      <c r="O77" s="568">
        <f t="shared" ca="1" si="44"/>
        <v>0</v>
      </c>
      <c r="P77" s="568">
        <f t="shared" ca="1" si="45"/>
        <v>100</v>
      </c>
      <c r="Q77" s="568">
        <f ca="1">IFERROR(__xludf.DUMMYFUNCTION("IMPORTRANGE(""https://docs.google.com/spreadsheets/d/1ItG2mGa2ceCfYo0BwxsXqNm01IGEUdYcSSLTEv9YCik/edit?usp=sharing"",""เบิกจ่ายกองทุน!BH16"")"),0)</f>
        <v>0</v>
      </c>
      <c r="R77" s="568">
        <f ca="1">IFERROR(__xludf.DUMMYFUNCTION("IMPORTRANGE(""https://docs.google.com/spreadsheets/d/1ItG2mGa2ceCfYo0BwxsXqNm01IGEUdYcSSLTEv9YCik/edit?usp=sharing"",""เบิกจ่ายกองทุน!BI16"")"),0)</f>
        <v>0</v>
      </c>
      <c r="S77" s="568">
        <f ca="1">IFERROR(__xludf.DUMMYFUNCTION("IMPORTRANGE(""https://docs.google.com/spreadsheets/d/1ItG2mGa2ceCfYo0BwxsXqNm01IGEUdYcSSLTEv9YCik/edit?usp=sharing"",""เบิกจ่ายกองทุน!BJ16"")"),0)</f>
        <v>0</v>
      </c>
      <c r="T77" s="568">
        <f t="shared" ca="1" si="47"/>
        <v>0</v>
      </c>
      <c r="U77" s="568">
        <f t="shared" ca="1" si="48"/>
        <v>0</v>
      </c>
    </row>
    <row r="78" spans="1:21" ht="18.75" x14ac:dyDescent="0.25">
      <c r="A78" s="674"/>
      <c r="B78" s="561"/>
      <c r="C78" s="561"/>
      <c r="D78" s="562" t="s">
        <v>23</v>
      </c>
      <c r="E78" s="561"/>
      <c r="F78" s="561"/>
      <c r="G78" s="563"/>
      <c r="H78" s="686" t="s">
        <v>14</v>
      </c>
      <c r="I78" s="683"/>
      <c r="J78" s="683"/>
      <c r="K78" s="684"/>
      <c r="L78" s="567">
        <f t="shared" ref="L78:N78" ca="1" si="53">L79+L80</f>
        <v>0</v>
      </c>
      <c r="M78" s="568">
        <f t="shared" ca="1" si="53"/>
        <v>0</v>
      </c>
      <c r="N78" s="568">
        <f t="shared" ca="1" si="53"/>
        <v>0</v>
      </c>
      <c r="O78" s="568">
        <f t="shared" ca="1" si="44"/>
        <v>0</v>
      </c>
      <c r="P78" s="568">
        <f t="shared" ca="1" si="45"/>
        <v>0</v>
      </c>
      <c r="Q78" s="568">
        <f t="shared" ref="Q78:S78" ca="1" si="54">Q79+Q80</f>
        <v>0</v>
      </c>
      <c r="R78" s="568">
        <f t="shared" ca="1" si="54"/>
        <v>0</v>
      </c>
      <c r="S78" s="568">
        <f t="shared" ca="1" si="54"/>
        <v>0</v>
      </c>
      <c r="T78" s="568">
        <f t="shared" ca="1" si="47"/>
        <v>0</v>
      </c>
      <c r="U78" s="568">
        <f t="shared" ca="1" si="48"/>
        <v>0</v>
      </c>
    </row>
    <row r="79" spans="1:21" ht="18.75" x14ac:dyDescent="0.25">
      <c r="A79" s="674"/>
      <c r="B79" s="561"/>
      <c r="C79" s="561"/>
      <c r="D79" s="561"/>
      <c r="E79" s="569" t="s">
        <v>20</v>
      </c>
      <c r="F79" s="561"/>
      <c r="G79" s="563"/>
      <c r="H79" s="685" t="s">
        <v>14</v>
      </c>
      <c r="I79" s="683"/>
      <c r="J79" s="683"/>
      <c r="K79" s="684"/>
      <c r="L79" s="571">
        <v>0</v>
      </c>
      <c r="M79" s="568">
        <v>0</v>
      </c>
      <c r="N79" s="568">
        <v>0</v>
      </c>
      <c r="O79" s="572">
        <f t="shared" si="44"/>
        <v>0</v>
      </c>
      <c r="P79" s="572">
        <f t="shared" si="45"/>
        <v>0</v>
      </c>
      <c r="Q79" s="572">
        <v>0</v>
      </c>
      <c r="R79" s="568">
        <v>0</v>
      </c>
      <c r="S79" s="568">
        <v>0</v>
      </c>
      <c r="T79" s="572">
        <f t="shared" si="47"/>
        <v>0</v>
      </c>
      <c r="U79" s="572">
        <f t="shared" si="48"/>
        <v>0</v>
      </c>
    </row>
    <row r="80" spans="1:21" ht="18.75" x14ac:dyDescent="0.25">
      <c r="A80" s="674"/>
      <c r="B80" s="561"/>
      <c r="C80" s="561"/>
      <c r="D80" s="561"/>
      <c r="E80" s="573" t="s">
        <v>21</v>
      </c>
      <c r="F80" s="561"/>
      <c r="G80" s="563"/>
      <c r="H80" s="686" t="s">
        <v>14</v>
      </c>
      <c r="I80" s="683"/>
      <c r="J80" s="683"/>
      <c r="K80" s="684"/>
      <c r="L80" s="567">
        <f ca="1">IFERROR(__xludf.DUMMYFUNCTION("IMPORTRANGE(""https://docs.google.com/spreadsheets/d/1-uDff_7J0KD5mKrp0Vvzr7lt3OU09vwQwhkpOPPYv2Y/edit?usp=sharing"",""งบพรบ!AP16"")"),0)</f>
        <v>0</v>
      </c>
      <c r="M80" s="568">
        <f ca="1">IFERROR(__xludf.DUMMYFUNCTION("IMPORTRANGE(""https://docs.google.com/spreadsheets/d/1-uDff_7J0KD5mKrp0Vvzr7lt3OU09vwQwhkpOPPYv2Y/edit?usp=sharing"",""งบพรบ!AS16"")"),0)</f>
        <v>0</v>
      </c>
      <c r="N80" s="568">
        <f ca="1">IFERROR(__xludf.DUMMYFUNCTION("IMPORTRANGE(""https://docs.google.com/spreadsheets/d/1-uDff_7J0KD5mKrp0Vvzr7lt3OU09vwQwhkpOPPYv2Y/edit?usp=sharing"",""งบพรบ!AU16"")"),0)</f>
        <v>0</v>
      </c>
      <c r="O80" s="568">
        <f t="shared" ca="1" si="44"/>
        <v>0</v>
      </c>
      <c r="P80" s="568">
        <f t="shared" ca="1" si="45"/>
        <v>0</v>
      </c>
      <c r="Q80" s="568">
        <f ca="1">IFERROR(__xludf.DUMMYFUNCTION("IMPORTRANGE(""https://docs.google.com/spreadsheets/d/1ItG2mGa2ceCfYo0BwxsXqNm01IGEUdYcSSLTEv9YCik/edit?usp=sharing"",""เบิกจ่ายกองทุน!BK16"")"),0)</f>
        <v>0</v>
      </c>
      <c r="R80" s="568">
        <f ca="1">IFERROR(__xludf.DUMMYFUNCTION("IMPORTRANGE(""https://docs.google.com/spreadsheets/d/1ItG2mGa2ceCfYo0BwxsXqNm01IGEUdYcSSLTEv9YCik/edit?usp=sharing"",""เบิกจ่ายกองทุน!BL16"")"),0)</f>
        <v>0</v>
      </c>
      <c r="S80" s="568">
        <f ca="1">IFERROR(__xludf.DUMMYFUNCTION("IMPORTRANGE(""https://docs.google.com/spreadsheets/d/1ItG2mGa2ceCfYo0BwxsXqNm01IGEUdYcSSLTEv9YCik/edit?usp=sharing"",""เบิกจ่ายกองทุน!BM16"")"),0)</f>
        <v>0</v>
      </c>
      <c r="T80" s="568">
        <f t="shared" ca="1" si="47"/>
        <v>0</v>
      </c>
      <c r="U80" s="568">
        <f t="shared" ca="1" si="48"/>
        <v>0</v>
      </c>
    </row>
    <row r="81" spans="1:21" ht="19.5" x14ac:dyDescent="0.3">
      <c r="A81" s="687"/>
      <c r="B81" s="688"/>
      <c r="C81" s="675" t="s">
        <v>18</v>
      </c>
      <c r="D81" s="689" t="s">
        <v>38</v>
      </c>
      <c r="E81" s="690"/>
      <c r="F81" s="690"/>
      <c r="G81" s="691"/>
      <c r="H81" s="692"/>
      <c r="I81" s="683"/>
      <c r="J81" s="683"/>
      <c r="K81" s="684"/>
      <c r="L81" s="693"/>
      <c r="M81" s="684"/>
      <c r="N81" s="684"/>
      <c r="O81" s="684"/>
      <c r="P81" s="684"/>
      <c r="Q81" s="684"/>
      <c r="R81" s="684"/>
      <c r="S81" s="684"/>
      <c r="T81" s="684"/>
      <c r="U81" s="684"/>
    </row>
    <row r="82" spans="1:21" ht="19.5" x14ac:dyDescent="0.3">
      <c r="A82" s="687"/>
      <c r="B82" s="688"/>
      <c r="C82" s="688"/>
      <c r="D82" s="694" t="s">
        <v>39</v>
      </c>
      <c r="E82" s="695"/>
      <c r="F82" s="695"/>
      <c r="G82" s="692"/>
      <c r="H82" s="696" t="s">
        <v>34</v>
      </c>
      <c r="I82" s="697">
        <f t="shared" ref="I82:J83" ca="1" si="55">I84+I86+I88</f>
        <v>0</v>
      </c>
      <c r="J82" s="697">
        <f t="shared" si="55"/>
        <v>0</v>
      </c>
      <c r="K82" s="698">
        <f t="shared" ref="K82:K90" ca="1" si="56">IF(I82&gt;0,J82*100/I82,0)</f>
        <v>0</v>
      </c>
      <c r="L82" s="693"/>
      <c r="M82" s="684"/>
      <c r="N82" s="684"/>
      <c r="O82" s="684"/>
      <c r="P82" s="684"/>
      <c r="Q82" s="684"/>
      <c r="R82" s="684"/>
      <c r="S82" s="684"/>
      <c r="T82" s="684"/>
      <c r="U82" s="684"/>
    </row>
    <row r="83" spans="1:21" ht="19.5" x14ac:dyDescent="0.3">
      <c r="A83" s="687"/>
      <c r="B83" s="688"/>
      <c r="C83" s="688"/>
      <c r="D83" s="688"/>
      <c r="E83" s="695"/>
      <c r="F83" s="695"/>
      <c r="G83" s="692"/>
      <c r="H83" s="696" t="s">
        <v>35</v>
      </c>
      <c r="I83" s="697">
        <f t="shared" ca="1" si="55"/>
        <v>0</v>
      </c>
      <c r="J83" s="697">
        <f t="shared" si="55"/>
        <v>0</v>
      </c>
      <c r="K83" s="698">
        <f t="shared" ca="1" si="56"/>
        <v>0</v>
      </c>
      <c r="L83" s="693"/>
      <c r="M83" s="684"/>
      <c r="N83" s="684"/>
      <c r="O83" s="684"/>
      <c r="P83" s="684"/>
      <c r="Q83" s="684"/>
      <c r="R83" s="684"/>
      <c r="S83" s="684"/>
      <c r="T83" s="684"/>
      <c r="U83" s="684"/>
    </row>
    <row r="84" spans="1:21" ht="18.75" x14ac:dyDescent="0.25">
      <c r="A84" s="687"/>
      <c r="B84" s="688"/>
      <c r="C84" s="688"/>
      <c r="D84" s="688"/>
      <c r="E84" s="699" t="s">
        <v>40</v>
      </c>
      <c r="F84" s="695"/>
      <c r="G84" s="692"/>
      <c r="H84" s="700" t="s">
        <v>34</v>
      </c>
      <c r="I84" s="701">
        <f ca="1">IFERROR(__xludf.DUMMYFUNCTION("IMPORTRANGE(""https://docs.google.com/spreadsheets/d/1eHaY18a8A9IcSdp1K8H6x8fbOy06t2VsZHhMHf-1x7Y/edit?usp=sharing"",""แผน!H16"")"),0)</f>
        <v>0</v>
      </c>
      <c r="J84" s="702">
        <v>0</v>
      </c>
      <c r="K84" s="703">
        <f t="shared" ca="1" si="56"/>
        <v>0</v>
      </c>
      <c r="L84" s="693"/>
      <c r="M84" s="684"/>
      <c r="N84" s="684"/>
      <c r="O84" s="684"/>
      <c r="P84" s="684"/>
      <c r="Q84" s="684"/>
      <c r="R84" s="684"/>
      <c r="S84" s="684"/>
      <c r="T84" s="684"/>
      <c r="U84" s="684"/>
    </row>
    <row r="85" spans="1:21" ht="18.75" x14ac:dyDescent="0.25">
      <c r="A85" s="687"/>
      <c r="B85" s="688"/>
      <c r="C85" s="688"/>
      <c r="D85" s="688"/>
      <c r="E85" s="695"/>
      <c r="F85" s="695"/>
      <c r="G85" s="692"/>
      <c r="H85" s="700" t="s">
        <v>35</v>
      </c>
      <c r="I85" s="701">
        <f ca="1">IFERROR(__xludf.DUMMYFUNCTION("IMPORTRANGE(""https://docs.google.com/spreadsheets/d/1eHaY18a8A9IcSdp1K8H6x8fbOy06t2VsZHhMHf-1x7Y/edit?usp=sharing"",""แผน!I16"")"),0)</f>
        <v>0</v>
      </c>
      <c r="J85" s="702">
        <v>0</v>
      </c>
      <c r="K85" s="703">
        <f t="shared" ca="1" si="56"/>
        <v>0</v>
      </c>
      <c r="L85" s="693"/>
      <c r="M85" s="684"/>
      <c r="N85" s="684"/>
      <c r="O85" s="684"/>
      <c r="P85" s="684"/>
      <c r="Q85" s="684"/>
      <c r="R85" s="684"/>
      <c r="S85" s="684"/>
      <c r="T85" s="684"/>
      <c r="U85" s="684"/>
    </row>
    <row r="86" spans="1:21" ht="18.75" x14ac:dyDescent="0.25">
      <c r="A86" s="687"/>
      <c r="B86" s="688"/>
      <c r="C86" s="688"/>
      <c r="D86" s="688"/>
      <c r="E86" s="699" t="s">
        <v>41</v>
      </c>
      <c r="F86" s="695"/>
      <c r="G86" s="692"/>
      <c r="H86" s="700" t="s">
        <v>34</v>
      </c>
      <c r="I86" s="701">
        <f ca="1">IFERROR(__xludf.DUMMYFUNCTION("IMPORTRANGE(""https://docs.google.com/spreadsheets/d/1eHaY18a8A9IcSdp1K8H6x8fbOy06t2VsZHhMHf-1x7Y/edit?usp=sharing"",""แผน!F16"")"),0)</f>
        <v>0</v>
      </c>
      <c r="J86" s="702">
        <v>0</v>
      </c>
      <c r="K86" s="703">
        <f t="shared" ca="1" si="56"/>
        <v>0</v>
      </c>
      <c r="L86" s="693"/>
      <c r="M86" s="684"/>
      <c r="N86" s="684"/>
      <c r="O86" s="684"/>
      <c r="P86" s="684"/>
      <c r="Q86" s="684"/>
      <c r="R86" s="684"/>
      <c r="S86" s="684"/>
      <c r="T86" s="684"/>
      <c r="U86" s="684"/>
    </row>
    <row r="87" spans="1:21" ht="18.75" x14ac:dyDescent="0.25">
      <c r="A87" s="687"/>
      <c r="B87" s="688"/>
      <c r="C87" s="688"/>
      <c r="D87" s="688"/>
      <c r="E87" s="695"/>
      <c r="F87" s="695"/>
      <c r="G87" s="692"/>
      <c r="H87" s="700" t="s">
        <v>35</v>
      </c>
      <c r="I87" s="701">
        <f ca="1">IFERROR(__xludf.DUMMYFUNCTION("IMPORTRANGE(""https://docs.google.com/spreadsheets/d/1eHaY18a8A9IcSdp1K8H6x8fbOy06t2VsZHhMHf-1x7Y/edit?usp=sharing"",""แผน!G16"")"),0)</f>
        <v>0</v>
      </c>
      <c r="J87" s="702">
        <v>0</v>
      </c>
      <c r="K87" s="703">
        <f t="shared" ca="1" si="56"/>
        <v>0</v>
      </c>
      <c r="L87" s="693"/>
      <c r="M87" s="684"/>
      <c r="N87" s="684"/>
      <c r="O87" s="684"/>
      <c r="P87" s="684"/>
      <c r="Q87" s="684"/>
      <c r="R87" s="684"/>
      <c r="S87" s="684"/>
      <c r="T87" s="684"/>
      <c r="U87" s="684"/>
    </row>
    <row r="88" spans="1:21" ht="18.75" x14ac:dyDescent="0.25">
      <c r="A88" s="687"/>
      <c r="B88" s="688"/>
      <c r="C88" s="688"/>
      <c r="D88" s="688"/>
      <c r="E88" s="699" t="s">
        <v>42</v>
      </c>
      <c r="F88" s="695"/>
      <c r="G88" s="692"/>
      <c r="H88" s="700" t="s">
        <v>34</v>
      </c>
      <c r="I88" s="701">
        <f ca="1">IFERROR(__xludf.DUMMYFUNCTION("IMPORTRANGE(""https://docs.google.com/spreadsheets/d/1eHaY18a8A9IcSdp1K8H6x8fbOy06t2VsZHhMHf-1x7Y/edit?usp=sharing"",""แผน!D16"")"),0)</f>
        <v>0</v>
      </c>
      <c r="J88" s="702">
        <v>0</v>
      </c>
      <c r="K88" s="703">
        <f t="shared" ca="1" si="56"/>
        <v>0</v>
      </c>
      <c r="L88" s="693"/>
      <c r="M88" s="684"/>
      <c r="N88" s="684"/>
      <c r="O88" s="684"/>
      <c r="P88" s="684"/>
      <c r="Q88" s="684"/>
      <c r="R88" s="684"/>
      <c r="S88" s="684"/>
      <c r="T88" s="684"/>
      <c r="U88" s="684"/>
    </row>
    <row r="89" spans="1:21" ht="18.75" x14ac:dyDescent="0.25">
      <c r="A89" s="687"/>
      <c r="B89" s="688"/>
      <c r="C89" s="688"/>
      <c r="D89" s="688"/>
      <c r="E89" s="695"/>
      <c r="F89" s="695"/>
      <c r="G89" s="692"/>
      <c r="H89" s="700" t="s">
        <v>35</v>
      </c>
      <c r="I89" s="701">
        <f ca="1">IFERROR(__xludf.DUMMYFUNCTION("IMPORTRANGE(""https://docs.google.com/spreadsheets/d/1eHaY18a8A9IcSdp1K8H6x8fbOy06t2VsZHhMHf-1x7Y/edit?usp=sharing"",""แผน!E16"")"),0)</f>
        <v>0</v>
      </c>
      <c r="J89" s="702">
        <v>0</v>
      </c>
      <c r="K89" s="703">
        <f t="shared" ca="1" si="56"/>
        <v>0</v>
      </c>
      <c r="L89" s="693"/>
      <c r="M89" s="684"/>
      <c r="N89" s="684"/>
      <c r="O89" s="684"/>
      <c r="P89" s="684"/>
      <c r="Q89" s="684"/>
      <c r="R89" s="684"/>
      <c r="S89" s="684"/>
      <c r="T89" s="684"/>
      <c r="U89" s="684"/>
    </row>
    <row r="90" spans="1:21" ht="18.75" x14ac:dyDescent="0.25">
      <c r="A90" s="687"/>
      <c r="B90" s="688"/>
      <c r="C90" s="688"/>
      <c r="D90" s="694" t="s">
        <v>43</v>
      </c>
      <c r="E90" s="695"/>
      <c r="F90" s="695"/>
      <c r="G90" s="692"/>
      <c r="H90" s="704" t="s">
        <v>34</v>
      </c>
      <c r="I90" s="701">
        <f ca="1">IFERROR(__xludf.DUMMYFUNCTION("IMPORTRANGE(""https://docs.google.com/spreadsheets/d/1eHaY18a8A9IcSdp1K8H6x8fbOy06t2VsZHhMHf-1x7Y/edit?usp=sharing"",""แผน!J16"")"),0)</f>
        <v>0</v>
      </c>
      <c r="J90" s="702">
        <v>0</v>
      </c>
      <c r="K90" s="703">
        <f t="shared" ca="1" si="56"/>
        <v>0</v>
      </c>
      <c r="L90" s="693"/>
      <c r="M90" s="684"/>
      <c r="N90" s="684"/>
      <c r="O90" s="684"/>
      <c r="P90" s="684"/>
      <c r="Q90" s="684"/>
      <c r="R90" s="684"/>
      <c r="S90" s="684"/>
      <c r="T90" s="684"/>
      <c r="U90" s="684"/>
    </row>
    <row r="91" spans="1:21" ht="19.5" x14ac:dyDescent="0.3">
      <c r="A91" s="662" t="s">
        <v>44</v>
      </c>
      <c r="B91" s="663"/>
      <c r="C91" s="664"/>
      <c r="D91" s="663"/>
      <c r="E91" s="663"/>
      <c r="F91" s="663"/>
      <c r="G91" s="665"/>
      <c r="H91" s="665"/>
      <c r="I91" s="666"/>
      <c r="J91" s="666"/>
      <c r="K91" s="667"/>
      <c r="L91" s="668"/>
      <c r="M91" s="667"/>
      <c r="N91" s="667"/>
      <c r="O91" s="667"/>
      <c r="P91" s="667"/>
      <c r="Q91" s="667"/>
      <c r="R91" s="667"/>
      <c r="S91" s="667"/>
      <c r="T91" s="667"/>
      <c r="U91" s="667"/>
    </row>
    <row r="92" spans="1:21" ht="19.5" x14ac:dyDescent="0.3">
      <c r="A92" s="669"/>
      <c r="B92" s="544" t="s">
        <v>45</v>
      </c>
      <c r="C92" s="543"/>
      <c r="D92" s="670"/>
      <c r="E92" s="543"/>
      <c r="F92" s="543"/>
      <c r="G92" s="546"/>
      <c r="H92" s="671" t="s">
        <v>46</v>
      </c>
      <c r="I92" s="672">
        <f t="shared" ref="I92:J93" ca="1" si="57">I108</f>
        <v>30</v>
      </c>
      <c r="J92" s="672">
        <f t="shared" si="57"/>
        <v>30</v>
      </c>
      <c r="K92" s="551">
        <f t="shared" ref="K92:K93" ca="1" si="58">IF(I92&gt;0,J92*100/I92,0)</f>
        <v>100</v>
      </c>
      <c r="L92" s="673"/>
      <c r="M92" s="549"/>
      <c r="N92" s="549"/>
      <c r="O92" s="549"/>
      <c r="P92" s="549"/>
      <c r="Q92" s="549"/>
      <c r="R92" s="549"/>
      <c r="S92" s="549"/>
      <c r="T92" s="549"/>
      <c r="U92" s="549"/>
    </row>
    <row r="93" spans="1:21" ht="19.5" x14ac:dyDescent="0.3">
      <c r="A93" s="669"/>
      <c r="B93" s="543"/>
      <c r="C93" s="543"/>
      <c r="D93" s="670"/>
      <c r="E93" s="543"/>
      <c r="F93" s="543"/>
      <c r="G93" s="546"/>
      <c r="H93" s="671" t="s">
        <v>35</v>
      </c>
      <c r="I93" s="672">
        <f t="shared" ca="1" si="57"/>
        <v>10</v>
      </c>
      <c r="J93" s="672">
        <f t="shared" si="57"/>
        <v>10</v>
      </c>
      <c r="K93" s="551">
        <f t="shared" ca="1" si="58"/>
        <v>100</v>
      </c>
      <c r="L93" s="673"/>
      <c r="M93" s="549"/>
      <c r="N93" s="549"/>
      <c r="O93" s="549"/>
      <c r="P93" s="549"/>
      <c r="Q93" s="549"/>
      <c r="R93" s="549"/>
      <c r="S93" s="549"/>
      <c r="T93" s="549"/>
      <c r="U93" s="549"/>
    </row>
    <row r="94" spans="1:21" ht="19.5" x14ac:dyDescent="0.3">
      <c r="A94" s="674"/>
      <c r="B94" s="561"/>
      <c r="C94" s="675" t="s">
        <v>18</v>
      </c>
      <c r="D94" s="676" t="s">
        <v>19</v>
      </c>
      <c r="E94" s="561"/>
      <c r="F94" s="561"/>
      <c r="G94" s="563"/>
      <c r="H94" s="677" t="s">
        <v>14</v>
      </c>
      <c r="I94" s="565"/>
      <c r="J94" s="565"/>
      <c r="K94" s="566"/>
      <c r="L94" s="678">
        <f t="shared" ref="L94:N94" ca="1" si="59">L95+L96</f>
        <v>0</v>
      </c>
      <c r="M94" s="679">
        <f t="shared" ca="1" si="59"/>
        <v>19500</v>
      </c>
      <c r="N94" s="679">
        <f t="shared" ca="1" si="59"/>
        <v>0</v>
      </c>
      <c r="O94" s="679">
        <f t="shared" ref="O94:O102" ca="1" si="60">IF(L94&gt;0,N94*100/L94,0)</f>
        <v>0</v>
      </c>
      <c r="P94" s="679">
        <f t="shared" ref="P94:P102" ca="1" si="61">IF(M94&gt;0,N94*100/M94,0)</f>
        <v>0</v>
      </c>
      <c r="Q94" s="679">
        <f t="shared" ref="Q94:S94" ca="1" si="62">Q95+Q96</f>
        <v>64920</v>
      </c>
      <c r="R94" s="679">
        <f t="shared" ca="1" si="62"/>
        <v>64920</v>
      </c>
      <c r="S94" s="679">
        <f t="shared" ca="1" si="62"/>
        <v>6545</v>
      </c>
      <c r="T94" s="679">
        <f t="shared" ref="T94:T102" ca="1" si="63">IF(Q94&gt;0,S94*100/Q94,0)</f>
        <v>10.081638940234134</v>
      </c>
      <c r="U94" s="679">
        <f t="shared" ref="U94:U102" ca="1" si="64">IF(R94&gt;0,S94*100/R94,0)</f>
        <v>10.081638940234134</v>
      </c>
    </row>
    <row r="95" spans="1:21" ht="18.75" x14ac:dyDescent="0.25">
      <c r="A95" s="674"/>
      <c r="B95" s="561"/>
      <c r="C95" s="561"/>
      <c r="D95" s="561"/>
      <c r="E95" s="569" t="s">
        <v>20</v>
      </c>
      <c r="F95" s="561"/>
      <c r="G95" s="563"/>
      <c r="H95" s="680" t="s">
        <v>14</v>
      </c>
      <c r="I95" s="565"/>
      <c r="J95" s="565"/>
      <c r="K95" s="566"/>
      <c r="L95" s="571">
        <f t="shared" ref="L95:N96" si="65">L98+L101</f>
        <v>0</v>
      </c>
      <c r="M95" s="572">
        <f t="shared" si="65"/>
        <v>0</v>
      </c>
      <c r="N95" s="572">
        <f t="shared" si="65"/>
        <v>0</v>
      </c>
      <c r="O95" s="572">
        <f t="shared" si="60"/>
        <v>0</v>
      </c>
      <c r="P95" s="572">
        <f t="shared" si="61"/>
        <v>0</v>
      </c>
      <c r="Q95" s="572">
        <f t="shared" ref="Q95:S96" si="66">Q98+Q101</f>
        <v>0</v>
      </c>
      <c r="R95" s="572">
        <f t="shared" si="66"/>
        <v>0</v>
      </c>
      <c r="S95" s="572">
        <f t="shared" si="66"/>
        <v>0</v>
      </c>
      <c r="T95" s="572">
        <f t="shared" si="63"/>
        <v>0</v>
      </c>
      <c r="U95" s="572">
        <f t="shared" si="64"/>
        <v>0</v>
      </c>
    </row>
    <row r="96" spans="1:21" ht="18.75" x14ac:dyDescent="0.25">
      <c r="A96" s="674"/>
      <c r="B96" s="561"/>
      <c r="C96" s="561"/>
      <c r="D96" s="561"/>
      <c r="E96" s="573" t="s">
        <v>21</v>
      </c>
      <c r="F96" s="561"/>
      <c r="G96" s="563"/>
      <c r="H96" s="681" t="s">
        <v>14</v>
      </c>
      <c r="I96" s="565"/>
      <c r="J96" s="565"/>
      <c r="K96" s="566"/>
      <c r="L96" s="567">
        <f t="shared" ca="1" si="65"/>
        <v>0</v>
      </c>
      <c r="M96" s="568">
        <f t="shared" ca="1" si="65"/>
        <v>19500</v>
      </c>
      <c r="N96" s="568">
        <f t="shared" ca="1" si="65"/>
        <v>0</v>
      </c>
      <c r="O96" s="568">
        <f t="shared" ca="1" si="60"/>
        <v>0</v>
      </c>
      <c r="P96" s="568">
        <f t="shared" ca="1" si="61"/>
        <v>0</v>
      </c>
      <c r="Q96" s="568">
        <f t="shared" ca="1" si="66"/>
        <v>64920</v>
      </c>
      <c r="R96" s="568">
        <f t="shared" ca="1" si="66"/>
        <v>64920</v>
      </c>
      <c r="S96" s="568">
        <f t="shared" ca="1" si="66"/>
        <v>6545</v>
      </c>
      <c r="T96" s="568">
        <f t="shared" ca="1" si="63"/>
        <v>10.081638940234134</v>
      </c>
      <c r="U96" s="568">
        <f t="shared" ca="1" si="64"/>
        <v>10.081638940234134</v>
      </c>
    </row>
    <row r="97" spans="1:21" ht="18.75" x14ac:dyDescent="0.25">
      <c r="A97" s="674"/>
      <c r="B97" s="561"/>
      <c r="C97" s="561"/>
      <c r="D97" s="562" t="s">
        <v>22</v>
      </c>
      <c r="E97" s="561"/>
      <c r="F97" s="561"/>
      <c r="G97" s="563"/>
      <c r="H97" s="682" t="s">
        <v>14</v>
      </c>
      <c r="I97" s="683"/>
      <c r="J97" s="683"/>
      <c r="K97" s="684"/>
      <c r="L97" s="567">
        <f t="shared" ref="L97:N97" ca="1" si="67">L98+L99</f>
        <v>0</v>
      </c>
      <c r="M97" s="568">
        <f t="shared" ca="1" si="67"/>
        <v>19500</v>
      </c>
      <c r="N97" s="568">
        <f t="shared" ca="1" si="67"/>
        <v>0</v>
      </c>
      <c r="O97" s="568">
        <f t="shared" ca="1" si="60"/>
        <v>0</v>
      </c>
      <c r="P97" s="568">
        <f t="shared" ca="1" si="61"/>
        <v>0</v>
      </c>
      <c r="Q97" s="568">
        <f t="shared" ref="Q97:S97" ca="1" si="68">Q98+Q99</f>
        <v>64920</v>
      </c>
      <c r="R97" s="568">
        <f t="shared" ca="1" si="68"/>
        <v>64920</v>
      </c>
      <c r="S97" s="568">
        <f t="shared" ca="1" si="68"/>
        <v>6545</v>
      </c>
      <c r="T97" s="568">
        <f t="shared" ca="1" si="63"/>
        <v>10.081638940234134</v>
      </c>
      <c r="U97" s="568">
        <f t="shared" ca="1" si="64"/>
        <v>10.081638940234134</v>
      </c>
    </row>
    <row r="98" spans="1:21" ht="18.75" x14ac:dyDescent="0.25">
      <c r="A98" s="674"/>
      <c r="B98" s="561"/>
      <c r="C98" s="561"/>
      <c r="D98" s="561"/>
      <c r="E98" s="569" t="s">
        <v>36</v>
      </c>
      <c r="F98" s="561"/>
      <c r="G98" s="563"/>
      <c r="H98" s="685" t="s">
        <v>14</v>
      </c>
      <c r="I98" s="683"/>
      <c r="J98" s="683"/>
      <c r="K98" s="684"/>
      <c r="L98" s="571">
        <v>0</v>
      </c>
      <c r="M98" s="572">
        <v>0</v>
      </c>
      <c r="N98" s="572">
        <v>0</v>
      </c>
      <c r="O98" s="572">
        <f t="shared" si="60"/>
        <v>0</v>
      </c>
      <c r="P98" s="572">
        <f t="shared" si="61"/>
        <v>0</v>
      </c>
      <c r="Q98" s="572">
        <v>0</v>
      </c>
      <c r="R98" s="572">
        <v>0</v>
      </c>
      <c r="S98" s="572">
        <v>0</v>
      </c>
      <c r="T98" s="572">
        <f t="shared" si="63"/>
        <v>0</v>
      </c>
      <c r="U98" s="572">
        <f t="shared" si="64"/>
        <v>0</v>
      </c>
    </row>
    <row r="99" spans="1:21" ht="18.75" x14ac:dyDescent="0.25">
      <c r="A99" s="674"/>
      <c r="B99" s="561"/>
      <c r="C99" s="561"/>
      <c r="D99" s="561"/>
      <c r="E99" s="573" t="s">
        <v>37</v>
      </c>
      <c r="F99" s="561"/>
      <c r="G99" s="563"/>
      <c r="H99" s="682" t="s">
        <v>14</v>
      </c>
      <c r="I99" s="683"/>
      <c r="J99" s="683"/>
      <c r="K99" s="684"/>
      <c r="L99" s="567">
        <f ca="1">IFERROR(__xludf.DUMMYFUNCTION("IMPORTRANGE(""https://docs.google.com/spreadsheets/d/1-uDff_7J0KD5mKrp0Vvzr7lt3OU09vwQwhkpOPPYv2Y/edit?usp=sharing"",""งบพรบ!AW16"")"),0)</f>
        <v>0</v>
      </c>
      <c r="M99" s="568">
        <f ca="1">IFERROR(__xludf.DUMMYFUNCTION("IMPORTRANGE(""https://docs.google.com/spreadsheets/d/1-uDff_7J0KD5mKrp0Vvzr7lt3OU09vwQwhkpOPPYv2Y/edit?usp=sharing"",""งบพรบ!BB16"")"),19500)</f>
        <v>19500</v>
      </c>
      <c r="N99" s="568">
        <f ca="1">IFERROR(__xludf.DUMMYFUNCTION("IMPORTRANGE(""https://docs.google.com/spreadsheets/d/1-uDff_7J0KD5mKrp0Vvzr7lt3OU09vwQwhkpOPPYv2Y/edit?usp=sharing"",""งบพรบ!BD16"")"),0)</f>
        <v>0</v>
      </c>
      <c r="O99" s="568">
        <f t="shared" ca="1" si="60"/>
        <v>0</v>
      </c>
      <c r="P99" s="568">
        <f t="shared" ca="1" si="61"/>
        <v>0</v>
      </c>
      <c r="Q99" s="568">
        <f ca="1">IFERROR(__xludf.DUMMYFUNCTION("IMPORTRANGE(""https://docs.google.com/spreadsheets/d/1ItG2mGa2ceCfYo0BwxsXqNm01IGEUdYcSSLTEv9YCik/edit?usp=sharing"",""เบิกจ่ายกองทุน!AJ16"")"),64920)</f>
        <v>64920</v>
      </c>
      <c r="R99" s="568">
        <f ca="1">IFERROR(__xludf.DUMMYFUNCTION("IMPORTRANGE(""https://docs.google.com/spreadsheets/d/1ItG2mGa2ceCfYo0BwxsXqNm01IGEUdYcSSLTEv9YCik/edit?usp=sharing"",""เบิกจ่ายกองทุน!AK16"")"),64920)</f>
        <v>64920</v>
      </c>
      <c r="S99" s="568">
        <f ca="1">IFERROR(__xludf.DUMMYFUNCTION("IMPORTRANGE(""https://docs.google.com/spreadsheets/d/1ItG2mGa2ceCfYo0BwxsXqNm01IGEUdYcSSLTEv9YCik/edit?usp=sharing"",""เบิกจ่ายกองทุน!AL16"")"),6545)</f>
        <v>6545</v>
      </c>
      <c r="T99" s="568">
        <f t="shared" ca="1" si="63"/>
        <v>10.081638940234134</v>
      </c>
      <c r="U99" s="568">
        <f t="shared" ca="1" si="64"/>
        <v>10.081638940234134</v>
      </c>
    </row>
    <row r="100" spans="1:21" ht="18.75" x14ac:dyDescent="0.25">
      <c r="A100" s="674"/>
      <c r="B100" s="561"/>
      <c r="C100" s="561"/>
      <c r="D100" s="562" t="s">
        <v>23</v>
      </c>
      <c r="E100" s="561"/>
      <c r="F100" s="561"/>
      <c r="G100" s="563"/>
      <c r="H100" s="686" t="s">
        <v>14</v>
      </c>
      <c r="I100" s="683"/>
      <c r="J100" s="683"/>
      <c r="K100" s="684"/>
      <c r="L100" s="567">
        <f t="shared" ref="L100:N100" ca="1" si="69">L101+L102</f>
        <v>0</v>
      </c>
      <c r="M100" s="568">
        <f t="shared" ca="1" si="69"/>
        <v>0</v>
      </c>
      <c r="N100" s="568">
        <f t="shared" ca="1" si="69"/>
        <v>0</v>
      </c>
      <c r="O100" s="568">
        <f t="shared" ca="1" si="60"/>
        <v>0</v>
      </c>
      <c r="P100" s="568">
        <f t="shared" ca="1" si="61"/>
        <v>0</v>
      </c>
      <c r="Q100" s="568">
        <f t="shared" ref="Q100:S100" si="70">Q101+Q102</f>
        <v>0</v>
      </c>
      <c r="R100" s="568">
        <f t="shared" si="70"/>
        <v>0</v>
      </c>
      <c r="S100" s="568">
        <f t="shared" si="70"/>
        <v>0</v>
      </c>
      <c r="T100" s="568">
        <f t="shared" si="63"/>
        <v>0</v>
      </c>
      <c r="U100" s="568">
        <f t="shared" si="64"/>
        <v>0</v>
      </c>
    </row>
    <row r="101" spans="1:21" ht="18.75" x14ac:dyDescent="0.25">
      <c r="A101" s="674"/>
      <c r="B101" s="561"/>
      <c r="C101" s="561"/>
      <c r="D101" s="561"/>
      <c r="E101" s="569" t="s">
        <v>20</v>
      </c>
      <c r="F101" s="561"/>
      <c r="G101" s="563"/>
      <c r="H101" s="685" t="s">
        <v>14</v>
      </c>
      <c r="I101" s="683"/>
      <c r="J101" s="683"/>
      <c r="K101" s="684"/>
      <c r="L101" s="571">
        <v>0</v>
      </c>
      <c r="M101" s="572">
        <v>0</v>
      </c>
      <c r="N101" s="572">
        <v>0</v>
      </c>
      <c r="O101" s="572">
        <f t="shared" si="60"/>
        <v>0</v>
      </c>
      <c r="P101" s="572">
        <f t="shared" si="61"/>
        <v>0</v>
      </c>
      <c r="Q101" s="572">
        <v>0</v>
      </c>
      <c r="R101" s="572">
        <v>0</v>
      </c>
      <c r="S101" s="572">
        <v>0</v>
      </c>
      <c r="T101" s="572">
        <f t="shared" si="63"/>
        <v>0</v>
      </c>
      <c r="U101" s="572">
        <f t="shared" si="64"/>
        <v>0</v>
      </c>
    </row>
    <row r="102" spans="1:21" ht="18.75" x14ac:dyDescent="0.25">
      <c r="A102" s="674"/>
      <c r="B102" s="561"/>
      <c r="C102" s="561"/>
      <c r="D102" s="561"/>
      <c r="E102" s="573" t="s">
        <v>21</v>
      </c>
      <c r="F102" s="561"/>
      <c r="G102" s="563"/>
      <c r="H102" s="686" t="s">
        <v>14</v>
      </c>
      <c r="I102" s="683"/>
      <c r="J102" s="683"/>
      <c r="K102" s="684"/>
      <c r="L102" s="567">
        <f ca="1">IFERROR(__xludf.DUMMYFUNCTION("IMPORTRANGE(""https://docs.google.com/spreadsheets/d/1-uDff_7J0KD5mKrp0Vvzr7lt3OU09vwQwhkpOPPYv2Y/edit?usp=sharing"",""งบพรบ!AZ16"")"),0)</f>
        <v>0</v>
      </c>
      <c r="M102" s="568">
        <f ca="1">IFERROR(__xludf.DUMMYFUNCTION("IMPORTRANGE(""https://docs.google.com/spreadsheets/d/1-uDff_7J0KD5mKrp0Vvzr7lt3OU09vwQwhkpOPPYv2Y/edit?usp=sharing"",""งบพรบ!BC16"")"),0)</f>
        <v>0</v>
      </c>
      <c r="N102" s="568">
        <f ca="1">IFERROR(__xludf.DUMMYFUNCTION("IMPORTRANGE(""https://docs.google.com/spreadsheets/d/1-uDff_7J0KD5mKrp0Vvzr7lt3OU09vwQwhkpOPPYv2Y/edit?usp=sharing"",""งบพรบ!BE16"")"),0)</f>
        <v>0</v>
      </c>
      <c r="O102" s="568">
        <f t="shared" ca="1" si="60"/>
        <v>0</v>
      </c>
      <c r="P102" s="568">
        <f t="shared" ca="1" si="61"/>
        <v>0</v>
      </c>
      <c r="Q102" s="568">
        <v>0</v>
      </c>
      <c r="R102" s="568">
        <v>0</v>
      </c>
      <c r="S102" s="568">
        <v>0</v>
      </c>
      <c r="T102" s="568">
        <f t="shared" si="63"/>
        <v>0</v>
      </c>
      <c r="U102" s="568">
        <f t="shared" si="64"/>
        <v>0</v>
      </c>
    </row>
    <row r="103" spans="1:21" ht="19.5" x14ac:dyDescent="0.3">
      <c r="A103" s="687"/>
      <c r="B103" s="688"/>
      <c r="C103" s="675" t="s">
        <v>18</v>
      </c>
      <c r="D103" s="689" t="s">
        <v>38</v>
      </c>
      <c r="E103" s="690"/>
      <c r="F103" s="690"/>
      <c r="G103" s="691"/>
      <c r="H103" s="692"/>
      <c r="I103" s="683"/>
      <c r="J103" s="565"/>
      <c r="K103" s="566"/>
      <c r="L103" s="574"/>
      <c r="M103" s="566"/>
      <c r="N103" s="566"/>
      <c r="O103" s="684"/>
      <c r="P103" s="684"/>
      <c r="Q103" s="566"/>
      <c r="R103" s="566"/>
      <c r="S103" s="566"/>
      <c r="T103" s="684"/>
      <c r="U103" s="684"/>
    </row>
    <row r="104" spans="1:21" ht="12.75" hidden="1" x14ac:dyDescent="0.2">
      <c r="A104" s="705"/>
      <c r="B104" s="706"/>
      <c r="C104" s="706"/>
      <c r="D104" s="531"/>
      <c r="E104" s="531"/>
      <c r="F104" s="531"/>
      <c r="G104" s="532"/>
      <c r="H104" s="532"/>
      <c r="I104" s="533"/>
      <c r="J104" s="533"/>
      <c r="K104" s="534"/>
      <c r="L104" s="535"/>
      <c r="M104" s="534"/>
      <c r="N104" s="534"/>
      <c r="O104" s="534"/>
      <c r="P104" s="534"/>
      <c r="Q104" s="534"/>
      <c r="R104" s="534"/>
      <c r="S104" s="534"/>
      <c r="T104" s="534"/>
      <c r="U104" s="534"/>
    </row>
    <row r="105" spans="1:21" ht="12.75" hidden="1" x14ac:dyDescent="0.2">
      <c r="A105" s="705"/>
      <c r="B105" s="706"/>
      <c r="C105" s="706"/>
      <c r="D105" s="531"/>
      <c r="E105" s="531"/>
      <c r="F105" s="531"/>
      <c r="G105" s="532"/>
      <c r="H105" s="532"/>
      <c r="I105" s="533"/>
      <c r="J105" s="533"/>
      <c r="K105" s="534"/>
      <c r="L105" s="535"/>
      <c r="M105" s="534"/>
      <c r="N105" s="534"/>
      <c r="O105" s="534"/>
      <c r="P105" s="534"/>
      <c r="Q105" s="534"/>
      <c r="R105" s="534"/>
      <c r="S105" s="534"/>
      <c r="T105" s="534"/>
      <c r="U105" s="534"/>
    </row>
    <row r="106" spans="1:21" ht="12.75" hidden="1" x14ac:dyDescent="0.2">
      <c r="A106" s="705"/>
      <c r="B106" s="706"/>
      <c r="C106" s="706"/>
      <c r="D106" s="706"/>
      <c r="E106" s="531"/>
      <c r="F106" s="531"/>
      <c r="G106" s="532"/>
      <c r="H106" s="532"/>
      <c r="I106" s="533"/>
      <c r="J106" s="533"/>
      <c r="K106" s="534"/>
      <c r="L106" s="535"/>
      <c r="M106" s="534"/>
      <c r="N106" s="534"/>
      <c r="O106" s="534"/>
      <c r="P106" s="534"/>
      <c r="Q106" s="534"/>
      <c r="R106" s="534"/>
      <c r="S106" s="534"/>
      <c r="T106" s="534"/>
      <c r="U106" s="534"/>
    </row>
    <row r="107" spans="1:21" ht="19.5" x14ac:dyDescent="0.3">
      <c r="A107" s="687"/>
      <c r="B107" s="688"/>
      <c r="C107" s="688"/>
      <c r="D107" s="707" t="s">
        <v>47</v>
      </c>
      <c r="E107" s="510"/>
      <c r="F107" s="695"/>
      <c r="G107" s="692"/>
      <c r="H107" s="563"/>
      <c r="I107" s="565"/>
      <c r="J107" s="565"/>
      <c r="K107" s="566"/>
      <c r="L107" s="574"/>
      <c r="M107" s="566"/>
      <c r="N107" s="566"/>
      <c r="O107" s="684"/>
      <c r="P107" s="684"/>
      <c r="Q107" s="566"/>
      <c r="R107" s="566"/>
      <c r="S107" s="566"/>
      <c r="T107" s="684"/>
      <c r="U107" s="684"/>
    </row>
    <row r="108" spans="1:21" ht="18.75" x14ac:dyDescent="0.25">
      <c r="A108" s="687"/>
      <c r="B108" s="688"/>
      <c r="C108" s="688"/>
      <c r="D108" s="699" t="s">
        <v>48</v>
      </c>
      <c r="E108" s="695"/>
      <c r="F108" s="695"/>
      <c r="G108" s="692"/>
      <c r="H108" s="564" t="s">
        <v>46</v>
      </c>
      <c r="I108" s="708">
        <f ca="1">IFERROR(__xludf.DUMMYFUNCTION("IMPORTRANGE(""https://docs.google.com/spreadsheets/d/1eHaY18a8A9IcSdp1K8H6x8fbOy06t2VsZHhMHf-1x7Y/edit?usp=sharing"",""แผน!N16"")"),30)</f>
        <v>30</v>
      </c>
      <c r="J108" s="702">
        <v>30</v>
      </c>
      <c r="K108" s="568">
        <f t="shared" ref="K108:K109" ca="1" si="71">IF(I108&gt;0,J108*100/I108,0)</f>
        <v>100</v>
      </c>
      <c r="L108" s="574"/>
      <c r="M108" s="566"/>
      <c r="N108" s="566"/>
      <c r="O108" s="684"/>
      <c r="P108" s="684"/>
      <c r="Q108" s="566"/>
      <c r="R108" s="566"/>
      <c r="S108" s="566"/>
      <c r="T108" s="684"/>
      <c r="U108" s="684"/>
    </row>
    <row r="109" spans="1:21" ht="18.75" x14ac:dyDescent="0.25">
      <c r="A109" s="687"/>
      <c r="B109" s="688"/>
      <c r="C109" s="688"/>
      <c r="D109" s="699" t="s">
        <v>49</v>
      </c>
      <c r="E109" s="695"/>
      <c r="F109" s="695"/>
      <c r="G109" s="692"/>
      <c r="H109" s="564" t="s">
        <v>35</v>
      </c>
      <c r="I109" s="708">
        <f ca="1">IFERROR(__xludf.DUMMYFUNCTION("IMPORTRANGE(""https://docs.google.com/spreadsheets/d/1eHaY18a8A9IcSdp1K8H6x8fbOy06t2VsZHhMHf-1x7Y/edit?usp=sharing"",""แผน!O16"")"),10)</f>
        <v>10</v>
      </c>
      <c r="J109" s="702">
        <v>10</v>
      </c>
      <c r="K109" s="568">
        <f t="shared" ca="1" si="71"/>
        <v>100</v>
      </c>
      <c r="L109" s="574"/>
      <c r="M109" s="566"/>
      <c r="N109" s="566"/>
      <c r="O109" s="684"/>
      <c r="P109" s="684"/>
      <c r="Q109" s="566"/>
      <c r="R109" s="566"/>
      <c r="S109" s="566"/>
      <c r="T109" s="684"/>
      <c r="U109" s="684"/>
    </row>
    <row r="110" spans="1:21" ht="12.75" hidden="1" x14ac:dyDescent="0.2">
      <c r="A110" s="705"/>
      <c r="B110" s="706"/>
      <c r="C110" s="706"/>
      <c r="D110" s="531"/>
      <c r="E110" s="531"/>
      <c r="F110" s="531"/>
      <c r="G110" s="532"/>
      <c r="H110" s="532"/>
      <c r="I110" s="533"/>
      <c r="J110" s="533"/>
      <c r="K110" s="534"/>
      <c r="L110" s="535"/>
      <c r="M110" s="534"/>
      <c r="N110" s="534"/>
      <c r="O110" s="534"/>
      <c r="P110" s="534"/>
      <c r="Q110" s="534"/>
      <c r="R110" s="534"/>
      <c r="S110" s="534"/>
      <c r="T110" s="534"/>
      <c r="U110" s="534"/>
    </row>
    <row r="111" spans="1:21" ht="12.75" hidden="1" x14ac:dyDescent="0.2">
      <c r="A111" s="705"/>
      <c r="B111" s="706"/>
      <c r="C111" s="706"/>
      <c r="D111" s="531"/>
      <c r="E111" s="531"/>
      <c r="F111" s="531"/>
      <c r="G111" s="532"/>
      <c r="H111" s="532"/>
      <c r="I111" s="533"/>
      <c r="J111" s="533"/>
      <c r="K111" s="534"/>
      <c r="L111" s="535"/>
      <c r="M111" s="534"/>
      <c r="N111" s="534"/>
      <c r="O111" s="534"/>
      <c r="P111" s="534"/>
      <c r="Q111" s="534"/>
      <c r="R111" s="534"/>
      <c r="S111" s="534"/>
      <c r="T111" s="534"/>
      <c r="U111" s="534"/>
    </row>
    <row r="112" spans="1:21" ht="12.75" hidden="1" x14ac:dyDescent="0.2">
      <c r="A112" s="705"/>
      <c r="B112" s="706"/>
      <c r="C112" s="706"/>
      <c r="D112" s="531"/>
      <c r="E112" s="531"/>
      <c r="F112" s="531"/>
      <c r="G112" s="532"/>
      <c r="H112" s="532"/>
      <c r="I112" s="533"/>
      <c r="J112" s="533"/>
      <c r="K112" s="534"/>
      <c r="L112" s="535"/>
      <c r="M112" s="534"/>
      <c r="N112" s="534"/>
      <c r="O112" s="534"/>
      <c r="P112" s="534"/>
      <c r="Q112" s="534"/>
      <c r="R112" s="534"/>
      <c r="S112" s="534"/>
      <c r="T112" s="534"/>
      <c r="U112" s="534"/>
    </row>
    <row r="113" spans="1:21" ht="18.75" x14ac:dyDescent="0.25">
      <c r="A113" s="1131"/>
      <c r="B113" s="1110"/>
      <c r="C113" s="1110"/>
      <c r="D113" s="1132" t="s">
        <v>50</v>
      </c>
      <c r="E113" s="1112"/>
      <c r="F113" s="1112"/>
      <c r="G113" s="1113"/>
      <c r="H113" s="1133" t="s">
        <v>46</v>
      </c>
      <c r="I113" s="1134">
        <f ca="1">IFERROR(__xludf.DUMMYFUNCTION("IMPORTRANGE(""https://docs.google.com/spreadsheets/d/1eHaY18a8A9IcSdp1K8H6x8fbOy06t2VsZHhMHf-1x7Y/edit?usp=sharing"",""แผน!N16"")"),30)</f>
        <v>30</v>
      </c>
      <c r="J113" s="861">
        <v>30</v>
      </c>
      <c r="K113" s="862">
        <f t="shared" ref="K113:K114" ca="1" si="72">IF(I113&gt;0,J113*100/I113,0)</f>
        <v>100</v>
      </c>
      <c r="L113" s="784"/>
      <c r="M113" s="784"/>
      <c r="N113" s="784"/>
      <c r="O113" s="1116"/>
      <c r="P113" s="1116"/>
      <c r="Q113" s="784"/>
      <c r="R113" s="784"/>
      <c r="S113" s="784"/>
      <c r="T113" s="1116"/>
      <c r="U113" s="1116"/>
    </row>
    <row r="114" spans="1:21" ht="18.75" x14ac:dyDescent="0.25">
      <c r="A114" s="687"/>
      <c r="B114" s="688"/>
      <c r="C114" s="688"/>
      <c r="D114" s="695"/>
      <c r="E114" s="695"/>
      <c r="F114" s="695"/>
      <c r="G114" s="692"/>
      <c r="H114" s="700" t="s">
        <v>35</v>
      </c>
      <c r="I114" s="701">
        <f ca="1">IFERROR(__xludf.DUMMYFUNCTION("IMPORTRANGE(""https://docs.google.com/spreadsheets/d/1eHaY18a8A9IcSdp1K8H6x8fbOy06t2VsZHhMHf-1x7Y/edit?usp=sharing"",""แผน!O16"")"),10)</f>
        <v>10</v>
      </c>
      <c r="J114" s="702">
        <v>10</v>
      </c>
      <c r="K114" s="568">
        <f t="shared" ca="1" si="72"/>
        <v>100</v>
      </c>
      <c r="L114" s="566"/>
      <c r="M114" s="566"/>
      <c r="N114" s="566"/>
      <c r="O114" s="684"/>
      <c r="P114" s="684"/>
      <c r="Q114" s="566"/>
      <c r="R114" s="566"/>
      <c r="S114" s="566"/>
      <c r="T114" s="684"/>
      <c r="U114" s="684"/>
    </row>
    <row r="115" spans="1:21" ht="19.5" x14ac:dyDescent="0.3">
      <c r="A115" s="709" t="s">
        <v>51</v>
      </c>
      <c r="B115" s="710"/>
      <c r="C115" s="711"/>
      <c r="D115" s="712"/>
      <c r="E115" s="712"/>
      <c r="F115" s="712"/>
      <c r="G115" s="712"/>
      <c r="H115" s="710"/>
      <c r="I115" s="713"/>
      <c r="J115" s="713"/>
      <c r="K115" s="714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</row>
    <row r="116" spans="1:21" ht="19.5" x14ac:dyDescent="0.3">
      <c r="A116" s="669"/>
      <c r="B116" s="715" t="s">
        <v>52</v>
      </c>
      <c r="C116" s="716"/>
      <c r="D116" s="670"/>
      <c r="E116" s="543"/>
      <c r="F116" s="543"/>
      <c r="G116" s="546"/>
      <c r="H116" s="717" t="s">
        <v>35</v>
      </c>
      <c r="I116" s="672">
        <f t="shared" ref="I116:J116" ca="1" si="73">I127</f>
        <v>20</v>
      </c>
      <c r="J116" s="672">
        <f t="shared" si="73"/>
        <v>20</v>
      </c>
      <c r="K116" s="551">
        <f ca="1">IF(I116&gt;0,J116*100/I116,0)</f>
        <v>100</v>
      </c>
      <c r="L116" s="673"/>
      <c r="M116" s="549"/>
      <c r="N116" s="549"/>
      <c r="O116" s="549"/>
      <c r="P116" s="549"/>
      <c r="Q116" s="549"/>
      <c r="R116" s="549"/>
      <c r="S116" s="549"/>
      <c r="T116" s="549"/>
      <c r="U116" s="549"/>
    </row>
    <row r="117" spans="1:21" ht="19.5" x14ac:dyDescent="0.3">
      <c r="A117" s="674"/>
      <c r="B117" s="718"/>
      <c r="C117" s="719" t="s">
        <v>18</v>
      </c>
      <c r="D117" s="676" t="s">
        <v>19</v>
      </c>
      <c r="E117" s="561"/>
      <c r="F117" s="561"/>
      <c r="G117" s="563"/>
      <c r="H117" s="677" t="s">
        <v>14</v>
      </c>
      <c r="I117" s="565"/>
      <c r="J117" s="565"/>
      <c r="K117" s="566"/>
      <c r="L117" s="678">
        <f t="shared" ref="L117:N117" ca="1" si="74">L118+L119</f>
        <v>0</v>
      </c>
      <c r="M117" s="679">
        <f t="shared" ca="1" si="74"/>
        <v>0</v>
      </c>
      <c r="N117" s="679">
        <f t="shared" ca="1" si="74"/>
        <v>0</v>
      </c>
      <c r="O117" s="679">
        <f t="shared" ref="O117:O125" ca="1" si="75">IF(L117&gt;0,N117*100/L117,0)</f>
        <v>0</v>
      </c>
      <c r="P117" s="679">
        <f t="shared" ref="P117:P125" ca="1" si="76">IF(M117&gt;0,N117*100/M117,0)</f>
        <v>0</v>
      </c>
      <c r="Q117" s="679">
        <f t="shared" ref="Q117:S117" ca="1" si="77">Q118+Q119</f>
        <v>209360</v>
      </c>
      <c r="R117" s="679">
        <f t="shared" ca="1" si="77"/>
        <v>209360</v>
      </c>
      <c r="S117" s="679">
        <f t="shared" ca="1" si="77"/>
        <v>118920</v>
      </c>
      <c r="T117" s="679">
        <f t="shared" ref="T117:T125" ca="1" si="78">IF(Q117&gt;0,S117*100/Q117,0)</f>
        <v>56.801681314482231</v>
      </c>
      <c r="U117" s="679">
        <f t="shared" ref="U117:U125" ca="1" si="79">IF(R117&gt;0,S117*100/R117,0)</f>
        <v>56.801681314482231</v>
      </c>
    </row>
    <row r="118" spans="1:21" ht="18.75" x14ac:dyDescent="0.25">
      <c r="A118" s="674"/>
      <c r="B118" s="718"/>
      <c r="C118" s="718"/>
      <c r="D118" s="718"/>
      <c r="E118" s="569" t="s">
        <v>20</v>
      </c>
      <c r="F118" s="561"/>
      <c r="G118" s="563"/>
      <c r="H118" s="680" t="s">
        <v>14</v>
      </c>
      <c r="I118" s="565"/>
      <c r="J118" s="565"/>
      <c r="K118" s="566"/>
      <c r="L118" s="571">
        <f t="shared" ref="L118:N119" si="80">L121+L124</f>
        <v>0</v>
      </c>
      <c r="M118" s="572">
        <f t="shared" si="80"/>
        <v>0</v>
      </c>
      <c r="N118" s="572">
        <f t="shared" si="80"/>
        <v>0</v>
      </c>
      <c r="O118" s="572">
        <f t="shared" si="75"/>
        <v>0</v>
      </c>
      <c r="P118" s="572">
        <f t="shared" si="76"/>
        <v>0</v>
      </c>
      <c r="Q118" s="572">
        <f t="shared" ref="Q118:S119" si="81">Q121+Q124</f>
        <v>0</v>
      </c>
      <c r="R118" s="572">
        <f t="shared" si="81"/>
        <v>0</v>
      </c>
      <c r="S118" s="572">
        <f t="shared" si="81"/>
        <v>0</v>
      </c>
      <c r="T118" s="572">
        <f t="shared" si="78"/>
        <v>0</v>
      </c>
      <c r="U118" s="572">
        <f t="shared" si="79"/>
        <v>0</v>
      </c>
    </row>
    <row r="119" spans="1:21" ht="18.75" x14ac:dyDescent="0.25">
      <c r="A119" s="674"/>
      <c r="B119" s="718"/>
      <c r="C119" s="718"/>
      <c r="D119" s="718"/>
      <c r="E119" s="573" t="s">
        <v>21</v>
      </c>
      <c r="F119" s="561"/>
      <c r="G119" s="563"/>
      <c r="H119" s="681" t="s">
        <v>14</v>
      </c>
      <c r="I119" s="565"/>
      <c r="J119" s="565"/>
      <c r="K119" s="566"/>
      <c r="L119" s="567">
        <f t="shared" ca="1" si="80"/>
        <v>0</v>
      </c>
      <c r="M119" s="568">
        <f t="shared" ca="1" si="80"/>
        <v>0</v>
      </c>
      <c r="N119" s="568">
        <f t="shared" ca="1" si="80"/>
        <v>0</v>
      </c>
      <c r="O119" s="568">
        <f t="shared" ca="1" si="75"/>
        <v>0</v>
      </c>
      <c r="P119" s="568">
        <f t="shared" ca="1" si="76"/>
        <v>0</v>
      </c>
      <c r="Q119" s="568">
        <f t="shared" ca="1" si="81"/>
        <v>209360</v>
      </c>
      <c r="R119" s="568">
        <f t="shared" ca="1" si="81"/>
        <v>209360</v>
      </c>
      <c r="S119" s="568">
        <f t="shared" ca="1" si="81"/>
        <v>118920</v>
      </c>
      <c r="T119" s="568">
        <f t="shared" ca="1" si="78"/>
        <v>56.801681314482231</v>
      </c>
      <c r="U119" s="568">
        <f t="shared" ca="1" si="79"/>
        <v>56.801681314482231</v>
      </c>
    </row>
    <row r="120" spans="1:21" ht="18.75" x14ac:dyDescent="0.25">
      <c r="A120" s="674"/>
      <c r="B120" s="718"/>
      <c r="C120" s="720"/>
      <c r="D120" s="721" t="s">
        <v>22</v>
      </c>
      <c r="E120" s="561"/>
      <c r="F120" s="561"/>
      <c r="G120" s="563"/>
      <c r="H120" s="722" t="s">
        <v>14</v>
      </c>
      <c r="I120" s="565"/>
      <c r="J120" s="565"/>
      <c r="K120" s="566"/>
      <c r="L120" s="567">
        <f t="shared" ref="L120:N120" ca="1" si="82">L121+L122</f>
        <v>0</v>
      </c>
      <c r="M120" s="568">
        <f t="shared" ca="1" si="82"/>
        <v>0</v>
      </c>
      <c r="N120" s="568">
        <f t="shared" ca="1" si="82"/>
        <v>0</v>
      </c>
      <c r="O120" s="568">
        <f t="shared" ca="1" si="75"/>
        <v>0</v>
      </c>
      <c r="P120" s="568">
        <f t="shared" ca="1" si="76"/>
        <v>0</v>
      </c>
      <c r="Q120" s="568">
        <f t="shared" ref="Q120:S120" ca="1" si="83">Q121+Q122</f>
        <v>209360</v>
      </c>
      <c r="R120" s="568">
        <f t="shared" ca="1" si="83"/>
        <v>209360</v>
      </c>
      <c r="S120" s="568">
        <f t="shared" ca="1" si="83"/>
        <v>118920</v>
      </c>
      <c r="T120" s="568">
        <f t="shared" ca="1" si="78"/>
        <v>56.801681314482231</v>
      </c>
      <c r="U120" s="568">
        <f t="shared" ca="1" si="79"/>
        <v>56.801681314482231</v>
      </c>
    </row>
    <row r="121" spans="1:21" ht="18.75" x14ac:dyDescent="0.25">
      <c r="A121" s="674"/>
      <c r="B121" s="718"/>
      <c r="C121" s="720"/>
      <c r="D121" s="718"/>
      <c r="E121" s="569" t="s">
        <v>36</v>
      </c>
      <c r="F121" s="561"/>
      <c r="G121" s="563"/>
      <c r="H121" s="723" t="s">
        <v>14</v>
      </c>
      <c r="I121" s="565"/>
      <c r="J121" s="565"/>
      <c r="K121" s="566"/>
      <c r="L121" s="571">
        <v>0</v>
      </c>
      <c r="M121" s="572">
        <v>0</v>
      </c>
      <c r="N121" s="572">
        <v>0</v>
      </c>
      <c r="O121" s="572">
        <f t="shared" si="75"/>
        <v>0</v>
      </c>
      <c r="P121" s="572">
        <f t="shared" si="76"/>
        <v>0</v>
      </c>
      <c r="Q121" s="572">
        <v>0</v>
      </c>
      <c r="R121" s="572">
        <v>0</v>
      </c>
      <c r="S121" s="572">
        <v>0</v>
      </c>
      <c r="T121" s="572">
        <f t="shared" si="78"/>
        <v>0</v>
      </c>
      <c r="U121" s="572">
        <f t="shared" si="79"/>
        <v>0</v>
      </c>
    </row>
    <row r="122" spans="1:21" ht="18.75" x14ac:dyDescent="0.25">
      <c r="A122" s="674"/>
      <c r="B122" s="718"/>
      <c r="C122" s="720"/>
      <c r="D122" s="718"/>
      <c r="E122" s="573" t="s">
        <v>37</v>
      </c>
      <c r="F122" s="561"/>
      <c r="G122" s="563"/>
      <c r="H122" s="722" t="s">
        <v>14</v>
      </c>
      <c r="I122" s="565"/>
      <c r="J122" s="565"/>
      <c r="K122" s="566"/>
      <c r="L122" s="567">
        <f ca="1">IFERROR(__xludf.DUMMYFUNCTION("IMPORTRANGE(""https://docs.google.com/spreadsheets/d/1-uDff_7J0KD5mKrp0Vvzr7lt3OU09vwQwhkpOPPYv2Y/edit?usp=sharing"",""งบพรบ!BG16"")"),0)</f>
        <v>0</v>
      </c>
      <c r="M122" s="568">
        <f ca="1">IFERROR(__xludf.DUMMYFUNCTION("IMPORTRANGE(""https://docs.google.com/spreadsheets/d/1-uDff_7J0KD5mKrp0Vvzr7lt3OU09vwQwhkpOPPYv2Y/edit?usp=sharing"",""งบพรบ!BL16"")"),0)</f>
        <v>0</v>
      </c>
      <c r="N122" s="568">
        <f ca="1">IFERROR(__xludf.DUMMYFUNCTION("IMPORTRANGE(""https://docs.google.com/spreadsheets/d/1-uDff_7J0KD5mKrp0Vvzr7lt3OU09vwQwhkpOPPYv2Y/edit?usp=sharing"",""งบพรบ!BN16"")"),0)</f>
        <v>0</v>
      </c>
      <c r="O122" s="568">
        <f t="shared" ca="1" si="75"/>
        <v>0</v>
      </c>
      <c r="P122" s="568">
        <f t="shared" ca="1" si="76"/>
        <v>0</v>
      </c>
      <c r="Q122" s="568">
        <f ca="1">IFERROR(__xludf.DUMMYFUNCTION("IMPORTRANGE(""https://docs.google.com/spreadsheets/d/1ItG2mGa2ceCfYo0BwxsXqNm01IGEUdYcSSLTEv9YCik/edit?usp=sharing"",""เบิกจ่ายกองทุน!U16"")"),209360)</f>
        <v>209360</v>
      </c>
      <c r="R122" s="568">
        <f ca="1">IFERROR(__xludf.DUMMYFUNCTION("IMPORTRANGE(""https://docs.google.com/spreadsheets/d/1ItG2mGa2ceCfYo0BwxsXqNm01IGEUdYcSSLTEv9YCik/edit?usp=sharing"",""เบิกจ่ายกองทุน!V16"")"),209360)</f>
        <v>209360</v>
      </c>
      <c r="S122" s="568">
        <f ca="1">IFERROR(__xludf.DUMMYFUNCTION("IMPORTRANGE(""https://docs.google.com/spreadsheets/d/1ItG2mGa2ceCfYo0BwxsXqNm01IGEUdYcSSLTEv9YCik/edit?usp=sharing"",""เบิกจ่ายกองทุน!W16"")"),118920)</f>
        <v>118920</v>
      </c>
      <c r="T122" s="568">
        <f t="shared" ca="1" si="78"/>
        <v>56.801681314482231</v>
      </c>
      <c r="U122" s="568">
        <f t="shared" ca="1" si="79"/>
        <v>56.801681314482231</v>
      </c>
    </row>
    <row r="123" spans="1:21" ht="18.75" x14ac:dyDescent="0.25">
      <c r="A123" s="674"/>
      <c r="B123" s="561"/>
      <c r="C123" s="720"/>
      <c r="D123" s="721" t="s">
        <v>23</v>
      </c>
      <c r="E123" s="561"/>
      <c r="F123" s="561"/>
      <c r="G123" s="563"/>
      <c r="H123" s="681" t="s">
        <v>14</v>
      </c>
      <c r="I123" s="565"/>
      <c r="J123" s="565"/>
      <c r="K123" s="566"/>
      <c r="L123" s="567">
        <f t="shared" ref="L123:N123" ca="1" si="84">L124+L125</f>
        <v>0</v>
      </c>
      <c r="M123" s="568">
        <f t="shared" ca="1" si="84"/>
        <v>0</v>
      </c>
      <c r="N123" s="568">
        <f t="shared" ca="1" si="84"/>
        <v>0</v>
      </c>
      <c r="O123" s="568">
        <f t="shared" ca="1" si="75"/>
        <v>0</v>
      </c>
      <c r="P123" s="568">
        <f t="shared" ca="1" si="76"/>
        <v>0</v>
      </c>
      <c r="Q123" s="568">
        <f t="shared" ref="Q123:S123" ca="1" si="85">Q124+Q125</f>
        <v>0</v>
      </c>
      <c r="R123" s="568">
        <f t="shared" ca="1" si="85"/>
        <v>0</v>
      </c>
      <c r="S123" s="568">
        <f t="shared" ca="1" si="85"/>
        <v>0</v>
      </c>
      <c r="T123" s="568">
        <f t="shared" ca="1" si="78"/>
        <v>0</v>
      </c>
      <c r="U123" s="568">
        <f t="shared" ca="1" si="79"/>
        <v>0</v>
      </c>
    </row>
    <row r="124" spans="1:21" ht="18.75" x14ac:dyDescent="0.25">
      <c r="A124" s="674"/>
      <c r="B124" s="561"/>
      <c r="C124" s="720"/>
      <c r="D124" s="718"/>
      <c r="E124" s="569" t="s">
        <v>20</v>
      </c>
      <c r="F124" s="561"/>
      <c r="G124" s="563"/>
      <c r="H124" s="723" t="s">
        <v>14</v>
      </c>
      <c r="I124" s="565"/>
      <c r="J124" s="565"/>
      <c r="K124" s="566"/>
      <c r="L124" s="571">
        <v>0</v>
      </c>
      <c r="M124" s="572">
        <v>0</v>
      </c>
      <c r="N124" s="572">
        <v>0</v>
      </c>
      <c r="O124" s="572">
        <f t="shared" si="75"/>
        <v>0</v>
      </c>
      <c r="P124" s="572">
        <f t="shared" si="76"/>
        <v>0</v>
      </c>
      <c r="Q124" s="572">
        <v>0</v>
      </c>
      <c r="R124" s="572">
        <v>0</v>
      </c>
      <c r="S124" s="572">
        <v>0</v>
      </c>
      <c r="T124" s="572">
        <f t="shared" si="78"/>
        <v>0</v>
      </c>
      <c r="U124" s="572">
        <f t="shared" si="79"/>
        <v>0</v>
      </c>
    </row>
    <row r="125" spans="1:21" ht="18.75" x14ac:dyDescent="0.25">
      <c r="A125" s="674"/>
      <c r="B125" s="561"/>
      <c r="C125" s="561"/>
      <c r="D125" s="561"/>
      <c r="E125" s="573" t="s">
        <v>21</v>
      </c>
      <c r="F125" s="561"/>
      <c r="G125" s="563"/>
      <c r="H125" s="681" t="s">
        <v>14</v>
      </c>
      <c r="I125" s="565"/>
      <c r="J125" s="565"/>
      <c r="K125" s="566"/>
      <c r="L125" s="567">
        <f ca="1">IFERROR(__xludf.DUMMYFUNCTION("IMPORTRANGE(""https://docs.google.com/spreadsheets/d/1-uDff_7J0KD5mKrp0Vvzr7lt3OU09vwQwhkpOPPYv2Y/edit?usp=sharing"",""งบพรบ!BJ16"")"),0)</f>
        <v>0</v>
      </c>
      <c r="M125" s="568">
        <f ca="1">IFERROR(__xludf.DUMMYFUNCTION("IMPORTRANGE(""https://docs.google.com/spreadsheets/d/1-uDff_7J0KD5mKrp0Vvzr7lt3OU09vwQwhkpOPPYv2Y/edit?usp=sharing"",""งบพรบ!BM16"")"),0)</f>
        <v>0</v>
      </c>
      <c r="N125" s="568">
        <f ca="1">IFERROR(__xludf.DUMMYFUNCTION("IMPORTRANGE(""https://docs.google.com/spreadsheets/d/1-uDff_7J0KD5mKrp0Vvzr7lt3OU09vwQwhkpOPPYv2Y/edit?usp=sharing"",""งบพรบ!BO16"")"),0)</f>
        <v>0</v>
      </c>
      <c r="O125" s="568">
        <f t="shared" ca="1" si="75"/>
        <v>0</v>
      </c>
      <c r="P125" s="568">
        <f t="shared" ca="1" si="76"/>
        <v>0</v>
      </c>
      <c r="Q125" s="568">
        <f ca="1">IFERROR(__xludf.DUMMYFUNCTION("IMPORTRANGE(""https://docs.google.com/spreadsheets/d/1ItG2mGa2ceCfYo0BwxsXqNm01IGEUdYcSSLTEv9YCik/edit?usp=sharing"",""เบิกจ่ายกองทุน!X16"")"),0)</f>
        <v>0</v>
      </c>
      <c r="R125" s="568">
        <f ca="1">IFERROR(__xludf.DUMMYFUNCTION("IMPORTRANGE(""https://docs.google.com/spreadsheets/d/1ItG2mGa2ceCfYo0BwxsXqNm01IGEUdYcSSLTEv9YCik/edit?usp=sharing"",""เบิกจ่ายกองทุน!Y16"")"),0)</f>
        <v>0</v>
      </c>
      <c r="S125" s="568">
        <f ca="1">IFERROR(__xludf.DUMMYFUNCTION("IMPORTRANGE(""https://docs.google.com/spreadsheets/d/1ItG2mGa2ceCfYo0BwxsXqNm01IGEUdYcSSLTEv9YCik/edit?usp=sharing"",""เบิกจ่ายกองทุน!Z16"")"),0)</f>
        <v>0</v>
      </c>
      <c r="T125" s="568">
        <f t="shared" ca="1" si="78"/>
        <v>0</v>
      </c>
      <c r="U125" s="568">
        <f t="shared" ca="1" si="79"/>
        <v>0</v>
      </c>
    </row>
    <row r="126" spans="1:21" ht="19.5" x14ac:dyDescent="0.3">
      <c r="A126" s="687"/>
      <c r="B126" s="688"/>
      <c r="C126" s="724" t="s">
        <v>18</v>
      </c>
      <c r="D126" s="689" t="s">
        <v>38</v>
      </c>
      <c r="E126" s="690"/>
      <c r="F126" s="690"/>
      <c r="G126" s="691"/>
      <c r="H126" s="725"/>
      <c r="I126" s="565"/>
      <c r="J126" s="565"/>
      <c r="K126" s="566"/>
      <c r="L126" s="574"/>
      <c r="M126" s="566"/>
      <c r="N126" s="566"/>
      <c r="O126" s="566"/>
      <c r="P126" s="566"/>
      <c r="Q126" s="566"/>
      <c r="R126" s="566"/>
      <c r="S126" s="566"/>
      <c r="T126" s="566"/>
      <c r="U126" s="566"/>
    </row>
    <row r="127" spans="1:21" ht="18.75" x14ac:dyDescent="0.25">
      <c r="A127" s="687"/>
      <c r="B127" s="688"/>
      <c r="C127" s="688"/>
      <c r="D127" s="699" t="s">
        <v>53</v>
      </c>
      <c r="E127" s="695"/>
      <c r="F127" s="695"/>
      <c r="G127" s="692"/>
      <c r="H127" s="681" t="s">
        <v>35</v>
      </c>
      <c r="I127" s="708">
        <f ca="1">IFERROR(__xludf.DUMMYFUNCTION("IMPORTRANGE(""https://docs.google.com/spreadsheets/d/1eHaY18a8A9IcSdp1K8H6x8fbOy06t2VsZHhMHf-1x7Y/edit?usp=sharing"",""แผน!FF16"")"),20)</f>
        <v>20</v>
      </c>
      <c r="J127" s="702">
        <v>20</v>
      </c>
      <c r="K127" s="568">
        <f t="shared" ref="K127:K130" ca="1" si="86">IF(I127&gt;0,J127*100/I127,0)</f>
        <v>100</v>
      </c>
      <c r="L127" s="574"/>
      <c r="M127" s="566"/>
      <c r="N127" s="566"/>
      <c r="O127" s="566"/>
      <c r="P127" s="566"/>
      <c r="Q127" s="566"/>
      <c r="R127" s="566"/>
      <c r="S127" s="566"/>
      <c r="T127" s="566"/>
      <c r="U127" s="566"/>
    </row>
    <row r="128" spans="1:21" ht="18.75" x14ac:dyDescent="0.25">
      <c r="A128" s="687"/>
      <c r="B128" s="688"/>
      <c r="C128" s="688"/>
      <c r="D128" s="695"/>
      <c r="E128" s="695"/>
      <c r="F128" s="695"/>
      <c r="G128" s="692"/>
      <c r="H128" s="681" t="s">
        <v>54</v>
      </c>
      <c r="I128" s="708">
        <f ca="1">IFERROR(__xludf.DUMMYFUNCTION("IMPORTRANGE(""https://docs.google.com/spreadsheets/d/1eHaY18a8A9IcSdp1K8H6x8fbOy06t2VsZHhMHf-1x7Y/edit?usp=sharing"",""แผน!FG16"")"),0)</f>
        <v>0</v>
      </c>
      <c r="J128" s="702">
        <v>0</v>
      </c>
      <c r="K128" s="568">
        <f t="shared" ca="1" si="86"/>
        <v>0</v>
      </c>
      <c r="L128" s="574"/>
      <c r="M128" s="566"/>
      <c r="N128" s="566"/>
      <c r="O128" s="566"/>
      <c r="P128" s="566"/>
      <c r="Q128" s="566"/>
      <c r="R128" s="566"/>
      <c r="S128" s="566"/>
      <c r="T128" s="566"/>
      <c r="U128" s="566"/>
    </row>
    <row r="129" spans="1:21" ht="18.75" x14ac:dyDescent="0.25">
      <c r="A129" s="687"/>
      <c r="B129" s="688"/>
      <c r="C129" s="688"/>
      <c r="D129" s="699" t="s">
        <v>55</v>
      </c>
      <c r="E129" s="695"/>
      <c r="F129" s="695"/>
      <c r="G129" s="692"/>
      <c r="H129" s="681" t="s">
        <v>35</v>
      </c>
      <c r="I129" s="708">
        <f ca="1">IFERROR(__xludf.DUMMYFUNCTION("IMPORTRANGE(""https://docs.google.com/spreadsheets/d/1eHaY18a8A9IcSdp1K8H6x8fbOy06t2VsZHhMHf-1x7Y/edit?usp=sharing"",""แผน!FH16"")"),20)</f>
        <v>20</v>
      </c>
      <c r="J129" s="702">
        <v>20</v>
      </c>
      <c r="K129" s="568">
        <f t="shared" ca="1" si="86"/>
        <v>100</v>
      </c>
      <c r="L129" s="574"/>
      <c r="M129" s="566"/>
      <c r="N129" s="566"/>
      <c r="O129" s="566"/>
      <c r="P129" s="566"/>
      <c r="Q129" s="566"/>
      <c r="R129" s="566"/>
      <c r="S129" s="566"/>
      <c r="T129" s="566"/>
      <c r="U129" s="566"/>
    </row>
    <row r="130" spans="1:21" ht="18.75" x14ac:dyDescent="0.25">
      <c r="A130" s="687"/>
      <c r="B130" s="688"/>
      <c r="C130" s="688"/>
      <c r="D130" s="695"/>
      <c r="E130" s="695"/>
      <c r="F130" s="695"/>
      <c r="G130" s="692"/>
      <c r="H130" s="681" t="s">
        <v>54</v>
      </c>
      <c r="I130" s="708">
        <f ca="1">IFERROR(__xludf.DUMMYFUNCTION("IMPORTRANGE(""https://docs.google.com/spreadsheets/d/1eHaY18a8A9IcSdp1K8H6x8fbOy06t2VsZHhMHf-1x7Y/edit?usp=sharing"",""แผน!FI16"")"),0)</f>
        <v>0</v>
      </c>
      <c r="J130" s="702">
        <v>0</v>
      </c>
      <c r="K130" s="568">
        <f t="shared" ca="1" si="86"/>
        <v>0</v>
      </c>
      <c r="L130" s="574"/>
      <c r="M130" s="566"/>
      <c r="N130" s="566"/>
      <c r="O130" s="566"/>
      <c r="P130" s="566"/>
      <c r="Q130" s="566"/>
      <c r="R130" s="566"/>
      <c r="S130" s="566"/>
      <c r="T130" s="566"/>
      <c r="U130" s="566"/>
    </row>
    <row r="131" spans="1:21" ht="18.75" hidden="1" x14ac:dyDescent="0.25">
      <c r="A131" s="687"/>
      <c r="B131" s="688"/>
      <c r="C131" s="688"/>
      <c r="D131" s="726" t="s">
        <v>56</v>
      </c>
      <c r="E131" s="695"/>
      <c r="F131" s="695"/>
      <c r="G131" s="692"/>
      <c r="H131" s="680" t="s">
        <v>35</v>
      </c>
      <c r="I131" s="565"/>
      <c r="J131" s="565"/>
      <c r="K131" s="566"/>
      <c r="L131" s="574"/>
      <c r="M131" s="566"/>
      <c r="N131" s="566"/>
      <c r="O131" s="566"/>
      <c r="P131" s="566"/>
      <c r="Q131" s="566"/>
      <c r="R131" s="566"/>
      <c r="S131" s="566"/>
      <c r="T131" s="566"/>
      <c r="U131" s="566"/>
    </row>
    <row r="132" spans="1:21" ht="18.75" hidden="1" x14ac:dyDescent="0.25">
      <c r="A132" s="687"/>
      <c r="B132" s="688"/>
      <c r="C132" s="688"/>
      <c r="D132" s="726" t="s">
        <v>57</v>
      </c>
      <c r="E132" s="695"/>
      <c r="F132" s="695"/>
      <c r="G132" s="692"/>
      <c r="H132" s="727"/>
      <c r="I132" s="565"/>
      <c r="J132" s="565"/>
      <c r="K132" s="566"/>
      <c r="L132" s="574"/>
      <c r="M132" s="566"/>
      <c r="N132" s="566"/>
      <c r="O132" s="566"/>
      <c r="P132" s="566"/>
      <c r="Q132" s="566"/>
      <c r="R132" s="566"/>
      <c r="S132" s="566"/>
      <c r="T132" s="566"/>
      <c r="U132" s="566"/>
    </row>
    <row r="133" spans="1:21" ht="12.75" hidden="1" x14ac:dyDescent="0.2">
      <c r="A133" s="705"/>
      <c r="B133" s="706"/>
      <c r="C133" s="706"/>
      <c r="D133" s="531"/>
      <c r="E133" s="531"/>
      <c r="F133" s="531"/>
      <c r="G133" s="532"/>
      <c r="H133" s="728"/>
      <c r="I133" s="533"/>
      <c r="J133" s="533"/>
      <c r="K133" s="534"/>
      <c r="L133" s="535"/>
      <c r="M133" s="534"/>
      <c r="N133" s="534"/>
      <c r="O133" s="534"/>
      <c r="P133" s="534"/>
      <c r="Q133" s="534"/>
      <c r="R133" s="534"/>
      <c r="S133" s="534"/>
      <c r="T133" s="534"/>
      <c r="U133" s="534"/>
    </row>
    <row r="134" spans="1:21" ht="19.5" x14ac:dyDescent="0.3">
      <c r="A134" s="662" t="s">
        <v>58</v>
      </c>
      <c r="B134" s="663"/>
      <c r="C134" s="729"/>
      <c r="D134" s="663"/>
      <c r="E134" s="663"/>
      <c r="F134" s="663"/>
      <c r="G134" s="663"/>
      <c r="H134" s="663"/>
      <c r="I134" s="730"/>
      <c r="J134" s="730"/>
      <c r="K134" s="731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</row>
    <row r="135" spans="1:21" ht="19.5" x14ac:dyDescent="0.3">
      <c r="A135" s="669"/>
      <c r="B135" s="544" t="s">
        <v>59</v>
      </c>
      <c r="C135" s="716"/>
      <c r="D135" s="670"/>
      <c r="E135" s="543"/>
      <c r="F135" s="543"/>
      <c r="G135" s="543"/>
      <c r="H135" s="543"/>
      <c r="I135" s="732"/>
      <c r="J135" s="548"/>
      <c r="K135" s="549"/>
      <c r="L135" s="673"/>
      <c r="M135" s="549"/>
      <c r="N135" s="549"/>
      <c r="O135" s="549"/>
      <c r="P135" s="549"/>
      <c r="Q135" s="549"/>
      <c r="R135" s="549"/>
      <c r="S135" s="549"/>
      <c r="T135" s="549"/>
      <c r="U135" s="549"/>
    </row>
    <row r="136" spans="1:21" ht="19.5" x14ac:dyDescent="0.3">
      <c r="A136" s="669"/>
      <c r="B136" s="543"/>
      <c r="C136" s="733" t="s">
        <v>60</v>
      </c>
      <c r="D136" s="670"/>
      <c r="E136" s="543"/>
      <c r="F136" s="543"/>
      <c r="G136" s="546"/>
      <c r="H136" s="671" t="s">
        <v>61</v>
      </c>
      <c r="I136" s="672">
        <f t="shared" ref="I136:J136" ca="1" si="87">I154</f>
        <v>1</v>
      </c>
      <c r="J136" s="672">
        <f t="shared" si="87"/>
        <v>0</v>
      </c>
      <c r="K136" s="551">
        <f t="shared" ref="K136:K138" ca="1" si="88">IF(I136&gt;0,J136*100/I136,0)</f>
        <v>0</v>
      </c>
      <c r="L136" s="673"/>
      <c r="M136" s="549"/>
      <c r="N136" s="549"/>
      <c r="O136" s="549"/>
      <c r="P136" s="549"/>
      <c r="Q136" s="549"/>
      <c r="R136" s="549"/>
      <c r="S136" s="549"/>
      <c r="T136" s="549"/>
      <c r="U136" s="549"/>
    </row>
    <row r="137" spans="1:21" ht="19.5" x14ac:dyDescent="0.3">
      <c r="A137" s="669"/>
      <c r="B137" s="543"/>
      <c r="C137" s="733" t="s">
        <v>62</v>
      </c>
      <c r="D137" s="670"/>
      <c r="E137" s="543"/>
      <c r="F137" s="543"/>
      <c r="G137" s="546"/>
      <c r="H137" s="671" t="s">
        <v>35</v>
      </c>
      <c r="I137" s="672">
        <f t="shared" ref="I137:J138" ca="1" si="89">I152</f>
        <v>20</v>
      </c>
      <c r="J137" s="672">
        <f t="shared" si="89"/>
        <v>20</v>
      </c>
      <c r="K137" s="551">
        <f t="shared" ca="1" si="88"/>
        <v>100</v>
      </c>
      <c r="L137" s="673"/>
      <c r="M137" s="549"/>
      <c r="N137" s="549"/>
      <c r="O137" s="549"/>
      <c r="P137" s="549"/>
      <c r="Q137" s="549"/>
      <c r="R137" s="549"/>
      <c r="S137" s="549"/>
      <c r="T137" s="549"/>
      <c r="U137" s="549"/>
    </row>
    <row r="138" spans="1:21" ht="19.5" x14ac:dyDescent="0.3">
      <c r="A138" s="669"/>
      <c r="B138" s="543"/>
      <c r="C138" s="716"/>
      <c r="D138" s="670"/>
      <c r="E138" s="543"/>
      <c r="F138" s="543"/>
      <c r="G138" s="546"/>
      <c r="H138" s="671" t="s">
        <v>54</v>
      </c>
      <c r="I138" s="672">
        <f t="shared" ca="1" si="89"/>
        <v>2</v>
      </c>
      <c r="J138" s="672">
        <f t="shared" si="89"/>
        <v>2</v>
      </c>
      <c r="K138" s="551">
        <f t="shared" ca="1" si="88"/>
        <v>100</v>
      </c>
      <c r="L138" s="673"/>
      <c r="M138" s="549"/>
      <c r="N138" s="549"/>
      <c r="O138" s="549"/>
      <c r="P138" s="549"/>
      <c r="Q138" s="549"/>
      <c r="R138" s="549"/>
      <c r="S138" s="549"/>
      <c r="T138" s="549"/>
      <c r="U138" s="549"/>
    </row>
    <row r="139" spans="1:21" ht="19.5" x14ac:dyDescent="0.3">
      <c r="A139" s="674"/>
      <c r="B139" s="561"/>
      <c r="C139" s="675" t="s">
        <v>18</v>
      </c>
      <c r="D139" s="676" t="s">
        <v>19</v>
      </c>
      <c r="E139" s="561"/>
      <c r="F139" s="561"/>
      <c r="G139" s="563"/>
      <c r="H139" s="677" t="s">
        <v>14</v>
      </c>
      <c r="I139" s="565"/>
      <c r="J139" s="565"/>
      <c r="K139" s="566"/>
      <c r="L139" s="678">
        <f t="shared" ref="L139:N139" ca="1" si="90">L140+L141</f>
        <v>137700</v>
      </c>
      <c r="M139" s="679">
        <f t="shared" ca="1" si="90"/>
        <v>132700</v>
      </c>
      <c r="N139" s="679">
        <f t="shared" ca="1" si="90"/>
        <v>108806</v>
      </c>
      <c r="O139" s="679">
        <f t="shared" ref="O139:O147" ca="1" si="91">IF(L139&gt;0,N139*100/L139,0)</f>
        <v>79.016702977487284</v>
      </c>
      <c r="P139" s="679">
        <f t="shared" ref="P139:P147" ca="1" si="92">IF(M139&gt;0,N139*100/M139,0)</f>
        <v>81.993971363978901</v>
      </c>
      <c r="Q139" s="679">
        <f t="shared" ref="Q139:S139" ca="1" si="93">Q140+Q141</f>
        <v>174860</v>
      </c>
      <c r="R139" s="679">
        <f t="shared" ca="1" si="93"/>
        <v>0</v>
      </c>
      <c r="S139" s="679">
        <f t="shared" ca="1" si="93"/>
        <v>0</v>
      </c>
      <c r="T139" s="679">
        <f t="shared" ref="T139:T147" ca="1" si="94">IF(Q139&gt;0,S139*100/Q139,0)</f>
        <v>0</v>
      </c>
      <c r="U139" s="679">
        <f t="shared" ref="U139:U147" ca="1" si="95">IF(R139&gt;0,S139*100/R139,0)</f>
        <v>0</v>
      </c>
    </row>
    <row r="140" spans="1:21" ht="18.75" x14ac:dyDescent="0.25">
      <c r="A140" s="674"/>
      <c r="B140" s="561"/>
      <c r="C140" s="561"/>
      <c r="D140" s="561"/>
      <c r="E140" s="569" t="s">
        <v>20</v>
      </c>
      <c r="F140" s="561"/>
      <c r="G140" s="563"/>
      <c r="H140" s="680" t="s">
        <v>14</v>
      </c>
      <c r="I140" s="565"/>
      <c r="J140" s="565"/>
      <c r="K140" s="566"/>
      <c r="L140" s="571">
        <f t="shared" ref="L140:N141" si="96">L143+L146</f>
        <v>0</v>
      </c>
      <c r="M140" s="572">
        <f t="shared" si="96"/>
        <v>0</v>
      </c>
      <c r="N140" s="572">
        <f t="shared" si="96"/>
        <v>0</v>
      </c>
      <c r="O140" s="572">
        <f t="shared" si="91"/>
        <v>0</v>
      </c>
      <c r="P140" s="572">
        <f t="shared" si="92"/>
        <v>0</v>
      </c>
      <c r="Q140" s="572">
        <f t="shared" ref="Q140:S141" si="97">Q143+Q146</f>
        <v>0</v>
      </c>
      <c r="R140" s="572">
        <f t="shared" si="97"/>
        <v>0</v>
      </c>
      <c r="S140" s="572">
        <f t="shared" si="97"/>
        <v>0</v>
      </c>
      <c r="T140" s="572">
        <f t="shared" si="94"/>
        <v>0</v>
      </c>
      <c r="U140" s="572">
        <f t="shared" si="95"/>
        <v>0</v>
      </c>
    </row>
    <row r="141" spans="1:21" ht="18.75" x14ac:dyDescent="0.25">
      <c r="A141" s="674"/>
      <c r="B141" s="561"/>
      <c r="C141" s="561"/>
      <c r="D141" s="561"/>
      <c r="E141" s="573" t="s">
        <v>21</v>
      </c>
      <c r="F141" s="561"/>
      <c r="G141" s="563"/>
      <c r="H141" s="681" t="s">
        <v>14</v>
      </c>
      <c r="I141" s="565"/>
      <c r="J141" s="565"/>
      <c r="K141" s="566"/>
      <c r="L141" s="567">
        <f t="shared" ca="1" si="96"/>
        <v>137700</v>
      </c>
      <c r="M141" s="568">
        <f t="shared" ca="1" si="96"/>
        <v>132700</v>
      </c>
      <c r="N141" s="568">
        <f t="shared" ca="1" si="96"/>
        <v>108806</v>
      </c>
      <c r="O141" s="568">
        <f t="shared" ca="1" si="91"/>
        <v>79.016702977487284</v>
      </c>
      <c r="P141" s="568">
        <f t="shared" ca="1" si="92"/>
        <v>81.993971363978901</v>
      </c>
      <c r="Q141" s="568">
        <f t="shared" ca="1" si="97"/>
        <v>174860</v>
      </c>
      <c r="R141" s="568">
        <f t="shared" ca="1" si="97"/>
        <v>0</v>
      </c>
      <c r="S141" s="568">
        <f t="shared" ca="1" si="97"/>
        <v>0</v>
      </c>
      <c r="T141" s="568">
        <f t="shared" ca="1" si="94"/>
        <v>0</v>
      </c>
      <c r="U141" s="568">
        <f t="shared" ca="1" si="95"/>
        <v>0</v>
      </c>
    </row>
    <row r="142" spans="1:21" ht="18.75" x14ac:dyDescent="0.25">
      <c r="A142" s="674"/>
      <c r="B142" s="561"/>
      <c r="C142" s="561"/>
      <c r="D142" s="562" t="s">
        <v>22</v>
      </c>
      <c r="E142" s="561"/>
      <c r="F142" s="561"/>
      <c r="G142" s="563"/>
      <c r="H142" s="682" t="s">
        <v>14</v>
      </c>
      <c r="I142" s="683"/>
      <c r="J142" s="683"/>
      <c r="K142" s="684"/>
      <c r="L142" s="567">
        <f t="shared" ref="L142:N142" ca="1" si="98">L143+L144</f>
        <v>137700</v>
      </c>
      <c r="M142" s="568">
        <f t="shared" ca="1" si="98"/>
        <v>132700</v>
      </c>
      <c r="N142" s="568">
        <f t="shared" ca="1" si="98"/>
        <v>108806</v>
      </c>
      <c r="O142" s="568">
        <f t="shared" ca="1" si="91"/>
        <v>79.016702977487284</v>
      </c>
      <c r="P142" s="568">
        <f t="shared" ca="1" si="92"/>
        <v>81.993971363978901</v>
      </c>
      <c r="Q142" s="568">
        <f t="shared" ref="Q142:S142" ca="1" si="99">Q143+Q144</f>
        <v>174860</v>
      </c>
      <c r="R142" s="568">
        <f t="shared" ca="1" si="99"/>
        <v>0</v>
      </c>
      <c r="S142" s="568">
        <f t="shared" ca="1" si="99"/>
        <v>0</v>
      </c>
      <c r="T142" s="568">
        <f t="shared" ca="1" si="94"/>
        <v>0</v>
      </c>
      <c r="U142" s="568">
        <f t="shared" ca="1" si="95"/>
        <v>0</v>
      </c>
    </row>
    <row r="143" spans="1:21" ht="18.75" x14ac:dyDescent="0.25">
      <c r="A143" s="674"/>
      <c r="B143" s="561"/>
      <c r="C143" s="561"/>
      <c r="D143" s="561"/>
      <c r="E143" s="569" t="s">
        <v>36</v>
      </c>
      <c r="F143" s="561"/>
      <c r="G143" s="563"/>
      <c r="H143" s="685" t="s">
        <v>14</v>
      </c>
      <c r="I143" s="683"/>
      <c r="J143" s="683"/>
      <c r="K143" s="684"/>
      <c r="L143" s="571">
        <v>0</v>
      </c>
      <c r="M143" s="572">
        <v>0</v>
      </c>
      <c r="N143" s="572">
        <v>0</v>
      </c>
      <c r="O143" s="572">
        <f t="shared" si="91"/>
        <v>0</v>
      </c>
      <c r="P143" s="572">
        <f t="shared" si="92"/>
        <v>0</v>
      </c>
      <c r="Q143" s="572">
        <v>0</v>
      </c>
      <c r="R143" s="572">
        <v>0</v>
      </c>
      <c r="S143" s="572">
        <v>0</v>
      </c>
      <c r="T143" s="572">
        <f t="shared" si="94"/>
        <v>0</v>
      </c>
      <c r="U143" s="572">
        <f t="shared" si="95"/>
        <v>0</v>
      </c>
    </row>
    <row r="144" spans="1:21" ht="18.75" x14ac:dyDescent="0.25">
      <c r="A144" s="674"/>
      <c r="B144" s="561"/>
      <c r="C144" s="561"/>
      <c r="D144" s="561"/>
      <c r="E144" s="573" t="s">
        <v>37</v>
      </c>
      <c r="F144" s="561"/>
      <c r="G144" s="563"/>
      <c r="H144" s="682" t="s">
        <v>14</v>
      </c>
      <c r="I144" s="683"/>
      <c r="J144" s="683"/>
      <c r="K144" s="684"/>
      <c r="L144" s="567">
        <f ca="1">IFERROR(__xludf.DUMMYFUNCTION("IMPORTRANGE(""https://docs.google.com/spreadsheets/d/1-uDff_7J0KD5mKrp0Vvzr7lt3OU09vwQwhkpOPPYv2Y/edit?usp=sharing"",""งบพรบ!BQ16"")"),137700)</f>
        <v>137700</v>
      </c>
      <c r="M144" s="568">
        <f ca="1">IFERROR(__xludf.DUMMYFUNCTION("IMPORTRANGE(""https://docs.google.com/spreadsheets/d/1-uDff_7J0KD5mKrp0Vvzr7lt3OU09vwQwhkpOPPYv2Y/edit?usp=sharing"",""งบพรบ!BV16"")"),132700)</f>
        <v>132700</v>
      </c>
      <c r="N144" s="568">
        <f ca="1">IFERROR(__xludf.DUMMYFUNCTION("IMPORTRANGE(""https://docs.google.com/spreadsheets/d/1-uDff_7J0KD5mKrp0Vvzr7lt3OU09vwQwhkpOPPYv2Y/edit?usp=sharing"",""งบพรบ!BX16"")"),108806)</f>
        <v>108806</v>
      </c>
      <c r="O144" s="568">
        <f t="shared" ca="1" si="91"/>
        <v>79.016702977487284</v>
      </c>
      <c r="P144" s="568">
        <f t="shared" ca="1" si="92"/>
        <v>81.993971363978901</v>
      </c>
      <c r="Q144" s="568">
        <f ca="1">IFERROR(__xludf.DUMMYFUNCTION("IMPORTRANGE(""https://docs.google.com/spreadsheets/d/1ItG2mGa2ceCfYo0BwxsXqNm01IGEUdYcSSLTEv9YCik/edit?usp=sharing"",""เบิกจ่ายกองทุน!CF16"")"),174860)</f>
        <v>174860</v>
      </c>
      <c r="R144" s="568">
        <f ca="1">IFERROR(__xludf.DUMMYFUNCTION("IMPORTRANGE(""https://docs.google.com/spreadsheets/d/1ItG2mGa2ceCfYo0BwxsXqNm01IGEUdYcSSLTEv9YCik/edit?usp=sharing"",""เบิกจ่ายกองทุน!CG16"")"),0)</f>
        <v>0</v>
      </c>
      <c r="S144" s="568">
        <f ca="1">IFERROR(__xludf.DUMMYFUNCTION("IMPORTRANGE(""https://docs.google.com/spreadsheets/d/1ItG2mGa2ceCfYo0BwxsXqNm01IGEUdYcSSLTEv9YCik/edit?usp=sharing"",""เบิกจ่ายกองทุน!CH16"")"),0)</f>
        <v>0</v>
      </c>
      <c r="T144" s="568">
        <f t="shared" ca="1" si="94"/>
        <v>0</v>
      </c>
      <c r="U144" s="568">
        <f t="shared" ca="1" si="95"/>
        <v>0</v>
      </c>
    </row>
    <row r="145" spans="1:21" ht="18.75" x14ac:dyDescent="0.25">
      <c r="A145" s="674"/>
      <c r="B145" s="561"/>
      <c r="C145" s="561"/>
      <c r="D145" s="562" t="s">
        <v>23</v>
      </c>
      <c r="E145" s="561"/>
      <c r="F145" s="561"/>
      <c r="G145" s="563"/>
      <c r="H145" s="686" t="s">
        <v>14</v>
      </c>
      <c r="I145" s="683"/>
      <c r="J145" s="683"/>
      <c r="K145" s="684"/>
      <c r="L145" s="567">
        <f t="shared" ref="L145:N145" ca="1" si="100">L146+L147</f>
        <v>0</v>
      </c>
      <c r="M145" s="568">
        <f t="shared" ca="1" si="100"/>
        <v>0</v>
      </c>
      <c r="N145" s="568">
        <f t="shared" ca="1" si="100"/>
        <v>0</v>
      </c>
      <c r="O145" s="568">
        <f t="shared" ca="1" si="91"/>
        <v>0</v>
      </c>
      <c r="P145" s="568">
        <f t="shared" ca="1" si="92"/>
        <v>0</v>
      </c>
      <c r="Q145" s="568">
        <f t="shared" ref="Q145:S145" ca="1" si="101">Q146+Q147</f>
        <v>0</v>
      </c>
      <c r="R145" s="568">
        <f t="shared" ca="1" si="101"/>
        <v>0</v>
      </c>
      <c r="S145" s="568">
        <f t="shared" ca="1" si="101"/>
        <v>0</v>
      </c>
      <c r="T145" s="568">
        <f t="shared" ca="1" si="94"/>
        <v>0</v>
      </c>
      <c r="U145" s="568">
        <f t="shared" ca="1" si="95"/>
        <v>0</v>
      </c>
    </row>
    <row r="146" spans="1:21" ht="18.75" x14ac:dyDescent="0.25">
      <c r="A146" s="674"/>
      <c r="B146" s="561"/>
      <c r="C146" s="561"/>
      <c r="D146" s="561"/>
      <c r="E146" s="569" t="s">
        <v>20</v>
      </c>
      <c r="F146" s="561"/>
      <c r="G146" s="563"/>
      <c r="H146" s="685" t="s">
        <v>14</v>
      </c>
      <c r="I146" s="683"/>
      <c r="J146" s="683"/>
      <c r="K146" s="684"/>
      <c r="L146" s="571">
        <v>0</v>
      </c>
      <c r="M146" s="572">
        <v>0</v>
      </c>
      <c r="N146" s="572">
        <v>0</v>
      </c>
      <c r="O146" s="572">
        <f t="shared" si="91"/>
        <v>0</v>
      </c>
      <c r="P146" s="572">
        <f t="shared" si="92"/>
        <v>0</v>
      </c>
      <c r="Q146" s="572">
        <v>0</v>
      </c>
      <c r="R146" s="572">
        <v>0</v>
      </c>
      <c r="S146" s="572">
        <v>0</v>
      </c>
      <c r="T146" s="572">
        <f t="shared" si="94"/>
        <v>0</v>
      </c>
      <c r="U146" s="572">
        <f t="shared" si="95"/>
        <v>0</v>
      </c>
    </row>
    <row r="147" spans="1:21" ht="18.75" x14ac:dyDescent="0.25">
      <c r="A147" s="674"/>
      <c r="B147" s="561"/>
      <c r="C147" s="561"/>
      <c r="D147" s="561"/>
      <c r="E147" s="573" t="s">
        <v>21</v>
      </c>
      <c r="F147" s="561"/>
      <c r="G147" s="563"/>
      <c r="H147" s="686" t="s">
        <v>14</v>
      </c>
      <c r="I147" s="683"/>
      <c r="J147" s="683"/>
      <c r="K147" s="684"/>
      <c r="L147" s="567">
        <f ca="1">IFERROR(__xludf.DUMMYFUNCTION("IMPORTRANGE(""https://docs.google.com/spreadsheets/d/1-uDff_7J0KD5mKrp0Vvzr7lt3OU09vwQwhkpOPPYv2Y/edit?usp=sharing"",""งบพรบ!BT16"")"),0)</f>
        <v>0</v>
      </c>
      <c r="M147" s="568">
        <f ca="1">IFERROR(__xludf.DUMMYFUNCTION("IMPORTRANGE(""https://docs.google.com/spreadsheets/d/1-uDff_7J0KD5mKrp0Vvzr7lt3OU09vwQwhkpOPPYv2Y/edit?usp=sharing"",""งบพรบ!BW16"")"),0)</f>
        <v>0</v>
      </c>
      <c r="N147" s="568">
        <f ca="1">IFERROR(__xludf.DUMMYFUNCTION("IMPORTRANGE(""https://docs.google.com/spreadsheets/d/1-uDff_7J0KD5mKrp0Vvzr7lt3OU09vwQwhkpOPPYv2Y/edit?usp=sharing"",""งบพรบ!BY16"")"),0)</f>
        <v>0</v>
      </c>
      <c r="O147" s="568">
        <f t="shared" ca="1" si="91"/>
        <v>0</v>
      </c>
      <c r="P147" s="568">
        <f t="shared" ca="1" si="92"/>
        <v>0</v>
      </c>
      <c r="Q147" s="568">
        <f ca="1">IFERROR(__xludf.DUMMYFUNCTION("IMPORTRANGE(""https://docs.google.com/spreadsheets/d/1ItG2mGa2ceCfYo0BwxsXqNm01IGEUdYcSSLTEv9YCik/edit?usp=sharing"",""เบิกจ่ายกองทุน!CI16"")"),0)</f>
        <v>0</v>
      </c>
      <c r="R147" s="568">
        <f ca="1">IFERROR(__xludf.DUMMYFUNCTION("IMPORTRANGE(""https://docs.google.com/spreadsheets/d/1ItG2mGa2ceCfYo0BwxsXqNm01IGEUdYcSSLTEv9YCik/edit?usp=sharing"",""เบิกจ่ายกองทุน!CJ16"")"),0)</f>
        <v>0</v>
      </c>
      <c r="S147" s="568">
        <f ca="1">IFERROR(__xludf.DUMMYFUNCTION("IMPORTRANGE(""https://docs.google.com/spreadsheets/d/1ItG2mGa2ceCfYo0BwxsXqNm01IGEUdYcSSLTEv9YCik/edit?usp=sharing"",""เบิกจ่ายกองทุน!CK16"")"),0)</f>
        <v>0</v>
      </c>
      <c r="T147" s="568">
        <f t="shared" ca="1" si="94"/>
        <v>0</v>
      </c>
      <c r="U147" s="568">
        <f t="shared" ca="1" si="95"/>
        <v>0</v>
      </c>
    </row>
    <row r="148" spans="1:21" ht="19.5" x14ac:dyDescent="0.3">
      <c r="A148" s="687"/>
      <c r="B148" s="688"/>
      <c r="C148" s="675" t="s">
        <v>18</v>
      </c>
      <c r="D148" s="689" t="s">
        <v>38</v>
      </c>
      <c r="E148" s="690"/>
      <c r="F148" s="690"/>
      <c r="G148" s="691"/>
      <c r="H148" s="725"/>
      <c r="I148" s="565"/>
      <c r="J148" s="565"/>
      <c r="K148" s="566"/>
      <c r="L148" s="574"/>
      <c r="M148" s="566"/>
      <c r="N148" s="566"/>
      <c r="O148" s="566"/>
      <c r="P148" s="566"/>
      <c r="Q148" s="566"/>
      <c r="R148" s="566"/>
      <c r="S148" s="566"/>
      <c r="T148" s="566"/>
      <c r="U148" s="566"/>
    </row>
    <row r="149" spans="1:21" ht="18.75" x14ac:dyDescent="0.25">
      <c r="A149" s="674"/>
      <c r="B149" s="561"/>
      <c r="C149" s="561"/>
      <c r="D149" s="573" t="s">
        <v>63</v>
      </c>
      <c r="E149" s="561"/>
      <c r="F149" s="561"/>
      <c r="G149" s="563"/>
      <c r="H149" s="725"/>
      <c r="I149" s="565"/>
      <c r="J149" s="702">
        <v>0</v>
      </c>
      <c r="K149" s="566"/>
      <c r="L149" s="574"/>
      <c r="M149" s="566"/>
      <c r="N149" s="566"/>
      <c r="O149" s="566"/>
      <c r="P149" s="566"/>
      <c r="Q149" s="566"/>
      <c r="R149" s="566"/>
      <c r="S149" s="566"/>
      <c r="T149" s="566"/>
      <c r="U149" s="566"/>
    </row>
    <row r="150" spans="1:21" ht="19.5" x14ac:dyDescent="0.3">
      <c r="A150" s="674"/>
      <c r="B150" s="561"/>
      <c r="C150" s="561"/>
      <c r="D150" s="695"/>
      <c r="E150" s="675" t="s">
        <v>299</v>
      </c>
      <c r="F150" s="561"/>
      <c r="G150" s="563"/>
      <c r="H150" s="686" t="s">
        <v>35</v>
      </c>
      <c r="I150" s="708">
        <f ca="1">IFERROR(__xludf.DUMMYFUNCTION("IMPORTRANGE(""https://docs.google.com/spreadsheets/d/1eHaY18a8A9IcSdp1K8H6x8fbOy06t2VsZHhMHf-1x7Y/edit?usp=sharing"",""แผน!U16"")"),10)</f>
        <v>10</v>
      </c>
      <c r="J150" s="702">
        <v>10</v>
      </c>
      <c r="K150" s="568">
        <f t="shared" ref="K150:K154" ca="1" si="102">IF(I150&gt;0,J150*100/I150,0)</f>
        <v>100</v>
      </c>
      <c r="L150" s="574"/>
      <c r="M150" s="566"/>
      <c r="N150" s="566"/>
      <c r="O150" s="566"/>
      <c r="P150" s="566"/>
      <c r="Q150" s="566"/>
      <c r="R150" s="566"/>
      <c r="S150" s="566"/>
      <c r="T150" s="566"/>
      <c r="U150" s="566"/>
    </row>
    <row r="151" spans="1:21" ht="18.75" x14ac:dyDescent="0.25">
      <c r="A151" s="674"/>
      <c r="B151" s="561"/>
      <c r="C151" s="561"/>
      <c r="D151" s="695"/>
      <c r="E151" s="561"/>
      <c r="F151" s="561"/>
      <c r="G151" s="563"/>
      <c r="H151" s="686" t="s">
        <v>54</v>
      </c>
      <c r="I151" s="708">
        <f ca="1">IFERROR(__xludf.DUMMYFUNCTION("IMPORTRANGE(""https://docs.google.com/spreadsheets/d/1eHaY18a8A9IcSdp1K8H6x8fbOy06t2VsZHhMHf-1x7Y/edit?usp=sharing"",""แผน!V16"")"),1)</f>
        <v>1</v>
      </c>
      <c r="J151" s="702">
        <v>1</v>
      </c>
      <c r="K151" s="568">
        <f t="shared" ca="1" si="102"/>
        <v>100</v>
      </c>
      <c r="L151" s="574"/>
      <c r="M151" s="566"/>
      <c r="N151" s="566"/>
      <c r="O151" s="566"/>
      <c r="P151" s="566"/>
      <c r="Q151" s="566"/>
      <c r="R151" s="566"/>
      <c r="S151" s="566"/>
      <c r="T151" s="566"/>
      <c r="U151" s="566"/>
    </row>
    <row r="152" spans="1:21" ht="19.5" x14ac:dyDescent="0.3">
      <c r="A152" s="674"/>
      <c r="B152" s="561"/>
      <c r="C152" s="561"/>
      <c r="D152" s="695"/>
      <c r="E152" s="675" t="s">
        <v>300</v>
      </c>
      <c r="F152" s="561"/>
      <c r="G152" s="563"/>
      <c r="H152" s="686" t="s">
        <v>35</v>
      </c>
      <c r="I152" s="708">
        <f ca="1">IFERROR(__xludf.DUMMYFUNCTION("IMPORTRANGE(""https://docs.google.com/spreadsheets/d/1eHaY18a8A9IcSdp1K8H6x8fbOy06t2VsZHhMHf-1x7Y/edit?usp=sharing"",""แผน!W16"")"),20)</f>
        <v>20</v>
      </c>
      <c r="J152" s="702">
        <v>20</v>
      </c>
      <c r="K152" s="568">
        <f t="shared" ca="1" si="102"/>
        <v>100</v>
      </c>
      <c r="L152" s="574"/>
      <c r="M152" s="566"/>
      <c r="N152" s="566"/>
      <c r="O152" s="566"/>
      <c r="P152" s="566"/>
      <c r="Q152" s="566"/>
      <c r="R152" s="566"/>
      <c r="S152" s="566"/>
      <c r="T152" s="566"/>
      <c r="U152" s="566"/>
    </row>
    <row r="153" spans="1:21" ht="18.75" x14ac:dyDescent="0.25">
      <c r="A153" s="674"/>
      <c r="B153" s="561"/>
      <c r="C153" s="561"/>
      <c r="D153" s="561"/>
      <c r="E153" s="561"/>
      <c r="F153" s="561"/>
      <c r="G153" s="563"/>
      <c r="H153" s="686" t="s">
        <v>54</v>
      </c>
      <c r="I153" s="708">
        <f ca="1">IFERROR(__xludf.DUMMYFUNCTION("IMPORTRANGE(""https://docs.google.com/spreadsheets/d/1eHaY18a8A9IcSdp1K8H6x8fbOy06t2VsZHhMHf-1x7Y/edit?usp=sharing"",""แผน!X16"")"),2)</f>
        <v>2</v>
      </c>
      <c r="J153" s="702">
        <v>2</v>
      </c>
      <c r="K153" s="568">
        <f t="shared" ca="1" si="102"/>
        <v>100</v>
      </c>
      <c r="L153" s="574"/>
      <c r="M153" s="566"/>
      <c r="N153" s="566"/>
      <c r="O153" s="566"/>
      <c r="P153" s="566"/>
      <c r="Q153" s="566"/>
      <c r="R153" s="566"/>
      <c r="S153" s="566"/>
      <c r="T153" s="566"/>
      <c r="U153" s="566"/>
    </row>
    <row r="154" spans="1:21" ht="18.75" x14ac:dyDescent="0.25">
      <c r="A154" s="674"/>
      <c r="B154" s="561"/>
      <c r="C154" s="561"/>
      <c r="D154" s="573" t="s">
        <v>66</v>
      </c>
      <c r="E154" s="561"/>
      <c r="F154" s="561"/>
      <c r="G154" s="563"/>
      <c r="H154" s="686" t="s">
        <v>61</v>
      </c>
      <c r="I154" s="708">
        <f ca="1">IFERROR(__xludf.DUMMYFUNCTION("IMPORTRANGE(""https://docs.google.com/spreadsheets/d/1eHaY18a8A9IcSdp1K8H6x8fbOy06t2VsZHhMHf-1x7Y/edit?usp=sharing"",""แผน!Y16"")"),1)</f>
        <v>1</v>
      </c>
      <c r="J154" s="702">
        <v>0</v>
      </c>
      <c r="K154" s="568">
        <f t="shared" ca="1" si="102"/>
        <v>0</v>
      </c>
      <c r="L154" s="574"/>
      <c r="M154" s="566"/>
      <c r="N154" s="566"/>
      <c r="O154" s="566"/>
      <c r="P154" s="566"/>
      <c r="Q154" s="566"/>
      <c r="R154" s="566"/>
      <c r="S154" s="566"/>
      <c r="T154" s="566"/>
      <c r="U154" s="566"/>
    </row>
    <row r="155" spans="1:21" ht="19.5" x14ac:dyDescent="0.3">
      <c r="A155" s="662" t="s">
        <v>67</v>
      </c>
      <c r="B155" s="663"/>
      <c r="C155" s="729"/>
      <c r="D155" s="663"/>
      <c r="E155" s="663"/>
      <c r="F155" s="663"/>
      <c r="G155" s="663"/>
      <c r="H155" s="663"/>
      <c r="I155" s="730"/>
      <c r="J155" s="730"/>
      <c r="K155" s="731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</row>
    <row r="156" spans="1:21" ht="19.5" x14ac:dyDescent="0.3">
      <c r="A156" s="669"/>
      <c r="B156" s="544" t="s">
        <v>68</v>
      </c>
      <c r="C156" s="543"/>
      <c r="D156" s="543"/>
      <c r="E156" s="543"/>
      <c r="F156" s="543"/>
      <c r="G156" s="546"/>
      <c r="H156" s="717" t="s">
        <v>35</v>
      </c>
      <c r="I156" s="672">
        <f t="shared" ref="I156:J156" ca="1" si="103">I169</f>
        <v>0</v>
      </c>
      <c r="J156" s="672">
        <f t="shared" si="103"/>
        <v>0</v>
      </c>
      <c r="K156" s="551">
        <f ca="1">IF(I156&gt;0,J156*100/I156,0)</f>
        <v>0</v>
      </c>
      <c r="L156" s="673"/>
      <c r="M156" s="549"/>
      <c r="N156" s="549"/>
      <c r="O156" s="549"/>
      <c r="P156" s="549"/>
      <c r="Q156" s="549"/>
      <c r="R156" s="549"/>
      <c r="S156" s="549"/>
      <c r="T156" s="549"/>
      <c r="U156" s="549"/>
    </row>
    <row r="157" spans="1:21" ht="19.5" x14ac:dyDescent="0.3">
      <c r="A157" s="674"/>
      <c r="B157" s="561"/>
      <c r="C157" s="675" t="s">
        <v>18</v>
      </c>
      <c r="D157" s="676" t="s">
        <v>19</v>
      </c>
      <c r="E157" s="561"/>
      <c r="F157" s="561"/>
      <c r="G157" s="563"/>
      <c r="H157" s="677" t="s">
        <v>14</v>
      </c>
      <c r="I157" s="565"/>
      <c r="J157" s="565"/>
      <c r="K157" s="566"/>
      <c r="L157" s="678">
        <f t="shared" ref="L157:N157" ca="1" si="104">L158+L159</f>
        <v>0</v>
      </c>
      <c r="M157" s="679">
        <f t="shared" ca="1" si="104"/>
        <v>8160</v>
      </c>
      <c r="N157" s="679">
        <f t="shared" ca="1" si="104"/>
        <v>3152</v>
      </c>
      <c r="O157" s="679">
        <f t="shared" ref="O157:O165" ca="1" si="105">IF(L157&gt;0,N157*100/L157,0)</f>
        <v>0</v>
      </c>
      <c r="P157" s="679">
        <f t="shared" ref="P157:P165" ca="1" si="106">IF(M157&gt;0,N157*100/M157,0)</f>
        <v>38.627450980392155</v>
      </c>
      <c r="Q157" s="679">
        <f t="shared" ref="Q157:S157" ca="1" si="107">Q158+Q159</f>
        <v>0</v>
      </c>
      <c r="R157" s="679">
        <f t="shared" ca="1" si="107"/>
        <v>0</v>
      </c>
      <c r="S157" s="679">
        <f t="shared" ca="1" si="107"/>
        <v>0</v>
      </c>
      <c r="T157" s="679">
        <f t="shared" ref="T157:T165" ca="1" si="108">IF(Q157&gt;0,S157*100/Q157,0)</f>
        <v>0</v>
      </c>
      <c r="U157" s="679">
        <f t="shared" ref="U157:U165" ca="1" si="109">IF(R157&gt;0,S157*100/R157,0)</f>
        <v>0</v>
      </c>
    </row>
    <row r="158" spans="1:21" ht="18.75" x14ac:dyDescent="0.25">
      <c r="A158" s="674"/>
      <c r="B158" s="561"/>
      <c r="C158" s="561"/>
      <c r="D158" s="561"/>
      <c r="E158" s="569" t="s">
        <v>20</v>
      </c>
      <c r="F158" s="561"/>
      <c r="G158" s="563"/>
      <c r="H158" s="680" t="s">
        <v>14</v>
      </c>
      <c r="I158" s="565"/>
      <c r="J158" s="565"/>
      <c r="K158" s="566"/>
      <c r="L158" s="571">
        <f t="shared" ref="L158:N159" si="110">L161+L164</f>
        <v>0</v>
      </c>
      <c r="M158" s="572">
        <f t="shared" si="110"/>
        <v>0</v>
      </c>
      <c r="N158" s="572">
        <f t="shared" si="110"/>
        <v>0</v>
      </c>
      <c r="O158" s="572">
        <f t="shared" si="105"/>
        <v>0</v>
      </c>
      <c r="P158" s="572">
        <f t="shared" si="106"/>
        <v>0</v>
      </c>
      <c r="Q158" s="572">
        <f t="shared" ref="Q158:S159" si="111">Q161+Q164</f>
        <v>0</v>
      </c>
      <c r="R158" s="572">
        <f t="shared" si="111"/>
        <v>0</v>
      </c>
      <c r="S158" s="572">
        <f t="shared" si="111"/>
        <v>0</v>
      </c>
      <c r="T158" s="572">
        <f t="shared" si="108"/>
        <v>0</v>
      </c>
      <c r="U158" s="572">
        <f t="shared" si="109"/>
        <v>0</v>
      </c>
    </row>
    <row r="159" spans="1:21" ht="18.75" x14ac:dyDescent="0.25">
      <c r="A159" s="674"/>
      <c r="B159" s="561"/>
      <c r="C159" s="561"/>
      <c r="D159" s="561"/>
      <c r="E159" s="573" t="s">
        <v>21</v>
      </c>
      <c r="F159" s="561"/>
      <c r="G159" s="563"/>
      <c r="H159" s="681" t="s">
        <v>14</v>
      </c>
      <c r="I159" s="565"/>
      <c r="J159" s="565"/>
      <c r="K159" s="566"/>
      <c r="L159" s="567">
        <f t="shared" ca="1" si="110"/>
        <v>0</v>
      </c>
      <c r="M159" s="568">
        <f t="shared" ca="1" si="110"/>
        <v>8160</v>
      </c>
      <c r="N159" s="568">
        <f t="shared" ca="1" si="110"/>
        <v>3152</v>
      </c>
      <c r="O159" s="568">
        <f t="shared" ca="1" si="105"/>
        <v>0</v>
      </c>
      <c r="P159" s="568">
        <f t="shared" ca="1" si="106"/>
        <v>38.627450980392155</v>
      </c>
      <c r="Q159" s="568">
        <f t="shared" ca="1" si="111"/>
        <v>0</v>
      </c>
      <c r="R159" s="568">
        <f t="shared" ca="1" si="111"/>
        <v>0</v>
      </c>
      <c r="S159" s="568">
        <f t="shared" ca="1" si="111"/>
        <v>0</v>
      </c>
      <c r="T159" s="568">
        <f t="shared" ca="1" si="108"/>
        <v>0</v>
      </c>
      <c r="U159" s="568">
        <f t="shared" ca="1" si="109"/>
        <v>0</v>
      </c>
    </row>
    <row r="160" spans="1:21" ht="18.75" x14ac:dyDescent="0.25">
      <c r="A160" s="674"/>
      <c r="B160" s="561"/>
      <c r="C160" s="561"/>
      <c r="D160" s="562" t="s">
        <v>22</v>
      </c>
      <c r="E160" s="561"/>
      <c r="F160" s="561"/>
      <c r="G160" s="563"/>
      <c r="H160" s="682" t="s">
        <v>14</v>
      </c>
      <c r="I160" s="683"/>
      <c r="J160" s="683"/>
      <c r="K160" s="684"/>
      <c r="L160" s="567">
        <f t="shared" ref="L160:N160" ca="1" si="112">L161+L162</f>
        <v>0</v>
      </c>
      <c r="M160" s="568">
        <f t="shared" ca="1" si="112"/>
        <v>8160</v>
      </c>
      <c r="N160" s="568">
        <f t="shared" ca="1" si="112"/>
        <v>3152</v>
      </c>
      <c r="O160" s="568">
        <f t="shared" ca="1" si="105"/>
        <v>0</v>
      </c>
      <c r="P160" s="568">
        <f t="shared" ca="1" si="106"/>
        <v>38.627450980392155</v>
      </c>
      <c r="Q160" s="568">
        <f t="shared" ref="Q160:S160" ca="1" si="113">Q161+Q162</f>
        <v>0</v>
      </c>
      <c r="R160" s="568">
        <f t="shared" ca="1" si="113"/>
        <v>0</v>
      </c>
      <c r="S160" s="568">
        <f t="shared" ca="1" si="113"/>
        <v>0</v>
      </c>
      <c r="T160" s="568">
        <f t="shared" ca="1" si="108"/>
        <v>0</v>
      </c>
      <c r="U160" s="568">
        <f t="shared" ca="1" si="109"/>
        <v>0</v>
      </c>
    </row>
    <row r="161" spans="1:21" ht="18.75" x14ac:dyDescent="0.25">
      <c r="A161" s="674"/>
      <c r="B161" s="561"/>
      <c r="C161" s="561"/>
      <c r="D161" s="561"/>
      <c r="E161" s="569" t="s">
        <v>36</v>
      </c>
      <c r="F161" s="561"/>
      <c r="G161" s="563"/>
      <c r="H161" s="685" t="s">
        <v>14</v>
      </c>
      <c r="I161" s="683"/>
      <c r="J161" s="683"/>
      <c r="K161" s="684"/>
      <c r="L161" s="571">
        <v>0</v>
      </c>
      <c r="M161" s="572">
        <v>0</v>
      </c>
      <c r="N161" s="572">
        <v>0</v>
      </c>
      <c r="O161" s="572">
        <f t="shared" si="105"/>
        <v>0</v>
      </c>
      <c r="P161" s="572">
        <f t="shared" si="106"/>
        <v>0</v>
      </c>
      <c r="Q161" s="572">
        <v>0</v>
      </c>
      <c r="R161" s="572">
        <v>0</v>
      </c>
      <c r="S161" s="572">
        <v>0</v>
      </c>
      <c r="T161" s="572">
        <f t="shared" si="108"/>
        <v>0</v>
      </c>
      <c r="U161" s="572">
        <f t="shared" si="109"/>
        <v>0</v>
      </c>
    </row>
    <row r="162" spans="1:21" ht="18.75" x14ac:dyDescent="0.25">
      <c r="A162" s="674"/>
      <c r="B162" s="561"/>
      <c r="C162" s="561"/>
      <c r="D162" s="561"/>
      <c r="E162" s="573" t="s">
        <v>37</v>
      </c>
      <c r="F162" s="561"/>
      <c r="G162" s="563"/>
      <c r="H162" s="682" t="s">
        <v>14</v>
      </c>
      <c r="I162" s="683"/>
      <c r="J162" s="683"/>
      <c r="K162" s="684"/>
      <c r="L162" s="567">
        <f ca="1">IFERROR(__xludf.DUMMYFUNCTION("IMPORTRANGE(""https://docs.google.com/spreadsheets/d/1-uDff_7J0KD5mKrp0Vvzr7lt3OU09vwQwhkpOPPYv2Y/edit?usp=sharing"",""งบพรบ!CA16"")"),0)</f>
        <v>0</v>
      </c>
      <c r="M162" s="568">
        <f ca="1">IFERROR(__xludf.DUMMYFUNCTION("IMPORTRANGE(""https://docs.google.com/spreadsheets/d/1-uDff_7J0KD5mKrp0Vvzr7lt3OU09vwQwhkpOPPYv2Y/edit?usp=sharing"",""งบพรบ!CF16"")"),8160)</f>
        <v>8160</v>
      </c>
      <c r="N162" s="568">
        <f ca="1">IFERROR(__xludf.DUMMYFUNCTION("IMPORTRANGE(""https://docs.google.com/spreadsheets/d/1-uDff_7J0KD5mKrp0Vvzr7lt3OU09vwQwhkpOPPYv2Y/edit?usp=sharing"",""งบพรบ!CH16"")"),3152)</f>
        <v>3152</v>
      </c>
      <c r="O162" s="568">
        <f t="shared" ca="1" si="105"/>
        <v>0</v>
      </c>
      <c r="P162" s="568">
        <f t="shared" ca="1" si="106"/>
        <v>38.627450980392155</v>
      </c>
      <c r="Q162" s="568">
        <f ca="1">IFERROR(__xludf.DUMMYFUNCTION("IMPORTRANGE(""https://docs.google.com/spreadsheets/d/1ItG2mGa2ceCfYo0BwxsXqNm01IGEUdYcSSLTEv9YCik/edit?usp=sharing"",""เบิกจ่ายกองทุน!AM16"")"),0)</f>
        <v>0</v>
      </c>
      <c r="R162" s="568">
        <f ca="1">IFERROR(__xludf.DUMMYFUNCTION("IMPORTRANGE(""https://docs.google.com/spreadsheets/d/1ItG2mGa2ceCfYo0BwxsXqNm01IGEUdYcSSLTEv9YCik/edit?usp=sharing"",""เบิกจ่ายกองทุน!AN16"")"),0)</f>
        <v>0</v>
      </c>
      <c r="S162" s="568">
        <f ca="1">IFERROR(__xludf.DUMMYFUNCTION("IMPORTRANGE(""https://docs.google.com/spreadsheets/d/1ItG2mGa2ceCfYo0BwxsXqNm01IGEUdYcSSLTEv9YCik/edit?usp=sharing"",""เบิกจ่ายกองทุน!AO16"")"),0)</f>
        <v>0</v>
      </c>
      <c r="T162" s="568">
        <f t="shared" ca="1" si="108"/>
        <v>0</v>
      </c>
      <c r="U162" s="568">
        <f t="shared" ca="1" si="109"/>
        <v>0</v>
      </c>
    </row>
    <row r="163" spans="1:21" ht="18.75" x14ac:dyDescent="0.25">
      <c r="A163" s="674"/>
      <c r="B163" s="561"/>
      <c r="C163" s="561"/>
      <c r="D163" s="562" t="s">
        <v>23</v>
      </c>
      <c r="E163" s="561"/>
      <c r="F163" s="561"/>
      <c r="G163" s="563"/>
      <c r="H163" s="686" t="s">
        <v>14</v>
      </c>
      <c r="I163" s="683"/>
      <c r="J163" s="683"/>
      <c r="K163" s="684"/>
      <c r="L163" s="567">
        <f t="shared" ref="L163:N163" ca="1" si="114">L164+L165</f>
        <v>0</v>
      </c>
      <c r="M163" s="568">
        <f t="shared" ca="1" si="114"/>
        <v>0</v>
      </c>
      <c r="N163" s="568">
        <f t="shared" ca="1" si="114"/>
        <v>0</v>
      </c>
      <c r="O163" s="568">
        <f t="shared" ca="1" si="105"/>
        <v>0</v>
      </c>
      <c r="P163" s="568">
        <f t="shared" ca="1" si="106"/>
        <v>0</v>
      </c>
      <c r="Q163" s="568">
        <f t="shared" ref="Q163:S163" si="115">Q164+Q165</f>
        <v>0</v>
      </c>
      <c r="R163" s="568">
        <f t="shared" si="115"/>
        <v>0</v>
      </c>
      <c r="S163" s="568">
        <f t="shared" si="115"/>
        <v>0</v>
      </c>
      <c r="T163" s="568">
        <f t="shared" si="108"/>
        <v>0</v>
      </c>
      <c r="U163" s="568">
        <f t="shared" si="109"/>
        <v>0</v>
      </c>
    </row>
    <row r="164" spans="1:21" ht="18.75" x14ac:dyDescent="0.25">
      <c r="A164" s="674"/>
      <c r="B164" s="561"/>
      <c r="C164" s="561"/>
      <c r="D164" s="561"/>
      <c r="E164" s="569" t="s">
        <v>20</v>
      </c>
      <c r="F164" s="561"/>
      <c r="G164" s="563"/>
      <c r="H164" s="685" t="s">
        <v>14</v>
      </c>
      <c r="I164" s="683"/>
      <c r="J164" s="683"/>
      <c r="K164" s="684"/>
      <c r="L164" s="571">
        <v>0</v>
      </c>
      <c r="M164" s="572">
        <v>0</v>
      </c>
      <c r="N164" s="572">
        <v>0</v>
      </c>
      <c r="O164" s="572">
        <f t="shared" si="105"/>
        <v>0</v>
      </c>
      <c r="P164" s="572">
        <f t="shared" si="106"/>
        <v>0</v>
      </c>
      <c r="Q164" s="572">
        <v>0</v>
      </c>
      <c r="R164" s="572">
        <v>0</v>
      </c>
      <c r="S164" s="572">
        <v>0</v>
      </c>
      <c r="T164" s="572">
        <f t="shared" si="108"/>
        <v>0</v>
      </c>
      <c r="U164" s="572">
        <f t="shared" si="109"/>
        <v>0</v>
      </c>
    </row>
    <row r="165" spans="1:21" ht="18.75" x14ac:dyDescent="0.25">
      <c r="A165" s="674"/>
      <c r="B165" s="561"/>
      <c r="C165" s="561"/>
      <c r="D165" s="561"/>
      <c r="E165" s="573" t="s">
        <v>21</v>
      </c>
      <c r="F165" s="561"/>
      <c r="G165" s="563"/>
      <c r="H165" s="686" t="s">
        <v>14</v>
      </c>
      <c r="I165" s="683"/>
      <c r="J165" s="683"/>
      <c r="K165" s="684"/>
      <c r="L165" s="567">
        <f ca="1">IFERROR(__xludf.DUMMYFUNCTION("IMPORTRANGE(""https://docs.google.com/spreadsheets/d/1-uDff_7J0KD5mKrp0Vvzr7lt3OU09vwQwhkpOPPYv2Y/edit?usp=sharing"",""งบพรบ!CD16"")"),0)</f>
        <v>0</v>
      </c>
      <c r="M165" s="568">
        <f ca="1">IFERROR(__xludf.DUMMYFUNCTION("IMPORTRANGE(""https://docs.google.com/spreadsheets/d/1-uDff_7J0KD5mKrp0Vvzr7lt3OU09vwQwhkpOPPYv2Y/edit?usp=sharing"",""งบพรบ!CG16"")"),0)</f>
        <v>0</v>
      </c>
      <c r="N165" s="568">
        <f ca="1">IFERROR(__xludf.DUMMYFUNCTION("IMPORTRANGE(""https://docs.google.com/spreadsheets/d/1-uDff_7J0KD5mKrp0Vvzr7lt3OU09vwQwhkpOPPYv2Y/edit?usp=sharing"",""งบพรบ!CI16"")"),0)</f>
        <v>0</v>
      </c>
      <c r="O165" s="568">
        <f t="shared" ca="1" si="105"/>
        <v>0</v>
      </c>
      <c r="P165" s="568">
        <f t="shared" ca="1" si="106"/>
        <v>0</v>
      </c>
      <c r="Q165" s="568">
        <v>0</v>
      </c>
      <c r="R165" s="568">
        <v>0</v>
      </c>
      <c r="S165" s="568">
        <v>0</v>
      </c>
      <c r="T165" s="568">
        <f t="shared" si="108"/>
        <v>0</v>
      </c>
      <c r="U165" s="568">
        <f t="shared" si="109"/>
        <v>0</v>
      </c>
    </row>
    <row r="166" spans="1:21" ht="19.5" x14ac:dyDescent="0.3">
      <c r="A166" s="687"/>
      <c r="B166" s="688"/>
      <c r="C166" s="675" t="s">
        <v>18</v>
      </c>
      <c r="D166" s="689" t="s">
        <v>38</v>
      </c>
      <c r="E166" s="690"/>
      <c r="F166" s="690"/>
      <c r="G166" s="691"/>
      <c r="H166" s="725"/>
      <c r="I166" s="565"/>
      <c r="J166" s="565"/>
      <c r="K166" s="566"/>
      <c r="L166" s="574"/>
      <c r="M166" s="566"/>
      <c r="N166" s="566"/>
      <c r="O166" s="566"/>
      <c r="P166" s="566"/>
      <c r="Q166" s="566"/>
      <c r="R166" s="566"/>
      <c r="S166" s="566"/>
      <c r="T166" s="566"/>
      <c r="U166" s="566"/>
    </row>
    <row r="167" spans="1:21" ht="18.75" x14ac:dyDescent="0.25">
      <c r="A167" s="674"/>
      <c r="B167" s="561"/>
      <c r="C167" s="561"/>
      <c r="D167" s="573" t="s">
        <v>69</v>
      </c>
      <c r="E167" s="561"/>
      <c r="F167" s="561"/>
      <c r="G167" s="563"/>
      <c r="H167" s="686" t="s">
        <v>35</v>
      </c>
      <c r="I167" s="708">
        <f ca="1">IFERROR(__xludf.DUMMYFUNCTION("IMPORTRANGE(""https://docs.google.com/spreadsheets/d/1eHaY18a8A9IcSdp1K8H6x8fbOy06t2VsZHhMHf-1x7Y/edit?usp=sharing"",""แผน!Z16"")"),0)</f>
        <v>0</v>
      </c>
      <c r="J167" s="702">
        <v>0</v>
      </c>
      <c r="K167" s="568">
        <f t="shared" ref="K167:K169" ca="1" si="116">IF(I167&gt;0,J167*100/I167,0)</f>
        <v>0</v>
      </c>
      <c r="L167" s="574"/>
      <c r="M167" s="566"/>
      <c r="N167" s="566"/>
      <c r="O167" s="566"/>
      <c r="P167" s="566"/>
      <c r="Q167" s="566"/>
      <c r="R167" s="566"/>
      <c r="S167" s="566"/>
      <c r="T167" s="566"/>
      <c r="U167" s="566"/>
    </row>
    <row r="168" spans="1:21" ht="18.75" x14ac:dyDescent="0.25">
      <c r="A168" s="674"/>
      <c r="B168" s="561"/>
      <c r="C168" s="561"/>
      <c r="D168" s="569" t="s">
        <v>70</v>
      </c>
      <c r="E168" s="561"/>
      <c r="F168" s="561"/>
      <c r="G168" s="563"/>
      <c r="H168" s="734" t="s">
        <v>35</v>
      </c>
      <c r="I168" s="735">
        <f ca="1">IFERROR(__xludf.DUMMYFUNCTION("IMPORTRANGE(""https://docs.google.com/spreadsheets/d/1eHaY18a8A9IcSdp1K8H6x8fbOy06t2VsZHhMHf-1x7Y/edit?usp=sharing"",""แผน!Z16"")"),0)</f>
        <v>0</v>
      </c>
      <c r="J168" s="736">
        <v>0</v>
      </c>
      <c r="K168" s="572">
        <f t="shared" ca="1" si="116"/>
        <v>0</v>
      </c>
      <c r="L168" s="574"/>
      <c r="M168" s="566"/>
      <c r="N168" s="566"/>
      <c r="O168" s="566"/>
      <c r="P168" s="566"/>
      <c r="Q168" s="566"/>
      <c r="R168" s="566"/>
      <c r="S168" s="566"/>
      <c r="T168" s="566"/>
      <c r="U168" s="566"/>
    </row>
    <row r="169" spans="1:21" ht="18.75" x14ac:dyDescent="0.25">
      <c r="A169" s="737"/>
      <c r="B169" s="513"/>
      <c r="C169" s="513"/>
      <c r="D169" s="738" t="s">
        <v>71</v>
      </c>
      <c r="E169" s="513"/>
      <c r="F169" s="513"/>
      <c r="G169" s="577"/>
      <c r="H169" s="739" t="s">
        <v>35</v>
      </c>
      <c r="I169" s="740">
        <f ca="1">IFERROR(__xludf.DUMMYFUNCTION("IMPORTRANGE(""https://docs.google.com/spreadsheets/d/1eHaY18a8A9IcSdp1K8H6x8fbOy06t2VsZHhMHf-1x7Y/edit?usp=sharing"",""แผน!Z16"")"),0)</f>
        <v>0</v>
      </c>
      <c r="J169" s="741">
        <v>0</v>
      </c>
      <c r="K169" s="742">
        <f t="shared" ca="1" si="116"/>
        <v>0</v>
      </c>
      <c r="L169" s="581"/>
      <c r="M169" s="580"/>
      <c r="N169" s="580"/>
      <c r="O169" s="580"/>
      <c r="P169" s="580"/>
      <c r="Q169" s="580"/>
      <c r="R169" s="580"/>
      <c r="S169" s="580"/>
      <c r="T169" s="580"/>
      <c r="U169" s="580"/>
    </row>
    <row r="170" spans="1:21" ht="19.5" x14ac:dyDescent="0.3">
      <c r="A170" s="743" t="s">
        <v>72</v>
      </c>
      <c r="B170" s="744"/>
      <c r="C170" s="744"/>
      <c r="D170" s="744"/>
      <c r="E170" s="745"/>
      <c r="F170" s="745"/>
      <c r="G170" s="745"/>
      <c r="H170" s="745"/>
      <c r="I170" s="746"/>
      <c r="J170" s="746"/>
      <c r="K170" s="747"/>
      <c r="L170" s="747"/>
      <c r="M170" s="747"/>
      <c r="N170" s="747"/>
      <c r="O170" s="747"/>
      <c r="P170" s="748"/>
      <c r="Q170" s="747"/>
      <c r="R170" s="747"/>
      <c r="S170" s="747"/>
      <c r="T170" s="747"/>
      <c r="U170" s="748"/>
    </row>
    <row r="171" spans="1:21" ht="19.5" x14ac:dyDescent="0.3">
      <c r="A171" s="749" t="s">
        <v>73</v>
      </c>
      <c r="B171" s="750"/>
      <c r="C171" s="750"/>
      <c r="D171" s="751"/>
      <c r="E171" s="751"/>
      <c r="F171" s="751"/>
      <c r="G171" s="751"/>
      <c r="H171" s="752"/>
      <c r="I171" s="753"/>
      <c r="J171" s="753"/>
      <c r="K171" s="754"/>
      <c r="L171" s="755"/>
      <c r="M171" s="754"/>
      <c r="N171" s="754"/>
      <c r="O171" s="754"/>
      <c r="P171" s="754"/>
      <c r="Q171" s="754"/>
      <c r="R171" s="754"/>
      <c r="S171" s="754"/>
      <c r="T171" s="754"/>
      <c r="U171" s="754"/>
    </row>
    <row r="172" spans="1:21" ht="19.5" x14ac:dyDescent="0.3">
      <c r="A172" s="756"/>
      <c r="B172" s="757" t="s">
        <v>74</v>
      </c>
      <c r="C172" s="758"/>
      <c r="D172" s="690"/>
      <c r="E172" s="690"/>
      <c r="F172" s="690"/>
      <c r="G172" s="691"/>
      <c r="H172" s="759" t="s">
        <v>35</v>
      </c>
      <c r="I172" s="760">
        <f t="shared" ref="I172:J172" ca="1" si="117">I183+I184</f>
        <v>15</v>
      </c>
      <c r="J172" s="760">
        <f t="shared" si="117"/>
        <v>7</v>
      </c>
      <c r="K172" s="761">
        <f ca="1">IF(I172&gt;0,J172*100/I172,0)</f>
        <v>46.666666666666664</v>
      </c>
      <c r="L172" s="762"/>
      <c r="M172" s="763"/>
      <c r="N172" s="763"/>
      <c r="O172" s="763"/>
      <c r="P172" s="763"/>
      <c r="Q172" s="763"/>
      <c r="R172" s="763"/>
      <c r="S172" s="763"/>
      <c r="T172" s="763"/>
      <c r="U172" s="763"/>
    </row>
    <row r="173" spans="1:21" ht="19.5" x14ac:dyDescent="0.3">
      <c r="A173" s="674"/>
      <c r="B173" s="561"/>
      <c r="C173" s="675" t="s">
        <v>18</v>
      </c>
      <c r="D173" s="676" t="s">
        <v>19</v>
      </c>
      <c r="E173" s="561"/>
      <c r="F173" s="561"/>
      <c r="G173" s="563"/>
      <c r="H173" s="677" t="s">
        <v>14</v>
      </c>
      <c r="I173" s="565"/>
      <c r="J173" s="565"/>
      <c r="K173" s="566"/>
      <c r="L173" s="678">
        <f t="shared" ref="L173:N173" ca="1" si="118">L174+L175</f>
        <v>19590</v>
      </c>
      <c r="M173" s="679">
        <f t="shared" ca="1" si="118"/>
        <v>166020</v>
      </c>
      <c r="N173" s="679">
        <f t="shared" ca="1" si="118"/>
        <v>164010</v>
      </c>
      <c r="O173" s="679">
        <f t="shared" ref="O173:O181" ca="1" si="119">IF(L173&gt;0,N173*100/L173,0)</f>
        <v>837.21286370597238</v>
      </c>
      <c r="P173" s="679">
        <f t="shared" ref="P173:P181" ca="1" si="120">IF(M173&gt;0,N173*100/M173,0)</f>
        <v>98.789302493675464</v>
      </c>
      <c r="Q173" s="679">
        <f t="shared" ref="Q173:S173" ca="1" si="121">Q174+Q175</f>
        <v>0</v>
      </c>
      <c r="R173" s="679">
        <f t="shared" ca="1" si="121"/>
        <v>0</v>
      </c>
      <c r="S173" s="679">
        <f t="shared" ca="1" si="121"/>
        <v>0</v>
      </c>
      <c r="T173" s="679">
        <f t="shared" ref="T173:T181" ca="1" si="122">IF(Q173&gt;0,S173*100/Q173,0)</f>
        <v>0</v>
      </c>
      <c r="U173" s="679">
        <f t="shared" ref="U173:U181" ca="1" si="123">IF(R173&gt;0,S173*100/R173,0)</f>
        <v>0</v>
      </c>
    </row>
    <row r="174" spans="1:21" ht="18.75" x14ac:dyDescent="0.25">
      <c r="A174" s="674"/>
      <c r="B174" s="561"/>
      <c r="C174" s="561"/>
      <c r="D174" s="561"/>
      <c r="E174" s="569" t="s">
        <v>20</v>
      </c>
      <c r="F174" s="561"/>
      <c r="G174" s="563"/>
      <c r="H174" s="680" t="s">
        <v>14</v>
      </c>
      <c r="I174" s="565"/>
      <c r="J174" s="565"/>
      <c r="K174" s="566"/>
      <c r="L174" s="571">
        <f t="shared" ref="L174:N175" si="124">L177+L180</f>
        <v>0</v>
      </c>
      <c r="M174" s="572">
        <f t="shared" si="124"/>
        <v>0</v>
      </c>
      <c r="N174" s="572">
        <f t="shared" si="124"/>
        <v>0</v>
      </c>
      <c r="O174" s="572">
        <f t="shared" si="119"/>
        <v>0</v>
      </c>
      <c r="P174" s="572">
        <f t="shared" si="120"/>
        <v>0</v>
      </c>
      <c r="Q174" s="572">
        <f t="shared" ref="Q174:S175" si="125">Q177+Q180</f>
        <v>0</v>
      </c>
      <c r="R174" s="572">
        <f t="shared" si="125"/>
        <v>0</v>
      </c>
      <c r="S174" s="572">
        <f t="shared" si="125"/>
        <v>0</v>
      </c>
      <c r="T174" s="572">
        <f t="shared" si="122"/>
        <v>0</v>
      </c>
      <c r="U174" s="572">
        <f t="shared" si="123"/>
        <v>0</v>
      </c>
    </row>
    <row r="175" spans="1:21" ht="18.75" x14ac:dyDescent="0.25">
      <c r="A175" s="674"/>
      <c r="B175" s="561"/>
      <c r="C175" s="561"/>
      <c r="D175" s="561"/>
      <c r="E175" s="573" t="s">
        <v>21</v>
      </c>
      <c r="F175" s="561"/>
      <c r="G175" s="563"/>
      <c r="H175" s="681" t="s">
        <v>14</v>
      </c>
      <c r="I175" s="565"/>
      <c r="J175" s="565"/>
      <c r="K175" s="566"/>
      <c r="L175" s="567">
        <f t="shared" ca="1" si="124"/>
        <v>19590</v>
      </c>
      <c r="M175" s="568">
        <f t="shared" ca="1" si="124"/>
        <v>166020</v>
      </c>
      <c r="N175" s="568">
        <f t="shared" ca="1" si="124"/>
        <v>164010</v>
      </c>
      <c r="O175" s="568">
        <f t="shared" ca="1" si="119"/>
        <v>837.21286370597238</v>
      </c>
      <c r="P175" s="568">
        <f t="shared" ca="1" si="120"/>
        <v>98.789302493675464</v>
      </c>
      <c r="Q175" s="568">
        <f t="shared" ca="1" si="125"/>
        <v>0</v>
      </c>
      <c r="R175" s="568">
        <f t="shared" ca="1" si="125"/>
        <v>0</v>
      </c>
      <c r="S175" s="568">
        <f t="shared" ca="1" si="125"/>
        <v>0</v>
      </c>
      <c r="T175" s="568">
        <f t="shared" ca="1" si="122"/>
        <v>0</v>
      </c>
      <c r="U175" s="568">
        <f t="shared" ca="1" si="123"/>
        <v>0</v>
      </c>
    </row>
    <row r="176" spans="1:21" ht="18.75" x14ac:dyDescent="0.25">
      <c r="A176" s="674"/>
      <c r="B176" s="561"/>
      <c r="C176" s="561"/>
      <c r="D176" s="562" t="s">
        <v>22</v>
      </c>
      <c r="E176" s="561"/>
      <c r="F176" s="561"/>
      <c r="G176" s="563"/>
      <c r="H176" s="682" t="s">
        <v>14</v>
      </c>
      <c r="I176" s="683"/>
      <c r="J176" s="683"/>
      <c r="K176" s="684"/>
      <c r="L176" s="567">
        <f t="shared" ref="L176:N176" ca="1" si="126">L177+L178</f>
        <v>19590</v>
      </c>
      <c r="M176" s="568">
        <f t="shared" ca="1" si="126"/>
        <v>166020</v>
      </c>
      <c r="N176" s="568">
        <f t="shared" ca="1" si="126"/>
        <v>164010</v>
      </c>
      <c r="O176" s="568">
        <f t="shared" ca="1" si="119"/>
        <v>837.21286370597238</v>
      </c>
      <c r="P176" s="568">
        <f t="shared" ca="1" si="120"/>
        <v>98.789302493675464</v>
      </c>
      <c r="Q176" s="568">
        <f t="shared" ref="Q176:S176" ca="1" si="127">Q177+Q178</f>
        <v>0</v>
      </c>
      <c r="R176" s="568">
        <f t="shared" ca="1" si="127"/>
        <v>0</v>
      </c>
      <c r="S176" s="568">
        <f t="shared" ca="1" si="127"/>
        <v>0</v>
      </c>
      <c r="T176" s="568">
        <f t="shared" ca="1" si="122"/>
        <v>0</v>
      </c>
      <c r="U176" s="568">
        <f t="shared" ca="1" si="123"/>
        <v>0</v>
      </c>
    </row>
    <row r="177" spans="1:21" ht="18.75" x14ac:dyDescent="0.25">
      <c r="A177" s="674"/>
      <c r="B177" s="561"/>
      <c r="C177" s="561"/>
      <c r="D177" s="561"/>
      <c r="E177" s="569" t="s">
        <v>36</v>
      </c>
      <c r="F177" s="561"/>
      <c r="G177" s="563"/>
      <c r="H177" s="685" t="s">
        <v>14</v>
      </c>
      <c r="I177" s="683"/>
      <c r="J177" s="683"/>
      <c r="K177" s="684"/>
      <c r="L177" s="571">
        <v>0</v>
      </c>
      <c r="M177" s="572">
        <v>0</v>
      </c>
      <c r="N177" s="572">
        <v>0</v>
      </c>
      <c r="O177" s="572">
        <f t="shared" si="119"/>
        <v>0</v>
      </c>
      <c r="P177" s="572">
        <f t="shared" si="120"/>
        <v>0</v>
      </c>
      <c r="Q177" s="572">
        <v>0</v>
      </c>
      <c r="R177" s="572">
        <v>0</v>
      </c>
      <c r="S177" s="572">
        <v>0</v>
      </c>
      <c r="T177" s="572">
        <f t="shared" si="122"/>
        <v>0</v>
      </c>
      <c r="U177" s="572">
        <f t="shared" si="123"/>
        <v>0</v>
      </c>
    </row>
    <row r="178" spans="1:21" ht="18.75" x14ac:dyDescent="0.25">
      <c r="A178" s="674"/>
      <c r="B178" s="561"/>
      <c r="C178" s="561"/>
      <c r="D178" s="561"/>
      <c r="E178" s="573" t="s">
        <v>37</v>
      </c>
      <c r="F178" s="561"/>
      <c r="G178" s="563"/>
      <c r="H178" s="682" t="s">
        <v>14</v>
      </c>
      <c r="I178" s="683"/>
      <c r="J178" s="683"/>
      <c r="K178" s="684"/>
      <c r="L178" s="567">
        <f ca="1">IFERROR(__xludf.DUMMYFUNCTION("IMPORTRANGE(""https://docs.google.com/spreadsheets/d/1-uDff_7J0KD5mKrp0Vvzr7lt3OU09vwQwhkpOPPYv2Y/edit?usp=sharing"",""งบพรบ!CK16"")"),19590)</f>
        <v>19590</v>
      </c>
      <c r="M178" s="568">
        <f ca="1">IFERROR(__xludf.DUMMYFUNCTION("IMPORTRANGE(""https://docs.google.com/spreadsheets/d/1-uDff_7J0KD5mKrp0Vvzr7lt3OU09vwQwhkpOPPYv2Y/edit?usp=sharing"",""งบพรบ!CP16"")"),166020)</f>
        <v>166020</v>
      </c>
      <c r="N178" s="568">
        <f ca="1">IFERROR(__xludf.DUMMYFUNCTION("IMPORTRANGE(""https://docs.google.com/spreadsheets/d/1-uDff_7J0KD5mKrp0Vvzr7lt3OU09vwQwhkpOPPYv2Y/edit?usp=sharing"",""งบพรบ!CR16"")"),164010)</f>
        <v>164010</v>
      </c>
      <c r="O178" s="568">
        <f t="shared" ca="1" si="119"/>
        <v>837.21286370597238</v>
      </c>
      <c r="P178" s="568">
        <f t="shared" ca="1" si="120"/>
        <v>98.789302493675464</v>
      </c>
      <c r="Q178" s="568">
        <f ca="1">IFERROR(__xludf.DUMMYFUNCTION("IMPORTRANGE(""https://docs.google.com/spreadsheets/d/1ItG2mGa2ceCfYo0BwxsXqNm01IGEUdYcSSLTEv9YCik/edit?usp=sharing"",""เบิกจ่ายกองทุน!DG16"")"),0)</f>
        <v>0</v>
      </c>
      <c r="R178" s="568">
        <f ca="1">IFERROR(__xludf.DUMMYFUNCTION("IMPORTRANGE(""https://docs.google.com/spreadsheets/d/1ItG2mGa2ceCfYo0BwxsXqNm01IGEUdYcSSLTEv9YCik/edit?usp=sharing"",""เบิกจ่ายกองทุน!DH16"")"),0)</f>
        <v>0</v>
      </c>
      <c r="S178" s="568">
        <f ca="1">IFERROR(__xludf.DUMMYFUNCTION("IMPORTRANGE(""https://docs.google.com/spreadsheets/d/1ItG2mGa2ceCfYo0BwxsXqNm01IGEUdYcSSLTEv9YCik/edit?usp=sharing"",""เบิกจ่ายกองทุน!DI16"")"),0)</f>
        <v>0</v>
      </c>
      <c r="T178" s="568">
        <f t="shared" ca="1" si="122"/>
        <v>0</v>
      </c>
      <c r="U178" s="568">
        <f t="shared" ca="1" si="123"/>
        <v>0</v>
      </c>
    </row>
    <row r="179" spans="1:21" ht="18.75" x14ac:dyDescent="0.25">
      <c r="A179" s="674"/>
      <c r="B179" s="561"/>
      <c r="C179" s="561"/>
      <c r="D179" s="562" t="s">
        <v>23</v>
      </c>
      <c r="E179" s="561"/>
      <c r="F179" s="561"/>
      <c r="G179" s="563"/>
      <c r="H179" s="686" t="s">
        <v>14</v>
      </c>
      <c r="I179" s="683"/>
      <c r="J179" s="683"/>
      <c r="K179" s="684"/>
      <c r="L179" s="567">
        <f t="shared" ref="L179:N179" ca="1" si="128">L180+L181</f>
        <v>0</v>
      </c>
      <c r="M179" s="568">
        <f t="shared" ca="1" si="128"/>
        <v>0</v>
      </c>
      <c r="N179" s="568">
        <f t="shared" ca="1" si="128"/>
        <v>0</v>
      </c>
      <c r="O179" s="568">
        <f t="shared" ca="1" si="119"/>
        <v>0</v>
      </c>
      <c r="P179" s="568">
        <f t="shared" ca="1" si="120"/>
        <v>0</v>
      </c>
      <c r="Q179" s="568">
        <f t="shared" ref="Q179:S179" si="129">Q180+Q181</f>
        <v>0</v>
      </c>
      <c r="R179" s="568">
        <f t="shared" si="129"/>
        <v>0</v>
      </c>
      <c r="S179" s="568">
        <f t="shared" si="129"/>
        <v>0</v>
      </c>
      <c r="T179" s="568">
        <f t="shared" si="122"/>
        <v>0</v>
      </c>
      <c r="U179" s="568">
        <f t="shared" si="123"/>
        <v>0</v>
      </c>
    </row>
    <row r="180" spans="1:21" ht="18.75" x14ac:dyDescent="0.25">
      <c r="A180" s="674"/>
      <c r="B180" s="561"/>
      <c r="C180" s="561"/>
      <c r="D180" s="561"/>
      <c r="E180" s="569" t="s">
        <v>20</v>
      </c>
      <c r="F180" s="561"/>
      <c r="G180" s="563"/>
      <c r="H180" s="685" t="s">
        <v>14</v>
      </c>
      <c r="I180" s="683"/>
      <c r="J180" s="683"/>
      <c r="K180" s="684"/>
      <c r="L180" s="571">
        <v>0</v>
      </c>
      <c r="M180" s="572">
        <v>0</v>
      </c>
      <c r="N180" s="572">
        <v>0</v>
      </c>
      <c r="O180" s="572">
        <f t="shared" si="119"/>
        <v>0</v>
      </c>
      <c r="P180" s="572">
        <f t="shared" si="120"/>
        <v>0</v>
      </c>
      <c r="Q180" s="572">
        <v>0</v>
      </c>
      <c r="R180" s="572">
        <v>0</v>
      </c>
      <c r="S180" s="572">
        <v>0</v>
      </c>
      <c r="T180" s="572">
        <f t="shared" si="122"/>
        <v>0</v>
      </c>
      <c r="U180" s="572">
        <f t="shared" si="123"/>
        <v>0</v>
      </c>
    </row>
    <row r="181" spans="1:21" ht="18.75" x14ac:dyDescent="0.25">
      <c r="A181" s="674"/>
      <c r="B181" s="561"/>
      <c r="C181" s="561"/>
      <c r="D181" s="561"/>
      <c r="E181" s="573" t="s">
        <v>21</v>
      </c>
      <c r="F181" s="561"/>
      <c r="G181" s="563"/>
      <c r="H181" s="686" t="s">
        <v>14</v>
      </c>
      <c r="I181" s="683"/>
      <c r="J181" s="683"/>
      <c r="K181" s="684"/>
      <c r="L181" s="567">
        <f ca="1">IFERROR(__xludf.DUMMYFUNCTION("IMPORTRANGE(""https://docs.google.com/spreadsheets/d/1-uDff_7J0KD5mKrp0Vvzr7lt3OU09vwQwhkpOPPYv2Y/edit?usp=sharing"",""งบพรบ!CN16"")"),0)</f>
        <v>0</v>
      </c>
      <c r="M181" s="568">
        <f ca="1">IFERROR(__xludf.DUMMYFUNCTION("IMPORTRANGE(""https://docs.google.com/spreadsheets/d/1-uDff_7J0KD5mKrp0Vvzr7lt3OU09vwQwhkpOPPYv2Y/edit?usp=sharing"",""งบพรบ!CQ16"")"),0)</f>
        <v>0</v>
      </c>
      <c r="N181" s="568">
        <f ca="1">IFERROR(__xludf.DUMMYFUNCTION("IMPORTRANGE(""https://docs.google.com/spreadsheets/d/1-uDff_7J0KD5mKrp0Vvzr7lt3OU09vwQwhkpOPPYv2Y/edit?usp=sharing"",""งบพรบ!CS16"")"),0)</f>
        <v>0</v>
      </c>
      <c r="O181" s="568">
        <f t="shared" ca="1" si="119"/>
        <v>0</v>
      </c>
      <c r="P181" s="568">
        <f t="shared" ca="1" si="120"/>
        <v>0</v>
      </c>
      <c r="Q181" s="568">
        <v>0</v>
      </c>
      <c r="R181" s="568">
        <v>0</v>
      </c>
      <c r="S181" s="568">
        <v>0</v>
      </c>
      <c r="T181" s="568">
        <f t="shared" si="122"/>
        <v>0</v>
      </c>
      <c r="U181" s="568">
        <f t="shared" si="123"/>
        <v>0</v>
      </c>
    </row>
    <row r="182" spans="1:21" ht="19.5" x14ac:dyDescent="0.3">
      <c r="A182" s="687"/>
      <c r="B182" s="688"/>
      <c r="C182" s="675" t="s">
        <v>18</v>
      </c>
      <c r="D182" s="689" t="s">
        <v>38</v>
      </c>
      <c r="E182" s="690"/>
      <c r="F182" s="690"/>
      <c r="G182" s="691"/>
      <c r="H182" s="725"/>
      <c r="I182" s="565"/>
      <c r="J182" s="565"/>
      <c r="K182" s="566"/>
      <c r="L182" s="574"/>
      <c r="M182" s="566"/>
      <c r="N182" s="566"/>
      <c r="O182" s="566"/>
      <c r="P182" s="566"/>
      <c r="Q182" s="566"/>
      <c r="R182" s="566"/>
      <c r="S182" s="566"/>
      <c r="T182" s="566"/>
      <c r="U182" s="566"/>
    </row>
    <row r="183" spans="1:21" ht="18.75" x14ac:dyDescent="0.25">
      <c r="A183" s="764"/>
      <c r="B183" s="561"/>
      <c r="C183" s="718"/>
      <c r="D183" s="765" t="s">
        <v>75</v>
      </c>
      <c r="E183" s="561"/>
      <c r="F183" s="561"/>
      <c r="G183" s="563"/>
      <c r="H183" s="766" t="s">
        <v>35</v>
      </c>
      <c r="I183" s="708">
        <f ca="1">IFERROR(__xludf.DUMMYFUNCTION("IMPORTRANGE(""https://docs.google.com/spreadsheets/d/1eHaY18a8A9IcSdp1K8H6x8fbOy06t2VsZHhMHf-1x7Y/edit?usp=sharing"",""แผน!AA16"")"),15)</f>
        <v>15</v>
      </c>
      <c r="J183" s="702">
        <v>7</v>
      </c>
      <c r="K183" s="568">
        <f t="shared" ref="K183:K185" ca="1" si="130">IF(I183&gt;0,J183*100/I183,0)</f>
        <v>46.666666666666664</v>
      </c>
      <c r="L183" s="574"/>
      <c r="M183" s="566"/>
      <c r="N183" s="566"/>
      <c r="O183" s="566"/>
      <c r="P183" s="566"/>
      <c r="Q183" s="566"/>
      <c r="R183" s="566"/>
      <c r="S183" s="566"/>
      <c r="T183" s="566"/>
      <c r="U183" s="566"/>
    </row>
    <row r="184" spans="1:21" ht="18.75" x14ac:dyDescent="0.25">
      <c r="A184" s="764"/>
      <c r="B184" s="718"/>
      <c r="C184" s="718"/>
      <c r="D184" s="767" t="s">
        <v>76</v>
      </c>
      <c r="E184" s="561"/>
      <c r="F184" s="561"/>
      <c r="G184" s="563"/>
      <c r="H184" s="768" t="s">
        <v>35</v>
      </c>
      <c r="I184" s="735">
        <v>0</v>
      </c>
      <c r="J184" s="735">
        <v>0</v>
      </c>
      <c r="K184" s="572">
        <f t="shared" si="130"/>
        <v>0</v>
      </c>
      <c r="L184" s="574"/>
      <c r="M184" s="566"/>
      <c r="N184" s="566"/>
      <c r="O184" s="566"/>
      <c r="P184" s="566"/>
      <c r="Q184" s="566"/>
      <c r="R184" s="566"/>
      <c r="S184" s="566"/>
      <c r="T184" s="566"/>
      <c r="U184" s="566"/>
    </row>
    <row r="185" spans="1:21" ht="19.5" x14ac:dyDescent="0.3">
      <c r="A185" s="756"/>
      <c r="B185" s="757" t="s">
        <v>77</v>
      </c>
      <c r="C185" s="758"/>
      <c r="D185" s="690"/>
      <c r="E185" s="690"/>
      <c r="F185" s="690"/>
      <c r="G185" s="691"/>
      <c r="H185" s="759" t="s">
        <v>35</v>
      </c>
      <c r="I185" s="760">
        <f t="shared" ref="I185:J185" ca="1" si="131">I230+I231</f>
        <v>120</v>
      </c>
      <c r="J185" s="760">
        <f t="shared" si="131"/>
        <v>120</v>
      </c>
      <c r="K185" s="761">
        <f t="shared" ca="1" si="130"/>
        <v>100</v>
      </c>
      <c r="L185" s="762"/>
      <c r="M185" s="763"/>
      <c r="N185" s="763"/>
      <c r="O185" s="763"/>
      <c r="P185" s="763"/>
      <c r="Q185" s="763"/>
      <c r="R185" s="763"/>
      <c r="S185" s="763"/>
      <c r="T185" s="763"/>
      <c r="U185" s="763"/>
    </row>
    <row r="186" spans="1:21" ht="19.5" x14ac:dyDescent="0.3">
      <c r="A186" s="674"/>
      <c r="B186" s="561"/>
      <c r="C186" s="675" t="s">
        <v>18</v>
      </c>
      <c r="D186" s="676" t="s">
        <v>19</v>
      </c>
      <c r="E186" s="561"/>
      <c r="F186" s="561"/>
      <c r="G186" s="563"/>
      <c r="H186" s="677" t="s">
        <v>14</v>
      </c>
      <c r="I186" s="565"/>
      <c r="J186" s="565"/>
      <c r="K186" s="566"/>
      <c r="L186" s="678">
        <f t="shared" ref="L186:N186" ca="1" si="132">L187+L188</f>
        <v>624700</v>
      </c>
      <c r="M186" s="679">
        <f t="shared" ca="1" si="132"/>
        <v>632900</v>
      </c>
      <c r="N186" s="679">
        <f t="shared" ca="1" si="132"/>
        <v>285841.71000000002</v>
      </c>
      <c r="O186" s="679">
        <f t="shared" ref="O186:O194" ca="1" si="133">IF(L186&gt;0,N186*100/L186,0)</f>
        <v>45.756636785657122</v>
      </c>
      <c r="P186" s="679">
        <f t="shared" ref="P186:P194" ca="1" si="134">IF(M186&gt;0,N186*100/M186,0)</f>
        <v>45.163803128456316</v>
      </c>
      <c r="Q186" s="679">
        <f t="shared" ref="Q186:S186" ca="1" si="135">Q187+Q188</f>
        <v>324600</v>
      </c>
      <c r="R186" s="679">
        <f t="shared" ca="1" si="135"/>
        <v>324600</v>
      </c>
      <c r="S186" s="679">
        <f t="shared" ca="1" si="135"/>
        <v>274800</v>
      </c>
      <c r="T186" s="679">
        <f t="shared" ref="T186:T194" ca="1" si="136">IF(Q186&gt;0,S186*100/Q186,0)</f>
        <v>84.658040665434385</v>
      </c>
      <c r="U186" s="679">
        <f t="shared" ref="U186:U194" ca="1" si="137">IF(R186&gt;0,S186*100/R186,0)</f>
        <v>84.658040665434385</v>
      </c>
    </row>
    <row r="187" spans="1:21" ht="18.75" x14ac:dyDescent="0.25">
      <c r="A187" s="674"/>
      <c r="B187" s="561"/>
      <c r="C187" s="561"/>
      <c r="D187" s="561"/>
      <c r="E187" s="569" t="s">
        <v>20</v>
      </c>
      <c r="F187" s="561"/>
      <c r="G187" s="563"/>
      <c r="H187" s="680" t="s">
        <v>14</v>
      </c>
      <c r="I187" s="565"/>
      <c r="J187" s="565"/>
      <c r="K187" s="566"/>
      <c r="L187" s="571">
        <f t="shared" ref="L187:N188" si="138">L190+L193</f>
        <v>0</v>
      </c>
      <c r="M187" s="572">
        <f t="shared" si="138"/>
        <v>0</v>
      </c>
      <c r="N187" s="572">
        <f t="shared" si="138"/>
        <v>0</v>
      </c>
      <c r="O187" s="572">
        <f t="shared" si="133"/>
        <v>0</v>
      </c>
      <c r="P187" s="572">
        <f t="shared" si="134"/>
        <v>0</v>
      </c>
      <c r="Q187" s="572">
        <f t="shared" ref="Q187:S188" si="139">Q190+Q193</f>
        <v>0</v>
      </c>
      <c r="R187" s="572">
        <f t="shared" si="139"/>
        <v>0</v>
      </c>
      <c r="S187" s="572">
        <f t="shared" si="139"/>
        <v>0</v>
      </c>
      <c r="T187" s="572">
        <f t="shared" si="136"/>
        <v>0</v>
      </c>
      <c r="U187" s="572">
        <f t="shared" si="137"/>
        <v>0</v>
      </c>
    </row>
    <row r="188" spans="1:21" ht="18.75" x14ac:dyDescent="0.25">
      <c r="A188" s="674"/>
      <c r="B188" s="561"/>
      <c r="C188" s="561"/>
      <c r="D188" s="561"/>
      <c r="E188" s="573" t="s">
        <v>21</v>
      </c>
      <c r="F188" s="561"/>
      <c r="G188" s="563"/>
      <c r="H188" s="681" t="s">
        <v>14</v>
      </c>
      <c r="I188" s="565"/>
      <c r="J188" s="565"/>
      <c r="K188" s="566"/>
      <c r="L188" s="567">
        <f t="shared" ca="1" si="138"/>
        <v>624700</v>
      </c>
      <c r="M188" s="568">
        <f t="shared" ca="1" si="138"/>
        <v>632900</v>
      </c>
      <c r="N188" s="568">
        <f t="shared" ca="1" si="138"/>
        <v>285841.71000000002</v>
      </c>
      <c r="O188" s="568">
        <f t="shared" ca="1" si="133"/>
        <v>45.756636785657122</v>
      </c>
      <c r="P188" s="568">
        <f t="shared" ca="1" si="134"/>
        <v>45.163803128456316</v>
      </c>
      <c r="Q188" s="568">
        <f t="shared" ca="1" si="139"/>
        <v>324600</v>
      </c>
      <c r="R188" s="568">
        <f t="shared" ca="1" si="139"/>
        <v>324600</v>
      </c>
      <c r="S188" s="568">
        <f t="shared" ca="1" si="139"/>
        <v>274800</v>
      </c>
      <c r="T188" s="568">
        <f t="shared" ca="1" si="136"/>
        <v>84.658040665434385</v>
      </c>
      <c r="U188" s="568">
        <f t="shared" ca="1" si="137"/>
        <v>84.658040665434385</v>
      </c>
    </row>
    <row r="189" spans="1:21" ht="18.75" x14ac:dyDescent="0.25">
      <c r="A189" s="674"/>
      <c r="B189" s="561"/>
      <c r="C189" s="561"/>
      <c r="D189" s="562" t="s">
        <v>22</v>
      </c>
      <c r="E189" s="561"/>
      <c r="F189" s="561"/>
      <c r="G189" s="563"/>
      <c r="H189" s="682" t="s">
        <v>14</v>
      </c>
      <c r="I189" s="683"/>
      <c r="J189" s="683"/>
      <c r="K189" s="684"/>
      <c r="L189" s="567">
        <f t="shared" ref="L189:N189" ca="1" si="140">L190+L191</f>
        <v>624700</v>
      </c>
      <c r="M189" s="568">
        <f t="shared" ca="1" si="140"/>
        <v>632900</v>
      </c>
      <c r="N189" s="568">
        <f t="shared" ca="1" si="140"/>
        <v>285841.71000000002</v>
      </c>
      <c r="O189" s="568">
        <f t="shared" ca="1" si="133"/>
        <v>45.756636785657122</v>
      </c>
      <c r="P189" s="568">
        <f t="shared" ca="1" si="134"/>
        <v>45.163803128456316</v>
      </c>
      <c r="Q189" s="568">
        <f t="shared" ref="Q189:S189" ca="1" si="141">Q190+Q191</f>
        <v>324600</v>
      </c>
      <c r="R189" s="568">
        <f t="shared" ca="1" si="141"/>
        <v>324600</v>
      </c>
      <c r="S189" s="568">
        <f t="shared" ca="1" si="141"/>
        <v>274800</v>
      </c>
      <c r="T189" s="568">
        <f t="shared" ca="1" si="136"/>
        <v>84.658040665434385</v>
      </c>
      <c r="U189" s="568">
        <f t="shared" ca="1" si="137"/>
        <v>84.658040665434385</v>
      </c>
    </row>
    <row r="190" spans="1:21" ht="18.75" x14ac:dyDescent="0.25">
      <c r="A190" s="674"/>
      <c r="B190" s="561"/>
      <c r="C190" s="561"/>
      <c r="D190" s="561"/>
      <c r="E190" s="569" t="s">
        <v>36</v>
      </c>
      <c r="F190" s="561"/>
      <c r="G190" s="563"/>
      <c r="H190" s="685" t="s">
        <v>14</v>
      </c>
      <c r="I190" s="683"/>
      <c r="J190" s="683"/>
      <c r="K190" s="684"/>
      <c r="L190" s="571">
        <v>0</v>
      </c>
      <c r="M190" s="572">
        <v>0</v>
      </c>
      <c r="N190" s="572">
        <v>0</v>
      </c>
      <c r="O190" s="572">
        <f t="shared" si="133"/>
        <v>0</v>
      </c>
      <c r="P190" s="572">
        <f t="shared" si="134"/>
        <v>0</v>
      </c>
      <c r="Q190" s="572">
        <v>0</v>
      </c>
      <c r="R190" s="572">
        <v>0</v>
      </c>
      <c r="S190" s="572">
        <v>0</v>
      </c>
      <c r="T190" s="572">
        <f t="shared" si="136"/>
        <v>0</v>
      </c>
      <c r="U190" s="572">
        <f t="shared" si="137"/>
        <v>0</v>
      </c>
    </row>
    <row r="191" spans="1:21" ht="18.75" x14ac:dyDescent="0.25">
      <c r="A191" s="674"/>
      <c r="B191" s="561"/>
      <c r="C191" s="561"/>
      <c r="D191" s="561"/>
      <c r="E191" s="573" t="s">
        <v>37</v>
      </c>
      <c r="F191" s="561"/>
      <c r="G191" s="563"/>
      <c r="H191" s="682" t="s">
        <v>14</v>
      </c>
      <c r="I191" s="683"/>
      <c r="J191" s="683"/>
      <c r="K191" s="684"/>
      <c r="L191" s="567">
        <f ca="1">IFERROR(__xludf.DUMMYFUNCTION("IMPORTRANGE(""https://docs.google.com/spreadsheets/d/1-uDff_7J0KD5mKrp0Vvzr7lt3OU09vwQwhkpOPPYv2Y/edit?usp=sharing"",""งบพรบ!CU16"")"),624700)</f>
        <v>624700</v>
      </c>
      <c r="M191" s="568">
        <f ca="1">IFERROR(__xludf.DUMMYFUNCTION("IMPORTRANGE(""https://docs.google.com/spreadsheets/d/1-uDff_7J0KD5mKrp0Vvzr7lt3OU09vwQwhkpOPPYv2Y/edit?usp=sharing"",""งบพรบ!CZ16"")"),632900)</f>
        <v>632900</v>
      </c>
      <c r="N191" s="568">
        <f ca="1">IFERROR(__xludf.DUMMYFUNCTION("IMPORTRANGE(""https://docs.google.com/spreadsheets/d/1-uDff_7J0KD5mKrp0Vvzr7lt3OU09vwQwhkpOPPYv2Y/edit?usp=sharing"",""งบพรบ!DB16"")"),285841.71)</f>
        <v>285841.71000000002</v>
      </c>
      <c r="O191" s="568">
        <f t="shared" ca="1" si="133"/>
        <v>45.756636785657122</v>
      </c>
      <c r="P191" s="568">
        <f t="shared" ca="1" si="134"/>
        <v>45.163803128456316</v>
      </c>
      <c r="Q191" s="568">
        <f ca="1">IFERROR(__xludf.DUMMYFUNCTION("IMPORTRANGE(""https://docs.google.com/spreadsheets/d/1ItG2mGa2ceCfYo0BwxsXqNm01IGEUdYcSSLTEv9YCik/edit?usp=sharing"",""เบิกจ่ายกองทุน!BQ16"")"),324600)</f>
        <v>324600</v>
      </c>
      <c r="R191" s="568">
        <f ca="1">IFERROR(__xludf.DUMMYFUNCTION("IMPORTRANGE(""https://docs.google.com/spreadsheets/d/1ItG2mGa2ceCfYo0BwxsXqNm01IGEUdYcSSLTEv9YCik/edit?usp=sharing"",""เบิกจ่ายกองทุน!BR16"")"),324600)</f>
        <v>324600</v>
      </c>
      <c r="S191" s="568">
        <f ca="1">IFERROR(__xludf.DUMMYFUNCTION("IMPORTRANGE(""https://docs.google.com/spreadsheets/d/1ItG2mGa2ceCfYo0BwxsXqNm01IGEUdYcSSLTEv9YCik/edit?usp=sharing"",""เบิกจ่ายกองทุน!BS16"")"),274800)</f>
        <v>274800</v>
      </c>
      <c r="T191" s="568">
        <f t="shared" ca="1" si="136"/>
        <v>84.658040665434385</v>
      </c>
      <c r="U191" s="568">
        <f t="shared" ca="1" si="137"/>
        <v>84.658040665434385</v>
      </c>
    </row>
    <row r="192" spans="1:21" ht="18.75" x14ac:dyDescent="0.25">
      <c r="A192" s="674"/>
      <c r="B192" s="561"/>
      <c r="C192" s="561"/>
      <c r="D192" s="562" t="s">
        <v>23</v>
      </c>
      <c r="E192" s="561"/>
      <c r="F192" s="561"/>
      <c r="G192" s="563"/>
      <c r="H192" s="686" t="s">
        <v>14</v>
      </c>
      <c r="I192" s="683"/>
      <c r="J192" s="683"/>
      <c r="K192" s="684"/>
      <c r="L192" s="567">
        <f t="shared" ref="L192:N192" ca="1" si="142">L193+L194</f>
        <v>0</v>
      </c>
      <c r="M192" s="568">
        <f t="shared" ca="1" si="142"/>
        <v>0</v>
      </c>
      <c r="N192" s="568">
        <f t="shared" ca="1" si="142"/>
        <v>0</v>
      </c>
      <c r="O192" s="568">
        <f t="shared" ca="1" si="133"/>
        <v>0</v>
      </c>
      <c r="P192" s="568">
        <f t="shared" ca="1" si="134"/>
        <v>0</v>
      </c>
      <c r="Q192" s="568">
        <f t="shared" ref="Q192:S192" ca="1" si="143">Q193+Q194</f>
        <v>0</v>
      </c>
      <c r="R192" s="568">
        <f t="shared" ca="1" si="143"/>
        <v>0</v>
      </c>
      <c r="S192" s="568">
        <f t="shared" ca="1" si="143"/>
        <v>0</v>
      </c>
      <c r="T192" s="568">
        <f t="shared" ca="1" si="136"/>
        <v>0</v>
      </c>
      <c r="U192" s="568">
        <f t="shared" ca="1" si="137"/>
        <v>0</v>
      </c>
    </row>
    <row r="193" spans="1:21" ht="18.75" x14ac:dyDescent="0.25">
      <c r="A193" s="674"/>
      <c r="B193" s="561"/>
      <c r="C193" s="561"/>
      <c r="D193" s="561"/>
      <c r="E193" s="569" t="s">
        <v>20</v>
      </c>
      <c r="F193" s="561"/>
      <c r="G193" s="563"/>
      <c r="H193" s="685" t="s">
        <v>14</v>
      </c>
      <c r="I193" s="683"/>
      <c r="J193" s="683"/>
      <c r="K193" s="684"/>
      <c r="L193" s="571">
        <v>0</v>
      </c>
      <c r="M193" s="572">
        <v>0</v>
      </c>
      <c r="N193" s="572">
        <v>0</v>
      </c>
      <c r="O193" s="572">
        <f t="shared" si="133"/>
        <v>0</v>
      </c>
      <c r="P193" s="572">
        <f t="shared" si="134"/>
        <v>0</v>
      </c>
      <c r="Q193" s="572">
        <v>0</v>
      </c>
      <c r="R193" s="572">
        <v>0</v>
      </c>
      <c r="S193" s="572">
        <v>0</v>
      </c>
      <c r="T193" s="572">
        <f t="shared" si="136"/>
        <v>0</v>
      </c>
      <c r="U193" s="572">
        <f t="shared" si="137"/>
        <v>0</v>
      </c>
    </row>
    <row r="194" spans="1:21" ht="18.75" x14ac:dyDescent="0.25">
      <c r="A194" s="674"/>
      <c r="B194" s="561"/>
      <c r="C194" s="561"/>
      <c r="D194" s="561"/>
      <c r="E194" s="573" t="s">
        <v>21</v>
      </c>
      <c r="F194" s="561"/>
      <c r="G194" s="563"/>
      <c r="H194" s="686" t="s">
        <v>14</v>
      </c>
      <c r="I194" s="683"/>
      <c r="J194" s="683"/>
      <c r="K194" s="684"/>
      <c r="L194" s="567">
        <f ca="1">IFERROR(__xludf.DUMMYFUNCTION("IMPORTRANGE(""https://docs.google.com/spreadsheets/d/1-uDff_7J0KD5mKrp0Vvzr7lt3OU09vwQwhkpOPPYv2Y/edit?usp=sharing"",""งบพรบ!CX16"")"),0)</f>
        <v>0</v>
      </c>
      <c r="M194" s="568">
        <f ca="1">IFERROR(__xludf.DUMMYFUNCTION("IMPORTRANGE(""https://docs.google.com/spreadsheets/d/1-uDff_7J0KD5mKrp0Vvzr7lt3OU09vwQwhkpOPPYv2Y/edit?usp=sharing"",""งบพรบ!DA16"")"),0)</f>
        <v>0</v>
      </c>
      <c r="N194" s="568">
        <f ca="1">IFERROR(__xludf.DUMMYFUNCTION("IMPORTRANGE(""https://docs.google.com/spreadsheets/d/1-uDff_7J0KD5mKrp0Vvzr7lt3OU09vwQwhkpOPPYv2Y/edit?usp=sharing"",""งบพรบ!DC16"")"),0)</f>
        <v>0</v>
      </c>
      <c r="O194" s="568">
        <f t="shared" ca="1" si="133"/>
        <v>0</v>
      </c>
      <c r="P194" s="568">
        <f t="shared" ca="1" si="134"/>
        <v>0</v>
      </c>
      <c r="Q194" s="568">
        <f ca="1">IFERROR(__xludf.DUMMYFUNCTION("IMPORTRANGE(""https://docs.google.com/spreadsheets/d/1ItG2mGa2ceCfYo0BwxsXqNm01IGEUdYcSSLTEv9YCik/edit?usp=sharing"",""เบิกจ่ายกองทุน!BT16"")"),0)</f>
        <v>0</v>
      </c>
      <c r="R194" s="568">
        <f ca="1">IFERROR(__xludf.DUMMYFUNCTION("IMPORTRANGE(""https://docs.google.com/spreadsheets/d/1ItG2mGa2ceCfYo0BwxsXqNm01IGEUdYcSSLTEv9YCik/edit?usp=sharing"",""เบิกจ่ายกองทุน!BU16"")"),0)</f>
        <v>0</v>
      </c>
      <c r="S194" s="568">
        <f ca="1">IFERROR(__xludf.DUMMYFUNCTION("IMPORTRANGE(""https://docs.google.com/spreadsheets/d/1ItG2mGa2ceCfYo0BwxsXqNm01IGEUdYcSSLTEv9YCik/edit?usp=sharing"",""เบิกจ่ายกองทุน!BV16"")"),0)</f>
        <v>0</v>
      </c>
      <c r="T194" s="568">
        <f t="shared" ca="1" si="136"/>
        <v>0</v>
      </c>
      <c r="U194" s="568">
        <f t="shared" ca="1" si="137"/>
        <v>0</v>
      </c>
    </row>
    <row r="195" spans="1:21" ht="19.5" x14ac:dyDescent="0.3">
      <c r="A195" s="769"/>
      <c r="B195" s="770"/>
      <c r="C195" s="771" t="s">
        <v>78</v>
      </c>
      <c r="D195" s="772"/>
      <c r="E195" s="772"/>
      <c r="F195" s="772"/>
      <c r="G195" s="773"/>
      <c r="H195" s="774" t="s">
        <v>79</v>
      </c>
      <c r="I195" s="775">
        <f t="shared" ref="I195:J195" ca="1" si="144">I198</f>
        <v>4</v>
      </c>
      <c r="J195" s="775">
        <f t="shared" si="144"/>
        <v>2</v>
      </c>
      <c r="K195" s="776">
        <f ca="1">IF(I195&gt;0,J195*100/I195,0)</f>
        <v>50</v>
      </c>
      <c r="L195" s="777"/>
      <c r="M195" s="778"/>
      <c r="N195" s="778"/>
      <c r="O195" s="778"/>
      <c r="P195" s="778"/>
      <c r="Q195" s="778"/>
      <c r="R195" s="778"/>
      <c r="S195" s="778"/>
      <c r="T195" s="778"/>
      <c r="U195" s="778"/>
    </row>
    <row r="196" spans="1:21" ht="19.5" x14ac:dyDescent="0.3">
      <c r="A196" s="674"/>
      <c r="B196" s="561"/>
      <c r="C196" s="675" t="s">
        <v>18</v>
      </c>
      <c r="D196" s="779" t="s">
        <v>19</v>
      </c>
      <c r="E196" s="561"/>
      <c r="F196" s="561"/>
      <c r="G196" s="563"/>
      <c r="H196" s="780" t="s">
        <v>14</v>
      </c>
      <c r="I196" s="565"/>
      <c r="J196" s="565"/>
      <c r="K196" s="566"/>
      <c r="L196" s="678">
        <f ca="1">IFERROR(__xludf.DUMMYFUNCTION("IMPORTRANGE(""https://docs.google.com/spreadsheets/d/1eHaY18a8A9IcSdp1K8H6x8fbOy06t2VsZHhMHf-1x7Y/edit?usp=sharing"",""แผน!AB16"")"),6000)</f>
        <v>6000</v>
      </c>
      <c r="M196" s="566"/>
      <c r="N196" s="781">
        <v>4240</v>
      </c>
      <c r="O196" s="679">
        <f ca="1">IF(L196&gt;0,N196*100/L196,0)</f>
        <v>70.666666666666671</v>
      </c>
      <c r="P196" s="679">
        <f>IF(M196&gt;0,N196*100/M196,0)</f>
        <v>0</v>
      </c>
      <c r="Q196" s="566"/>
      <c r="R196" s="566"/>
      <c r="S196" s="566"/>
      <c r="T196" s="566"/>
      <c r="U196" s="566"/>
    </row>
    <row r="197" spans="1:21" ht="19.5" x14ac:dyDescent="0.3">
      <c r="A197" s="687"/>
      <c r="B197" s="688"/>
      <c r="C197" s="675" t="s">
        <v>18</v>
      </c>
      <c r="D197" s="689" t="s">
        <v>38</v>
      </c>
      <c r="E197" s="690"/>
      <c r="F197" s="690"/>
      <c r="G197" s="691"/>
      <c r="H197" s="692"/>
      <c r="I197" s="565"/>
      <c r="J197" s="565"/>
      <c r="K197" s="566"/>
      <c r="L197" s="574"/>
      <c r="M197" s="566"/>
      <c r="N197" s="566"/>
      <c r="O197" s="566"/>
      <c r="P197" s="566"/>
      <c r="Q197" s="566"/>
      <c r="R197" s="566"/>
      <c r="S197" s="566"/>
      <c r="T197" s="566"/>
      <c r="U197" s="566"/>
    </row>
    <row r="198" spans="1:21" ht="18.75" x14ac:dyDescent="0.25">
      <c r="A198" s="687"/>
      <c r="B198" s="688"/>
      <c r="C198" s="688"/>
      <c r="D198" s="699" t="s">
        <v>80</v>
      </c>
      <c r="E198" s="695"/>
      <c r="F198" s="695"/>
      <c r="G198" s="692"/>
      <c r="H198" s="700" t="s">
        <v>79</v>
      </c>
      <c r="I198" s="708">
        <f ca="1">IFERROR(__xludf.DUMMYFUNCTION("IMPORTRANGE(""https://docs.google.com/spreadsheets/d/1eHaY18a8A9IcSdp1K8H6x8fbOy06t2VsZHhMHf-1x7Y/edit?usp=sharing"",""แผน!AE16"")"),4)</f>
        <v>4</v>
      </c>
      <c r="J198" s="702">
        <v>2</v>
      </c>
      <c r="K198" s="568">
        <f ca="1">IF(I198&gt;0,J198*100/I198,0)</f>
        <v>50</v>
      </c>
      <c r="L198" s="574"/>
      <c r="M198" s="566"/>
      <c r="N198" s="566"/>
      <c r="O198" s="566"/>
      <c r="P198" s="566"/>
      <c r="Q198" s="566"/>
      <c r="R198" s="566"/>
      <c r="S198" s="566"/>
      <c r="T198" s="566"/>
      <c r="U198" s="566"/>
    </row>
    <row r="199" spans="1:21" ht="18.75" x14ac:dyDescent="0.25">
      <c r="A199" s="687"/>
      <c r="B199" s="688"/>
      <c r="C199" s="688"/>
      <c r="D199" s="699" t="s">
        <v>81</v>
      </c>
      <c r="E199" s="695"/>
      <c r="F199" s="695"/>
      <c r="G199" s="692"/>
      <c r="H199" s="766" t="s">
        <v>35</v>
      </c>
      <c r="I199" s="565"/>
      <c r="J199" s="708">
        <f>J200+J201</f>
        <v>37</v>
      </c>
      <c r="K199" s="566"/>
      <c r="L199" s="574"/>
      <c r="M199" s="566"/>
      <c r="N199" s="566"/>
      <c r="O199" s="566"/>
      <c r="P199" s="566"/>
      <c r="Q199" s="566"/>
      <c r="R199" s="566"/>
      <c r="S199" s="566"/>
      <c r="T199" s="566"/>
      <c r="U199" s="566"/>
    </row>
    <row r="200" spans="1:21" ht="18.75" x14ac:dyDescent="0.25">
      <c r="A200" s="687"/>
      <c r="B200" s="688"/>
      <c r="C200" s="688"/>
      <c r="D200" s="688"/>
      <c r="E200" s="699" t="s">
        <v>82</v>
      </c>
      <c r="F200" s="695"/>
      <c r="G200" s="692"/>
      <c r="H200" s="766" t="s">
        <v>35</v>
      </c>
      <c r="I200" s="565"/>
      <c r="J200" s="702">
        <v>37</v>
      </c>
      <c r="K200" s="566"/>
      <c r="L200" s="574"/>
      <c r="M200" s="566"/>
      <c r="N200" s="566"/>
      <c r="O200" s="566"/>
      <c r="P200" s="566"/>
      <c r="Q200" s="566"/>
      <c r="R200" s="566"/>
      <c r="S200" s="566"/>
      <c r="T200" s="566"/>
      <c r="U200" s="566"/>
    </row>
    <row r="201" spans="1:21" ht="18.75" x14ac:dyDescent="0.25">
      <c r="A201" s="687"/>
      <c r="B201" s="688"/>
      <c r="C201" s="688"/>
      <c r="D201" s="688"/>
      <c r="E201" s="699" t="s">
        <v>83</v>
      </c>
      <c r="F201" s="695"/>
      <c r="G201" s="692"/>
      <c r="H201" s="766" t="s">
        <v>35</v>
      </c>
      <c r="I201" s="565"/>
      <c r="J201" s="702">
        <v>0</v>
      </c>
      <c r="K201" s="566"/>
      <c r="L201" s="574"/>
      <c r="M201" s="566"/>
      <c r="N201" s="566"/>
      <c r="O201" s="566"/>
      <c r="P201" s="566"/>
      <c r="Q201" s="566"/>
      <c r="R201" s="566"/>
      <c r="S201" s="566"/>
      <c r="T201" s="566"/>
      <c r="U201" s="566"/>
    </row>
    <row r="202" spans="1:21" ht="19.5" x14ac:dyDescent="0.3">
      <c r="A202" s="769"/>
      <c r="B202" s="770"/>
      <c r="C202" s="771" t="s">
        <v>84</v>
      </c>
      <c r="D202" s="772"/>
      <c r="E202" s="772"/>
      <c r="F202" s="772"/>
      <c r="G202" s="773"/>
      <c r="H202" s="782" t="s">
        <v>85</v>
      </c>
      <c r="I202" s="775">
        <f t="shared" ref="I202:J202" ca="1" si="145">I209</f>
        <v>2</v>
      </c>
      <c r="J202" s="775">
        <f t="shared" si="145"/>
        <v>2</v>
      </c>
      <c r="K202" s="776">
        <f ca="1">IF(I202&gt;0,J202*100/I202,0)</f>
        <v>100</v>
      </c>
      <c r="L202" s="777"/>
      <c r="M202" s="778"/>
      <c r="N202" s="778"/>
      <c r="O202" s="778"/>
      <c r="P202" s="778"/>
      <c r="Q202" s="778"/>
      <c r="R202" s="778"/>
      <c r="S202" s="778"/>
      <c r="T202" s="778"/>
      <c r="U202" s="778"/>
    </row>
    <row r="203" spans="1:21" ht="19.5" x14ac:dyDescent="0.3">
      <c r="A203" s="674"/>
      <c r="B203" s="561"/>
      <c r="C203" s="675" t="s">
        <v>18</v>
      </c>
      <c r="D203" s="779" t="s">
        <v>19</v>
      </c>
      <c r="E203" s="561"/>
      <c r="F203" s="561"/>
      <c r="G203" s="563"/>
      <c r="H203" s="780" t="s">
        <v>14</v>
      </c>
      <c r="I203" s="683"/>
      <c r="J203" s="683"/>
      <c r="K203" s="684"/>
      <c r="L203" s="678">
        <f ca="1">L204+L205+L206+L207</f>
        <v>10000</v>
      </c>
      <c r="M203" s="566"/>
      <c r="N203" s="679">
        <f>N204+N205+N206+N207</f>
        <v>8500</v>
      </c>
      <c r="O203" s="679">
        <f ca="1">IF(L203&gt;0,N203*100/L203,0)</f>
        <v>85</v>
      </c>
      <c r="P203" s="679">
        <f>IF(M203&gt;0,N203*100/M203,0)</f>
        <v>0</v>
      </c>
      <c r="Q203" s="783">
        <f ca="1">Q204+Q205+Q206+Q207</f>
        <v>28000</v>
      </c>
      <c r="R203" s="784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 x14ac:dyDescent="0.25">
      <c r="A204" s="674"/>
      <c r="B204" s="718"/>
      <c r="C204" s="561"/>
      <c r="D204" s="788" t="s">
        <v>317</v>
      </c>
      <c r="E204" s="561"/>
      <c r="F204" s="561"/>
      <c r="G204" s="563"/>
      <c r="H204" s="682" t="s">
        <v>14</v>
      </c>
      <c r="I204" s="683"/>
      <c r="J204" s="683"/>
      <c r="K204" s="684"/>
      <c r="L204" s="567">
        <f ca="1">IFERROR(__xludf.DUMMYFUNCTION("IMPORTRANGE(""https://docs.google.com/spreadsheets/d/1eHaY18a8A9IcSdp1K8H6x8fbOy06t2VsZHhMHf-1x7Y/edit?usp=sharing"",""แผน!AG16"")"),2000)</f>
        <v>2000</v>
      </c>
      <c r="M204" s="566"/>
      <c r="N204" s="786">
        <v>500</v>
      </c>
      <c r="O204" s="684"/>
      <c r="P204" s="566"/>
      <c r="Q204" s="567">
        <v>0</v>
      </c>
      <c r="R204" s="566"/>
      <c r="S204" s="568">
        <v>0</v>
      </c>
      <c r="T204" s="684"/>
      <c r="U204" s="566"/>
    </row>
    <row r="205" spans="1:21" ht="18.75" x14ac:dyDescent="0.25">
      <c r="A205" s="764"/>
      <c r="B205" s="718"/>
      <c r="C205" s="561"/>
      <c r="D205" s="573" t="s">
        <v>301</v>
      </c>
      <c r="E205" s="561"/>
      <c r="F205" s="561"/>
      <c r="G205" s="563"/>
      <c r="H205" s="564" t="s">
        <v>14</v>
      </c>
      <c r="I205" s="565"/>
      <c r="J205" s="565"/>
      <c r="K205" s="566"/>
      <c r="L205" s="567">
        <f ca="1">IFERROR(__xludf.DUMMYFUNCTION("IMPORTRANGE(""https://docs.google.com/spreadsheets/d/1eHaY18a8A9IcSdp1K8H6x8fbOy06t2VsZHhMHf-1x7Y/edit?usp=sharing"",""แผน!AH16"")"),0)</f>
        <v>0</v>
      </c>
      <c r="M205" s="566"/>
      <c r="N205" s="786">
        <v>0</v>
      </c>
      <c r="O205" s="684"/>
      <c r="P205" s="566"/>
      <c r="Q205" s="567">
        <v>0</v>
      </c>
      <c r="R205" s="566"/>
      <c r="S205" s="568">
        <v>0</v>
      </c>
      <c r="T205" s="684"/>
      <c r="U205" s="566"/>
    </row>
    <row r="206" spans="1:21" ht="18.75" x14ac:dyDescent="0.25">
      <c r="A206" s="764"/>
      <c r="B206" s="718"/>
      <c r="C206" s="561"/>
      <c r="D206" s="573" t="s">
        <v>88</v>
      </c>
      <c r="E206" s="561"/>
      <c r="F206" s="561"/>
      <c r="G206" s="563"/>
      <c r="H206" s="564" t="s">
        <v>14</v>
      </c>
      <c r="I206" s="565"/>
      <c r="J206" s="565"/>
      <c r="K206" s="566"/>
      <c r="L206" s="567">
        <f ca="1">IFERROR(__xludf.DUMMYFUNCTION("IMPORTRANGE(""https://docs.google.com/spreadsheets/d/1eHaY18a8A9IcSdp1K8H6x8fbOy06t2VsZHhMHf-1x7Y/edit?usp=sharing"",""แผน!AI16"")"),0)</f>
        <v>0</v>
      </c>
      <c r="M206" s="566"/>
      <c r="N206" s="786">
        <v>0</v>
      </c>
      <c r="O206" s="684"/>
      <c r="P206" s="566"/>
      <c r="Q206" s="567">
        <f ca="1">IFERROR(__xludf.DUMMYFUNCTION("IMPORTRANGE(""https://docs.google.com/spreadsheets/d/1eHaY18a8A9IcSdp1K8H6x8fbOy06t2VsZHhMHf-1x7Y/edit?usp=sharing"",""แผน!LV16"")"),28000)</f>
        <v>28000</v>
      </c>
      <c r="R206" s="566"/>
      <c r="S206" s="786">
        <v>0</v>
      </c>
      <c r="T206" s="684"/>
      <c r="U206" s="566"/>
    </row>
    <row r="207" spans="1:21" ht="18.75" x14ac:dyDescent="0.25">
      <c r="A207" s="764"/>
      <c r="B207" s="718"/>
      <c r="C207" s="561"/>
      <c r="D207" s="573" t="s">
        <v>89</v>
      </c>
      <c r="E207" s="561"/>
      <c r="F207" s="561"/>
      <c r="G207" s="563"/>
      <c r="H207" s="564" t="s">
        <v>14</v>
      </c>
      <c r="I207" s="565"/>
      <c r="J207" s="565"/>
      <c r="K207" s="566"/>
      <c r="L207" s="567">
        <f ca="1">IFERROR(__xludf.DUMMYFUNCTION("IMPORTRANGE(""https://docs.google.com/spreadsheets/d/1eHaY18a8A9IcSdp1K8H6x8fbOy06t2VsZHhMHf-1x7Y/edit?usp=sharing"",""แผน!AJ16"")"),8000)</f>
        <v>8000</v>
      </c>
      <c r="M207" s="566"/>
      <c r="N207" s="786">
        <v>8000</v>
      </c>
      <c r="O207" s="684"/>
      <c r="P207" s="566"/>
      <c r="Q207" s="567">
        <v>0</v>
      </c>
      <c r="R207" s="566"/>
      <c r="S207" s="568">
        <v>0</v>
      </c>
      <c r="T207" s="684"/>
      <c r="U207" s="566"/>
    </row>
    <row r="208" spans="1:21" ht="19.5" x14ac:dyDescent="0.3">
      <c r="A208" s="687"/>
      <c r="B208" s="688"/>
      <c r="C208" s="675" t="s">
        <v>18</v>
      </c>
      <c r="D208" s="689" t="s">
        <v>38</v>
      </c>
      <c r="E208" s="690"/>
      <c r="F208" s="690"/>
      <c r="G208" s="691"/>
      <c r="H208" s="692"/>
      <c r="I208" s="683"/>
      <c r="J208" s="683"/>
      <c r="K208" s="684"/>
      <c r="L208" s="693"/>
      <c r="M208" s="684"/>
      <c r="N208" s="684"/>
      <c r="O208" s="684"/>
      <c r="P208" s="684"/>
      <c r="Q208" s="693"/>
      <c r="R208" s="684"/>
      <c r="S208" s="684"/>
      <c r="T208" s="684"/>
      <c r="U208" s="684"/>
    </row>
    <row r="209" spans="1:21" ht="18.75" x14ac:dyDescent="0.25">
      <c r="A209" s="687"/>
      <c r="B209" s="688"/>
      <c r="C209" s="688"/>
      <c r="D209" s="694" t="s">
        <v>90</v>
      </c>
      <c r="E209" s="695"/>
      <c r="F209" s="695"/>
      <c r="G209" s="692"/>
      <c r="H209" s="787" t="s">
        <v>85</v>
      </c>
      <c r="I209" s="708">
        <f ca="1">IFERROR(__xludf.DUMMYFUNCTION("IMPORTRANGE(""https://docs.google.com/spreadsheets/d/1eHaY18a8A9IcSdp1K8H6x8fbOy06t2VsZHhMHf-1x7Y/edit?usp=sharing"",""แผน!AK16"")"),2)</f>
        <v>2</v>
      </c>
      <c r="J209" s="702">
        <v>2</v>
      </c>
      <c r="K209" s="703">
        <f ca="1">IF(I209&gt;0,J209*100/I209,0)</f>
        <v>100</v>
      </c>
      <c r="L209" s="574"/>
      <c r="M209" s="566"/>
      <c r="N209" s="566"/>
      <c r="O209" s="566"/>
      <c r="P209" s="566"/>
      <c r="Q209" s="574"/>
      <c r="R209" s="566"/>
      <c r="S209" s="566"/>
      <c r="T209" s="566"/>
      <c r="U209" s="566"/>
    </row>
    <row r="210" spans="1:21" ht="18.75" x14ac:dyDescent="0.25">
      <c r="A210" s="687"/>
      <c r="B210" s="688"/>
      <c r="C210" s="688"/>
      <c r="D210" s="699" t="s">
        <v>50</v>
      </c>
      <c r="E210" s="695"/>
      <c r="F210" s="695"/>
      <c r="G210" s="692"/>
      <c r="H210" s="692"/>
      <c r="I210" s="565"/>
      <c r="J210" s="565"/>
      <c r="K210" s="684"/>
      <c r="L210" s="574"/>
      <c r="M210" s="566"/>
      <c r="N210" s="566"/>
      <c r="O210" s="566"/>
      <c r="P210" s="566"/>
      <c r="Q210" s="574"/>
      <c r="R210" s="566"/>
      <c r="S210" s="566"/>
      <c r="T210" s="566"/>
      <c r="U210" s="566"/>
    </row>
    <row r="211" spans="1:21" ht="18.75" x14ac:dyDescent="0.25">
      <c r="A211" s="687"/>
      <c r="B211" s="688"/>
      <c r="C211" s="688"/>
      <c r="D211" s="695"/>
      <c r="E211" s="699" t="s">
        <v>91</v>
      </c>
      <c r="F211" s="695"/>
      <c r="G211" s="692"/>
      <c r="H211" s="787" t="s">
        <v>85</v>
      </c>
      <c r="I211" s="708">
        <f ca="1">IFERROR(__xludf.DUMMYFUNCTION("IMPORTRANGE(""https://docs.google.com/spreadsheets/d/1eHaY18a8A9IcSdp1K8H6x8fbOy06t2VsZHhMHf-1x7Y/edit?usp=sharing"",""แผน!JX16"")"),2)</f>
        <v>2</v>
      </c>
      <c r="J211" s="702">
        <v>0</v>
      </c>
      <c r="K211" s="703">
        <f t="shared" ref="K211:K213" ca="1" si="146">IF(I211&gt;0,J211*100/I211,0)</f>
        <v>0</v>
      </c>
      <c r="L211" s="574"/>
      <c r="M211" s="566"/>
      <c r="N211" s="566"/>
      <c r="O211" s="566"/>
      <c r="P211" s="566"/>
      <c r="Q211" s="574"/>
      <c r="R211" s="566"/>
      <c r="S211" s="566"/>
      <c r="T211" s="566"/>
      <c r="U211" s="566"/>
    </row>
    <row r="212" spans="1:21" ht="18.75" x14ac:dyDescent="0.25">
      <c r="A212" s="687"/>
      <c r="B212" s="688"/>
      <c r="C212" s="688"/>
      <c r="D212" s="695"/>
      <c r="E212" s="699" t="s">
        <v>92</v>
      </c>
      <c r="F212" s="695"/>
      <c r="G212" s="695"/>
      <c r="H212" s="700" t="s">
        <v>93</v>
      </c>
      <c r="I212" s="708">
        <f ca="1">IFERROR(__xludf.DUMMYFUNCTION("IMPORTRANGE(""https://docs.google.com/spreadsheets/d/1eHaY18a8A9IcSdp1K8H6x8fbOy06t2VsZHhMHf-1x7Y/edit?usp=sharing"",""แผน!JY16"")"),0)</f>
        <v>0</v>
      </c>
      <c r="J212" s="702">
        <v>0</v>
      </c>
      <c r="K212" s="703">
        <f t="shared" ca="1" si="146"/>
        <v>0</v>
      </c>
      <c r="L212" s="574"/>
      <c r="M212" s="566"/>
      <c r="N212" s="566"/>
      <c r="O212" s="566"/>
      <c r="P212" s="566"/>
      <c r="Q212" s="574"/>
      <c r="R212" s="566"/>
      <c r="S212" s="566"/>
      <c r="T212" s="566"/>
      <c r="U212" s="566"/>
    </row>
    <row r="213" spans="1:21" ht="19.5" x14ac:dyDescent="0.3">
      <c r="A213" s="769"/>
      <c r="B213" s="770"/>
      <c r="C213" s="771" t="s">
        <v>94</v>
      </c>
      <c r="D213" s="772"/>
      <c r="E213" s="772"/>
      <c r="F213" s="772"/>
      <c r="G213" s="773"/>
      <c r="H213" s="782" t="s">
        <v>85</v>
      </c>
      <c r="I213" s="775">
        <f t="shared" ref="I213:J213" ca="1" si="147">I220</f>
        <v>1</v>
      </c>
      <c r="J213" s="775">
        <f t="shared" si="147"/>
        <v>0</v>
      </c>
      <c r="K213" s="776">
        <f t="shared" ca="1" si="146"/>
        <v>0</v>
      </c>
      <c r="L213" s="777"/>
      <c r="M213" s="778"/>
      <c r="N213" s="778"/>
      <c r="O213" s="778"/>
      <c r="P213" s="778"/>
      <c r="Q213" s="777"/>
      <c r="R213" s="778"/>
      <c r="S213" s="778"/>
      <c r="T213" s="778"/>
      <c r="U213" s="778"/>
    </row>
    <row r="214" spans="1:21" ht="19.5" x14ac:dyDescent="0.3">
      <c r="A214" s="674"/>
      <c r="B214" s="561"/>
      <c r="C214" s="675" t="s">
        <v>18</v>
      </c>
      <c r="D214" s="779" t="s">
        <v>19</v>
      </c>
      <c r="E214" s="561"/>
      <c r="F214" s="561"/>
      <c r="G214" s="563"/>
      <c r="H214" s="780" t="s">
        <v>14</v>
      </c>
      <c r="I214" s="683"/>
      <c r="J214" s="683"/>
      <c r="K214" s="684"/>
      <c r="L214" s="678">
        <f ca="1">L215+L216+L217</f>
        <v>6000</v>
      </c>
      <c r="M214" s="566"/>
      <c r="N214" s="679">
        <f>N215+N216+N217</f>
        <v>0</v>
      </c>
      <c r="O214" s="679">
        <f ca="1">IF(L214&gt;0,N214*100/L214,0)</f>
        <v>0</v>
      </c>
      <c r="P214" s="679">
        <f>IF(M214&gt;0,N214*100/M214,0)</f>
        <v>0</v>
      </c>
      <c r="Q214" s="678">
        <f ca="1">Q215+Q216+Q217</f>
        <v>49700</v>
      </c>
      <c r="R214" s="566"/>
      <c r="S214" s="679">
        <f>S215+S216+S217</f>
        <v>229220</v>
      </c>
      <c r="T214" s="679">
        <f ca="1">IF(Q214&gt;0,S214*100/Q214,0)</f>
        <v>461.20724346076457</v>
      </c>
      <c r="U214" s="679">
        <f>IF(R214&gt;0,S214*100/R214,0)</f>
        <v>0</v>
      </c>
    </row>
    <row r="215" spans="1:21" ht="18.75" x14ac:dyDescent="0.25">
      <c r="A215" s="674"/>
      <c r="B215" s="718"/>
      <c r="C215" s="561"/>
      <c r="D215" s="573" t="s">
        <v>86</v>
      </c>
      <c r="E215" s="561"/>
      <c r="F215" s="561"/>
      <c r="G215" s="563"/>
      <c r="H215" s="682" t="s">
        <v>14</v>
      </c>
      <c r="I215" s="683"/>
      <c r="J215" s="683"/>
      <c r="K215" s="684"/>
      <c r="L215" s="567">
        <f ca="1">IFERROR(__xludf.DUMMYFUNCTION("IMPORTRANGE(""https://docs.google.com/spreadsheets/d/1eHaY18a8A9IcSdp1K8H6x8fbOy06t2VsZHhMHf-1x7Y/edit?usp=sharing"",""แผน!AM16"")"),1000)</f>
        <v>1000</v>
      </c>
      <c r="M215" s="566"/>
      <c r="N215" s="786">
        <v>0</v>
      </c>
      <c r="O215" s="684"/>
      <c r="P215" s="566"/>
      <c r="Q215" s="567">
        <v>0</v>
      </c>
      <c r="R215" s="566"/>
      <c r="S215" s="568">
        <v>0</v>
      </c>
      <c r="T215" s="684"/>
      <c r="U215" s="566"/>
    </row>
    <row r="216" spans="1:21" ht="18.75" x14ac:dyDescent="0.25">
      <c r="A216" s="764"/>
      <c r="B216" s="718"/>
      <c r="C216" s="718"/>
      <c r="D216" s="573" t="s">
        <v>95</v>
      </c>
      <c r="E216" s="561"/>
      <c r="F216" s="561"/>
      <c r="G216" s="563"/>
      <c r="H216" s="682" t="s">
        <v>14</v>
      </c>
      <c r="I216" s="565"/>
      <c r="J216" s="565"/>
      <c r="K216" s="566"/>
      <c r="L216" s="567">
        <f ca="1">IFERROR(__xludf.DUMMYFUNCTION("IMPORTRANGE(""https://docs.google.com/spreadsheets/d/1eHaY18a8A9IcSdp1K8H6x8fbOy06t2VsZHhMHf-1x7Y/edit?usp=sharing"",""แผน!AN16"")"),5000)</f>
        <v>5000</v>
      </c>
      <c r="M216" s="566"/>
      <c r="N216" s="786">
        <v>0</v>
      </c>
      <c r="O216" s="684"/>
      <c r="P216" s="566"/>
      <c r="Q216" s="567">
        <v>0</v>
      </c>
      <c r="R216" s="566"/>
      <c r="S216" s="568">
        <v>0</v>
      </c>
      <c r="T216" s="684"/>
      <c r="U216" s="566"/>
    </row>
    <row r="217" spans="1:21" ht="18.75" x14ac:dyDescent="0.25">
      <c r="A217" s="764"/>
      <c r="B217" s="718"/>
      <c r="C217" s="718"/>
      <c r="D217" s="573" t="s">
        <v>88</v>
      </c>
      <c r="E217" s="561"/>
      <c r="F217" s="561"/>
      <c r="G217" s="563"/>
      <c r="H217" s="682" t="s">
        <v>14</v>
      </c>
      <c r="I217" s="565"/>
      <c r="J217" s="565"/>
      <c r="K217" s="566"/>
      <c r="L217" s="567">
        <f ca="1">IFERROR(__xludf.DUMMYFUNCTION("IMPORTRANGE(""https://docs.google.com/spreadsheets/d/1eHaY18a8A9IcSdp1K8H6x8fbOy06t2VsZHhMHf-1x7Y/edit?usp=sharing"",""แผน!AO16"")"),0)</f>
        <v>0</v>
      </c>
      <c r="M217" s="566"/>
      <c r="N217" s="786">
        <v>0</v>
      </c>
      <c r="O217" s="684"/>
      <c r="P217" s="566"/>
      <c r="Q217" s="567">
        <f ca="1">IFERROR(__xludf.DUMMYFUNCTION("IMPORTRANGE(""https://docs.google.com/spreadsheets/d/1eHaY18a8A9IcSdp1K8H6x8fbOy06t2VsZHhMHf-1x7Y/edit?usp=sharing"",""แผน!LY16"")"),49700)</f>
        <v>49700</v>
      </c>
      <c r="R217" s="566"/>
      <c r="S217" s="786">
        <v>229220</v>
      </c>
      <c r="T217" s="684"/>
      <c r="U217" s="566"/>
    </row>
    <row r="218" spans="1:21" ht="19.5" x14ac:dyDescent="0.3">
      <c r="A218" s="687"/>
      <c r="B218" s="688"/>
      <c r="C218" s="719" t="s">
        <v>18</v>
      </c>
      <c r="D218" s="689" t="s">
        <v>38</v>
      </c>
      <c r="E218" s="690"/>
      <c r="F218" s="690"/>
      <c r="G218" s="691"/>
      <c r="H218" s="692"/>
      <c r="I218" s="683"/>
      <c r="J218" s="565"/>
      <c r="K218" s="566"/>
      <c r="L218" s="574"/>
      <c r="M218" s="566"/>
      <c r="N218" s="566"/>
      <c r="O218" s="684"/>
      <c r="P218" s="684"/>
      <c r="Q218" s="574"/>
      <c r="R218" s="566"/>
      <c r="S218" s="566"/>
      <c r="T218" s="684"/>
      <c r="U218" s="684"/>
    </row>
    <row r="219" spans="1:21" ht="18.75" x14ac:dyDescent="0.25">
      <c r="A219" s="687"/>
      <c r="B219" s="688"/>
      <c r="C219" s="688"/>
      <c r="D219" s="694" t="s">
        <v>96</v>
      </c>
      <c r="E219" s="695"/>
      <c r="F219" s="695"/>
      <c r="G219" s="692"/>
      <c r="H219" s="787" t="s">
        <v>85</v>
      </c>
      <c r="I219" s="708">
        <f ca="1">IFERROR(__xludf.DUMMYFUNCTION("IMPORTRANGE(""https://docs.google.com/spreadsheets/d/1eHaY18a8A9IcSdp1K8H6x8fbOy06t2VsZHhMHf-1x7Y/edit?usp=sharing"",""แผน!AP16"")"),1)</f>
        <v>1</v>
      </c>
      <c r="J219" s="702">
        <v>0</v>
      </c>
      <c r="K219" s="568">
        <f t="shared" ref="K219:K221" ca="1" si="148">IF(I219&gt;0,J219*100/I219,0)</f>
        <v>0</v>
      </c>
      <c r="L219" s="574"/>
      <c r="M219" s="566"/>
      <c r="N219" s="566"/>
      <c r="O219" s="566"/>
      <c r="P219" s="566"/>
      <c r="Q219" s="574"/>
      <c r="R219" s="566"/>
      <c r="S219" s="566"/>
      <c r="T219" s="566"/>
      <c r="U219" s="566"/>
    </row>
    <row r="220" spans="1:21" ht="18.75" x14ac:dyDescent="0.25">
      <c r="A220" s="687"/>
      <c r="B220" s="688"/>
      <c r="C220" s="688"/>
      <c r="D220" s="694" t="s">
        <v>97</v>
      </c>
      <c r="E220" s="695"/>
      <c r="F220" s="695"/>
      <c r="G220" s="692"/>
      <c r="H220" s="787" t="s">
        <v>85</v>
      </c>
      <c r="I220" s="708">
        <f ca="1">IFERROR(__xludf.DUMMYFUNCTION("IMPORTRANGE(""https://docs.google.com/spreadsheets/d/1eHaY18a8A9IcSdp1K8H6x8fbOy06t2VsZHhMHf-1x7Y/edit?usp=sharing"",""แผน!AP16"")"),1)</f>
        <v>1</v>
      </c>
      <c r="J220" s="702">
        <v>0</v>
      </c>
      <c r="K220" s="568">
        <f t="shared" ca="1" si="148"/>
        <v>0</v>
      </c>
      <c r="L220" s="574"/>
      <c r="M220" s="566"/>
      <c r="N220" s="566"/>
      <c r="O220" s="566"/>
      <c r="P220" s="566"/>
      <c r="Q220" s="574"/>
      <c r="R220" s="566"/>
      <c r="S220" s="566"/>
      <c r="T220" s="566"/>
      <c r="U220" s="566"/>
    </row>
    <row r="221" spans="1:21" ht="19.5" x14ac:dyDescent="0.3">
      <c r="A221" s="769"/>
      <c r="B221" s="770"/>
      <c r="C221" s="771" t="s">
        <v>98</v>
      </c>
      <c r="D221" s="772"/>
      <c r="E221" s="772"/>
      <c r="F221" s="772"/>
      <c r="G221" s="773"/>
      <c r="H221" s="774" t="s">
        <v>99</v>
      </c>
      <c r="I221" s="775">
        <f t="shared" ref="I221:J221" ca="1" si="149">I229</f>
        <v>16000</v>
      </c>
      <c r="J221" s="775">
        <f t="shared" si="149"/>
        <v>0</v>
      </c>
      <c r="K221" s="776">
        <f t="shared" ca="1" si="148"/>
        <v>0</v>
      </c>
      <c r="L221" s="777"/>
      <c r="M221" s="778"/>
      <c r="N221" s="778"/>
      <c r="O221" s="778"/>
      <c r="P221" s="778"/>
      <c r="Q221" s="778"/>
      <c r="R221" s="778"/>
      <c r="S221" s="778"/>
      <c r="T221" s="778"/>
      <c r="U221" s="778"/>
    </row>
    <row r="222" spans="1:21" ht="19.5" x14ac:dyDescent="0.3">
      <c r="A222" s="674"/>
      <c r="B222" s="561"/>
      <c r="C222" s="675" t="s">
        <v>18</v>
      </c>
      <c r="D222" s="779" t="s">
        <v>19</v>
      </c>
      <c r="E222" s="561"/>
      <c r="F222" s="561"/>
      <c r="G222" s="563"/>
      <c r="H222" s="780" t="s">
        <v>14</v>
      </c>
      <c r="I222" s="683"/>
      <c r="J222" s="683"/>
      <c r="K222" s="684"/>
      <c r="L222" s="678">
        <f ca="1">L223+L224+L225</f>
        <v>4500</v>
      </c>
      <c r="M222" s="566"/>
      <c r="N222" s="679">
        <f>N223+N224+N225</f>
        <v>0</v>
      </c>
      <c r="O222" s="679">
        <f ca="1">IF(L222&gt;0,N222*100/L222,0)</f>
        <v>0</v>
      </c>
      <c r="P222" s="679">
        <f>IF(M222&gt;0,N222*100/M222,0)</f>
        <v>0</v>
      </c>
      <c r="Q222" s="566"/>
      <c r="R222" s="566"/>
      <c r="S222" s="566"/>
      <c r="T222" s="566"/>
      <c r="U222" s="566"/>
    </row>
    <row r="223" spans="1:21" ht="18.75" x14ac:dyDescent="0.25">
      <c r="A223" s="674"/>
      <c r="B223" s="718"/>
      <c r="C223" s="561"/>
      <c r="D223" s="788" t="s">
        <v>302</v>
      </c>
      <c r="E223" s="561"/>
      <c r="F223" s="561"/>
      <c r="G223" s="563"/>
      <c r="H223" s="682" t="s">
        <v>14</v>
      </c>
      <c r="I223" s="683"/>
      <c r="J223" s="683"/>
      <c r="K223" s="684"/>
      <c r="L223" s="567">
        <f ca="1">IFERROR(__xludf.DUMMYFUNCTION("IMPORTRANGE(""https://docs.google.com/spreadsheets/d/1eHaY18a8A9IcSdp1K8H6x8fbOy06t2VsZHhMHf-1x7Y/edit?usp=sharing"",""แผน!AR16"")"),2500)</f>
        <v>2500</v>
      </c>
      <c r="M223" s="566"/>
      <c r="N223" s="786">
        <v>0</v>
      </c>
      <c r="O223" s="684"/>
      <c r="P223" s="566"/>
      <c r="Q223" s="566"/>
      <c r="R223" s="566"/>
      <c r="S223" s="566"/>
      <c r="T223" s="684"/>
      <c r="U223" s="566"/>
    </row>
    <row r="224" spans="1:21" ht="18.75" x14ac:dyDescent="0.25">
      <c r="A224" s="764"/>
      <c r="B224" s="718"/>
      <c r="C224" s="718"/>
      <c r="D224" s="573" t="s">
        <v>301</v>
      </c>
      <c r="E224" s="561"/>
      <c r="F224" s="561"/>
      <c r="G224" s="563"/>
      <c r="H224" s="682" t="s">
        <v>14</v>
      </c>
      <c r="I224" s="565"/>
      <c r="J224" s="565"/>
      <c r="K224" s="566"/>
      <c r="L224" s="567">
        <f ca="1">IFERROR(__xludf.DUMMYFUNCTION("IMPORTRANGE(""https://docs.google.com/spreadsheets/d/1eHaY18a8A9IcSdp1K8H6x8fbOy06t2VsZHhMHf-1x7Y/edit?usp=sharing"",""แผน!AS16"")"),2000)</f>
        <v>2000</v>
      </c>
      <c r="M224" s="566"/>
      <c r="N224" s="786">
        <v>0</v>
      </c>
      <c r="O224" s="684"/>
      <c r="P224" s="566"/>
      <c r="Q224" s="566"/>
      <c r="R224" s="566"/>
      <c r="S224" s="566"/>
      <c r="T224" s="684"/>
      <c r="U224" s="566"/>
    </row>
    <row r="225" spans="1:21" ht="18.75" x14ac:dyDescent="0.25">
      <c r="A225" s="764"/>
      <c r="B225" s="718"/>
      <c r="C225" s="718"/>
      <c r="D225" s="573" t="s">
        <v>88</v>
      </c>
      <c r="E225" s="561"/>
      <c r="F225" s="561"/>
      <c r="G225" s="563"/>
      <c r="H225" s="682" t="s">
        <v>14</v>
      </c>
      <c r="I225" s="565"/>
      <c r="J225" s="565"/>
      <c r="K225" s="566"/>
      <c r="L225" s="567">
        <f ca="1">IFERROR(__xludf.DUMMYFUNCTION("IMPORTRANGE(""https://docs.google.com/spreadsheets/d/1eHaY18a8A9IcSdp1K8H6x8fbOy06t2VsZHhMHf-1x7Y/edit?usp=sharing"",""แผน!AT16"")"),0)</f>
        <v>0</v>
      </c>
      <c r="M225" s="566"/>
      <c r="N225" s="786">
        <v>0</v>
      </c>
      <c r="O225" s="684"/>
      <c r="P225" s="566"/>
      <c r="Q225" s="566"/>
      <c r="R225" s="566"/>
      <c r="S225" s="566"/>
      <c r="T225" s="684"/>
      <c r="U225" s="566"/>
    </row>
    <row r="226" spans="1:21" ht="19.5" x14ac:dyDescent="0.3">
      <c r="A226" s="687"/>
      <c r="B226" s="688"/>
      <c r="C226" s="719" t="s">
        <v>18</v>
      </c>
      <c r="D226" s="689" t="s">
        <v>38</v>
      </c>
      <c r="E226" s="690"/>
      <c r="F226" s="690"/>
      <c r="G226" s="691"/>
      <c r="H226" s="692"/>
      <c r="I226" s="683"/>
      <c r="J226" s="683"/>
      <c r="K226" s="684"/>
      <c r="L226" s="693"/>
      <c r="M226" s="684"/>
      <c r="N226" s="684"/>
      <c r="O226" s="684"/>
      <c r="P226" s="684"/>
      <c r="Q226" s="684"/>
      <c r="R226" s="684"/>
      <c r="S226" s="684"/>
      <c r="T226" s="684"/>
      <c r="U226" s="684"/>
    </row>
    <row r="227" spans="1:21" ht="18.75" x14ac:dyDescent="0.25">
      <c r="A227" s="687"/>
      <c r="B227" s="688"/>
      <c r="C227" s="688"/>
      <c r="D227" s="573" t="s">
        <v>101</v>
      </c>
      <c r="E227" s="695"/>
      <c r="F227" s="695"/>
      <c r="G227" s="692"/>
      <c r="H227" s="692"/>
      <c r="I227" s="565"/>
      <c r="J227" s="565"/>
      <c r="K227" s="684"/>
      <c r="L227" s="693"/>
      <c r="M227" s="684"/>
      <c r="N227" s="684"/>
      <c r="O227" s="684"/>
      <c r="P227" s="684"/>
      <c r="Q227" s="684"/>
      <c r="R227" s="684"/>
      <c r="S227" s="684"/>
      <c r="T227" s="684"/>
      <c r="U227" s="684"/>
    </row>
    <row r="228" spans="1:21" ht="18.75" x14ac:dyDescent="0.25">
      <c r="A228" s="687"/>
      <c r="B228" s="688"/>
      <c r="C228" s="688"/>
      <c r="D228" s="688"/>
      <c r="E228" s="694" t="s">
        <v>102</v>
      </c>
      <c r="F228" s="695"/>
      <c r="G228" s="692"/>
      <c r="H228" s="700" t="s">
        <v>99</v>
      </c>
      <c r="I228" s="708">
        <f ca="1">IFERROR(__xludf.DUMMYFUNCTION("IMPORTRANGE(""https://docs.google.com/spreadsheets/d/1eHaY18a8A9IcSdp1K8H6x8fbOy06t2VsZHhMHf-1x7Y/edit?usp=sharing"",""แผน!AV16"")"),16000)</f>
        <v>16000</v>
      </c>
      <c r="J228" s="702">
        <v>16000</v>
      </c>
      <c r="K228" s="703">
        <f t="shared" ref="K228:K231" ca="1" si="150">IF(I228&gt;0,J228*100/I228,0)</f>
        <v>100</v>
      </c>
      <c r="L228" s="693"/>
      <c r="M228" s="684"/>
      <c r="N228" s="684"/>
      <c r="O228" s="684"/>
      <c r="P228" s="684"/>
      <c r="Q228" s="684"/>
      <c r="R228" s="684"/>
      <c r="S228" s="684"/>
      <c r="T228" s="684"/>
      <c r="U228" s="684"/>
    </row>
    <row r="229" spans="1:21" ht="18.75" x14ac:dyDescent="0.25">
      <c r="A229" s="687"/>
      <c r="B229" s="688"/>
      <c r="C229" s="688"/>
      <c r="D229" s="688"/>
      <c r="E229" s="694" t="s">
        <v>103</v>
      </c>
      <c r="F229" s="695"/>
      <c r="G229" s="692"/>
      <c r="H229" s="700" t="s">
        <v>99</v>
      </c>
      <c r="I229" s="708">
        <f ca="1">IFERROR(__xludf.DUMMYFUNCTION("IMPORTRANGE(""https://docs.google.com/spreadsheets/d/1eHaY18a8A9IcSdp1K8H6x8fbOy06t2VsZHhMHf-1x7Y/edit?usp=sharing"",""แผน!AV16"")"),16000)</f>
        <v>16000</v>
      </c>
      <c r="J229" s="702">
        <v>0</v>
      </c>
      <c r="K229" s="703">
        <f t="shared" ca="1" si="150"/>
        <v>0</v>
      </c>
      <c r="L229" s="574"/>
      <c r="M229" s="566"/>
      <c r="N229" s="566"/>
      <c r="O229" s="566"/>
      <c r="P229" s="566"/>
      <c r="Q229" s="566"/>
      <c r="R229" s="566"/>
      <c r="S229" s="566"/>
      <c r="T229" s="566"/>
      <c r="U229" s="566"/>
    </row>
    <row r="230" spans="1:21" ht="18.75" x14ac:dyDescent="0.25">
      <c r="A230" s="687"/>
      <c r="B230" s="688"/>
      <c r="C230" s="688"/>
      <c r="D230" s="573" t="s">
        <v>104</v>
      </c>
      <c r="E230" s="695"/>
      <c r="F230" s="695"/>
      <c r="G230" s="692"/>
      <c r="H230" s="700" t="s">
        <v>35</v>
      </c>
      <c r="I230" s="708">
        <f ca="1">IFERROR(__xludf.DUMMYFUNCTION("IMPORTRANGE(""https://docs.google.com/spreadsheets/d/1eHaY18a8A9IcSdp1K8H6x8fbOy06t2VsZHhMHf-1x7Y/edit?usp=sharing"",""แผน!AU16"")"),0)</f>
        <v>0</v>
      </c>
      <c r="J230" s="702">
        <v>0</v>
      </c>
      <c r="K230" s="703">
        <f t="shared" ca="1" si="150"/>
        <v>0</v>
      </c>
      <c r="L230" s="574"/>
      <c r="M230" s="566"/>
      <c r="N230" s="566"/>
      <c r="O230" s="566"/>
      <c r="P230" s="566"/>
      <c r="Q230" s="566"/>
      <c r="R230" s="566"/>
      <c r="S230" s="566"/>
      <c r="T230" s="566"/>
      <c r="U230" s="566"/>
    </row>
    <row r="231" spans="1:21" ht="19.5" x14ac:dyDescent="0.3">
      <c r="A231" s="1135"/>
      <c r="B231" s="1158"/>
      <c r="C231" s="1159" t="s">
        <v>105</v>
      </c>
      <c r="D231" s="1160"/>
      <c r="E231" s="1160"/>
      <c r="F231" s="1160"/>
      <c r="G231" s="1161"/>
      <c r="H231" s="1162" t="s">
        <v>35</v>
      </c>
      <c r="I231" s="1163">
        <f t="shared" ref="I231:J231" ca="1" si="151">I242+I253</f>
        <v>120</v>
      </c>
      <c r="J231" s="1163">
        <f t="shared" si="151"/>
        <v>120</v>
      </c>
      <c r="K231" s="1164">
        <f t="shared" ca="1" si="150"/>
        <v>100</v>
      </c>
      <c r="L231" s="1165"/>
      <c r="M231" s="1166"/>
      <c r="N231" s="1166"/>
      <c r="O231" s="1166"/>
      <c r="P231" s="1166"/>
      <c r="Q231" s="1166"/>
      <c r="R231" s="1166"/>
      <c r="S231" s="1166"/>
      <c r="T231" s="1166"/>
      <c r="U231" s="1166"/>
    </row>
    <row r="232" spans="1:21" ht="19.5" x14ac:dyDescent="0.3">
      <c r="A232" s="833"/>
      <c r="B232" s="1167"/>
      <c r="C232" s="1168" t="s">
        <v>18</v>
      </c>
      <c r="D232" s="1169" t="s">
        <v>19</v>
      </c>
      <c r="E232" s="1167"/>
      <c r="F232" s="1167"/>
      <c r="G232" s="1170"/>
      <c r="H232" s="1171" t="s">
        <v>14</v>
      </c>
      <c r="I232" s="1172"/>
      <c r="J232" s="1172"/>
      <c r="K232" s="1173"/>
      <c r="L232" s="1174">
        <f t="shared" ref="L232:L236" ca="1" si="152">L243+L254</f>
        <v>287400</v>
      </c>
      <c r="M232" s="1175"/>
      <c r="N232" s="1176">
        <f t="shared" ref="N232:N236" si="153">N243+N254</f>
        <v>187836.7</v>
      </c>
      <c r="O232" s="1175"/>
      <c r="P232" s="1175"/>
      <c r="Q232" s="1174"/>
      <c r="R232" s="1175"/>
      <c r="S232" s="1176"/>
      <c r="T232" s="1175"/>
      <c r="U232" s="1175"/>
    </row>
    <row r="233" spans="1:21" ht="18.75" x14ac:dyDescent="0.25">
      <c r="A233" s="833"/>
      <c r="B233" s="1177"/>
      <c r="C233" s="1167"/>
      <c r="D233" s="1178" t="s">
        <v>317</v>
      </c>
      <c r="E233" s="1167"/>
      <c r="F233" s="1167"/>
      <c r="G233" s="1170"/>
      <c r="H233" s="1179" t="s">
        <v>14</v>
      </c>
      <c r="I233" s="1172"/>
      <c r="J233" s="1172"/>
      <c r="K233" s="1173"/>
      <c r="L233" s="1180">
        <f t="shared" ca="1" si="152"/>
        <v>20000</v>
      </c>
      <c r="M233" s="1175"/>
      <c r="N233" s="1181">
        <f t="shared" si="153"/>
        <v>26450</v>
      </c>
      <c r="O233" s="1175"/>
      <c r="P233" s="1175"/>
      <c r="Q233" s="1180">
        <v>0</v>
      </c>
      <c r="R233" s="1175">
        <v>0</v>
      </c>
      <c r="S233" s="1181">
        <v>0</v>
      </c>
      <c r="T233" s="1175"/>
      <c r="U233" s="1175"/>
    </row>
    <row r="234" spans="1:21" ht="18.75" x14ac:dyDescent="0.25">
      <c r="A234" s="1136"/>
      <c r="B234" s="1177"/>
      <c r="C234" s="1177"/>
      <c r="D234" s="1178" t="s">
        <v>87</v>
      </c>
      <c r="E234" s="1167"/>
      <c r="F234" s="1167"/>
      <c r="G234" s="1170"/>
      <c r="H234" s="1179" t="s">
        <v>14</v>
      </c>
      <c r="I234" s="1182"/>
      <c r="J234" s="1182"/>
      <c r="K234" s="1175"/>
      <c r="L234" s="1180">
        <f t="shared" ca="1" si="152"/>
        <v>190400</v>
      </c>
      <c r="M234" s="1175"/>
      <c r="N234" s="1181">
        <f t="shared" si="153"/>
        <v>161386.70000000001</v>
      </c>
      <c r="O234" s="1175"/>
      <c r="P234" s="1175"/>
      <c r="Q234" s="1180">
        <v>0</v>
      </c>
      <c r="R234" s="1175">
        <v>0</v>
      </c>
      <c r="S234" s="1181">
        <v>0</v>
      </c>
      <c r="T234" s="1175"/>
      <c r="U234" s="1175"/>
    </row>
    <row r="235" spans="1:21" ht="18.75" x14ac:dyDescent="0.25">
      <c r="A235" s="1136"/>
      <c r="B235" s="1177"/>
      <c r="C235" s="1177"/>
      <c r="D235" s="1178" t="s">
        <v>88</v>
      </c>
      <c r="E235" s="1167"/>
      <c r="F235" s="1167"/>
      <c r="G235" s="1170"/>
      <c r="H235" s="1179" t="s">
        <v>14</v>
      </c>
      <c r="I235" s="1182"/>
      <c r="J235" s="1182"/>
      <c r="K235" s="1175"/>
      <c r="L235" s="1180">
        <f t="shared" ca="1" si="152"/>
        <v>0</v>
      </c>
      <c r="M235" s="1175"/>
      <c r="N235" s="1181">
        <f t="shared" si="153"/>
        <v>0</v>
      </c>
      <c r="O235" s="1175"/>
      <c r="P235" s="1175"/>
      <c r="Q235" s="1180">
        <v>0</v>
      </c>
      <c r="R235" s="1175">
        <v>0</v>
      </c>
      <c r="S235" s="1181">
        <v>0</v>
      </c>
      <c r="T235" s="1175"/>
      <c r="U235" s="1175"/>
    </row>
    <row r="236" spans="1:21" ht="18.75" x14ac:dyDescent="0.25">
      <c r="A236" s="1136"/>
      <c r="B236" s="1177"/>
      <c r="C236" s="1177"/>
      <c r="D236" s="1178" t="s">
        <v>89</v>
      </c>
      <c r="E236" s="1167"/>
      <c r="F236" s="1167"/>
      <c r="G236" s="1170"/>
      <c r="H236" s="1179" t="s">
        <v>14</v>
      </c>
      <c r="I236" s="1182"/>
      <c r="J236" s="1182"/>
      <c r="K236" s="1175"/>
      <c r="L236" s="1180">
        <f t="shared" ca="1" si="152"/>
        <v>77000</v>
      </c>
      <c r="M236" s="1175"/>
      <c r="N236" s="1181">
        <f t="shared" si="153"/>
        <v>0</v>
      </c>
      <c r="O236" s="1175"/>
      <c r="P236" s="1175"/>
      <c r="Q236" s="1180">
        <v>0</v>
      </c>
      <c r="R236" s="1175">
        <v>0</v>
      </c>
      <c r="S236" s="1181">
        <v>0</v>
      </c>
      <c r="T236" s="1175"/>
      <c r="U236" s="1175"/>
    </row>
    <row r="237" spans="1:21" ht="19.5" x14ac:dyDescent="0.3">
      <c r="A237" s="1137"/>
      <c r="B237" s="1183"/>
      <c r="C237" s="1184" t="s">
        <v>18</v>
      </c>
      <c r="D237" s="1185" t="s">
        <v>38</v>
      </c>
      <c r="E237" s="1186"/>
      <c r="F237" s="1186"/>
      <c r="G237" s="1187"/>
      <c r="H237" s="624"/>
      <c r="I237" s="1172"/>
      <c r="J237" s="1182"/>
      <c r="K237" s="1175"/>
      <c r="L237" s="1188"/>
      <c r="M237" s="1175"/>
      <c r="N237" s="1175"/>
      <c r="O237" s="1173"/>
      <c r="P237" s="1173"/>
      <c r="Q237" s="1175"/>
      <c r="R237" s="1175"/>
      <c r="S237" s="1175"/>
      <c r="T237" s="1173"/>
      <c r="U237" s="1173"/>
    </row>
    <row r="238" spans="1:21" ht="18.75" x14ac:dyDescent="0.25">
      <c r="A238" s="1137"/>
      <c r="B238" s="1183"/>
      <c r="C238" s="1183"/>
      <c r="D238" s="1189" t="s">
        <v>108</v>
      </c>
      <c r="E238" s="623"/>
      <c r="F238" s="623"/>
      <c r="G238" s="624"/>
      <c r="H238" s="1190" t="s">
        <v>35</v>
      </c>
      <c r="I238" s="1191">
        <f t="shared" ref="I238:J238" ca="1" si="154">I249+I260</f>
        <v>120</v>
      </c>
      <c r="J238" s="1191">
        <f t="shared" si="154"/>
        <v>120</v>
      </c>
      <c r="K238" s="1181">
        <f ca="1">IF(I238&gt;0,J238*100/I238,0)</f>
        <v>100</v>
      </c>
      <c r="L238" s="1188"/>
      <c r="M238" s="1175"/>
      <c r="N238" s="1175"/>
      <c r="O238" s="1175"/>
      <c r="P238" s="1175"/>
      <c r="Q238" s="1175"/>
      <c r="R238" s="1175"/>
      <c r="S238" s="1175"/>
      <c r="T238" s="1175"/>
      <c r="U238" s="1175"/>
    </row>
    <row r="239" spans="1:21" ht="18.75" x14ac:dyDescent="0.25">
      <c r="A239" s="1137"/>
      <c r="B239" s="1183"/>
      <c r="C239" s="1183"/>
      <c r="D239" s="1192" t="s">
        <v>43</v>
      </c>
      <c r="E239" s="623"/>
      <c r="F239" s="623"/>
      <c r="G239" s="624"/>
      <c r="H239" s="624"/>
      <c r="I239" s="1182"/>
      <c r="J239" s="1182"/>
      <c r="K239" s="1175"/>
      <c r="L239" s="1188"/>
      <c r="M239" s="1175"/>
      <c r="N239" s="1175"/>
      <c r="O239" s="1173"/>
      <c r="P239" s="1173"/>
      <c r="Q239" s="1175"/>
      <c r="R239" s="1175"/>
      <c r="S239" s="1175"/>
      <c r="T239" s="1173"/>
      <c r="U239" s="1173"/>
    </row>
    <row r="240" spans="1:21" ht="18.75" x14ac:dyDescent="0.25">
      <c r="A240" s="1137"/>
      <c r="B240" s="1183"/>
      <c r="C240" s="1183"/>
      <c r="D240" s="1183"/>
      <c r="E240" s="1193" t="s">
        <v>109</v>
      </c>
      <c r="F240" s="623"/>
      <c r="G240" s="624"/>
      <c r="H240" s="1190" t="s">
        <v>35</v>
      </c>
      <c r="I240" s="1191">
        <f t="shared" ref="I240:J241" ca="1" si="155">I251+I262</f>
        <v>120</v>
      </c>
      <c r="J240" s="1191">
        <f t="shared" si="155"/>
        <v>120</v>
      </c>
      <c r="K240" s="1181">
        <f t="shared" ref="K240:K242" ca="1" si="156">IF(I240&gt;0,J240*100/I240,0)</f>
        <v>100</v>
      </c>
      <c r="L240" s="1188"/>
      <c r="M240" s="1175"/>
      <c r="N240" s="1175"/>
      <c r="O240" s="1175"/>
      <c r="P240" s="1175"/>
      <c r="Q240" s="1175"/>
      <c r="R240" s="1175"/>
      <c r="S240" s="1175"/>
      <c r="T240" s="1175"/>
      <c r="U240" s="1175"/>
    </row>
    <row r="241" spans="1:21" ht="18.75" x14ac:dyDescent="0.25">
      <c r="A241" s="1137"/>
      <c r="B241" s="1183"/>
      <c r="C241" s="1183"/>
      <c r="D241" s="1183"/>
      <c r="E241" s="1193" t="s">
        <v>110</v>
      </c>
      <c r="F241" s="623"/>
      <c r="G241" s="624"/>
      <c r="H241" s="1190" t="s">
        <v>61</v>
      </c>
      <c r="I241" s="1191">
        <f t="shared" ca="1" si="155"/>
        <v>1</v>
      </c>
      <c r="J241" s="1191">
        <f t="shared" si="155"/>
        <v>0</v>
      </c>
      <c r="K241" s="1181">
        <f t="shared" ca="1" si="156"/>
        <v>0</v>
      </c>
      <c r="L241" s="1188"/>
      <c r="M241" s="1175"/>
      <c r="N241" s="1175"/>
      <c r="O241" s="1175"/>
      <c r="P241" s="1175"/>
      <c r="Q241" s="1175"/>
      <c r="R241" s="1175"/>
      <c r="S241" s="1175"/>
      <c r="T241" s="1175"/>
      <c r="U241" s="1175"/>
    </row>
    <row r="242" spans="1:21" ht="19.5" x14ac:dyDescent="0.3">
      <c r="A242" s="1138"/>
      <c r="B242" s="1139"/>
      <c r="C242" s="1140" t="s">
        <v>319</v>
      </c>
      <c r="D242" s="1141"/>
      <c r="E242" s="1141"/>
      <c r="F242" s="1141"/>
      <c r="G242" s="1142"/>
      <c r="H242" s="1143" t="s">
        <v>35</v>
      </c>
      <c r="I242" s="1144">
        <f t="shared" ref="I242:J242" ca="1" si="157">I249</f>
        <v>120</v>
      </c>
      <c r="J242" s="1144">
        <f t="shared" si="157"/>
        <v>120</v>
      </c>
      <c r="K242" s="1145">
        <f t="shared" ca="1" si="156"/>
        <v>100</v>
      </c>
      <c r="L242" s="777"/>
      <c r="M242" s="778"/>
      <c r="N242" s="778"/>
      <c r="O242" s="778"/>
      <c r="P242" s="778"/>
      <c r="Q242" s="778"/>
      <c r="R242" s="778"/>
      <c r="S242" s="778"/>
      <c r="T242" s="778"/>
      <c r="U242" s="778"/>
    </row>
    <row r="243" spans="1:21" ht="19.5" x14ac:dyDescent="0.3">
      <c r="A243" s="823"/>
      <c r="B243" s="824"/>
      <c r="C243" s="825" t="s">
        <v>18</v>
      </c>
      <c r="D243" s="826" t="s">
        <v>19</v>
      </c>
      <c r="E243" s="824"/>
      <c r="F243" s="824"/>
      <c r="G243" s="827"/>
      <c r="H243" s="1146" t="s">
        <v>14</v>
      </c>
      <c r="I243" s="844"/>
      <c r="J243" s="844"/>
      <c r="K243" s="845"/>
      <c r="L243" s="678">
        <f ca="1">L244+L245+L246+L247</f>
        <v>287400</v>
      </c>
      <c r="M243" s="566"/>
      <c r="N243" s="679">
        <f>N244+N245+N246+N247</f>
        <v>187836.7</v>
      </c>
      <c r="O243" s="679">
        <f ca="1">IF(L243&gt;0,N243*100/L243,0)</f>
        <v>65.357237299930404</v>
      </c>
      <c r="P243" s="679">
        <f>IF(M243&gt;0,N243*100/M243,0)</f>
        <v>0</v>
      </c>
      <c r="Q243" s="678"/>
      <c r="R243" s="566"/>
      <c r="S243" s="679"/>
      <c r="T243" s="679"/>
      <c r="U243" s="679"/>
    </row>
    <row r="244" spans="1:21" ht="18.75" x14ac:dyDescent="0.25">
      <c r="A244" s="823"/>
      <c r="B244" s="957"/>
      <c r="C244" s="824"/>
      <c r="D244" s="838" t="s">
        <v>317</v>
      </c>
      <c r="E244" s="824"/>
      <c r="F244" s="824"/>
      <c r="G244" s="827"/>
      <c r="H244" s="843" t="s">
        <v>14</v>
      </c>
      <c r="I244" s="844"/>
      <c r="J244" s="844"/>
      <c r="K244" s="845"/>
      <c r="L244" s="567">
        <f ca="1">IFERROR(__xludf.DUMMYFUNCTION("IMPORTRANGE(""https://docs.google.com/spreadsheets/d/1eHaY18a8A9IcSdp1K8H6x8fbOy06t2VsZHhMHf-1x7Y/edit?usp=sharing"",""แผน!AX16"")"),20000)</f>
        <v>20000</v>
      </c>
      <c r="M244" s="566"/>
      <c r="N244" s="786">
        <v>26450</v>
      </c>
      <c r="O244" s="566"/>
      <c r="P244" s="566"/>
      <c r="Q244" s="567"/>
      <c r="R244" s="566"/>
      <c r="S244" s="568"/>
      <c r="T244" s="684"/>
      <c r="U244" s="566"/>
    </row>
    <row r="245" spans="1:21" ht="18.75" x14ac:dyDescent="0.25">
      <c r="A245" s="1147"/>
      <c r="B245" s="957"/>
      <c r="C245" s="957"/>
      <c r="D245" s="838" t="s">
        <v>301</v>
      </c>
      <c r="E245" s="824"/>
      <c r="F245" s="824"/>
      <c r="G245" s="827"/>
      <c r="H245" s="843" t="s">
        <v>14</v>
      </c>
      <c r="I245" s="829"/>
      <c r="J245" s="829"/>
      <c r="K245" s="830"/>
      <c r="L245" s="567">
        <f ca="1">IFERROR(__xludf.DUMMYFUNCTION("IMPORTRANGE(""https://docs.google.com/spreadsheets/d/1eHaY18a8A9IcSdp1K8H6x8fbOy06t2VsZHhMHf-1x7Y/edit?usp=sharing"",""แผน!AY16"")"),190400)</f>
        <v>190400</v>
      </c>
      <c r="M245" s="566"/>
      <c r="N245" s="786">
        <v>161386.70000000001</v>
      </c>
      <c r="O245" s="566"/>
      <c r="P245" s="566"/>
      <c r="Q245" s="567"/>
      <c r="R245" s="566"/>
      <c r="S245" s="568"/>
      <c r="T245" s="684"/>
      <c r="U245" s="566"/>
    </row>
    <row r="246" spans="1:21" ht="18.75" x14ac:dyDescent="0.25">
      <c r="A246" s="1147"/>
      <c r="B246" s="957"/>
      <c r="C246" s="957"/>
      <c r="D246" s="838" t="s">
        <v>88</v>
      </c>
      <c r="E246" s="824"/>
      <c r="F246" s="824"/>
      <c r="G246" s="827"/>
      <c r="H246" s="843" t="s">
        <v>14</v>
      </c>
      <c r="I246" s="829"/>
      <c r="J246" s="829"/>
      <c r="K246" s="830"/>
      <c r="L246" s="567">
        <f ca="1">IFERROR(__xludf.DUMMYFUNCTION("IMPORTRANGE(""https://docs.google.com/spreadsheets/d/1eHaY18a8A9IcSdp1K8H6x8fbOy06t2VsZHhMHf-1x7Y/edit?usp=sharing"",""แผน!AZ16"")"),0)</f>
        <v>0</v>
      </c>
      <c r="M246" s="566"/>
      <c r="N246" s="786">
        <v>0</v>
      </c>
      <c r="O246" s="566"/>
      <c r="P246" s="566"/>
      <c r="Q246" s="567"/>
      <c r="R246" s="566"/>
      <c r="S246" s="786"/>
      <c r="T246" s="684"/>
      <c r="U246" s="566"/>
    </row>
    <row r="247" spans="1:21" ht="18.75" x14ac:dyDescent="0.25">
      <c r="A247" s="1147"/>
      <c r="B247" s="957"/>
      <c r="C247" s="957"/>
      <c r="D247" s="838" t="s">
        <v>89</v>
      </c>
      <c r="E247" s="824"/>
      <c r="F247" s="824"/>
      <c r="G247" s="827"/>
      <c r="H247" s="843" t="s">
        <v>14</v>
      </c>
      <c r="I247" s="829"/>
      <c r="J247" s="829"/>
      <c r="K247" s="830"/>
      <c r="L247" s="567">
        <f ca="1">IFERROR(__xludf.DUMMYFUNCTION("IMPORTRANGE(""https://docs.google.com/spreadsheets/d/1eHaY18a8A9IcSdp1K8H6x8fbOy06t2VsZHhMHf-1x7Y/edit?usp=sharing"",""แผน!BA16"")"),77000)</f>
        <v>77000</v>
      </c>
      <c r="M247" s="566"/>
      <c r="N247" s="786">
        <v>0</v>
      </c>
      <c r="O247" s="566"/>
      <c r="P247" s="566"/>
      <c r="Q247" s="566"/>
      <c r="R247" s="566"/>
      <c r="S247" s="566"/>
      <c r="T247" s="566"/>
      <c r="U247" s="566"/>
    </row>
    <row r="248" spans="1:21" ht="19.5" x14ac:dyDescent="0.3">
      <c r="A248" s="849"/>
      <c r="B248" s="850"/>
      <c r="C248" s="1148" t="s">
        <v>18</v>
      </c>
      <c r="D248" s="851" t="s">
        <v>38</v>
      </c>
      <c r="E248" s="816"/>
      <c r="F248" s="816"/>
      <c r="G248" s="817"/>
      <c r="H248" s="852"/>
      <c r="I248" s="844"/>
      <c r="J248" s="829"/>
      <c r="K248" s="830"/>
      <c r="L248" s="574"/>
      <c r="M248" s="566"/>
      <c r="N248" s="566"/>
      <c r="O248" s="684"/>
      <c r="P248" s="684"/>
      <c r="Q248" s="566"/>
      <c r="R248" s="566"/>
      <c r="S248" s="566"/>
      <c r="T248" s="684"/>
      <c r="U248" s="684"/>
    </row>
    <row r="249" spans="1:21" ht="18.75" x14ac:dyDescent="0.25">
      <c r="A249" s="849"/>
      <c r="B249" s="850"/>
      <c r="C249" s="850"/>
      <c r="D249" s="1109" t="s">
        <v>108</v>
      </c>
      <c r="E249" s="1107"/>
      <c r="F249" s="1107"/>
      <c r="G249" s="852"/>
      <c r="H249" s="1149" t="s">
        <v>35</v>
      </c>
      <c r="I249" s="960">
        <f ca="1">IFERROR(__xludf.DUMMYFUNCTION("IMPORTRANGE(""https://docs.google.com/spreadsheets/d/1eHaY18a8A9IcSdp1K8H6x8fbOy06t2VsZHhMHf-1x7Y/edit?usp=sharing"",""แผน!BG16"")"),120)</f>
        <v>120</v>
      </c>
      <c r="J249" s="1105">
        <v>120</v>
      </c>
      <c r="K249" s="841">
        <f ca="1">IF(I249&gt;0,J249*100/I249,0)</f>
        <v>100</v>
      </c>
      <c r="L249" s="574"/>
      <c r="M249" s="566"/>
      <c r="N249" s="566"/>
      <c r="O249" s="566"/>
      <c r="P249" s="566"/>
      <c r="Q249" s="566"/>
      <c r="R249" s="566"/>
      <c r="S249" s="566"/>
      <c r="T249" s="566"/>
      <c r="U249" s="566"/>
    </row>
    <row r="250" spans="1:21" ht="18.75" x14ac:dyDescent="0.25">
      <c r="A250" s="849"/>
      <c r="B250" s="850"/>
      <c r="C250" s="850"/>
      <c r="D250" s="1150" t="s">
        <v>43</v>
      </c>
      <c r="E250" s="1107"/>
      <c r="F250" s="1107"/>
      <c r="G250" s="852"/>
      <c r="H250" s="852"/>
      <c r="I250" s="829"/>
      <c r="J250" s="829"/>
      <c r="K250" s="830"/>
      <c r="L250" s="574"/>
      <c r="M250" s="566"/>
      <c r="N250" s="566"/>
      <c r="O250" s="684"/>
      <c r="P250" s="684"/>
      <c r="Q250" s="566"/>
      <c r="R250" s="566"/>
      <c r="S250" s="566"/>
      <c r="T250" s="684"/>
      <c r="U250" s="684"/>
    </row>
    <row r="251" spans="1:21" ht="18.75" x14ac:dyDescent="0.25">
      <c r="A251" s="849"/>
      <c r="B251" s="850"/>
      <c r="C251" s="850"/>
      <c r="D251" s="850"/>
      <c r="E251" s="944" t="s">
        <v>109</v>
      </c>
      <c r="F251" s="1107"/>
      <c r="G251" s="852"/>
      <c r="H251" s="1149" t="s">
        <v>35</v>
      </c>
      <c r="I251" s="960">
        <f ca="1">IFERROR(__xludf.DUMMYFUNCTION("IMPORTRANGE(""https://docs.google.com/spreadsheets/d/1eHaY18a8A9IcSdp1K8H6x8fbOy06t2VsZHhMHf-1x7Y/edit?usp=sharing"",""แผน!KN16"")"),120)</f>
        <v>120</v>
      </c>
      <c r="J251" s="1105">
        <v>120</v>
      </c>
      <c r="K251" s="841">
        <f t="shared" ref="K251:K253" ca="1" si="158">IF(I251&gt;0,J251*100/I251,0)</f>
        <v>100</v>
      </c>
      <c r="L251" s="574"/>
      <c r="M251" s="566"/>
      <c r="N251" s="566"/>
      <c r="O251" s="566"/>
      <c r="P251" s="566"/>
      <c r="Q251" s="566"/>
      <c r="R251" s="566"/>
      <c r="S251" s="566"/>
      <c r="T251" s="566"/>
      <c r="U251" s="566"/>
    </row>
    <row r="252" spans="1:21" ht="18.75" x14ac:dyDescent="0.25">
      <c r="A252" s="849"/>
      <c r="B252" s="850"/>
      <c r="C252" s="850"/>
      <c r="D252" s="850"/>
      <c r="E252" s="944" t="s">
        <v>110</v>
      </c>
      <c r="F252" s="1107"/>
      <c r="G252" s="852"/>
      <c r="H252" s="1149" t="s">
        <v>61</v>
      </c>
      <c r="I252" s="960">
        <f ca="1">IFERROR(__xludf.DUMMYFUNCTION("IMPORTRANGE(""https://docs.google.com/spreadsheets/d/1eHaY18a8A9IcSdp1K8H6x8fbOy06t2VsZHhMHf-1x7Y/edit?usp=sharing"",""แผน!KO16"")"),1)</f>
        <v>1</v>
      </c>
      <c r="J252" s="1105">
        <v>0</v>
      </c>
      <c r="K252" s="841">
        <f t="shared" ca="1" si="158"/>
        <v>0</v>
      </c>
      <c r="L252" s="574"/>
      <c r="M252" s="566"/>
      <c r="N252" s="566"/>
      <c r="O252" s="566"/>
      <c r="P252" s="566"/>
      <c r="Q252" s="566"/>
      <c r="R252" s="566"/>
      <c r="S252" s="566"/>
      <c r="T252" s="566"/>
      <c r="U252" s="566"/>
    </row>
    <row r="253" spans="1:21" ht="19.5" hidden="1" x14ac:dyDescent="0.3">
      <c r="A253" s="769"/>
      <c r="B253" s="770"/>
      <c r="C253" s="793" t="s">
        <v>112</v>
      </c>
      <c r="D253" s="772"/>
      <c r="E253" s="772"/>
      <c r="F253" s="772"/>
      <c r="G253" s="773"/>
      <c r="H253" s="794" t="s">
        <v>35</v>
      </c>
      <c r="I253" s="795">
        <f t="shared" ref="I253:J253" ca="1" si="159">I260</f>
        <v>0</v>
      </c>
      <c r="J253" s="795">
        <f t="shared" si="159"/>
        <v>0</v>
      </c>
      <c r="K253" s="796">
        <f t="shared" ca="1" si="158"/>
        <v>0</v>
      </c>
      <c r="L253" s="777"/>
      <c r="M253" s="778"/>
      <c r="N253" s="778"/>
      <c r="O253" s="778"/>
      <c r="P253" s="778"/>
      <c r="Q253" s="778"/>
      <c r="R253" s="778"/>
      <c r="S253" s="778"/>
      <c r="T253" s="778"/>
      <c r="U253" s="778"/>
    </row>
    <row r="254" spans="1:21" ht="19.5" hidden="1" x14ac:dyDescent="0.3">
      <c r="A254" s="674"/>
      <c r="B254" s="561"/>
      <c r="C254" s="797" t="s">
        <v>18</v>
      </c>
      <c r="D254" s="805" t="s">
        <v>19</v>
      </c>
      <c r="E254" s="561"/>
      <c r="F254" s="561"/>
      <c r="G254" s="563"/>
      <c r="H254" s="799" t="s">
        <v>14</v>
      </c>
      <c r="I254" s="683"/>
      <c r="J254" s="683"/>
      <c r="K254" s="684"/>
      <c r="L254" s="678">
        <f ca="1">L255+L256+L257+L258</f>
        <v>0</v>
      </c>
      <c r="M254" s="566"/>
      <c r="N254" s="679">
        <f>N255+N256+N257+N258</f>
        <v>0</v>
      </c>
      <c r="O254" s="679">
        <f ca="1">IF(L254&gt;0,N254*100/L254,0)</f>
        <v>0</v>
      </c>
      <c r="P254" s="679">
        <f>IF(M254&gt;0,N254*100/M254,0)</f>
        <v>0</v>
      </c>
      <c r="Q254" s="566"/>
      <c r="R254" s="566"/>
      <c r="S254" s="566"/>
      <c r="T254" s="566"/>
      <c r="U254" s="566"/>
    </row>
    <row r="255" spans="1:21" ht="18.75" hidden="1" x14ac:dyDescent="0.25">
      <c r="A255" s="674"/>
      <c r="B255" s="718"/>
      <c r="C255" s="561"/>
      <c r="D255" s="838" t="s">
        <v>317</v>
      </c>
      <c r="E255" s="561"/>
      <c r="F255" s="561"/>
      <c r="G255" s="563"/>
      <c r="H255" s="685" t="s">
        <v>14</v>
      </c>
      <c r="I255" s="683"/>
      <c r="J255" s="683"/>
      <c r="K255" s="684"/>
      <c r="L255" s="567">
        <f ca="1">IFERROR(__xludf.DUMMYFUNCTION("IMPORTRANGE(""https://docs.google.com/spreadsheets/d/1eHaY18a8A9IcSdp1K8H6x8fbOy06t2VsZHhMHf-1x7Y/edit?usp=sharing"",""แผน!BB16"")"),0)</f>
        <v>0</v>
      </c>
      <c r="M255" s="566"/>
      <c r="N255" s="786">
        <v>0</v>
      </c>
      <c r="O255" s="566"/>
      <c r="P255" s="566"/>
      <c r="Q255" s="566"/>
      <c r="R255" s="566"/>
      <c r="S255" s="566"/>
      <c r="T255" s="566"/>
      <c r="U255" s="566"/>
    </row>
    <row r="256" spans="1:21" ht="18.75" hidden="1" x14ac:dyDescent="0.25">
      <c r="A256" s="764"/>
      <c r="B256" s="718"/>
      <c r="C256" s="718"/>
      <c r="D256" s="838" t="s">
        <v>87</v>
      </c>
      <c r="E256" s="561"/>
      <c r="F256" s="561"/>
      <c r="G256" s="563"/>
      <c r="H256" s="685" t="s">
        <v>14</v>
      </c>
      <c r="I256" s="565"/>
      <c r="J256" s="565"/>
      <c r="K256" s="566"/>
      <c r="L256" s="567">
        <f ca="1">IFERROR(__xludf.DUMMYFUNCTION("IMPORTRANGE(""https://docs.google.com/spreadsheets/d/1eHaY18a8A9IcSdp1K8H6x8fbOy06t2VsZHhMHf-1x7Y/edit?usp=sharing"",""แผน!BC16"")"),0)</f>
        <v>0</v>
      </c>
      <c r="M256" s="566"/>
      <c r="N256" s="786">
        <v>0</v>
      </c>
      <c r="O256" s="566"/>
      <c r="P256" s="566"/>
      <c r="Q256" s="566"/>
      <c r="R256" s="566"/>
      <c r="S256" s="566"/>
      <c r="T256" s="566"/>
      <c r="U256" s="566"/>
    </row>
    <row r="257" spans="1:21" ht="18.75" hidden="1" x14ac:dyDescent="0.25">
      <c r="A257" s="764"/>
      <c r="B257" s="718"/>
      <c r="C257" s="718"/>
      <c r="D257" s="838" t="s">
        <v>88</v>
      </c>
      <c r="E257" s="561"/>
      <c r="F257" s="561"/>
      <c r="G257" s="563"/>
      <c r="H257" s="685" t="s">
        <v>14</v>
      </c>
      <c r="I257" s="565"/>
      <c r="J257" s="565"/>
      <c r="K257" s="566"/>
      <c r="L257" s="567">
        <f ca="1">IFERROR(__xludf.DUMMYFUNCTION("IMPORTRANGE(""https://docs.google.com/spreadsheets/d/1eHaY18a8A9IcSdp1K8H6x8fbOy06t2VsZHhMHf-1x7Y/edit?usp=sharing"",""แผน!BD16"")"),0)</f>
        <v>0</v>
      </c>
      <c r="M257" s="566"/>
      <c r="N257" s="786">
        <v>0</v>
      </c>
      <c r="O257" s="566"/>
      <c r="P257" s="566"/>
      <c r="Q257" s="566"/>
      <c r="R257" s="566"/>
      <c r="S257" s="566"/>
      <c r="T257" s="566"/>
      <c r="U257" s="566"/>
    </row>
    <row r="258" spans="1:21" ht="18.75" hidden="1" x14ac:dyDescent="0.25">
      <c r="A258" s="764"/>
      <c r="B258" s="718"/>
      <c r="C258" s="718"/>
      <c r="D258" s="838" t="s">
        <v>89</v>
      </c>
      <c r="E258" s="561"/>
      <c r="F258" s="561"/>
      <c r="G258" s="563"/>
      <c r="H258" s="685" t="s">
        <v>14</v>
      </c>
      <c r="I258" s="565"/>
      <c r="J258" s="565"/>
      <c r="K258" s="566"/>
      <c r="L258" s="567">
        <f ca="1">IFERROR(__xludf.DUMMYFUNCTION("IMPORTRANGE(""https://docs.google.com/spreadsheets/d/1eHaY18a8A9IcSdp1K8H6x8fbOy06t2VsZHhMHf-1x7Y/edit?usp=sharing"",""แผน!BE16"")"),0)</f>
        <v>0</v>
      </c>
      <c r="M258" s="566"/>
      <c r="N258" s="786">
        <v>0</v>
      </c>
      <c r="O258" s="566"/>
      <c r="P258" s="566"/>
      <c r="Q258" s="566"/>
      <c r="R258" s="566"/>
      <c r="S258" s="566"/>
      <c r="T258" s="566"/>
      <c r="U258" s="566"/>
    </row>
    <row r="259" spans="1:21" ht="19.5" hidden="1" x14ac:dyDescent="0.3">
      <c r="A259" s="687"/>
      <c r="B259" s="688"/>
      <c r="C259" s="800" t="s">
        <v>18</v>
      </c>
      <c r="D259" s="801" t="s">
        <v>38</v>
      </c>
      <c r="E259" s="690"/>
      <c r="F259" s="690"/>
      <c r="G259" s="691"/>
      <c r="H259" s="692"/>
      <c r="I259" s="683"/>
      <c r="J259" s="565"/>
      <c r="K259" s="566"/>
      <c r="L259" s="574"/>
      <c r="M259" s="566"/>
      <c r="N259" s="566"/>
      <c r="O259" s="684"/>
      <c r="P259" s="684"/>
      <c r="Q259" s="566"/>
      <c r="R259" s="566"/>
      <c r="S259" s="566"/>
      <c r="T259" s="684"/>
      <c r="U259" s="684"/>
    </row>
    <row r="260" spans="1:21" ht="18.75" hidden="1" x14ac:dyDescent="0.25">
      <c r="A260" s="687"/>
      <c r="B260" s="688"/>
      <c r="C260" s="688"/>
      <c r="D260" s="726" t="s">
        <v>108</v>
      </c>
      <c r="E260" s="695"/>
      <c r="F260" s="695"/>
      <c r="G260" s="692"/>
      <c r="H260" s="802" t="s">
        <v>35</v>
      </c>
      <c r="I260" s="735">
        <f ca="1">IFERROR(__xludf.DUMMYFUNCTION("IMPORTRANGE(""https://docs.google.com/spreadsheets/d/1eHaY18a8A9IcSdp1K8H6x8fbOy06t2VsZHhMHf-1x7Y/edit?usp=sharing"",""แผน!BH16"")"),0)</f>
        <v>0</v>
      </c>
      <c r="J260" s="736">
        <v>0</v>
      </c>
      <c r="K260" s="572">
        <f ca="1">IF(I260&gt;0,J260*100/I260,0)</f>
        <v>0</v>
      </c>
      <c r="L260" s="574"/>
      <c r="M260" s="566"/>
      <c r="N260" s="566"/>
      <c r="O260" s="566"/>
      <c r="P260" s="566"/>
      <c r="Q260" s="566"/>
      <c r="R260" s="566"/>
      <c r="S260" s="566"/>
      <c r="T260" s="566"/>
      <c r="U260" s="566"/>
    </row>
    <row r="261" spans="1:21" ht="18.75" hidden="1" x14ac:dyDescent="0.25">
      <c r="A261" s="687"/>
      <c r="B261" s="688"/>
      <c r="C261" s="688"/>
      <c r="D261" s="803" t="s">
        <v>43</v>
      </c>
      <c r="E261" s="695"/>
      <c r="F261" s="695"/>
      <c r="G261" s="692"/>
      <c r="H261" s="692"/>
      <c r="I261" s="565"/>
      <c r="J261" s="565"/>
      <c r="K261" s="566"/>
      <c r="L261" s="574"/>
      <c r="M261" s="566"/>
      <c r="N261" s="566"/>
      <c r="O261" s="684"/>
      <c r="P261" s="684"/>
      <c r="Q261" s="566"/>
      <c r="R261" s="566"/>
      <c r="S261" s="566"/>
      <c r="T261" s="684"/>
      <c r="U261" s="684"/>
    </row>
    <row r="262" spans="1:21" ht="18.75" hidden="1" x14ac:dyDescent="0.25">
      <c r="A262" s="687"/>
      <c r="B262" s="688"/>
      <c r="C262" s="688"/>
      <c r="D262" s="688"/>
      <c r="E262" s="804" t="s">
        <v>109</v>
      </c>
      <c r="F262" s="695"/>
      <c r="G262" s="692"/>
      <c r="H262" s="802" t="s">
        <v>35</v>
      </c>
      <c r="I262" s="565"/>
      <c r="J262" s="736">
        <v>0</v>
      </c>
      <c r="K262" s="572">
        <f t="shared" ref="K262:K263" si="160">IF(I262&gt;0,J262*100/I262,0)</f>
        <v>0</v>
      </c>
      <c r="L262" s="574"/>
      <c r="M262" s="566"/>
      <c r="N262" s="566"/>
      <c r="O262" s="566"/>
      <c r="P262" s="566"/>
      <c r="Q262" s="566"/>
      <c r="R262" s="566"/>
      <c r="S262" s="566"/>
      <c r="T262" s="566"/>
      <c r="U262" s="566"/>
    </row>
    <row r="263" spans="1:21" ht="18.75" hidden="1" x14ac:dyDescent="0.25">
      <c r="A263" s="687"/>
      <c r="B263" s="688"/>
      <c r="C263" s="688"/>
      <c r="D263" s="688"/>
      <c r="E263" s="804" t="s">
        <v>110</v>
      </c>
      <c r="F263" s="695"/>
      <c r="G263" s="692"/>
      <c r="H263" s="802" t="s">
        <v>61</v>
      </c>
      <c r="I263" s="565"/>
      <c r="J263" s="736">
        <v>0</v>
      </c>
      <c r="K263" s="572">
        <f t="shared" si="160"/>
        <v>0</v>
      </c>
      <c r="L263" s="574"/>
      <c r="M263" s="566"/>
      <c r="N263" s="566"/>
      <c r="O263" s="566"/>
      <c r="P263" s="566"/>
      <c r="Q263" s="566"/>
      <c r="R263" s="566"/>
      <c r="S263" s="566"/>
      <c r="T263" s="566"/>
      <c r="U263" s="566"/>
    </row>
    <row r="264" spans="1:21" ht="19.5" x14ac:dyDescent="0.3">
      <c r="A264" s="806" t="s">
        <v>113</v>
      </c>
      <c r="B264" s="807"/>
      <c r="C264" s="807"/>
      <c r="D264" s="808"/>
      <c r="E264" s="808"/>
      <c r="F264" s="808"/>
      <c r="G264" s="809"/>
      <c r="H264" s="809"/>
      <c r="I264" s="810"/>
      <c r="J264" s="810"/>
      <c r="K264" s="811"/>
      <c r="L264" s="812"/>
      <c r="M264" s="811"/>
      <c r="N264" s="811"/>
      <c r="O264" s="811"/>
      <c r="P264" s="811"/>
      <c r="Q264" s="811"/>
      <c r="R264" s="811"/>
      <c r="S264" s="811"/>
      <c r="T264" s="811"/>
      <c r="U264" s="811"/>
    </row>
    <row r="265" spans="1:21" ht="19.5" x14ac:dyDescent="0.3">
      <c r="A265" s="813"/>
      <c r="B265" s="814" t="s">
        <v>114</v>
      </c>
      <c r="C265" s="815"/>
      <c r="D265" s="816"/>
      <c r="E265" s="816"/>
      <c r="F265" s="816"/>
      <c r="G265" s="817"/>
      <c r="H265" s="818" t="s">
        <v>35</v>
      </c>
      <c r="I265" s="819">
        <f t="shared" ref="I265:J265" ca="1" si="161">I276</f>
        <v>24</v>
      </c>
      <c r="J265" s="819">
        <f t="shared" si="161"/>
        <v>24</v>
      </c>
      <c r="K265" s="820">
        <f ca="1">IF(I265&gt;0,J265*100/I265,0)</f>
        <v>100</v>
      </c>
      <c r="L265" s="821"/>
      <c r="M265" s="822"/>
      <c r="N265" s="822"/>
      <c r="O265" s="822"/>
      <c r="P265" s="822"/>
      <c r="Q265" s="822"/>
      <c r="R265" s="822"/>
      <c r="S265" s="822"/>
      <c r="T265" s="822"/>
      <c r="U265" s="822"/>
    </row>
    <row r="266" spans="1:21" ht="19.5" x14ac:dyDescent="0.3">
      <c r="A266" s="823"/>
      <c r="B266" s="824"/>
      <c r="C266" s="825" t="s">
        <v>18</v>
      </c>
      <c r="D266" s="826" t="s">
        <v>19</v>
      </c>
      <c r="E266" s="824"/>
      <c r="F266" s="824"/>
      <c r="G266" s="827"/>
      <c r="H266" s="828" t="s">
        <v>14</v>
      </c>
      <c r="I266" s="829"/>
      <c r="J266" s="829"/>
      <c r="K266" s="830"/>
      <c r="L266" s="831">
        <f t="shared" ref="L266:N266" ca="1" si="162">L267+L268</f>
        <v>5000</v>
      </c>
      <c r="M266" s="832">
        <f t="shared" ca="1" si="162"/>
        <v>5000</v>
      </c>
      <c r="N266" s="832">
        <f t="shared" ca="1" si="162"/>
        <v>0</v>
      </c>
      <c r="O266" s="832">
        <f t="shared" ref="O266:O274" ca="1" si="163">IF(L266&gt;0,N266*100/L266,0)</f>
        <v>0</v>
      </c>
      <c r="P266" s="832">
        <f t="shared" ref="P266:P274" ca="1" si="164">IF(M266&gt;0,N266*100/M266,0)</f>
        <v>0</v>
      </c>
      <c r="Q266" s="832">
        <f t="shared" ref="Q266:S266" ca="1" si="165">Q267+Q268</f>
        <v>53440</v>
      </c>
      <c r="R266" s="832">
        <f t="shared" ca="1" si="165"/>
        <v>53440</v>
      </c>
      <c r="S266" s="832">
        <f t="shared" ca="1" si="165"/>
        <v>21017</v>
      </c>
      <c r="T266" s="832">
        <f t="shared" ref="T266:T274" ca="1" si="166">IF(Q266&gt;0,S266*100/Q266,0)</f>
        <v>39.328218562874248</v>
      </c>
      <c r="U266" s="832">
        <f t="shared" ref="U266:U274" ca="1" si="167">IF(R266&gt;0,S266*100/R266,0)</f>
        <v>39.328218562874248</v>
      </c>
    </row>
    <row r="267" spans="1:21" ht="18.75" x14ac:dyDescent="0.25">
      <c r="A267" s="833"/>
      <c r="B267" s="834"/>
      <c r="C267" s="834"/>
      <c r="D267" s="834"/>
      <c r="E267" s="569" t="s">
        <v>20</v>
      </c>
      <c r="F267" s="834"/>
      <c r="G267" s="835"/>
      <c r="H267" s="680" t="s">
        <v>14</v>
      </c>
      <c r="I267" s="836"/>
      <c r="J267" s="836"/>
      <c r="K267" s="837"/>
      <c r="L267" s="571">
        <f t="shared" ref="L267:N268" si="168">L270+L273</f>
        <v>0</v>
      </c>
      <c r="M267" s="572">
        <f t="shared" si="168"/>
        <v>0</v>
      </c>
      <c r="N267" s="572">
        <f t="shared" si="168"/>
        <v>0</v>
      </c>
      <c r="O267" s="572">
        <f t="shared" si="163"/>
        <v>0</v>
      </c>
      <c r="P267" s="572">
        <f t="shared" si="164"/>
        <v>0</v>
      </c>
      <c r="Q267" s="572">
        <f t="shared" ref="Q267:S268" si="169">Q270+Q273</f>
        <v>0</v>
      </c>
      <c r="R267" s="572">
        <f t="shared" si="169"/>
        <v>0</v>
      </c>
      <c r="S267" s="572">
        <f t="shared" si="169"/>
        <v>0</v>
      </c>
      <c r="T267" s="572">
        <f t="shared" si="166"/>
        <v>0</v>
      </c>
      <c r="U267" s="572">
        <f t="shared" si="167"/>
        <v>0</v>
      </c>
    </row>
    <row r="268" spans="1:21" ht="18.75" x14ac:dyDescent="0.25">
      <c r="A268" s="823"/>
      <c r="B268" s="824"/>
      <c r="C268" s="824"/>
      <c r="D268" s="824"/>
      <c r="E268" s="838" t="s">
        <v>21</v>
      </c>
      <c r="F268" s="824"/>
      <c r="G268" s="827"/>
      <c r="H268" s="839" t="s">
        <v>14</v>
      </c>
      <c r="I268" s="829"/>
      <c r="J268" s="829"/>
      <c r="K268" s="830"/>
      <c r="L268" s="840">
        <f t="shared" ca="1" si="168"/>
        <v>5000</v>
      </c>
      <c r="M268" s="841">
        <f t="shared" ca="1" si="168"/>
        <v>5000</v>
      </c>
      <c r="N268" s="841">
        <f t="shared" ca="1" si="168"/>
        <v>0</v>
      </c>
      <c r="O268" s="841">
        <f t="shared" ca="1" si="163"/>
        <v>0</v>
      </c>
      <c r="P268" s="841">
        <f t="shared" ca="1" si="164"/>
        <v>0</v>
      </c>
      <c r="Q268" s="841">
        <f t="shared" ca="1" si="169"/>
        <v>53440</v>
      </c>
      <c r="R268" s="841">
        <f t="shared" ca="1" si="169"/>
        <v>53440</v>
      </c>
      <c r="S268" s="841">
        <f t="shared" ca="1" si="169"/>
        <v>21017</v>
      </c>
      <c r="T268" s="841">
        <f t="shared" ca="1" si="166"/>
        <v>39.328218562874248</v>
      </c>
      <c r="U268" s="841">
        <f t="shared" ca="1" si="167"/>
        <v>39.328218562874248</v>
      </c>
    </row>
    <row r="269" spans="1:21" ht="18.75" x14ac:dyDescent="0.25">
      <c r="A269" s="823"/>
      <c r="B269" s="824"/>
      <c r="C269" s="824"/>
      <c r="D269" s="842" t="s">
        <v>22</v>
      </c>
      <c r="E269" s="824"/>
      <c r="F269" s="824"/>
      <c r="G269" s="827"/>
      <c r="H269" s="843" t="s">
        <v>14</v>
      </c>
      <c r="I269" s="844"/>
      <c r="J269" s="844"/>
      <c r="K269" s="845"/>
      <c r="L269" s="840">
        <f t="shared" ref="L269:N269" ca="1" si="170">L270+L271</f>
        <v>5000</v>
      </c>
      <c r="M269" s="841">
        <f t="shared" ca="1" si="170"/>
        <v>5000</v>
      </c>
      <c r="N269" s="841">
        <f t="shared" ca="1" si="170"/>
        <v>0</v>
      </c>
      <c r="O269" s="841">
        <f t="shared" ca="1" si="163"/>
        <v>0</v>
      </c>
      <c r="P269" s="841">
        <f t="shared" ca="1" si="164"/>
        <v>0</v>
      </c>
      <c r="Q269" s="841">
        <f t="shared" ref="Q269:S269" ca="1" si="171">Q270+Q271</f>
        <v>53440</v>
      </c>
      <c r="R269" s="841">
        <f t="shared" ca="1" si="171"/>
        <v>53440</v>
      </c>
      <c r="S269" s="841">
        <f t="shared" ca="1" si="171"/>
        <v>21017</v>
      </c>
      <c r="T269" s="841">
        <f t="shared" ca="1" si="166"/>
        <v>39.328218562874248</v>
      </c>
      <c r="U269" s="841">
        <f t="shared" ca="1" si="167"/>
        <v>39.328218562874248</v>
      </c>
    </row>
    <row r="270" spans="1:21" ht="18.75" x14ac:dyDescent="0.25">
      <c r="A270" s="833"/>
      <c r="B270" s="834"/>
      <c r="C270" s="834"/>
      <c r="D270" s="834"/>
      <c r="E270" s="569" t="s">
        <v>36</v>
      </c>
      <c r="F270" s="834"/>
      <c r="G270" s="835"/>
      <c r="H270" s="685" t="s">
        <v>14</v>
      </c>
      <c r="I270" s="846"/>
      <c r="J270" s="846"/>
      <c r="K270" s="847"/>
      <c r="L270" s="571">
        <v>0</v>
      </c>
      <c r="M270" s="572">
        <v>0</v>
      </c>
      <c r="N270" s="572">
        <v>0</v>
      </c>
      <c r="O270" s="572">
        <f t="shared" si="163"/>
        <v>0</v>
      </c>
      <c r="P270" s="572">
        <f t="shared" si="164"/>
        <v>0</v>
      </c>
      <c r="Q270" s="572">
        <v>0</v>
      </c>
      <c r="R270" s="572">
        <v>0</v>
      </c>
      <c r="S270" s="572">
        <v>0</v>
      </c>
      <c r="T270" s="572">
        <f t="shared" si="166"/>
        <v>0</v>
      </c>
      <c r="U270" s="572">
        <f t="shared" si="167"/>
        <v>0</v>
      </c>
    </row>
    <row r="271" spans="1:21" ht="18.75" x14ac:dyDescent="0.25">
      <c r="A271" s="823"/>
      <c r="B271" s="824"/>
      <c r="C271" s="824"/>
      <c r="D271" s="824"/>
      <c r="E271" s="838" t="s">
        <v>37</v>
      </c>
      <c r="F271" s="824"/>
      <c r="G271" s="827"/>
      <c r="H271" s="843" t="s">
        <v>14</v>
      </c>
      <c r="I271" s="844"/>
      <c r="J271" s="844"/>
      <c r="K271" s="845"/>
      <c r="L271" s="840">
        <f ca="1">IFERROR(__xludf.DUMMYFUNCTION("IMPORTRANGE(""https://docs.google.com/spreadsheets/d/1-uDff_7J0KD5mKrp0Vvzr7lt3OU09vwQwhkpOPPYv2Y/edit?usp=sharing"",""งบพรบ!DE16"")"),5000)</f>
        <v>5000</v>
      </c>
      <c r="M271" s="841">
        <f ca="1">IFERROR(__xludf.DUMMYFUNCTION("IMPORTRANGE(""https://docs.google.com/spreadsheets/d/1-uDff_7J0KD5mKrp0Vvzr7lt3OU09vwQwhkpOPPYv2Y/edit?usp=sharing"",""งบพรบ!DJ16"")"),5000)</f>
        <v>5000</v>
      </c>
      <c r="N271" s="841">
        <f ca="1">IFERROR(__xludf.DUMMYFUNCTION("IMPORTRANGE(""https://docs.google.com/spreadsheets/d/1-uDff_7J0KD5mKrp0Vvzr7lt3OU09vwQwhkpOPPYv2Y/edit?usp=sharing"",""งบพรบ!DL16"")"),0)</f>
        <v>0</v>
      </c>
      <c r="O271" s="841">
        <f t="shared" ca="1" si="163"/>
        <v>0</v>
      </c>
      <c r="P271" s="841">
        <f t="shared" ca="1" si="164"/>
        <v>0</v>
      </c>
      <c r="Q271" s="841">
        <f ca="1">IFERROR(__xludf.DUMMYFUNCTION("IMPORTRANGE(""https://docs.google.com/spreadsheets/d/1ItG2mGa2ceCfYo0BwxsXqNm01IGEUdYcSSLTEv9YCik/edit?usp=sharing"",""เบิกจ่ายกองทุน!AP16"")"),53440)</f>
        <v>53440</v>
      </c>
      <c r="R271" s="841">
        <f ca="1">IFERROR(__xludf.DUMMYFUNCTION("IMPORTRANGE(""https://docs.google.com/spreadsheets/d/1ItG2mGa2ceCfYo0BwxsXqNm01IGEUdYcSSLTEv9YCik/edit?usp=sharing"",""เบิกจ่ายกองทุน!AQ16"")"),53440)</f>
        <v>53440</v>
      </c>
      <c r="S271" s="841">
        <f ca="1">IFERROR(__xludf.DUMMYFUNCTION("IMPORTRANGE(""https://docs.google.com/spreadsheets/d/1ItG2mGa2ceCfYo0BwxsXqNm01IGEUdYcSSLTEv9YCik/edit?usp=sharing"",""เบิกจ่ายกองทุน!AR16"")"),21017)</f>
        <v>21017</v>
      </c>
      <c r="T271" s="841">
        <f t="shared" ca="1" si="166"/>
        <v>39.328218562874248</v>
      </c>
      <c r="U271" s="841">
        <f t="shared" ca="1" si="167"/>
        <v>39.328218562874248</v>
      </c>
    </row>
    <row r="272" spans="1:21" ht="18.75" x14ac:dyDescent="0.25">
      <c r="A272" s="823"/>
      <c r="B272" s="824"/>
      <c r="C272" s="824"/>
      <c r="D272" s="842" t="s">
        <v>23</v>
      </c>
      <c r="E272" s="824"/>
      <c r="F272" s="824"/>
      <c r="G272" s="827"/>
      <c r="H272" s="848" t="s">
        <v>14</v>
      </c>
      <c r="I272" s="844"/>
      <c r="J272" s="844"/>
      <c r="K272" s="845"/>
      <c r="L272" s="840">
        <f t="shared" ref="L272:N272" ca="1" si="172">L273+L274</f>
        <v>0</v>
      </c>
      <c r="M272" s="841">
        <f t="shared" ca="1" si="172"/>
        <v>0</v>
      </c>
      <c r="N272" s="841">
        <f t="shared" ca="1" si="172"/>
        <v>0</v>
      </c>
      <c r="O272" s="841">
        <f t="shared" ca="1" si="163"/>
        <v>0</v>
      </c>
      <c r="P272" s="841">
        <f t="shared" ca="1" si="164"/>
        <v>0</v>
      </c>
      <c r="Q272" s="841">
        <f t="shared" ref="Q272:S272" si="173">Q273+Q274</f>
        <v>0</v>
      </c>
      <c r="R272" s="841">
        <f t="shared" si="173"/>
        <v>0</v>
      </c>
      <c r="S272" s="841">
        <f t="shared" si="173"/>
        <v>0</v>
      </c>
      <c r="T272" s="841">
        <f t="shared" si="166"/>
        <v>0</v>
      </c>
      <c r="U272" s="841">
        <f t="shared" si="167"/>
        <v>0</v>
      </c>
    </row>
    <row r="273" spans="1:21" ht="18.75" x14ac:dyDescent="0.25">
      <c r="A273" s="833"/>
      <c r="B273" s="834"/>
      <c r="C273" s="834"/>
      <c r="D273" s="834"/>
      <c r="E273" s="569" t="s">
        <v>20</v>
      </c>
      <c r="F273" s="834"/>
      <c r="G273" s="835"/>
      <c r="H273" s="685" t="s">
        <v>14</v>
      </c>
      <c r="I273" s="846"/>
      <c r="J273" s="846"/>
      <c r="K273" s="847"/>
      <c r="L273" s="571">
        <v>0</v>
      </c>
      <c r="M273" s="572">
        <v>0</v>
      </c>
      <c r="N273" s="572">
        <v>0</v>
      </c>
      <c r="O273" s="572">
        <f t="shared" si="163"/>
        <v>0</v>
      </c>
      <c r="P273" s="572">
        <f t="shared" si="164"/>
        <v>0</v>
      </c>
      <c r="Q273" s="572">
        <v>0</v>
      </c>
      <c r="R273" s="572">
        <v>0</v>
      </c>
      <c r="S273" s="572">
        <v>0</v>
      </c>
      <c r="T273" s="572">
        <f t="shared" si="166"/>
        <v>0</v>
      </c>
      <c r="U273" s="572">
        <f t="shared" si="167"/>
        <v>0</v>
      </c>
    </row>
    <row r="274" spans="1:21" ht="18.75" x14ac:dyDescent="0.25">
      <c r="A274" s="823"/>
      <c r="B274" s="824"/>
      <c r="C274" s="824"/>
      <c r="D274" s="824"/>
      <c r="E274" s="838" t="s">
        <v>21</v>
      </c>
      <c r="F274" s="824"/>
      <c r="G274" s="827"/>
      <c r="H274" s="848" t="s">
        <v>14</v>
      </c>
      <c r="I274" s="844"/>
      <c r="J274" s="844"/>
      <c r="K274" s="845"/>
      <c r="L274" s="840">
        <f ca="1">IFERROR(__xludf.DUMMYFUNCTION("IMPORTRANGE(""https://docs.google.com/spreadsheets/d/1-uDff_7J0KD5mKrp0Vvzr7lt3OU09vwQwhkpOPPYv2Y/edit?usp=sharing"",""งบพรบ!DH16"")"),0)</f>
        <v>0</v>
      </c>
      <c r="M274" s="841">
        <f ca="1">IFERROR(__xludf.DUMMYFUNCTION("IMPORTRANGE(""https://docs.google.com/spreadsheets/d/1-uDff_7J0KD5mKrp0Vvzr7lt3OU09vwQwhkpOPPYv2Y/edit?usp=sharing"",""งบพรบ!DK16"")"),0)</f>
        <v>0</v>
      </c>
      <c r="N274" s="841">
        <f ca="1">IFERROR(__xludf.DUMMYFUNCTION("IMPORTRANGE(""https://docs.google.com/spreadsheets/d/1-uDff_7J0KD5mKrp0Vvzr7lt3OU09vwQwhkpOPPYv2Y/edit?usp=sharing"",""งบพรบ!DM16"")"),0)</f>
        <v>0</v>
      </c>
      <c r="O274" s="841">
        <f t="shared" ca="1" si="163"/>
        <v>0</v>
      </c>
      <c r="P274" s="841">
        <f t="shared" ca="1" si="164"/>
        <v>0</v>
      </c>
      <c r="Q274" s="841">
        <v>0</v>
      </c>
      <c r="R274" s="841">
        <v>0</v>
      </c>
      <c r="S274" s="841">
        <v>0</v>
      </c>
      <c r="T274" s="841">
        <f t="shared" si="166"/>
        <v>0</v>
      </c>
      <c r="U274" s="841">
        <f t="shared" si="167"/>
        <v>0</v>
      </c>
    </row>
    <row r="275" spans="1:21" ht="19.5" x14ac:dyDescent="0.3">
      <c r="A275" s="849"/>
      <c r="B275" s="850"/>
      <c r="C275" s="838" t="s">
        <v>18</v>
      </c>
      <c r="D275" s="851" t="s">
        <v>38</v>
      </c>
      <c r="E275" s="816"/>
      <c r="F275" s="816"/>
      <c r="G275" s="817"/>
      <c r="H275" s="852"/>
      <c r="I275" s="844"/>
      <c r="J275" s="844"/>
      <c r="K275" s="845"/>
      <c r="L275" s="853"/>
      <c r="M275" s="845"/>
      <c r="N275" s="845"/>
      <c r="O275" s="845"/>
      <c r="P275" s="845"/>
      <c r="Q275" s="845"/>
      <c r="R275" s="845"/>
      <c r="S275" s="845"/>
      <c r="T275" s="845"/>
      <c r="U275" s="845"/>
    </row>
    <row r="276" spans="1:21" ht="18.75" x14ac:dyDescent="0.25">
      <c r="A276" s="854"/>
      <c r="B276" s="855"/>
      <c r="C276" s="855"/>
      <c r="D276" s="856" t="s">
        <v>115</v>
      </c>
      <c r="E276" s="857"/>
      <c r="F276" s="857"/>
      <c r="G276" s="858"/>
      <c r="H276" s="859" t="s">
        <v>35</v>
      </c>
      <c r="I276" s="860">
        <f ca="1">IFERROR(__xludf.DUMMYFUNCTION("IMPORTRANGE(""https://docs.google.com/spreadsheets/d/1eHaY18a8A9IcSdp1K8H6x8fbOy06t2VsZHhMHf-1x7Y/edit?usp=sharing"",""แผน!EC16"")"),24)</f>
        <v>24</v>
      </c>
      <c r="J276" s="861">
        <v>24</v>
      </c>
      <c r="K276" s="862">
        <f ca="1">IF(I276&gt;0,J276*100/I276,0)</f>
        <v>100</v>
      </c>
      <c r="L276" s="574"/>
      <c r="M276" s="566"/>
      <c r="N276" s="566"/>
      <c r="O276" s="566"/>
      <c r="P276" s="566"/>
      <c r="Q276" s="566"/>
      <c r="R276" s="566"/>
      <c r="S276" s="566"/>
      <c r="T276" s="566"/>
      <c r="U276" s="566"/>
    </row>
    <row r="277" spans="1:21" ht="18.75" x14ac:dyDescent="0.25">
      <c r="A277" s="863"/>
      <c r="B277" s="864"/>
      <c r="C277" s="864"/>
      <c r="D277" s="865" t="s">
        <v>116</v>
      </c>
      <c r="E277" s="512"/>
      <c r="F277" s="512"/>
      <c r="G277" s="866"/>
      <c r="H277" s="867" t="s">
        <v>35</v>
      </c>
      <c r="I277" s="740">
        <v>0</v>
      </c>
      <c r="J277" s="740">
        <v>0</v>
      </c>
      <c r="K277" s="868">
        <v>0</v>
      </c>
      <c r="L277" s="869"/>
      <c r="M277" s="870"/>
      <c r="N277" s="870"/>
      <c r="O277" s="870"/>
      <c r="P277" s="870"/>
      <c r="Q277" s="870"/>
      <c r="R277" s="870"/>
      <c r="S277" s="870"/>
      <c r="T277" s="870"/>
      <c r="U277" s="870"/>
    </row>
    <row r="278" spans="1:21" ht="19.5" x14ac:dyDescent="0.3">
      <c r="A278" s="871" t="s">
        <v>117</v>
      </c>
      <c r="B278" s="872"/>
      <c r="C278" s="872"/>
      <c r="D278" s="872"/>
      <c r="E278" s="873"/>
      <c r="F278" s="873"/>
      <c r="G278" s="873"/>
      <c r="H278" s="873"/>
      <c r="I278" s="874"/>
      <c r="J278" s="874"/>
      <c r="K278" s="875"/>
      <c r="L278" s="875"/>
      <c r="M278" s="875"/>
      <c r="N278" s="875"/>
      <c r="O278" s="875"/>
      <c r="P278" s="876"/>
      <c r="Q278" s="875"/>
      <c r="R278" s="875"/>
      <c r="S278" s="875"/>
      <c r="T278" s="875"/>
      <c r="U278" s="876"/>
    </row>
    <row r="279" spans="1:21" ht="19.5" x14ac:dyDescent="0.3">
      <c r="A279" s="877" t="s">
        <v>118</v>
      </c>
      <c r="B279" s="878"/>
      <c r="C279" s="879"/>
      <c r="D279" s="878"/>
      <c r="E279" s="878"/>
      <c r="F279" s="878"/>
      <c r="G279" s="878"/>
      <c r="H279" s="878"/>
      <c r="I279" s="880"/>
      <c r="J279" s="881"/>
      <c r="K279" s="882"/>
      <c r="L279" s="883"/>
      <c r="M279" s="882"/>
      <c r="N279" s="882"/>
      <c r="O279" s="882"/>
      <c r="P279" s="882"/>
      <c r="Q279" s="882"/>
      <c r="R279" s="882"/>
      <c r="S279" s="882"/>
      <c r="T279" s="882"/>
      <c r="U279" s="882"/>
    </row>
    <row r="280" spans="1:21" ht="19.5" x14ac:dyDescent="0.3">
      <c r="A280" s="884"/>
      <c r="B280" s="885" t="s">
        <v>119</v>
      </c>
      <c r="C280" s="886"/>
      <c r="D280" s="887"/>
      <c r="E280" s="886"/>
      <c r="F280" s="886"/>
      <c r="G280" s="888"/>
      <c r="H280" s="889" t="s">
        <v>35</v>
      </c>
      <c r="I280" s="890">
        <f t="shared" ref="I280:J280" ca="1" si="174">I293</f>
        <v>20</v>
      </c>
      <c r="J280" s="890">
        <f t="shared" si="174"/>
        <v>20</v>
      </c>
      <c r="K280" s="891">
        <f t="shared" ref="K280:K281" ca="1" si="175">IF(I280&gt;0,J280*100/I280,0)</f>
        <v>100</v>
      </c>
      <c r="L280" s="892"/>
      <c r="M280" s="893"/>
      <c r="N280" s="893"/>
      <c r="O280" s="893"/>
      <c r="P280" s="893"/>
      <c r="Q280" s="893"/>
      <c r="R280" s="893"/>
      <c r="S280" s="893"/>
      <c r="T280" s="893"/>
      <c r="U280" s="893"/>
    </row>
    <row r="281" spans="1:21" ht="19.5" x14ac:dyDescent="0.3">
      <c r="A281" s="884"/>
      <c r="B281" s="886"/>
      <c r="C281" s="886"/>
      <c r="D281" s="887"/>
      <c r="E281" s="886"/>
      <c r="F281" s="886"/>
      <c r="G281" s="888"/>
      <c r="H281" s="889" t="s">
        <v>46</v>
      </c>
      <c r="I281" s="890">
        <f t="shared" ref="I281:J281" ca="1" si="176">I292</f>
        <v>200</v>
      </c>
      <c r="J281" s="890">
        <f t="shared" si="176"/>
        <v>200</v>
      </c>
      <c r="K281" s="891">
        <f t="shared" ca="1" si="175"/>
        <v>100</v>
      </c>
      <c r="L281" s="892"/>
      <c r="M281" s="893"/>
      <c r="N281" s="893"/>
      <c r="O281" s="893"/>
      <c r="P281" s="893"/>
      <c r="Q281" s="893"/>
      <c r="R281" s="893"/>
      <c r="S281" s="893"/>
      <c r="T281" s="893"/>
      <c r="U281" s="893"/>
    </row>
    <row r="282" spans="1:21" ht="19.5" x14ac:dyDescent="0.3">
      <c r="A282" s="674"/>
      <c r="B282" s="561"/>
      <c r="C282" s="675" t="s">
        <v>18</v>
      </c>
      <c r="D282" s="676" t="s">
        <v>19</v>
      </c>
      <c r="E282" s="561"/>
      <c r="F282" s="561"/>
      <c r="G282" s="563"/>
      <c r="H282" s="677" t="s">
        <v>14</v>
      </c>
      <c r="I282" s="565"/>
      <c r="J282" s="565"/>
      <c r="K282" s="566"/>
      <c r="L282" s="678">
        <f t="shared" ref="L282:N282" ca="1" si="177">L283+L284</f>
        <v>71120</v>
      </c>
      <c r="M282" s="679">
        <f t="shared" ca="1" si="177"/>
        <v>71120</v>
      </c>
      <c r="N282" s="679">
        <f t="shared" ca="1" si="177"/>
        <v>62540</v>
      </c>
      <c r="O282" s="679">
        <f t="shared" ref="O282:O290" ca="1" si="178">IF(L282&gt;0,N282*100/L282,0)</f>
        <v>87.935883014623172</v>
      </c>
      <c r="P282" s="679">
        <f t="shared" ref="P282:P290" ca="1" si="179">IF(M282&gt;0,N282*100/M282,0)</f>
        <v>87.935883014623172</v>
      </c>
      <c r="Q282" s="679">
        <f t="shared" ref="Q282:S282" si="180">Q283+Q284</f>
        <v>0</v>
      </c>
      <c r="R282" s="679">
        <f t="shared" si="180"/>
        <v>0</v>
      </c>
      <c r="S282" s="679">
        <f t="shared" si="180"/>
        <v>0</v>
      </c>
      <c r="T282" s="679">
        <f t="shared" ref="T282:T290" si="181">IF(Q282&gt;0,S282*100/Q282,0)</f>
        <v>0</v>
      </c>
      <c r="U282" s="679">
        <f t="shared" ref="U282:U290" si="182">IF(R282&gt;0,S282*100/R282,0)</f>
        <v>0</v>
      </c>
    </row>
    <row r="283" spans="1:21" ht="18.75" x14ac:dyDescent="0.25">
      <c r="A283" s="674"/>
      <c r="B283" s="561"/>
      <c r="C283" s="561"/>
      <c r="D283" s="561"/>
      <c r="E283" s="569" t="s">
        <v>20</v>
      </c>
      <c r="F283" s="561"/>
      <c r="G283" s="563"/>
      <c r="H283" s="680" t="s">
        <v>14</v>
      </c>
      <c r="I283" s="565"/>
      <c r="J283" s="565"/>
      <c r="K283" s="566"/>
      <c r="L283" s="571">
        <f t="shared" ref="L283:N284" si="183">L286+L289</f>
        <v>0</v>
      </c>
      <c r="M283" s="572">
        <f t="shared" si="183"/>
        <v>0</v>
      </c>
      <c r="N283" s="572">
        <f t="shared" si="183"/>
        <v>0</v>
      </c>
      <c r="O283" s="572">
        <f t="shared" si="178"/>
        <v>0</v>
      </c>
      <c r="P283" s="572">
        <f t="shared" si="179"/>
        <v>0</v>
      </c>
      <c r="Q283" s="572">
        <f t="shared" ref="Q283:S284" si="184">Q286+Q289</f>
        <v>0</v>
      </c>
      <c r="R283" s="572">
        <f t="shared" si="184"/>
        <v>0</v>
      </c>
      <c r="S283" s="572">
        <f t="shared" si="184"/>
        <v>0</v>
      </c>
      <c r="T283" s="572">
        <f t="shared" si="181"/>
        <v>0</v>
      </c>
      <c r="U283" s="572">
        <f t="shared" si="182"/>
        <v>0</v>
      </c>
    </row>
    <row r="284" spans="1:21" ht="18.75" x14ac:dyDescent="0.25">
      <c r="A284" s="674"/>
      <c r="B284" s="561"/>
      <c r="C284" s="561"/>
      <c r="D284" s="561"/>
      <c r="E284" s="573" t="s">
        <v>21</v>
      </c>
      <c r="F284" s="561"/>
      <c r="G284" s="563"/>
      <c r="H284" s="681" t="s">
        <v>14</v>
      </c>
      <c r="I284" s="565"/>
      <c r="J284" s="565"/>
      <c r="K284" s="566"/>
      <c r="L284" s="567">
        <f t="shared" ca="1" si="183"/>
        <v>71120</v>
      </c>
      <c r="M284" s="568">
        <f t="shared" ca="1" si="183"/>
        <v>71120</v>
      </c>
      <c r="N284" s="568">
        <f t="shared" ca="1" si="183"/>
        <v>62540</v>
      </c>
      <c r="O284" s="568">
        <f t="shared" ca="1" si="178"/>
        <v>87.935883014623172</v>
      </c>
      <c r="P284" s="568">
        <f t="shared" ca="1" si="179"/>
        <v>87.935883014623172</v>
      </c>
      <c r="Q284" s="568">
        <f t="shared" si="184"/>
        <v>0</v>
      </c>
      <c r="R284" s="568">
        <f t="shared" si="184"/>
        <v>0</v>
      </c>
      <c r="S284" s="568">
        <f t="shared" si="184"/>
        <v>0</v>
      </c>
      <c r="T284" s="568">
        <f t="shared" si="181"/>
        <v>0</v>
      </c>
      <c r="U284" s="568">
        <f t="shared" si="182"/>
        <v>0</v>
      </c>
    </row>
    <row r="285" spans="1:21" ht="18.75" x14ac:dyDescent="0.25">
      <c r="A285" s="674"/>
      <c r="B285" s="561"/>
      <c r="C285" s="561"/>
      <c r="D285" s="562" t="s">
        <v>22</v>
      </c>
      <c r="E285" s="561"/>
      <c r="F285" s="561"/>
      <c r="G285" s="563"/>
      <c r="H285" s="682" t="s">
        <v>14</v>
      </c>
      <c r="I285" s="683"/>
      <c r="J285" s="683"/>
      <c r="K285" s="684"/>
      <c r="L285" s="567">
        <f t="shared" ref="L285:N285" ca="1" si="185">L286+L287</f>
        <v>71120</v>
      </c>
      <c r="M285" s="568">
        <f t="shared" ca="1" si="185"/>
        <v>71120</v>
      </c>
      <c r="N285" s="568">
        <f t="shared" ca="1" si="185"/>
        <v>62540</v>
      </c>
      <c r="O285" s="568">
        <f t="shared" ca="1" si="178"/>
        <v>87.935883014623172</v>
      </c>
      <c r="P285" s="568">
        <f t="shared" ca="1" si="179"/>
        <v>87.935883014623172</v>
      </c>
      <c r="Q285" s="568">
        <f t="shared" ref="Q285:S285" si="186">Q286+Q287</f>
        <v>0</v>
      </c>
      <c r="R285" s="568">
        <f t="shared" si="186"/>
        <v>0</v>
      </c>
      <c r="S285" s="568">
        <f t="shared" si="186"/>
        <v>0</v>
      </c>
      <c r="T285" s="568">
        <f t="shared" si="181"/>
        <v>0</v>
      </c>
      <c r="U285" s="568">
        <f t="shared" si="182"/>
        <v>0</v>
      </c>
    </row>
    <row r="286" spans="1:21" ht="18.75" x14ac:dyDescent="0.25">
      <c r="A286" s="674"/>
      <c r="B286" s="561"/>
      <c r="C286" s="561"/>
      <c r="D286" s="561"/>
      <c r="E286" s="569" t="s">
        <v>36</v>
      </c>
      <c r="F286" s="561"/>
      <c r="G286" s="563"/>
      <c r="H286" s="685" t="s">
        <v>14</v>
      </c>
      <c r="I286" s="683"/>
      <c r="J286" s="683"/>
      <c r="K286" s="684"/>
      <c r="L286" s="571">
        <v>0</v>
      </c>
      <c r="M286" s="572">
        <v>0</v>
      </c>
      <c r="N286" s="572">
        <v>0</v>
      </c>
      <c r="O286" s="572">
        <f t="shared" si="178"/>
        <v>0</v>
      </c>
      <c r="P286" s="572">
        <f t="shared" si="179"/>
        <v>0</v>
      </c>
      <c r="Q286" s="572">
        <v>0</v>
      </c>
      <c r="R286" s="572">
        <v>0</v>
      </c>
      <c r="S286" s="572">
        <v>0</v>
      </c>
      <c r="T286" s="572">
        <f t="shared" si="181"/>
        <v>0</v>
      </c>
      <c r="U286" s="572">
        <f t="shared" si="182"/>
        <v>0</v>
      </c>
    </row>
    <row r="287" spans="1:21" ht="18.75" x14ac:dyDescent="0.25">
      <c r="A287" s="674"/>
      <c r="B287" s="561"/>
      <c r="C287" s="561"/>
      <c r="D287" s="561"/>
      <c r="E287" s="573" t="s">
        <v>37</v>
      </c>
      <c r="F287" s="561"/>
      <c r="G287" s="563"/>
      <c r="H287" s="682" t="s">
        <v>14</v>
      </c>
      <c r="I287" s="683"/>
      <c r="J287" s="683"/>
      <c r="K287" s="684"/>
      <c r="L287" s="567">
        <f ca="1">IFERROR(__xludf.DUMMYFUNCTION("IMPORTRANGE(""https://docs.google.com/spreadsheets/d/1-uDff_7J0KD5mKrp0Vvzr7lt3OU09vwQwhkpOPPYv2Y/edit?usp=sharing"",""งบพรบ!DO16"")"),71120)</f>
        <v>71120</v>
      </c>
      <c r="M287" s="568">
        <f ca="1">IFERROR(__xludf.DUMMYFUNCTION("IMPORTRANGE(""https://docs.google.com/spreadsheets/d/1-uDff_7J0KD5mKrp0Vvzr7lt3OU09vwQwhkpOPPYv2Y/edit?usp=sharing"",""งบพรบ!DT16"")"),71120)</f>
        <v>71120</v>
      </c>
      <c r="N287" s="568">
        <f ca="1">IFERROR(__xludf.DUMMYFUNCTION("IMPORTRANGE(""https://docs.google.com/spreadsheets/d/1-uDff_7J0KD5mKrp0Vvzr7lt3OU09vwQwhkpOPPYv2Y/edit?usp=sharing"",""งบพรบ!DV16"")"),62540)</f>
        <v>62540</v>
      </c>
      <c r="O287" s="568">
        <f t="shared" ca="1" si="178"/>
        <v>87.935883014623172</v>
      </c>
      <c r="P287" s="568">
        <f t="shared" ca="1" si="179"/>
        <v>87.935883014623172</v>
      </c>
      <c r="Q287" s="568">
        <v>0</v>
      </c>
      <c r="R287" s="568">
        <v>0</v>
      </c>
      <c r="S287" s="568">
        <v>0</v>
      </c>
      <c r="T287" s="572">
        <f t="shared" si="181"/>
        <v>0</v>
      </c>
      <c r="U287" s="572">
        <f t="shared" si="182"/>
        <v>0</v>
      </c>
    </row>
    <row r="288" spans="1:21" ht="18.75" x14ac:dyDescent="0.25">
      <c r="A288" s="674"/>
      <c r="B288" s="561"/>
      <c r="C288" s="561"/>
      <c r="D288" s="562" t="s">
        <v>23</v>
      </c>
      <c r="E288" s="561"/>
      <c r="F288" s="561"/>
      <c r="G288" s="563"/>
      <c r="H288" s="686" t="s">
        <v>14</v>
      </c>
      <c r="I288" s="683"/>
      <c r="J288" s="683"/>
      <c r="K288" s="684"/>
      <c r="L288" s="567">
        <f t="shared" ref="L288:N288" ca="1" si="187">L289+L290</f>
        <v>0</v>
      </c>
      <c r="M288" s="568">
        <f t="shared" ca="1" si="187"/>
        <v>0</v>
      </c>
      <c r="N288" s="568">
        <f t="shared" ca="1" si="187"/>
        <v>0</v>
      </c>
      <c r="O288" s="568">
        <f t="shared" ca="1" si="178"/>
        <v>0</v>
      </c>
      <c r="P288" s="568">
        <f t="shared" ca="1" si="179"/>
        <v>0</v>
      </c>
      <c r="Q288" s="568">
        <f t="shared" ref="Q288:S288" si="188">Q289+Q290</f>
        <v>0</v>
      </c>
      <c r="R288" s="568">
        <f t="shared" si="188"/>
        <v>0</v>
      </c>
      <c r="S288" s="568">
        <f t="shared" si="188"/>
        <v>0</v>
      </c>
      <c r="T288" s="568">
        <f t="shared" si="181"/>
        <v>0</v>
      </c>
      <c r="U288" s="568">
        <f t="shared" si="182"/>
        <v>0</v>
      </c>
    </row>
    <row r="289" spans="1:21" ht="18.75" x14ac:dyDescent="0.25">
      <c r="A289" s="674"/>
      <c r="B289" s="561"/>
      <c r="C289" s="561"/>
      <c r="D289" s="561"/>
      <c r="E289" s="569" t="s">
        <v>20</v>
      </c>
      <c r="F289" s="561"/>
      <c r="G289" s="563"/>
      <c r="H289" s="685" t="s">
        <v>14</v>
      </c>
      <c r="I289" s="683"/>
      <c r="J289" s="683"/>
      <c r="K289" s="684"/>
      <c r="L289" s="571">
        <v>0</v>
      </c>
      <c r="M289" s="572">
        <v>0</v>
      </c>
      <c r="N289" s="572">
        <v>0</v>
      </c>
      <c r="O289" s="572">
        <f t="shared" si="178"/>
        <v>0</v>
      </c>
      <c r="P289" s="572">
        <f t="shared" si="179"/>
        <v>0</v>
      </c>
      <c r="Q289" s="572">
        <v>0</v>
      </c>
      <c r="R289" s="572">
        <v>0</v>
      </c>
      <c r="S289" s="572">
        <v>0</v>
      </c>
      <c r="T289" s="572">
        <f t="shared" si="181"/>
        <v>0</v>
      </c>
      <c r="U289" s="572">
        <f t="shared" si="182"/>
        <v>0</v>
      </c>
    </row>
    <row r="290" spans="1:21" ht="18.75" x14ac:dyDescent="0.25">
      <c r="A290" s="674"/>
      <c r="B290" s="561"/>
      <c r="C290" s="561"/>
      <c r="D290" s="561"/>
      <c r="E290" s="573" t="s">
        <v>21</v>
      </c>
      <c r="F290" s="561"/>
      <c r="G290" s="563"/>
      <c r="H290" s="686" t="s">
        <v>14</v>
      </c>
      <c r="I290" s="683"/>
      <c r="J290" s="683"/>
      <c r="K290" s="684"/>
      <c r="L290" s="567">
        <f ca="1">IFERROR(__xludf.DUMMYFUNCTION("IMPORTRANGE(""https://docs.google.com/spreadsheets/d/1-uDff_7J0KD5mKrp0Vvzr7lt3OU09vwQwhkpOPPYv2Y/edit?usp=sharing"",""งบพรบ!DR16"")"),0)</f>
        <v>0</v>
      </c>
      <c r="M290" s="568">
        <f ca="1">IFERROR(__xludf.DUMMYFUNCTION("IMPORTRANGE(""https://docs.google.com/spreadsheets/d/1-uDff_7J0KD5mKrp0Vvzr7lt3OU09vwQwhkpOPPYv2Y/edit?usp=sharing"",""งบพรบ!DU16"")"),0)</f>
        <v>0</v>
      </c>
      <c r="N290" s="568">
        <f ca="1">IFERROR(__xludf.DUMMYFUNCTION("IMPORTRANGE(""https://docs.google.com/spreadsheets/d/1-uDff_7J0KD5mKrp0Vvzr7lt3OU09vwQwhkpOPPYv2Y/edit?usp=sharing"",""งบพรบ!DW16"")"),0)</f>
        <v>0</v>
      </c>
      <c r="O290" s="568">
        <f t="shared" ca="1" si="178"/>
        <v>0</v>
      </c>
      <c r="P290" s="568">
        <f t="shared" ca="1" si="179"/>
        <v>0</v>
      </c>
      <c r="Q290" s="568">
        <v>0</v>
      </c>
      <c r="R290" s="568">
        <v>0</v>
      </c>
      <c r="S290" s="568">
        <v>0</v>
      </c>
      <c r="T290" s="568">
        <f t="shared" si="181"/>
        <v>0</v>
      </c>
      <c r="U290" s="568">
        <f t="shared" si="182"/>
        <v>0</v>
      </c>
    </row>
    <row r="291" spans="1:21" ht="19.5" x14ac:dyDescent="0.3">
      <c r="A291" s="687"/>
      <c r="B291" s="688"/>
      <c r="C291" s="675" t="s">
        <v>18</v>
      </c>
      <c r="D291" s="689" t="s">
        <v>38</v>
      </c>
      <c r="E291" s="690"/>
      <c r="F291" s="690"/>
      <c r="G291" s="691"/>
      <c r="H291" s="692"/>
      <c r="I291" s="683"/>
      <c r="J291" s="683"/>
      <c r="K291" s="684"/>
      <c r="L291" s="693"/>
      <c r="M291" s="684"/>
      <c r="N291" s="684"/>
      <c r="O291" s="684"/>
      <c r="P291" s="684"/>
      <c r="Q291" s="684"/>
      <c r="R291" s="684"/>
      <c r="S291" s="684"/>
      <c r="T291" s="684"/>
      <c r="U291" s="684"/>
    </row>
    <row r="292" spans="1:21" ht="18.75" x14ac:dyDescent="0.25">
      <c r="A292" s="687"/>
      <c r="B292" s="688"/>
      <c r="C292" s="688"/>
      <c r="D292" s="699" t="s">
        <v>120</v>
      </c>
      <c r="E292" s="688"/>
      <c r="F292" s="695"/>
      <c r="G292" s="692"/>
      <c r="H292" s="704" t="s">
        <v>46</v>
      </c>
      <c r="I292" s="708">
        <f ca="1">IFERROR(__xludf.DUMMYFUNCTION("IMPORTRANGE(""https://docs.google.com/spreadsheets/d/1eHaY18a8A9IcSdp1K8H6x8fbOy06t2VsZHhMHf-1x7Y/edit?usp=sharing"",""แผน!EE16"")"),200)</f>
        <v>200</v>
      </c>
      <c r="J292" s="702">
        <v>200</v>
      </c>
      <c r="K292" s="703">
        <f t="shared" ref="K292:K293" ca="1" si="189">IF(I292&gt;0,J292*100/I292,0)</f>
        <v>100</v>
      </c>
      <c r="L292" s="693"/>
      <c r="M292" s="684"/>
      <c r="N292" s="684"/>
      <c r="O292" s="684"/>
      <c r="P292" s="684"/>
      <c r="Q292" s="684"/>
      <c r="R292" s="684"/>
      <c r="S292" s="684"/>
      <c r="T292" s="684"/>
      <c r="U292" s="684"/>
    </row>
    <row r="293" spans="1:21" ht="19.5" x14ac:dyDescent="0.3">
      <c r="A293" s="687"/>
      <c r="B293" s="688"/>
      <c r="C293" s="688"/>
      <c r="D293" s="699" t="s">
        <v>121</v>
      </c>
      <c r="E293" s="688"/>
      <c r="F293" s="695"/>
      <c r="G293" s="692"/>
      <c r="H293" s="696" t="s">
        <v>35</v>
      </c>
      <c r="I293" s="697">
        <f ca="1">IFERROR(__xludf.DUMMYFUNCTION("IMPORTRANGE(""https://docs.google.com/spreadsheets/d/1eHaY18a8A9IcSdp1K8H6x8fbOy06t2VsZHhMHf-1x7Y/edit?usp=sharing"",""แผน!ED16"")"),20)</f>
        <v>20</v>
      </c>
      <c r="J293" s="697">
        <f>J296</f>
        <v>20</v>
      </c>
      <c r="K293" s="698">
        <f t="shared" ca="1" si="189"/>
        <v>100</v>
      </c>
      <c r="L293" s="693"/>
      <c r="M293" s="684"/>
      <c r="N293" s="684"/>
      <c r="O293" s="684"/>
      <c r="P293" s="684"/>
      <c r="Q293" s="684"/>
      <c r="R293" s="684"/>
      <c r="S293" s="684"/>
      <c r="T293" s="684"/>
      <c r="U293" s="684"/>
    </row>
    <row r="294" spans="1:21" ht="19.5" x14ac:dyDescent="0.3">
      <c r="A294" s="687"/>
      <c r="B294" s="688"/>
      <c r="C294" s="688"/>
      <c r="D294" s="695"/>
      <c r="E294" s="707" t="s">
        <v>303</v>
      </c>
      <c r="F294" s="695"/>
      <c r="G294" s="692"/>
      <c r="H294" s="692"/>
      <c r="I294" s="683"/>
      <c r="J294" s="565"/>
      <c r="K294" s="684"/>
      <c r="L294" s="693"/>
      <c r="M294" s="684"/>
      <c r="N294" s="684"/>
      <c r="O294" s="684"/>
      <c r="P294" s="684"/>
      <c r="Q294" s="684"/>
      <c r="R294" s="684"/>
      <c r="S294" s="684"/>
      <c r="T294" s="684"/>
      <c r="U294" s="684"/>
    </row>
    <row r="295" spans="1:21" ht="19.5" x14ac:dyDescent="0.3">
      <c r="A295" s="687"/>
      <c r="B295" s="688"/>
      <c r="C295" s="688"/>
      <c r="D295" s="695"/>
      <c r="E295" s="699" t="s">
        <v>304</v>
      </c>
      <c r="F295" s="695"/>
      <c r="G295" s="692"/>
      <c r="H295" s="700" t="s">
        <v>35</v>
      </c>
      <c r="I295" s="701">
        <f ca="1">IFERROR(__xludf.DUMMYFUNCTION("IMPORTRANGE(""https://docs.google.com/spreadsheets/d/1eHaY18a8A9IcSdp1K8H6x8fbOy06t2VsZHhMHf-1x7Y/edit?usp=sharing"",""แผน!ED16"")"),20)</f>
        <v>20</v>
      </c>
      <c r="J295" s="702">
        <v>20</v>
      </c>
      <c r="K295" s="703">
        <f t="shared" ref="K295:K296" ca="1" si="190">IF(I295&gt;0,J295*100/I295,0)</f>
        <v>100</v>
      </c>
      <c r="L295" s="693"/>
      <c r="M295" s="684"/>
      <c r="N295" s="684"/>
      <c r="O295" s="684"/>
      <c r="P295" s="684"/>
      <c r="Q295" s="684"/>
      <c r="R295" s="684"/>
      <c r="S295" s="684"/>
      <c r="T295" s="684"/>
      <c r="U295" s="684"/>
    </row>
    <row r="296" spans="1:21" ht="19.5" x14ac:dyDescent="0.3">
      <c r="A296" s="687"/>
      <c r="B296" s="688"/>
      <c r="C296" s="688"/>
      <c r="D296" s="695"/>
      <c r="E296" s="699" t="s">
        <v>305</v>
      </c>
      <c r="F296" s="695"/>
      <c r="G296" s="692"/>
      <c r="H296" s="700" t="s">
        <v>35</v>
      </c>
      <c r="I296" s="701">
        <f ca="1">IFERROR(__xludf.DUMMYFUNCTION("IMPORTRANGE(""https://docs.google.com/spreadsheets/d/1eHaY18a8A9IcSdp1K8H6x8fbOy06t2VsZHhMHf-1x7Y/edit?usp=sharing"",""แผน!ED16"")"),20)</f>
        <v>20</v>
      </c>
      <c r="J296" s="702">
        <v>20</v>
      </c>
      <c r="K296" s="703">
        <f t="shared" ca="1" si="190"/>
        <v>100</v>
      </c>
      <c r="L296" s="693"/>
      <c r="M296" s="684"/>
      <c r="N296" s="684"/>
      <c r="O296" s="684"/>
      <c r="P296" s="684"/>
      <c r="Q296" s="684"/>
      <c r="R296" s="684"/>
      <c r="S296" s="684"/>
      <c r="T296" s="684"/>
      <c r="U296" s="684"/>
    </row>
    <row r="297" spans="1:21" ht="12.75" hidden="1" x14ac:dyDescent="0.2">
      <c r="A297" s="705"/>
      <c r="B297" s="706"/>
      <c r="C297" s="706"/>
      <c r="D297" s="531"/>
      <c r="E297" s="531"/>
      <c r="F297" s="531"/>
      <c r="G297" s="532"/>
      <c r="H297" s="532"/>
      <c r="I297" s="533"/>
      <c r="J297" s="533"/>
      <c r="K297" s="534"/>
      <c r="L297" s="535"/>
      <c r="M297" s="534"/>
      <c r="N297" s="534"/>
      <c r="O297" s="534"/>
      <c r="P297" s="534"/>
      <c r="Q297" s="534"/>
      <c r="R297" s="534"/>
      <c r="S297" s="534"/>
      <c r="T297" s="534"/>
      <c r="U297" s="534"/>
    </row>
    <row r="298" spans="1:21" ht="12.75" hidden="1" x14ac:dyDescent="0.2">
      <c r="A298" s="705"/>
      <c r="B298" s="706"/>
      <c r="C298" s="706"/>
      <c r="D298" s="531"/>
      <c r="E298" s="531"/>
      <c r="F298" s="531"/>
      <c r="G298" s="532"/>
      <c r="H298" s="532"/>
      <c r="I298" s="533"/>
      <c r="J298" s="533"/>
      <c r="K298" s="534"/>
      <c r="L298" s="535"/>
      <c r="M298" s="534"/>
      <c r="N298" s="534"/>
      <c r="O298" s="534"/>
      <c r="P298" s="534"/>
      <c r="Q298" s="534"/>
      <c r="R298" s="534"/>
      <c r="S298" s="534"/>
      <c r="T298" s="534"/>
      <c r="U298" s="534"/>
    </row>
    <row r="299" spans="1:21" ht="12.75" hidden="1" x14ac:dyDescent="0.2">
      <c r="A299" s="894"/>
      <c r="B299" s="895"/>
      <c r="C299" s="895"/>
      <c r="D299" s="537"/>
      <c r="E299" s="537"/>
      <c r="F299" s="537"/>
      <c r="G299" s="526"/>
      <c r="H299" s="526"/>
      <c r="I299" s="527"/>
      <c r="J299" s="527"/>
      <c r="K299" s="528"/>
      <c r="L299" s="529"/>
      <c r="M299" s="528"/>
      <c r="N299" s="528"/>
      <c r="O299" s="528"/>
      <c r="P299" s="528"/>
      <c r="Q299" s="528"/>
      <c r="R299" s="528"/>
      <c r="S299" s="528"/>
      <c r="T299" s="528"/>
      <c r="U299" s="528"/>
    </row>
    <row r="300" spans="1:21" ht="19.5" x14ac:dyDescent="0.3">
      <c r="A300" s="896" t="s">
        <v>125</v>
      </c>
      <c r="B300" s="897"/>
      <c r="C300" s="897"/>
      <c r="D300" s="897"/>
      <c r="E300" s="898"/>
      <c r="F300" s="898"/>
      <c r="G300" s="898"/>
      <c r="H300" s="898"/>
      <c r="I300" s="899"/>
      <c r="J300" s="899"/>
      <c r="K300" s="900"/>
      <c r="L300" s="900"/>
      <c r="M300" s="900"/>
      <c r="N300" s="900"/>
      <c r="O300" s="900"/>
      <c r="P300" s="901"/>
      <c r="Q300" s="900"/>
      <c r="R300" s="900"/>
      <c r="S300" s="900"/>
      <c r="T300" s="900"/>
      <c r="U300" s="901"/>
    </row>
    <row r="301" spans="1:21" ht="19.5" x14ac:dyDescent="0.3">
      <c r="A301" s="902" t="s">
        <v>126</v>
      </c>
      <c r="B301" s="903"/>
      <c r="C301" s="903"/>
      <c r="D301" s="904"/>
      <c r="E301" s="904"/>
      <c r="F301" s="904"/>
      <c r="G301" s="905"/>
      <c r="H301" s="905"/>
      <c r="I301" s="906"/>
      <c r="J301" s="906"/>
      <c r="K301" s="907"/>
      <c r="L301" s="908"/>
      <c r="M301" s="907"/>
      <c r="N301" s="907"/>
      <c r="O301" s="907"/>
      <c r="P301" s="907"/>
      <c r="Q301" s="907"/>
      <c r="R301" s="907"/>
      <c r="S301" s="907"/>
      <c r="T301" s="907"/>
      <c r="U301" s="907"/>
    </row>
    <row r="302" spans="1:21" ht="19.5" x14ac:dyDescent="0.3">
      <c r="A302" s="909"/>
      <c r="B302" s="910" t="s">
        <v>127</v>
      </c>
      <c r="C302" s="911"/>
      <c r="D302" s="911"/>
      <c r="E302" s="911"/>
      <c r="F302" s="911"/>
      <c r="G302" s="912"/>
      <c r="H302" s="913" t="s">
        <v>35</v>
      </c>
      <c r="I302" s="914">
        <f t="shared" ref="I302:J302" ca="1" si="191">I314</f>
        <v>20</v>
      </c>
      <c r="J302" s="914">
        <f t="shared" si="191"/>
        <v>20</v>
      </c>
      <c r="K302" s="915">
        <f ca="1">IF(I302&gt;0,J302*100/I302,0)</f>
        <v>100</v>
      </c>
      <c r="L302" s="916"/>
      <c r="M302" s="917"/>
      <c r="N302" s="917"/>
      <c r="O302" s="917"/>
      <c r="P302" s="917"/>
      <c r="Q302" s="917"/>
      <c r="R302" s="917"/>
      <c r="S302" s="917"/>
      <c r="T302" s="917"/>
      <c r="U302" s="917"/>
    </row>
    <row r="303" spans="1:21" ht="19.5" x14ac:dyDescent="0.3">
      <c r="A303" s="674"/>
      <c r="B303" s="561"/>
      <c r="C303" s="675" t="s">
        <v>18</v>
      </c>
      <c r="D303" s="676" t="s">
        <v>19</v>
      </c>
      <c r="E303" s="561"/>
      <c r="F303" s="561"/>
      <c r="G303" s="563"/>
      <c r="H303" s="677" t="s">
        <v>14</v>
      </c>
      <c r="I303" s="565"/>
      <c r="J303" s="565"/>
      <c r="K303" s="566"/>
      <c r="L303" s="678">
        <f t="shared" ref="L303:N303" ca="1" si="192">L304+L305</f>
        <v>344800</v>
      </c>
      <c r="M303" s="679">
        <f t="shared" ca="1" si="192"/>
        <v>323300</v>
      </c>
      <c r="N303" s="679">
        <f t="shared" ca="1" si="192"/>
        <v>199500</v>
      </c>
      <c r="O303" s="679">
        <f t="shared" ref="O303:O311" ca="1" si="193">IF(L303&gt;0,N303*100/L303,0)</f>
        <v>57.859628770301626</v>
      </c>
      <c r="P303" s="679">
        <f t="shared" ref="P303:P311" ca="1" si="194">IF(M303&gt;0,N303*100/M303,0)</f>
        <v>61.707392514692238</v>
      </c>
      <c r="Q303" s="679">
        <f t="shared" ref="Q303:S303" ca="1" si="195">Q304+Q305</f>
        <v>144609.24</v>
      </c>
      <c r="R303" s="679">
        <f t="shared" ca="1" si="195"/>
        <v>144609</v>
      </c>
      <c r="S303" s="679">
        <f t="shared" ca="1" si="195"/>
        <v>42871</v>
      </c>
      <c r="T303" s="679">
        <f t="shared" ref="T303:T311" ca="1" si="196">IF(Q303&gt;0,S303*100/Q303,0)</f>
        <v>29.646100069400823</v>
      </c>
      <c r="U303" s="679">
        <f t="shared" ref="U303:U311" ca="1" si="197">IF(R303&gt;0,S303*100/R303,0)</f>
        <v>29.646149271483793</v>
      </c>
    </row>
    <row r="304" spans="1:21" ht="18.75" x14ac:dyDescent="0.25">
      <c r="A304" s="674"/>
      <c r="B304" s="561"/>
      <c r="C304" s="561"/>
      <c r="D304" s="561"/>
      <c r="E304" s="569" t="s">
        <v>20</v>
      </c>
      <c r="F304" s="561"/>
      <c r="G304" s="563"/>
      <c r="H304" s="680" t="s">
        <v>14</v>
      </c>
      <c r="I304" s="565"/>
      <c r="J304" s="565"/>
      <c r="K304" s="566"/>
      <c r="L304" s="571">
        <f t="shared" ref="L304:N305" si="198">L307+L310</f>
        <v>0</v>
      </c>
      <c r="M304" s="572">
        <f t="shared" si="198"/>
        <v>0</v>
      </c>
      <c r="N304" s="572">
        <f t="shared" si="198"/>
        <v>0</v>
      </c>
      <c r="O304" s="572">
        <f t="shared" si="193"/>
        <v>0</v>
      </c>
      <c r="P304" s="572">
        <f t="shared" si="194"/>
        <v>0</v>
      </c>
      <c r="Q304" s="572">
        <f t="shared" ref="Q304:S305" si="199">Q307+Q310</f>
        <v>0</v>
      </c>
      <c r="R304" s="572">
        <f t="shared" si="199"/>
        <v>0</v>
      </c>
      <c r="S304" s="572">
        <f t="shared" si="199"/>
        <v>0</v>
      </c>
      <c r="T304" s="572">
        <f t="shared" si="196"/>
        <v>0</v>
      </c>
      <c r="U304" s="572">
        <f t="shared" si="197"/>
        <v>0</v>
      </c>
    </row>
    <row r="305" spans="1:21" ht="18.75" x14ac:dyDescent="0.25">
      <c r="A305" s="674"/>
      <c r="B305" s="561"/>
      <c r="C305" s="561"/>
      <c r="D305" s="561"/>
      <c r="E305" s="573" t="s">
        <v>21</v>
      </c>
      <c r="F305" s="561"/>
      <c r="G305" s="563"/>
      <c r="H305" s="681" t="s">
        <v>14</v>
      </c>
      <c r="I305" s="565"/>
      <c r="J305" s="565"/>
      <c r="K305" s="566"/>
      <c r="L305" s="567">
        <f t="shared" ca="1" si="198"/>
        <v>344800</v>
      </c>
      <c r="M305" s="568">
        <f t="shared" ca="1" si="198"/>
        <v>323300</v>
      </c>
      <c r="N305" s="568">
        <f t="shared" ca="1" si="198"/>
        <v>199500</v>
      </c>
      <c r="O305" s="568">
        <f t="shared" ca="1" si="193"/>
        <v>57.859628770301626</v>
      </c>
      <c r="P305" s="568">
        <f t="shared" ca="1" si="194"/>
        <v>61.707392514692238</v>
      </c>
      <c r="Q305" s="568">
        <f t="shared" ca="1" si="199"/>
        <v>144609.24</v>
      </c>
      <c r="R305" s="568">
        <f t="shared" ca="1" si="199"/>
        <v>144609</v>
      </c>
      <c r="S305" s="568">
        <f t="shared" ca="1" si="199"/>
        <v>42871</v>
      </c>
      <c r="T305" s="568">
        <f t="shared" ca="1" si="196"/>
        <v>29.646100069400823</v>
      </c>
      <c r="U305" s="568">
        <f t="shared" ca="1" si="197"/>
        <v>29.646149271483793</v>
      </c>
    </row>
    <row r="306" spans="1:21" ht="18.75" x14ac:dyDescent="0.25">
      <c r="A306" s="674"/>
      <c r="B306" s="561"/>
      <c r="C306" s="561"/>
      <c r="D306" s="562" t="s">
        <v>22</v>
      </c>
      <c r="E306" s="561"/>
      <c r="F306" s="561"/>
      <c r="G306" s="563"/>
      <c r="H306" s="682" t="s">
        <v>14</v>
      </c>
      <c r="I306" s="683"/>
      <c r="J306" s="683"/>
      <c r="K306" s="684"/>
      <c r="L306" s="567">
        <f t="shared" ref="L306:N306" ca="1" si="200">L307+L308</f>
        <v>344800</v>
      </c>
      <c r="M306" s="568">
        <f t="shared" ca="1" si="200"/>
        <v>323300</v>
      </c>
      <c r="N306" s="568">
        <f t="shared" ca="1" si="200"/>
        <v>199500</v>
      </c>
      <c r="O306" s="568">
        <f t="shared" ca="1" si="193"/>
        <v>57.859628770301626</v>
      </c>
      <c r="P306" s="568">
        <f t="shared" ca="1" si="194"/>
        <v>61.707392514692238</v>
      </c>
      <c r="Q306" s="568">
        <f t="shared" ref="Q306:S306" ca="1" si="201">Q307+Q308</f>
        <v>144609.24</v>
      </c>
      <c r="R306" s="568">
        <f t="shared" ca="1" si="201"/>
        <v>144609</v>
      </c>
      <c r="S306" s="568">
        <f t="shared" ca="1" si="201"/>
        <v>42871</v>
      </c>
      <c r="T306" s="568">
        <f t="shared" ca="1" si="196"/>
        <v>29.646100069400823</v>
      </c>
      <c r="U306" s="568">
        <f t="shared" ca="1" si="197"/>
        <v>29.646149271483793</v>
      </c>
    </row>
    <row r="307" spans="1:21" ht="18.75" x14ac:dyDescent="0.25">
      <c r="A307" s="674"/>
      <c r="B307" s="561"/>
      <c r="C307" s="561"/>
      <c r="D307" s="561"/>
      <c r="E307" s="569" t="s">
        <v>36</v>
      </c>
      <c r="F307" s="561"/>
      <c r="G307" s="563"/>
      <c r="H307" s="685" t="s">
        <v>14</v>
      </c>
      <c r="I307" s="683"/>
      <c r="J307" s="683"/>
      <c r="K307" s="684"/>
      <c r="L307" s="571">
        <v>0</v>
      </c>
      <c r="M307" s="572">
        <v>0</v>
      </c>
      <c r="N307" s="572">
        <v>0</v>
      </c>
      <c r="O307" s="572">
        <f t="shared" si="193"/>
        <v>0</v>
      </c>
      <c r="P307" s="572">
        <f t="shared" si="194"/>
        <v>0</v>
      </c>
      <c r="Q307" s="572">
        <v>0</v>
      </c>
      <c r="R307" s="572">
        <v>0</v>
      </c>
      <c r="S307" s="572">
        <v>0</v>
      </c>
      <c r="T307" s="572">
        <f t="shared" si="196"/>
        <v>0</v>
      </c>
      <c r="U307" s="572">
        <f t="shared" si="197"/>
        <v>0</v>
      </c>
    </row>
    <row r="308" spans="1:21" ht="18.75" x14ac:dyDescent="0.25">
      <c r="A308" s="674"/>
      <c r="B308" s="561"/>
      <c r="C308" s="561"/>
      <c r="D308" s="561"/>
      <c r="E308" s="573" t="s">
        <v>37</v>
      </c>
      <c r="F308" s="561"/>
      <c r="G308" s="563"/>
      <c r="H308" s="682" t="s">
        <v>14</v>
      </c>
      <c r="I308" s="683"/>
      <c r="J308" s="683"/>
      <c r="K308" s="684"/>
      <c r="L308" s="567">
        <f ca="1">IFERROR(__xludf.DUMMYFUNCTION("IMPORTRANGE(""https://docs.google.com/spreadsheets/d/1-uDff_7J0KD5mKrp0Vvzr7lt3OU09vwQwhkpOPPYv2Y/edit?usp=sharing"",""งบพรบ!DY16"")"),344800)</f>
        <v>344800</v>
      </c>
      <c r="M308" s="568">
        <f ca="1">IFERROR(__xludf.DUMMYFUNCTION("IMPORTRANGE(""https://docs.google.com/spreadsheets/d/1-uDff_7J0KD5mKrp0Vvzr7lt3OU09vwQwhkpOPPYv2Y/edit?usp=sharing"",""งบพรบ!ED16"")"),323300)</f>
        <v>323300</v>
      </c>
      <c r="N308" s="568">
        <f ca="1">IFERROR(__xludf.DUMMYFUNCTION("IMPORTRANGE(""https://docs.google.com/spreadsheets/d/1-uDff_7J0KD5mKrp0Vvzr7lt3OU09vwQwhkpOPPYv2Y/edit?usp=sharing"",""งบพรบ!EF16"")"),199500)</f>
        <v>199500</v>
      </c>
      <c r="O308" s="568">
        <f t="shared" ca="1" si="193"/>
        <v>57.859628770301626</v>
      </c>
      <c r="P308" s="568">
        <f t="shared" ca="1" si="194"/>
        <v>61.707392514692238</v>
      </c>
      <c r="Q308" s="568">
        <f ca="1">IFERROR(__xludf.DUMMYFUNCTION("IMPORTRANGE(""https://docs.google.com/spreadsheets/d/1ItG2mGa2ceCfYo0BwxsXqNm01IGEUdYcSSLTEv9YCik/edit?usp=sharing"",""เบิกจ่ายกองทุน!BB16"")"),144609.24)</f>
        <v>144609.24</v>
      </c>
      <c r="R308" s="568">
        <f ca="1">IFERROR(__xludf.DUMMYFUNCTION("IMPORTRANGE(""https://docs.google.com/spreadsheets/d/1ItG2mGa2ceCfYo0BwxsXqNm01IGEUdYcSSLTEv9YCik/edit?usp=sharing"",""เบิกจ่ายกองทุน!BC16"")"),144609)</f>
        <v>144609</v>
      </c>
      <c r="S308" s="568">
        <f ca="1">IFERROR(__xludf.DUMMYFUNCTION("IMPORTRANGE(""https://docs.google.com/spreadsheets/d/1ItG2mGa2ceCfYo0BwxsXqNm01IGEUdYcSSLTEv9YCik/edit?usp=sharing"",""เบิกจ่ายกองทุน!BD16"")"),42871)</f>
        <v>42871</v>
      </c>
      <c r="T308" s="568">
        <f t="shared" ca="1" si="196"/>
        <v>29.646100069400823</v>
      </c>
      <c r="U308" s="568">
        <f t="shared" ca="1" si="197"/>
        <v>29.646149271483793</v>
      </c>
    </row>
    <row r="309" spans="1:21" ht="18.75" x14ac:dyDescent="0.25">
      <c r="A309" s="674"/>
      <c r="B309" s="561"/>
      <c r="C309" s="561"/>
      <c r="D309" s="562" t="s">
        <v>23</v>
      </c>
      <c r="E309" s="561"/>
      <c r="F309" s="561"/>
      <c r="G309" s="563"/>
      <c r="H309" s="686" t="s">
        <v>14</v>
      </c>
      <c r="I309" s="683"/>
      <c r="J309" s="683"/>
      <c r="K309" s="684"/>
      <c r="L309" s="567">
        <f t="shared" ref="L309:N309" ca="1" si="202">L310+L311</f>
        <v>0</v>
      </c>
      <c r="M309" s="568">
        <f t="shared" ca="1" si="202"/>
        <v>0</v>
      </c>
      <c r="N309" s="568">
        <f t="shared" ca="1" si="202"/>
        <v>0</v>
      </c>
      <c r="O309" s="568">
        <f t="shared" ca="1" si="193"/>
        <v>0</v>
      </c>
      <c r="P309" s="568">
        <f t="shared" ca="1" si="194"/>
        <v>0</v>
      </c>
      <c r="Q309" s="568">
        <f t="shared" ref="Q309:S309" si="203">Q310+Q311</f>
        <v>0</v>
      </c>
      <c r="R309" s="568">
        <f t="shared" si="203"/>
        <v>0</v>
      </c>
      <c r="S309" s="568">
        <f t="shared" si="203"/>
        <v>0</v>
      </c>
      <c r="T309" s="568">
        <f t="shared" si="196"/>
        <v>0</v>
      </c>
      <c r="U309" s="568">
        <f t="shared" si="197"/>
        <v>0</v>
      </c>
    </row>
    <row r="310" spans="1:21" ht="18.75" x14ac:dyDescent="0.25">
      <c r="A310" s="674"/>
      <c r="B310" s="561"/>
      <c r="C310" s="561"/>
      <c r="D310" s="561"/>
      <c r="E310" s="569" t="s">
        <v>20</v>
      </c>
      <c r="F310" s="561"/>
      <c r="G310" s="563"/>
      <c r="H310" s="685" t="s">
        <v>14</v>
      </c>
      <c r="I310" s="683"/>
      <c r="J310" s="683"/>
      <c r="K310" s="684"/>
      <c r="L310" s="571">
        <v>0</v>
      </c>
      <c r="M310" s="572">
        <v>0</v>
      </c>
      <c r="N310" s="572">
        <v>0</v>
      </c>
      <c r="O310" s="572">
        <f t="shared" si="193"/>
        <v>0</v>
      </c>
      <c r="P310" s="572">
        <f t="shared" si="194"/>
        <v>0</v>
      </c>
      <c r="Q310" s="572">
        <v>0</v>
      </c>
      <c r="R310" s="572">
        <v>0</v>
      </c>
      <c r="S310" s="572">
        <v>0</v>
      </c>
      <c r="T310" s="572">
        <f t="shared" si="196"/>
        <v>0</v>
      </c>
      <c r="U310" s="572">
        <f t="shared" si="197"/>
        <v>0</v>
      </c>
    </row>
    <row r="311" spans="1:21" ht="18.75" x14ac:dyDescent="0.25">
      <c r="A311" s="674"/>
      <c r="B311" s="561"/>
      <c r="C311" s="561"/>
      <c r="D311" s="561"/>
      <c r="E311" s="573" t="s">
        <v>21</v>
      </c>
      <c r="F311" s="561"/>
      <c r="G311" s="563"/>
      <c r="H311" s="686" t="s">
        <v>14</v>
      </c>
      <c r="I311" s="683"/>
      <c r="J311" s="683"/>
      <c r="K311" s="684"/>
      <c r="L311" s="567">
        <f ca="1">IFERROR(__xludf.DUMMYFUNCTION("IMPORTRANGE(""https://docs.google.com/spreadsheets/d/1-uDff_7J0KD5mKrp0Vvzr7lt3OU09vwQwhkpOPPYv2Y/edit?usp=sharing"",""งบพรบ!EB16"")"),0)</f>
        <v>0</v>
      </c>
      <c r="M311" s="568">
        <f ca="1">IFERROR(__xludf.DUMMYFUNCTION("IMPORTRANGE(""https://docs.google.com/spreadsheets/d/1-uDff_7J0KD5mKrp0Vvzr7lt3OU09vwQwhkpOPPYv2Y/edit?usp=sharing"",""งบพรบ!EE16"")"),0)</f>
        <v>0</v>
      </c>
      <c r="N311" s="568">
        <f ca="1">IFERROR(__xludf.DUMMYFUNCTION("IMPORTRANGE(""https://docs.google.com/spreadsheets/d/1-uDff_7J0KD5mKrp0Vvzr7lt3OU09vwQwhkpOPPYv2Y/edit?usp=sharing"",""งบพรบ!EG16"")"),0)</f>
        <v>0</v>
      </c>
      <c r="O311" s="568">
        <f t="shared" ca="1" si="193"/>
        <v>0</v>
      </c>
      <c r="P311" s="568">
        <f t="shared" ca="1" si="194"/>
        <v>0</v>
      </c>
      <c r="Q311" s="568">
        <v>0</v>
      </c>
      <c r="R311" s="568">
        <v>0</v>
      </c>
      <c r="S311" s="568">
        <v>0</v>
      </c>
      <c r="T311" s="568">
        <f t="shared" si="196"/>
        <v>0</v>
      </c>
      <c r="U311" s="568">
        <f t="shared" si="197"/>
        <v>0</v>
      </c>
    </row>
    <row r="312" spans="1:21" ht="19.5" x14ac:dyDescent="0.3">
      <c r="A312" s="687"/>
      <c r="B312" s="688"/>
      <c r="C312" s="675" t="s">
        <v>18</v>
      </c>
      <c r="D312" s="689" t="s">
        <v>38</v>
      </c>
      <c r="E312" s="690"/>
      <c r="F312" s="690"/>
      <c r="G312" s="691"/>
      <c r="H312" s="692"/>
      <c r="I312" s="565"/>
      <c r="J312" s="565"/>
      <c r="K312" s="566"/>
      <c r="L312" s="574"/>
      <c r="M312" s="566"/>
      <c r="N312" s="566"/>
      <c r="O312" s="566"/>
      <c r="P312" s="566"/>
      <c r="Q312" s="566"/>
      <c r="R312" s="566"/>
      <c r="S312" s="566"/>
      <c r="T312" s="566"/>
      <c r="U312" s="566"/>
    </row>
    <row r="313" spans="1:21" ht="18.75" hidden="1" x14ac:dyDescent="0.25">
      <c r="A313" s="705"/>
      <c r="B313" s="706"/>
      <c r="C313" s="706"/>
      <c r="D313" s="918"/>
      <c r="E313" s="531"/>
      <c r="F313" s="531"/>
      <c r="G313" s="532"/>
      <c r="H313" s="532"/>
      <c r="I313" s="533"/>
      <c r="J313" s="919"/>
      <c r="K313" s="534"/>
      <c r="L313" s="535"/>
      <c r="M313" s="534"/>
      <c r="N313" s="534"/>
      <c r="O313" s="534"/>
      <c r="P313" s="534"/>
      <c r="Q313" s="534"/>
      <c r="R313" s="534"/>
      <c r="S313" s="534"/>
      <c r="T313" s="534"/>
      <c r="U313" s="534"/>
    </row>
    <row r="314" spans="1:21" ht="18.75" x14ac:dyDescent="0.25">
      <c r="A314" s="687"/>
      <c r="B314" s="688"/>
      <c r="C314" s="688"/>
      <c r="D314" s="699" t="s">
        <v>121</v>
      </c>
      <c r="E314" s="695"/>
      <c r="F314" s="695"/>
      <c r="G314" s="692"/>
      <c r="H314" s="700" t="s">
        <v>35</v>
      </c>
      <c r="I314" s="708">
        <f ca="1">IFERROR(__xludf.DUMMYFUNCTION("IMPORTRANGE(""https://docs.google.com/spreadsheets/d/1eHaY18a8A9IcSdp1K8H6x8fbOy06t2VsZHhMHf-1x7Y/edit?usp=sharing"",""แผน!EF16"")"),20)</f>
        <v>20</v>
      </c>
      <c r="J314" s="702">
        <v>20</v>
      </c>
      <c r="K314" s="568">
        <f ca="1">IF(I314&gt;0,J314*100/I314,0)</f>
        <v>100</v>
      </c>
      <c r="L314" s="574"/>
      <c r="M314" s="566"/>
      <c r="N314" s="566"/>
      <c r="O314" s="566"/>
      <c r="P314" s="566"/>
      <c r="Q314" s="566"/>
      <c r="R314" s="566"/>
      <c r="S314" s="566"/>
      <c r="T314" s="566"/>
      <c r="U314" s="566"/>
    </row>
    <row r="315" spans="1:21" ht="18.75" hidden="1" x14ac:dyDescent="0.25">
      <c r="A315" s="705"/>
      <c r="B315" s="706"/>
      <c r="C315" s="706"/>
      <c r="D315" s="918"/>
      <c r="E315" s="531"/>
      <c r="F315" s="531"/>
      <c r="G315" s="532"/>
      <c r="H315" s="920"/>
      <c r="I315" s="919"/>
      <c r="J315" s="919"/>
      <c r="K315" s="921"/>
      <c r="L315" s="535"/>
      <c r="M315" s="534"/>
      <c r="N315" s="534"/>
      <c r="O315" s="534"/>
      <c r="P315" s="534"/>
      <c r="Q315" s="534"/>
      <c r="R315" s="534"/>
      <c r="S315" s="534"/>
      <c r="T315" s="534"/>
      <c r="U315" s="534"/>
    </row>
    <row r="316" spans="1:21" ht="18.75" hidden="1" x14ac:dyDescent="0.25">
      <c r="A316" s="705"/>
      <c r="B316" s="706"/>
      <c r="C316" s="706"/>
      <c r="D316" s="918"/>
      <c r="E316" s="531"/>
      <c r="F316" s="531"/>
      <c r="G316" s="532"/>
      <c r="H316" s="920"/>
      <c r="I316" s="919"/>
      <c r="J316" s="919"/>
      <c r="K316" s="921"/>
      <c r="L316" s="535"/>
      <c r="M316" s="534"/>
      <c r="N316" s="534"/>
      <c r="O316" s="534"/>
      <c r="P316" s="534"/>
      <c r="Q316" s="534"/>
      <c r="R316" s="534"/>
      <c r="S316" s="534"/>
      <c r="T316" s="534"/>
      <c r="U316" s="534"/>
    </row>
    <row r="317" spans="1:21" ht="18.75" hidden="1" x14ac:dyDescent="0.25">
      <c r="A317" s="705"/>
      <c r="B317" s="706"/>
      <c r="C317" s="706"/>
      <c r="D317" s="922"/>
      <c r="E317" s="531"/>
      <c r="F317" s="531"/>
      <c r="G317" s="532"/>
      <c r="H317" s="923"/>
      <c r="I317" s="924"/>
      <c r="J317" s="924"/>
      <c r="K317" s="925"/>
      <c r="L317" s="535"/>
      <c r="M317" s="534"/>
      <c r="N317" s="534"/>
      <c r="O317" s="534"/>
      <c r="P317" s="534"/>
      <c r="Q317" s="534"/>
      <c r="R317" s="534"/>
      <c r="S317" s="534"/>
      <c r="T317" s="534"/>
      <c r="U317" s="534"/>
    </row>
    <row r="318" spans="1:21" ht="19.5" hidden="1" x14ac:dyDescent="0.3">
      <c r="A318" s="902" t="s">
        <v>131</v>
      </c>
      <c r="B318" s="903"/>
      <c r="C318" s="903"/>
      <c r="D318" s="904"/>
      <c r="E318" s="903"/>
      <c r="F318" s="903"/>
      <c r="G318" s="903"/>
      <c r="H318" s="904"/>
      <c r="I318" s="906"/>
      <c r="J318" s="906"/>
      <c r="K318" s="907"/>
      <c r="L318" s="908"/>
      <c r="M318" s="907"/>
      <c r="N318" s="907"/>
      <c r="O318" s="907"/>
      <c r="P318" s="907"/>
      <c r="Q318" s="907"/>
      <c r="R318" s="907"/>
      <c r="S318" s="907"/>
      <c r="T318" s="907"/>
      <c r="U318" s="907"/>
    </row>
    <row r="319" spans="1:21" ht="19.5" hidden="1" x14ac:dyDescent="0.3">
      <c r="A319" s="926"/>
      <c r="B319" s="910" t="s">
        <v>132</v>
      </c>
      <c r="C319" s="927"/>
      <c r="D319" s="928"/>
      <c r="E319" s="911"/>
      <c r="F319" s="911"/>
      <c r="G319" s="912"/>
      <c r="H319" s="913" t="s">
        <v>133</v>
      </c>
      <c r="I319" s="914">
        <f t="shared" ref="I319:J319" ca="1" si="204">I330</f>
        <v>0</v>
      </c>
      <c r="J319" s="914">
        <f t="shared" si="204"/>
        <v>0</v>
      </c>
      <c r="K319" s="915">
        <f ca="1">IF(I319&gt;0,J319*100/I319,0)</f>
        <v>0</v>
      </c>
      <c r="L319" s="916"/>
      <c r="M319" s="917"/>
      <c r="N319" s="917"/>
      <c r="O319" s="917"/>
      <c r="P319" s="917"/>
      <c r="Q319" s="917"/>
      <c r="R319" s="917"/>
      <c r="S319" s="917"/>
      <c r="T319" s="917"/>
      <c r="U319" s="917"/>
    </row>
    <row r="320" spans="1:21" ht="19.5" hidden="1" x14ac:dyDescent="0.3">
      <c r="A320" s="674"/>
      <c r="B320" s="561"/>
      <c r="C320" s="675" t="s">
        <v>18</v>
      </c>
      <c r="D320" s="676" t="s">
        <v>19</v>
      </c>
      <c r="E320" s="561"/>
      <c r="F320" s="561"/>
      <c r="G320" s="563"/>
      <c r="H320" s="677" t="s">
        <v>14</v>
      </c>
      <c r="I320" s="565"/>
      <c r="J320" s="565"/>
      <c r="K320" s="566"/>
      <c r="L320" s="678">
        <f t="shared" ref="L320:N320" ca="1" si="205">L321+L322</f>
        <v>0</v>
      </c>
      <c r="M320" s="679">
        <f t="shared" ca="1" si="205"/>
        <v>0</v>
      </c>
      <c r="N320" s="679">
        <f t="shared" ca="1" si="205"/>
        <v>0</v>
      </c>
      <c r="O320" s="679">
        <f t="shared" ref="O320:O328" ca="1" si="206">IF(L320&gt;0,N320*100/L320,0)</f>
        <v>0</v>
      </c>
      <c r="P320" s="679">
        <f t="shared" ref="P320:P328" ca="1" si="207">IF(M320&gt;0,N320*100/M320,0)</f>
        <v>0</v>
      </c>
      <c r="Q320" s="679">
        <f t="shared" ref="Q320:S320" si="208">Q321+Q322</f>
        <v>0</v>
      </c>
      <c r="R320" s="679">
        <f t="shared" si="208"/>
        <v>0</v>
      </c>
      <c r="S320" s="679">
        <f t="shared" si="208"/>
        <v>0</v>
      </c>
      <c r="T320" s="679">
        <f t="shared" ref="T320:T328" si="209">IF(Q320&gt;0,S320*100/Q320,0)</f>
        <v>0</v>
      </c>
      <c r="U320" s="679">
        <f t="shared" ref="U320:U328" si="210">IF(R320&gt;0,S320*100/R320,0)</f>
        <v>0</v>
      </c>
    </row>
    <row r="321" spans="1:21" ht="18.75" hidden="1" x14ac:dyDescent="0.25">
      <c r="A321" s="674"/>
      <c r="B321" s="561"/>
      <c r="C321" s="561"/>
      <c r="D321" s="561"/>
      <c r="E321" s="569" t="s">
        <v>20</v>
      </c>
      <c r="F321" s="561"/>
      <c r="G321" s="563"/>
      <c r="H321" s="680" t="s">
        <v>14</v>
      </c>
      <c r="I321" s="565"/>
      <c r="J321" s="565"/>
      <c r="K321" s="566"/>
      <c r="L321" s="571">
        <f t="shared" ref="L321:N322" si="211">L324+L327</f>
        <v>0</v>
      </c>
      <c r="M321" s="572">
        <f t="shared" si="211"/>
        <v>0</v>
      </c>
      <c r="N321" s="572">
        <f t="shared" si="211"/>
        <v>0</v>
      </c>
      <c r="O321" s="572">
        <f t="shared" si="206"/>
        <v>0</v>
      </c>
      <c r="P321" s="572">
        <f t="shared" si="207"/>
        <v>0</v>
      </c>
      <c r="Q321" s="572">
        <f t="shared" ref="Q321:S322" si="212">Q324+Q327</f>
        <v>0</v>
      </c>
      <c r="R321" s="572">
        <f t="shared" si="212"/>
        <v>0</v>
      </c>
      <c r="S321" s="572">
        <f t="shared" si="212"/>
        <v>0</v>
      </c>
      <c r="T321" s="572">
        <f t="shared" si="209"/>
        <v>0</v>
      </c>
      <c r="U321" s="572">
        <f t="shared" si="210"/>
        <v>0</v>
      </c>
    </row>
    <row r="322" spans="1:21" ht="18.75" hidden="1" x14ac:dyDescent="0.25">
      <c r="A322" s="674"/>
      <c r="B322" s="561"/>
      <c r="C322" s="561"/>
      <c r="D322" s="561"/>
      <c r="E322" s="573" t="s">
        <v>21</v>
      </c>
      <c r="F322" s="561"/>
      <c r="G322" s="563"/>
      <c r="H322" s="681" t="s">
        <v>14</v>
      </c>
      <c r="I322" s="565"/>
      <c r="J322" s="565"/>
      <c r="K322" s="566"/>
      <c r="L322" s="567">
        <f t="shared" ca="1" si="211"/>
        <v>0</v>
      </c>
      <c r="M322" s="568">
        <f t="shared" ca="1" si="211"/>
        <v>0</v>
      </c>
      <c r="N322" s="568">
        <f t="shared" ca="1" si="211"/>
        <v>0</v>
      </c>
      <c r="O322" s="568">
        <f t="shared" ca="1" si="206"/>
        <v>0</v>
      </c>
      <c r="P322" s="568">
        <f t="shared" ca="1" si="207"/>
        <v>0</v>
      </c>
      <c r="Q322" s="568">
        <f t="shared" si="212"/>
        <v>0</v>
      </c>
      <c r="R322" s="568">
        <f t="shared" si="212"/>
        <v>0</v>
      </c>
      <c r="S322" s="568">
        <f t="shared" si="212"/>
        <v>0</v>
      </c>
      <c r="T322" s="568">
        <f t="shared" si="209"/>
        <v>0</v>
      </c>
      <c r="U322" s="568">
        <f t="shared" si="210"/>
        <v>0</v>
      </c>
    </row>
    <row r="323" spans="1:21" ht="18.75" hidden="1" x14ac:dyDescent="0.25">
      <c r="A323" s="674"/>
      <c r="B323" s="561"/>
      <c r="C323" s="561"/>
      <c r="D323" s="562" t="s">
        <v>22</v>
      </c>
      <c r="E323" s="561"/>
      <c r="F323" s="561"/>
      <c r="G323" s="563"/>
      <c r="H323" s="682" t="s">
        <v>14</v>
      </c>
      <c r="I323" s="683"/>
      <c r="J323" s="683"/>
      <c r="K323" s="684"/>
      <c r="L323" s="567">
        <f t="shared" ref="L323:N323" ca="1" si="213">L324+L325</f>
        <v>0</v>
      </c>
      <c r="M323" s="568">
        <f t="shared" ca="1" si="213"/>
        <v>0</v>
      </c>
      <c r="N323" s="568">
        <f t="shared" ca="1" si="213"/>
        <v>0</v>
      </c>
      <c r="O323" s="568">
        <f t="shared" ca="1" si="206"/>
        <v>0</v>
      </c>
      <c r="P323" s="568">
        <f t="shared" ca="1" si="207"/>
        <v>0</v>
      </c>
      <c r="Q323" s="568">
        <f t="shared" ref="Q323:S323" si="214">Q324+Q325</f>
        <v>0</v>
      </c>
      <c r="R323" s="568">
        <f t="shared" si="214"/>
        <v>0</v>
      </c>
      <c r="S323" s="568">
        <f t="shared" si="214"/>
        <v>0</v>
      </c>
      <c r="T323" s="568">
        <f t="shared" si="209"/>
        <v>0</v>
      </c>
      <c r="U323" s="568">
        <f t="shared" si="210"/>
        <v>0</v>
      </c>
    </row>
    <row r="324" spans="1:21" ht="18.75" hidden="1" x14ac:dyDescent="0.25">
      <c r="A324" s="674"/>
      <c r="B324" s="561"/>
      <c r="C324" s="561"/>
      <c r="D324" s="561"/>
      <c r="E324" s="569" t="s">
        <v>36</v>
      </c>
      <c r="F324" s="561"/>
      <c r="G324" s="563"/>
      <c r="H324" s="685" t="s">
        <v>14</v>
      </c>
      <c r="I324" s="683"/>
      <c r="J324" s="683"/>
      <c r="K324" s="684"/>
      <c r="L324" s="571">
        <v>0</v>
      </c>
      <c r="M324" s="572">
        <v>0</v>
      </c>
      <c r="N324" s="572">
        <v>0</v>
      </c>
      <c r="O324" s="572">
        <f t="shared" si="206"/>
        <v>0</v>
      </c>
      <c r="P324" s="572">
        <f t="shared" si="207"/>
        <v>0</v>
      </c>
      <c r="Q324" s="572">
        <v>0</v>
      </c>
      <c r="R324" s="572">
        <v>0</v>
      </c>
      <c r="S324" s="572">
        <v>0</v>
      </c>
      <c r="T324" s="572">
        <f t="shared" si="209"/>
        <v>0</v>
      </c>
      <c r="U324" s="572">
        <f t="shared" si="210"/>
        <v>0</v>
      </c>
    </row>
    <row r="325" spans="1:21" ht="18.75" hidden="1" x14ac:dyDescent="0.25">
      <c r="A325" s="674"/>
      <c r="B325" s="561"/>
      <c r="C325" s="561"/>
      <c r="D325" s="561"/>
      <c r="E325" s="573" t="s">
        <v>37</v>
      </c>
      <c r="F325" s="561"/>
      <c r="G325" s="563"/>
      <c r="H325" s="682" t="s">
        <v>14</v>
      </c>
      <c r="I325" s="683"/>
      <c r="J325" s="683"/>
      <c r="K325" s="684"/>
      <c r="L325" s="567">
        <f ca="1">IFERROR(__xludf.DUMMYFUNCTION("IMPORTRANGE(""https://docs.google.com/spreadsheets/d/1-uDff_7J0KD5mKrp0Vvzr7lt3OU09vwQwhkpOPPYv2Y/edit?usp=sharing"",""งบพรบ!EI16"")"),0)</f>
        <v>0</v>
      </c>
      <c r="M325" s="568">
        <f ca="1">IFERROR(__xludf.DUMMYFUNCTION("IMPORTRANGE(""https://docs.google.com/spreadsheets/d/1-uDff_7J0KD5mKrp0Vvzr7lt3OU09vwQwhkpOPPYv2Y/edit?usp=sharing"",""งบพรบ!EN16"")"),0)</f>
        <v>0</v>
      </c>
      <c r="N325" s="568">
        <f ca="1">IFERROR(__xludf.DUMMYFUNCTION("IMPORTRANGE(""https://docs.google.com/spreadsheets/d/1-uDff_7J0KD5mKrp0Vvzr7lt3OU09vwQwhkpOPPYv2Y/edit?usp=sharing"",""งบพรบ!EP16"")"),0)</f>
        <v>0</v>
      </c>
      <c r="O325" s="568">
        <f t="shared" ca="1" si="206"/>
        <v>0</v>
      </c>
      <c r="P325" s="568">
        <f t="shared" ca="1" si="207"/>
        <v>0</v>
      </c>
      <c r="Q325" s="568">
        <v>0</v>
      </c>
      <c r="R325" s="568">
        <v>0</v>
      </c>
      <c r="S325" s="568">
        <v>0</v>
      </c>
      <c r="T325" s="568">
        <f t="shared" si="209"/>
        <v>0</v>
      </c>
      <c r="U325" s="568">
        <f t="shared" si="210"/>
        <v>0</v>
      </c>
    </row>
    <row r="326" spans="1:21" ht="18.75" hidden="1" x14ac:dyDescent="0.25">
      <c r="A326" s="674"/>
      <c r="B326" s="561"/>
      <c r="C326" s="561"/>
      <c r="D326" s="562" t="s">
        <v>23</v>
      </c>
      <c r="E326" s="561"/>
      <c r="F326" s="561"/>
      <c r="G326" s="563"/>
      <c r="H326" s="686" t="s">
        <v>14</v>
      </c>
      <c r="I326" s="683"/>
      <c r="J326" s="683"/>
      <c r="K326" s="684"/>
      <c r="L326" s="567">
        <f t="shared" ref="L326:N326" ca="1" si="215">L327+L328</f>
        <v>0</v>
      </c>
      <c r="M326" s="568">
        <f t="shared" ca="1" si="215"/>
        <v>0</v>
      </c>
      <c r="N326" s="568">
        <f t="shared" ca="1" si="215"/>
        <v>0</v>
      </c>
      <c r="O326" s="568">
        <f t="shared" ca="1" si="206"/>
        <v>0</v>
      </c>
      <c r="P326" s="568">
        <f t="shared" ca="1" si="207"/>
        <v>0</v>
      </c>
      <c r="Q326" s="568">
        <f t="shared" ref="Q326:S326" si="216">Q327+Q328</f>
        <v>0</v>
      </c>
      <c r="R326" s="568">
        <f t="shared" si="216"/>
        <v>0</v>
      </c>
      <c r="S326" s="568">
        <f t="shared" si="216"/>
        <v>0</v>
      </c>
      <c r="T326" s="568">
        <f t="shared" si="209"/>
        <v>0</v>
      </c>
      <c r="U326" s="568">
        <f t="shared" si="210"/>
        <v>0</v>
      </c>
    </row>
    <row r="327" spans="1:21" ht="18.75" hidden="1" x14ac:dyDescent="0.25">
      <c r="A327" s="674"/>
      <c r="B327" s="561"/>
      <c r="C327" s="561"/>
      <c r="D327" s="561"/>
      <c r="E327" s="569" t="s">
        <v>20</v>
      </c>
      <c r="F327" s="561"/>
      <c r="G327" s="563"/>
      <c r="H327" s="685" t="s">
        <v>14</v>
      </c>
      <c r="I327" s="683"/>
      <c r="J327" s="683"/>
      <c r="K327" s="684"/>
      <c r="L327" s="571">
        <v>0</v>
      </c>
      <c r="M327" s="572">
        <v>0</v>
      </c>
      <c r="N327" s="572">
        <v>0</v>
      </c>
      <c r="O327" s="572">
        <f t="shared" si="206"/>
        <v>0</v>
      </c>
      <c r="P327" s="572">
        <f t="shared" si="207"/>
        <v>0</v>
      </c>
      <c r="Q327" s="572">
        <v>0</v>
      </c>
      <c r="R327" s="572">
        <v>0</v>
      </c>
      <c r="S327" s="572">
        <v>0</v>
      </c>
      <c r="T327" s="572">
        <f t="shared" si="209"/>
        <v>0</v>
      </c>
      <c r="U327" s="572">
        <f t="shared" si="210"/>
        <v>0</v>
      </c>
    </row>
    <row r="328" spans="1:21" ht="18.75" hidden="1" x14ac:dyDescent="0.25">
      <c r="A328" s="674"/>
      <c r="B328" s="561"/>
      <c r="C328" s="561"/>
      <c r="D328" s="561"/>
      <c r="E328" s="573" t="s">
        <v>21</v>
      </c>
      <c r="F328" s="561"/>
      <c r="G328" s="563"/>
      <c r="H328" s="686" t="s">
        <v>14</v>
      </c>
      <c r="I328" s="683"/>
      <c r="J328" s="683"/>
      <c r="K328" s="684"/>
      <c r="L328" s="567">
        <f ca="1">IFERROR(__xludf.DUMMYFUNCTION("IMPORTRANGE(""https://docs.google.com/spreadsheets/d/1-uDff_7J0KD5mKrp0Vvzr7lt3OU09vwQwhkpOPPYv2Y/edit?usp=sharing"",""งบพรบ!EL16"")"),0)</f>
        <v>0</v>
      </c>
      <c r="M328" s="568">
        <f ca="1">IFERROR(__xludf.DUMMYFUNCTION("IMPORTRANGE(""https://docs.google.com/spreadsheets/d/1-uDff_7J0KD5mKrp0Vvzr7lt3OU09vwQwhkpOPPYv2Y/edit?usp=sharing"",""งบพรบ!EO16"")"),0)</f>
        <v>0</v>
      </c>
      <c r="N328" s="568">
        <f ca="1">IFERROR(__xludf.DUMMYFUNCTION("IMPORTRANGE(""https://docs.google.com/spreadsheets/d/1-uDff_7J0KD5mKrp0Vvzr7lt3OU09vwQwhkpOPPYv2Y/edit?usp=sharing"",""งบพรบ!EQ16"")"),0)</f>
        <v>0</v>
      </c>
      <c r="O328" s="568">
        <f t="shared" ca="1" si="206"/>
        <v>0</v>
      </c>
      <c r="P328" s="568">
        <f t="shared" ca="1" si="207"/>
        <v>0</v>
      </c>
      <c r="Q328" s="568">
        <v>0</v>
      </c>
      <c r="R328" s="568">
        <v>0</v>
      </c>
      <c r="S328" s="568">
        <v>0</v>
      </c>
      <c r="T328" s="568">
        <f t="shared" si="209"/>
        <v>0</v>
      </c>
      <c r="U328" s="568">
        <f t="shared" si="210"/>
        <v>0</v>
      </c>
    </row>
    <row r="329" spans="1:21" ht="19.5" hidden="1" x14ac:dyDescent="0.3">
      <c r="A329" s="687"/>
      <c r="B329" s="688"/>
      <c r="C329" s="675" t="s">
        <v>18</v>
      </c>
      <c r="D329" s="689" t="s">
        <v>38</v>
      </c>
      <c r="E329" s="690"/>
      <c r="F329" s="690"/>
      <c r="G329" s="691"/>
      <c r="H329" s="692"/>
      <c r="I329" s="683"/>
      <c r="J329" s="565"/>
      <c r="K329" s="566"/>
      <c r="L329" s="574"/>
      <c r="M329" s="566"/>
      <c r="N329" s="566"/>
      <c r="O329" s="684"/>
      <c r="P329" s="684"/>
      <c r="Q329" s="566"/>
      <c r="R329" s="566"/>
      <c r="S329" s="566"/>
      <c r="T329" s="684"/>
      <c r="U329" s="684"/>
    </row>
    <row r="330" spans="1:21" ht="18.75" hidden="1" x14ac:dyDescent="0.25">
      <c r="A330" s="687"/>
      <c r="B330" s="688"/>
      <c r="C330" s="688"/>
      <c r="D330" s="694" t="s">
        <v>134</v>
      </c>
      <c r="E330" s="695"/>
      <c r="F330" s="695"/>
      <c r="G330" s="692"/>
      <c r="H330" s="564" t="s">
        <v>133</v>
      </c>
      <c r="I330" s="708">
        <f ca="1">IFERROR(__xludf.DUMMYFUNCTION("IMPORTRANGE(""https://docs.google.com/spreadsheets/d/1eHaY18a8A9IcSdp1K8H6x8fbOy06t2VsZHhMHf-1x7Y/edit?usp=sharing"",""แผน!EJ16"")"),0)</f>
        <v>0</v>
      </c>
      <c r="J330" s="702">
        <v>0</v>
      </c>
      <c r="K330" s="568">
        <f ca="1">IF(I330&gt;0,J330*100/I330,0)</f>
        <v>0</v>
      </c>
      <c r="L330" s="574"/>
      <c r="M330" s="566"/>
      <c r="N330" s="566"/>
      <c r="O330" s="684"/>
      <c r="P330" s="684"/>
      <c r="Q330" s="566"/>
      <c r="R330" s="566"/>
      <c r="S330" s="566"/>
      <c r="T330" s="684"/>
      <c r="U330" s="684"/>
    </row>
    <row r="331" spans="1:21" ht="19.5" x14ac:dyDescent="0.3">
      <c r="A331" s="902" t="s">
        <v>135</v>
      </c>
      <c r="B331" s="903"/>
      <c r="C331" s="903"/>
      <c r="D331" s="904"/>
      <c r="E331" s="903"/>
      <c r="F331" s="903"/>
      <c r="G331" s="903"/>
      <c r="H331" s="904"/>
      <c r="I331" s="906"/>
      <c r="J331" s="906"/>
      <c r="K331" s="907"/>
      <c r="L331" s="908"/>
      <c r="M331" s="907"/>
      <c r="N331" s="907"/>
      <c r="O331" s="907"/>
      <c r="P331" s="907"/>
      <c r="Q331" s="907"/>
      <c r="R331" s="907"/>
      <c r="S331" s="907"/>
      <c r="T331" s="907"/>
      <c r="U331" s="907"/>
    </row>
    <row r="332" spans="1:21" ht="19.5" x14ac:dyDescent="0.3">
      <c r="A332" s="909"/>
      <c r="B332" s="910" t="s">
        <v>136</v>
      </c>
      <c r="C332" s="928"/>
      <c r="D332" s="911"/>
      <c r="E332" s="911"/>
      <c r="F332" s="911"/>
      <c r="G332" s="912"/>
      <c r="H332" s="913" t="s">
        <v>35</v>
      </c>
      <c r="I332" s="929">
        <f ca="1">I344</f>
        <v>600</v>
      </c>
      <c r="J332" s="930">
        <f ca="1">J344+J347+J348+J349+J353</f>
        <v>6362</v>
      </c>
      <c r="K332" s="931">
        <f ca="1">IF(I332&gt;0,J332*100/I332,0)</f>
        <v>1060.3333333333333</v>
      </c>
      <c r="L332" s="916"/>
      <c r="M332" s="917"/>
      <c r="N332" s="917"/>
      <c r="O332" s="917"/>
      <c r="P332" s="917"/>
      <c r="Q332" s="917"/>
      <c r="R332" s="917"/>
      <c r="S332" s="917"/>
      <c r="T332" s="917"/>
      <c r="U332" s="917"/>
    </row>
    <row r="333" spans="1:21" ht="19.5" x14ac:dyDescent="0.3">
      <c r="A333" s="674"/>
      <c r="B333" s="561"/>
      <c r="C333" s="675" t="s">
        <v>18</v>
      </c>
      <c r="D333" s="676" t="s">
        <v>19</v>
      </c>
      <c r="E333" s="561"/>
      <c r="F333" s="561"/>
      <c r="G333" s="563"/>
      <c r="H333" s="677" t="s">
        <v>14</v>
      </c>
      <c r="I333" s="565"/>
      <c r="J333" s="565"/>
      <c r="K333" s="566"/>
      <c r="L333" s="678">
        <f t="shared" ref="L333:N333" ca="1" si="217">L334+L335</f>
        <v>176000</v>
      </c>
      <c r="M333" s="679">
        <f t="shared" ca="1" si="217"/>
        <v>108000</v>
      </c>
      <c r="N333" s="679">
        <f t="shared" ca="1" si="217"/>
        <v>88305.34</v>
      </c>
      <c r="O333" s="679">
        <f t="shared" ref="O333:O341" ca="1" si="218">IF(L333&gt;0,N333*100/L333,0)</f>
        <v>50.173488636363636</v>
      </c>
      <c r="P333" s="679">
        <f t="shared" ref="P333:P341" ca="1" si="219">IF(M333&gt;0,N333*100/M333,0)</f>
        <v>81.7642037037037</v>
      </c>
      <c r="Q333" s="679">
        <f t="shared" ref="Q333:S333" si="220">Q334+Q335</f>
        <v>0</v>
      </c>
      <c r="R333" s="679">
        <f t="shared" si="220"/>
        <v>0</v>
      </c>
      <c r="S333" s="679">
        <f t="shared" si="220"/>
        <v>0</v>
      </c>
      <c r="T333" s="679">
        <f t="shared" ref="T333:T341" si="221">IF(Q333&gt;0,S333*100/Q333,0)</f>
        <v>0</v>
      </c>
      <c r="U333" s="679">
        <f t="shared" ref="U333:U341" si="222">IF(R333&gt;0,S333*100/R333,0)</f>
        <v>0</v>
      </c>
    </row>
    <row r="334" spans="1:21" ht="18.75" x14ac:dyDescent="0.25">
      <c r="A334" s="674"/>
      <c r="B334" s="561"/>
      <c r="C334" s="561"/>
      <c r="D334" s="561"/>
      <c r="E334" s="569" t="s">
        <v>20</v>
      </c>
      <c r="F334" s="561"/>
      <c r="G334" s="563"/>
      <c r="H334" s="680" t="s">
        <v>14</v>
      </c>
      <c r="I334" s="565"/>
      <c r="J334" s="565"/>
      <c r="K334" s="566"/>
      <c r="L334" s="571">
        <f t="shared" ref="L334:N335" si="223">L337+L340</f>
        <v>0</v>
      </c>
      <c r="M334" s="572">
        <f t="shared" si="223"/>
        <v>0</v>
      </c>
      <c r="N334" s="572">
        <f t="shared" si="223"/>
        <v>0</v>
      </c>
      <c r="O334" s="572">
        <f t="shared" si="218"/>
        <v>0</v>
      </c>
      <c r="P334" s="572">
        <f t="shared" si="219"/>
        <v>0</v>
      </c>
      <c r="Q334" s="572">
        <f t="shared" ref="Q334:S335" si="224">Q337+Q340</f>
        <v>0</v>
      </c>
      <c r="R334" s="572">
        <f t="shared" si="224"/>
        <v>0</v>
      </c>
      <c r="S334" s="572">
        <f t="shared" si="224"/>
        <v>0</v>
      </c>
      <c r="T334" s="572">
        <f t="shared" si="221"/>
        <v>0</v>
      </c>
      <c r="U334" s="572">
        <f t="shared" si="222"/>
        <v>0</v>
      </c>
    </row>
    <row r="335" spans="1:21" ht="18.75" x14ac:dyDescent="0.25">
      <c r="A335" s="674"/>
      <c r="B335" s="561"/>
      <c r="C335" s="561"/>
      <c r="D335" s="561"/>
      <c r="E335" s="573" t="s">
        <v>21</v>
      </c>
      <c r="F335" s="561"/>
      <c r="G335" s="563"/>
      <c r="H335" s="681" t="s">
        <v>14</v>
      </c>
      <c r="I335" s="565"/>
      <c r="J335" s="565"/>
      <c r="K335" s="566"/>
      <c r="L335" s="567">
        <f t="shared" ca="1" si="223"/>
        <v>176000</v>
      </c>
      <c r="M335" s="568">
        <f t="shared" ca="1" si="223"/>
        <v>108000</v>
      </c>
      <c r="N335" s="568">
        <f t="shared" ca="1" si="223"/>
        <v>88305.34</v>
      </c>
      <c r="O335" s="568">
        <f t="shared" ca="1" si="218"/>
        <v>50.173488636363636</v>
      </c>
      <c r="P335" s="568">
        <f t="shared" ca="1" si="219"/>
        <v>81.7642037037037</v>
      </c>
      <c r="Q335" s="568">
        <f t="shared" si="224"/>
        <v>0</v>
      </c>
      <c r="R335" s="568">
        <f t="shared" si="224"/>
        <v>0</v>
      </c>
      <c r="S335" s="568">
        <f t="shared" si="224"/>
        <v>0</v>
      </c>
      <c r="T335" s="568">
        <f t="shared" si="221"/>
        <v>0</v>
      </c>
      <c r="U335" s="568">
        <f t="shared" si="222"/>
        <v>0</v>
      </c>
    </row>
    <row r="336" spans="1:21" ht="18.75" x14ac:dyDescent="0.25">
      <c r="A336" s="674"/>
      <c r="B336" s="561"/>
      <c r="C336" s="561"/>
      <c r="D336" s="562" t="s">
        <v>22</v>
      </c>
      <c r="E336" s="561"/>
      <c r="F336" s="561"/>
      <c r="G336" s="563"/>
      <c r="H336" s="682" t="s">
        <v>14</v>
      </c>
      <c r="I336" s="683"/>
      <c r="J336" s="683"/>
      <c r="K336" s="684"/>
      <c r="L336" s="567">
        <f t="shared" ref="L336:N336" ca="1" si="225">L337+L338</f>
        <v>176000</v>
      </c>
      <c r="M336" s="568">
        <f t="shared" ca="1" si="225"/>
        <v>108000</v>
      </c>
      <c r="N336" s="568">
        <f t="shared" ca="1" si="225"/>
        <v>88305.34</v>
      </c>
      <c r="O336" s="568">
        <f t="shared" ca="1" si="218"/>
        <v>50.173488636363636</v>
      </c>
      <c r="P336" s="568">
        <f t="shared" ca="1" si="219"/>
        <v>81.7642037037037</v>
      </c>
      <c r="Q336" s="568">
        <f t="shared" ref="Q336:S336" si="226">Q337+Q338</f>
        <v>0</v>
      </c>
      <c r="R336" s="568">
        <f t="shared" si="226"/>
        <v>0</v>
      </c>
      <c r="S336" s="568">
        <f t="shared" si="226"/>
        <v>0</v>
      </c>
      <c r="T336" s="568">
        <f t="shared" si="221"/>
        <v>0</v>
      </c>
      <c r="U336" s="568">
        <f t="shared" si="222"/>
        <v>0</v>
      </c>
    </row>
    <row r="337" spans="1:21" ht="18.75" x14ac:dyDescent="0.25">
      <c r="A337" s="674"/>
      <c r="B337" s="561"/>
      <c r="C337" s="561"/>
      <c r="D337" s="561"/>
      <c r="E337" s="569" t="s">
        <v>36</v>
      </c>
      <c r="F337" s="561"/>
      <c r="G337" s="563"/>
      <c r="H337" s="685" t="s">
        <v>14</v>
      </c>
      <c r="I337" s="683"/>
      <c r="J337" s="683"/>
      <c r="K337" s="684"/>
      <c r="L337" s="571">
        <v>0</v>
      </c>
      <c r="M337" s="572">
        <v>0</v>
      </c>
      <c r="N337" s="572">
        <v>0</v>
      </c>
      <c r="O337" s="572">
        <f t="shared" si="218"/>
        <v>0</v>
      </c>
      <c r="P337" s="572">
        <f t="shared" si="219"/>
        <v>0</v>
      </c>
      <c r="Q337" s="572">
        <v>0</v>
      </c>
      <c r="R337" s="572">
        <v>0</v>
      </c>
      <c r="S337" s="572">
        <v>0</v>
      </c>
      <c r="T337" s="572">
        <f t="shared" si="221"/>
        <v>0</v>
      </c>
      <c r="U337" s="572">
        <f t="shared" si="222"/>
        <v>0</v>
      </c>
    </row>
    <row r="338" spans="1:21" ht="18.75" x14ac:dyDescent="0.25">
      <c r="A338" s="674"/>
      <c r="B338" s="561"/>
      <c r="C338" s="561"/>
      <c r="D338" s="561"/>
      <c r="E338" s="573" t="s">
        <v>37</v>
      </c>
      <c r="F338" s="561"/>
      <c r="G338" s="563"/>
      <c r="H338" s="682" t="s">
        <v>14</v>
      </c>
      <c r="I338" s="683"/>
      <c r="J338" s="683"/>
      <c r="K338" s="684"/>
      <c r="L338" s="567">
        <f ca="1">IFERROR(__xludf.DUMMYFUNCTION("IMPORTRANGE(""https://docs.google.com/spreadsheets/d/1-uDff_7J0KD5mKrp0Vvzr7lt3OU09vwQwhkpOPPYv2Y/edit?usp=sharing"",""งบพรบ!ES16"")"),176000)</f>
        <v>176000</v>
      </c>
      <c r="M338" s="568">
        <f ca="1">IFERROR(__xludf.DUMMYFUNCTION("IMPORTRANGE(""https://docs.google.com/spreadsheets/d/1-uDff_7J0KD5mKrp0Vvzr7lt3OU09vwQwhkpOPPYv2Y/edit?usp=sharing"",""งบพรบ!EX16"")"),108000)</f>
        <v>108000</v>
      </c>
      <c r="N338" s="568">
        <f ca="1">IFERROR(__xludf.DUMMYFUNCTION("IMPORTRANGE(""https://docs.google.com/spreadsheets/d/1-uDff_7J0KD5mKrp0Vvzr7lt3OU09vwQwhkpOPPYv2Y/edit?usp=sharing"",""งบพรบ!EZ16"")"),88305.34)</f>
        <v>88305.34</v>
      </c>
      <c r="O338" s="568">
        <f t="shared" ca="1" si="218"/>
        <v>50.173488636363636</v>
      </c>
      <c r="P338" s="568">
        <f t="shared" ca="1" si="219"/>
        <v>81.7642037037037</v>
      </c>
      <c r="Q338" s="568">
        <v>0</v>
      </c>
      <c r="R338" s="568">
        <v>0</v>
      </c>
      <c r="S338" s="568">
        <v>0</v>
      </c>
      <c r="T338" s="568">
        <f t="shared" si="221"/>
        <v>0</v>
      </c>
      <c r="U338" s="568">
        <f t="shared" si="222"/>
        <v>0</v>
      </c>
    </row>
    <row r="339" spans="1:21" ht="18.75" x14ac:dyDescent="0.25">
      <c r="A339" s="674"/>
      <c r="B339" s="561"/>
      <c r="C339" s="561"/>
      <c r="D339" s="562" t="s">
        <v>23</v>
      </c>
      <c r="E339" s="561"/>
      <c r="F339" s="561"/>
      <c r="G339" s="563"/>
      <c r="H339" s="686" t="s">
        <v>14</v>
      </c>
      <c r="I339" s="683"/>
      <c r="J339" s="683"/>
      <c r="K339" s="684"/>
      <c r="L339" s="567">
        <f t="shared" ref="L339:N339" ca="1" si="227">L340+L341</f>
        <v>0</v>
      </c>
      <c r="M339" s="568">
        <f t="shared" ca="1" si="227"/>
        <v>0</v>
      </c>
      <c r="N339" s="568">
        <f t="shared" ca="1" si="227"/>
        <v>0</v>
      </c>
      <c r="O339" s="568">
        <f t="shared" ca="1" si="218"/>
        <v>0</v>
      </c>
      <c r="P339" s="568">
        <f t="shared" ca="1" si="219"/>
        <v>0</v>
      </c>
      <c r="Q339" s="568">
        <f t="shared" ref="Q339:S339" si="228">Q340+Q341</f>
        <v>0</v>
      </c>
      <c r="R339" s="568">
        <f t="shared" si="228"/>
        <v>0</v>
      </c>
      <c r="S339" s="568">
        <f t="shared" si="228"/>
        <v>0</v>
      </c>
      <c r="T339" s="568">
        <f t="shared" si="221"/>
        <v>0</v>
      </c>
      <c r="U339" s="568">
        <f t="shared" si="222"/>
        <v>0</v>
      </c>
    </row>
    <row r="340" spans="1:21" ht="18.75" x14ac:dyDescent="0.25">
      <c r="A340" s="674"/>
      <c r="B340" s="561"/>
      <c r="C340" s="561"/>
      <c r="D340" s="561"/>
      <c r="E340" s="569" t="s">
        <v>20</v>
      </c>
      <c r="F340" s="561"/>
      <c r="G340" s="563"/>
      <c r="H340" s="685" t="s">
        <v>14</v>
      </c>
      <c r="I340" s="683"/>
      <c r="J340" s="683"/>
      <c r="K340" s="684"/>
      <c r="L340" s="571">
        <v>0</v>
      </c>
      <c r="M340" s="572">
        <v>0</v>
      </c>
      <c r="N340" s="572">
        <v>0</v>
      </c>
      <c r="O340" s="572">
        <f t="shared" si="218"/>
        <v>0</v>
      </c>
      <c r="P340" s="572">
        <f t="shared" si="219"/>
        <v>0</v>
      </c>
      <c r="Q340" s="572">
        <v>0</v>
      </c>
      <c r="R340" s="572">
        <v>0</v>
      </c>
      <c r="S340" s="572">
        <v>0</v>
      </c>
      <c r="T340" s="572">
        <f t="shared" si="221"/>
        <v>0</v>
      </c>
      <c r="U340" s="572">
        <f t="shared" si="222"/>
        <v>0</v>
      </c>
    </row>
    <row r="341" spans="1:21" ht="18.75" x14ac:dyDescent="0.25">
      <c r="A341" s="674"/>
      <c r="B341" s="561"/>
      <c r="C341" s="561"/>
      <c r="D341" s="561"/>
      <c r="E341" s="573" t="s">
        <v>21</v>
      </c>
      <c r="F341" s="561"/>
      <c r="G341" s="563"/>
      <c r="H341" s="686" t="s">
        <v>14</v>
      </c>
      <c r="I341" s="683"/>
      <c r="J341" s="683"/>
      <c r="K341" s="684"/>
      <c r="L341" s="567">
        <f ca="1">IFERROR(__xludf.DUMMYFUNCTION("IMPORTRANGE(""https://docs.google.com/spreadsheets/d/1-uDff_7J0KD5mKrp0Vvzr7lt3OU09vwQwhkpOPPYv2Y/edit?usp=sharing"",""งบพรบ!EV16"")"),0)</f>
        <v>0</v>
      </c>
      <c r="M341" s="568">
        <f ca="1">IFERROR(__xludf.DUMMYFUNCTION("IMPORTRANGE(""https://docs.google.com/spreadsheets/d/1-uDff_7J0KD5mKrp0Vvzr7lt3OU09vwQwhkpOPPYv2Y/edit?usp=sharing"",""งบพรบ!EY16"")"),0)</f>
        <v>0</v>
      </c>
      <c r="N341" s="568">
        <f ca="1">IFERROR(__xludf.DUMMYFUNCTION("IMPORTRANGE(""https://docs.google.com/spreadsheets/d/1-uDff_7J0KD5mKrp0Vvzr7lt3OU09vwQwhkpOPPYv2Y/edit?usp=sharing"",""งบพรบ!FA16"")"),0)</f>
        <v>0</v>
      </c>
      <c r="O341" s="568">
        <f t="shared" ca="1" si="218"/>
        <v>0</v>
      </c>
      <c r="P341" s="568">
        <f t="shared" ca="1" si="219"/>
        <v>0</v>
      </c>
      <c r="Q341" s="568">
        <v>0</v>
      </c>
      <c r="R341" s="568">
        <v>0</v>
      </c>
      <c r="S341" s="568">
        <v>0</v>
      </c>
      <c r="T341" s="568">
        <f t="shared" si="221"/>
        <v>0</v>
      </c>
      <c r="U341" s="568">
        <f t="shared" si="222"/>
        <v>0</v>
      </c>
    </row>
    <row r="342" spans="1:21" ht="19.5" x14ac:dyDescent="0.3">
      <c r="A342" s="687"/>
      <c r="B342" s="688"/>
      <c r="C342" s="675" t="s">
        <v>18</v>
      </c>
      <c r="D342" s="757" t="s">
        <v>38</v>
      </c>
      <c r="E342" s="690"/>
      <c r="F342" s="690"/>
      <c r="G342" s="691"/>
      <c r="H342" s="563"/>
      <c r="I342" s="565"/>
      <c r="J342" s="565"/>
      <c r="K342" s="566"/>
      <c r="L342" s="574"/>
      <c r="M342" s="566"/>
      <c r="N342" s="566"/>
      <c r="O342" s="684"/>
      <c r="P342" s="684"/>
      <c r="Q342" s="566"/>
      <c r="R342" s="566"/>
      <c r="S342" s="566"/>
      <c r="T342" s="684"/>
      <c r="U342" s="684"/>
    </row>
    <row r="343" spans="1:21" ht="19.5" x14ac:dyDescent="0.3">
      <c r="A343" s="932"/>
      <c r="B343" s="933"/>
      <c r="C343" s="934"/>
      <c r="D343" s="933"/>
      <c r="E343" s="935" t="s">
        <v>137</v>
      </c>
      <c r="F343" s="933"/>
      <c r="G343" s="936"/>
      <c r="H343" s="937" t="s">
        <v>35</v>
      </c>
      <c r="I343" s="938">
        <v>0</v>
      </c>
      <c r="J343" s="938">
        <f ca="1">J344+J347+J348+J349</f>
        <v>2215</v>
      </c>
      <c r="K343" s="939">
        <v>0</v>
      </c>
      <c r="L343" s="777"/>
      <c r="M343" s="778"/>
      <c r="N343" s="778"/>
      <c r="O343" s="778"/>
      <c r="P343" s="778"/>
      <c r="Q343" s="778"/>
      <c r="R343" s="778"/>
      <c r="S343" s="778"/>
      <c r="T343" s="778"/>
      <c r="U343" s="778"/>
    </row>
    <row r="344" spans="1:21" ht="18.75" x14ac:dyDescent="0.25">
      <c r="A344" s="764"/>
      <c r="B344" s="561"/>
      <c r="C344" s="718"/>
      <c r="D344" s="695"/>
      <c r="E344" s="699" t="s">
        <v>138</v>
      </c>
      <c r="F344" s="561"/>
      <c r="G344" s="563"/>
      <c r="H344" s="766" t="s">
        <v>35</v>
      </c>
      <c r="I344" s="708">
        <f ca="1">IFERROR(__xludf.DUMMYFUNCTION("IMPORTRANGE(""https://docs.google.com/spreadsheets/d/1eHaY18a8A9IcSdp1K8H6x8fbOy06t2VsZHhMHf-1x7Y/edit?usp=sharing"",""แผน!EK16"")"),600)</f>
        <v>600</v>
      </c>
      <c r="J344" s="708">
        <f ca="1">IFERROR(__xludf.DUMMYFUNCTION("IMPORTRANGE(""https://docs.google.com/spreadsheets/d/1awYsYK3VOup2i3Pq_Yjnu8DRu_mYwSBnCR2QPthd0rU/edit?usp=sharing"",""ศูนย์ยกเว้นโฉนด!D16"")"),2067)</f>
        <v>2067</v>
      </c>
      <c r="K344" s="568">
        <f ca="1">IF(I344&gt;0,J344*100/I344,0)</f>
        <v>344.5</v>
      </c>
      <c r="L344" s="574"/>
      <c r="M344" s="566"/>
      <c r="N344" s="566"/>
      <c r="O344" s="566"/>
      <c r="P344" s="566"/>
      <c r="Q344" s="566"/>
      <c r="R344" s="566"/>
      <c r="S344" s="566"/>
      <c r="T344" s="566"/>
      <c r="U344" s="566"/>
    </row>
    <row r="345" spans="1:21" ht="18.75" x14ac:dyDescent="0.25">
      <c r="A345" s="764"/>
      <c r="B345" s="561"/>
      <c r="C345" s="718"/>
      <c r="D345" s="695"/>
      <c r="E345" s="699" t="s">
        <v>139</v>
      </c>
      <c r="F345" s="561"/>
      <c r="G345" s="563"/>
      <c r="H345" s="727"/>
      <c r="I345" s="565"/>
      <c r="J345" s="565"/>
      <c r="K345" s="566"/>
      <c r="L345" s="574"/>
      <c r="M345" s="566"/>
      <c r="N345" s="566"/>
      <c r="O345" s="566"/>
      <c r="P345" s="566"/>
      <c r="Q345" s="566"/>
      <c r="R345" s="566"/>
      <c r="S345" s="566"/>
      <c r="T345" s="566"/>
      <c r="U345" s="566"/>
    </row>
    <row r="346" spans="1:21" ht="18.75" x14ac:dyDescent="0.25">
      <c r="A346" s="764"/>
      <c r="B346" s="561"/>
      <c r="C346" s="718"/>
      <c r="D346" s="695"/>
      <c r="E346" s="695"/>
      <c r="F346" s="699" t="s">
        <v>140</v>
      </c>
      <c r="G346" s="563"/>
      <c r="H346" s="722" t="s">
        <v>141</v>
      </c>
      <c r="I346" s="708">
        <f ca="1">IFERROR(__xludf.DUMMYFUNCTION("IMPORTRANGE(""https://docs.google.com/spreadsheets/d/1eHaY18a8A9IcSdp1K8H6x8fbOy06t2VsZHhMHf-1x7Y/edit?usp=sharing"",""แผน!EL16"")"),3)</f>
        <v>3</v>
      </c>
      <c r="J346" s="708">
        <f ca="1">IFERROR(__xludf.DUMMYFUNCTION("IMPORTRANGE(""https://docs.google.com/spreadsheets/d/1awYsYK3VOup2i3Pq_Yjnu8DRu_mYwSBnCR2QPthd0rU/edit?usp=sharing"",""ศูนย์รวม!E16"")"),3)</f>
        <v>3</v>
      </c>
      <c r="K346" s="568">
        <f ca="1">IF(I346&gt;0,J346*100/I346,0)</f>
        <v>100</v>
      </c>
      <c r="L346" s="574"/>
      <c r="M346" s="566"/>
      <c r="N346" s="566"/>
      <c r="O346" s="566"/>
      <c r="P346" s="566"/>
      <c r="Q346" s="566"/>
      <c r="R346" s="566"/>
      <c r="S346" s="566"/>
      <c r="T346" s="566"/>
      <c r="U346" s="566"/>
    </row>
    <row r="347" spans="1:21" ht="18.75" x14ac:dyDescent="0.25">
      <c r="A347" s="764"/>
      <c r="B347" s="561"/>
      <c r="C347" s="718"/>
      <c r="D347" s="695"/>
      <c r="E347" s="695"/>
      <c r="F347" s="699" t="s">
        <v>142</v>
      </c>
      <c r="G347" s="563"/>
      <c r="H347" s="722" t="s">
        <v>35</v>
      </c>
      <c r="I347" s="565"/>
      <c r="J347" s="708">
        <f ca="1">IFERROR(__xludf.DUMMYFUNCTION("IMPORTRANGE(""https://docs.google.com/spreadsheets/d/1awYsYK3VOup2i3Pq_Yjnu8DRu_mYwSBnCR2QPthd0rU/edit?usp=sharing"",""ศูนย์ยกเว้นโฉนด!F16"")"),28)</f>
        <v>28</v>
      </c>
      <c r="K347" s="566"/>
      <c r="L347" s="574"/>
      <c r="M347" s="566"/>
      <c r="N347" s="566"/>
      <c r="O347" s="566"/>
      <c r="P347" s="566"/>
      <c r="Q347" s="566"/>
      <c r="R347" s="566"/>
      <c r="S347" s="566"/>
      <c r="T347" s="566"/>
      <c r="U347" s="566"/>
    </row>
    <row r="348" spans="1:21" ht="18.75" x14ac:dyDescent="0.25">
      <c r="A348" s="764"/>
      <c r="B348" s="561"/>
      <c r="C348" s="718"/>
      <c r="D348" s="695"/>
      <c r="E348" s="699" t="s">
        <v>143</v>
      </c>
      <c r="F348" s="695"/>
      <c r="G348" s="563"/>
      <c r="H348" s="722" t="s">
        <v>35</v>
      </c>
      <c r="I348" s="565"/>
      <c r="J348" s="708">
        <f ca="1">IFERROR(__xludf.DUMMYFUNCTION("IMPORTRANGE(""https://docs.google.com/spreadsheets/d/1awYsYK3VOup2i3Pq_Yjnu8DRu_mYwSBnCR2QPthd0rU/edit?usp=sharing"",""ศูนย์ยกเว้นโฉนด!G16"")"),120)</f>
        <v>120</v>
      </c>
      <c r="K348" s="566"/>
      <c r="L348" s="574"/>
      <c r="M348" s="566"/>
      <c r="N348" s="566"/>
      <c r="O348" s="566"/>
      <c r="P348" s="566"/>
      <c r="Q348" s="566"/>
      <c r="R348" s="566"/>
      <c r="S348" s="566"/>
      <c r="T348" s="566"/>
      <c r="U348" s="566"/>
    </row>
    <row r="349" spans="1:21" ht="18.75" x14ac:dyDescent="0.25">
      <c r="A349" s="764"/>
      <c r="B349" s="561"/>
      <c r="C349" s="718"/>
      <c r="D349" s="688"/>
      <c r="E349" s="699" t="s">
        <v>144</v>
      </c>
      <c r="F349" s="695"/>
      <c r="G349" s="563"/>
      <c r="H349" s="722" t="s">
        <v>35</v>
      </c>
      <c r="I349" s="565"/>
      <c r="J349" s="708">
        <f ca="1">IFERROR(__xludf.DUMMYFUNCTION("IMPORTRANGE(""https://docs.google.com/spreadsheets/d/1awYsYK3VOup2i3Pq_Yjnu8DRu_mYwSBnCR2QPthd0rU/edit?usp=sharing"",""ศูนย์ยกเว้นโฉนด!H16"")"),0)</f>
        <v>0</v>
      </c>
      <c r="K349" s="566"/>
      <c r="L349" s="574"/>
      <c r="M349" s="566"/>
      <c r="N349" s="566"/>
      <c r="O349" s="566"/>
      <c r="P349" s="566"/>
      <c r="Q349" s="566"/>
      <c r="R349" s="566"/>
      <c r="S349" s="566"/>
      <c r="T349" s="566"/>
      <c r="U349" s="566"/>
    </row>
    <row r="350" spans="1:21" ht="16.5" x14ac:dyDescent="0.25">
      <c r="A350" s="718"/>
      <c r="B350" s="561"/>
      <c r="C350" s="718"/>
      <c r="D350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61"/>
      <c r="F350" s="561"/>
      <c r="G350" s="563"/>
      <c r="H350" s="727"/>
      <c r="I350" s="565"/>
      <c r="J350" s="565"/>
      <c r="K350" s="566"/>
      <c r="L350" s="574"/>
      <c r="M350" s="566"/>
      <c r="N350" s="566"/>
      <c r="O350" s="566"/>
      <c r="P350" s="566"/>
      <c r="Q350" s="566"/>
      <c r="R350" s="566"/>
      <c r="S350" s="566"/>
      <c r="T350" s="566"/>
      <c r="U350" s="566"/>
    </row>
    <row r="351" spans="1:21" ht="19.5" x14ac:dyDescent="0.3">
      <c r="A351" s="769"/>
      <c r="B351" s="772"/>
      <c r="C351" s="770"/>
      <c r="D351" s="772"/>
      <c r="E351" s="941" t="s">
        <v>145</v>
      </c>
      <c r="F351" s="772"/>
      <c r="G351" s="773"/>
      <c r="H351" s="774" t="s">
        <v>35</v>
      </c>
      <c r="I351" s="775">
        <v>0</v>
      </c>
      <c r="J351" s="775">
        <f ca="1">J352+J353</f>
        <v>4161</v>
      </c>
      <c r="K351" s="776">
        <v>0</v>
      </c>
      <c r="L351" s="777"/>
      <c r="M351" s="778"/>
      <c r="N351" s="778"/>
      <c r="O351" s="778"/>
      <c r="P351" s="778"/>
      <c r="Q351" s="778"/>
      <c r="R351" s="778"/>
      <c r="S351" s="778"/>
      <c r="T351" s="778"/>
      <c r="U351" s="778"/>
    </row>
    <row r="352" spans="1:21" ht="18.75" x14ac:dyDescent="0.25">
      <c r="A352" s="718"/>
      <c r="B352" s="561"/>
      <c r="C352" s="718"/>
      <c r="D352" s="695"/>
      <c r="E352" s="699" t="s">
        <v>146</v>
      </c>
      <c r="F352" s="561"/>
      <c r="G352" s="563"/>
      <c r="H352" s="681" t="s">
        <v>35</v>
      </c>
      <c r="I352" s="565"/>
      <c r="J352" s="708">
        <f ca="1">IFERROR(__xludf.DUMMYFUNCTION("IMPORTRANGE(""https://docs.google.com/spreadsheets/d/1awYsYK3VOup2i3Pq_Yjnu8DRu_mYwSBnCR2QPthd0rU/edit?usp=sharing"",""โฉนดM3!G16"")"),14)</f>
        <v>14</v>
      </c>
      <c r="K352" s="566"/>
      <c r="L352" s="574"/>
      <c r="M352" s="566"/>
      <c r="N352" s="566"/>
      <c r="O352" s="566"/>
      <c r="P352" s="566"/>
      <c r="Q352" s="566"/>
      <c r="R352" s="566"/>
      <c r="S352" s="566"/>
      <c r="T352" s="566"/>
      <c r="U352" s="566"/>
    </row>
    <row r="353" spans="1:21" ht="18.75" x14ac:dyDescent="0.25">
      <c r="A353" s="718"/>
      <c r="B353" s="561"/>
      <c r="C353" s="718"/>
      <c r="D353" s="695"/>
      <c r="E353" s="699" t="s">
        <v>147</v>
      </c>
      <c r="F353" s="561"/>
      <c r="G353" s="563"/>
      <c r="H353" s="681" t="s">
        <v>35</v>
      </c>
      <c r="I353" s="565"/>
      <c r="J353" s="708">
        <f ca="1">IFERROR(__xludf.DUMMYFUNCTION("IMPORTRANGE(""https://docs.google.com/spreadsheets/d/1awYsYK3VOup2i3Pq_Yjnu8DRu_mYwSBnCR2QPthd0rU/edit?usp=sharing"",""โฉนดM3!H16"")"),4147)</f>
        <v>4147</v>
      </c>
      <c r="K353" s="566"/>
      <c r="L353" s="574"/>
      <c r="M353" s="566"/>
      <c r="N353" s="566"/>
      <c r="O353" s="566"/>
      <c r="P353" s="566"/>
      <c r="Q353" s="566"/>
      <c r="R353" s="566"/>
      <c r="S353" s="566"/>
      <c r="T353" s="566"/>
      <c r="U353" s="566"/>
    </row>
    <row r="354" spans="1:21" ht="16.5" x14ac:dyDescent="0.25">
      <c r="A354" s="718"/>
      <c r="B354" s="561"/>
      <c r="C354" s="718"/>
      <c r="D354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61"/>
      <c r="F354" s="561"/>
      <c r="G354" s="563"/>
      <c r="H354" s="727"/>
      <c r="I354" s="565"/>
      <c r="J354" s="565"/>
      <c r="K354" s="566"/>
      <c r="L354" s="574"/>
      <c r="M354" s="566"/>
      <c r="N354" s="566"/>
      <c r="O354" s="566"/>
      <c r="P354" s="566"/>
      <c r="Q354" s="566"/>
      <c r="R354" s="566"/>
      <c r="S354" s="566"/>
      <c r="T354" s="566"/>
      <c r="U354" s="566"/>
    </row>
    <row r="355" spans="1:21" ht="19.5" x14ac:dyDescent="0.3">
      <c r="A355" s="909"/>
      <c r="B355" s="910" t="s">
        <v>148</v>
      </c>
      <c r="C355" s="928"/>
      <c r="D355" s="911"/>
      <c r="E355" s="911"/>
      <c r="F355" s="911"/>
      <c r="G355" s="912"/>
      <c r="H355" s="912"/>
      <c r="I355" s="942"/>
      <c r="J355" s="942"/>
      <c r="K355" s="917"/>
      <c r="L355" s="916"/>
      <c r="M355" s="917"/>
      <c r="N355" s="917"/>
      <c r="O355" s="917"/>
      <c r="P355" s="917"/>
      <c r="Q355" s="917"/>
      <c r="R355" s="917"/>
      <c r="S355" s="917"/>
      <c r="T355" s="917"/>
      <c r="U355" s="917"/>
    </row>
    <row r="356" spans="1:21" ht="19.5" x14ac:dyDescent="0.3">
      <c r="A356" s="674"/>
      <c r="B356" s="561"/>
      <c r="C356" s="675" t="s">
        <v>18</v>
      </c>
      <c r="D356" s="676" t="s">
        <v>19</v>
      </c>
      <c r="E356" s="561"/>
      <c r="F356" s="561"/>
      <c r="G356" s="563"/>
      <c r="H356" s="677" t="s">
        <v>14</v>
      </c>
      <c r="I356" s="565"/>
      <c r="J356" s="565"/>
      <c r="K356" s="566"/>
      <c r="L356" s="678">
        <f t="shared" ref="L356:N356" ca="1" si="229">L357+L358</f>
        <v>572630</v>
      </c>
      <c r="M356" s="679">
        <f t="shared" ca="1" si="229"/>
        <v>546830</v>
      </c>
      <c r="N356" s="679">
        <f t="shared" ca="1" si="229"/>
        <v>361107.3</v>
      </c>
      <c r="O356" s="679">
        <f t="shared" ref="O356:O364" ca="1" si="230">IF(L356&gt;0,N356*100/L356,0)</f>
        <v>63.061191345196725</v>
      </c>
      <c r="P356" s="679">
        <f t="shared" ref="P356:P364" ca="1" si="231">IF(M356&gt;0,N356*100/M356,0)</f>
        <v>66.036483002029883</v>
      </c>
      <c r="Q356" s="679">
        <f t="shared" ref="Q356:S356" si="232">Q357+Q358</f>
        <v>0</v>
      </c>
      <c r="R356" s="679">
        <f t="shared" si="232"/>
        <v>0</v>
      </c>
      <c r="S356" s="679">
        <f t="shared" si="232"/>
        <v>0</v>
      </c>
      <c r="T356" s="679">
        <f t="shared" ref="T356:T364" si="233">IF(Q356&gt;0,S356*100/Q356,0)</f>
        <v>0</v>
      </c>
      <c r="U356" s="679">
        <f t="shared" ref="U356:U364" si="234">IF(R356&gt;0,S356*100/R356,0)</f>
        <v>0</v>
      </c>
    </row>
    <row r="357" spans="1:21" ht="18.75" x14ac:dyDescent="0.25">
      <c r="A357" s="674"/>
      <c r="B357" s="561"/>
      <c r="C357" s="561"/>
      <c r="D357" s="561"/>
      <c r="E357" s="569" t="s">
        <v>20</v>
      </c>
      <c r="F357" s="561"/>
      <c r="G357" s="563"/>
      <c r="H357" s="680" t="s">
        <v>14</v>
      </c>
      <c r="I357" s="565"/>
      <c r="J357" s="565"/>
      <c r="K357" s="566"/>
      <c r="L357" s="571">
        <f t="shared" ref="L357:N358" si="235">L360+L363</f>
        <v>0</v>
      </c>
      <c r="M357" s="572">
        <f t="shared" si="235"/>
        <v>0</v>
      </c>
      <c r="N357" s="572">
        <f t="shared" si="235"/>
        <v>0</v>
      </c>
      <c r="O357" s="572">
        <f t="shared" si="230"/>
        <v>0</v>
      </c>
      <c r="P357" s="572">
        <f t="shared" si="231"/>
        <v>0</v>
      </c>
      <c r="Q357" s="572">
        <f t="shared" ref="Q357:S358" si="236">Q360+Q363</f>
        <v>0</v>
      </c>
      <c r="R357" s="572">
        <f t="shared" si="236"/>
        <v>0</v>
      </c>
      <c r="S357" s="572">
        <f t="shared" si="236"/>
        <v>0</v>
      </c>
      <c r="T357" s="572">
        <f t="shared" si="233"/>
        <v>0</v>
      </c>
      <c r="U357" s="572">
        <f t="shared" si="234"/>
        <v>0</v>
      </c>
    </row>
    <row r="358" spans="1:21" ht="18.75" x14ac:dyDescent="0.25">
      <c r="A358" s="674"/>
      <c r="B358" s="561"/>
      <c r="C358" s="561"/>
      <c r="D358" s="561"/>
      <c r="E358" s="573" t="s">
        <v>21</v>
      </c>
      <c r="F358" s="561"/>
      <c r="G358" s="563"/>
      <c r="H358" s="681" t="s">
        <v>14</v>
      </c>
      <c r="I358" s="565"/>
      <c r="J358" s="565"/>
      <c r="K358" s="566"/>
      <c r="L358" s="567">
        <f t="shared" ca="1" si="235"/>
        <v>572630</v>
      </c>
      <c r="M358" s="568">
        <f t="shared" ca="1" si="235"/>
        <v>546830</v>
      </c>
      <c r="N358" s="568">
        <f t="shared" ca="1" si="235"/>
        <v>361107.3</v>
      </c>
      <c r="O358" s="568">
        <f t="shared" ca="1" si="230"/>
        <v>63.061191345196725</v>
      </c>
      <c r="P358" s="568">
        <f t="shared" ca="1" si="231"/>
        <v>66.036483002029883</v>
      </c>
      <c r="Q358" s="568">
        <f t="shared" si="236"/>
        <v>0</v>
      </c>
      <c r="R358" s="568">
        <f t="shared" si="236"/>
        <v>0</v>
      </c>
      <c r="S358" s="568">
        <f t="shared" si="236"/>
        <v>0</v>
      </c>
      <c r="T358" s="568">
        <f t="shared" si="233"/>
        <v>0</v>
      </c>
      <c r="U358" s="568">
        <f t="shared" si="234"/>
        <v>0</v>
      </c>
    </row>
    <row r="359" spans="1:21" ht="18.75" x14ac:dyDescent="0.25">
      <c r="A359" s="674"/>
      <c r="B359" s="561"/>
      <c r="C359" s="561"/>
      <c r="D359" s="562" t="s">
        <v>22</v>
      </c>
      <c r="E359" s="561"/>
      <c r="F359" s="561"/>
      <c r="G359" s="563"/>
      <c r="H359" s="682" t="s">
        <v>14</v>
      </c>
      <c r="I359" s="683"/>
      <c r="J359" s="683"/>
      <c r="K359" s="684"/>
      <c r="L359" s="567">
        <f t="shared" ref="L359:N359" ca="1" si="237">L360+L361</f>
        <v>572630</v>
      </c>
      <c r="M359" s="568">
        <f t="shared" ca="1" si="237"/>
        <v>546830</v>
      </c>
      <c r="N359" s="568">
        <f t="shared" ca="1" si="237"/>
        <v>361107.3</v>
      </c>
      <c r="O359" s="568">
        <f t="shared" ca="1" si="230"/>
        <v>63.061191345196725</v>
      </c>
      <c r="P359" s="568">
        <f t="shared" ca="1" si="231"/>
        <v>66.036483002029883</v>
      </c>
      <c r="Q359" s="568">
        <f t="shared" ref="Q359:S359" si="238">Q360+Q361</f>
        <v>0</v>
      </c>
      <c r="R359" s="568">
        <f t="shared" si="238"/>
        <v>0</v>
      </c>
      <c r="S359" s="568">
        <f t="shared" si="238"/>
        <v>0</v>
      </c>
      <c r="T359" s="568">
        <f t="shared" si="233"/>
        <v>0</v>
      </c>
      <c r="U359" s="568">
        <f t="shared" si="234"/>
        <v>0</v>
      </c>
    </row>
    <row r="360" spans="1:21" ht="18.75" x14ac:dyDescent="0.25">
      <c r="A360" s="674"/>
      <c r="B360" s="561"/>
      <c r="C360" s="561"/>
      <c r="D360" s="561"/>
      <c r="E360" s="569" t="s">
        <v>36</v>
      </c>
      <c r="F360" s="561"/>
      <c r="G360" s="563"/>
      <c r="H360" s="685" t="s">
        <v>14</v>
      </c>
      <c r="I360" s="683"/>
      <c r="J360" s="683"/>
      <c r="K360" s="684"/>
      <c r="L360" s="571">
        <v>0</v>
      </c>
      <c r="M360" s="572">
        <v>0</v>
      </c>
      <c r="N360" s="572">
        <v>0</v>
      </c>
      <c r="O360" s="572">
        <f t="shared" si="230"/>
        <v>0</v>
      </c>
      <c r="P360" s="572">
        <f t="shared" si="231"/>
        <v>0</v>
      </c>
      <c r="Q360" s="572">
        <v>0</v>
      </c>
      <c r="R360" s="572">
        <v>0</v>
      </c>
      <c r="S360" s="572">
        <v>0</v>
      </c>
      <c r="T360" s="572">
        <f t="shared" si="233"/>
        <v>0</v>
      </c>
      <c r="U360" s="572">
        <f t="shared" si="234"/>
        <v>0</v>
      </c>
    </row>
    <row r="361" spans="1:21" ht="18.75" x14ac:dyDescent="0.25">
      <c r="A361" s="674"/>
      <c r="B361" s="561"/>
      <c r="C361" s="561"/>
      <c r="D361" s="561"/>
      <c r="E361" s="573" t="s">
        <v>37</v>
      </c>
      <c r="F361" s="561"/>
      <c r="G361" s="563"/>
      <c r="H361" s="682" t="s">
        <v>14</v>
      </c>
      <c r="I361" s="683"/>
      <c r="J361" s="683"/>
      <c r="K361" s="684"/>
      <c r="L361" s="567">
        <f ca="1">IFERROR(__xludf.DUMMYFUNCTION("IMPORTRANGE(""https://docs.google.com/spreadsheets/d/1-uDff_7J0KD5mKrp0Vvzr7lt3OU09vwQwhkpOPPYv2Y/edit?usp=sharing"",""งบพรบ!FC16"")"),572630)</f>
        <v>572630</v>
      </c>
      <c r="M361" s="568">
        <f ca="1">IFERROR(__xludf.DUMMYFUNCTION("IMPORTRANGE(""https://docs.google.com/spreadsheets/d/1-uDff_7J0KD5mKrp0Vvzr7lt3OU09vwQwhkpOPPYv2Y/edit?usp=sharing"",""งบพรบ!FH16"")"),546830)</f>
        <v>546830</v>
      </c>
      <c r="N361" s="568">
        <f ca="1">IFERROR(__xludf.DUMMYFUNCTION("IMPORTRANGE(""https://docs.google.com/spreadsheets/d/1-uDff_7J0KD5mKrp0Vvzr7lt3OU09vwQwhkpOPPYv2Y/edit?usp=sharing"",""งบพรบ!FJ16"")"),361107.3)</f>
        <v>361107.3</v>
      </c>
      <c r="O361" s="568">
        <f t="shared" ca="1" si="230"/>
        <v>63.061191345196725</v>
      </c>
      <c r="P361" s="568">
        <f t="shared" ca="1" si="231"/>
        <v>66.036483002029883</v>
      </c>
      <c r="Q361" s="568">
        <v>0</v>
      </c>
      <c r="R361" s="568">
        <v>0</v>
      </c>
      <c r="S361" s="568">
        <v>0</v>
      </c>
      <c r="T361" s="568">
        <f t="shared" si="233"/>
        <v>0</v>
      </c>
      <c r="U361" s="568">
        <f t="shared" si="234"/>
        <v>0</v>
      </c>
    </row>
    <row r="362" spans="1:21" ht="18.75" x14ac:dyDescent="0.25">
      <c r="A362" s="674"/>
      <c r="B362" s="561"/>
      <c r="C362" s="561"/>
      <c r="D362" s="562" t="s">
        <v>23</v>
      </c>
      <c r="E362" s="561"/>
      <c r="F362" s="561"/>
      <c r="G362" s="563"/>
      <c r="H362" s="686" t="s">
        <v>14</v>
      </c>
      <c r="I362" s="683"/>
      <c r="J362" s="683"/>
      <c r="K362" s="684"/>
      <c r="L362" s="567">
        <f t="shared" ref="L362:N362" ca="1" si="239">L363+L364</f>
        <v>0</v>
      </c>
      <c r="M362" s="568">
        <f t="shared" ca="1" si="239"/>
        <v>0</v>
      </c>
      <c r="N362" s="568">
        <f t="shared" ca="1" si="239"/>
        <v>0</v>
      </c>
      <c r="O362" s="568">
        <f t="shared" ca="1" si="230"/>
        <v>0</v>
      </c>
      <c r="P362" s="568">
        <f t="shared" ca="1" si="231"/>
        <v>0</v>
      </c>
      <c r="Q362" s="568">
        <f t="shared" ref="Q362:S362" si="240">Q363+Q364</f>
        <v>0</v>
      </c>
      <c r="R362" s="568">
        <f t="shared" si="240"/>
        <v>0</v>
      </c>
      <c r="S362" s="568">
        <f t="shared" si="240"/>
        <v>0</v>
      </c>
      <c r="T362" s="568">
        <f t="shared" si="233"/>
        <v>0</v>
      </c>
      <c r="U362" s="568">
        <f t="shared" si="234"/>
        <v>0</v>
      </c>
    </row>
    <row r="363" spans="1:21" ht="18.75" x14ac:dyDescent="0.25">
      <c r="A363" s="674"/>
      <c r="B363" s="561"/>
      <c r="C363" s="561"/>
      <c r="D363" s="561"/>
      <c r="E363" s="569" t="s">
        <v>20</v>
      </c>
      <c r="F363" s="561"/>
      <c r="G363" s="563"/>
      <c r="H363" s="685" t="s">
        <v>14</v>
      </c>
      <c r="I363" s="683"/>
      <c r="J363" s="683"/>
      <c r="K363" s="684"/>
      <c r="L363" s="571">
        <v>0</v>
      </c>
      <c r="M363" s="572">
        <v>0</v>
      </c>
      <c r="N363" s="572">
        <v>0</v>
      </c>
      <c r="O363" s="572">
        <f t="shared" si="230"/>
        <v>0</v>
      </c>
      <c r="P363" s="572">
        <f t="shared" si="231"/>
        <v>0</v>
      </c>
      <c r="Q363" s="572">
        <v>0</v>
      </c>
      <c r="R363" s="572">
        <v>0</v>
      </c>
      <c r="S363" s="572">
        <v>0</v>
      </c>
      <c r="T363" s="572">
        <f t="shared" si="233"/>
        <v>0</v>
      </c>
      <c r="U363" s="572">
        <f t="shared" si="234"/>
        <v>0</v>
      </c>
    </row>
    <row r="364" spans="1:21" ht="18.75" x14ac:dyDescent="0.25">
      <c r="A364" s="674"/>
      <c r="B364" s="561"/>
      <c r="C364" s="561"/>
      <c r="D364" s="561"/>
      <c r="E364" s="573" t="s">
        <v>21</v>
      </c>
      <c r="F364" s="561"/>
      <c r="G364" s="563"/>
      <c r="H364" s="686" t="s">
        <v>14</v>
      </c>
      <c r="I364" s="683"/>
      <c r="J364" s="683"/>
      <c r="K364" s="684"/>
      <c r="L364" s="567">
        <f ca="1">IFERROR(__xludf.DUMMYFUNCTION("IMPORTRANGE(""https://docs.google.com/spreadsheets/d/1-uDff_7J0KD5mKrp0Vvzr7lt3OU09vwQwhkpOPPYv2Y/edit?usp=sharing"",""งบพรบ!FF16"")"),0)</f>
        <v>0</v>
      </c>
      <c r="M364" s="568">
        <f ca="1">IFERROR(__xludf.DUMMYFUNCTION("IMPORTRANGE(""https://docs.google.com/spreadsheets/d/1-uDff_7J0KD5mKrp0Vvzr7lt3OU09vwQwhkpOPPYv2Y/edit?usp=sharing"",""งบพรบ!FI16"")"),0)</f>
        <v>0</v>
      </c>
      <c r="N364" s="568">
        <f ca="1">IFERROR(__xludf.DUMMYFUNCTION("IMPORTRANGE(""https://docs.google.com/spreadsheets/d/1-uDff_7J0KD5mKrp0Vvzr7lt3OU09vwQwhkpOPPYv2Y/edit?usp=sharing"",""งบพรบ!FK16"")"),0)</f>
        <v>0</v>
      </c>
      <c r="O364" s="568">
        <f t="shared" ca="1" si="230"/>
        <v>0</v>
      </c>
      <c r="P364" s="568">
        <f t="shared" ca="1" si="231"/>
        <v>0</v>
      </c>
      <c r="Q364" s="568">
        <v>0</v>
      </c>
      <c r="R364" s="568">
        <v>0</v>
      </c>
      <c r="S364" s="568">
        <v>0</v>
      </c>
      <c r="T364" s="568">
        <f t="shared" si="233"/>
        <v>0</v>
      </c>
      <c r="U364" s="568">
        <f t="shared" si="234"/>
        <v>0</v>
      </c>
    </row>
    <row r="365" spans="1:21" ht="19.5" x14ac:dyDescent="0.3">
      <c r="A365" s="769"/>
      <c r="B365" s="770"/>
      <c r="C365" s="772"/>
      <c r="D365" s="941" t="s">
        <v>149</v>
      </c>
      <c r="E365" s="772"/>
      <c r="F365" s="772"/>
      <c r="G365" s="773"/>
      <c r="H365" s="782" t="s">
        <v>35</v>
      </c>
      <c r="I365" s="775">
        <f t="shared" ref="I365:J365" ca="1" si="241">I371</f>
        <v>131</v>
      </c>
      <c r="J365" s="775">
        <f t="shared" ca="1" si="241"/>
        <v>171</v>
      </c>
      <c r="K365" s="776">
        <f ca="1">IF(I365&gt;0,J365*100/I365,0)</f>
        <v>130.53435114503816</v>
      </c>
      <c r="L365" s="777"/>
      <c r="M365" s="778"/>
      <c r="N365" s="778"/>
      <c r="O365" s="778"/>
      <c r="P365" s="778"/>
      <c r="Q365" s="778"/>
      <c r="R365" s="778"/>
      <c r="S365" s="778"/>
      <c r="T365" s="778"/>
      <c r="U365" s="778"/>
    </row>
    <row r="366" spans="1:21" ht="19.5" x14ac:dyDescent="0.3">
      <c r="A366" s="687"/>
      <c r="B366" s="688"/>
      <c r="C366" s="675" t="s">
        <v>18</v>
      </c>
      <c r="D366" s="689" t="s">
        <v>38</v>
      </c>
      <c r="E366" s="690"/>
      <c r="F366" s="690"/>
      <c r="G366" s="691"/>
      <c r="H366" s="692"/>
      <c r="I366" s="565"/>
      <c r="J366" s="565"/>
      <c r="K366" s="566"/>
      <c r="L366" s="693"/>
      <c r="M366" s="684"/>
      <c r="N366" s="684"/>
      <c r="O366" s="684"/>
      <c r="P366" s="684"/>
      <c r="Q366" s="684"/>
      <c r="R366" s="684"/>
      <c r="S366" s="684"/>
      <c r="T366" s="684"/>
      <c r="U366" s="684"/>
    </row>
    <row r="367" spans="1:21" ht="18.75" x14ac:dyDescent="0.25">
      <c r="A367" s="687"/>
      <c r="B367" s="695"/>
      <c r="C367" s="688"/>
      <c r="D367" s="695"/>
      <c r="E367" s="694" t="s">
        <v>150</v>
      </c>
      <c r="F367" s="695"/>
      <c r="G367" s="692"/>
      <c r="H367" s="704" t="s">
        <v>35</v>
      </c>
      <c r="I367" s="708">
        <v>0</v>
      </c>
      <c r="J367" s="708">
        <f ca="1">IFERROR(__xludf.DUMMYFUNCTION("IMPORTRANGE(""https://docs.google.com/spreadsheets/d/1tdoBKaGub7dwA3U6UFTqxio9LNnvDCQjHKmttSEBsFQ/edit?usp=sharing"",""จัดที่ดิน!AB16"")"),181)</f>
        <v>181</v>
      </c>
      <c r="K367" s="568">
        <f t="shared" ref="K367:K372" si="242">IF(I367&gt;0,J367*100/I367,0)</f>
        <v>0</v>
      </c>
      <c r="L367" s="693"/>
      <c r="M367" s="684"/>
      <c r="N367" s="684"/>
      <c r="O367" s="684"/>
      <c r="P367" s="684"/>
      <c r="Q367" s="684"/>
      <c r="R367" s="684"/>
      <c r="S367" s="684"/>
      <c r="T367" s="684"/>
      <c r="U367" s="684"/>
    </row>
    <row r="368" spans="1:21" ht="18.75" x14ac:dyDescent="0.25">
      <c r="A368" s="687"/>
      <c r="B368" s="695"/>
      <c r="C368" s="688"/>
      <c r="D368" s="695"/>
      <c r="E368" s="695"/>
      <c r="F368" s="695"/>
      <c r="G368" s="692"/>
      <c r="H368" s="704" t="s">
        <v>46</v>
      </c>
      <c r="I368" s="708">
        <f ca="1">IFERROR(__xludf.DUMMYFUNCTION("IMPORTRANGE(""https://docs.google.com/spreadsheets/d/1eHaY18a8A9IcSdp1K8H6x8fbOy06t2VsZHhMHf-1x7Y/edit?usp=sharing"",""แผน!EW16"")"),545)</f>
        <v>545</v>
      </c>
      <c r="J368" s="943">
        <f ca="1">IFERROR(__xludf.DUMMYFUNCTION("IMPORTRANGE(""https://docs.google.com/spreadsheets/d/1tdoBKaGub7dwA3U6UFTqxio9LNnvDCQjHKmttSEBsFQ/edit?usp=sharing"",""จัดที่ดิน!AC16"")"),562.69)</f>
        <v>562.69000000000005</v>
      </c>
      <c r="K368" s="568">
        <f t="shared" ca="1" si="242"/>
        <v>103.24587155963304</v>
      </c>
      <c r="L368" s="693"/>
      <c r="M368" s="684"/>
      <c r="N368" s="684"/>
      <c r="O368" s="684"/>
      <c r="P368" s="684"/>
      <c r="Q368" s="684"/>
      <c r="R368" s="684"/>
      <c r="S368" s="684"/>
      <c r="T368" s="684"/>
      <c r="U368" s="684"/>
    </row>
    <row r="369" spans="1:21" ht="18.75" x14ac:dyDescent="0.25">
      <c r="A369" s="687"/>
      <c r="B369" s="695"/>
      <c r="C369" s="688"/>
      <c r="D369" s="695"/>
      <c r="E369" s="694" t="s">
        <v>151</v>
      </c>
      <c r="F369" s="695"/>
      <c r="G369" s="692"/>
      <c r="H369" s="700" t="s">
        <v>35</v>
      </c>
      <c r="I369" s="708">
        <f ca="1">IFERROR(__xludf.DUMMYFUNCTION("IMPORTRANGE(""https://docs.google.com/spreadsheets/d/1eHaY18a8A9IcSdp1K8H6x8fbOy06t2VsZHhMHf-1x7Y/edit?usp=sharing"",""แผน!EX16"")"),131)</f>
        <v>131</v>
      </c>
      <c r="J369" s="708">
        <f ca="1">IFERROR(__xludf.DUMMYFUNCTION("IMPORTRANGE(""https://docs.google.com/spreadsheets/d/1tdoBKaGub7dwA3U6UFTqxio9LNnvDCQjHKmttSEBsFQ/edit?usp=sharing"",""จัดที่ดิน!AD16"")"),182)</f>
        <v>182</v>
      </c>
      <c r="K369" s="568">
        <f t="shared" ca="1" si="242"/>
        <v>138.93129770992365</v>
      </c>
      <c r="L369" s="693"/>
      <c r="M369" s="684"/>
      <c r="N369" s="684"/>
      <c r="O369" s="684"/>
      <c r="P369" s="684"/>
      <c r="Q369" s="684"/>
      <c r="R369" s="684"/>
      <c r="S369" s="684"/>
      <c r="T369" s="684"/>
      <c r="U369" s="684"/>
    </row>
    <row r="370" spans="1:21" ht="18.75" x14ac:dyDescent="0.25">
      <c r="A370" s="687"/>
      <c r="B370" s="695"/>
      <c r="C370" s="688"/>
      <c r="D370" s="695"/>
      <c r="E370" s="695"/>
      <c r="F370" s="695"/>
      <c r="G370" s="692"/>
      <c r="H370" s="700" t="s">
        <v>46</v>
      </c>
      <c r="I370" s="708">
        <v>0</v>
      </c>
      <c r="J370" s="943">
        <f ca="1">IFERROR(__xludf.DUMMYFUNCTION("IMPORTRANGE(""https://docs.google.com/spreadsheets/d/1tdoBKaGub7dwA3U6UFTqxio9LNnvDCQjHKmttSEBsFQ/edit?usp=sharing"",""จัดที่ดิน!AE16"")"),987.73)</f>
        <v>987.73</v>
      </c>
      <c r="K370" s="568">
        <f t="shared" si="242"/>
        <v>0</v>
      </c>
      <c r="L370" s="693"/>
      <c r="M370" s="684"/>
      <c r="N370" s="684"/>
      <c r="O370" s="684"/>
      <c r="P370" s="684"/>
      <c r="Q370" s="684"/>
      <c r="R370" s="684"/>
      <c r="S370" s="684"/>
      <c r="T370" s="684"/>
      <c r="U370" s="684"/>
    </row>
    <row r="371" spans="1:21" ht="18.75" x14ac:dyDescent="0.25">
      <c r="A371" s="687"/>
      <c r="B371" s="695"/>
      <c r="C371" s="688"/>
      <c r="D371" s="695"/>
      <c r="E371" s="944" t="s">
        <v>152</v>
      </c>
      <c r="F371" s="695"/>
      <c r="G371" s="692"/>
      <c r="H371" s="700" t="s">
        <v>35</v>
      </c>
      <c r="I371" s="708">
        <f ca="1">IFERROR(__xludf.DUMMYFUNCTION("IMPORTRANGE(""https://docs.google.com/spreadsheets/d/1eHaY18a8A9IcSdp1K8H6x8fbOy06t2VsZHhMHf-1x7Y/edit?usp=sharing"",""แผน!EY16"")"),131)</f>
        <v>131</v>
      </c>
      <c r="J371" s="708">
        <f ca="1">IFERROR(__xludf.DUMMYFUNCTION("IMPORTRANGE(""https://docs.google.com/spreadsheets/d/1tdoBKaGub7dwA3U6UFTqxio9LNnvDCQjHKmttSEBsFQ/edit?usp=sharing"",""จัดที่ดิน!AF16"")"),171)</f>
        <v>171</v>
      </c>
      <c r="K371" s="568">
        <f t="shared" ca="1" si="242"/>
        <v>130.53435114503816</v>
      </c>
      <c r="L371" s="693"/>
      <c r="M371" s="684"/>
      <c r="N371" s="684"/>
      <c r="O371" s="684"/>
      <c r="P371" s="684"/>
      <c r="Q371" s="684"/>
      <c r="R371" s="684"/>
      <c r="S371" s="684"/>
      <c r="T371" s="684"/>
      <c r="U371" s="684"/>
    </row>
    <row r="372" spans="1:21" ht="18.75" x14ac:dyDescent="0.25">
      <c r="A372" s="687"/>
      <c r="B372" s="695"/>
      <c r="C372" s="688"/>
      <c r="D372" s="695"/>
      <c r="E372" s="695"/>
      <c r="F372" s="695"/>
      <c r="G372" s="692"/>
      <c r="H372" s="700" t="s">
        <v>46</v>
      </c>
      <c r="I372" s="708">
        <v>0</v>
      </c>
      <c r="J372" s="943">
        <f ca="1">IFERROR(__xludf.DUMMYFUNCTION("IMPORTRANGE(""https://docs.google.com/spreadsheets/d/1tdoBKaGub7dwA3U6UFTqxio9LNnvDCQjHKmttSEBsFQ/edit?usp=sharing"",""จัดที่ดิน!AG16"")"),888.03)</f>
        <v>888.03</v>
      </c>
      <c r="K372" s="568">
        <f t="shared" si="242"/>
        <v>0</v>
      </c>
      <c r="L372" s="693"/>
      <c r="M372" s="684"/>
      <c r="N372" s="684"/>
      <c r="O372" s="684"/>
      <c r="P372" s="684"/>
      <c r="Q372" s="684"/>
      <c r="R372" s="684"/>
      <c r="S372" s="684"/>
      <c r="T372" s="684"/>
      <c r="U372" s="684"/>
    </row>
    <row r="373" spans="1:21" ht="16.5" x14ac:dyDescent="0.25">
      <c r="A373" s="514"/>
      <c r="B373" s="513"/>
      <c r="C373" s="514"/>
      <c r="D373" s="9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513"/>
      <c r="F373" s="513"/>
      <c r="G373" s="577"/>
      <c r="H373" s="577"/>
      <c r="I373" s="579"/>
      <c r="J373" s="579"/>
      <c r="K373" s="580"/>
      <c r="L373" s="581"/>
      <c r="M373" s="580"/>
      <c r="N373" s="580"/>
      <c r="O373" s="580"/>
      <c r="P373" s="580"/>
      <c r="Q373" s="580"/>
      <c r="R373" s="580"/>
      <c r="S373" s="580"/>
      <c r="T373" s="580"/>
      <c r="U373" s="580"/>
    </row>
    <row r="374" spans="1:21" ht="19.5" x14ac:dyDescent="0.3">
      <c r="A374" s="946"/>
      <c r="B374" s="947" t="s">
        <v>153</v>
      </c>
      <c r="C374" s="948"/>
      <c r="D374" s="949"/>
      <c r="E374" s="950"/>
      <c r="F374" s="950"/>
      <c r="G374" s="951"/>
      <c r="H374" s="952" t="s">
        <v>46</v>
      </c>
      <c r="I374" s="1151">
        <f t="shared" ref="I374:J374" ca="1" si="243">I386+I388</f>
        <v>2000</v>
      </c>
      <c r="J374" s="953">
        <f t="shared" ca="1" si="243"/>
        <v>195</v>
      </c>
      <c r="K374" s="954">
        <f ca="1">IF(I374&gt;0,J374*100/I374,0)</f>
        <v>9.75</v>
      </c>
      <c r="L374" s="916"/>
      <c r="M374" s="917"/>
      <c r="N374" s="917"/>
      <c r="O374" s="917"/>
      <c r="P374" s="917"/>
      <c r="Q374" s="917"/>
      <c r="R374" s="917"/>
      <c r="S374" s="917"/>
      <c r="T374" s="917"/>
      <c r="U374" s="917"/>
    </row>
    <row r="375" spans="1:21" ht="19.5" x14ac:dyDescent="0.3">
      <c r="A375" s="674"/>
      <c r="B375" s="718"/>
      <c r="C375" s="719" t="s">
        <v>18</v>
      </c>
      <c r="D375" s="955" t="s">
        <v>19</v>
      </c>
      <c r="E375" s="561"/>
      <c r="F375" s="561"/>
      <c r="G375" s="563"/>
      <c r="H375" s="677" t="s">
        <v>14</v>
      </c>
      <c r="I375" s="1152"/>
      <c r="J375" s="565"/>
      <c r="K375" s="566"/>
      <c r="L375" s="678">
        <f t="shared" ref="L375:N375" ca="1" si="244">L376+L377</f>
        <v>48400</v>
      </c>
      <c r="M375" s="679">
        <f t="shared" ca="1" si="244"/>
        <v>48400</v>
      </c>
      <c r="N375" s="679">
        <f t="shared" ca="1" si="244"/>
        <v>0</v>
      </c>
      <c r="O375" s="679">
        <f t="shared" ref="O375:O383" ca="1" si="245">IF(L375&gt;0,N375*100/L375,0)</f>
        <v>0</v>
      </c>
      <c r="P375" s="679">
        <f t="shared" ref="P375:P383" ca="1" si="246">IF(M375&gt;0,N375*100/M375,0)</f>
        <v>0</v>
      </c>
      <c r="Q375" s="679">
        <f t="shared" ref="Q375:S375" ca="1" si="247">Q376+Q377</f>
        <v>125000</v>
      </c>
      <c r="R375" s="679">
        <f t="shared" ca="1" si="247"/>
        <v>125000</v>
      </c>
      <c r="S375" s="679">
        <f t="shared" ca="1" si="247"/>
        <v>0</v>
      </c>
      <c r="T375" s="679">
        <f t="shared" ref="T375:T383" ca="1" si="248">IF(Q375&gt;0,S375*100/Q375,0)</f>
        <v>0</v>
      </c>
      <c r="U375" s="679">
        <f t="shared" ref="U375:U383" ca="1" si="249">IF(R375&gt;0,S375*100/R375,0)</f>
        <v>0</v>
      </c>
    </row>
    <row r="376" spans="1:21" ht="18.75" x14ac:dyDescent="0.25">
      <c r="A376" s="674"/>
      <c r="B376" s="718"/>
      <c r="C376" s="718"/>
      <c r="D376" s="718"/>
      <c r="E376" s="569" t="s">
        <v>20</v>
      </c>
      <c r="F376" s="561"/>
      <c r="G376" s="563"/>
      <c r="H376" s="680" t="s">
        <v>14</v>
      </c>
      <c r="I376" s="1152"/>
      <c r="J376" s="565"/>
      <c r="K376" s="566"/>
      <c r="L376" s="571">
        <f t="shared" ref="L376:N377" si="250">L379+L382</f>
        <v>0</v>
      </c>
      <c r="M376" s="572">
        <f t="shared" si="250"/>
        <v>0</v>
      </c>
      <c r="N376" s="572">
        <f t="shared" si="250"/>
        <v>0</v>
      </c>
      <c r="O376" s="572">
        <f t="shared" si="245"/>
        <v>0</v>
      </c>
      <c r="P376" s="572">
        <f t="shared" si="246"/>
        <v>0</v>
      </c>
      <c r="Q376" s="572">
        <f t="shared" ref="Q376:S377" si="251">Q379+Q382</f>
        <v>0</v>
      </c>
      <c r="R376" s="572">
        <f t="shared" si="251"/>
        <v>0</v>
      </c>
      <c r="S376" s="572">
        <f t="shared" si="251"/>
        <v>0</v>
      </c>
      <c r="T376" s="572">
        <f t="shared" si="248"/>
        <v>0</v>
      </c>
      <c r="U376" s="572">
        <f t="shared" si="249"/>
        <v>0</v>
      </c>
    </row>
    <row r="377" spans="1:21" ht="18.75" x14ac:dyDescent="0.25">
      <c r="A377" s="674"/>
      <c r="B377" s="718"/>
      <c r="C377" s="718"/>
      <c r="D377" s="718"/>
      <c r="E377" s="573" t="s">
        <v>21</v>
      </c>
      <c r="F377" s="561"/>
      <c r="G377" s="563"/>
      <c r="H377" s="681" t="s">
        <v>14</v>
      </c>
      <c r="I377" s="1152"/>
      <c r="J377" s="565"/>
      <c r="K377" s="566"/>
      <c r="L377" s="567">
        <f t="shared" ca="1" si="250"/>
        <v>48400</v>
      </c>
      <c r="M377" s="568">
        <f t="shared" ca="1" si="250"/>
        <v>48400</v>
      </c>
      <c r="N377" s="568">
        <f t="shared" ca="1" si="250"/>
        <v>0</v>
      </c>
      <c r="O377" s="568">
        <f t="shared" ca="1" si="245"/>
        <v>0</v>
      </c>
      <c r="P377" s="568">
        <f t="shared" ca="1" si="246"/>
        <v>0</v>
      </c>
      <c r="Q377" s="568">
        <f t="shared" ca="1" si="251"/>
        <v>125000</v>
      </c>
      <c r="R377" s="568">
        <f t="shared" ca="1" si="251"/>
        <v>125000</v>
      </c>
      <c r="S377" s="568">
        <f t="shared" ca="1" si="251"/>
        <v>0</v>
      </c>
      <c r="T377" s="568">
        <f t="shared" ca="1" si="248"/>
        <v>0</v>
      </c>
      <c r="U377" s="568">
        <f t="shared" ca="1" si="249"/>
        <v>0</v>
      </c>
    </row>
    <row r="378" spans="1:21" ht="18.75" x14ac:dyDescent="0.25">
      <c r="A378" s="674"/>
      <c r="B378" s="718"/>
      <c r="C378" s="718"/>
      <c r="D378" s="721" t="s">
        <v>22</v>
      </c>
      <c r="E378" s="561"/>
      <c r="F378" s="561"/>
      <c r="G378" s="563"/>
      <c r="H378" s="682" t="s">
        <v>14</v>
      </c>
      <c r="I378" s="1153"/>
      <c r="J378" s="683"/>
      <c r="K378" s="684"/>
      <c r="L378" s="567">
        <f t="shared" ref="L378:N378" ca="1" si="252">L379+L380</f>
        <v>48400</v>
      </c>
      <c r="M378" s="568">
        <f t="shared" ca="1" si="252"/>
        <v>48400</v>
      </c>
      <c r="N378" s="568">
        <f t="shared" ca="1" si="252"/>
        <v>0</v>
      </c>
      <c r="O378" s="568">
        <f t="shared" ca="1" si="245"/>
        <v>0</v>
      </c>
      <c r="P378" s="568">
        <f t="shared" ca="1" si="246"/>
        <v>0</v>
      </c>
      <c r="Q378" s="568">
        <f t="shared" ref="Q378:S378" ca="1" si="253">Q379+Q380</f>
        <v>125000</v>
      </c>
      <c r="R378" s="568">
        <f t="shared" ca="1" si="253"/>
        <v>125000</v>
      </c>
      <c r="S378" s="568">
        <f t="shared" ca="1" si="253"/>
        <v>0</v>
      </c>
      <c r="T378" s="568">
        <f t="shared" ca="1" si="248"/>
        <v>0</v>
      </c>
      <c r="U378" s="568">
        <f t="shared" ca="1" si="249"/>
        <v>0</v>
      </c>
    </row>
    <row r="379" spans="1:21" ht="18.75" x14ac:dyDescent="0.25">
      <c r="A379" s="674"/>
      <c r="B379" s="718"/>
      <c r="C379" s="718"/>
      <c r="D379" s="718"/>
      <c r="E379" s="569" t="s">
        <v>36</v>
      </c>
      <c r="F379" s="561"/>
      <c r="G379" s="563"/>
      <c r="H379" s="685" t="s">
        <v>14</v>
      </c>
      <c r="I379" s="1153"/>
      <c r="J379" s="683"/>
      <c r="K379" s="684"/>
      <c r="L379" s="571">
        <v>0</v>
      </c>
      <c r="M379" s="572">
        <v>0</v>
      </c>
      <c r="N379" s="572">
        <v>0</v>
      </c>
      <c r="O379" s="572">
        <f t="shared" si="245"/>
        <v>0</v>
      </c>
      <c r="P379" s="572">
        <f t="shared" si="246"/>
        <v>0</v>
      </c>
      <c r="Q379" s="572">
        <v>0</v>
      </c>
      <c r="R379" s="572">
        <v>0</v>
      </c>
      <c r="S379" s="572">
        <v>0</v>
      </c>
      <c r="T379" s="572">
        <f t="shared" si="248"/>
        <v>0</v>
      </c>
      <c r="U379" s="572">
        <f t="shared" si="249"/>
        <v>0</v>
      </c>
    </row>
    <row r="380" spans="1:21" ht="18.75" x14ac:dyDescent="0.25">
      <c r="A380" s="674"/>
      <c r="B380" s="718"/>
      <c r="C380" s="718"/>
      <c r="D380" s="718"/>
      <c r="E380" s="765" t="s">
        <v>37</v>
      </c>
      <c r="F380" s="718"/>
      <c r="G380" s="727"/>
      <c r="H380" s="682" t="s">
        <v>14</v>
      </c>
      <c r="I380" s="1153"/>
      <c r="J380" s="683"/>
      <c r="K380" s="684"/>
      <c r="L380" s="567">
        <f ca="1">IFERROR(__xludf.DUMMYFUNCTION("IMPORTRANGE(""https://docs.google.com/spreadsheets/d/1-uDff_7J0KD5mKrp0Vvzr7lt3OU09vwQwhkpOPPYv2Y/edit?usp=sharing"",""งบพรบ!IE16"")"),48400)</f>
        <v>48400</v>
      </c>
      <c r="M380" s="568">
        <f ca="1">IFERROR(__xludf.DUMMYFUNCTION("IMPORTRANGE(""https://docs.google.com/spreadsheets/d/1-uDff_7J0KD5mKrp0Vvzr7lt3OU09vwQwhkpOPPYv2Y/edit?usp=sharing"",""งบพรบ!IJ16"")"),48400)</f>
        <v>48400</v>
      </c>
      <c r="N380" s="568">
        <f ca="1">IFERROR(__xludf.DUMMYFUNCTION("IMPORTRANGE(""https://docs.google.com/spreadsheets/d/1-uDff_7J0KD5mKrp0Vvzr7lt3OU09vwQwhkpOPPYv2Y/edit?usp=sharing"",""งบพรบ!IL16"")"),0)</f>
        <v>0</v>
      </c>
      <c r="O380" s="568">
        <f t="shared" ca="1" si="245"/>
        <v>0</v>
      </c>
      <c r="P380" s="568">
        <f t="shared" ca="1" si="246"/>
        <v>0</v>
      </c>
      <c r="Q380" s="568">
        <f ca="1">IFERROR(__xludf.DUMMYFUNCTION("IMPORTRANGE(""https://docs.google.com/spreadsheets/d/1ItG2mGa2ceCfYo0BwxsXqNm01IGEUdYcSSLTEv9YCik/edit?usp=sharing"",""เบิกจ่ายกองทุน!BW16"")"),125000)</f>
        <v>125000</v>
      </c>
      <c r="R380" s="568">
        <f ca="1">IFERROR(__xludf.DUMMYFUNCTION("IMPORTRANGE(""https://docs.google.com/spreadsheets/d/1ItG2mGa2ceCfYo0BwxsXqNm01IGEUdYcSSLTEv9YCik/edit?usp=sharing"",""เบิกจ่ายกองทุน!BX16"")"),125000)</f>
        <v>125000</v>
      </c>
      <c r="S380" s="568">
        <f ca="1">IFERROR(__xludf.DUMMYFUNCTION("IMPORTRANGE(""https://docs.google.com/spreadsheets/d/1ItG2mGa2ceCfYo0BwxsXqNm01IGEUdYcSSLTEv9YCik/edit?usp=sharing"",""เบิกจ่ายกองทุน!BY16"")"),0)</f>
        <v>0</v>
      </c>
      <c r="T380" s="568">
        <f t="shared" ca="1" si="248"/>
        <v>0</v>
      </c>
      <c r="U380" s="568">
        <f t="shared" ca="1" si="249"/>
        <v>0</v>
      </c>
    </row>
    <row r="381" spans="1:21" ht="18.75" x14ac:dyDescent="0.25">
      <c r="A381" s="674"/>
      <c r="B381" s="718"/>
      <c r="C381" s="718"/>
      <c r="D381" s="721" t="s">
        <v>23</v>
      </c>
      <c r="E381" s="561"/>
      <c r="F381" s="561"/>
      <c r="G381" s="563"/>
      <c r="H381" s="686" t="s">
        <v>14</v>
      </c>
      <c r="I381" s="1153"/>
      <c r="J381" s="683"/>
      <c r="K381" s="684"/>
      <c r="L381" s="567">
        <f t="shared" ref="L381:N381" ca="1" si="254">L382+L383</f>
        <v>0</v>
      </c>
      <c r="M381" s="568">
        <f t="shared" ca="1" si="254"/>
        <v>0</v>
      </c>
      <c r="N381" s="568">
        <f t="shared" ca="1" si="254"/>
        <v>0</v>
      </c>
      <c r="O381" s="568">
        <f t="shared" ca="1" si="245"/>
        <v>0</v>
      </c>
      <c r="P381" s="568">
        <f t="shared" ca="1" si="246"/>
        <v>0</v>
      </c>
      <c r="Q381" s="568">
        <f t="shared" ref="Q381:S381" si="255">Q382+Q383</f>
        <v>0</v>
      </c>
      <c r="R381" s="568">
        <f t="shared" si="255"/>
        <v>0</v>
      </c>
      <c r="S381" s="568">
        <f t="shared" si="255"/>
        <v>0</v>
      </c>
      <c r="T381" s="568">
        <f t="shared" si="248"/>
        <v>0</v>
      </c>
      <c r="U381" s="568">
        <f t="shared" si="249"/>
        <v>0</v>
      </c>
    </row>
    <row r="382" spans="1:21" ht="18.75" x14ac:dyDescent="0.25">
      <c r="A382" s="674"/>
      <c r="B382" s="718"/>
      <c r="C382" s="718"/>
      <c r="D382" s="718"/>
      <c r="E382" s="569" t="s">
        <v>20</v>
      </c>
      <c r="F382" s="561"/>
      <c r="G382" s="563"/>
      <c r="H382" s="685" t="s">
        <v>14</v>
      </c>
      <c r="I382" s="1153"/>
      <c r="J382" s="683"/>
      <c r="K382" s="684"/>
      <c r="L382" s="571">
        <v>0</v>
      </c>
      <c r="M382" s="572">
        <v>0</v>
      </c>
      <c r="N382" s="572">
        <v>0</v>
      </c>
      <c r="O382" s="572">
        <f t="shared" si="245"/>
        <v>0</v>
      </c>
      <c r="P382" s="572">
        <f t="shared" si="246"/>
        <v>0</v>
      </c>
      <c r="Q382" s="572">
        <v>0</v>
      </c>
      <c r="R382" s="572">
        <v>0</v>
      </c>
      <c r="S382" s="572">
        <v>0</v>
      </c>
      <c r="T382" s="572">
        <f t="shared" si="248"/>
        <v>0</v>
      </c>
      <c r="U382" s="572">
        <f t="shared" si="249"/>
        <v>0</v>
      </c>
    </row>
    <row r="383" spans="1:21" ht="18.75" x14ac:dyDescent="0.25">
      <c r="A383" s="674"/>
      <c r="B383" s="718"/>
      <c r="C383" s="718"/>
      <c r="D383" s="718"/>
      <c r="E383" s="573" t="s">
        <v>21</v>
      </c>
      <c r="F383" s="561"/>
      <c r="G383" s="563"/>
      <c r="H383" s="686" t="s">
        <v>14</v>
      </c>
      <c r="I383" s="1153"/>
      <c r="J383" s="683"/>
      <c r="K383" s="684"/>
      <c r="L383" s="567">
        <f ca="1">IFERROR(__xludf.DUMMYFUNCTION("IMPORTRANGE(""https://docs.google.com/spreadsheets/d/1-uDff_7J0KD5mKrp0Vvzr7lt3OU09vwQwhkpOPPYv2Y/edit?usp=sharing"",""งบพรบ!IH16"")"),0)</f>
        <v>0</v>
      </c>
      <c r="M383" s="568">
        <f ca="1">IFERROR(__xludf.DUMMYFUNCTION("IMPORTRANGE(""https://docs.google.com/spreadsheets/d/1-uDff_7J0KD5mKrp0Vvzr7lt3OU09vwQwhkpOPPYv2Y/edit?usp=sharing"",""งบพรบ!IK16"")"),0)</f>
        <v>0</v>
      </c>
      <c r="N383" s="568">
        <f ca="1">IFERROR(__xludf.DUMMYFUNCTION("IMPORTRANGE(""https://docs.google.com/spreadsheets/d/1-uDff_7J0KD5mKrp0Vvzr7lt3OU09vwQwhkpOPPYv2Y/edit?usp=sharing"",""งบพรบ!IM16"")"),0)</f>
        <v>0</v>
      </c>
      <c r="O383" s="568">
        <f t="shared" ca="1" si="245"/>
        <v>0</v>
      </c>
      <c r="P383" s="568">
        <f t="shared" ca="1" si="246"/>
        <v>0</v>
      </c>
      <c r="Q383" s="568">
        <v>0</v>
      </c>
      <c r="R383" s="568">
        <v>0</v>
      </c>
      <c r="S383" s="568">
        <v>0</v>
      </c>
      <c r="T383" s="568">
        <f t="shared" si="248"/>
        <v>0</v>
      </c>
      <c r="U383" s="568">
        <f t="shared" si="249"/>
        <v>0</v>
      </c>
    </row>
    <row r="384" spans="1:21" ht="19.5" x14ac:dyDescent="0.3">
      <c r="A384" s="687"/>
      <c r="B384" s="688"/>
      <c r="C384" s="719" t="s">
        <v>18</v>
      </c>
      <c r="D384" s="956" t="s">
        <v>38</v>
      </c>
      <c r="E384" s="690"/>
      <c r="F384" s="690"/>
      <c r="G384" s="691"/>
      <c r="H384" s="725"/>
      <c r="I384" s="1153"/>
      <c r="J384" s="565"/>
      <c r="K384" s="566"/>
      <c r="L384" s="574"/>
      <c r="M384" s="566"/>
      <c r="N384" s="566"/>
      <c r="O384" s="684"/>
      <c r="P384" s="684"/>
      <c r="Q384" s="566"/>
      <c r="R384" s="566"/>
      <c r="S384" s="566"/>
      <c r="T384" s="684"/>
      <c r="U384" s="684"/>
    </row>
    <row r="385" spans="1:21" ht="18.75" x14ac:dyDescent="0.25">
      <c r="A385" s="764"/>
      <c r="B385" s="718"/>
      <c r="C385" s="718"/>
      <c r="D385" s="718"/>
      <c r="E385" s="573" t="s">
        <v>154</v>
      </c>
      <c r="F385" s="561"/>
      <c r="G385" s="563"/>
      <c r="H385" s="681" t="s">
        <v>34</v>
      </c>
      <c r="I385" s="1154">
        <v>0</v>
      </c>
      <c r="J385" s="708">
        <f ca="1">IFERROR(__xludf.DUMMYFUNCTION("IMPORTRANGE(""https://docs.google.com/spreadsheets/d/1w5rwWK1o49a35cNtocGL0gxDwhFSTZUQu90BiH9_zqM/edit?usp=sharing"",""RTK!H16"")"),46)</f>
        <v>46</v>
      </c>
      <c r="K385" s="568">
        <f t="shared" ref="K385:K388" si="256">IF(I385&gt;0,J385*100/I385,0)</f>
        <v>0</v>
      </c>
      <c r="L385" s="574"/>
      <c r="M385" s="566"/>
      <c r="N385" s="566"/>
      <c r="O385" s="566"/>
      <c r="P385" s="566"/>
      <c r="Q385" s="566"/>
      <c r="R385" s="566"/>
      <c r="S385" s="566"/>
      <c r="T385" s="566"/>
      <c r="U385" s="566"/>
    </row>
    <row r="386" spans="1:21" ht="18.75" x14ac:dyDescent="0.25">
      <c r="A386" s="718"/>
      <c r="B386" s="718"/>
      <c r="C386" s="718"/>
      <c r="D386" s="718"/>
      <c r="E386" s="718"/>
      <c r="F386" s="718"/>
      <c r="G386" s="727"/>
      <c r="H386" s="681" t="s">
        <v>46</v>
      </c>
      <c r="I386" s="1154">
        <f ca="1">IFERROR(__xludf.DUMMYFUNCTION("IMPORTRANGE(""https://docs.google.com/spreadsheets/d/1w5rwWK1o49a35cNtocGL0gxDwhFSTZUQu90BiH9_zqM/edit?usp=sharing"",""RTK!G16"")"),2000)</f>
        <v>2000</v>
      </c>
      <c r="J386" s="708">
        <f ca="1">IFERROR(__xludf.DUMMYFUNCTION("IMPORTRANGE(""https://docs.google.com/spreadsheets/d/1w5rwWK1o49a35cNtocGL0gxDwhFSTZUQu90BiH9_zqM/edit?usp=sharing"",""RTK!I16"")"),195)</f>
        <v>195</v>
      </c>
      <c r="K386" s="568">
        <f t="shared" ca="1" si="256"/>
        <v>9.75</v>
      </c>
      <c r="L386" s="574"/>
      <c r="M386" s="566"/>
      <c r="N386" s="566"/>
      <c r="O386" s="566"/>
      <c r="P386" s="566"/>
      <c r="Q386" s="566"/>
      <c r="R386" s="566"/>
      <c r="S386" s="566"/>
      <c r="T386" s="566"/>
      <c r="U386" s="566"/>
    </row>
    <row r="387" spans="1:21" ht="18.75" x14ac:dyDescent="0.25">
      <c r="A387" s="957"/>
      <c r="B387" s="957"/>
      <c r="C387" s="957"/>
      <c r="D387" s="957"/>
      <c r="E387" s="958" t="s">
        <v>155</v>
      </c>
      <c r="F387" s="957"/>
      <c r="G387" s="959"/>
      <c r="H387" s="839" t="s">
        <v>34</v>
      </c>
      <c r="I387" s="1155">
        <v>0</v>
      </c>
      <c r="J387" s="960">
        <f ca="1">IFERROR(__xludf.DUMMYFUNCTION("IMPORTRANGE(""https://docs.google.com/spreadsheets/d/1w5rwWK1o49a35cNtocGL0gxDwhFSTZUQu90BiH9_zqM/edit?usp=sharing"",""RTK!L16"")"),0)</f>
        <v>0</v>
      </c>
      <c r="K387" s="841">
        <f t="shared" si="256"/>
        <v>0</v>
      </c>
      <c r="L387" s="1106"/>
      <c r="M387" s="830"/>
      <c r="N387" s="830"/>
      <c r="O387" s="830"/>
      <c r="P387" s="830"/>
      <c r="Q387" s="830"/>
      <c r="R387" s="830"/>
      <c r="S387" s="830"/>
      <c r="T387" s="830"/>
      <c r="U387" s="830"/>
    </row>
    <row r="388" spans="1:21" ht="18.75" x14ac:dyDescent="0.25">
      <c r="A388" s="957"/>
      <c r="B388" s="957"/>
      <c r="C388" s="957"/>
      <c r="D388" s="957"/>
      <c r="E388" s="957"/>
      <c r="F388" s="957"/>
      <c r="G388" s="959"/>
      <c r="H388" s="839" t="s">
        <v>46</v>
      </c>
      <c r="I388" s="1155">
        <f ca="1">IFERROR(__xludf.DUMMYFUNCTION("IMPORTRANGE(""https://docs.google.com/spreadsheets/d/1w5rwWK1o49a35cNtocGL0gxDwhFSTZUQu90BiH9_zqM/edit?usp=sharing"",""RTK!K16"")"),0)</f>
        <v>0</v>
      </c>
      <c r="J388" s="960">
        <f ca="1">IFERROR(__xludf.DUMMYFUNCTION("IMPORTRANGE(""https://docs.google.com/spreadsheets/d/1w5rwWK1o49a35cNtocGL0gxDwhFSTZUQu90BiH9_zqM/edit?usp=sharing"",""RTK!M16"")"),0)</f>
        <v>0</v>
      </c>
      <c r="K388" s="841">
        <f t="shared" ca="1" si="256"/>
        <v>0</v>
      </c>
      <c r="L388" s="1106"/>
      <c r="M388" s="830"/>
      <c r="N388" s="830"/>
      <c r="O388" s="830"/>
      <c r="P388" s="830"/>
      <c r="Q388" s="830"/>
      <c r="R388" s="830"/>
      <c r="S388" s="830"/>
      <c r="T388" s="830"/>
      <c r="U388" s="830"/>
    </row>
    <row r="389" spans="1:21" ht="12.75" hidden="1" x14ac:dyDescent="0.2">
      <c r="A389" s="961"/>
      <c r="B389" s="961"/>
      <c r="C389" s="961"/>
      <c r="D389" s="961"/>
      <c r="E389" s="961"/>
      <c r="F389" s="961"/>
      <c r="G389" s="962"/>
      <c r="H389" s="962"/>
      <c r="I389" s="1156"/>
      <c r="J389" s="963"/>
      <c r="K389" s="964"/>
      <c r="L389" s="965"/>
      <c r="M389" s="964"/>
      <c r="N389" s="964"/>
      <c r="O389" s="964"/>
      <c r="P389" s="964"/>
      <c r="Q389" s="964"/>
      <c r="R389" s="964"/>
      <c r="S389" s="964"/>
      <c r="T389" s="964"/>
      <c r="U389" s="964"/>
    </row>
    <row r="390" spans="1:21" ht="12.75" hidden="1" x14ac:dyDescent="0.2">
      <c r="A390" s="966"/>
      <c r="B390" s="966"/>
      <c r="C390" s="966"/>
      <c r="D390" s="966"/>
      <c r="E390" s="966"/>
      <c r="F390" s="966"/>
      <c r="G390" s="967"/>
      <c r="H390" s="967"/>
      <c r="I390" s="1157"/>
      <c r="J390" s="968"/>
      <c r="K390" s="969"/>
      <c r="L390" s="970"/>
      <c r="M390" s="969"/>
      <c r="N390" s="969"/>
      <c r="O390" s="969"/>
      <c r="P390" s="969"/>
      <c r="Q390" s="969"/>
      <c r="R390" s="969"/>
      <c r="S390" s="969"/>
      <c r="T390" s="969"/>
      <c r="U390" s="969"/>
    </row>
    <row r="391" spans="1:21" ht="19.5" hidden="1" x14ac:dyDescent="0.3">
      <c r="A391" s="926"/>
      <c r="B391" s="971" t="s">
        <v>156</v>
      </c>
      <c r="C391" s="927"/>
      <c r="D391" s="928"/>
      <c r="E391" s="911"/>
      <c r="F391" s="911"/>
      <c r="G391" s="912"/>
      <c r="H391" s="972" t="s">
        <v>61</v>
      </c>
      <c r="I391" s="942">
        <f t="shared" ref="I391:J391" si="257">I402</f>
        <v>0</v>
      </c>
      <c r="J391" s="942">
        <f t="shared" si="257"/>
        <v>0</v>
      </c>
      <c r="K391" s="915">
        <f>IF(I391&gt;0,J391*100/I391,0)</f>
        <v>0</v>
      </c>
      <c r="L391" s="916"/>
      <c r="M391" s="917"/>
      <c r="N391" s="917"/>
      <c r="O391" s="917"/>
      <c r="P391" s="917"/>
      <c r="Q391" s="917"/>
      <c r="R391" s="917"/>
      <c r="S391" s="917"/>
      <c r="T391" s="917"/>
      <c r="U391" s="917"/>
    </row>
    <row r="392" spans="1:21" ht="19.5" hidden="1" x14ac:dyDescent="0.3">
      <c r="A392" s="674"/>
      <c r="B392" s="718"/>
      <c r="C392" s="719" t="s">
        <v>18</v>
      </c>
      <c r="D392" s="955" t="s">
        <v>19</v>
      </c>
      <c r="E392" s="561"/>
      <c r="F392" s="561"/>
      <c r="G392" s="563"/>
      <c r="H392" s="677" t="s">
        <v>14</v>
      </c>
      <c r="I392" s="565"/>
      <c r="J392" s="565"/>
      <c r="K392" s="566"/>
      <c r="L392" s="678">
        <f t="shared" ref="L392:N392" si="258">L393+L394</f>
        <v>0</v>
      </c>
      <c r="M392" s="679">
        <f t="shared" si="258"/>
        <v>0</v>
      </c>
      <c r="N392" s="679">
        <f t="shared" si="258"/>
        <v>0</v>
      </c>
      <c r="O392" s="679">
        <f t="shared" ref="O392:O400" si="259">IF(L392&gt;0,N392*100/L392,0)</f>
        <v>0</v>
      </c>
      <c r="P392" s="679">
        <f t="shared" ref="P392:P400" si="260">IF(M392&gt;0,N392*100/M392,0)</f>
        <v>0</v>
      </c>
      <c r="Q392" s="679">
        <f t="shared" ref="Q392:S392" ca="1" si="261">Q393+Q394</f>
        <v>0</v>
      </c>
      <c r="R392" s="679">
        <f t="shared" ca="1" si="261"/>
        <v>0</v>
      </c>
      <c r="S392" s="679">
        <f t="shared" ca="1" si="261"/>
        <v>0</v>
      </c>
      <c r="T392" s="679">
        <f t="shared" ref="T392:T400" ca="1" si="262">IF(Q392&gt;0,S392*100/Q392,0)</f>
        <v>0</v>
      </c>
      <c r="U392" s="679">
        <f t="shared" ref="U392:U400" ca="1" si="263">IF(R392&gt;0,S392*100/R392,0)</f>
        <v>0</v>
      </c>
    </row>
    <row r="393" spans="1:21" ht="18.75" hidden="1" x14ac:dyDescent="0.25">
      <c r="A393" s="674"/>
      <c r="B393" s="718"/>
      <c r="C393" s="718"/>
      <c r="D393" s="718"/>
      <c r="E393" s="569" t="s">
        <v>20</v>
      </c>
      <c r="F393" s="561"/>
      <c r="G393" s="563"/>
      <c r="H393" s="680" t="s">
        <v>14</v>
      </c>
      <c r="I393" s="565"/>
      <c r="J393" s="565"/>
      <c r="K393" s="566"/>
      <c r="L393" s="571">
        <f t="shared" ref="L393:N394" si="264">L396+L399</f>
        <v>0</v>
      </c>
      <c r="M393" s="572">
        <f t="shared" si="264"/>
        <v>0</v>
      </c>
      <c r="N393" s="572">
        <f t="shared" si="264"/>
        <v>0</v>
      </c>
      <c r="O393" s="572">
        <f t="shared" si="259"/>
        <v>0</v>
      </c>
      <c r="P393" s="572">
        <f t="shared" si="260"/>
        <v>0</v>
      </c>
      <c r="Q393" s="572">
        <f t="shared" ref="Q393:S394" si="265">Q396+Q399</f>
        <v>0</v>
      </c>
      <c r="R393" s="572">
        <f t="shared" si="265"/>
        <v>0</v>
      </c>
      <c r="S393" s="572">
        <f t="shared" si="265"/>
        <v>0</v>
      </c>
      <c r="T393" s="572">
        <f t="shared" si="262"/>
        <v>0</v>
      </c>
      <c r="U393" s="572">
        <f t="shared" si="263"/>
        <v>0</v>
      </c>
    </row>
    <row r="394" spans="1:21" ht="18.75" hidden="1" x14ac:dyDescent="0.25">
      <c r="A394" s="674"/>
      <c r="B394" s="718"/>
      <c r="C394" s="718"/>
      <c r="D394" s="718"/>
      <c r="E394" s="573" t="s">
        <v>21</v>
      </c>
      <c r="F394" s="561"/>
      <c r="G394" s="563"/>
      <c r="H394" s="681" t="s">
        <v>14</v>
      </c>
      <c r="I394" s="565"/>
      <c r="J394" s="565"/>
      <c r="K394" s="566"/>
      <c r="L394" s="567">
        <f t="shared" si="264"/>
        <v>0</v>
      </c>
      <c r="M394" s="568">
        <f t="shared" si="264"/>
        <v>0</v>
      </c>
      <c r="N394" s="568">
        <f t="shared" si="264"/>
        <v>0</v>
      </c>
      <c r="O394" s="568">
        <f t="shared" si="259"/>
        <v>0</v>
      </c>
      <c r="P394" s="568">
        <f t="shared" si="260"/>
        <v>0</v>
      </c>
      <c r="Q394" s="568">
        <f t="shared" ca="1" si="265"/>
        <v>0</v>
      </c>
      <c r="R394" s="568">
        <f t="shared" ca="1" si="265"/>
        <v>0</v>
      </c>
      <c r="S394" s="568">
        <f t="shared" ca="1" si="265"/>
        <v>0</v>
      </c>
      <c r="T394" s="568">
        <f t="shared" ca="1" si="262"/>
        <v>0</v>
      </c>
      <c r="U394" s="568">
        <f t="shared" ca="1" si="263"/>
        <v>0</v>
      </c>
    </row>
    <row r="395" spans="1:21" ht="18.75" hidden="1" x14ac:dyDescent="0.25">
      <c r="A395" s="674"/>
      <c r="B395" s="718"/>
      <c r="C395" s="718"/>
      <c r="D395" s="721" t="s">
        <v>22</v>
      </c>
      <c r="E395" s="561"/>
      <c r="F395" s="561"/>
      <c r="G395" s="563"/>
      <c r="H395" s="682" t="s">
        <v>14</v>
      </c>
      <c r="I395" s="683"/>
      <c r="J395" s="683"/>
      <c r="K395" s="684"/>
      <c r="L395" s="567">
        <f t="shared" ref="L395:N395" si="266">L396+L397</f>
        <v>0</v>
      </c>
      <c r="M395" s="568">
        <f t="shared" si="266"/>
        <v>0</v>
      </c>
      <c r="N395" s="568">
        <f t="shared" si="266"/>
        <v>0</v>
      </c>
      <c r="O395" s="568">
        <f t="shared" si="259"/>
        <v>0</v>
      </c>
      <c r="P395" s="568">
        <f t="shared" si="260"/>
        <v>0</v>
      </c>
      <c r="Q395" s="568">
        <f t="shared" ref="Q395:S395" ca="1" si="267">Q396+Q397</f>
        <v>0</v>
      </c>
      <c r="R395" s="568">
        <f t="shared" ca="1" si="267"/>
        <v>0</v>
      </c>
      <c r="S395" s="568">
        <f t="shared" ca="1" si="267"/>
        <v>0</v>
      </c>
      <c r="T395" s="568">
        <f t="shared" ca="1" si="262"/>
        <v>0</v>
      </c>
      <c r="U395" s="568">
        <f t="shared" ca="1" si="263"/>
        <v>0</v>
      </c>
    </row>
    <row r="396" spans="1:21" ht="18.75" hidden="1" x14ac:dyDescent="0.25">
      <c r="A396" s="674"/>
      <c r="B396" s="718"/>
      <c r="C396" s="718"/>
      <c r="D396" s="718"/>
      <c r="E396" s="569" t="s">
        <v>36</v>
      </c>
      <c r="F396" s="561"/>
      <c r="G396" s="563"/>
      <c r="H396" s="685" t="s">
        <v>14</v>
      </c>
      <c r="I396" s="683"/>
      <c r="J396" s="683"/>
      <c r="K396" s="684"/>
      <c r="L396" s="571">
        <v>0</v>
      </c>
      <c r="M396" s="572">
        <v>0</v>
      </c>
      <c r="N396" s="572">
        <v>0</v>
      </c>
      <c r="O396" s="572">
        <f t="shared" si="259"/>
        <v>0</v>
      </c>
      <c r="P396" s="572">
        <f t="shared" si="260"/>
        <v>0</v>
      </c>
      <c r="Q396" s="572">
        <v>0</v>
      </c>
      <c r="R396" s="572">
        <v>0</v>
      </c>
      <c r="S396" s="572">
        <v>0</v>
      </c>
      <c r="T396" s="572">
        <f t="shared" si="262"/>
        <v>0</v>
      </c>
      <c r="U396" s="572">
        <f t="shared" si="263"/>
        <v>0</v>
      </c>
    </row>
    <row r="397" spans="1:21" ht="18.75" hidden="1" x14ac:dyDescent="0.25">
      <c r="A397" s="674"/>
      <c r="B397" s="718"/>
      <c r="C397" s="718"/>
      <c r="D397" s="718"/>
      <c r="E397" s="765" t="s">
        <v>37</v>
      </c>
      <c r="F397" s="718"/>
      <c r="G397" s="727"/>
      <c r="H397" s="682" t="s">
        <v>14</v>
      </c>
      <c r="I397" s="683"/>
      <c r="J397" s="683"/>
      <c r="K397" s="684"/>
      <c r="L397" s="567">
        <v>0</v>
      </c>
      <c r="M397" s="568">
        <v>0</v>
      </c>
      <c r="N397" s="568">
        <v>0</v>
      </c>
      <c r="O397" s="568">
        <f t="shared" si="259"/>
        <v>0</v>
      </c>
      <c r="P397" s="568">
        <f t="shared" si="260"/>
        <v>0</v>
      </c>
      <c r="Q397" s="568">
        <f ca="1">IFERROR(__xludf.DUMMYFUNCTION("IMPORTRANGE(""https://docs.google.com/spreadsheets/d/1ItG2mGa2ceCfYo0BwxsXqNm01IGEUdYcSSLTEv9YCik/edit?usp=sharing"",""เบิกจ่ายกองทุน!CL16"")"),0)</f>
        <v>0</v>
      </c>
      <c r="R397" s="568">
        <f ca="1">IFERROR(__xludf.DUMMYFUNCTION("IMPORTRANGE(""https://docs.google.com/spreadsheets/d/1ItG2mGa2ceCfYo0BwxsXqNm01IGEUdYcSSLTEv9YCik/edit?usp=sharing"",""เบิกจ่ายกองทุน!CM16"")"),0)</f>
        <v>0</v>
      </c>
      <c r="S397" s="568">
        <f ca="1">IFERROR(__xludf.DUMMYFUNCTION("IMPORTRANGE(""https://docs.google.com/spreadsheets/d/1ItG2mGa2ceCfYo0BwxsXqNm01IGEUdYcSSLTEv9YCik/edit?usp=sharing"",""เบิกจ่ายกองทุน!CN16"")"),0)</f>
        <v>0</v>
      </c>
      <c r="T397" s="568">
        <f t="shared" ca="1" si="262"/>
        <v>0</v>
      </c>
      <c r="U397" s="568">
        <f t="shared" ca="1" si="263"/>
        <v>0</v>
      </c>
    </row>
    <row r="398" spans="1:21" ht="18.75" hidden="1" x14ac:dyDescent="0.25">
      <c r="A398" s="674"/>
      <c r="B398" s="718"/>
      <c r="C398" s="718"/>
      <c r="D398" s="721" t="s">
        <v>23</v>
      </c>
      <c r="E398" s="561"/>
      <c r="F398" s="561"/>
      <c r="G398" s="563"/>
      <c r="H398" s="686" t="s">
        <v>14</v>
      </c>
      <c r="I398" s="683"/>
      <c r="J398" s="683"/>
      <c r="K398" s="684"/>
      <c r="L398" s="567">
        <f t="shared" ref="L398:N398" si="268">L399+L400</f>
        <v>0</v>
      </c>
      <c r="M398" s="568">
        <f t="shared" si="268"/>
        <v>0</v>
      </c>
      <c r="N398" s="568">
        <f t="shared" si="268"/>
        <v>0</v>
      </c>
      <c r="O398" s="568">
        <f t="shared" si="259"/>
        <v>0</v>
      </c>
      <c r="P398" s="568">
        <f t="shared" si="260"/>
        <v>0</v>
      </c>
      <c r="Q398" s="568">
        <f t="shared" ref="Q398:S398" si="269">Q399+Q400</f>
        <v>0</v>
      </c>
      <c r="R398" s="568">
        <f t="shared" si="269"/>
        <v>0</v>
      </c>
      <c r="S398" s="568">
        <f t="shared" si="269"/>
        <v>0</v>
      </c>
      <c r="T398" s="568">
        <f t="shared" si="262"/>
        <v>0</v>
      </c>
      <c r="U398" s="568">
        <f t="shared" si="263"/>
        <v>0</v>
      </c>
    </row>
    <row r="399" spans="1:21" ht="18.75" hidden="1" x14ac:dyDescent="0.25">
      <c r="A399" s="674"/>
      <c r="B399" s="718"/>
      <c r="C399" s="718"/>
      <c r="D399" s="718"/>
      <c r="E399" s="569" t="s">
        <v>20</v>
      </c>
      <c r="F399" s="561"/>
      <c r="G399" s="563"/>
      <c r="H399" s="685" t="s">
        <v>14</v>
      </c>
      <c r="I399" s="683"/>
      <c r="J399" s="683"/>
      <c r="K399" s="684"/>
      <c r="L399" s="571">
        <v>0</v>
      </c>
      <c r="M399" s="572">
        <v>0</v>
      </c>
      <c r="N399" s="572">
        <v>0</v>
      </c>
      <c r="O399" s="572">
        <f t="shared" si="259"/>
        <v>0</v>
      </c>
      <c r="P399" s="572">
        <f t="shared" si="260"/>
        <v>0</v>
      </c>
      <c r="Q399" s="572">
        <v>0</v>
      </c>
      <c r="R399" s="572">
        <v>0</v>
      </c>
      <c r="S399" s="572">
        <v>0</v>
      </c>
      <c r="T399" s="572">
        <f t="shared" si="262"/>
        <v>0</v>
      </c>
      <c r="U399" s="572">
        <f t="shared" si="263"/>
        <v>0</v>
      </c>
    </row>
    <row r="400" spans="1:21" ht="18.75" hidden="1" x14ac:dyDescent="0.25">
      <c r="A400" s="674"/>
      <c r="B400" s="718"/>
      <c r="C400" s="718"/>
      <c r="D400" s="718"/>
      <c r="E400" s="573" t="s">
        <v>21</v>
      </c>
      <c r="F400" s="561"/>
      <c r="G400" s="563"/>
      <c r="H400" s="686" t="s">
        <v>14</v>
      </c>
      <c r="I400" s="683"/>
      <c r="J400" s="683"/>
      <c r="K400" s="684"/>
      <c r="L400" s="567">
        <v>0</v>
      </c>
      <c r="M400" s="568">
        <v>0</v>
      </c>
      <c r="N400" s="568">
        <v>0</v>
      </c>
      <c r="O400" s="568">
        <f t="shared" si="259"/>
        <v>0</v>
      </c>
      <c r="P400" s="568">
        <f t="shared" si="260"/>
        <v>0</v>
      </c>
      <c r="Q400" s="568">
        <v>0</v>
      </c>
      <c r="R400" s="568">
        <v>0</v>
      </c>
      <c r="S400" s="568">
        <v>0</v>
      </c>
      <c r="T400" s="568">
        <f t="shared" si="262"/>
        <v>0</v>
      </c>
      <c r="U400" s="568">
        <f t="shared" si="263"/>
        <v>0</v>
      </c>
    </row>
    <row r="401" spans="1:21" ht="19.5" hidden="1" x14ac:dyDescent="0.3">
      <c r="A401" s="687"/>
      <c r="B401" s="688"/>
      <c r="C401" s="719" t="s">
        <v>18</v>
      </c>
      <c r="D401" s="956" t="s">
        <v>38</v>
      </c>
      <c r="E401" s="690"/>
      <c r="F401" s="690"/>
      <c r="G401" s="691"/>
      <c r="H401" s="725"/>
      <c r="I401" s="683"/>
      <c r="J401" s="565"/>
      <c r="K401" s="566"/>
      <c r="L401" s="574"/>
      <c r="M401" s="566"/>
      <c r="N401" s="566"/>
      <c r="O401" s="684"/>
      <c r="P401" s="684"/>
      <c r="Q401" s="566"/>
      <c r="R401" s="566"/>
      <c r="S401" s="566"/>
      <c r="T401" s="684"/>
      <c r="U401" s="684"/>
    </row>
    <row r="402" spans="1:21" ht="12.75" hidden="1" x14ac:dyDescent="0.2">
      <c r="A402" s="973"/>
      <c r="B402" s="961"/>
      <c r="C402" s="961"/>
      <c r="D402" s="961"/>
      <c r="E402" s="974"/>
      <c r="F402" s="974"/>
      <c r="G402" s="975"/>
      <c r="H402" s="962"/>
      <c r="I402" s="963"/>
      <c r="J402" s="963"/>
      <c r="K402" s="964"/>
      <c r="L402" s="965"/>
      <c r="M402" s="964"/>
      <c r="N402" s="964"/>
      <c r="O402" s="964"/>
      <c r="P402" s="964"/>
      <c r="Q402" s="964"/>
      <c r="R402" s="964"/>
      <c r="S402" s="964"/>
      <c r="T402" s="964"/>
      <c r="U402" s="964"/>
    </row>
    <row r="403" spans="1:21" ht="12.75" hidden="1" x14ac:dyDescent="0.2">
      <c r="A403" s="961"/>
      <c r="B403" s="961"/>
      <c r="C403" s="961"/>
      <c r="D403" s="961"/>
      <c r="E403" s="961"/>
      <c r="F403" s="961"/>
      <c r="G403" s="962"/>
      <c r="H403" s="962"/>
      <c r="I403" s="963"/>
      <c r="J403" s="963"/>
      <c r="K403" s="964"/>
      <c r="L403" s="965"/>
      <c r="M403" s="964"/>
      <c r="N403" s="964"/>
      <c r="O403" s="964"/>
      <c r="P403" s="964"/>
      <c r="Q403" s="964"/>
      <c r="R403" s="964"/>
      <c r="S403" s="964"/>
      <c r="T403" s="964"/>
      <c r="U403" s="964"/>
    </row>
    <row r="404" spans="1:21" ht="12.75" hidden="1" x14ac:dyDescent="0.2">
      <c r="A404" s="961"/>
      <c r="B404" s="961"/>
      <c r="C404" s="961"/>
      <c r="D404" s="961"/>
      <c r="E404" s="961"/>
      <c r="F404" s="961"/>
      <c r="G404" s="962"/>
      <c r="H404" s="962"/>
      <c r="I404" s="963"/>
      <c r="J404" s="963"/>
      <c r="K404" s="964"/>
      <c r="L404" s="965"/>
      <c r="M404" s="964"/>
      <c r="N404" s="964"/>
      <c r="O404" s="964"/>
      <c r="P404" s="964"/>
      <c r="Q404" s="964"/>
      <c r="R404" s="964"/>
      <c r="S404" s="964"/>
      <c r="T404" s="964"/>
      <c r="U404" s="964"/>
    </row>
    <row r="405" spans="1:21" ht="12.75" hidden="1" x14ac:dyDescent="0.2">
      <c r="A405" s="961"/>
      <c r="B405" s="961"/>
      <c r="C405" s="961"/>
      <c r="D405" s="961"/>
      <c r="E405" s="961"/>
      <c r="F405" s="961"/>
      <c r="G405" s="962"/>
      <c r="H405" s="962"/>
      <c r="I405" s="963"/>
      <c r="J405" s="963"/>
      <c r="K405" s="964"/>
      <c r="L405" s="965"/>
      <c r="M405" s="964"/>
      <c r="N405" s="964"/>
      <c r="O405" s="964"/>
      <c r="P405" s="964"/>
      <c r="Q405" s="964"/>
      <c r="R405" s="964"/>
      <c r="S405" s="964"/>
      <c r="T405" s="964"/>
      <c r="U405" s="964"/>
    </row>
    <row r="406" spans="1:21" ht="12.75" hidden="1" x14ac:dyDescent="0.2">
      <c r="A406" s="961"/>
      <c r="B406" s="961"/>
      <c r="C406" s="961"/>
      <c r="D406" s="961"/>
      <c r="E406" s="961"/>
      <c r="F406" s="961"/>
      <c r="G406" s="962"/>
      <c r="H406" s="962"/>
      <c r="I406" s="963"/>
      <c r="J406" s="963"/>
      <c r="K406" s="964"/>
      <c r="L406" s="965"/>
      <c r="M406" s="964"/>
      <c r="N406" s="964"/>
      <c r="O406" s="964"/>
      <c r="P406" s="964"/>
      <c r="Q406" s="964"/>
      <c r="R406" s="964"/>
      <c r="S406" s="964"/>
      <c r="T406" s="964"/>
      <c r="U406" s="964"/>
    </row>
    <row r="407" spans="1:21" ht="12.75" hidden="1" x14ac:dyDescent="0.2">
      <c r="A407" s="961"/>
      <c r="B407" s="961"/>
      <c r="C407" s="961"/>
      <c r="D407" s="961"/>
      <c r="E407" s="961"/>
      <c r="F407" s="961"/>
      <c r="G407" s="962"/>
      <c r="H407" s="962"/>
      <c r="I407" s="963"/>
      <c r="J407" s="963"/>
      <c r="K407" s="964"/>
      <c r="L407" s="965"/>
      <c r="M407" s="964"/>
      <c r="N407" s="964"/>
      <c r="O407" s="964"/>
      <c r="P407" s="964"/>
      <c r="Q407" s="964"/>
      <c r="R407" s="964"/>
      <c r="S407" s="964"/>
      <c r="T407" s="964"/>
      <c r="U407" s="964"/>
    </row>
    <row r="408" spans="1:21" ht="12.75" hidden="1" x14ac:dyDescent="0.2">
      <c r="A408" s="961"/>
      <c r="B408" s="961"/>
      <c r="C408" s="961"/>
      <c r="D408" s="961"/>
      <c r="E408" s="961"/>
      <c r="F408" s="961"/>
      <c r="G408" s="962"/>
      <c r="H408" s="962"/>
      <c r="I408" s="963"/>
      <c r="J408" s="963"/>
      <c r="K408" s="964"/>
      <c r="L408" s="965"/>
      <c r="M408" s="964"/>
      <c r="N408" s="964"/>
      <c r="O408" s="964"/>
      <c r="P408" s="964"/>
      <c r="Q408" s="964"/>
      <c r="R408" s="964"/>
      <c r="S408" s="964"/>
      <c r="T408" s="964"/>
      <c r="U408" s="964"/>
    </row>
    <row r="409" spans="1:21" ht="12.75" hidden="1" x14ac:dyDescent="0.2">
      <c r="A409" s="961"/>
      <c r="B409" s="961"/>
      <c r="C409" s="961"/>
      <c r="D409" s="961"/>
      <c r="E409" s="961"/>
      <c r="F409" s="961"/>
      <c r="G409" s="962"/>
      <c r="H409" s="962"/>
      <c r="I409" s="963"/>
      <c r="J409" s="963"/>
      <c r="K409" s="964"/>
      <c r="L409" s="965"/>
      <c r="M409" s="964"/>
      <c r="N409" s="964"/>
      <c r="O409" s="964"/>
      <c r="P409" s="964"/>
      <c r="Q409" s="964"/>
      <c r="R409" s="964"/>
      <c r="S409" s="964"/>
      <c r="T409" s="964"/>
      <c r="U409" s="964"/>
    </row>
    <row r="410" spans="1:21" ht="12.75" hidden="1" x14ac:dyDescent="0.2">
      <c r="A410" s="961"/>
      <c r="B410" s="961"/>
      <c r="C410" s="961"/>
      <c r="D410" s="961"/>
      <c r="E410" s="961"/>
      <c r="F410" s="961"/>
      <c r="G410" s="962"/>
      <c r="H410" s="962"/>
      <c r="I410" s="963"/>
      <c r="J410" s="963"/>
      <c r="K410" s="964"/>
      <c r="L410" s="965"/>
      <c r="M410" s="964"/>
      <c r="N410" s="964"/>
      <c r="O410" s="964"/>
      <c r="P410" s="964"/>
      <c r="Q410" s="964"/>
      <c r="R410" s="964"/>
      <c r="S410" s="964"/>
      <c r="T410" s="964"/>
      <c r="U410" s="964"/>
    </row>
    <row r="411" spans="1:21" ht="12.75" hidden="1" x14ac:dyDescent="0.2">
      <c r="A411" s="966"/>
      <c r="B411" s="966"/>
      <c r="C411" s="966"/>
      <c r="D411" s="966"/>
      <c r="E411" s="966"/>
      <c r="F411" s="966"/>
      <c r="G411" s="967"/>
      <c r="H411" s="967"/>
      <c r="I411" s="968"/>
      <c r="J411" s="968"/>
      <c r="K411" s="969"/>
      <c r="L411" s="970"/>
      <c r="M411" s="969"/>
      <c r="N411" s="969"/>
      <c r="O411" s="969"/>
      <c r="P411" s="969"/>
      <c r="Q411" s="969"/>
      <c r="R411" s="969"/>
      <c r="S411" s="969"/>
      <c r="T411" s="969"/>
      <c r="U411" s="969"/>
    </row>
    <row r="412" spans="1:21" ht="19.5" x14ac:dyDescent="0.3">
      <c r="A412" s="928"/>
      <c r="B412" s="971" t="s">
        <v>157</v>
      </c>
      <c r="C412" s="928"/>
      <c r="D412" s="928"/>
      <c r="E412" s="928"/>
      <c r="F412" s="928"/>
      <c r="G412" s="976"/>
      <c r="H412" s="977" t="s">
        <v>46</v>
      </c>
      <c r="I412" s="914">
        <f t="shared" ref="I412:J412" ca="1" si="270">I423</f>
        <v>0</v>
      </c>
      <c r="J412" s="914">
        <f t="shared" si="270"/>
        <v>0</v>
      </c>
      <c r="K412" s="915">
        <f ca="1">IF(I412&gt;0,J412*100/I412,0)</f>
        <v>0</v>
      </c>
      <c r="L412" s="916"/>
      <c r="M412" s="917"/>
      <c r="N412" s="917"/>
      <c r="O412" s="917"/>
      <c r="P412" s="917"/>
      <c r="Q412" s="917"/>
      <c r="R412" s="917"/>
      <c r="S412" s="917"/>
      <c r="T412" s="917"/>
      <c r="U412" s="917"/>
    </row>
    <row r="413" spans="1:21" ht="19.5" x14ac:dyDescent="0.3">
      <c r="A413" s="674"/>
      <c r="B413" s="718"/>
      <c r="C413" s="978" t="s">
        <v>18</v>
      </c>
      <c r="D413" s="1313" t="s">
        <v>19</v>
      </c>
      <c r="E413" s="1314"/>
      <c r="F413" s="1314"/>
      <c r="G413" s="1317"/>
      <c r="H413" s="979" t="s">
        <v>14</v>
      </c>
      <c r="I413" s="565"/>
      <c r="J413" s="565"/>
      <c r="K413" s="566"/>
      <c r="L413" s="678">
        <f t="shared" ref="L413:N413" ca="1" si="271">L414+L415</f>
        <v>41290</v>
      </c>
      <c r="M413" s="679">
        <f t="shared" ca="1" si="271"/>
        <v>0</v>
      </c>
      <c r="N413" s="679">
        <f t="shared" ca="1" si="271"/>
        <v>0</v>
      </c>
      <c r="O413" s="679">
        <f t="shared" ref="O413:O421" ca="1" si="272">IF(L413&gt;0,N413*100/L413,0)</f>
        <v>0</v>
      </c>
      <c r="P413" s="679">
        <f t="shared" ref="P413:P421" ca="1" si="273">IF(M413&gt;0,N413*100/M413,0)</f>
        <v>0</v>
      </c>
      <c r="Q413" s="679">
        <f t="shared" ref="Q413:S413" ca="1" si="274">Q414+Q415</f>
        <v>32570</v>
      </c>
      <c r="R413" s="679">
        <f t="shared" ca="1" si="274"/>
        <v>32570</v>
      </c>
      <c r="S413" s="679">
        <f t="shared" ca="1" si="274"/>
        <v>0</v>
      </c>
      <c r="T413" s="679">
        <f t="shared" ref="T413:T421" ca="1" si="275">IF(Q413&gt;0,S413*100/Q413,0)</f>
        <v>0</v>
      </c>
      <c r="U413" s="679">
        <f t="shared" ref="U413:U421" ca="1" si="276">IF(R413&gt;0,S413*100/R413,0)</f>
        <v>0</v>
      </c>
    </row>
    <row r="414" spans="1:21" ht="18.75" x14ac:dyDescent="0.25">
      <c r="A414" s="674"/>
      <c r="B414" s="718"/>
      <c r="C414" s="718"/>
      <c r="D414" s="718"/>
      <c r="E414" s="767" t="s">
        <v>158</v>
      </c>
      <c r="F414" s="718"/>
      <c r="G414" s="727"/>
      <c r="H414" s="723" t="s">
        <v>14</v>
      </c>
      <c r="I414" s="565"/>
      <c r="J414" s="565"/>
      <c r="K414" s="566"/>
      <c r="L414" s="571">
        <f t="shared" ref="L414:N415" si="277">L417+L420</f>
        <v>0</v>
      </c>
      <c r="M414" s="572">
        <f t="shared" si="277"/>
        <v>0</v>
      </c>
      <c r="N414" s="572">
        <f t="shared" si="277"/>
        <v>0</v>
      </c>
      <c r="O414" s="572">
        <f t="shared" si="272"/>
        <v>0</v>
      </c>
      <c r="P414" s="572">
        <f t="shared" si="273"/>
        <v>0</v>
      </c>
      <c r="Q414" s="572">
        <f t="shared" ref="Q414:S415" si="278">Q417+Q420</f>
        <v>0</v>
      </c>
      <c r="R414" s="572">
        <f t="shared" si="278"/>
        <v>0</v>
      </c>
      <c r="S414" s="572">
        <f t="shared" si="278"/>
        <v>0</v>
      </c>
      <c r="T414" s="572">
        <f t="shared" si="275"/>
        <v>0</v>
      </c>
      <c r="U414" s="572">
        <f t="shared" si="276"/>
        <v>0</v>
      </c>
    </row>
    <row r="415" spans="1:21" ht="18.75" x14ac:dyDescent="0.25">
      <c r="A415" s="674"/>
      <c r="B415" s="718"/>
      <c r="C415" s="718"/>
      <c r="D415" s="718"/>
      <c r="E415" s="765" t="s">
        <v>159</v>
      </c>
      <c r="F415" s="718"/>
      <c r="G415" s="727"/>
      <c r="H415" s="722" t="s">
        <v>14</v>
      </c>
      <c r="I415" s="565"/>
      <c r="J415" s="565"/>
      <c r="K415" s="566"/>
      <c r="L415" s="567">
        <f t="shared" ca="1" si="277"/>
        <v>41290</v>
      </c>
      <c r="M415" s="568">
        <f t="shared" ca="1" si="277"/>
        <v>0</v>
      </c>
      <c r="N415" s="568">
        <f t="shared" ca="1" si="277"/>
        <v>0</v>
      </c>
      <c r="O415" s="568">
        <f t="shared" ca="1" si="272"/>
        <v>0</v>
      </c>
      <c r="P415" s="568">
        <f t="shared" ca="1" si="273"/>
        <v>0</v>
      </c>
      <c r="Q415" s="568">
        <f t="shared" ca="1" si="278"/>
        <v>32570</v>
      </c>
      <c r="R415" s="568">
        <f t="shared" ca="1" si="278"/>
        <v>32570</v>
      </c>
      <c r="S415" s="568">
        <f t="shared" ca="1" si="278"/>
        <v>0</v>
      </c>
      <c r="T415" s="568">
        <f t="shared" ca="1" si="275"/>
        <v>0</v>
      </c>
      <c r="U415" s="568">
        <f t="shared" ca="1" si="276"/>
        <v>0</v>
      </c>
    </row>
    <row r="416" spans="1:21" ht="19.5" x14ac:dyDescent="0.3">
      <c r="A416" s="674"/>
      <c r="B416" s="718"/>
      <c r="C416" s="718"/>
      <c r="D416" s="955" t="s">
        <v>22</v>
      </c>
      <c r="E416" s="718"/>
      <c r="F416" s="718"/>
      <c r="G416" s="727"/>
      <c r="H416" s="979" t="s">
        <v>14</v>
      </c>
      <c r="I416" s="565"/>
      <c r="J416" s="565"/>
      <c r="K416" s="566"/>
      <c r="L416" s="567">
        <f t="shared" ref="L416:N416" ca="1" si="279">L417+L418</f>
        <v>41290</v>
      </c>
      <c r="M416" s="568">
        <f t="shared" ca="1" si="279"/>
        <v>0</v>
      </c>
      <c r="N416" s="568">
        <f t="shared" ca="1" si="279"/>
        <v>0</v>
      </c>
      <c r="O416" s="568">
        <f t="shared" ca="1" si="272"/>
        <v>0</v>
      </c>
      <c r="P416" s="568">
        <f t="shared" ca="1" si="273"/>
        <v>0</v>
      </c>
      <c r="Q416" s="568">
        <f t="shared" ref="Q416:S416" ca="1" si="280">Q417+Q418</f>
        <v>32570</v>
      </c>
      <c r="R416" s="568">
        <f t="shared" ca="1" si="280"/>
        <v>32570</v>
      </c>
      <c r="S416" s="568">
        <f t="shared" ca="1" si="280"/>
        <v>0</v>
      </c>
      <c r="T416" s="568">
        <f t="shared" ca="1" si="275"/>
        <v>0</v>
      </c>
      <c r="U416" s="568">
        <f t="shared" ca="1" si="276"/>
        <v>0</v>
      </c>
    </row>
    <row r="417" spans="1:21" ht="18.75" x14ac:dyDescent="0.25">
      <c r="A417" s="674"/>
      <c r="B417" s="718"/>
      <c r="C417" s="718"/>
      <c r="D417" s="718"/>
      <c r="E417" s="767" t="s">
        <v>158</v>
      </c>
      <c r="F417" s="718"/>
      <c r="G417" s="727"/>
      <c r="H417" s="723" t="s">
        <v>14</v>
      </c>
      <c r="I417" s="565"/>
      <c r="J417" s="565"/>
      <c r="K417" s="566"/>
      <c r="L417" s="571">
        <v>0</v>
      </c>
      <c r="M417" s="572">
        <v>0</v>
      </c>
      <c r="N417" s="572">
        <v>0</v>
      </c>
      <c r="O417" s="572">
        <f t="shared" si="272"/>
        <v>0</v>
      </c>
      <c r="P417" s="572">
        <f t="shared" si="273"/>
        <v>0</v>
      </c>
      <c r="Q417" s="572">
        <v>0</v>
      </c>
      <c r="R417" s="572">
        <v>0</v>
      </c>
      <c r="S417" s="572">
        <v>0</v>
      </c>
      <c r="T417" s="572">
        <f t="shared" si="275"/>
        <v>0</v>
      </c>
      <c r="U417" s="572">
        <f t="shared" si="276"/>
        <v>0</v>
      </c>
    </row>
    <row r="418" spans="1:21" ht="18.75" x14ac:dyDescent="0.25">
      <c r="A418" s="674"/>
      <c r="B418" s="718"/>
      <c r="C418" s="718"/>
      <c r="D418" s="718"/>
      <c r="E418" s="765" t="s">
        <v>159</v>
      </c>
      <c r="F418" s="718"/>
      <c r="G418" s="727"/>
      <c r="H418" s="722" t="s">
        <v>14</v>
      </c>
      <c r="I418" s="565"/>
      <c r="J418" s="565"/>
      <c r="K418" s="566"/>
      <c r="L418" s="567">
        <f ca="1">IFERROR(__xludf.DUMMYFUNCTION("IMPORTRANGE(""https://docs.google.com/spreadsheets/d/1-uDff_7J0KD5mKrp0Vvzr7lt3OU09vwQwhkpOPPYv2Y/edit?usp=sharing"",""งบพรบ!IO16"")"),41290)</f>
        <v>41290</v>
      </c>
      <c r="M418" s="568">
        <f ca="1">IFERROR(__xludf.DUMMYFUNCTION("IMPORTRANGE(""https://docs.google.com/spreadsheets/d/1-uDff_7J0KD5mKrp0Vvzr7lt3OU09vwQwhkpOPPYv2Y/edit?usp=sharing"",""งบพรบ!IT16"")"),0)</f>
        <v>0</v>
      </c>
      <c r="N418" s="568">
        <f ca="1">IFERROR(__xludf.DUMMYFUNCTION("IMPORTRANGE(""https://docs.google.com/spreadsheets/d/1-uDff_7J0KD5mKrp0Vvzr7lt3OU09vwQwhkpOPPYv2Y/edit?usp=sharing"",""งบพรบ!IV16"")"),0)</f>
        <v>0</v>
      </c>
      <c r="O418" s="568">
        <f t="shared" ca="1" si="272"/>
        <v>0</v>
      </c>
      <c r="P418" s="568">
        <f t="shared" ca="1" si="273"/>
        <v>0</v>
      </c>
      <c r="Q418" s="568">
        <f ca="1">IFERROR(__xludf.DUMMYFUNCTION("IMPORTRANGE(""https://docs.google.com/spreadsheets/d/1ItG2mGa2ceCfYo0BwxsXqNm01IGEUdYcSSLTEv9YCik/edit?usp=sharing"",""เบิกจ่ายกองทุน!BZ16"")"),32570)</f>
        <v>32570</v>
      </c>
      <c r="R418" s="568">
        <f ca="1">IFERROR(__xludf.DUMMYFUNCTION("IMPORTRANGE(""https://docs.google.com/spreadsheets/d/1ItG2mGa2ceCfYo0BwxsXqNm01IGEUdYcSSLTEv9YCik/edit?usp=sharing"",""เบิกจ่ายกองทุน!CA16"")"),32570)</f>
        <v>32570</v>
      </c>
      <c r="S418" s="568">
        <f ca="1">IFERROR(__xludf.DUMMYFUNCTION("IMPORTRANGE(""https://docs.google.com/spreadsheets/d/1ItG2mGa2ceCfYo0BwxsXqNm01IGEUdYcSSLTEv9YCik/edit?usp=sharing"",""เบิกจ่ายกองทุน!CB16"")"),0)</f>
        <v>0</v>
      </c>
      <c r="T418" s="568">
        <f t="shared" ca="1" si="275"/>
        <v>0</v>
      </c>
      <c r="U418" s="568">
        <f t="shared" ca="1" si="276"/>
        <v>0</v>
      </c>
    </row>
    <row r="419" spans="1:21" ht="19.5" x14ac:dyDescent="0.3">
      <c r="A419" s="674"/>
      <c r="B419" s="718"/>
      <c r="C419" s="718"/>
      <c r="D419" s="955" t="s">
        <v>23</v>
      </c>
      <c r="E419" s="718"/>
      <c r="F419" s="718"/>
      <c r="G419" s="727"/>
      <c r="H419" s="677" t="s">
        <v>14</v>
      </c>
      <c r="I419" s="565"/>
      <c r="J419" s="565"/>
      <c r="K419" s="566"/>
      <c r="L419" s="567">
        <f t="shared" ref="L419:N419" ca="1" si="281">L420+L421</f>
        <v>0</v>
      </c>
      <c r="M419" s="568">
        <f t="shared" ca="1" si="281"/>
        <v>0</v>
      </c>
      <c r="N419" s="568">
        <f t="shared" ca="1" si="281"/>
        <v>0</v>
      </c>
      <c r="O419" s="568">
        <f t="shared" ca="1" si="272"/>
        <v>0</v>
      </c>
      <c r="P419" s="568">
        <f t="shared" ca="1" si="273"/>
        <v>0</v>
      </c>
      <c r="Q419" s="568">
        <f t="shared" ref="Q419:S419" si="282">Q420+Q421</f>
        <v>0</v>
      </c>
      <c r="R419" s="568">
        <f t="shared" si="282"/>
        <v>0</v>
      </c>
      <c r="S419" s="568">
        <f t="shared" si="282"/>
        <v>0</v>
      </c>
      <c r="T419" s="568">
        <f t="shared" si="275"/>
        <v>0</v>
      </c>
      <c r="U419" s="568">
        <f t="shared" si="276"/>
        <v>0</v>
      </c>
    </row>
    <row r="420" spans="1:21" ht="18.75" x14ac:dyDescent="0.25">
      <c r="A420" s="674"/>
      <c r="B420" s="718"/>
      <c r="C420" s="718"/>
      <c r="D420" s="718"/>
      <c r="E420" s="767" t="s">
        <v>20</v>
      </c>
      <c r="F420" s="718"/>
      <c r="G420" s="727"/>
      <c r="H420" s="723" t="s">
        <v>14</v>
      </c>
      <c r="I420" s="565"/>
      <c r="J420" s="565"/>
      <c r="K420" s="566"/>
      <c r="L420" s="571">
        <v>0</v>
      </c>
      <c r="M420" s="572">
        <v>0</v>
      </c>
      <c r="N420" s="572">
        <v>0</v>
      </c>
      <c r="O420" s="572">
        <f t="shared" si="272"/>
        <v>0</v>
      </c>
      <c r="P420" s="572">
        <f t="shared" si="273"/>
        <v>0</v>
      </c>
      <c r="Q420" s="572">
        <v>0</v>
      </c>
      <c r="R420" s="572">
        <v>0</v>
      </c>
      <c r="S420" s="572">
        <v>0</v>
      </c>
      <c r="T420" s="572">
        <f t="shared" si="275"/>
        <v>0</v>
      </c>
      <c r="U420" s="572">
        <f t="shared" si="276"/>
        <v>0</v>
      </c>
    </row>
    <row r="421" spans="1:21" ht="18.75" x14ac:dyDescent="0.25">
      <c r="A421" s="674"/>
      <c r="B421" s="718"/>
      <c r="C421" s="718"/>
      <c r="D421" s="718"/>
      <c r="E421" s="765" t="s">
        <v>21</v>
      </c>
      <c r="F421" s="718"/>
      <c r="G421" s="727"/>
      <c r="H421" s="681" t="s">
        <v>14</v>
      </c>
      <c r="I421" s="565"/>
      <c r="J421" s="565"/>
      <c r="K421" s="566"/>
      <c r="L421" s="567">
        <f ca="1">IFERROR(__xludf.DUMMYFUNCTION("IMPORTRANGE(""https://docs.google.com/spreadsheets/d/1-uDff_7J0KD5mKrp0Vvzr7lt3OU09vwQwhkpOPPYv2Y/edit?usp=sharing"",""งบพรบ!IR16"")"),0)</f>
        <v>0</v>
      </c>
      <c r="M421" s="568">
        <f ca="1">IFERROR(__xludf.DUMMYFUNCTION("IMPORTRANGE(""https://docs.google.com/spreadsheets/d/1-uDff_7J0KD5mKrp0Vvzr7lt3OU09vwQwhkpOPPYv2Y/edit?usp=sharing"",""งบพรบ!IU16"")"),0)</f>
        <v>0</v>
      </c>
      <c r="N421" s="568">
        <f ca="1">IFERROR(__xludf.DUMMYFUNCTION("IMPORTRANGE(""https://docs.google.com/spreadsheets/d/1-uDff_7J0KD5mKrp0Vvzr7lt3OU09vwQwhkpOPPYv2Y/edit?usp=sharing"",""งบพรบ!IW16"")"),0)</f>
        <v>0</v>
      </c>
      <c r="O421" s="568">
        <f t="shared" ca="1" si="272"/>
        <v>0</v>
      </c>
      <c r="P421" s="568">
        <f t="shared" ca="1" si="273"/>
        <v>0</v>
      </c>
      <c r="Q421" s="568">
        <v>0</v>
      </c>
      <c r="R421" s="568">
        <v>0</v>
      </c>
      <c r="S421" s="568">
        <v>0</v>
      </c>
      <c r="T421" s="568">
        <f t="shared" si="275"/>
        <v>0</v>
      </c>
      <c r="U421" s="568">
        <f t="shared" si="276"/>
        <v>0</v>
      </c>
    </row>
    <row r="422" spans="1:21" ht="19.5" x14ac:dyDescent="0.3">
      <c r="A422" s="764"/>
      <c r="B422" s="718"/>
      <c r="C422" s="978" t="s">
        <v>18</v>
      </c>
      <c r="D422" s="980" t="s">
        <v>38</v>
      </c>
      <c r="E422" s="718"/>
      <c r="F422" s="718"/>
      <c r="G422" s="727"/>
      <c r="H422" s="727"/>
      <c r="I422" s="565"/>
      <c r="J422" s="565"/>
      <c r="K422" s="566"/>
      <c r="L422" s="574"/>
      <c r="M422" s="566"/>
      <c r="N422" s="566"/>
      <c r="O422" s="566"/>
      <c r="P422" s="566"/>
      <c r="Q422" s="566"/>
      <c r="R422" s="566"/>
      <c r="S422" s="566"/>
      <c r="T422" s="566"/>
      <c r="U422" s="566"/>
    </row>
    <row r="423" spans="1:21" ht="19.5" x14ac:dyDescent="0.3">
      <c r="A423" s="764"/>
      <c r="B423" s="719" t="s">
        <v>160</v>
      </c>
      <c r="C423" s="718"/>
      <c r="D423" s="718"/>
      <c r="E423" s="718"/>
      <c r="F423" s="718"/>
      <c r="G423" s="727"/>
      <c r="H423" s="979" t="s">
        <v>46</v>
      </c>
      <c r="I423" s="697">
        <f t="shared" ref="I423:J423" ca="1" si="283">I440</f>
        <v>0</v>
      </c>
      <c r="J423" s="697">
        <f t="shared" si="283"/>
        <v>0</v>
      </c>
      <c r="K423" s="679">
        <f t="shared" ref="K423:K425" ca="1" si="284">IF(I423&gt;0,J423*100/I423,0)</f>
        <v>0</v>
      </c>
      <c r="L423" s="574"/>
      <c r="M423" s="566"/>
      <c r="N423" s="566"/>
      <c r="O423" s="566"/>
      <c r="P423" s="566"/>
      <c r="Q423" s="566"/>
      <c r="R423" s="566"/>
      <c r="S423" s="566"/>
      <c r="T423" s="566"/>
      <c r="U423" s="566"/>
    </row>
    <row r="424" spans="1:21" ht="19.5" x14ac:dyDescent="0.3">
      <c r="A424" s="764"/>
      <c r="B424" s="718"/>
      <c r="C424" s="719" t="s">
        <v>161</v>
      </c>
      <c r="D424" s="718"/>
      <c r="E424" s="718"/>
      <c r="F424" s="718"/>
      <c r="G424" s="727"/>
      <c r="H424" s="677" t="s">
        <v>46</v>
      </c>
      <c r="I424" s="697">
        <f ca="1">IFERROR(__xludf.DUMMYFUNCTION("IMPORTRANGE(""https://docs.google.com/spreadsheets/d/1eHaY18a8A9IcSdp1K8H6x8fbOy06t2VsZHhMHf-1x7Y/edit?usp=sharing"",""แผน!HJ16"")"),0)</f>
        <v>0</v>
      </c>
      <c r="J424" s="697">
        <f t="shared" ref="J424:J425" si="285">J426+J428+J430</f>
        <v>0</v>
      </c>
      <c r="K424" s="679">
        <f t="shared" ca="1" si="284"/>
        <v>0</v>
      </c>
      <c r="L424" s="574"/>
      <c r="M424" s="566"/>
      <c r="N424" s="566"/>
      <c r="O424" s="566"/>
      <c r="P424" s="566"/>
      <c r="Q424" s="566"/>
      <c r="R424" s="566"/>
      <c r="S424" s="566"/>
      <c r="T424" s="566"/>
      <c r="U424" s="566"/>
    </row>
    <row r="425" spans="1:21" ht="19.5" x14ac:dyDescent="0.3">
      <c r="A425" s="764"/>
      <c r="B425" s="718"/>
      <c r="C425" s="718"/>
      <c r="D425" s="718"/>
      <c r="E425" s="718"/>
      <c r="F425" s="718"/>
      <c r="G425" s="727"/>
      <c r="H425" s="677" t="s">
        <v>34</v>
      </c>
      <c r="I425" s="697">
        <f ca="1">IFERROR(__xludf.DUMMYFUNCTION("IMPORTRANGE(""https://docs.google.com/spreadsheets/d/1eHaY18a8A9IcSdp1K8H6x8fbOy06t2VsZHhMHf-1x7Y/edit?usp=sharing"",""แผน!HK16"")"),0)</f>
        <v>0</v>
      </c>
      <c r="J425" s="697">
        <f t="shared" si="285"/>
        <v>0</v>
      </c>
      <c r="K425" s="679">
        <f t="shared" ca="1" si="284"/>
        <v>0</v>
      </c>
      <c r="L425" s="574"/>
      <c r="M425" s="566"/>
      <c r="N425" s="566"/>
      <c r="O425" s="566"/>
      <c r="P425" s="566"/>
      <c r="Q425" s="566"/>
      <c r="R425" s="566"/>
      <c r="S425" s="566"/>
      <c r="T425" s="566"/>
      <c r="U425" s="566"/>
    </row>
    <row r="426" spans="1:21" ht="18.75" x14ac:dyDescent="0.25">
      <c r="A426" s="764"/>
      <c r="B426" s="718"/>
      <c r="C426" s="718"/>
      <c r="D426" s="765" t="s">
        <v>162</v>
      </c>
      <c r="E426" s="718"/>
      <c r="F426" s="718"/>
      <c r="G426" s="727"/>
      <c r="H426" s="681" t="s">
        <v>46</v>
      </c>
      <c r="I426" s="565"/>
      <c r="J426" s="565"/>
      <c r="K426" s="566"/>
      <c r="L426" s="574"/>
      <c r="M426" s="566"/>
      <c r="N426" s="566"/>
      <c r="O426" s="566"/>
      <c r="P426" s="566"/>
      <c r="Q426" s="566"/>
      <c r="R426" s="566"/>
      <c r="S426" s="566"/>
      <c r="T426" s="566"/>
      <c r="U426" s="566"/>
    </row>
    <row r="427" spans="1:21" ht="18.75" x14ac:dyDescent="0.25">
      <c r="A427" s="764"/>
      <c r="B427" s="718"/>
      <c r="C427" s="718"/>
      <c r="D427" s="718"/>
      <c r="E427" s="718"/>
      <c r="F427" s="718"/>
      <c r="G427" s="727"/>
      <c r="H427" s="681" t="s">
        <v>34</v>
      </c>
      <c r="I427" s="565"/>
      <c r="J427" s="565"/>
      <c r="K427" s="566"/>
      <c r="L427" s="574"/>
      <c r="M427" s="566"/>
      <c r="N427" s="566"/>
      <c r="O427" s="566"/>
      <c r="P427" s="566"/>
      <c r="Q427" s="566"/>
      <c r="R427" s="566"/>
      <c r="S427" s="566"/>
      <c r="T427" s="566"/>
      <c r="U427" s="566"/>
    </row>
    <row r="428" spans="1:21" ht="18.75" x14ac:dyDescent="0.25">
      <c r="A428" s="764"/>
      <c r="B428" s="718"/>
      <c r="C428" s="718"/>
      <c r="D428" s="765" t="s">
        <v>163</v>
      </c>
      <c r="E428" s="718"/>
      <c r="F428" s="718"/>
      <c r="G428" s="727"/>
      <c r="H428" s="681" t="s">
        <v>46</v>
      </c>
      <c r="I428" s="565"/>
      <c r="J428" s="565"/>
      <c r="K428" s="566"/>
      <c r="L428" s="574"/>
      <c r="M428" s="566"/>
      <c r="N428" s="566"/>
      <c r="O428" s="566"/>
      <c r="P428" s="566"/>
      <c r="Q428" s="566"/>
      <c r="R428" s="566"/>
      <c r="S428" s="566"/>
      <c r="T428" s="566"/>
      <c r="U428" s="566"/>
    </row>
    <row r="429" spans="1:21" ht="18.75" x14ac:dyDescent="0.25">
      <c r="A429" s="764"/>
      <c r="B429" s="718"/>
      <c r="C429" s="718"/>
      <c r="D429" s="718"/>
      <c r="E429" s="718"/>
      <c r="F429" s="718"/>
      <c r="G429" s="727"/>
      <c r="H429" s="681" t="s">
        <v>34</v>
      </c>
      <c r="I429" s="565"/>
      <c r="J429" s="565"/>
      <c r="K429" s="566"/>
      <c r="L429" s="574"/>
      <c r="M429" s="566"/>
      <c r="N429" s="566"/>
      <c r="O429" s="566"/>
      <c r="P429" s="566"/>
      <c r="Q429" s="566"/>
      <c r="R429" s="566"/>
      <c r="S429" s="566"/>
      <c r="T429" s="566"/>
      <c r="U429" s="566"/>
    </row>
    <row r="430" spans="1:21" ht="18.75" x14ac:dyDescent="0.25">
      <c r="A430" s="764"/>
      <c r="B430" s="718"/>
      <c r="C430" s="718"/>
      <c r="D430" s="765" t="s">
        <v>164</v>
      </c>
      <c r="E430" s="718"/>
      <c r="F430" s="718"/>
      <c r="G430" s="727"/>
      <c r="H430" s="681" t="s">
        <v>46</v>
      </c>
      <c r="I430" s="565"/>
      <c r="J430" s="565"/>
      <c r="K430" s="566"/>
      <c r="L430" s="574"/>
      <c r="M430" s="566"/>
      <c r="N430" s="566"/>
      <c r="O430" s="566"/>
      <c r="P430" s="566"/>
      <c r="Q430" s="566"/>
      <c r="R430" s="566"/>
      <c r="S430" s="566"/>
      <c r="T430" s="566"/>
      <c r="U430" s="566"/>
    </row>
    <row r="431" spans="1:21" ht="18.75" x14ac:dyDescent="0.25">
      <c r="A431" s="764"/>
      <c r="B431" s="718"/>
      <c r="C431" s="718"/>
      <c r="D431" s="718"/>
      <c r="E431" s="718"/>
      <c r="F431" s="718"/>
      <c r="G431" s="727"/>
      <c r="H431" s="681" t="s">
        <v>34</v>
      </c>
      <c r="I431" s="565"/>
      <c r="J431" s="565"/>
      <c r="K431" s="566"/>
      <c r="L431" s="574"/>
      <c r="M431" s="566"/>
      <c r="N431" s="566"/>
      <c r="O431" s="566"/>
      <c r="P431" s="566"/>
      <c r="Q431" s="566"/>
      <c r="R431" s="566"/>
      <c r="S431" s="566"/>
      <c r="T431" s="566"/>
      <c r="U431" s="566"/>
    </row>
    <row r="432" spans="1:21" ht="19.5" x14ac:dyDescent="0.3">
      <c r="A432" s="764"/>
      <c r="B432" s="718"/>
      <c r="C432" s="719" t="s">
        <v>165</v>
      </c>
      <c r="D432" s="718"/>
      <c r="E432" s="718"/>
      <c r="F432" s="718"/>
      <c r="G432" s="727"/>
      <c r="H432" s="677" t="s">
        <v>46</v>
      </c>
      <c r="I432" s="697">
        <f ca="1">IFERROR(__xludf.DUMMYFUNCTION("IMPORTRANGE(""https://docs.google.com/spreadsheets/d/1eHaY18a8A9IcSdp1K8H6x8fbOy06t2VsZHhMHf-1x7Y/edit?usp=sharing"",""แผน!HJ16"")"),0)</f>
        <v>0</v>
      </c>
      <c r="J432" s="697">
        <f t="shared" ref="J432:J433" si="286">J434+J436+J438</f>
        <v>0</v>
      </c>
      <c r="K432" s="679">
        <f t="shared" ref="K432:K433" ca="1" si="287">IF(I432&gt;0,J432*100/I432,0)</f>
        <v>0</v>
      </c>
      <c r="L432" s="574"/>
      <c r="M432" s="566"/>
      <c r="N432" s="566"/>
      <c r="O432" s="566"/>
      <c r="P432" s="566"/>
      <c r="Q432" s="566"/>
      <c r="R432" s="566"/>
      <c r="S432" s="566"/>
      <c r="T432" s="566"/>
      <c r="U432" s="566"/>
    </row>
    <row r="433" spans="1:21" ht="19.5" x14ac:dyDescent="0.3">
      <c r="A433" s="764"/>
      <c r="B433" s="718"/>
      <c r="C433" s="718"/>
      <c r="D433" s="718"/>
      <c r="E433" s="718"/>
      <c r="F433" s="718"/>
      <c r="G433" s="727"/>
      <c r="H433" s="677" t="s">
        <v>34</v>
      </c>
      <c r="I433" s="697">
        <f ca="1">IFERROR(__xludf.DUMMYFUNCTION("IMPORTRANGE(""https://docs.google.com/spreadsheets/d/1eHaY18a8A9IcSdp1K8H6x8fbOy06t2VsZHhMHf-1x7Y/edit?usp=sharing"",""แผน!HK16"")"),0)</f>
        <v>0</v>
      </c>
      <c r="J433" s="697">
        <f t="shared" si="286"/>
        <v>0</v>
      </c>
      <c r="K433" s="679">
        <f t="shared" ca="1" si="287"/>
        <v>0</v>
      </c>
      <c r="L433" s="574"/>
      <c r="M433" s="566"/>
      <c r="N433" s="566"/>
      <c r="O433" s="566"/>
      <c r="P433" s="566"/>
      <c r="Q433" s="566"/>
      <c r="R433" s="566"/>
      <c r="S433" s="566"/>
      <c r="T433" s="566"/>
      <c r="U433" s="566"/>
    </row>
    <row r="434" spans="1:21" ht="18.75" x14ac:dyDescent="0.25">
      <c r="A434" s="764"/>
      <c r="B434" s="718"/>
      <c r="C434" s="718"/>
      <c r="D434" s="765" t="s">
        <v>166</v>
      </c>
      <c r="E434" s="718"/>
      <c r="F434" s="718"/>
      <c r="G434" s="727"/>
      <c r="H434" s="681" t="s">
        <v>46</v>
      </c>
      <c r="I434" s="565"/>
      <c r="J434" s="565"/>
      <c r="K434" s="566"/>
      <c r="L434" s="574"/>
      <c r="M434" s="566"/>
      <c r="N434" s="566"/>
      <c r="O434" s="566"/>
      <c r="P434" s="566"/>
      <c r="Q434" s="566"/>
      <c r="R434" s="566"/>
      <c r="S434" s="566"/>
      <c r="T434" s="566"/>
      <c r="U434" s="566"/>
    </row>
    <row r="435" spans="1:21" ht="18.75" x14ac:dyDescent="0.25">
      <c r="A435" s="764"/>
      <c r="B435" s="718"/>
      <c r="C435" s="718"/>
      <c r="D435" s="718"/>
      <c r="E435" s="718"/>
      <c r="F435" s="718"/>
      <c r="G435" s="727"/>
      <c r="H435" s="681" t="s">
        <v>34</v>
      </c>
      <c r="I435" s="565"/>
      <c r="J435" s="565"/>
      <c r="K435" s="566"/>
      <c r="L435" s="574"/>
      <c r="M435" s="566"/>
      <c r="N435" s="566"/>
      <c r="O435" s="566"/>
      <c r="P435" s="566"/>
      <c r="Q435" s="566"/>
      <c r="R435" s="566"/>
      <c r="S435" s="566"/>
      <c r="T435" s="566"/>
      <c r="U435" s="566"/>
    </row>
    <row r="436" spans="1:21" ht="18.75" x14ac:dyDescent="0.25">
      <c r="A436" s="764"/>
      <c r="B436" s="718"/>
      <c r="C436" s="718"/>
      <c r="D436" s="765" t="s">
        <v>167</v>
      </c>
      <c r="E436" s="718"/>
      <c r="F436" s="718"/>
      <c r="G436" s="727"/>
      <c r="H436" s="681" t="s">
        <v>46</v>
      </c>
      <c r="I436" s="565"/>
      <c r="J436" s="565"/>
      <c r="K436" s="566"/>
      <c r="L436" s="574"/>
      <c r="M436" s="566"/>
      <c r="N436" s="566"/>
      <c r="O436" s="566"/>
      <c r="P436" s="566"/>
      <c r="Q436" s="566"/>
      <c r="R436" s="566"/>
      <c r="S436" s="566"/>
      <c r="T436" s="566"/>
      <c r="U436" s="566"/>
    </row>
    <row r="437" spans="1:21" ht="18.75" x14ac:dyDescent="0.25">
      <c r="A437" s="764"/>
      <c r="B437" s="718"/>
      <c r="C437" s="718"/>
      <c r="D437" s="718"/>
      <c r="E437" s="718"/>
      <c r="F437" s="718"/>
      <c r="G437" s="727"/>
      <c r="H437" s="681" t="s">
        <v>34</v>
      </c>
      <c r="I437" s="565"/>
      <c r="J437" s="565"/>
      <c r="K437" s="566"/>
      <c r="L437" s="574"/>
      <c r="M437" s="566"/>
      <c r="N437" s="566"/>
      <c r="O437" s="566"/>
      <c r="P437" s="566"/>
      <c r="Q437" s="566"/>
      <c r="R437" s="566"/>
      <c r="S437" s="566"/>
      <c r="T437" s="566"/>
      <c r="U437" s="566"/>
    </row>
    <row r="438" spans="1:21" ht="18.75" x14ac:dyDescent="0.25">
      <c r="A438" s="764"/>
      <c r="B438" s="718"/>
      <c r="C438" s="718"/>
      <c r="D438" s="765" t="s">
        <v>168</v>
      </c>
      <c r="E438" s="718"/>
      <c r="F438" s="718"/>
      <c r="G438" s="727"/>
      <c r="H438" s="681" t="s">
        <v>46</v>
      </c>
      <c r="I438" s="565"/>
      <c r="J438" s="565"/>
      <c r="K438" s="566"/>
      <c r="L438" s="574"/>
      <c r="M438" s="566"/>
      <c r="N438" s="566"/>
      <c r="O438" s="566"/>
      <c r="P438" s="566"/>
      <c r="Q438" s="566"/>
      <c r="R438" s="566"/>
      <c r="S438" s="566"/>
      <c r="T438" s="566"/>
      <c r="U438" s="566"/>
    </row>
    <row r="439" spans="1:21" ht="18.75" x14ac:dyDescent="0.25">
      <c r="A439" s="764"/>
      <c r="B439" s="718"/>
      <c r="C439" s="718"/>
      <c r="D439" s="718"/>
      <c r="E439" s="718"/>
      <c r="F439" s="718"/>
      <c r="G439" s="727"/>
      <c r="H439" s="681" t="s">
        <v>34</v>
      </c>
      <c r="I439" s="565"/>
      <c r="J439" s="565"/>
      <c r="K439" s="566"/>
      <c r="L439" s="574"/>
      <c r="M439" s="566"/>
      <c r="N439" s="566"/>
      <c r="O439" s="566"/>
      <c r="P439" s="566"/>
      <c r="Q439" s="566"/>
      <c r="R439" s="566"/>
      <c r="S439" s="566"/>
      <c r="T439" s="566"/>
      <c r="U439" s="566"/>
    </row>
    <row r="440" spans="1:21" ht="19.5" x14ac:dyDescent="0.3">
      <c r="A440" s="764"/>
      <c r="B440" s="718"/>
      <c r="C440" s="719" t="s">
        <v>169</v>
      </c>
      <c r="D440" s="718"/>
      <c r="E440" s="718"/>
      <c r="F440" s="718"/>
      <c r="G440" s="727"/>
      <c r="H440" s="677" t="s">
        <v>46</v>
      </c>
      <c r="I440" s="697">
        <f ca="1">IFERROR(__xludf.DUMMYFUNCTION("IMPORTRANGE(""https://docs.google.com/spreadsheets/d/1eHaY18a8A9IcSdp1K8H6x8fbOy06t2VsZHhMHf-1x7Y/edit?usp=sharing"",""แผน!HJ16"")"),0)</f>
        <v>0</v>
      </c>
      <c r="J440" s="697">
        <f t="shared" ref="J440:J441" si="288">J442+J444+J446+J452+J454</f>
        <v>0</v>
      </c>
      <c r="K440" s="679">
        <f t="shared" ref="K440:K441" ca="1" si="289">IF(I440&gt;0,J440*100/I440,0)</f>
        <v>0</v>
      </c>
      <c r="L440" s="574"/>
      <c r="M440" s="566"/>
      <c r="N440" s="566"/>
      <c r="O440" s="566"/>
      <c r="P440" s="566"/>
      <c r="Q440" s="566"/>
      <c r="R440" s="566"/>
      <c r="S440" s="566"/>
      <c r="T440" s="566"/>
      <c r="U440" s="566"/>
    </row>
    <row r="441" spans="1:21" ht="19.5" x14ac:dyDescent="0.3">
      <c r="A441" s="764"/>
      <c r="B441" s="718"/>
      <c r="C441" s="718"/>
      <c r="D441" s="718"/>
      <c r="E441" s="718"/>
      <c r="F441" s="718"/>
      <c r="G441" s="727"/>
      <c r="H441" s="677" t="s">
        <v>34</v>
      </c>
      <c r="I441" s="697">
        <f ca="1">IFERROR(__xludf.DUMMYFUNCTION("IMPORTRANGE(""https://docs.google.com/spreadsheets/d/1eHaY18a8A9IcSdp1K8H6x8fbOy06t2VsZHhMHf-1x7Y/edit?usp=sharing"",""แผน!HK16"")"),0)</f>
        <v>0</v>
      </c>
      <c r="J441" s="697">
        <f t="shared" si="288"/>
        <v>0</v>
      </c>
      <c r="K441" s="679">
        <f t="shared" ca="1" si="289"/>
        <v>0</v>
      </c>
      <c r="L441" s="574"/>
      <c r="M441" s="566"/>
      <c r="N441" s="566"/>
      <c r="O441" s="566"/>
      <c r="P441" s="566"/>
      <c r="Q441" s="566"/>
      <c r="R441" s="566"/>
      <c r="S441" s="566"/>
      <c r="T441" s="566"/>
      <c r="U441" s="566"/>
    </row>
    <row r="442" spans="1:21" ht="18.75" x14ac:dyDescent="0.25">
      <c r="A442" s="764"/>
      <c r="B442" s="718"/>
      <c r="C442" s="718"/>
      <c r="D442" s="765" t="s">
        <v>170</v>
      </c>
      <c r="E442" s="718"/>
      <c r="F442" s="718"/>
      <c r="G442" s="727"/>
      <c r="H442" s="681" t="s">
        <v>46</v>
      </c>
      <c r="I442" s="565"/>
      <c r="J442" s="565"/>
      <c r="K442" s="566"/>
      <c r="L442" s="574"/>
      <c r="M442" s="566"/>
      <c r="N442" s="566"/>
      <c r="O442" s="566"/>
      <c r="P442" s="566"/>
      <c r="Q442" s="566"/>
      <c r="R442" s="566"/>
      <c r="S442" s="566"/>
      <c r="T442" s="566"/>
      <c r="U442" s="566"/>
    </row>
    <row r="443" spans="1:21" ht="18.75" x14ac:dyDescent="0.25">
      <c r="A443" s="764"/>
      <c r="B443" s="718"/>
      <c r="C443" s="718"/>
      <c r="D443" s="718"/>
      <c r="E443" s="718"/>
      <c r="F443" s="718"/>
      <c r="G443" s="727"/>
      <c r="H443" s="681" t="s">
        <v>34</v>
      </c>
      <c r="I443" s="565"/>
      <c r="J443" s="565"/>
      <c r="K443" s="566"/>
      <c r="L443" s="574"/>
      <c r="M443" s="566"/>
      <c r="N443" s="566"/>
      <c r="O443" s="566"/>
      <c r="P443" s="566"/>
      <c r="Q443" s="566"/>
      <c r="R443" s="566"/>
      <c r="S443" s="566"/>
      <c r="T443" s="566"/>
      <c r="U443" s="566"/>
    </row>
    <row r="444" spans="1:21" ht="18.75" x14ac:dyDescent="0.25">
      <c r="A444" s="764"/>
      <c r="B444" s="718"/>
      <c r="C444" s="718"/>
      <c r="D444" s="765" t="s">
        <v>171</v>
      </c>
      <c r="E444" s="718"/>
      <c r="F444" s="718"/>
      <c r="G444" s="727"/>
      <c r="H444" s="681" t="s">
        <v>46</v>
      </c>
      <c r="I444" s="565"/>
      <c r="J444" s="565"/>
      <c r="K444" s="566"/>
      <c r="L444" s="574"/>
      <c r="M444" s="566"/>
      <c r="N444" s="566"/>
      <c r="O444" s="566"/>
      <c r="P444" s="566"/>
      <c r="Q444" s="566"/>
      <c r="R444" s="566"/>
      <c r="S444" s="566"/>
      <c r="T444" s="566"/>
      <c r="U444" s="566"/>
    </row>
    <row r="445" spans="1:21" ht="18.75" x14ac:dyDescent="0.25">
      <c r="A445" s="764"/>
      <c r="B445" s="718"/>
      <c r="C445" s="718"/>
      <c r="D445" s="718"/>
      <c r="E445" s="718"/>
      <c r="F445" s="718"/>
      <c r="G445" s="727"/>
      <c r="H445" s="681" t="s">
        <v>34</v>
      </c>
      <c r="I445" s="565"/>
      <c r="J445" s="565"/>
      <c r="K445" s="566"/>
      <c r="L445" s="574"/>
      <c r="M445" s="566"/>
      <c r="N445" s="566"/>
      <c r="O445" s="566"/>
      <c r="P445" s="566"/>
      <c r="Q445" s="566"/>
      <c r="R445" s="566"/>
      <c r="S445" s="566"/>
      <c r="T445" s="566"/>
      <c r="U445" s="566"/>
    </row>
    <row r="446" spans="1:21" ht="19.5" x14ac:dyDescent="0.3">
      <c r="A446" s="764"/>
      <c r="B446" s="718"/>
      <c r="C446" s="718"/>
      <c r="D446" s="765" t="s">
        <v>172</v>
      </c>
      <c r="E446" s="718"/>
      <c r="F446" s="718"/>
      <c r="G446" s="727"/>
      <c r="H446" s="681" t="s">
        <v>46</v>
      </c>
      <c r="I446" s="565"/>
      <c r="J446" s="697">
        <f t="shared" ref="J446:J447" si="290">J448+J450</f>
        <v>0</v>
      </c>
      <c r="K446" s="566"/>
      <c r="L446" s="574"/>
      <c r="M446" s="566"/>
      <c r="N446" s="566"/>
      <c r="O446" s="566"/>
      <c r="P446" s="566"/>
      <c r="Q446" s="566"/>
      <c r="R446" s="566"/>
      <c r="S446" s="566"/>
      <c r="T446" s="566"/>
      <c r="U446" s="566"/>
    </row>
    <row r="447" spans="1:21" ht="19.5" x14ac:dyDescent="0.3">
      <c r="A447" s="764"/>
      <c r="B447" s="718"/>
      <c r="C447" s="718"/>
      <c r="D447" s="718"/>
      <c r="E447" s="718"/>
      <c r="F447" s="718"/>
      <c r="G447" s="727"/>
      <c r="H447" s="681" t="s">
        <v>34</v>
      </c>
      <c r="I447" s="565"/>
      <c r="J447" s="697">
        <f t="shared" si="290"/>
        <v>0</v>
      </c>
      <c r="K447" s="566"/>
      <c r="L447" s="574"/>
      <c r="M447" s="566"/>
      <c r="N447" s="566"/>
      <c r="O447" s="566"/>
      <c r="P447" s="566"/>
      <c r="Q447" s="566"/>
      <c r="R447" s="566"/>
      <c r="S447" s="566"/>
      <c r="T447" s="566"/>
      <c r="U447" s="566"/>
    </row>
    <row r="448" spans="1:21" ht="18.75" x14ac:dyDescent="0.25">
      <c r="A448" s="764"/>
      <c r="B448" s="718"/>
      <c r="C448" s="718"/>
      <c r="D448" s="718"/>
      <c r="E448" s="765" t="s">
        <v>173</v>
      </c>
      <c r="F448" s="718"/>
      <c r="G448" s="727"/>
      <c r="H448" s="681" t="s">
        <v>46</v>
      </c>
      <c r="I448" s="565"/>
      <c r="J448" s="565"/>
      <c r="K448" s="566"/>
      <c r="L448" s="574"/>
      <c r="M448" s="566"/>
      <c r="N448" s="566"/>
      <c r="O448" s="566"/>
      <c r="P448" s="566"/>
      <c r="Q448" s="566"/>
      <c r="R448" s="566"/>
      <c r="S448" s="566"/>
      <c r="T448" s="566"/>
      <c r="U448" s="566"/>
    </row>
    <row r="449" spans="1:21" ht="18.75" x14ac:dyDescent="0.25">
      <c r="A449" s="764"/>
      <c r="B449" s="718"/>
      <c r="C449" s="718"/>
      <c r="D449" s="718"/>
      <c r="E449" s="718"/>
      <c r="F449" s="718"/>
      <c r="G449" s="727"/>
      <c r="H449" s="681" t="s">
        <v>34</v>
      </c>
      <c r="I449" s="565"/>
      <c r="J449" s="565"/>
      <c r="K449" s="566"/>
      <c r="L449" s="574"/>
      <c r="M449" s="566"/>
      <c r="N449" s="566"/>
      <c r="O449" s="566"/>
      <c r="P449" s="566"/>
      <c r="Q449" s="566"/>
      <c r="R449" s="566"/>
      <c r="S449" s="566"/>
      <c r="T449" s="566"/>
      <c r="U449" s="566"/>
    </row>
    <row r="450" spans="1:21" ht="18.75" x14ac:dyDescent="0.25">
      <c r="A450" s="764"/>
      <c r="B450" s="718"/>
      <c r="C450" s="718"/>
      <c r="D450" s="718"/>
      <c r="E450" s="765" t="s">
        <v>174</v>
      </c>
      <c r="F450" s="718"/>
      <c r="G450" s="727"/>
      <c r="H450" s="681" t="s">
        <v>46</v>
      </c>
      <c r="I450" s="565"/>
      <c r="J450" s="565"/>
      <c r="K450" s="566"/>
      <c r="L450" s="574"/>
      <c r="M450" s="566"/>
      <c r="N450" s="566"/>
      <c r="O450" s="566"/>
      <c r="P450" s="566"/>
      <c r="Q450" s="566"/>
      <c r="R450" s="566"/>
      <c r="S450" s="566"/>
      <c r="T450" s="566"/>
      <c r="U450" s="566"/>
    </row>
    <row r="451" spans="1:21" ht="18.75" x14ac:dyDescent="0.25">
      <c r="A451" s="764"/>
      <c r="B451" s="718"/>
      <c r="C451" s="718"/>
      <c r="D451" s="718"/>
      <c r="E451" s="718"/>
      <c r="F451" s="718"/>
      <c r="G451" s="727"/>
      <c r="H451" s="681" t="s">
        <v>34</v>
      </c>
      <c r="I451" s="565"/>
      <c r="J451" s="565"/>
      <c r="K451" s="566"/>
      <c r="L451" s="574"/>
      <c r="M451" s="566"/>
      <c r="N451" s="566"/>
      <c r="O451" s="566"/>
      <c r="P451" s="566"/>
      <c r="Q451" s="566"/>
      <c r="R451" s="566"/>
      <c r="S451" s="566"/>
      <c r="T451" s="566"/>
      <c r="U451" s="566"/>
    </row>
    <row r="452" spans="1:21" ht="18.75" x14ac:dyDescent="0.25">
      <c r="A452" s="764"/>
      <c r="B452" s="718"/>
      <c r="C452" s="718"/>
      <c r="D452" s="765" t="s">
        <v>175</v>
      </c>
      <c r="E452" s="718"/>
      <c r="F452" s="718"/>
      <c r="G452" s="727"/>
      <c r="H452" s="681" t="s">
        <v>46</v>
      </c>
      <c r="I452" s="565"/>
      <c r="J452" s="565"/>
      <c r="K452" s="566"/>
      <c r="L452" s="574"/>
      <c r="M452" s="566"/>
      <c r="N452" s="566"/>
      <c r="O452" s="566"/>
      <c r="P452" s="566"/>
      <c r="Q452" s="566"/>
      <c r="R452" s="566"/>
      <c r="S452" s="566"/>
      <c r="T452" s="566"/>
      <c r="U452" s="566"/>
    </row>
    <row r="453" spans="1:21" ht="18.75" x14ac:dyDescent="0.25">
      <c r="A453" s="764"/>
      <c r="B453" s="718"/>
      <c r="C453" s="718"/>
      <c r="D453" s="718"/>
      <c r="E453" s="718"/>
      <c r="F453" s="718"/>
      <c r="G453" s="727"/>
      <c r="H453" s="681" t="s">
        <v>34</v>
      </c>
      <c r="I453" s="565"/>
      <c r="J453" s="565"/>
      <c r="K453" s="566"/>
      <c r="L453" s="574"/>
      <c r="M453" s="566"/>
      <c r="N453" s="566"/>
      <c r="O453" s="566"/>
      <c r="P453" s="566"/>
      <c r="Q453" s="566"/>
      <c r="R453" s="566"/>
      <c r="S453" s="566"/>
      <c r="T453" s="566"/>
      <c r="U453" s="566"/>
    </row>
    <row r="454" spans="1:21" ht="18.75" x14ac:dyDescent="0.25">
      <c r="A454" s="764"/>
      <c r="B454" s="718"/>
      <c r="C454" s="718"/>
      <c r="D454" s="765" t="s">
        <v>176</v>
      </c>
      <c r="E454" s="718"/>
      <c r="F454" s="718"/>
      <c r="G454" s="727"/>
      <c r="H454" s="681" t="s">
        <v>46</v>
      </c>
      <c r="I454" s="565"/>
      <c r="J454" s="981"/>
      <c r="K454" s="566"/>
      <c r="L454" s="574"/>
      <c r="M454" s="566"/>
      <c r="N454" s="566"/>
      <c r="O454" s="566"/>
      <c r="P454" s="566"/>
      <c r="Q454" s="566"/>
      <c r="R454" s="566"/>
      <c r="S454" s="566"/>
      <c r="T454" s="566"/>
      <c r="U454" s="566"/>
    </row>
    <row r="455" spans="1:21" ht="18.75" x14ac:dyDescent="0.25">
      <c r="A455" s="764"/>
      <c r="B455" s="718"/>
      <c r="C455" s="718"/>
      <c r="D455" s="718"/>
      <c r="E455" s="718"/>
      <c r="F455" s="718"/>
      <c r="G455" s="727"/>
      <c r="H455" s="681" t="s">
        <v>34</v>
      </c>
      <c r="I455" s="565"/>
      <c r="J455" s="565"/>
      <c r="K455" s="566"/>
      <c r="L455" s="574"/>
      <c r="M455" s="566"/>
      <c r="N455" s="566"/>
      <c r="O455" s="566"/>
      <c r="P455" s="566"/>
      <c r="Q455" s="566"/>
      <c r="R455" s="566"/>
      <c r="S455" s="566"/>
      <c r="T455" s="566"/>
      <c r="U455" s="566"/>
    </row>
    <row r="456" spans="1:21" ht="19.5" x14ac:dyDescent="0.3">
      <c r="A456" s="764"/>
      <c r="B456" s="719" t="s">
        <v>177</v>
      </c>
      <c r="C456" s="718"/>
      <c r="D456" s="718"/>
      <c r="E456" s="718"/>
      <c r="F456" s="718"/>
      <c r="G456" s="727"/>
      <c r="H456" s="979" t="s">
        <v>46</v>
      </c>
      <c r="I456" s="697">
        <f t="shared" ref="I456:J456" ca="1" si="291">I457</f>
        <v>119</v>
      </c>
      <c r="J456" s="697">
        <f t="shared" si="291"/>
        <v>0</v>
      </c>
      <c r="K456" s="679">
        <f t="shared" ref="K456:K458" ca="1" si="292">IF(I456&gt;0,J456*100/I456,0)</f>
        <v>0</v>
      </c>
      <c r="L456" s="574"/>
      <c r="M456" s="566"/>
      <c r="N456" s="566"/>
      <c r="O456" s="566"/>
      <c r="P456" s="566"/>
      <c r="Q456" s="566"/>
      <c r="R456" s="566"/>
      <c r="S456" s="566"/>
      <c r="T456" s="566"/>
      <c r="U456" s="566"/>
    </row>
    <row r="457" spans="1:21" ht="19.5" x14ac:dyDescent="0.3">
      <c r="A457" s="764"/>
      <c r="B457" s="718"/>
      <c r="C457" s="719" t="s">
        <v>178</v>
      </c>
      <c r="D457" s="718"/>
      <c r="E457" s="718"/>
      <c r="F457" s="718"/>
      <c r="G457" s="727"/>
      <c r="H457" s="677" t="s">
        <v>46</v>
      </c>
      <c r="I457" s="697">
        <f ca="1">IFERROR(__xludf.DUMMYFUNCTION("IMPORTRANGE(""https://docs.google.com/spreadsheets/d/1eHaY18a8A9IcSdp1K8H6x8fbOy06t2VsZHhMHf-1x7Y/edit?usp=sharing"",""แผน!HL16"")"),119)</f>
        <v>119</v>
      </c>
      <c r="J457" s="697">
        <f t="shared" ref="J457:J458" si="293">J459+J467+J473</f>
        <v>0</v>
      </c>
      <c r="K457" s="679">
        <f t="shared" ca="1" si="292"/>
        <v>0</v>
      </c>
      <c r="L457" s="574"/>
      <c r="M457" s="566"/>
      <c r="N457" s="566"/>
      <c r="O457" s="566"/>
      <c r="P457" s="566"/>
      <c r="Q457" s="566"/>
      <c r="R457" s="566"/>
      <c r="S457" s="566"/>
      <c r="T457" s="566"/>
      <c r="U457" s="566"/>
    </row>
    <row r="458" spans="1:21" ht="19.5" x14ac:dyDescent="0.3">
      <c r="A458" s="764"/>
      <c r="B458" s="718"/>
      <c r="C458" s="718"/>
      <c r="D458" s="718"/>
      <c r="E458" s="718"/>
      <c r="F458" s="718"/>
      <c r="G458" s="727"/>
      <c r="H458" s="677" t="s">
        <v>34</v>
      </c>
      <c r="I458" s="697">
        <f ca="1">IFERROR(__xludf.DUMMYFUNCTION("IMPORTRANGE(""https://docs.google.com/spreadsheets/d/1eHaY18a8A9IcSdp1K8H6x8fbOy06t2VsZHhMHf-1x7Y/edit?usp=sharing"",""แผน!HM16"")"),0)</f>
        <v>0</v>
      </c>
      <c r="J458" s="697">
        <f t="shared" si="293"/>
        <v>0</v>
      </c>
      <c r="K458" s="679">
        <f t="shared" ca="1" si="292"/>
        <v>0</v>
      </c>
      <c r="L458" s="574"/>
      <c r="M458" s="566"/>
      <c r="N458" s="566"/>
      <c r="O458" s="566"/>
      <c r="P458" s="566"/>
      <c r="Q458" s="566"/>
      <c r="R458" s="566"/>
      <c r="S458" s="566"/>
      <c r="T458" s="566"/>
      <c r="U458" s="566"/>
    </row>
    <row r="459" spans="1:21" ht="18.75" x14ac:dyDescent="0.25">
      <c r="A459" s="764"/>
      <c r="B459" s="718"/>
      <c r="C459" s="765" t="s">
        <v>179</v>
      </c>
      <c r="D459" s="718"/>
      <c r="E459" s="718"/>
      <c r="F459" s="718"/>
      <c r="G459" s="727"/>
      <c r="H459" s="681" t="s">
        <v>46</v>
      </c>
      <c r="I459" s="565"/>
      <c r="J459" s="708">
        <f t="shared" ref="J459:J460" si="294">J461+J463</f>
        <v>0</v>
      </c>
      <c r="K459" s="566"/>
      <c r="L459" s="574"/>
      <c r="M459" s="566"/>
      <c r="N459" s="566"/>
      <c r="O459" s="566"/>
      <c r="P459" s="566"/>
      <c r="Q459" s="566"/>
      <c r="R459" s="566"/>
      <c r="S459" s="566"/>
      <c r="T459" s="566"/>
      <c r="U459" s="566"/>
    </row>
    <row r="460" spans="1:21" ht="18.75" x14ac:dyDescent="0.25">
      <c r="A460" s="764"/>
      <c r="B460" s="718"/>
      <c r="C460" s="718"/>
      <c r="D460" s="718"/>
      <c r="E460" s="718"/>
      <c r="F460" s="718"/>
      <c r="G460" s="727"/>
      <c r="H460" s="681" t="s">
        <v>34</v>
      </c>
      <c r="I460" s="565"/>
      <c r="J460" s="708">
        <f t="shared" si="294"/>
        <v>0</v>
      </c>
      <c r="K460" s="566"/>
      <c r="L460" s="574"/>
      <c r="M460" s="566"/>
      <c r="N460" s="566"/>
      <c r="O460" s="566"/>
      <c r="P460" s="566"/>
      <c r="Q460" s="566"/>
      <c r="R460" s="566"/>
      <c r="S460" s="566"/>
      <c r="T460" s="566"/>
      <c r="U460" s="566"/>
    </row>
    <row r="461" spans="1:21" ht="18.75" x14ac:dyDescent="0.25">
      <c r="A461" s="764"/>
      <c r="B461" s="718"/>
      <c r="C461" s="718"/>
      <c r="D461" s="982" t="s">
        <v>180</v>
      </c>
      <c r="E461" s="718"/>
      <c r="F461" s="718"/>
      <c r="G461" s="727"/>
      <c r="H461" s="681" t="s">
        <v>46</v>
      </c>
      <c r="I461" s="565"/>
      <c r="J461" s="565"/>
      <c r="K461" s="566"/>
      <c r="L461" s="574"/>
      <c r="M461" s="566"/>
      <c r="N461" s="566"/>
      <c r="O461" s="566"/>
      <c r="P461" s="566"/>
      <c r="Q461" s="566"/>
      <c r="R461" s="566"/>
      <c r="S461" s="566"/>
      <c r="T461" s="566"/>
      <c r="U461" s="566"/>
    </row>
    <row r="462" spans="1:21" ht="18.75" x14ac:dyDescent="0.25">
      <c r="A462" s="764"/>
      <c r="B462" s="718"/>
      <c r="C462" s="718"/>
      <c r="D462" s="718"/>
      <c r="E462" s="718"/>
      <c r="F462" s="718"/>
      <c r="G462" s="727"/>
      <c r="H462" s="681" t="s">
        <v>34</v>
      </c>
      <c r="I462" s="565"/>
      <c r="J462" s="565"/>
      <c r="K462" s="566"/>
      <c r="L462" s="574"/>
      <c r="M462" s="566"/>
      <c r="N462" s="566"/>
      <c r="O462" s="566"/>
      <c r="P462" s="566"/>
      <c r="Q462" s="566"/>
      <c r="R462" s="566"/>
      <c r="S462" s="566"/>
      <c r="T462" s="566"/>
      <c r="U462" s="566"/>
    </row>
    <row r="463" spans="1:21" ht="18.75" x14ac:dyDescent="0.25">
      <c r="A463" s="764"/>
      <c r="B463" s="718"/>
      <c r="C463" s="718"/>
      <c r="D463" s="982" t="s">
        <v>181</v>
      </c>
      <c r="E463" s="718"/>
      <c r="F463" s="718"/>
      <c r="G463" s="727"/>
      <c r="H463" s="681" t="s">
        <v>46</v>
      </c>
      <c r="I463" s="565"/>
      <c r="J463" s="565"/>
      <c r="K463" s="566"/>
      <c r="L463" s="574"/>
      <c r="M463" s="566"/>
      <c r="N463" s="566"/>
      <c r="O463" s="566"/>
      <c r="P463" s="566"/>
      <c r="Q463" s="566"/>
      <c r="R463" s="566"/>
      <c r="S463" s="566"/>
      <c r="T463" s="566"/>
      <c r="U463" s="566"/>
    </row>
    <row r="464" spans="1:21" ht="18.75" x14ac:dyDescent="0.25">
      <c r="A464" s="764"/>
      <c r="B464" s="718"/>
      <c r="C464" s="718"/>
      <c r="D464" s="718"/>
      <c r="E464" s="718"/>
      <c r="F464" s="718"/>
      <c r="G464" s="727"/>
      <c r="H464" s="681" t="s">
        <v>34</v>
      </c>
      <c r="I464" s="565"/>
      <c r="J464" s="565"/>
      <c r="K464" s="566"/>
      <c r="L464" s="574"/>
      <c r="M464" s="566"/>
      <c r="N464" s="566"/>
      <c r="O464" s="566"/>
      <c r="P464" s="566"/>
      <c r="Q464" s="566"/>
      <c r="R464" s="566"/>
      <c r="S464" s="566"/>
      <c r="T464" s="566"/>
      <c r="U464" s="566"/>
    </row>
    <row r="465" spans="1:21" ht="18.75" x14ac:dyDescent="0.25">
      <c r="A465" s="764"/>
      <c r="B465" s="718"/>
      <c r="C465" s="718"/>
      <c r="D465" s="982" t="s">
        <v>182</v>
      </c>
      <c r="E465" s="718"/>
      <c r="F465" s="718"/>
      <c r="G465" s="727"/>
      <c r="H465" s="681" t="s">
        <v>46</v>
      </c>
      <c r="I465" s="565"/>
      <c r="J465" s="565"/>
      <c r="K465" s="566"/>
      <c r="L465" s="574"/>
      <c r="M465" s="566"/>
      <c r="N465" s="566"/>
      <c r="O465" s="566"/>
      <c r="P465" s="566"/>
      <c r="Q465" s="566"/>
      <c r="R465" s="566"/>
      <c r="S465" s="566"/>
      <c r="T465" s="566"/>
      <c r="U465" s="566"/>
    </row>
    <row r="466" spans="1:21" ht="18.75" x14ac:dyDescent="0.25">
      <c r="A466" s="764"/>
      <c r="B466" s="718"/>
      <c r="C466" s="718"/>
      <c r="D466" s="718"/>
      <c r="E466" s="718"/>
      <c r="F466" s="718"/>
      <c r="G466" s="727"/>
      <c r="H466" s="681" t="s">
        <v>34</v>
      </c>
      <c r="I466" s="565"/>
      <c r="J466" s="565"/>
      <c r="K466" s="566"/>
      <c r="L466" s="574"/>
      <c r="M466" s="566"/>
      <c r="N466" s="566"/>
      <c r="O466" s="566"/>
      <c r="P466" s="566"/>
      <c r="Q466" s="566"/>
      <c r="R466" s="566"/>
      <c r="S466" s="566"/>
      <c r="T466" s="566"/>
      <c r="U466" s="566"/>
    </row>
    <row r="467" spans="1:21" ht="18.75" x14ac:dyDescent="0.25">
      <c r="A467" s="764"/>
      <c r="B467" s="718"/>
      <c r="C467" s="982" t="s">
        <v>183</v>
      </c>
      <c r="D467" s="718"/>
      <c r="E467" s="718"/>
      <c r="F467" s="718"/>
      <c r="G467" s="727"/>
      <c r="H467" s="681" t="s">
        <v>46</v>
      </c>
      <c r="I467" s="565"/>
      <c r="J467" s="708">
        <f t="shared" ref="J467:J468" si="295">J469+J471</f>
        <v>0</v>
      </c>
      <c r="K467" s="566"/>
      <c r="L467" s="574"/>
      <c r="M467" s="566"/>
      <c r="N467" s="566"/>
      <c r="O467" s="566"/>
      <c r="P467" s="566"/>
      <c r="Q467" s="566"/>
      <c r="R467" s="566"/>
      <c r="S467" s="566"/>
      <c r="T467" s="566"/>
      <c r="U467" s="566"/>
    </row>
    <row r="468" spans="1:21" ht="18.75" x14ac:dyDescent="0.25">
      <c r="A468" s="764"/>
      <c r="B468" s="718"/>
      <c r="C468" s="718"/>
      <c r="D468" s="718"/>
      <c r="E468" s="718"/>
      <c r="F468" s="718"/>
      <c r="G468" s="727"/>
      <c r="H468" s="681" t="s">
        <v>34</v>
      </c>
      <c r="I468" s="565"/>
      <c r="J468" s="708">
        <f t="shared" si="295"/>
        <v>0</v>
      </c>
      <c r="K468" s="566"/>
      <c r="L468" s="574"/>
      <c r="M468" s="566"/>
      <c r="N468" s="566"/>
      <c r="O468" s="566"/>
      <c r="P468" s="566"/>
      <c r="Q468" s="566"/>
      <c r="R468" s="566"/>
      <c r="S468" s="566"/>
      <c r="T468" s="566"/>
      <c r="U468" s="566"/>
    </row>
    <row r="469" spans="1:21" ht="18.75" x14ac:dyDescent="0.25">
      <c r="A469" s="764"/>
      <c r="B469" s="718"/>
      <c r="C469" s="718"/>
      <c r="D469" s="982" t="s">
        <v>184</v>
      </c>
      <c r="E469" s="718"/>
      <c r="F469" s="718"/>
      <c r="G469" s="727"/>
      <c r="H469" s="681" t="s">
        <v>46</v>
      </c>
      <c r="I469" s="565"/>
      <c r="J469" s="565"/>
      <c r="K469" s="566"/>
      <c r="L469" s="574"/>
      <c r="M469" s="566"/>
      <c r="N469" s="566"/>
      <c r="O469" s="566"/>
      <c r="P469" s="566"/>
      <c r="Q469" s="566"/>
      <c r="R469" s="566"/>
      <c r="S469" s="566"/>
      <c r="T469" s="566"/>
      <c r="U469" s="566"/>
    </row>
    <row r="470" spans="1:21" ht="18.75" x14ac:dyDescent="0.25">
      <c r="A470" s="764"/>
      <c r="B470" s="718"/>
      <c r="C470" s="718"/>
      <c r="D470" s="718"/>
      <c r="E470" s="718"/>
      <c r="F470" s="718"/>
      <c r="G470" s="727"/>
      <c r="H470" s="681" t="s">
        <v>34</v>
      </c>
      <c r="I470" s="565"/>
      <c r="J470" s="565"/>
      <c r="K470" s="566"/>
      <c r="L470" s="574"/>
      <c r="M470" s="566"/>
      <c r="N470" s="566"/>
      <c r="O470" s="566"/>
      <c r="P470" s="566"/>
      <c r="Q470" s="566"/>
      <c r="R470" s="566"/>
      <c r="S470" s="566"/>
      <c r="T470" s="566"/>
      <c r="U470" s="566"/>
    </row>
    <row r="471" spans="1:21" ht="18.75" x14ac:dyDescent="0.25">
      <c r="A471" s="764"/>
      <c r="B471" s="718"/>
      <c r="C471" s="718"/>
      <c r="D471" s="982" t="s">
        <v>185</v>
      </c>
      <c r="E471" s="718"/>
      <c r="F471" s="718"/>
      <c r="G471" s="727"/>
      <c r="H471" s="681" t="s">
        <v>46</v>
      </c>
      <c r="I471" s="565"/>
      <c r="J471" s="565"/>
      <c r="K471" s="566"/>
      <c r="L471" s="574"/>
      <c r="M471" s="566"/>
      <c r="N471" s="566"/>
      <c r="O471" s="566"/>
      <c r="P471" s="566"/>
      <c r="Q471" s="566"/>
      <c r="R471" s="566"/>
      <c r="S471" s="566"/>
      <c r="T471" s="566"/>
      <c r="U471" s="566"/>
    </row>
    <row r="472" spans="1:21" ht="18.75" x14ac:dyDescent="0.25">
      <c r="A472" s="764"/>
      <c r="B472" s="718"/>
      <c r="C472" s="718"/>
      <c r="D472" s="718"/>
      <c r="E472" s="718"/>
      <c r="F472" s="718"/>
      <c r="G472" s="727"/>
      <c r="H472" s="681" t="s">
        <v>34</v>
      </c>
      <c r="I472" s="565"/>
      <c r="J472" s="565"/>
      <c r="K472" s="566"/>
      <c r="L472" s="574"/>
      <c r="M472" s="566"/>
      <c r="N472" s="566"/>
      <c r="O472" s="566"/>
      <c r="P472" s="566"/>
      <c r="Q472" s="566"/>
      <c r="R472" s="566"/>
      <c r="S472" s="566"/>
      <c r="T472" s="566"/>
      <c r="U472" s="566"/>
    </row>
    <row r="473" spans="1:21" ht="18.75" x14ac:dyDescent="0.25">
      <c r="A473" s="764"/>
      <c r="B473" s="718"/>
      <c r="C473" s="765" t="s">
        <v>186</v>
      </c>
      <c r="D473" s="718"/>
      <c r="E473" s="718"/>
      <c r="F473" s="718"/>
      <c r="G473" s="727"/>
      <c r="H473" s="681" t="s">
        <v>46</v>
      </c>
      <c r="I473" s="565"/>
      <c r="J473" s="565"/>
      <c r="K473" s="566"/>
      <c r="L473" s="574"/>
      <c r="M473" s="566"/>
      <c r="N473" s="566"/>
      <c r="O473" s="566"/>
      <c r="P473" s="566"/>
      <c r="Q473" s="566"/>
      <c r="R473" s="566"/>
      <c r="S473" s="566"/>
      <c r="T473" s="566"/>
      <c r="U473" s="566"/>
    </row>
    <row r="474" spans="1:21" ht="18.75" x14ac:dyDescent="0.25">
      <c r="A474" s="764"/>
      <c r="B474" s="718"/>
      <c r="C474" s="718"/>
      <c r="D474" s="718"/>
      <c r="E474" s="718"/>
      <c r="F474" s="718"/>
      <c r="G474" s="727"/>
      <c r="H474" s="681" t="s">
        <v>34</v>
      </c>
      <c r="I474" s="565"/>
      <c r="J474" s="565"/>
      <c r="K474" s="566"/>
      <c r="L474" s="574"/>
      <c r="M474" s="566"/>
      <c r="N474" s="566"/>
      <c r="O474" s="566"/>
      <c r="P474" s="566"/>
      <c r="Q474" s="566"/>
      <c r="R474" s="566"/>
      <c r="S474" s="566"/>
      <c r="T474" s="566"/>
      <c r="U474" s="566"/>
    </row>
    <row r="475" spans="1:21" ht="19.5" x14ac:dyDescent="0.3">
      <c r="A475" s="764"/>
      <c r="B475" s="983" t="s">
        <v>187</v>
      </c>
      <c r="C475" s="718"/>
      <c r="D475" s="718"/>
      <c r="E475" s="718"/>
      <c r="F475" s="718"/>
      <c r="G475" s="727"/>
      <c r="H475" s="677" t="s">
        <v>46</v>
      </c>
      <c r="I475" s="697">
        <v>0</v>
      </c>
      <c r="J475" s="697">
        <f>J478+J480</f>
        <v>0</v>
      </c>
      <c r="K475" s="679">
        <f t="shared" ref="K475:K477" si="296">IF(I475&gt;0,J475*100/I475,0)</f>
        <v>0</v>
      </c>
      <c r="L475" s="574"/>
      <c r="M475" s="566"/>
      <c r="N475" s="566"/>
      <c r="O475" s="566"/>
      <c r="P475" s="566"/>
      <c r="Q475" s="566"/>
      <c r="R475" s="566"/>
      <c r="S475" s="566"/>
      <c r="T475" s="566"/>
      <c r="U475" s="566"/>
    </row>
    <row r="476" spans="1:21" ht="19.5" x14ac:dyDescent="0.3">
      <c r="A476" s="764"/>
      <c r="B476" s="718"/>
      <c r="C476" s="719" t="s">
        <v>188</v>
      </c>
      <c r="D476" s="718"/>
      <c r="E476" s="718"/>
      <c r="F476" s="718"/>
      <c r="G476" s="727"/>
      <c r="H476" s="677" t="s">
        <v>46</v>
      </c>
      <c r="I476" s="697">
        <v>0</v>
      </c>
      <c r="J476" s="697">
        <f t="shared" ref="J476:J477" si="297">J478+J480</f>
        <v>0</v>
      </c>
      <c r="K476" s="679">
        <f t="shared" si="296"/>
        <v>0</v>
      </c>
      <c r="L476" s="574"/>
      <c r="M476" s="566"/>
      <c r="N476" s="566"/>
      <c r="O476" s="566"/>
      <c r="P476" s="566"/>
      <c r="Q476" s="566"/>
      <c r="R476" s="566"/>
      <c r="S476" s="566"/>
      <c r="T476" s="566"/>
      <c r="U476" s="566"/>
    </row>
    <row r="477" spans="1:21" ht="19.5" x14ac:dyDescent="0.3">
      <c r="A477" s="764"/>
      <c r="B477" s="718"/>
      <c r="C477" s="765" t="s">
        <v>189</v>
      </c>
      <c r="D477" s="718"/>
      <c r="E477" s="718"/>
      <c r="F477" s="718"/>
      <c r="G477" s="727"/>
      <c r="H477" s="677" t="s">
        <v>34</v>
      </c>
      <c r="I477" s="697">
        <v>0</v>
      </c>
      <c r="J477" s="697">
        <f t="shared" si="297"/>
        <v>0</v>
      </c>
      <c r="K477" s="679">
        <f t="shared" si="296"/>
        <v>0</v>
      </c>
      <c r="L477" s="574"/>
      <c r="M477" s="566"/>
      <c r="N477" s="566"/>
      <c r="O477" s="566"/>
      <c r="P477" s="566"/>
      <c r="Q477" s="566"/>
      <c r="R477" s="566"/>
      <c r="S477" s="566"/>
      <c r="T477" s="566"/>
      <c r="U477" s="566"/>
    </row>
    <row r="478" spans="1:21" ht="18.75" x14ac:dyDescent="0.25">
      <c r="A478" s="764"/>
      <c r="B478" s="718"/>
      <c r="C478" s="718"/>
      <c r="D478" s="765" t="s">
        <v>190</v>
      </c>
      <c r="E478" s="718"/>
      <c r="F478" s="718"/>
      <c r="G478" s="727"/>
      <c r="H478" s="681" t="s">
        <v>46</v>
      </c>
      <c r="I478" s="565"/>
      <c r="J478" s="565"/>
      <c r="K478" s="566"/>
      <c r="L478" s="574"/>
      <c r="M478" s="566"/>
      <c r="N478" s="566"/>
      <c r="O478" s="566"/>
      <c r="P478" s="566"/>
      <c r="Q478" s="566"/>
      <c r="R478" s="566"/>
      <c r="S478" s="566"/>
      <c r="T478" s="566"/>
      <c r="U478" s="566"/>
    </row>
    <row r="479" spans="1:21" ht="18.75" x14ac:dyDescent="0.25">
      <c r="A479" s="764"/>
      <c r="B479" s="718"/>
      <c r="C479" s="718"/>
      <c r="D479" s="718"/>
      <c r="E479" s="718"/>
      <c r="F479" s="718"/>
      <c r="G479" s="727"/>
      <c r="H479" s="681" t="s">
        <v>34</v>
      </c>
      <c r="I479" s="565"/>
      <c r="J479" s="565"/>
      <c r="K479" s="566"/>
      <c r="L479" s="574"/>
      <c r="M479" s="566"/>
      <c r="N479" s="566"/>
      <c r="O479" s="566"/>
      <c r="P479" s="566"/>
      <c r="Q479" s="566"/>
      <c r="R479" s="566"/>
      <c r="S479" s="566"/>
      <c r="T479" s="566"/>
      <c r="U479" s="566"/>
    </row>
    <row r="480" spans="1:21" ht="18.75" x14ac:dyDescent="0.25">
      <c r="A480" s="764"/>
      <c r="B480" s="718"/>
      <c r="C480" s="718"/>
      <c r="D480" s="982" t="s">
        <v>191</v>
      </c>
      <c r="E480" s="718"/>
      <c r="F480" s="718"/>
      <c r="G480" s="727"/>
      <c r="H480" s="681" t="s">
        <v>46</v>
      </c>
      <c r="I480" s="565"/>
      <c r="J480" s="565"/>
      <c r="K480" s="566"/>
      <c r="L480" s="574"/>
      <c r="M480" s="566"/>
      <c r="N480" s="566"/>
      <c r="O480" s="566"/>
      <c r="P480" s="566"/>
      <c r="Q480" s="566"/>
      <c r="R480" s="566"/>
      <c r="S480" s="566"/>
      <c r="T480" s="566"/>
      <c r="U480" s="566"/>
    </row>
    <row r="481" spans="1:21" ht="18.75" x14ac:dyDescent="0.25">
      <c r="A481" s="764"/>
      <c r="B481" s="718"/>
      <c r="C481" s="718"/>
      <c r="D481" s="718"/>
      <c r="E481" s="718"/>
      <c r="F481" s="718"/>
      <c r="G481" s="727"/>
      <c r="H481" s="681" t="s">
        <v>34</v>
      </c>
      <c r="I481" s="565"/>
      <c r="J481" s="565"/>
      <c r="K481" s="566"/>
      <c r="L481" s="574"/>
      <c r="M481" s="566"/>
      <c r="N481" s="566"/>
      <c r="O481" s="566"/>
      <c r="P481" s="566"/>
      <c r="Q481" s="566"/>
      <c r="R481" s="566"/>
      <c r="S481" s="566"/>
      <c r="T481" s="566"/>
      <c r="U481" s="566"/>
    </row>
    <row r="482" spans="1:21" ht="18.75" x14ac:dyDescent="0.25">
      <c r="A482" s="764"/>
      <c r="B482" s="718"/>
      <c r="C482" s="718"/>
      <c r="D482" s="982" t="s">
        <v>192</v>
      </c>
      <c r="E482" s="718"/>
      <c r="F482" s="718"/>
      <c r="G482" s="727"/>
      <c r="H482" s="681" t="s">
        <v>46</v>
      </c>
      <c r="I482" s="565"/>
      <c r="J482" s="708">
        <f ca="1">IFERROR(__xludf.DUMMYFUNCTION("IMPORTRANGE(""https://docs.google.com/spreadsheets/d/1eHaY18a8A9IcSdp1K8H6x8fbOy06t2VsZHhMHf-1x7Y/edit?usp=sharing"",""แผน!HN16"")"),0)</f>
        <v>0</v>
      </c>
      <c r="K482" s="566"/>
      <c r="L482" s="574"/>
      <c r="M482" s="566"/>
      <c r="N482" s="566"/>
      <c r="O482" s="566"/>
      <c r="P482" s="566"/>
      <c r="Q482" s="566"/>
      <c r="R482" s="566"/>
      <c r="S482" s="566"/>
      <c r="T482" s="566"/>
      <c r="U482" s="566"/>
    </row>
    <row r="483" spans="1:21" ht="18.75" x14ac:dyDescent="0.25">
      <c r="A483" s="764"/>
      <c r="B483" s="718"/>
      <c r="C483" s="718"/>
      <c r="D483" s="718"/>
      <c r="E483" s="718"/>
      <c r="F483" s="718"/>
      <c r="G483" s="727"/>
      <c r="H483" s="681" t="s">
        <v>34</v>
      </c>
      <c r="I483" s="565"/>
      <c r="J483" s="708">
        <f ca="1">IFERROR(__xludf.DUMMYFUNCTION("IMPORTRANGE(""https://docs.google.com/spreadsheets/d/1eHaY18a8A9IcSdp1K8H6x8fbOy06t2VsZHhMHf-1x7Y/edit?usp=sharing"",""แผน!HO16"")"),0)</f>
        <v>0</v>
      </c>
      <c r="K483" s="566"/>
      <c r="L483" s="574"/>
      <c r="M483" s="566"/>
      <c r="N483" s="566"/>
      <c r="O483" s="566"/>
      <c r="P483" s="566"/>
      <c r="Q483" s="566"/>
      <c r="R483" s="566"/>
      <c r="S483" s="566"/>
      <c r="T483" s="566"/>
      <c r="U483" s="566"/>
    </row>
    <row r="484" spans="1:21" ht="19.5" x14ac:dyDescent="0.3">
      <c r="A484" s="764"/>
      <c r="B484" s="718"/>
      <c r="C484" s="719" t="s">
        <v>193</v>
      </c>
      <c r="D484" s="718"/>
      <c r="E484" s="718"/>
      <c r="F484" s="718"/>
      <c r="G484" s="727"/>
      <c r="H484" s="677" t="s">
        <v>46</v>
      </c>
      <c r="I484" s="565">
        <f t="shared" ref="I484:I485" si="298">J480</f>
        <v>0</v>
      </c>
      <c r="J484" s="697">
        <f t="shared" ref="J484:J485" si="299">J486+J488+J490</f>
        <v>0</v>
      </c>
      <c r="K484" s="679">
        <f t="shared" ref="K484:K485" si="300">IF(I484&gt;0,J484*100/I484,0)</f>
        <v>0</v>
      </c>
      <c r="L484" s="574"/>
      <c r="M484" s="566"/>
      <c r="N484" s="566"/>
      <c r="O484" s="566"/>
      <c r="P484" s="566"/>
      <c r="Q484" s="566"/>
      <c r="R484" s="566"/>
      <c r="S484" s="566"/>
      <c r="T484" s="566"/>
      <c r="U484" s="566"/>
    </row>
    <row r="485" spans="1:21" ht="19.5" x14ac:dyDescent="0.3">
      <c r="A485" s="764"/>
      <c r="B485" s="718"/>
      <c r="C485" s="765" t="s">
        <v>194</v>
      </c>
      <c r="D485" s="718"/>
      <c r="E485" s="718"/>
      <c r="F485" s="718"/>
      <c r="G485" s="727"/>
      <c r="H485" s="677" t="s">
        <v>34</v>
      </c>
      <c r="I485" s="565">
        <f t="shared" si="298"/>
        <v>0</v>
      </c>
      <c r="J485" s="697">
        <f t="shared" si="299"/>
        <v>0</v>
      </c>
      <c r="K485" s="679">
        <f t="shared" si="300"/>
        <v>0</v>
      </c>
      <c r="L485" s="574"/>
      <c r="M485" s="566"/>
      <c r="N485" s="566"/>
      <c r="O485" s="566"/>
      <c r="P485" s="566"/>
      <c r="Q485" s="566"/>
      <c r="R485" s="566"/>
      <c r="S485" s="566"/>
      <c r="T485" s="566"/>
      <c r="U485" s="566"/>
    </row>
    <row r="486" spans="1:21" ht="18.75" x14ac:dyDescent="0.25">
      <c r="A486" s="764"/>
      <c r="B486" s="718"/>
      <c r="C486" s="718"/>
      <c r="D486" s="982" t="s">
        <v>195</v>
      </c>
      <c r="E486" s="718"/>
      <c r="F486" s="718"/>
      <c r="G486" s="727"/>
      <c r="H486" s="681" t="s">
        <v>46</v>
      </c>
      <c r="I486" s="565"/>
      <c r="J486" s="565"/>
      <c r="K486" s="566"/>
      <c r="L486" s="574"/>
      <c r="M486" s="566"/>
      <c r="N486" s="566"/>
      <c r="O486" s="566"/>
      <c r="P486" s="566"/>
      <c r="Q486" s="566"/>
      <c r="R486" s="566"/>
      <c r="S486" s="566"/>
      <c r="T486" s="566"/>
      <c r="U486" s="566"/>
    </row>
    <row r="487" spans="1:21" ht="18.75" x14ac:dyDescent="0.25">
      <c r="A487" s="764"/>
      <c r="B487" s="718"/>
      <c r="C487" s="718"/>
      <c r="D487" s="718"/>
      <c r="E487" s="718"/>
      <c r="F487" s="718"/>
      <c r="G487" s="727"/>
      <c r="H487" s="681" t="s">
        <v>34</v>
      </c>
      <c r="I487" s="565"/>
      <c r="J487" s="565"/>
      <c r="K487" s="566"/>
      <c r="L487" s="574"/>
      <c r="M487" s="566"/>
      <c r="N487" s="566"/>
      <c r="O487" s="566"/>
      <c r="P487" s="566"/>
      <c r="Q487" s="566"/>
      <c r="R487" s="566"/>
      <c r="S487" s="566"/>
      <c r="T487" s="566"/>
      <c r="U487" s="566"/>
    </row>
    <row r="488" spans="1:21" ht="18.75" x14ac:dyDescent="0.25">
      <c r="A488" s="764"/>
      <c r="B488" s="718"/>
      <c r="C488" s="718"/>
      <c r="D488" s="982" t="s">
        <v>196</v>
      </c>
      <c r="E488" s="718"/>
      <c r="F488" s="718"/>
      <c r="G488" s="727"/>
      <c r="H488" s="681" t="s">
        <v>46</v>
      </c>
      <c r="I488" s="565"/>
      <c r="J488" s="565"/>
      <c r="K488" s="566"/>
      <c r="L488" s="574"/>
      <c r="M488" s="566"/>
      <c r="N488" s="566"/>
      <c r="O488" s="566"/>
      <c r="P488" s="566"/>
      <c r="Q488" s="566"/>
      <c r="R488" s="566"/>
      <c r="S488" s="566"/>
      <c r="T488" s="566"/>
      <c r="U488" s="566"/>
    </row>
    <row r="489" spans="1:21" ht="18.75" x14ac:dyDescent="0.25">
      <c r="A489" s="764"/>
      <c r="B489" s="718"/>
      <c r="C489" s="718"/>
      <c r="D489" s="718"/>
      <c r="E489" s="718"/>
      <c r="F489" s="718"/>
      <c r="G489" s="727"/>
      <c r="H489" s="681" t="s">
        <v>34</v>
      </c>
      <c r="I489" s="565"/>
      <c r="J489" s="565"/>
      <c r="K489" s="566"/>
      <c r="L489" s="574"/>
      <c r="M489" s="566"/>
      <c r="N489" s="566"/>
      <c r="O489" s="566"/>
      <c r="P489" s="566"/>
      <c r="Q489" s="566"/>
      <c r="R489" s="566"/>
      <c r="S489" s="566"/>
      <c r="T489" s="566"/>
      <c r="U489" s="566"/>
    </row>
    <row r="490" spans="1:21" ht="18.75" x14ac:dyDescent="0.25">
      <c r="A490" s="764"/>
      <c r="B490" s="718"/>
      <c r="C490" s="718"/>
      <c r="D490" s="982" t="s">
        <v>197</v>
      </c>
      <c r="E490" s="718"/>
      <c r="F490" s="718"/>
      <c r="G490" s="727"/>
      <c r="H490" s="681" t="s">
        <v>46</v>
      </c>
      <c r="I490" s="565"/>
      <c r="J490" s="565"/>
      <c r="K490" s="566"/>
      <c r="L490" s="574"/>
      <c r="M490" s="566"/>
      <c r="N490" s="566"/>
      <c r="O490" s="566"/>
      <c r="P490" s="566"/>
      <c r="Q490" s="566"/>
      <c r="R490" s="566"/>
      <c r="S490" s="566"/>
      <c r="T490" s="566"/>
      <c r="U490" s="566"/>
    </row>
    <row r="491" spans="1:21" ht="18.75" x14ac:dyDescent="0.25">
      <c r="A491" s="984"/>
      <c r="B491" s="514"/>
      <c r="C491" s="514"/>
      <c r="D491" s="514"/>
      <c r="E491" s="514"/>
      <c r="F491" s="514"/>
      <c r="G491" s="985"/>
      <c r="H491" s="986" t="s">
        <v>34</v>
      </c>
      <c r="I491" s="579"/>
      <c r="J491" s="579"/>
      <c r="K491" s="580"/>
      <c r="L491" s="581"/>
      <c r="M491" s="580"/>
      <c r="N491" s="580"/>
      <c r="O491" s="580"/>
      <c r="P491" s="580"/>
      <c r="Q491" s="580"/>
      <c r="R491" s="580"/>
      <c r="S491" s="580"/>
      <c r="T491" s="580"/>
      <c r="U491" s="580"/>
    </row>
    <row r="492" spans="1:21" ht="19.5" hidden="1" x14ac:dyDescent="0.3">
      <c r="A492" s="926"/>
      <c r="B492" s="971" t="s">
        <v>198</v>
      </c>
      <c r="C492" s="928"/>
      <c r="D492" s="928"/>
      <c r="E492" s="911"/>
      <c r="F492" s="911"/>
      <c r="G492" s="912"/>
      <c r="H492" s="977" t="s">
        <v>35</v>
      </c>
      <c r="I492" s="914">
        <f t="shared" ref="I492:J492" ca="1" si="301">I503</f>
        <v>0</v>
      </c>
      <c r="J492" s="914">
        <f t="shared" ca="1" si="301"/>
        <v>0</v>
      </c>
      <c r="K492" s="915">
        <f ca="1">IF(I492&gt;0,J492*100/I492,0)</f>
        <v>0</v>
      </c>
      <c r="L492" s="916"/>
      <c r="M492" s="917"/>
      <c r="N492" s="917"/>
      <c r="O492" s="917"/>
      <c r="P492" s="917"/>
      <c r="Q492" s="917"/>
      <c r="R492" s="917"/>
      <c r="S492" s="917"/>
      <c r="T492" s="917"/>
      <c r="U492" s="917"/>
    </row>
    <row r="493" spans="1:21" ht="19.5" hidden="1" x14ac:dyDescent="0.3">
      <c r="A493" s="674"/>
      <c r="B493" s="718"/>
      <c r="C493" s="724" t="s">
        <v>18</v>
      </c>
      <c r="D493" s="1313" t="s">
        <v>19</v>
      </c>
      <c r="E493" s="1314"/>
      <c r="F493" s="1314"/>
      <c r="G493" s="563"/>
      <c r="H493" s="780" t="s">
        <v>14</v>
      </c>
      <c r="I493" s="565"/>
      <c r="J493" s="565"/>
      <c r="K493" s="566"/>
      <c r="L493" s="678">
        <f t="shared" ref="L493:N493" ca="1" si="302">L494+L495</f>
        <v>0</v>
      </c>
      <c r="M493" s="679">
        <f t="shared" ca="1" si="302"/>
        <v>0</v>
      </c>
      <c r="N493" s="679">
        <f t="shared" ca="1" si="302"/>
        <v>0</v>
      </c>
      <c r="O493" s="679">
        <f t="shared" ref="O493:O501" ca="1" si="303">IF(L493&gt;0,N493*100/L493,0)</f>
        <v>0</v>
      </c>
      <c r="P493" s="679">
        <f t="shared" ref="P493:P501" ca="1" si="304">IF(M493&gt;0,N493*100/M493,0)</f>
        <v>0</v>
      </c>
      <c r="Q493" s="679">
        <f t="shared" ref="Q493:S493" ca="1" si="305">Q494+Q495</f>
        <v>0</v>
      </c>
      <c r="R493" s="679">
        <f t="shared" ca="1" si="305"/>
        <v>0</v>
      </c>
      <c r="S493" s="679">
        <f t="shared" ca="1" si="305"/>
        <v>0</v>
      </c>
      <c r="T493" s="679">
        <f t="shared" ref="T493:T501" ca="1" si="306">IF(Q493&gt;0,S493*100/Q493,0)</f>
        <v>0</v>
      </c>
      <c r="U493" s="679">
        <f t="shared" ref="U493:U501" ca="1" si="307">IF(R493&gt;0,S493*100/R493,0)</f>
        <v>0</v>
      </c>
    </row>
    <row r="494" spans="1:21" ht="18.75" hidden="1" x14ac:dyDescent="0.25">
      <c r="A494" s="674"/>
      <c r="B494" s="718"/>
      <c r="C494" s="718"/>
      <c r="D494" s="688"/>
      <c r="E494" s="569" t="s">
        <v>158</v>
      </c>
      <c r="F494" s="561"/>
      <c r="G494" s="563"/>
      <c r="H494" s="685" t="s">
        <v>14</v>
      </c>
      <c r="I494" s="565"/>
      <c r="J494" s="565"/>
      <c r="K494" s="566"/>
      <c r="L494" s="571">
        <f t="shared" ref="L494:N495" si="308">L497+L500</f>
        <v>0</v>
      </c>
      <c r="M494" s="572">
        <f t="shared" si="308"/>
        <v>0</v>
      </c>
      <c r="N494" s="572">
        <f t="shared" si="308"/>
        <v>0</v>
      </c>
      <c r="O494" s="572">
        <f t="shared" si="303"/>
        <v>0</v>
      </c>
      <c r="P494" s="572">
        <f t="shared" si="304"/>
        <v>0</v>
      </c>
      <c r="Q494" s="572">
        <f t="shared" ref="Q494:S495" si="309">Q497+Q500</f>
        <v>0</v>
      </c>
      <c r="R494" s="572">
        <f t="shared" si="309"/>
        <v>0</v>
      </c>
      <c r="S494" s="572">
        <f t="shared" si="309"/>
        <v>0</v>
      </c>
      <c r="T494" s="572">
        <f t="shared" si="306"/>
        <v>0</v>
      </c>
      <c r="U494" s="572">
        <f t="shared" si="307"/>
        <v>0</v>
      </c>
    </row>
    <row r="495" spans="1:21" ht="18.75" hidden="1" x14ac:dyDescent="0.25">
      <c r="A495" s="674"/>
      <c r="B495" s="718"/>
      <c r="C495" s="718"/>
      <c r="D495" s="688"/>
      <c r="E495" s="573" t="s">
        <v>159</v>
      </c>
      <c r="F495" s="561"/>
      <c r="G495" s="563"/>
      <c r="H495" s="682" t="s">
        <v>14</v>
      </c>
      <c r="I495" s="565"/>
      <c r="J495" s="565"/>
      <c r="K495" s="566"/>
      <c r="L495" s="567">
        <f t="shared" ca="1" si="308"/>
        <v>0</v>
      </c>
      <c r="M495" s="568">
        <f t="shared" ca="1" si="308"/>
        <v>0</v>
      </c>
      <c r="N495" s="568">
        <f t="shared" ca="1" si="308"/>
        <v>0</v>
      </c>
      <c r="O495" s="568">
        <f t="shared" ca="1" si="303"/>
        <v>0</v>
      </c>
      <c r="P495" s="568">
        <f t="shared" ca="1" si="304"/>
        <v>0</v>
      </c>
      <c r="Q495" s="568">
        <f t="shared" ca="1" si="309"/>
        <v>0</v>
      </c>
      <c r="R495" s="568">
        <f t="shared" ca="1" si="309"/>
        <v>0</v>
      </c>
      <c r="S495" s="568">
        <f t="shared" ca="1" si="309"/>
        <v>0</v>
      </c>
      <c r="T495" s="568">
        <f t="shared" ca="1" si="306"/>
        <v>0</v>
      </c>
      <c r="U495" s="568">
        <f t="shared" ca="1" si="307"/>
        <v>0</v>
      </c>
    </row>
    <row r="496" spans="1:21" ht="18.75" hidden="1" x14ac:dyDescent="0.25">
      <c r="A496" s="674"/>
      <c r="B496" s="718"/>
      <c r="C496" s="718"/>
      <c r="D496" s="721" t="s">
        <v>22</v>
      </c>
      <c r="E496" s="561"/>
      <c r="F496" s="561"/>
      <c r="G496" s="563"/>
      <c r="H496" s="682" t="s">
        <v>14</v>
      </c>
      <c r="I496" s="683"/>
      <c r="J496" s="683"/>
      <c r="K496" s="684"/>
      <c r="L496" s="567">
        <f t="shared" ref="L496:N496" ca="1" si="310">L497+L498</f>
        <v>0</v>
      </c>
      <c r="M496" s="568">
        <f t="shared" ca="1" si="310"/>
        <v>0</v>
      </c>
      <c r="N496" s="568">
        <f t="shared" ca="1" si="310"/>
        <v>0</v>
      </c>
      <c r="O496" s="568">
        <f t="shared" ca="1" si="303"/>
        <v>0</v>
      </c>
      <c r="P496" s="568">
        <f t="shared" ca="1" si="304"/>
        <v>0</v>
      </c>
      <c r="Q496" s="568">
        <f t="shared" ref="Q496:S496" ca="1" si="311">Q497+Q498</f>
        <v>0</v>
      </c>
      <c r="R496" s="568">
        <f t="shared" ca="1" si="311"/>
        <v>0</v>
      </c>
      <c r="S496" s="568">
        <f t="shared" ca="1" si="311"/>
        <v>0</v>
      </c>
      <c r="T496" s="568">
        <f t="shared" ca="1" si="306"/>
        <v>0</v>
      </c>
      <c r="U496" s="568">
        <f t="shared" ca="1" si="307"/>
        <v>0</v>
      </c>
    </row>
    <row r="497" spans="1:21" ht="18.75" hidden="1" x14ac:dyDescent="0.25">
      <c r="A497" s="674"/>
      <c r="B497" s="718"/>
      <c r="C497" s="718"/>
      <c r="D497" s="688"/>
      <c r="E497" s="569" t="s">
        <v>158</v>
      </c>
      <c r="F497" s="561"/>
      <c r="G497" s="563"/>
      <c r="H497" s="685" t="s">
        <v>14</v>
      </c>
      <c r="I497" s="565"/>
      <c r="J497" s="565"/>
      <c r="K497" s="566"/>
      <c r="L497" s="571">
        <v>0</v>
      </c>
      <c r="M497" s="572">
        <v>0</v>
      </c>
      <c r="N497" s="572">
        <v>0</v>
      </c>
      <c r="O497" s="572">
        <f t="shared" si="303"/>
        <v>0</v>
      </c>
      <c r="P497" s="572">
        <f t="shared" si="304"/>
        <v>0</v>
      </c>
      <c r="Q497" s="572">
        <v>0</v>
      </c>
      <c r="R497" s="572">
        <v>0</v>
      </c>
      <c r="S497" s="572">
        <v>0</v>
      </c>
      <c r="T497" s="572">
        <f t="shared" si="306"/>
        <v>0</v>
      </c>
      <c r="U497" s="572">
        <f t="shared" si="307"/>
        <v>0</v>
      </c>
    </row>
    <row r="498" spans="1:21" ht="18.75" hidden="1" x14ac:dyDescent="0.25">
      <c r="A498" s="674"/>
      <c r="B498" s="718"/>
      <c r="C498" s="718"/>
      <c r="D498" s="688"/>
      <c r="E498" s="573" t="s">
        <v>159</v>
      </c>
      <c r="F498" s="561"/>
      <c r="G498" s="563"/>
      <c r="H498" s="682" t="s">
        <v>14</v>
      </c>
      <c r="I498" s="565"/>
      <c r="J498" s="565"/>
      <c r="K498" s="566"/>
      <c r="L498" s="567">
        <f ca="1">IFERROR(__xludf.DUMMYFUNCTION("IMPORTRANGE(""https://docs.google.com/spreadsheets/d/1-uDff_7J0KD5mKrp0Vvzr7lt3OU09vwQwhkpOPPYv2Y/edit?usp=sharing"",""งบพรบ!HU16"")"),0)</f>
        <v>0</v>
      </c>
      <c r="M498" s="568">
        <f ca="1">IFERROR(__xludf.DUMMYFUNCTION("IMPORTRANGE(""https://docs.google.com/spreadsheets/d/1-uDff_7J0KD5mKrp0Vvzr7lt3OU09vwQwhkpOPPYv2Y/edit?usp=sharing"",""งบพรบ!HZ16"")"),0)</f>
        <v>0</v>
      </c>
      <c r="N498" s="568">
        <f ca="1">IFERROR(__xludf.DUMMYFUNCTION("IMPORTRANGE(""https://docs.google.com/spreadsheets/d/1-uDff_7J0KD5mKrp0Vvzr7lt3OU09vwQwhkpOPPYv2Y/edit?usp=sharing"",""งบพรบ!IB16"")"),0)</f>
        <v>0</v>
      </c>
      <c r="O498" s="568">
        <f t="shared" ca="1" si="303"/>
        <v>0</v>
      </c>
      <c r="P498" s="568">
        <f t="shared" ca="1" si="304"/>
        <v>0</v>
      </c>
      <c r="Q498" s="568">
        <f ca="1">IFERROR(__xludf.DUMMYFUNCTION("IMPORTRANGE(""https://docs.google.com/spreadsheets/d/1ItG2mGa2ceCfYo0BwxsXqNm01IGEUdYcSSLTEv9YCik/edit?usp=sharing"",""เบิกจ่ายกองทุน!AD16"")"),0)</f>
        <v>0</v>
      </c>
      <c r="R498" s="568">
        <f ca="1">IFERROR(__xludf.DUMMYFUNCTION("IMPORTRANGE(""https://docs.google.com/spreadsheets/d/1ItG2mGa2ceCfYo0BwxsXqNm01IGEUdYcSSLTEv9YCik/edit?usp=sharing"",""เบิกจ่ายกองทุน!AE16"")"),0)</f>
        <v>0</v>
      </c>
      <c r="S498" s="568">
        <f ca="1">IFERROR(__xludf.DUMMYFUNCTION("IMPORTRANGE(""https://docs.google.com/spreadsheets/d/1ItG2mGa2ceCfYo0BwxsXqNm01IGEUdYcSSLTEv9YCik/edit?usp=sharing"",""เบิกจ่ายกองทุน!AF16"")"),0)</f>
        <v>0</v>
      </c>
      <c r="T498" s="568">
        <f t="shared" ca="1" si="306"/>
        <v>0</v>
      </c>
      <c r="U498" s="568">
        <f t="shared" ca="1" si="307"/>
        <v>0</v>
      </c>
    </row>
    <row r="499" spans="1:21" ht="18.75" hidden="1" x14ac:dyDescent="0.25">
      <c r="A499" s="674"/>
      <c r="B499" s="718"/>
      <c r="C499" s="718"/>
      <c r="D499" s="721" t="s">
        <v>23</v>
      </c>
      <c r="E499" s="561"/>
      <c r="F499" s="561"/>
      <c r="G499" s="563"/>
      <c r="H499" s="686" t="s">
        <v>14</v>
      </c>
      <c r="I499" s="683"/>
      <c r="J499" s="683"/>
      <c r="K499" s="684"/>
      <c r="L499" s="567">
        <f t="shared" ref="L499:N499" ca="1" si="312">L500+L501</f>
        <v>0</v>
      </c>
      <c r="M499" s="568">
        <f t="shared" ca="1" si="312"/>
        <v>0</v>
      </c>
      <c r="N499" s="568">
        <f t="shared" ca="1" si="312"/>
        <v>0</v>
      </c>
      <c r="O499" s="568">
        <f t="shared" ca="1" si="303"/>
        <v>0</v>
      </c>
      <c r="P499" s="568">
        <f t="shared" ca="1" si="304"/>
        <v>0</v>
      </c>
      <c r="Q499" s="568">
        <f t="shared" ref="Q499:S499" si="313">Q500+Q501</f>
        <v>0</v>
      </c>
      <c r="R499" s="568">
        <f t="shared" si="313"/>
        <v>0</v>
      </c>
      <c r="S499" s="568">
        <f t="shared" si="313"/>
        <v>0</v>
      </c>
      <c r="T499" s="568">
        <f t="shared" si="306"/>
        <v>0</v>
      </c>
      <c r="U499" s="568">
        <f t="shared" si="307"/>
        <v>0</v>
      </c>
    </row>
    <row r="500" spans="1:21" ht="18.75" hidden="1" x14ac:dyDescent="0.25">
      <c r="A500" s="674"/>
      <c r="B500" s="718"/>
      <c r="C500" s="718"/>
      <c r="D500" s="718"/>
      <c r="E500" s="569" t="s">
        <v>20</v>
      </c>
      <c r="F500" s="561"/>
      <c r="G500" s="563"/>
      <c r="H500" s="685" t="s">
        <v>14</v>
      </c>
      <c r="I500" s="683"/>
      <c r="J500" s="683"/>
      <c r="K500" s="684"/>
      <c r="L500" s="571">
        <v>0</v>
      </c>
      <c r="M500" s="572">
        <v>0</v>
      </c>
      <c r="N500" s="572">
        <v>0</v>
      </c>
      <c r="O500" s="572">
        <f t="shared" si="303"/>
        <v>0</v>
      </c>
      <c r="P500" s="572">
        <f t="shared" si="304"/>
        <v>0</v>
      </c>
      <c r="Q500" s="572">
        <v>0</v>
      </c>
      <c r="R500" s="572">
        <v>0</v>
      </c>
      <c r="S500" s="572">
        <v>0</v>
      </c>
      <c r="T500" s="572">
        <f t="shared" si="306"/>
        <v>0</v>
      </c>
      <c r="U500" s="572">
        <f t="shared" si="307"/>
        <v>0</v>
      </c>
    </row>
    <row r="501" spans="1:21" ht="18.75" hidden="1" x14ac:dyDescent="0.25">
      <c r="A501" s="674"/>
      <c r="B501" s="718"/>
      <c r="C501" s="718"/>
      <c r="D501" s="718"/>
      <c r="E501" s="573" t="s">
        <v>21</v>
      </c>
      <c r="F501" s="561"/>
      <c r="G501" s="563"/>
      <c r="H501" s="686" t="s">
        <v>14</v>
      </c>
      <c r="I501" s="683"/>
      <c r="J501" s="683"/>
      <c r="K501" s="684"/>
      <c r="L501" s="567">
        <f ca="1">IFERROR(__xludf.DUMMYFUNCTION("IMPORTRANGE(""https://docs.google.com/spreadsheets/d/1-uDff_7J0KD5mKrp0Vvzr7lt3OU09vwQwhkpOPPYv2Y/edit?usp=sharing"",""งบพรบ!HX16"")"),0)</f>
        <v>0</v>
      </c>
      <c r="M501" s="568">
        <f ca="1">IFERROR(__xludf.DUMMYFUNCTION("IMPORTRANGE(""https://docs.google.com/spreadsheets/d/1-uDff_7J0KD5mKrp0Vvzr7lt3OU09vwQwhkpOPPYv2Y/edit?usp=sharing"",""งบพรบ!IA16"")"),0)</f>
        <v>0</v>
      </c>
      <c r="N501" s="568">
        <f ca="1">IFERROR(__xludf.DUMMYFUNCTION("IMPORTRANGE(""https://docs.google.com/spreadsheets/d/1-uDff_7J0KD5mKrp0Vvzr7lt3OU09vwQwhkpOPPYv2Y/edit?usp=sharing"",""งบพรบ!IC16"")"),0)</f>
        <v>0</v>
      </c>
      <c r="O501" s="568">
        <f t="shared" ca="1" si="303"/>
        <v>0</v>
      </c>
      <c r="P501" s="568">
        <f t="shared" ca="1" si="304"/>
        <v>0</v>
      </c>
      <c r="Q501" s="568">
        <v>0</v>
      </c>
      <c r="R501" s="568">
        <v>0</v>
      </c>
      <c r="S501" s="568">
        <v>0</v>
      </c>
      <c r="T501" s="568">
        <f t="shared" si="306"/>
        <v>0</v>
      </c>
      <c r="U501" s="568">
        <f t="shared" si="307"/>
        <v>0</v>
      </c>
    </row>
    <row r="502" spans="1:21" ht="19.5" hidden="1" x14ac:dyDescent="0.3">
      <c r="A502" s="687"/>
      <c r="B502" s="688"/>
      <c r="C502" s="724" t="s">
        <v>18</v>
      </c>
      <c r="D502" s="956" t="s">
        <v>38</v>
      </c>
      <c r="E502" s="690"/>
      <c r="F502" s="690"/>
      <c r="G502" s="691"/>
      <c r="H502" s="725"/>
      <c r="I502" s="683"/>
      <c r="J502" s="683"/>
      <c r="K502" s="684"/>
      <c r="L502" s="693"/>
      <c r="M502" s="684"/>
      <c r="N502" s="684"/>
      <c r="O502" s="684"/>
      <c r="P502" s="684"/>
      <c r="Q502" s="684"/>
      <c r="R502" s="684"/>
      <c r="S502" s="684"/>
      <c r="T502" s="684"/>
      <c r="U502" s="684"/>
    </row>
    <row r="503" spans="1:21" ht="19.5" hidden="1" x14ac:dyDescent="0.3">
      <c r="A503" s="764"/>
      <c r="B503" s="718"/>
      <c r="C503" s="718"/>
      <c r="D503" s="719" t="s">
        <v>199</v>
      </c>
      <c r="E503" s="561"/>
      <c r="F503" s="561"/>
      <c r="G503" s="563"/>
      <c r="H503" s="681" t="s">
        <v>35</v>
      </c>
      <c r="I503" s="697">
        <f ca="1">IFERROR(__xludf.DUMMYFUNCTION("IMPORTRANGE(""https://docs.google.com/spreadsheets/d/1eHaY18a8A9IcSdp1K8H6x8fbOy06t2VsZHhMHf-1x7Y/edit?usp=sharing"",""แผน!GX16"")"),0)</f>
        <v>0</v>
      </c>
      <c r="J503" s="697">
        <f ca="1">IF(AND(J504=I504,J505=I505,J506=I506,J507=I507),I503,0)</f>
        <v>0</v>
      </c>
      <c r="K503" s="679">
        <f t="shared" ref="K503:K509" ca="1" si="314">IF(I503&gt;0,J503*100/I503,0)</f>
        <v>0</v>
      </c>
      <c r="L503" s="574"/>
      <c r="M503" s="566"/>
      <c r="N503" s="566"/>
      <c r="O503" s="566"/>
      <c r="P503" s="566"/>
      <c r="Q503" s="566"/>
      <c r="R503" s="566"/>
      <c r="S503" s="566"/>
      <c r="T503" s="566"/>
      <c r="U503" s="566"/>
    </row>
    <row r="504" spans="1:21" ht="18.75" hidden="1" x14ac:dyDescent="0.25">
      <c r="A504" s="764"/>
      <c r="B504" s="718"/>
      <c r="C504" s="718"/>
      <c r="D504" s="718"/>
      <c r="E504" s="573" t="s">
        <v>200</v>
      </c>
      <c r="F504" s="561"/>
      <c r="G504" s="563"/>
      <c r="H504" s="681" t="s">
        <v>35</v>
      </c>
      <c r="I504" s="708">
        <f ca="1">IFERROR(__xludf.DUMMYFUNCTION("IMPORTRANGE(""https://docs.google.com/spreadsheets/d/1eHaY18a8A9IcSdp1K8H6x8fbOy06t2VsZHhMHf-1x7Y/edit?usp=sharing"",""แผน!GY16"")"),0)</f>
        <v>0</v>
      </c>
      <c r="J504" s="702">
        <v>0</v>
      </c>
      <c r="K504" s="568">
        <f t="shared" ca="1" si="314"/>
        <v>0</v>
      </c>
      <c r="L504" s="574"/>
      <c r="M504" s="566"/>
      <c r="N504" s="566"/>
      <c r="O504" s="566"/>
      <c r="P504" s="566"/>
      <c r="Q504" s="566"/>
      <c r="R504" s="566"/>
      <c r="S504" s="566"/>
      <c r="T504" s="566"/>
      <c r="U504" s="566"/>
    </row>
    <row r="505" spans="1:21" ht="18.75" hidden="1" x14ac:dyDescent="0.25">
      <c r="A505" s="764"/>
      <c r="B505" s="718"/>
      <c r="C505" s="718"/>
      <c r="D505" s="718"/>
      <c r="E505" s="573" t="s">
        <v>201</v>
      </c>
      <c r="F505" s="561"/>
      <c r="G505" s="563"/>
      <c r="H505" s="681" t="s">
        <v>35</v>
      </c>
      <c r="I505" s="708">
        <f ca="1">IFERROR(__xludf.DUMMYFUNCTION("IMPORTRANGE(""https://docs.google.com/spreadsheets/d/1eHaY18a8A9IcSdp1K8H6x8fbOy06t2VsZHhMHf-1x7Y/edit?usp=sharing"",""แผน!GZ16"")"),0)</f>
        <v>0</v>
      </c>
      <c r="J505" s="702">
        <v>0</v>
      </c>
      <c r="K505" s="568">
        <f t="shared" ca="1" si="314"/>
        <v>0</v>
      </c>
      <c r="L505" s="574"/>
      <c r="M505" s="566"/>
      <c r="N505" s="566"/>
      <c r="O505" s="566"/>
      <c r="P505" s="566"/>
      <c r="Q505" s="566"/>
      <c r="R505" s="566"/>
      <c r="S505" s="566"/>
      <c r="T505" s="566"/>
      <c r="U505" s="566"/>
    </row>
    <row r="506" spans="1:21" ht="18.75" hidden="1" x14ac:dyDescent="0.25">
      <c r="A506" s="764"/>
      <c r="B506" s="718"/>
      <c r="C506" s="718"/>
      <c r="D506" s="718"/>
      <c r="E506" s="573" t="s">
        <v>202</v>
      </c>
      <c r="F506" s="561"/>
      <c r="G506" s="563"/>
      <c r="H506" s="681" t="s">
        <v>35</v>
      </c>
      <c r="I506" s="708">
        <f ca="1">IFERROR(__xludf.DUMMYFUNCTION("IMPORTRANGE(""https://docs.google.com/spreadsheets/d/1eHaY18a8A9IcSdp1K8H6x8fbOy06t2VsZHhMHf-1x7Y/edit?usp=sharing"",""แผน!HA16"")"),0)</f>
        <v>0</v>
      </c>
      <c r="J506" s="702">
        <v>0</v>
      </c>
      <c r="K506" s="568">
        <f t="shared" ca="1" si="314"/>
        <v>0</v>
      </c>
      <c r="L506" s="574"/>
      <c r="M506" s="566"/>
      <c r="N506" s="566"/>
      <c r="O506" s="566"/>
      <c r="P506" s="566"/>
      <c r="Q506" s="566"/>
      <c r="R506" s="566"/>
      <c r="S506" s="566"/>
      <c r="T506" s="566"/>
      <c r="U506" s="566"/>
    </row>
    <row r="507" spans="1:21" ht="18.75" hidden="1" x14ac:dyDescent="0.25">
      <c r="A507" s="764"/>
      <c r="B507" s="718"/>
      <c r="C507" s="718"/>
      <c r="D507" s="718"/>
      <c r="E507" s="987" t="s">
        <v>203</v>
      </c>
      <c r="F507" s="561"/>
      <c r="G507" s="563"/>
      <c r="H507" s="681" t="s">
        <v>35</v>
      </c>
      <c r="I507" s="708">
        <f ca="1">IFERROR(__xludf.DUMMYFUNCTION("IMPORTRANGE(""https://docs.google.com/spreadsheets/d/1eHaY18a8A9IcSdp1K8H6x8fbOy06t2VsZHhMHf-1x7Y/edit?usp=sharing"",""แผน!HB16"")"),0)</f>
        <v>0</v>
      </c>
      <c r="J507" s="702">
        <v>0</v>
      </c>
      <c r="K507" s="568">
        <f t="shared" ca="1" si="314"/>
        <v>0</v>
      </c>
      <c r="L507" s="574"/>
      <c r="M507" s="566"/>
      <c r="N507" s="566"/>
      <c r="O507" s="566"/>
      <c r="P507" s="566"/>
      <c r="Q507" s="566"/>
      <c r="R507" s="566"/>
      <c r="S507" s="566"/>
      <c r="T507" s="566"/>
      <c r="U507" s="566"/>
    </row>
    <row r="508" spans="1:21" ht="18.75" hidden="1" x14ac:dyDescent="0.25">
      <c r="A508" s="764"/>
      <c r="B508" s="718"/>
      <c r="C508" s="718"/>
      <c r="D508" s="718"/>
      <c r="E508" s="573" t="s">
        <v>204</v>
      </c>
      <c r="F508" s="561"/>
      <c r="G508" s="563"/>
      <c r="H508" s="681" t="s">
        <v>35</v>
      </c>
      <c r="I508" s="708">
        <v>0</v>
      </c>
      <c r="J508" s="708">
        <v>0</v>
      </c>
      <c r="K508" s="568">
        <f t="shared" si="314"/>
        <v>0</v>
      </c>
      <c r="L508" s="574"/>
      <c r="M508" s="566"/>
      <c r="N508" s="566"/>
      <c r="O508" s="566"/>
      <c r="P508" s="566"/>
      <c r="Q508" s="566"/>
      <c r="R508" s="566"/>
      <c r="S508" s="566"/>
      <c r="T508" s="566"/>
      <c r="U508" s="566"/>
    </row>
    <row r="509" spans="1:21" ht="19.5" hidden="1" x14ac:dyDescent="0.3">
      <c r="A509" s="984"/>
      <c r="B509" s="514"/>
      <c r="C509" s="514"/>
      <c r="D509" s="988" t="s">
        <v>50</v>
      </c>
      <c r="E509" s="513"/>
      <c r="F509" s="513"/>
      <c r="G509" s="577"/>
      <c r="H509" s="986" t="s">
        <v>35</v>
      </c>
      <c r="I509" s="989">
        <f ca="1">IFERROR(__xludf.DUMMYFUNCTION("IMPORTRANGE(""https://docs.google.com/spreadsheets/d/1eHaY18a8A9IcSdp1K8H6x8fbOy06t2VsZHhMHf-1x7Y/edit?usp=sharing"",""แผน!HC16"")"),0)</f>
        <v>0</v>
      </c>
      <c r="J509" s="990">
        <v>0</v>
      </c>
      <c r="K509" s="655">
        <f t="shared" ca="1" si="314"/>
        <v>0</v>
      </c>
      <c r="L509" s="581"/>
      <c r="M509" s="580"/>
      <c r="N509" s="580"/>
      <c r="O509" s="580"/>
      <c r="P509" s="580"/>
      <c r="Q509" s="580"/>
      <c r="R509" s="580"/>
      <c r="S509" s="580"/>
      <c r="T509" s="580"/>
      <c r="U509" s="580"/>
    </row>
    <row r="510" spans="1:21" ht="19.5" hidden="1" x14ac:dyDescent="0.3">
      <c r="A510" s="991" t="s">
        <v>205</v>
      </c>
      <c r="B510" s="992"/>
      <c r="C510" s="992"/>
      <c r="D510" s="992"/>
      <c r="E510" s="993"/>
      <c r="F510" s="993"/>
      <c r="G510" s="993"/>
      <c r="H510" s="993"/>
      <c r="I510" s="994"/>
      <c r="J510" s="994"/>
      <c r="K510" s="995"/>
      <c r="L510" s="996"/>
      <c r="M510" s="997"/>
      <c r="N510" s="997"/>
      <c r="O510" s="997"/>
      <c r="P510" s="997"/>
      <c r="Q510" s="997"/>
      <c r="R510" s="997"/>
      <c r="S510" s="997"/>
      <c r="T510" s="997"/>
      <c r="U510" s="997"/>
    </row>
    <row r="511" spans="1:21" ht="19.5" hidden="1" x14ac:dyDescent="0.3">
      <c r="A511" s="998" t="s">
        <v>206</v>
      </c>
      <c r="B511" s="999"/>
      <c r="C511" s="999"/>
      <c r="D511" s="1000"/>
      <c r="E511" s="999"/>
      <c r="F511" s="999"/>
      <c r="G511" s="999"/>
      <c r="H511" s="1001"/>
      <c r="I511" s="1002"/>
      <c r="J511" s="1002"/>
      <c r="K511" s="1003"/>
      <c r="L511" s="1004"/>
      <c r="M511" s="1005"/>
      <c r="N511" s="1005"/>
      <c r="O511" s="1005"/>
      <c r="P511" s="1005"/>
      <c r="Q511" s="1005"/>
      <c r="R511" s="1005"/>
      <c r="S511" s="1005"/>
      <c r="T511" s="1005"/>
      <c r="U511" s="1005"/>
    </row>
    <row r="512" spans="1:21" ht="19.5" hidden="1" x14ac:dyDescent="0.3">
      <c r="A512" s="1006"/>
      <c r="B512" s="1007" t="s">
        <v>207</v>
      </c>
      <c r="C512" s="1008"/>
      <c r="D512" s="1009"/>
      <c r="E512" s="1009"/>
      <c r="F512" s="1009"/>
      <c r="G512" s="1010"/>
      <c r="H512" s="1011" t="s">
        <v>61</v>
      </c>
      <c r="I512" s="1012">
        <f t="shared" ref="I512:J512" si="315">I524</f>
        <v>0</v>
      </c>
      <c r="J512" s="1012">
        <f t="shared" si="315"/>
        <v>0</v>
      </c>
      <c r="K512" s="1013">
        <f>IF(I512&gt;0,J512*100/I512,0)</f>
        <v>0</v>
      </c>
      <c r="L512" s="1014"/>
      <c r="M512" s="1015"/>
      <c r="N512" s="1015"/>
      <c r="O512" s="1015"/>
      <c r="P512" s="1015"/>
      <c r="Q512" s="1015"/>
      <c r="R512" s="1015"/>
      <c r="S512" s="1015"/>
      <c r="T512" s="1015"/>
      <c r="U512" s="1015"/>
    </row>
    <row r="513" spans="1:21" ht="19.5" hidden="1" x14ac:dyDescent="0.3">
      <c r="A513" s="674"/>
      <c r="B513" s="561"/>
      <c r="C513" s="797" t="s">
        <v>18</v>
      </c>
      <c r="D513" s="798" t="s">
        <v>19</v>
      </c>
      <c r="E513" s="561"/>
      <c r="F513" s="561"/>
      <c r="G513" s="563"/>
      <c r="H513" s="1016" t="s">
        <v>14</v>
      </c>
      <c r="I513" s="565"/>
      <c r="J513" s="565"/>
      <c r="K513" s="566"/>
      <c r="L513" s="678">
        <f t="shared" ref="L513:N513" ca="1" si="316">L514+L515</f>
        <v>0</v>
      </c>
      <c r="M513" s="679">
        <f t="shared" ca="1" si="316"/>
        <v>0</v>
      </c>
      <c r="N513" s="679">
        <f t="shared" ca="1" si="316"/>
        <v>0</v>
      </c>
      <c r="O513" s="679">
        <f t="shared" ref="O513:O521" ca="1" si="317">IF(L513&gt;0,N513*100/L513,0)</f>
        <v>0</v>
      </c>
      <c r="P513" s="679">
        <f t="shared" ref="P513:P521" ca="1" si="318">IF(M513&gt;0,N513*100/M513,0)</f>
        <v>0</v>
      </c>
      <c r="Q513" s="679">
        <f t="shared" ref="Q513:S513" si="319">Q514+Q515</f>
        <v>0</v>
      </c>
      <c r="R513" s="679">
        <f t="shared" si="319"/>
        <v>0</v>
      </c>
      <c r="S513" s="679">
        <f t="shared" si="319"/>
        <v>0</v>
      </c>
      <c r="T513" s="679">
        <f t="shared" ref="T513:T521" si="320">IF(Q513&gt;0,S513*100/Q513,0)</f>
        <v>0</v>
      </c>
      <c r="U513" s="679">
        <f t="shared" ref="U513:U521" si="321">IF(R513&gt;0,S513*100/R513,0)</f>
        <v>0</v>
      </c>
    </row>
    <row r="514" spans="1:21" ht="18.75" hidden="1" x14ac:dyDescent="0.25">
      <c r="A514" s="674"/>
      <c r="B514" s="561"/>
      <c r="C514" s="561"/>
      <c r="D514" s="561"/>
      <c r="E514" s="569" t="s">
        <v>20</v>
      </c>
      <c r="F514" s="561"/>
      <c r="G514" s="563"/>
      <c r="H514" s="680" t="s">
        <v>14</v>
      </c>
      <c r="I514" s="565"/>
      <c r="J514" s="565"/>
      <c r="K514" s="566"/>
      <c r="L514" s="571">
        <f t="shared" ref="L514:N515" si="322">L517+L520</f>
        <v>0</v>
      </c>
      <c r="M514" s="572">
        <f t="shared" si="322"/>
        <v>0</v>
      </c>
      <c r="N514" s="572">
        <f t="shared" si="322"/>
        <v>0</v>
      </c>
      <c r="O514" s="572">
        <f t="shared" si="317"/>
        <v>0</v>
      </c>
      <c r="P514" s="572">
        <f t="shared" si="318"/>
        <v>0</v>
      </c>
      <c r="Q514" s="572">
        <f t="shared" ref="Q514:S515" si="323">Q517+Q520</f>
        <v>0</v>
      </c>
      <c r="R514" s="572">
        <f t="shared" si="323"/>
        <v>0</v>
      </c>
      <c r="S514" s="572">
        <f t="shared" si="323"/>
        <v>0</v>
      </c>
      <c r="T514" s="572">
        <f t="shared" si="320"/>
        <v>0</v>
      </c>
      <c r="U514" s="572">
        <f t="shared" si="321"/>
        <v>0</v>
      </c>
    </row>
    <row r="515" spans="1:21" ht="18.75" hidden="1" x14ac:dyDescent="0.25">
      <c r="A515" s="674"/>
      <c r="B515" s="561"/>
      <c r="C515" s="561"/>
      <c r="D515" s="561"/>
      <c r="E515" s="569" t="s">
        <v>21</v>
      </c>
      <c r="F515" s="561"/>
      <c r="G515" s="563"/>
      <c r="H515" s="680" t="s">
        <v>14</v>
      </c>
      <c r="I515" s="565"/>
      <c r="J515" s="565"/>
      <c r="K515" s="566"/>
      <c r="L515" s="567">
        <f t="shared" ca="1" si="322"/>
        <v>0</v>
      </c>
      <c r="M515" s="568">
        <f t="shared" ca="1" si="322"/>
        <v>0</v>
      </c>
      <c r="N515" s="568">
        <f t="shared" ca="1" si="322"/>
        <v>0</v>
      </c>
      <c r="O515" s="568">
        <f t="shared" ca="1" si="317"/>
        <v>0</v>
      </c>
      <c r="P515" s="568">
        <f t="shared" ca="1" si="318"/>
        <v>0</v>
      </c>
      <c r="Q515" s="568">
        <f t="shared" si="323"/>
        <v>0</v>
      </c>
      <c r="R515" s="568">
        <f t="shared" si="323"/>
        <v>0</v>
      </c>
      <c r="S515" s="568">
        <f t="shared" si="323"/>
        <v>0</v>
      </c>
      <c r="T515" s="568">
        <f t="shared" si="320"/>
        <v>0</v>
      </c>
      <c r="U515" s="568">
        <f t="shared" si="321"/>
        <v>0</v>
      </c>
    </row>
    <row r="516" spans="1:21" ht="18.75" hidden="1" x14ac:dyDescent="0.25">
      <c r="A516" s="674"/>
      <c r="B516" s="561"/>
      <c r="C516" s="561"/>
      <c r="D516" s="1017" t="s">
        <v>22</v>
      </c>
      <c r="E516" s="561"/>
      <c r="F516" s="561"/>
      <c r="G516" s="563"/>
      <c r="H516" s="685" t="s">
        <v>14</v>
      </c>
      <c r="I516" s="683"/>
      <c r="J516" s="683"/>
      <c r="K516" s="684"/>
      <c r="L516" s="567">
        <f t="shared" ref="L516:N516" ca="1" si="324">L517+L518</f>
        <v>0</v>
      </c>
      <c r="M516" s="568">
        <f t="shared" ca="1" si="324"/>
        <v>0</v>
      </c>
      <c r="N516" s="568">
        <f t="shared" ca="1" si="324"/>
        <v>0</v>
      </c>
      <c r="O516" s="568">
        <f t="shared" ca="1" si="317"/>
        <v>0</v>
      </c>
      <c r="P516" s="568">
        <f t="shared" ca="1" si="318"/>
        <v>0</v>
      </c>
      <c r="Q516" s="568">
        <f t="shared" ref="Q516:S516" si="325">Q517+Q518</f>
        <v>0</v>
      </c>
      <c r="R516" s="568">
        <f t="shared" si="325"/>
        <v>0</v>
      </c>
      <c r="S516" s="568">
        <f t="shared" si="325"/>
        <v>0</v>
      </c>
      <c r="T516" s="568">
        <f t="shared" si="320"/>
        <v>0</v>
      </c>
      <c r="U516" s="568">
        <f t="shared" si="321"/>
        <v>0</v>
      </c>
    </row>
    <row r="517" spans="1:21" ht="18.75" hidden="1" x14ac:dyDescent="0.25">
      <c r="A517" s="674"/>
      <c r="B517" s="561"/>
      <c r="C517" s="561"/>
      <c r="D517" s="561"/>
      <c r="E517" s="569" t="s">
        <v>36</v>
      </c>
      <c r="F517" s="561"/>
      <c r="G517" s="563"/>
      <c r="H517" s="685" t="s">
        <v>14</v>
      </c>
      <c r="I517" s="683"/>
      <c r="J517" s="683"/>
      <c r="K517" s="684"/>
      <c r="L517" s="571">
        <v>0</v>
      </c>
      <c r="M517" s="572">
        <v>0</v>
      </c>
      <c r="N517" s="572">
        <v>0</v>
      </c>
      <c r="O517" s="572">
        <f t="shared" si="317"/>
        <v>0</v>
      </c>
      <c r="P517" s="572">
        <f t="shared" si="318"/>
        <v>0</v>
      </c>
      <c r="Q517" s="572">
        <v>0</v>
      </c>
      <c r="R517" s="572">
        <v>0</v>
      </c>
      <c r="S517" s="572">
        <v>0</v>
      </c>
      <c r="T517" s="572">
        <f t="shared" si="320"/>
        <v>0</v>
      </c>
      <c r="U517" s="572">
        <f t="shared" si="321"/>
        <v>0</v>
      </c>
    </row>
    <row r="518" spans="1:21" ht="18.75" hidden="1" x14ac:dyDescent="0.25">
      <c r="A518" s="674"/>
      <c r="B518" s="561"/>
      <c r="C518" s="561"/>
      <c r="D518" s="561"/>
      <c r="E518" s="569" t="s">
        <v>37</v>
      </c>
      <c r="F518" s="561"/>
      <c r="G518" s="563"/>
      <c r="H518" s="685" t="s">
        <v>14</v>
      </c>
      <c r="I518" s="683"/>
      <c r="J518" s="683"/>
      <c r="K518" s="684"/>
      <c r="L518" s="567">
        <f ca="1">IFERROR(__xludf.DUMMYFUNCTION("IMPORTRANGE(""https://docs.google.com/spreadsheets/d/1-uDff_7J0KD5mKrp0Vvzr7lt3OU09vwQwhkpOPPYv2Y/edit?usp=sharing"",""งบพรบ!FM16"")"),0)</f>
        <v>0</v>
      </c>
      <c r="M518" s="568">
        <f ca="1">IFERROR(__xludf.DUMMYFUNCTION("IMPORTRANGE(""https://docs.google.com/spreadsheets/d/1-uDff_7J0KD5mKrp0Vvzr7lt3OU09vwQwhkpOPPYv2Y/edit?usp=sharing"",""งบพรบ!FR16"")"),0)</f>
        <v>0</v>
      </c>
      <c r="N518" s="568">
        <f ca="1">IFERROR(__xludf.DUMMYFUNCTION("IMPORTRANGE(""https://docs.google.com/spreadsheets/d/1-uDff_7J0KD5mKrp0Vvzr7lt3OU09vwQwhkpOPPYv2Y/edit?usp=sharing"",""งบพรบ!FT16"")"),0)</f>
        <v>0</v>
      </c>
      <c r="O518" s="568">
        <f t="shared" ca="1" si="317"/>
        <v>0</v>
      </c>
      <c r="P518" s="568">
        <f t="shared" ca="1" si="318"/>
        <v>0</v>
      </c>
      <c r="Q518" s="568">
        <v>0</v>
      </c>
      <c r="R518" s="568">
        <v>0</v>
      </c>
      <c r="S518" s="568">
        <v>0</v>
      </c>
      <c r="T518" s="568">
        <f t="shared" si="320"/>
        <v>0</v>
      </c>
      <c r="U518" s="568">
        <f t="shared" si="321"/>
        <v>0</v>
      </c>
    </row>
    <row r="519" spans="1:21" ht="18.75" hidden="1" x14ac:dyDescent="0.25">
      <c r="A519" s="674"/>
      <c r="B519" s="561"/>
      <c r="C519" s="561"/>
      <c r="D519" s="1017" t="s">
        <v>23</v>
      </c>
      <c r="E519" s="561"/>
      <c r="F519" s="561"/>
      <c r="G519" s="563"/>
      <c r="H519" s="734" t="s">
        <v>14</v>
      </c>
      <c r="I519" s="683"/>
      <c r="J519" s="683"/>
      <c r="K519" s="684"/>
      <c r="L519" s="567">
        <f t="shared" ref="L519:N519" ca="1" si="326">L520+L521</f>
        <v>0</v>
      </c>
      <c r="M519" s="568">
        <f t="shared" ca="1" si="326"/>
        <v>0</v>
      </c>
      <c r="N519" s="568">
        <f t="shared" ca="1" si="326"/>
        <v>0</v>
      </c>
      <c r="O519" s="568">
        <f t="shared" ca="1" si="317"/>
        <v>0</v>
      </c>
      <c r="P519" s="568">
        <f t="shared" ca="1" si="318"/>
        <v>0</v>
      </c>
      <c r="Q519" s="568">
        <f t="shared" ref="Q519:S519" si="327">Q520+Q521</f>
        <v>0</v>
      </c>
      <c r="R519" s="568">
        <f t="shared" si="327"/>
        <v>0</v>
      </c>
      <c r="S519" s="568">
        <f t="shared" si="327"/>
        <v>0</v>
      </c>
      <c r="T519" s="568">
        <f t="shared" si="320"/>
        <v>0</v>
      </c>
      <c r="U519" s="568">
        <f t="shared" si="321"/>
        <v>0</v>
      </c>
    </row>
    <row r="520" spans="1:21" ht="18.75" hidden="1" x14ac:dyDescent="0.25">
      <c r="A520" s="674"/>
      <c r="B520" s="561"/>
      <c r="C520" s="561"/>
      <c r="D520" s="561"/>
      <c r="E520" s="569" t="s">
        <v>20</v>
      </c>
      <c r="F520" s="561"/>
      <c r="G520" s="563"/>
      <c r="H520" s="685" t="s">
        <v>14</v>
      </c>
      <c r="I520" s="683"/>
      <c r="J520" s="683"/>
      <c r="K520" s="684"/>
      <c r="L520" s="571">
        <v>0</v>
      </c>
      <c r="M520" s="572">
        <v>0</v>
      </c>
      <c r="N520" s="572">
        <v>0</v>
      </c>
      <c r="O520" s="572">
        <f t="shared" si="317"/>
        <v>0</v>
      </c>
      <c r="P520" s="572">
        <f t="shared" si="318"/>
        <v>0</v>
      </c>
      <c r="Q520" s="572">
        <v>0</v>
      </c>
      <c r="R520" s="572">
        <v>0</v>
      </c>
      <c r="S520" s="572">
        <v>0</v>
      </c>
      <c r="T520" s="572">
        <f t="shared" si="320"/>
        <v>0</v>
      </c>
      <c r="U520" s="572">
        <f t="shared" si="321"/>
        <v>0</v>
      </c>
    </row>
    <row r="521" spans="1:21" ht="18.75" hidden="1" x14ac:dyDescent="0.25">
      <c r="A521" s="674"/>
      <c r="B521" s="561"/>
      <c r="C521" s="561"/>
      <c r="D521" s="561"/>
      <c r="E521" s="569" t="s">
        <v>21</v>
      </c>
      <c r="F521" s="561"/>
      <c r="G521" s="563"/>
      <c r="H521" s="734" t="s">
        <v>14</v>
      </c>
      <c r="I521" s="683"/>
      <c r="J521" s="683"/>
      <c r="K521" s="684"/>
      <c r="L521" s="567">
        <f ca="1">IFERROR(__xludf.DUMMYFUNCTION("IMPORTRANGE(""https://docs.google.com/spreadsheets/d/1-uDff_7J0KD5mKrp0Vvzr7lt3OU09vwQwhkpOPPYv2Y/edit?usp=sharing"",""งบพรบ!FP16"")"),0)</f>
        <v>0</v>
      </c>
      <c r="M521" s="568">
        <f ca="1">IFERROR(__xludf.DUMMYFUNCTION("IMPORTRANGE(""https://docs.google.com/spreadsheets/d/1-uDff_7J0KD5mKrp0Vvzr7lt3OU09vwQwhkpOPPYv2Y/edit?usp=sharing"",""งบพรบ!FS16"")"),0)</f>
        <v>0</v>
      </c>
      <c r="N521" s="568">
        <f ca="1">IFERROR(__xludf.DUMMYFUNCTION("IMPORTRANGE(""https://docs.google.com/spreadsheets/d/1-uDff_7J0KD5mKrp0Vvzr7lt3OU09vwQwhkpOPPYv2Y/edit?usp=sharing"",""งบพรบ!FU16"")"),0)</f>
        <v>0</v>
      </c>
      <c r="O521" s="568">
        <f t="shared" ca="1" si="317"/>
        <v>0</v>
      </c>
      <c r="P521" s="568">
        <f t="shared" ca="1" si="318"/>
        <v>0</v>
      </c>
      <c r="Q521" s="568">
        <v>0</v>
      </c>
      <c r="R521" s="568">
        <v>0</v>
      </c>
      <c r="S521" s="568">
        <v>0</v>
      </c>
      <c r="T521" s="568">
        <f t="shared" si="320"/>
        <v>0</v>
      </c>
      <c r="U521" s="568">
        <f t="shared" si="321"/>
        <v>0</v>
      </c>
    </row>
    <row r="522" spans="1:21" ht="19.5" hidden="1" x14ac:dyDescent="0.3">
      <c r="A522" s="687"/>
      <c r="B522" s="688"/>
      <c r="C522" s="797" t="s">
        <v>18</v>
      </c>
      <c r="D522" s="801" t="s">
        <v>38</v>
      </c>
      <c r="E522" s="690"/>
      <c r="F522" s="690"/>
      <c r="G522" s="691"/>
      <c r="H522" s="692"/>
      <c r="I522" s="683"/>
      <c r="J522" s="565"/>
      <c r="K522" s="566"/>
      <c r="L522" s="574"/>
      <c r="M522" s="566"/>
      <c r="N522" s="566"/>
      <c r="O522" s="684"/>
      <c r="P522" s="684"/>
      <c r="Q522" s="566"/>
      <c r="R522" s="566"/>
      <c r="S522" s="566"/>
      <c r="T522" s="684"/>
      <c r="U522" s="684"/>
    </row>
    <row r="523" spans="1:21" ht="18.75" hidden="1" x14ac:dyDescent="0.25">
      <c r="A523" s="764"/>
      <c r="B523" s="561"/>
      <c r="C523" s="718"/>
      <c r="D523" s="726" t="s">
        <v>208</v>
      </c>
      <c r="E523" s="688"/>
      <c r="F523" s="561"/>
      <c r="G523" s="563"/>
      <c r="H523" s="768" t="s">
        <v>11</v>
      </c>
      <c r="I523" s="735">
        <v>0</v>
      </c>
      <c r="J523" s="736">
        <v>0</v>
      </c>
      <c r="K523" s="572">
        <f t="shared" ref="K523:K524" si="328">IF(I523&gt;0,J523*100/I523,0)</f>
        <v>0</v>
      </c>
      <c r="L523" s="574"/>
      <c r="M523" s="566"/>
      <c r="N523" s="566"/>
      <c r="O523" s="566"/>
      <c r="P523" s="566"/>
      <c r="Q523" s="566"/>
      <c r="R523" s="566"/>
      <c r="S523" s="566"/>
      <c r="T523" s="566"/>
      <c r="U523" s="566"/>
    </row>
    <row r="524" spans="1:21" ht="18.75" hidden="1" x14ac:dyDescent="0.25">
      <c r="A524" s="984"/>
      <c r="B524" s="513"/>
      <c r="C524" s="514"/>
      <c r="D524" s="1018" t="s">
        <v>209</v>
      </c>
      <c r="E524" s="864"/>
      <c r="F524" s="513"/>
      <c r="G524" s="577"/>
      <c r="H524" s="1019" t="s">
        <v>61</v>
      </c>
      <c r="I524" s="740">
        <v>0</v>
      </c>
      <c r="J524" s="741">
        <v>0</v>
      </c>
      <c r="K524" s="742">
        <f t="shared" si="328"/>
        <v>0</v>
      </c>
      <c r="L524" s="574"/>
      <c r="M524" s="566"/>
      <c r="N524" s="566"/>
      <c r="O524" s="566"/>
      <c r="P524" s="566"/>
      <c r="Q524" s="566"/>
      <c r="R524" s="566"/>
      <c r="S524" s="566"/>
      <c r="T524" s="566"/>
      <c r="U524" s="566"/>
    </row>
    <row r="525" spans="1:21" ht="12.75" hidden="1" x14ac:dyDescent="0.2">
      <c r="A525" s="1020"/>
      <c r="B525" s="1021"/>
      <c r="C525" s="1021"/>
      <c r="D525" s="1022"/>
      <c r="E525" s="1022"/>
      <c r="F525" s="1022"/>
      <c r="G525" s="1023"/>
      <c r="H525" s="1024"/>
      <c r="I525" s="1025"/>
      <c r="J525" s="1025"/>
      <c r="K525" s="1026"/>
      <c r="L525" s="965"/>
      <c r="M525" s="964"/>
      <c r="N525" s="964"/>
      <c r="O525" s="964"/>
      <c r="P525" s="964"/>
      <c r="Q525" s="964"/>
      <c r="R525" s="964"/>
      <c r="S525" s="964"/>
      <c r="T525" s="964"/>
      <c r="U525" s="964"/>
    </row>
    <row r="526" spans="1:21" ht="12.75" hidden="1" x14ac:dyDescent="0.2">
      <c r="A526" s="973"/>
      <c r="B526" s="961"/>
      <c r="C526" s="961"/>
      <c r="D526" s="974"/>
      <c r="E526" s="974"/>
      <c r="F526" s="974"/>
      <c r="G526" s="975"/>
      <c r="H526" s="962"/>
      <c r="I526" s="963"/>
      <c r="J526" s="963"/>
      <c r="K526" s="964"/>
      <c r="L526" s="965"/>
      <c r="M526" s="964"/>
      <c r="N526" s="964"/>
      <c r="O526" s="964"/>
      <c r="P526" s="964"/>
      <c r="Q526" s="964"/>
      <c r="R526" s="964"/>
      <c r="S526" s="964"/>
      <c r="T526" s="964"/>
      <c r="U526" s="964"/>
    </row>
    <row r="527" spans="1:21" ht="12.75" hidden="1" x14ac:dyDescent="0.2">
      <c r="A527" s="973"/>
      <c r="B527" s="961"/>
      <c r="C527" s="961"/>
      <c r="D527" s="974"/>
      <c r="E527" s="974"/>
      <c r="F527" s="974"/>
      <c r="G527" s="975"/>
      <c r="H527" s="962"/>
      <c r="I527" s="963"/>
      <c r="J527" s="963"/>
      <c r="K527" s="964"/>
      <c r="L527" s="965"/>
      <c r="M527" s="964"/>
      <c r="N527" s="964"/>
      <c r="O527" s="964"/>
      <c r="P527" s="964"/>
      <c r="Q527" s="964"/>
      <c r="R527" s="964"/>
      <c r="S527" s="964"/>
      <c r="T527" s="964"/>
      <c r="U527" s="964"/>
    </row>
    <row r="528" spans="1:21" ht="12.75" hidden="1" x14ac:dyDescent="0.2">
      <c r="A528" s="973"/>
      <c r="B528" s="961"/>
      <c r="C528" s="961"/>
      <c r="D528" s="974"/>
      <c r="E528" s="974"/>
      <c r="F528" s="974"/>
      <c r="G528" s="975"/>
      <c r="H528" s="962"/>
      <c r="I528" s="963"/>
      <c r="J528" s="963"/>
      <c r="K528" s="964"/>
      <c r="L528" s="965"/>
      <c r="M528" s="964"/>
      <c r="N528" s="964"/>
      <c r="O528" s="964"/>
      <c r="P528" s="964"/>
      <c r="Q528" s="964"/>
      <c r="R528" s="964"/>
      <c r="S528" s="964"/>
      <c r="T528" s="964"/>
      <c r="U528" s="964"/>
    </row>
    <row r="529" spans="1:21" ht="12.75" hidden="1" x14ac:dyDescent="0.2">
      <c r="A529" s="973"/>
      <c r="B529" s="961"/>
      <c r="C529" s="961"/>
      <c r="D529" s="974"/>
      <c r="E529" s="974"/>
      <c r="F529" s="974"/>
      <c r="G529" s="975"/>
      <c r="H529" s="962"/>
      <c r="I529" s="963"/>
      <c r="J529" s="963"/>
      <c r="K529" s="964"/>
      <c r="L529" s="965"/>
      <c r="M529" s="964"/>
      <c r="N529" s="964"/>
      <c r="O529" s="964"/>
      <c r="P529" s="964"/>
      <c r="Q529" s="964"/>
      <c r="R529" s="964"/>
      <c r="S529" s="964"/>
      <c r="T529" s="964"/>
      <c r="U529" s="964"/>
    </row>
    <row r="530" spans="1:21" ht="12.75" hidden="1" x14ac:dyDescent="0.2">
      <c r="A530" s="973"/>
      <c r="B530" s="961"/>
      <c r="C530" s="961"/>
      <c r="D530" s="974"/>
      <c r="E530" s="974"/>
      <c r="F530" s="974"/>
      <c r="G530" s="975"/>
      <c r="H530" s="962"/>
      <c r="I530" s="963"/>
      <c r="J530" s="963"/>
      <c r="K530" s="964"/>
      <c r="L530" s="965"/>
      <c r="M530" s="964"/>
      <c r="N530" s="964"/>
      <c r="O530" s="964"/>
      <c r="P530" s="964"/>
      <c r="Q530" s="964"/>
      <c r="R530" s="964"/>
      <c r="S530" s="964"/>
      <c r="T530" s="964"/>
      <c r="U530" s="964"/>
    </row>
    <row r="531" spans="1:21" ht="12.75" hidden="1" x14ac:dyDescent="0.2">
      <c r="A531" s="973"/>
      <c r="B531" s="961"/>
      <c r="C531" s="961"/>
      <c r="D531" s="974"/>
      <c r="E531" s="974"/>
      <c r="F531" s="974"/>
      <c r="G531" s="975"/>
      <c r="H531" s="962"/>
      <c r="I531" s="963"/>
      <c r="J531" s="963"/>
      <c r="K531" s="964"/>
      <c r="L531" s="965"/>
      <c r="M531" s="964"/>
      <c r="N531" s="964"/>
      <c r="O531" s="964"/>
      <c r="P531" s="964"/>
      <c r="Q531" s="964"/>
      <c r="R531" s="964"/>
      <c r="S531" s="964"/>
      <c r="T531" s="964"/>
      <c r="U531" s="964"/>
    </row>
    <row r="532" spans="1:21" ht="12.75" hidden="1" x14ac:dyDescent="0.2">
      <c r="A532" s="1027"/>
      <c r="B532" s="966"/>
      <c r="C532" s="966"/>
      <c r="D532" s="1028"/>
      <c r="E532" s="1028"/>
      <c r="F532" s="1028"/>
      <c r="G532" s="1029"/>
      <c r="H532" s="967"/>
      <c r="I532" s="968"/>
      <c r="J532" s="968"/>
      <c r="K532" s="969"/>
      <c r="L532" s="970"/>
      <c r="M532" s="969"/>
      <c r="N532" s="969"/>
      <c r="O532" s="969"/>
      <c r="P532" s="969"/>
      <c r="Q532" s="969"/>
      <c r="R532" s="969"/>
      <c r="S532" s="969"/>
      <c r="T532" s="969"/>
      <c r="U532" s="969"/>
    </row>
    <row r="533" spans="1:21" ht="19.5" hidden="1" x14ac:dyDescent="0.3">
      <c r="A533" s="1006"/>
      <c r="B533" s="1030" t="s">
        <v>210</v>
      </c>
      <c r="C533" s="1008"/>
      <c r="D533" s="1009"/>
      <c r="E533" s="1009"/>
      <c r="F533" s="1009"/>
      <c r="G533" s="1010"/>
      <c r="H533" s="1031" t="s">
        <v>61</v>
      </c>
      <c r="I533" s="1032">
        <f t="shared" ref="I533:J533" si="329">I545</f>
        <v>0</v>
      </c>
      <c r="J533" s="1032">
        <f t="shared" si="329"/>
        <v>0</v>
      </c>
      <c r="K533" s="1033">
        <f>IF(I533&gt;0,J533*100/I533,0)</f>
        <v>0</v>
      </c>
      <c r="L533" s="1014"/>
      <c r="M533" s="1015"/>
      <c r="N533" s="1015"/>
      <c r="O533" s="1015"/>
      <c r="P533" s="1015"/>
      <c r="Q533" s="1015"/>
      <c r="R533" s="1015"/>
      <c r="S533" s="1015"/>
      <c r="T533" s="1015"/>
      <c r="U533" s="1015"/>
    </row>
    <row r="534" spans="1:21" ht="19.5" hidden="1" x14ac:dyDescent="0.3">
      <c r="A534" s="674"/>
      <c r="B534" s="561"/>
      <c r="C534" s="675" t="s">
        <v>18</v>
      </c>
      <c r="D534" s="676" t="s">
        <v>19</v>
      </c>
      <c r="E534" s="561"/>
      <c r="F534" s="561"/>
      <c r="G534" s="563"/>
      <c r="H534" s="677" t="s">
        <v>14</v>
      </c>
      <c r="I534" s="565"/>
      <c r="J534" s="565"/>
      <c r="K534" s="566"/>
      <c r="L534" s="678">
        <f t="shared" ref="L534:N534" ca="1" si="330">L535+L536</f>
        <v>0</v>
      </c>
      <c r="M534" s="679">
        <f t="shared" ca="1" si="330"/>
        <v>0</v>
      </c>
      <c r="N534" s="679">
        <f t="shared" ca="1" si="330"/>
        <v>0</v>
      </c>
      <c r="O534" s="679">
        <f t="shared" ref="O534:O542" ca="1" si="331">IF(L534&gt;0,N534*100/L534,0)</f>
        <v>0</v>
      </c>
      <c r="P534" s="679">
        <f t="shared" ref="P534:P542" ca="1" si="332">IF(M534&gt;0,N534*100/M534,0)</f>
        <v>0</v>
      </c>
      <c r="Q534" s="679">
        <f t="shared" ref="Q534:S534" si="333">Q535+Q536</f>
        <v>0</v>
      </c>
      <c r="R534" s="679">
        <f t="shared" si="333"/>
        <v>0</v>
      </c>
      <c r="S534" s="679">
        <f t="shared" si="333"/>
        <v>0</v>
      </c>
      <c r="T534" s="679">
        <f t="shared" ref="T534:T542" si="334">IF(Q534&gt;0,S534*100/Q534,0)</f>
        <v>0</v>
      </c>
      <c r="U534" s="679">
        <f t="shared" ref="U534:U542" si="335">IF(R534&gt;0,S534*100/R534,0)</f>
        <v>0</v>
      </c>
    </row>
    <row r="535" spans="1:21" ht="18.75" hidden="1" x14ac:dyDescent="0.25">
      <c r="A535" s="674"/>
      <c r="B535" s="718"/>
      <c r="C535" s="561"/>
      <c r="D535" s="561"/>
      <c r="E535" s="569" t="s">
        <v>20</v>
      </c>
      <c r="F535" s="561"/>
      <c r="G535" s="563"/>
      <c r="H535" s="680" t="s">
        <v>14</v>
      </c>
      <c r="I535" s="565"/>
      <c r="J535" s="565"/>
      <c r="K535" s="566"/>
      <c r="L535" s="571">
        <f t="shared" ref="L535:N536" si="336">L538+L541</f>
        <v>0</v>
      </c>
      <c r="M535" s="572">
        <f t="shared" si="336"/>
        <v>0</v>
      </c>
      <c r="N535" s="572">
        <f t="shared" si="336"/>
        <v>0</v>
      </c>
      <c r="O535" s="572">
        <f t="shared" si="331"/>
        <v>0</v>
      </c>
      <c r="P535" s="572">
        <f t="shared" si="332"/>
        <v>0</v>
      </c>
      <c r="Q535" s="572">
        <f t="shared" ref="Q535:S536" si="337">Q538+Q541</f>
        <v>0</v>
      </c>
      <c r="R535" s="572">
        <f t="shared" si="337"/>
        <v>0</v>
      </c>
      <c r="S535" s="572">
        <f t="shared" si="337"/>
        <v>0</v>
      </c>
      <c r="T535" s="572">
        <f t="shared" si="334"/>
        <v>0</v>
      </c>
      <c r="U535" s="572">
        <f t="shared" si="335"/>
        <v>0</v>
      </c>
    </row>
    <row r="536" spans="1:21" ht="18.75" hidden="1" x14ac:dyDescent="0.25">
      <c r="A536" s="674"/>
      <c r="B536" s="561"/>
      <c r="C536" s="718"/>
      <c r="D536" s="561"/>
      <c r="E536" s="765" t="s">
        <v>21</v>
      </c>
      <c r="F536" s="561"/>
      <c r="G536" s="563"/>
      <c r="H536" s="681" t="s">
        <v>14</v>
      </c>
      <c r="I536" s="565"/>
      <c r="J536" s="565"/>
      <c r="K536" s="566"/>
      <c r="L536" s="567">
        <f t="shared" ca="1" si="336"/>
        <v>0</v>
      </c>
      <c r="M536" s="568">
        <f t="shared" ca="1" si="336"/>
        <v>0</v>
      </c>
      <c r="N536" s="568">
        <f t="shared" ca="1" si="336"/>
        <v>0</v>
      </c>
      <c r="O536" s="568">
        <f t="shared" ca="1" si="331"/>
        <v>0</v>
      </c>
      <c r="P536" s="568">
        <f t="shared" ca="1" si="332"/>
        <v>0</v>
      </c>
      <c r="Q536" s="568">
        <f t="shared" si="337"/>
        <v>0</v>
      </c>
      <c r="R536" s="568">
        <f t="shared" si="337"/>
        <v>0</v>
      </c>
      <c r="S536" s="568">
        <f t="shared" si="337"/>
        <v>0</v>
      </c>
      <c r="T536" s="568">
        <f t="shared" si="334"/>
        <v>0</v>
      </c>
      <c r="U536" s="568">
        <f t="shared" si="335"/>
        <v>0</v>
      </c>
    </row>
    <row r="537" spans="1:21" ht="18.75" hidden="1" x14ac:dyDescent="0.25">
      <c r="A537" s="674"/>
      <c r="B537" s="561"/>
      <c r="C537" s="718"/>
      <c r="D537" s="562" t="s">
        <v>22</v>
      </c>
      <c r="E537" s="718"/>
      <c r="F537" s="561"/>
      <c r="G537" s="563"/>
      <c r="H537" s="682" t="s">
        <v>14</v>
      </c>
      <c r="I537" s="683"/>
      <c r="J537" s="683"/>
      <c r="K537" s="684"/>
      <c r="L537" s="567">
        <f t="shared" ref="L537:N537" ca="1" si="338">L538+L539</f>
        <v>0</v>
      </c>
      <c r="M537" s="568">
        <f t="shared" ca="1" si="338"/>
        <v>0</v>
      </c>
      <c r="N537" s="568">
        <f t="shared" ca="1" si="338"/>
        <v>0</v>
      </c>
      <c r="O537" s="568">
        <f t="shared" ca="1" si="331"/>
        <v>0</v>
      </c>
      <c r="P537" s="568">
        <f t="shared" ca="1" si="332"/>
        <v>0</v>
      </c>
      <c r="Q537" s="568">
        <f t="shared" ref="Q537:S537" si="339">Q538+Q539</f>
        <v>0</v>
      </c>
      <c r="R537" s="568">
        <f t="shared" si="339"/>
        <v>0</v>
      </c>
      <c r="S537" s="568">
        <f t="shared" si="339"/>
        <v>0</v>
      </c>
      <c r="T537" s="568">
        <f t="shared" si="334"/>
        <v>0</v>
      </c>
      <c r="U537" s="568">
        <f t="shared" si="335"/>
        <v>0</v>
      </c>
    </row>
    <row r="538" spans="1:21" ht="18.75" hidden="1" x14ac:dyDescent="0.25">
      <c r="A538" s="674"/>
      <c r="B538" s="561"/>
      <c r="C538" s="561"/>
      <c r="D538" s="561"/>
      <c r="E538" s="569" t="s">
        <v>36</v>
      </c>
      <c r="F538" s="561"/>
      <c r="G538" s="563"/>
      <c r="H538" s="685" t="s">
        <v>14</v>
      </c>
      <c r="I538" s="683"/>
      <c r="J538" s="683"/>
      <c r="K538" s="684"/>
      <c r="L538" s="571">
        <v>0</v>
      </c>
      <c r="M538" s="572">
        <v>0</v>
      </c>
      <c r="N538" s="572">
        <v>0</v>
      </c>
      <c r="O538" s="572">
        <f t="shared" si="331"/>
        <v>0</v>
      </c>
      <c r="P538" s="572">
        <f t="shared" si="332"/>
        <v>0</v>
      </c>
      <c r="Q538" s="572">
        <v>0</v>
      </c>
      <c r="R538" s="572">
        <v>0</v>
      </c>
      <c r="S538" s="572">
        <v>0</v>
      </c>
      <c r="T538" s="572">
        <f t="shared" si="334"/>
        <v>0</v>
      </c>
      <c r="U538" s="572">
        <f t="shared" si="335"/>
        <v>0</v>
      </c>
    </row>
    <row r="539" spans="1:21" ht="18.75" hidden="1" x14ac:dyDescent="0.25">
      <c r="A539" s="674"/>
      <c r="B539" s="561"/>
      <c r="C539" s="561"/>
      <c r="D539" s="561"/>
      <c r="E539" s="573" t="s">
        <v>37</v>
      </c>
      <c r="F539" s="561"/>
      <c r="G539" s="563"/>
      <c r="H539" s="682" t="s">
        <v>14</v>
      </c>
      <c r="I539" s="683"/>
      <c r="J539" s="683"/>
      <c r="K539" s="684"/>
      <c r="L539" s="567">
        <f ca="1">IFERROR(__xludf.DUMMYFUNCTION("IMPORTRANGE(""https://docs.google.com/spreadsheets/d/1-uDff_7J0KD5mKrp0Vvzr7lt3OU09vwQwhkpOPPYv2Y/edit?usp=sharing"",""งบพรบ!FW16"")"),0)</f>
        <v>0</v>
      </c>
      <c r="M539" s="568">
        <f ca="1">IFERROR(__xludf.DUMMYFUNCTION("IMPORTRANGE(""https://docs.google.com/spreadsheets/d/1-uDff_7J0KD5mKrp0Vvzr7lt3OU09vwQwhkpOPPYv2Y/edit?usp=sharing"",""งบพรบ!GB16"")"),0)</f>
        <v>0</v>
      </c>
      <c r="N539" s="568">
        <f ca="1">IFERROR(__xludf.DUMMYFUNCTION("IMPORTRANGE(""https://docs.google.com/spreadsheets/d/1-uDff_7J0KD5mKrp0Vvzr7lt3OU09vwQwhkpOPPYv2Y/edit?usp=sharing"",""งบพรบ!GD16"")"),0)</f>
        <v>0</v>
      </c>
      <c r="O539" s="568">
        <f t="shared" ca="1" si="331"/>
        <v>0</v>
      </c>
      <c r="P539" s="568">
        <f t="shared" ca="1" si="332"/>
        <v>0</v>
      </c>
      <c r="Q539" s="568">
        <v>0</v>
      </c>
      <c r="R539" s="568">
        <v>0</v>
      </c>
      <c r="S539" s="568">
        <v>0</v>
      </c>
      <c r="T539" s="568">
        <f t="shared" si="334"/>
        <v>0</v>
      </c>
      <c r="U539" s="568">
        <f t="shared" si="335"/>
        <v>0</v>
      </c>
    </row>
    <row r="540" spans="1:21" ht="18.75" hidden="1" x14ac:dyDescent="0.25">
      <c r="A540" s="674"/>
      <c r="B540" s="561"/>
      <c r="C540" s="561"/>
      <c r="D540" s="562" t="s">
        <v>23</v>
      </c>
      <c r="E540" s="561"/>
      <c r="F540" s="561"/>
      <c r="G540" s="563"/>
      <c r="H540" s="686" t="s">
        <v>14</v>
      </c>
      <c r="I540" s="683"/>
      <c r="J540" s="683"/>
      <c r="K540" s="684"/>
      <c r="L540" s="567">
        <f t="shared" ref="L540:N540" ca="1" si="340">L541+L542</f>
        <v>0</v>
      </c>
      <c r="M540" s="568">
        <f t="shared" ca="1" si="340"/>
        <v>0</v>
      </c>
      <c r="N540" s="568">
        <f t="shared" ca="1" si="340"/>
        <v>0</v>
      </c>
      <c r="O540" s="568">
        <f t="shared" ca="1" si="331"/>
        <v>0</v>
      </c>
      <c r="P540" s="568">
        <f t="shared" ca="1" si="332"/>
        <v>0</v>
      </c>
      <c r="Q540" s="568">
        <f t="shared" ref="Q540:S540" si="341">Q541+Q542</f>
        <v>0</v>
      </c>
      <c r="R540" s="568">
        <f t="shared" si="341"/>
        <v>0</v>
      </c>
      <c r="S540" s="568">
        <f t="shared" si="341"/>
        <v>0</v>
      </c>
      <c r="T540" s="568">
        <f t="shared" si="334"/>
        <v>0</v>
      </c>
      <c r="U540" s="568">
        <f t="shared" si="335"/>
        <v>0</v>
      </c>
    </row>
    <row r="541" spans="1:21" ht="18.75" hidden="1" x14ac:dyDescent="0.25">
      <c r="A541" s="674"/>
      <c r="B541" s="561"/>
      <c r="C541" s="561"/>
      <c r="D541" s="561"/>
      <c r="E541" s="569" t="s">
        <v>20</v>
      </c>
      <c r="F541" s="561"/>
      <c r="G541" s="563"/>
      <c r="H541" s="685" t="s">
        <v>14</v>
      </c>
      <c r="I541" s="683"/>
      <c r="J541" s="683"/>
      <c r="K541" s="684"/>
      <c r="L541" s="571">
        <v>0</v>
      </c>
      <c r="M541" s="572">
        <v>0</v>
      </c>
      <c r="N541" s="572">
        <v>0</v>
      </c>
      <c r="O541" s="572">
        <f t="shared" si="331"/>
        <v>0</v>
      </c>
      <c r="P541" s="572">
        <f t="shared" si="332"/>
        <v>0</v>
      </c>
      <c r="Q541" s="572">
        <v>0</v>
      </c>
      <c r="R541" s="572">
        <v>0</v>
      </c>
      <c r="S541" s="572">
        <v>0</v>
      </c>
      <c r="T541" s="572">
        <f t="shared" si="334"/>
        <v>0</v>
      </c>
      <c r="U541" s="572">
        <f t="shared" si="335"/>
        <v>0</v>
      </c>
    </row>
    <row r="542" spans="1:21" ht="18.75" hidden="1" x14ac:dyDescent="0.25">
      <c r="A542" s="674"/>
      <c r="B542" s="561"/>
      <c r="C542" s="561"/>
      <c r="D542" s="561"/>
      <c r="E542" s="573" t="s">
        <v>21</v>
      </c>
      <c r="F542" s="561"/>
      <c r="G542" s="563"/>
      <c r="H542" s="686" t="s">
        <v>14</v>
      </c>
      <c r="I542" s="683"/>
      <c r="J542" s="683"/>
      <c r="K542" s="684"/>
      <c r="L542" s="567">
        <f ca="1">IFERROR(__xludf.DUMMYFUNCTION("IMPORTRANGE(""https://docs.google.com/spreadsheets/d/1-uDff_7J0KD5mKrp0Vvzr7lt3OU09vwQwhkpOPPYv2Y/edit?usp=sharing"",""งบพรบ!FZ16"")"),0)</f>
        <v>0</v>
      </c>
      <c r="M542" s="568">
        <f ca="1">IFERROR(__xludf.DUMMYFUNCTION("IMPORTRANGE(""https://docs.google.com/spreadsheets/d/1-uDff_7J0KD5mKrp0Vvzr7lt3OU09vwQwhkpOPPYv2Y/edit?usp=sharing"",""งบพรบ!GC16"")"),0)</f>
        <v>0</v>
      </c>
      <c r="N542" s="568">
        <f ca="1">IFERROR(__xludf.DUMMYFUNCTION("IMPORTRANGE(""https://docs.google.com/spreadsheets/d/1-uDff_7J0KD5mKrp0Vvzr7lt3OU09vwQwhkpOPPYv2Y/edit?usp=sharing"",""งบพรบ!GE16"")"),0)</f>
        <v>0</v>
      </c>
      <c r="O542" s="568">
        <f t="shared" ca="1" si="331"/>
        <v>0</v>
      </c>
      <c r="P542" s="568">
        <f t="shared" ca="1" si="332"/>
        <v>0</v>
      </c>
      <c r="Q542" s="568">
        <v>0</v>
      </c>
      <c r="R542" s="568">
        <v>0</v>
      </c>
      <c r="S542" s="568">
        <v>0</v>
      </c>
      <c r="T542" s="568">
        <f t="shared" si="334"/>
        <v>0</v>
      </c>
      <c r="U542" s="568">
        <f t="shared" si="335"/>
        <v>0</v>
      </c>
    </row>
    <row r="543" spans="1:21" ht="19.5" hidden="1" x14ac:dyDescent="0.3">
      <c r="A543" s="687"/>
      <c r="B543" s="688"/>
      <c r="C543" s="1034" t="s">
        <v>18</v>
      </c>
      <c r="D543" s="689" t="s">
        <v>38</v>
      </c>
      <c r="E543" s="690"/>
      <c r="F543" s="690"/>
      <c r="G543" s="691"/>
      <c r="H543" s="692"/>
      <c r="I543" s="683"/>
      <c r="J543" s="565"/>
      <c r="K543" s="566"/>
      <c r="L543" s="574"/>
      <c r="M543" s="566"/>
      <c r="N543" s="566"/>
      <c r="O543" s="684"/>
      <c r="P543" s="684"/>
      <c r="Q543" s="566"/>
      <c r="R543" s="566"/>
      <c r="S543" s="566"/>
      <c r="T543" s="684"/>
      <c r="U543" s="684"/>
    </row>
    <row r="544" spans="1:21" ht="12.75" hidden="1" x14ac:dyDescent="0.2">
      <c r="A544" s="973"/>
      <c r="B544" s="974"/>
      <c r="C544" s="961"/>
      <c r="D544" s="974"/>
      <c r="E544" s="961"/>
      <c r="F544" s="974"/>
      <c r="G544" s="975"/>
      <c r="H544" s="975"/>
      <c r="I544" s="963"/>
      <c r="J544" s="963"/>
      <c r="K544" s="964"/>
      <c r="L544" s="965"/>
      <c r="M544" s="964"/>
      <c r="N544" s="964"/>
      <c r="O544" s="964"/>
      <c r="P544" s="964"/>
      <c r="Q544" s="964"/>
      <c r="R544" s="964"/>
      <c r="S544" s="964"/>
      <c r="T544" s="964"/>
      <c r="U544" s="964"/>
    </row>
    <row r="545" spans="1:21" ht="12.75" hidden="1" x14ac:dyDescent="0.2">
      <c r="A545" s="973"/>
      <c r="B545" s="974"/>
      <c r="C545" s="961"/>
      <c r="D545" s="974"/>
      <c r="E545" s="961"/>
      <c r="F545" s="974"/>
      <c r="G545" s="975"/>
      <c r="H545" s="975"/>
      <c r="I545" s="963"/>
      <c r="J545" s="963"/>
      <c r="K545" s="964"/>
      <c r="L545" s="965"/>
      <c r="M545" s="964"/>
      <c r="N545" s="964"/>
      <c r="O545" s="964"/>
      <c r="P545" s="964"/>
      <c r="Q545" s="964"/>
      <c r="R545" s="964"/>
      <c r="S545" s="964"/>
      <c r="T545" s="964"/>
      <c r="U545" s="964"/>
    </row>
    <row r="546" spans="1:21" ht="12.75" hidden="1" x14ac:dyDescent="0.2">
      <c r="A546" s="973"/>
      <c r="B546" s="961"/>
      <c r="C546" s="961"/>
      <c r="D546" s="974"/>
      <c r="E546" s="974"/>
      <c r="F546" s="974"/>
      <c r="G546" s="975"/>
      <c r="H546" s="962"/>
      <c r="I546" s="963"/>
      <c r="J546" s="963"/>
      <c r="K546" s="964"/>
      <c r="L546" s="965"/>
      <c r="M546" s="964"/>
      <c r="N546" s="964"/>
      <c r="O546" s="964"/>
      <c r="P546" s="964"/>
      <c r="Q546" s="964"/>
      <c r="R546" s="964"/>
      <c r="S546" s="964"/>
      <c r="T546" s="964"/>
      <c r="U546" s="964"/>
    </row>
    <row r="547" spans="1:21" ht="12.75" hidden="1" x14ac:dyDescent="0.2">
      <c r="A547" s="973"/>
      <c r="B547" s="961"/>
      <c r="C547" s="961"/>
      <c r="D547" s="974"/>
      <c r="E547" s="974"/>
      <c r="F547" s="974"/>
      <c r="G547" s="975"/>
      <c r="H547" s="962"/>
      <c r="I547" s="963"/>
      <c r="J547" s="963"/>
      <c r="K547" s="964"/>
      <c r="L547" s="965"/>
      <c r="M547" s="964"/>
      <c r="N547" s="964"/>
      <c r="O547" s="964"/>
      <c r="P547" s="964"/>
      <c r="Q547" s="964"/>
      <c r="R547" s="964"/>
      <c r="S547" s="964"/>
      <c r="T547" s="964"/>
      <c r="U547" s="964"/>
    </row>
    <row r="548" spans="1:21" ht="12.75" hidden="1" x14ac:dyDescent="0.2">
      <c r="A548" s="973"/>
      <c r="B548" s="961"/>
      <c r="C548" s="961"/>
      <c r="D548" s="974"/>
      <c r="E548" s="974"/>
      <c r="F548" s="974"/>
      <c r="G548" s="975"/>
      <c r="H548" s="962"/>
      <c r="I548" s="963"/>
      <c r="J548" s="963"/>
      <c r="K548" s="964"/>
      <c r="L548" s="965"/>
      <c r="M548" s="964"/>
      <c r="N548" s="964"/>
      <c r="O548" s="964"/>
      <c r="P548" s="964"/>
      <c r="Q548" s="964"/>
      <c r="R548" s="964"/>
      <c r="S548" s="964"/>
      <c r="T548" s="964"/>
      <c r="U548" s="964"/>
    </row>
    <row r="549" spans="1:21" ht="12.75" hidden="1" x14ac:dyDescent="0.2">
      <c r="A549" s="973"/>
      <c r="B549" s="961"/>
      <c r="C549" s="961"/>
      <c r="D549" s="974"/>
      <c r="E549" s="974"/>
      <c r="F549" s="974"/>
      <c r="G549" s="975"/>
      <c r="H549" s="962"/>
      <c r="I549" s="963"/>
      <c r="J549" s="963"/>
      <c r="K549" s="964"/>
      <c r="L549" s="965"/>
      <c r="M549" s="964"/>
      <c r="N549" s="964"/>
      <c r="O549" s="964"/>
      <c r="P549" s="964"/>
      <c r="Q549" s="964"/>
      <c r="R549" s="964"/>
      <c r="S549" s="964"/>
      <c r="T549" s="964"/>
      <c r="U549" s="964"/>
    </row>
    <row r="550" spans="1:21" ht="12.75" hidden="1" x14ac:dyDescent="0.2">
      <c r="A550" s="973"/>
      <c r="B550" s="961"/>
      <c r="C550" s="961"/>
      <c r="D550" s="974"/>
      <c r="E550" s="974"/>
      <c r="F550" s="974"/>
      <c r="G550" s="975"/>
      <c r="H550" s="962"/>
      <c r="I550" s="963"/>
      <c r="J550" s="963"/>
      <c r="K550" s="964"/>
      <c r="L550" s="965"/>
      <c r="M550" s="964"/>
      <c r="N550" s="964"/>
      <c r="O550" s="964"/>
      <c r="P550" s="964"/>
      <c r="Q550" s="964"/>
      <c r="R550" s="964"/>
      <c r="S550" s="964"/>
      <c r="T550" s="964"/>
      <c r="U550" s="964"/>
    </row>
    <row r="551" spans="1:21" ht="12.75" hidden="1" x14ac:dyDescent="0.2">
      <c r="A551" s="973"/>
      <c r="B551" s="961"/>
      <c r="C551" s="961"/>
      <c r="D551" s="974"/>
      <c r="E551" s="974"/>
      <c r="F551" s="974"/>
      <c r="G551" s="975"/>
      <c r="H551" s="962"/>
      <c r="I551" s="963"/>
      <c r="J551" s="963"/>
      <c r="K551" s="964"/>
      <c r="L551" s="965"/>
      <c r="M551" s="964"/>
      <c r="N551" s="964"/>
      <c r="O551" s="964"/>
      <c r="P551" s="964"/>
      <c r="Q551" s="964"/>
      <c r="R551" s="964"/>
      <c r="S551" s="964"/>
      <c r="T551" s="964"/>
      <c r="U551" s="964"/>
    </row>
    <row r="552" spans="1:21" ht="12.75" hidden="1" x14ac:dyDescent="0.2">
      <c r="A552" s="973"/>
      <c r="B552" s="961"/>
      <c r="C552" s="961"/>
      <c r="D552" s="974"/>
      <c r="E552" s="974"/>
      <c r="F552" s="974"/>
      <c r="G552" s="975"/>
      <c r="H552" s="962"/>
      <c r="I552" s="963"/>
      <c r="J552" s="963"/>
      <c r="K552" s="964"/>
      <c r="L552" s="965"/>
      <c r="M552" s="964"/>
      <c r="N552" s="964"/>
      <c r="O552" s="964"/>
      <c r="P552" s="964"/>
      <c r="Q552" s="964"/>
      <c r="R552" s="964"/>
      <c r="S552" s="964"/>
      <c r="T552" s="964"/>
      <c r="U552" s="964"/>
    </row>
    <row r="553" spans="1:21" ht="12.75" hidden="1" x14ac:dyDescent="0.2">
      <c r="A553" s="1027"/>
      <c r="B553" s="966"/>
      <c r="C553" s="966"/>
      <c r="D553" s="1028"/>
      <c r="E553" s="1028"/>
      <c r="F553" s="1028"/>
      <c r="G553" s="1029"/>
      <c r="H553" s="967"/>
      <c r="I553" s="968"/>
      <c r="J553" s="968"/>
      <c r="K553" s="969"/>
      <c r="L553" s="970"/>
      <c r="M553" s="969"/>
      <c r="N553" s="969"/>
      <c r="O553" s="969"/>
      <c r="P553" s="969"/>
      <c r="Q553" s="969"/>
      <c r="R553" s="969"/>
      <c r="S553" s="969"/>
      <c r="T553" s="969"/>
      <c r="U553" s="969"/>
    </row>
    <row r="554" spans="1:21" ht="19.5" hidden="1" x14ac:dyDescent="0.3">
      <c r="A554" s="1006"/>
      <c r="B554" s="1030" t="s">
        <v>211</v>
      </c>
      <c r="C554" s="1008"/>
      <c r="D554" s="1009"/>
      <c r="E554" s="1009"/>
      <c r="F554" s="1009"/>
      <c r="G554" s="1010"/>
      <c r="H554" s="1031" t="s">
        <v>61</v>
      </c>
      <c r="I554" s="1032">
        <f t="shared" ref="I554:J554" si="342">I566</f>
        <v>0</v>
      </c>
      <c r="J554" s="1032">
        <f t="shared" si="342"/>
        <v>0</v>
      </c>
      <c r="K554" s="1033">
        <f>IF(I554&gt;0,J554*100/I554,0)</f>
        <v>0</v>
      </c>
      <c r="L554" s="1014"/>
      <c r="M554" s="1015"/>
      <c r="N554" s="1015"/>
      <c r="O554" s="1015"/>
      <c r="P554" s="1015"/>
      <c r="Q554" s="1015"/>
      <c r="R554" s="1015"/>
      <c r="S554" s="1015"/>
      <c r="T554" s="1015"/>
      <c r="U554" s="1015"/>
    </row>
    <row r="555" spans="1:21" ht="19.5" hidden="1" x14ac:dyDescent="0.3">
      <c r="A555" s="674"/>
      <c r="B555" s="561"/>
      <c r="C555" s="675" t="s">
        <v>18</v>
      </c>
      <c r="D555" s="676" t="s">
        <v>19</v>
      </c>
      <c r="E555" s="561"/>
      <c r="F555" s="561"/>
      <c r="G555" s="563"/>
      <c r="H555" s="677" t="s">
        <v>14</v>
      </c>
      <c r="I555" s="565"/>
      <c r="J555" s="565"/>
      <c r="K555" s="566"/>
      <c r="L555" s="678">
        <f t="shared" ref="L555:N555" ca="1" si="343">L556+L557</f>
        <v>0</v>
      </c>
      <c r="M555" s="679">
        <f t="shared" ca="1" si="343"/>
        <v>0</v>
      </c>
      <c r="N555" s="679">
        <f t="shared" ca="1" si="343"/>
        <v>0</v>
      </c>
      <c r="O555" s="679">
        <f t="shared" ref="O555:O563" ca="1" si="344">IF(L555&gt;0,N555*100/L555,0)</f>
        <v>0</v>
      </c>
      <c r="P555" s="679">
        <f t="shared" ref="P555:P563" ca="1" si="345">IF(M555&gt;0,N555*100/M555,0)</f>
        <v>0</v>
      </c>
      <c r="Q555" s="679">
        <f t="shared" ref="Q555:S555" si="346">Q556+Q557</f>
        <v>0</v>
      </c>
      <c r="R555" s="679">
        <f t="shared" si="346"/>
        <v>0</v>
      </c>
      <c r="S555" s="679">
        <f t="shared" si="346"/>
        <v>0</v>
      </c>
      <c r="T555" s="679">
        <f t="shared" ref="T555:T563" si="347">IF(Q555&gt;0,S555*100/Q555,0)</f>
        <v>0</v>
      </c>
      <c r="U555" s="679">
        <f t="shared" ref="U555:U563" si="348">IF(R555&gt;0,S555*100/R555,0)</f>
        <v>0</v>
      </c>
    </row>
    <row r="556" spans="1:21" ht="18.75" hidden="1" x14ac:dyDescent="0.25">
      <c r="A556" s="674"/>
      <c r="B556" s="718"/>
      <c r="C556" s="561"/>
      <c r="D556" s="561"/>
      <c r="E556" s="569" t="s">
        <v>20</v>
      </c>
      <c r="F556" s="561"/>
      <c r="G556" s="563"/>
      <c r="H556" s="680" t="s">
        <v>14</v>
      </c>
      <c r="I556" s="565"/>
      <c r="J556" s="565"/>
      <c r="K556" s="566"/>
      <c r="L556" s="571">
        <f t="shared" ref="L556:N557" si="349">L559+L562</f>
        <v>0</v>
      </c>
      <c r="M556" s="572">
        <f t="shared" si="349"/>
        <v>0</v>
      </c>
      <c r="N556" s="572">
        <f t="shared" si="349"/>
        <v>0</v>
      </c>
      <c r="O556" s="572">
        <f t="shared" si="344"/>
        <v>0</v>
      </c>
      <c r="P556" s="572">
        <f t="shared" si="345"/>
        <v>0</v>
      </c>
      <c r="Q556" s="572">
        <f t="shared" ref="Q556:S557" si="350">Q559+Q562</f>
        <v>0</v>
      </c>
      <c r="R556" s="572">
        <f t="shared" si="350"/>
        <v>0</v>
      </c>
      <c r="S556" s="572">
        <f t="shared" si="350"/>
        <v>0</v>
      </c>
      <c r="T556" s="572">
        <f t="shared" si="347"/>
        <v>0</v>
      </c>
      <c r="U556" s="572">
        <f t="shared" si="348"/>
        <v>0</v>
      </c>
    </row>
    <row r="557" spans="1:21" ht="18.75" hidden="1" x14ac:dyDescent="0.25">
      <c r="A557" s="674"/>
      <c r="B557" s="561"/>
      <c r="C557" s="718"/>
      <c r="D557" s="561"/>
      <c r="E557" s="765" t="s">
        <v>21</v>
      </c>
      <c r="F557" s="561"/>
      <c r="G557" s="563"/>
      <c r="H557" s="681" t="s">
        <v>14</v>
      </c>
      <c r="I557" s="565"/>
      <c r="J557" s="565"/>
      <c r="K557" s="566"/>
      <c r="L557" s="567">
        <f t="shared" ca="1" si="349"/>
        <v>0</v>
      </c>
      <c r="M557" s="568">
        <f t="shared" ca="1" si="349"/>
        <v>0</v>
      </c>
      <c r="N557" s="568">
        <f t="shared" ca="1" si="349"/>
        <v>0</v>
      </c>
      <c r="O557" s="568">
        <f t="shared" ca="1" si="344"/>
        <v>0</v>
      </c>
      <c r="P557" s="568">
        <f t="shared" ca="1" si="345"/>
        <v>0</v>
      </c>
      <c r="Q557" s="568">
        <f t="shared" si="350"/>
        <v>0</v>
      </c>
      <c r="R557" s="568">
        <f t="shared" si="350"/>
        <v>0</v>
      </c>
      <c r="S557" s="568">
        <f t="shared" si="350"/>
        <v>0</v>
      </c>
      <c r="T557" s="568">
        <f t="shared" si="347"/>
        <v>0</v>
      </c>
      <c r="U557" s="568">
        <f t="shared" si="348"/>
        <v>0</v>
      </c>
    </row>
    <row r="558" spans="1:21" ht="18.75" hidden="1" x14ac:dyDescent="0.25">
      <c r="A558" s="674"/>
      <c r="B558" s="561"/>
      <c r="C558" s="718"/>
      <c r="D558" s="562" t="s">
        <v>22</v>
      </c>
      <c r="E558" s="718"/>
      <c r="F558" s="561"/>
      <c r="G558" s="563"/>
      <c r="H558" s="682" t="s">
        <v>14</v>
      </c>
      <c r="I558" s="683"/>
      <c r="J558" s="683"/>
      <c r="K558" s="684"/>
      <c r="L558" s="567">
        <f t="shared" ref="L558:N558" ca="1" si="351">L559+L560</f>
        <v>0</v>
      </c>
      <c r="M558" s="568">
        <f t="shared" ca="1" si="351"/>
        <v>0</v>
      </c>
      <c r="N558" s="568">
        <f t="shared" ca="1" si="351"/>
        <v>0</v>
      </c>
      <c r="O558" s="568">
        <f t="shared" ca="1" si="344"/>
        <v>0</v>
      </c>
      <c r="P558" s="568">
        <f t="shared" ca="1" si="345"/>
        <v>0</v>
      </c>
      <c r="Q558" s="568">
        <f t="shared" ref="Q558:S558" si="352">Q559+Q560</f>
        <v>0</v>
      </c>
      <c r="R558" s="568">
        <f t="shared" si="352"/>
        <v>0</v>
      </c>
      <c r="S558" s="568">
        <f t="shared" si="352"/>
        <v>0</v>
      </c>
      <c r="T558" s="568">
        <f t="shared" si="347"/>
        <v>0</v>
      </c>
      <c r="U558" s="568">
        <f t="shared" si="348"/>
        <v>0</v>
      </c>
    </row>
    <row r="559" spans="1:21" ht="18.75" hidden="1" x14ac:dyDescent="0.25">
      <c r="A559" s="674"/>
      <c r="B559" s="561"/>
      <c r="C559" s="561"/>
      <c r="D559" s="561"/>
      <c r="E559" s="569" t="s">
        <v>36</v>
      </c>
      <c r="F559" s="561"/>
      <c r="G559" s="563"/>
      <c r="H559" s="685" t="s">
        <v>14</v>
      </c>
      <c r="I559" s="683"/>
      <c r="J559" s="683"/>
      <c r="K559" s="684"/>
      <c r="L559" s="571">
        <v>0</v>
      </c>
      <c r="M559" s="572">
        <v>0</v>
      </c>
      <c r="N559" s="572">
        <v>0</v>
      </c>
      <c r="O559" s="572">
        <f t="shared" si="344"/>
        <v>0</v>
      </c>
      <c r="P559" s="572">
        <f t="shared" si="345"/>
        <v>0</v>
      </c>
      <c r="Q559" s="572">
        <v>0</v>
      </c>
      <c r="R559" s="572">
        <v>0</v>
      </c>
      <c r="S559" s="572">
        <v>0</v>
      </c>
      <c r="T559" s="572">
        <f t="shared" si="347"/>
        <v>0</v>
      </c>
      <c r="U559" s="572">
        <f t="shared" si="348"/>
        <v>0</v>
      </c>
    </row>
    <row r="560" spans="1:21" ht="18.75" hidden="1" x14ac:dyDescent="0.25">
      <c r="A560" s="674"/>
      <c r="B560" s="561"/>
      <c r="C560" s="561"/>
      <c r="D560" s="561"/>
      <c r="E560" s="573" t="s">
        <v>37</v>
      </c>
      <c r="F560" s="561"/>
      <c r="G560" s="563"/>
      <c r="H560" s="682" t="s">
        <v>14</v>
      </c>
      <c r="I560" s="683"/>
      <c r="J560" s="683"/>
      <c r="K560" s="684"/>
      <c r="L560" s="567">
        <f ca="1">IFERROR(__xludf.DUMMYFUNCTION("IMPORTRANGE(""https://docs.google.com/spreadsheets/d/1-uDff_7J0KD5mKrp0Vvzr7lt3OU09vwQwhkpOPPYv2Y/edit?usp=sharing"",""งบพรบ!GG16"")"),0)</f>
        <v>0</v>
      </c>
      <c r="M560" s="568">
        <f ca="1">IFERROR(__xludf.DUMMYFUNCTION("IMPORTRANGE(""https://docs.google.com/spreadsheets/d/1-uDff_7J0KD5mKrp0Vvzr7lt3OU09vwQwhkpOPPYv2Y/edit?usp=sharing"",""งบพรบ!GL16"")"),0)</f>
        <v>0</v>
      </c>
      <c r="N560" s="568">
        <f ca="1">IFERROR(__xludf.DUMMYFUNCTION("IMPORTRANGE(""https://docs.google.com/spreadsheets/d/1-uDff_7J0KD5mKrp0Vvzr7lt3OU09vwQwhkpOPPYv2Y/edit?usp=sharing"",""งบพรบ!GN16"")"),0)</f>
        <v>0</v>
      </c>
      <c r="O560" s="568">
        <f t="shared" ca="1" si="344"/>
        <v>0</v>
      </c>
      <c r="P560" s="568">
        <f t="shared" ca="1" si="345"/>
        <v>0</v>
      </c>
      <c r="Q560" s="568">
        <v>0</v>
      </c>
      <c r="R560" s="568">
        <v>0</v>
      </c>
      <c r="S560" s="568">
        <v>0</v>
      </c>
      <c r="T560" s="568">
        <f t="shared" si="347"/>
        <v>0</v>
      </c>
      <c r="U560" s="568">
        <f t="shared" si="348"/>
        <v>0</v>
      </c>
    </row>
    <row r="561" spans="1:21" ht="18.75" hidden="1" x14ac:dyDescent="0.25">
      <c r="A561" s="674"/>
      <c r="B561" s="561"/>
      <c r="C561" s="561"/>
      <c r="D561" s="562" t="s">
        <v>23</v>
      </c>
      <c r="E561" s="561"/>
      <c r="F561" s="561"/>
      <c r="G561" s="563"/>
      <c r="H561" s="686" t="s">
        <v>14</v>
      </c>
      <c r="I561" s="683"/>
      <c r="J561" s="683"/>
      <c r="K561" s="684"/>
      <c r="L561" s="567">
        <f t="shared" ref="L561:N561" ca="1" si="353">L562+L563</f>
        <v>0</v>
      </c>
      <c r="M561" s="568">
        <f t="shared" ca="1" si="353"/>
        <v>0</v>
      </c>
      <c r="N561" s="568">
        <f t="shared" ca="1" si="353"/>
        <v>0</v>
      </c>
      <c r="O561" s="568">
        <f t="shared" ca="1" si="344"/>
        <v>0</v>
      </c>
      <c r="P561" s="568">
        <f t="shared" ca="1" si="345"/>
        <v>0</v>
      </c>
      <c r="Q561" s="568">
        <f t="shared" ref="Q561:S561" si="354">Q562+Q563</f>
        <v>0</v>
      </c>
      <c r="R561" s="568">
        <f t="shared" si="354"/>
        <v>0</v>
      </c>
      <c r="S561" s="568">
        <f t="shared" si="354"/>
        <v>0</v>
      </c>
      <c r="T561" s="568">
        <f t="shared" si="347"/>
        <v>0</v>
      </c>
      <c r="U561" s="568">
        <f t="shared" si="348"/>
        <v>0</v>
      </c>
    </row>
    <row r="562" spans="1:21" ht="18.75" hidden="1" x14ac:dyDescent="0.25">
      <c r="A562" s="674"/>
      <c r="B562" s="561"/>
      <c r="C562" s="561"/>
      <c r="D562" s="561"/>
      <c r="E562" s="569" t="s">
        <v>20</v>
      </c>
      <c r="F562" s="561"/>
      <c r="G562" s="563"/>
      <c r="H562" s="685" t="s">
        <v>14</v>
      </c>
      <c r="I562" s="683"/>
      <c r="J562" s="683"/>
      <c r="K562" s="684"/>
      <c r="L562" s="571">
        <v>0</v>
      </c>
      <c r="M562" s="572">
        <v>0</v>
      </c>
      <c r="N562" s="572">
        <v>0</v>
      </c>
      <c r="O562" s="572">
        <f t="shared" si="344"/>
        <v>0</v>
      </c>
      <c r="P562" s="572">
        <f t="shared" si="345"/>
        <v>0</v>
      </c>
      <c r="Q562" s="572">
        <v>0</v>
      </c>
      <c r="R562" s="572">
        <v>0</v>
      </c>
      <c r="S562" s="572">
        <v>0</v>
      </c>
      <c r="T562" s="572">
        <f t="shared" si="347"/>
        <v>0</v>
      </c>
      <c r="U562" s="572">
        <f t="shared" si="348"/>
        <v>0</v>
      </c>
    </row>
    <row r="563" spans="1:21" ht="18.75" hidden="1" x14ac:dyDescent="0.25">
      <c r="A563" s="674"/>
      <c r="B563" s="561"/>
      <c r="C563" s="561"/>
      <c r="D563" s="561"/>
      <c r="E563" s="573" t="s">
        <v>21</v>
      </c>
      <c r="F563" s="561"/>
      <c r="G563" s="563"/>
      <c r="H563" s="686" t="s">
        <v>14</v>
      </c>
      <c r="I563" s="683"/>
      <c r="J563" s="683"/>
      <c r="K563" s="684"/>
      <c r="L563" s="567">
        <f ca="1">IFERROR(__xludf.DUMMYFUNCTION("IMPORTRANGE(""https://docs.google.com/spreadsheets/d/1-uDff_7J0KD5mKrp0Vvzr7lt3OU09vwQwhkpOPPYv2Y/edit?usp=sharing"",""งบพรบ!GJ16"")"),0)</f>
        <v>0</v>
      </c>
      <c r="M563" s="568">
        <f ca="1">IFERROR(__xludf.DUMMYFUNCTION("IMPORTRANGE(""https://docs.google.com/spreadsheets/d/1-uDff_7J0KD5mKrp0Vvzr7lt3OU09vwQwhkpOPPYv2Y/edit?usp=sharing"",""งบพรบ!GM16"")"),0)</f>
        <v>0</v>
      </c>
      <c r="N563" s="568">
        <f ca="1">IFERROR(__xludf.DUMMYFUNCTION("IMPORTRANGE(""https://docs.google.com/spreadsheets/d/1-uDff_7J0KD5mKrp0Vvzr7lt3OU09vwQwhkpOPPYv2Y/edit?usp=sharing"",""งบพรบ!GO16"")"),0)</f>
        <v>0</v>
      </c>
      <c r="O563" s="568">
        <f t="shared" ca="1" si="344"/>
        <v>0</v>
      </c>
      <c r="P563" s="568">
        <f t="shared" ca="1" si="345"/>
        <v>0</v>
      </c>
      <c r="Q563" s="568">
        <v>0</v>
      </c>
      <c r="R563" s="568">
        <v>0</v>
      </c>
      <c r="S563" s="568">
        <v>0</v>
      </c>
      <c r="T563" s="568">
        <f t="shared" si="347"/>
        <v>0</v>
      </c>
      <c r="U563" s="568">
        <f t="shared" si="348"/>
        <v>0</v>
      </c>
    </row>
    <row r="564" spans="1:21" ht="19.5" hidden="1" x14ac:dyDescent="0.3">
      <c r="A564" s="687"/>
      <c r="B564" s="688"/>
      <c r="C564" s="1034" t="s">
        <v>18</v>
      </c>
      <c r="D564" s="689" t="s">
        <v>38</v>
      </c>
      <c r="E564" s="690"/>
      <c r="F564" s="690"/>
      <c r="G564" s="691"/>
      <c r="H564" s="692"/>
      <c r="I564" s="683"/>
      <c r="J564" s="565"/>
      <c r="K564" s="566"/>
      <c r="L564" s="574"/>
      <c r="M564" s="566"/>
      <c r="N564" s="566"/>
      <c r="O564" s="684"/>
      <c r="P564" s="684"/>
      <c r="Q564" s="566"/>
      <c r="R564" s="566"/>
      <c r="S564" s="566"/>
      <c r="T564" s="684"/>
      <c r="U564" s="684"/>
    </row>
    <row r="565" spans="1:21" ht="12.75" hidden="1" x14ac:dyDescent="0.2">
      <c r="A565" s="973"/>
      <c r="B565" s="974"/>
      <c r="C565" s="961"/>
      <c r="D565" s="974"/>
      <c r="E565" s="961"/>
      <c r="F565" s="974"/>
      <c r="G565" s="975"/>
      <c r="H565" s="975"/>
      <c r="I565" s="963"/>
      <c r="J565" s="963"/>
      <c r="K565" s="964"/>
      <c r="L565" s="965"/>
      <c r="M565" s="964"/>
      <c r="N565" s="964"/>
      <c r="O565" s="964"/>
      <c r="P565" s="964"/>
      <c r="Q565" s="964"/>
      <c r="R565" s="964"/>
      <c r="S565" s="964"/>
      <c r="T565" s="964"/>
      <c r="U565" s="964"/>
    </row>
    <row r="566" spans="1:21" ht="12.75" hidden="1" x14ac:dyDescent="0.2">
      <c r="A566" s="973"/>
      <c r="B566" s="974"/>
      <c r="C566" s="961"/>
      <c r="D566" s="974"/>
      <c r="E566" s="961"/>
      <c r="F566" s="974"/>
      <c r="G566" s="975"/>
      <c r="H566" s="975"/>
      <c r="I566" s="963"/>
      <c r="J566" s="963"/>
      <c r="K566" s="964"/>
      <c r="L566" s="965"/>
      <c r="M566" s="964"/>
      <c r="N566" s="964"/>
      <c r="O566" s="964"/>
      <c r="P566" s="964"/>
      <c r="Q566" s="964"/>
      <c r="R566" s="964"/>
      <c r="S566" s="964"/>
      <c r="T566" s="964"/>
      <c r="U566" s="964"/>
    </row>
    <row r="567" spans="1:21" ht="12.75" hidden="1" x14ac:dyDescent="0.2">
      <c r="A567" s="973"/>
      <c r="B567" s="961"/>
      <c r="C567" s="961"/>
      <c r="D567" s="974"/>
      <c r="E567" s="974"/>
      <c r="F567" s="974"/>
      <c r="G567" s="975"/>
      <c r="H567" s="962"/>
      <c r="I567" s="963"/>
      <c r="J567" s="963"/>
      <c r="K567" s="964"/>
      <c r="L567" s="965"/>
      <c r="M567" s="964"/>
      <c r="N567" s="964"/>
      <c r="O567" s="964"/>
      <c r="P567" s="964"/>
      <c r="Q567" s="964"/>
      <c r="R567" s="964"/>
      <c r="S567" s="964"/>
      <c r="T567" s="964"/>
      <c r="U567" s="964"/>
    </row>
    <row r="568" spans="1:21" ht="12.75" hidden="1" x14ac:dyDescent="0.2">
      <c r="A568" s="973"/>
      <c r="B568" s="961"/>
      <c r="C568" s="961"/>
      <c r="D568" s="974"/>
      <c r="E568" s="974"/>
      <c r="F568" s="974"/>
      <c r="G568" s="975"/>
      <c r="H568" s="962"/>
      <c r="I568" s="963"/>
      <c r="J568" s="963"/>
      <c r="K568" s="964"/>
      <c r="L568" s="965"/>
      <c r="M568" s="964"/>
      <c r="N568" s="964"/>
      <c r="O568" s="964"/>
      <c r="P568" s="964"/>
      <c r="Q568" s="964"/>
      <c r="R568" s="964"/>
      <c r="S568" s="964"/>
      <c r="T568" s="964"/>
      <c r="U568" s="964"/>
    </row>
    <row r="569" spans="1:21" ht="12.75" hidden="1" x14ac:dyDescent="0.2">
      <c r="A569" s="973"/>
      <c r="B569" s="961"/>
      <c r="C569" s="961"/>
      <c r="D569" s="974"/>
      <c r="E569" s="974"/>
      <c r="F569" s="974"/>
      <c r="G569" s="975"/>
      <c r="H569" s="962"/>
      <c r="I569" s="963"/>
      <c r="J569" s="963"/>
      <c r="K569" s="964"/>
      <c r="L569" s="965"/>
      <c r="M569" s="964"/>
      <c r="N569" s="964"/>
      <c r="O569" s="964"/>
      <c r="P569" s="964"/>
      <c r="Q569" s="964"/>
      <c r="R569" s="964"/>
      <c r="S569" s="964"/>
      <c r="T569" s="964"/>
      <c r="U569" s="964"/>
    </row>
    <row r="570" spans="1:21" ht="12.75" hidden="1" x14ac:dyDescent="0.2">
      <c r="A570" s="973"/>
      <c r="B570" s="961"/>
      <c r="C570" s="961"/>
      <c r="D570" s="974"/>
      <c r="E570" s="974"/>
      <c r="F570" s="974"/>
      <c r="G570" s="975"/>
      <c r="H570" s="962"/>
      <c r="I570" s="963"/>
      <c r="J570" s="963"/>
      <c r="K570" s="964"/>
      <c r="L570" s="965"/>
      <c r="M570" s="964"/>
      <c r="N570" s="964"/>
      <c r="O570" s="964"/>
      <c r="P570" s="964"/>
      <c r="Q570" s="964"/>
      <c r="R570" s="964"/>
      <c r="S570" s="964"/>
      <c r="T570" s="964"/>
      <c r="U570" s="964"/>
    </row>
    <row r="571" spans="1:21" ht="12.75" hidden="1" x14ac:dyDescent="0.2">
      <c r="A571" s="973"/>
      <c r="B571" s="961"/>
      <c r="C571" s="961"/>
      <c r="D571" s="974"/>
      <c r="E571" s="974"/>
      <c r="F571" s="974"/>
      <c r="G571" s="975"/>
      <c r="H571" s="962"/>
      <c r="I571" s="963"/>
      <c r="J571" s="963"/>
      <c r="K571" s="964"/>
      <c r="L571" s="965"/>
      <c r="M571" s="964"/>
      <c r="N571" s="964"/>
      <c r="O571" s="964"/>
      <c r="P571" s="964"/>
      <c r="Q571" s="964"/>
      <c r="R571" s="964"/>
      <c r="S571" s="964"/>
      <c r="T571" s="964"/>
      <c r="U571" s="964"/>
    </row>
    <row r="572" spans="1:21" ht="12.75" hidden="1" x14ac:dyDescent="0.2">
      <c r="A572" s="973"/>
      <c r="B572" s="961"/>
      <c r="C572" s="961"/>
      <c r="D572" s="974"/>
      <c r="E572" s="974"/>
      <c r="F572" s="974"/>
      <c r="G572" s="975"/>
      <c r="H572" s="962"/>
      <c r="I572" s="963"/>
      <c r="J572" s="963"/>
      <c r="K572" s="964"/>
      <c r="L572" s="965"/>
      <c r="M572" s="964"/>
      <c r="N572" s="964"/>
      <c r="O572" s="964"/>
      <c r="P572" s="964"/>
      <c r="Q572" s="964"/>
      <c r="R572" s="964"/>
      <c r="S572" s="964"/>
      <c r="T572" s="964"/>
      <c r="U572" s="964"/>
    </row>
    <row r="573" spans="1:21" ht="12.75" hidden="1" x14ac:dyDescent="0.2">
      <c r="A573" s="973"/>
      <c r="B573" s="961"/>
      <c r="C573" s="961"/>
      <c r="D573" s="974"/>
      <c r="E573" s="974"/>
      <c r="F573" s="974"/>
      <c r="G573" s="975"/>
      <c r="H573" s="962"/>
      <c r="I573" s="963"/>
      <c r="J573" s="963"/>
      <c r="K573" s="964"/>
      <c r="L573" s="965"/>
      <c r="M573" s="964"/>
      <c r="N573" s="964"/>
      <c r="O573" s="964"/>
      <c r="P573" s="964"/>
      <c r="Q573" s="964"/>
      <c r="R573" s="964"/>
      <c r="S573" s="964"/>
      <c r="T573" s="964"/>
      <c r="U573" s="964"/>
    </row>
    <row r="574" spans="1:21" ht="12.75" hidden="1" x14ac:dyDescent="0.2">
      <c r="A574" s="1027"/>
      <c r="B574" s="966"/>
      <c r="C574" s="966"/>
      <c r="D574" s="1028"/>
      <c r="E574" s="1028"/>
      <c r="F574" s="1028"/>
      <c r="G574" s="1029"/>
      <c r="H574" s="967"/>
      <c r="I574" s="968"/>
      <c r="J574" s="968"/>
      <c r="K574" s="969"/>
      <c r="L574" s="970"/>
      <c r="M574" s="969"/>
      <c r="N574" s="969"/>
      <c r="O574" s="969"/>
      <c r="P574" s="969"/>
      <c r="Q574" s="969"/>
      <c r="R574" s="969"/>
      <c r="S574" s="969"/>
      <c r="T574" s="969"/>
      <c r="U574" s="969"/>
    </row>
    <row r="575" spans="1:21" ht="19.5" hidden="1" x14ac:dyDescent="0.3">
      <c r="A575" s="1006"/>
      <c r="B575" s="1030" t="s">
        <v>212</v>
      </c>
      <c r="C575" s="1008"/>
      <c r="D575" s="1009"/>
      <c r="E575" s="1009"/>
      <c r="F575" s="1009"/>
      <c r="G575" s="1010"/>
      <c r="H575" s="1031" t="s">
        <v>61</v>
      </c>
      <c r="I575" s="1032">
        <f t="shared" ref="I575:J575" si="355">I587</f>
        <v>0</v>
      </c>
      <c r="J575" s="1032">
        <f t="shared" si="355"/>
        <v>0</v>
      </c>
      <c r="K575" s="1033">
        <f>IF(I575&gt;0,J575*100/I575,0)</f>
        <v>0</v>
      </c>
      <c r="L575" s="1014"/>
      <c r="M575" s="1015"/>
      <c r="N575" s="1015"/>
      <c r="O575" s="1015"/>
      <c r="P575" s="1015"/>
      <c r="Q575" s="1015"/>
      <c r="R575" s="1015"/>
      <c r="S575" s="1015"/>
      <c r="T575" s="1015"/>
      <c r="U575" s="1015"/>
    </row>
    <row r="576" spans="1:21" ht="19.5" hidden="1" x14ac:dyDescent="0.3">
      <c r="A576" s="674"/>
      <c r="B576" s="561"/>
      <c r="C576" s="675" t="s">
        <v>18</v>
      </c>
      <c r="D576" s="676" t="s">
        <v>19</v>
      </c>
      <c r="E576" s="561"/>
      <c r="F576" s="561"/>
      <c r="G576" s="563"/>
      <c r="H576" s="677" t="s">
        <v>14</v>
      </c>
      <c r="I576" s="565"/>
      <c r="J576" s="565"/>
      <c r="K576" s="566"/>
      <c r="L576" s="678">
        <f t="shared" ref="L576:N576" ca="1" si="356">L577+L578</f>
        <v>0</v>
      </c>
      <c r="M576" s="679">
        <f t="shared" ca="1" si="356"/>
        <v>0</v>
      </c>
      <c r="N576" s="679">
        <f t="shared" ca="1" si="356"/>
        <v>0</v>
      </c>
      <c r="O576" s="679">
        <f t="shared" ref="O576:O584" ca="1" si="357">IF(L576&gt;0,N576*100/L576,0)</f>
        <v>0</v>
      </c>
      <c r="P576" s="679">
        <f t="shared" ref="P576:P584" ca="1" si="358">IF(M576&gt;0,N576*100/M576,0)</f>
        <v>0</v>
      </c>
      <c r="Q576" s="679">
        <f t="shared" ref="Q576:S576" si="359">Q577+Q578</f>
        <v>0</v>
      </c>
      <c r="R576" s="679">
        <f t="shared" si="359"/>
        <v>0</v>
      </c>
      <c r="S576" s="679">
        <f t="shared" si="359"/>
        <v>0</v>
      </c>
      <c r="T576" s="679">
        <f t="shared" ref="T576:T584" si="360">IF(Q576&gt;0,S576*100/Q576,0)</f>
        <v>0</v>
      </c>
      <c r="U576" s="679">
        <f t="shared" ref="U576:U584" si="361">IF(R576&gt;0,S576*100/R576,0)</f>
        <v>0</v>
      </c>
    </row>
    <row r="577" spans="1:21" ht="18.75" hidden="1" x14ac:dyDescent="0.25">
      <c r="A577" s="674"/>
      <c r="B577" s="718"/>
      <c r="C577" s="561"/>
      <c r="D577" s="561"/>
      <c r="E577" s="569" t="s">
        <v>20</v>
      </c>
      <c r="F577" s="561"/>
      <c r="G577" s="563"/>
      <c r="H577" s="680" t="s">
        <v>14</v>
      </c>
      <c r="I577" s="565"/>
      <c r="J577" s="565"/>
      <c r="K577" s="566"/>
      <c r="L577" s="571">
        <f t="shared" ref="L577:N578" si="362">L580+L583</f>
        <v>0</v>
      </c>
      <c r="M577" s="572">
        <f t="shared" si="362"/>
        <v>0</v>
      </c>
      <c r="N577" s="572">
        <f t="shared" si="362"/>
        <v>0</v>
      </c>
      <c r="O577" s="572">
        <f t="shared" si="357"/>
        <v>0</v>
      </c>
      <c r="P577" s="572">
        <f t="shared" si="358"/>
        <v>0</v>
      </c>
      <c r="Q577" s="572">
        <f t="shared" ref="Q577:S578" si="363">Q580+Q583</f>
        <v>0</v>
      </c>
      <c r="R577" s="572">
        <f t="shared" si="363"/>
        <v>0</v>
      </c>
      <c r="S577" s="572">
        <f t="shared" si="363"/>
        <v>0</v>
      </c>
      <c r="T577" s="572">
        <f t="shared" si="360"/>
        <v>0</v>
      </c>
      <c r="U577" s="572">
        <f t="shared" si="361"/>
        <v>0</v>
      </c>
    </row>
    <row r="578" spans="1:21" ht="18.75" hidden="1" x14ac:dyDescent="0.25">
      <c r="A578" s="674"/>
      <c r="B578" s="561"/>
      <c r="C578" s="718"/>
      <c r="D578" s="561"/>
      <c r="E578" s="765" t="s">
        <v>21</v>
      </c>
      <c r="F578" s="561"/>
      <c r="G578" s="563"/>
      <c r="H578" s="681" t="s">
        <v>14</v>
      </c>
      <c r="I578" s="565"/>
      <c r="J578" s="565"/>
      <c r="K578" s="566"/>
      <c r="L578" s="567">
        <f t="shared" ca="1" si="362"/>
        <v>0</v>
      </c>
      <c r="M578" s="568">
        <f t="shared" ca="1" si="362"/>
        <v>0</v>
      </c>
      <c r="N578" s="568">
        <f t="shared" ca="1" si="362"/>
        <v>0</v>
      </c>
      <c r="O578" s="568">
        <f t="shared" ca="1" si="357"/>
        <v>0</v>
      </c>
      <c r="P578" s="568">
        <f t="shared" ca="1" si="358"/>
        <v>0</v>
      </c>
      <c r="Q578" s="568">
        <f t="shared" si="363"/>
        <v>0</v>
      </c>
      <c r="R578" s="568">
        <f t="shared" si="363"/>
        <v>0</v>
      </c>
      <c r="S578" s="568">
        <f t="shared" si="363"/>
        <v>0</v>
      </c>
      <c r="T578" s="568">
        <f t="shared" si="360"/>
        <v>0</v>
      </c>
      <c r="U578" s="568">
        <f t="shared" si="361"/>
        <v>0</v>
      </c>
    </row>
    <row r="579" spans="1:21" ht="18.75" hidden="1" x14ac:dyDescent="0.25">
      <c r="A579" s="674"/>
      <c r="B579" s="561"/>
      <c r="C579" s="718"/>
      <c r="D579" s="562" t="s">
        <v>22</v>
      </c>
      <c r="E579" s="718"/>
      <c r="F579" s="561"/>
      <c r="G579" s="563"/>
      <c r="H579" s="682" t="s">
        <v>14</v>
      </c>
      <c r="I579" s="683"/>
      <c r="J579" s="683"/>
      <c r="K579" s="684"/>
      <c r="L579" s="567">
        <f t="shared" ref="L579:N579" ca="1" si="364">L580+L581</f>
        <v>0</v>
      </c>
      <c r="M579" s="568">
        <f t="shared" ca="1" si="364"/>
        <v>0</v>
      </c>
      <c r="N579" s="568">
        <f t="shared" ca="1" si="364"/>
        <v>0</v>
      </c>
      <c r="O579" s="568">
        <f t="shared" ca="1" si="357"/>
        <v>0</v>
      </c>
      <c r="P579" s="568">
        <f t="shared" ca="1" si="358"/>
        <v>0</v>
      </c>
      <c r="Q579" s="568">
        <f t="shared" ref="Q579:S579" si="365">Q580+Q581</f>
        <v>0</v>
      </c>
      <c r="R579" s="568">
        <f t="shared" si="365"/>
        <v>0</v>
      </c>
      <c r="S579" s="568">
        <f t="shared" si="365"/>
        <v>0</v>
      </c>
      <c r="T579" s="568">
        <f t="shared" si="360"/>
        <v>0</v>
      </c>
      <c r="U579" s="568">
        <f t="shared" si="361"/>
        <v>0</v>
      </c>
    </row>
    <row r="580" spans="1:21" ht="18.75" hidden="1" x14ac:dyDescent="0.25">
      <c r="A580" s="674"/>
      <c r="B580" s="561"/>
      <c r="C580" s="561"/>
      <c r="D580" s="561"/>
      <c r="E580" s="569" t="s">
        <v>36</v>
      </c>
      <c r="F580" s="561"/>
      <c r="G580" s="563"/>
      <c r="H580" s="685" t="s">
        <v>14</v>
      </c>
      <c r="I580" s="683"/>
      <c r="J580" s="683"/>
      <c r="K580" s="684"/>
      <c r="L580" s="571">
        <v>0</v>
      </c>
      <c r="M580" s="572">
        <v>0</v>
      </c>
      <c r="N580" s="572">
        <v>0</v>
      </c>
      <c r="O580" s="572">
        <f t="shared" si="357"/>
        <v>0</v>
      </c>
      <c r="P580" s="572">
        <f t="shared" si="358"/>
        <v>0</v>
      </c>
      <c r="Q580" s="572">
        <v>0</v>
      </c>
      <c r="R580" s="572">
        <v>0</v>
      </c>
      <c r="S580" s="572">
        <v>0</v>
      </c>
      <c r="T580" s="572">
        <f t="shared" si="360"/>
        <v>0</v>
      </c>
      <c r="U580" s="572">
        <f t="shared" si="361"/>
        <v>0</v>
      </c>
    </row>
    <row r="581" spans="1:21" ht="18.75" hidden="1" x14ac:dyDescent="0.25">
      <c r="A581" s="674"/>
      <c r="B581" s="561"/>
      <c r="C581" s="561"/>
      <c r="D581" s="561"/>
      <c r="E581" s="573" t="s">
        <v>37</v>
      </c>
      <c r="F581" s="561"/>
      <c r="G581" s="563"/>
      <c r="H581" s="682" t="s">
        <v>14</v>
      </c>
      <c r="I581" s="683"/>
      <c r="J581" s="683"/>
      <c r="K581" s="684"/>
      <c r="L581" s="567">
        <f ca="1">IFERROR(__xludf.DUMMYFUNCTION("IMPORTRANGE(""https://docs.google.com/spreadsheets/d/1-uDff_7J0KD5mKrp0Vvzr7lt3OU09vwQwhkpOPPYv2Y/edit?usp=sharing"",""งบพรบ!GQ16"")"),0)</f>
        <v>0</v>
      </c>
      <c r="M581" s="568">
        <f ca="1">IFERROR(__xludf.DUMMYFUNCTION("IMPORTRANGE(""https://docs.google.com/spreadsheets/d/1-uDff_7J0KD5mKrp0Vvzr7lt3OU09vwQwhkpOPPYv2Y/edit?usp=sharing"",""งบพรบ!GV16"")"),0)</f>
        <v>0</v>
      </c>
      <c r="N581" s="568">
        <f ca="1">IFERROR(__xludf.DUMMYFUNCTION("IMPORTRANGE(""https://docs.google.com/spreadsheets/d/1-uDff_7J0KD5mKrp0Vvzr7lt3OU09vwQwhkpOPPYv2Y/edit?usp=sharing"",""งบพรบ!GX16"")"),0)</f>
        <v>0</v>
      </c>
      <c r="O581" s="568">
        <f t="shared" ca="1" si="357"/>
        <v>0</v>
      </c>
      <c r="P581" s="568">
        <f t="shared" ca="1" si="358"/>
        <v>0</v>
      </c>
      <c r="Q581" s="568">
        <v>0</v>
      </c>
      <c r="R581" s="568">
        <v>0</v>
      </c>
      <c r="S581" s="568">
        <v>0</v>
      </c>
      <c r="T581" s="568">
        <f t="shared" si="360"/>
        <v>0</v>
      </c>
      <c r="U581" s="568">
        <f t="shared" si="361"/>
        <v>0</v>
      </c>
    </row>
    <row r="582" spans="1:21" ht="18.75" hidden="1" x14ac:dyDescent="0.25">
      <c r="A582" s="674"/>
      <c r="B582" s="561"/>
      <c r="C582" s="561"/>
      <c r="D582" s="562" t="s">
        <v>23</v>
      </c>
      <c r="E582" s="561"/>
      <c r="F582" s="561"/>
      <c r="G582" s="563"/>
      <c r="H582" s="686" t="s">
        <v>14</v>
      </c>
      <c r="I582" s="683"/>
      <c r="J582" s="683"/>
      <c r="K582" s="684"/>
      <c r="L582" s="567">
        <f t="shared" ref="L582:N582" ca="1" si="366">L583+L584</f>
        <v>0</v>
      </c>
      <c r="M582" s="568">
        <f t="shared" ca="1" si="366"/>
        <v>0</v>
      </c>
      <c r="N582" s="568">
        <f t="shared" ca="1" si="366"/>
        <v>0</v>
      </c>
      <c r="O582" s="568">
        <f t="shared" ca="1" si="357"/>
        <v>0</v>
      </c>
      <c r="P582" s="568">
        <f t="shared" ca="1" si="358"/>
        <v>0</v>
      </c>
      <c r="Q582" s="568">
        <f t="shared" ref="Q582:S582" si="367">Q583+Q584</f>
        <v>0</v>
      </c>
      <c r="R582" s="568">
        <f t="shared" si="367"/>
        <v>0</v>
      </c>
      <c r="S582" s="568">
        <f t="shared" si="367"/>
        <v>0</v>
      </c>
      <c r="T582" s="568">
        <f t="shared" si="360"/>
        <v>0</v>
      </c>
      <c r="U582" s="568">
        <f t="shared" si="361"/>
        <v>0</v>
      </c>
    </row>
    <row r="583" spans="1:21" ht="18.75" hidden="1" x14ac:dyDescent="0.25">
      <c r="A583" s="674"/>
      <c r="B583" s="561"/>
      <c r="C583" s="561"/>
      <c r="D583" s="561"/>
      <c r="E583" s="569" t="s">
        <v>20</v>
      </c>
      <c r="F583" s="561"/>
      <c r="G583" s="563"/>
      <c r="H583" s="685" t="s">
        <v>14</v>
      </c>
      <c r="I583" s="683"/>
      <c r="J583" s="683"/>
      <c r="K583" s="684"/>
      <c r="L583" s="571">
        <v>0</v>
      </c>
      <c r="M583" s="572">
        <v>0</v>
      </c>
      <c r="N583" s="572">
        <v>0</v>
      </c>
      <c r="O583" s="572">
        <f t="shared" si="357"/>
        <v>0</v>
      </c>
      <c r="P583" s="572">
        <f t="shared" si="358"/>
        <v>0</v>
      </c>
      <c r="Q583" s="572">
        <v>0</v>
      </c>
      <c r="R583" s="572">
        <v>0</v>
      </c>
      <c r="S583" s="572">
        <v>0</v>
      </c>
      <c r="T583" s="572">
        <f t="shared" si="360"/>
        <v>0</v>
      </c>
      <c r="U583" s="572">
        <f t="shared" si="361"/>
        <v>0</v>
      </c>
    </row>
    <row r="584" spans="1:21" ht="18.75" hidden="1" x14ac:dyDescent="0.25">
      <c r="A584" s="674"/>
      <c r="B584" s="561"/>
      <c r="C584" s="561"/>
      <c r="D584" s="561"/>
      <c r="E584" s="573" t="s">
        <v>21</v>
      </c>
      <c r="F584" s="561"/>
      <c r="G584" s="563"/>
      <c r="H584" s="686" t="s">
        <v>14</v>
      </c>
      <c r="I584" s="683"/>
      <c r="J584" s="683"/>
      <c r="K584" s="684"/>
      <c r="L584" s="567">
        <f ca="1">IFERROR(__xludf.DUMMYFUNCTION("IMPORTRANGE(""https://docs.google.com/spreadsheets/d/1-uDff_7J0KD5mKrp0Vvzr7lt3OU09vwQwhkpOPPYv2Y/edit?usp=sharing"",""งบพรบ!GT16"")"),0)</f>
        <v>0</v>
      </c>
      <c r="M584" s="568">
        <f ca="1">IFERROR(__xludf.DUMMYFUNCTION("IMPORTRANGE(""https://docs.google.com/spreadsheets/d/1-uDff_7J0KD5mKrp0Vvzr7lt3OU09vwQwhkpOPPYv2Y/edit?usp=sharing"",""งบพรบ!GW16"")"),0)</f>
        <v>0</v>
      </c>
      <c r="N584" s="568">
        <f ca="1">IFERROR(__xludf.DUMMYFUNCTION("IMPORTRANGE(""https://docs.google.com/spreadsheets/d/1-uDff_7J0KD5mKrp0Vvzr7lt3OU09vwQwhkpOPPYv2Y/edit?usp=sharing"",""งบพรบ!GY16"")"),0)</f>
        <v>0</v>
      </c>
      <c r="O584" s="568">
        <f t="shared" ca="1" si="357"/>
        <v>0</v>
      </c>
      <c r="P584" s="568">
        <f t="shared" ca="1" si="358"/>
        <v>0</v>
      </c>
      <c r="Q584" s="568">
        <v>0</v>
      </c>
      <c r="R584" s="568">
        <v>0</v>
      </c>
      <c r="S584" s="568">
        <v>0</v>
      </c>
      <c r="T584" s="568">
        <f t="shared" si="360"/>
        <v>0</v>
      </c>
      <c r="U584" s="568">
        <f t="shared" si="361"/>
        <v>0</v>
      </c>
    </row>
    <row r="585" spans="1:21" ht="19.5" hidden="1" x14ac:dyDescent="0.3">
      <c r="A585" s="687"/>
      <c r="B585" s="688"/>
      <c r="C585" s="1034" t="s">
        <v>18</v>
      </c>
      <c r="D585" s="689" t="s">
        <v>38</v>
      </c>
      <c r="E585" s="690"/>
      <c r="F585" s="690"/>
      <c r="G585" s="691"/>
      <c r="H585" s="692"/>
      <c r="I585" s="683"/>
      <c r="J585" s="565"/>
      <c r="K585" s="566"/>
      <c r="L585" s="574"/>
      <c r="M585" s="566"/>
      <c r="N585" s="566"/>
      <c r="O585" s="684"/>
      <c r="P585" s="684"/>
      <c r="Q585" s="566"/>
      <c r="R585" s="566"/>
      <c r="S585" s="566"/>
      <c r="T585" s="684"/>
      <c r="U585" s="684"/>
    </row>
    <row r="586" spans="1:21" ht="12.75" hidden="1" x14ac:dyDescent="0.2">
      <c r="A586" s="973"/>
      <c r="B586" s="974"/>
      <c r="C586" s="961"/>
      <c r="D586" s="974"/>
      <c r="E586" s="961"/>
      <c r="F586" s="974"/>
      <c r="G586" s="975"/>
      <c r="H586" s="975"/>
      <c r="I586" s="963"/>
      <c r="J586" s="963"/>
      <c r="K586" s="964"/>
      <c r="L586" s="965"/>
      <c r="M586" s="964"/>
      <c r="N586" s="964"/>
      <c r="O586" s="964"/>
      <c r="P586" s="964"/>
      <c r="Q586" s="964"/>
      <c r="R586" s="964"/>
      <c r="S586" s="964"/>
      <c r="T586" s="964"/>
      <c r="U586" s="964"/>
    </row>
    <row r="587" spans="1:21" ht="12.75" hidden="1" x14ac:dyDescent="0.2">
      <c r="A587" s="973"/>
      <c r="B587" s="974"/>
      <c r="C587" s="961"/>
      <c r="D587" s="974"/>
      <c r="E587" s="961"/>
      <c r="F587" s="974"/>
      <c r="G587" s="975"/>
      <c r="H587" s="975"/>
      <c r="I587" s="963"/>
      <c r="J587" s="963"/>
      <c r="K587" s="964"/>
      <c r="L587" s="965"/>
      <c r="M587" s="964"/>
      <c r="N587" s="964"/>
      <c r="O587" s="964"/>
      <c r="P587" s="964"/>
      <c r="Q587" s="964"/>
      <c r="R587" s="964"/>
      <c r="S587" s="964"/>
      <c r="T587" s="964"/>
      <c r="U587" s="964"/>
    </row>
    <row r="588" spans="1:21" ht="12.75" hidden="1" x14ac:dyDescent="0.2">
      <c r="A588" s="973"/>
      <c r="B588" s="961"/>
      <c r="C588" s="961"/>
      <c r="D588" s="974"/>
      <c r="E588" s="974"/>
      <c r="F588" s="974"/>
      <c r="G588" s="975"/>
      <c r="H588" s="962"/>
      <c r="I588" s="963"/>
      <c r="J588" s="963"/>
      <c r="K588" s="964"/>
      <c r="L588" s="965"/>
      <c r="M588" s="964"/>
      <c r="N588" s="964"/>
      <c r="O588" s="964"/>
      <c r="P588" s="964"/>
      <c r="Q588" s="964"/>
      <c r="R588" s="964"/>
      <c r="S588" s="964"/>
      <c r="T588" s="964"/>
      <c r="U588" s="964"/>
    </row>
    <row r="589" spans="1:21" ht="12.75" hidden="1" x14ac:dyDescent="0.2">
      <c r="A589" s="973"/>
      <c r="B589" s="961"/>
      <c r="C589" s="961"/>
      <c r="D589" s="974"/>
      <c r="E589" s="974"/>
      <c r="F589" s="974"/>
      <c r="G589" s="975"/>
      <c r="H589" s="962"/>
      <c r="I589" s="963"/>
      <c r="J589" s="963"/>
      <c r="K589" s="964"/>
      <c r="L589" s="965"/>
      <c r="M589" s="964"/>
      <c r="N589" s="964"/>
      <c r="O589" s="964"/>
      <c r="P589" s="964"/>
      <c r="Q589" s="964"/>
      <c r="R589" s="964"/>
      <c r="S589" s="964"/>
      <c r="T589" s="964"/>
      <c r="U589" s="964"/>
    </row>
    <row r="590" spans="1:21" ht="12.75" hidden="1" x14ac:dyDescent="0.2">
      <c r="A590" s="973"/>
      <c r="B590" s="961"/>
      <c r="C590" s="961"/>
      <c r="D590" s="974"/>
      <c r="E590" s="974"/>
      <c r="F590" s="974"/>
      <c r="G590" s="975"/>
      <c r="H590" s="962"/>
      <c r="I590" s="963"/>
      <c r="J590" s="963"/>
      <c r="K590" s="964"/>
      <c r="L590" s="965"/>
      <c r="M590" s="964"/>
      <c r="N590" s="964"/>
      <c r="O590" s="964"/>
      <c r="P590" s="964"/>
      <c r="Q590" s="964"/>
      <c r="R590" s="964"/>
      <c r="S590" s="964"/>
      <c r="T590" s="964"/>
      <c r="U590" s="964"/>
    </row>
    <row r="591" spans="1:21" ht="12.75" hidden="1" x14ac:dyDescent="0.2">
      <c r="A591" s="973"/>
      <c r="B591" s="961"/>
      <c r="C591" s="961"/>
      <c r="D591" s="974"/>
      <c r="E591" s="974"/>
      <c r="F591" s="974"/>
      <c r="G591" s="975"/>
      <c r="H591" s="962"/>
      <c r="I591" s="963"/>
      <c r="J591" s="963"/>
      <c r="K591" s="964"/>
      <c r="L591" s="965"/>
      <c r="M591" s="964"/>
      <c r="N591" s="964"/>
      <c r="O591" s="964"/>
      <c r="P591" s="964"/>
      <c r="Q591" s="964"/>
      <c r="R591" s="964"/>
      <c r="S591" s="964"/>
      <c r="T591" s="964"/>
      <c r="U591" s="964"/>
    </row>
    <row r="592" spans="1:21" ht="12.75" hidden="1" x14ac:dyDescent="0.2">
      <c r="A592" s="973"/>
      <c r="B592" s="961"/>
      <c r="C592" s="961"/>
      <c r="D592" s="974"/>
      <c r="E592" s="974"/>
      <c r="F592" s="974"/>
      <c r="G592" s="975"/>
      <c r="H592" s="962"/>
      <c r="I592" s="963"/>
      <c r="J592" s="963"/>
      <c r="K592" s="964"/>
      <c r="L592" s="965"/>
      <c r="M592" s="964"/>
      <c r="N592" s="964"/>
      <c r="O592" s="964"/>
      <c r="P592" s="964"/>
      <c r="Q592" s="964"/>
      <c r="R592" s="964"/>
      <c r="S592" s="964"/>
      <c r="T592" s="964"/>
      <c r="U592" s="964"/>
    </row>
    <row r="593" spans="1:21" ht="12.75" hidden="1" x14ac:dyDescent="0.2">
      <c r="A593" s="973"/>
      <c r="B593" s="961"/>
      <c r="C593" s="961"/>
      <c r="D593" s="974"/>
      <c r="E593" s="974"/>
      <c r="F593" s="974"/>
      <c r="G593" s="975"/>
      <c r="H593" s="962"/>
      <c r="I593" s="963"/>
      <c r="J593" s="963"/>
      <c r="K593" s="964"/>
      <c r="L593" s="965"/>
      <c r="M593" s="964"/>
      <c r="N593" s="964"/>
      <c r="O593" s="964"/>
      <c r="P593" s="964"/>
      <c r="Q593" s="964"/>
      <c r="R593" s="964"/>
      <c r="S593" s="964"/>
      <c r="T593" s="964"/>
      <c r="U593" s="964"/>
    </row>
    <row r="594" spans="1:21" ht="12.75" hidden="1" x14ac:dyDescent="0.2">
      <c r="A594" s="973"/>
      <c r="B594" s="961"/>
      <c r="C594" s="961"/>
      <c r="D594" s="974"/>
      <c r="E594" s="974"/>
      <c r="F594" s="974"/>
      <c r="G594" s="975"/>
      <c r="H594" s="962"/>
      <c r="I594" s="963"/>
      <c r="J594" s="963"/>
      <c r="K594" s="964"/>
      <c r="L594" s="965"/>
      <c r="M594" s="964"/>
      <c r="N594" s="964"/>
      <c r="O594" s="964"/>
      <c r="P594" s="964"/>
      <c r="Q594" s="964"/>
      <c r="R594" s="964"/>
      <c r="S594" s="964"/>
      <c r="T594" s="964"/>
      <c r="U594" s="964"/>
    </row>
    <row r="595" spans="1:21" ht="12.75" hidden="1" x14ac:dyDescent="0.2">
      <c r="A595" s="1027"/>
      <c r="B595" s="966"/>
      <c r="C595" s="966"/>
      <c r="D595" s="1028"/>
      <c r="E595" s="1028"/>
      <c r="F595" s="1028"/>
      <c r="G595" s="1029"/>
      <c r="H595" s="967"/>
      <c r="I595" s="968"/>
      <c r="J595" s="968"/>
      <c r="K595" s="969"/>
      <c r="L595" s="970"/>
      <c r="M595" s="969"/>
      <c r="N595" s="969"/>
      <c r="O595" s="969"/>
      <c r="P595" s="969"/>
      <c r="Q595" s="969"/>
      <c r="R595" s="969"/>
      <c r="S595" s="969"/>
      <c r="T595" s="969"/>
      <c r="U595" s="969"/>
    </row>
    <row r="596" spans="1:21" s="1201" customFormat="1" ht="19.5" x14ac:dyDescent="0.3">
      <c r="A596" s="1194" t="s">
        <v>213</v>
      </c>
      <c r="B596" s="1195"/>
      <c r="C596" s="1196"/>
      <c r="D596" s="1195"/>
      <c r="E596" s="1195"/>
      <c r="F596" s="1195"/>
      <c r="G596" s="1195"/>
      <c r="H596" s="1197"/>
      <c r="I596" s="1198"/>
      <c r="J596" s="1198"/>
      <c r="K596" s="1199"/>
      <c r="L596" s="1200"/>
      <c r="M596" s="1200"/>
      <c r="N596" s="1200"/>
      <c r="O596" s="1200"/>
      <c r="P596" s="1200"/>
      <c r="Q596" s="1200"/>
      <c r="R596" s="1200"/>
      <c r="S596" s="1200"/>
      <c r="T596" s="1200"/>
      <c r="U596" s="1200"/>
    </row>
    <row r="597" spans="1:21" s="1201" customFormat="1" ht="19.5" x14ac:dyDescent="0.3">
      <c r="A597" s="1202"/>
      <c r="B597" s="1203" t="s">
        <v>214</v>
      </c>
      <c r="C597" s="1204"/>
      <c r="D597" s="1205"/>
      <c r="E597" s="1206"/>
      <c r="F597" s="1206"/>
      <c r="G597" s="1206"/>
      <c r="H597" s="1207" t="s">
        <v>99</v>
      </c>
      <c r="I597" s="1208"/>
      <c r="J597" s="1209"/>
      <c r="K597" s="1210"/>
      <c r="L597" s="1211"/>
      <c r="M597" s="1210"/>
      <c r="N597" s="1210"/>
      <c r="O597" s="1210"/>
      <c r="P597" s="1210"/>
      <c r="Q597" s="1210"/>
      <c r="R597" s="1210"/>
      <c r="S597" s="1210"/>
      <c r="T597" s="1210"/>
      <c r="U597" s="1210"/>
    </row>
    <row r="598" spans="1:21" s="1201" customFormat="1" ht="19.5" x14ac:dyDescent="0.3">
      <c r="A598" s="1212"/>
      <c r="B598" s="1213" t="s">
        <v>215</v>
      </c>
      <c r="C598" s="1205"/>
      <c r="D598" s="1206"/>
      <c r="E598" s="1206"/>
      <c r="F598" s="1206"/>
      <c r="G598" s="1214"/>
      <c r="H598" s="1215" t="s">
        <v>35</v>
      </c>
      <c r="I598" s="1209"/>
      <c r="J598" s="1209"/>
      <c r="K598" s="1210"/>
      <c r="L598" s="1211"/>
      <c r="M598" s="1210"/>
      <c r="N598" s="1210"/>
      <c r="O598" s="1210"/>
      <c r="P598" s="1210"/>
      <c r="Q598" s="1210"/>
      <c r="R598" s="1210"/>
      <c r="S598" s="1210"/>
      <c r="T598" s="1210"/>
      <c r="U598" s="1210"/>
    </row>
    <row r="599" spans="1:21" s="1201" customFormat="1" ht="19.5" x14ac:dyDescent="0.3">
      <c r="A599" s="1216"/>
      <c r="B599" s="1177"/>
      <c r="C599" s="1217" t="s">
        <v>18</v>
      </c>
      <c r="D599" s="1334" t="s">
        <v>19</v>
      </c>
      <c r="E599" s="1311"/>
      <c r="F599" s="1311"/>
      <c r="G599" s="1312"/>
      <c r="H599" s="1171" t="s">
        <v>14</v>
      </c>
      <c r="I599" s="1182"/>
      <c r="J599" s="1182"/>
      <c r="K599" s="1175"/>
      <c r="L599" s="1174">
        <f t="shared" ref="L599:N599" ca="1" si="368">L600+L601</f>
        <v>10850</v>
      </c>
      <c r="M599" s="1176">
        <f t="shared" ca="1" si="368"/>
        <v>0</v>
      </c>
      <c r="N599" s="1176">
        <f t="shared" ca="1" si="368"/>
        <v>0</v>
      </c>
      <c r="O599" s="1176">
        <f t="shared" ref="O599:O607" ca="1" si="369">IF(L599&gt;0,N599*100/L599,0)</f>
        <v>0</v>
      </c>
      <c r="P599" s="1176">
        <f t="shared" ref="P599:P607" ca="1" si="370">IF(M599&gt;0,N599*100/M599,0)</f>
        <v>0</v>
      </c>
      <c r="Q599" s="1176">
        <f t="shared" ref="Q599:S599" ca="1" si="371">Q600+Q601</f>
        <v>0</v>
      </c>
      <c r="R599" s="1176">
        <f t="shared" ca="1" si="371"/>
        <v>0</v>
      </c>
      <c r="S599" s="1176">
        <f t="shared" ca="1" si="371"/>
        <v>0</v>
      </c>
      <c r="T599" s="1176">
        <f t="shared" ref="T599:T607" ca="1" si="372">IF(Q599&gt;0,S599*100/Q599,0)</f>
        <v>0</v>
      </c>
      <c r="U599" s="1176">
        <f t="shared" ref="U599:U607" ca="1" si="373">IF(R599&gt;0,S599*100/R599,0)</f>
        <v>0</v>
      </c>
    </row>
    <row r="600" spans="1:21" s="1201" customFormat="1" ht="18.75" x14ac:dyDescent="0.25">
      <c r="A600" s="1216"/>
      <c r="B600" s="1177"/>
      <c r="C600" s="1177"/>
      <c r="D600" s="623"/>
      <c r="E600" s="1178" t="s">
        <v>158</v>
      </c>
      <c r="F600" s="1167"/>
      <c r="G600" s="1170"/>
      <c r="H600" s="1179" t="s">
        <v>14</v>
      </c>
      <c r="I600" s="1182"/>
      <c r="J600" s="1182"/>
      <c r="K600" s="1175"/>
      <c r="L600" s="1180">
        <f t="shared" ref="L600:N601" si="374">L603+L606</f>
        <v>0</v>
      </c>
      <c r="M600" s="1181">
        <f t="shared" si="374"/>
        <v>0</v>
      </c>
      <c r="N600" s="1181">
        <f t="shared" si="374"/>
        <v>0</v>
      </c>
      <c r="O600" s="1181">
        <f t="shared" si="369"/>
        <v>0</v>
      </c>
      <c r="P600" s="1181">
        <f t="shared" si="370"/>
        <v>0</v>
      </c>
      <c r="Q600" s="1181">
        <f t="shared" ref="Q600:S601" si="375">Q603+Q606</f>
        <v>0</v>
      </c>
      <c r="R600" s="1181">
        <f t="shared" si="375"/>
        <v>0</v>
      </c>
      <c r="S600" s="1181">
        <f t="shared" si="375"/>
        <v>0</v>
      </c>
      <c r="T600" s="1181">
        <f t="shared" si="372"/>
        <v>0</v>
      </c>
      <c r="U600" s="1181">
        <f t="shared" si="373"/>
        <v>0</v>
      </c>
    </row>
    <row r="601" spans="1:21" s="1201" customFormat="1" ht="18.75" x14ac:dyDescent="0.25">
      <c r="A601" s="1216"/>
      <c r="B601" s="1177"/>
      <c r="C601" s="1177"/>
      <c r="D601" s="623"/>
      <c r="E601" s="1178" t="s">
        <v>159</v>
      </c>
      <c r="F601" s="1167"/>
      <c r="G601" s="1170"/>
      <c r="H601" s="1179" t="s">
        <v>14</v>
      </c>
      <c r="I601" s="1182"/>
      <c r="J601" s="1182"/>
      <c r="K601" s="1175"/>
      <c r="L601" s="1180">
        <f t="shared" ca="1" si="374"/>
        <v>10850</v>
      </c>
      <c r="M601" s="1181">
        <f t="shared" ca="1" si="374"/>
        <v>0</v>
      </c>
      <c r="N601" s="1181">
        <f t="shared" ca="1" si="374"/>
        <v>0</v>
      </c>
      <c r="O601" s="1181">
        <f t="shared" ca="1" si="369"/>
        <v>0</v>
      </c>
      <c r="P601" s="1181">
        <f t="shared" ca="1" si="370"/>
        <v>0</v>
      </c>
      <c r="Q601" s="1181">
        <f t="shared" ca="1" si="375"/>
        <v>0</v>
      </c>
      <c r="R601" s="1181">
        <f t="shared" ca="1" si="375"/>
        <v>0</v>
      </c>
      <c r="S601" s="1181">
        <f t="shared" ca="1" si="375"/>
        <v>0</v>
      </c>
      <c r="T601" s="1181">
        <f t="shared" ca="1" si="372"/>
        <v>0</v>
      </c>
      <c r="U601" s="1181">
        <f t="shared" ca="1" si="373"/>
        <v>0</v>
      </c>
    </row>
    <row r="602" spans="1:21" s="1201" customFormat="1" ht="19.5" x14ac:dyDescent="0.3">
      <c r="A602" s="1216"/>
      <c r="B602" s="1177"/>
      <c r="C602" s="1177"/>
      <c r="D602" s="1169" t="s">
        <v>22</v>
      </c>
      <c r="E602" s="1167"/>
      <c r="F602" s="1167"/>
      <c r="G602" s="1170"/>
      <c r="H602" s="1171" t="s">
        <v>14</v>
      </c>
      <c r="I602" s="1172"/>
      <c r="J602" s="1172"/>
      <c r="K602" s="1173"/>
      <c r="L602" s="1180">
        <f t="shared" ref="L602:N602" ca="1" si="376">L603+L604</f>
        <v>10850</v>
      </c>
      <c r="M602" s="1181">
        <f t="shared" ca="1" si="376"/>
        <v>0</v>
      </c>
      <c r="N602" s="1181">
        <f t="shared" ca="1" si="376"/>
        <v>0</v>
      </c>
      <c r="O602" s="1181">
        <f t="shared" ca="1" si="369"/>
        <v>0</v>
      </c>
      <c r="P602" s="1181">
        <f t="shared" ca="1" si="370"/>
        <v>0</v>
      </c>
      <c r="Q602" s="1181">
        <f t="shared" ref="Q602:S602" ca="1" si="377">Q603+Q604</f>
        <v>0</v>
      </c>
      <c r="R602" s="1181">
        <f t="shared" ca="1" si="377"/>
        <v>0</v>
      </c>
      <c r="S602" s="1181">
        <f t="shared" ca="1" si="377"/>
        <v>0</v>
      </c>
      <c r="T602" s="1181">
        <f t="shared" ca="1" si="372"/>
        <v>0</v>
      </c>
      <c r="U602" s="1181">
        <f t="shared" ca="1" si="373"/>
        <v>0</v>
      </c>
    </row>
    <row r="603" spans="1:21" s="1201" customFormat="1" ht="18.75" x14ac:dyDescent="0.25">
      <c r="A603" s="1216"/>
      <c r="B603" s="1177"/>
      <c r="C603" s="1177"/>
      <c r="D603" s="623"/>
      <c r="E603" s="1178" t="s">
        <v>158</v>
      </c>
      <c r="F603" s="1167"/>
      <c r="G603" s="1170"/>
      <c r="H603" s="1179" t="s">
        <v>14</v>
      </c>
      <c r="I603" s="1182"/>
      <c r="J603" s="1182"/>
      <c r="K603" s="1175"/>
      <c r="L603" s="1180">
        <v>0</v>
      </c>
      <c r="M603" s="1181">
        <v>0</v>
      </c>
      <c r="N603" s="1181">
        <v>0</v>
      </c>
      <c r="O603" s="1181">
        <f t="shared" si="369"/>
        <v>0</v>
      </c>
      <c r="P603" s="1181">
        <f t="shared" si="370"/>
        <v>0</v>
      </c>
      <c r="Q603" s="1181">
        <v>0</v>
      </c>
      <c r="R603" s="1181">
        <v>0</v>
      </c>
      <c r="S603" s="1181">
        <v>0</v>
      </c>
      <c r="T603" s="1181">
        <f t="shared" si="372"/>
        <v>0</v>
      </c>
      <c r="U603" s="1181">
        <f t="shared" si="373"/>
        <v>0</v>
      </c>
    </row>
    <row r="604" spans="1:21" s="1201" customFormat="1" ht="18.75" x14ac:dyDescent="0.25">
      <c r="A604" s="1216"/>
      <c r="B604" s="1177"/>
      <c r="C604" s="1177"/>
      <c r="D604" s="623"/>
      <c r="E604" s="1178" t="s">
        <v>159</v>
      </c>
      <c r="F604" s="1167"/>
      <c r="G604" s="1170"/>
      <c r="H604" s="1179" t="s">
        <v>14</v>
      </c>
      <c r="I604" s="1182"/>
      <c r="J604" s="1182"/>
      <c r="K604" s="1175"/>
      <c r="L604" s="1180">
        <f ca="1">IFERROR(__xludf.DUMMYFUNCTION("IMPORTRANGE(""https://docs.google.com/spreadsheets/d/1-uDff_7J0KD5mKrp0Vvzr7lt3OU09vwQwhkpOPPYv2Y/edit?usp=sharing"",""งบพรบ!HK16"")"),10850)</f>
        <v>10850</v>
      </c>
      <c r="M604" s="1181">
        <f ca="1">IFERROR(__xludf.DUMMYFUNCTION("IMPORTRANGE(""https://docs.google.com/spreadsheets/d/1-uDff_7J0KD5mKrp0Vvzr7lt3OU09vwQwhkpOPPYv2Y/edit?usp=sharing"",""งบพรบ!HP16"")"),0)</f>
        <v>0</v>
      </c>
      <c r="N604" s="1181">
        <f ca="1">IFERROR(__xludf.DUMMYFUNCTION("IMPORTRANGE(""https://docs.google.com/spreadsheets/d/1-uDff_7J0KD5mKrp0Vvzr7lt3OU09vwQwhkpOPPYv2Y/edit?usp=sharing"",""งบพรบ!HR16"")"),0)</f>
        <v>0</v>
      </c>
      <c r="O604" s="1181">
        <f t="shared" ca="1" si="369"/>
        <v>0</v>
      </c>
      <c r="P604" s="1181">
        <f t="shared" ca="1" si="370"/>
        <v>0</v>
      </c>
      <c r="Q604" s="1181">
        <f ca="1">IFERROR(__xludf.DUMMYFUNCTION("IMPORTRANGE(""https://docs.google.com/spreadsheets/d/1ItG2mGa2ceCfYo0BwxsXqNm01IGEUdYcSSLTEv9YCik/edit?usp=sharing"",""เบิกจ่ายกองทุน!AV16"")"),0)</f>
        <v>0</v>
      </c>
      <c r="R604" s="1181">
        <f ca="1">IFERROR(__xludf.DUMMYFUNCTION("IMPORTRANGE(""https://docs.google.com/spreadsheets/d/1ItG2mGa2ceCfYo0BwxsXqNm01IGEUdYcSSLTEv9YCik/edit?usp=sharing"",""เบิกจ่ายกองทุน!AW16"")"),0)</f>
        <v>0</v>
      </c>
      <c r="S604" s="1181">
        <f ca="1">IFERROR(__xludf.DUMMYFUNCTION("IMPORTRANGE(""https://docs.google.com/spreadsheets/d/1ItG2mGa2ceCfYo0BwxsXqNm01IGEUdYcSSLTEv9YCik/edit?usp=sharing"",""เบิกจ่ายกองทุน!AX16"")"),0)</f>
        <v>0</v>
      </c>
      <c r="T604" s="1181">
        <f t="shared" ca="1" si="372"/>
        <v>0</v>
      </c>
      <c r="U604" s="1181">
        <f t="shared" ca="1" si="373"/>
        <v>0</v>
      </c>
    </row>
    <row r="605" spans="1:21" s="1201" customFormat="1" ht="19.5" x14ac:dyDescent="0.3">
      <c r="A605" s="1216"/>
      <c r="B605" s="1177"/>
      <c r="C605" s="1177"/>
      <c r="D605" s="1169" t="s">
        <v>23</v>
      </c>
      <c r="E605" s="1177"/>
      <c r="F605" s="1167"/>
      <c r="G605" s="1170"/>
      <c r="H605" s="1218" t="s">
        <v>14</v>
      </c>
      <c r="I605" s="1172"/>
      <c r="J605" s="1172"/>
      <c r="K605" s="1173"/>
      <c r="L605" s="1180">
        <f t="shared" ref="L605:N605" ca="1" si="378">L606+L607</f>
        <v>0</v>
      </c>
      <c r="M605" s="1181">
        <f t="shared" ca="1" si="378"/>
        <v>0</v>
      </c>
      <c r="N605" s="1181">
        <f t="shared" ca="1" si="378"/>
        <v>0</v>
      </c>
      <c r="O605" s="1181">
        <f t="shared" ca="1" si="369"/>
        <v>0</v>
      </c>
      <c r="P605" s="1181">
        <f t="shared" ca="1" si="370"/>
        <v>0</v>
      </c>
      <c r="Q605" s="1181">
        <f t="shared" ref="Q605:S605" ca="1" si="379">Q606+Q607</f>
        <v>0</v>
      </c>
      <c r="R605" s="1181">
        <f t="shared" ca="1" si="379"/>
        <v>0</v>
      </c>
      <c r="S605" s="1181">
        <f t="shared" ca="1" si="379"/>
        <v>0</v>
      </c>
      <c r="T605" s="1181">
        <f t="shared" ca="1" si="372"/>
        <v>0</v>
      </c>
      <c r="U605" s="1181">
        <f t="shared" ca="1" si="373"/>
        <v>0</v>
      </c>
    </row>
    <row r="606" spans="1:21" s="1201" customFormat="1" ht="18.75" x14ac:dyDescent="0.25">
      <c r="A606" s="1216"/>
      <c r="B606" s="1177"/>
      <c r="C606" s="1177"/>
      <c r="D606" s="1177"/>
      <c r="E606" s="1219" t="s">
        <v>20</v>
      </c>
      <c r="F606" s="1167"/>
      <c r="G606" s="1170"/>
      <c r="H606" s="1179" t="s">
        <v>14</v>
      </c>
      <c r="I606" s="1172"/>
      <c r="J606" s="1172"/>
      <c r="K606" s="1173"/>
      <c r="L606" s="1180">
        <v>0</v>
      </c>
      <c r="M606" s="1181">
        <v>0</v>
      </c>
      <c r="N606" s="1181">
        <v>0</v>
      </c>
      <c r="O606" s="1181">
        <f t="shared" si="369"/>
        <v>0</v>
      </c>
      <c r="P606" s="1181">
        <f t="shared" si="370"/>
        <v>0</v>
      </c>
      <c r="Q606" s="1181">
        <v>0</v>
      </c>
      <c r="R606" s="1181">
        <v>0</v>
      </c>
      <c r="S606" s="1181">
        <v>0</v>
      </c>
      <c r="T606" s="1181">
        <f t="shared" si="372"/>
        <v>0</v>
      </c>
      <c r="U606" s="1181">
        <f t="shared" si="373"/>
        <v>0</v>
      </c>
    </row>
    <row r="607" spans="1:21" s="1201" customFormat="1" ht="18.75" x14ac:dyDescent="0.25">
      <c r="A607" s="1216"/>
      <c r="B607" s="1177"/>
      <c r="C607" s="1177"/>
      <c r="D607" s="1167"/>
      <c r="E607" s="1219" t="s">
        <v>21</v>
      </c>
      <c r="F607" s="1167"/>
      <c r="G607" s="1170"/>
      <c r="H607" s="1220" t="s">
        <v>14</v>
      </c>
      <c r="I607" s="1172"/>
      <c r="J607" s="1172"/>
      <c r="K607" s="1173"/>
      <c r="L607" s="1180">
        <f ca="1">IFERROR(__xludf.DUMMYFUNCTION("IMPORTRANGE(""https://docs.google.com/spreadsheets/d/1-uDff_7J0KD5mKrp0Vvzr7lt3OU09vwQwhkpOPPYv2Y/edit?usp=sharing"",""งบพรบ!HN16"")"),0)</f>
        <v>0</v>
      </c>
      <c r="M607" s="1181">
        <f ca="1">IFERROR(__xludf.DUMMYFUNCTION("IMPORTRANGE(""https://docs.google.com/spreadsheets/d/1-uDff_7J0KD5mKrp0Vvzr7lt3OU09vwQwhkpOPPYv2Y/edit?usp=sharing"",""งบพรบ!HQ16"")"),0)</f>
        <v>0</v>
      </c>
      <c r="N607" s="1181">
        <f ca="1">IFERROR(__xludf.DUMMYFUNCTION("IMPORTRANGE(""https://docs.google.com/spreadsheets/d/1-uDff_7J0KD5mKrp0Vvzr7lt3OU09vwQwhkpOPPYv2Y/edit?usp=sharing"",""งบพรบ!HS16"")"),0)</f>
        <v>0</v>
      </c>
      <c r="O607" s="1181">
        <f t="shared" ca="1" si="369"/>
        <v>0</v>
      </c>
      <c r="P607" s="1181">
        <f t="shared" ca="1" si="370"/>
        <v>0</v>
      </c>
      <c r="Q607" s="1181">
        <f ca="1">IFERROR(__xludf.DUMMYFUNCTION("IMPORTRANGE(""https://docs.google.com/spreadsheets/d/1ItG2mGa2ceCfYo0BwxsXqNm01IGEUdYcSSLTEv9YCik/edit?usp=sharing"",""เบิกจ่ายกองทุน!AY16"")"),0)</f>
        <v>0</v>
      </c>
      <c r="R607" s="1181">
        <f ca="1">IFERROR(__xludf.DUMMYFUNCTION("IMPORTRANGE(""https://docs.google.com/spreadsheets/d/1ItG2mGa2ceCfYo0BwxsXqNm01IGEUdYcSSLTEv9YCik/edit?usp=sharing"",""เบิกจ่ายกองทุน!AZ16"")"),0)</f>
        <v>0</v>
      </c>
      <c r="S607" s="1181">
        <f ca="1">IFERROR(__xludf.DUMMYFUNCTION("IMPORTRANGE(""https://docs.google.com/spreadsheets/d/1ItG2mGa2ceCfYo0BwxsXqNm01IGEUdYcSSLTEv9YCik/edit?usp=sharing"",""เบิกจ่ายกองทุน!BA16"")"),0)</f>
        <v>0</v>
      </c>
      <c r="T607" s="1181">
        <f t="shared" ca="1" si="372"/>
        <v>0</v>
      </c>
      <c r="U607" s="1181">
        <f t="shared" ca="1" si="373"/>
        <v>0</v>
      </c>
    </row>
    <row r="608" spans="1:21" s="1201" customFormat="1" ht="19.5" x14ac:dyDescent="0.3">
      <c r="A608" s="1221"/>
      <c r="B608" s="1183"/>
      <c r="C608" s="1217" t="s">
        <v>18</v>
      </c>
      <c r="D608" s="1185" t="s">
        <v>38</v>
      </c>
      <c r="E608" s="1186"/>
      <c r="F608" s="1186"/>
      <c r="G608" s="1187"/>
      <c r="H608" s="1222"/>
      <c r="I608" s="1172"/>
      <c r="J608" s="1172"/>
      <c r="K608" s="1173"/>
      <c r="L608" s="1188"/>
      <c r="M608" s="1175"/>
      <c r="N608" s="1175"/>
      <c r="O608" s="1175"/>
      <c r="P608" s="1175"/>
      <c r="Q608" s="1175"/>
      <c r="R608" s="1175"/>
      <c r="S608" s="1175"/>
      <c r="T608" s="1175"/>
      <c r="U608" s="1175"/>
    </row>
    <row r="609" spans="1:21" s="1201" customFormat="1" ht="18.75" x14ac:dyDescent="0.25">
      <c r="A609" s="1221"/>
      <c r="B609" s="1183"/>
      <c r="C609" s="1183"/>
      <c r="D609" s="1223" t="s">
        <v>216</v>
      </c>
      <c r="E609" s="623"/>
      <c r="F609" s="623"/>
      <c r="G609" s="624"/>
      <c r="H609" s="1179" t="s">
        <v>99</v>
      </c>
      <c r="I609" s="1182"/>
      <c r="J609" s="1182"/>
      <c r="K609" s="1173"/>
      <c r="L609" s="1188"/>
      <c r="M609" s="1175"/>
      <c r="N609" s="1175"/>
      <c r="O609" s="1175"/>
      <c r="P609" s="1175"/>
      <c r="Q609" s="1175"/>
      <c r="R609" s="1175"/>
      <c r="S609" s="1175"/>
      <c r="T609" s="1175"/>
      <c r="U609" s="1175"/>
    </row>
    <row r="610" spans="1:21" s="1201" customFormat="1" ht="19.5" x14ac:dyDescent="0.3">
      <c r="A610" s="1221"/>
      <c r="B610" s="1183"/>
      <c r="C610" s="1183"/>
      <c r="D610" s="1223" t="s">
        <v>217</v>
      </c>
      <c r="E610" s="623"/>
      <c r="F610" s="623"/>
      <c r="G610" s="624"/>
      <c r="H610" s="1171" t="s">
        <v>35</v>
      </c>
      <c r="I610" s="1182"/>
      <c r="J610" s="1182"/>
      <c r="K610" s="1173"/>
      <c r="L610" s="1188"/>
      <c r="M610" s="1175"/>
      <c r="N610" s="1175"/>
      <c r="O610" s="1175"/>
      <c r="P610" s="1175"/>
      <c r="Q610" s="1175"/>
      <c r="R610" s="1175"/>
      <c r="S610" s="1175"/>
      <c r="T610" s="1175"/>
      <c r="U610" s="1175"/>
    </row>
    <row r="611" spans="1:21" s="1201" customFormat="1" ht="18.75" x14ac:dyDescent="0.25">
      <c r="A611" s="1221"/>
      <c r="B611" s="1183"/>
      <c r="C611" s="1183"/>
      <c r="D611" s="1183"/>
      <c r="E611" s="1223" t="s">
        <v>218</v>
      </c>
      <c r="F611" s="623"/>
      <c r="G611" s="624"/>
      <c r="H611" s="1220" t="s">
        <v>35</v>
      </c>
      <c r="I611" s="1182"/>
      <c r="J611" s="1182"/>
      <c r="K611" s="1173"/>
      <c r="L611" s="1188"/>
      <c r="M611" s="1175"/>
      <c r="N611" s="1175"/>
      <c r="O611" s="1175"/>
      <c r="P611" s="1175"/>
      <c r="Q611" s="1175"/>
      <c r="R611" s="1175"/>
      <c r="S611" s="1175"/>
      <c r="T611" s="1175"/>
      <c r="U611" s="1175"/>
    </row>
    <row r="612" spans="1:21" s="1201" customFormat="1" ht="19.5" thickBot="1" x14ac:dyDescent="0.3">
      <c r="A612" s="1224"/>
      <c r="B612" s="1225"/>
      <c r="C612" s="1225"/>
      <c r="D612" s="1225"/>
      <c r="E612" s="1226" t="s">
        <v>219</v>
      </c>
      <c r="F612" s="1227"/>
      <c r="G612" s="1228"/>
      <c r="H612" s="1229" t="s">
        <v>35</v>
      </c>
      <c r="I612" s="1230"/>
      <c r="J612" s="1230"/>
      <c r="K612" s="1231"/>
      <c r="L612" s="1232"/>
      <c r="M612" s="1233"/>
      <c r="N612" s="1233"/>
      <c r="O612" s="1233"/>
      <c r="P612" s="1233"/>
      <c r="Q612" s="1233"/>
      <c r="R612" s="1233"/>
      <c r="S612" s="1233"/>
      <c r="T612" s="1233"/>
      <c r="U612" s="1233"/>
    </row>
    <row r="613" spans="1:21" ht="19.5" x14ac:dyDescent="0.3">
      <c r="A613" s="1053" t="s">
        <v>220</v>
      </c>
      <c r="B613" s="1054"/>
      <c r="C613" s="1054"/>
      <c r="D613" s="1055"/>
      <c r="E613" s="1055"/>
      <c r="F613" s="1055"/>
      <c r="G613" s="1056"/>
      <c r="H613" s="1057"/>
      <c r="I613" s="1058"/>
      <c r="J613" s="1058"/>
      <c r="K613" s="1059"/>
      <c r="L613" s="1060"/>
      <c r="M613" s="1059"/>
      <c r="N613" s="1059"/>
      <c r="O613" s="1059"/>
      <c r="P613" s="1059"/>
      <c r="Q613" s="1059"/>
      <c r="R613" s="1059"/>
      <c r="S613" s="1059"/>
      <c r="T613" s="1059"/>
      <c r="U613" s="1059"/>
    </row>
    <row r="614" spans="1:21" ht="19.5" x14ac:dyDescent="0.3">
      <c r="A614" s="1061"/>
      <c r="B614" s="1062" t="s">
        <v>221</v>
      </c>
      <c r="C614" s="1061"/>
      <c r="D614" s="1063"/>
      <c r="E614" s="1063"/>
      <c r="F614" s="1063"/>
      <c r="G614" s="1064"/>
      <c r="H614" s="1065"/>
      <c r="I614" s="1066"/>
      <c r="J614" s="1066"/>
      <c r="K614" s="1067"/>
      <c r="L614" s="1068"/>
      <c r="M614" s="1067"/>
      <c r="N614" s="1067"/>
      <c r="O614" s="1067"/>
      <c r="P614" s="1067"/>
      <c r="Q614" s="1067"/>
      <c r="R614" s="1067"/>
      <c r="S614" s="1067"/>
      <c r="T614" s="1067"/>
      <c r="U614" s="1067"/>
    </row>
    <row r="615" spans="1:21" ht="19.5" x14ac:dyDescent="0.3">
      <c r="A615" s="1069"/>
      <c r="B615" s="1070" t="s">
        <v>222</v>
      </c>
      <c r="C615" s="1069"/>
      <c r="D615" s="1071"/>
      <c r="E615" s="1071"/>
      <c r="F615" s="1071"/>
      <c r="G615" s="1072"/>
      <c r="H615" s="1073" t="s">
        <v>46</v>
      </c>
      <c r="I615" s="1074">
        <f t="shared" ref="I615:J615" ca="1" si="380">I626</f>
        <v>0</v>
      </c>
      <c r="J615" s="1074">
        <f t="shared" si="380"/>
        <v>0</v>
      </c>
      <c r="K615" s="1075">
        <f ca="1">IF(I615&gt;0,J615*100/I615,0)</f>
        <v>0</v>
      </c>
      <c r="L615" s="1076"/>
      <c r="M615" s="1077"/>
      <c r="N615" s="1077"/>
      <c r="O615" s="1077"/>
      <c r="P615" s="1077"/>
      <c r="Q615" s="1077"/>
      <c r="R615" s="1077"/>
      <c r="S615" s="1077"/>
      <c r="T615" s="1077"/>
      <c r="U615" s="1077"/>
    </row>
    <row r="616" spans="1:21" ht="19.5" x14ac:dyDescent="0.3">
      <c r="A616" s="674"/>
      <c r="B616" s="718"/>
      <c r="C616" s="724" t="s">
        <v>18</v>
      </c>
      <c r="D616" s="1310" t="s">
        <v>19</v>
      </c>
      <c r="E616" s="1311"/>
      <c r="F616" s="1311"/>
      <c r="G616" s="1312"/>
      <c r="H616" s="780" t="s">
        <v>14</v>
      </c>
      <c r="I616" s="565"/>
      <c r="J616" s="565"/>
      <c r="K616" s="566"/>
      <c r="L616" s="678">
        <f t="shared" ref="L616:N616" si="381">L617+L618</f>
        <v>0</v>
      </c>
      <c r="M616" s="679">
        <f t="shared" si="381"/>
        <v>0</v>
      </c>
      <c r="N616" s="679">
        <f t="shared" si="381"/>
        <v>0</v>
      </c>
      <c r="O616" s="679">
        <f t="shared" ref="O616:O624" si="382">IF(L616&gt;0,N616*100/L616,0)</f>
        <v>0</v>
      </c>
      <c r="P616" s="679">
        <f t="shared" ref="P616:P624" si="383">IF(M616&gt;0,N616*100/M616,0)</f>
        <v>0</v>
      </c>
      <c r="Q616" s="679">
        <f t="shared" ref="Q616:S616" ca="1" si="384">Q617+Q618</f>
        <v>1625</v>
      </c>
      <c r="R616" s="679">
        <f t="shared" ca="1" si="384"/>
        <v>1625</v>
      </c>
      <c r="S616" s="679">
        <f t="shared" ca="1" si="384"/>
        <v>1489</v>
      </c>
      <c r="T616" s="679">
        <f t="shared" ref="T616:T624" ca="1" si="385">IF(Q616&gt;0,S616*100/Q616,0)</f>
        <v>91.630769230769232</v>
      </c>
      <c r="U616" s="679">
        <f t="shared" ref="U616:U624" ca="1" si="386">IF(R616&gt;0,S616*100/R616,0)</f>
        <v>91.630769230769232</v>
      </c>
    </row>
    <row r="617" spans="1:21" ht="18.75" x14ac:dyDescent="0.25">
      <c r="A617" s="674"/>
      <c r="B617" s="718"/>
      <c r="C617" s="718"/>
      <c r="D617" s="695"/>
      <c r="E617" s="569" t="s">
        <v>158</v>
      </c>
      <c r="F617" s="561"/>
      <c r="G617" s="563"/>
      <c r="H617" s="685" t="s">
        <v>14</v>
      </c>
      <c r="I617" s="565"/>
      <c r="J617" s="565"/>
      <c r="K617" s="566"/>
      <c r="L617" s="571">
        <f t="shared" ref="L617:N618" si="387">L620+L623</f>
        <v>0</v>
      </c>
      <c r="M617" s="572">
        <f t="shared" si="387"/>
        <v>0</v>
      </c>
      <c r="N617" s="572">
        <f t="shared" si="387"/>
        <v>0</v>
      </c>
      <c r="O617" s="572">
        <f t="shared" si="382"/>
        <v>0</v>
      </c>
      <c r="P617" s="572">
        <f t="shared" si="383"/>
        <v>0</v>
      </c>
      <c r="Q617" s="572">
        <f t="shared" ref="Q617:S618" si="388">Q620+Q623</f>
        <v>0</v>
      </c>
      <c r="R617" s="572">
        <f t="shared" si="388"/>
        <v>0</v>
      </c>
      <c r="S617" s="572">
        <f t="shared" si="388"/>
        <v>0</v>
      </c>
      <c r="T617" s="572">
        <f t="shared" si="385"/>
        <v>0</v>
      </c>
      <c r="U617" s="572">
        <f t="shared" si="386"/>
        <v>0</v>
      </c>
    </row>
    <row r="618" spans="1:21" ht="18.75" x14ac:dyDescent="0.25">
      <c r="A618" s="674"/>
      <c r="B618" s="718"/>
      <c r="C618" s="718"/>
      <c r="D618" s="695"/>
      <c r="E618" s="573" t="s">
        <v>159</v>
      </c>
      <c r="F618" s="561"/>
      <c r="G618" s="563"/>
      <c r="H618" s="682" t="s">
        <v>14</v>
      </c>
      <c r="I618" s="565"/>
      <c r="J618" s="565"/>
      <c r="K618" s="566"/>
      <c r="L618" s="567">
        <f t="shared" si="387"/>
        <v>0</v>
      </c>
      <c r="M618" s="568">
        <f t="shared" si="387"/>
        <v>0</v>
      </c>
      <c r="N618" s="568">
        <f t="shared" si="387"/>
        <v>0</v>
      </c>
      <c r="O618" s="568">
        <f t="shared" si="382"/>
        <v>0</v>
      </c>
      <c r="P618" s="568">
        <f t="shared" si="383"/>
        <v>0</v>
      </c>
      <c r="Q618" s="568">
        <f t="shared" ca="1" si="388"/>
        <v>1625</v>
      </c>
      <c r="R618" s="568">
        <f t="shared" ca="1" si="388"/>
        <v>1625</v>
      </c>
      <c r="S618" s="568">
        <f t="shared" ca="1" si="388"/>
        <v>1489</v>
      </c>
      <c r="T618" s="568">
        <f t="shared" ca="1" si="385"/>
        <v>91.630769230769232</v>
      </c>
      <c r="U618" s="568">
        <f t="shared" ca="1" si="386"/>
        <v>91.630769230769232</v>
      </c>
    </row>
    <row r="619" spans="1:21" ht="18.75" x14ac:dyDescent="0.25">
      <c r="A619" s="674"/>
      <c r="B619" s="718"/>
      <c r="C619" s="718"/>
      <c r="D619" s="562" t="s">
        <v>22</v>
      </c>
      <c r="E619" s="561"/>
      <c r="F619" s="561"/>
      <c r="G619" s="563"/>
      <c r="H619" s="682" t="s">
        <v>14</v>
      </c>
      <c r="I619" s="683"/>
      <c r="J619" s="683"/>
      <c r="K619" s="684"/>
      <c r="L619" s="567">
        <f t="shared" ref="L619:N619" si="389">L620+L621</f>
        <v>0</v>
      </c>
      <c r="M619" s="568">
        <f t="shared" si="389"/>
        <v>0</v>
      </c>
      <c r="N619" s="568">
        <f t="shared" si="389"/>
        <v>0</v>
      </c>
      <c r="O619" s="568">
        <f t="shared" si="382"/>
        <v>0</v>
      </c>
      <c r="P619" s="568">
        <f t="shared" si="383"/>
        <v>0</v>
      </c>
      <c r="Q619" s="568">
        <f t="shared" ref="Q619:S619" ca="1" si="390">Q620+Q621</f>
        <v>1625</v>
      </c>
      <c r="R619" s="568">
        <f t="shared" ca="1" si="390"/>
        <v>1625</v>
      </c>
      <c r="S619" s="568">
        <f t="shared" ca="1" si="390"/>
        <v>1489</v>
      </c>
      <c r="T619" s="568">
        <f t="shared" ca="1" si="385"/>
        <v>91.630769230769232</v>
      </c>
      <c r="U619" s="568">
        <f t="shared" ca="1" si="386"/>
        <v>91.630769230769232</v>
      </c>
    </row>
    <row r="620" spans="1:21" ht="18.75" x14ac:dyDescent="0.25">
      <c r="A620" s="674"/>
      <c r="B620" s="718"/>
      <c r="C620" s="718"/>
      <c r="D620" s="695"/>
      <c r="E620" s="569" t="s">
        <v>158</v>
      </c>
      <c r="F620" s="561"/>
      <c r="G620" s="563"/>
      <c r="H620" s="685" t="s">
        <v>14</v>
      </c>
      <c r="I620" s="565"/>
      <c r="J620" s="565"/>
      <c r="K620" s="566"/>
      <c r="L620" s="571">
        <v>0</v>
      </c>
      <c r="M620" s="572">
        <v>0</v>
      </c>
      <c r="N620" s="572">
        <v>0</v>
      </c>
      <c r="O620" s="572">
        <f t="shared" si="382"/>
        <v>0</v>
      </c>
      <c r="P620" s="572">
        <f t="shared" si="383"/>
        <v>0</v>
      </c>
      <c r="Q620" s="572">
        <v>0</v>
      </c>
      <c r="R620" s="572">
        <v>0</v>
      </c>
      <c r="S620" s="572">
        <v>0</v>
      </c>
      <c r="T620" s="572">
        <f t="shared" si="385"/>
        <v>0</v>
      </c>
      <c r="U620" s="572">
        <f t="shared" si="386"/>
        <v>0</v>
      </c>
    </row>
    <row r="621" spans="1:21" ht="18.75" x14ac:dyDescent="0.25">
      <c r="A621" s="674"/>
      <c r="B621" s="718"/>
      <c r="C621" s="718"/>
      <c r="D621" s="695"/>
      <c r="E621" s="573" t="s">
        <v>159</v>
      </c>
      <c r="F621" s="561"/>
      <c r="G621" s="563"/>
      <c r="H621" s="682" t="s">
        <v>14</v>
      </c>
      <c r="I621" s="565"/>
      <c r="J621" s="565"/>
      <c r="K621" s="566"/>
      <c r="L621" s="567">
        <v>0</v>
      </c>
      <c r="M621" s="568">
        <v>0</v>
      </c>
      <c r="N621" s="568">
        <v>0</v>
      </c>
      <c r="O621" s="568">
        <f t="shared" si="382"/>
        <v>0</v>
      </c>
      <c r="P621" s="568">
        <f t="shared" si="383"/>
        <v>0</v>
      </c>
      <c r="Q621" s="568">
        <f ca="1">IFERROR(__xludf.DUMMYFUNCTION("IMPORTRANGE(""https://docs.google.com/spreadsheets/d/1ItG2mGa2ceCfYo0BwxsXqNm01IGEUdYcSSLTEv9YCik/edit?usp=sharing"",""เบิกจ่ายกองทุน!F16"")"),1625)</f>
        <v>1625</v>
      </c>
      <c r="R621" s="568">
        <f ca="1">IFERROR(__xludf.DUMMYFUNCTION("IMPORTRANGE(""https://docs.google.com/spreadsheets/d/1ItG2mGa2ceCfYo0BwxsXqNm01IGEUdYcSSLTEv9YCik/edit?usp=sharing"",""เบิกจ่ายกองทุน!G16"")"),1625)</f>
        <v>1625</v>
      </c>
      <c r="S621" s="568">
        <f ca="1">IFERROR(__xludf.DUMMYFUNCTION("IMPORTRANGE(""https://docs.google.com/spreadsheets/d/1ItG2mGa2ceCfYo0BwxsXqNm01IGEUdYcSSLTEv9YCik/edit?usp=sharing"",""เบิกจ่ายกองทุน!H16"")"),1489)</f>
        <v>1489</v>
      </c>
      <c r="T621" s="568">
        <f t="shared" ca="1" si="385"/>
        <v>91.630769230769232</v>
      </c>
      <c r="U621" s="568">
        <f t="shared" ca="1" si="386"/>
        <v>91.630769230769232</v>
      </c>
    </row>
    <row r="622" spans="1:21" ht="18.75" x14ac:dyDescent="0.25">
      <c r="A622" s="674"/>
      <c r="B622" s="718"/>
      <c r="C622" s="718"/>
      <c r="D622" s="562" t="s">
        <v>23</v>
      </c>
      <c r="E622" s="561"/>
      <c r="F622" s="561"/>
      <c r="G622" s="563"/>
      <c r="H622" s="686" t="s">
        <v>14</v>
      </c>
      <c r="I622" s="683"/>
      <c r="J622" s="683"/>
      <c r="K622" s="684"/>
      <c r="L622" s="567">
        <f t="shared" ref="L622:N622" si="391">L623+L624</f>
        <v>0</v>
      </c>
      <c r="M622" s="568">
        <f t="shared" si="391"/>
        <v>0</v>
      </c>
      <c r="N622" s="568">
        <f t="shared" si="391"/>
        <v>0</v>
      </c>
      <c r="O622" s="568">
        <f t="shared" si="382"/>
        <v>0</v>
      </c>
      <c r="P622" s="568">
        <f t="shared" si="383"/>
        <v>0</v>
      </c>
      <c r="Q622" s="568">
        <f t="shared" ref="Q622:S622" si="392">Q623+Q624</f>
        <v>0</v>
      </c>
      <c r="R622" s="568">
        <f t="shared" si="392"/>
        <v>0</v>
      </c>
      <c r="S622" s="568">
        <f t="shared" si="392"/>
        <v>0</v>
      </c>
      <c r="T622" s="568">
        <f t="shared" si="385"/>
        <v>0</v>
      </c>
      <c r="U622" s="568">
        <f t="shared" si="386"/>
        <v>0</v>
      </c>
    </row>
    <row r="623" spans="1:21" ht="18.75" x14ac:dyDescent="0.25">
      <c r="A623" s="674"/>
      <c r="B623" s="718"/>
      <c r="C623" s="718"/>
      <c r="D623" s="718"/>
      <c r="E623" s="569" t="s">
        <v>20</v>
      </c>
      <c r="F623" s="561"/>
      <c r="G623" s="563"/>
      <c r="H623" s="685" t="s">
        <v>14</v>
      </c>
      <c r="I623" s="683"/>
      <c r="J623" s="683"/>
      <c r="K623" s="684"/>
      <c r="L623" s="571">
        <v>0</v>
      </c>
      <c r="M623" s="572">
        <v>0</v>
      </c>
      <c r="N623" s="572">
        <v>0</v>
      </c>
      <c r="O623" s="572">
        <f t="shared" si="382"/>
        <v>0</v>
      </c>
      <c r="P623" s="572">
        <f t="shared" si="383"/>
        <v>0</v>
      </c>
      <c r="Q623" s="572">
        <v>0</v>
      </c>
      <c r="R623" s="572">
        <v>0</v>
      </c>
      <c r="S623" s="572">
        <v>0</v>
      </c>
      <c r="T623" s="572">
        <f t="shared" si="385"/>
        <v>0</v>
      </c>
      <c r="U623" s="572">
        <f t="shared" si="386"/>
        <v>0</v>
      </c>
    </row>
    <row r="624" spans="1:21" ht="18.75" x14ac:dyDescent="0.25">
      <c r="A624" s="674"/>
      <c r="B624" s="718"/>
      <c r="C624" s="718"/>
      <c r="D624" s="718"/>
      <c r="E624" s="573" t="s">
        <v>21</v>
      </c>
      <c r="F624" s="561"/>
      <c r="G624" s="563"/>
      <c r="H624" s="686" t="s">
        <v>14</v>
      </c>
      <c r="I624" s="683"/>
      <c r="J624" s="683"/>
      <c r="K624" s="684"/>
      <c r="L624" s="567">
        <v>0</v>
      </c>
      <c r="M624" s="568">
        <v>0</v>
      </c>
      <c r="N624" s="568">
        <v>0</v>
      </c>
      <c r="O624" s="568">
        <f t="shared" si="382"/>
        <v>0</v>
      </c>
      <c r="P624" s="568">
        <f t="shared" si="383"/>
        <v>0</v>
      </c>
      <c r="Q624" s="568">
        <v>0</v>
      </c>
      <c r="R624" s="568">
        <v>0</v>
      </c>
      <c r="S624" s="568">
        <v>0</v>
      </c>
      <c r="T624" s="568">
        <f t="shared" si="385"/>
        <v>0</v>
      </c>
      <c r="U624" s="568">
        <f t="shared" si="386"/>
        <v>0</v>
      </c>
    </row>
    <row r="625" spans="1:21" ht="19.5" x14ac:dyDescent="0.3">
      <c r="A625" s="687"/>
      <c r="B625" s="688"/>
      <c r="C625" s="724" t="s">
        <v>18</v>
      </c>
      <c r="D625" s="1078" t="s">
        <v>38</v>
      </c>
      <c r="E625" s="690"/>
      <c r="F625" s="690"/>
      <c r="G625" s="691"/>
      <c r="H625" s="725"/>
      <c r="I625" s="683"/>
      <c r="J625" s="683"/>
      <c r="K625" s="684"/>
      <c r="L625" s="693"/>
      <c r="M625" s="684"/>
      <c r="N625" s="684"/>
      <c r="O625" s="684"/>
      <c r="P625" s="684"/>
      <c r="Q625" s="684"/>
      <c r="R625" s="684"/>
      <c r="S625" s="684"/>
      <c r="T625" s="684"/>
      <c r="U625" s="684"/>
    </row>
    <row r="626" spans="1:21" ht="19.5" x14ac:dyDescent="0.3">
      <c r="A626" s="687"/>
      <c r="B626" s="688"/>
      <c r="C626" s="688"/>
      <c r="D626" s="1079" t="s">
        <v>223</v>
      </c>
      <c r="E626" s="695"/>
      <c r="F626" s="695"/>
      <c r="G626" s="692"/>
      <c r="H626" s="1080" t="s">
        <v>46</v>
      </c>
      <c r="I626" s="697">
        <f ca="1">IFERROR(__xludf.DUMMYFUNCTION("IMPORTRANGE(""https://docs.google.com/spreadsheets/d/1eHaY18a8A9IcSdp1K8H6x8fbOy06t2VsZHhMHf-1x7Y/edit?usp=sharing"",""แผน!ID16"")"),0)</f>
        <v>0</v>
      </c>
      <c r="J626" s="697">
        <f>J632</f>
        <v>0</v>
      </c>
      <c r="K626" s="679">
        <f ca="1">IF(I626&gt;0,J626*100/I626,0)</f>
        <v>0</v>
      </c>
      <c r="L626" s="693"/>
      <c r="M626" s="684"/>
      <c r="N626" s="684"/>
      <c r="O626" s="684"/>
      <c r="P626" s="684"/>
      <c r="Q626" s="684"/>
      <c r="R626" s="684"/>
      <c r="S626" s="684"/>
      <c r="T626" s="684"/>
      <c r="U626" s="684"/>
    </row>
    <row r="627" spans="1:21" ht="18.75" x14ac:dyDescent="0.25">
      <c r="A627" s="687"/>
      <c r="B627" s="688"/>
      <c r="C627" s="688"/>
      <c r="D627" s="688"/>
      <c r="E627" s="699" t="s">
        <v>224</v>
      </c>
      <c r="F627" s="695"/>
      <c r="G627" s="692"/>
      <c r="H627" s="686" t="s">
        <v>61</v>
      </c>
      <c r="I627" s="708">
        <f ca="1">IFERROR(__xludf.DUMMYFUNCTION("IMPORTRANGE(""https://docs.google.com/spreadsheets/d/1eHaY18a8A9IcSdp1K8H6x8fbOy06t2VsZHhMHf-1x7Y/edit?usp=sharing"",""แผน!IC16"")"),0)</f>
        <v>0</v>
      </c>
      <c r="J627" s="702">
        <v>0</v>
      </c>
      <c r="K627" s="568">
        <f t="shared" ref="K627:K628" ca="1" si="393">IF(I627&gt;0,(J627*100)/I627,0)</f>
        <v>0</v>
      </c>
      <c r="L627" s="693"/>
      <c r="M627" s="684"/>
      <c r="N627" s="684"/>
      <c r="O627" s="684"/>
      <c r="P627" s="684"/>
      <c r="Q627" s="684"/>
      <c r="R627" s="684"/>
      <c r="S627" s="684"/>
      <c r="T627" s="684"/>
      <c r="U627" s="684"/>
    </row>
    <row r="628" spans="1:21" ht="18.75" x14ac:dyDescent="0.25">
      <c r="A628" s="687"/>
      <c r="B628" s="688"/>
      <c r="C628" s="688"/>
      <c r="D628" s="688"/>
      <c r="E628" s="699" t="s">
        <v>225</v>
      </c>
      <c r="F628" s="695"/>
      <c r="G628" s="692"/>
      <c r="H628" s="686" t="s">
        <v>61</v>
      </c>
      <c r="I628" s="708">
        <f ca="1">IFERROR(__xludf.DUMMYFUNCTION("IMPORTRANGE(""https://docs.google.com/spreadsheets/d/1eHaY18a8A9IcSdp1K8H6x8fbOy06t2VsZHhMHf-1x7Y/edit?usp=sharing"",""แผน!IC16"")"),0)</f>
        <v>0</v>
      </c>
      <c r="J628" s="702">
        <v>0</v>
      </c>
      <c r="K628" s="568">
        <f t="shared" ca="1" si="393"/>
        <v>0</v>
      </c>
      <c r="L628" s="693"/>
      <c r="M628" s="684"/>
      <c r="N628" s="684"/>
      <c r="O628" s="684"/>
      <c r="P628" s="684"/>
      <c r="Q628" s="684"/>
      <c r="R628" s="684"/>
      <c r="S628" s="684"/>
      <c r="T628" s="684"/>
      <c r="U628" s="684"/>
    </row>
    <row r="629" spans="1:21" ht="18.75" x14ac:dyDescent="0.25">
      <c r="A629" s="687"/>
      <c r="B629" s="688"/>
      <c r="C629" s="688"/>
      <c r="D629" s="688"/>
      <c r="E629" s="699" t="s">
        <v>226</v>
      </c>
      <c r="F629" s="695"/>
      <c r="G629" s="692"/>
      <c r="H629" s="686" t="s">
        <v>46</v>
      </c>
      <c r="I629" s="565"/>
      <c r="J629" s="702">
        <v>0</v>
      </c>
      <c r="K629" s="568">
        <f t="shared" ref="K629:K631" ca="1" si="394">IF(I$626&gt;0,J629*100/I$626,0)</f>
        <v>0</v>
      </c>
      <c r="L629" s="693"/>
      <c r="M629" s="684"/>
      <c r="N629" s="684"/>
      <c r="O629" s="684"/>
      <c r="P629" s="684"/>
      <c r="Q629" s="684"/>
      <c r="R629" s="684"/>
      <c r="S629" s="684"/>
      <c r="T629" s="684"/>
      <c r="U629" s="684"/>
    </row>
    <row r="630" spans="1:21" ht="18.75" x14ac:dyDescent="0.25">
      <c r="A630" s="687"/>
      <c r="B630" s="688"/>
      <c r="C630" s="688"/>
      <c r="D630" s="688"/>
      <c r="E630" s="699" t="s">
        <v>227</v>
      </c>
      <c r="F630" s="695"/>
      <c r="G630" s="692"/>
      <c r="H630" s="686" t="s">
        <v>46</v>
      </c>
      <c r="I630" s="565"/>
      <c r="J630" s="702">
        <v>0</v>
      </c>
      <c r="K630" s="568">
        <f t="shared" ca="1" si="394"/>
        <v>0</v>
      </c>
      <c r="L630" s="693"/>
      <c r="M630" s="684"/>
      <c r="N630" s="684"/>
      <c r="O630" s="684"/>
      <c r="P630" s="684"/>
      <c r="Q630" s="684"/>
      <c r="R630" s="684"/>
      <c r="S630" s="684"/>
      <c r="T630" s="684"/>
      <c r="U630" s="684"/>
    </row>
    <row r="631" spans="1:21" ht="18.75" x14ac:dyDescent="0.25">
      <c r="A631" s="687"/>
      <c r="B631" s="688"/>
      <c r="C631" s="688"/>
      <c r="D631" s="688"/>
      <c r="E631" s="699" t="s">
        <v>228</v>
      </c>
      <c r="F631" s="695"/>
      <c r="G631" s="692"/>
      <c r="H631" s="686" t="s">
        <v>46</v>
      </c>
      <c r="I631" s="565"/>
      <c r="J631" s="702">
        <v>0</v>
      </c>
      <c r="K631" s="568">
        <f t="shared" ca="1" si="394"/>
        <v>0</v>
      </c>
      <c r="L631" s="693"/>
      <c r="M631" s="684"/>
      <c r="N631" s="684"/>
      <c r="O631" s="684"/>
      <c r="P631" s="684"/>
      <c r="Q631" s="684"/>
      <c r="R631" s="684"/>
      <c r="S631" s="684"/>
      <c r="T631" s="684"/>
      <c r="U631" s="684"/>
    </row>
    <row r="632" spans="1:21" ht="19.5" x14ac:dyDescent="0.3">
      <c r="A632" s="687"/>
      <c r="B632" s="688"/>
      <c r="C632" s="688"/>
      <c r="D632" s="688"/>
      <c r="E632" s="699" t="s">
        <v>229</v>
      </c>
      <c r="F632" s="695"/>
      <c r="G632" s="692"/>
      <c r="H632" s="686" t="s">
        <v>46</v>
      </c>
      <c r="I632" s="565"/>
      <c r="J632" s="697">
        <f>J633+J634</f>
        <v>0</v>
      </c>
      <c r="K632" s="679">
        <f ca="1">IF(I626&gt;0,J632*100/I626,0)</f>
        <v>0</v>
      </c>
      <c r="L632" s="693"/>
      <c r="M632" s="684"/>
      <c r="N632" s="684"/>
      <c r="O632" s="684"/>
      <c r="P632" s="684"/>
      <c r="Q632" s="684"/>
      <c r="R632" s="684"/>
      <c r="S632" s="684"/>
      <c r="T632" s="684"/>
      <c r="U632" s="684"/>
    </row>
    <row r="633" spans="1:21" ht="18.75" x14ac:dyDescent="0.25">
      <c r="A633" s="687"/>
      <c r="B633" s="688"/>
      <c r="C633" s="688"/>
      <c r="D633" s="688"/>
      <c r="E633" s="695"/>
      <c r="F633" s="699" t="s">
        <v>230</v>
      </c>
      <c r="G633" s="692"/>
      <c r="H633" s="686" t="s">
        <v>46</v>
      </c>
      <c r="I633" s="565"/>
      <c r="J633" s="702">
        <v>0</v>
      </c>
      <c r="K633" s="566"/>
      <c r="L633" s="693"/>
      <c r="M633" s="684"/>
      <c r="N633" s="684"/>
      <c r="O633" s="684"/>
      <c r="P633" s="684"/>
      <c r="Q633" s="684"/>
      <c r="R633" s="684"/>
      <c r="S633" s="684"/>
      <c r="T633" s="684"/>
      <c r="U633" s="684"/>
    </row>
    <row r="634" spans="1:21" ht="18.75" x14ac:dyDescent="0.25">
      <c r="A634" s="687"/>
      <c r="B634" s="688"/>
      <c r="C634" s="688"/>
      <c r="D634" s="688"/>
      <c r="E634" s="695"/>
      <c r="F634" s="699" t="s">
        <v>231</v>
      </c>
      <c r="G634" s="692"/>
      <c r="H634" s="686" t="s">
        <v>46</v>
      </c>
      <c r="I634" s="565"/>
      <c r="J634" s="702">
        <v>0</v>
      </c>
      <c r="K634" s="566"/>
      <c r="L634" s="693"/>
      <c r="M634" s="684"/>
      <c r="N634" s="684"/>
      <c r="O634" s="684"/>
      <c r="P634" s="684"/>
      <c r="Q634" s="684"/>
      <c r="R634" s="684"/>
      <c r="S634" s="684"/>
      <c r="T634" s="684"/>
      <c r="U634" s="684"/>
    </row>
    <row r="635" spans="1:21" ht="19.5" x14ac:dyDescent="0.3">
      <c r="A635" s="687"/>
      <c r="B635" s="688"/>
      <c r="C635" s="688"/>
      <c r="D635" s="1079" t="s">
        <v>232</v>
      </c>
      <c r="E635" s="695"/>
      <c r="F635" s="695"/>
      <c r="G635" s="692"/>
      <c r="H635" s="686" t="s">
        <v>46</v>
      </c>
      <c r="I635" s="697">
        <f ca="1">IFERROR(__xludf.DUMMYFUNCTION("IMPORTRANGE(""https://docs.google.com/spreadsheets/d/1eHaY18a8A9IcSdp1K8H6x8fbOy06t2VsZHhMHf-1x7Y/edit?usp=sharing"",""แผน!IE16"")"),0)</f>
        <v>0</v>
      </c>
      <c r="J635" s="697">
        <f>J636</f>
        <v>0</v>
      </c>
      <c r="K635" s="679">
        <f ca="1">IF(I635&gt;0,J635*100/I635,0)</f>
        <v>0</v>
      </c>
      <c r="L635" s="693"/>
      <c r="M635" s="684"/>
      <c r="N635" s="684"/>
      <c r="O635" s="684"/>
      <c r="P635" s="684"/>
      <c r="Q635" s="684"/>
      <c r="R635" s="684"/>
      <c r="S635" s="684"/>
      <c r="T635" s="684"/>
      <c r="U635" s="684"/>
    </row>
    <row r="636" spans="1:21" ht="18.75" x14ac:dyDescent="0.25">
      <c r="A636" s="687"/>
      <c r="B636" s="688"/>
      <c r="C636" s="688"/>
      <c r="D636" s="688"/>
      <c r="E636" s="699" t="s">
        <v>233</v>
      </c>
      <c r="F636" s="695"/>
      <c r="G636" s="692"/>
      <c r="H636" s="686" t="s">
        <v>46</v>
      </c>
      <c r="I636" s="565"/>
      <c r="J636" s="708">
        <f>J637+J638</f>
        <v>0</v>
      </c>
      <c r="K636" s="566"/>
      <c r="L636" s="693"/>
      <c r="M636" s="684"/>
      <c r="N636" s="684"/>
      <c r="O636" s="684"/>
      <c r="P636" s="684"/>
      <c r="Q636" s="684"/>
      <c r="R636" s="684"/>
      <c r="S636" s="684"/>
      <c r="T636" s="684"/>
      <c r="U636" s="684"/>
    </row>
    <row r="637" spans="1:21" ht="18.75" x14ac:dyDescent="0.25">
      <c r="A637" s="687"/>
      <c r="B637" s="688"/>
      <c r="C637" s="688"/>
      <c r="D637" s="688"/>
      <c r="E637" s="695"/>
      <c r="F637" s="699" t="s">
        <v>230</v>
      </c>
      <c r="G637" s="692"/>
      <c r="H637" s="686" t="s">
        <v>46</v>
      </c>
      <c r="I637" s="565"/>
      <c r="J637" s="702">
        <v>0</v>
      </c>
      <c r="K637" s="566"/>
      <c r="L637" s="693"/>
      <c r="M637" s="684"/>
      <c r="N637" s="684"/>
      <c r="O637" s="684"/>
      <c r="P637" s="684"/>
      <c r="Q637" s="684"/>
      <c r="R637" s="684"/>
      <c r="S637" s="684"/>
      <c r="T637" s="684"/>
      <c r="U637" s="684"/>
    </row>
    <row r="638" spans="1:21" ht="18.75" x14ac:dyDescent="0.25">
      <c r="A638" s="687"/>
      <c r="B638" s="688"/>
      <c r="C638" s="688"/>
      <c r="D638" s="688"/>
      <c r="E638" s="695"/>
      <c r="F638" s="699" t="s">
        <v>231</v>
      </c>
      <c r="G638" s="692"/>
      <c r="H638" s="686" t="s">
        <v>46</v>
      </c>
      <c r="I638" s="565"/>
      <c r="J638" s="702">
        <v>0</v>
      </c>
      <c r="K638" s="566"/>
      <c r="L638" s="693"/>
      <c r="M638" s="684"/>
      <c r="N638" s="684"/>
      <c r="O638" s="684"/>
      <c r="P638" s="684"/>
      <c r="Q638" s="684"/>
      <c r="R638" s="684"/>
      <c r="S638" s="684"/>
      <c r="T638" s="684"/>
      <c r="U638" s="684"/>
    </row>
    <row r="639" spans="1:21" ht="18.75" x14ac:dyDescent="0.25">
      <c r="A639" s="687"/>
      <c r="B639" s="688"/>
      <c r="C639" s="688"/>
      <c r="D639" s="688"/>
      <c r="E639" s="699" t="s">
        <v>234</v>
      </c>
      <c r="F639" s="695"/>
      <c r="G639" s="692"/>
      <c r="H639" s="686" t="s">
        <v>46</v>
      </c>
      <c r="I639" s="565"/>
      <c r="J639" s="702">
        <v>0</v>
      </c>
      <c r="K639" s="566"/>
      <c r="L639" s="693"/>
      <c r="M639" s="684"/>
      <c r="N639" s="684"/>
      <c r="O639" s="684"/>
      <c r="P639" s="684"/>
      <c r="Q639" s="684"/>
      <c r="R639" s="684"/>
      <c r="S639" s="684"/>
      <c r="T639" s="684"/>
      <c r="U639" s="684"/>
    </row>
    <row r="640" spans="1:21" ht="18.75" x14ac:dyDescent="0.25">
      <c r="A640" s="687"/>
      <c r="B640" s="688"/>
      <c r="C640" s="688"/>
      <c r="D640" s="688"/>
      <c r="E640" s="695"/>
      <c r="F640" s="699" t="s">
        <v>235</v>
      </c>
      <c r="G640" s="692"/>
      <c r="H640" s="686" t="s">
        <v>46</v>
      </c>
      <c r="I640" s="565"/>
      <c r="J640" s="702">
        <v>0</v>
      </c>
      <c r="K640" s="566"/>
      <c r="L640" s="693"/>
      <c r="M640" s="684"/>
      <c r="N640" s="684"/>
      <c r="O640" s="684"/>
      <c r="P640" s="684"/>
      <c r="Q640" s="684"/>
      <c r="R640" s="684"/>
      <c r="S640" s="684"/>
      <c r="T640" s="684"/>
      <c r="U640" s="684"/>
    </row>
    <row r="641" spans="1:21" ht="19.5" x14ac:dyDescent="0.3">
      <c r="A641" s="1069"/>
      <c r="B641" s="1070" t="s">
        <v>236</v>
      </c>
      <c r="C641" s="1069"/>
      <c r="D641" s="1071"/>
      <c r="E641" s="1071"/>
      <c r="F641" s="1071"/>
      <c r="G641" s="1072"/>
      <c r="H641" s="1081"/>
      <c r="I641" s="1082"/>
      <c r="J641" s="1082"/>
      <c r="K641" s="1077"/>
      <c r="L641" s="1076"/>
      <c r="M641" s="1077"/>
      <c r="N641" s="1077"/>
      <c r="O641" s="1077"/>
      <c r="P641" s="1077"/>
      <c r="Q641" s="1077"/>
      <c r="R641" s="1077"/>
      <c r="S641" s="1077"/>
      <c r="T641" s="1077"/>
      <c r="U641" s="1077"/>
    </row>
    <row r="642" spans="1:21" ht="19.5" x14ac:dyDescent="0.3">
      <c r="A642" s="674"/>
      <c r="B642" s="718"/>
      <c r="C642" s="765" t="s">
        <v>18</v>
      </c>
      <c r="D642" s="1310" t="s">
        <v>19</v>
      </c>
      <c r="E642" s="1311"/>
      <c r="F642" s="1311"/>
      <c r="G642" s="1312"/>
      <c r="H642" s="780" t="s">
        <v>14</v>
      </c>
      <c r="I642" s="565"/>
      <c r="J642" s="565"/>
      <c r="K642" s="566"/>
      <c r="L642" s="678">
        <f t="shared" ref="L642:N642" si="395">L643+L644</f>
        <v>0</v>
      </c>
      <c r="M642" s="679">
        <f t="shared" si="395"/>
        <v>0</v>
      </c>
      <c r="N642" s="679">
        <f t="shared" si="395"/>
        <v>0</v>
      </c>
      <c r="O642" s="679">
        <f t="shared" ref="O642:O650" si="396">IF(L642&gt;0,N642*100/L642,0)</f>
        <v>0</v>
      </c>
      <c r="P642" s="679">
        <f t="shared" ref="P642:P650" si="397">IF(M642&gt;0,N642*100/M642,0)</f>
        <v>0</v>
      </c>
      <c r="Q642" s="679">
        <f t="shared" ref="Q642:S642" ca="1" si="398">Q643+Q644</f>
        <v>7060</v>
      </c>
      <c r="R642" s="679">
        <f t="shared" ca="1" si="398"/>
        <v>7060</v>
      </c>
      <c r="S642" s="679">
        <f t="shared" ca="1" si="398"/>
        <v>2680</v>
      </c>
      <c r="T642" s="679">
        <f t="shared" ref="T642:T650" ca="1" si="399">IF(Q642&gt;0,S642*100/Q642,0)</f>
        <v>37.960339943342774</v>
      </c>
      <c r="U642" s="679">
        <f t="shared" ref="U642:U650" ca="1" si="400">IF(R642&gt;0,S642*100/R642,0)</f>
        <v>37.960339943342774</v>
      </c>
    </row>
    <row r="643" spans="1:21" ht="18.75" x14ac:dyDescent="0.25">
      <c r="A643" s="674"/>
      <c r="B643" s="718"/>
      <c r="C643" s="718"/>
      <c r="D643" s="695"/>
      <c r="E643" s="569" t="s">
        <v>158</v>
      </c>
      <c r="F643" s="561"/>
      <c r="G643" s="563"/>
      <c r="H643" s="685" t="s">
        <v>14</v>
      </c>
      <c r="I643" s="565"/>
      <c r="J643" s="565"/>
      <c r="K643" s="566"/>
      <c r="L643" s="571">
        <f t="shared" ref="L643:N644" si="401">L646+L649</f>
        <v>0</v>
      </c>
      <c r="M643" s="572">
        <f t="shared" si="401"/>
        <v>0</v>
      </c>
      <c r="N643" s="572">
        <f t="shared" si="401"/>
        <v>0</v>
      </c>
      <c r="O643" s="572">
        <f t="shared" si="396"/>
        <v>0</v>
      </c>
      <c r="P643" s="572">
        <f t="shared" si="397"/>
        <v>0</v>
      </c>
      <c r="Q643" s="572">
        <f t="shared" ref="Q643:S644" si="402">Q646+Q649</f>
        <v>0</v>
      </c>
      <c r="R643" s="572">
        <f t="shared" si="402"/>
        <v>0</v>
      </c>
      <c r="S643" s="572">
        <f t="shared" si="402"/>
        <v>0</v>
      </c>
      <c r="T643" s="572">
        <f t="shared" si="399"/>
        <v>0</v>
      </c>
      <c r="U643" s="572">
        <f t="shared" si="400"/>
        <v>0</v>
      </c>
    </row>
    <row r="644" spans="1:21" ht="18.75" x14ac:dyDescent="0.25">
      <c r="A644" s="674"/>
      <c r="B644" s="718"/>
      <c r="C644" s="718"/>
      <c r="D644" s="695"/>
      <c r="E644" s="573" t="s">
        <v>159</v>
      </c>
      <c r="F644" s="561"/>
      <c r="G644" s="563"/>
      <c r="H644" s="682" t="s">
        <v>14</v>
      </c>
      <c r="I644" s="565"/>
      <c r="J644" s="565"/>
      <c r="K644" s="566"/>
      <c r="L644" s="567">
        <f t="shared" si="401"/>
        <v>0</v>
      </c>
      <c r="M644" s="568">
        <f t="shared" si="401"/>
        <v>0</v>
      </c>
      <c r="N644" s="568">
        <f t="shared" si="401"/>
        <v>0</v>
      </c>
      <c r="O644" s="568">
        <f t="shared" si="396"/>
        <v>0</v>
      </c>
      <c r="P644" s="568">
        <f t="shared" si="397"/>
        <v>0</v>
      </c>
      <c r="Q644" s="568">
        <f t="shared" ca="1" si="402"/>
        <v>7060</v>
      </c>
      <c r="R644" s="568">
        <f t="shared" ca="1" si="402"/>
        <v>7060</v>
      </c>
      <c r="S644" s="568">
        <f t="shared" ca="1" si="402"/>
        <v>2680</v>
      </c>
      <c r="T644" s="568">
        <f t="shared" ca="1" si="399"/>
        <v>37.960339943342774</v>
      </c>
      <c r="U644" s="568">
        <f t="shared" ca="1" si="400"/>
        <v>37.960339943342774</v>
      </c>
    </row>
    <row r="645" spans="1:21" ht="18.75" x14ac:dyDescent="0.25">
      <c r="A645" s="674"/>
      <c r="B645" s="718"/>
      <c r="C645" s="718"/>
      <c r="D645" s="562" t="s">
        <v>22</v>
      </c>
      <c r="E645" s="561"/>
      <c r="F645" s="561"/>
      <c r="G645" s="563"/>
      <c r="H645" s="682" t="s">
        <v>14</v>
      </c>
      <c r="I645" s="683"/>
      <c r="J645" s="683"/>
      <c r="K645" s="684"/>
      <c r="L645" s="567">
        <f t="shared" ref="L645:N645" si="403">L646+L647</f>
        <v>0</v>
      </c>
      <c r="M645" s="568">
        <f t="shared" si="403"/>
        <v>0</v>
      </c>
      <c r="N645" s="568">
        <f t="shared" si="403"/>
        <v>0</v>
      </c>
      <c r="O645" s="568">
        <f t="shared" si="396"/>
        <v>0</v>
      </c>
      <c r="P645" s="568">
        <f t="shared" si="397"/>
        <v>0</v>
      </c>
      <c r="Q645" s="568">
        <f t="shared" ref="Q645:S645" ca="1" si="404">Q646+Q647</f>
        <v>7060</v>
      </c>
      <c r="R645" s="568">
        <f t="shared" ca="1" si="404"/>
        <v>7060</v>
      </c>
      <c r="S645" s="568">
        <f t="shared" ca="1" si="404"/>
        <v>2680</v>
      </c>
      <c r="T645" s="568">
        <f t="shared" ca="1" si="399"/>
        <v>37.960339943342774</v>
      </c>
      <c r="U645" s="568">
        <f t="shared" ca="1" si="400"/>
        <v>37.960339943342774</v>
      </c>
    </row>
    <row r="646" spans="1:21" ht="18.75" x14ac:dyDescent="0.25">
      <c r="A646" s="674"/>
      <c r="B646" s="718"/>
      <c r="C646" s="718"/>
      <c r="D646" s="695"/>
      <c r="E646" s="569" t="s">
        <v>158</v>
      </c>
      <c r="F646" s="561"/>
      <c r="G646" s="563"/>
      <c r="H646" s="685" t="s">
        <v>14</v>
      </c>
      <c r="I646" s="565"/>
      <c r="J646" s="565"/>
      <c r="K646" s="566"/>
      <c r="L646" s="571">
        <v>0</v>
      </c>
      <c r="M646" s="572">
        <v>0</v>
      </c>
      <c r="N646" s="572">
        <v>0</v>
      </c>
      <c r="O646" s="572">
        <f t="shared" si="396"/>
        <v>0</v>
      </c>
      <c r="P646" s="572">
        <f t="shared" si="397"/>
        <v>0</v>
      </c>
      <c r="Q646" s="572">
        <v>0</v>
      </c>
      <c r="R646" s="572">
        <v>0</v>
      </c>
      <c r="S646" s="572">
        <v>0</v>
      </c>
      <c r="T646" s="572">
        <f t="shared" si="399"/>
        <v>0</v>
      </c>
      <c r="U646" s="572">
        <f t="shared" si="400"/>
        <v>0</v>
      </c>
    </row>
    <row r="647" spans="1:21" ht="18.75" x14ac:dyDescent="0.25">
      <c r="A647" s="674"/>
      <c r="B647" s="718"/>
      <c r="C647" s="718"/>
      <c r="D647" s="695"/>
      <c r="E647" s="573" t="s">
        <v>159</v>
      </c>
      <c r="F647" s="561"/>
      <c r="G647" s="563"/>
      <c r="H647" s="682" t="s">
        <v>14</v>
      </c>
      <c r="I647" s="565"/>
      <c r="J647" s="565"/>
      <c r="K647" s="566"/>
      <c r="L647" s="567">
        <v>0</v>
      </c>
      <c r="M647" s="568">
        <v>0</v>
      </c>
      <c r="N647" s="568">
        <v>0</v>
      </c>
      <c r="O647" s="568">
        <f t="shared" si="396"/>
        <v>0</v>
      </c>
      <c r="P647" s="568">
        <f t="shared" si="397"/>
        <v>0</v>
      </c>
      <c r="Q647" s="568">
        <f ca="1">IFERROR(__xludf.DUMMYFUNCTION("IMPORTRANGE(""https://docs.google.com/spreadsheets/d/1ItG2mGa2ceCfYo0BwxsXqNm01IGEUdYcSSLTEv9YCik/edit?usp=sharing"",""เบิกจ่ายกองทุน!I16"")"),7060)</f>
        <v>7060</v>
      </c>
      <c r="R647" s="568">
        <f ca="1">IFERROR(__xludf.DUMMYFUNCTION("IMPORTRANGE(""https://docs.google.com/spreadsheets/d/1ItG2mGa2ceCfYo0BwxsXqNm01IGEUdYcSSLTEv9YCik/edit?usp=sharing"",""เบิกจ่ายกองทุน!J16"")"),7060)</f>
        <v>7060</v>
      </c>
      <c r="S647" s="568">
        <f ca="1">IFERROR(__xludf.DUMMYFUNCTION("IMPORTRANGE(""https://docs.google.com/spreadsheets/d/1ItG2mGa2ceCfYo0BwxsXqNm01IGEUdYcSSLTEv9YCik/edit?usp=sharing"",""เบิกจ่ายกองทุน!K16"")"),2680)</f>
        <v>2680</v>
      </c>
      <c r="T647" s="568">
        <f t="shared" ca="1" si="399"/>
        <v>37.960339943342774</v>
      </c>
      <c r="U647" s="568">
        <f t="shared" ca="1" si="400"/>
        <v>37.960339943342774</v>
      </c>
    </row>
    <row r="648" spans="1:21" ht="18.75" x14ac:dyDescent="0.25">
      <c r="A648" s="674"/>
      <c r="B648" s="718"/>
      <c r="C648" s="718"/>
      <c r="D648" s="562" t="s">
        <v>23</v>
      </c>
      <c r="E648" s="561"/>
      <c r="F648" s="561"/>
      <c r="G648" s="563"/>
      <c r="H648" s="686" t="s">
        <v>14</v>
      </c>
      <c r="I648" s="683"/>
      <c r="J648" s="683"/>
      <c r="K648" s="684"/>
      <c r="L648" s="567">
        <f t="shared" ref="L648:N648" si="405">L649+L650</f>
        <v>0</v>
      </c>
      <c r="M648" s="568">
        <f t="shared" si="405"/>
        <v>0</v>
      </c>
      <c r="N648" s="568">
        <f t="shared" si="405"/>
        <v>0</v>
      </c>
      <c r="O648" s="568">
        <f t="shared" si="396"/>
        <v>0</v>
      </c>
      <c r="P648" s="568">
        <f t="shared" si="397"/>
        <v>0</v>
      </c>
      <c r="Q648" s="568">
        <f t="shared" ref="Q648:S648" si="406">Q649+Q650</f>
        <v>0</v>
      </c>
      <c r="R648" s="568">
        <f t="shared" si="406"/>
        <v>0</v>
      </c>
      <c r="S648" s="568">
        <f t="shared" si="406"/>
        <v>0</v>
      </c>
      <c r="T648" s="568">
        <f t="shared" si="399"/>
        <v>0</v>
      </c>
      <c r="U648" s="568">
        <f t="shared" si="400"/>
        <v>0</v>
      </c>
    </row>
    <row r="649" spans="1:21" ht="18.75" x14ac:dyDescent="0.25">
      <c r="A649" s="674"/>
      <c r="B649" s="718"/>
      <c r="C649" s="718"/>
      <c r="D649" s="561"/>
      <c r="E649" s="569" t="s">
        <v>20</v>
      </c>
      <c r="F649" s="561"/>
      <c r="G649" s="563"/>
      <c r="H649" s="685" t="s">
        <v>14</v>
      </c>
      <c r="I649" s="683"/>
      <c r="J649" s="683"/>
      <c r="K649" s="684"/>
      <c r="L649" s="571">
        <v>0</v>
      </c>
      <c r="M649" s="572">
        <v>0</v>
      </c>
      <c r="N649" s="572">
        <v>0</v>
      </c>
      <c r="O649" s="572">
        <f t="shared" si="396"/>
        <v>0</v>
      </c>
      <c r="P649" s="572">
        <f t="shared" si="397"/>
        <v>0</v>
      </c>
      <c r="Q649" s="572">
        <v>0</v>
      </c>
      <c r="R649" s="572">
        <v>0</v>
      </c>
      <c r="S649" s="572">
        <v>0</v>
      </c>
      <c r="T649" s="572">
        <f t="shared" si="399"/>
        <v>0</v>
      </c>
      <c r="U649" s="572">
        <f t="shared" si="400"/>
        <v>0</v>
      </c>
    </row>
    <row r="650" spans="1:21" ht="18.75" x14ac:dyDescent="0.25">
      <c r="A650" s="674"/>
      <c r="B650" s="718"/>
      <c r="C650" s="718"/>
      <c r="D650" s="561"/>
      <c r="E650" s="573" t="s">
        <v>21</v>
      </c>
      <c r="F650" s="561"/>
      <c r="G650" s="563"/>
      <c r="H650" s="686" t="s">
        <v>14</v>
      </c>
      <c r="I650" s="683"/>
      <c r="J650" s="683"/>
      <c r="K650" s="684"/>
      <c r="L650" s="567">
        <v>0</v>
      </c>
      <c r="M650" s="568">
        <v>0</v>
      </c>
      <c r="N650" s="568">
        <v>0</v>
      </c>
      <c r="O650" s="568">
        <f t="shared" si="396"/>
        <v>0</v>
      </c>
      <c r="P650" s="568">
        <f t="shared" si="397"/>
        <v>0</v>
      </c>
      <c r="Q650" s="568">
        <v>0</v>
      </c>
      <c r="R650" s="568">
        <v>0</v>
      </c>
      <c r="S650" s="568">
        <v>0</v>
      </c>
      <c r="T650" s="568">
        <f t="shared" si="399"/>
        <v>0</v>
      </c>
      <c r="U650" s="568">
        <f t="shared" si="400"/>
        <v>0</v>
      </c>
    </row>
    <row r="651" spans="1:21" ht="19.5" x14ac:dyDescent="0.3">
      <c r="A651" s="687"/>
      <c r="B651" s="688"/>
      <c r="C651" s="765" t="s">
        <v>18</v>
      </c>
      <c r="D651" s="1083" t="s">
        <v>38</v>
      </c>
      <c r="E651" s="690"/>
      <c r="F651" s="690"/>
      <c r="G651" s="691"/>
      <c r="H651" s="725"/>
      <c r="I651" s="683"/>
      <c r="J651" s="683"/>
      <c r="K651" s="684"/>
      <c r="L651" s="693"/>
      <c r="M651" s="684"/>
      <c r="N651" s="684"/>
      <c r="O651" s="684"/>
      <c r="P651" s="684"/>
      <c r="Q651" s="566"/>
      <c r="R651" s="566"/>
      <c r="S651" s="566"/>
      <c r="T651" s="684"/>
      <c r="U651" s="684"/>
    </row>
    <row r="652" spans="1:21" ht="18.75" x14ac:dyDescent="0.25">
      <c r="A652" s="764"/>
      <c r="B652" s="718"/>
      <c r="C652" s="718"/>
      <c r="D652" s="573" t="s">
        <v>237</v>
      </c>
      <c r="E652" s="561"/>
      <c r="F652" s="561"/>
      <c r="G652" s="563"/>
      <c r="H652" s="686" t="s">
        <v>46</v>
      </c>
      <c r="I652" s="1084">
        <f ca="1">IFERROR(__xludf.DUMMYFUNCTION("IMPORTRANGE(""https://docs.google.com/spreadsheets/d/1eHaY18a8A9IcSdp1K8H6x8fbOy06t2VsZHhMHf-1x7Y/edit?usp=sharing"",""แผน!IF16"")"),0)</f>
        <v>0</v>
      </c>
      <c r="J652" s="708">
        <f ca="1">IFERROR(__xludf.DUMMYFUNCTION("IMPORTRANGE(""https://docs.google.com/spreadsheets/d/1tdoBKaGub7dwA3U6UFTqxio9LNnvDCQjHKmttSEBsFQ/edit?usp=sharing"",""จัดที่ดิน!AU16"")"),0)</f>
        <v>0</v>
      </c>
      <c r="K652" s="568">
        <f t="shared" ref="K652:K654" ca="1" si="407">IF(I652&gt;0,J652*100/I652,0)</f>
        <v>0</v>
      </c>
      <c r="L652" s="574"/>
      <c r="M652" s="566"/>
      <c r="N652" s="1085"/>
      <c r="O652" s="566"/>
      <c r="P652" s="566"/>
      <c r="Q652" s="566"/>
      <c r="R652" s="566"/>
      <c r="S652" s="1085"/>
      <c r="T652" s="566"/>
      <c r="U652" s="566"/>
    </row>
    <row r="653" spans="1:21" ht="18.75" x14ac:dyDescent="0.25">
      <c r="A653" s="764"/>
      <c r="B653" s="718"/>
      <c r="C653" s="718"/>
      <c r="D653" s="573" t="s">
        <v>238</v>
      </c>
      <c r="E653" s="561"/>
      <c r="F653" s="561"/>
      <c r="G653" s="563"/>
      <c r="H653" s="686" t="s">
        <v>35</v>
      </c>
      <c r="I653" s="1084">
        <f ca="1">IFERROR(__xludf.DUMMYFUNCTION("IMPORTRANGE(""https://docs.google.com/spreadsheets/d/1eHaY18a8A9IcSdp1K8H6x8fbOy06t2VsZHhMHf-1x7Y/edit?usp=sharing"",""แผน!IG16"")"),43)</f>
        <v>43</v>
      </c>
      <c r="J653" s="708">
        <f ca="1">IFERROR(__xludf.DUMMYFUNCTION("IMPORTRANGE(""https://docs.google.com/spreadsheets/d/1tdoBKaGub7dwA3U6UFTqxio9LNnvDCQjHKmttSEBsFQ/edit?usp=sharing"",""จัดที่ดิน!AW16"")"),0)</f>
        <v>0</v>
      </c>
      <c r="K653" s="568">
        <f t="shared" ca="1" si="407"/>
        <v>0</v>
      </c>
      <c r="L653" s="574"/>
      <c r="M653" s="566"/>
      <c r="N653" s="1085"/>
      <c r="O653" s="566"/>
      <c r="P653" s="566"/>
      <c r="Q653" s="566"/>
      <c r="R653" s="566"/>
      <c r="S653" s="1085"/>
      <c r="T653" s="566"/>
      <c r="U653" s="566"/>
    </row>
    <row r="654" spans="1:21" ht="19.5" x14ac:dyDescent="0.3">
      <c r="A654" s="764"/>
      <c r="B654" s="718"/>
      <c r="C654" s="718"/>
      <c r="D654" s="573" t="s">
        <v>239</v>
      </c>
      <c r="E654" s="561"/>
      <c r="F654" s="561"/>
      <c r="G654" s="563"/>
      <c r="H654" s="1080" t="s">
        <v>46</v>
      </c>
      <c r="I654" s="1086">
        <f ca="1">IFERROR(__xludf.DUMMYFUNCTION("IMPORTRANGE(""https://docs.google.com/spreadsheets/d/1eHaY18a8A9IcSdp1K8H6x8fbOy06t2VsZHhMHf-1x7Y/edit?usp=sharing"",""แผน!IH16"")"),0)</f>
        <v>0</v>
      </c>
      <c r="J654" s="697">
        <f>J657+J660</f>
        <v>0</v>
      </c>
      <c r="K654" s="679">
        <f t="shared" ca="1" si="407"/>
        <v>0</v>
      </c>
      <c r="L654" s="574"/>
      <c r="M654" s="566"/>
      <c r="N654" s="1085"/>
      <c r="O654" s="566"/>
      <c r="P654" s="566"/>
      <c r="Q654" s="566"/>
      <c r="R654" s="566"/>
      <c r="S654" s="1085"/>
      <c r="T654" s="566"/>
      <c r="U654" s="566"/>
    </row>
    <row r="655" spans="1:21" ht="18.75" x14ac:dyDescent="0.25">
      <c r="A655" s="764"/>
      <c r="B655" s="718"/>
      <c r="C655" s="718"/>
      <c r="D655" s="561"/>
      <c r="E655" s="573" t="s">
        <v>240</v>
      </c>
      <c r="F655" s="561"/>
      <c r="G655" s="563"/>
      <c r="H655" s="686" t="s">
        <v>35</v>
      </c>
      <c r="I655" s="727"/>
      <c r="J655" s="702">
        <v>0</v>
      </c>
      <c r="K655" s="566"/>
      <c r="L655" s="574"/>
      <c r="M655" s="566"/>
      <c r="N655" s="1085"/>
      <c r="O655" s="566"/>
      <c r="P655" s="566"/>
      <c r="Q655" s="566"/>
      <c r="R655" s="566"/>
      <c r="S655" s="1085"/>
      <c r="T655" s="566"/>
      <c r="U655" s="566"/>
    </row>
    <row r="656" spans="1:21" ht="18.75" x14ac:dyDescent="0.25">
      <c r="A656" s="764"/>
      <c r="B656" s="718"/>
      <c r="C656" s="718"/>
      <c r="D656" s="561"/>
      <c r="E656" s="561"/>
      <c r="F656" s="561"/>
      <c r="G656" s="563"/>
      <c r="H656" s="686" t="s">
        <v>34</v>
      </c>
      <c r="I656" s="727"/>
      <c r="J656" s="702">
        <v>0</v>
      </c>
      <c r="K656" s="566"/>
      <c r="L656" s="574"/>
      <c r="M656" s="566"/>
      <c r="N656" s="1085"/>
      <c r="O656" s="566"/>
      <c r="P656" s="566"/>
      <c r="Q656" s="566"/>
      <c r="R656" s="566"/>
      <c r="S656" s="1085"/>
      <c r="T656" s="566"/>
      <c r="U656" s="566"/>
    </row>
    <row r="657" spans="1:21" ht="18.75" x14ac:dyDescent="0.25">
      <c r="A657" s="764"/>
      <c r="B657" s="718"/>
      <c r="C657" s="718"/>
      <c r="D657" s="561"/>
      <c r="E657" s="561"/>
      <c r="F657" s="561"/>
      <c r="G657" s="563"/>
      <c r="H657" s="686" t="s">
        <v>46</v>
      </c>
      <c r="I657" s="1084">
        <f ca="1">IFERROR(__xludf.DUMMYFUNCTION("IMPORTRANGE(""https://docs.google.com/spreadsheets/d/1eHaY18a8A9IcSdp1K8H6x8fbOy06t2VsZHhMHf-1x7Y/edit?usp=sharing"",""แผน!II16"")"),0)</f>
        <v>0</v>
      </c>
      <c r="J657" s="702">
        <v>0</v>
      </c>
      <c r="K657" s="566"/>
      <c r="L657" s="574"/>
      <c r="M657" s="566"/>
      <c r="N657" s="1085"/>
      <c r="O657" s="566"/>
      <c r="P657" s="566"/>
      <c r="Q657" s="566"/>
      <c r="R657" s="566"/>
      <c r="S657" s="1085"/>
      <c r="T657" s="566"/>
      <c r="U657" s="566"/>
    </row>
    <row r="658" spans="1:21" ht="18.75" x14ac:dyDescent="0.25">
      <c r="A658" s="764"/>
      <c r="B658" s="718"/>
      <c r="C658" s="718"/>
      <c r="D658" s="561"/>
      <c r="E658" s="573" t="s">
        <v>241</v>
      </c>
      <c r="F658" s="561"/>
      <c r="G658" s="563"/>
      <c r="H658" s="686" t="s">
        <v>35</v>
      </c>
      <c r="I658" s="727"/>
      <c r="J658" s="702">
        <v>0</v>
      </c>
      <c r="K658" s="566"/>
      <c r="L658" s="574"/>
      <c r="M658" s="566"/>
      <c r="N658" s="1085"/>
      <c r="O658" s="566"/>
      <c r="P658" s="566"/>
      <c r="Q658" s="566"/>
      <c r="R658" s="566"/>
      <c r="S658" s="1085"/>
      <c r="T658" s="566"/>
      <c r="U658" s="566"/>
    </row>
    <row r="659" spans="1:21" ht="18.75" x14ac:dyDescent="0.25">
      <c r="A659" s="764"/>
      <c r="B659" s="718"/>
      <c r="C659" s="718"/>
      <c r="D659" s="561"/>
      <c r="E659" s="561"/>
      <c r="F659" s="561"/>
      <c r="G659" s="563"/>
      <c r="H659" s="686" t="s">
        <v>34</v>
      </c>
      <c r="I659" s="727"/>
      <c r="J659" s="702">
        <v>0</v>
      </c>
      <c r="K659" s="566"/>
      <c r="L659" s="574"/>
      <c r="M659" s="566"/>
      <c r="N659" s="1085"/>
      <c r="O659" s="566"/>
      <c r="P659" s="566"/>
      <c r="Q659" s="566"/>
      <c r="R659" s="566"/>
      <c r="S659" s="1085"/>
      <c r="T659" s="566"/>
      <c r="U659" s="566"/>
    </row>
    <row r="660" spans="1:21" ht="18.75" x14ac:dyDescent="0.25">
      <c r="A660" s="764"/>
      <c r="B660" s="718"/>
      <c r="C660" s="718"/>
      <c r="D660" s="561"/>
      <c r="E660" s="561"/>
      <c r="F660" s="561"/>
      <c r="G660" s="563"/>
      <c r="H660" s="686" t="s">
        <v>46</v>
      </c>
      <c r="I660" s="1084">
        <f ca="1">IFERROR(__xludf.DUMMYFUNCTION("IMPORTRANGE(""https://docs.google.com/spreadsheets/d/1eHaY18a8A9IcSdp1K8H6x8fbOy06t2VsZHhMHf-1x7Y/edit?usp=sharing"",""แผน!IJ16"")"),0)</f>
        <v>0</v>
      </c>
      <c r="J660" s="702">
        <v>0</v>
      </c>
      <c r="K660" s="566"/>
      <c r="L660" s="574"/>
      <c r="M660" s="566"/>
      <c r="N660" s="1085"/>
      <c r="O660" s="566"/>
      <c r="P660" s="566"/>
      <c r="Q660" s="566"/>
      <c r="R660" s="566"/>
      <c r="S660" s="1085"/>
      <c r="T660" s="566"/>
      <c r="U660" s="566"/>
    </row>
    <row r="661" spans="1:21" ht="19.5" x14ac:dyDescent="0.3">
      <c r="A661" s="764"/>
      <c r="B661" s="718"/>
      <c r="C661" s="718"/>
      <c r="D661" s="987" t="s">
        <v>242</v>
      </c>
      <c r="E661" s="561"/>
      <c r="F661" s="561"/>
      <c r="G661" s="563"/>
      <c r="H661" s="1080" t="s">
        <v>46</v>
      </c>
      <c r="I661" s="1086">
        <f ca="1">IFERROR(__xludf.DUMMYFUNCTION("IMPORTRANGE(""https://docs.google.com/spreadsheets/d/1eHaY18a8A9IcSdp1K8H6x8fbOy06t2VsZHhMHf-1x7Y/edit?usp=sharing"",""แผน!IK16"")"),0)</f>
        <v>0</v>
      </c>
      <c r="J661" s="697">
        <f>J667+J670</f>
        <v>0</v>
      </c>
      <c r="K661" s="679">
        <f ca="1">IF(I661&gt;0,J661*100/I661,0)</f>
        <v>0</v>
      </c>
      <c r="L661" s="574"/>
      <c r="M661" s="566"/>
      <c r="N661" s="1085"/>
      <c r="O661" s="566"/>
      <c r="P661" s="566"/>
      <c r="Q661" s="566"/>
      <c r="R661" s="566"/>
      <c r="S661" s="1085"/>
      <c r="T661" s="566"/>
      <c r="U661" s="566"/>
    </row>
    <row r="662" spans="1:21" ht="18.75" x14ac:dyDescent="0.25">
      <c r="A662" s="764"/>
      <c r="B662" s="718"/>
      <c r="C662" s="718"/>
      <c r="D662" s="561"/>
      <c r="E662" s="573" t="s">
        <v>243</v>
      </c>
      <c r="F662" s="561"/>
      <c r="G662" s="563"/>
      <c r="H662" s="686" t="s">
        <v>34</v>
      </c>
      <c r="I662" s="727"/>
      <c r="J662" s="702">
        <v>0</v>
      </c>
      <c r="K662" s="566"/>
      <c r="L662" s="1087"/>
      <c r="M662" s="566"/>
      <c r="N662" s="1085"/>
      <c r="O662" s="566"/>
      <c r="P662" s="566"/>
      <c r="Q662" s="1085"/>
      <c r="R662" s="566"/>
      <c r="S662" s="1085"/>
      <c r="T662" s="566"/>
      <c r="U662" s="566"/>
    </row>
    <row r="663" spans="1:21" ht="18.75" x14ac:dyDescent="0.25">
      <c r="A663" s="764"/>
      <c r="B663" s="718"/>
      <c r="C663" s="718"/>
      <c r="D663" s="561"/>
      <c r="E663" s="561"/>
      <c r="F663" s="561"/>
      <c r="G663" s="563"/>
      <c r="H663" s="686" t="s">
        <v>46</v>
      </c>
      <c r="I663" s="727"/>
      <c r="J663" s="702">
        <v>0</v>
      </c>
      <c r="K663" s="566"/>
      <c r="L663" s="1087"/>
      <c r="M663" s="566"/>
      <c r="N663" s="1085"/>
      <c r="O663" s="566"/>
      <c r="P663" s="566"/>
      <c r="Q663" s="1085"/>
      <c r="R663" s="566"/>
      <c r="S663" s="1085"/>
      <c r="T663" s="566"/>
      <c r="U663" s="566"/>
    </row>
    <row r="664" spans="1:21" ht="18.75" x14ac:dyDescent="0.25">
      <c r="A664" s="764"/>
      <c r="B664" s="718"/>
      <c r="C664" s="718"/>
      <c r="D664" s="561"/>
      <c r="E664" s="573" t="s">
        <v>244</v>
      </c>
      <c r="F664" s="561"/>
      <c r="G664" s="563"/>
      <c r="H664" s="725"/>
      <c r="I664" s="727"/>
      <c r="J664" s="565"/>
      <c r="K664" s="566"/>
      <c r="L664" s="1087"/>
      <c r="M664" s="566"/>
      <c r="N664" s="1085"/>
      <c r="O664" s="566"/>
      <c r="P664" s="566"/>
      <c r="Q664" s="1085"/>
      <c r="R664" s="566"/>
      <c r="S664" s="1085"/>
      <c r="T664" s="566"/>
      <c r="U664" s="566"/>
    </row>
    <row r="665" spans="1:21" ht="18.75" x14ac:dyDescent="0.25">
      <c r="A665" s="764"/>
      <c r="B665" s="718"/>
      <c r="C665" s="718"/>
      <c r="D665" s="561"/>
      <c r="E665" s="561"/>
      <c r="F665" s="573" t="s">
        <v>245</v>
      </c>
      <c r="G665" s="563"/>
      <c r="H665" s="686" t="s">
        <v>35</v>
      </c>
      <c r="I665" s="727"/>
      <c r="J665" s="702">
        <v>0</v>
      </c>
      <c r="K665" s="566"/>
      <c r="L665" s="1087"/>
      <c r="M665" s="566"/>
      <c r="N665" s="1085"/>
      <c r="O665" s="566"/>
      <c r="P665" s="566"/>
      <c r="Q665" s="1085"/>
      <c r="R665" s="566"/>
      <c r="S665" s="1085"/>
      <c r="T665" s="566"/>
      <c r="U665" s="566"/>
    </row>
    <row r="666" spans="1:21" ht="18.75" x14ac:dyDescent="0.25">
      <c r="A666" s="764"/>
      <c r="B666" s="718"/>
      <c r="C666" s="718"/>
      <c r="D666" s="561"/>
      <c r="E666" s="561"/>
      <c r="F666" s="561"/>
      <c r="G666" s="563"/>
      <c r="H666" s="686" t="s">
        <v>34</v>
      </c>
      <c r="I666" s="727"/>
      <c r="J666" s="702">
        <v>0</v>
      </c>
      <c r="K666" s="566"/>
      <c r="L666" s="1087"/>
      <c r="M666" s="566"/>
      <c r="N666" s="1085"/>
      <c r="O666" s="566"/>
      <c r="P666" s="566"/>
      <c r="Q666" s="1085"/>
      <c r="R666" s="566"/>
      <c r="S666" s="1085"/>
      <c r="T666" s="566"/>
      <c r="U666" s="566"/>
    </row>
    <row r="667" spans="1:21" ht="18.75" x14ac:dyDescent="0.25">
      <c r="A667" s="764"/>
      <c r="B667" s="718"/>
      <c r="C667" s="718"/>
      <c r="D667" s="561"/>
      <c r="E667" s="561"/>
      <c r="F667" s="561"/>
      <c r="G667" s="563"/>
      <c r="H667" s="686" t="s">
        <v>46</v>
      </c>
      <c r="I667" s="727"/>
      <c r="J667" s="702">
        <v>0</v>
      </c>
      <c r="K667" s="566"/>
      <c r="L667" s="1087"/>
      <c r="M667" s="566"/>
      <c r="N667" s="1085"/>
      <c r="O667" s="566"/>
      <c r="P667" s="566"/>
      <c r="Q667" s="1085"/>
      <c r="R667" s="566"/>
      <c r="S667" s="1085"/>
      <c r="T667" s="566"/>
      <c r="U667" s="566"/>
    </row>
    <row r="668" spans="1:21" ht="18.75" x14ac:dyDescent="0.25">
      <c r="A668" s="764"/>
      <c r="B668" s="718"/>
      <c r="C668" s="718"/>
      <c r="D668" s="561"/>
      <c r="E668" s="561"/>
      <c r="F668" s="573" t="s">
        <v>246</v>
      </c>
      <c r="G668" s="563"/>
      <c r="H668" s="686" t="s">
        <v>35</v>
      </c>
      <c r="I668" s="727"/>
      <c r="J668" s="702">
        <v>0</v>
      </c>
      <c r="K668" s="566"/>
      <c r="L668" s="1087"/>
      <c r="M668" s="566"/>
      <c r="N668" s="1085"/>
      <c r="O668" s="566"/>
      <c r="P668" s="566"/>
      <c r="Q668" s="1085"/>
      <c r="R668" s="566"/>
      <c r="S668" s="1085"/>
      <c r="T668" s="566"/>
      <c r="U668" s="566"/>
    </row>
    <row r="669" spans="1:21" ht="18.75" x14ac:dyDescent="0.25">
      <c r="A669" s="764"/>
      <c r="B669" s="718"/>
      <c r="C669" s="718"/>
      <c r="D669" s="561"/>
      <c r="E669" s="561"/>
      <c r="F669" s="561"/>
      <c r="G669" s="563"/>
      <c r="H669" s="686" t="s">
        <v>34</v>
      </c>
      <c r="I669" s="727"/>
      <c r="J669" s="702">
        <v>0</v>
      </c>
      <c r="K669" s="566"/>
      <c r="L669" s="1087"/>
      <c r="M669" s="566"/>
      <c r="N669" s="1085"/>
      <c r="O669" s="566"/>
      <c r="P669" s="566"/>
      <c r="Q669" s="1085"/>
      <c r="R669" s="566"/>
      <c r="S669" s="1085"/>
      <c r="T669" s="566"/>
      <c r="U669" s="566"/>
    </row>
    <row r="670" spans="1:21" ht="18.75" x14ac:dyDescent="0.25">
      <c r="A670" s="764"/>
      <c r="B670" s="718"/>
      <c r="C670" s="718"/>
      <c r="D670" s="561"/>
      <c r="E670" s="561"/>
      <c r="F670" s="561"/>
      <c r="G670" s="563"/>
      <c r="H670" s="686" t="s">
        <v>46</v>
      </c>
      <c r="I670" s="727"/>
      <c r="J670" s="702">
        <v>0</v>
      </c>
      <c r="K670" s="566"/>
      <c r="L670" s="1087"/>
      <c r="M670" s="566"/>
      <c r="N670" s="1085"/>
      <c r="O670" s="566"/>
      <c r="P670" s="566"/>
      <c r="Q670" s="1085"/>
      <c r="R670" s="566"/>
      <c r="S670" s="1085"/>
      <c r="T670" s="566"/>
      <c r="U670" s="566"/>
    </row>
    <row r="671" spans="1:21" ht="18.75" x14ac:dyDescent="0.25">
      <c r="A671" s="764"/>
      <c r="B671" s="718"/>
      <c r="C671" s="718"/>
      <c r="D671" s="573" t="s">
        <v>247</v>
      </c>
      <c r="E671" s="561"/>
      <c r="F671" s="561"/>
      <c r="G671" s="563"/>
      <c r="H671" s="686" t="s">
        <v>35</v>
      </c>
      <c r="I671" s="727"/>
      <c r="J671" s="708">
        <f ca="1">IFERROR(__xludf.DUMMYFUNCTION("IMPORTRANGE(""https://docs.google.com/spreadsheets/d/1tdoBKaGub7dwA3U6UFTqxio9LNnvDCQjHKmttSEBsFQ/edit?usp=sharing"",""จัดที่ดิน!AY16"")"),2)</f>
        <v>2</v>
      </c>
      <c r="K671" s="566"/>
      <c r="L671" s="574"/>
      <c r="M671" s="566"/>
      <c r="N671" s="1085"/>
      <c r="O671" s="566"/>
      <c r="P671" s="566"/>
      <c r="Q671" s="566"/>
      <c r="R671" s="566"/>
      <c r="S671" s="1085"/>
      <c r="T671" s="566"/>
      <c r="U671" s="566"/>
    </row>
    <row r="672" spans="1:21" ht="18.75" x14ac:dyDescent="0.25">
      <c r="A672" s="764"/>
      <c r="B672" s="718"/>
      <c r="C672" s="718"/>
      <c r="D672" s="561"/>
      <c r="E672" s="561"/>
      <c r="F672" s="561"/>
      <c r="G672" s="563"/>
      <c r="H672" s="686" t="s">
        <v>34</v>
      </c>
      <c r="I672" s="727"/>
      <c r="J672" s="708">
        <f ca="1">IFERROR(__xludf.DUMMYFUNCTION("IMPORTRANGE(""https://docs.google.com/spreadsheets/d/1tdoBKaGub7dwA3U6UFTqxio9LNnvDCQjHKmttSEBsFQ/edit?usp=sharing"",""จัดที่ดิน!AZ16"")"),2)</f>
        <v>2</v>
      </c>
      <c r="K672" s="566"/>
      <c r="L672" s="1087"/>
      <c r="M672" s="566"/>
      <c r="N672" s="1085"/>
      <c r="O672" s="566"/>
      <c r="P672" s="566"/>
      <c r="Q672" s="1085"/>
      <c r="R672" s="566"/>
      <c r="S672" s="1085"/>
      <c r="T672" s="566"/>
      <c r="U672" s="566"/>
    </row>
    <row r="673" spans="1:21" ht="18.75" x14ac:dyDescent="0.25">
      <c r="A673" s="764"/>
      <c r="B673" s="718"/>
      <c r="C673" s="718"/>
      <c r="D673" s="561"/>
      <c r="E673" s="561"/>
      <c r="F673" s="561"/>
      <c r="G673" s="563"/>
      <c r="H673" s="686" t="s">
        <v>46</v>
      </c>
      <c r="I673" s="1084">
        <f ca="1">IFERROR(__xludf.DUMMYFUNCTION("IMPORTRANGE(""https://docs.google.com/spreadsheets/d/1eHaY18a8A9IcSdp1K8H6x8fbOy06t2VsZHhMHf-1x7Y/edit?usp=sharing"",""แผน!IL16"")"),15)</f>
        <v>15</v>
      </c>
      <c r="J673" s="708">
        <f ca="1">IFERROR(__xludf.DUMMYFUNCTION("IMPORTRANGE(""https://docs.google.com/spreadsheets/d/1tdoBKaGub7dwA3U6UFTqxio9LNnvDCQjHKmttSEBsFQ/edit?usp=sharing"",""จัดที่ดิน!BA16"")"),6.92)</f>
        <v>6.92</v>
      </c>
      <c r="K673" s="568">
        <f t="shared" ref="K673:K676" ca="1" si="408">IF(I673&gt;0,J673*100/I673,0)</f>
        <v>46.133333333333333</v>
      </c>
      <c r="L673" s="1087"/>
      <c r="M673" s="566"/>
      <c r="N673" s="1085"/>
      <c r="O673" s="566"/>
      <c r="P673" s="566"/>
      <c r="Q673" s="1085"/>
      <c r="R673" s="566"/>
      <c r="S673" s="1085"/>
      <c r="T673" s="566"/>
      <c r="U673" s="566"/>
    </row>
    <row r="674" spans="1:21" ht="19.5" x14ac:dyDescent="0.3">
      <c r="A674" s="764"/>
      <c r="B674" s="718"/>
      <c r="C674" s="718"/>
      <c r="D674" s="573" t="s">
        <v>248</v>
      </c>
      <c r="E674" s="561"/>
      <c r="F674" s="561"/>
      <c r="G674" s="563"/>
      <c r="H674" s="1080" t="s">
        <v>35</v>
      </c>
      <c r="I674" s="1086">
        <f ca="1">IFERROR(__xludf.DUMMYFUNCTION("IMPORTRANGE(""https://docs.google.com/spreadsheets/d/1eHaY18a8A9IcSdp1K8H6x8fbOy06t2VsZHhMHf-1x7Y/edit?usp=sharing"",""แผน!IM16"")"),0)</f>
        <v>0</v>
      </c>
      <c r="J674" s="697">
        <f ca="1">J676+J679</f>
        <v>0</v>
      </c>
      <c r="K674" s="679">
        <f t="shared" ca="1" si="408"/>
        <v>0</v>
      </c>
      <c r="L674" s="1087"/>
      <c r="M674" s="566"/>
      <c r="N674" s="1085"/>
      <c r="O674" s="566"/>
      <c r="P674" s="566"/>
      <c r="Q674" s="1085"/>
      <c r="R674" s="566"/>
      <c r="S674" s="1085"/>
      <c r="T674" s="566"/>
      <c r="U674" s="566"/>
    </row>
    <row r="675" spans="1:21" ht="19.5" x14ac:dyDescent="0.3">
      <c r="A675" s="764"/>
      <c r="B675" s="718"/>
      <c r="C675" s="718"/>
      <c r="D675" s="561"/>
      <c r="E675" s="561"/>
      <c r="F675" s="561"/>
      <c r="G675" s="563"/>
      <c r="H675" s="1080" t="s">
        <v>46</v>
      </c>
      <c r="I675" s="1086">
        <f ca="1">IFERROR(__xludf.DUMMYFUNCTION("IMPORTRANGE(""https://docs.google.com/spreadsheets/d/1eHaY18a8A9IcSdp1K8H6x8fbOy06t2VsZHhMHf-1x7Y/edit?usp=sharing"",""แผน!IN16"")"),0)</f>
        <v>0</v>
      </c>
      <c r="J675" s="697">
        <f ca="1">J678+J681</f>
        <v>0</v>
      </c>
      <c r="K675" s="679">
        <f t="shared" ca="1" si="408"/>
        <v>0</v>
      </c>
      <c r="L675" s="574"/>
      <c r="M675" s="566"/>
      <c r="N675" s="1085"/>
      <c r="O675" s="566"/>
      <c r="P675" s="566"/>
      <c r="Q675" s="566"/>
      <c r="R675" s="566"/>
      <c r="S675" s="1085"/>
      <c r="T675" s="566"/>
      <c r="U675" s="566"/>
    </row>
    <row r="676" spans="1:21" ht="18.75" x14ac:dyDescent="0.25">
      <c r="A676" s="764"/>
      <c r="B676" s="718"/>
      <c r="C676" s="718"/>
      <c r="D676" s="561"/>
      <c r="E676" s="573" t="s">
        <v>249</v>
      </c>
      <c r="F676" s="561"/>
      <c r="G676" s="563"/>
      <c r="H676" s="686" t="s">
        <v>35</v>
      </c>
      <c r="I676" s="1084">
        <f ca="1">IFERROR(__xludf.DUMMYFUNCTION("IMPORTRANGE(""https://docs.google.com/spreadsheets/d/1eHaY18a8A9IcSdp1K8H6x8fbOy06t2VsZHhMHf-1x7Y/edit?usp=sharing"",""แผน!IO16"")"),0)</f>
        <v>0</v>
      </c>
      <c r="J676" s="708">
        <f ca="1">IFERROR(__xludf.DUMMYFUNCTION("IMPORTRANGE(""https://docs.google.com/spreadsheets/d/1tdoBKaGub7dwA3U6UFTqxio9LNnvDCQjHKmttSEBsFQ/edit?usp=sharing"",""จัดที่ดิน!BF16"")"),0)</f>
        <v>0</v>
      </c>
      <c r="K676" s="568">
        <f t="shared" ca="1" si="408"/>
        <v>0</v>
      </c>
      <c r="L676" s="574"/>
      <c r="M676" s="566"/>
      <c r="N676" s="1085"/>
      <c r="O676" s="566"/>
      <c r="P676" s="566"/>
      <c r="Q676" s="566"/>
      <c r="R676" s="566"/>
      <c r="S676" s="1085"/>
      <c r="T676" s="566"/>
      <c r="U676" s="566"/>
    </row>
    <row r="677" spans="1:21" ht="18.75" x14ac:dyDescent="0.25">
      <c r="A677" s="764"/>
      <c r="B677" s="718"/>
      <c r="C677" s="718"/>
      <c r="D677" s="561"/>
      <c r="E677" s="561"/>
      <c r="F677" s="561"/>
      <c r="G677" s="563"/>
      <c r="H677" s="686" t="s">
        <v>34</v>
      </c>
      <c r="I677" s="727"/>
      <c r="J677" s="708">
        <f ca="1">IFERROR(__xludf.DUMMYFUNCTION("IMPORTRANGE(""https://docs.google.com/spreadsheets/d/1tdoBKaGub7dwA3U6UFTqxio9LNnvDCQjHKmttSEBsFQ/edit?usp=sharing"",""จัดที่ดิน!BG16"")"),0)</f>
        <v>0</v>
      </c>
      <c r="K677" s="566"/>
      <c r="L677" s="1087"/>
      <c r="M677" s="566"/>
      <c r="N677" s="1085"/>
      <c r="O677" s="566"/>
      <c r="P677" s="566"/>
      <c r="Q677" s="1085"/>
      <c r="R677" s="566"/>
      <c r="S677" s="1085"/>
      <c r="T677" s="566"/>
      <c r="U677" s="566"/>
    </row>
    <row r="678" spans="1:21" ht="18.75" x14ac:dyDescent="0.25">
      <c r="A678" s="764"/>
      <c r="B678" s="718"/>
      <c r="C678" s="718"/>
      <c r="D678" s="561"/>
      <c r="E678" s="561"/>
      <c r="F678" s="561"/>
      <c r="G678" s="563"/>
      <c r="H678" s="686" t="s">
        <v>46</v>
      </c>
      <c r="I678" s="1084">
        <f ca="1">IFERROR(__xludf.DUMMYFUNCTION("IMPORTRANGE(""https://docs.google.com/spreadsheets/d/1eHaY18a8A9IcSdp1K8H6x8fbOy06t2VsZHhMHf-1x7Y/edit?usp=sharing"",""แผน!IP16"")"),0)</f>
        <v>0</v>
      </c>
      <c r="J678" s="708">
        <f ca="1">IFERROR(__xludf.DUMMYFUNCTION("IMPORTRANGE(""https://docs.google.com/spreadsheets/d/1tdoBKaGub7dwA3U6UFTqxio9LNnvDCQjHKmttSEBsFQ/edit?usp=sharing"",""จัดที่ดิน!BH16"")"),0)</f>
        <v>0</v>
      </c>
      <c r="K678" s="568">
        <f t="shared" ref="K678:K679" ca="1" si="409">IF(I678&gt;0,J678*100/I678,0)</f>
        <v>0</v>
      </c>
      <c r="L678" s="1087"/>
      <c r="M678" s="566"/>
      <c r="N678" s="1085"/>
      <c r="O678" s="566"/>
      <c r="P678" s="566"/>
      <c r="Q678" s="1085"/>
      <c r="R678" s="566"/>
      <c r="S678" s="1085"/>
      <c r="T678" s="566"/>
      <c r="U678" s="566"/>
    </row>
    <row r="679" spans="1:21" ht="18.75" x14ac:dyDescent="0.25">
      <c r="A679" s="764"/>
      <c r="B679" s="718"/>
      <c r="C679" s="718"/>
      <c r="D679" s="561"/>
      <c r="E679" s="573" t="s">
        <v>250</v>
      </c>
      <c r="F679" s="561"/>
      <c r="G679" s="563"/>
      <c r="H679" s="686" t="s">
        <v>35</v>
      </c>
      <c r="I679" s="1084">
        <f ca="1">IFERROR(__xludf.DUMMYFUNCTION("IMPORTRANGE(""https://docs.google.com/spreadsheets/d/1eHaY18a8A9IcSdp1K8H6x8fbOy06t2VsZHhMHf-1x7Y/edit?usp=sharing"",""แผน!IQ16"")"),0)</f>
        <v>0</v>
      </c>
      <c r="J679" s="708">
        <f ca="1">IFERROR(__xludf.DUMMYFUNCTION("IMPORTRANGE(""https://docs.google.com/spreadsheets/d/1tdoBKaGub7dwA3U6UFTqxio9LNnvDCQjHKmttSEBsFQ/edit?usp=sharing"",""จัดที่ดิน!BK16"")"),0)</f>
        <v>0</v>
      </c>
      <c r="K679" s="568">
        <f t="shared" ca="1" si="409"/>
        <v>0</v>
      </c>
      <c r="L679" s="574"/>
      <c r="M679" s="566"/>
      <c r="N679" s="1085"/>
      <c r="O679" s="566"/>
      <c r="P679" s="566"/>
      <c r="Q679" s="566"/>
      <c r="R679" s="566"/>
      <c r="S679" s="1085"/>
      <c r="T679" s="566"/>
      <c r="U679" s="566"/>
    </row>
    <row r="680" spans="1:21" ht="18.75" x14ac:dyDescent="0.25">
      <c r="A680" s="764"/>
      <c r="B680" s="718"/>
      <c r="C680" s="718"/>
      <c r="D680" s="561"/>
      <c r="E680" s="561"/>
      <c r="F680" s="561"/>
      <c r="G680" s="563"/>
      <c r="H680" s="686" t="s">
        <v>34</v>
      </c>
      <c r="I680" s="727"/>
      <c r="J680" s="708">
        <f ca="1">IFERROR(__xludf.DUMMYFUNCTION("IMPORTRANGE(""https://docs.google.com/spreadsheets/d/1tdoBKaGub7dwA3U6UFTqxio9LNnvDCQjHKmttSEBsFQ/edit?usp=sharing"",""จัดที่ดิน!BL16"")"),0)</f>
        <v>0</v>
      </c>
      <c r="K680" s="566"/>
      <c r="L680" s="1087"/>
      <c r="M680" s="566"/>
      <c r="N680" s="1085"/>
      <c r="O680" s="566"/>
      <c r="P680" s="566"/>
      <c r="Q680" s="1085"/>
      <c r="R680" s="566"/>
      <c r="S680" s="1085"/>
      <c r="T680" s="566"/>
      <c r="U680" s="566"/>
    </row>
    <row r="681" spans="1:21" ht="18.75" x14ac:dyDescent="0.25">
      <c r="A681" s="764"/>
      <c r="B681" s="718"/>
      <c r="C681" s="718"/>
      <c r="D681" s="561"/>
      <c r="E681" s="561"/>
      <c r="F681" s="561"/>
      <c r="G681" s="563"/>
      <c r="H681" s="686" t="s">
        <v>46</v>
      </c>
      <c r="I681" s="1084">
        <f ca="1">IFERROR(__xludf.DUMMYFUNCTION("IMPORTRANGE(""https://docs.google.com/spreadsheets/d/1eHaY18a8A9IcSdp1K8H6x8fbOy06t2VsZHhMHf-1x7Y/edit?usp=sharing"",""แผน!IR16"")"),0)</f>
        <v>0</v>
      </c>
      <c r="J681" s="708">
        <f ca="1">IFERROR(__xludf.DUMMYFUNCTION("IMPORTRANGE(""https://docs.google.com/spreadsheets/d/1tdoBKaGub7dwA3U6UFTqxio9LNnvDCQjHKmttSEBsFQ/edit?usp=sharing"",""จัดที่ดิน!BM16"")"),0)</f>
        <v>0</v>
      </c>
      <c r="K681" s="568">
        <f t="shared" ref="K681:K682" ca="1" si="410">IF(I681&gt;0,J681*100/I681,0)</f>
        <v>0</v>
      </c>
      <c r="L681" s="1087"/>
      <c r="M681" s="566"/>
      <c r="N681" s="1085"/>
      <c r="O681" s="566"/>
      <c r="P681" s="566"/>
      <c r="Q681" s="1085"/>
      <c r="R681" s="566"/>
      <c r="S681" s="1085"/>
      <c r="T681" s="566"/>
      <c r="U681" s="566"/>
    </row>
    <row r="682" spans="1:21" ht="19.5" x14ac:dyDescent="0.3">
      <c r="A682" s="764"/>
      <c r="B682" s="718"/>
      <c r="C682" s="718"/>
      <c r="D682" s="573" t="s">
        <v>251</v>
      </c>
      <c r="E682" s="561"/>
      <c r="F682" s="561"/>
      <c r="G682" s="563"/>
      <c r="H682" s="1080" t="s">
        <v>46</v>
      </c>
      <c r="I682" s="1086">
        <f ca="1">IFERROR(__xludf.DUMMYFUNCTION("IMPORTRANGE(""https://docs.google.com/spreadsheets/d/1eHaY18a8A9IcSdp1K8H6x8fbOy06t2VsZHhMHf-1x7Y/edit?usp=sharing"",""แผน!IS16"")"),0)</f>
        <v>0</v>
      </c>
      <c r="J682" s="697">
        <f>J685+J688</f>
        <v>0</v>
      </c>
      <c r="K682" s="679">
        <f t="shared" ca="1" si="410"/>
        <v>0</v>
      </c>
      <c r="L682" s="574"/>
      <c r="M682" s="566"/>
      <c r="N682" s="1085"/>
      <c r="O682" s="566"/>
      <c r="P682" s="566"/>
      <c r="Q682" s="566"/>
      <c r="R682" s="566"/>
      <c r="S682" s="1085"/>
      <c r="T682" s="566"/>
      <c r="U682" s="566"/>
    </row>
    <row r="683" spans="1:21" ht="18.75" x14ac:dyDescent="0.25">
      <c r="A683" s="764"/>
      <c r="B683" s="718"/>
      <c r="C683" s="718"/>
      <c r="D683" s="561"/>
      <c r="E683" s="573" t="s">
        <v>252</v>
      </c>
      <c r="F683" s="561"/>
      <c r="G683" s="563"/>
      <c r="H683" s="686" t="s">
        <v>35</v>
      </c>
      <c r="I683" s="727"/>
      <c r="J683" s="702">
        <v>0</v>
      </c>
      <c r="K683" s="566"/>
      <c r="L683" s="1087"/>
      <c r="M683" s="566"/>
      <c r="N683" s="1085"/>
      <c r="O683" s="566"/>
      <c r="P683" s="566"/>
      <c r="Q683" s="1085"/>
      <c r="R683" s="566"/>
      <c r="S683" s="1085"/>
      <c r="T683" s="566"/>
      <c r="U683" s="566"/>
    </row>
    <row r="684" spans="1:21" ht="18.75" x14ac:dyDescent="0.25">
      <c r="A684" s="764"/>
      <c r="B684" s="718"/>
      <c r="C684" s="718"/>
      <c r="D684" s="561"/>
      <c r="E684" s="561"/>
      <c r="F684" s="561"/>
      <c r="G684" s="563"/>
      <c r="H684" s="686" t="s">
        <v>34</v>
      </c>
      <c r="I684" s="727"/>
      <c r="J684" s="702">
        <v>0</v>
      </c>
      <c r="K684" s="566"/>
      <c r="L684" s="1087"/>
      <c r="M684" s="566"/>
      <c r="N684" s="1085"/>
      <c r="O684" s="566"/>
      <c r="P684" s="566"/>
      <c r="Q684" s="1085"/>
      <c r="R684" s="566"/>
      <c r="S684" s="1085"/>
      <c r="T684" s="566"/>
      <c r="U684" s="566"/>
    </row>
    <row r="685" spans="1:21" ht="18.75" x14ac:dyDescent="0.25">
      <c r="A685" s="764"/>
      <c r="B685" s="718"/>
      <c r="C685" s="718"/>
      <c r="D685" s="561"/>
      <c r="E685" s="561"/>
      <c r="F685" s="561"/>
      <c r="G685" s="563"/>
      <c r="H685" s="686" t="s">
        <v>46</v>
      </c>
      <c r="I685" s="727"/>
      <c r="J685" s="702">
        <v>0</v>
      </c>
      <c r="K685" s="566"/>
      <c r="L685" s="1087"/>
      <c r="M685" s="566"/>
      <c r="N685" s="1085"/>
      <c r="O685" s="566"/>
      <c r="P685" s="566"/>
      <c r="Q685" s="1085"/>
      <c r="R685" s="566"/>
      <c r="S685" s="1085"/>
      <c r="T685" s="566"/>
      <c r="U685" s="566"/>
    </row>
    <row r="686" spans="1:21" ht="18.75" x14ac:dyDescent="0.25">
      <c r="A686" s="764"/>
      <c r="B686" s="718"/>
      <c r="C686" s="718"/>
      <c r="D686" s="561"/>
      <c r="E686" s="573" t="s">
        <v>253</v>
      </c>
      <c r="F686" s="561"/>
      <c r="G686" s="563"/>
      <c r="H686" s="686" t="s">
        <v>35</v>
      </c>
      <c r="I686" s="727"/>
      <c r="J686" s="702">
        <v>0</v>
      </c>
      <c r="K686" s="566"/>
      <c r="L686" s="1087"/>
      <c r="M686" s="566"/>
      <c r="N686" s="1085"/>
      <c r="O686" s="566"/>
      <c r="P686" s="566"/>
      <c r="Q686" s="1085"/>
      <c r="R686" s="566"/>
      <c r="S686" s="1085"/>
      <c r="T686" s="566"/>
      <c r="U686" s="566"/>
    </row>
    <row r="687" spans="1:21" ht="18.75" x14ac:dyDescent="0.25">
      <c r="A687" s="764"/>
      <c r="B687" s="718"/>
      <c r="C687" s="718"/>
      <c r="D687" s="561"/>
      <c r="E687" s="561"/>
      <c r="F687" s="561"/>
      <c r="G687" s="563"/>
      <c r="H687" s="686" t="s">
        <v>34</v>
      </c>
      <c r="I687" s="727"/>
      <c r="J687" s="702">
        <v>0</v>
      </c>
      <c r="K687" s="566"/>
      <c r="L687" s="1087"/>
      <c r="M687" s="566"/>
      <c r="N687" s="1085"/>
      <c r="O687" s="566"/>
      <c r="P687" s="566"/>
      <c r="Q687" s="1085"/>
      <c r="R687" s="566"/>
      <c r="S687" s="1085"/>
      <c r="T687" s="566"/>
      <c r="U687" s="566"/>
    </row>
    <row r="688" spans="1:21" ht="19.5" x14ac:dyDescent="0.3">
      <c r="A688" s="863"/>
      <c r="B688" s="1088" t="s">
        <v>254</v>
      </c>
      <c r="C688" s="864"/>
      <c r="D688" s="512"/>
      <c r="E688" s="512"/>
      <c r="F688" s="512"/>
      <c r="G688" s="866"/>
      <c r="H688" s="1089" t="s">
        <v>46</v>
      </c>
      <c r="I688" s="985"/>
      <c r="J688" s="990">
        <v>0</v>
      </c>
      <c r="K688" s="580"/>
      <c r="L688" s="1090"/>
      <c r="M688" s="580"/>
      <c r="N688" s="1091"/>
      <c r="O688" s="580"/>
      <c r="P688" s="580"/>
      <c r="Q688" s="1091"/>
      <c r="R688" s="580"/>
      <c r="S688" s="1091"/>
      <c r="T688" s="580"/>
      <c r="U688" s="580"/>
    </row>
    <row r="689" spans="1:21" ht="19.5" x14ac:dyDescent="0.3">
      <c r="A689" s="1061"/>
      <c r="B689" s="1062" t="s">
        <v>255</v>
      </c>
      <c r="C689" s="1061"/>
      <c r="D689" s="1063"/>
      <c r="E689" s="1063"/>
      <c r="F689" s="1063"/>
      <c r="G689" s="1064"/>
      <c r="H689" s="1092" t="s">
        <v>35</v>
      </c>
      <c r="I689" s="1093">
        <f t="shared" ref="I689:J689" ca="1" si="411">I707</f>
        <v>40</v>
      </c>
      <c r="J689" s="1093">
        <f t="shared" ca="1" si="411"/>
        <v>0</v>
      </c>
      <c r="K689" s="1094">
        <f ca="1">IF(I689&gt;0,J689*100/I689,0)</f>
        <v>0</v>
      </c>
      <c r="L689" s="1068"/>
      <c r="M689" s="1067"/>
      <c r="N689" s="1067"/>
      <c r="O689" s="1067"/>
      <c r="P689" s="1067"/>
      <c r="Q689" s="1067"/>
      <c r="R689" s="1067"/>
      <c r="S689" s="1067"/>
      <c r="T689" s="1067"/>
      <c r="U689" s="1067"/>
    </row>
    <row r="690" spans="1:21" ht="19.5" x14ac:dyDescent="0.3">
      <c r="A690" s="674"/>
      <c r="B690" s="718"/>
      <c r="C690" s="724" t="s">
        <v>18</v>
      </c>
      <c r="D690" s="1310" t="s">
        <v>19</v>
      </c>
      <c r="E690" s="1311"/>
      <c r="F690" s="1311"/>
      <c r="G690" s="1312"/>
      <c r="H690" s="780" t="s">
        <v>14</v>
      </c>
      <c r="I690" s="565"/>
      <c r="J690" s="565"/>
      <c r="K690" s="566"/>
      <c r="L690" s="678">
        <f t="shared" ref="L690:N690" si="412">L691+L692</f>
        <v>0</v>
      </c>
      <c r="M690" s="679">
        <f t="shared" si="412"/>
        <v>0</v>
      </c>
      <c r="N690" s="679">
        <f t="shared" si="412"/>
        <v>0</v>
      </c>
      <c r="O690" s="679">
        <f t="shared" ref="O690:O698" si="413">IF(L690&gt;0,N690*100/L690,0)</f>
        <v>0</v>
      </c>
      <c r="P690" s="679">
        <f t="shared" ref="P690:P698" si="414">IF(M690&gt;0,N690*100/M690,0)</f>
        <v>0</v>
      </c>
      <c r="Q690" s="679">
        <f t="shared" ref="Q690:S690" ca="1" si="415">Q691+Q692</f>
        <v>194110</v>
      </c>
      <c r="R690" s="679">
        <f t="shared" ca="1" si="415"/>
        <v>194110</v>
      </c>
      <c r="S690" s="679">
        <f t="shared" ca="1" si="415"/>
        <v>16863.060000000001</v>
      </c>
      <c r="T690" s="679">
        <f t="shared" ref="T690:T698" ca="1" si="416">IF(Q690&gt;0,S690*100/Q690,0)</f>
        <v>8.6873731389418385</v>
      </c>
      <c r="U690" s="679">
        <f t="shared" ref="U690:U698" ca="1" si="417">IF(R690&gt;0,S690*100/R690,0)</f>
        <v>8.6873731389418385</v>
      </c>
    </row>
    <row r="691" spans="1:21" ht="18.75" x14ac:dyDescent="0.25">
      <c r="A691" s="674"/>
      <c r="B691" s="718"/>
      <c r="C691" s="718"/>
      <c r="D691" s="695"/>
      <c r="E691" s="569" t="s">
        <v>158</v>
      </c>
      <c r="F691" s="561"/>
      <c r="G691" s="563"/>
      <c r="H691" s="685" t="s">
        <v>14</v>
      </c>
      <c r="I691" s="565"/>
      <c r="J691" s="565"/>
      <c r="K691" s="566"/>
      <c r="L691" s="571">
        <f t="shared" ref="L691:N692" si="418">L694+L697</f>
        <v>0</v>
      </c>
      <c r="M691" s="572">
        <f t="shared" si="418"/>
        <v>0</v>
      </c>
      <c r="N691" s="572">
        <f t="shared" si="418"/>
        <v>0</v>
      </c>
      <c r="O691" s="572">
        <f t="shared" si="413"/>
        <v>0</v>
      </c>
      <c r="P691" s="572">
        <f t="shared" si="414"/>
        <v>0</v>
      </c>
      <c r="Q691" s="572">
        <f t="shared" ref="Q691:S692" si="419">Q694+Q697</f>
        <v>0</v>
      </c>
      <c r="R691" s="572">
        <f t="shared" si="419"/>
        <v>0</v>
      </c>
      <c r="S691" s="572">
        <f t="shared" si="419"/>
        <v>0</v>
      </c>
      <c r="T691" s="572">
        <f t="shared" si="416"/>
        <v>0</v>
      </c>
      <c r="U691" s="572">
        <f t="shared" si="417"/>
        <v>0</v>
      </c>
    </row>
    <row r="692" spans="1:21" ht="18.75" x14ac:dyDescent="0.25">
      <c r="A692" s="674"/>
      <c r="B692" s="718"/>
      <c r="C692" s="718"/>
      <c r="D692" s="695"/>
      <c r="E692" s="573" t="s">
        <v>159</v>
      </c>
      <c r="F692" s="561"/>
      <c r="G692" s="563"/>
      <c r="H692" s="682" t="s">
        <v>14</v>
      </c>
      <c r="I692" s="565"/>
      <c r="J692" s="565"/>
      <c r="K692" s="566"/>
      <c r="L692" s="567">
        <f t="shared" si="418"/>
        <v>0</v>
      </c>
      <c r="M692" s="568">
        <f t="shared" si="418"/>
        <v>0</v>
      </c>
      <c r="N692" s="568">
        <f t="shared" si="418"/>
        <v>0</v>
      </c>
      <c r="O692" s="568">
        <f t="shared" si="413"/>
        <v>0</v>
      </c>
      <c r="P692" s="568">
        <f t="shared" si="414"/>
        <v>0</v>
      </c>
      <c r="Q692" s="568">
        <f t="shared" ca="1" si="419"/>
        <v>194110</v>
      </c>
      <c r="R692" s="568">
        <f t="shared" ca="1" si="419"/>
        <v>194110</v>
      </c>
      <c r="S692" s="568">
        <f t="shared" ca="1" si="419"/>
        <v>16863.060000000001</v>
      </c>
      <c r="T692" s="568">
        <f t="shared" ca="1" si="416"/>
        <v>8.6873731389418385</v>
      </c>
      <c r="U692" s="568">
        <f t="shared" ca="1" si="417"/>
        <v>8.6873731389418385</v>
      </c>
    </row>
    <row r="693" spans="1:21" ht="18.75" x14ac:dyDescent="0.25">
      <c r="A693" s="674"/>
      <c r="B693" s="718"/>
      <c r="C693" s="718"/>
      <c r="D693" s="562" t="s">
        <v>22</v>
      </c>
      <c r="E693" s="561"/>
      <c r="F693" s="561"/>
      <c r="G693" s="563"/>
      <c r="H693" s="682" t="s">
        <v>14</v>
      </c>
      <c r="I693" s="683"/>
      <c r="J693" s="683"/>
      <c r="K693" s="684"/>
      <c r="L693" s="567">
        <f t="shared" ref="L693:N693" si="420">L694+L695</f>
        <v>0</v>
      </c>
      <c r="M693" s="568">
        <f t="shared" si="420"/>
        <v>0</v>
      </c>
      <c r="N693" s="568">
        <f t="shared" si="420"/>
        <v>0</v>
      </c>
      <c r="O693" s="568">
        <f t="shared" si="413"/>
        <v>0</v>
      </c>
      <c r="P693" s="568">
        <f t="shared" si="414"/>
        <v>0</v>
      </c>
      <c r="Q693" s="568">
        <f t="shared" ref="Q693:S693" ca="1" si="421">Q694+Q695</f>
        <v>194110</v>
      </c>
      <c r="R693" s="568">
        <f t="shared" ca="1" si="421"/>
        <v>194110</v>
      </c>
      <c r="S693" s="568">
        <f t="shared" ca="1" si="421"/>
        <v>16863.060000000001</v>
      </c>
      <c r="T693" s="568">
        <f t="shared" ca="1" si="416"/>
        <v>8.6873731389418385</v>
      </c>
      <c r="U693" s="568">
        <f t="shared" ca="1" si="417"/>
        <v>8.6873731389418385</v>
      </c>
    </row>
    <row r="694" spans="1:21" ht="18.75" x14ac:dyDescent="0.25">
      <c r="A694" s="674"/>
      <c r="B694" s="718"/>
      <c r="C694" s="718"/>
      <c r="D694" s="695"/>
      <c r="E694" s="569" t="s">
        <v>158</v>
      </c>
      <c r="F694" s="561"/>
      <c r="G694" s="563"/>
      <c r="H694" s="685" t="s">
        <v>14</v>
      </c>
      <c r="I694" s="565"/>
      <c r="J694" s="565"/>
      <c r="K694" s="566"/>
      <c r="L694" s="571">
        <v>0</v>
      </c>
      <c r="M694" s="572">
        <v>0</v>
      </c>
      <c r="N694" s="572">
        <v>0</v>
      </c>
      <c r="O694" s="572">
        <f t="shared" si="413"/>
        <v>0</v>
      </c>
      <c r="P694" s="572">
        <f t="shared" si="414"/>
        <v>0</v>
      </c>
      <c r="Q694" s="572">
        <v>0</v>
      </c>
      <c r="R694" s="572">
        <v>0</v>
      </c>
      <c r="S694" s="572">
        <v>0</v>
      </c>
      <c r="T694" s="572">
        <f t="shared" si="416"/>
        <v>0</v>
      </c>
      <c r="U694" s="572">
        <f t="shared" si="417"/>
        <v>0</v>
      </c>
    </row>
    <row r="695" spans="1:21" ht="18.75" x14ac:dyDescent="0.25">
      <c r="A695" s="674"/>
      <c r="B695" s="718"/>
      <c r="C695" s="718"/>
      <c r="D695" s="695"/>
      <c r="E695" s="573" t="s">
        <v>159</v>
      </c>
      <c r="F695" s="561"/>
      <c r="G695" s="563"/>
      <c r="H695" s="682" t="s">
        <v>14</v>
      </c>
      <c r="I695" s="565"/>
      <c r="J695" s="565"/>
      <c r="K695" s="566"/>
      <c r="L695" s="567">
        <v>0</v>
      </c>
      <c r="M695" s="568">
        <v>0</v>
      </c>
      <c r="N695" s="568">
        <v>0</v>
      </c>
      <c r="O695" s="568">
        <f t="shared" si="413"/>
        <v>0</v>
      </c>
      <c r="P695" s="568">
        <f t="shared" si="414"/>
        <v>0</v>
      </c>
      <c r="Q695" s="568">
        <f ca="1">IFERROR(__xludf.DUMMYFUNCTION("IMPORTRANGE(""https://docs.google.com/spreadsheets/d/1ItG2mGa2ceCfYo0BwxsXqNm01IGEUdYcSSLTEv9YCik/edit?usp=sharing"",""เบิกจ่ายกองทุน!L16"")"),194110)</f>
        <v>194110</v>
      </c>
      <c r="R695" s="568">
        <f ca="1">IFERROR(__xludf.DUMMYFUNCTION("IMPORTRANGE(""https://docs.google.com/spreadsheets/d/1ItG2mGa2ceCfYo0BwxsXqNm01IGEUdYcSSLTEv9YCik/edit?usp=sharing"",""เบิกจ่ายกองทุน!M16"")"),194110)</f>
        <v>194110</v>
      </c>
      <c r="S695" s="568">
        <f ca="1">IFERROR(__xludf.DUMMYFUNCTION("IMPORTRANGE(""https://docs.google.com/spreadsheets/d/1ItG2mGa2ceCfYo0BwxsXqNm01IGEUdYcSSLTEv9YCik/edit?usp=sharing"",""เบิกจ่ายกองทุน!N16"")"),16863.06)</f>
        <v>16863.060000000001</v>
      </c>
      <c r="T695" s="568">
        <f t="shared" ca="1" si="416"/>
        <v>8.6873731389418385</v>
      </c>
      <c r="U695" s="568">
        <f t="shared" ca="1" si="417"/>
        <v>8.6873731389418385</v>
      </c>
    </row>
    <row r="696" spans="1:21" ht="18.75" x14ac:dyDescent="0.25">
      <c r="A696" s="674"/>
      <c r="B696" s="718"/>
      <c r="C696" s="718"/>
      <c r="D696" s="562" t="s">
        <v>23</v>
      </c>
      <c r="E696" s="561"/>
      <c r="F696" s="561"/>
      <c r="G696" s="563"/>
      <c r="H696" s="686" t="s">
        <v>14</v>
      </c>
      <c r="I696" s="683"/>
      <c r="J696" s="683"/>
      <c r="K696" s="684"/>
      <c r="L696" s="567">
        <f t="shared" ref="L696:N696" si="422">L697+L698</f>
        <v>0</v>
      </c>
      <c r="M696" s="568">
        <f t="shared" si="422"/>
        <v>0</v>
      </c>
      <c r="N696" s="568">
        <f t="shared" si="422"/>
        <v>0</v>
      </c>
      <c r="O696" s="568">
        <f t="shared" si="413"/>
        <v>0</v>
      </c>
      <c r="P696" s="568">
        <f t="shared" si="414"/>
        <v>0</v>
      </c>
      <c r="Q696" s="568">
        <f t="shared" ref="Q696:S696" si="423">Q697+Q698</f>
        <v>0</v>
      </c>
      <c r="R696" s="568">
        <f t="shared" si="423"/>
        <v>0</v>
      </c>
      <c r="S696" s="568">
        <f t="shared" si="423"/>
        <v>0</v>
      </c>
      <c r="T696" s="568">
        <f t="shared" si="416"/>
        <v>0</v>
      </c>
      <c r="U696" s="568">
        <f t="shared" si="417"/>
        <v>0</v>
      </c>
    </row>
    <row r="697" spans="1:21" ht="18.75" x14ac:dyDescent="0.25">
      <c r="A697" s="674"/>
      <c r="B697" s="718"/>
      <c r="C697" s="718"/>
      <c r="D697" s="561"/>
      <c r="E697" s="569" t="s">
        <v>20</v>
      </c>
      <c r="F697" s="561"/>
      <c r="G697" s="563"/>
      <c r="H697" s="685" t="s">
        <v>14</v>
      </c>
      <c r="I697" s="683"/>
      <c r="J697" s="683"/>
      <c r="K697" s="684"/>
      <c r="L697" s="571">
        <v>0</v>
      </c>
      <c r="M697" s="572">
        <v>0</v>
      </c>
      <c r="N697" s="572">
        <v>0</v>
      </c>
      <c r="O697" s="572">
        <f t="shared" si="413"/>
        <v>0</v>
      </c>
      <c r="P697" s="572">
        <f t="shared" si="414"/>
        <v>0</v>
      </c>
      <c r="Q697" s="572">
        <v>0</v>
      </c>
      <c r="R697" s="572">
        <v>0</v>
      </c>
      <c r="S697" s="572">
        <v>0</v>
      </c>
      <c r="T697" s="572">
        <f t="shared" si="416"/>
        <v>0</v>
      </c>
      <c r="U697" s="572">
        <f t="shared" si="417"/>
        <v>0</v>
      </c>
    </row>
    <row r="698" spans="1:21" ht="18.75" x14ac:dyDescent="0.25">
      <c r="A698" s="674"/>
      <c r="B698" s="718"/>
      <c r="C698" s="718"/>
      <c r="D698" s="561"/>
      <c r="E698" s="573" t="s">
        <v>21</v>
      </c>
      <c r="F698" s="561"/>
      <c r="G698" s="563"/>
      <c r="H698" s="686" t="s">
        <v>14</v>
      </c>
      <c r="I698" s="683"/>
      <c r="J698" s="683"/>
      <c r="K698" s="684"/>
      <c r="L698" s="567">
        <v>0</v>
      </c>
      <c r="M698" s="568">
        <v>0</v>
      </c>
      <c r="N698" s="568">
        <v>0</v>
      </c>
      <c r="O698" s="568">
        <f t="shared" si="413"/>
        <v>0</v>
      </c>
      <c r="P698" s="568">
        <f t="shared" si="414"/>
        <v>0</v>
      </c>
      <c r="Q698" s="568">
        <v>0</v>
      </c>
      <c r="R698" s="568">
        <v>0</v>
      </c>
      <c r="S698" s="568">
        <v>0</v>
      </c>
      <c r="T698" s="568">
        <f t="shared" si="416"/>
        <v>0</v>
      </c>
      <c r="U698" s="568">
        <f t="shared" si="417"/>
        <v>0</v>
      </c>
    </row>
    <row r="699" spans="1:21" ht="19.5" x14ac:dyDescent="0.3">
      <c r="A699" s="687"/>
      <c r="B699" s="688"/>
      <c r="C699" s="724" t="s">
        <v>18</v>
      </c>
      <c r="D699" s="689" t="s">
        <v>38</v>
      </c>
      <c r="E699" s="690"/>
      <c r="F699" s="690"/>
      <c r="G699" s="690"/>
      <c r="H699" s="725"/>
      <c r="I699" s="683"/>
      <c r="J699" s="683"/>
      <c r="K699" s="684"/>
      <c r="L699" s="574"/>
      <c r="M699" s="566"/>
      <c r="N699" s="566"/>
      <c r="O699" s="566"/>
      <c r="P699" s="566"/>
      <c r="Q699" s="566"/>
      <c r="R699" s="566"/>
      <c r="S699" s="566"/>
      <c r="T699" s="566"/>
      <c r="U699" s="566"/>
    </row>
    <row r="700" spans="1:21" ht="18.75" x14ac:dyDescent="0.25">
      <c r="A700" s="764"/>
      <c r="B700" s="718"/>
      <c r="C700" s="718"/>
      <c r="D700" s="695"/>
      <c r="E700" s="694" t="s">
        <v>256</v>
      </c>
      <c r="F700" s="695"/>
      <c r="G700" s="692"/>
      <c r="H700" s="686" t="s">
        <v>257</v>
      </c>
      <c r="I700" s="708">
        <f ca="1">IFERROR(__xludf.DUMMYFUNCTION("IMPORTRANGE(""https://docs.google.com/spreadsheets/d/1eHaY18a8A9IcSdp1K8H6x8fbOy06t2VsZHhMHf-1x7Y/edit?usp=sharing"",""แผน!LC16"")"),1)</f>
        <v>1</v>
      </c>
      <c r="J700" s="702">
        <v>0</v>
      </c>
      <c r="K700" s="703">
        <f t="shared" ref="K700:K710" ca="1" si="424">IF(I700&gt;0,J700*100/I700,0)</f>
        <v>0</v>
      </c>
      <c r="L700" s="693"/>
      <c r="M700" s="684"/>
      <c r="N700" s="566"/>
      <c r="O700" s="684"/>
      <c r="P700" s="684"/>
      <c r="Q700" s="684"/>
      <c r="R700" s="684"/>
      <c r="S700" s="566"/>
      <c r="T700" s="684"/>
      <c r="U700" s="684"/>
    </row>
    <row r="701" spans="1:21" ht="19.5" x14ac:dyDescent="0.3">
      <c r="A701" s="764"/>
      <c r="B701" s="718"/>
      <c r="C701" s="718"/>
      <c r="D701" s="695"/>
      <c r="E701" s="1095" t="s">
        <v>258</v>
      </c>
      <c r="F701" s="695"/>
      <c r="G701" s="692"/>
      <c r="H701" s="677" t="s">
        <v>35</v>
      </c>
      <c r="I701" s="697">
        <f t="shared" ref="I701:J701" ca="1" si="425">I703+I705</f>
        <v>44</v>
      </c>
      <c r="J701" s="697">
        <f t="shared" ca="1" si="425"/>
        <v>0</v>
      </c>
      <c r="K701" s="679">
        <f t="shared" ca="1" si="424"/>
        <v>0</v>
      </c>
      <c r="L701" s="693"/>
      <c r="M701" s="684"/>
      <c r="N701" s="684"/>
      <c r="O701" s="684"/>
      <c r="P701" s="684"/>
      <c r="Q701" s="684"/>
      <c r="R701" s="684"/>
      <c r="S701" s="684"/>
      <c r="T701" s="684"/>
      <c r="U701" s="684"/>
    </row>
    <row r="702" spans="1:21" ht="19.5" x14ac:dyDescent="0.3">
      <c r="A702" s="764"/>
      <c r="B702" s="718"/>
      <c r="C702" s="718"/>
      <c r="D702" s="695"/>
      <c r="E702" s="695"/>
      <c r="F702" s="695"/>
      <c r="G702" s="692"/>
      <c r="H702" s="677" t="s">
        <v>46</v>
      </c>
      <c r="I702" s="697">
        <v>0</v>
      </c>
      <c r="J702" s="697">
        <f ca="1">J704+J706</f>
        <v>0</v>
      </c>
      <c r="K702" s="679">
        <f t="shared" si="424"/>
        <v>0</v>
      </c>
      <c r="L702" s="693"/>
      <c r="M702" s="684"/>
      <c r="N702" s="684"/>
      <c r="O702" s="684"/>
      <c r="P702" s="684"/>
      <c r="Q702" s="684"/>
      <c r="R702" s="684"/>
      <c r="S702" s="684"/>
      <c r="T702" s="684"/>
      <c r="U702" s="684"/>
    </row>
    <row r="703" spans="1:21" ht="18.75" x14ac:dyDescent="0.25">
      <c r="A703" s="764"/>
      <c r="B703" s="718"/>
      <c r="C703" s="718"/>
      <c r="D703" s="695"/>
      <c r="E703" s="695"/>
      <c r="F703" s="694" t="s">
        <v>259</v>
      </c>
      <c r="G703" s="692"/>
      <c r="H703" s="686" t="s">
        <v>35</v>
      </c>
      <c r="I703" s="708">
        <f ca="1">IFERROR(__xludf.DUMMYFUNCTION("IMPORTRANGE(""https://docs.google.com/spreadsheets/d/1eHaY18a8A9IcSdp1K8H6x8fbOy06t2VsZHhMHf-1x7Y/edit?usp=sharing"",""แผน!LJ16"")"),40)</f>
        <v>40</v>
      </c>
      <c r="J703" s="708">
        <f ca="1">IFERROR(__xludf.DUMMYFUNCTION("IMPORTRANGE(""https://docs.google.com/spreadsheets/d/1tdoBKaGub7dwA3U6UFTqxio9LNnvDCQjHKmttSEBsFQ/edit?usp=sharing"",""จัดที่ดิน!AP16"")"),0)</f>
        <v>0</v>
      </c>
      <c r="K703" s="568">
        <f t="shared" ca="1" si="424"/>
        <v>0</v>
      </c>
      <c r="L703" s="693"/>
      <c r="M703" s="684"/>
      <c r="N703" s="684"/>
      <c r="O703" s="684"/>
      <c r="P703" s="684"/>
      <c r="Q703" s="684"/>
      <c r="R703" s="684"/>
      <c r="S703" s="684"/>
      <c r="T703" s="684"/>
      <c r="U703" s="684"/>
    </row>
    <row r="704" spans="1:21" ht="18.75" x14ac:dyDescent="0.25">
      <c r="A704" s="764"/>
      <c r="B704" s="718"/>
      <c r="C704" s="718"/>
      <c r="D704" s="695"/>
      <c r="E704" s="695"/>
      <c r="F704" s="695"/>
      <c r="G704" s="692"/>
      <c r="H704" s="686" t="s">
        <v>46</v>
      </c>
      <c r="I704" s="708">
        <v>0</v>
      </c>
      <c r="J704" s="708">
        <f ca="1">IFERROR(__xludf.DUMMYFUNCTION("IMPORTRANGE(""https://docs.google.com/spreadsheets/d/1tdoBKaGub7dwA3U6UFTqxio9LNnvDCQjHKmttSEBsFQ/edit?usp=sharing"",""จัดที่ดิน!AQ16"")"),0)</f>
        <v>0</v>
      </c>
      <c r="K704" s="568">
        <f t="shared" si="424"/>
        <v>0</v>
      </c>
      <c r="L704" s="693"/>
      <c r="M704" s="684"/>
      <c r="N704" s="684"/>
      <c r="O704" s="684"/>
      <c r="P704" s="684"/>
      <c r="Q704" s="684"/>
      <c r="R704" s="684"/>
      <c r="S704" s="684"/>
      <c r="T704" s="684"/>
      <c r="U704" s="684"/>
    </row>
    <row r="705" spans="1:21" ht="18.75" x14ac:dyDescent="0.25">
      <c r="A705" s="764"/>
      <c r="B705" s="718"/>
      <c r="C705" s="718"/>
      <c r="D705" s="695"/>
      <c r="E705" s="695"/>
      <c r="F705" s="694" t="s">
        <v>260</v>
      </c>
      <c r="G705" s="692"/>
      <c r="H705" s="686" t="s">
        <v>35</v>
      </c>
      <c r="I705" s="708">
        <f ca="1">IFERROR(__xludf.DUMMYFUNCTION("IMPORTRANGE(""https://docs.google.com/spreadsheets/d/1eHaY18a8A9IcSdp1K8H6x8fbOy06t2VsZHhMHf-1x7Y/edit?usp=sharing"",""แผน!LK16"")"),4)</f>
        <v>4</v>
      </c>
      <c r="J705" s="708">
        <f ca="1">IFERROR(__xludf.DUMMYFUNCTION("IMPORTRANGE(""https://docs.google.com/spreadsheets/d/1tdoBKaGub7dwA3U6UFTqxio9LNnvDCQjHKmttSEBsFQ/edit?usp=sharing"",""จัดที่ดิน!AR16"")"),0)</f>
        <v>0</v>
      </c>
      <c r="K705" s="703">
        <f t="shared" ca="1" si="424"/>
        <v>0</v>
      </c>
      <c r="L705" s="693"/>
      <c r="M705" s="684"/>
      <c r="N705" s="684"/>
      <c r="O705" s="684"/>
      <c r="P705" s="684"/>
      <c r="Q705" s="684"/>
      <c r="R705" s="684"/>
      <c r="S705" s="684"/>
      <c r="T705" s="684"/>
      <c r="U705" s="684"/>
    </row>
    <row r="706" spans="1:21" ht="18.75" x14ac:dyDescent="0.25">
      <c r="A706" s="764"/>
      <c r="B706" s="718"/>
      <c r="C706" s="718"/>
      <c r="D706" s="695"/>
      <c r="E706" s="695"/>
      <c r="F706" s="695"/>
      <c r="G706" s="692"/>
      <c r="H706" s="686" t="s">
        <v>46</v>
      </c>
      <c r="I706" s="708">
        <v>0</v>
      </c>
      <c r="J706" s="708">
        <f ca="1">IFERROR(__xludf.DUMMYFUNCTION("IMPORTRANGE(""https://docs.google.com/spreadsheets/d/1tdoBKaGub7dwA3U6UFTqxio9LNnvDCQjHKmttSEBsFQ/edit?usp=sharing"",""จัดที่ดิน!AS16"")"),0)</f>
        <v>0</v>
      </c>
      <c r="K706" s="568">
        <f t="shared" si="424"/>
        <v>0</v>
      </c>
      <c r="L706" s="693"/>
      <c r="M706" s="684"/>
      <c r="N706" s="684"/>
      <c r="O706" s="684"/>
      <c r="P706" s="684"/>
      <c r="Q706" s="684"/>
      <c r="R706" s="684"/>
      <c r="S706" s="684"/>
      <c r="T706" s="684"/>
      <c r="U706" s="684"/>
    </row>
    <row r="707" spans="1:21" ht="18.75" x14ac:dyDescent="0.25">
      <c r="A707" s="764"/>
      <c r="B707" s="718"/>
      <c r="C707" s="718"/>
      <c r="D707" s="695"/>
      <c r="E707" s="694" t="s">
        <v>261</v>
      </c>
      <c r="F707" s="695"/>
      <c r="G707" s="692"/>
      <c r="H707" s="682" t="s">
        <v>35</v>
      </c>
      <c r="I707" s="708">
        <f ca="1">IFERROR(__xludf.DUMMYFUNCTION("IMPORTRANGE(""https://docs.google.com/spreadsheets/d/1eHaY18a8A9IcSdp1K8H6x8fbOy06t2VsZHhMHf-1x7Y/edit?usp=sharing"",""แผน!LJ16"")"),40)</f>
        <v>40</v>
      </c>
      <c r="J707" s="708">
        <f ca="1">IFERROR(__xludf.DUMMYFUNCTION("IMPORTRANGE(""https://docs.google.com/spreadsheets/d/1tdoBKaGub7dwA3U6UFTqxio9LNnvDCQjHKmttSEBsFQ/edit?usp=sharing"",""จัดที่ดิน!BN16"")"),0)</f>
        <v>0</v>
      </c>
      <c r="K707" s="568">
        <f t="shared" ca="1" si="424"/>
        <v>0</v>
      </c>
      <c r="L707" s="693"/>
      <c r="M707" s="684"/>
      <c r="N707" s="684"/>
      <c r="O707" s="684"/>
      <c r="P707" s="684"/>
      <c r="Q707" s="684"/>
      <c r="R707" s="684"/>
      <c r="S707" s="684"/>
      <c r="T707" s="684"/>
      <c r="U707" s="684"/>
    </row>
    <row r="708" spans="1:21" ht="18.75" x14ac:dyDescent="0.25">
      <c r="A708" s="764"/>
      <c r="B708" s="718"/>
      <c r="C708" s="718"/>
      <c r="D708" s="695"/>
      <c r="E708" s="1096" t="s">
        <v>262</v>
      </c>
      <c r="F708" s="695"/>
      <c r="G708" s="692"/>
      <c r="H708" s="682" t="s">
        <v>46</v>
      </c>
      <c r="I708" s="708">
        <v>0</v>
      </c>
      <c r="J708" s="708">
        <f ca="1">IFERROR(__xludf.DUMMYFUNCTION("IMPORTRANGE(""https://docs.google.com/spreadsheets/d/1tdoBKaGub7dwA3U6UFTqxio9LNnvDCQjHKmttSEBsFQ/edit?usp=sharing"",""จัดที่ดิน!BO16"")"),0)</f>
        <v>0</v>
      </c>
      <c r="K708" s="568">
        <f t="shared" si="424"/>
        <v>0</v>
      </c>
      <c r="L708" s="693"/>
      <c r="M708" s="684"/>
      <c r="N708" s="684"/>
      <c r="O708" s="684"/>
      <c r="P708" s="684"/>
      <c r="Q708" s="684"/>
      <c r="R708" s="684"/>
      <c r="S708" s="684"/>
      <c r="T708" s="684"/>
      <c r="U708" s="684"/>
    </row>
    <row r="709" spans="1:21" ht="18.75" x14ac:dyDescent="0.25">
      <c r="A709" s="764"/>
      <c r="B709" s="718"/>
      <c r="C709" s="718"/>
      <c r="D709" s="561"/>
      <c r="E709" s="573" t="s">
        <v>263</v>
      </c>
      <c r="F709" s="561"/>
      <c r="G709" s="563"/>
      <c r="H709" s="722" t="s">
        <v>35</v>
      </c>
      <c r="I709" s="708">
        <f ca="1">IFERROR(__xludf.DUMMYFUNCTION("IMPORTRANGE(""https://docs.google.com/spreadsheets/d/1eHaY18a8A9IcSdp1K8H6x8fbOy06t2VsZHhMHf-1x7Y/edit?usp=sharing"",""แผน!LK16"")"),4)</f>
        <v>4</v>
      </c>
      <c r="J709" s="708">
        <f ca="1">IFERROR(__xludf.DUMMYFUNCTION("IMPORTRANGE(""https://docs.google.com/spreadsheets/d/1tdoBKaGub7dwA3U6UFTqxio9LNnvDCQjHKmttSEBsFQ/edit?usp=sharing"",""จัดที่ดิน!BP16"")"),0)</f>
        <v>0</v>
      </c>
      <c r="K709" s="568">
        <f t="shared" ca="1" si="424"/>
        <v>0</v>
      </c>
      <c r="L709" s="574"/>
      <c r="M709" s="566"/>
      <c r="N709" s="566"/>
      <c r="O709" s="566"/>
      <c r="P709" s="566"/>
      <c r="Q709" s="566"/>
      <c r="R709" s="566"/>
      <c r="S709" s="566"/>
      <c r="T709" s="566"/>
      <c r="U709" s="566"/>
    </row>
    <row r="710" spans="1:21" ht="18.75" x14ac:dyDescent="0.25">
      <c r="A710" s="764"/>
      <c r="B710" s="718"/>
      <c r="C710" s="718"/>
      <c r="D710" s="561"/>
      <c r="E710" s="1096" t="s">
        <v>264</v>
      </c>
      <c r="F710" s="561"/>
      <c r="G710" s="563"/>
      <c r="H710" s="722" t="s">
        <v>46</v>
      </c>
      <c r="I710" s="708">
        <v>0</v>
      </c>
      <c r="J710" s="708">
        <f ca="1">IFERROR(__xludf.DUMMYFUNCTION("IMPORTRANGE(""https://docs.google.com/spreadsheets/d/1tdoBKaGub7dwA3U6UFTqxio9LNnvDCQjHKmttSEBsFQ/edit?usp=sharing"",""จัดที่ดิน!BQ16"")"),0)</f>
        <v>0</v>
      </c>
      <c r="K710" s="568">
        <f t="shared" si="424"/>
        <v>0</v>
      </c>
      <c r="L710" s="574"/>
      <c r="M710" s="566"/>
      <c r="N710" s="566"/>
      <c r="O710" s="566"/>
      <c r="P710" s="566"/>
      <c r="Q710" s="566"/>
      <c r="R710" s="566"/>
      <c r="S710" s="566"/>
      <c r="T710" s="566"/>
      <c r="U710" s="566"/>
    </row>
    <row r="711" spans="1:21" ht="12.75" hidden="1" x14ac:dyDescent="0.2">
      <c r="A711" s="1027"/>
      <c r="B711" s="966"/>
      <c r="C711" s="966"/>
      <c r="D711" s="1028"/>
      <c r="E711" s="1028"/>
      <c r="F711" s="1028"/>
      <c r="G711" s="1029"/>
      <c r="H711" s="967"/>
      <c r="I711" s="968"/>
      <c r="J711" s="968"/>
      <c r="K711" s="969"/>
      <c r="L711" s="970"/>
      <c r="M711" s="969"/>
      <c r="N711" s="969"/>
      <c r="O711" s="969"/>
      <c r="P711" s="969"/>
      <c r="Q711" s="969"/>
      <c r="R711" s="969"/>
      <c r="S711" s="969"/>
      <c r="T711" s="969"/>
      <c r="U711" s="969"/>
    </row>
    <row r="712" spans="1:21" ht="19.5" hidden="1" x14ac:dyDescent="0.3">
      <c r="A712" s="1061"/>
      <c r="B712" s="1097" t="s">
        <v>265</v>
      </c>
      <c r="C712" s="1061"/>
      <c r="D712" s="1063"/>
      <c r="E712" s="1063"/>
      <c r="F712" s="1063"/>
      <c r="G712" s="1064"/>
      <c r="H712" s="1098" t="s">
        <v>46</v>
      </c>
      <c r="I712" s="1066"/>
      <c r="J712" s="1066">
        <f>J724</f>
        <v>0</v>
      </c>
      <c r="K712" s="1099">
        <f>IF(I712&gt;0,J712*100/I712,0)</f>
        <v>0</v>
      </c>
      <c r="L712" s="1068"/>
      <c r="M712" s="1067"/>
      <c r="N712" s="1067"/>
      <c r="O712" s="1067"/>
      <c r="P712" s="1067"/>
      <c r="Q712" s="1067"/>
      <c r="R712" s="1067"/>
      <c r="S712" s="1067"/>
      <c r="T712" s="1067"/>
      <c r="U712" s="1067"/>
    </row>
    <row r="713" spans="1:21" ht="19.5" hidden="1" x14ac:dyDescent="0.3">
      <c r="A713" s="1061"/>
      <c r="B713" s="1097" t="s">
        <v>266</v>
      </c>
      <c r="C713" s="1061"/>
      <c r="D713" s="1063"/>
      <c r="E713" s="1063"/>
      <c r="F713" s="1063"/>
      <c r="G713" s="1064"/>
      <c r="H713" s="1065"/>
      <c r="I713" s="1066"/>
      <c r="J713" s="1066"/>
      <c r="K713" s="1067"/>
      <c r="L713" s="1068"/>
      <c r="M713" s="1067"/>
      <c r="N713" s="1067"/>
      <c r="O713" s="1067"/>
      <c r="P713" s="1067"/>
      <c r="Q713" s="1067"/>
      <c r="R713" s="1067"/>
      <c r="S713" s="1067"/>
      <c r="T713" s="1067"/>
      <c r="U713" s="1067"/>
    </row>
    <row r="714" spans="1:21" ht="19.5" hidden="1" x14ac:dyDescent="0.3">
      <c r="A714" s="674"/>
      <c r="B714" s="718"/>
      <c r="C714" s="767" t="s">
        <v>18</v>
      </c>
      <c r="D714" s="1315" t="s">
        <v>19</v>
      </c>
      <c r="E714" s="1311"/>
      <c r="F714" s="1311"/>
      <c r="G714" s="1312"/>
      <c r="H714" s="799" t="s">
        <v>14</v>
      </c>
      <c r="I714" s="565"/>
      <c r="J714" s="565"/>
      <c r="K714" s="566"/>
      <c r="L714" s="678">
        <f t="shared" ref="L714:N714" si="426">L715+L716</f>
        <v>0</v>
      </c>
      <c r="M714" s="679">
        <f t="shared" si="426"/>
        <v>0</v>
      </c>
      <c r="N714" s="679">
        <f t="shared" si="426"/>
        <v>0</v>
      </c>
      <c r="O714" s="679">
        <f t="shared" ref="O714:O722" si="427">IF(L714&gt;0,N714*100/L714,0)</f>
        <v>0</v>
      </c>
      <c r="P714" s="679">
        <f t="shared" ref="P714:P722" si="428">IF(M714&gt;0,N714*100/M714,0)</f>
        <v>0</v>
      </c>
      <c r="Q714" s="679">
        <f t="shared" ref="Q714:S714" si="429">Q715+Q716</f>
        <v>0</v>
      </c>
      <c r="R714" s="679">
        <f t="shared" si="429"/>
        <v>0</v>
      </c>
      <c r="S714" s="679">
        <f t="shared" si="429"/>
        <v>0</v>
      </c>
      <c r="T714" s="679">
        <f t="shared" ref="T714:T722" si="430">IF(Q714&gt;0,S714*100/Q714,0)</f>
        <v>0</v>
      </c>
      <c r="U714" s="679">
        <f t="shared" ref="U714:U722" si="431">IF(R714&gt;0,S714*100/R714,0)</f>
        <v>0</v>
      </c>
    </row>
    <row r="715" spans="1:21" ht="18.75" hidden="1" x14ac:dyDescent="0.25">
      <c r="A715" s="674"/>
      <c r="B715" s="718"/>
      <c r="C715" s="718"/>
      <c r="D715" s="695"/>
      <c r="E715" s="569" t="s">
        <v>158</v>
      </c>
      <c r="F715" s="561"/>
      <c r="G715" s="563"/>
      <c r="H715" s="685" t="s">
        <v>14</v>
      </c>
      <c r="I715" s="565"/>
      <c r="J715" s="565"/>
      <c r="K715" s="566"/>
      <c r="L715" s="571">
        <f t="shared" ref="L715:N716" si="432">L718+L721</f>
        <v>0</v>
      </c>
      <c r="M715" s="572">
        <f t="shared" si="432"/>
        <v>0</v>
      </c>
      <c r="N715" s="572">
        <f t="shared" si="432"/>
        <v>0</v>
      </c>
      <c r="O715" s="572">
        <f t="shared" si="427"/>
        <v>0</v>
      </c>
      <c r="P715" s="572">
        <f t="shared" si="428"/>
        <v>0</v>
      </c>
      <c r="Q715" s="572">
        <f t="shared" ref="Q715:S716" si="433">Q718+Q721</f>
        <v>0</v>
      </c>
      <c r="R715" s="572">
        <f t="shared" si="433"/>
        <v>0</v>
      </c>
      <c r="S715" s="572">
        <f t="shared" si="433"/>
        <v>0</v>
      </c>
      <c r="T715" s="572">
        <f t="shared" si="430"/>
        <v>0</v>
      </c>
      <c r="U715" s="572">
        <f t="shared" si="431"/>
        <v>0</v>
      </c>
    </row>
    <row r="716" spans="1:21" ht="18.75" hidden="1" x14ac:dyDescent="0.25">
      <c r="A716" s="674"/>
      <c r="B716" s="718"/>
      <c r="C716" s="718"/>
      <c r="D716" s="695"/>
      <c r="E716" s="569" t="s">
        <v>159</v>
      </c>
      <c r="F716" s="561"/>
      <c r="G716" s="563"/>
      <c r="H716" s="685" t="s">
        <v>14</v>
      </c>
      <c r="I716" s="565"/>
      <c r="J716" s="565"/>
      <c r="K716" s="566"/>
      <c r="L716" s="567">
        <f t="shared" si="432"/>
        <v>0</v>
      </c>
      <c r="M716" s="568">
        <f t="shared" si="432"/>
        <v>0</v>
      </c>
      <c r="N716" s="568">
        <f t="shared" si="432"/>
        <v>0</v>
      </c>
      <c r="O716" s="568">
        <f t="shared" si="427"/>
        <v>0</v>
      </c>
      <c r="P716" s="568">
        <f t="shared" si="428"/>
        <v>0</v>
      </c>
      <c r="Q716" s="568">
        <f t="shared" si="433"/>
        <v>0</v>
      </c>
      <c r="R716" s="568">
        <f t="shared" si="433"/>
        <v>0</v>
      </c>
      <c r="S716" s="568">
        <f t="shared" si="433"/>
        <v>0</v>
      </c>
      <c r="T716" s="568">
        <f t="shared" si="430"/>
        <v>0</v>
      </c>
      <c r="U716" s="568">
        <f t="shared" si="431"/>
        <v>0</v>
      </c>
    </row>
    <row r="717" spans="1:21" ht="19.5" hidden="1" x14ac:dyDescent="0.3">
      <c r="A717" s="674"/>
      <c r="B717" s="718"/>
      <c r="C717" s="718"/>
      <c r="D717" s="798" t="s">
        <v>22</v>
      </c>
      <c r="E717" s="561"/>
      <c r="F717" s="561"/>
      <c r="G717" s="563"/>
      <c r="H717" s="799" t="s">
        <v>14</v>
      </c>
      <c r="I717" s="683"/>
      <c r="J717" s="683"/>
      <c r="K717" s="684"/>
      <c r="L717" s="567">
        <f t="shared" ref="L717:N717" si="434">L718+L719</f>
        <v>0</v>
      </c>
      <c r="M717" s="568">
        <f t="shared" si="434"/>
        <v>0</v>
      </c>
      <c r="N717" s="568">
        <f t="shared" si="434"/>
        <v>0</v>
      </c>
      <c r="O717" s="568">
        <f t="shared" si="427"/>
        <v>0</v>
      </c>
      <c r="P717" s="568">
        <f t="shared" si="428"/>
        <v>0</v>
      </c>
      <c r="Q717" s="568">
        <f t="shared" ref="Q717:S717" si="435">Q718+Q719</f>
        <v>0</v>
      </c>
      <c r="R717" s="568">
        <f t="shared" si="435"/>
        <v>0</v>
      </c>
      <c r="S717" s="568">
        <f t="shared" si="435"/>
        <v>0</v>
      </c>
      <c r="T717" s="568">
        <f t="shared" si="430"/>
        <v>0</v>
      </c>
      <c r="U717" s="568">
        <f t="shared" si="431"/>
        <v>0</v>
      </c>
    </row>
    <row r="718" spans="1:21" ht="18.75" hidden="1" x14ac:dyDescent="0.25">
      <c r="A718" s="674"/>
      <c r="B718" s="718"/>
      <c r="C718" s="718"/>
      <c r="D718" s="695"/>
      <c r="E718" s="569" t="s">
        <v>158</v>
      </c>
      <c r="F718" s="561"/>
      <c r="G718" s="563"/>
      <c r="H718" s="685" t="s">
        <v>14</v>
      </c>
      <c r="I718" s="565"/>
      <c r="J718" s="565"/>
      <c r="K718" s="566"/>
      <c r="L718" s="571">
        <v>0</v>
      </c>
      <c r="M718" s="572">
        <v>0</v>
      </c>
      <c r="N718" s="572">
        <v>0</v>
      </c>
      <c r="O718" s="572">
        <f t="shared" si="427"/>
        <v>0</v>
      </c>
      <c r="P718" s="572">
        <f t="shared" si="428"/>
        <v>0</v>
      </c>
      <c r="Q718" s="572">
        <v>0</v>
      </c>
      <c r="R718" s="572">
        <v>0</v>
      </c>
      <c r="S718" s="572">
        <v>0</v>
      </c>
      <c r="T718" s="572">
        <f t="shared" si="430"/>
        <v>0</v>
      </c>
      <c r="U718" s="572">
        <f t="shared" si="431"/>
        <v>0</v>
      </c>
    </row>
    <row r="719" spans="1:21" ht="18.75" hidden="1" x14ac:dyDescent="0.25">
      <c r="A719" s="674"/>
      <c r="B719" s="718"/>
      <c r="C719" s="718"/>
      <c r="D719" s="695"/>
      <c r="E719" s="569" t="s">
        <v>159</v>
      </c>
      <c r="F719" s="561"/>
      <c r="G719" s="563"/>
      <c r="H719" s="685" t="s">
        <v>14</v>
      </c>
      <c r="I719" s="565"/>
      <c r="J719" s="565"/>
      <c r="K719" s="566"/>
      <c r="L719" s="567">
        <v>0</v>
      </c>
      <c r="M719" s="568">
        <v>0</v>
      </c>
      <c r="N719" s="568">
        <v>0</v>
      </c>
      <c r="O719" s="568">
        <f t="shared" si="427"/>
        <v>0</v>
      </c>
      <c r="P719" s="568">
        <f t="shared" si="428"/>
        <v>0</v>
      </c>
      <c r="Q719" s="568">
        <v>0</v>
      </c>
      <c r="R719" s="568">
        <v>0</v>
      </c>
      <c r="S719" s="568">
        <v>0</v>
      </c>
      <c r="T719" s="568">
        <f t="shared" si="430"/>
        <v>0</v>
      </c>
      <c r="U719" s="568">
        <f t="shared" si="431"/>
        <v>0</v>
      </c>
    </row>
    <row r="720" spans="1:21" ht="19.5" hidden="1" x14ac:dyDescent="0.3">
      <c r="A720" s="674"/>
      <c r="B720" s="718"/>
      <c r="C720" s="718"/>
      <c r="D720" s="798" t="s">
        <v>23</v>
      </c>
      <c r="E720" s="561"/>
      <c r="F720" s="561"/>
      <c r="G720" s="563"/>
      <c r="H720" s="1041" t="s">
        <v>14</v>
      </c>
      <c r="I720" s="683"/>
      <c r="J720" s="683"/>
      <c r="K720" s="684"/>
      <c r="L720" s="567">
        <f t="shared" ref="L720:N720" si="436">L721+L722</f>
        <v>0</v>
      </c>
      <c r="M720" s="568">
        <f t="shared" si="436"/>
        <v>0</v>
      </c>
      <c r="N720" s="568">
        <f t="shared" si="436"/>
        <v>0</v>
      </c>
      <c r="O720" s="568">
        <f t="shared" si="427"/>
        <v>0</v>
      </c>
      <c r="P720" s="568">
        <f t="shared" si="428"/>
        <v>0</v>
      </c>
      <c r="Q720" s="568">
        <f t="shared" ref="Q720:S720" si="437">Q721+Q722</f>
        <v>0</v>
      </c>
      <c r="R720" s="568">
        <f t="shared" si="437"/>
        <v>0</v>
      </c>
      <c r="S720" s="568">
        <f t="shared" si="437"/>
        <v>0</v>
      </c>
      <c r="T720" s="568">
        <f t="shared" si="430"/>
        <v>0</v>
      </c>
      <c r="U720" s="568">
        <f t="shared" si="431"/>
        <v>0</v>
      </c>
    </row>
    <row r="721" spans="1:21" ht="18.75" hidden="1" x14ac:dyDescent="0.25">
      <c r="A721" s="674"/>
      <c r="B721" s="718"/>
      <c r="C721" s="718"/>
      <c r="D721" s="561"/>
      <c r="E721" s="569" t="s">
        <v>20</v>
      </c>
      <c r="F721" s="561"/>
      <c r="G721" s="563"/>
      <c r="H721" s="685" t="s">
        <v>14</v>
      </c>
      <c r="I721" s="683"/>
      <c r="J721" s="683"/>
      <c r="K721" s="684"/>
      <c r="L721" s="571">
        <v>0</v>
      </c>
      <c r="M721" s="572">
        <v>0</v>
      </c>
      <c r="N721" s="572">
        <v>0</v>
      </c>
      <c r="O721" s="572">
        <f t="shared" si="427"/>
        <v>0</v>
      </c>
      <c r="P721" s="572">
        <f t="shared" si="428"/>
        <v>0</v>
      </c>
      <c r="Q721" s="572">
        <v>0</v>
      </c>
      <c r="R721" s="572">
        <v>0</v>
      </c>
      <c r="S721" s="572">
        <v>0</v>
      </c>
      <c r="T721" s="572">
        <f t="shared" si="430"/>
        <v>0</v>
      </c>
      <c r="U721" s="572">
        <f t="shared" si="431"/>
        <v>0</v>
      </c>
    </row>
    <row r="722" spans="1:21" ht="18.75" hidden="1" x14ac:dyDescent="0.25">
      <c r="A722" s="674"/>
      <c r="B722" s="718"/>
      <c r="C722" s="718"/>
      <c r="D722" s="561"/>
      <c r="E722" s="569" t="s">
        <v>21</v>
      </c>
      <c r="F722" s="561"/>
      <c r="G722" s="563"/>
      <c r="H722" s="734" t="s">
        <v>14</v>
      </c>
      <c r="I722" s="683"/>
      <c r="J722" s="683"/>
      <c r="K722" s="684"/>
      <c r="L722" s="567">
        <v>0</v>
      </c>
      <c r="M722" s="568">
        <v>0</v>
      </c>
      <c r="N722" s="568">
        <v>0</v>
      </c>
      <c r="O722" s="568">
        <f t="shared" si="427"/>
        <v>0</v>
      </c>
      <c r="P722" s="568">
        <f t="shared" si="428"/>
        <v>0</v>
      </c>
      <c r="Q722" s="568">
        <v>0</v>
      </c>
      <c r="R722" s="568">
        <v>0</v>
      </c>
      <c r="S722" s="568">
        <v>0</v>
      </c>
      <c r="T722" s="568">
        <f t="shared" si="430"/>
        <v>0</v>
      </c>
      <c r="U722" s="568">
        <f t="shared" si="431"/>
        <v>0</v>
      </c>
    </row>
    <row r="723" spans="1:21" ht="19.5" hidden="1" x14ac:dyDescent="0.3">
      <c r="A723" s="687"/>
      <c r="B723" s="688"/>
      <c r="C723" s="767" t="s">
        <v>18</v>
      </c>
      <c r="D723" s="1100" t="s">
        <v>38</v>
      </c>
      <c r="E723" s="690"/>
      <c r="F723" s="690"/>
      <c r="G723" s="691"/>
      <c r="H723" s="725"/>
      <c r="I723" s="683"/>
      <c r="J723" s="683"/>
      <c r="K723" s="684"/>
      <c r="L723" s="693"/>
      <c r="M723" s="684"/>
      <c r="N723" s="684"/>
      <c r="O723" s="684"/>
      <c r="P723" s="684"/>
      <c r="Q723" s="684"/>
      <c r="R723" s="684"/>
      <c r="S723" s="684"/>
      <c r="T723" s="684"/>
      <c r="U723" s="684"/>
    </row>
    <row r="724" spans="1:21" ht="18.75" hidden="1" x14ac:dyDescent="0.25">
      <c r="A724" s="764"/>
      <c r="B724" s="718"/>
      <c r="C724" s="718"/>
      <c r="D724" s="561"/>
      <c r="E724" s="569" t="s">
        <v>267</v>
      </c>
      <c r="F724" s="561"/>
      <c r="G724" s="563"/>
      <c r="H724" s="685" t="s">
        <v>46</v>
      </c>
      <c r="I724" s="735">
        <v>0</v>
      </c>
      <c r="J724" s="565"/>
      <c r="K724" s="566"/>
      <c r="L724" s="574"/>
      <c r="M724" s="566"/>
      <c r="N724" s="566"/>
      <c r="O724" s="566"/>
      <c r="P724" s="566"/>
      <c r="Q724" s="566"/>
      <c r="R724" s="566"/>
      <c r="S724" s="566"/>
      <c r="T724" s="566"/>
      <c r="U724" s="566"/>
    </row>
    <row r="725" spans="1:21" ht="18.75" hidden="1" x14ac:dyDescent="0.25">
      <c r="A725" s="984"/>
      <c r="B725" s="514"/>
      <c r="C725" s="514"/>
      <c r="D725" s="513"/>
      <c r="E725" s="738" t="s">
        <v>268</v>
      </c>
      <c r="F725" s="513"/>
      <c r="G725" s="577"/>
      <c r="H725" s="1101" t="s">
        <v>46</v>
      </c>
      <c r="I725" s="740">
        <v>0</v>
      </c>
      <c r="J725" s="579"/>
      <c r="K725" s="580"/>
      <c r="L725" s="581"/>
      <c r="M725" s="580"/>
      <c r="N725" s="580"/>
      <c r="O725" s="580"/>
      <c r="P725" s="580"/>
      <c r="Q725" s="580"/>
      <c r="R725" s="580"/>
      <c r="S725" s="580"/>
      <c r="T725" s="580"/>
      <c r="U725" s="580"/>
    </row>
    <row r="726" spans="1:21" ht="19.5" x14ac:dyDescent="0.3">
      <c r="A726" s="1061"/>
      <c r="B726" s="1062" t="s">
        <v>269</v>
      </c>
      <c r="C726" s="1061"/>
      <c r="D726" s="1063"/>
      <c r="E726" s="1063"/>
      <c r="F726" s="1063"/>
      <c r="G726" s="1064"/>
      <c r="H726" s="1092" t="s">
        <v>35</v>
      </c>
      <c r="I726" s="1093">
        <f ca="1">IFERROR(__xludf.DUMMYFUNCTION("IMPORTRANGE(""https://docs.google.com/spreadsheets/d/1eHaY18a8A9IcSdp1K8H6x8fbOy06t2VsZHhMHf-1x7Y/edit?usp=sharing"",""แผน!GA16"")"),128)</f>
        <v>128</v>
      </c>
      <c r="J726" s="1093">
        <f>J742+J746+J749</f>
        <v>128</v>
      </c>
      <c r="K726" s="1094">
        <f t="shared" ref="K726:K727" ca="1" si="438">IF(I726&gt;0,J726*100/I726,0)</f>
        <v>100</v>
      </c>
      <c r="L726" s="1068"/>
      <c r="M726" s="1067"/>
      <c r="N726" s="1067"/>
      <c r="O726" s="1067"/>
      <c r="P726" s="1067"/>
      <c r="Q726" s="1067"/>
      <c r="R726" s="1067"/>
      <c r="S726" s="1067"/>
      <c r="T726" s="1067"/>
      <c r="U726" s="1067"/>
    </row>
    <row r="727" spans="1:21" ht="19.5" x14ac:dyDescent="0.3">
      <c r="A727" s="1102"/>
      <c r="B727" s="1061"/>
      <c r="C727" s="1061"/>
      <c r="D727" s="1063"/>
      <c r="E727" s="1063"/>
      <c r="F727" s="1063"/>
      <c r="G727" s="1064"/>
      <c r="H727" s="1092" t="s">
        <v>46</v>
      </c>
      <c r="I727" s="1093">
        <f ca="1">IFERROR(__xludf.DUMMYFUNCTION("IMPORTRANGE(""https://docs.google.com/spreadsheets/d/1eHaY18a8A9IcSdp1K8H6x8fbOy06t2VsZHhMHf-1x7Y/edit?usp=sharing"",""แผน!FZ16"")"),1250)</f>
        <v>1250</v>
      </c>
      <c r="J727" s="1093">
        <f>J752+J755</f>
        <v>0</v>
      </c>
      <c r="K727" s="1094">
        <f t="shared" ca="1" si="438"/>
        <v>0</v>
      </c>
      <c r="L727" s="1068"/>
      <c r="M727" s="1067"/>
      <c r="N727" s="1067"/>
      <c r="O727" s="1067"/>
      <c r="P727" s="1067"/>
      <c r="Q727" s="1067"/>
      <c r="R727" s="1067"/>
      <c r="S727" s="1067"/>
      <c r="T727" s="1067"/>
      <c r="U727" s="1067"/>
    </row>
    <row r="728" spans="1:21" ht="19.5" x14ac:dyDescent="0.3">
      <c r="A728" s="674"/>
      <c r="B728" s="718"/>
      <c r="C728" s="724" t="s">
        <v>18</v>
      </c>
      <c r="D728" s="1310" t="s">
        <v>19</v>
      </c>
      <c r="E728" s="1311"/>
      <c r="F728" s="1311"/>
      <c r="G728" s="1312"/>
      <c r="H728" s="780" t="s">
        <v>14</v>
      </c>
      <c r="I728" s="565"/>
      <c r="J728" s="565"/>
      <c r="K728" s="566"/>
      <c r="L728" s="678">
        <f t="shared" ref="L728:N728" si="439">L729+L730</f>
        <v>0</v>
      </c>
      <c r="M728" s="679">
        <f t="shared" si="439"/>
        <v>0</v>
      </c>
      <c r="N728" s="679">
        <f t="shared" si="439"/>
        <v>0</v>
      </c>
      <c r="O728" s="679">
        <f t="shared" ref="O728:O736" si="440">IF(L728&gt;0,N728*100/L728,0)</f>
        <v>0</v>
      </c>
      <c r="P728" s="679">
        <f t="shared" ref="P728:P736" si="441">IF(M728&gt;0,N728*100/M728,0)</f>
        <v>0</v>
      </c>
      <c r="Q728" s="679">
        <f t="shared" ref="Q728:S728" ca="1" si="442">Q729+Q730</f>
        <v>1008470</v>
      </c>
      <c r="R728" s="679">
        <f t="shared" ca="1" si="442"/>
        <v>1008470</v>
      </c>
      <c r="S728" s="679">
        <f t="shared" ca="1" si="442"/>
        <v>194769</v>
      </c>
      <c r="T728" s="679">
        <f t="shared" ref="T728:T736" ca="1" si="443">IF(Q728&gt;0,S728*100/Q728,0)</f>
        <v>19.31331621168701</v>
      </c>
      <c r="U728" s="679">
        <f t="shared" ref="U728:U736" ca="1" si="444">IF(R728&gt;0,S728*100/R728,0)</f>
        <v>19.31331621168701</v>
      </c>
    </row>
    <row r="729" spans="1:21" ht="18.75" x14ac:dyDescent="0.25">
      <c r="A729" s="674"/>
      <c r="B729" s="718"/>
      <c r="C729" s="718"/>
      <c r="D729" s="695"/>
      <c r="E729" s="569" t="s">
        <v>158</v>
      </c>
      <c r="F729" s="561"/>
      <c r="G729" s="563"/>
      <c r="H729" s="685" t="s">
        <v>14</v>
      </c>
      <c r="I729" s="565"/>
      <c r="J729" s="565"/>
      <c r="K729" s="566"/>
      <c r="L729" s="571">
        <f t="shared" ref="L729:N730" si="445">L732+L735</f>
        <v>0</v>
      </c>
      <c r="M729" s="572">
        <f t="shared" si="445"/>
        <v>0</v>
      </c>
      <c r="N729" s="572">
        <f t="shared" si="445"/>
        <v>0</v>
      </c>
      <c r="O729" s="572">
        <f t="shared" si="440"/>
        <v>0</v>
      </c>
      <c r="P729" s="572">
        <f t="shared" si="441"/>
        <v>0</v>
      </c>
      <c r="Q729" s="572">
        <f t="shared" ref="Q729:S730" si="446">Q732+Q735</f>
        <v>0</v>
      </c>
      <c r="R729" s="572">
        <f t="shared" si="446"/>
        <v>0</v>
      </c>
      <c r="S729" s="572">
        <f t="shared" si="446"/>
        <v>0</v>
      </c>
      <c r="T729" s="572">
        <f t="shared" si="443"/>
        <v>0</v>
      </c>
      <c r="U729" s="572">
        <f t="shared" si="444"/>
        <v>0</v>
      </c>
    </row>
    <row r="730" spans="1:21" ht="18.75" x14ac:dyDescent="0.25">
      <c r="A730" s="674"/>
      <c r="B730" s="718"/>
      <c r="C730" s="718"/>
      <c r="D730" s="695"/>
      <c r="E730" s="573" t="s">
        <v>159</v>
      </c>
      <c r="F730" s="561"/>
      <c r="G730" s="563"/>
      <c r="H730" s="682" t="s">
        <v>14</v>
      </c>
      <c r="I730" s="565"/>
      <c r="J730" s="565"/>
      <c r="K730" s="566"/>
      <c r="L730" s="567">
        <f t="shared" si="445"/>
        <v>0</v>
      </c>
      <c r="M730" s="568">
        <f t="shared" si="445"/>
        <v>0</v>
      </c>
      <c r="N730" s="568">
        <f t="shared" si="445"/>
        <v>0</v>
      </c>
      <c r="O730" s="568">
        <f t="shared" si="440"/>
        <v>0</v>
      </c>
      <c r="P730" s="568">
        <f t="shared" si="441"/>
        <v>0</v>
      </c>
      <c r="Q730" s="568">
        <f t="shared" ca="1" si="446"/>
        <v>1008470</v>
      </c>
      <c r="R730" s="568">
        <f t="shared" ca="1" si="446"/>
        <v>1008470</v>
      </c>
      <c r="S730" s="568">
        <f t="shared" ca="1" si="446"/>
        <v>194769</v>
      </c>
      <c r="T730" s="568">
        <f t="shared" ca="1" si="443"/>
        <v>19.31331621168701</v>
      </c>
      <c r="U730" s="568">
        <f t="shared" ca="1" si="444"/>
        <v>19.31331621168701</v>
      </c>
    </row>
    <row r="731" spans="1:21" ht="18.75" x14ac:dyDescent="0.25">
      <c r="A731" s="674"/>
      <c r="B731" s="718"/>
      <c r="C731" s="718"/>
      <c r="D731" s="562" t="s">
        <v>22</v>
      </c>
      <c r="E731" s="561"/>
      <c r="F731" s="561"/>
      <c r="G731" s="563"/>
      <c r="H731" s="682" t="s">
        <v>14</v>
      </c>
      <c r="I731" s="683"/>
      <c r="J731" s="683"/>
      <c r="K731" s="684"/>
      <c r="L731" s="567">
        <f t="shared" ref="L731:N731" si="447">L732+L733</f>
        <v>0</v>
      </c>
      <c r="M731" s="568">
        <f t="shared" si="447"/>
        <v>0</v>
      </c>
      <c r="N731" s="568">
        <f t="shared" si="447"/>
        <v>0</v>
      </c>
      <c r="O731" s="568">
        <f t="shared" si="440"/>
        <v>0</v>
      </c>
      <c r="P731" s="568">
        <f t="shared" si="441"/>
        <v>0</v>
      </c>
      <c r="Q731" s="568">
        <f t="shared" ref="Q731:S731" ca="1" si="448">Q732+Q733</f>
        <v>1008470</v>
      </c>
      <c r="R731" s="568">
        <f t="shared" ca="1" si="448"/>
        <v>1008470</v>
      </c>
      <c r="S731" s="568">
        <f t="shared" ca="1" si="448"/>
        <v>194769</v>
      </c>
      <c r="T731" s="568">
        <f t="shared" ca="1" si="443"/>
        <v>19.31331621168701</v>
      </c>
      <c r="U731" s="568">
        <f t="shared" ca="1" si="444"/>
        <v>19.31331621168701</v>
      </c>
    </row>
    <row r="732" spans="1:21" ht="18.75" x14ac:dyDescent="0.25">
      <c r="A732" s="674"/>
      <c r="B732" s="718"/>
      <c r="C732" s="718"/>
      <c r="D732" s="695"/>
      <c r="E732" s="569" t="s">
        <v>158</v>
      </c>
      <c r="F732" s="561"/>
      <c r="G732" s="563"/>
      <c r="H732" s="685" t="s">
        <v>14</v>
      </c>
      <c r="I732" s="565"/>
      <c r="J732" s="565"/>
      <c r="K732" s="566"/>
      <c r="L732" s="571">
        <v>0</v>
      </c>
      <c r="M732" s="572">
        <v>0</v>
      </c>
      <c r="N732" s="572">
        <v>0</v>
      </c>
      <c r="O732" s="572">
        <f t="shared" si="440"/>
        <v>0</v>
      </c>
      <c r="P732" s="572">
        <f t="shared" si="441"/>
        <v>0</v>
      </c>
      <c r="Q732" s="572">
        <v>0</v>
      </c>
      <c r="R732" s="572">
        <v>0</v>
      </c>
      <c r="S732" s="572">
        <v>0</v>
      </c>
      <c r="T732" s="572">
        <f t="shared" si="443"/>
        <v>0</v>
      </c>
      <c r="U732" s="572">
        <f t="shared" si="444"/>
        <v>0</v>
      </c>
    </row>
    <row r="733" spans="1:21" ht="18.75" x14ac:dyDescent="0.25">
      <c r="A733" s="674"/>
      <c r="B733" s="718"/>
      <c r="C733" s="718"/>
      <c r="D733" s="695"/>
      <c r="E733" s="573" t="s">
        <v>159</v>
      </c>
      <c r="F733" s="561"/>
      <c r="G733" s="563"/>
      <c r="H733" s="682" t="s">
        <v>14</v>
      </c>
      <c r="I733" s="565"/>
      <c r="J733" s="565"/>
      <c r="K733" s="566"/>
      <c r="L733" s="567">
        <v>0</v>
      </c>
      <c r="M733" s="568">
        <v>0</v>
      </c>
      <c r="N733" s="568">
        <v>0</v>
      </c>
      <c r="O733" s="568">
        <f t="shared" si="440"/>
        <v>0</v>
      </c>
      <c r="P733" s="568">
        <f t="shared" si="441"/>
        <v>0</v>
      </c>
      <c r="Q733" s="568">
        <f ca="1">IFERROR(__xludf.DUMMYFUNCTION("IMPORTRANGE(""https://docs.google.com/spreadsheets/d/1ItG2mGa2ceCfYo0BwxsXqNm01IGEUdYcSSLTEv9YCik/edit?usp=sharing"",""เบิกจ่ายกองทุน!O16"")"),1008470)</f>
        <v>1008470</v>
      </c>
      <c r="R733" s="568">
        <f ca="1">IFERROR(__xludf.DUMMYFUNCTION("IMPORTRANGE(""https://docs.google.com/spreadsheets/d/1ItG2mGa2ceCfYo0BwxsXqNm01IGEUdYcSSLTEv9YCik/edit?usp=sharing"",""เบิกจ่ายกองทุน!P16"")"),1008470)</f>
        <v>1008470</v>
      </c>
      <c r="S733" s="568">
        <f ca="1">IFERROR(__xludf.DUMMYFUNCTION("IMPORTRANGE(""https://docs.google.com/spreadsheets/d/1ItG2mGa2ceCfYo0BwxsXqNm01IGEUdYcSSLTEv9YCik/edit?usp=sharing"",""เบิกจ่ายกองทุน!Q16"")"),194769)</f>
        <v>194769</v>
      </c>
      <c r="T733" s="568">
        <f t="shared" ca="1" si="443"/>
        <v>19.31331621168701</v>
      </c>
      <c r="U733" s="568">
        <f t="shared" ca="1" si="444"/>
        <v>19.31331621168701</v>
      </c>
    </row>
    <row r="734" spans="1:21" ht="18.75" x14ac:dyDescent="0.25">
      <c r="A734" s="674"/>
      <c r="B734" s="718"/>
      <c r="C734" s="718"/>
      <c r="D734" s="562" t="s">
        <v>23</v>
      </c>
      <c r="E734" s="718"/>
      <c r="F734" s="718"/>
      <c r="G734" s="563"/>
      <c r="H734" s="686" t="s">
        <v>14</v>
      </c>
      <c r="I734" s="683"/>
      <c r="J734" s="683"/>
      <c r="K734" s="684"/>
      <c r="L734" s="567">
        <f t="shared" ref="L734:N734" si="449">L735+L736</f>
        <v>0</v>
      </c>
      <c r="M734" s="568">
        <f t="shared" si="449"/>
        <v>0</v>
      </c>
      <c r="N734" s="568">
        <f t="shared" si="449"/>
        <v>0</v>
      </c>
      <c r="O734" s="568">
        <f t="shared" si="440"/>
        <v>0</v>
      </c>
      <c r="P734" s="568">
        <f t="shared" si="441"/>
        <v>0</v>
      </c>
      <c r="Q734" s="568">
        <f t="shared" ref="Q734:S734" si="450">Q735+Q736</f>
        <v>0</v>
      </c>
      <c r="R734" s="568">
        <f t="shared" si="450"/>
        <v>0</v>
      </c>
      <c r="S734" s="568">
        <f t="shared" si="450"/>
        <v>0</v>
      </c>
      <c r="T734" s="568">
        <f t="shared" si="443"/>
        <v>0</v>
      </c>
      <c r="U734" s="568">
        <f t="shared" si="444"/>
        <v>0</v>
      </c>
    </row>
    <row r="735" spans="1:21" ht="18.75" x14ac:dyDescent="0.25">
      <c r="A735" s="674"/>
      <c r="B735" s="718"/>
      <c r="C735" s="718"/>
      <c r="D735" s="718"/>
      <c r="E735" s="767" t="s">
        <v>20</v>
      </c>
      <c r="F735" s="718"/>
      <c r="G735" s="563"/>
      <c r="H735" s="685" t="s">
        <v>14</v>
      </c>
      <c r="I735" s="683"/>
      <c r="J735" s="683"/>
      <c r="K735" s="684"/>
      <c r="L735" s="571">
        <v>0</v>
      </c>
      <c r="M735" s="572">
        <v>0</v>
      </c>
      <c r="N735" s="572">
        <v>0</v>
      </c>
      <c r="O735" s="572">
        <f t="shared" si="440"/>
        <v>0</v>
      </c>
      <c r="P735" s="572">
        <f t="shared" si="441"/>
        <v>0</v>
      </c>
      <c r="Q735" s="572">
        <v>0</v>
      </c>
      <c r="R735" s="572">
        <v>0</v>
      </c>
      <c r="S735" s="572">
        <v>0</v>
      </c>
      <c r="T735" s="572">
        <f t="shared" si="443"/>
        <v>0</v>
      </c>
      <c r="U735" s="572">
        <f t="shared" si="444"/>
        <v>0</v>
      </c>
    </row>
    <row r="736" spans="1:21" ht="18.75" x14ac:dyDescent="0.25">
      <c r="A736" s="674"/>
      <c r="B736" s="718"/>
      <c r="C736" s="718"/>
      <c r="D736" s="718"/>
      <c r="E736" s="765" t="s">
        <v>21</v>
      </c>
      <c r="F736" s="718"/>
      <c r="G736" s="563"/>
      <c r="H736" s="686" t="s">
        <v>14</v>
      </c>
      <c r="I736" s="683"/>
      <c r="J736" s="683"/>
      <c r="K736" s="684"/>
      <c r="L736" s="567">
        <v>0</v>
      </c>
      <c r="M736" s="568">
        <v>0</v>
      </c>
      <c r="N736" s="568">
        <v>0</v>
      </c>
      <c r="O736" s="568">
        <f t="shared" si="440"/>
        <v>0</v>
      </c>
      <c r="P736" s="568">
        <f t="shared" si="441"/>
        <v>0</v>
      </c>
      <c r="Q736" s="568">
        <v>0</v>
      </c>
      <c r="R736" s="568">
        <v>0</v>
      </c>
      <c r="S736" s="568">
        <v>0</v>
      </c>
      <c r="T736" s="568">
        <f t="shared" si="443"/>
        <v>0</v>
      </c>
      <c r="U736" s="568">
        <f t="shared" si="444"/>
        <v>0</v>
      </c>
    </row>
    <row r="737" spans="1:21" ht="19.5" x14ac:dyDescent="0.3">
      <c r="A737" s="687"/>
      <c r="B737" s="688"/>
      <c r="C737" s="724" t="s">
        <v>18</v>
      </c>
      <c r="D737" s="956" t="s">
        <v>38</v>
      </c>
      <c r="E737" s="758"/>
      <c r="F737" s="690"/>
      <c r="G737" s="691"/>
      <c r="H737" s="725"/>
      <c r="I737" s="565"/>
      <c r="J737" s="565"/>
      <c r="K737" s="566"/>
      <c r="L737" s="574"/>
      <c r="M737" s="566"/>
      <c r="N737" s="566"/>
      <c r="O737" s="566"/>
      <c r="P737" s="566"/>
      <c r="Q737" s="566"/>
      <c r="R737" s="566"/>
      <c r="S737" s="566"/>
      <c r="T737" s="566"/>
      <c r="U737" s="566"/>
    </row>
    <row r="738" spans="1:21" ht="19.5" x14ac:dyDescent="0.3">
      <c r="A738" s="687"/>
      <c r="B738" s="688"/>
      <c r="C738" s="688"/>
      <c r="D738" s="1103" t="s">
        <v>121</v>
      </c>
      <c r="E738" s="688"/>
      <c r="F738" s="688"/>
      <c r="G738" s="692"/>
      <c r="H738" s="727"/>
      <c r="I738" s="565"/>
      <c r="J738" s="565"/>
      <c r="K738" s="566"/>
      <c r="L738" s="574"/>
      <c r="M738" s="566"/>
      <c r="N738" s="566"/>
      <c r="O738" s="566"/>
      <c r="P738" s="566"/>
      <c r="Q738" s="566"/>
      <c r="R738" s="566"/>
      <c r="S738" s="566"/>
      <c r="T738" s="566"/>
      <c r="U738" s="566"/>
    </row>
    <row r="739" spans="1:21" ht="18.75" x14ac:dyDescent="0.25">
      <c r="A739" s="849"/>
      <c r="B739" s="850"/>
      <c r="C739" s="850"/>
      <c r="D739" s="850"/>
      <c r="E739" s="1104" t="s">
        <v>270</v>
      </c>
      <c r="F739" s="850"/>
      <c r="G739" s="852"/>
      <c r="H739" s="959"/>
      <c r="I739" s="829"/>
      <c r="J739" s="829"/>
      <c r="K739" s="830"/>
      <c r="L739" s="1106"/>
      <c r="M739" s="830"/>
      <c r="N739" s="830"/>
      <c r="O739" s="830"/>
      <c r="P739" s="830"/>
      <c r="Q739" s="830"/>
      <c r="R739" s="830"/>
      <c r="S739" s="830"/>
      <c r="T739" s="830"/>
      <c r="U739" s="830"/>
    </row>
    <row r="740" spans="1:21" ht="18.75" x14ac:dyDescent="0.25">
      <c r="A740" s="849"/>
      <c r="B740" s="850"/>
      <c r="C740" s="850"/>
      <c r="D740" s="850"/>
      <c r="E740" s="850"/>
      <c r="F740" s="1104" t="s">
        <v>271</v>
      </c>
      <c r="G740" s="852"/>
      <c r="H740" s="839" t="s">
        <v>46</v>
      </c>
      <c r="I740" s="960">
        <f ca="1">IFERROR(__xludf.DUMMYFUNCTION("IMPORTRANGE(""https://docs.google.com/spreadsheets/d/1eHaY18a8A9IcSdp1K8H6x8fbOy06t2VsZHhMHf-1x7Y/edit?usp=sharing"",""แผน!GB16"")"),1000)</f>
        <v>1000</v>
      </c>
      <c r="J740" s="1105">
        <v>0</v>
      </c>
      <c r="K740" s="841">
        <f ca="1">IF(I740&gt;0,J740*100/I740,0)</f>
        <v>0</v>
      </c>
      <c r="L740" s="1106"/>
      <c r="M740" s="830"/>
      <c r="N740" s="830"/>
      <c r="O740" s="830"/>
      <c r="P740" s="830"/>
      <c r="Q740" s="830"/>
      <c r="R740" s="830"/>
      <c r="S740" s="830"/>
      <c r="T740" s="830"/>
      <c r="U740" s="830"/>
    </row>
    <row r="741" spans="1:21" ht="18.75" x14ac:dyDescent="0.25">
      <c r="A741" s="849"/>
      <c r="B741" s="850"/>
      <c r="C741" s="850"/>
      <c r="D741" s="850"/>
      <c r="E741" s="850"/>
      <c r="F741" s="1104" t="s">
        <v>306</v>
      </c>
      <c r="G741" s="852"/>
      <c r="H741" s="839" t="s">
        <v>35</v>
      </c>
      <c r="I741" s="829"/>
      <c r="J741" s="1105">
        <v>0</v>
      </c>
      <c r="K741" s="830"/>
      <c r="L741" s="1106"/>
      <c r="M741" s="830"/>
      <c r="N741" s="830"/>
      <c r="O741" s="830"/>
      <c r="P741" s="830"/>
      <c r="Q741" s="830"/>
      <c r="R741" s="830"/>
      <c r="S741" s="830"/>
      <c r="T741" s="830"/>
      <c r="U741" s="830"/>
    </row>
    <row r="742" spans="1:21" ht="18.75" x14ac:dyDescent="0.25">
      <c r="A742" s="849"/>
      <c r="B742" s="850"/>
      <c r="C742" s="850"/>
      <c r="D742" s="850"/>
      <c r="E742" s="850"/>
      <c r="F742" s="1104" t="s">
        <v>307</v>
      </c>
      <c r="G742" s="852"/>
      <c r="H742" s="839" t="s">
        <v>35</v>
      </c>
      <c r="I742" s="960">
        <f ca="1">IFERROR(__xludf.DUMMYFUNCTION("IMPORTRANGE(""https://docs.google.com/spreadsheets/d/1eHaY18a8A9IcSdp1K8H6x8fbOy06t2VsZHhMHf-1x7Y/edit?usp=sharing"",""แผน!GC16"")"),100)</f>
        <v>100</v>
      </c>
      <c r="J742" s="1105">
        <v>100</v>
      </c>
      <c r="K742" s="841">
        <f ca="1">IF(I742&gt;0,J742*100/I742,0)</f>
        <v>100</v>
      </c>
      <c r="L742" s="1106"/>
      <c r="M742" s="830"/>
      <c r="N742" s="830"/>
      <c r="O742" s="830"/>
      <c r="P742" s="830"/>
      <c r="Q742" s="830"/>
      <c r="R742" s="830"/>
      <c r="S742" s="830"/>
      <c r="T742" s="830"/>
      <c r="U742" s="830"/>
    </row>
    <row r="743" spans="1:21" ht="18.75" x14ac:dyDescent="0.25">
      <c r="A743" s="849"/>
      <c r="B743" s="850"/>
      <c r="C743" s="850"/>
      <c r="D743" s="850"/>
      <c r="E743" s="1104" t="s">
        <v>274</v>
      </c>
      <c r="F743" s="850"/>
      <c r="G743" s="852"/>
      <c r="H743" s="959"/>
      <c r="I743" s="829"/>
      <c r="J743" s="829"/>
      <c r="K743" s="830"/>
      <c r="L743" s="1106"/>
      <c r="M743" s="830"/>
      <c r="N743" s="830"/>
      <c r="O743" s="830"/>
      <c r="P743" s="830"/>
      <c r="Q743" s="830"/>
      <c r="R743" s="830"/>
      <c r="S743" s="830"/>
      <c r="T743" s="830"/>
      <c r="U743" s="830"/>
    </row>
    <row r="744" spans="1:21" ht="18.75" x14ac:dyDescent="0.25">
      <c r="A744" s="849"/>
      <c r="B744" s="850"/>
      <c r="C744" s="850"/>
      <c r="D744" s="850"/>
      <c r="E744" s="850"/>
      <c r="F744" s="1104" t="s">
        <v>271</v>
      </c>
      <c r="G744" s="852"/>
      <c r="H744" s="839" t="s">
        <v>46</v>
      </c>
      <c r="I744" s="960">
        <f ca="1">IFERROR(__xludf.DUMMYFUNCTION("IMPORTRANGE(""https://docs.google.com/spreadsheets/d/1eHaY18a8A9IcSdp1K8H6x8fbOy06t2VsZHhMHf-1x7Y/edit?usp=sharing"",""แผน!GD16"")"),250)</f>
        <v>250</v>
      </c>
      <c r="J744" s="1105">
        <v>0</v>
      </c>
      <c r="K744" s="841">
        <f ca="1">IF(I744&gt;0,J744*100/I744,0)</f>
        <v>0</v>
      </c>
      <c r="L744" s="1106"/>
      <c r="M744" s="830"/>
      <c r="N744" s="830"/>
      <c r="O744" s="830"/>
      <c r="P744" s="830"/>
      <c r="Q744" s="830"/>
      <c r="R744" s="830"/>
      <c r="S744" s="830"/>
      <c r="T744" s="830"/>
      <c r="U744" s="830"/>
    </row>
    <row r="745" spans="1:21" ht="18.75" x14ac:dyDescent="0.25">
      <c r="A745" s="849"/>
      <c r="B745" s="850"/>
      <c r="C745" s="850"/>
      <c r="D745" s="850"/>
      <c r="E745" s="850"/>
      <c r="F745" s="1104" t="s">
        <v>308</v>
      </c>
      <c r="G745" s="852"/>
      <c r="H745" s="839" t="s">
        <v>35</v>
      </c>
      <c r="I745" s="829"/>
      <c r="J745" s="1105">
        <v>0</v>
      </c>
      <c r="K745" s="830"/>
      <c r="L745" s="1106"/>
      <c r="M745" s="830"/>
      <c r="N745" s="830"/>
      <c r="O745" s="830"/>
      <c r="P745" s="830"/>
      <c r="Q745" s="830"/>
      <c r="R745" s="830"/>
      <c r="S745" s="830"/>
      <c r="T745" s="830"/>
      <c r="U745" s="830"/>
    </row>
    <row r="746" spans="1:21" ht="18.75" x14ac:dyDescent="0.25">
      <c r="A746" s="849"/>
      <c r="B746" s="850"/>
      <c r="C746" s="850"/>
      <c r="D746" s="850"/>
      <c r="E746" s="850"/>
      <c r="F746" s="1104" t="s">
        <v>309</v>
      </c>
      <c r="G746" s="852"/>
      <c r="H746" s="839" t="s">
        <v>35</v>
      </c>
      <c r="I746" s="960">
        <f ca="1">IFERROR(__xludf.DUMMYFUNCTION("IMPORTRANGE(""https://docs.google.com/spreadsheets/d/1eHaY18a8A9IcSdp1K8H6x8fbOy06t2VsZHhMHf-1x7Y/edit?usp=sharing"",""แผน!GE16"")"),25)</f>
        <v>25</v>
      </c>
      <c r="J746" s="1105">
        <v>25</v>
      </c>
      <c r="K746" s="841">
        <f ca="1">IF(I746&gt;0,J746*100/I746,0)</f>
        <v>100</v>
      </c>
      <c r="L746" s="1106"/>
      <c r="M746" s="830"/>
      <c r="N746" s="830"/>
      <c r="O746" s="830"/>
      <c r="P746" s="830"/>
      <c r="Q746" s="830"/>
      <c r="R746" s="830"/>
      <c r="S746" s="830"/>
      <c r="T746" s="830"/>
      <c r="U746" s="830"/>
    </row>
    <row r="747" spans="1:21" ht="18.75" x14ac:dyDescent="0.25">
      <c r="A747" s="849"/>
      <c r="B747" s="850"/>
      <c r="C747" s="850"/>
      <c r="D747" s="850"/>
      <c r="E747" s="1104" t="s">
        <v>277</v>
      </c>
      <c r="F747" s="1107"/>
      <c r="G747" s="852"/>
      <c r="H747" s="959"/>
      <c r="I747" s="829"/>
      <c r="J747" s="829"/>
      <c r="K747" s="830"/>
      <c r="L747" s="1106"/>
      <c r="M747" s="830"/>
      <c r="N747" s="830"/>
      <c r="O747" s="830"/>
      <c r="P747" s="830"/>
      <c r="Q747" s="830"/>
      <c r="R747" s="830"/>
      <c r="S747" s="830"/>
      <c r="T747" s="830"/>
      <c r="U747" s="830"/>
    </row>
    <row r="748" spans="1:21" ht="18.75" x14ac:dyDescent="0.25">
      <c r="A748" s="849"/>
      <c r="B748" s="850"/>
      <c r="C748" s="850"/>
      <c r="D748" s="850"/>
      <c r="E748" s="850"/>
      <c r="F748" s="1104" t="s">
        <v>310</v>
      </c>
      <c r="G748" s="852"/>
      <c r="H748" s="839" t="s">
        <v>35</v>
      </c>
      <c r="I748" s="829"/>
      <c r="J748" s="1105">
        <v>0</v>
      </c>
      <c r="K748" s="830"/>
      <c r="L748" s="1106"/>
      <c r="M748" s="830"/>
      <c r="N748" s="830"/>
      <c r="O748" s="830"/>
      <c r="P748" s="830"/>
      <c r="Q748" s="830"/>
      <c r="R748" s="830"/>
      <c r="S748" s="830"/>
      <c r="T748" s="830"/>
      <c r="U748" s="830"/>
    </row>
    <row r="749" spans="1:21" ht="18.75" x14ac:dyDescent="0.25">
      <c r="A749" s="849"/>
      <c r="B749" s="850"/>
      <c r="C749" s="850"/>
      <c r="D749" s="850"/>
      <c r="E749" s="850"/>
      <c r="F749" s="1104" t="s">
        <v>311</v>
      </c>
      <c r="G749" s="852"/>
      <c r="H749" s="839" t="s">
        <v>35</v>
      </c>
      <c r="I749" s="960">
        <f ca="1">IFERROR(__xludf.DUMMYFUNCTION("IMPORTRANGE(""https://docs.google.com/spreadsheets/d/1eHaY18a8A9IcSdp1K8H6x8fbOy06t2VsZHhMHf-1x7Y/edit?usp=sharing"",""แผน!GF16"")"),3)</f>
        <v>3</v>
      </c>
      <c r="J749" s="1105">
        <v>3</v>
      </c>
      <c r="K749" s="841">
        <f ca="1">IF(I749&gt;0,J749*100/I749,0)</f>
        <v>100</v>
      </c>
      <c r="L749" s="1106"/>
      <c r="M749" s="830"/>
      <c r="N749" s="830"/>
      <c r="O749" s="830"/>
      <c r="P749" s="830"/>
      <c r="Q749" s="830"/>
      <c r="R749" s="830"/>
      <c r="S749" s="830"/>
      <c r="T749" s="830"/>
      <c r="U749" s="830"/>
    </row>
    <row r="750" spans="1:21" ht="19.5" x14ac:dyDescent="0.3">
      <c r="A750" s="849"/>
      <c r="B750" s="850"/>
      <c r="C750" s="850"/>
      <c r="D750" s="1108" t="s">
        <v>50</v>
      </c>
      <c r="E750" s="850"/>
      <c r="F750" s="1107"/>
      <c r="G750" s="852"/>
      <c r="H750" s="959"/>
      <c r="I750" s="829"/>
      <c r="J750" s="829"/>
      <c r="K750" s="830"/>
      <c r="L750" s="1106"/>
      <c r="M750" s="830"/>
      <c r="N750" s="830"/>
      <c r="O750" s="830"/>
      <c r="P750" s="830"/>
      <c r="Q750" s="830"/>
      <c r="R750" s="830"/>
      <c r="S750" s="830"/>
      <c r="T750" s="830"/>
      <c r="U750" s="830"/>
    </row>
    <row r="751" spans="1:21" ht="18.75" x14ac:dyDescent="0.25">
      <c r="A751" s="849"/>
      <c r="B751" s="850"/>
      <c r="C751" s="850"/>
      <c r="D751" s="850"/>
      <c r="E751" s="1104" t="s">
        <v>270</v>
      </c>
      <c r="F751" s="1107"/>
      <c r="G751" s="852"/>
      <c r="H751" s="959"/>
      <c r="I751" s="829"/>
      <c r="J751" s="829"/>
      <c r="K751" s="830"/>
      <c r="L751" s="1106"/>
      <c r="M751" s="830"/>
      <c r="N751" s="830"/>
      <c r="O751" s="830"/>
      <c r="P751" s="830"/>
      <c r="Q751" s="830"/>
      <c r="R751" s="830"/>
      <c r="S751" s="830"/>
      <c r="T751" s="830"/>
      <c r="U751" s="830"/>
    </row>
    <row r="752" spans="1:21" ht="18.75" x14ac:dyDescent="0.25">
      <c r="A752" s="849"/>
      <c r="B752" s="850"/>
      <c r="C752" s="850"/>
      <c r="D752" s="850"/>
      <c r="E752" s="850"/>
      <c r="F752" s="1109" t="s">
        <v>312</v>
      </c>
      <c r="G752" s="852"/>
      <c r="H752" s="839" t="s">
        <v>46</v>
      </c>
      <c r="I752" s="960">
        <f ca="1">IFERROR(__xludf.DUMMYFUNCTION("IMPORTRANGE(""https://docs.google.com/spreadsheets/d/1eHaY18a8A9IcSdp1K8H6x8fbOy06t2VsZHhMHf-1x7Y/edit?usp=sharing"",""แผน!GB16"")"),1000)</f>
        <v>1000</v>
      </c>
      <c r="J752" s="1105">
        <v>0</v>
      </c>
      <c r="K752" s="841">
        <f ca="1">IF(I752&gt;0,J752*100/I752,0)</f>
        <v>0</v>
      </c>
      <c r="L752" s="1106"/>
      <c r="M752" s="830"/>
      <c r="N752" s="830"/>
      <c r="O752" s="830"/>
      <c r="P752" s="830"/>
      <c r="Q752" s="830"/>
      <c r="R752" s="830"/>
      <c r="S752" s="830"/>
      <c r="T752" s="830"/>
      <c r="U752" s="830"/>
    </row>
    <row r="753" spans="1:21" ht="18.75" x14ac:dyDescent="0.25">
      <c r="A753" s="849"/>
      <c r="B753" s="850"/>
      <c r="C753" s="850"/>
      <c r="D753" s="850"/>
      <c r="E753" s="850"/>
      <c r="F753" s="1109" t="s">
        <v>313</v>
      </c>
      <c r="G753" s="852"/>
      <c r="H753" s="839" t="s">
        <v>46</v>
      </c>
      <c r="I753" s="829"/>
      <c r="J753" s="1105">
        <v>0</v>
      </c>
      <c r="K753" s="830"/>
      <c r="L753" s="1106"/>
      <c r="M753" s="830"/>
      <c r="N753" s="830"/>
      <c r="O753" s="830"/>
      <c r="P753" s="830"/>
      <c r="Q753" s="830"/>
      <c r="R753" s="830"/>
      <c r="S753" s="830"/>
      <c r="T753" s="830"/>
      <c r="U753" s="830"/>
    </row>
    <row r="754" spans="1:21" ht="18.75" x14ac:dyDescent="0.25">
      <c r="A754" s="849"/>
      <c r="B754" s="850"/>
      <c r="C754" s="850"/>
      <c r="D754" s="850"/>
      <c r="E754" s="1104" t="s">
        <v>274</v>
      </c>
      <c r="F754" s="1107"/>
      <c r="G754" s="852"/>
      <c r="H754" s="959"/>
      <c r="I754" s="829"/>
      <c r="J754" s="829"/>
      <c r="K754" s="830"/>
      <c r="L754" s="1106"/>
      <c r="M754" s="830"/>
      <c r="N754" s="830"/>
      <c r="O754" s="830"/>
      <c r="P754" s="830"/>
      <c r="Q754" s="830"/>
      <c r="R754" s="830"/>
      <c r="S754" s="830"/>
      <c r="T754" s="830"/>
      <c r="U754" s="830"/>
    </row>
    <row r="755" spans="1:21" ht="18.75" x14ac:dyDescent="0.25">
      <c r="A755" s="849"/>
      <c r="B755" s="850"/>
      <c r="C755" s="850"/>
      <c r="D755" s="850"/>
      <c r="E755" s="1107"/>
      <c r="F755" s="1109" t="s">
        <v>314</v>
      </c>
      <c r="G755" s="852"/>
      <c r="H755" s="839" t="s">
        <v>46</v>
      </c>
      <c r="I755" s="960">
        <f ca="1">IFERROR(__xludf.DUMMYFUNCTION("IMPORTRANGE(""https://docs.google.com/spreadsheets/d/1eHaY18a8A9IcSdp1K8H6x8fbOy06t2VsZHhMHf-1x7Y/edit?usp=sharing"",""แผน!GD16"")"),250)</f>
        <v>250</v>
      </c>
      <c r="J755" s="1105">
        <v>0</v>
      </c>
      <c r="K755" s="841">
        <f ca="1">IF(I755&gt;0,J755*100/I755,0)</f>
        <v>0</v>
      </c>
      <c r="L755" s="1106"/>
      <c r="M755" s="830"/>
      <c r="N755" s="830"/>
      <c r="O755" s="830"/>
      <c r="P755" s="830"/>
      <c r="Q755" s="830"/>
      <c r="R755" s="830"/>
      <c r="S755" s="830"/>
      <c r="T755" s="830"/>
      <c r="U755" s="830"/>
    </row>
    <row r="756" spans="1:21" ht="18.75" x14ac:dyDescent="0.25">
      <c r="A756" s="849"/>
      <c r="B756" s="850"/>
      <c r="C756" s="850"/>
      <c r="D756" s="850"/>
      <c r="E756" s="1107"/>
      <c r="F756" s="1109" t="s">
        <v>315</v>
      </c>
      <c r="G756" s="852"/>
      <c r="H756" s="839" t="s">
        <v>46</v>
      </c>
      <c r="I756" s="829"/>
      <c r="J756" s="1105">
        <v>0</v>
      </c>
      <c r="K756" s="830"/>
      <c r="L756" s="1106"/>
      <c r="M756" s="830"/>
      <c r="N756" s="830"/>
      <c r="O756" s="830"/>
      <c r="P756" s="830"/>
      <c r="Q756" s="830"/>
      <c r="R756" s="830"/>
      <c r="S756" s="830"/>
      <c r="T756" s="830"/>
      <c r="U756" s="830"/>
    </row>
    <row r="757" spans="1:21" ht="18.75" x14ac:dyDescent="0.25">
      <c r="A757" s="1110"/>
      <c r="B757" s="1110"/>
      <c r="C757" s="1110"/>
      <c r="D757" s="1110"/>
      <c r="E757" s="1111" t="s">
        <v>284</v>
      </c>
      <c r="F757" s="1112"/>
      <c r="G757" s="1113"/>
      <c r="H757" s="1114" t="s">
        <v>35</v>
      </c>
      <c r="I757" s="1115"/>
      <c r="J757" s="861">
        <v>0</v>
      </c>
      <c r="K757" s="1116"/>
      <c r="L757" s="1116"/>
      <c r="M757" s="1116"/>
      <c r="N757" s="1116"/>
      <c r="O757" s="1116"/>
      <c r="P757" s="1116"/>
      <c r="Q757" s="1116"/>
      <c r="R757" s="1116"/>
      <c r="S757" s="1116"/>
      <c r="T757" s="1116"/>
      <c r="U757" s="1116"/>
    </row>
    <row r="758" spans="1:21" ht="19.5" x14ac:dyDescent="0.3">
      <c r="A758" s="1061"/>
      <c r="B758" s="1062" t="s">
        <v>285</v>
      </c>
      <c r="C758" s="1061"/>
      <c r="D758" s="1063"/>
      <c r="E758" s="1063"/>
      <c r="F758" s="1063"/>
      <c r="G758" s="1064"/>
      <c r="H758" s="1092" t="s">
        <v>35</v>
      </c>
      <c r="I758" s="1093">
        <f t="shared" ref="I758:J758" ca="1" si="451">I772</f>
        <v>60</v>
      </c>
      <c r="J758" s="1093">
        <f t="shared" si="451"/>
        <v>40</v>
      </c>
      <c r="K758" s="1094">
        <f t="shared" ref="K758:K759" ca="1" si="452">IF(I758&gt;0,J758*100/I758,0)</f>
        <v>66.666666666666671</v>
      </c>
      <c r="L758" s="1068"/>
      <c r="M758" s="1067"/>
      <c r="N758" s="1067"/>
      <c r="O758" s="1067"/>
      <c r="P758" s="1067"/>
      <c r="Q758" s="1067"/>
      <c r="R758" s="1067"/>
      <c r="S758" s="1067"/>
      <c r="T758" s="1067"/>
      <c r="U758" s="1067"/>
    </row>
    <row r="759" spans="1:21" ht="19.5" x14ac:dyDescent="0.3">
      <c r="A759" s="1102"/>
      <c r="B759" s="1061"/>
      <c r="C759" s="1061"/>
      <c r="D759" s="1063"/>
      <c r="E759" s="1063"/>
      <c r="F759" s="1063"/>
      <c r="G759" s="1064"/>
      <c r="H759" s="1092" t="s">
        <v>46</v>
      </c>
      <c r="I759" s="1093">
        <f t="shared" ref="I759:J759" ca="1" si="453">I774</f>
        <v>110</v>
      </c>
      <c r="J759" s="1093">
        <f t="shared" si="453"/>
        <v>78</v>
      </c>
      <c r="K759" s="1094">
        <f t="shared" ca="1" si="452"/>
        <v>70.909090909090907</v>
      </c>
      <c r="L759" s="1068"/>
      <c r="M759" s="1067"/>
      <c r="N759" s="1067"/>
      <c r="O759" s="1067"/>
      <c r="P759" s="1067"/>
      <c r="Q759" s="1067"/>
      <c r="R759" s="1067"/>
      <c r="S759" s="1067"/>
      <c r="T759" s="1067"/>
      <c r="U759" s="1067"/>
    </row>
    <row r="760" spans="1:21" ht="19.5" x14ac:dyDescent="0.3">
      <c r="A760" s="674"/>
      <c r="B760" s="718"/>
      <c r="C760" s="724" t="s">
        <v>18</v>
      </c>
      <c r="D760" s="1310" t="s">
        <v>19</v>
      </c>
      <c r="E760" s="1311"/>
      <c r="F760" s="1311"/>
      <c r="G760" s="1312"/>
      <c r="H760" s="780" t="s">
        <v>14</v>
      </c>
      <c r="I760" s="565"/>
      <c r="J760" s="565"/>
      <c r="K760" s="566"/>
      <c r="L760" s="678">
        <f t="shared" ref="L760:N760" si="454">L761+L762</f>
        <v>0</v>
      </c>
      <c r="M760" s="679">
        <f t="shared" si="454"/>
        <v>0</v>
      </c>
      <c r="N760" s="679">
        <f t="shared" si="454"/>
        <v>0</v>
      </c>
      <c r="O760" s="679">
        <f t="shared" ref="O760:O768" si="455">IF(L760&gt;0,N760*100/L760,0)</f>
        <v>0</v>
      </c>
      <c r="P760" s="679">
        <f t="shared" ref="P760:P768" si="456">IF(M760&gt;0,N760*100/M760,0)</f>
        <v>0</v>
      </c>
      <c r="Q760" s="679">
        <f t="shared" ref="Q760:S760" ca="1" si="457">Q761+Q762</f>
        <v>416100</v>
      </c>
      <c r="R760" s="679">
        <f t="shared" ca="1" si="457"/>
        <v>416100</v>
      </c>
      <c r="S760" s="679">
        <f t="shared" ca="1" si="457"/>
        <v>152280.29</v>
      </c>
      <c r="T760" s="679">
        <f t="shared" ref="T760:T768" ca="1" si="458">IF(Q760&gt;0,S760*100/Q760,0)</f>
        <v>36.5970415765441</v>
      </c>
      <c r="U760" s="679">
        <f t="shared" ref="U760:U768" ca="1" si="459">IF(R760&gt;0,S760*100/R760,0)</f>
        <v>36.5970415765441</v>
      </c>
    </row>
    <row r="761" spans="1:21" ht="18.75" x14ac:dyDescent="0.25">
      <c r="A761" s="674"/>
      <c r="B761" s="718"/>
      <c r="C761" s="718"/>
      <c r="D761" s="695"/>
      <c r="E761" s="569" t="s">
        <v>158</v>
      </c>
      <c r="F761" s="561"/>
      <c r="G761" s="563"/>
      <c r="H761" s="685" t="s">
        <v>14</v>
      </c>
      <c r="I761" s="565"/>
      <c r="J761" s="565"/>
      <c r="K761" s="566"/>
      <c r="L761" s="571">
        <f t="shared" ref="L761:N762" si="460">L764+L767</f>
        <v>0</v>
      </c>
      <c r="M761" s="572">
        <f t="shared" si="460"/>
        <v>0</v>
      </c>
      <c r="N761" s="572">
        <f t="shared" si="460"/>
        <v>0</v>
      </c>
      <c r="O761" s="572">
        <f t="shared" si="455"/>
        <v>0</v>
      </c>
      <c r="P761" s="572">
        <f t="shared" si="456"/>
        <v>0</v>
      </c>
      <c r="Q761" s="572">
        <f t="shared" ref="Q761:S762" si="461">Q764+Q767</f>
        <v>0</v>
      </c>
      <c r="R761" s="572">
        <f t="shared" si="461"/>
        <v>0</v>
      </c>
      <c r="S761" s="572">
        <f t="shared" si="461"/>
        <v>0</v>
      </c>
      <c r="T761" s="572">
        <f t="shared" si="458"/>
        <v>0</v>
      </c>
      <c r="U761" s="572">
        <f t="shared" si="459"/>
        <v>0</v>
      </c>
    </row>
    <row r="762" spans="1:21" ht="18.75" x14ac:dyDescent="0.25">
      <c r="A762" s="674"/>
      <c r="B762" s="718"/>
      <c r="C762" s="720"/>
      <c r="D762" s="695"/>
      <c r="E762" s="573" t="s">
        <v>159</v>
      </c>
      <c r="F762" s="561"/>
      <c r="G762" s="563"/>
      <c r="H762" s="682" t="s">
        <v>14</v>
      </c>
      <c r="I762" s="565"/>
      <c r="J762" s="565"/>
      <c r="K762" s="566"/>
      <c r="L762" s="567">
        <f t="shared" si="460"/>
        <v>0</v>
      </c>
      <c r="M762" s="568">
        <f t="shared" si="460"/>
        <v>0</v>
      </c>
      <c r="N762" s="568">
        <f t="shared" si="460"/>
        <v>0</v>
      </c>
      <c r="O762" s="568">
        <f t="shared" si="455"/>
        <v>0</v>
      </c>
      <c r="P762" s="568">
        <f t="shared" si="456"/>
        <v>0</v>
      </c>
      <c r="Q762" s="568">
        <f t="shared" ca="1" si="461"/>
        <v>416100</v>
      </c>
      <c r="R762" s="568">
        <f t="shared" ca="1" si="461"/>
        <v>416100</v>
      </c>
      <c r="S762" s="568">
        <f t="shared" ca="1" si="461"/>
        <v>152280.29</v>
      </c>
      <c r="T762" s="568">
        <f t="shared" ca="1" si="458"/>
        <v>36.5970415765441</v>
      </c>
      <c r="U762" s="568">
        <f t="shared" ca="1" si="459"/>
        <v>36.5970415765441</v>
      </c>
    </row>
    <row r="763" spans="1:21" ht="18.75" x14ac:dyDescent="0.25">
      <c r="A763" s="674"/>
      <c r="B763" s="718"/>
      <c r="C763" s="720"/>
      <c r="D763" s="562" t="s">
        <v>22</v>
      </c>
      <c r="E763" s="561"/>
      <c r="F763" s="561"/>
      <c r="G763" s="563"/>
      <c r="H763" s="682" t="s">
        <v>14</v>
      </c>
      <c r="I763" s="683"/>
      <c r="J763" s="683"/>
      <c r="K763" s="684"/>
      <c r="L763" s="567">
        <f t="shared" ref="L763:N763" si="462">L764+L765</f>
        <v>0</v>
      </c>
      <c r="M763" s="568">
        <f t="shared" si="462"/>
        <v>0</v>
      </c>
      <c r="N763" s="568">
        <f t="shared" si="462"/>
        <v>0</v>
      </c>
      <c r="O763" s="568">
        <f t="shared" si="455"/>
        <v>0</v>
      </c>
      <c r="P763" s="568">
        <f t="shared" si="456"/>
        <v>0</v>
      </c>
      <c r="Q763" s="568">
        <f t="shared" ref="Q763:S763" ca="1" si="463">Q764+Q765</f>
        <v>416100</v>
      </c>
      <c r="R763" s="568">
        <f t="shared" ca="1" si="463"/>
        <v>416100</v>
      </c>
      <c r="S763" s="568">
        <f t="shared" ca="1" si="463"/>
        <v>152280.29</v>
      </c>
      <c r="T763" s="568">
        <f t="shared" ca="1" si="458"/>
        <v>36.5970415765441</v>
      </c>
      <c r="U763" s="568">
        <f t="shared" ca="1" si="459"/>
        <v>36.5970415765441</v>
      </c>
    </row>
    <row r="764" spans="1:21" ht="18.75" x14ac:dyDescent="0.25">
      <c r="A764" s="674"/>
      <c r="B764" s="718"/>
      <c r="C764" s="720"/>
      <c r="D764" s="695"/>
      <c r="E764" s="569" t="s">
        <v>158</v>
      </c>
      <c r="F764" s="561"/>
      <c r="G764" s="563"/>
      <c r="H764" s="685" t="s">
        <v>14</v>
      </c>
      <c r="I764" s="565"/>
      <c r="J764" s="565"/>
      <c r="K764" s="566"/>
      <c r="L764" s="571">
        <v>0</v>
      </c>
      <c r="M764" s="572">
        <v>0</v>
      </c>
      <c r="N764" s="572">
        <v>0</v>
      </c>
      <c r="O764" s="572">
        <f t="shared" si="455"/>
        <v>0</v>
      </c>
      <c r="P764" s="572">
        <f t="shared" si="456"/>
        <v>0</v>
      </c>
      <c r="Q764" s="572">
        <v>0</v>
      </c>
      <c r="R764" s="572">
        <v>0</v>
      </c>
      <c r="S764" s="572">
        <v>0</v>
      </c>
      <c r="T764" s="572">
        <f t="shared" si="458"/>
        <v>0</v>
      </c>
      <c r="U764" s="572">
        <f t="shared" si="459"/>
        <v>0</v>
      </c>
    </row>
    <row r="765" spans="1:21" ht="18.75" x14ac:dyDescent="0.25">
      <c r="A765" s="674"/>
      <c r="B765" s="718"/>
      <c r="C765" s="720"/>
      <c r="D765" s="695"/>
      <c r="E765" s="573" t="s">
        <v>159</v>
      </c>
      <c r="F765" s="561"/>
      <c r="G765" s="563"/>
      <c r="H765" s="682" t="s">
        <v>14</v>
      </c>
      <c r="I765" s="565"/>
      <c r="J765" s="565"/>
      <c r="K765" s="566"/>
      <c r="L765" s="567">
        <v>0</v>
      </c>
      <c r="M765" s="568">
        <v>0</v>
      </c>
      <c r="N765" s="568">
        <v>0</v>
      </c>
      <c r="O765" s="568">
        <f t="shared" si="455"/>
        <v>0</v>
      </c>
      <c r="P765" s="568">
        <f t="shared" si="456"/>
        <v>0</v>
      </c>
      <c r="Q765" s="568">
        <f ca="1">IFERROR(__xludf.DUMMYFUNCTION("IMPORTRANGE(""https://docs.google.com/spreadsheets/d/1ItG2mGa2ceCfYo0BwxsXqNm01IGEUdYcSSLTEv9YCik/edit?usp=sharing"",""เบิกจ่ายกองทุน!AA16"")"),416100)</f>
        <v>416100</v>
      </c>
      <c r="R765" s="568">
        <f ca="1">IFERROR(__xludf.DUMMYFUNCTION("IMPORTRANGE(""https://docs.google.com/spreadsheets/d/1ItG2mGa2ceCfYo0BwxsXqNm01IGEUdYcSSLTEv9YCik/edit?usp=sharing"",""เบิกจ่ายกองทุน!AB16"")"),416100)</f>
        <v>416100</v>
      </c>
      <c r="S765" s="568">
        <f ca="1">IFERROR(__xludf.DUMMYFUNCTION("IMPORTRANGE(""https://docs.google.com/spreadsheets/d/1ItG2mGa2ceCfYo0BwxsXqNm01IGEUdYcSSLTEv9YCik/edit?usp=sharing"",""เบิกจ่ายกองทุน!AC16"")"),152280.29)</f>
        <v>152280.29</v>
      </c>
      <c r="T765" s="568">
        <f t="shared" ca="1" si="458"/>
        <v>36.5970415765441</v>
      </c>
      <c r="U765" s="568">
        <f t="shared" ca="1" si="459"/>
        <v>36.5970415765441</v>
      </c>
    </row>
    <row r="766" spans="1:21" ht="18.75" x14ac:dyDescent="0.25">
      <c r="A766" s="674"/>
      <c r="B766" s="718"/>
      <c r="C766" s="718"/>
      <c r="D766" s="562" t="s">
        <v>23</v>
      </c>
      <c r="E766" s="718"/>
      <c r="F766" s="561"/>
      <c r="G766" s="563"/>
      <c r="H766" s="686" t="s">
        <v>14</v>
      </c>
      <c r="I766" s="683"/>
      <c r="J766" s="683"/>
      <c r="K766" s="684"/>
      <c r="L766" s="567">
        <f t="shared" ref="L766:N766" si="464">L767+L768</f>
        <v>0</v>
      </c>
      <c r="M766" s="568">
        <f t="shared" si="464"/>
        <v>0</v>
      </c>
      <c r="N766" s="568">
        <f t="shared" si="464"/>
        <v>0</v>
      </c>
      <c r="O766" s="568">
        <f t="shared" si="455"/>
        <v>0</v>
      </c>
      <c r="P766" s="568">
        <f t="shared" si="456"/>
        <v>0</v>
      </c>
      <c r="Q766" s="568">
        <f t="shared" ref="Q766:S766" si="465">Q767+Q768</f>
        <v>0</v>
      </c>
      <c r="R766" s="568">
        <f t="shared" si="465"/>
        <v>0</v>
      </c>
      <c r="S766" s="568">
        <f t="shared" si="465"/>
        <v>0</v>
      </c>
      <c r="T766" s="568">
        <f t="shared" si="458"/>
        <v>0</v>
      </c>
      <c r="U766" s="568">
        <f t="shared" si="459"/>
        <v>0</v>
      </c>
    </row>
    <row r="767" spans="1:21" ht="18.75" x14ac:dyDescent="0.25">
      <c r="A767" s="674"/>
      <c r="B767" s="718"/>
      <c r="C767" s="718"/>
      <c r="D767" s="718"/>
      <c r="E767" s="767" t="s">
        <v>20</v>
      </c>
      <c r="F767" s="561"/>
      <c r="G767" s="563"/>
      <c r="H767" s="685" t="s">
        <v>14</v>
      </c>
      <c r="I767" s="683"/>
      <c r="J767" s="683"/>
      <c r="K767" s="684"/>
      <c r="L767" s="571">
        <v>0</v>
      </c>
      <c r="M767" s="572">
        <v>0</v>
      </c>
      <c r="N767" s="572">
        <v>0</v>
      </c>
      <c r="O767" s="572">
        <f t="shared" si="455"/>
        <v>0</v>
      </c>
      <c r="P767" s="572">
        <f t="shared" si="456"/>
        <v>0</v>
      </c>
      <c r="Q767" s="572">
        <v>0</v>
      </c>
      <c r="R767" s="572">
        <v>0</v>
      </c>
      <c r="S767" s="572">
        <v>0</v>
      </c>
      <c r="T767" s="572">
        <f t="shared" si="458"/>
        <v>0</v>
      </c>
      <c r="U767" s="572">
        <f t="shared" si="459"/>
        <v>0</v>
      </c>
    </row>
    <row r="768" spans="1:21" ht="18.75" x14ac:dyDescent="0.25">
      <c r="A768" s="674"/>
      <c r="B768" s="718"/>
      <c r="C768" s="718"/>
      <c r="D768" s="718"/>
      <c r="E768" s="765" t="s">
        <v>21</v>
      </c>
      <c r="F768" s="561"/>
      <c r="G768" s="563"/>
      <c r="H768" s="686" t="s">
        <v>14</v>
      </c>
      <c r="I768" s="683"/>
      <c r="J768" s="683"/>
      <c r="K768" s="684"/>
      <c r="L768" s="567">
        <v>0</v>
      </c>
      <c r="M768" s="568">
        <v>0</v>
      </c>
      <c r="N768" s="568">
        <v>0</v>
      </c>
      <c r="O768" s="568">
        <f t="shared" si="455"/>
        <v>0</v>
      </c>
      <c r="P768" s="568">
        <f t="shared" si="456"/>
        <v>0</v>
      </c>
      <c r="Q768" s="568">
        <v>0</v>
      </c>
      <c r="R768" s="568">
        <v>0</v>
      </c>
      <c r="S768" s="568">
        <v>0</v>
      </c>
      <c r="T768" s="568">
        <f t="shared" si="458"/>
        <v>0</v>
      </c>
      <c r="U768" s="568">
        <f t="shared" si="459"/>
        <v>0</v>
      </c>
    </row>
    <row r="769" spans="1:21" ht="19.5" x14ac:dyDescent="0.3">
      <c r="A769" s="687"/>
      <c r="B769" s="688"/>
      <c r="C769" s="1117" t="s">
        <v>18</v>
      </c>
      <c r="D769" s="1078" t="s">
        <v>38</v>
      </c>
      <c r="E769" s="758"/>
      <c r="F769" s="690"/>
      <c r="G769" s="691"/>
      <c r="H769" s="725"/>
      <c r="I769" s="565"/>
      <c r="J769" s="565"/>
      <c r="K769" s="566"/>
      <c r="L769" s="574"/>
      <c r="M769" s="566"/>
      <c r="N769" s="566"/>
      <c r="O769" s="566"/>
      <c r="P769" s="566"/>
      <c r="Q769" s="566"/>
      <c r="R769" s="566"/>
      <c r="S769" s="566"/>
      <c r="T769" s="566"/>
      <c r="U769" s="566"/>
    </row>
    <row r="770" spans="1:21" ht="18.75" x14ac:dyDescent="0.25">
      <c r="A770" s="687"/>
      <c r="B770" s="688"/>
      <c r="C770" s="688"/>
      <c r="D770" s="1042" t="s">
        <v>286</v>
      </c>
      <c r="E770" s="688"/>
      <c r="F770" s="695"/>
      <c r="G770" s="692"/>
      <c r="H770" s="734" t="s">
        <v>35</v>
      </c>
      <c r="I770" s="735">
        <f ca="1">IFERROR(__xludf.DUMMYFUNCTION("IMPORTRANGE(""https://docs.google.com/spreadsheets/d/1eHaY18a8A9IcSdp1K8H6x8fbOy06t2VsZHhMHf-1x7Y/edit?usp=sharing"",""แผน!FI16"")"),0)</f>
        <v>0</v>
      </c>
      <c r="J770" s="735">
        <v>0</v>
      </c>
      <c r="K770" s="572">
        <f ca="1">IF(I770&gt;0,J770*100/I770,0)</f>
        <v>0</v>
      </c>
      <c r="L770" s="574"/>
      <c r="M770" s="566"/>
      <c r="N770" s="566"/>
      <c r="O770" s="566"/>
      <c r="P770" s="566"/>
      <c r="Q770" s="566"/>
      <c r="R770" s="566"/>
      <c r="S770" s="566"/>
      <c r="T770" s="566"/>
      <c r="U770" s="566"/>
    </row>
    <row r="771" spans="1:21" ht="18.75" x14ac:dyDescent="0.25">
      <c r="A771" s="687"/>
      <c r="B771" s="688"/>
      <c r="C771" s="688"/>
      <c r="D771" s="1042" t="s">
        <v>287</v>
      </c>
      <c r="E771" s="688"/>
      <c r="F771" s="695"/>
      <c r="G771" s="692"/>
      <c r="H771" s="725"/>
      <c r="I771" s="565"/>
      <c r="J771" s="565"/>
      <c r="K771" s="566"/>
      <c r="L771" s="574"/>
      <c r="M771" s="566"/>
      <c r="N771" s="566"/>
      <c r="O771" s="566"/>
      <c r="P771" s="566"/>
      <c r="Q771" s="566"/>
      <c r="R771" s="566"/>
      <c r="S771" s="566"/>
      <c r="T771" s="566"/>
      <c r="U771" s="566"/>
    </row>
    <row r="772" spans="1:21" ht="18.75" x14ac:dyDescent="0.25">
      <c r="A772" s="687"/>
      <c r="B772" s="688"/>
      <c r="C772" s="688"/>
      <c r="D772" s="1079" t="s">
        <v>288</v>
      </c>
      <c r="E772" s="688"/>
      <c r="F772" s="695"/>
      <c r="G772" s="692"/>
      <c r="H772" s="686" t="s">
        <v>35</v>
      </c>
      <c r="I772" s="708">
        <f ca="1">IFERROR(__xludf.DUMMYFUNCTION("IMPORTRANGE(""https://docs.google.com/spreadsheets/d/1eHaY18a8A9IcSdp1K8H6x8fbOy06t2VsZHhMHf-1x7Y/edit?usp=sharing"",""แผน!FQ16"")"),60)</f>
        <v>60</v>
      </c>
      <c r="J772" s="702">
        <v>40</v>
      </c>
      <c r="K772" s="568">
        <f ca="1">IF(I772&gt;0,J772*100/I772,0)</f>
        <v>66.666666666666671</v>
      </c>
      <c r="L772" s="574"/>
      <c r="M772" s="566"/>
      <c r="N772" s="566"/>
      <c r="O772" s="566"/>
      <c r="P772" s="566"/>
      <c r="Q772" s="566"/>
      <c r="R772" s="566"/>
      <c r="S772" s="566"/>
      <c r="T772" s="566"/>
      <c r="U772" s="566"/>
    </row>
    <row r="773" spans="1:21" ht="18.75" x14ac:dyDescent="0.25">
      <c r="A773" s="687"/>
      <c r="B773" s="688"/>
      <c r="C773" s="688"/>
      <c r="D773" s="1079" t="s">
        <v>289</v>
      </c>
      <c r="E773" s="688"/>
      <c r="F773" s="695"/>
      <c r="G773" s="692"/>
      <c r="H773" s="725"/>
      <c r="I773" s="565"/>
      <c r="J773" s="565"/>
      <c r="K773" s="566"/>
      <c r="L773" s="574"/>
      <c r="M773" s="566"/>
      <c r="N773" s="566"/>
      <c r="O773" s="566"/>
      <c r="P773" s="566"/>
      <c r="Q773" s="566"/>
      <c r="R773" s="566"/>
      <c r="S773" s="566"/>
      <c r="T773" s="566"/>
      <c r="U773" s="566"/>
    </row>
    <row r="774" spans="1:21" ht="18.75" x14ac:dyDescent="0.25">
      <c r="A774" s="687"/>
      <c r="B774" s="688"/>
      <c r="C774" s="688"/>
      <c r="D774" s="1079" t="s">
        <v>290</v>
      </c>
      <c r="E774" s="688"/>
      <c r="F774" s="695"/>
      <c r="G774" s="692"/>
      <c r="H774" s="686" t="s">
        <v>46</v>
      </c>
      <c r="I774" s="708">
        <f ca="1">IFERROR(__xludf.DUMMYFUNCTION("IMPORTRANGE(""https://docs.google.com/spreadsheets/d/1eHaY18a8A9IcSdp1K8H6x8fbOy06t2VsZHhMHf-1x7Y/edit?usp=sharing"",""แผน!FR16"")"),110)</f>
        <v>110</v>
      </c>
      <c r="J774" s="702">
        <v>78</v>
      </c>
      <c r="K774" s="568">
        <f ca="1">IF(I774&gt;0,J774*100/I774,0)</f>
        <v>70.909090909090907</v>
      </c>
      <c r="L774" s="574"/>
      <c r="M774" s="566"/>
      <c r="N774" s="566"/>
      <c r="O774" s="566"/>
      <c r="P774" s="566"/>
      <c r="Q774" s="566"/>
      <c r="R774" s="566"/>
      <c r="S774" s="566"/>
      <c r="T774" s="566"/>
      <c r="U774" s="566"/>
    </row>
    <row r="775" spans="1:21" ht="18.75" x14ac:dyDescent="0.25">
      <c r="A775" s="687"/>
      <c r="B775" s="688"/>
      <c r="C775" s="688"/>
      <c r="D775" s="1079" t="s">
        <v>50</v>
      </c>
      <c r="E775" s="695"/>
      <c r="F775" s="561"/>
      <c r="G775" s="563"/>
      <c r="H775" s="686" t="s">
        <v>46</v>
      </c>
      <c r="I775" s="708">
        <f ca="1">IFERROR(__xludf.DUMMYFUNCTION("IMPORTRANGE(""https://docs.google.com/spreadsheets/d/1eHaY18a8A9IcSdp1K8H6x8fbOy06t2VsZHhMHf-1x7Y/edit?usp=sharing"",""แผน!FS16"")"),110)</f>
        <v>110</v>
      </c>
      <c r="J775" s="702">
        <v>0</v>
      </c>
      <c r="K775" s="566"/>
      <c r="L775" s="574"/>
      <c r="M775" s="566"/>
      <c r="N775" s="566"/>
      <c r="O775" s="566"/>
      <c r="P775" s="566"/>
      <c r="Q775" s="566"/>
      <c r="R775" s="566"/>
      <c r="S775" s="566"/>
      <c r="T775" s="566"/>
      <c r="U775" s="566"/>
    </row>
    <row r="776" spans="1:21" ht="18.75" x14ac:dyDescent="0.25">
      <c r="A776" s="863"/>
      <c r="B776" s="864"/>
      <c r="C776" s="864"/>
      <c r="D776" s="864"/>
      <c r="E776" s="512"/>
      <c r="F776" s="512"/>
      <c r="G776" s="577"/>
      <c r="H776" s="1089" t="s">
        <v>35</v>
      </c>
      <c r="I776" s="989">
        <f ca="1">IFERROR(__xludf.DUMMYFUNCTION("IMPORTRANGE(""https://docs.google.com/spreadsheets/d/1eHaY18a8A9IcSdp1K8H6x8fbOy06t2VsZHhMHf-1x7Y/edit?usp=sharing"",""แผน!FT16"")"),60)</f>
        <v>60</v>
      </c>
      <c r="J776" s="990">
        <v>0</v>
      </c>
      <c r="K776" s="580"/>
      <c r="L776" s="581"/>
      <c r="M776" s="580"/>
      <c r="N776" s="580"/>
      <c r="O776" s="580"/>
      <c r="P776" s="580"/>
      <c r="Q776" s="580"/>
      <c r="R776" s="580"/>
      <c r="S776" s="580"/>
      <c r="T776" s="580"/>
      <c r="U776" s="580"/>
    </row>
    <row r="777" spans="1:21" ht="19.5" x14ac:dyDescent="0.3">
      <c r="A777" s="1118" t="s">
        <v>291</v>
      </c>
      <c r="B777" s="1119"/>
      <c r="C777" s="1119"/>
      <c r="D777" s="1120"/>
      <c r="E777" s="1119"/>
      <c r="F777" s="1119"/>
      <c r="G777" s="1121"/>
      <c r="H777" s="112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1123"/>
      <c r="J777" s="1124"/>
      <c r="K777" s="1125"/>
      <c r="L777" s="1125"/>
      <c r="M777" s="1125"/>
      <c r="N777" s="1125"/>
      <c r="O777" s="1125"/>
      <c r="P777" s="1125"/>
      <c r="Q777" s="1125"/>
      <c r="R777" s="1125"/>
      <c r="S777" s="1125"/>
      <c r="T777" s="1125"/>
      <c r="U777" s="1125"/>
    </row>
    <row r="778" spans="1:21" ht="18.75" x14ac:dyDescent="0.25">
      <c r="A778" s="560"/>
      <c r="B778" s="573" t="s">
        <v>292</v>
      </c>
      <c r="C778" s="561"/>
      <c r="D778" s="718"/>
      <c r="E778" s="561"/>
      <c r="F778" s="561"/>
      <c r="G778" s="563"/>
      <c r="H778" s="564" t="s">
        <v>14</v>
      </c>
      <c r="I778" s="708">
        <f ca="1">IFERROR(__xludf.DUMMYFUNCTION("IMPORTRANGE(""https://docs.google.com/spreadsheets/d/10OvvATaaLtwErnr3qtWFcTmtbfpFEt5Bsqel9sXx0uE/edit?usp=sharing"",""งานกองทุน!D16"")"),2769562.15)</f>
        <v>2769562.15</v>
      </c>
      <c r="J778" s="708">
        <f ca="1">IFERROR(__xludf.DUMMYFUNCTION("IMPORTRANGE(""https://docs.google.com/spreadsheets/d/10OvvATaaLtwErnr3qtWFcTmtbfpFEt5Bsqel9sXx0uE/edit?usp=sharing"",""งานกองทุน!F16"")"),269901.61)</f>
        <v>269901.61</v>
      </c>
      <c r="K778" s="568">
        <f t="shared" ref="K778:K785" ca="1" si="466">IF(I778&gt;0,J778*100/I778,0)</f>
        <v>9.7452808560371178</v>
      </c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</row>
    <row r="779" spans="1:21" ht="18.75" x14ac:dyDescent="0.25">
      <c r="A779" s="560"/>
      <c r="B779" s="561"/>
      <c r="C779" s="561"/>
      <c r="D779" s="718"/>
      <c r="E779" s="561"/>
      <c r="F779" s="561"/>
      <c r="G779" s="563"/>
      <c r="H779" s="564" t="s">
        <v>35</v>
      </c>
      <c r="I779" s="708">
        <f ca="1">IFERROR(__xludf.DUMMYFUNCTION("IMPORTRANGE(""https://docs.google.com/spreadsheets/d/10OvvATaaLtwErnr3qtWFcTmtbfpFEt5Bsqel9sXx0uE/edit?usp=sharing"",""งานกองทุน!C16"")"),122)</f>
        <v>122</v>
      </c>
      <c r="J779" s="708">
        <f ca="1">IFERROR(__xludf.DUMMYFUNCTION("IMPORTRANGE(""https://docs.google.com/spreadsheets/d/10OvvATaaLtwErnr3qtWFcTmtbfpFEt5Bsqel9sXx0uE/edit?usp=sharing"",""งานกองทุน!E16"")"),15)</f>
        <v>15</v>
      </c>
      <c r="K779" s="568">
        <f t="shared" ca="1" si="466"/>
        <v>12.295081967213115</v>
      </c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</row>
    <row r="780" spans="1:21" ht="18.75" x14ac:dyDescent="0.25">
      <c r="A780" s="560"/>
      <c r="B780" s="573" t="s">
        <v>293</v>
      </c>
      <c r="C780" s="561"/>
      <c r="D780" s="718"/>
      <c r="E780" s="561"/>
      <c r="F780" s="561"/>
      <c r="G780" s="563"/>
      <c r="H780" s="564" t="s">
        <v>14</v>
      </c>
      <c r="I780" s="708">
        <f ca="1">IFERROR(__xludf.DUMMYFUNCTION("IMPORTRANGE(""https://docs.google.com/spreadsheets/d/10OvvATaaLtwErnr3qtWFcTmtbfpFEt5Bsqel9sXx0uE/edit?usp=sharing"",""งานกองทุน!I16"")"),757037.79)</f>
        <v>757037.79</v>
      </c>
      <c r="J780" s="708">
        <f ca="1">IFERROR(__xludf.DUMMYFUNCTION("IMPORTRANGE(""https://docs.google.com/spreadsheets/d/10OvvATaaLtwErnr3qtWFcTmtbfpFEt5Bsqel9sXx0uE/edit?usp=sharing"",""งานกองทุน!K16"")"),84719.67)</f>
        <v>84719.67</v>
      </c>
      <c r="K780" s="568">
        <f t="shared" ca="1" si="466"/>
        <v>11.190943321336706</v>
      </c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</row>
    <row r="781" spans="1:21" ht="18.75" x14ac:dyDescent="0.25">
      <c r="A781" s="560"/>
      <c r="B781" s="561"/>
      <c r="C781" s="561"/>
      <c r="D781" s="718"/>
      <c r="E781" s="561"/>
      <c r="F781" s="561"/>
      <c r="G781" s="563"/>
      <c r="H781" s="564" t="s">
        <v>35</v>
      </c>
      <c r="I781" s="708">
        <f ca="1">IFERROR(__xludf.DUMMYFUNCTION("IMPORTRANGE(""https://docs.google.com/spreadsheets/d/10OvvATaaLtwErnr3qtWFcTmtbfpFEt5Bsqel9sXx0uE/edit?usp=sharing"",""งานกองทุน!H16"")"),51)</f>
        <v>51</v>
      </c>
      <c r="J781" s="708">
        <f ca="1">IFERROR(__xludf.DUMMYFUNCTION("IMPORTRANGE(""https://docs.google.com/spreadsheets/d/10OvvATaaLtwErnr3qtWFcTmtbfpFEt5Bsqel9sXx0uE/edit?usp=sharing"",""งานกองทุน!J16"")"),22)</f>
        <v>22</v>
      </c>
      <c r="K781" s="568">
        <f t="shared" ca="1" si="466"/>
        <v>43.137254901960787</v>
      </c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</row>
    <row r="782" spans="1:21" ht="18.75" x14ac:dyDescent="0.25">
      <c r="A782" s="560"/>
      <c r="B782" s="573" t="s">
        <v>294</v>
      </c>
      <c r="C782" s="561"/>
      <c r="D782" s="718"/>
      <c r="E782" s="561"/>
      <c r="F782" s="561"/>
      <c r="G782" s="563"/>
      <c r="H782" s="564" t="s">
        <v>14</v>
      </c>
      <c r="I782" s="708">
        <f ca="1">IFERROR(__xludf.DUMMYFUNCTION("IMPORTRANGE(""https://docs.google.com/spreadsheets/d/10OvvATaaLtwErnr3qtWFcTmtbfpFEt5Bsqel9sXx0uE/edit?usp=sharing"",""งานกองทุน!N16"")"),39168.37)</f>
        <v>39168.370000000003</v>
      </c>
      <c r="J782" s="708">
        <f ca="1">IFERROR(__xludf.DUMMYFUNCTION("IMPORTRANGE(""https://docs.google.com/spreadsheets/d/10OvvATaaLtwErnr3qtWFcTmtbfpFEt5Bsqel9sXx0uE/edit?usp=sharing"",""งานกองทุน!P16"")"),5418.45)</f>
        <v>5418.45</v>
      </c>
      <c r="K782" s="568">
        <f t="shared" ca="1" si="466"/>
        <v>13.833738805061328</v>
      </c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</row>
    <row r="783" spans="1:21" ht="18.75" x14ac:dyDescent="0.25">
      <c r="A783" s="560"/>
      <c r="B783" s="561"/>
      <c r="C783" s="561"/>
      <c r="D783" s="718"/>
      <c r="E783" s="561"/>
      <c r="F783" s="561"/>
      <c r="G783" s="563"/>
      <c r="H783" s="564" t="s">
        <v>35</v>
      </c>
      <c r="I783" s="708">
        <f ca="1">IFERROR(__xludf.DUMMYFUNCTION("IMPORTRANGE(""https://docs.google.com/spreadsheets/d/10OvvATaaLtwErnr3qtWFcTmtbfpFEt5Bsqel9sXx0uE/edit?usp=sharing"",""งานกองทุน!M16"")"),20)</f>
        <v>20</v>
      </c>
      <c r="J783" s="708">
        <f ca="1">IFERROR(__xludf.DUMMYFUNCTION("IMPORTRANGE(""https://docs.google.com/spreadsheets/d/10OvvATaaLtwErnr3qtWFcTmtbfpFEt5Bsqel9sXx0uE/edit?usp=sharing"",""งานกองทุน!O16"")"),2)</f>
        <v>2</v>
      </c>
      <c r="K783" s="568">
        <f t="shared" ca="1" si="466"/>
        <v>10</v>
      </c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</row>
    <row r="784" spans="1:21" ht="18.75" x14ac:dyDescent="0.25">
      <c r="A784" s="560"/>
      <c r="B784" s="573" t="s">
        <v>295</v>
      </c>
      <c r="C784" s="561"/>
      <c r="D784" s="718"/>
      <c r="E784" s="561"/>
      <c r="F784" s="561"/>
      <c r="G784" s="563"/>
      <c r="H784" s="564" t="s">
        <v>14</v>
      </c>
      <c r="I784" s="708">
        <f ca="1">IFERROR(__xludf.DUMMYFUNCTION("IMPORTRANGE(""https://docs.google.com/spreadsheets/d/10OvvATaaLtwErnr3qtWFcTmtbfpFEt5Bsqel9sXx0uE/edit?usp=sharing"",""งานกองทุน!S16"")"),3696000)</f>
        <v>3696000</v>
      </c>
      <c r="J784" s="708">
        <f ca="1">IFERROR(__xludf.DUMMYFUNCTION("IMPORTRANGE(""https://docs.google.com/spreadsheets/d/10OvvATaaLtwErnr3qtWFcTmtbfpFEt5Bsqel9sXx0uE/edit?usp=sharing"",""งานกองทุน!U16"")"),0)</f>
        <v>0</v>
      </c>
      <c r="K784" s="568">
        <f t="shared" ca="1" si="466"/>
        <v>0</v>
      </c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</row>
    <row r="785" spans="1:21" ht="18.75" x14ac:dyDescent="0.25">
      <c r="A785" s="575"/>
      <c r="B785" s="513"/>
      <c r="C785" s="513"/>
      <c r="D785" s="514"/>
      <c r="E785" s="513"/>
      <c r="F785" s="513"/>
      <c r="G785" s="577"/>
      <c r="H785" s="578" t="s">
        <v>35</v>
      </c>
      <c r="I785" s="989">
        <f ca="1">IFERROR(__xludf.DUMMYFUNCTION("IMPORTRANGE(""https://docs.google.com/spreadsheets/d/10OvvATaaLtwErnr3qtWFcTmtbfpFEt5Bsqel9sXx0uE/edit?usp=sharing"",""งานกองทุน!R16"")"),132)</f>
        <v>132</v>
      </c>
      <c r="J785" s="989">
        <f ca="1">IFERROR(__xludf.DUMMYFUNCTION("IMPORTRANGE(""https://docs.google.com/spreadsheets/d/10OvvATaaLtwErnr3qtWFcTmtbfpFEt5Bsqel9sXx0uE/edit?usp=sharing"",""งานกองทุน!T16"")"),0)</f>
        <v>0</v>
      </c>
      <c r="K785" s="655">
        <f t="shared" ca="1" si="466"/>
        <v>0</v>
      </c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</row>
    <row r="786" spans="1:21" ht="12.75" x14ac:dyDescent="0.2">
      <c r="A786" s="510"/>
      <c r="B786" s="510"/>
      <c r="C786" s="510"/>
      <c r="D786" s="510"/>
      <c r="E786" s="510"/>
      <c r="F786" s="510"/>
      <c r="G786" s="510"/>
      <c r="H786" s="510"/>
      <c r="I786" s="510"/>
      <c r="J786" s="510"/>
      <c r="K786" s="510"/>
      <c r="L786" s="510"/>
      <c r="M786" s="510"/>
      <c r="N786" s="510"/>
      <c r="O786" s="510"/>
      <c r="P786" s="510"/>
      <c r="Q786" s="510"/>
      <c r="R786" s="510"/>
      <c r="S786" s="510"/>
      <c r="T786" s="510"/>
      <c r="U786" s="510"/>
    </row>
    <row r="787" spans="1:21" ht="16.5" x14ac:dyDescent="0.25">
      <c r="A787" s="1126" t="s">
        <v>296</v>
      </c>
      <c r="B787" s="510"/>
      <c r="C787" s="510"/>
      <c r="D787" s="510"/>
      <c r="E787" s="510"/>
      <c r="F787" s="510"/>
      <c r="G787" s="510"/>
      <c r="H787" s="510"/>
      <c r="I787" s="510"/>
      <c r="J787" s="510"/>
      <c r="K787" s="510"/>
      <c r="L787" s="510"/>
      <c r="M787" s="510"/>
      <c r="N787" s="510"/>
      <c r="O787" s="510"/>
      <c r="P787" s="510"/>
      <c r="Q787" s="510"/>
      <c r="R787" s="510"/>
      <c r="S787" s="510"/>
      <c r="T787" s="510"/>
      <c r="U787" s="510"/>
    </row>
    <row r="788" spans="1:21" ht="16.5" x14ac:dyDescent="0.25">
      <c r="A788" s="112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510"/>
      <c r="C788" s="510"/>
      <c r="D788" s="510"/>
      <c r="E788" s="510"/>
      <c r="F788" s="510"/>
      <c r="G788" s="510"/>
      <c r="H788" s="510"/>
      <c r="I788" s="510"/>
      <c r="J788" s="510"/>
      <c r="K788" s="510"/>
      <c r="L788" s="510"/>
      <c r="M788" s="510"/>
      <c r="N788" s="510"/>
      <c r="O788" s="510"/>
      <c r="P788" s="510"/>
      <c r="Q788" s="510"/>
      <c r="R788" s="510"/>
      <c r="S788" s="510"/>
      <c r="T788" s="510"/>
      <c r="U788" s="510"/>
    </row>
    <row r="789" spans="1:21" ht="16.5" x14ac:dyDescent="0.25">
      <c r="A789" s="112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510"/>
      <c r="C789" s="510"/>
      <c r="D789" s="510"/>
      <c r="E789" s="510"/>
      <c r="F789" s="510"/>
      <c r="G789" s="510"/>
      <c r="H789" s="510"/>
      <c r="I789" s="510"/>
      <c r="J789" s="510"/>
      <c r="K789" s="510"/>
      <c r="L789" s="510"/>
      <c r="M789" s="510"/>
      <c r="N789" s="510"/>
      <c r="O789" s="510"/>
      <c r="P789" s="510"/>
      <c r="Q789" s="510"/>
      <c r="R789" s="510"/>
      <c r="S789" s="510"/>
      <c r="T789" s="510"/>
      <c r="U789" s="510"/>
    </row>
  </sheetData>
  <mergeCells count="25">
    <mergeCell ref="Q4:U4"/>
    <mergeCell ref="A5:G6"/>
    <mergeCell ref="I5:K5"/>
    <mergeCell ref="L5:M5"/>
    <mergeCell ref="N5:P5"/>
    <mergeCell ref="Q5:R5"/>
    <mergeCell ref="B57:G57"/>
    <mergeCell ref="L4:P4"/>
    <mergeCell ref="A1:U1"/>
    <mergeCell ref="A2:U2"/>
    <mergeCell ref="A3:U3"/>
    <mergeCell ref="S5:U5"/>
    <mergeCell ref="A7:G7"/>
    <mergeCell ref="A17:G17"/>
    <mergeCell ref="A30:G30"/>
    <mergeCell ref="A56:G56"/>
    <mergeCell ref="D714:G714"/>
    <mergeCell ref="D728:G728"/>
    <mergeCell ref="D760:G760"/>
    <mergeCell ref="D413:G413"/>
    <mergeCell ref="D493:F493"/>
    <mergeCell ref="D599:G599"/>
    <mergeCell ref="D616:G616"/>
    <mergeCell ref="D642:G642"/>
    <mergeCell ref="D690:G690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0224-C8F7-49B0-B85D-551078167C47}">
  <sheetPr>
    <outlinePr summaryBelow="0" summaryRight="0"/>
  </sheetPr>
  <dimension ref="A1:U789"/>
  <sheetViews>
    <sheetView view="pageBreakPreview" zoomScale="60" zoomScaleNormal="100" workbookViewId="0">
      <pane xSplit="8" ySplit="6" topLeftCell="I1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style="511" customWidth="1"/>
    <col min="7" max="7" width="61.42578125" style="511" customWidth="1"/>
    <col min="8" max="8" width="9.42578125" style="511" customWidth="1"/>
    <col min="9" max="11" width="15.140625" style="511" customWidth="1"/>
    <col min="12" max="14" width="21.28515625" style="511" bestFit="1" customWidth="1"/>
    <col min="15" max="15" width="19.28515625" style="511" bestFit="1" customWidth="1"/>
    <col min="16" max="16" width="20.85546875" style="511" bestFit="1" customWidth="1"/>
    <col min="17" max="19" width="18.7109375" style="511" bestFit="1" customWidth="1"/>
    <col min="20" max="20" width="19.28515625" style="511" bestFit="1" customWidth="1"/>
    <col min="21" max="21" width="20.85546875" style="511" bestFit="1" customWidth="1"/>
    <col min="22" max="16384" width="12.5703125" style="511"/>
  </cols>
  <sheetData>
    <row r="1" spans="1:21" ht="15.75" customHeight="1" x14ac:dyDescent="0.3">
      <c r="A1" s="1321" t="s">
        <v>0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  <c r="R1" s="1321"/>
      <c r="S1" s="1321"/>
      <c r="T1" s="1321"/>
      <c r="U1" s="1321"/>
    </row>
    <row r="2" spans="1:21" ht="15.75" customHeight="1" x14ac:dyDescent="0.3">
      <c r="A2" s="1321" t="s">
        <v>320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</row>
    <row r="3" spans="1:21" ht="15.75" customHeight="1" x14ac:dyDescent="0.3">
      <c r="A3" s="1321" t="s">
        <v>350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</row>
    <row r="4" spans="1:21" ht="15.75" customHeight="1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4"/>
      <c r="K4" s="515"/>
      <c r="L4" s="1323" t="s">
        <v>2</v>
      </c>
      <c r="M4" s="1314"/>
      <c r="N4" s="1314"/>
      <c r="O4" s="1314"/>
      <c r="P4" s="1317"/>
      <c r="Q4" s="1324" t="s">
        <v>3</v>
      </c>
      <c r="R4" s="1314"/>
      <c r="S4" s="1314"/>
      <c r="T4" s="1314"/>
      <c r="U4" s="1317"/>
    </row>
    <row r="5" spans="1:21" ht="15.75" customHeight="1" x14ac:dyDescent="0.3">
      <c r="A5" s="1325" t="s">
        <v>4</v>
      </c>
      <c r="B5" s="1322"/>
      <c r="C5" s="1322"/>
      <c r="D5" s="1322"/>
      <c r="E5" s="1322"/>
      <c r="F5" s="1322"/>
      <c r="G5" s="1326"/>
      <c r="H5" s="516" t="s">
        <v>5</v>
      </c>
      <c r="I5" s="1328" t="s">
        <v>6</v>
      </c>
      <c r="J5" s="1314"/>
      <c r="K5" s="1317"/>
      <c r="L5" s="1329" t="s">
        <v>7</v>
      </c>
      <c r="M5" s="1317"/>
      <c r="N5" s="1330" t="s">
        <v>8</v>
      </c>
      <c r="O5" s="1314"/>
      <c r="P5" s="1317"/>
      <c r="Q5" s="1331" t="s">
        <v>7</v>
      </c>
      <c r="R5" s="1317"/>
      <c r="S5" s="1330" t="s">
        <v>8</v>
      </c>
      <c r="T5" s="1314"/>
      <c r="U5" s="1317"/>
    </row>
    <row r="6" spans="1:21" ht="15.75" customHeight="1" x14ac:dyDescent="0.3">
      <c r="A6" s="1327"/>
      <c r="B6" s="1314"/>
      <c r="C6" s="1314"/>
      <c r="D6" s="1314"/>
      <c r="E6" s="1314"/>
      <c r="F6" s="1314"/>
      <c r="G6" s="1317"/>
      <c r="H6" s="517"/>
      <c r="I6" s="518" t="s">
        <v>9</v>
      </c>
      <c r="J6" s="519" t="s">
        <v>10</v>
      </c>
      <c r="K6" s="518" t="s">
        <v>11</v>
      </c>
      <c r="L6" s="520" t="s">
        <v>12</v>
      </c>
      <c r="M6" s="521" t="s">
        <v>13</v>
      </c>
      <c r="N6" s="522" t="s">
        <v>14</v>
      </c>
      <c r="O6" s="523" t="s">
        <v>15</v>
      </c>
      <c r="P6" s="524" t="s">
        <v>16</v>
      </c>
      <c r="Q6" s="525" t="s">
        <v>12</v>
      </c>
      <c r="R6" s="521" t="s">
        <v>13</v>
      </c>
      <c r="S6" s="522" t="s">
        <v>14</v>
      </c>
      <c r="T6" s="523" t="s">
        <v>15</v>
      </c>
      <c r="U6" s="524" t="s">
        <v>16</v>
      </c>
    </row>
    <row r="7" spans="1:21" ht="12.75" hidden="1" x14ac:dyDescent="0.2">
      <c r="A7" s="1316"/>
      <c r="B7" s="1314"/>
      <c r="C7" s="1314"/>
      <c r="D7" s="1314"/>
      <c r="E7" s="1314"/>
      <c r="F7" s="1314"/>
      <c r="G7" s="1317"/>
      <c r="H7" s="526"/>
      <c r="I7" s="527"/>
      <c r="J7" s="527"/>
      <c r="K7" s="528"/>
      <c r="L7" s="529"/>
      <c r="M7" s="528"/>
      <c r="N7" s="528"/>
      <c r="O7" s="528"/>
      <c r="P7" s="528"/>
      <c r="Q7" s="528"/>
      <c r="R7" s="528"/>
      <c r="S7" s="528"/>
      <c r="T7" s="528"/>
      <c r="U7" s="528"/>
    </row>
    <row r="8" spans="1:21" ht="12.75" hidden="1" x14ac:dyDescent="0.2">
      <c r="A8" s="530"/>
      <c r="B8" s="531"/>
      <c r="C8" s="531"/>
      <c r="D8" s="531"/>
      <c r="E8" s="531"/>
      <c r="F8" s="531"/>
      <c r="G8" s="532"/>
      <c r="H8" s="532"/>
      <c r="I8" s="533"/>
      <c r="J8" s="533"/>
      <c r="K8" s="534"/>
      <c r="L8" s="535"/>
      <c r="M8" s="534"/>
      <c r="N8" s="534"/>
      <c r="O8" s="534"/>
      <c r="P8" s="534"/>
      <c r="Q8" s="534"/>
      <c r="R8" s="534"/>
      <c r="S8" s="534"/>
      <c r="T8" s="534"/>
      <c r="U8" s="534"/>
    </row>
    <row r="9" spans="1:21" ht="12.75" hidden="1" x14ac:dyDescent="0.2">
      <c r="A9" s="530"/>
      <c r="B9" s="531"/>
      <c r="C9" s="531"/>
      <c r="D9" s="531"/>
      <c r="E9" s="531"/>
      <c r="F9" s="531"/>
      <c r="G9" s="532"/>
      <c r="H9" s="532"/>
      <c r="I9" s="533"/>
      <c r="J9" s="533"/>
      <c r="K9" s="534"/>
      <c r="L9" s="535"/>
      <c r="M9" s="534"/>
      <c r="N9" s="534"/>
      <c r="O9" s="534"/>
      <c r="P9" s="534"/>
      <c r="Q9" s="534"/>
      <c r="R9" s="534"/>
      <c r="S9" s="534"/>
      <c r="T9" s="534"/>
      <c r="U9" s="534"/>
    </row>
    <row r="10" spans="1:21" ht="12.75" hidden="1" x14ac:dyDescent="0.2">
      <c r="A10" s="530"/>
      <c r="B10" s="531"/>
      <c r="C10" s="531"/>
      <c r="D10" s="531"/>
      <c r="E10" s="531"/>
      <c r="F10" s="531"/>
      <c r="G10" s="532"/>
      <c r="H10" s="532"/>
      <c r="I10" s="533"/>
      <c r="J10" s="533"/>
      <c r="K10" s="534"/>
      <c r="L10" s="535"/>
      <c r="M10" s="534"/>
      <c r="N10" s="534"/>
      <c r="O10" s="534"/>
      <c r="P10" s="534"/>
      <c r="Q10" s="534"/>
      <c r="R10" s="534"/>
      <c r="S10" s="534"/>
      <c r="T10" s="534"/>
      <c r="U10" s="534"/>
    </row>
    <row r="11" spans="1:21" ht="12.75" hidden="1" x14ac:dyDescent="0.2">
      <c r="A11" s="530"/>
      <c r="B11" s="531"/>
      <c r="C11" s="531"/>
      <c r="D11" s="531"/>
      <c r="E11" s="531"/>
      <c r="F11" s="531"/>
      <c r="G11" s="532"/>
      <c r="H11" s="532"/>
      <c r="I11" s="533"/>
      <c r="J11" s="533"/>
      <c r="K11" s="534"/>
      <c r="L11" s="535"/>
      <c r="M11" s="534"/>
      <c r="N11" s="534"/>
      <c r="O11" s="534"/>
      <c r="P11" s="534"/>
      <c r="Q11" s="534"/>
      <c r="R11" s="534"/>
      <c r="S11" s="534"/>
      <c r="T11" s="534"/>
      <c r="U11" s="534"/>
    </row>
    <row r="12" spans="1:21" ht="12.75" hidden="1" x14ac:dyDescent="0.2">
      <c r="A12" s="530"/>
      <c r="B12" s="531"/>
      <c r="C12" s="531"/>
      <c r="D12" s="531"/>
      <c r="E12" s="531"/>
      <c r="F12" s="531"/>
      <c r="G12" s="532"/>
      <c r="H12" s="532"/>
      <c r="I12" s="533"/>
      <c r="J12" s="533"/>
      <c r="K12" s="534"/>
      <c r="L12" s="535"/>
      <c r="M12" s="534"/>
      <c r="N12" s="534"/>
      <c r="O12" s="534"/>
      <c r="P12" s="534"/>
      <c r="Q12" s="534"/>
      <c r="R12" s="534"/>
      <c r="S12" s="534"/>
      <c r="T12" s="534"/>
      <c r="U12" s="534"/>
    </row>
    <row r="13" spans="1:21" ht="12.75" hidden="1" x14ac:dyDescent="0.2">
      <c r="A13" s="530"/>
      <c r="B13" s="531"/>
      <c r="C13" s="531"/>
      <c r="D13" s="531"/>
      <c r="E13" s="531"/>
      <c r="F13" s="531"/>
      <c r="G13" s="532"/>
      <c r="H13" s="532"/>
      <c r="I13" s="533"/>
      <c r="J13" s="533"/>
      <c r="K13" s="534"/>
      <c r="L13" s="535"/>
      <c r="M13" s="534"/>
      <c r="N13" s="534"/>
      <c r="O13" s="534"/>
      <c r="P13" s="534"/>
      <c r="Q13" s="534"/>
      <c r="R13" s="534"/>
      <c r="S13" s="534"/>
      <c r="T13" s="534"/>
      <c r="U13" s="534"/>
    </row>
    <row r="14" spans="1:21" ht="12.75" hidden="1" x14ac:dyDescent="0.2">
      <c r="A14" s="530"/>
      <c r="B14" s="531"/>
      <c r="C14" s="531"/>
      <c r="D14" s="531"/>
      <c r="E14" s="531"/>
      <c r="F14" s="531"/>
      <c r="G14" s="532"/>
      <c r="H14" s="532"/>
      <c r="I14" s="533"/>
      <c r="J14" s="533"/>
      <c r="K14" s="534"/>
      <c r="L14" s="535"/>
      <c r="M14" s="534"/>
      <c r="N14" s="534"/>
      <c r="O14" s="534"/>
      <c r="P14" s="534"/>
      <c r="Q14" s="534"/>
      <c r="R14" s="534"/>
      <c r="S14" s="534"/>
      <c r="T14" s="534"/>
      <c r="U14" s="534"/>
    </row>
    <row r="15" spans="1:21" ht="12.75" hidden="1" x14ac:dyDescent="0.2">
      <c r="A15" s="530"/>
      <c r="B15" s="531"/>
      <c r="C15" s="531"/>
      <c r="D15" s="531"/>
      <c r="E15" s="531"/>
      <c r="F15" s="531"/>
      <c r="G15" s="532"/>
      <c r="H15" s="532"/>
      <c r="I15" s="533"/>
      <c r="J15" s="533"/>
      <c r="K15" s="534"/>
      <c r="L15" s="535"/>
      <c r="M15" s="534"/>
      <c r="N15" s="534"/>
      <c r="O15" s="534"/>
      <c r="P15" s="534"/>
      <c r="Q15" s="534"/>
      <c r="R15" s="534"/>
      <c r="S15" s="534"/>
      <c r="T15" s="534"/>
      <c r="U15" s="534"/>
    </row>
    <row r="16" spans="1:21" ht="12.75" hidden="1" x14ac:dyDescent="0.2">
      <c r="A16" s="536"/>
      <c r="B16" s="537"/>
      <c r="C16" s="537"/>
      <c r="D16" s="537"/>
      <c r="E16" s="537"/>
      <c r="F16" s="537"/>
      <c r="G16" s="526"/>
      <c r="H16" s="526"/>
      <c r="I16" s="527"/>
      <c r="J16" s="527"/>
      <c r="K16" s="528"/>
      <c r="L16" s="529"/>
      <c r="M16" s="528"/>
      <c r="N16" s="528"/>
      <c r="O16" s="528"/>
      <c r="P16" s="528"/>
      <c r="Q16" s="528"/>
      <c r="R16" s="528"/>
      <c r="S16" s="528"/>
      <c r="T16" s="528"/>
      <c r="U16" s="528"/>
    </row>
    <row r="17" spans="1:21" ht="15.75" customHeight="1" x14ac:dyDescent="0.3">
      <c r="A17" s="1318" t="s">
        <v>298</v>
      </c>
      <c r="B17" s="1314"/>
      <c r="C17" s="1314"/>
      <c r="D17" s="1314"/>
      <c r="E17" s="1314"/>
      <c r="F17" s="1314"/>
      <c r="G17" s="1317"/>
      <c r="H17" s="538"/>
      <c r="I17" s="539"/>
      <c r="J17" s="539"/>
      <c r="K17" s="540"/>
      <c r="L17" s="541"/>
      <c r="M17" s="540"/>
      <c r="N17" s="540"/>
      <c r="O17" s="540"/>
      <c r="P17" s="540"/>
      <c r="Q17" s="540"/>
      <c r="R17" s="540"/>
      <c r="S17" s="540"/>
      <c r="T17" s="540"/>
      <c r="U17" s="540"/>
    </row>
    <row r="18" spans="1:21" ht="15.75" customHeight="1" x14ac:dyDescent="0.3">
      <c r="A18" s="542"/>
      <c r="B18" s="543"/>
      <c r="C18" s="544" t="s">
        <v>18</v>
      </c>
      <c r="D18" s="545" t="s">
        <v>19</v>
      </c>
      <c r="E18" s="543"/>
      <c r="F18" s="543"/>
      <c r="G18" s="546"/>
      <c r="H18" s="547" t="s">
        <v>14</v>
      </c>
      <c r="I18" s="548"/>
      <c r="J18" s="548"/>
      <c r="K18" s="549"/>
      <c r="L18" s="550">
        <f t="shared" ref="L18:N18" ca="1" si="0">L19+L20</f>
        <v>2469010</v>
      </c>
      <c r="M18" s="551">
        <f t="shared" ca="1" si="0"/>
        <v>2460924</v>
      </c>
      <c r="N18" s="551">
        <f t="shared" ca="1" si="0"/>
        <v>1627150.19</v>
      </c>
      <c r="O18" s="551">
        <f t="shared" ref="O18:O26" ca="1" si="1">IF(L18&gt;0,N18*100/L18,0)</f>
        <v>65.902940449815915</v>
      </c>
      <c r="P18" s="551">
        <f t="shared" ref="P18:P26" ca="1" si="2">IF(M18&gt;0,N18*100/M18,0)</f>
        <v>66.119481544330498</v>
      </c>
      <c r="Q18" s="551">
        <f t="shared" ref="Q18:S18" ca="1" si="3">Q19+Q20</f>
        <v>922670.24</v>
      </c>
      <c r="R18" s="551">
        <f t="shared" ca="1" si="3"/>
        <v>877810</v>
      </c>
      <c r="S18" s="551">
        <f t="shared" ca="1" si="3"/>
        <v>235889.14</v>
      </c>
      <c r="T18" s="551">
        <f t="shared" ref="T18:T26" ca="1" si="4">IF(Q18&gt;0,S18*100/Q18,0)</f>
        <v>25.565920496146056</v>
      </c>
      <c r="U18" s="551">
        <f t="shared" ref="U18:U26" ca="1" si="5">IF(R18&gt;0,S18*100/R18,0)</f>
        <v>26.872459871726228</v>
      </c>
    </row>
    <row r="19" spans="1:21" ht="15.75" customHeight="1" x14ac:dyDescent="0.25">
      <c r="A19" s="542"/>
      <c r="B19" s="543"/>
      <c r="C19" s="543"/>
      <c r="D19" s="543"/>
      <c r="E19" s="552" t="s">
        <v>20</v>
      </c>
      <c r="F19" s="543"/>
      <c r="G19" s="546"/>
      <c r="H19" s="553" t="s">
        <v>14</v>
      </c>
      <c r="I19" s="548"/>
      <c r="J19" s="548"/>
      <c r="K19" s="549"/>
      <c r="L19" s="554">
        <f t="shared" ref="L19:N20" si="6">L22+L25</f>
        <v>0</v>
      </c>
      <c r="M19" s="555">
        <f t="shared" si="6"/>
        <v>0</v>
      </c>
      <c r="N19" s="555">
        <f t="shared" si="6"/>
        <v>0</v>
      </c>
      <c r="O19" s="555">
        <f t="shared" si="1"/>
        <v>0</v>
      </c>
      <c r="P19" s="555">
        <f t="shared" si="2"/>
        <v>0</v>
      </c>
      <c r="Q19" s="555">
        <f t="shared" ref="Q19:S20" si="7">Q22+Q25</f>
        <v>0</v>
      </c>
      <c r="R19" s="555">
        <f t="shared" si="7"/>
        <v>0</v>
      </c>
      <c r="S19" s="555">
        <f t="shared" si="7"/>
        <v>0</v>
      </c>
      <c r="T19" s="555">
        <f t="shared" si="4"/>
        <v>0</v>
      </c>
      <c r="U19" s="555">
        <f t="shared" si="5"/>
        <v>0</v>
      </c>
    </row>
    <row r="20" spans="1:21" ht="15.75" customHeight="1" x14ac:dyDescent="0.25">
      <c r="A20" s="542"/>
      <c r="B20" s="543"/>
      <c r="C20" s="543"/>
      <c r="D20" s="543"/>
      <c r="E20" s="556" t="s">
        <v>21</v>
      </c>
      <c r="F20" s="543"/>
      <c r="G20" s="546"/>
      <c r="H20" s="557" t="s">
        <v>14</v>
      </c>
      <c r="I20" s="548"/>
      <c r="J20" s="548"/>
      <c r="K20" s="549"/>
      <c r="L20" s="558">
        <f t="shared" ca="1" si="6"/>
        <v>2469010</v>
      </c>
      <c r="M20" s="559">
        <f t="shared" ca="1" si="6"/>
        <v>2460924</v>
      </c>
      <c r="N20" s="559">
        <f t="shared" ca="1" si="6"/>
        <v>1627150.19</v>
      </c>
      <c r="O20" s="559">
        <f t="shared" ca="1" si="1"/>
        <v>65.902940449815915</v>
      </c>
      <c r="P20" s="559">
        <f t="shared" ca="1" si="2"/>
        <v>66.119481544330498</v>
      </c>
      <c r="Q20" s="559">
        <f t="shared" ca="1" si="7"/>
        <v>922670.24</v>
      </c>
      <c r="R20" s="559">
        <f t="shared" ca="1" si="7"/>
        <v>877810</v>
      </c>
      <c r="S20" s="559">
        <f t="shared" ca="1" si="7"/>
        <v>235889.14</v>
      </c>
      <c r="T20" s="559">
        <f t="shared" ca="1" si="4"/>
        <v>25.565920496146056</v>
      </c>
      <c r="U20" s="559">
        <f t="shared" ca="1" si="5"/>
        <v>26.872459871726228</v>
      </c>
    </row>
    <row r="21" spans="1:21" ht="15.75" customHeight="1" x14ac:dyDescent="0.25">
      <c r="A21" s="560"/>
      <c r="B21" s="561"/>
      <c r="C21" s="561"/>
      <c r="D21" s="562" t="s">
        <v>22</v>
      </c>
      <c r="E21" s="561"/>
      <c r="F21" s="561"/>
      <c r="G21" s="563"/>
      <c r="H21" s="564" t="s">
        <v>14</v>
      </c>
      <c r="I21" s="565"/>
      <c r="J21" s="565"/>
      <c r="K21" s="566"/>
      <c r="L21" s="567">
        <f t="shared" ref="L21:N21" ca="1" si="8">L22+L23</f>
        <v>2386010</v>
      </c>
      <c r="M21" s="568">
        <f t="shared" ca="1" si="8"/>
        <v>2377924</v>
      </c>
      <c r="N21" s="568">
        <f t="shared" ca="1" si="8"/>
        <v>1627150.19</v>
      </c>
      <c r="O21" s="568">
        <f t="shared" ca="1" si="1"/>
        <v>68.19544721103432</v>
      </c>
      <c r="P21" s="568">
        <f t="shared" ca="1" si="2"/>
        <v>68.427342084944684</v>
      </c>
      <c r="Q21" s="568">
        <f t="shared" ref="Q21:S21" ca="1" si="9">Q22+Q23</f>
        <v>922670.24</v>
      </c>
      <c r="R21" s="568">
        <f t="shared" ca="1" si="9"/>
        <v>877810</v>
      </c>
      <c r="S21" s="568">
        <f t="shared" ca="1" si="9"/>
        <v>235889.14</v>
      </c>
      <c r="T21" s="568">
        <f t="shared" ca="1" si="4"/>
        <v>25.565920496146056</v>
      </c>
      <c r="U21" s="568">
        <f t="shared" ca="1" si="5"/>
        <v>26.872459871726228</v>
      </c>
    </row>
    <row r="22" spans="1:21" ht="15.75" customHeight="1" x14ac:dyDescent="0.25">
      <c r="A22" s="560"/>
      <c r="B22" s="561"/>
      <c r="C22" s="561"/>
      <c r="D22" s="561"/>
      <c r="E22" s="569" t="s">
        <v>20</v>
      </c>
      <c r="F22" s="561"/>
      <c r="G22" s="563"/>
      <c r="H22" s="570" t="s">
        <v>14</v>
      </c>
      <c r="I22" s="565"/>
      <c r="J22" s="565"/>
      <c r="K22" s="566"/>
      <c r="L22" s="571">
        <f t="shared" ref="L22:N23" si="10">L48+L63+L76+L98+L129+L143+L161+L190+L177+L270+L286+L307+L324+L337+L360+L517</f>
        <v>0</v>
      </c>
      <c r="M22" s="572">
        <f t="shared" si="10"/>
        <v>0</v>
      </c>
      <c r="N22" s="572">
        <f t="shared" si="10"/>
        <v>0</v>
      </c>
      <c r="O22" s="572">
        <f t="shared" si="1"/>
        <v>0</v>
      </c>
      <c r="P22" s="572">
        <f t="shared" si="2"/>
        <v>0</v>
      </c>
      <c r="Q22" s="572">
        <f t="shared" ref="Q22:S23" si="11">Q76+Q98+Q121+Q143+Q161+Q177+Q190+Q270+Q286+Q307+Q337+Q379+Q396+Q417+Q497+Q603+Q620+Q646+Q694+Q718+Q732+Q764</f>
        <v>0</v>
      </c>
      <c r="R22" s="572">
        <f t="shared" si="11"/>
        <v>0</v>
      </c>
      <c r="S22" s="572">
        <f t="shared" si="11"/>
        <v>0</v>
      </c>
      <c r="T22" s="572">
        <f t="shared" si="4"/>
        <v>0</v>
      </c>
      <c r="U22" s="572">
        <f t="shared" si="5"/>
        <v>0</v>
      </c>
    </row>
    <row r="23" spans="1:21" ht="15.75" customHeight="1" x14ac:dyDescent="0.25">
      <c r="A23" s="560"/>
      <c r="B23" s="561"/>
      <c r="C23" s="561"/>
      <c r="D23" s="561"/>
      <c r="E23" s="573" t="s">
        <v>21</v>
      </c>
      <c r="F23" s="561"/>
      <c r="G23" s="563"/>
      <c r="H23" s="564" t="s">
        <v>14</v>
      </c>
      <c r="I23" s="565"/>
      <c r="J23" s="565"/>
      <c r="K23" s="566"/>
      <c r="L23" s="567">
        <f t="shared" ca="1" si="10"/>
        <v>2386010</v>
      </c>
      <c r="M23" s="568">
        <f t="shared" ca="1" si="10"/>
        <v>2377924</v>
      </c>
      <c r="N23" s="568">
        <f t="shared" ca="1" si="10"/>
        <v>1627150.19</v>
      </c>
      <c r="O23" s="568">
        <f t="shared" ca="1" si="1"/>
        <v>68.19544721103432</v>
      </c>
      <c r="P23" s="568">
        <f t="shared" ca="1" si="2"/>
        <v>68.427342084944684</v>
      </c>
      <c r="Q23" s="568">
        <f t="shared" ca="1" si="11"/>
        <v>922670.24</v>
      </c>
      <c r="R23" s="568">
        <f t="shared" ca="1" si="11"/>
        <v>877810</v>
      </c>
      <c r="S23" s="568">
        <f t="shared" ca="1" si="11"/>
        <v>235889.14</v>
      </c>
      <c r="T23" s="568">
        <f t="shared" ca="1" si="4"/>
        <v>25.565920496146056</v>
      </c>
      <c r="U23" s="568">
        <f t="shared" ca="1" si="5"/>
        <v>26.872459871726228</v>
      </c>
    </row>
    <row r="24" spans="1:21" ht="15.75" customHeight="1" x14ac:dyDescent="0.25">
      <c r="A24" s="560"/>
      <c r="B24" s="561"/>
      <c r="C24" s="561"/>
      <c r="D24" s="562" t="s">
        <v>23</v>
      </c>
      <c r="E24" s="561"/>
      <c r="F24" s="561"/>
      <c r="G24" s="563"/>
      <c r="H24" s="564" t="s">
        <v>14</v>
      </c>
      <c r="I24" s="565"/>
      <c r="J24" s="565"/>
      <c r="K24" s="566"/>
      <c r="L24" s="567">
        <f t="shared" ref="L24:N24" ca="1" si="12">L25+L26</f>
        <v>83000</v>
      </c>
      <c r="M24" s="568">
        <f t="shared" ca="1" si="12"/>
        <v>83000</v>
      </c>
      <c r="N24" s="568">
        <f t="shared" ca="1" si="12"/>
        <v>0</v>
      </c>
      <c r="O24" s="568">
        <f t="shared" ca="1" si="1"/>
        <v>0</v>
      </c>
      <c r="P24" s="568">
        <f t="shared" ca="1" si="2"/>
        <v>0</v>
      </c>
      <c r="Q24" s="568">
        <f t="shared" ref="Q24:S24" ca="1" si="13">Q25+Q26</f>
        <v>0</v>
      </c>
      <c r="R24" s="568">
        <f t="shared" ca="1" si="13"/>
        <v>0</v>
      </c>
      <c r="S24" s="568">
        <f t="shared" ca="1" si="13"/>
        <v>0</v>
      </c>
      <c r="T24" s="568">
        <f t="shared" ca="1" si="4"/>
        <v>0</v>
      </c>
      <c r="U24" s="568">
        <f t="shared" ca="1" si="5"/>
        <v>0</v>
      </c>
    </row>
    <row r="25" spans="1:21" ht="15.75" customHeight="1" x14ac:dyDescent="0.25">
      <c r="A25" s="560"/>
      <c r="B25" s="561"/>
      <c r="C25" s="561"/>
      <c r="D25" s="561"/>
      <c r="E25" s="569" t="s">
        <v>20</v>
      </c>
      <c r="F25" s="561"/>
      <c r="G25" s="563"/>
      <c r="H25" s="570" t="s">
        <v>14</v>
      </c>
      <c r="I25" s="565"/>
      <c r="J25" s="565"/>
      <c r="K25" s="566"/>
      <c r="L25" s="571">
        <f t="shared" ref="L25:N26" si="14">L51+L66+L79+L101+L132+L146+L164+L193+L180+L273+L289+L310+L327+L340+L363+L520</f>
        <v>0</v>
      </c>
      <c r="M25" s="572">
        <f t="shared" si="14"/>
        <v>0</v>
      </c>
      <c r="N25" s="572">
        <f t="shared" si="14"/>
        <v>0</v>
      </c>
      <c r="O25" s="572">
        <f t="shared" si="1"/>
        <v>0</v>
      </c>
      <c r="P25" s="572">
        <f t="shared" si="2"/>
        <v>0</v>
      </c>
      <c r="Q25" s="572">
        <f t="shared" ref="Q25:S26" si="15">Q79+Q101+Q124+Q146+Q164+Q180+Q193+Q273+Q289+Q310+Q340+Q382+Q399+Q420+Q500+Q606+Q623+Q649+Q697+Q721+Q735+Q767</f>
        <v>0</v>
      </c>
      <c r="R25" s="572">
        <f t="shared" si="15"/>
        <v>0</v>
      </c>
      <c r="S25" s="572">
        <f t="shared" si="15"/>
        <v>0</v>
      </c>
      <c r="T25" s="572">
        <f t="shared" si="4"/>
        <v>0</v>
      </c>
      <c r="U25" s="572">
        <f t="shared" si="5"/>
        <v>0</v>
      </c>
    </row>
    <row r="26" spans="1:21" ht="15.75" customHeight="1" x14ac:dyDescent="0.25">
      <c r="A26" s="560"/>
      <c r="B26" s="561"/>
      <c r="C26" s="561"/>
      <c r="D26" s="561"/>
      <c r="E26" s="573" t="s">
        <v>21</v>
      </c>
      <c r="F26" s="561"/>
      <c r="G26" s="563"/>
      <c r="H26" s="564" t="s">
        <v>14</v>
      </c>
      <c r="I26" s="565"/>
      <c r="J26" s="565"/>
      <c r="K26" s="566"/>
      <c r="L26" s="567">
        <f t="shared" ca="1" si="14"/>
        <v>83000</v>
      </c>
      <c r="M26" s="568">
        <f t="shared" ca="1" si="14"/>
        <v>83000</v>
      </c>
      <c r="N26" s="568">
        <f t="shared" ca="1" si="14"/>
        <v>0</v>
      </c>
      <c r="O26" s="568">
        <f t="shared" ca="1" si="1"/>
        <v>0</v>
      </c>
      <c r="P26" s="568">
        <f t="shared" ca="1" si="2"/>
        <v>0</v>
      </c>
      <c r="Q26" s="572">
        <f t="shared" ca="1" si="15"/>
        <v>0</v>
      </c>
      <c r="R26" s="572">
        <f t="shared" ca="1" si="15"/>
        <v>0</v>
      </c>
      <c r="S26" s="572">
        <f t="shared" ca="1" si="15"/>
        <v>0</v>
      </c>
      <c r="T26" s="568">
        <f t="shared" ca="1" si="4"/>
        <v>0</v>
      </c>
      <c r="U26" s="568">
        <f t="shared" ca="1" si="5"/>
        <v>0</v>
      </c>
    </row>
    <row r="27" spans="1:21" ht="15.75" customHeight="1" x14ac:dyDescent="0.25">
      <c r="A27" s="560"/>
      <c r="B27" s="561"/>
      <c r="C27" s="561"/>
      <c r="D27" s="562" t="s">
        <v>24</v>
      </c>
      <c r="E27" s="561"/>
      <c r="F27" s="561"/>
      <c r="G27" s="563"/>
      <c r="H27" s="564" t="s">
        <v>14</v>
      </c>
      <c r="I27" s="565"/>
      <c r="J27" s="565"/>
      <c r="K27" s="566"/>
      <c r="L27" s="574"/>
      <c r="M27" s="566"/>
      <c r="N27" s="566"/>
      <c r="O27" s="566"/>
      <c r="P27" s="566"/>
      <c r="Q27" s="566"/>
      <c r="R27" s="566"/>
      <c r="S27" s="566"/>
      <c r="T27" s="566"/>
      <c r="U27" s="566"/>
    </row>
    <row r="28" spans="1:21" ht="15.75" customHeight="1" x14ac:dyDescent="0.25">
      <c r="A28" s="560"/>
      <c r="B28" s="561"/>
      <c r="C28" s="561"/>
      <c r="D28" s="561"/>
      <c r="E28" s="569" t="s">
        <v>20</v>
      </c>
      <c r="F28" s="561"/>
      <c r="G28" s="563"/>
      <c r="H28" s="570" t="s">
        <v>14</v>
      </c>
      <c r="I28" s="565"/>
      <c r="J28" s="565"/>
      <c r="K28" s="566"/>
      <c r="L28" s="574"/>
      <c r="M28" s="566"/>
      <c r="N28" s="566"/>
      <c r="O28" s="566"/>
      <c r="P28" s="566"/>
      <c r="Q28" s="566"/>
      <c r="R28" s="566"/>
      <c r="S28" s="566"/>
      <c r="T28" s="566"/>
      <c r="U28" s="566"/>
    </row>
    <row r="29" spans="1:21" ht="15.75" customHeight="1" x14ac:dyDescent="0.25">
      <c r="A29" s="575"/>
      <c r="B29" s="513"/>
      <c r="C29" s="513"/>
      <c r="D29" s="513"/>
      <c r="E29" s="576" t="s">
        <v>21</v>
      </c>
      <c r="F29" s="513"/>
      <c r="G29" s="577"/>
      <c r="H29" s="578" t="s">
        <v>14</v>
      </c>
      <c r="I29" s="579"/>
      <c r="J29" s="579"/>
      <c r="K29" s="580"/>
      <c r="L29" s="581"/>
      <c r="M29" s="580"/>
      <c r="N29" s="580"/>
      <c r="O29" s="580"/>
      <c r="P29" s="580"/>
      <c r="Q29" s="580"/>
      <c r="R29" s="580"/>
      <c r="S29" s="580"/>
      <c r="T29" s="580"/>
      <c r="U29" s="580"/>
    </row>
    <row r="30" spans="1:21" ht="12.75" hidden="1" x14ac:dyDescent="0.2">
      <c r="A30" s="1316"/>
      <c r="B30" s="1314"/>
      <c r="C30" s="1314"/>
      <c r="D30" s="1314"/>
      <c r="E30" s="1314"/>
      <c r="F30" s="1314"/>
      <c r="G30" s="1317"/>
      <c r="H30" s="526"/>
      <c r="I30" s="527"/>
      <c r="J30" s="527"/>
      <c r="K30" s="528"/>
      <c r="L30" s="529"/>
      <c r="M30" s="528"/>
      <c r="N30" s="528"/>
      <c r="O30" s="528"/>
      <c r="P30" s="528"/>
      <c r="Q30" s="528"/>
      <c r="R30" s="528"/>
      <c r="S30" s="528"/>
      <c r="T30" s="528"/>
      <c r="U30" s="528"/>
    </row>
    <row r="31" spans="1:21" ht="12.75" hidden="1" x14ac:dyDescent="0.2">
      <c r="A31" s="530"/>
      <c r="B31" s="531"/>
      <c r="C31" s="531"/>
      <c r="D31" s="531"/>
      <c r="E31" s="531"/>
      <c r="F31" s="531"/>
      <c r="G31" s="532"/>
      <c r="H31" s="532"/>
      <c r="I31" s="533"/>
      <c r="J31" s="533"/>
      <c r="K31" s="534"/>
      <c r="L31" s="535"/>
      <c r="M31" s="534"/>
      <c r="N31" s="534"/>
      <c r="O31" s="534"/>
      <c r="P31" s="534"/>
      <c r="Q31" s="534"/>
      <c r="R31" s="534"/>
      <c r="S31" s="534"/>
      <c r="T31" s="534"/>
      <c r="U31" s="534"/>
    </row>
    <row r="32" spans="1:21" ht="12.75" hidden="1" x14ac:dyDescent="0.2">
      <c r="A32" s="530"/>
      <c r="B32" s="531"/>
      <c r="C32" s="531"/>
      <c r="D32" s="531"/>
      <c r="E32" s="531"/>
      <c r="F32" s="531"/>
      <c r="G32" s="532"/>
      <c r="H32" s="532"/>
      <c r="I32" s="533"/>
      <c r="J32" s="533"/>
      <c r="K32" s="534"/>
      <c r="L32" s="535"/>
      <c r="M32" s="534"/>
      <c r="N32" s="534"/>
      <c r="O32" s="534"/>
      <c r="P32" s="534"/>
      <c r="Q32" s="534"/>
      <c r="R32" s="534"/>
      <c r="S32" s="534"/>
      <c r="T32" s="534"/>
      <c r="U32" s="534"/>
    </row>
    <row r="33" spans="1:21" ht="12.75" hidden="1" x14ac:dyDescent="0.2">
      <c r="A33" s="530"/>
      <c r="B33" s="531"/>
      <c r="C33" s="531"/>
      <c r="D33" s="531"/>
      <c r="E33" s="531"/>
      <c r="F33" s="531"/>
      <c r="G33" s="532"/>
      <c r="H33" s="532"/>
      <c r="I33" s="533"/>
      <c r="J33" s="533"/>
      <c r="K33" s="534"/>
      <c r="L33" s="535"/>
      <c r="M33" s="534"/>
      <c r="N33" s="534"/>
      <c r="O33" s="534"/>
      <c r="P33" s="534"/>
      <c r="Q33" s="534"/>
      <c r="R33" s="534"/>
      <c r="S33" s="534"/>
      <c r="T33" s="534"/>
      <c r="U33" s="534"/>
    </row>
    <row r="34" spans="1:21" ht="12.75" hidden="1" x14ac:dyDescent="0.2">
      <c r="A34" s="530"/>
      <c r="B34" s="531"/>
      <c r="C34" s="531"/>
      <c r="D34" s="531"/>
      <c r="E34" s="531"/>
      <c r="F34" s="531"/>
      <c r="G34" s="532"/>
      <c r="H34" s="532"/>
      <c r="I34" s="533"/>
      <c r="J34" s="533"/>
      <c r="K34" s="534"/>
      <c r="L34" s="535"/>
      <c r="M34" s="534"/>
      <c r="N34" s="534"/>
      <c r="O34" s="534"/>
      <c r="P34" s="534"/>
      <c r="Q34" s="534"/>
      <c r="R34" s="534"/>
      <c r="S34" s="534"/>
      <c r="T34" s="534"/>
      <c r="U34" s="534"/>
    </row>
    <row r="35" spans="1:21" ht="12.75" hidden="1" x14ac:dyDescent="0.2">
      <c r="A35" s="530"/>
      <c r="B35" s="531"/>
      <c r="C35" s="531"/>
      <c r="D35" s="531"/>
      <c r="E35" s="531"/>
      <c r="F35" s="531"/>
      <c r="G35" s="532"/>
      <c r="H35" s="532"/>
      <c r="I35" s="533"/>
      <c r="J35" s="533"/>
      <c r="K35" s="534"/>
      <c r="L35" s="535"/>
      <c r="M35" s="534"/>
      <c r="N35" s="534"/>
      <c r="O35" s="534"/>
      <c r="P35" s="534"/>
      <c r="Q35" s="534"/>
      <c r="R35" s="534"/>
      <c r="S35" s="534"/>
      <c r="T35" s="534"/>
      <c r="U35" s="534"/>
    </row>
    <row r="36" spans="1:21" ht="12.75" hidden="1" x14ac:dyDescent="0.2">
      <c r="A36" s="530"/>
      <c r="B36" s="531"/>
      <c r="C36" s="531"/>
      <c r="D36" s="531"/>
      <c r="E36" s="531"/>
      <c r="F36" s="531"/>
      <c r="G36" s="532"/>
      <c r="H36" s="532"/>
      <c r="I36" s="533"/>
      <c r="J36" s="533"/>
      <c r="K36" s="534"/>
      <c r="L36" s="535"/>
      <c r="M36" s="534"/>
      <c r="N36" s="534"/>
      <c r="O36" s="534"/>
      <c r="P36" s="534"/>
      <c r="Q36" s="534"/>
      <c r="R36" s="534"/>
      <c r="S36" s="534"/>
      <c r="T36" s="534"/>
      <c r="U36" s="534"/>
    </row>
    <row r="37" spans="1:21" ht="12.75" hidden="1" x14ac:dyDescent="0.2">
      <c r="A37" s="530"/>
      <c r="B37" s="531"/>
      <c r="C37" s="531"/>
      <c r="D37" s="531"/>
      <c r="E37" s="531"/>
      <c r="F37" s="531"/>
      <c r="G37" s="532"/>
      <c r="H37" s="532"/>
      <c r="I37" s="533"/>
      <c r="J37" s="533"/>
      <c r="K37" s="534"/>
      <c r="L37" s="535"/>
      <c r="M37" s="534"/>
      <c r="N37" s="534"/>
      <c r="O37" s="534"/>
      <c r="P37" s="534"/>
      <c r="Q37" s="534"/>
      <c r="R37" s="534"/>
      <c r="S37" s="534"/>
      <c r="T37" s="534"/>
      <c r="U37" s="534"/>
    </row>
    <row r="38" spans="1:21" ht="12.75" hidden="1" x14ac:dyDescent="0.2">
      <c r="A38" s="530"/>
      <c r="B38" s="531"/>
      <c r="C38" s="531"/>
      <c r="D38" s="531"/>
      <c r="E38" s="531"/>
      <c r="F38" s="531"/>
      <c r="G38" s="532"/>
      <c r="H38" s="532"/>
      <c r="I38" s="533"/>
      <c r="J38" s="533"/>
      <c r="K38" s="534"/>
      <c r="L38" s="535"/>
      <c r="M38" s="534"/>
      <c r="N38" s="534"/>
      <c r="O38" s="534"/>
      <c r="P38" s="534"/>
      <c r="Q38" s="534"/>
      <c r="R38" s="534"/>
      <c r="S38" s="534"/>
      <c r="T38" s="534"/>
      <c r="U38" s="534"/>
    </row>
    <row r="39" spans="1:21" ht="12.75" hidden="1" x14ac:dyDescent="0.2">
      <c r="A39" s="536"/>
      <c r="B39" s="537"/>
      <c r="C39" s="537"/>
      <c r="D39" s="537"/>
      <c r="E39" s="537"/>
      <c r="F39" s="537"/>
      <c r="G39" s="526"/>
      <c r="H39" s="526"/>
      <c r="I39" s="527"/>
      <c r="J39" s="527"/>
      <c r="K39" s="528"/>
      <c r="L39" s="529"/>
      <c r="M39" s="528"/>
      <c r="N39" s="528"/>
      <c r="O39" s="528"/>
      <c r="P39" s="528"/>
      <c r="Q39" s="528"/>
      <c r="R39" s="528"/>
      <c r="S39" s="528"/>
      <c r="T39" s="528"/>
      <c r="U39" s="528"/>
    </row>
    <row r="40" spans="1:21" ht="19.5" x14ac:dyDescent="0.3">
      <c r="A40" s="582" t="s">
        <v>25</v>
      </c>
      <c r="B40" s="583"/>
      <c r="C40" s="583"/>
      <c r="D40" s="583"/>
      <c r="E40" s="583"/>
      <c r="F40" s="583"/>
      <c r="G40" s="584"/>
      <c r="H40" s="584"/>
      <c r="I40" s="585"/>
      <c r="J40" s="585"/>
      <c r="K40" s="586"/>
      <c r="L40" s="587">
        <f t="shared" ref="L40:N40" ca="1" si="16">L44+L59+L72+L94+L125+L139+L157+L173+L186+L266+L282+L303+L320+L333+L356</f>
        <v>2469010</v>
      </c>
      <c r="M40" s="588">
        <f t="shared" ca="1" si="16"/>
        <v>2460924</v>
      </c>
      <c r="N40" s="588">
        <f t="shared" ca="1" si="16"/>
        <v>1627150.19</v>
      </c>
      <c r="O40" s="588">
        <f ca="1">IF(L40&gt;0,N40*100/L40,0)</f>
        <v>65.902940449815915</v>
      </c>
      <c r="P40" s="588">
        <f ca="1">IF(M40&gt;0,N40*100/M40,0)</f>
        <v>66.119481544330498</v>
      </c>
      <c r="Q40" s="586"/>
      <c r="R40" s="586"/>
      <c r="S40" s="586"/>
      <c r="T40" s="586"/>
      <c r="U40" s="586"/>
    </row>
    <row r="41" spans="1:21" ht="19.5" x14ac:dyDescent="0.3">
      <c r="A41" s="589" t="s">
        <v>26</v>
      </c>
      <c r="B41" s="590"/>
      <c r="C41" s="590"/>
      <c r="D41" s="590"/>
      <c r="E41" s="590"/>
      <c r="F41" s="590"/>
      <c r="G41" s="590"/>
      <c r="H41" s="590"/>
      <c r="I41" s="591"/>
      <c r="J41" s="591"/>
      <c r="K41" s="592"/>
      <c r="L41" s="592"/>
      <c r="M41" s="592"/>
      <c r="N41" s="592"/>
      <c r="O41" s="592"/>
      <c r="P41" s="593"/>
      <c r="Q41" s="592"/>
      <c r="R41" s="592"/>
      <c r="S41" s="592"/>
      <c r="T41" s="592"/>
      <c r="U41" s="593"/>
    </row>
    <row r="42" spans="1:21" ht="19.5" x14ac:dyDescent="0.3">
      <c r="A42" s="594"/>
      <c r="B42" s="595" t="s">
        <v>27</v>
      </c>
      <c r="C42" s="594"/>
      <c r="D42" s="594"/>
      <c r="E42" s="594"/>
      <c r="F42" s="594"/>
      <c r="G42" s="596"/>
      <c r="H42" s="596"/>
      <c r="I42" s="597"/>
      <c r="J42" s="597"/>
      <c r="K42" s="598"/>
      <c r="L42" s="599"/>
      <c r="M42" s="598"/>
      <c r="N42" s="598"/>
      <c r="O42" s="598"/>
      <c r="P42" s="598"/>
      <c r="Q42" s="598"/>
      <c r="R42" s="598"/>
      <c r="S42" s="598"/>
      <c r="T42" s="598"/>
      <c r="U42" s="598"/>
    </row>
    <row r="43" spans="1:21" ht="12.75" hidden="1" x14ac:dyDescent="0.2">
      <c r="A43" s="530"/>
      <c r="B43" s="531"/>
      <c r="C43" s="531"/>
      <c r="D43" s="531"/>
      <c r="E43" s="531"/>
      <c r="F43" s="531"/>
      <c r="G43" s="532"/>
      <c r="H43" s="532"/>
      <c r="I43" s="533"/>
      <c r="J43" s="533"/>
      <c r="K43" s="534"/>
      <c r="L43" s="535"/>
      <c r="M43" s="534"/>
      <c r="N43" s="534"/>
      <c r="O43" s="534"/>
      <c r="P43" s="534"/>
      <c r="Q43" s="534"/>
      <c r="R43" s="534"/>
      <c r="S43" s="534"/>
      <c r="T43" s="534"/>
      <c r="U43" s="534"/>
    </row>
    <row r="44" spans="1:21" ht="19.5" x14ac:dyDescent="0.3">
      <c r="A44" s="600"/>
      <c r="B44" s="601"/>
      <c r="C44" s="602" t="s">
        <v>18</v>
      </c>
      <c r="D44" s="603" t="s">
        <v>19</v>
      </c>
      <c r="E44" s="601"/>
      <c r="F44" s="601"/>
      <c r="G44" s="604"/>
      <c r="H44" s="605" t="s">
        <v>14</v>
      </c>
      <c r="I44" s="606"/>
      <c r="J44" s="606"/>
      <c r="K44" s="607"/>
      <c r="L44" s="608">
        <f t="shared" ref="L44:N44" ca="1" si="17">L45+L46</f>
        <v>424000</v>
      </c>
      <c r="M44" s="609">
        <f t="shared" ca="1" si="17"/>
        <v>529874</v>
      </c>
      <c r="N44" s="609">
        <f t="shared" ca="1" si="17"/>
        <v>351074</v>
      </c>
      <c r="O44" s="609">
        <f t="shared" ref="O44:O52" ca="1" si="18">IF(L44&gt;0,N44*100/L44,0)</f>
        <v>82.800471698113213</v>
      </c>
      <c r="P44" s="609">
        <f t="shared" ref="P44:P52" ca="1" si="19">IF(M44&gt;0,N44*100/M44,0)</f>
        <v>66.256128815529735</v>
      </c>
      <c r="Q44" s="609">
        <f t="shared" ref="Q44:S44" si="20">Q45+Q46</f>
        <v>0</v>
      </c>
      <c r="R44" s="609">
        <f t="shared" si="20"/>
        <v>0</v>
      </c>
      <c r="S44" s="609">
        <f t="shared" si="20"/>
        <v>0</v>
      </c>
      <c r="T44" s="609">
        <f t="shared" ref="T44:T52" si="21">IF(Q44&gt;0,S44*100/Q44,0)</f>
        <v>0</v>
      </c>
      <c r="U44" s="609">
        <f t="shared" ref="U44:U52" si="22">IF(R44&gt;0,S44*100/R44,0)</f>
        <v>0</v>
      </c>
    </row>
    <row r="45" spans="1:21" ht="18.75" x14ac:dyDescent="0.25">
      <c r="A45" s="600"/>
      <c r="B45" s="601"/>
      <c r="C45" s="601"/>
      <c r="D45" s="601"/>
      <c r="E45" s="610" t="s">
        <v>20</v>
      </c>
      <c r="F45" s="601"/>
      <c r="G45" s="604"/>
      <c r="H45" s="611" t="s">
        <v>14</v>
      </c>
      <c r="I45" s="606"/>
      <c r="J45" s="606"/>
      <c r="K45" s="607"/>
      <c r="L45" s="612">
        <f t="shared" ref="L45:N46" si="23">L48+L51</f>
        <v>0</v>
      </c>
      <c r="M45" s="613">
        <f t="shared" si="23"/>
        <v>0</v>
      </c>
      <c r="N45" s="613">
        <f t="shared" si="23"/>
        <v>0</v>
      </c>
      <c r="O45" s="613">
        <f t="shared" si="18"/>
        <v>0</v>
      </c>
      <c r="P45" s="613">
        <f t="shared" si="19"/>
        <v>0</v>
      </c>
      <c r="Q45" s="613">
        <f t="shared" ref="Q45:S46" si="24">Q48+Q51</f>
        <v>0</v>
      </c>
      <c r="R45" s="613">
        <f t="shared" si="24"/>
        <v>0</v>
      </c>
      <c r="S45" s="613">
        <f t="shared" si="24"/>
        <v>0</v>
      </c>
      <c r="T45" s="613">
        <f t="shared" si="21"/>
        <v>0</v>
      </c>
      <c r="U45" s="613">
        <f t="shared" si="22"/>
        <v>0</v>
      </c>
    </row>
    <row r="46" spans="1:21" ht="18.75" x14ac:dyDescent="0.25">
      <c r="A46" s="600"/>
      <c r="B46" s="601"/>
      <c r="C46" s="601"/>
      <c r="D46" s="601"/>
      <c r="E46" s="614" t="s">
        <v>21</v>
      </c>
      <c r="F46" s="601"/>
      <c r="G46" s="604"/>
      <c r="H46" s="615" t="s">
        <v>14</v>
      </c>
      <c r="I46" s="606"/>
      <c r="J46" s="606"/>
      <c r="K46" s="607"/>
      <c r="L46" s="616">
        <f t="shared" ca="1" si="23"/>
        <v>424000</v>
      </c>
      <c r="M46" s="617">
        <f t="shared" ca="1" si="23"/>
        <v>529874</v>
      </c>
      <c r="N46" s="617">
        <f t="shared" ca="1" si="23"/>
        <v>351074</v>
      </c>
      <c r="O46" s="617">
        <f t="shared" ca="1" si="18"/>
        <v>82.800471698113213</v>
      </c>
      <c r="P46" s="617">
        <f t="shared" ca="1" si="19"/>
        <v>66.256128815529735</v>
      </c>
      <c r="Q46" s="617">
        <f t="shared" si="24"/>
        <v>0</v>
      </c>
      <c r="R46" s="617">
        <f t="shared" si="24"/>
        <v>0</v>
      </c>
      <c r="S46" s="617">
        <f t="shared" si="24"/>
        <v>0</v>
      </c>
      <c r="T46" s="617">
        <f t="shared" si="21"/>
        <v>0</v>
      </c>
      <c r="U46" s="617">
        <f t="shared" si="22"/>
        <v>0</v>
      </c>
    </row>
    <row r="47" spans="1:21" ht="18.75" x14ac:dyDescent="0.25">
      <c r="A47" s="560"/>
      <c r="B47" s="561"/>
      <c r="C47" s="561"/>
      <c r="D47" s="562" t="s">
        <v>22</v>
      </c>
      <c r="E47" s="561"/>
      <c r="F47" s="561"/>
      <c r="G47" s="563"/>
      <c r="H47" s="564" t="s">
        <v>14</v>
      </c>
      <c r="I47" s="565"/>
      <c r="J47" s="565"/>
      <c r="K47" s="566"/>
      <c r="L47" s="567">
        <f t="shared" ref="L47:N47" ca="1" si="25">L48+L49</f>
        <v>424000</v>
      </c>
      <c r="M47" s="568">
        <f t="shared" ca="1" si="25"/>
        <v>529874</v>
      </c>
      <c r="N47" s="568">
        <f t="shared" ca="1" si="25"/>
        <v>351074</v>
      </c>
      <c r="O47" s="568">
        <f t="shared" ca="1" si="18"/>
        <v>82.800471698113213</v>
      </c>
      <c r="P47" s="568">
        <f t="shared" ca="1" si="19"/>
        <v>66.256128815529735</v>
      </c>
      <c r="Q47" s="568">
        <f t="shared" ref="Q47:S47" si="26">Q48+Q49</f>
        <v>0</v>
      </c>
      <c r="R47" s="568">
        <f t="shared" si="26"/>
        <v>0</v>
      </c>
      <c r="S47" s="568">
        <f t="shared" si="26"/>
        <v>0</v>
      </c>
      <c r="T47" s="568">
        <f t="shared" si="21"/>
        <v>0</v>
      </c>
      <c r="U47" s="568">
        <f t="shared" si="22"/>
        <v>0</v>
      </c>
    </row>
    <row r="48" spans="1:21" ht="18.75" x14ac:dyDescent="0.25">
      <c r="A48" s="560"/>
      <c r="B48" s="561"/>
      <c r="C48" s="561"/>
      <c r="D48" s="561"/>
      <c r="E48" s="569" t="s">
        <v>20</v>
      </c>
      <c r="F48" s="561"/>
      <c r="G48" s="563"/>
      <c r="H48" s="570" t="s">
        <v>14</v>
      </c>
      <c r="I48" s="565"/>
      <c r="J48" s="565"/>
      <c r="K48" s="566"/>
      <c r="L48" s="571">
        <v>0</v>
      </c>
      <c r="M48" s="572">
        <v>0</v>
      </c>
      <c r="N48" s="572">
        <v>0</v>
      </c>
      <c r="O48" s="572">
        <f t="shared" si="18"/>
        <v>0</v>
      </c>
      <c r="P48" s="572">
        <f t="shared" si="19"/>
        <v>0</v>
      </c>
      <c r="Q48" s="572">
        <v>0</v>
      </c>
      <c r="R48" s="572">
        <v>0</v>
      </c>
      <c r="S48" s="572">
        <v>0</v>
      </c>
      <c r="T48" s="572">
        <f t="shared" si="21"/>
        <v>0</v>
      </c>
      <c r="U48" s="572">
        <f t="shared" si="22"/>
        <v>0</v>
      </c>
    </row>
    <row r="49" spans="1:21" ht="18.75" x14ac:dyDescent="0.25">
      <c r="A49" s="560"/>
      <c r="B49" s="561"/>
      <c r="C49" s="561"/>
      <c r="D49" s="561"/>
      <c r="E49" s="573" t="s">
        <v>21</v>
      </c>
      <c r="F49" s="561"/>
      <c r="G49" s="563"/>
      <c r="H49" s="564" t="s">
        <v>14</v>
      </c>
      <c r="I49" s="565"/>
      <c r="J49" s="565"/>
      <c r="K49" s="566"/>
      <c r="L49" s="567">
        <f ca="1">IFERROR(__xludf.DUMMYFUNCTION("IMPORTRANGE(""https://docs.google.com/spreadsheets/d/1-uDff_7J0KD5mKrp0Vvzr7lt3OU09vwQwhkpOPPYv2Y/edit?usp=sharing"",""งบพรบ!P17"")"),424000)</f>
        <v>424000</v>
      </c>
      <c r="M49" s="568">
        <f ca="1">IFERROR(__xludf.DUMMYFUNCTION("IMPORTRANGE(""https://docs.google.com/spreadsheets/d/1-uDff_7J0KD5mKrp0Vvzr7lt3OU09vwQwhkpOPPYv2Y/edit?usp=sharing"",""งบพรบ!V17"")"),529874)</f>
        <v>529874</v>
      </c>
      <c r="N49" s="568">
        <f ca="1">IFERROR(__xludf.DUMMYFUNCTION("IMPORTRANGE(""https://docs.google.com/spreadsheets/d/1-uDff_7J0KD5mKrp0Vvzr7lt3OU09vwQwhkpOPPYv2Y/edit?usp=sharing"",""งบพรบ!Y17"")"),351074)</f>
        <v>351074</v>
      </c>
      <c r="O49" s="568">
        <f t="shared" ca="1" si="18"/>
        <v>82.800471698113213</v>
      </c>
      <c r="P49" s="568">
        <f t="shared" ca="1" si="19"/>
        <v>66.256128815529735</v>
      </c>
      <c r="Q49" s="568">
        <v>0</v>
      </c>
      <c r="R49" s="568">
        <v>0</v>
      </c>
      <c r="S49" s="568">
        <v>0</v>
      </c>
      <c r="T49" s="568">
        <f t="shared" si="21"/>
        <v>0</v>
      </c>
      <c r="U49" s="568">
        <f t="shared" si="22"/>
        <v>0</v>
      </c>
    </row>
    <row r="50" spans="1:21" ht="18.75" x14ac:dyDescent="0.25">
      <c r="A50" s="560"/>
      <c r="B50" s="561"/>
      <c r="C50" s="561"/>
      <c r="D50" s="562" t="s">
        <v>23</v>
      </c>
      <c r="E50" s="561"/>
      <c r="F50" s="561"/>
      <c r="G50" s="563"/>
      <c r="H50" s="564" t="s">
        <v>14</v>
      </c>
      <c r="I50" s="565"/>
      <c r="J50" s="565"/>
      <c r="K50" s="566"/>
      <c r="L50" s="567">
        <f t="shared" ref="L50:N50" ca="1" si="27">L51+L52</f>
        <v>0</v>
      </c>
      <c r="M50" s="568">
        <f t="shared" ca="1" si="27"/>
        <v>0</v>
      </c>
      <c r="N50" s="568">
        <f t="shared" ca="1" si="27"/>
        <v>0</v>
      </c>
      <c r="O50" s="568">
        <f t="shared" ca="1" si="18"/>
        <v>0</v>
      </c>
      <c r="P50" s="568">
        <f t="shared" ca="1" si="19"/>
        <v>0</v>
      </c>
      <c r="Q50" s="568">
        <f t="shared" ref="Q50:S50" si="28">Q51+Q52</f>
        <v>0</v>
      </c>
      <c r="R50" s="568">
        <f t="shared" si="28"/>
        <v>0</v>
      </c>
      <c r="S50" s="568">
        <f t="shared" si="28"/>
        <v>0</v>
      </c>
      <c r="T50" s="568">
        <f t="shared" si="21"/>
        <v>0</v>
      </c>
      <c r="U50" s="568">
        <f t="shared" si="22"/>
        <v>0</v>
      </c>
    </row>
    <row r="51" spans="1:21" ht="18.75" x14ac:dyDescent="0.25">
      <c r="A51" s="560"/>
      <c r="B51" s="561"/>
      <c r="C51" s="561"/>
      <c r="D51" s="561"/>
      <c r="E51" s="569" t="s">
        <v>20</v>
      </c>
      <c r="F51" s="561"/>
      <c r="G51" s="563"/>
      <c r="H51" s="570" t="s">
        <v>14</v>
      </c>
      <c r="I51" s="565"/>
      <c r="J51" s="565"/>
      <c r="K51" s="566"/>
      <c r="L51" s="571">
        <v>0</v>
      </c>
      <c r="M51" s="572">
        <v>0</v>
      </c>
      <c r="N51" s="572">
        <v>0</v>
      </c>
      <c r="O51" s="572">
        <f t="shared" si="18"/>
        <v>0</v>
      </c>
      <c r="P51" s="572">
        <f t="shared" si="19"/>
        <v>0</v>
      </c>
      <c r="Q51" s="572">
        <v>0</v>
      </c>
      <c r="R51" s="572">
        <v>0</v>
      </c>
      <c r="S51" s="572">
        <v>0</v>
      </c>
      <c r="T51" s="572">
        <f t="shared" si="21"/>
        <v>0</v>
      </c>
      <c r="U51" s="572">
        <f t="shared" si="22"/>
        <v>0</v>
      </c>
    </row>
    <row r="52" spans="1:21" ht="18.75" x14ac:dyDescent="0.25">
      <c r="A52" s="560"/>
      <c r="B52" s="561"/>
      <c r="C52" s="561"/>
      <c r="D52" s="561"/>
      <c r="E52" s="573" t="s">
        <v>21</v>
      </c>
      <c r="F52" s="561"/>
      <c r="G52" s="563"/>
      <c r="H52" s="564" t="s">
        <v>14</v>
      </c>
      <c r="I52" s="565"/>
      <c r="J52" s="565"/>
      <c r="K52" s="566"/>
      <c r="L52" s="567">
        <f ca="1">IFERROR(__xludf.DUMMYFUNCTION("IMPORTRANGE(""https://docs.google.com/spreadsheets/d/1-uDff_7J0KD5mKrp0Vvzr7lt3OU09vwQwhkpOPPYv2Y/edit?usp=sharing"",""งบพรบ!S17"")"),0)</f>
        <v>0</v>
      </c>
      <c r="M52" s="568">
        <f ca="1">IFERROR(__xludf.DUMMYFUNCTION("IMPORTRANGE(""https://docs.google.com/spreadsheets/d/1-uDff_7J0KD5mKrp0Vvzr7lt3OU09vwQwhkpOPPYv2Y/edit?usp=sharing"",""งบพรบ!W17"")"),0)</f>
        <v>0</v>
      </c>
      <c r="N52" s="568">
        <f ca="1">IFERROR(__xludf.DUMMYFUNCTION("IMPORTRANGE(""https://docs.google.com/spreadsheets/d/1-uDff_7J0KD5mKrp0Vvzr7lt3OU09vwQwhkpOPPYv2Y/edit?usp=sharing"",""งบพรบ!Z17"")"),0)</f>
        <v>0</v>
      </c>
      <c r="O52" s="568">
        <f t="shared" ca="1" si="18"/>
        <v>0</v>
      </c>
      <c r="P52" s="568">
        <f t="shared" ca="1" si="19"/>
        <v>0</v>
      </c>
      <c r="Q52" s="568">
        <v>0</v>
      </c>
      <c r="R52" s="568">
        <v>0</v>
      </c>
      <c r="S52" s="568">
        <v>0</v>
      </c>
      <c r="T52" s="568">
        <f t="shared" si="21"/>
        <v>0</v>
      </c>
      <c r="U52" s="568">
        <f t="shared" si="22"/>
        <v>0</v>
      </c>
    </row>
    <row r="53" spans="1:21" ht="18.75" x14ac:dyDescent="0.25">
      <c r="A53" s="560"/>
      <c r="B53" s="561"/>
      <c r="C53" s="561"/>
      <c r="D53" s="562" t="s">
        <v>24</v>
      </c>
      <c r="E53" s="561"/>
      <c r="F53" s="561"/>
      <c r="G53" s="563"/>
      <c r="H53" s="564" t="s">
        <v>14</v>
      </c>
      <c r="I53" s="565"/>
      <c r="J53" s="565"/>
      <c r="K53" s="566"/>
      <c r="L53" s="574"/>
      <c r="M53" s="566"/>
      <c r="N53" s="566"/>
      <c r="O53" s="566"/>
      <c r="P53" s="566"/>
      <c r="Q53" s="566"/>
      <c r="R53" s="566"/>
      <c r="S53" s="566"/>
      <c r="T53" s="566"/>
      <c r="U53" s="566"/>
    </row>
    <row r="54" spans="1:21" ht="18.75" x14ac:dyDescent="0.25">
      <c r="A54" s="560"/>
      <c r="B54" s="561"/>
      <c r="C54" s="561"/>
      <c r="D54" s="561"/>
      <c r="E54" s="569" t="s">
        <v>20</v>
      </c>
      <c r="F54" s="561"/>
      <c r="G54" s="563"/>
      <c r="H54" s="570" t="s">
        <v>14</v>
      </c>
      <c r="I54" s="565"/>
      <c r="J54" s="565"/>
      <c r="K54" s="566"/>
      <c r="L54" s="574"/>
      <c r="M54" s="566"/>
      <c r="N54" s="566"/>
      <c r="O54" s="566"/>
      <c r="P54" s="566"/>
      <c r="Q54" s="566"/>
      <c r="R54" s="566"/>
      <c r="S54" s="566"/>
      <c r="T54" s="566"/>
      <c r="U54" s="566"/>
    </row>
    <row r="55" spans="1:21" ht="18.75" x14ac:dyDescent="0.25">
      <c r="A55" s="575"/>
      <c r="B55" s="513"/>
      <c r="C55" s="513"/>
      <c r="D55" s="513"/>
      <c r="E55" s="576" t="s">
        <v>21</v>
      </c>
      <c r="F55" s="513"/>
      <c r="G55" s="577"/>
      <c r="H55" s="578" t="s">
        <v>14</v>
      </c>
      <c r="I55" s="579"/>
      <c r="J55" s="579"/>
      <c r="K55" s="580"/>
      <c r="L55" s="581"/>
      <c r="M55" s="580"/>
      <c r="N55" s="580"/>
      <c r="O55" s="580"/>
      <c r="P55" s="580"/>
      <c r="Q55" s="580"/>
      <c r="R55" s="580"/>
      <c r="S55" s="580"/>
      <c r="T55" s="580"/>
      <c r="U55" s="580"/>
    </row>
    <row r="56" spans="1:21" ht="19.5" x14ac:dyDescent="0.3">
      <c r="A56" s="1319" t="s">
        <v>28</v>
      </c>
      <c r="B56" s="1314"/>
      <c r="C56" s="1314"/>
      <c r="D56" s="1314"/>
      <c r="E56" s="1314"/>
      <c r="F56" s="1314"/>
      <c r="G56" s="1317"/>
      <c r="H56" s="618"/>
      <c r="I56" s="619"/>
      <c r="J56" s="619"/>
      <c r="K56" s="620"/>
      <c r="L56" s="620"/>
      <c r="M56" s="620"/>
      <c r="N56" s="620"/>
      <c r="O56" s="620"/>
      <c r="P56" s="621"/>
      <c r="Q56" s="620"/>
      <c r="R56" s="620"/>
      <c r="S56" s="620"/>
      <c r="T56" s="620"/>
      <c r="U56" s="621"/>
    </row>
    <row r="57" spans="1:21" ht="19.5" x14ac:dyDescent="0.3">
      <c r="A57" s="622"/>
      <c r="B57" s="1320" t="s">
        <v>29</v>
      </c>
      <c r="C57" s="1311"/>
      <c r="D57" s="1311"/>
      <c r="E57" s="1311"/>
      <c r="F57" s="1311"/>
      <c r="G57" s="1312"/>
      <c r="H57" s="625"/>
      <c r="I57" s="626"/>
      <c r="J57" s="626"/>
      <c r="K57" s="627"/>
      <c r="L57" s="628"/>
      <c r="M57" s="627"/>
      <c r="N57" s="627"/>
      <c r="O57" s="627"/>
      <c r="P57" s="627"/>
      <c r="Q57" s="627"/>
      <c r="R57" s="627"/>
      <c r="S57" s="627"/>
      <c r="T57" s="627"/>
      <c r="U57" s="627"/>
    </row>
    <row r="58" spans="1:21" ht="19.5" x14ac:dyDescent="0.3">
      <c r="A58" s="629"/>
      <c r="B58" s="630" t="s">
        <v>30</v>
      </c>
      <c r="C58" s="631"/>
      <c r="D58" s="631"/>
      <c r="E58" s="631"/>
      <c r="F58" s="631"/>
      <c r="G58" s="632"/>
      <c r="H58" s="632"/>
      <c r="I58" s="633"/>
      <c r="J58" s="633"/>
      <c r="K58" s="634"/>
      <c r="L58" s="635"/>
      <c r="M58" s="634"/>
      <c r="N58" s="634"/>
      <c r="O58" s="634"/>
      <c r="P58" s="634"/>
      <c r="Q58" s="634"/>
      <c r="R58" s="634"/>
      <c r="S58" s="634"/>
      <c r="T58" s="634"/>
      <c r="U58" s="634"/>
    </row>
    <row r="59" spans="1:21" ht="19.5" x14ac:dyDescent="0.3">
      <c r="A59" s="636"/>
      <c r="B59" s="637"/>
      <c r="C59" s="638" t="s">
        <v>18</v>
      </c>
      <c r="D59" s="639" t="s">
        <v>19</v>
      </c>
      <c r="E59" s="637"/>
      <c r="F59" s="637"/>
      <c r="G59" s="640"/>
      <c r="H59" s="641" t="s">
        <v>14</v>
      </c>
      <c r="I59" s="642"/>
      <c r="J59" s="642"/>
      <c r="K59" s="643"/>
      <c r="L59" s="644">
        <f t="shared" ref="L59:N59" ca="1" si="29">L60+L61</f>
        <v>788100</v>
      </c>
      <c r="M59" s="645">
        <f t="shared" ca="1" si="29"/>
        <v>788100</v>
      </c>
      <c r="N59" s="645">
        <f t="shared" ca="1" si="29"/>
        <v>451216.19</v>
      </c>
      <c r="O59" s="645">
        <f t="shared" ref="O59:O67" ca="1" si="30">IF(L59&gt;0,N59*100/L59,0)</f>
        <v>57.253672122827055</v>
      </c>
      <c r="P59" s="645">
        <f t="shared" ref="P59:P67" ca="1" si="31">IF(M59&gt;0,N59*100/M59,0)</f>
        <v>57.253672122827055</v>
      </c>
      <c r="Q59" s="645">
        <f t="shared" ref="Q59:S59" si="32">Q60+Q61</f>
        <v>0</v>
      </c>
      <c r="R59" s="645">
        <f t="shared" si="32"/>
        <v>0</v>
      </c>
      <c r="S59" s="645">
        <f t="shared" si="32"/>
        <v>0</v>
      </c>
      <c r="T59" s="645">
        <f t="shared" ref="T59:T67" si="33">IF(Q59&gt;0,S59*100/Q59,0)</f>
        <v>0</v>
      </c>
      <c r="U59" s="645">
        <f t="shared" ref="U59:U67" si="34">IF(R59&gt;0,S59*100/R59,0)</f>
        <v>0</v>
      </c>
    </row>
    <row r="60" spans="1:21" ht="18.75" x14ac:dyDescent="0.25">
      <c r="A60" s="636"/>
      <c r="B60" s="637"/>
      <c r="C60" s="637"/>
      <c r="D60" s="637"/>
      <c r="E60" s="646" t="s">
        <v>20</v>
      </c>
      <c r="F60" s="637"/>
      <c r="G60" s="640"/>
      <c r="H60" s="647" t="s">
        <v>14</v>
      </c>
      <c r="I60" s="642"/>
      <c r="J60" s="642"/>
      <c r="K60" s="643"/>
      <c r="L60" s="648">
        <f t="shared" ref="L60:N61" si="35">L63+L66</f>
        <v>0</v>
      </c>
      <c r="M60" s="649">
        <f t="shared" si="35"/>
        <v>0</v>
      </c>
      <c r="N60" s="649">
        <f t="shared" si="35"/>
        <v>0</v>
      </c>
      <c r="O60" s="649">
        <f t="shared" si="30"/>
        <v>0</v>
      </c>
      <c r="P60" s="649">
        <f t="shared" si="31"/>
        <v>0</v>
      </c>
      <c r="Q60" s="649">
        <f t="shared" ref="Q60:S61" si="36">Q63+Q66</f>
        <v>0</v>
      </c>
      <c r="R60" s="649">
        <f t="shared" si="36"/>
        <v>0</v>
      </c>
      <c r="S60" s="649">
        <f t="shared" si="36"/>
        <v>0</v>
      </c>
      <c r="T60" s="649">
        <f t="shared" si="33"/>
        <v>0</v>
      </c>
      <c r="U60" s="649">
        <f t="shared" si="34"/>
        <v>0</v>
      </c>
    </row>
    <row r="61" spans="1:21" ht="18.75" x14ac:dyDescent="0.25">
      <c r="A61" s="636"/>
      <c r="B61" s="637"/>
      <c r="C61" s="637"/>
      <c r="D61" s="637"/>
      <c r="E61" s="650" t="s">
        <v>21</v>
      </c>
      <c r="F61" s="637"/>
      <c r="G61" s="640"/>
      <c r="H61" s="651" t="s">
        <v>14</v>
      </c>
      <c r="I61" s="642"/>
      <c r="J61" s="642"/>
      <c r="K61" s="643"/>
      <c r="L61" s="652">
        <f t="shared" ca="1" si="35"/>
        <v>788100</v>
      </c>
      <c r="M61" s="653">
        <f t="shared" ca="1" si="35"/>
        <v>788100</v>
      </c>
      <c r="N61" s="653">
        <f t="shared" ca="1" si="35"/>
        <v>451216.19</v>
      </c>
      <c r="O61" s="653">
        <f t="shared" ca="1" si="30"/>
        <v>57.253672122827055</v>
      </c>
      <c r="P61" s="653">
        <f t="shared" ca="1" si="31"/>
        <v>57.253672122827055</v>
      </c>
      <c r="Q61" s="653">
        <f t="shared" si="36"/>
        <v>0</v>
      </c>
      <c r="R61" s="653">
        <f t="shared" si="36"/>
        <v>0</v>
      </c>
      <c r="S61" s="653">
        <f t="shared" si="36"/>
        <v>0</v>
      </c>
      <c r="T61" s="653">
        <f t="shared" si="33"/>
        <v>0</v>
      </c>
      <c r="U61" s="653">
        <f t="shared" si="34"/>
        <v>0</v>
      </c>
    </row>
    <row r="62" spans="1:21" ht="18.75" x14ac:dyDescent="0.25">
      <c r="A62" s="560"/>
      <c r="B62" s="561"/>
      <c r="C62" s="561"/>
      <c r="D62" s="562" t="s">
        <v>22</v>
      </c>
      <c r="E62" s="561"/>
      <c r="F62" s="561"/>
      <c r="G62" s="563"/>
      <c r="H62" s="564" t="s">
        <v>14</v>
      </c>
      <c r="I62" s="565"/>
      <c r="J62" s="565"/>
      <c r="K62" s="566"/>
      <c r="L62" s="567">
        <f t="shared" ref="L62:N62" ca="1" si="37">L63+L64</f>
        <v>705100</v>
      </c>
      <c r="M62" s="568">
        <f t="shared" ca="1" si="37"/>
        <v>705100</v>
      </c>
      <c r="N62" s="568">
        <f t="shared" ca="1" si="37"/>
        <v>451216.19</v>
      </c>
      <c r="O62" s="568">
        <f t="shared" ca="1" si="30"/>
        <v>63.993219401503332</v>
      </c>
      <c r="P62" s="568">
        <f t="shared" ca="1" si="31"/>
        <v>63.993219401503332</v>
      </c>
      <c r="Q62" s="568">
        <f t="shared" ref="Q62:S62" si="38">Q63+Q64</f>
        <v>0</v>
      </c>
      <c r="R62" s="568">
        <f t="shared" si="38"/>
        <v>0</v>
      </c>
      <c r="S62" s="568">
        <f t="shared" si="38"/>
        <v>0</v>
      </c>
      <c r="T62" s="568">
        <f t="shared" si="33"/>
        <v>0</v>
      </c>
      <c r="U62" s="568">
        <f t="shared" si="34"/>
        <v>0</v>
      </c>
    </row>
    <row r="63" spans="1:21" ht="18.75" x14ac:dyDescent="0.25">
      <c r="A63" s="560"/>
      <c r="B63" s="561"/>
      <c r="C63" s="561"/>
      <c r="D63" s="561"/>
      <c r="E63" s="569" t="s">
        <v>20</v>
      </c>
      <c r="F63" s="561"/>
      <c r="G63" s="563"/>
      <c r="H63" s="570" t="s">
        <v>14</v>
      </c>
      <c r="I63" s="565"/>
      <c r="J63" s="565"/>
      <c r="K63" s="566"/>
      <c r="L63" s="571">
        <v>0</v>
      </c>
      <c r="M63" s="572">
        <v>0</v>
      </c>
      <c r="N63" s="572">
        <v>0</v>
      </c>
      <c r="O63" s="572">
        <f t="shared" si="30"/>
        <v>0</v>
      </c>
      <c r="P63" s="572">
        <f t="shared" si="31"/>
        <v>0</v>
      </c>
      <c r="Q63" s="572">
        <v>0</v>
      </c>
      <c r="R63" s="572">
        <v>0</v>
      </c>
      <c r="S63" s="572">
        <v>0</v>
      </c>
      <c r="T63" s="572">
        <f t="shared" si="33"/>
        <v>0</v>
      </c>
      <c r="U63" s="572">
        <f t="shared" si="34"/>
        <v>0</v>
      </c>
    </row>
    <row r="64" spans="1:21" ht="18.75" x14ac:dyDescent="0.25">
      <c r="A64" s="560"/>
      <c r="B64" s="561"/>
      <c r="C64" s="561"/>
      <c r="D64" s="561"/>
      <c r="E64" s="573" t="s">
        <v>21</v>
      </c>
      <c r="F64" s="561"/>
      <c r="G64" s="563"/>
      <c r="H64" s="564" t="s">
        <v>14</v>
      </c>
      <c r="I64" s="565"/>
      <c r="J64" s="565"/>
      <c r="K64" s="566"/>
      <c r="L64" s="567">
        <f ca="1">IFERROR(__xludf.DUMMYFUNCTION("IMPORTRANGE(""https://docs.google.com/spreadsheets/d/1-uDff_7J0KD5mKrp0Vvzr7lt3OU09vwQwhkpOPPYv2Y/edit?usp=sharing"",""งบพรบ!AC17"")"),705100)</f>
        <v>705100</v>
      </c>
      <c r="M64" s="568">
        <f ca="1">IFERROR(__xludf.DUMMYFUNCTION("IMPORTRANGE(""https://docs.google.com/spreadsheets/d/1-uDff_7J0KD5mKrp0Vvzr7lt3OU09vwQwhkpOPPYv2Y/edit?usp=sharing"",""งบพรบ!AH17"")"),705100)</f>
        <v>705100</v>
      </c>
      <c r="N64" s="568">
        <f ca="1">IFERROR(__xludf.DUMMYFUNCTION("IMPORTRANGE(""https://docs.google.com/spreadsheets/d/1-uDff_7J0KD5mKrp0Vvzr7lt3OU09vwQwhkpOPPYv2Y/edit?usp=sharing"",""งบพรบ!AJ17"")"),451216.19)</f>
        <v>451216.19</v>
      </c>
      <c r="O64" s="568">
        <f t="shared" ca="1" si="30"/>
        <v>63.993219401503332</v>
      </c>
      <c r="P64" s="568">
        <f t="shared" ca="1" si="31"/>
        <v>63.993219401503332</v>
      </c>
      <c r="Q64" s="568">
        <v>0</v>
      </c>
      <c r="R64" s="568">
        <v>0</v>
      </c>
      <c r="S64" s="568">
        <v>0</v>
      </c>
      <c r="T64" s="568">
        <f t="shared" si="33"/>
        <v>0</v>
      </c>
      <c r="U64" s="568">
        <f t="shared" si="34"/>
        <v>0</v>
      </c>
    </row>
    <row r="65" spans="1:21" ht="18.75" x14ac:dyDescent="0.25">
      <c r="A65" s="560"/>
      <c r="B65" s="561"/>
      <c r="C65" s="561"/>
      <c r="D65" s="562" t="s">
        <v>23</v>
      </c>
      <c r="E65" s="561"/>
      <c r="F65" s="561"/>
      <c r="G65" s="563"/>
      <c r="H65" s="564" t="s">
        <v>14</v>
      </c>
      <c r="I65" s="565"/>
      <c r="J65" s="565"/>
      <c r="K65" s="566"/>
      <c r="L65" s="567">
        <f t="shared" ref="L65:N65" ca="1" si="39">L66+L67</f>
        <v>83000</v>
      </c>
      <c r="M65" s="568">
        <f t="shared" ca="1" si="39"/>
        <v>83000</v>
      </c>
      <c r="N65" s="568">
        <f t="shared" ca="1" si="39"/>
        <v>0</v>
      </c>
      <c r="O65" s="568">
        <f t="shared" ca="1" si="30"/>
        <v>0</v>
      </c>
      <c r="P65" s="568">
        <f t="shared" ca="1" si="31"/>
        <v>0</v>
      </c>
      <c r="Q65" s="568">
        <f t="shared" ref="Q65:S65" si="40">Q66+Q67</f>
        <v>0</v>
      </c>
      <c r="R65" s="568">
        <f t="shared" si="40"/>
        <v>0</v>
      </c>
      <c r="S65" s="568">
        <f t="shared" si="40"/>
        <v>0</v>
      </c>
      <c r="T65" s="568">
        <f t="shared" si="33"/>
        <v>0</v>
      </c>
      <c r="U65" s="568">
        <f t="shared" si="34"/>
        <v>0</v>
      </c>
    </row>
    <row r="66" spans="1:21" ht="18.75" x14ac:dyDescent="0.25">
      <c r="A66" s="560"/>
      <c r="B66" s="561"/>
      <c r="C66" s="561"/>
      <c r="D66" s="561"/>
      <c r="E66" s="569" t="s">
        <v>20</v>
      </c>
      <c r="F66" s="561"/>
      <c r="G66" s="563"/>
      <c r="H66" s="570" t="s">
        <v>14</v>
      </c>
      <c r="I66" s="565"/>
      <c r="J66" s="565"/>
      <c r="K66" s="566"/>
      <c r="L66" s="571">
        <v>0</v>
      </c>
      <c r="M66" s="572">
        <v>0</v>
      </c>
      <c r="N66" s="572">
        <v>0</v>
      </c>
      <c r="O66" s="572">
        <f t="shared" si="30"/>
        <v>0</v>
      </c>
      <c r="P66" s="572">
        <f t="shared" si="31"/>
        <v>0</v>
      </c>
      <c r="Q66" s="572">
        <v>0</v>
      </c>
      <c r="R66" s="572">
        <v>0</v>
      </c>
      <c r="S66" s="572">
        <v>0</v>
      </c>
      <c r="T66" s="572">
        <f t="shared" si="33"/>
        <v>0</v>
      </c>
      <c r="U66" s="572">
        <f t="shared" si="34"/>
        <v>0</v>
      </c>
    </row>
    <row r="67" spans="1:21" ht="18.75" x14ac:dyDescent="0.25">
      <c r="A67" s="575"/>
      <c r="B67" s="513"/>
      <c r="C67" s="513"/>
      <c r="D67" s="513"/>
      <c r="E67" s="576" t="s">
        <v>21</v>
      </c>
      <c r="F67" s="513"/>
      <c r="G67" s="577"/>
      <c r="H67" s="578" t="s">
        <v>14</v>
      </c>
      <c r="I67" s="579"/>
      <c r="J67" s="579"/>
      <c r="K67" s="580"/>
      <c r="L67" s="654">
        <f ca="1">IFERROR(__xludf.DUMMYFUNCTION("IMPORTRANGE(""https://docs.google.com/spreadsheets/d/1-uDff_7J0KD5mKrp0Vvzr7lt3OU09vwQwhkpOPPYv2Y/edit?usp=sharing"",""งบพรบ!AF17"")"),83000)</f>
        <v>83000</v>
      </c>
      <c r="M67" s="655">
        <f ca="1">IFERROR(__xludf.DUMMYFUNCTION("IMPORTRANGE(""https://docs.google.com/spreadsheets/d/1-uDff_7J0KD5mKrp0Vvzr7lt3OU09vwQwhkpOPPYv2Y/edit?usp=sharing"",""งบพรบ!AI17"")"),83000)</f>
        <v>83000</v>
      </c>
      <c r="N67" s="655">
        <f ca="1">IFERROR(__xludf.DUMMYFUNCTION("IMPORTRANGE(""https://docs.google.com/spreadsheets/d/1-uDff_7J0KD5mKrp0Vvzr7lt3OU09vwQwhkpOPPYv2Y/edit?usp=sharing"",""งบพรบ!AK17"")"),0)</f>
        <v>0</v>
      </c>
      <c r="O67" s="655">
        <f t="shared" ca="1" si="30"/>
        <v>0</v>
      </c>
      <c r="P67" s="655">
        <f t="shared" ca="1" si="31"/>
        <v>0</v>
      </c>
      <c r="Q67" s="655">
        <v>0</v>
      </c>
      <c r="R67" s="655">
        <v>0</v>
      </c>
      <c r="S67" s="655">
        <v>0</v>
      </c>
      <c r="T67" s="655">
        <f t="shared" si="33"/>
        <v>0</v>
      </c>
      <c r="U67" s="655">
        <f t="shared" si="34"/>
        <v>0</v>
      </c>
    </row>
    <row r="68" spans="1:21" ht="19.5" x14ac:dyDescent="0.3">
      <c r="A68" s="656" t="s">
        <v>31</v>
      </c>
      <c r="B68" s="657"/>
      <c r="C68" s="657"/>
      <c r="D68" s="657"/>
      <c r="E68" s="658"/>
      <c r="F68" s="658"/>
      <c r="G68" s="658"/>
      <c r="H68" s="658"/>
      <c r="I68" s="659"/>
      <c r="J68" s="659"/>
      <c r="K68" s="660"/>
      <c r="L68" s="660"/>
      <c r="M68" s="660"/>
      <c r="N68" s="660"/>
      <c r="O68" s="660"/>
      <c r="P68" s="661"/>
      <c r="Q68" s="660"/>
      <c r="R68" s="660"/>
      <c r="S68" s="660"/>
      <c r="T68" s="660"/>
      <c r="U68" s="661"/>
    </row>
    <row r="69" spans="1:21" ht="19.5" hidden="1" x14ac:dyDescent="0.3">
      <c r="A69" s="662" t="s">
        <v>32</v>
      </c>
      <c r="B69" s="663"/>
      <c r="C69" s="664"/>
      <c r="D69" s="663"/>
      <c r="E69" s="663"/>
      <c r="F69" s="663"/>
      <c r="G69" s="665"/>
      <c r="H69" s="665"/>
      <c r="I69" s="666"/>
      <c r="J69" s="666"/>
      <c r="K69" s="667"/>
      <c r="L69" s="668"/>
      <c r="M69" s="667"/>
      <c r="N69" s="667"/>
      <c r="O69" s="667"/>
      <c r="P69" s="667"/>
      <c r="Q69" s="667"/>
      <c r="R69" s="667"/>
      <c r="S69" s="667"/>
      <c r="T69" s="667"/>
      <c r="U69" s="667"/>
    </row>
    <row r="70" spans="1:21" ht="19.5" hidden="1" x14ac:dyDescent="0.3">
      <c r="A70" s="669"/>
      <c r="B70" s="544" t="s">
        <v>33</v>
      </c>
      <c r="C70" s="543"/>
      <c r="D70" s="670"/>
      <c r="E70" s="543"/>
      <c r="F70" s="543"/>
      <c r="G70" s="546"/>
      <c r="H70" s="671" t="s">
        <v>34</v>
      </c>
      <c r="I70" s="672">
        <f t="shared" ref="I70:J71" ca="1" si="41">I82</f>
        <v>0</v>
      </c>
      <c r="J70" s="672">
        <f t="shared" si="41"/>
        <v>0</v>
      </c>
      <c r="K70" s="551">
        <f t="shared" ref="K70:K71" ca="1" si="42">IF(I70&gt;0,J70*100/I70,0)</f>
        <v>0</v>
      </c>
      <c r="L70" s="673"/>
      <c r="M70" s="549"/>
      <c r="N70" s="549"/>
      <c r="O70" s="549"/>
      <c r="P70" s="549"/>
      <c r="Q70" s="549"/>
      <c r="R70" s="549"/>
      <c r="S70" s="549"/>
      <c r="T70" s="549"/>
      <c r="U70" s="549"/>
    </row>
    <row r="71" spans="1:21" ht="19.5" hidden="1" x14ac:dyDescent="0.3">
      <c r="A71" s="669"/>
      <c r="B71" s="543"/>
      <c r="C71" s="543"/>
      <c r="D71" s="670"/>
      <c r="E71" s="543"/>
      <c r="F71" s="543"/>
      <c r="G71" s="546"/>
      <c r="H71" s="671" t="s">
        <v>35</v>
      </c>
      <c r="I71" s="672">
        <f t="shared" ca="1" si="41"/>
        <v>0</v>
      </c>
      <c r="J71" s="672">
        <f t="shared" si="41"/>
        <v>0</v>
      </c>
      <c r="K71" s="551">
        <f t="shared" ca="1" si="42"/>
        <v>0</v>
      </c>
      <c r="L71" s="673"/>
      <c r="M71" s="549"/>
      <c r="N71" s="549"/>
      <c r="O71" s="549"/>
      <c r="P71" s="549"/>
      <c r="Q71" s="549"/>
      <c r="R71" s="549"/>
      <c r="S71" s="549"/>
      <c r="T71" s="549"/>
      <c r="U71" s="549"/>
    </row>
    <row r="72" spans="1:21" ht="19.5" hidden="1" x14ac:dyDescent="0.3">
      <c r="A72" s="674"/>
      <c r="B72" s="561"/>
      <c r="C72" s="675" t="s">
        <v>18</v>
      </c>
      <c r="D72" s="676" t="s">
        <v>19</v>
      </c>
      <c r="E72" s="561"/>
      <c r="F72" s="561"/>
      <c r="G72" s="563"/>
      <c r="H72" s="677" t="s">
        <v>14</v>
      </c>
      <c r="I72" s="565"/>
      <c r="J72" s="565"/>
      <c r="K72" s="566"/>
      <c r="L72" s="678">
        <f t="shared" ref="L72:N72" ca="1" si="43">L73+L74</f>
        <v>0</v>
      </c>
      <c r="M72" s="679">
        <f t="shared" ca="1" si="43"/>
        <v>0</v>
      </c>
      <c r="N72" s="679">
        <f t="shared" ca="1" si="43"/>
        <v>0</v>
      </c>
      <c r="O72" s="679">
        <f t="shared" ref="O72:O80" ca="1" si="44">IF(L72&gt;0,N72*100/L72,0)</f>
        <v>0</v>
      </c>
      <c r="P72" s="679">
        <f t="shared" ref="P72:P80" ca="1" si="45">IF(M72&gt;0,N72*100/M72,0)</f>
        <v>0</v>
      </c>
      <c r="Q72" s="679">
        <f t="shared" ref="Q72:S72" ca="1" si="46">Q73+Q74</f>
        <v>0</v>
      </c>
      <c r="R72" s="679">
        <f t="shared" ca="1" si="46"/>
        <v>0</v>
      </c>
      <c r="S72" s="679">
        <f t="shared" ca="1" si="46"/>
        <v>0</v>
      </c>
      <c r="T72" s="679">
        <f t="shared" ref="T72:T80" ca="1" si="47">IF(Q72&gt;0,S72*100/Q72,0)</f>
        <v>0</v>
      </c>
      <c r="U72" s="679">
        <f t="shared" ref="U72:U80" ca="1" si="48">IF(R72&gt;0,S72*100/R72,0)</f>
        <v>0</v>
      </c>
    </row>
    <row r="73" spans="1:21" ht="18.75" hidden="1" x14ac:dyDescent="0.25">
      <c r="A73" s="674"/>
      <c r="B73" s="561"/>
      <c r="C73" s="561"/>
      <c r="D73" s="561"/>
      <c r="E73" s="569" t="s">
        <v>20</v>
      </c>
      <c r="F73" s="561"/>
      <c r="G73" s="563"/>
      <c r="H73" s="680" t="s">
        <v>14</v>
      </c>
      <c r="I73" s="565"/>
      <c r="J73" s="565"/>
      <c r="K73" s="566"/>
      <c r="L73" s="571">
        <f t="shared" ref="L73:N74" si="49">L76+L79</f>
        <v>0</v>
      </c>
      <c r="M73" s="572">
        <f t="shared" si="49"/>
        <v>0</v>
      </c>
      <c r="N73" s="572">
        <f t="shared" si="49"/>
        <v>0</v>
      </c>
      <c r="O73" s="572">
        <f t="shared" si="44"/>
        <v>0</v>
      </c>
      <c r="P73" s="572">
        <f t="shared" si="45"/>
        <v>0</v>
      </c>
      <c r="Q73" s="572">
        <f t="shared" ref="Q73:S74" si="50">Q76+Q79</f>
        <v>0</v>
      </c>
      <c r="R73" s="572">
        <f t="shared" si="50"/>
        <v>0</v>
      </c>
      <c r="S73" s="572">
        <f t="shared" si="50"/>
        <v>0</v>
      </c>
      <c r="T73" s="572">
        <f t="shared" si="47"/>
        <v>0</v>
      </c>
      <c r="U73" s="572">
        <f t="shared" si="48"/>
        <v>0</v>
      </c>
    </row>
    <row r="74" spans="1:21" ht="18.75" hidden="1" x14ac:dyDescent="0.25">
      <c r="A74" s="674"/>
      <c r="B74" s="561"/>
      <c r="C74" s="561"/>
      <c r="D74" s="561"/>
      <c r="E74" s="573" t="s">
        <v>21</v>
      </c>
      <c r="F74" s="561"/>
      <c r="G74" s="563"/>
      <c r="H74" s="681" t="s">
        <v>14</v>
      </c>
      <c r="I74" s="565"/>
      <c r="J74" s="565"/>
      <c r="K74" s="566"/>
      <c r="L74" s="567">
        <f t="shared" ca="1" si="49"/>
        <v>0</v>
      </c>
      <c r="M74" s="568">
        <f t="shared" ca="1" si="49"/>
        <v>0</v>
      </c>
      <c r="N74" s="568">
        <f t="shared" ca="1" si="49"/>
        <v>0</v>
      </c>
      <c r="O74" s="568">
        <f t="shared" ca="1" si="44"/>
        <v>0</v>
      </c>
      <c r="P74" s="568">
        <f t="shared" ca="1" si="45"/>
        <v>0</v>
      </c>
      <c r="Q74" s="568">
        <f t="shared" ca="1" si="50"/>
        <v>0</v>
      </c>
      <c r="R74" s="568">
        <f t="shared" ca="1" si="50"/>
        <v>0</v>
      </c>
      <c r="S74" s="568">
        <f t="shared" ca="1" si="50"/>
        <v>0</v>
      </c>
      <c r="T74" s="568">
        <f t="shared" ca="1" si="47"/>
        <v>0</v>
      </c>
      <c r="U74" s="568">
        <f t="shared" ca="1" si="48"/>
        <v>0</v>
      </c>
    </row>
    <row r="75" spans="1:21" ht="18.75" hidden="1" x14ac:dyDescent="0.25">
      <c r="A75" s="674"/>
      <c r="B75" s="561"/>
      <c r="C75" s="561"/>
      <c r="D75" s="562" t="s">
        <v>22</v>
      </c>
      <c r="E75" s="561"/>
      <c r="F75" s="561"/>
      <c r="G75" s="563"/>
      <c r="H75" s="682" t="s">
        <v>14</v>
      </c>
      <c r="I75" s="683"/>
      <c r="J75" s="683"/>
      <c r="K75" s="684"/>
      <c r="L75" s="567">
        <f t="shared" ref="L75:N75" ca="1" si="51">L76+L77</f>
        <v>0</v>
      </c>
      <c r="M75" s="568">
        <f t="shared" ca="1" si="51"/>
        <v>0</v>
      </c>
      <c r="N75" s="568">
        <f t="shared" ca="1" si="51"/>
        <v>0</v>
      </c>
      <c r="O75" s="568">
        <f t="shared" ca="1" si="44"/>
        <v>0</v>
      </c>
      <c r="P75" s="568">
        <f t="shared" ca="1" si="45"/>
        <v>0</v>
      </c>
      <c r="Q75" s="568">
        <f t="shared" ref="Q75:S75" ca="1" si="52">Q76+Q77</f>
        <v>0</v>
      </c>
      <c r="R75" s="568">
        <f t="shared" ca="1" si="52"/>
        <v>0</v>
      </c>
      <c r="S75" s="568">
        <f t="shared" ca="1" si="52"/>
        <v>0</v>
      </c>
      <c r="T75" s="568">
        <f t="shared" ca="1" si="47"/>
        <v>0</v>
      </c>
      <c r="U75" s="568">
        <f t="shared" ca="1" si="48"/>
        <v>0</v>
      </c>
    </row>
    <row r="76" spans="1:21" ht="18.75" hidden="1" x14ac:dyDescent="0.25">
      <c r="A76" s="674"/>
      <c r="B76" s="561"/>
      <c r="C76" s="561"/>
      <c r="D76" s="561"/>
      <c r="E76" s="569" t="s">
        <v>36</v>
      </c>
      <c r="F76" s="561"/>
      <c r="G76" s="563"/>
      <c r="H76" s="685" t="s">
        <v>14</v>
      </c>
      <c r="I76" s="683"/>
      <c r="J76" s="683"/>
      <c r="K76" s="684"/>
      <c r="L76" s="571">
        <v>0</v>
      </c>
      <c r="M76" s="572">
        <v>0</v>
      </c>
      <c r="N76" s="572">
        <v>0</v>
      </c>
      <c r="O76" s="572">
        <f t="shared" si="44"/>
        <v>0</v>
      </c>
      <c r="P76" s="572">
        <f t="shared" si="45"/>
        <v>0</v>
      </c>
      <c r="Q76" s="572">
        <v>0</v>
      </c>
      <c r="R76" s="572">
        <v>0</v>
      </c>
      <c r="S76" s="572">
        <v>0</v>
      </c>
      <c r="T76" s="572">
        <f t="shared" si="47"/>
        <v>0</v>
      </c>
      <c r="U76" s="572">
        <f t="shared" si="48"/>
        <v>0</v>
      </c>
    </row>
    <row r="77" spans="1:21" ht="18.75" hidden="1" x14ac:dyDescent="0.25">
      <c r="A77" s="674"/>
      <c r="B77" s="561"/>
      <c r="C77" s="561"/>
      <c r="D77" s="561"/>
      <c r="E77" s="573" t="s">
        <v>37</v>
      </c>
      <c r="F77" s="561"/>
      <c r="G77" s="563"/>
      <c r="H77" s="682" t="s">
        <v>14</v>
      </c>
      <c r="I77" s="683"/>
      <c r="J77" s="683"/>
      <c r="K77" s="684"/>
      <c r="L77" s="567">
        <f ca="1">IFERROR(__xludf.DUMMYFUNCTION("IMPORTRANGE(""https://docs.google.com/spreadsheets/d/1-uDff_7J0KD5mKrp0Vvzr7lt3OU09vwQwhkpOPPYv2Y/edit?usp=sharing"",""งบพรบ!AM17"")"),0)</f>
        <v>0</v>
      </c>
      <c r="M77" s="568">
        <f ca="1">IFERROR(__xludf.DUMMYFUNCTION("IMPORTRANGE(""https://docs.google.com/spreadsheets/d/1-uDff_7J0KD5mKrp0Vvzr7lt3OU09vwQwhkpOPPYv2Y/edit?usp=sharing"",""งบพรบ!AR17"")"),0)</f>
        <v>0</v>
      </c>
      <c r="N77" s="568">
        <f ca="1">IFERROR(__xludf.DUMMYFUNCTION("IMPORTRANGE(""https://docs.google.com/spreadsheets/d/1-uDff_7J0KD5mKrp0Vvzr7lt3OU09vwQwhkpOPPYv2Y/edit?usp=sharing"",""งบพรบ!AT17"")"),0)</f>
        <v>0</v>
      </c>
      <c r="O77" s="568">
        <f t="shared" ca="1" si="44"/>
        <v>0</v>
      </c>
      <c r="P77" s="568">
        <f t="shared" ca="1" si="45"/>
        <v>0</v>
      </c>
      <c r="Q77" s="568">
        <f ca="1">IFERROR(__xludf.DUMMYFUNCTION("IMPORTRANGE(""https://docs.google.com/spreadsheets/d/1ItG2mGa2ceCfYo0BwxsXqNm01IGEUdYcSSLTEv9YCik/edit?usp=sharing"",""เบิกจ่ายกองทุน!BH17"")"),0)</f>
        <v>0</v>
      </c>
      <c r="R77" s="568">
        <f ca="1">IFERROR(__xludf.DUMMYFUNCTION("IMPORTRANGE(""https://docs.google.com/spreadsheets/d/1ItG2mGa2ceCfYo0BwxsXqNm01IGEUdYcSSLTEv9YCik/edit?usp=sharing"",""เบิกจ่ายกองทุน!BI17"")"),0)</f>
        <v>0</v>
      </c>
      <c r="S77" s="568">
        <f ca="1">IFERROR(__xludf.DUMMYFUNCTION("IMPORTRANGE(""https://docs.google.com/spreadsheets/d/1ItG2mGa2ceCfYo0BwxsXqNm01IGEUdYcSSLTEv9YCik/edit?usp=sharing"",""เบิกจ่ายกองทุน!BJ17"")"),0)</f>
        <v>0</v>
      </c>
      <c r="T77" s="568">
        <f t="shared" ca="1" si="47"/>
        <v>0</v>
      </c>
      <c r="U77" s="568">
        <f t="shared" ca="1" si="48"/>
        <v>0</v>
      </c>
    </row>
    <row r="78" spans="1:21" ht="18.75" hidden="1" x14ac:dyDescent="0.25">
      <c r="A78" s="674"/>
      <c r="B78" s="561"/>
      <c r="C78" s="561"/>
      <c r="D78" s="562" t="s">
        <v>23</v>
      </c>
      <c r="E78" s="561"/>
      <c r="F78" s="561"/>
      <c r="G78" s="563"/>
      <c r="H78" s="686" t="s">
        <v>14</v>
      </c>
      <c r="I78" s="683"/>
      <c r="J78" s="683"/>
      <c r="K78" s="684"/>
      <c r="L78" s="567">
        <f t="shared" ref="L78:N78" ca="1" si="53">L79+L80</f>
        <v>0</v>
      </c>
      <c r="M78" s="568">
        <f t="shared" ca="1" si="53"/>
        <v>0</v>
      </c>
      <c r="N78" s="568">
        <f t="shared" ca="1" si="53"/>
        <v>0</v>
      </c>
      <c r="O78" s="568">
        <f t="shared" ca="1" si="44"/>
        <v>0</v>
      </c>
      <c r="P78" s="568">
        <f t="shared" ca="1" si="45"/>
        <v>0</v>
      </c>
      <c r="Q78" s="568">
        <f t="shared" ref="Q78:S78" ca="1" si="54">Q79+Q80</f>
        <v>0</v>
      </c>
      <c r="R78" s="568">
        <f t="shared" ca="1" si="54"/>
        <v>0</v>
      </c>
      <c r="S78" s="568">
        <f t="shared" ca="1" si="54"/>
        <v>0</v>
      </c>
      <c r="T78" s="568">
        <f t="shared" ca="1" si="47"/>
        <v>0</v>
      </c>
      <c r="U78" s="568">
        <f t="shared" ca="1" si="48"/>
        <v>0</v>
      </c>
    </row>
    <row r="79" spans="1:21" ht="18.75" hidden="1" x14ac:dyDescent="0.25">
      <c r="A79" s="674"/>
      <c r="B79" s="561"/>
      <c r="C79" s="561"/>
      <c r="D79" s="561"/>
      <c r="E79" s="569" t="s">
        <v>20</v>
      </c>
      <c r="F79" s="561"/>
      <c r="G79" s="563"/>
      <c r="H79" s="685" t="s">
        <v>14</v>
      </c>
      <c r="I79" s="683"/>
      <c r="J79" s="683"/>
      <c r="K79" s="684"/>
      <c r="L79" s="571">
        <v>0</v>
      </c>
      <c r="M79" s="568">
        <v>0</v>
      </c>
      <c r="N79" s="568">
        <v>0</v>
      </c>
      <c r="O79" s="572">
        <f t="shared" si="44"/>
        <v>0</v>
      </c>
      <c r="P79" s="572">
        <f t="shared" si="45"/>
        <v>0</v>
      </c>
      <c r="Q79" s="572">
        <v>0</v>
      </c>
      <c r="R79" s="568">
        <v>0</v>
      </c>
      <c r="S79" s="568">
        <v>0</v>
      </c>
      <c r="T79" s="572">
        <f t="shared" si="47"/>
        <v>0</v>
      </c>
      <c r="U79" s="572">
        <f t="shared" si="48"/>
        <v>0</v>
      </c>
    </row>
    <row r="80" spans="1:21" ht="18.75" hidden="1" x14ac:dyDescent="0.25">
      <c r="A80" s="674"/>
      <c r="B80" s="561"/>
      <c r="C80" s="561"/>
      <c r="D80" s="561"/>
      <c r="E80" s="573" t="s">
        <v>21</v>
      </c>
      <c r="F80" s="561"/>
      <c r="G80" s="563"/>
      <c r="H80" s="686" t="s">
        <v>14</v>
      </c>
      <c r="I80" s="683"/>
      <c r="J80" s="683"/>
      <c r="K80" s="684"/>
      <c r="L80" s="567">
        <f ca="1">IFERROR(__xludf.DUMMYFUNCTION("IMPORTRANGE(""https://docs.google.com/spreadsheets/d/1-uDff_7J0KD5mKrp0Vvzr7lt3OU09vwQwhkpOPPYv2Y/edit?usp=sharing"",""งบพรบ!AP17"")"),0)</f>
        <v>0</v>
      </c>
      <c r="M80" s="568">
        <f ca="1">IFERROR(__xludf.DUMMYFUNCTION("IMPORTRANGE(""https://docs.google.com/spreadsheets/d/1-uDff_7J0KD5mKrp0Vvzr7lt3OU09vwQwhkpOPPYv2Y/edit?usp=sharing"",""งบพรบ!AS17"")"),0)</f>
        <v>0</v>
      </c>
      <c r="N80" s="568">
        <f ca="1">IFERROR(__xludf.DUMMYFUNCTION("IMPORTRANGE(""https://docs.google.com/spreadsheets/d/1-uDff_7J0KD5mKrp0Vvzr7lt3OU09vwQwhkpOPPYv2Y/edit?usp=sharing"",""งบพรบ!AU17"")"),0)</f>
        <v>0</v>
      </c>
      <c r="O80" s="568">
        <f t="shared" ca="1" si="44"/>
        <v>0</v>
      </c>
      <c r="P80" s="568">
        <f t="shared" ca="1" si="45"/>
        <v>0</v>
      </c>
      <c r="Q80" s="568">
        <f ca="1">IFERROR(__xludf.DUMMYFUNCTION("IMPORTRANGE(""https://docs.google.com/spreadsheets/d/1ItG2mGa2ceCfYo0BwxsXqNm01IGEUdYcSSLTEv9YCik/edit?usp=sharing"",""เบิกจ่ายกองทุน!BK17"")"),0)</f>
        <v>0</v>
      </c>
      <c r="R80" s="568">
        <f ca="1">IFERROR(__xludf.DUMMYFUNCTION("IMPORTRANGE(""https://docs.google.com/spreadsheets/d/1ItG2mGa2ceCfYo0BwxsXqNm01IGEUdYcSSLTEv9YCik/edit?usp=sharing"",""เบิกจ่ายกองทุน!BL17"")"),0)</f>
        <v>0</v>
      </c>
      <c r="S80" s="568">
        <f ca="1">IFERROR(__xludf.DUMMYFUNCTION("IMPORTRANGE(""https://docs.google.com/spreadsheets/d/1ItG2mGa2ceCfYo0BwxsXqNm01IGEUdYcSSLTEv9YCik/edit?usp=sharing"",""เบิกจ่ายกองทุน!BM17"")"),0)</f>
        <v>0</v>
      </c>
      <c r="T80" s="568">
        <f t="shared" ca="1" si="47"/>
        <v>0</v>
      </c>
      <c r="U80" s="568">
        <f t="shared" ca="1" si="48"/>
        <v>0</v>
      </c>
    </row>
    <row r="81" spans="1:21" ht="19.5" hidden="1" x14ac:dyDescent="0.3">
      <c r="A81" s="687"/>
      <c r="B81" s="688"/>
      <c r="C81" s="675" t="s">
        <v>18</v>
      </c>
      <c r="D81" s="689" t="s">
        <v>38</v>
      </c>
      <c r="E81" s="690"/>
      <c r="F81" s="690"/>
      <c r="G81" s="691"/>
      <c r="H81" s="692"/>
      <c r="I81" s="683"/>
      <c r="J81" s="683"/>
      <c r="K81" s="684"/>
      <c r="L81" s="693"/>
      <c r="M81" s="684"/>
      <c r="N81" s="684"/>
      <c r="O81" s="684"/>
      <c r="P81" s="684"/>
      <c r="Q81" s="684"/>
      <c r="R81" s="684"/>
      <c r="S81" s="684"/>
      <c r="T81" s="684"/>
      <c r="U81" s="684"/>
    </row>
    <row r="82" spans="1:21" ht="19.5" hidden="1" x14ac:dyDescent="0.3">
      <c r="A82" s="687"/>
      <c r="B82" s="688"/>
      <c r="C82" s="688"/>
      <c r="D82" s="694" t="s">
        <v>39</v>
      </c>
      <c r="E82" s="695"/>
      <c r="F82" s="695"/>
      <c r="G82" s="692"/>
      <c r="H82" s="696" t="s">
        <v>34</v>
      </c>
      <c r="I82" s="697">
        <f t="shared" ref="I82:J83" ca="1" si="55">I84+I86+I88</f>
        <v>0</v>
      </c>
      <c r="J82" s="697">
        <f t="shared" si="55"/>
        <v>0</v>
      </c>
      <c r="K82" s="698">
        <f t="shared" ref="K82:K90" ca="1" si="56">IF(I82&gt;0,J82*100/I82,0)</f>
        <v>0</v>
      </c>
      <c r="L82" s="693"/>
      <c r="M82" s="684"/>
      <c r="N82" s="684"/>
      <c r="O82" s="684"/>
      <c r="P82" s="684"/>
      <c r="Q82" s="684"/>
      <c r="R82" s="684"/>
      <c r="S82" s="684"/>
      <c r="T82" s="684"/>
      <c r="U82" s="684"/>
    </row>
    <row r="83" spans="1:21" ht="19.5" hidden="1" x14ac:dyDescent="0.3">
      <c r="A83" s="687"/>
      <c r="B83" s="688"/>
      <c r="C83" s="688"/>
      <c r="D83" s="688"/>
      <c r="E83" s="695"/>
      <c r="F83" s="695"/>
      <c r="G83" s="692"/>
      <c r="H83" s="696" t="s">
        <v>35</v>
      </c>
      <c r="I83" s="697">
        <f t="shared" ca="1" si="55"/>
        <v>0</v>
      </c>
      <c r="J83" s="697">
        <f t="shared" si="55"/>
        <v>0</v>
      </c>
      <c r="K83" s="698">
        <f t="shared" ca="1" si="56"/>
        <v>0</v>
      </c>
      <c r="L83" s="693"/>
      <c r="M83" s="684"/>
      <c r="N83" s="684"/>
      <c r="O83" s="684"/>
      <c r="P83" s="684"/>
      <c r="Q83" s="684"/>
      <c r="R83" s="684"/>
      <c r="S83" s="684"/>
      <c r="T83" s="684"/>
      <c r="U83" s="684"/>
    </row>
    <row r="84" spans="1:21" ht="18.75" hidden="1" x14ac:dyDescent="0.25">
      <c r="A84" s="687"/>
      <c r="B84" s="688"/>
      <c r="C84" s="688"/>
      <c r="D84" s="688"/>
      <c r="E84" s="699" t="s">
        <v>40</v>
      </c>
      <c r="F84" s="695"/>
      <c r="G84" s="692"/>
      <c r="H84" s="700" t="s">
        <v>34</v>
      </c>
      <c r="I84" s="701">
        <f ca="1">IFERROR(__xludf.DUMMYFUNCTION("IMPORTRANGE(""https://docs.google.com/spreadsheets/d/1eHaY18a8A9IcSdp1K8H6x8fbOy06t2VsZHhMHf-1x7Y/edit?usp=sharing"",""แผน!H17"")"),0)</f>
        <v>0</v>
      </c>
      <c r="J84" s="702">
        <v>0</v>
      </c>
      <c r="K84" s="703">
        <f t="shared" ca="1" si="56"/>
        <v>0</v>
      </c>
      <c r="L84" s="693"/>
      <c r="M84" s="684"/>
      <c r="N84" s="684"/>
      <c r="O84" s="684"/>
      <c r="P84" s="684"/>
      <c r="Q84" s="684"/>
      <c r="R84" s="684"/>
      <c r="S84" s="684"/>
      <c r="T84" s="684"/>
      <c r="U84" s="684"/>
    </row>
    <row r="85" spans="1:21" ht="18.75" hidden="1" x14ac:dyDescent="0.25">
      <c r="A85" s="687"/>
      <c r="B85" s="688"/>
      <c r="C85" s="688"/>
      <c r="D85" s="688"/>
      <c r="E85" s="695"/>
      <c r="F85" s="695"/>
      <c r="G85" s="692"/>
      <c r="H85" s="700" t="s">
        <v>35</v>
      </c>
      <c r="I85" s="701">
        <f ca="1">IFERROR(__xludf.DUMMYFUNCTION("IMPORTRANGE(""https://docs.google.com/spreadsheets/d/1eHaY18a8A9IcSdp1K8H6x8fbOy06t2VsZHhMHf-1x7Y/edit?usp=sharing"",""แผน!I17"")"),0)</f>
        <v>0</v>
      </c>
      <c r="J85" s="702">
        <v>0</v>
      </c>
      <c r="K85" s="703">
        <f t="shared" ca="1" si="56"/>
        <v>0</v>
      </c>
      <c r="L85" s="693"/>
      <c r="M85" s="684"/>
      <c r="N85" s="684"/>
      <c r="O85" s="684"/>
      <c r="P85" s="684"/>
      <c r="Q85" s="684"/>
      <c r="R85" s="684"/>
      <c r="S85" s="684"/>
      <c r="T85" s="684"/>
      <c r="U85" s="684"/>
    </row>
    <row r="86" spans="1:21" ht="18.75" hidden="1" x14ac:dyDescent="0.25">
      <c r="A86" s="687"/>
      <c r="B86" s="688"/>
      <c r="C86" s="688"/>
      <c r="D86" s="688"/>
      <c r="E86" s="699" t="s">
        <v>41</v>
      </c>
      <c r="F86" s="695"/>
      <c r="G86" s="692"/>
      <c r="H86" s="700" t="s">
        <v>34</v>
      </c>
      <c r="I86" s="701">
        <f ca="1">IFERROR(__xludf.DUMMYFUNCTION("IMPORTRANGE(""https://docs.google.com/spreadsheets/d/1eHaY18a8A9IcSdp1K8H6x8fbOy06t2VsZHhMHf-1x7Y/edit?usp=sharing"",""แผน!F17"")"),0)</f>
        <v>0</v>
      </c>
      <c r="J86" s="702">
        <v>0</v>
      </c>
      <c r="K86" s="703">
        <f t="shared" ca="1" si="56"/>
        <v>0</v>
      </c>
      <c r="L86" s="693"/>
      <c r="M86" s="684"/>
      <c r="N86" s="684"/>
      <c r="O86" s="684"/>
      <c r="P86" s="684"/>
      <c r="Q86" s="684"/>
      <c r="R86" s="684"/>
      <c r="S86" s="684"/>
      <c r="T86" s="684"/>
      <c r="U86" s="684"/>
    </row>
    <row r="87" spans="1:21" ht="18.75" hidden="1" x14ac:dyDescent="0.25">
      <c r="A87" s="687"/>
      <c r="B87" s="688"/>
      <c r="C87" s="688"/>
      <c r="D87" s="688"/>
      <c r="E87" s="695"/>
      <c r="F87" s="695"/>
      <c r="G87" s="692"/>
      <c r="H87" s="700" t="s">
        <v>35</v>
      </c>
      <c r="I87" s="701">
        <f ca="1">IFERROR(__xludf.DUMMYFUNCTION("IMPORTRANGE(""https://docs.google.com/spreadsheets/d/1eHaY18a8A9IcSdp1K8H6x8fbOy06t2VsZHhMHf-1x7Y/edit?usp=sharing"",""แผน!G17"")"),0)</f>
        <v>0</v>
      </c>
      <c r="J87" s="702">
        <v>0</v>
      </c>
      <c r="K87" s="703">
        <f t="shared" ca="1" si="56"/>
        <v>0</v>
      </c>
      <c r="L87" s="693"/>
      <c r="M87" s="684"/>
      <c r="N87" s="684"/>
      <c r="O87" s="684"/>
      <c r="P87" s="684"/>
      <c r="Q87" s="684"/>
      <c r="R87" s="684"/>
      <c r="S87" s="684"/>
      <c r="T87" s="684"/>
      <c r="U87" s="684"/>
    </row>
    <row r="88" spans="1:21" ht="18.75" hidden="1" x14ac:dyDescent="0.25">
      <c r="A88" s="687"/>
      <c r="B88" s="688"/>
      <c r="C88" s="688"/>
      <c r="D88" s="688"/>
      <c r="E88" s="699" t="s">
        <v>42</v>
      </c>
      <c r="F88" s="695"/>
      <c r="G88" s="692"/>
      <c r="H88" s="700" t="s">
        <v>34</v>
      </c>
      <c r="I88" s="701">
        <f ca="1">IFERROR(__xludf.DUMMYFUNCTION("IMPORTRANGE(""https://docs.google.com/spreadsheets/d/1eHaY18a8A9IcSdp1K8H6x8fbOy06t2VsZHhMHf-1x7Y/edit?usp=sharing"",""แผน!D17"")"),0)</f>
        <v>0</v>
      </c>
      <c r="J88" s="702">
        <v>0</v>
      </c>
      <c r="K88" s="703">
        <f t="shared" ca="1" si="56"/>
        <v>0</v>
      </c>
      <c r="L88" s="693"/>
      <c r="M88" s="684"/>
      <c r="N88" s="684"/>
      <c r="O88" s="684"/>
      <c r="P88" s="684"/>
      <c r="Q88" s="684"/>
      <c r="R88" s="684"/>
      <c r="S88" s="684"/>
      <c r="T88" s="684"/>
      <c r="U88" s="684"/>
    </row>
    <row r="89" spans="1:21" ht="18.75" hidden="1" x14ac:dyDescent="0.25">
      <c r="A89" s="687"/>
      <c r="B89" s="688"/>
      <c r="C89" s="688"/>
      <c r="D89" s="688"/>
      <c r="E89" s="695"/>
      <c r="F89" s="695"/>
      <c r="G89" s="692"/>
      <c r="H89" s="700" t="s">
        <v>35</v>
      </c>
      <c r="I89" s="701">
        <f ca="1">IFERROR(__xludf.DUMMYFUNCTION("IMPORTRANGE(""https://docs.google.com/spreadsheets/d/1eHaY18a8A9IcSdp1K8H6x8fbOy06t2VsZHhMHf-1x7Y/edit?usp=sharing"",""แผน!E17"")"),0)</f>
        <v>0</v>
      </c>
      <c r="J89" s="702">
        <v>0</v>
      </c>
      <c r="K89" s="703">
        <f t="shared" ca="1" si="56"/>
        <v>0</v>
      </c>
      <c r="L89" s="693"/>
      <c r="M89" s="684"/>
      <c r="N89" s="684"/>
      <c r="O89" s="684"/>
      <c r="P89" s="684"/>
      <c r="Q89" s="684"/>
      <c r="R89" s="684"/>
      <c r="S89" s="684"/>
      <c r="T89" s="684"/>
      <c r="U89" s="684"/>
    </row>
    <row r="90" spans="1:21" ht="18.75" hidden="1" x14ac:dyDescent="0.25">
      <c r="A90" s="687"/>
      <c r="B90" s="688"/>
      <c r="C90" s="688"/>
      <c r="D90" s="694" t="s">
        <v>43</v>
      </c>
      <c r="E90" s="695"/>
      <c r="F90" s="695"/>
      <c r="G90" s="692"/>
      <c r="H90" s="704" t="s">
        <v>34</v>
      </c>
      <c r="I90" s="701">
        <f ca="1">IFERROR(__xludf.DUMMYFUNCTION("IMPORTRANGE(""https://docs.google.com/spreadsheets/d/1eHaY18a8A9IcSdp1K8H6x8fbOy06t2VsZHhMHf-1x7Y/edit?usp=sharing"",""แผน!J17"")"),0)</f>
        <v>0</v>
      </c>
      <c r="J90" s="702">
        <v>0</v>
      </c>
      <c r="K90" s="703">
        <f t="shared" ca="1" si="56"/>
        <v>0</v>
      </c>
      <c r="L90" s="693"/>
      <c r="M90" s="684"/>
      <c r="N90" s="684"/>
      <c r="O90" s="684"/>
      <c r="P90" s="684"/>
      <c r="Q90" s="684"/>
      <c r="R90" s="684"/>
      <c r="S90" s="684"/>
      <c r="T90" s="684"/>
      <c r="U90" s="684"/>
    </row>
    <row r="91" spans="1:21" ht="19.5" hidden="1" x14ac:dyDescent="0.3">
      <c r="A91" s="662" t="s">
        <v>44</v>
      </c>
      <c r="B91" s="663"/>
      <c r="C91" s="664"/>
      <c r="D91" s="663"/>
      <c r="E91" s="663"/>
      <c r="F91" s="663"/>
      <c r="G91" s="665"/>
      <c r="H91" s="665"/>
      <c r="I91" s="666"/>
      <c r="J91" s="666"/>
      <c r="K91" s="667"/>
      <c r="L91" s="668"/>
      <c r="M91" s="667"/>
      <c r="N91" s="667"/>
      <c r="O91" s="667"/>
      <c r="P91" s="667"/>
      <c r="Q91" s="667"/>
      <c r="R91" s="667"/>
      <c r="S91" s="667"/>
      <c r="T91" s="667"/>
      <c r="U91" s="667"/>
    </row>
    <row r="92" spans="1:21" ht="19.5" hidden="1" x14ac:dyDescent="0.3">
      <c r="A92" s="669"/>
      <c r="B92" s="544" t="s">
        <v>45</v>
      </c>
      <c r="C92" s="543"/>
      <c r="D92" s="670"/>
      <c r="E92" s="543"/>
      <c r="F92" s="543"/>
      <c r="G92" s="546"/>
      <c r="H92" s="671" t="s">
        <v>46</v>
      </c>
      <c r="I92" s="672">
        <f t="shared" ref="I92:J93" ca="1" si="57">I108</f>
        <v>0</v>
      </c>
      <c r="J92" s="672">
        <f t="shared" si="57"/>
        <v>0</v>
      </c>
      <c r="K92" s="551">
        <f t="shared" ref="K92:K93" ca="1" si="58">IF(I92&gt;0,J92*100/I92,0)</f>
        <v>0</v>
      </c>
      <c r="L92" s="673"/>
      <c r="M92" s="549"/>
      <c r="N92" s="549"/>
      <c r="O92" s="549"/>
      <c r="P92" s="549"/>
      <c r="Q92" s="549"/>
      <c r="R92" s="549"/>
      <c r="S92" s="549"/>
      <c r="T92" s="549"/>
      <c r="U92" s="549"/>
    </row>
    <row r="93" spans="1:21" ht="19.5" hidden="1" x14ac:dyDescent="0.3">
      <c r="A93" s="669"/>
      <c r="B93" s="543"/>
      <c r="C93" s="543"/>
      <c r="D93" s="670"/>
      <c r="E93" s="543"/>
      <c r="F93" s="543"/>
      <c r="G93" s="546"/>
      <c r="H93" s="671" t="s">
        <v>35</v>
      </c>
      <c r="I93" s="672">
        <f t="shared" ca="1" si="57"/>
        <v>0</v>
      </c>
      <c r="J93" s="672">
        <f t="shared" si="57"/>
        <v>0</v>
      </c>
      <c r="K93" s="551">
        <f t="shared" ca="1" si="58"/>
        <v>0</v>
      </c>
      <c r="L93" s="673"/>
      <c r="M93" s="549"/>
      <c r="N93" s="549"/>
      <c r="O93" s="549"/>
      <c r="P93" s="549"/>
      <c r="Q93" s="549"/>
      <c r="R93" s="549"/>
      <c r="S93" s="549"/>
      <c r="T93" s="549"/>
      <c r="U93" s="549"/>
    </row>
    <row r="94" spans="1:21" ht="19.5" hidden="1" x14ac:dyDescent="0.3">
      <c r="A94" s="674"/>
      <c r="B94" s="561"/>
      <c r="C94" s="675" t="s">
        <v>18</v>
      </c>
      <c r="D94" s="676" t="s">
        <v>19</v>
      </c>
      <c r="E94" s="561"/>
      <c r="F94" s="561"/>
      <c r="G94" s="563"/>
      <c r="H94" s="677" t="s">
        <v>14</v>
      </c>
      <c r="I94" s="565"/>
      <c r="J94" s="565"/>
      <c r="K94" s="566"/>
      <c r="L94" s="678">
        <f t="shared" ref="L94:N94" ca="1" si="59">L95+L96</f>
        <v>0</v>
      </c>
      <c r="M94" s="679">
        <f t="shared" ca="1" si="59"/>
        <v>0</v>
      </c>
      <c r="N94" s="679">
        <f t="shared" ca="1" si="59"/>
        <v>0</v>
      </c>
      <c r="O94" s="679">
        <f t="shared" ref="O94:O102" ca="1" si="60">IF(L94&gt;0,N94*100/L94,0)</f>
        <v>0</v>
      </c>
      <c r="P94" s="679">
        <f t="shared" ref="P94:P102" ca="1" si="61">IF(M94&gt;0,N94*100/M94,0)</f>
        <v>0</v>
      </c>
      <c r="Q94" s="679">
        <f t="shared" ref="Q94:S94" ca="1" si="62">Q95+Q96</f>
        <v>0</v>
      </c>
      <c r="R94" s="679">
        <f t="shared" ca="1" si="62"/>
        <v>0</v>
      </c>
      <c r="S94" s="679">
        <f t="shared" ca="1" si="62"/>
        <v>0</v>
      </c>
      <c r="T94" s="679">
        <f t="shared" ref="T94:T102" ca="1" si="63">IF(Q94&gt;0,S94*100/Q94,0)</f>
        <v>0</v>
      </c>
      <c r="U94" s="679">
        <f t="shared" ref="U94:U102" ca="1" si="64">IF(R94&gt;0,S94*100/R94,0)</f>
        <v>0</v>
      </c>
    </row>
    <row r="95" spans="1:21" ht="18.75" hidden="1" x14ac:dyDescent="0.25">
      <c r="A95" s="674"/>
      <c r="B95" s="561"/>
      <c r="C95" s="561"/>
      <c r="D95" s="561"/>
      <c r="E95" s="569" t="s">
        <v>20</v>
      </c>
      <c r="F95" s="561"/>
      <c r="G95" s="563"/>
      <c r="H95" s="680" t="s">
        <v>14</v>
      </c>
      <c r="I95" s="565"/>
      <c r="J95" s="565"/>
      <c r="K95" s="566"/>
      <c r="L95" s="571">
        <f t="shared" ref="L95:N96" si="65">L98+L101</f>
        <v>0</v>
      </c>
      <c r="M95" s="572">
        <f t="shared" si="65"/>
        <v>0</v>
      </c>
      <c r="N95" s="572">
        <f t="shared" si="65"/>
        <v>0</v>
      </c>
      <c r="O95" s="572">
        <f t="shared" si="60"/>
        <v>0</v>
      </c>
      <c r="P95" s="572">
        <f t="shared" si="61"/>
        <v>0</v>
      </c>
      <c r="Q95" s="572">
        <f t="shared" ref="Q95:S96" si="66">Q98+Q101</f>
        <v>0</v>
      </c>
      <c r="R95" s="572">
        <f t="shared" si="66"/>
        <v>0</v>
      </c>
      <c r="S95" s="572">
        <f t="shared" si="66"/>
        <v>0</v>
      </c>
      <c r="T95" s="572">
        <f t="shared" si="63"/>
        <v>0</v>
      </c>
      <c r="U95" s="572">
        <f t="shared" si="64"/>
        <v>0</v>
      </c>
    </row>
    <row r="96" spans="1:21" ht="18.75" hidden="1" x14ac:dyDescent="0.25">
      <c r="A96" s="674"/>
      <c r="B96" s="561"/>
      <c r="C96" s="561"/>
      <c r="D96" s="561"/>
      <c r="E96" s="573" t="s">
        <v>21</v>
      </c>
      <c r="F96" s="561"/>
      <c r="G96" s="563"/>
      <c r="H96" s="681" t="s">
        <v>14</v>
      </c>
      <c r="I96" s="565"/>
      <c r="J96" s="565"/>
      <c r="K96" s="566"/>
      <c r="L96" s="567">
        <f t="shared" ca="1" si="65"/>
        <v>0</v>
      </c>
      <c r="M96" s="568">
        <f t="shared" ca="1" si="65"/>
        <v>0</v>
      </c>
      <c r="N96" s="568">
        <f t="shared" ca="1" si="65"/>
        <v>0</v>
      </c>
      <c r="O96" s="568">
        <f t="shared" ca="1" si="60"/>
        <v>0</v>
      </c>
      <c r="P96" s="568">
        <f t="shared" ca="1" si="61"/>
        <v>0</v>
      </c>
      <c r="Q96" s="568">
        <f t="shared" ca="1" si="66"/>
        <v>0</v>
      </c>
      <c r="R96" s="568">
        <f t="shared" ca="1" si="66"/>
        <v>0</v>
      </c>
      <c r="S96" s="568">
        <f t="shared" ca="1" si="66"/>
        <v>0</v>
      </c>
      <c r="T96" s="568">
        <f t="shared" ca="1" si="63"/>
        <v>0</v>
      </c>
      <c r="U96" s="568">
        <f t="shared" ca="1" si="64"/>
        <v>0</v>
      </c>
    </row>
    <row r="97" spans="1:21" ht="18.75" hidden="1" x14ac:dyDescent="0.25">
      <c r="A97" s="674"/>
      <c r="B97" s="561"/>
      <c r="C97" s="561"/>
      <c r="D97" s="562" t="s">
        <v>22</v>
      </c>
      <c r="E97" s="561"/>
      <c r="F97" s="561"/>
      <c r="G97" s="563"/>
      <c r="H97" s="682" t="s">
        <v>14</v>
      </c>
      <c r="I97" s="683"/>
      <c r="J97" s="683"/>
      <c r="K97" s="684"/>
      <c r="L97" s="567">
        <f t="shared" ref="L97:N97" ca="1" si="67">L98+L99</f>
        <v>0</v>
      </c>
      <c r="M97" s="568">
        <f t="shared" ca="1" si="67"/>
        <v>0</v>
      </c>
      <c r="N97" s="568">
        <f t="shared" ca="1" si="67"/>
        <v>0</v>
      </c>
      <c r="O97" s="568">
        <f t="shared" ca="1" si="60"/>
        <v>0</v>
      </c>
      <c r="P97" s="568">
        <f t="shared" ca="1" si="61"/>
        <v>0</v>
      </c>
      <c r="Q97" s="568">
        <f t="shared" ref="Q97:S97" ca="1" si="68">Q98+Q99</f>
        <v>0</v>
      </c>
      <c r="R97" s="568">
        <f t="shared" ca="1" si="68"/>
        <v>0</v>
      </c>
      <c r="S97" s="568">
        <f t="shared" ca="1" si="68"/>
        <v>0</v>
      </c>
      <c r="T97" s="568">
        <f t="shared" ca="1" si="63"/>
        <v>0</v>
      </c>
      <c r="U97" s="568">
        <f t="shared" ca="1" si="64"/>
        <v>0</v>
      </c>
    </row>
    <row r="98" spans="1:21" ht="18.75" hidden="1" x14ac:dyDescent="0.25">
      <c r="A98" s="674"/>
      <c r="B98" s="561"/>
      <c r="C98" s="561"/>
      <c r="D98" s="561"/>
      <c r="E98" s="569" t="s">
        <v>36</v>
      </c>
      <c r="F98" s="561"/>
      <c r="G98" s="563"/>
      <c r="H98" s="685" t="s">
        <v>14</v>
      </c>
      <c r="I98" s="683"/>
      <c r="J98" s="683"/>
      <c r="K98" s="684"/>
      <c r="L98" s="571">
        <v>0</v>
      </c>
      <c r="M98" s="572">
        <v>0</v>
      </c>
      <c r="N98" s="572">
        <v>0</v>
      </c>
      <c r="O98" s="572">
        <f t="shared" si="60"/>
        <v>0</v>
      </c>
      <c r="P98" s="572">
        <f t="shared" si="61"/>
        <v>0</v>
      </c>
      <c r="Q98" s="572">
        <v>0</v>
      </c>
      <c r="R98" s="572">
        <v>0</v>
      </c>
      <c r="S98" s="572">
        <v>0</v>
      </c>
      <c r="T98" s="572">
        <f t="shared" si="63"/>
        <v>0</v>
      </c>
      <c r="U98" s="572">
        <f t="shared" si="64"/>
        <v>0</v>
      </c>
    </row>
    <row r="99" spans="1:21" ht="18.75" hidden="1" x14ac:dyDescent="0.25">
      <c r="A99" s="674"/>
      <c r="B99" s="561"/>
      <c r="C99" s="561"/>
      <c r="D99" s="561"/>
      <c r="E99" s="573" t="s">
        <v>37</v>
      </c>
      <c r="F99" s="561"/>
      <c r="G99" s="563"/>
      <c r="H99" s="682" t="s">
        <v>14</v>
      </c>
      <c r="I99" s="683"/>
      <c r="J99" s="683"/>
      <c r="K99" s="684"/>
      <c r="L99" s="567">
        <f ca="1">IFERROR(__xludf.DUMMYFUNCTION("IMPORTRANGE(""https://docs.google.com/spreadsheets/d/1-uDff_7J0KD5mKrp0Vvzr7lt3OU09vwQwhkpOPPYv2Y/edit?usp=sharing"",""งบพรบ!AW17"")"),0)</f>
        <v>0</v>
      </c>
      <c r="M99" s="568">
        <f ca="1">IFERROR(__xludf.DUMMYFUNCTION("IMPORTRANGE(""https://docs.google.com/spreadsheets/d/1-uDff_7J0KD5mKrp0Vvzr7lt3OU09vwQwhkpOPPYv2Y/edit?usp=sharing"",""งบพรบ!BB17"")"),0)</f>
        <v>0</v>
      </c>
      <c r="N99" s="568">
        <f ca="1">IFERROR(__xludf.DUMMYFUNCTION("IMPORTRANGE(""https://docs.google.com/spreadsheets/d/1-uDff_7J0KD5mKrp0Vvzr7lt3OU09vwQwhkpOPPYv2Y/edit?usp=sharing"",""งบพรบ!BD17"")"),0)</f>
        <v>0</v>
      </c>
      <c r="O99" s="568">
        <f t="shared" ca="1" si="60"/>
        <v>0</v>
      </c>
      <c r="P99" s="568">
        <f t="shared" ca="1" si="61"/>
        <v>0</v>
      </c>
      <c r="Q99" s="568">
        <f ca="1">IFERROR(__xludf.DUMMYFUNCTION("IMPORTRANGE(""https://docs.google.com/spreadsheets/d/1ItG2mGa2ceCfYo0BwxsXqNm01IGEUdYcSSLTEv9YCik/edit?usp=sharing"",""เบิกจ่ายกองทุน!AJ17"")"),0)</f>
        <v>0</v>
      </c>
      <c r="R99" s="568">
        <f ca="1">IFERROR(__xludf.DUMMYFUNCTION("IMPORTRANGE(""https://docs.google.com/spreadsheets/d/1ItG2mGa2ceCfYo0BwxsXqNm01IGEUdYcSSLTEv9YCik/edit?usp=sharing"",""เบิกจ่ายกองทุน!AK17"")"),0)</f>
        <v>0</v>
      </c>
      <c r="S99" s="568">
        <f ca="1">IFERROR(__xludf.DUMMYFUNCTION("IMPORTRANGE(""https://docs.google.com/spreadsheets/d/1ItG2mGa2ceCfYo0BwxsXqNm01IGEUdYcSSLTEv9YCik/edit?usp=sharing"",""เบิกจ่ายกองทุน!AL17"")"),0)</f>
        <v>0</v>
      </c>
      <c r="T99" s="568">
        <f t="shared" ca="1" si="63"/>
        <v>0</v>
      </c>
      <c r="U99" s="568">
        <f t="shared" ca="1" si="64"/>
        <v>0</v>
      </c>
    </row>
    <row r="100" spans="1:21" ht="18.75" hidden="1" x14ac:dyDescent="0.25">
      <c r="A100" s="674"/>
      <c r="B100" s="561"/>
      <c r="C100" s="561"/>
      <c r="D100" s="562" t="s">
        <v>23</v>
      </c>
      <c r="E100" s="561"/>
      <c r="F100" s="561"/>
      <c r="G100" s="563"/>
      <c r="H100" s="686" t="s">
        <v>14</v>
      </c>
      <c r="I100" s="683"/>
      <c r="J100" s="683"/>
      <c r="K100" s="684"/>
      <c r="L100" s="567">
        <f t="shared" ref="L100:N100" ca="1" si="69">L101+L102</f>
        <v>0</v>
      </c>
      <c r="M100" s="568">
        <f t="shared" ca="1" si="69"/>
        <v>0</v>
      </c>
      <c r="N100" s="568">
        <f t="shared" ca="1" si="69"/>
        <v>0</v>
      </c>
      <c r="O100" s="568">
        <f t="shared" ca="1" si="60"/>
        <v>0</v>
      </c>
      <c r="P100" s="568">
        <f t="shared" ca="1" si="61"/>
        <v>0</v>
      </c>
      <c r="Q100" s="568">
        <f t="shared" ref="Q100:S100" si="70">Q101+Q102</f>
        <v>0</v>
      </c>
      <c r="R100" s="568">
        <f t="shared" si="70"/>
        <v>0</v>
      </c>
      <c r="S100" s="568">
        <f t="shared" si="70"/>
        <v>0</v>
      </c>
      <c r="T100" s="568">
        <f t="shared" si="63"/>
        <v>0</v>
      </c>
      <c r="U100" s="568">
        <f t="shared" si="64"/>
        <v>0</v>
      </c>
    </row>
    <row r="101" spans="1:21" ht="18.75" hidden="1" x14ac:dyDescent="0.25">
      <c r="A101" s="674"/>
      <c r="B101" s="561"/>
      <c r="C101" s="561"/>
      <c r="D101" s="561"/>
      <c r="E101" s="569" t="s">
        <v>20</v>
      </c>
      <c r="F101" s="561"/>
      <c r="G101" s="563"/>
      <c r="H101" s="685" t="s">
        <v>14</v>
      </c>
      <c r="I101" s="683"/>
      <c r="J101" s="683"/>
      <c r="K101" s="684"/>
      <c r="L101" s="571">
        <v>0</v>
      </c>
      <c r="M101" s="572">
        <v>0</v>
      </c>
      <c r="N101" s="572">
        <v>0</v>
      </c>
      <c r="O101" s="572">
        <f t="shared" si="60"/>
        <v>0</v>
      </c>
      <c r="P101" s="572">
        <f t="shared" si="61"/>
        <v>0</v>
      </c>
      <c r="Q101" s="572">
        <v>0</v>
      </c>
      <c r="R101" s="572">
        <v>0</v>
      </c>
      <c r="S101" s="572">
        <v>0</v>
      </c>
      <c r="T101" s="572">
        <f t="shared" si="63"/>
        <v>0</v>
      </c>
      <c r="U101" s="572">
        <f t="shared" si="64"/>
        <v>0</v>
      </c>
    </row>
    <row r="102" spans="1:21" ht="18.75" hidden="1" x14ac:dyDescent="0.25">
      <c r="A102" s="674"/>
      <c r="B102" s="561"/>
      <c r="C102" s="561"/>
      <c r="D102" s="561"/>
      <c r="E102" s="573" t="s">
        <v>21</v>
      </c>
      <c r="F102" s="561"/>
      <c r="G102" s="563"/>
      <c r="H102" s="686" t="s">
        <v>14</v>
      </c>
      <c r="I102" s="683"/>
      <c r="J102" s="683"/>
      <c r="K102" s="684"/>
      <c r="L102" s="567">
        <f ca="1">IFERROR(__xludf.DUMMYFUNCTION("IMPORTRANGE(""https://docs.google.com/spreadsheets/d/1-uDff_7J0KD5mKrp0Vvzr7lt3OU09vwQwhkpOPPYv2Y/edit?usp=sharing"",""งบพรบ!AZ17"")"),0)</f>
        <v>0</v>
      </c>
      <c r="M102" s="568">
        <f ca="1">IFERROR(__xludf.DUMMYFUNCTION("IMPORTRANGE(""https://docs.google.com/spreadsheets/d/1-uDff_7J0KD5mKrp0Vvzr7lt3OU09vwQwhkpOPPYv2Y/edit?usp=sharing"",""งบพรบ!BC17"")"),0)</f>
        <v>0</v>
      </c>
      <c r="N102" s="568">
        <f ca="1">IFERROR(__xludf.DUMMYFUNCTION("IMPORTRANGE(""https://docs.google.com/spreadsheets/d/1-uDff_7J0KD5mKrp0Vvzr7lt3OU09vwQwhkpOPPYv2Y/edit?usp=sharing"",""งบพรบ!BE17"")"),0)</f>
        <v>0</v>
      </c>
      <c r="O102" s="568">
        <f t="shared" ca="1" si="60"/>
        <v>0</v>
      </c>
      <c r="P102" s="568">
        <f t="shared" ca="1" si="61"/>
        <v>0</v>
      </c>
      <c r="Q102" s="568">
        <v>0</v>
      </c>
      <c r="R102" s="568">
        <v>0</v>
      </c>
      <c r="S102" s="568">
        <v>0</v>
      </c>
      <c r="T102" s="568">
        <f t="shared" si="63"/>
        <v>0</v>
      </c>
      <c r="U102" s="568">
        <f t="shared" si="64"/>
        <v>0</v>
      </c>
    </row>
    <row r="103" spans="1:21" ht="19.5" hidden="1" x14ac:dyDescent="0.3">
      <c r="A103" s="687"/>
      <c r="B103" s="688"/>
      <c r="C103" s="675" t="s">
        <v>18</v>
      </c>
      <c r="D103" s="689" t="s">
        <v>38</v>
      </c>
      <c r="E103" s="690"/>
      <c r="F103" s="690"/>
      <c r="G103" s="691"/>
      <c r="H103" s="692"/>
      <c r="I103" s="683"/>
      <c r="J103" s="565"/>
      <c r="K103" s="566"/>
      <c r="L103" s="574"/>
      <c r="M103" s="566"/>
      <c r="N103" s="566"/>
      <c r="O103" s="684"/>
      <c r="P103" s="684"/>
      <c r="Q103" s="566"/>
      <c r="R103" s="566"/>
      <c r="S103" s="566"/>
      <c r="T103" s="684"/>
      <c r="U103" s="684"/>
    </row>
    <row r="104" spans="1:21" ht="12.75" hidden="1" x14ac:dyDescent="0.2">
      <c r="A104" s="705"/>
      <c r="B104" s="706"/>
      <c r="C104" s="706"/>
      <c r="D104" s="531"/>
      <c r="E104" s="531"/>
      <c r="F104" s="531"/>
      <c r="G104" s="532"/>
      <c r="H104" s="532"/>
      <c r="I104" s="533"/>
      <c r="J104" s="533"/>
      <c r="K104" s="534"/>
      <c r="L104" s="535"/>
      <c r="M104" s="534"/>
      <c r="N104" s="534"/>
      <c r="O104" s="534"/>
      <c r="P104" s="534"/>
      <c r="Q104" s="534"/>
      <c r="R104" s="534"/>
      <c r="S104" s="534"/>
      <c r="T104" s="534"/>
      <c r="U104" s="534"/>
    </row>
    <row r="105" spans="1:21" ht="12.75" hidden="1" x14ac:dyDescent="0.2">
      <c r="A105" s="705"/>
      <c r="B105" s="706"/>
      <c r="C105" s="706"/>
      <c r="D105" s="531"/>
      <c r="E105" s="531"/>
      <c r="F105" s="531"/>
      <c r="G105" s="532"/>
      <c r="H105" s="532"/>
      <c r="I105" s="533"/>
      <c r="J105" s="533"/>
      <c r="K105" s="534"/>
      <c r="L105" s="535"/>
      <c r="M105" s="534"/>
      <c r="N105" s="534"/>
      <c r="O105" s="534"/>
      <c r="P105" s="534"/>
      <c r="Q105" s="534"/>
      <c r="R105" s="534"/>
      <c r="S105" s="534"/>
      <c r="T105" s="534"/>
      <c r="U105" s="534"/>
    </row>
    <row r="106" spans="1:21" ht="12.75" hidden="1" x14ac:dyDescent="0.2">
      <c r="A106" s="705"/>
      <c r="B106" s="706"/>
      <c r="C106" s="706"/>
      <c r="D106" s="706"/>
      <c r="E106" s="531"/>
      <c r="F106" s="531"/>
      <c r="G106" s="532"/>
      <c r="H106" s="532"/>
      <c r="I106" s="533"/>
      <c r="J106" s="533"/>
      <c r="K106" s="534"/>
      <c r="L106" s="535"/>
      <c r="M106" s="534"/>
      <c r="N106" s="534"/>
      <c r="O106" s="534"/>
      <c r="P106" s="534"/>
      <c r="Q106" s="534"/>
      <c r="R106" s="534"/>
      <c r="S106" s="534"/>
      <c r="T106" s="534"/>
      <c r="U106" s="534"/>
    </row>
    <row r="107" spans="1:21" ht="19.5" hidden="1" x14ac:dyDescent="0.3">
      <c r="A107" s="687"/>
      <c r="B107" s="688"/>
      <c r="C107" s="688"/>
      <c r="D107" s="707" t="s">
        <v>47</v>
      </c>
      <c r="E107" s="510"/>
      <c r="F107" s="695"/>
      <c r="G107" s="692"/>
      <c r="H107" s="563"/>
      <c r="I107" s="565"/>
      <c r="J107" s="565"/>
      <c r="K107" s="566"/>
      <c r="L107" s="574"/>
      <c r="M107" s="566"/>
      <c r="N107" s="566"/>
      <c r="O107" s="684"/>
      <c r="P107" s="684"/>
      <c r="Q107" s="566"/>
      <c r="R107" s="566"/>
      <c r="S107" s="566"/>
      <c r="T107" s="684"/>
      <c r="U107" s="684"/>
    </row>
    <row r="108" spans="1:21" ht="18.75" hidden="1" x14ac:dyDescent="0.25">
      <c r="A108" s="687"/>
      <c r="B108" s="688"/>
      <c r="C108" s="688"/>
      <c r="D108" s="699" t="s">
        <v>48</v>
      </c>
      <c r="E108" s="695"/>
      <c r="F108" s="695"/>
      <c r="G108" s="692"/>
      <c r="H108" s="564" t="s">
        <v>46</v>
      </c>
      <c r="I108" s="708">
        <f ca="1">IFERROR(__xludf.DUMMYFUNCTION("IMPORTRANGE(""https://docs.google.com/spreadsheets/d/1eHaY18a8A9IcSdp1K8H6x8fbOy06t2VsZHhMHf-1x7Y/edit?usp=sharing"",""แผน!N17"")"),0)</f>
        <v>0</v>
      </c>
      <c r="J108" s="702">
        <v>0</v>
      </c>
      <c r="K108" s="568">
        <f t="shared" ref="K108:K109" ca="1" si="71">IF(I108&gt;0,J108*100/I108,0)</f>
        <v>0</v>
      </c>
      <c r="L108" s="574"/>
      <c r="M108" s="566"/>
      <c r="N108" s="566"/>
      <c r="O108" s="684"/>
      <c r="P108" s="684"/>
      <c r="Q108" s="566"/>
      <c r="R108" s="566"/>
      <c r="S108" s="566"/>
      <c r="T108" s="684"/>
      <c r="U108" s="684"/>
    </row>
    <row r="109" spans="1:21" ht="18.75" hidden="1" x14ac:dyDescent="0.25">
      <c r="A109" s="687"/>
      <c r="B109" s="688"/>
      <c r="C109" s="688"/>
      <c r="D109" s="699" t="s">
        <v>49</v>
      </c>
      <c r="E109" s="695"/>
      <c r="F109" s="695"/>
      <c r="G109" s="692"/>
      <c r="H109" s="564" t="s">
        <v>35</v>
      </c>
      <c r="I109" s="708">
        <f ca="1">IFERROR(__xludf.DUMMYFUNCTION("IMPORTRANGE(""https://docs.google.com/spreadsheets/d/1eHaY18a8A9IcSdp1K8H6x8fbOy06t2VsZHhMHf-1x7Y/edit?usp=sharing"",""แผน!O17"")"),0)</f>
        <v>0</v>
      </c>
      <c r="J109" s="702">
        <v>0</v>
      </c>
      <c r="K109" s="568">
        <f t="shared" ca="1" si="71"/>
        <v>0</v>
      </c>
      <c r="L109" s="574"/>
      <c r="M109" s="566"/>
      <c r="N109" s="566"/>
      <c r="O109" s="684"/>
      <c r="P109" s="684"/>
      <c r="Q109" s="566"/>
      <c r="R109" s="566"/>
      <c r="S109" s="566"/>
      <c r="T109" s="684"/>
      <c r="U109" s="684"/>
    </row>
    <row r="110" spans="1:21" ht="12.75" hidden="1" x14ac:dyDescent="0.2">
      <c r="A110" s="705"/>
      <c r="B110" s="706"/>
      <c r="C110" s="706"/>
      <c r="D110" s="531"/>
      <c r="E110" s="531"/>
      <c r="F110" s="531"/>
      <c r="G110" s="532"/>
      <c r="H110" s="532"/>
      <c r="I110" s="533"/>
      <c r="J110" s="533"/>
      <c r="K110" s="534"/>
      <c r="L110" s="535"/>
      <c r="M110" s="534"/>
      <c r="N110" s="534"/>
      <c r="O110" s="534"/>
      <c r="P110" s="534"/>
      <c r="Q110" s="534"/>
      <c r="R110" s="534"/>
      <c r="S110" s="534"/>
      <c r="T110" s="534"/>
      <c r="U110" s="534"/>
    </row>
    <row r="111" spans="1:21" ht="12.75" hidden="1" x14ac:dyDescent="0.2">
      <c r="A111" s="705"/>
      <c r="B111" s="706"/>
      <c r="C111" s="706"/>
      <c r="D111" s="531"/>
      <c r="E111" s="531"/>
      <c r="F111" s="531"/>
      <c r="G111" s="532"/>
      <c r="H111" s="532"/>
      <c r="I111" s="533"/>
      <c r="J111" s="533"/>
      <c r="K111" s="534"/>
      <c r="L111" s="535"/>
      <c r="M111" s="534"/>
      <c r="N111" s="534"/>
      <c r="O111" s="534"/>
      <c r="P111" s="534"/>
      <c r="Q111" s="534"/>
      <c r="R111" s="534"/>
      <c r="S111" s="534"/>
      <c r="T111" s="534"/>
      <c r="U111" s="534"/>
    </row>
    <row r="112" spans="1:21" ht="12.75" hidden="1" x14ac:dyDescent="0.2">
      <c r="A112" s="705"/>
      <c r="B112" s="706"/>
      <c r="C112" s="706"/>
      <c r="D112" s="531"/>
      <c r="E112" s="531"/>
      <c r="F112" s="531"/>
      <c r="G112" s="532"/>
      <c r="H112" s="532"/>
      <c r="I112" s="533"/>
      <c r="J112" s="533"/>
      <c r="K112" s="534"/>
      <c r="L112" s="535"/>
      <c r="M112" s="534"/>
      <c r="N112" s="534"/>
      <c r="O112" s="534"/>
      <c r="P112" s="534"/>
      <c r="Q112" s="534"/>
      <c r="R112" s="534"/>
      <c r="S112" s="534"/>
      <c r="T112" s="534"/>
      <c r="U112" s="534"/>
    </row>
    <row r="113" spans="1:21" ht="12.75" hidden="1" x14ac:dyDescent="0.2">
      <c r="A113" s="705"/>
      <c r="B113" s="706"/>
      <c r="C113" s="706"/>
      <c r="D113" s="531"/>
      <c r="E113" s="531"/>
      <c r="F113" s="531"/>
      <c r="G113" s="532"/>
      <c r="H113" s="532"/>
      <c r="I113" s="533">
        <v>0</v>
      </c>
      <c r="J113" s="533">
        <v>0</v>
      </c>
      <c r="K113" s="534"/>
      <c r="L113" s="535"/>
      <c r="M113" s="534"/>
      <c r="N113" s="534"/>
      <c r="O113" s="534"/>
      <c r="P113" s="534"/>
      <c r="Q113" s="534"/>
      <c r="R113" s="534"/>
      <c r="S113" s="534"/>
      <c r="T113" s="534"/>
      <c r="U113" s="534"/>
    </row>
    <row r="114" spans="1:21" ht="18.75" hidden="1" x14ac:dyDescent="0.25">
      <c r="A114" s="687"/>
      <c r="B114" s="688"/>
      <c r="C114" s="688"/>
      <c r="D114" s="699" t="s">
        <v>50</v>
      </c>
      <c r="E114" s="695"/>
      <c r="F114" s="695"/>
      <c r="G114" s="692"/>
      <c r="H114" s="700" t="s">
        <v>35</v>
      </c>
      <c r="I114" s="701">
        <f ca="1">IFERROR(__xludf.DUMMYFUNCTION("IMPORTRANGE(""https://docs.google.com/spreadsheets/d/1eHaY18a8A9IcSdp1K8H6x8fbOy06t2VsZHhMHf-1x7Y/edit?usp=sharing"",""แผน!R17"")"),0)</f>
        <v>0</v>
      </c>
      <c r="J114" s="702">
        <v>0</v>
      </c>
      <c r="K114" s="568">
        <f ca="1">IF(I114&gt;0,J114*100/I114,0)</f>
        <v>0</v>
      </c>
      <c r="L114" s="574"/>
      <c r="M114" s="566"/>
      <c r="N114" s="566"/>
      <c r="O114" s="684"/>
      <c r="P114" s="684"/>
      <c r="Q114" s="566"/>
      <c r="R114" s="566"/>
      <c r="S114" s="566"/>
      <c r="T114" s="684"/>
      <c r="U114" s="684"/>
    </row>
    <row r="115" spans="1:21" ht="19.5" x14ac:dyDescent="0.3">
      <c r="A115" s="709" t="s">
        <v>51</v>
      </c>
      <c r="B115" s="710"/>
      <c r="C115" s="711"/>
      <c r="D115" s="712"/>
      <c r="E115" s="712"/>
      <c r="F115" s="712"/>
      <c r="G115" s="712"/>
      <c r="H115" s="710"/>
      <c r="I115" s="713"/>
      <c r="J115" s="713"/>
      <c r="K115" s="714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</row>
    <row r="116" spans="1:21" ht="19.5" x14ac:dyDescent="0.3">
      <c r="A116" s="669"/>
      <c r="B116" s="715" t="s">
        <v>52</v>
      </c>
      <c r="C116" s="716"/>
      <c r="D116" s="670"/>
      <c r="E116" s="543"/>
      <c r="F116" s="543"/>
      <c r="G116" s="546"/>
      <c r="H116" s="717" t="s">
        <v>35</v>
      </c>
      <c r="I116" s="672">
        <f t="shared" ref="I116:J116" ca="1" si="72">I127</f>
        <v>20</v>
      </c>
      <c r="J116" s="672">
        <f t="shared" si="72"/>
        <v>20</v>
      </c>
      <c r="K116" s="551">
        <f ca="1">IF(I116&gt;0,J116*100/I116,0)</f>
        <v>100</v>
      </c>
      <c r="L116" s="673"/>
      <c r="M116" s="549"/>
      <c r="N116" s="549"/>
      <c r="O116" s="549"/>
      <c r="P116" s="549"/>
      <c r="Q116" s="549"/>
      <c r="R116" s="549"/>
      <c r="S116" s="549"/>
      <c r="T116" s="549"/>
      <c r="U116" s="549"/>
    </row>
    <row r="117" spans="1:21" ht="19.5" x14ac:dyDescent="0.3">
      <c r="A117" s="674"/>
      <c r="B117" s="718"/>
      <c r="C117" s="719" t="s">
        <v>18</v>
      </c>
      <c r="D117" s="676" t="s">
        <v>19</v>
      </c>
      <c r="E117" s="561"/>
      <c r="F117" s="561"/>
      <c r="G117" s="563"/>
      <c r="H117" s="677" t="s">
        <v>14</v>
      </c>
      <c r="I117" s="565"/>
      <c r="J117" s="565"/>
      <c r="K117" s="566"/>
      <c r="L117" s="678">
        <f t="shared" ref="L117:N117" ca="1" si="73">L118+L119</f>
        <v>0</v>
      </c>
      <c r="M117" s="679">
        <f t="shared" ca="1" si="73"/>
        <v>0</v>
      </c>
      <c r="N117" s="679">
        <f t="shared" ca="1" si="73"/>
        <v>0</v>
      </c>
      <c r="O117" s="679">
        <f t="shared" ref="O117:O125" ca="1" si="74">IF(L117&gt;0,N117*100/L117,0)</f>
        <v>0</v>
      </c>
      <c r="P117" s="679">
        <f t="shared" ref="P117:P125" ca="1" si="75">IF(M117&gt;0,N117*100/M117,0)</f>
        <v>0</v>
      </c>
      <c r="Q117" s="679">
        <f t="shared" ref="Q117:S117" ca="1" si="76">Q118+Q119</f>
        <v>211520</v>
      </c>
      <c r="R117" s="679">
        <f t="shared" ca="1" si="76"/>
        <v>211520</v>
      </c>
      <c r="S117" s="679">
        <f t="shared" ca="1" si="76"/>
        <v>135903.14000000001</v>
      </c>
      <c r="T117" s="679">
        <f t="shared" ref="T117:T125" ca="1" si="77">IF(Q117&gt;0,S117*100/Q117,0)</f>
        <v>64.250728063540095</v>
      </c>
      <c r="U117" s="679">
        <f t="shared" ref="U117:U125" ca="1" si="78">IF(R117&gt;0,S117*100/R117,0)</f>
        <v>64.250728063540095</v>
      </c>
    </row>
    <row r="118" spans="1:21" ht="18.75" x14ac:dyDescent="0.25">
      <c r="A118" s="674"/>
      <c r="B118" s="718"/>
      <c r="C118" s="718"/>
      <c r="D118" s="718"/>
      <c r="E118" s="569" t="s">
        <v>20</v>
      </c>
      <c r="F118" s="561"/>
      <c r="G118" s="563"/>
      <c r="H118" s="680" t="s">
        <v>14</v>
      </c>
      <c r="I118" s="565"/>
      <c r="J118" s="565"/>
      <c r="K118" s="566"/>
      <c r="L118" s="571">
        <f t="shared" ref="L118:N119" si="79">L121+L124</f>
        <v>0</v>
      </c>
      <c r="M118" s="572">
        <f t="shared" si="79"/>
        <v>0</v>
      </c>
      <c r="N118" s="572">
        <f t="shared" si="79"/>
        <v>0</v>
      </c>
      <c r="O118" s="572">
        <f t="shared" si="74"/>
        <v>0</v>
      </c>
      <c r="P118" s="572">
        <f t="shared" si="75"/>
        <v>0</v>
      </c>
      <c r="Q118" s="572">
        <f t="shared" ref="Q118:S119" si="80">Q121+Q124</f>
        <v>0</v>
      </c>
      <c r="R118" s="572">
        <f t="shared" si="80"/>
        <v>0</v>
      </c>
      <c r="S118" s="572">
        <f t="shared" si="80"/>
        <v>0</v>
      </c>
      <c r="T118" s="572">
        <f t="shared" si="77"/>
        <v>0</v>
      </c>
      <c r="U118" s="572">
        <f t="shared" si="78"/>
        <v>0</v>
      </c>
    </row>
    <row r="119" spans="1:21" ht="18.75" x14ac:dyDescent="0.25">
      <c r="A119" s="674"/>
      <c r="B119" s="718"/>
      <c r="C119" s="718"/>
      <c r="D119" s="718"/>
      <c r="E119" s="573" t="s">
        <v>21</v>
      </c>
      <c r="F119" s="561"/>
      <c r="G119" s="563"/>
      <c r="H119" s="681" t="s">
        <v>14</v>
      </c>
      <c r="I119" s="565"/>
      <c r="J119" s="565"/>
      <c r="K119" s="566"/>
      <c r="L119" s="567">
        <f t="shared" ca="1" si="79"/>
        <v>0</v>
      </c>
      <c r="M119" s="568">
        <f t="shared" ca="1" si="79"/>
        <v>0</v>
      </c>
      <c r="N119" s="568">
        <f t="shared" ca="1" si="79"/>
        <v>0</v>
      </c>
      <c r="O119" s="568">
        <f t="shared" ca="1" si="74"/>
        <v>0</v>
      </c>
      <c r="P119" s="568">
        <f t="shared" ca="1" si="75"/>
        <v>0</v>
      </c>
      <c r="Q119" s="568">
        <f t="shared" ca="1" si="80"/>
        <v>211520</v>
      </c>
      <c r="R119" s="568">
        <f t="shared" ca="1" si="80"/>
        <v>211520</v>
      </c>
      <c r="S119" s="568">
        <f t="shared" ca="1" si="80"/>
        <v>135903.14000000001</v>
      </c>
      <c r="T119" s="568">
        <f t="shared" ca="1" si="77"/>
        <v>64.250728063540095</v>
      </c>
      <c r="U119" s="568">
        <f t="shared" ca="1" si="78"/>
        <v>64.250728063540095</v>
      </c>
    </row>
    <row r="120" spans="1:21" ht="18.75" x14ac:dyDescent="0.25">
      <c r="A120" s="674"/>
      <c r="B120" s="718"/>
      <c r="C120" s="720"/>
      <c r="D120" s="721" t="s">
        <v>22</v>
      </c>
      <c r="E120" s="561"/>
      <c r="F120" s="561"/>
      <c r="G120" s="563"/>
      <c r="H120" s="722" t="s">
        <v>14</v>
      </c>
      <c r="I120" s="565"/>
      <c r="J120" s="565"/>
      <c r="K120" s="566"/>
      <c r="L120" s="567">
        <f t="shared" ref="L120:N120" ca="1" si="81">L121+L122</f>
        <v>0</v>
      </c>
      <c r="M120" s="568">
        <f t="shared" ca="1" si="81"/>
        <v>0</v>
      </c>
      <c r="N120" s="568">
        <f t="shared" ca="1" si="81"/>
        <v>0</v>
      </c>
      <c r="O120" s="568">
        <f t="shared" ca="1" si="74"/>
        <v>0</v>
      </c>
      <c r="P120" s="568">
        <f t="shared" ca="1" si="75"/>
        <v>0</v>
      </c>
      <c r="Q120" s="568">
        <f t="shared" ref="Q120:S120" ca="1" si="82">Q121+Q122</f>
        <v>211520</v>
      </c>
      <c r="R120" s="568">
        <f t="shared" ca="1" si="82"/>
        <v>211520</v>
      </c>
      <c r="S120" s="568">
        <f t="shared" ca="1" si="82"/>
        <v>135903.14000000001</v>
      </c>
      <c r="T120" s="568">
        <f t="shared" ca="1" si="77"/>
        <v>64.250728063540095</v>
      </c>
      <c r="U120" s="568">
        <f t="shared" ca="1" si="78"/>
        <v>64.250728063540095</v>
      </c>
    </row>
    <row r="121" spans="1:21" ht="18.75" x14ac:dyDescent="0.25">
      <c r="A121" s="674"/>
      <c r="B121" s="718"/>
      <c r="C121" s="720"/>
      <c r="D121" s="718"/>
      <c r="E121" s="569" t="s">
        <v>36</v>
      </c>
      <c r="F121" s="561"/>
      <c r="G121" s="563"/>
      <c r="H121" s="723" t="s">
        <v>14</v>
      </c>
      <c r="I121" s="565"/>
      <c r="J121" s="565"/>
      <c r="K121" s="566"/>
      <c r="L121" s="571">
        <v>0</v>
      </c>
      <c r="M121" s="572">
        <v>0</v>
      </c>
      <c r="N121" s="572">
        <v>0</v>
      </c>
      <c r="O121" s="572">
        <f t="shared" si="74"/>
        <v>0</v>
      </c>
      <c r="P121" s="572">
        <f t="shared" si="75"/>
        <v>0</v>
      </c>
      <c r="Q121" s="572">
        <v>0</v>
      </c>
      <c r="R121" s="572">
        <v>0</v>
      </c>
      <c r="S121" s="572">
        <v>0</v>
      </c>
      <c r="T121" s="572">
        <f t="shared" si="77"/>
        <v>0</v>
      </c>
      <c r="U121" s="572">
        <f t="shared" si="78"/>
        <v>0</v>
      </c>
    </row>
    <row r="122" spans="1:21" ht="18.75" x14ac:dyDescent="0.25">
      <c r="A122" s="674"/>
      <c r="B122" s="718"/>
      <c r="C122" s="720"/>
      <c r="D122" s="718"/>
      <c r="E122" s="573" t="s">
        <v>37</v>
      </c>
      <c r="F122" s="561"/>
      <c r="G122" s="563"/>
      <c r="H122" s="722" t="s">
        <v>14</v>
      </c>
      <c r="I122" s="565"/>
      <c r="J122" s="565"/>
      <c r="K122" s="566"/>
      <c r="L122" s="567">
        <f ca="1">IFERROR(__xludf.DUMMYFUNCTION("IMPORTRANGE(""https://docs.google.com/spreadsheets/d/1-uDff_7J0KD5mKrp0Vvzr7lt3OU09vwQwhkpOPPYv2Y/edit?usp=sharing"",""งบพรบ!BG17"")"),0)</f>
        <v>0</v>
      </c>
      <c r="M122" s="568">
        <f ca="1">IFERROR(__xludf.DUMMYFUNCTION("IMPORTRANGE(""https://docs.google.com/spreadsheets/d/1-uDff_7J0KD5mKrp0Vvzr7lt3OU09vwQwhkpOPPYv2Y/edit?usp=sharing"",""งบพรบ!BL17"")"),0)</f>
        <v>0</v>
      </c>
      <c r="N122" s="568">
        <f ca="1">IFERROR(__xludf.DUMMYFUNCTION("IMPORTRANGE(""https://docs.google.com/spreadsheets/d/1-uDff_7J0KD5mKrp0Vvzr7lt3OU09vwQwhkpOPPYv2Y/edit?usp=sharing"",""งบพรบ!BN17"")"),0)</f>
        <v>0</v>
      </c>
      <c r="O122" s="568">
        <f t="shared" ca="1" si="74"/>
        <v>0</v>
      </c>
      <c r="P122" s="568">
        <f t="shared" ca="1" si="75"/>
        <v>0</v>
      </c>
      <c r="Q122" s="568">
        <f ca="1">IFERROR(__xludf.DUMMYFUNCTION("IMPORTRANGE(""https://docs.google.com/spreadsheets/d/1ItG2mGa2ceCfYo0BwxsXqNm01IGEUdYcSSLTEv9YCik/edit?usp=sharing"",""เบิกจ่ายกองทุน!U17"")"),211520)</f>
        <v>211520</v>
      </c>
      <c r="R122" s="568">
        <f ca="1">IFERROR(__xludf.DUMMYFUNCTION("IMPORTRANGE(""https://docs.google.com/spreadsheets/d/1ItG2mGa2ceCfYo0BwxsXqNm01IGEUdYcSSLTEv9YCik/edit?usp=sharing"",""เบิกจ่ายกองทุน!V17"")"),211520)</f>
        <v>211520</v>
      </c>
      <c r="S122" s="568">
        <f ca="1">IFERROR(__xludf.DUMMYFUNCTION("IMPORTRANGE(""https://docs.google.com/spreadsheets/d/1ItG2mGa2ceCfYo0BwxsXqNm01IGEUdYcSSLTEv9YCik/edit?usp=sharing"",""เบิกจ่ายกองทุน!W17"")"),135903.14)</f>
        <v>135903.14000000001</v>
      </c>
      <c r="T122" s="568">
        <f t="shared" ca="1" si="77"/>
        <v>64.250728063540095</v>
      </c>
      <c r="U122" s="568">
        <f t="shared" ca="1" si="78"/>
        <v>64.250728063540095</v>
      </c>
    </row>
    <row r="123" spans="1:21" ht="18.75" x14ac:dyDescent="0.25">
      <c r="A123" s="674"/>
      <c r="B123" s="561"/>
      <c r="C123" s="720"/>
      <c r="D123" s="721" t="s">
        <v>23</v>
      </c>
      <c r="E123" s="561"/>
      <c r="F123" s="561"/>
      <c r="G123" s="563"/>
      <c r="H123" s="681" t="s">
        <v>14</v>
      </c>
      <c r="I123" s="565"/>
      <c r="J123" s="565"/>
      <c r="K123" s="566"/>
      <c r="L123" s="567">
        <f t="shared" ref="L123:N123" ca="1" si="83">L124+L125</f>
        <v>0</v>
      </c>
      <c r="M123" s="568">
        <f t="shared" ca="1" si="83"/>
        <v>0</v>
      </c>
      <c r="N123" s="568">
        <f t="shared" ca="1" si="83"/>
        <v>0</v>
      </c>
      <c r="O123" s="568">
        <f t="shared" ca="1" si="74"/>
        <v>0</v>
      </c>
      <c r="P123" s="568">
        <f t="shared" ca="1" si="75"/>
        <v>0</v>
      </c>
      <c r="Q123" s="568">
        <f t="shared" ref="Q123:S123" ca="1" si="84">Q124+Q125</f>
        <v>0</v>
      </c>
      <c r="R123" s="568">
        <f t="shared" ca="1" si="84"/>
        <v>0</v>
      </c>
      <c r="S123" s="568">
        <f t="shared" ca="1" si="84"/>
        <v>0</v>
      </c>
      <c r="T123" s="568">
        <f t="shared" ca="1" si="77"/>
        <v>0</v>
      </c>
      <c r="U123" s="568">
        <f t="shared" ca="1" si="78"/>
        <v>0</v>
      </c>
    </row>
    <row r="124" spans="1:21" ht="18.75" x14ac:dyDescent="0.25">
      <c r="A124" s="674"/>
      <c r="B124" s="561"/>
      <c r="C124" s="720"/>
      <c r="D124" s="718"/>
      <c r="E124" s="569" t="s">
        <v>20</v>
      </c>
      <c r="F124" s="561"/>
      <c r="G124" s="563"/>
      <c r="H124" s="723" t="s">
        <v>14</v>
      </c>
      <c r="I124" s="565"/>
      <c r="J124" s="565"/>
      <c r="K124" s="566"/>
      <c r="L124" s="571">
        <v>0</v>
      </c>
      <c r="M124" s="572">
        <v>0</v>
      </c>
      <c r="N124" s="572">
        <v>0</v>
      </c>
      <c r="O124" s="572">
        <f t="shared" si="74"/>
        <v>0</v>
      </c>
      <c r="P124" s="572">
        <f t="shared" si="75"/>
        <v>0</v>
      </c>
      <c r="Q124" s="572">
        <v>0</v>
      </c>
      <c r="R124" s="572">
        <v>0</v>
      </c>
      <c r="S124" s="572">
        <v>0</v>
      </c>
      <c r="T124" s="572">
        <f t="shared" si="77"/>
        <v>0</v>
      </c>
      <c r="U124" s="572">
        <f t="shared" si="78"/>
        <v>0</v>
      </c>
    </row>
    <row r="125" spans="1:21" ht="18.75" x14ac:dyDescent="0.25">
      <c r="A125" s="674"/>
      <c r="B125" s="561"/>
      <c r="C125" s="561"/>
      <c r="D125" s="561"/>
      <c r="E125" s="573" t="s">
        <v>21</v>
      </c>
      <c r="F125" s="561"/>
      <c r="G125" s="563"/>
      <c r="H125" s="681" t="s">
        <v>14</v>
      </c>
      <c r="I125" s="565"/>
      <c r="J125" s="565"/>
      <c r="K125" s="566"/>
      <c r="L125" s="567">
        <f ca="1">IFERROR(__xludf.DUMMYFUNCTION("IMPORTRANGE(""https://docs.google.com/spreadsheets/d/1-uDff_7J0KD5mKrp0Vvzr7lt3OU09vwQwhkpOPPYv2Y/edit?usp=sharing"",""งบพรบ!BJ17"")"),0)</f>
        <v>0</v>
      </c>
      <c r="M125" s="568">
        <f ca="1">IFERROR(__xludf.DUMMYFUNCTION("IMPORTRANGE(""https://docs.google.com/spreadsheets/d/1-uDff_7J0KD5mKrp0Vvzr7lt3OU09vwQwhkpOPPYv2Y/edit?usp=sharing"",""งบพรบ!BM17"")"),0)</f>
        <v>0</v>
      </c>
      <c r="N125" s="568">
        <f ca="1">IFERROR(__xludf.DUMMYFUNCTION("IMPORTRANGE(""https://docs.google.com/spreadsheets/d/1-uDff_7J0KD5mKrp0Vvzr7lt3OU09vwQwhkpOPPYv2Y/edit?usp=sharing"",""งบพรบ!BO17"")"),0)</f>
        <v>0</v>
      </c>
      <c r="O125" s="568">
        <f t="shared" ca="1" si="74"/>
        <v>0</v>
      </c>
      <c r="P125" s="568">
        <f t="shared" ca="1" si="75"/>
        <v>0</v>
      </c>
      <c r="Q125" s="568">
        <f ca="1">IFERROR(__xludf.DUMMYFUNCTION("IMPORTRANGE(""https://docs.google.com/spreadsheets/d/1ItG2mGa2ceCfYo0BwxsXqNm01IGEUdYcSSLTEv9YCik/edit?usp=sharing"",""เบิกจ่ายกองทุน!X17"")"),0)</f>
        <v>0</v>
      </c>
      <c r="R125" s="568">
        <f ca="1">IFERROR(__xludf.DUMMYFUNCTION("IMPORTRANGE(""https://docs.google.com/spreadsheets/d/1ItG2mGa2ceCfYo0BwxsXqNm01IGEUdYcSSLTEv9YCik/edit?usp=sharing"",""เบิกจ่ายกองทุน!Y17"")"),0)</f>
        <v>0</v>
      </c>
      <c r="S125" s="568">
        <f ca="1">IFERROR(__xludf.DUMMYFUNCTION("IMPORTRANGE(""https://docs.google.com/spreadsheets/d/1ItG2mGa2ceCfYo0BwxsXqNm01IGEUdYcSSLTEv9YCik/edit?usp=sharing"",""เบิกจ่ายกองทุน!Z17"")"),0)</f>
        <v>0</v>
      </c>
      <c r="T125" s="568">
        <f t="shared" ca="1" si="77"/>
        <v>0</v>
      </c>
      <c r="U125" s="568">
        <f t="shared" ca="1" si="78"/>
        <v>0</v>
      </c>
    </row>
    <row r="126" spans="1:21" ht="19.5" x14ac:dyDescent="0.3">
      <c r="A126" s="687"/>
      <c r="B126" s="688"/>
      <c r="C126" s="724" t="s">
        <v>18</v>
      </c>
      <c r="D126" s="689" t="s">
        <v>38</v>
      </c>
      <c r="E126" s="690"/>
      <c r="F126" s="690"/>
      <c r="G126" s="691"/>
      <c r="H126" s="725"/>
      <c r="I126" s="565"/>
      <c r="J126" s="565"/>
      <c r="K126" s="566"/>
      <c r="L126" s="574"/>
      <c r="M126" s="566"/>
      <c r="N126" s="566"/>
      <c r="O126" s="566"/>
      <c r="P126" s="566"/>
      <c r="Q126" s="566"/>
      <c r="R126" s="566"/>
      <c r="S126" s="566"/>
      <c r="T126" s="566"/>
      <c r="U126" s="566"/>
    </row>
    <row r="127" spans="1:21" ht="18.75" x14ac:dyDescent="0.25">
      <c r="A127" s="687"/>
      <c r="B127" s="688"/>
      <c r="C127" s="688"/>
      <c r="D127" s="699" t="s">
        <v>53</v>
      </c>
      <c r="E127" s="695"/>
      <c r="F127" s="695"/>
      <c r="G127" s="692"/>
      <c r="H127" s="681" t="s">
        <v>35</v>
      </c>
      <c r="I127" s="708">
        <f ca="1">IFERROR(__xludf.DUMMYFUNCTION("IMPORTRANGE(""https://docs.google.com/spreadsheets/d/1eHaY18a8A9IcSdp1K8H6x8fbOy06t2VsZHhMHf-1x7Y/edit?usp=sharing"",""แผน!FF17"")"),20)</f>
        <v>20</v>
      </c>
      <c r="J127" s="702">
        <v>20</v>
      </c>
      <c r="K127" s="568">
        <f t="shared" ref="K127:K130" ca="1" si="85">IF(I127&gt;0,J127*100/I127,0)</f>
        <v>100</v>
      </c>
      <c r="L127" s="574"/>
      <c r="M127" s="566"/>
      <c r="N127" s="566"/>
      <c r="O127" s="566"/>
      <c r="P127" s="566"/>
      <c r="Q127" s="566"/>
      <c r="R127" s="566"/>
      <c r="S127" s="566"/>
      <c r="T127" s="566"/>
      <c r="U127" s="566"/>
    </row>
    <row r="128" spans="1:21" ht="18.75" x14ac:dyDescent="0.25">
      <c r="A128" s="687"/>
      <c r="B128" s="688"/>
      <c r="C128" s="688"/>
      <c r="D128" s="695"/>
      <c r="E128" s="695"/>
      <c r="F128" s="695"/>
      <c r="G128" s="692"/>
      <c r="H128" s="681" t="s">
        <v>54</v>
      </c>
      <c r="I128" s="708">
        <f ca="1">IFERROR(__xludf.DUMMYFUNCTION("IMPORTRANGE(""https://docs.google.com/spreadsheets/d/1eHaY18a8A9IcSdp1K8H6x8fbOy06t2VsZHhMHf-1x7Y/edit?usp=sharing"",""แผน!FG17"")"),0)</f>
        <v>0</v>
      </c>
      <c r="J128" s="702">
        <v>2</v>
      </c>
      <c r="K128" s="568">
        <f t="shared" ca="1" si="85"/>
        <v>0</v>
      </c>
      <c r="L128" s="574"/>
      <c r="M128" s="566"/>
      <c r="N128" s="566"/>
      <c r="O128" s="566"/>
      <c r="P128" s="566"/>
      <c r="Q128" s="566"/>
      <c r="R128" s="566"/>
      <c r="S128" s="566"/>
      <c r="T128" s="566"/>
      <c r="U128" s="566"/>
    </row>
    <row r="129" spans="1:21" ht="18.75" x14ac:dyDescent="0.25">
      <c r="A129" s="687"/>
      <c r="B129" s="688"/>
      <c r="C129" s="688"/>
      <c r="D129" s="699" t="s">
        <v>55</v>
      </c>
      <c r="E129" s="695"/>
      <c r="F129" s="695"/>
      <c r="G129" s="692"/>
      <c r="H129" s="681" t="s">
        <v>35</v>
      </c>
      <c r="I129" s="708">
        <f ca="1">IFERROR(__xludf.DUMMYFUNCTION("IMPORTRANGE(""https://docs.google.com/spreadsheets/d/1eHaY18a8A9IcSdp1K8H6x8fbOy06t2VsZHhMHf-1x7Y/edit?usp=sharing"",""แผน!FH17"")"),20)</f>
        <v>20</v>
      </c>
      <c r="J129" s="702">
        <v>20</v>
      </c>
      <c r="K129" s="568">
        <f t="shared" ca="1" si="85"/>
        <v>100</v>
      </c>
      <c r="L129" s="574"/>
      <c r="M129" s="566"/>
      <c r="N129" s="566"/>
      <c r="O129" s="566"/>
      <c r="P129" s="566"/>
      <c r="Q129" s="566"/>
      <c r="R129" s="566"/>
      <c r="S129" s="566"/>
      <c r="T129" s="566"/>
      <c r="U129" s="566"/>
    </row>
    <row r="130" spans="1:21" ht="18.75" x14ac:dyDescent="0.25">
      <c r="A130" s="687"/>
      <c r="B130" s="688"/>
      <c r="C130" s="688"/>
      <c r="D130" s="695"/>
      <c r="E130" s="695"/>
      <c r="F130" s="695"/>
      <c r="G130" s="692"/>
      <c r="H130" s="681" t="s">
        <v>54</v>
      </c>
      <c r="I130" s="708">
        <f ca="1">IFERROR(__xludf.DUMMYFUNCTION("IMPORTRANGE(""https://docs.google.com/spreadsheets/d/1eHaY18a8A9IcSdp1K8H6x8fbOy06t2VsZHhMHf-1x7Y/edit?usp=sharing"",""แผน!FI17"")"),0)</f>
        <v>0</v>
      </c>
      <c r="J130" s="702">
        <v>2</v>
      </c>
      <c r="K130" s="568">
        <f t="shared" ca="1" si="85"/>
        <v>0</v>
      </c>
      <c r="L130" s="574"/>
      <c r="M130" s="566"/>
      <c r="N130" s="566"/>
      <c r="O130" s="566"/>
      <c r="P130" s="566"/>
      <c r="Q130" s="566"/>
      <c r="R130" s="566"/>
      <c r="S130" s="566"/>
      <c r="T130" s="566"/>
      <c r="U130" s="566"/>
    </row>
    <row r="131" spans="1:21" ht="18.75" hidden="1" x14ac:dyDescent="0.25">
      <c r="A131" s="687"/>
      <c r="B131" s="688"/>
      <c r="C131" s="688"/>
      <c r="D131" s="726" t="s">
        <v>56</v>
      </c>
      <c r="E131" s="695"/>
      <c r="F131" s="695"/>
      <c r="G131" s="692"/>
      <c r="H131" s="680" t="s">
        <v>35</v>
      </c>
      <c r="I131" s="565"/>
      <c r="J131" s="565"/>
      <c r="K131" s="566"/>
      <c r="L131" s="574"/>
      <c r="M131" s="566"/>
      <c r="N131" s="566"/>
      <c r="O131" s="566"/>
      <c r="P131" s="566"/>
      <c r="Q131" s="566"/>
      <c r="R131" s="566"/>
      <c r="S131" s="566"/>
      <c r="T131" s="566"/>
      <c r="U131" s="566"/>
    </row>
    <row r="132" spans="1:21" ht="18.75" hidden="1" x14ac:dyDescent="0.25">
      <c r="A132" s="687"/>
      <c r="B132" s="688"/>
      <c r="C132" s="688"/>
      <c r="D132" s="726" t="s">
        <v>57</v>
      </c>
      <c r="E132" s="695"/>
      <c r="F132" s="695"/>
      <c r="G132" s="692"/>
      <c r="H132" s="727"/>
      <c r="I132" s="565"/>
      <c r="J132" s="565"/>
      <c r="K132" s="566"/>
      <c r="L132" s="574"/>
      <c r="M132" s="566"/>
      <c r="N132" s="566"/>
      <c r="O132" s="566"/>
      <c r="P132" s="566"/>
      <c r="Q132" s="566"/>
      <c r="R132" s="566"/>
      <c r="S132" s="566"/>
      <c r="T132" s="566"/>
      <c r="U132" s="566"/>
    </row>
    <row r="133" spans="1:21" ht="12.75" hidden="1" x14ac:dyDescent="0.2">
      <c r="A133" s="705"/>
      <c r="B133" s="706"/>
      <c r="C133" s="706"/>
      <c r="D133" s="531"/>
      <c r="E133" s="531"/>
      <c r="F133" s="531"/>
      <c r="G133" s="532"/>
      <c r="H133" s="728"/>
      <c r="I133" s="533"/>
      <c r="J133" s="533"/>
      <c r="K133" s="534"/>
      <c r="L133" s="535"/>
      <c r="M133" s="534"/>
      <c r="N133" s="534"/>
      <c r="O133" s="534"/>
      <c r="P133" s="534"/>
      <c r="Q133" s="534"/>
      <c r="R133" s="534"/>
      <c r="S133" s="534"/>
      <c r="T133" s="534"/>
      <c r="U133" s="534"/>
    </row>
    <row r="134" spans="1:21" ht="19.5" x14ac:dyDescent="0.3">
      <c r="A134" s="662" t="s">
        <v>58</v>
      </c>
      <c r="B134" s="663"/>
      <c r="C134" s="729"/>
      <c r="D134" s="663"/>
      <c r="E134" s="663"/>
      <c r="F134" s="663"/>
      <c r="G134" s="663"/>
      <c r="H134" s="663"/>
      <c r="I134" s="730"/>
      <c r="J134" s="730"/>
      <c r="K134" s="731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</row>
    <row r="135" spans="1:21" ht="19.5" x14ac:dyDescent="0.3">
      <c r="A135" s="669"/>
      <c r="B135" s="544" t="s">
        <v>59</v>
      </c>
      <c r="C135" s="716"/>
      <c r="D135" s="670"/>
      <c r="E135" s="543"/>
      <c r="F135" s="543"/>
      <c r="G135" s="543"/>
      <c r="H135" s="543"/>
      <c r="I135" s="732"/>
      <c r="J135" s="548"/>
      <c r="K135" s="549"/>
      <c r="L135" s="673"/>
      <c r="M135" s="549"/>
      <c r="N135" s="549"/>
      <c r="O135" s="549"/>
      <c r="P135" s="549"/>
      <c r="Q135" s="549"/>
      <c r="R135" s="549"/>
      <c r="S135" s="549"/>
      <c r="T135" s="549"/>
      <c r="U135" s="549"/>
    </row>
    <row r="136" spans="1:21" ht="19.5" x14ac:dyDescent="0.3">
      <c r="A136" s="669"/>
      <c r="B136" s="543"/>
      <c r="C136" s="733" t="s">
        <v>60</v>
      </c>
      <c r="D136" s="670"/>
      <c r="E136" s="543"/>
      <c r="F136" s="543"/>
      <c r="G136" s="546"/>
      <c r="H136" s="671" t="s">
        <v>61</v>
      </c>
      <c r="I136" s="672">
        <f t="shared" ref="I136:J136" ca="1" si="86">I154</f>
        <v>0</v>
      </c>
      <c r="J136" s="672">
        <f t="shared" si="86"/>
        <v>0</v>
      </c>
      <c r="K136" s="551">
        <f t="shared" ref="K136:K138" ca="1" si="87">IF(I136&gt;0,J136*100/I136,0)</f>
        <v>0</v>
      </c>
      <c r="L136" s="673"/>
      <c r="M136" s="549"/>
      <c r="N136" s="549"/>
      <c r="O136" s="549"/>
      <c r="P136" s="549"/>
      <c r="Q136" s="549"/>
      <c r="R136" s="549"/>
      <c r="S136" s="549"/>
      <c r="T136" s="549"/>
      <c r="U136" s="549"/>
    </row>
    <row r="137" spans="1:21" ht="19.5" x14ac:dyDescent="0.3">
      <c r="A137" s="669"/>
      <c r="B137" s="543"/>
      <c r="C137" s="733" t="s">
        <v>62</v>
      </c>
      <c r="D137" s="670"/>
      <c r="E137" s="543"/>
      <c r="F137" s="543"/>
      <c r="G137" s="546"/>
      <c r="H137" s="671" t="s">
        <v>35</v>
      </c>
      <c r="I137" s="672">
        <f t="shared" ref="I137:J138" ca="1" si="88">I152</f>
        <v>20</v>
      </c>
      <c r="J137" s="672">
        <f t="shared" si="88"/>
        <v>20</v>
      </c>
      <c r="K137" s="551">
        <f t="shared" ca="1" si="87"/>
        <v>100</v>
      </c>
      <c r="L137" s="673"/>
      <c r="M137" s="549"/>
      <c r="N137" s="549"/>
      <c r="O137" s="549"/>
      <c r="P137" s="549"/>
      <c r="Q137" s="549"/>
      <c r="R137" s="549"/>
      <c r="S137" s="549"/>
      <c r="T137" s="549"/>
      <c r="U137" s="549"/>
    </row>
    <row r="138" spans="1:21" ht="19.5" x14ac:dyDescent="0.3">
      <c r="A138" s="669"/>
      <c r="B138" s="543"/>
      <c r="C138" s="716"/>
      <c r="D138" s="670"/>
      <c r="E138" s="543"/>
      <c r="F138" s="543"/>
      <c r="G138" s="546"/>
      <c r="H138" s="671" t="s">
        <v>54</v>
      </c>
      <c r="I138" s="672">
        <f t="shared" ca="1" si="88"/>
        <v>2</v>
      </c>
      <c r="J138" s="672">
        <f t="shared" si="88"/>
        <v>2</v>
      </c>
      <c r="K138" s="551">
        <f t="shared" ca="1" si="87"/>
        <v>100</v>
      </c>
      <c r="L138" s="673"/>
      <c r="M138" s="549"/>
      <c r="N138" s="549"/>
      <c r="O138" s="549"/>
      <c r="P138" s="549"/>
      <c r="Q138" s="549"/>
      <c r="R138" s="549"/>
      <c r="S138" s="549"/>
      <c r="T138" s="549"/>
      <c r="U138" s="549"/>
    </row>
    <row r="139" spans="1:21" ht="19.5" x14ac:dyDescent="0.3">
      <c r="A139" s="674"/>
      <c r="B139" s="561"/>
      <c r="C139" s="675" t="s">
        <v>18</v>
      </c>
      <c r="D139" s="676" t="s">
        <v>19</v>
      </c>
      <c r="E139" s="561"/>
      <c r="F139" s="561"/>
      <c r="G139" s="563"/>
      <c r="H139" s="677" t="s">
        <v>14</v>
      </c>
      <c r="I139" s="565"/>
      <c r="J139" s="565"/>
      <c r="K139" s="566"/>
      <c r="L139" s="678">
        <f t="shared" ref="L139:N139" ca="1" si="89">L140+L141</f>
        <v>115700</v>
      </c>
      <c r="M139" s="679">
        <f t="shared" ca="1" si="89"/>
        <v>110700</v>
      </c>
      <c r="N139" s="679">
        <f t="shared" ca="1" si="89"/>
        <v>108327</v>
      </c>
      <c r="O139" s="679">
        <f t="shared" ref="O139:O147" ca="1" si="90">IF(L139&gt;0,N139*100/L139,0)</f>
        <v>93.627484874675886</v>
      </c>
      <c r="P139" s="679">
        <f t="shared" ref="P139:P147" ca="1" si="91">IF(M139&gt;0,N139*100/M139,0)</f>
        <v>97.856368563685635</v>
      </c>
      <c r="Q139" s="679">
        <f t="shared" ref="Q139:S139" ca="1" si="92">Q140+Q141</f>
        <v>44860</v>
      </c>
      <c r="R139" s="679">
        <f t="shared" ca="1" si="92"/>
        <v>0</v>
      </c>
      <c r="S139" s="679">
        <f t="shared" ca="1" si="92"/>
        <v>0</v>
      </c>
      <c r="T139" s="679">
        <f t="shared" ref="T139:T147" ca="1" si="93">IF(Q139&gt;0,S139*100/Q139,0)</f>
        <v>0</v>
      </c>
      <c r="U139" s="679">
        <f t="shared" ref="U139:U147" ca="1" si="94">IF(R139&gt;0,S139*100/R139,0)</f>
        <v>0</v>
      </c>
    </row>
    <row r="140" spans="1:21" ht="18.75" x14ac:dyDescent="0.25">
      <c r="A140" s="674"/>
      <c r="B140" s="561"/>
      <c r="C140" s="561"/>
      <c r="D140" s="561"/>
      <c r="E140" s="569" t="s">
        <v>20</v>
      </c>
      <c r="F140" s="561"/>
      <c r="G140" s="563"/>
      <c r="H140" s="680" t="s">
        <v>14</v>
      </c>
      <c r="I140" s="565"/>
      <c r="J140" s="565"/>
      <c r="K140" s="566"/>
      <c r="L140" s="571">
        <f t="shared" ref="L140:N141" si="95">L143+L146</f>
        <v>0</v>
      </c>
      <c r="M140" s="572">
        <f t="shared" si="95"/>
        <v>0</v>
      </c>
      <c r="N140" s="572">
        <f t="shared" si="95"/>
        <v>0</v>
      </c>
      <c r="O140" s="572">
        <f t="shared" si="90"/>
        <v>0</v>
      </c>
      <c r="P140" s="572">
        <f t="shared" si="91"/>
        <v>0</v>
      </c>
      <c r="Q140" s="572">
        <f t="shared" ref="Q140:S141" si="96">Q143+Q146</f>
        <v>0</v>
      </c>
      <c r="R140" s="572">
        <f t="shared" si="96"/>
        <v>0</v>
      </c>
      <c r="S140" s="572">
        <f t="shared" si="96"/>
        <v>0</v>
      </c>
      <c r="T140" s="572">
        <f t="shared" si="93"/>
        <v>0</v>
      </c>
      <c r="U140" s="572">
        <f t="shared" si="94"/>
        <v>0</v>
      </c>
    </row>
    <row r="141" spans="1:21" ht="18.75" x14ac:dyDescent="0.25">
      <c r="A141" s="674"/>
      <c r="B141" s="561"/>
      <c r="C141" s="561"/>
      <c r="D141" s="561"/>
      <c r="E141" s="573" t="s">
        <v>21</v>
      </c>
      <c r="F141" s="561"/>
      <c r="G141" s="563"/>
      <c r="H141" s="681" t="s">
        <v>14</v>
      </c>
      <c r="I141" s="565"/>
      <c r="J141" s="565"/>
      <c r="K141" s="566"/>
      <c r="L141" s="567">
        <f t="shared" ca="1" si="95"/>
        <v>115700</v>
      </c>
      <c r="M141" s="568">
        <f t="shared" ca="1" si="95"/>
        <v>110700</v>
      </c>
      <c r="N141" s="568">
        <f t="shared" ca="1" si="95"/>
        <v>108327</v>
      </c>
      <c r="O141" s="568">
        <f t="shared" ca="1" si="90"/>
        <v>93.627484874675886</v>
      </c>
      <c r="P141" s="568">
        <f t="shared" ca="1" si="91"/>
        <v>97.856368563685635</v>
      </c>
      <c r="Q141" s="568">
        <f t="shared" ca="1" si="96"/>
        <v>44860</v>
      </c>
      <c r="R141" s="568">
        <f t="shared" ca="1" si="96"/>
        <v>0</v>
      </c>
      <c r="S141" s="568">
        <f t="shared" ca="1" si="96"/>
        <v>0</v>
      </c>
      <c r="T141" s="568">
        <f t="shared" ca="1" si="93"/>
        <v>0</v>
      </c>
      <c r="U141" s="568">
        <f t="shared" ca="1" si="94"/>
        <v>0</v>
      </c>
    </row>
    <row r="142" spans="1:21" ht="18.75" x14ac:dyDescent="0.25">
      <c r="A142" s="674"/>
      <c r="B142" s="561"/>
      <c r="C142" s="561"/>
      <c r="D142" s="562" t="s">
        <v>22</v>
      </c>
      <c r="E142" s="561"/>
      <c r="F142" s="561"/>
      <c r="G142" s="563"/>
      <c r="H142" s="682" t="s">
        <v>14</v>
      </c>
      <c r="I142" s="683"/>
      <c r="J142" s="683"/>
      <c r="K142" s="684"/>
      <c r="L142" s="567">
        <f t="shared" ref="L142:N142" ca="1" si="97">L143+L144</f>
        <v>115700</v>
      </c>
      <c r="M142" s="568">
        <f t="shared" ca="1" si="97"/>
        <v>110700</v>
      </c>
      <c r="N142" s="568">
        <f t="shared" ca="1" si="97"/>
        <v>108327</v>
      </c>
      <c r="O142" s="568">
        <f t="shared" ca="1" si="90"/>
        <v>93.627484874675886</v>
      </c>
      <c r="P142" s="568">
        <f t="shared" ca="1" si="91"/>
        <v>97.856368563685635</v>
      </c>
      <c r="Q142" s="568">
        <f t="shared" ref="Q142:S142" ca="1" si="98">Q143+Q144</f>
        <v>44860</v>
      </c>
      <c r="R142" s="568">
        <f t="shared" ca="1" si="98"/>
        <v>0</v>
      </c>
      <c r="S142" s="568">
        <f t="shared" ca="1" si="98"/>
        <v>0</v>
      </c>
      <c r="T142" s="568">
        <f t="shared" ca="1" si="93"/>
        <v>0</v>
      </c>
      <c r="U142" s="568">
        <f t="shared" ca="1" si="94"/>
        <v>0</v>
      </c>
    </row>
    <row r="143" spans="1:21" ht="18.75" x14ac:dyDescent="0.25">
      <c r="A143" s="674"/>
      <c r="B143" s="561"/>
      <c r="C143" s="561"/>
      <c r="D143" s="561"/>
      <c r="E143" s="569" t="s">
        <v>36</v>
      </c>
      <c r="F143" s="561"/>
      <c r="G143" s="563"/>
      <c r="H143" s="685" t="s">
        <v>14</v>
      </c>
      <c r="I143" s="683"/>
      <c r="J143" s="683"/>
      <c r="K143" s="684"/>
      <c r="L143" s="571">
        <v>0</v>
      </c>
      <c r="M143" s="572">
        <v>0</v>
      </c>
      <c r="N143" s="572">
        <v>0</v>
      </c>
      <c r="O143" s="572">
        <f t="shared" si="90"/>
        <v>0</v>
      </c>
      <c r="P143" s="572">
        <f t="shared" si="91"/>
        <v>0</v>
      </c>
      <c r="Q143" s="572">
        <v>0</v>
      </c>
      <c r="R143" s="572">
        <v>0</v>
      </c>
      <c r="S143" s="572">
        <v>0</v>
      </c>
      <c r="T143" s="572">
        <f t="shared" si="93"/>
        <v>0</v>
      </c>
      <c r="U143" s="572">
        <f t="shared" si="94"/>
        <v>0</v>
      </c>
    </row>
    <row r="144" spans="1:21" ht="18.75" x14ac:dyDescent="0.25">
      <c r="A144" s="674"/>
      <c r="B144" s="561"/>
      <c r="C144" s="561"/>
      <c r="D144" s="561"/>
      <c r="E144" s="573" t="s">
        <v>37</v>
      </c>
      <c r="F144" s="561"/>
      <c r="G144" s="563"/>
      <c r="H144" s="682" t="s">
        <v>14</v>
      </c>
      <c r="I144" s="683"/>
      <c r="J144" s="683"/>
      <c r="K144" s="684"/>
      <c r="L144" s="567">
        <f ca="1">IFERROR(__xludf.DUMMYFUNCTION("IMPORTRANGE(""https://docs.google.com/spreadsheets/d/1-uDff_7J0KD5mKrp0Vvzr7lt3OU09vwQwhkpOPPYv2Y/edit?usp=sharing"",""งบพรบ!BQ17"")"),115700)</f>
        <v>115700</v>
      </c>
      <c r="M144" s="568">
        <f ca="1">IFERROR(__xludf.DUMMYFUNCTION("IMPORTRANGE(""https://docs.google.com/spreadsheets/d/1-uDff_7J0KD5mKrp0Vvzr7lt3OU09vwQwhkpOPPYv2Y/edit?usp=sharing"",""งบพรบ!BV17"")"),110700)</f>
        <v>110700</v>
      </c>
      <c r="N144" s="568">
        <f ca="1">IFERROR(__xludf.DUMMYFUNCTION("IMPORTRANGE(""https://docs.google.com/spreadsheets/d/1-uDff_7J0KD5mKrp0Vvzr7lt3OU09vwQwhkpOPPYv2Y/edit?usp=sharing"",""งบพรบ!BX17"")"),108327)</f>
        <v>108327</v>
      </c>
      <c r="O144" s="568">
        <f t="shared" ca="1" si="90"/>
        <v>93.627484874675886</v>
      </c>
      <c r="P144" s="568">
        <f t="shared" ca="1" si="91"/>
        <v>97.856368563685635</v>
      </c>
      <c r="Q144" s="568">
        <f ca="1">IFERROR(__xludf.DUMMYFUNCTION("IMPORTRANGE(""https://docs.google.com/spreadsheets/d/1ItG2mGa2ceCfYo0BwxsXqNm01IGEUdYcSSLTEv9YCik/edit?usp=sharing"",""เบิกจ่ายกองทุน!CF17"")"),44860)</f>
        <v>44860</v>
      </c>
      <c r="R144" s="568">
        <f ca="1">IFERROR(__xludf.DUMMYFUNCTION("IMPORTRANGE(""https://docs.google.com/spreadsheets/d/1ItG2mGa2ceCfYo0BwxsXqNm01IGEUdYcSSLTEv9YCik/edit?usp=sharing"",""เบิกจ่ายกองทุน!CG17"")"),0)</f>
        <v>0</v>
      </c>
      <c r="S144" s="568">
        <f ca="1">IFERROR(__xludf.DUMMYFUNCTION("IMPORTRANGE(""https://docs.google.com/spreadsheets/d/1ItG2mGa2ceCfYo0BwxsXqNm01IGEUdYcSSLTEv9YCik/edit?usp=sharing"",""เบิกจ่ายกองทุน!CH17"")"),0)</f>
        <v>0</v>
      </c>
      <c r="T144" s="568">
        <f t="shared" ca="1" si="93"/>
        <v>0</v>
      </c>
      <c r="U144" s="568">
        <f t="shared" ca="1" si="94"/>
        <v>0</v>
      </c>
    </row>
    <row r="145" spans="1:21" ht="18.75" x14ac:dyDescent="0.25">
      <c r="A145" s="674"/>
      <c r="B145" s="561"/>
      <c r="C145" s="561"/>
      <c r="D145" s="562" t="s">
        <v>23</v>
      </c>
      <c r="E145" s="561"/>
      <c r="F145" s="561"/>
      <c r="G145" s="563"/>
      <c r="H145" s="686" t="s">
        <v>14</v>
      </c>
      <c r="I145" s="683"/>
      <c r="J145" s="683"/>
      <c r="K145" s="684"/>
      <c r="L145" s="567">
        <f t="shared" ref="L145:N145" ca="1" si="99">L146+L147</f>
        <v>0</v>
      </c>
      <c r="M145" s="568">
        <f t="shared" ca="1" si="99"/>
        <v>0</v>
      </c>
      <c r="N145" s="568">
        <f t="shared" ca="1" si="99"/>
        <v>0</v>
      </c>
      <c r="O145" s="568">
        <f t="shared" ca="1" si="90"/>
        <v>0</v>
      </c>
      <c r="P145" s="568">
        <f t="shared" ca="1" si="91"/>
        <v>0</v>
      </c>
      <c r="Q145" s="568">
        <f t="shared" ref="Q145:S145" ca="1" si="100">Q146+Q147</f>
        <v>0</v>
      </c>
      <c r="R145" s="568">
        <f t="shared" ca="1" si="100"/>
        <v>0</v>
      </c>
      <c r="S145" s="568">
        <f t="shared" ca="1" si="100"/>
        <v>0</v>
      </c>
      <c r="T145" s="568">
        <f t="shared" ca="1" si="93"/>
        <v>0</v>
      </c>
      <c r="U145" s="568">
        <f t="shared" ca="1" si="94"/>
        <v>0</v>
      </c>
    </row>
    <row r="146" spans="1:21" ht="18.75" x14ac:dyDescent="0.25">
      <c r="A146" s="674"/>
      <c r="B146" s="561"/>
      <c r="C146" s="561"/>
      <c r="D146" s="561"/>
      <c r="E146" s="569" t="s">
        <v>20</v>
      </c>
      <c r="F146" s="561"/>
      <c r="G146" s="563"/>
      <c r="H146" s="685" t="s">
        <v>14</v>
      </c>
      <c r="I146" s="683"/>
      <c r="J146" s="683"/>
      <c r="K146" s="684"/>
      <c r="L146" s="571">
        <v>0</v>
      </c>
      <c r="M146" s="572">
        <v>0</v>
      </c>
      <c r="N146" s="572">
        <v>0</v>
      </c>
      <c r="O146" s="572">
        <f t="shared" si="90"/>
        <v>0</v>
      </c>
      <c r="P146" s="572">
        <f t="shared" si="91"/>
        <v>0</v>
      </c>
      <c r="Q146" s="572">
        <v>0</v>
      </c>
      <c r="R146" s="572">
        <v>0</v>
      </c>
      <c r="S146" s="572">
        <v>0</v>
      </c>
      <c r="T146" s="572">
        <f t="shared" si="93"/>
        <v>0</v>
      </c>
      <c r="U146" s="572">
        <f t="shared" si="94"/>
        <v>0</v>
      </c>
    </row>
    <row r="147" spans="1:21" ht="18.75" x14ac:dyDescent="0.25">
      <c r="A147" s="674"/>
      <c r="B147" s="561"/>
      <c r="C147" s="561"/>
      <c r="D147" s="561"/>
      <c r="E147" s="573" t="s">
        <v>21</v>
      </c>
      <c r="F147" s="561"/>
      <c r="G147" s="563"/>
      <c r="H147" s="686" t="s">
        <v>14</v>
      </c>
      <c r="I147" s="683"/>
      <c r="J147" s="683"/>
      <c r="K147" s="684"/>
      <c r="L147" s="567">
        <f ca="1">IFERROR(__xludf.DUMMYFUNCTION("IMPORTRANGE(""https://docs.google.com/spreadsheets/d/1-uDff_7J0KD5mKrp0Vvzr7lt3OU09vwQwhkpOPPYv2Y/edit?usp=sharing"",""งบพรบ!BT17"")"),0)</f>
        <v>0</v>
      </c>
      <c r="M147" s="568">
        <f ca="1">IFERROR(__xludf.DUMMYFUNCTION("IMPORTRANGE(""https://docs.google.com/spreadsheets/d/1-uDff_7J0KD5mKrp0Vvzr7lt3OU09vwQwhkpOPPYv2Y/edit?usp=sharing"",""งบพรบ!BW17"")"),0)</f>
        <v>0</v>
      </c>
      <c r="N147" s="568">
        <f ca="1">IFERROR(__xludf.DUMMYFUNCTION("IMPORTRANGE(""https://docs.google.com/spreadsheets/d/1-uDff_7J0KD5mKrp0Vvzr7lt3OU09vwQwhkpOPPYv2Y/edit?usp=sharing"",""งบพรบ!BY17"")"),0)</f>
        <v>0</v>
      </c>
      <c r="O147" s="568">
        <f t="shared" ca="1" si="90"/>
        <v>0</v>
      </c>
      <c r="P147" s="568">
        <f t="shared" ca="1" si="91"/>
        <v>0</v>
      </c>
      <c r="Q147" s="568">
        <f ca="1">IFERROR(__xludf.DUMMYFUNCTION("IMPORTRANGE(""https://docs.google.com/spreadsheets/d/1ItG2mGa2ceCfYo0BwxsXqNm01IGEUdYcSSLTEv9YCik/edit?usp=sharing"",""เบิกจ่ายกองทุน!CI17"")"),0)</f>
        <v>0</v>
      </c>
      <c r="R147" s="568">
        <f ca="1">IFERROR(__xludf.DUMMYFUNCTION("IMPORTRANGE(""https://docs.google.com/spreadsheets/d/1ItG2mGa2ceCfYo0BwxsXqNm01IGEUdYcSSLTEv9YCik/edit?usp=sharing"",""เบิกจ่ายกองทุน!CJ17"")"),0)</f>
        <v>0</v>
      </c>
      <c r="S147" s="568">
        <f ca="1">IFERROR(__xludf.DUMMYFUNCTION("IMPORTRANGE(""https://docs.google.com/spreadsheets/d/1ItG2mGa2ceCfYo0BwxsXqNm01IGEUdYcSSLTEv9YCik/edit?usp=sharing"",""เบิกจ่ายกองทุน!CK17"")"),0)</f>
        <v>0</v>
      </c>
      <c r="T147" s="568">
        <f t="shared" ca="1" si="93"/>
        <v>0</v>
      </c>
      <c r="U147" s="568">
        <f t="shared" ca="1" si="94"/>
        <v>0</v>
      </c>
    </row>
    <row r="148" spans="1:21" ht="19.5" x14ac:dyDescent="0.3">
      <c r="A148" s="687"/>
      <c r="B148" s="688"/>
      <c r="C148" s="675" t="s">
        <v>18</v>
      </c>
      <c r="D148" s="689" t="s">
        <v>38</v>
      </c>
      <c r="E148" s="690"/>
      <c r="F148" s="690"/>
      <c r="G148" s="691"/>
      <c r="H148" s="725"/>
      <c r="I148" s="565"/>
      <c r="J148" s="565"/>
      <c r="K148" s="566"/>
      <c r="L148" s="574"/>
      <c r="M148" s="566"/>
      <c r="N148" s="566"/>
      <c r="O148" s="566"/>
      <c r="P148" s="566"/>
      <c r="Q148" s="566"/>
      <c r="R148" s="566"/>
      <c r="S148" s="566"/>
      <c r="T148" s="566"/>
      <c r="U148" s="566"/>
    </row>
    <row r="149" spans="1:21" ht="18.75" x14ac:dyDescent="0.25">
      <c r="A149" s="674"/>
      <c r="B149" s="561"/>
      <c r="C149" s="561"/>
      <c r="D149" s="573" t="s">
        <v>63</v>
      </c>
      <c r="E149" s="561"/>
      <c r="F149" s="561"/>
      <c r="G149" s="563"/>
      <c r="H149" s="725"/>
      <c r="I149" s="565"/>
      <c r="J149" s="702">
        <v>0</v>
      </c>
      <c r="K149" s="566"/>
      <c r="L149" s="574"/>
      <c r="M149" s="566"/>
      <c r="N149" s="566"/>
      <c r="O149" s="566"/>
      <c r="P149" s="566"/>
      <c r="Q149" s="566"/>
      <c r="R149" s="566"/>
      <c r="S149" s="566"/>
      <c r="T149" s="566"/>
      <c r="U149" s="566"/>
    </row>
    <row r="150" spans="1:21" ht="19.5" x14ac:dyDescent="0.3">
      <c r="A150" s="674"/>
      <c r="B150" s="561"/>
      <c r="C150" s="561"/>
      <c r="D150" s="695"/>
      <c r="E150" s="675" t="s">
        <v>299</v>
      </c>
      <c r="F150" s="561"/>
      <c r="G150" s="563"/>
      <c r="H150" s="686" t="s">
        <v>35</v>
      </c>
      <c r="I150" s="708">
        <f ca="1">IFERROR(__xludf.DUMMYFUNCTION("IMPORTRANGE(""https://docs.google.com/spreadsheets/d/1eHaY18a8A9IcSdp1K8H6x8fbOy06t2VsZHhMHf-1x7Y/edit?usp=sharing"",""แผน!U17"")"),0)</f>
        <v>0</v>
      </c>
      <c r="J150" s="702">
        <v>0</v>
      </c>
      <c r="K150" s="568">
        <f t="shared" ref="K150:K154" ca="1" si="101">IF(I150&gt;0,J150*100/I150,0)</f>
        <v>0</v>
      </c>
      <c r="L150" s="574"/>
      <c r="M150" s="566"/>
      <c r="N150" s="566"/>
      <c r="O150" s="566"/>
      <c r="P150" s="566"/>
      <c r="Q150" s="566"/>
      <c r="R150" s="566"/>
      <c r="S150" s="566"/>
      <c r="T150" s="566"/>
      <c r="U150" s="566"/>
    </row>
    <row r="151" spans="1:21" ht="18.75" x14ac:dyDescent="0.25">
      <c r="A151" s="674"/>
      <c r="B151" s="561"/>
      <c r="C151" s="561"/>
      <c r="D151" s="695"/>
      <c r="E151" s="561"/>
      <c r="F151" s="561"/>
      <c r="G151" s="563"/>
      <c r="H151" s="686" t="s">
        <v>54</v>
      </c>
      <c r="I151" s="708">
        <f ca="1">IFERROR(__xludf.DUMMYFUNCTION("IMPORTRANGE(""https://docs.google.com/spreadsheets/d/1eHaY18a8A9IcSdp1K8H6x8fbOy06t2VsZHhMHf-1x7Y/edit?usp=sharing"",""แผน!V17"")"),0)</f>
        <v>0</v>
      </c>
      <c r="J151" s="702">
        <v>0</v>
      </c>
      <c r="K151" s="568">
        <f t="shared" ca="1" si="101"/>
        <v>0</v>
      </c>
      <c r="L151" s="574"/>
      <c r="M151" s="566"/>
      <c r="N151" s="566"/>
      <c r="O151" s="566"/>
      <c r="P151" s="566"/>
      <c r="Q151" s="566"/>
      <c r="R151" s="566"/>
      <c r="S151" s="566"/>
      <c r="T151" s="566"/>
      <c r="U151" s="566"/>
    </row>
    <row r="152" spans="1:21" ht="19.5" x14ac:dyDescent="0.3">
      <c r="A152" s="674"/>
      <c r="B152" s="561"/>
      <c r="C152" s="561"/>
      <c r="D152" s="695"/>
      <c r="E152" s="675" t="s">
        <v>300</v>
      </c>
      <c r="F152" s="561"/>
      <c r="G152" s="563"/>
      <c r="H152" s="686" t="s">
        <v>35</v>
      </c>
      <c r="I152" s="708">
        <f ca="1">IFERROR(__xludf.DUMMYFUNCTION("IMPORTRANGE(""https://docs.google.com/spreadsheets/d/1eHaY18a8A9IcSdp1K8H6x8fbOy06t2VsZHhMHf-1x7Y/edit?usp=sharing"",""แผน!W17"")"),20)</f>
        <v>20</v>
      </c>
      <c r="J152" s="702">
        <v>20</v>
      </c>
      <c r="K152" s="568">
        <f t="shared" ca="1" si="101"/>
        <v>100</v>
      </c>
      <c r="L152" s="574"/>
      <c r="M152" s="566"/>
      <c r="N152" s="566"/>
      <c r="O152" s="566"/>
      <c r="P152" s="566"/>
      <c r="Q152" s="566"/>
      <c r="R152" s="566"/>
      <c r="S152" s="566"/>
      <c r="T152" s="566"/>
      <c r="U152" s="566"/>
    </row>
    <row r="153" spans="1:21" ht="18.75" x14ac:dyDescent="0.25">
      <c r="A153" s="674"/>
      <c r="B153" s="561"/>
      <c r="C153" s="561"/>
      <c r="D153" s="561"/>
      <c r="E153" s="561"/>
      <c r="F153" s="561"/>
      <c r="G153" s="563"/>
      <c r="H153" s="686" t="s">
        <v>54</v>
      </c>
      <c r="I153" s="708">
        <f ca="1">IFERROR(__xludf.DUMMYFUNCTION("IMPORTRANGE(""https://docs.google.com/spreadsheets/d/1eHaY18a8A9IcSdp1K8H6x8fbOy06t2VsZHhMHf-1x7Y/edit?usp=sharing"",""แผน!X17"")"),2)</f>
        <v>2</v>
      </c>
      <c r="J153" s="702">
        <v>2</v>
      </c>
      <c r="K153" s="568">
        <f t="shared" ca="1" si="101"/>
        <v>100</v>
      </c>
      <c r="L153" s="574"/>
      <c r="M153" s="566"/>
      <c r="N153" s="566"/>
      <c r="O153" s="566"/>
      <c r="P153" s="566"/>
      <c r="Q153" s="566"/>
      <c r="R153" s="566"/>
      <c r="S153" s="566"/>
      <c r="T153" s="566"/>
      <c r="U153" s="566"/>
    </row>
    <row r="154" spans="1:21" ht="18.75" x14ac:dyDescent="0.25">
      <c r="A154" s="674"/>
      <c r="B154" s="561"/>
      <c r="C154" s="561"/>
      <c r="D154" s="573" t="s">
        <v>66</v>
      </c>
      <c r="E154" s="561"/>
      <c r="F154" s="561"/>
      <c r="G154" s="563"/>
      <c r="H154" s="686" t="s">
        <v>61</v>
      </c>
      <c r="I154" s="708">
        <f ca="1">IFERROR(__xludf.DUMMYFUNCTION("IMPORTRANGE(""https://docs.google.com/spreadsheets/d/1eHaY18a8A9IcSdp1K8H6x8fbOy06t2VsZHhMHf-1x7Y/edit?usp=sharing"",""แผน!Y17"")"),0)</f>
        <v>0</v>
      </c>
      <c r="J154" s="702">
        <v>0</v>
      </c>
      <c r="K154" s="568">
        <f t="shared" ca="1" si="101"/>
        <v>0</v>
      </c>
      <c r="L154" s="574"/>
      <c r="M154" s="566"/>
      <c r="N154" s="566"/>
      <c r="O154" s="566"/>
      <c r="P154" s="566"/>
      <c r="Q154" s="566"/>
      <c r="R154" s="566"/>
      <c r="S154" s="566"/>
      <c r="T154" s="566"/>
      <c r="U154" s="566"/>
    </row>
    <row r="155" spans="1:21" ht="19.5" x14ac:dyDescent="0.3">
      <c r="A155" s="662" t="s">
        <v>67</v>
      </c>
      <c r="B155" s="663"/>
      <c r="C155" s="729"/>
      <c r="D155" s="663"/>
      <c r="E155" s="663"/>
      <c r="F155" s="663"/>
      <c r="G155" s="663"/>
      <c r="H155" s="663"/>
      <c r="I155" s="730"/>
      <c r="J155" s="730"/>
      <c r="K155" s="731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</row>
    <row r="156" spans="1:21" ht="19.5" x14ac:dyDescent="0.3">
      <c r="A156" s="669"/>
      <c r="B156" s="544" t="s">
        <v>68</v>
      </c>
      <c r="C156" s="543"/>
      <c r="D156" s="543"/>
      <c r="E156" s="543"/>
      <c r="F156" s="543"/>
      <c r="G156" s="546"/>
      <c r="H156" s="717" t="s">
        <v>35</v>
      </c>
      <c r="I156" s="672">
        <f t="shared" ref="I156:J156" ca="1" si="102">I167</f>
        <v>15</v>
      </c>
      <c r="J156" s="672">
        <f t="shared" si="102"/>
        <v>24</v>
      </c>
      <c r="K156" s="551">
        <f ca="1">IF(I156&gt;0,J156*100/I156,0)</f>
        <v>160</v>
      </c>
      <c r="L156" s="673"/>
      <c r="M156" s="549"/>
      <c r="N156" s="549"/>
      <c r="O156" s="549"/>
      <c r="P156" s="549"/>
      <c r="Q156" s="549"/>
      <c r="R156" s="549"/>
      <c r="S156" s="549"/>
      <c r="T156" s="549"/>
      <c r="U156" s="549"/>
    </row>
    <row r="157" spans="1:21" ht="19.5" x14ac:dyDescent="0.3">
      <c r="A157" s="674"/>
      <c r="B157" s="561"/>
      <c r="C157" s="675" t="s">
        <v>18</v>
      </c>
      <c r="D157" s="676" t="s">
        <v>19</v>
      </c>
      <c r="E157" s="561"/>
      <c r="F157" s="561"/>
      <c r="G157" s="563"/>
      <c r="H157" s="677" t="s">
        <v>14</v>
      </c>
      <c r="I157" s="565"/>
      <c r="J157" s="565"/>
      <c r="K157" s="566"/>
      <c r="L157" s="678">
        <f t="shared" ref="L157:N157" ca="1" si="103">L158+L159</f>
        <v>4500</v>
      </c>
      <c r="M157" s="679">
        <f t="shared" ca="1" si="103"/>
        <v>3450</v>
      </c>
      <c r="N157" s="679">
        <f t="shared" ca="1" si="103"/>
        <v>1504</v>
      </c>
      <c r="O157" s="679">
        <f t="shared" ref="O157:O165" ca="1" si="104">IF(L157&gt;0,N157*100/L157,0)</f>
        <v>33.422222222222224</v>
      </c>
      <c r="P157" s="679">
        <f t="shared" ref="P157:P165" ca="1" si="105">IF(M157&gt;0,N157*100/M157,0)</f>
        <v>43.594202898550726</v>
      </c>
      <c r="Q157" s="679">
        <f t="shared" ref="Q157:S157" ca="1" si="106">Q158+Q159</f>
        <v>0</v>
      </c>
      <c r="R157" s="679">
        <f t="shared" ca="1" si="106"/>
        <v>0</v>
      </c>
      <c r="S157" s="679">
        <f t="shared" ca="1" si="106"/>
        <v>0</v>
      </c>
      <c r="T157" s="679">
        <f t="shared" ref="T157:T165" ca="1" si="107">IF(Q157&gt;0,S157*100/Q157,0)</f>
        <v>0</v>
      </c>
      <c r="U157" s="679">
        <f t="shared" ref="U157:U165" ca="1" si="108">IF(R157&gt;0,S157*100/R157,0)</f>
        <v>0</v>
      </c>
    </row>
    <row r="158" spans="1:21" ht="18.75" x14ac:dyDescent="0.25">
      <c r="A158" s="674"/>
      <c r="B158" s="561"/>
      <c r="C158" s="561"/>
      <c r="D158" s="561"/>
      <c r="E158" s="569" t="s">
        <v>20</v>
      </c>
      <c r="F158" s="561"/>
      <c r="G158" s="563"/>
      <c r="H158" s="680" t="s">
        <v>14</v>
      </c>
      <c r="I158" s="565"/>
      <c r="J158" s="565"/>
      <c r="K158" s="566"/>
      <c r="L158" s="571">
        <f t="shared" ref="L158:N159" si="109">L161+L164</f>
        <v>0</v>
      </c>
      <c r="M158" s="572">
        <f t="shared" si="109"/>
        <v>0</v>
      </c>
      <c r="N158" s="572">
        <f t="shared" si="109"/>
        <v>0</v>
      </c>
      <c r="O158" s="572">
        <f t="shared" si="104"/>
        <v>0</v>
      </c>
      <c r="P158" s="572">
        <f t="shared" si="105"/>
        <v>0</v>
      </c>
      <c r="Q158" s="572">
        <f t="shared" ref="Q158:S159" si="110">Q161+Q164</f>
        <v>0</v>
      </c>
      <c r="R158" s="572">
        <f t="shared" si="110"/>
        <v>0</v>
      </c>
      <c r="S158" s="572">
        <f t="shared" si="110"/>
        <v>0</v>
      </c>
      <c r="T158" s="572">
        <f t="shared" si="107"/>
        <v>0</v>
      </c>
      <c r="U158" s="572">
        <f t="shared" si="108"/>
        <v>0</v>
      </c>
    </row>
    <row r="159" spans="1:21" ht="18.75" x14ac:dyDescent="0.25">
      <c r="A159" s="674"/>
      <c r="B159" s="561"/>
      <c r="C159" s="561"/>
      <c r="D159" s="561"/>
      <c r="E159" s="573" t="s">
        <v>21</v>
      </c>
      <c r="F159" s="561"/>
      <c r="G159" s="563"/>
      <c r="H159" s="681" t="s">
        <v>14</v>
      </c>
      <c r="I159" s="565"/>
      <c r="J159" s="565"/>
      <c r="K159" s="566"/>
      <c r="L159" s="567">
        <f t="shared" ca="1" si="109"/>
        <v>4500</v>
      </c>
      <c r="M159" s="568">
        <f t="shared" ca="1" si="109"/>
        <v>3450</v>
      </c>
      <c r="N159" s="568">
        <f t="shared" ca="1" si="109"/>
        <v>1504</v>
      </c>
      <c r="O159" s="568">
        <f t="shared" ca="1" si="104"/>
        <v>33.422222222222224</v>
      </c>
      <c r="P159" s="568">
        <f t="shared" ca="1" si="105"/>
        <v>43.594202898550726</v>
      </c>
      <c r="Q159" s="568">
        <f t="shared" ca="1" si="110"/>
        <v>0</v>
      </c>
      <c r="R159" s="568">
        <f t="shared" ca="1" si="110"/>
        <v>0</v>
      </c>
      <c r="S159" s="568">
        <f t="shared" ca="1" si="110"/>
        <v>0</v>
      </c>
      <c r="T159" s="568">
        <f t="shared" ca="1" si="107"/>
        <v>0</v>
      </c>
      <c r="U159" s="568">
        <f t="shared" ca="1" si="108"/>
        <v>0</v>
      </c>
    </row>
    <row r="160" spans="1:21" ht="18.75" x14ac:dyDescent="0.25">
      <c r="A160" s="674"/>
      <c r="B160" s="561"/>
      <c r="C160" s="561"/>
      <c r="D160" s="562" t="s">
        <v>22</v>
      </c>
      <c r="E160" s="561"/>
      <c r="F160" s="561"/>
      <c r="G160" s="563"/>
      <c r="H160" s="682" t="s">
        <v>14</v>
      </c>
      <c r="I160" s="683"/>
      <c r="J160" s="683"/>
      <c r="K160" s="684"/>
      <c r="L160" s="567">
        <f t="shared" ref="L160:N160" ca="1" si="111">L161+L162</f>
        <v>4500</v>
      </c>
      <c r="M160" s="568">
        <f t="shared" ca="1" si="111"/>
        <v>3450</v>
      </c>
      <c r="N160" s="568">
        <f t="shared" ca="1" si="111"/>
        <v>1504</v>
      </c>
      <c r="O160" s="568">
        <f t="shared" ca="1" si="104"/>
        <v>33.422222222222224</v>
      </c>
      <c r="P160" s="568">
        <f t="shared" ca="1" si="105"/>
        <v>43.594202898550726</v>
      </c>
      <c r="Q160" s="568">
        <f t="shared" ref="Q160:S160" ca="1" si="112">Q161+Q162</f>
        <v>0</v>
      </c>
      <c r="R160" s="568">
        <f t="shared" ca="1" si="112"/>
        <v>0</v>
      </c>
      <c r="S160" s="568">
        <f t="shared" ca="1" si="112"/>
        <v>0</v>
      </c>
      <c r="T160" s="568">
        <f t="shared" ca="1" si="107"/>
        <v>0</v>
      </c>
      <c r="U160" s="568">
        <f t="shared" ca="1" si="108"/>
        <v>0</v>
      </c>
    </row>
    <row r="161" spans="1:21" ht="18.75" x14ac:dyDescent="0.25">
      <c r="A161" s="674"/>
      <c r="B161" s="561"/>
      <c r="C161" s="561"/>
      <c r="D161" s="561"/>
      <c r="E161" s="569" t="s">
        <v>36</v>
      </c>
      <c r="F161" s="561"/>
      <c r="G161" s="563"/>
      <c r="H161" s="685" t="s">
        <v>14</v>
      </c>
      <c r="I161" s="683"/>
      <c r="J161" s="683"/>
      <c r="K161" s="684"/>
      <c r="L161" s="571">
        <v>0</v>
      </c>
      <c r="M161" s="572">
        <v>0</v>
      </c>
      <c r="N161" s="572">
        <v>0</v>
      </c>
      <c r="O161" s="572">
        <f t="shared" si="104"/>
        <v>0</v>
      </c>
      <c r="P161" s="572">
        <f t="shared" si="105"/>
        <v>0</v>
      </c>
      <c r="Q161" s="572">
        <v>0</v>
      </c>
      <c r="R161" s="572">
        <v>0</v>
      </c>
      <c r="S161" s="572">
        <v>0</v>
      </c>
      <c r="T161" s="572">
        <f t="shared" si="107"/>
        <v>0</v>
      </c>
      <c r="U161" s="572">
        <f t="shared" si="108"/>
        <v>0</v>
      </c>
    </row>
    <row r="162" spans="1:21" ht="18.75" x14ac:dyDescent="0.25">
      <c r="A162" s="674"/>
      <c r="B162" s="561"/>
      <c r="C162" s="561"/>
      <c r="D162" s="561"/>
      <c r="E162" s="573" t="s">
        <v>37</v>
      </c>
      <c r="F162" s="561"/>
      <c r="G162" s="563"/>
      <c r="H162" s="682" t="s">
        <v>14</v>
      </c>
      <c r="I162" s="683"/>
      <c r="J162" s="683"/>
      <c r="K162" s="684"/>
      <c r="L162" s="567">
        <f ca="1">IFERROR(__xludf.DUMMYFUNCTION("IMPORTRANGE(""https://docs.google.com/spreadsheets/d/1-uDff_7J0KD5mKrp0Vvzr7lt3OU09vwQwhkpOPPYv2Y/edit?usp=sharing"",""งบพรบ!CA17"")"),4500)</f>
        <v>4500</v>
      </c>
      <c r="M162" s="568">
        <f ca="1">IFERROR(__xludf.DUMMYFUNCTION("IMPORTRANGE(""https://docs.google.com/spreadsheets/d/1-uDff_7J0KD5mKrp0Vvzr7lt3OU09vwQwhkpOPPYv2Y/edit?usp=sharing"",""งบพรบ!CF17"")"),3450)</f>
        <v>3450</v>
      </c>
      <c r="N162" s="568">
        <f ca="1">IFERROR(__xludf.DUMMYFUNCTION("IMPORTRANGE(""https://docs.google.com/spreadsheets/d/1-uDff_7J0KD5mKrp0Vvzr7lt3OU09vwQwhkpOPPYv2Y/edit?usp=sharing"",""งบพรบ!CH17"")"),1504)</f>
        <v>1504</v>
      </c>
      <c r="O162" s="568">
        <f t="shared" ca="1" si="104"/>
        <v>33.422222222222224</v>
      </c>
      <c r="P162" s="568">
        <f t="shared" ca="1" si="105"/>
        <v>43.594202898550726</v>
      </c>
      <c r="Q162" s="568">
        <f ca="1">IFERROR(__xludf.DUMMYFUNCTION("IMPORTRANGE(""https://docs.google.com/spreadsheets/d/1ItG2mGa2ceCfYo0BwxsXqNm01IGEUdYcSSLTEv9YCik/edit?usp=sharing"",""เบิกจ่ายกองทุน!AM17"")"),0)</f>
        <v>0</v>
      </c>
      <c r="R162" s="568">
        <f ca="1">IFERROR(__xludf.DUMMYFUNCTION("IMPORTRANGE(""https://docs.google.com/spreadsheets/d/1ItG2mGa2ceCfYo0BwxsXqNm01IGEUdYcSSLTEv9YCik/edit?usp=sharing"",""เบิกจ่ายกองทุน!AN17"")"),0)</f>
        <v>0</v>
      </c>
      <c r="S162" s="568">
        <f ca="1">IFERROR(__xludf.DUMMYFUNCTION("IMPORTRANGE(""https://docs.google.com/spreadsheets/d/1ItG2mGa2ceCfYo0BwxsXqNm01IGEUdYcSSLTEv9YCik/edit?usp=sharing"",""เบิกจ่ายกองทุน!AO17"")"),0)</f>
        <v>0</v>
      </c>
      <c r="T162" s="568">
        <f t="shared" ca="1" si="107"/>
        <v>0</v>
      </c>
      <c r="U162" s="568">
        <f t="shared" ca="1" si="108"/>
        <v>0</v>
      </c>
    </row>
    <row r="163" spans="1:21" ht="18.75" x14ac:dyDescent="0.25">
      <c r="A163" s="674"/>
      <c r="B163" s="561"/>
      <c r="C163" s="561"/>
      <c r="D163" s="562" t="s">
        <v>23</v>
      </c>
      <c r="E163" s="561"/>
      <c r="F163" s="561"/>
      <c r="G163" s="563"/>
      <c r="H163" s="686" t="s">
        <v>14</v>
      </c>
      <c r="I163" s="683"/>
      <c r="J163" s="683"/>
      <c r="K163" s="684"/>
      <c r="L163" s="567">
        <f t="shared" ref="L163:N163" ca="1" si="113">L164+L165</f>
        <v>0</v>
      </c>
      <c r="M163" s="568">
        <f t="shared" ca="1" si="113"/>
        <v>0</v>
      </c>
      <c r="N163" s="568">
        <f t="shared" ca="1" si="113"/>
        <v>0</v>
      </c>
      <c r="O163" s="568">
        <f t="shared" ca="1" si="104"/>
        <v>0</v>
      </c>
      <c r="P163" s="568">
        <f t="shared" ca="1" si="105"/>
        <v>0</v>
      </c>
      <c r="Q163" s="568">
        <f t="shared" ref="Q163:S163" si="114">Q164+Q165</f>
        <v>0</v>
      </c>
      <c r="R163" s="568">
        <f t="shared" si="114"/>
        <v>0</v>
      </c>
      <c r="S163" s="568">
        <f t="shared" si="114"/>
        <v>0</v>
      </c>
      <c r="T163" s="568">
        <f t="shared" si="107"/>
        <v>0</v>
      </c>
      <c r="U163" s="568">
        <f t="shared" si="108"/>
        <v>0</v>
      </c>
    </row>
    <row r="164" spans="1:21" ht="18.75" x14ac:dyDescent="0.25">
      <c r="A164" s="674"/>
      <c r="B164" s="561"/>
      <c r="C164" s="561"/>
      <c r="D164" s="561"/>
      <c r="E164" s="569" t="s">
        <v>20</v>
      </c>
      <c r="F164" s="561"/>
      <c r="G164" s="563"/>
      <c r="H164" s="685" t="s">
        <v>14</v>
      </c>
      <c r="I164" s="683"/>
      <c r="J164" s="683"/>
      <c r="K164" s="684"/>
      <c r="L164" s="571">
        <v>0</v>
      </c>
      <c r="M164" s="572">
        <v>0</v>
      </c>
      <c r="N164" s="572">
        <v>0</v>
      </c>
      <c r="O164" s="572">
        <f t="shared" si="104"/>
        <v>0</v>
      </c>
      <c r="P164" s="572">
        <f t="shared" si="105"/>
        <v>0</v>
      </c>
      <c r="Q164" s="572">
        <v>0</v>
      </c>
      <c r="R164" s="572">
        <v>0</v>
      </c>
      <c r="S164" s="572">
        <v>0</v>
      </c>
      <c r="T164" s="572">
        <f t="shared" si="107"/>
        <v>0</v>
      </c>
      <c r="U164" s="572">
        <f t="shared" si="108"/>
        <v>0</v>
      </c>
    </row>
    <row r="165" spans="1:21" ht="18.75" x14ac:dyDescent="0.25">
      <c r="A165" s="674"/>
      <c r="B165" s="561"/>
      <c r="C165" s="561"/>
      <c r="D165" s="561"/>
      <c r="E165" s="573" t="s">
        <v>21</v>
      </c>
      <c r="F165" s="561"/>
      <c r="G165" s="563"/>
      <c r="H165" s="686" t="s">
        <v>14</v>
      </c>
      <c r="I165" s="683"/>
      <c r="J165" s="683"/>
      <c r="K165" s="684"/>
      <c r="L165" s="567">
        <f ca="1">IFERROR(__xludf.DUMMYFUNCTION("IMPORTRANGE(""https://docs.google.com/spreadsheets/d/1-uDff_7J0KD5mKrp0Vvzr7lt3OU09vwQwhkpOPPYv2Y/edit?usp=sharing"",""งบพรบ!CD17"")"),0)</f>
        <v>0</v>
      </c>
      <c r="M165" s="568">
        <f ca="1">IFERROR(__xludf.DUMMYFUNCTION("IMPORTRANGE(""https://docs.google.com/spreadsheets/d/1-uDff_7J0KD5mKrp0Vvzr7lt3OU09vwQwhkpOPPYv2Y/edit?usp=sharing"",""งบพรบ!CG17"")"),0)</f>
        <v>0</v>
      </c>
      <c r="N165" s="568">
        <f ca="1">IFERROR(__xludf.DUMMYFUNCTION("IMPORTRANGE(""https://docs.google.com/spreadsheets/d/1-uDff_7J0KD5mKrp0Vvzr7lt3OU09vwQwhkpOPPYv2Y/edit?usp=sharing"",""งบพรบ!CI17"")"),0)</f>
        <v>0</v>
      </c>
      <c r="O165" s="568">
        <f t="shared" ca="1" si="104"/>
        <v>0</v>
      </c>
      <c r="P165" s="568">
        <f t="shared" ca="1" si="105"/>
        <v>0</v>
      </c>
      <c r="Q165" s="568">
        <v>0</v>
      </c>
      <c r="R165" s="568">
        <v>0</v>
      </c>
      <c r="S165" s="568">
        <v>0</v>
      </c>
      <c r="T165" s="568">
        <f t="shared" si="107"/>
        <v>0</v>
      </c>
      <c r="U165" s="568">
        <f t="shared" si="108"/>
        <v>0</v>
      </c>
    </row>
    <row r="166" spans="1:21" ht="19.5" x14ac:dyDescent="0.3">
      <c r="A166" s="687"/>
      <c r="B166" s="688"/>
      <c r="C166" s="675" t="s">
        <v>18</v>
      </c>
      <c r="D166" s="689" t="s">
        <v>38</v>
      </c>
      <c r="E166" s="690"/>
      <c r="F166" s="690"/>
      <c r="G166" s="691"/>
      <c r="H166" s="725"/>
      <c r="I166" s="565"/>
      <c r="J166" s="565"/>
      <c r="K166" s="566"/>
      <c r="L166" s="574"/>
      <c r="M166" s="566"/>
      <c r="N166" s="566"/>
      <c r="O166" s="566"/>
      <c r="P166" s="566"/>
      <c r="Q166" s="566"/>
      <c r="R166" s="566"/>
      <c r="S166" s="566"/>
      <c r="T166" s="566"/>
      <c r="U166" s="566"/>
    </row>
    <row r="167" spans="1:21" ht="18.75" x14ac:dyDescent="0.25">
      <c r="A167" s="674"/>
      <c r="B167" s="561"/>
      <c r="C167" s="561"/>
      <c r="D167" s="573" t="s">
        <v>69</v>
      </c>
      <c r="E167" s="561"/>
      <c r="F167" s="561"/>
      <c r="G167" s="563"/>
      <c r="H167" s="686" t="s">
        <v>35</v>
      </c>
      <c r="I167" s="708">
        <f ca="1">IFERROR(__xludf.DUMMYFUNCTION("IMPORTRANGE(""https://docs.google.com/spreadsheets/d/1eHaY18a8A9IcSdp1K8H6x8fbOy06t2VsZHhMHf-1x7Y/edit?usp=sharing"",""แผน!Z17"")"),15)</f>
        <v>15</v>
      </c>
      <c r="J167" s="702">
        <v>24</v>
      </c>
      <c r="K167" s="568">
        <f t="shared" ref="K167:K169" ca="1" si="115">IF(I167&gt;0,J167*100/I167,0)</f>
        <v>160</v>
      </c>
      <c r="L167" s="574"/>
      <c r="M167" s="566"/>
      <c r="N167" s="566"/>
      <c r="O167" s="566"/>
      <c r="P167" s="566"/>
      <c r="Q167" s="566"/>
      <c r="R167" s="566"/>
      <c r="S167" s="566"/>
      <c r="T167" s="566"/>
      <c r="U167" s="566"/>
    </row>
    <row r="168" spans="1:21" ht="18.75" x14ac:dyDescent="0.25">
      <c r="A168" s="674"/>
      <c r="B168" s="561"/>
      <c r="C168" s="561"/>
      <c r="D168" s="569" t="s">
        <v>70</v>
      </c>
      <c r="E168" s="561"/>
      <c r="F168" s="561"/>
      <c r="G168" s="563"/>
      <c r="H168" s="734" t="s">
        <v>35</v>
      </c>
      <c r="I168" s="735">
        <f ca="1">I167</f>
        <v>15</v>
      </c>
      <c r="J168" s="736">
        <v>0</v>
      </c>
      <c r="K168" s="572">
        <f t="shared" ca="1" si="115"/>
        <v>0</v>
      </c>
      <c r="L168" s="574"/>
      <c r="M168" s="566"/>
      <c r="N168" s="566"/>
      <c r="O168" s="566"/>
      <c r="P168" s="566"/>
      <c r="Q168" s="566"/>
      <c r="R168" s="566"/>
      <c r="S168" s="566"/>
      <c r="T168" s="566"/>
      <c r="U168" s="566"/>
    </row>
    <row r="169" spans="1:21" ht="18.75" x14ac:dyDescent="0.25">
      <c r="A169" s="737"/>
      <c r="B169" s="513"/>
      <c r="C169" s="513"/>
      <c r="D169" s="738" t="s">
        <v>71</v>
      </c>
      <c r="E169" s="513"/>
      <c r="F169" s="513"/>
      <c r="G169" s="577"/>
      <c r="H169" s="739" t="s">
        <v>35</v>
      </c>
      <c r="I169" s="740">
        <f ca="1">I167</f>
        <v>15</v>
      </c>
      <c r="J169" s="741">
        <v>0</v>
      </c>
      <c r="K169" s="742">
        <f t="shared" ca="1" si="115"/>
        <v>0</v>
      </c>
      <c r="L169" s="581"/>
      <c r="M169" s="580"/>
      <c r="N169" s="580"/>
      <c r="O169" s="580"/>
      <c r="P169" s="580"/>
      <c r="Q169" s="580"/>
      <c r="R169" s="580"/>
      <c r="S169" s="580"/>
      <c r="T169" s="580"/>
      <c r="U169" s="580"/>
    </row>
    <row r="170" spans="1:21" ht="19.5" x14ac:dyDescent="0.3">
      <c r="A170" s="743" t="s">
        <v>72</v>
      </c>
      <c r="B170" s="744"/>
      <c r="C170" s="744"/>
      <c r="D170" s="744"/>
      <c r="E170" s="745"/>
      <c r="F170" s="745"/>
      <c r="G170" s="745"/>
      <c r="H170" s="745"/>
      <c r="I170" s="746"/>
      <c r="J170" s="746"/>
      <c r="K170" s="747"/>
      <c r="L170" s="747"/>
      <c r="M170" s="747"/>
      <c r="N170" s="747"/>
      <c r="O170" s="747"/>
      <c r="P170" s="748"/>
      <c r="Q170" s="747"/>
      <c r="R170" s="747"/>
      <c r="S170" s="747"/>
      <c r="T170" s="747"/>
      <c r="U170" s="748"/>
    </row>
    <row r="171" spans="1:21" ht="19.5" x14ac:dyDescent="0.3">
      <c r="A171" s="749" t="s">
        <v>73</v>
      </c>
      <c r="B171" s="750"/>
      <c r="C171" s="750"/>
      <c r="D171" s="751"/>
      <c r="E171" s="751"/>
      <c r="F171" s="751"/>
      <c r="G171" s="751"/>
      <c r="H171" s="752"/>
      <c r="I171" s="753"/>
      <c r="J171" s="753"/>
      <c r="K171" s="754"/>
      <c r="L171" s="755"/>
      <c r="M171" s="754"/>
      <c r="N171" s="754"/>
      <c r="O171" s="754"/>
      <c r="P171" s="754"/>
      <c r="Q171" s="754"/>
      <c r="R171" s="754"/>
      <c r="S171" s="754"/>
      <c r="T171" s="754"/>
      <c r="U171" s="754"/>
    </row>
    <row r="172" spans="1:21" ht="19.5" x14ac:dyDescent="0.3">
      <c r="A172" s="756"/>
      <c r="B172" s="757" t="s">
        <v>74</v>
      </c>
      <c r="C172" s="758"/>
      <c r="D172" s="690"/>
      <c r="E172" s="690"/>
      <c r="F172" s="690"/>
      <c r="G172" s="691"/>
      <c r="H172" s="759" t="s">
        <v>35</v>
      </c>
      <c r="I172" s="760">
        <f t="shared" ref="I172:J172" ca="1" si="116">I183+I184</f>
        <v>7</v>
      </c>
      <c r="J172" s="760">
        <f t="shared" si="116"/>
        <v>7</v>
      </c>
      <c r="K172" s="761">
        <f ca="1">IF(I172&gt;0,J172*100/I172,0)</f>
        <v>100</v>
      </c>
      <c r="L172" s="762"/>
      <c r="M172" s="763"/>
      <c r="N172" s="763"/>
      <c r="O172" s="763"/>
      <c r="P172" s="763"/>
      <c r="Q172" s="763"/>
      <c r="R172" s="763"/>
      <c r="S172" s="763"/>
      <c r="T172" s="763"/>
      <c r="U172" s="763"/>
    </row>
    <row r="173" spans="1:21" ht="19.5" x14ac:dyDescent="0.3">
      <c r="A173" s="674"/>
      <c r="B173" s="561"/>
      <c r="C173" s="675" t="s">
        <v>18</v>
      </c>
      <c r="D173" s="676" t="s">
        <v>19</v>
      </c>
      <c r="E173" s="561"/>
      <c r="F173" s="561"/>
      <c r="G173" s="563"/>
      <c r="H173" s="677" t="s">
        <v>14</v>
      </c>
      <c r="I173" s="565"/>
      <c r="J173" s="565"/>
      <c r="K173" s="566"/>
      <c r="L173" s="678">
        <f t="shared" ref="L173:N173" ca="1" si="117">L174+L175</f>
        <v>19590</v>
      </c>
      <c r="M173" s="679">
        <f t="shared" ca="1" si="117"/>
        <v>38220</v>
      </c>
      <c r="N173" s="679">
        <f t="shared" ca="1" si="117"/>
        <v>38220</v>
      </c>
      <c r="O173" s="679">
        <f t="shared" ref="O173:O181" ca="1" si="118">IF(L173&gt;0,N173*100/L173,0)</f>
        <v>195.09954058192955</v>
      </c>
      <c r="P173" s="679">
        <f t="shared" ref="P173:P181" ca="1" si="119">IF(M173&gt;0,N173*100/M173,0)</f>
        <v>100</v>
      </c>
      <c r="Q173" s="679">
        <f t="shared" ref="Q173:S173" ca="1" si="120">Q174+Q175</f>
        <v>0</v>
      </c>
      <c r="R173" s="679">
        <f t="shared" ca="1" si="120"/>
        <v>0</v>
      </c>
      <c r="S173" s="679">
        <f t="shared" ca="1" si="120"/>
        <v>0</v>
      </c>
      <c r="T173" s="679">
        <f t="shared" ref="T173:T181" ca="1" si="121">IF(Q173&gt;0,S173*100/Q173,0)</f>
        <v>0</v>
      </c>
      <c r="U173" s="679">
        <f t="shared" ref="U173:U181" ca="1" si="122">IF(R173&gt;0,S173*100/R173,0)</f>
        <v>0</v>
      </c>
    </row>
    <row r="174" spans="1:21" ht="18.75" x14ac:dyDescent="0.25">
      <c r="A174" s="674"/>
      <c r="B174" s="561"/>
      <c r="C174" s="561"/>
      <c r="D174" s="561"/>
      <c r="E174" s="569" t="s">
        <v>20</v>
      </c>
      <c r="F174" s="561"/>
      <c r="G174" s="563"/>
      <c r="H174" s="680" t="s">
        <v>14</v>
      </c>
      <c r="I174" s="565"/>
      <c r="J174" s="565"/>
      <c r="K174" s="566"/>
      <c r="L174" s="571">
        <f t="shared" ref="L174:N175" si="123">L177+L180</f>
        <v>0</v>
      </c>
      <c r="M174" s="572">
        <f t="shared" si="123"/>
        <v>0</v>
      </c>
      <c r="N174" s="572">
        <f t="shared" si="123"/>
        <v>0</v>
      </c>
      <c r="O174" s="572">
        <f t="shared" si="118"/>
        <v>0</v>
      </c>
      <c r="P174" s="572">
        <f t="shared" si="119"/>
        <v>0</v>
      </c>
      <c r="Q174" s="572">
        <f t="shared" ref="Q174:S175" si="124">Q177+Q180</f>
        <v>0</v>
      </c>
      <c r="R174" s="572">
        <f t="shared" si="124"/>
        <v>0</v>
      </c>
      <c r="S174" s="572">
        <f t="shared" si="124"/>
        <v>0</v>
      </c>
      <c r="T174" s="572">
        <f t="shared" si="121"/>
        <v>0</v>
      </c>
      <c r="U174" s="572">
        <f t="shared" si="122"/>
        <v>0</v>
      </c>
    </row>
    <row r="175" spans="1:21" ht="18.75" x14ac:dyDescent="0.25">
      <c r="A175" s="674"/>
      <c r="B175" s="561"/>
      <c r="C175" s="561"/>
      <c r="D175" s="561"/>
      <c r="E175" s="573" t="s">
        <v>21</v>
      </c>
      <c r="F175" s="561"/>
      <c r="G175" s="563"/>
      <c r="H175" s="681" t="s">
        <v>14</v>
      </c>
      <c r="I175" s="565"/>
      <c r="J175" s="565"/>
      <c r="K175" s="566"/>
      <c r="L175" s="567">
        <f t="shared" ca="1" si="123"/>
        <v>19590</v>
      </c>
      <c r="M175" s="568">
        <f t="shared" ca="1" si="123"/>
        <v>38220</v>
      </c>
      <c r="N175" s="568">
        <f t="shared" ca="1" si="123"/>
        <v>38220</v>
      </c>
      <c r="O175" s="568">
        <f t="shared" ca="1" si="118"/>
        <v>195.09954058192955</v>
      </c>
      <c r="P175" s="568">
        <f t="shared" ca="1" si="119"/>
        <v>100</v>
      </c>
      <c r="Q175" s="568">
        <f t="shared" ca="1" si="124"/>
        <v>0</v>
      </c>
      <c r="R175" s="568">
        <f t="shared" ca="1" si="124"/>
        <v>0</v>
      </c>
      <c r="S175" s="568">
        <f t="shared" ca="1" si="124"/>
        <v>0</v>
      </c>
      <c r="T175" s="568">
        <f t="shared" ca="1" si="121"/>
        <v>0</v>
      </c>
      <c r="U175" s="568">
        <f t="shared" ca="1" si="122"/>
        <v>0</v>
      </c>
    </row>
    <row r="176" spans="1:21" ht="18.75" x14ac:dyDescent="0.25">
      <c r="A176" s="674"/>
      <c r="B176" s="561"/>
      <c r="C176" s="561"/>
      <c r="D176" s="562" t="s">
        <v>22</v>
      </c>
      <c r="E176" s="561"/>
      <c r="F176" s="561"/>
      <c r="G176" s="563"/>
      <c r="H176" s="682" t="s">
        <v>14</v>
      </c>
      <c r="I176" s="683"/>
      <c r="J176" s="683"/>
      <c r="K176" s="684"/>
      <c r="L176" s="567">
        <f t="shared" ref="L176:N176" ca="1" si="125">L177+L178</f>
        <v>19590</v>
      </c>
      <c r="M176" s="568">
        <f t="shared" ca="1" si="125"/>
        <v>38220</v>
      </c>
      <c r="N176" s="568">
        <f t="shared" ca="1" si="125"/>
        <v>38220</v>
      </c>
      <c r="O176" s="568">
        <f t="shared" ca="1" si="118"/>
        <v>195.09954058192955</v>
      </c>
      <c r="P176" s="568">
        <f t="shared" ca="1" si="119"/>
        <v>100</v>
      </c>
      <c r="Q176" s="568">
        <f t="shared" ref="Q176:S176" ca="1" si="126">Q177+Q178</f>
        <v>0</v>
      </c>
      <c r="R176" s="568">
        <f t="shared" ca="1" si="126"/>
        <v>0</v>
      </c>
      <c r="S176" s="568">
        <f t="shared" ca="1" si="126"/>
        <v>0</v>
      </c>
      <c r="T176" s="568">
        <f t="shared" ca="1" si="121"/>
        <v>0</v>
      </c>
      <c r="U176" s="568">
        <f t="shared" ca="1" si="122"/>
        <v>0</v>
      </c>
    </row>
    <row r="177" spans="1:21" ht="18.75" x14ac:dyDescent="0.25">
      <c r="A177" s="674"/>
      <c r="B177" s="561"/>
      <c r="C177" s="561"/>
      <c r="D177" s="561"/>
      <c r="E177" s="569" t="s">
        <v>36</v>
      </c>
      <c r="F177" s="561"/>
      <c r="G177" s="563"/>
      <c r="H177" s="685" t="s">
        <v>14</v>
      </c>
      <c r="I177" s="683"/>
      <c r="J177" s="683"/>
      <c r="K177" s="684"/>
      <c r="L177" s="571">
        <v>0</v>
      </c>
      <c r="M177" s="572">
        <v>0</v>
      </c>
      <c r="N177" s="572">
        <v>0</v>
      </c>
      <c r="O177" s="572">
        <f t="shared" si="118"/>
        <v>0</v>
      </c>
      <c r="P177" s="572">
        <f t="shared" si="119"/>
        <v>0</v>
      </c>
      <c r="Q177" s="572">
        <v>0</v>
      </c>
      <c r="R177" s="572">
        <v>0</v>
      </c>
      <c r="S177" s="572">
        <v>0</v>
      </c>
      <c r="T177" s="572">
        <f t="shared" si="121"/>
        <v>0</v>
      </c>
      <c r="U177" s="572">
        <f t="shared" si="122"/>
        <v>0</v>
      </c>
    </row>
    <row r="178" spans="1:21" ht="18.75" x14ac:dyDescent="0.25">
      <c r="A178" s="674"/>
      <c r="B178" s="561"/>
      <c r="C178" s="561"/>
      <c r="D178" s="561"/>
      <c r="E178" s="573" t="s">
        <v>37</v>
      </c>
      <c r="F178" s="561"/>
      <c r="G178" s="563"/>
      <c r="H178" s="682" t="s">
        <v>14</v>
      </c>
      <c r="I178" s="683"/>
      <c r="J178" s="683"/>
      <c r="K178" s="684"/>
      <c r="L178" s="567">
        <f ca="1">IFERROR(__xludf.DUMMYFUNCTION("IMPORTRANGE(""https://docs.google.com/spreadsheets/d/1-uDff_7J0KD5mKrp0Vvzr7lt3OU09vwQwhkpOPPYv2Y/edit?usp=sharing"",""งบพรบ!CK17"")"),19590)</f>
        <v>19590</v>
      </c>
      <c r="M178" s="568">
        <f ca="1">IFERROR(__xludf.DUMMYFUNCTION("IMPORTRANGE(""https://docs.google.com/spreadsheets/d/1-uDff_7J0KD5mKrp0Vvzr7lt3OU09vwQwhkpOPPYv2Y/edit?usp=sharing"",""งบพรบ!CP17"")"),38220)</f>
        <v>38220</v>
      </c>
      <c r="N178" s="568">
        <f ca="1">IFERROR(__xludf.DUMMYFUNCTION("IMPORTRANGE(""https://docs.google.com/spreadsheets/d/1-uDff_7J0KD5mKrp0Vvzr7lt3OU09vwQwhkpOPPYv2Y/edit?usp=sharing"",""งบพรบ!CR17"")"),38220)</f>
        <v>38220</v>
      </c>
      <c r="O178" s="568">
        <f t="shared" ca="1" si="118"/>
        <v>195.09954058192955</v>
      </c>
      <c r="P178" s="568">
        <f t="shared" ca="1" si="119"/>
        <v>100</v>
      </c>
      <c r="Q178" s="568">
        <f ca="1">IFERROR(__xludf.DUMMYFUNCTION("IMPORTRANGE(""https://docs.google.com/spreadsheets/d/1ItG2mGa2ceCfYo0BwxsXqNm01IGEUdYcSSLTEv9YCik/edit?usp=sharing"",""เบิกจ่ายกองทุน!DG17"")"),0)</f>
        <v>0</v>
      </c>
      <c r="R178" s="568">
        <f ca="1">IFERROR(__xludf.DUMMYFUNCTION("IMPORTRANGE(""https://docs.google.com/spreadsheets/d/1ItG2mGa2ceCfYo0BwxsXqNm01IGEUdYcSSLTEv9YCik/edit?usp=sharing"",""เบิกจ่ายกองทุน!DH17"")"),0)</f>
        <v>0</v>
      </c>
      <c r="S178" s="568">
        <f ca="1">IFERROR(__xludf.DUMMYFUNCTION("IMPORTRANGE(""https://docs.google.com/spreadsheets/d/1ItG2mGa2ceCfYo0BwxsXqNm01IGEUdYcSSLTEv9YCik/edit?usp=sharing"",""เบิกจ่ายกองทุน!DI17"")"),0)</f>
        <v>0</v>
      </c>
      <c r="T178" s="568">
        <f t="shared" ca="1" si="121"/>
        <v>0</v>
      </c>
      <c r="U178" s="568">
        <f t="shared" ca="1" si="122"/>
        <v>0</v>
      </c>
    </row>
    <row r="179" spans="1:21" ht="18.75" x14ac:dyDescent="0.25">
      <c r="A179" s="674"/>
      <c r="B179" s="561"/>
      <c r="C179" s="561"/>
      <c r="D179" s="562" t="s">
        <v>23</v>
      </c>
      <c r="E179" s="561"/>
      <c r="F179" s="561"/>
      <c r="G179" s="563"/>
      <c r="H179" s="686" t="s">
        <v>14</v>
      </c>
      <c r="I179" s="683"/>
      <c r="J179" s="683"/>
      <c r="K179" s="684"/>
      <c r="L179" s="567">
        <f t="shared" ref="L179:N179" ca="1" si="127">L180+L181</f>
        <v>0</v>
      </c>
      <c r="M179" s="568">
        <f t="shared" ca="1" si="127"/>
        <v>0</v>
      </c>
      <c r="N179" s="568">
        <f t="shared" ca="1" si="127"/>
        <v>0</v>
      </c>
      <c r="O179" s="568">
        <f t="shared" ca="1" si="118"/>
        <v>0</v>
      </c>
      <c r="P179" s="568">
        <f t="shared" ca="1" si="119"/>
        <v>0</v>
      </c>
      <c r="Q179" s="568">
        <f t="shared" ref="Q179:S179" si="128">Q180+Q181</f>
        <v>0</v>
      </c>
      <c r="R179" s="568">
        <f t="shared" si="128"/>
        <v>0</v>
      </c>
      <c r="S179" s="568">
        <f t="shared" si="128"/>
        <v>0</v>
      </c>
      <c r="T179" s="568">
        <f t="shared" si="121"/>
        <v>0</v>
      </c>
      <c r="U179" s="568">
        <f t="shared" si="122"/>
        <v>0</v>
      </c>
    </row>
    <row r="180" spans="1:21" ht="18.75" x14ac:dyDescent="0.25">
      <c r="A180" s="674"/>
      <c r="B180" s="561"/>
      <c r="C180" s="561"/>
      <c r="D180" s="561"/>
      <c r="E180" s="569" t="s">
        <v>20</v>
      </c>
      <c r="F180" s="561"/>
      <c r="G180" s="563"/>
      <c r="H180" s="685" t="s">
        <v>14</v>
      </c>
      <c r="I180" s="683"/>
      <c r="J180" s="683"/>
      <c r="K180" s="684"/>
      <c r="L180" s="571">
        <v>0</v>
      </c>
      <c r="M180" s="572">
        <v>0</v>
      </c>
      <c r="N180" s="572">
        <v>0</v>
      </c>
      <c r="O180" s="572">
        <f t="shared" si="118"/>
        <v>0</v>
      </c>
      <c r="P180" s="572">
        <f t="shared" si="119"/>
        <v>0</v>
      </c>
      <c r="Q180" s="572">
        <v>0</v>
      </c>
      <c r="R180" s="572">
        <v>0</v>
      </c>
      <c r="S180" s="572">
        <v>0</v>
      </c>
      <c r="T180" s="572">
        <f t="shared" si="121"/>
        <v>0</v>
      </c>
      <c r="U180" s="572">
        <f t="shared" si="122"/>
        <v>0</v>
      </c>
    </row>
    <row r="181" spans="1:21" ht="18.75" x14ac:dyDescent="0.25">
      <c r="A181" s="674"/>
      <c r="B181" s="561"/>
      <c r="C181" s="561"/>
      <c r="D181" s="561"/>
      <c r="E181" s="573" t="s">
        <v>21</v>
      </c>
      <c r="F181" s="561"/>
      <c r="G181" s="563"/>
      <c r="H181" s="686" t="s">
        <v>14</v>
      </c>
      <c r="I181" s="683"/>
      <c r="J181" s="683"/>
      <c r="K181" s="684"/>
      <c r="L181" s="567">
        <f ca="1">IFERROR(__xludf.DUMMYFUNCTION("IMPORTRANGE(""https://docs.google.com/spreadsheets/d/1-uDff_7J0KD5mKrp0Vvzr7lt3OU09vwQwhkpOPPYv2Y/edit?usp=sharing"",""งบพรบ!CN17"")"),0)</f>
        <v>0</v>
      </c>
      <c r="M181" s="568">
        <f ca="1">IFERROR(__xludf.DUMMYFUNCTION("IMPORTRANGE(""https://docs.google.com/spreadsheets/d/1-uDff_7J0KD5mKrp0Vvzr7lt3OU09vwQwhkpOPPYv2Y/edit?usp=sharing"",""งบพรบ!CQ17"")"),0)</f>
        <v>0</v>
      </c>
      <c r="N181" s="568">
        <f ca="1">IFERROR(__xludf.DUMMYFUNCTION("IMPORTRANGE(""https://docs.google.com/spreadsheets/d/1-uDff_7J0KD5mKrp0Vvzr7lt3OU09vwQwhkpOPPYv2Y/edit?usp=sharing"",""งบพรบ!CS17"")"),0)</f>
        <v>0</v>
      </c>
      <c r="O181" s="568">
        <f t="shared" ca="1" si="118"/>
        <v>0</v>
      </c>
      <c r="P181" s="568">
        <f t="shared" ca="1" si="119"/>
        <v>0</v>
      </c>
      <c r="Q181" s="568">
        <v>0</v>
      </c>
      <c r="R181" s="568">
        <v>0</v>
      </c>
      <c r="S181" s="568">
        <v>0</v>
      </c>
      <c r="T181" s="568">
        <f t="shared" si="121"/>
        <v>0</v>
      </c>
      <c r="U181" s="568">
        <f t="shared" si="122"/>
        <v>0</v>
      </c>
    </row>
    <row r="182" spans="1:21" ht="19.5" x14ac:dyDescent="0.3">
      <c r="A182" s="687"/>
      <c r="B182" s="688"/>
      <c r="C182" s="675" t="s">
        <v>18</v>
      </c>
      <c r="D182" s="689" t="s">
        <v>38</v>
      </c>
      <c r="E182" s="690"/>
      <c r="F182" s="690"/>
      <c r="G182" s="691"/>
      <c r="H182" s="725"/>
      <c r="I182" s="565"/>
      <c r="J182" s="565"/>
      <c r="K182" s="566"/>
      <c r="L182" s="574"/>
      <c r="M182" s="566"/>
      <c r="N182" s="566"/>
      <c r="O182" s="566"/>
      <c r="P182" s="566"/>
      <c r="Q182" s="566"/>
      <c r="R182" s="566"/>
      <c r="S182" s="566"/>
      <c r="T182" s="566"/>
      <c r="U182" s="566"/>
    </row>
    <row r="183" spans="1:21" ht="18.75" x14ac:dyDescent="0.25">
      <c r="A183" s="764"/>
      <c r="B183" s="561"/>
      <c r="C183" s="718"/>
      <c r="D183" s="765" t="s">
        <v>75</v>
      </c>
      <c r="E183" s="561"/>
      <c r="F183" s="561"/>
      <c r="G183" s="563"/>
      <c r="H183" s="766" t="s">
        <v>35</v>
      </c>
      <c r="I183" s="708">
        <f ca="1">IFERROR(__xludf.DUMMYFUNCTION("IMPORTRANGE(""https://docs.google.com/spreadsheets/d/1eHaY18a8A9IcSdp1K8H6x8fbOy06t2VsZHhMHf-1x7Y/edit?usp=sharing"",""แผน!AA17"")"),7)</f>
        <v>7</v>
      </c>
      <c r="J183" s="702">
        <v>7</v>
      </c>
      <c r="K183" s="568">
        <f t="shared" ref="K183:K185" ca="1" si="129">IF(I183&gt;0,J183*100/I183,0)</f>
        <v>100</v>
      </c>
      <c r="L183" s="574"/>
      <c r="M183" s="566"/>
      <c r="N183" s="566"/>
      <c r="O183" s="566"/>
      <c r="P183" s="566"/>
      <c r="Q183" s="566"/>
      <c r="R183" s="566"/>
      <c r="S183" s="566"/>
      <c r="T183" s="566"/>
      <c r="U183" s="566"/>
    </row>
    <row r="184" spans="1:21" ht="18.75" x14ac:dyDescent="0.25">
      <c r="A184" s="764"/>
      <c r="B184" s="718"/>
      <c r="C184" s="718"/>
      <c r="D184" s="767" t="s">
        <v>76</v>
      </c>
      <c r="E184" s="561"/>
      <c r="F184" s="561"/>
      <c r="G184" s="563"/>
      <c r="H184" s="768" t="s">
        <v>35</v>
      </c>
      <c r="I184" s="735">
        <v>0</v>
      </c>
      <c r="J184" s="735">
        <v>0</v>
      </c>
      <c r="K184" s="572">
        <f t="shared" si="129"/>
        <v>0</v>
      </c>
      <c r="L184" s="574"/>
      <c r="M184" s="566"/>
      <c r="N184" s="566"/>
      <c r="O184" s="566"/>
      <c r="P184" s="566"/>
      <c r="Q184" s="566"/>
      <c r="R184" s="566"/>
      <c r="S184" s="566"/>
      <c r="T184" s="566"/>
      <c r="U184" s="566"/>
    </row>
    <row r="185" spans="1:21" ht="19.5" x14ac:dyDescent="0.3">
      <c r="A185" s="756"/>
      <c r="B185" s="757" t="s">
        <v>77</v>
      </c>
      <c r="C185" s="758"/>
      <c r="D185" s="690"/>
      <c r="E185" s="690"/>
      <c r="F185" s="690"/>
      <c r="G185" s="691"/>
      <c r="H185" s="759" t="s">
        <v>35</v>
      </c>
      <c r="I185" s="760">
        <f t="shared" ref="I185:J185" ca="1" si="130">I230+I231</f>
        <v>0</v>
      </c>
      <c r="J185" s="760">
        <f t="shared" si="130"/>
        <v>0</v>
      </c>
      <c r="K185" s="761">
        <f t="shared" ca="1" si="129"/>
        <v>0</v>
      </c>
      <c r="L185" s="762"/>
      <c r="M185" s="763"/>
      <c r="N185" s="763"/>
      <c r="O185" s="763"/>
      <c r="P185" s="763"/>
      <c r="Q185" s="763"/>
      <c r="R185" s="763"/>
      <c r="S185" s="763"/>
      <c r="T185" s="763"/>
      <c r="U185" s="763"/>
    </row>
    <row r="186" spans="1:21" ht="19.5" x14ac:dyDescent="0.3">
      <c r="A186" s="674"/>
      <c r="B186" s="561"/>
      <c r="C186" s="675" t="s">
        <v>18</v>
      </c>
      <c r="D186" s="676" t="s">
        <v>19</v>
      </c>
      <c r="E186" s="561"/>
      <c r="F186" s="561"/>
      <c r="G186" s="563"/>
      <c r="H186" s="677" t="s">
        <v>14</v>
      </c>
      <c r="I186" s="565"/>
      <c r="J186" s="565"/>
      <c r="K186" s="566"/>
      <c r="L186" s="678">
        <f t="shared" ref="L186:N186" ca="1" si="131">L187+L188</f>
        <v>224500</v>
      </c>
      <c r="M186" s="679">
        <f t="shared" ca="1" si="131"/>
        <v>224500</v>
      </c>
      <c r="N186" s="679">
        <f t="shared" ca="1" si="131"/>
        <v>166360</v>
      </c>
      <c r="O186" s="679">
        <f t="shared" ref="O186:O194" ca="1" si="132">IF(L186&gt;0,N186*100/L186,0)</f>
        <v>74.102449888641431</v>
      </c>
      <c r="P186" s="679">
        <f t="shared" ref="P186:P194" ca="1" si="133">IF(M186&gt;0,N186*100/M186,0)</f>
        <v>74.102449888641431</v>
      </c>
      <c r="Q186" s="679">
        <f t="shared" ref="Q186:S186" ca="1" si="134">Q187+Q188</f>
        <v>28000</v>
      </c>
      <c r="R186" s="679">
        <f t="shared" ca="1" si="134"/>
        <v>28000</v>
      </c>
      <c r="S186" s="679">
        <f t="shared" ca="1" si="134"/>
        <v>0</v>
      </c>
      <c r="T186" s="679">
        <f t="shared" ref="T186:T194" ca="1" si="135">IF(Q186&gt;0,S186*100/Q186,0)</f>
        <v>0</v>
      </c>
      <c r="U186" s="679">
        <f t="shared" ref="U186:U194" ca="1" si="136">IF(R186&gt;0,S186*100/R186,0)</f>
        <v>0</v>
      </c>
    </row>
    <row r="187" spans="1:21" ht="18.75" x14ac:dyDescent="0.25">
      <c r="A187" s="674"/>
      <c r="B187" s="561"/>
      <c r="C187" s="561"/>
      <c r="D187" s="561"/>
      <c r="E187" s="569" t="s">
        <v>20</v>
      </c>
      <c r="F187" s="561"/>
      <c r="G187" s="563"/>
      <c r="H187" s="680" t="s">
        <v>14</v>
      </c>
      <c r="I187" s="565"/>
      <c r="J187" s="565"/>
      <c r="K187" s="566"/>
      <c r="L187" s="571">
        <f t="shared" ref="L187:N188" si="137">L190+L193</f>
        <v>0</v>
      </c>
      <c r="M187" s="572">
        <f t="shared" si="137"/>
        <v>0</v>
      </c>
      <c r="N187" s="572">
        <f t="shared" si="137"/>
        <v>0</v>
      </c>
      <c r="O187" s="572">
        <f t="shared" si="132"/>
        <v>0</v>
      </c>
      <c r="P187" s="572">
        <f t="shared" si="133"/>
        <v>0</v>
      </c>
      <c r="Q187" s="572">
        <f t="shared" ref="Q187:S188" si="138">Q190+Q193</f>
        <v>0</v>
      </c>
      <c r="R187" s="572">
        <f t="shared" si="138"/>
        <v>0</v>
      </c>
      <c r="S187" s="572">
        <f t="shared" si="138"/>
        <v>0</v>
      </c>
      <c r="T187" s="572">
        <f t="shared" si="135"/>
        <v>0</v>
      </c>
      <c r="U187" s="572">
        <f t="shared" si="136"/>
        <v>0</v>
      </c>
    </row>
    <row r="188" spans="1:21" ht="18.75" x14ac:dyDescent="0.25">
      <c r="A188" s="674"/>
      <c r="B188" s="561"/>
      <c r="C188" s="561"/>
      <c r="D188" s="561"/>
      <c r="E188" s="573" t="s">
        <v>21</v>
      </c>
      <c r="F188" s="561"/>
      <c r="G188" s="563"/>
      <c r="H188" s="681" t="s">
        <v>14</v>
      </c>
      <c r="I188" s="565"/>
      <c r="J188" s="565"/>
      <c r="K188" s="566"/>
      <c r="L188" s="567">
        <f t="shared" ca="1" si="137"/>
        <v>224500</v>
      </c>
      <c r="M188" s="568">
        <f t="shared" ca="1" si="137"/>
        <v>224500</v>
      </c>
      <c r="N188" s="568">
        <f t="shared" ca="1" si="137"/>
        <v>166360</v>
      </c>
      <c r="O188" s="568">
        <f t="shared" ca="1" si="132"/>
        <v>74.102449888641431</v>
      </c>
      <c r="P188" s="568">
        <f t="shared" ca="1" si="133"/>
        <v>74.102449888641431</v>
      </c>
      <c r="Q188" s="568">
        <f t="shared" ca="1" si="138"/>
        <v>28000</v>
      </c>
      <c r="R188" s="568">
        <f t="shared" ca="1" si="138"/>
        <v>28000</v>
      </c>
      <c r="S188" s="568">
        <f t="shared" ca="1" si="138"/>
        <v>0</v>
      </c>
      <c r="T188" s="568">
        <f t="shared" ca="1" si="135"/>
        <v>0</v>
      </c>
      <c r="U188" s="568">
        <f t="shared" ca="1" si="136"/>
        <v>0</v>
      </c>
    </row>
    <row r="189" spans="1:21" ht="18.75" x14ac:dyDescent="0.25">
      <c r="A189" s="674"/>
      <c r="B189" s="561"/>
      <c r="C189" s="561"/>
      <c r="D189" s="562" t="s">
        <v>22</v>
      </c>
      <c r="E189" s="561"/>
      <c r="F189" s="561"/>
      <c r="G189" s="563"/>
      <c r="H189" s="682" t="s">
        <v>14</v>
      </c>
      <c r="I189" s="683"/>
      <c r="J189" s="683"/>
      <c r="K189" s="684"/>
      <c r="L189" s="567">
        <f t="shared" ref="L189:N189" ca="1" si="139">L190+L191</f>
        <v>224500</v>
      </c>
      <c r="M189" s="568">
        <f t="shared" ca="1" si="139"/>
        <v>224500</v>
      </c>
      <c r="N189" s="568">
        <f t="shared" ca="1" si="139"/>
        <v>166360</v>
      </c>
      <c r="O189" s="568">
        <f t="shared" ca="1" si="132"/>
        <v>74.102449888641431</v>
      </c>
      <c r="P189" s="568">
        <f t="shared" ca="1" si="133"/>
        <v>74.102449888641431</v>
      </c>
      <c r="Q189" s="568">
        <f t="shared" ref="Q189:S189" ca="1" si="140">Q190+Q191</f>
        <v>28000</v>
      </c>
      <c r="R189" s="568">
        <f t="shared" ca="1" si="140"/>
        <v>28000</v>
      </c>
      <c r="S189" s="568">
        <f t="shared" ca="1" si="140"/>
        <v>0</v>
      </c>
      <c r="T189" s="568">
        <f t="shared" ca="1" si="135"/>
        <v>0</v>
      </c>
      <c r="U189" s="568">
        <f t="shared" ca="1" si="136"/>
        <v>0</v>
      </c>
    </row>
    <row r="190" spans="1:21" ht="18.75" x14ac:dyDescent="0.25">
      <c r="A190" s="674"/>
      <c r="B190" s="561"/>
      <c r="C190" s="561"/>
      <c r="D190" s="561"/>
      <c r="E190" s="569" t="s">
        <v>36</v>
      </c>
      <c r="F190" s="561"/>
      <c r="G190" s="563"/>
      <c r="H190" s="685" t="s">
        <v>14</v>
      </c>
      <c r="I190" s="683"/>
      <c r="J190" s="683"/>
      <c r="K190" s="684"/>
      <c r="L190" s="571">
        <v>0</v>
      </c>
      <c r="M190" s="572">
        <v>0</v>
      </c>
      <c r="N190" s="572">
        <v>0</v>
      </c>
      <c r="O190" s="572">
        <f t="shared" si="132"/>
        <v>0</v>
      </c>
      <c r="P190" s="572">
        <f t="shared" si="133"/>
        <v>0</v>
      </c>
      <c r="Q190" s="572">
        <v>0</v>
      </c>
      <c r="R190" s="572">
        <v>0</v>
      </c>
      <c r="S190" s="572">
        <v>0</v>
      </c>
      <c r="T190" s="572">
        <f t="shared" si="135"/>
        <v>0</v>
      </c>
      <c r="U190" s="572">
        <f t="shared" si="136"/>
        <v>0</v>
      </c>
    </row>
    <row r="191" spans="1:21" ht="18.75" x14ac:dyDescent="0.25">
      <c r="A191" s="674"/>
      <c r="B191" s="561"/>
      <c r="C191" s="561"/>
      <c r="D191" s="561"/>
      <c r="E191" s="573" t="s">
        <v>37</v>
      </c>
      <c r="F191" s="561"/>
      <c r="G191" s="563"/>
      <c r="H191" s="682" t="s">
        <v>14</v>
      </c>
      <c r="I191" s="683"/>
      <c r="J191" s="683"/>
      <c r="K191" s="684"/>
      <c r="L191" s="567">
        <f ca="1">IFERROR(__xludf.DUMMYFUNCTION("IMPORTRANGE(""https://docs.google.com/spreadsheets/d/1-uDff_7J0KD5mKrp0Vvzr7lt3OU09vwQwhkpOPPYv2Y/edit?usp=sharing"",""งบพรบ!CU17"")"),224500)</f>
        <v>224500</v>
      </c>
      <c r="M191" s="568">
        <f ca="1">IFERROR(__xludf.DUMMYFUNCTION("IMPORTRANGE(""https://docs.google.com/spreadsheets/d/1-uDff_7J0KD5mKrp0Vvzr7lt3OU09vwQwhkpOPPYv2Y/edit?usp=sharing"",""งบพรบ!CZ17"")"),224500)</f>
        <v>224500</v>
      </c>
      <c r="N191" s="568">
        <f ca="1">IFERROR(__xludf.DUMMYFUNCTION("IMPORTRANGE(""https://docs.google.com/spreadsheets/d/1-uDff_7J0KD5mKrp0Vvzr7lt3OU09vwQwhkpOPPYv2Y/edit?usp=sharing"",""งบพรบ!DB17"")"),166360)</f>
        <v>166360</v>
      </c>
      <c r="O191" s="568">
        <f t="shared" ca="1" si="132"/>
        <v>74.102449888641431</v>
      </c>
      <c r="P191" s="568">
        <f t="shared" ca="1" si="133"/>
        <v>74.102449888641431</v>
      </c>
      <c r="Q191" s="568">
        <f ca="1">IFERROR(__xludf.DUMMYFUNCTION("IMPORTRANGE(""https://docs.google.com/spreadsheets/d/1ItG2mGa2ceCfYo0BwxsXqNm01IGEUdYcSSLTEv9YCik/edit?usp=sharing"",""เบิกจ่ายกองทุน!BQ17"")"),28000)</f>
        <v>28000</v>
      </c>
      <c r="R191" s="568">
        <f ca="1">IFERROR(__xludf.DUMMYFUNCTION("IMPORTRANGE(""https://docs.google.com/spreadsheets/d/1ItG2mGa2ceCfYo0BwxsXqNm01IGEUdYcSSLTEv9YCik/edit?usp=sharing"",""เบิกจ่ายกองทุน!BR17"")"),28000)</f>
        <v>28000</v>
      </c>
      <c r="S191" s="568">
        <f ca="1">IFERROR(__xludf.DUMMYFUNCTION("IMPORTRANGE(""https://docs.google.com/spreadsheets/d/1ItG2mGa2ceCfYo0BwxsXqNm01IGEUdYcSSLTEv9YCik/edit?usp=sharing"",""เบิกจ่ายกองทุน!BS17"")"),0)</f>
        <v>0</v>
      </c>
      <c r="T191" s="568">
        <f t="shared" ca="1" si="135"/>
        <v>0</v>
      </c>
      <c r="U191" s="568">
        <f t="shared" ca="1" si="136"/>
        <v>0</v>
      </c>
    </row>
    <row r="192" spans="1:21" ht="18.75" x14ac:dyDescent="0.25">
      <c r="A192" s="674"/>
      <c r="B192" s="561"/>
      <c r="C192" s="561"/>
      <c r="D192" s="562" t="s">
        <v>23</v>
      </c>
      <c r="E192" s="561"/>
      <c r="F192" s="561"/>
      <c r="G192" s="563"/>
      <c r="H192" s="686" t="s">
        <v>14</v>
      </c>
      <c r="I192" s="683"/>
      <c r="J192" s="683"/>
      <c r="K192" s="684"/>
      <c r="L192" s="567">
        <f t="shared" ref="L192:N192" ca="1" si="141">L193+L194</f>
        <v>0</v>
      </c>
      <c r="M192" s="568">
        <f t="shared" ca="1" si="141"/>
        <v>0</v>
      </c>
      <c r="N192" s="568">
        <f t="shared" ca="1" si="141"/>
        <v>0</v>
      </c>
      <c r="O192" s="568">
        <f t="shared" ca="1" si="132"/>
        <v>0</v>
      </c>
      <c r="P192" s="568">
        <f t="shared" ca="1" si="133"/>
        <v>0</v>
      </c>
      <c r="Q192" s="568">
        <f t="shared" ref="Q192:S192" ca="1" si="142">Q193+Q194</f>
        <v>0</v>
      </c>
      <c r="R192" s="568">
        <f t="shared" ca="1" si="142"/>
        <v>0</v>
      </c>
      <c r="S192" s="568">
        <f t="shared" ca="1" si="142"/>
        <v>0</v>
      </c>
      <c r="T192" s="568">
        <f t="shared" ca="1" si="135"/>
        <v>0</v>
      </c>
      <c r="U192" s="568">
        <f t="shared" ca="1" si="136"/>
        <v>0</v>
      </c>
    </row>
    <row r="193" spans="1:21" ht="18.75" x14ac:dyDescent="0.25">
      <c r="A193" s="674"/>
      <c r="B193" s="561"/>
      <c r="C193" s="561"/>
      <c r="D193" s="561"/>
      <c r="E193" s="569" t="s">
        <v>20</v>
      </c>
      <c r="F193" s="561"/>
      <c r="G193" s="563"/>
      <c r="H193" s="685" t="s">
        <v>14</v>
      </c>
      <c r="I193" s="683"/>
      <c r="J193" s="683"/>
      <c r="K193" s="684"/>
      <c r="L193" s="571">
        <v>0</v>
      </c>
      <c r="M193" s="572">
        <v>0</v>
      </c>
      <c r="N193" s="572">
        <v>0</v>
      </c>
      <c r="O193" s="572">
        <f t="shared" si="132"/>
        <v>0</v>
      </c>
      <c r="P193" s="572">
        <f t="shared" si="133"/>
        <v>0</v>
      </c>
      <c r="Q193" s="572">
        <v>0</v>
      </c>
      <c r="R193" s="572">
        <v>0</v>
      </c>
      <c r="S193" s="572">
        <v>0</v>
      </c>
      <c r="T193" s="572">
        <f t="shared" si="135"/>
        <v>0</v>
      </c>
      <c r="U193" s="572">
        <f t="shared" si="136"/>
        <v>0</v>
      </c>
    </row>
    <row r="194" spans="1:21" ht="18.75" x14ac:dyDescent="0.25">
      <c r="A194" s="674"/>
      <c r="B194" s="561"/>
      <c r="C194" s="561"/>
      <c r="D194" s="561"/>
      <c r="E194" s="573" t="s">
        <v>21</v>
      </c>
      <c r="F194" s="561"/>
      <c r="G194" s="563"/>
      <c r="H194" s="686" t="s">
        <v>14</v>
      </c>
      <c r="I194" s="683"/>
      <c r="J194" s="683"/>
      <c r="K194" s="684"/>
      <c r="L194" s="567">
        <f ca="1">IFERROR(__xludf.DUMMYFUNCTION("IMPORTRANGE(""https://docs.google.com/spreadsheets/d/1-uDff_7J0KD5mKrp0Vvzr7lt3OU09vwQwhkpOPPYv2Y/edit?usp=sharing"",""งบพรบ!CX17"")"),0)</f>
        <v>0</v>
      </c>
      <c r="M194" s="568">
        <f ca="1">IFERROR(__xludf.DUMMYFUNCTION("IMPORTRANGE(""https://docs.google.com/spreadsheets/d/1-uDff_7J0KD5mKrp0Vvzr7lt3OU09vwQwhkpOPPYv2Y/edit?usp=sharing"",""งบพรบ!DA17"")"),0)</f>
        <v>0</v>
      </c>
      <c r="N194" s="568">
        <f ca="1">IFERROR(__xludf.DUMMYFUNCTION("IMPORTRANGE(""https://docs.google.com/spreadsheets/d/1-uDff_7J0KD5mKrp0Vvzr7lt3OU09vwQwhkpOPPYv2Y/edit?usp=sharing"",""งบพรบ!DC17"")"),0)</f>
        <v>0</v>
      </c>
      <c r="O194" s="568">
        <f t="shared" ca="1" si="132"/>
        <v>0</v>
      </c>
      <c r="P194" s="568">
        <f t="shared" ca="1" si="133"/>
        <v>0</v>
      </c>
      <c r="Q194" s="568">
        <f ca="1">IFERROR(__xludf.DUMMYFUNCTION("IMPORTRANGE(""https://docs.google.com/spreadsheets/d/1ItG2mGa2ceCfYo0BwxsXqNm01IGEUdYcSSLTEv9YCik/edit?usp=sharing"",""เบิกจ่ายกองทุน!BT17"")"),0)</f>
        <v>0</v>
      </c>
      <c r="R194" s="568">
        <f ca="1">IFERROR(__xludf.DUMMYFUNCTION("IMPORTRANGE(""https://docs.google.com/spreadsheets/d/1ItG2mGa2ceCfYo0BwxsXqNm01IGEUdYcSSLTEv9YCik/edit?usp=sharing"",""เบิกจ่ายกองทุน!BU17"")"),0)</f>
        <v>0</v>
      </c>
      <c r="S194" s="568">
        <f ca="1">IFERROR(__xludf.DUMMYFUNCTION("IMPORTRANGE(""https://docs.google.com/spreadsheets/d/1ItG2mGa2ceCfYo0BwxsXqNm01IGEUdYcSSLTEv9YCik/edit?usp=sharing"",""เบิกจ่ายกองทุน!BV17"")"),0)</f>
        <v>0</v>
      </c>
      <c r="T194" s="568">
        <f t="shared" ca="1" si="135"/>
        <v>0</v>
      </c>
      <c r="U194" s="568">
        <f t="shared" ca="1" si="136"/>
        <v>0</v>
      </c>
    </row>
    <row r="195" spans="1:21" ht="19.5" x14ac:dyDescent="0.3">
      <c r="A195" s="769"/>
      <c r="B195" s="770"/>
      <c r="C195" s="771" t="s">
        <v>78</v>
      </c>
      <c r="D195" s="772"/>
      <c r="E195" s="772"/>
      <c r="F195" s="772"/>
      <c r="G195" s="773"/>
      <c r="H195" s="774" t="s">
        <v>79</v>
      </c>
      <c r="I195" s="775">
        <f t="shared" ref="I195:J195" ca="1" si="143">I198</f>
        <v>4</v>
      </c>
      <c r="J195" s="775">
        <f t="shared" si="143"/>
        <v>2</v>
      </c>
      <c r="K195" s="776">
        <f ca="1">IF(I195&gt;0,J195*100/I195,0)</f>
        <v>50</v>
      </c>
      <c r="L195" s="777"/>
      <c r="M195" s="778"/>
      <c r="N195" s="778"/>
      <c r="O195" s="778"/>
      <c r="P195" s="778"/>
      <c r="Q195" s="778"/>
      <c r="R195" s="778"/>
      <c r="S195" s="778"/>
      <c r="T195" s="778"/>
      <c r="U195" s="778"/>
    </row>
    <row r="196" spans="1:21" ht="19.5" x14ac:dyDescent="0.3">
      <c r="A196" s="674"/>
      <c r="B196" s="561"/>
      <c r="C196" s="675" t="s">
        <v>18</v>
      </c>
      <c r="D196" s="779" t="s">
        <v>19</v>
      </c>
      <c r="E196" s="561"/>
      <c r="F196" s="561"/>
      <c r="G196" s="563"/>
      <c r="H196" s="780" t="s">
        <v>14</v>
      </c>
      <c r="I196" s="565"/>
      <c r="J196" s="565"/>
      <c r="K196" s="566"/>
      <c r="L196" s="678">
        <f ca="1">IFERROR(__xludf.DUMMYFUNCTION("IMPORTRANGE(""https://docs.google.com/spreadsheets/d/1eHaY18a8A9IcSdp1K8H6x8fbOy06t2VsZHhMHf-1x7Y/edit?usp=sharing"",""แผน!AB17"")"),6000)</f>
        <v>6000</v>
      </c>
      <c r="M196" s="566"/>
      <c r="N196" s="781">
        <v>0</v>
      </c>
      <c r="O196" s="679">
        <f ca="1">IF(L196&gt;0,N196*100/L196,0)</f>
        <v>0</v>
      </c>
      <c r="P196" s="679">
        <f>IF(M196&gt;0,N196*100/M196,0)</f>
        <v>0</v>
      </c>
      <c r="Q196" s="566"/>
      <c r="R196" s="566"/>
      <c r="S196" s="566"/>
      <c r="T196" s="566"/>
      <c r="U196" s="566"/>
    </row>
    <row r="197" spans="1:21" ht="19.5" x14ac:dyDescent="0.3">
      <c r="A197" s="687"/>
      <c r="B197" s="688"/>
      <c r="C197" s="675" t="s">
        <v>18</v>
      </c>
      <c r="D197" s="689" t="s">
        <v>38</v>
      </c>
      <c r="E197" s="690"/>
      <c r="F197" s="690"/>
      <c r="G197" s="691"/>
      <c r="H197" s="692"/>
      <c r="I197" s="565"/>
      <c r="J197" s="565"/>
      <c r="K197" s="566"/>
      <c r="L197" s="574"/>
      <c r="M197" s="566"/>
      <c r="N197" s="566"/>
      <c r="O197" s="566"/>
      <c r="P197" s="566"/>
      <c r="Q197" s="566"/>
      <c r="R197" s="566"/>
      <c r="S197" s="566"/>
      <c r="T197" s="566"/>
      <c r="U197" s="566"/>
    </row>
    <row r="198" spans="1:21" ht="18.75" x14ac:dyDescent="0.25">
      <c r="A198" s="687"/>
      <c r="B198" s="688"/>
      <c r="C198" s="688"/>
      <c r="D198" s="699" t="s">
        <v>80</v>
      </c>
      <c r="E198" s="695"/>
      <c r="F198" s="695"/>
      <c r="G198" s="692"/>
      <c r="H198" s="700" t="s">
        <v>79</v>
      </c>
      <c r="I198" s="708">
        <f ca="1">IFERROR(__xludf.DUMMYFUNCTION("IMPORTRANGE(""https://docs.google.com/spreadsheets/d/1eHaY18a8A9IcSdp1K8H6x8fbOy06t2VsZHhMHf-1x7Y/edit?usp=sharing"",""แผน!AE17"")"),4)</f>
        <v>4</v>
      </c>
      <c r="J198" s="702">
        <v>2</v>
      </c>
      <c r="K198" s="568">
        <f ca="1">IF(I198&gt;0,J198*100/I198,0)</f>
        <v>50</v>
      </c>
      <c r="L198" s="574"/>
      <c r="M198" s="566"/>
      <c r="N198" s="566"/>
      <c r="O198" s="566"/>
      <c r="P198" s="566"/>
      <c r="Q198" s="566"/>
      <c r="R198" s="566"/>
      <c r="S198" s="566"/>
      <c r="T198" s="566"/>
      <c r="U198" s="566"/>
    </row>
    <row r="199" spans="1:21" ht="18.75" x14ac:dyDescent="0.25">
      <c r="A199" s="687"/>
      <c r="B199" s="688"/>
      <c r="C199" s="688"/>
      <c r="D199" s="699" t="s">
        <v>81</v>
      </c>
      <c r="E199" s="695"/>
      <c r="F199" s="695"/>
      <c r="G199" s="692"/>
      <c r="H199" s="766" t="s">
        <v>35</v>
      </c>
      <c r="I199" s="565"/>
      <c r="J199" s="708">
        <f>J200+J201</f>
        <v>30</v>
      </c>
      <c r="K199" s="566"/>
      <c r="L199" s="574"/>
      <c r="M199" s="566"/>
      <c r="N199" s="566"/>
      <c r="O199" s="566"/>
      <c r="P199" s="566"/>
      <c r="Q199" s="566"/>
      <c r="R199" s="566"/>
      <c r="S199" s="566"/>
      <c r="T199" s="566"/>
      <c r="U199" s="566"/>
    </row>
    <row r="200" spans="1:21" ht="18.75" x14ac:dyDescent="0.25">
      <c r="A200" s="687"/>
      <c r="B200" s="688"/>
      <c r="C200" s="688"/>
      <c r="D200" s="688"/>
      <c r="E200" s="699" t="s">
        <v>82</v>
      </c>
      <c r="F200" s="695"/>
      <c r="G200" s="692"/>
      <c r="H200" s="766" t="s">
        <v>35</v>
      </c>
      <c r="I200" s="565"/>
      <c r="J200" s="702">
        <v>30</v>
      </c>
      <c r="K200" s="566"/>
      <c r="L200" s="574"/>
      <c r="M200" s="566"/>
      <c r="N200" s="566"/>
      <c r="O200" s="566"/>
      <c r="P200" s="566"/>
      <c r="Q200" s="566"/>
      <c r="R200" s="566"/>
      <c r="S200" s="566"/>
      <c r="T200" s="566"/>
      <c r="U200" s="566"/>
    </row>
    <row r="201" spans="1:21" ht="18.75" x14ac:dyDescent="0.25">
      <c r="A201" s="687"/>
      <c r="B201" s="688"/>
      <c r="C201" s="688"/>
      <c r="D201" s="688"/>
      <c r="E201" s="699" t="s">
        <v>83</v>
      </c>
      <c r="F201" s="695"/>
      <c r="G201" s="692"/>
      <c r="H201" s="766" t="s">
        <v>35</v>
      </c>
      <c r="I201" s="565"/>
      <c r="J201" s="702">
        <v>0</v>
      </c>
      <c r="K201" s="566"/>
      <c r="L201" s="574"/>
      <c r="M201" s="566"/>
      <c r="N201" s="566"/>
      <c r="O201" s="566"/>
      <c r="P201" s="566"/>
      <c r="Q201" s="566"/>
      <c r="R201" s="566"/>
      <c r="S201" s="566"/>
      <c r="T201" s="566"/>
      <c r="U201" s="566"/>
    </row>
    <row r="202" spans="1:21" ht="19.5" x14ac:dyDescent="0.3">
      <c r="A202" s="769"/>
      <c r="B202" s="770"/>
      <c r="C202" s="771" t="s">
        <v>84</v>
      </c>
      <c r="D202" s="772"/>
      <c r="E202" s="772"/>
      <c r="F202" s="772"/>
      <c r="G202" s="773"/>
      <c r="H202" s="782" t="s">
        <v>85</v>
      </c>
      <c r="I202" s="775">
        <f t="shared" ref="I202:J202" ca="1" si="144">I209</f>
        <v>3</v>
      </c>
      <c r="J202" s="775">
        <f t="shared" si="144"/>
        <v>1</v>
      </c>
      <c r="K202" s="776">
        <f ca="1">IF(I202&gt;0,J202*100/I202,0)</f>
        <v>33.333333333333336</v>
      </c>
      <c r="L202" s="777"/>
      <c r="M202" s="778"/>
      <c r="N202" s="778"/>
      <c r="O202" s="778"/>
      <c r="P202" s="778"/>
      <c r="Q202" s="778"/>
      <c r="R202" s="778"/>
      <c r="S202" s="778"/>
      <c r="T202" s="778"/>
      <c r="U202" s="778"/>
    </row>
    <row r="203" spans="1:21" ht="19.5" x14ac:dyDescent="0.3">
      <c r="A203" s="674"/>
      <c r="B203" s="561"/>
      <c r="C203" s="675" t="s">
        <v>18</v>
      </c>
      <c r="D203" s="779" t="s">
        <v>19</v>
      </c>
      <c r="E203" s="561"/>
      <c r="F203" s="561"/>
      <c r="G203" s="563"/>
      <c r="H203" s="780" t="s">
        <v>14</v>
      </c>
      <c r="I203" s="683"/>
      <c r="J203" s="683"/>
      <c r="K203" s="684"/>
      <c r="L203" s="678">
        <f ca="1">L204+L205+L206+L207</f>
        <v>18000</v>
      </c>
      <c r="M203" s="566"/>
      <c r="N203" s="679">
        <f>N204+N205+N206+N207</f>
        <v>0</v>
      </c>
      <c r="O203" s="679">
        <f ca="1">IF(L203&gt;0,N203*100/L203,0)</f>
        <v>0</v>
      </c>
      <c r="P203" s="679">
        <f>IF(M203&gt;0,N203*100/M203,0)</f>
        <v>0</v>
      </c>
      <c r="Q203" s="783">
        <f ca="1">Q204+Q205+Q206+Q207</f>
        <v>28000</v>
      </c>
      <c r="R203" s="784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 x14ac:dyDescent="0.25">
      <c r="A204" s="674"/>
      <c r="B204" s="718"/>
      <c r="C204" s="561"/>
      <c r="D204" s="788" t="s">
        <v>317</v>
      </c>
      <c r="E204" s="561"/>
      <c r="F204" s="561"/>
      <c r="G204" s="563"/>
      <c r="H204" s="682" t="s">
        <v>14</v>
      </c>
      <c r="I204" s="683"/>
      <c r="J204" s="683"/>
      <c r="K204" s="684"/>
      <c r="L204" s="567">
        <f ca="1">IFERROR(__xludf.DUMMYFUNCTION("IMPORTRANGE(""https://docs.google.com/spreadsheets/d/1eHaY18a8A9IcSdp1K8H6x8fbOy06t2VsZHhMHf-1x7Y/edit?usp=sharing"",""แผน!AG17"")"),1000)</f>
        <v>1000</v>
      </c>
      <c r="M204" s="566"/>
      <c r="N204" s="786">
        <v>0</v>
      </c>
      <c r="O204" s="684"/>
      <c r="P204" s="566"/>
      <c r="Q204" s="567">
        <v>0</v>
      </c>
      <c r="R204" s="566"/>
      <c r="S204" s="568">
        <v>0</v>
      </c>
      <c r="T204" s="684"/>
      <c r="U204" s="566"/>
    </row>
    <row r="205" spans="1:21" ht="18.75" x14ac:dyDescent="0.25">
      <c r="A205" s="764"/>
      <c r="B205" s="718"/>
      <c r="C205" s="561"/>
      <c r="D205" s="573" t="s">
        <v>301</v>
      </c>
      <c r="E205" s="561"/>
      <c r="F205" s="561"/>
      <c r="G205" s="563"/>
      <c r="H205" s="564" t="s">
        <v>14</v>
      </c>
      <c r="I205" s="565"/>
      <c r="J205" s="565"/>
      <c r="K205" s="566"/>
      <c r="L205" s="567">
        <f ca="1">IFERROR(__xludf.DUMMYFUNCTION("IMPORTRANGE(""https://docs.google.com/spreadsheets/d/1eHaY18a8A9IcSdp1K8H6x8fbOy06t2VsZHhMHf-1x7Y/edit?usp=sharing"",""แผน!AH17"")"),0)</f>
        <v>0</v>
      </c>
      <c r="M205" s="566"/>
      <c r="N205" s="786">
        <v>0</v>
      </c>
      <c r="O205" s="684"/>
      <c r="P205" s="566"/>
      <c r="Q205" s="567">
        <v>0</v>
      </c>
      <c r="R205" s="566"/>
      <c r="S205" s="568">
        <v>0</v>
      </c>
      <c r="T205" s="684"/>
      <c r="U205" s="566"/>
    </row>
    <row r="206" spans="1:21" ht="18.75" x14ac:dyDescent="0.25">
      <c r="A206" s="764"/>
      <c r="B206" s="718"/>
      <c r="C206" s="561"/>
      <c r="D206" s="573" t="s">
        <v>88</v>
      </c>
      <c r="E206" s="561"/>
      <c r="F206" s="561"/>
      <c r="G206" s="563"/>
      <c r="H206" s="564" t="s">
        <v>14</v>
      </c>
      <c r="I206" s="565"/>
      <c r="J206" s="565"/>
      <c r="K206" s="566"/>
      <c r="L206" s="567">
        <f ca="1">IFERROR(__xludf.DUMMYFUNCTION("IMPORTRANGE(""https://docs.google.com/spreadsheets/d/1eHaY18a8A9IcSdp1K8H6x8fbOy06t2VsZHhMHf-1x7Y/edit?usp=sharing"",""แผน!AI17"")"),8000)</f>
        <v>8000</v>
      </c>
      <c r="M206" s="566"/>
      <c r="N206" s="786">
        <v>0</v>
      </c>
      <c r="O206" s="684"/>
      <c r="P206" s="566"/>
      <c r="Q206" s="567">
        <f ca="1">IFERROR(__xludf.DUMMYFUNCTION("IMPORTRANGE(""https://docs.google.com/spreadsheets/d/1eHaY18a8A9IcSdp1K8H6x8fbOy06t2VsZHhMHf-1x7Y/edit?usp=sharing"",""แผน!LV17"")"),28000)</f>
        <v>28000</v>
      </c>
      <c r="R206" s="566"/>
      <c r="S206" s="786">
        <v>0</v>
      </c>
      <c r="T206" s="684"/>
      <c r="U206" s="566"/>
    </row>
    <row r="207" spans="1:21" ht="18.75" x14ac:dyDescent="0.25">
      <c r="A207" s="764"/>
      <c r="B207" s="718"/>
      <c r="C207" s="561"/>
      <c r="D207" s="573" t="s">
        <v>89</v>
      </c>
      <c r="E207" s="561"/>
      <c r="F207" s="561"/>
      <c r="G207" s="563"/>
      <c r="H207" s="564" t="s">
        <v>14</v>
      </c>
      <c r="I207" s="565"/>
      <c r="J207" s="565"/>
      <c r="K207" s="566"/>
      <c r="L207" s="567">
        <f ca="1">IFERROR(__xludf.DUMMYFUNCTION("IMPORTRANGE(""https://docs.google.com/spreadsheets/d/1eHaY18a8A9IcSdp1K8H6x8fbOy06t2VsZHhMHf-1x7Y/edit?usp=sharing"",""แผน!AJ17"")"),9000)</f>
        <v>9000</v>
      </c>
      <c r="M207" s="566"/>
      <c r="N207" s="786">
        <v>0</v>
      </c>
      <c r="O207" s="684"/>
      <c r="P207" s="566"/>
      <c r="Q207" s="567">
        <v>0</v>
      </c>
      <c r="R207" s="566"/>
      <c r="S207" s="568">
        <v>0</v>
      </c>
      <c r="T207" s="684"/>
      <c r="U207" s="566"/>
    </row>
    <row r="208" spans="1:21" ht="19.5" x14ac:dyDescent="0.3">
      <c r="A208" s="687"/>
      <c r="B208" s="688"/>
      <c r="C208" s="675" t="s">
        <v>18</v>
      </c>
      <c r="D208" s="689" t="s">
        <v>38</v>
      </c>
      <c r="E208" s="690"/>
      <c r="F208" s="690"/>
      <c r="G208" s="691"/>
      <c r="H208" s="692"/>
      <c r="I208" s="683"/>
      <c r="J208" s="683"/>
      <c r="K208" s="684"/>
      <c r="L208" s="693"/>
      <c r="M208" s="684"/>
      <c r="N208" s="684"/>
      <c r="O208" s="684"/>
      <c r="P208" s="684"/>
      <c r="Q208" s="693"/>
      <c r="R208" s="684"/>
      <c r="S208" s="684"/>
      <c r="T208" s="684"/>
      <c r="U208" s="684"/>
    </row>
    <row r="209" spans="1:21" ht="18.75" x14ac:dyDescent="0.25">
      <c r="A209" s="687"/>
      <c r="B209" s="688"/>
      <c r="C209" s="688"/>
      <c r="D209" s="694" t="s">
        <v>90</v>
      </c>
      <c r="E209" s="695"/>
      <c r="F209" s="695"/>
      <c r="G209" s="692"/>
      <c r="H209" s="787" t="s">
        <v>85</v>
      </c>
      <c r="I209" s="708">
        <f ca="1">IFERROR(__xludf.DUMMYFUNCTION("IMPORTRANGE(""https://docs.google.com/spreadsheets/d/1eHaY18a8A9IcSdp1K8H6x8fbOy06t2VsZHhMHf-1x7Y/edit?usp=sharing"",""แผน!AK17"")"),3)</f>
        <v>3</v>
      </c>
      <c r="J209" s="702">
        <v>1</v>
      </c>
      <c r="K209" s="703">
        <f ca="1">IF(I209&gt;0,J209*100/I209,0)</f>
        <v>33.333333333333336</v>
      </c>
      <c r="L209" s="574"/>
      <c r="M209" s="566"/>
      <c r="N209" s="566"/>
      <c r="O209" s="566"/>
      <c r="P209" s="566"/>
      <c r="Q209" s="574"/>
      <c r="R209" s="566"/>
      <c r="S209" s="566"/>
      <c r="T209" s="566"/>
      <c r="U209" s="566"/>
    </row>
    <row r="210" spans="1:21" ht="18.75" x14ac:dyDescent="0.25">
      <c r="A210" s="687"/>
      <c r="B210" s="688"/>
      <c r="C210" s="688"/>
      <c r="D210" s="699" t="s">
        <v>50</v>
      </c>
      <c r="E210" s="695"/>
      <c r="F210" s="695"/>
      <c r="G210" s="692"/>
      <c r="H210" s="692"/>
      <c r="I210" s="565"/>
      <c r="J210" s="565"/>
      <c r="K210" s="684"/>
      <c r="L210" s="574"/>
      <c r="M210" s="566"/>
      <c r="N210" s="566"/>
      <c r="O210" s="566"/>
      <c r="P210" s="566"/>
      <c r="Q210" s="574"/>
      <c r="R210" s="566"/>
      <c r="S210" s="566"/>
      <c r="T210" s="566"/>
      <c r="U210" s="566"/>
    </row>
    <row r="211" spans="1:21" ht="18.75" x14ac:dyDescent="0.25">
      <c r="A211" s="687"/>
      <c r="B211" s="688"/>
      <c r="C211" s="688"/>
      <c r="D211" s="695"/>
      <c r="E211" s="699" t="s">
        <v>91</v>
      </c>
      <c r="F211" s="695"/>
      <c r="G211" s="692"/>
      <c r="H211" s="787" t="s">
        <v>85</v>
      </c>
      <c r="I211" s="708">
        <f ca="1">IFERROR(__xludf.DUMMYFUNCTION("IMPORTRANGE(""https://docs.google.com/spreadsheets/d/1eHaY18a8A9IcSdp1K8H6x8fbOy06t2VsZHhMHf-1x7Y/edit?usp=sharing"",""แผน!JX17"")"),1)</f>
        <v>1</v>
      </c>
      <c r="J211" s="702">
        <v>0</v>
      </c>
      <c r="K211" s="703">
        <f t="shared" ref="K211:K213" ca="1" si="145">IF(I211&gt;0,J211*100/I211,0)</f>
        <v>0</v>
      </c>
      <c r="L211" s="574"/>
      <c r="M211" s="566"/>
      <c r="N211" s="566"/>
      <c r="O211" s="566"/>
      <c r="P211" s="566"/>
      <c r="Q211" s="574"/>
      <c r="R211" s="566"/>
      <c r="S211" s="566"/>
      <c r="T211" s="566"/>
      <c r="U211" s="566"/>
    </row>
    <row r="212" spans="1:21" ht="18.75" x14ac:dyDescent="0.25">
      <c r="A212" s="687"/>
      <c r="B212" s="688"/>
      <c r="C212" s="688"/>
      <c r="D212" s="695"/>
      <c r="E212" s="699" t="s">
        <v>92</v>
      </c>
      <c r="F212" s="695"/>
      <c r="G212" s="695"/>
      <c r="H212" s="700" t="s">
        <v>93</v>
      </c>
      <c r="I212" s="708">
        <f ca="1">IFERROR(__xludf.DUMMYFUNCTION("IMPORTRANGE(""https://docs.google.com/spreadsheets/d/1eHaY18a8A9IcSdp1K8H6x8fbOy06t2VsZHhMHf-1x7Y/edit?usp=sharing"",""แผน!JY17"")"),1)</f>
        <v>1</v>
      </c>
      <c r="J212" s="702">
        <v>0</v>
      </c>
      <c r="K212" s="703">
        <f t="shared" ca="1" si="145"/>
        <v>0</v>
      </c>
      <c r="L212" s="574"/>
      <c r="M212" s="566"/>
      <c r="N212" s="566"/>
      <c r="O212" s="566"/>
      <c r="P212" s="566"/>
      <c r="Q212" s="574"/>
      <c r="R212" s="566"/>
      <c r="S212" s="566"/>
      <c r="T212" s="566"/>
      <c r="U212" s="566"/>
    </row>
    <row r="213" spans="1:21" ht="19.5" x14ac:dyDescent="0.3">
      <c r="A213" s="769"/>
      <c r="B213" s="770"/>
      <c r="C213" s="771" t="s">
        <v>94</v>
      </c>
      <c r="D213" s="772"/>
      <c r="E213" s="772"/>
      <c r="F213" s="772"/>
      <c r="G213" s="773"/>
      <c r="H213" s="782" t="s">
        <v>85</v>
      </c>
      <c r="I213" s="775">
        <f t="shared" ref="I213:J213" ca="1" si="146">I220</f>
        <v>0</v>
      </c>
      <c r="J213" s="775">
        <f t="shared" si="146"/>
        <v>0</v>
      </c>
      <c r="K213" s="776">
        <f t="shared" ca="1" si="145"/>
        <v>0</v>
      </c>
      <c r="L213" s="777"/>
      <c r="M213" s="778"/>
      <c r="N213" s="778"/>
      <c r="O213" s="778"/>
      <c r="P213" s="778"/>
      <c r="Q213" s="777"/>
      <c r="R213" s="778"/>
      <c r="S213" s="778"/>
      <c r="T213" s="778"/>
      <c r="U213" s="778"/>
    </row>
    <row r="214" spans="1:21" ht="19.5" x14ac:dyDescent="0.3">
      <c r="A214" s="674"/>
      <c r="B214" s="561"/>
      <c r="C214" s="675" t="s">
        <v>18</v>
      </c>
      <c r="D214" s="779" t="s">
        <v>19</v>
      </c>
      <c r="E214" s="561"/>
      <c r="F214" s="561"/>
      <c r="G214" s="563"/>
      <c r="H214" s="780" t="s">
        <v>14</v>
      </c>
      <c r="I214" s="683"/>
      <c r="J214" s="683"/>
      <c r="K214" s="684"/>
      <c r="L214" s="678">
        <f ca="1">L215+L216+L217</f>
        <v>0</v>
      </c>
      <c r="M214" s="566"/>
      <c r="N214" s="679">
        <f>N215+N216+N217</f>
        <v>0</v>
      </c>
      <c r="O214" s="679">
        <f ca="1">IF(L214&gt;0,N214*100/L214,0)</f>
        <v>0</v>
      </c>
      <c r="P214" s="679">
        <f>IF(M214&gt;0,N214*100/M214,0)</f>
        <v>0</v>
      </c>
      <c r="Q214" s="678">
        <f ca="1">Q215+Q216+Q217</f>
        <v>0</v>
      </c>
      <c r="R214" s="566"/>
      <c r="S214" s="679">
        <f>S215+S216+S217</f>
        <v>229220</v>
      </c>
      <c r="T214" s="679">
        <f ca="1">IF(Q214&gt;0,S214*100/Q214,0)</f>
        <v>0</v>
      </c>
      <c r="U214" s="679">
        <f>IF(R214&gt;0,S214*100/R214,0)</f>
        <v>0</v>
      </c>
    </row>
    <row r="215" spans="1:21" ht="18.75" x14ac:dyDescent="0.25">
      <c r="A215" s="674"/>
      <c r="B215" s="718"/>
      <c r="C215" s="561"/>
      <c r="D215" s="573" t="s">
        <v>86</v>
      </c>
      <c r="E215" s="561"/>
      <c r="F215" s="561"/>
      <c r="G215" s="563"/>
      <c r="H215" s="682" t="s">
        <v>14</v>
      </c>
      <c r="I215" s="683"/>
      <c r="J215" s="683"/>
      <c r="K215" s="684"/>
      <c r="L215" s="567">
        <f ca="1">IFERROR(__xludf.DUMMYFUNCTION("IMPORTRANGE(""https://docs.google.com/spreadsheets/d/1eHaY18a8A9IcSdp1K8H6x8fbOy06t2VsZHhMHf-1x7Y/edit?usp=sharing"",""แผน!AM17"")"),0)</f>
        <v>0</v>
      </c>
      <c r="M215" s="566"/>
      <c r="N215" s="786">
        <v>0</v>
      </c>
      <c r="O215" s="684"/>
      <c r="P215" s="566"/>
      <c r="Q215" s="567">
        <v>0</v>
      </c>
      <c r="R215" s="566"/>
      <c r="S215" s="568">
        <v>0</v>
      </c>
      <c r="T215" s="684"/>
      <c r="U215" s="566"/>
    </row>
    <row r="216" spans="1:21" ht="18.75" x14ac:dyDescent="0.25">
      <c r="A216" s="764"/>
      <c r="B216" s="718"/>
      <c r="C216" s="718"/>
      <c r="D216" s="573" t="s">
        <v>95</v>
      </c>
      <c r="E216" s="561"/>
      <c r="F216" s="561"/>
      <c r="G216" s="563"/>
      <c r="H216" s="682" t="s">
        <v>14</v>
      </c>
      <c r="I216" s="565"/>
      <c r="J216" s="565"/>
      <c r="K216" s="566"/>
      <c r="L216" s="567">
        <f ca="1">IFERROR(__xludf.DUMMYFUNCTION("IMPORTRANGE(""https://docs.google.com/spreadsheets/d/1eHaY18a8A9IcSdp1K8H6x8fbOy06t2VsZHhMHf-1x7Y/edit?usp=sharing"",""แผน!AN17"")"),0)</f>
        <v>0</v>
      </c>
      <c r="M216" s="566"/>
      <c r="N216" s="786">
        <v>0</v>
      </c>
      <c r="O216" s="684"/>
      <c r="P216" s="566"/>
      <c r="Q216" s="567">
        <v>0</v>
      </c>
      <c r="R216" s="566"/>
      <c r="S216" s="568">
        <v>0</v>
      </c>
      <c r="T216" s="684"/>
      <c r="U216" s="566"/>
    </row>
    <row r="217" spans="1:21" ht="18.75" x14ac:dyDescent="0.25">
      <c r="A217" s="764"/>
      <c r="B217" s="718"/>
      <c r="C217" s="718"/>
      <c r="D217" s="573" t="s">
        <v>88</v>
      </c>
      <c r="E217" s="561"/>
      <c r="F217" s="561"/>
      <c r="G217" s="563"/>
      <c r="H217" s="682" t="s">
        <v>14</v>
      </c>
      <c r="I217" s="565"/>
      <c r="J217" s="565"/>
      <c r="K217" s="566"/>
      <c r="L217" s="567">
        <f ca="1">IFERROR(__xludf.DUMMYFUNCTION("IMPORTRANGE(""https://docs.google.com/spreadsheets/d/1eHaY18a8A9IcSdp1K8H6x8fbOy06t2VsZHhMHf-1x7Y/edit?usp=sharing"",""แผน!AO17"")"),0)</f>
        <v>0</v>
      </c>
      <c r="M217" s="566"/>
      <c r="N217" s="786">
        <v>0</v>
      </c>
      <c r="O217" s="684"/>
      <c r="P217" s="566"/>
      <c r="Q217" s="567">
        <f ca="1">IFERROR(__xludf.DUMMYFUNCTION("IMPORTRANGE(""https://docs.google.com/spreadsheets/d/1eHaY18a8A9IcSdp1K8H6x8fbOy06t2VsZHhMHf-1x7Y/edit?usp=sharing"",""แผน!LY17"")"),0)</f>
        <v>0</v>
      </c>
      <c r="R217" s="566"/>
      <c r="S217" s="786">
        <v>229220</v>
      </c>
      <c r="T217" s="684"/>
      <c r="U217" s="566"/>
    </row>
    <row r="218" spans="1:21" ht="19.5" x14ac:dyDescent="0.3">
      <c r="A218" s="687"/>
      <c r="B218" s="688"/>
      <c r="C218" s="719" t="s">
        <v>18</v>
      </c>
      <c r="D218" s="689" t="s">
        <v>38</v>
      </c>
      <c r="E218" s="690"/>
      <c r="F218" s="690"/>
      <c r="G218" s="691"/>
      <c r="H218" s="692"/>
      <c r="I218" s="683"/>
      <c r="J218" s="565"/>
      <c r="K218" s="566"/>
      <c r="L218" s="574"/>
      <c r="M218" s="566"/>
      <c r="N218" s="566"/>
      <c r="O218" s="684"/>
      <c r="P218" s="684"/>
      <c r="Q218" s="574"/>
      <c r="R218" s="566"/>
      <c r="S218" s="566"/>
      <c r="T218" s="684"/>
      <c r="U218" s="684"/>
    </row>
    <row r="219" spans="1:21" ht="18.75" x14ac:dyDescent="0.25">
      <c r="A219" s="687"/>
      <c r="B219" s="688"/>
      <c r="C219" s="688"/>
      <c r="D219" s="694" t="s">
        <v>96</v>
      </c>
      <c r="E219" s="695"/>
      <c r="F219" s="695"/>
      <c r="G219" s="692"/>
      <c r="H219" s="787" t="s">
        <v>85</v>
      </c>
      <c r="I219" s="708">
        <f ca="1">IFERROR(__xludf.DUMMYFUNCTION("IMPORTRANGE(""https://docs.google.com/spreadsheets/d/1eHaY18a8A9IcSdp1K8H6x8fbOy06t2VsZHhMHf-1x7Y/edit?usp=sharing"",""แผน!AP17"")"),0)</f>
        <v>0</v>
      </c>
      <c r="J219" s="702">
        <v>0</v>
      </c>
      <c r="K219" s="568">
        <f t="shared" ref="K219:K221" ca="1" si="147">IF(I219&gt;0,J219*100/I219,0)</f>
        <v>0</v>
      </c>
      <c r="L219" s="574"/>
      <c r="M219" s="566"/>
      <c r="N219" s="566"/>
      <c r="O219" s="566"/>
      <c r="P219" s="566"/>
      <c r="Q219" s="574"/>
      <c r="R219" s="566"/>
      <c r="S219" s="566"/>
      <c r="T219" s="566"/>
      <c r="U219" s="566"/>
    </row>
    <row r="220" spans="1:21" ht="18.75" x14ac:dyDescent="0.25">
      <c r="A220" s="687"/>
      <c r="B220" s="688"/>
      <c r="C220" s="688"/>
      <c r="D220" s="694" t="s">
        <v>97</v>
      </c>
      <c r="E220" s="695"/>
      <c r="F220" s="695"/>
      <c r="G220" s="692"/>
      <c r="H220" s="787" t="s">
        <v>85</v>
      </c>
      <c r="I220" s="708">
        <f ca="1">IFERROR(__xludf.DUMMYFUNCTION("IMPORTRANGE(""https://docs.google.com/spreadsheets/d/1eHaY18a8A9IcSdp1K8H6x8fbOy06t2VsZHhMHf-1x7Y/edit?usp=sharing"",""แผน!AP17"")"),0)</f>
        <v>0</v>
      </c>
      <c r="J220" s="702">
        <v>0</v>
      </c>
      <c r="K220" s="568">
        <f t="shared" ca="1" si="147"/>
        <v>0</v>
      </c>
      <c r="L220" s="574"/>
      <c r="M220" s="566"/>
      <c r="N220" s="566"/>
      <c r="O220" s="566"/>
      <c r="P220" s="566"/>
      <c r="Q220" s="574"/>
      <c r="R220" s="566"/>
      <c r="S220" s="566"/>
      <c r="T220" s="566"/>
      <c r="U220" s="566"/>
    </row>
    <row r="221" spans="1:21" ht="19.5" x14ac:dyDescent="0.3">
      <c r="A221" s="769"/>
      <c r="B221" s="770"/>
      <c r="C221" s="771" t="s">
        <v>98</v>
      </c>
      <c r="D221" s="772"/>
      <c r="E221" s="772"/>
      <c r="F221" s="772"/>
      <c r="G221" s="773"/>
      <c r="H221" s="774" t="s">
        <v>99</v>
      </c>
      <c r="I221" s="775">
        <f t="shared" ref="I221:J221" ca="1" si="148">I229</f>
        <v>50000</v>
      </c>
      <c r="J221" s="775">
        <f t="shared" si="148"/>
        <v>0</v>
      </c>
      <c r="K221" s="776">
        <f t="shared" ca="1" si="147"/>
        <v>0</v>
      </c>
      <c r="L221" s="777"/>
      <c r="M221" s="778"/>
      <c r="N221" s="778"/>
      <c r="O221" s="778"/>
      <c r="P221" s="778"/>
      <c r="Q221" s="778"/>
      <c r="R221" s="778"/>
      <c r="S221" s="778"/>
      <c r="T221" s="778"/>
      <c r="U221" s="778"/>
    </row>
    <row r="222" spans="1:21" ht="19.5" x14ac:dyDescent="0.3">
      <c r="A222" s="674"/>
      <c r="B222" s="561"/>
      <c r="C222" s="675" t="s">
        <v>18</v>
      </c>
      <c r="D222" s="779" t="s">
        <v>19</v>
      </c>
      <c r="E222" s="561"/>
      <c r="F222" s="561"/>
      <c r="G222" s="563"/>
      <c r="H222" s="780" t="s">
        <v>14</v>
      </c>
      <c r="I222" s="683"/>
      <c r="J222" s="683"/>
      <c r="K222" s="684"/>
      <c r="L222" s="678">
        <f ca="1">L223+L224+L225</f>
        <v>8500</v>
      </c>
      <c r="M222" s="566"/>
      <c r="N222" s="679">
        <f>N223+N224+N225</f>
        <v>0</v>
      </c>
      <c r="O222" s="679">
        <f ca="1">IF(L222&gt;0,N222*100/L222,0)</f>
        <v>0</v>
      </c>
      <c r="P222" s="679">
        <f>IF(M222&gt;0,N222*100/M222,0)</f>
        <v>0</v>
      </c>
      <c r="Q222" s="566"/>
      <c r="R222" s="566"/>
      <c r="S222" s="566"/>
      <c r="T222" s="566"/>
      <c r="U222" s="566"/>
    </row>
    <row r="223" spans="1:21" ht="18.75" x14ac:dyDescent="0.25">
      <c r="A223" s="674"/>
      <c r="B223" s="718"/>
      <c r="C223" s="561"/>
      <c r="D223" s="788" t="s">
        <v>302</v>
      </c>
      <c r="E223" s="561"/>
      <c r="F223" s="561"/>
      <c r="G223" s="563"/>
      <c r="H223" s="682" t="s">
        <v>14</v>
      </c>
      <c r="I223" s="683"/>
      <c r="J223" s="683"/>
      <c r="K223" s="684"/>
      <c r="L223" s="567">
        <f ca="1">IFERROR(__xludf.DUMMYFUNCTION("IMPORTRANGE(""https://docs.google.com/spreadsheets/d/1eHaY18a8A9IcSdp1K8H6x8fbOy06t2VsZHhMHf-1x7Y/edit?usp=sharing"",""แผน!AR17"")"),2500)</f>
        <v>2500</v>
      </c>
      <c r="M223" s="566"/>
      <c r="N223" s="786">
        <v>0</v>
      </c>
      <c r="O223" s="684"/>
      <c r="P223" s="566"/>
      <c r="Q223" s="566"/>
      <c r="R223" s="566"/>
      <c r="S223" s="566"/>
      <c r="T223" s="684"/>
      <c r="U223" s="566"/>
    </row>
    <row r="224" spans="1:21" ht="18.75" x14ac:dyDescent="0.25">
      <c r="A224" s="764"/>
      <c r="B224" s="718"/>
      <c r="C224" s="718"/>
      <c r="D224" s="573" t="s">
        <v>301</v>
      </c>
      <c r="E224" s="561"/>
      <c r="F224" s="561"/>
      <c r="G224" s="563"/>
      <c r="H224" s="682" t="s">
        <v>14</v>
      </c>
      <c r="I224" s="565"/>
      <c r="J224" s="565"/>
      <c r="K224" s="566"/>
      <c r="L224" s="567">
        <f ca="1">IFERROR(__xludf.DUMMYFUNCTION("IMPORTRANGE(""https://docs.google.com/spreadsheets/d/1eHaY18a8A9IcSdp1K8H6x8fbOy06t2VsZHhMHf-1x7Y/edit?usp=sharing"",""แผน!AS17"")"),6000)</f>
        <v>6000</v>
      </c>
      <c r="M224" s="566"/>
      <c r="N224" s="786">
        <v>0</v>
      </c>
      <c r="O224" s="684"/>
      <c r="P224" s="566"/>
      <c r="Q224" s="566"/>
      <c r="R224" s="566"/>
      <c r="S224" s="566"/>
      <c r="T224" s="684"/>
      <c r="U224" s="566"/>
    </row>
    <row r="225" spans="1:21" ht="18.75" x14ac:dyDescent="0.25">
      <c r="A225" s="764"/>
      <c r="B225" s="718"/>
      <c r="C225" s="718"/>
      <c r="D225" s="573" t="s">
        <v>88</v>
      </c>
      <c r="E225" s="561"/>
      <c r="F225" s="561"/>
      <c r="G225" s="563"/>
      <c r="H225" s="682" t="s">
        <v>14</v>
      </c>
      <c r="I225" s="565"/>
      <c r="J225" s="565"/>
      <c r="K225" s="566"/>
      <c r="L225" s="567">
        <f ca="1">IFERROR(__xludf.DUMMYFUNCTION("IMPORTRANGE(""https://docs.google.com/spreadsheets/d/1eHaY18a8A9IcSdp1K8H6x8fbOy06t2VsZHhMHf-1x7Y/edit?usp=sharing"",""แผน!AT17"")"),0)</f>
        <v>0</v>
      </c>
      <c r="M225" s="566"/>
      <c r="N225" s="786">
        <v>0</v>
      </c>
      <c r="O225" s="684"/>
      <c r="P225" s="566"/>
      <c r="Q225" s="566"/>
      <c r="R225" s="566"/>
      <c r="S225" s="566"/>
      <c r="T225" s="684"/>
      <c r="U225" s="566"/>
    </row>
    <row r="226" spans="1:21" ht="19.5" x14ac:dyDescent="0.3">
      <c r="A226" s="687"/>
      <c r="B226" s="688"/>
      <c r="C226" s="719" t="s">
        <v>18</v>
      </c>
      <c r="D226" s="689" t="s">
        <v>38</v>
      </c>
      <c r="E226" s="690"/>
      <c r="F226" s="690"/>
      <c r="G226" s="691"/>
      <c r="H226" s="692"/>
      <c r="I226" s="683"/>
      <c r="J226" s="683"/>
      <c r="K226" s="684"/>
      <c r="L226" s="693"/>
      <c r="M226" s="684"/>
      <c r="N226" s="684"/>
      <c r="O226" s="684"/>
      <c r="P226" s="684"/>
      <c r="Q226" s="684"/>
      <c r="R226" s="684"/>
      <c r="S226" s="684"/>
      <c r="T226" s="684"/>
      <c r="U226" s="684"/>
    </row>
    <row r="227" spans="1:21" ht="18.75" x14ac:dyDescent="0.25">
      <c r="A227" s="687"/>
      <c r="B227" s="688"/>
      <c r="C227" s="688"/>
      <c r="D227" s="573" t="s">
        <v>101</v>
      </c>
      <c r="E227" s="695"/>
      <c r="F227" s="695"/>
      <c r="G227" s="692"/>
      <c r="H227" s="692"/>
      <c r="I227" s="565"/>
      <c r="J227" s="565"/>
      <c r="K227" s="684"/>
      <c r="L227" s="693"/>
      <c r="M227" s="684"/>
      <c r="N227" s="684"/>
      <c r="O227" s="684"/>
      <c r="P227" s="684"/>
      <c r="Q227" s="684"/>
      <c r="R227" s="684"/>
      <c r="S227" s="684"/>
      <c r="T227" s="684"/>
      <c r="U227" s="684"/>
    </row>
    <row r="228" spans="1:21" ht="18.75" x14ac:dyDescent="0.25">
      <c r="A228" s="687"/>
      <c r="B228" s="688"/>
      <c r="C228" s="688"/>
      <c r="D228" s="688"/>
      <c r="E228" s="694" t="s">
        <v>102</v>
      </c>
      <c r="F228" s="695"/>
      <c r="G228" s="692"/>
      <c r="H228" s="700" t="s">
        <v>99</v>
      </c>
      <c r="I228" s="708">
        <f ca="1">IFERROR(__xludf.DUMMYFUNCTION("IMPORTRANGE(""https://docs.google.com/spreadsheets/d/1eHaY18a8A9IcSdp1K8H6x8fbOy06t2VsZHhMHf-1x7Y/edit?usp=sharing"",""แผน!AV17"")"),50000)</f>
        <v>50000</v>
      </c>
      <c r="J228" s="702">
        <v>50000</v>
      </c>
      <c r="K228" s="703">
        <f t="shared" ref="K228:K231" ca="1" si="149">IF(I228&gt;0,J228*100/I228,0)</f>
        <v>100</v>
      </c>
      <c r="L228" s="693"/>
      <c r="M228" s="684"/>
      <c r="N228" s="684"/>
      <c r="O228" s="684"/>
      <c r="P228" s="684"/>
      <c r="Q228" s="684"/>
      <c r="R228" s="684"/>
      <c r="S228" s="684"/>
      <c r="T228" s="684"/>
      <c r="U228" s="684"/>
    </row>
    <row r="229" spans="1:21" ht="18.75" x14ac:dyDescent="0.25">
      <c r="A229" s="687"/>
      <c r="B229" s="688"/>
      <c r="C229" s="688"/>
      <c r="D229" s="688"/>
      <c r="E229" s="694" t="s">
        <v>103</v>
      </c>
      <c r="F229" s="695"/>
      <c r="G229" s="692"/>
      <c r="H229" s="700" t="s">
        <v>99</v>
      </c>
      <c r="I229" s="708">
        <f ca="1">IFERROR(__xludf.DUMMYFUNCTION("IMPORTRANGE(""https://docs.google.com/spreadsheets/d/1eHaY18a8A9IcSdp1K8H6x8fbOy06t2VsZHhMHf-1x7Y/edit?usp=sharing"",""แผน!AV17"")"),50000)</f>
        <v>50000</v>
      </c>
      <c r="J229" s="702">
        <v>0</v>
      </c>
      <c r="K229" s="703">
        <f t="shared" ca="1" si="149"/>
        <v>0</v>
      </c>
      <c r="L229" s="574"/>
      <c r="M229" s="566"/>
      <c r="N229" s="566"/>
      <c r="O229" s="566"/>
      <c r="P229" s="566"/>
      <c r="Q229" s="566"/>
      <c r="R229" s="566"/>
      <c r="S229" s="566"/>
      <c r="T229" s="566"/>
      <c r="U229" s="566"/>
    </row>
    <row r="230" spans="1:21" ht="18.75" x14ac:dyDescent="0.25">
      <c r="A230" s="687"/>
      <c r="B230" s="688"/>
      <c r="C230" s="688"/>
      <c r="D230" s="573" t="s">
        <v>104</v>
      </c>
      <c r="E230" s="695"/>
      <c r="F230" s="695"/>
      <c r="G230" s="692"/>
      <c r="H230" s="700" t="s">
        <v>35</v>
      </c>
      <c r="I230" s="708">
        <f ca="1">IFERROR(__xludf.DUMMYFUNCTION("IMPORTRANGE(""https://docs.google.com/spreadsheets/d/1eHaY18a8A9IcSdp1K8H6x8fbOy06t2VsZHhMHf-1x7Y/edit?usp=sharing"",""แผน!AU17"")"),0)</f>
        <v>0</v>
      </c>
      <c r="J230" s="702">
        <v>0</v>
      </c>
      <c r="K230" s="703">
        <f t="shared" ca="1" si="149"/>
        <v>0</v>
      </c>
      <c r="L230" s="574"/>
      <c r="M230" s="566"/>
      <c r="N230" s="566"/>
      <c r="O230" s="566"/>
      <c r="P230" s="566"/>
      <c r="Q230" s="566"/>
      <c r="R230" s="566"/>
      <c r="S230" s="566"/>
      <c r="T230" s="566"/>
      <c r="U230" s="566"/>
    </row>
    <row r="231" spans="1:21" ht="19.5" hidden="1" x14ac:dyDescent="0.3">
      <c r="A231" s="769"/>
      <c r="B231" s="770"/>
      <c r="C231" s="771" t="s">
        <v>105</v>
      </c>
      <c r="D231" s="772"/>
      <c r="E231" s="772"/>
      <c r="F231" s="772"/>
      <c r="G231" s="773"/>
      <c r="H231" s="774" t="s">
        <v>35</v>
      </c>
      <c r="I231" s="775">
        <f t="shared" ref="I231:J231" ca="1" si="150">I242+I253</f>
        <v>0</v>
      </c>
      <c r="J231" s="775">
        <f t="shared" si="150"/>
        <v>0</v>
      </c>
      <c r="K231" s="776">
        <f t="shared" ca="1" si="149"/>
        <v>0</v>
      </c>
      <c r="L231" s="777"/>
      <c r="M231" s="778"/>
      <c r="N231" s="778"/>
      <c r="O231" s="778"/>
      <c r="P231" s="778"/>
      <c r="Q231" s="778"/>
      <c r="R231" s="778"/>
      <c r="S231" s="778"/>
      <c r="T231" s="778"/>
      <c r="U231" s="778"/>
    </row>
    <row r="232" spans="1:21" ht="19.5" hidden="1" x14ac:dyDescent="0.3">
      <c r="A232" s="674"/>
      <c r="B232" s="561"/>
      <c r="C232" s="675" t="s">
        <v>18</v>
      </c>
      <c r="D232" s="676" t="s">
        <v>19</v>
      </c>
      <c r="E232" s="561"/>
      <c r="F232" s="561"/>
      <c r="G232" s="563"/>
      <c r="H232" s="780" t="s">
        <v>14</v>
      </c>
      <c r="I232" s="683"/>
      <c r="J232" s="683"/>
      <c r="K232" s="684"/>
      <c r="L232" s="789">
        <f t="shared" ref="L232:L236" ca="1" si="151">L243+L254</f>
        <v>0</v>
      </c>
      <c r="M232" s="566"/>
      <c r="N232" s="790">
        <f t="shared" ref="N232:N236" si="152">N243+N254</f>
        <v>0</v>
      </c>
      <c r="O232" s="566"/>
      <c r="P232" s="566"/>
      <c r="Q232" s="566"/>
      <c r="R232" s="566"/>
      <c r="S232" s="566"/>
      <c r="T232" s="566"/>
      <c r="U232" s="566"/>
    </row>
    <row r="233" spans="1:21" ht="18.75" hidden="1" x14ac:dyDescent="0.25">
      <c r="A233" s="674"/>
      <c r="B233" s="718"/>
      <c r="C233" s="561"/>
      <c r="D233" s="573" t="s">
        <v>86</v>
      </c>
      <c r="E233" s="561"/>
      <c r="F233" s="561"/>
      <c r="G233" s="563"/>
      <c r="H233" s="682" t="s">
        <v>14</v>
      </c>
      <c r="I233" s="683"/>
      <c r="J233" s="683"/>
      <c r="K233" s="684"/>
      <c r="L233" s="571">
        <f t="shared" ca="1" si="151"/>
        <v>0</v>
      </c>
      <c r="M233" s="566"/>
      <c r="N233" s="572">
        <f t="shared" si="152"/>
        <v>0</v>
      </c>
      <c r="O233" s="566"/>
      <c r="P233" s="566"/>
      <c r="Q233" s="1127">
        <v>0</v>
      </c>
      <c r="R233" s="1128">
        <v>0</v>
      </c>
      <c r="S233" s="1128">
        <v>0</v>
      </c>
      <c r="T233" s="566"/>
      <c r="U233" s="566"/>
    </row>
    <row r="234" spans="1:21" ht="18.75" hidden="1" x14ac:dyDescent="0.25">
      <c r="A234" s="764"/>
      <c r="B234" s="718"/>
      <c r="C234" s="718"/>
      <c r="D234" s="573" t="s">
        <v>88</v>
      </c>
      <c r="E234" s="561"/>
      <c r="F234" s="561"/>
      <c r="G234" s="563"/>
      <c r="H234" s="682" t="s">
        <v>14</v>
      </c>
      <c r="I234" s="565"/>
      <c r="J234" s="565"/>
      <c r="K234" s="566"/>
      <c r="L234" s="571">
        <f t="shared" ca="1" si="151"/>
        <v>0</v>
      </c>
      <c r="M234" s="566"/>
      <c r="N234" s="572">
        <f t="shared" si="152"/>
        <v>0</v>
      </c>
      <c r="O234" s="566"/>
      <c r="P234" s="566"/>
      <c r="Q234" s="1129">
        <v>0</v>
      </c>
      <c r="R234" s="1130">
        <v>0</v>
      </c>
      <c r="S234" s="1130">
        <v>0</v>
      </c>
      <c r="T234" s="566"/>
      <c r="U234" s="566"/>
    </row>
    <row r="235" spans="1:21" ht="18.75" hidden="1" x14ac:dyDescent="0.25">
      <c r="A235" s="764"/>
      <c r="B235" s="718"/>
      <c r="C235" s="718"/>
      <c r="D235" s="573" t="s">
        <v>106</v>
      </c>
      <c r="E235" s="561"/>
      <c r="F235" s="561"/>
      <c r="G235" s="563"/>
      <c r="H235" s="682" t="s">
        <v>14</v>
      </c>
      <c r="I235" s="565"/>
      <c r="J235" s="565"/>
      <c r="K235" s="566"/>
      <c r="L235" s="571">
        <f t="shared" ca="1" si="151"/>
        <v>0</v>
      </c>
      <c r="M235" s="566"/>
      <c r="N235" s="572">
        <f t="shared" si="152"/>
        <v>0</v>
      </c>
      <c r="O235" s="566"/>
      <c r="P235" s="566"/>
      <c r="Q235" s="1129">
        <v>0</v>
      </c>
      <c r="R235" s="1130">
        <v>0</v>
      </c>
      <c r="S235" s="1130">
        <v>0</v>
      </c>
      <c r="T235" s="566"/>
      <c r="U235" s="566"/>
    </row>
    <row r="236" spans="1:21" ht="18.75" hidden="1" x14ac:dyDescent="0.25">
      <c r="A236" s="764"/>
      <c r="B236" s="718"/>
      <c r="C236" s="718"/>
      <c r="D236" s="573" t="s">
        <v>107</v>
      </c>
      <c r="E236" s="561"/>
      <c r="F236" s="561"/>
      <c r="G236" s="563"/>
      <c r="H236" s="682" t="s">
        <v>14</v>
      </c>
      <c r="I236" s="565"/>
      <c r="J236" s="565"/>
      <c r="K236" s="566"/>
      <c r="L236" s="571">
        <f t="shared" ca="1" si="151"/>
        <v>0</v>
      </c>
      <c r="M236" s="566"/>
      <c r="N236" s="572">
        <f t="shared" si="152"/>
        <v>0</v>
      </c>
      <c r="O236" s="566"/>
      <c r="P236" s="566"/>
      <c r="Q236" s="1129">
        <v>0</v>
      </c>
      <c r="R236" s="1130">
        <v>0</v>
      </c>
      <c r="S236" s="1130">
        <v>0</v>
      </c>
      <c r="T236" s="566"/>
      <c r="U236" s="566"/>
    </row>
    <row r="237" spans="1:21" ht="19.5" hidden="1" x14ac:dyDescent="0.3">
      <c r="A237" s="687"/>
      <c r="B237" s="688"/>
      <c r="C237" s="719" t="s">
        <v>18</v>
      </c>
      <c r="D237" s="689" t="s">
        <v>38</v>
      </c>
      <c r="E237" s="690"/>
      <c r="F237" s="690"/>
      <c r="G237" s="691"/>
      <c r="H237" s="692"/>
      <c r="I237" s="683"/>
      <c r="J237" s="565"/>
      <c r="K237" s="566"/>
      <c r="L237" s="574"/>
      <c r="M237" s="566"/>
      <c r="N237" s="566"/>
      <c r="O237" s="684"/>
      <c r="P237" s="684"/>
      <c r="Q237" s="566"/>
      <c r="R237" s="566"/>
      <c r="S237" s="566"/>
      <c r="T237" s="684"/>
      <c r="U237" s="684"/>
    </row>
    <row r="238" spans="1:21" ht="18.75" hidden="1" x14ac:dyDescent="0.25">
      <c r="A238" s="687"/>
      <c r="B238" s="688"/>
      <c r="C238" s="688"/>
      <c r="D238" s="699" t="s">
        <v>108</v>
      </c>
      <c r="E238" s="695"/>
      <c r="F238" s="695"/>
      <c r="G238" s="692"/>
      <c r="H238" s="700" t="s">
        <v>35</v>
      </c>
      <c r="I238" s="708">
        <f t="shared" ref="I238:J238" ca="1" si="153">I249+I260</f>
        <v>0</v>
      </c>
      <c r="J238" s="708">
        <f t="shared" si="153"/>
        <v>0</v>
      </c>
      <c r="K238" s="568">
        <f ca="1">IF(I238&gt;0,J238*100/I238,0)</f>
        <v>0</v>
      </c>
      <c r="L238" s="574"/>
      <c r="M238" s="566"/>
      <c r="N238" s="566"/>
      <c r="O238" s="566"/>
      <c r="P238" s="566"/>
      <c r="Q238" s="566"/>
      <c r="R238" s="566"/>
      <c r="S238" s="566"/>
      <c r="T238" s="566"/>
      <c r="U238" s="566"/>
    </row>
    <row r="239" spans="1:21" ht="18.75" hidden="1" x14ac:dyDescent="0.25">
      <c r="A239" s="687"/>
      <c r="B239" s="688"/>
      <c r="C239" s="688"/>
      <c r="D239" s="792" t="s">
        <v>43</v>
      </c>
      <c r="E239" s="695"/>
      <c r="F239" s="695"/>
      <c r="G239" s="692"/>
      <c r="H239" s="692"/>
      <c r="I239" s="565"/>
      <c r="J239" s="565"/>
      <c r="K239" s="566"/>
      <c r="L239" s="574"/>
      <c r="M239" s="566"/>
      <c r="N239" s="566"/>
      <c r="O239" s="684"/>
      <c r="P239" s="684"/>
      <c r="Q239" s="566"/>
      <c r="R239" s="566"/>
      <c r="S239" s="566"/>
      <c r="T239" s="684"/>
      <c r="U239" s="684"/>
    </row>
    <row r="240" spans="1:21" ht="18.75" hidden="1" x14ac:dyDescent="0.25">
      <c r="A240" s="687"/>
      <c r="B240" s="688"/>
      <c r="C240" s="688"/>
      <c r="D240" s="688"/>
      <c r="E240" s="694" t="s">
        <v>109</v>
      </c>
      <c r="F240" s="695"/>
      <c r="G240" s="692"/>
      <c r="H240" s="700" t="s">
        <v>35</v>
      </c>
      <c r="I240" s="708">
        <f t="shared" ref="I240:J241" si="154">I251+I262</f>
        <v>0</v>
      </c>
      <c r="J240" s="708">
        <f t="shared" si="154"/>
        <v>0</v>
      </c>
      <c r="K240" s="568">
        <f t="shared" ref="K240:K242" si="155">IF(I240&gt;0,J240*100/I240,0)</f>
        <v>0</v>
      </c>
      <c r="L240" s="574"/>
      <c r="M240" s="566"/>
      <c r="N240" s="566"/>
      <c r="O240" s="566"/>
      <c r="P240" s="566"/>
      <c r="Q240" s="566"/>
      <c r="R240" s="566"/>
      <c r="S240" s="566"/>
      <c r="T240" s="566"/>
      <c r="U240" s="566"/>
    </row>
    <row r="241" spans="1:21" ht="18.75" hidden="1" x14ac:dyDescent="0.25">
      <c r="A241" s="687"/>
      <c r="B241" s="688"/>
      <c r="C241" s="688"/>
      <c r="D241" s="688"/>
      <c r="E241" s="694" t="s">
        <v>110</v>
      </c>
      <c r="F241" s="695"/>
      <c r="G241" s="692"/>
      <c r="H241" s="700" t="s">
        <v>61</v>
      </c>
      <c r="I241" s="708">
        <f t="shared" si="154"/>
        <v>0</v>
      </c>
      <c r="J241" s="708">
        <f t="shared" si="154"/>
        <v>0</v>
      </c>
      <c r="K241" s="568">
        <f t="shared" si="155"/>
        <v>0</v>
      </c>
      <c r="L241" s="574"/>
      <c r="M241" s="566"/>
      <c r="N241" s="566"/>
      <c r="O241" s="566"/>
      <c r="P241" s="566"/>
      <c r="Q241" s="566"/>
      <c r="R241" s="566"/>
      <c r="S241" s="566"/>
      <c r="T241" s="566"/>
      <c r="U241" s="566"/>
    </row>
    <row r="242" spans="1:21" ht="19.5" hidden="1" x14ac:dyDescent="0.3">
      <c r="A242" s="769"/>
      <c r="B242" s="770"/>
      <c r="C242" s="793" t="s">
        <v>111</v>
      </c>
      <c r="D242" s="772"/>
      <c r="E242" s="772"/>
      <c r="F242" s="772"/>
      <c r="G242" s="773"/>
      <c r="H242" s="794" t="s">
        <v>35</v>
      </c>
      <c r="I242" s="795">
        <f t="shared" ref="I242:J242" ca="1" si="156">I249</f>
        <v>0</v>
      </c>
      <c r="J242" s="795">
        <f t="shared" si="156"/>
        <v>0</v>
      </c>
      <c r="K242" s="796">
        <f t="shared" ca="1" si="155"/>
        <v>0</v>
      </c>
      <c r="L242" s="777"/>
      <c r="M242" s="778"/>
      <c r="N242" s="778"/>
      <c r="O242" s="778"/>
      <c r="P242" s="778"/>
      <c r="Q242" s="778"/>
      <c r="R242" s="778"/>
      <c r="S242" s="778"/>
      <c r="T242" s="778"/>
      <c r="U242" s="778"/>
    </row>
    <row r="243" spans="1:21" ht="19.5" hidden="1" x14ac:dyDescent="0.3">
      <c r="A243" s="674"/>
      <c r="B243" s="561"/>
      <c r="C243" s="797" t="s">
        <v>18</v>
      </c>
      <c r="D243" s="798" t="s">
        <v>19</v>
      </c>
      <c r="E243" s="561"/>
      <c r="F243" s="561"/>
      <c r="G243" s="563"/>
      <c r="H243" s="799" t="s">
        <v>14</v>
      </c>
      <c r="I243" s="683"/>
      <c r="J243" s="683"/>
      <c r="K243" s="684"/>
      <c r="L243" s="678">
        <f ca="1">L244+L245+L246+L247</f>
        <v>0</v>
      </c>
      <c r="M243" s="566"/>
      <c r="N243" s="679">
        <f>N244+N245+N246+N247</f>
        <v>0</v>
      </c>
      <c r="O243" s="679">
        <f ca="1">IF(L243&gt;0,N243*100/L243,0)</f>
        <v>0</v>
      </c>
      <c r="P243" s="679">
        <f>IF(M243&gt;0,N243*100/M243,0)</f>
        <v>0</v>
      </c>
      <c r="Q243" s="566"/>
      <c r="R243" s="566"/>
      <c r="S243" s="566"/>
      <c r="T243" s="566"/>
      <c r="U243" s="566"/>
    </row>
    <row r="244" spans="1:21" ht="18.75" hidden="1" x14ac:dyDescent="0.25">
      <c r="A244" s="674"/>
      <c r="B244" s="718"/>
      <c r="C244" s="561"/>
      <c r="D244" s="569" t="s">
        <v>86</v>
      </c>
      <c r="E244" s="561"/>
      <c r="F244" s="561"/>
      <c r="G244" s="563"/>
      <c r="H244" s="685" t="s">
        <v>14</v>
      </c>
      <c r="I244" s="683"/>
      <c r="J244" s="683"/>
      <c r="K244" s="684"/>
      <c r="L244" s="567">
        <f ca="1">IFERROR(__xludf.DUMMYFUNCTION("IMPORTRANGE(""https://docs.google.com/spreadsheets/d/1eHaY18a8A9IcSdp1K8H6x8fbOy06t2VsZHhMHf-1x7Y/edit?usp=sharing"",""แผน!AX17"")"),0)</f>
        <v>0</v>
      </c>
      <c r="M244" s="566"/>
      <c r="N244" s="786">
        <v>0</v>
      </c>
      <c r="O244" s="566"/>
      <c r="P244" s="566"/>
      <c r="Q244" s="566"/>
      <c r="R244" s="566"/>
      <c r="S244" s="566"/>
      <c r="T244" s="566"/>
      <c r="U244" s="566"/>
    </row>
    <row r="245" spans="1:21" ht="18.75" hidden="1" x14ac:dyDescent="0.25">
      <c r="A245" s="764"/>
      <c r="B245" s="718"/>
      <c r="C245" s="718"/>
      <c r="D245" s="569" t="s">
        <v>88</v>
      </c>
      <c r="E245" s="561"/>
      <c r="F245" s="561"/>
      <c r="G245" s="563"/>
      <c r="H245" s="685" t="s">
        <v>14</v>
      </c>
      <c r="I245" s="565"/>
      <c r="J245" s="565"/>
      <c r="K245" s="566"/>
      <c r="L245" s="567">
        <f ca="1">IFERROR(__xludf.DUMMYFUNCTION("IMPORTRANGE(""https://docs.google.com/spreadsheets/d/1eHaY18a8A9IcSdp1K8H6x8fbOy06t2VsZHhMHf-1x7Y/edit?usp=sharing"",""แผน!AY17"")"),0)</f>
        <v>0</v>
      </c>
      <c r="M245" s="566"/>
      <c r="N245" s="786">
        <v>0</v>
      </c>
      <c r="O245" s="566"/>
      <c r="P245" s="566"/>
      <c r="Q245" s="566"/>
      <c r="R245" s="566"/>
      <c r="S245" s="566"/>
      <c r="T245" s="566"/>
      <c r="U245" s="566"/>
    </row>
    <row r="246" spans="1:21" ht="18.75" hidden="1" x14ac:dyDescent="0.25">
      <c r="A246" s="764"/>
      <c r="B246" s="718"/>
      <c r="C246" s="718"/>
      <c r="D246" s="569" t="s">
        <v>106</v>
      </c>
      <c r="E246" s="561"/>
      <c r="F246" s="561"/>
      <c r="G246" s="563"/>
      <c r="H246" s="685" t="s">
        <v>14</v>
      </c>
      <c r="I246" s="565"/>
      <c r="J246" s="565"/>
      <c r="K246" s="566"/>
      <c r="L246" s="567">
        <f ca="1">IFERROR(__xludf.DUMMYFUNCTION("IMPORTRANGE(""https://docs.google.com/spreadsheets/d/1eHaY18a8A9IcSdp1K8H6x8fbOy06t2VsZHhMHf-1x7Y/edit?usp=sharing"",""แผน!AZ17"")"),0)</f>
        <v>0</v>
      </c>
      <c r="M246" s="566"/>
      <c r="N246" s="786">
        <v>0</v>
      </c>
      <c r="O246" s="566"/>
      <c r="P246" s="566"/>
      <c r="Q246" s="566"/>
      <c r="R246" s="566"/>
      <c r="S246" s="566"/>
      <c r="T246" s="566"/>
      <c r="U246" s="566"/>
    </row>
    <row r="247" spans="1:21" ht="18.75" hidden="1" x14ac:dyDescent="0.25">
      <c r="A247" s="764"/>
      <c r="B247" s="718"/>
      <c r="C247" s="718"/>
      <c r="D247" s="569" t="s">
        <v>107</v>
      </c>
      <c r="E247" s="561"/>
      <c r="F247" s="561"/>
      <c r="G247" s="563"/>
      <c r="H247" s="685" t="s">
        <v>14</v>
      </c>
      <c r="I247" s="565"/>
      <c r="J247" s="565"/>
      <c r="K247" s="566"/>
      <c r="L247" s="567">
        <f ca="1">IFERROR(__xludf.DUMMYFUNCTION("IMPORTRANGE(""https://docs.google.com/spreadsheets/d/1eHaY18a8A9IcSdp1K8H6x8fbOy06t2VsZHhMHf-1x7Y/edit?usp=sharing"",""แผน!BA17"")"),0)</f>
        <v>0</v>
      </c>
      <c r="M247" s="566"/>
      <c r="N247" s="786">
        <v>0</v>
      </c>
      <c r="O247" s="566"/>
      <c r="P247" s="566"/>
      <c r="Q247" s="566"/>
      <c r="R247" s="566"/>
      <c r="S247" s="566"/>
      <c r="T247" s="566"/>
      <c r="U247" s="566"/>
    </row>
    <row r="248" spans="1:21" ht="19.5" hidden="1" x14ac:dyDescent="0.3">
      <c r="A248" s="687"/>
      <c r="B248" s="688"/>
      <c r="C248" s="800" t="s">
        <v>18</v>
      </c>
      <c r="D248" s="801" t="s">
        <v>38</v>
      </c>
      <c r="E248" s="690"/>
      <c r="F248" s="690"/>
      <c r="G248" s="691"/>
      <c r="H248" s="692"/>
      <c r="I248" s="683"/>
      <c r="J248" s="565"/>
      <c r="K248" s="566"/>
      <c r="L248" s="574"/>
      <c r="M248" s="566"/>
      <c r="N248" s="566"/>
      <c r="O248" s="684"/>
      <c r="P248" s="684"/>
      <c r="Q248" s="566"/>
      <c r="R248" s="566"/>
      <c r="S248" s="566"/>
      <c r="T248" s="684"/>
      <c r="U248" s="684"/>
    </row>
    <row r="249" spans="1:21" ht="18.75" hidden="1" x14ac:dyDescent="0.25">
      <c r="A249" s="687"/>
      <c r="B249" s="688"/>
      <c r="C249" s="688"/>
      <c r="D249" s="726" t="s">
        <v>108</v>
      </c>
      <c r="E249" s="695"/>
      <c r="F249" s="695"/>
      <c r="G249" s="692"/>
      <c r="H249" s="802" t="s">
        <v>35</v>
      </c>
      <c r="I249" s="735">
        <f ca="1">IFERROR(__xludf.DUMMYFUNCTION("IMPORTRANGE(""https://docs.google.com/spreadsheets/d/1eHaY18a8A9IcSdp1K8H6x8fbOy06t2VsZHhMHf-1x7Y/edit?usp=sharing"",""แผน!BG17"")"),0)</f>
        <v>0</v>
      </c>
      <c r="J249" s="736">
        <v>0</v>
      </c>
      <c r="K249" s="572">
        <f ca="1">IF(I249&gt;0,J249*100/I249,0)</f>
        <v>0</v>
      </c>
      <c r="L249" s="574"/>
      <c r="M249" s="566"/>
      <c r="N249" s="566"/>
      <c r="O249" s="566"/>
      <c r="P249" s="566"/>
      <c r="Q249" s="566"/>
      <c r="R249" s="566"/>
      <c r="S249" s="566"/>
      <c r="T249" s="566"/>
      <c r="U249" s="566"/>
    </row>
    <row r="250" spans="1:21" ht="18.75" hidden="1" x14ac:dyDescent="0.25">
      <c r="A250" s="687"/>
      <c r="B250" s="688"/>
      <c r="C250" s="688"/>
      <c r="D250" s="803" t="s">
        <v>43</v>
      </c>
      <c r="E250" s="695"/>
      <c r="F250" s="695"/>
      <c r="G250" s="692"/>
      <c r="H250" s="692"/>
      <c r="I250" s="565"/>
      <c r="J250" s="565"/>
      <c r="K250" s="566"/>
      <c r="L250" s="574"/>
      <c r="M250" s="566"/>
      <c r="N250" s="566"/>
      <c r="O250" s="684"/>
      <c r="P250" s="684"/>
      <c r="Q250" s="566"/>
      <c r="R250" s="566"/>
      <c r="S250" s="566"/>
      <c r="T250" s="684"/>
      <c r="U250" s="684"/>
    </row>
    <row r="251" spans="1:21" ht="18.75" hidden="1" x14ac:dyDescent="0.25">
      <c r="A251" s="687"/>
      <c r="B251" s="688"/>
      <c r="C251" s="688"/>
      <c r="D251" s="688"/>
      <c r="E251" s="804" t="s">
        <v>109</v>
      </c>
      <c r="F251" s="695"/>
      <c r="G251" s="692"/>
      <c r="H251" s="802" t="s">
        <v>35</v>
      </c>
      <c r="I251" s="735">
        <v>0</v>
      </c>
      <c r="J251" s="736">
        <v>0</v>
      </c>
      <c r="K251" s="572">
        <f t="shared" ref="K251:K253" si="157">IF(I251&gt;0,J251*100/I251,0)</f>
        <v>0</v>
      </c>
      <c r="L251" s="574"/>
      <c r="M251" s="566"/>
      <c r="N251" s="566"/>
      <c r="O251" s="566"/>
      <c r="P251" s="566"/>
      <c r="Q251" s="566"/>
      <c r="R251" s="566"/>
      <c r="S251" s="566"/>
      <c r="T251" s="566"/>
      <c r="U251" s="566"/>
    </row>
    <row r="252" spans="1:21" ht="18.75" hidden="1" x14ac:dyDescent="0.25">
      <c r="A252" s="687"/>
      <c r="B252" s="688"/>
      <c r="C252" s="688"/>
      <c r="D252" s="688"/>
      <c r="E252" s="804" t="s">
        <v>110</v>
      </c>
      <c r="F252" s="695"/>
      <c r="G252" s="692"/>
      <c r="H252" s="802" t="s">
        <v>61</v>
      </c>
      <c r="I252" s="735">
        <v>0</v>
      </c>
      <c r="J252" s="736">
        <v>0</v>
      </c>
      <c r="K252" s="572">
        <f t="shared" si="157"/>
        <v>0</v>
      </c>
      <c r="L252" s="574"/>
      <c r="M252" s="566"/>
      <c r="N252" s="566"/>
      <c r="O252" s="566"/>
      <c r="P252" s="566"/>
      <c r="Q252" s="566"/>
      <c r="R252" s="566"/>
      <c r="S252" s="566"/>
      <c r="T252" s="566"/>
      <c r="U252" s="566"/>
    </row>
    <row r="253" spans="1:21" ht="19.5" hidden="1" x14ac:dyDescent="0.3">
      <c r="A253" s="769"/>
      <c r="B253" s="770"/>
      <c r="C253" s="793" t="s">
        <v>112</v>
      </c>
      <c r="D253" s="772"/>
      <c r="E253" s="772"/>
      <c r="F253" s="772"/>
      <c r="G253" s="773"/>
      <c r="H253" s="794" t="s">
        <v>35</v>
      </c>
      <c r="I253" s="795">
        <f t="shared" ref="I253:J253" ca="1" si="158">I260</f>
        <v>0</v>
      </c>
      <c r="J253" s="795">
        <f t="shared" si="158"/>
        <v>0</v>
      </c>
      <c r="K253" s="796">
        <f t="shared" ca="1" si="157"/>
        <v>0</v>
      </c>
      <c r="L253" s="777"/>
      <c r="M253" s="778"/>
      <c r="N253" s="778"/>
      <c r="O253" s="778"/>
      <c r="P253" s="778"/>
      <c r="Q253" s="778"/>
      <c r="R253" s="778"/>
      <c r="S253" s="778"/>
      <c r="T253" s="778"/>
      <c r="U253" s="778"/>
    </row>
    <row r="254" spans="1:21" ht="19.5" hidden="1" x14ac:dyDescent="0.3">
      <c r="A254" s="674"/>
      <c r="B254" s="561"/>
      <c r="C254" s="797" t="s">
        <v>18</v>
      </c>
      <c r="D254" s="805" t="s">
        <v>19</v>
      </c>
      <c r="E254" s="561"/>
      <c r="F254" s="561"/>
      <c r="G254" s="563"/>
      <c r="H254" s="799" t="s">
        <v>14</v>
      </c>
      <c r="I254" s="683"/>
      <c r="J254" s="683"/>
      <c r="K254" s="684"/>
      <c r="L254" s="678">
        <f ca="1">L255+L256+L257+L258</f>
        <v>0</v>
      </c>
      <c r="M254" s="566"/>
      <c r="N254" s="679">
        <f>N255+N256+N257+N258</f>
        <v>0</v>
      </c>
      <c r="O254" s="679">
        <f ca="1">IF(L254&gt;0,N254*100/L254,0)</f>
        <v>0</v>
      </c>
      <c r="P254" s="679">
        <f>IF(M254&gt;0,N254*100/M254,0)</f>
        <v>0</v>
      </c>
      <c r="Q254" s="566"/>
      <c r="R254" s="566"/>
      <c r="S254" s="566"/>
      <c r="T254" s="566"/>
      <c r="U254" s="566"/>
    </row>
    <row r="255" spans="1:21" ht="18.75" hidden="1" x14ac:dyDescent="0.25">
      <c r="A255" s="674"/>
      <c r="B255" s="718"/>
      <c r="C255" s="561"/>
      <c r="D255" s="569" t="s">
        <v>86</v>
      </c>
      <c r="E255" s="561"/>
      <c r="F255" s="561"/>
      <c r="G255" s="563"/>
      <c r="H255" s="685" t="s">
        <v>14</v>
      </c>
      <c r="I255" s="683"/>
      <c r="J255" s="683"/>
      <c r="K255" s="684"/>
      <c r="L255" s="567">
        <f ca="1">IFERROR(__xludf.DUMMYFUNCTION("IMPORTRANGE(""https://docs.google.com/spreadsheets/d/1eHaY18a8A9IcSdp1K8H6x8fbOy06t2VsZHhMHf-1x7Y/edit?usp=sharing"",""แผน!BB17"")"),0)</f>
        <v>0</v>
      </c>
      <c r="M255" s="566"/>
      <c r="N255" s="786">
        <v>0</v>
      </c>
      <c r="O255" s="566"/>
      <c r="P255" s="566"/>
      <c r="Q255" s="566"/>
      <c r="R255" s="566"/>
      <c r="S255" s="566"/>
      <c r="T255" s="566"/>
      <c r="U255" s="566"/>
    </row>
    <row r="256" spans="1:21" ht="18.75" hidden="1" x14ac:dyDescent="0.25">
      <c r="A256" s="764"/>
      <c r="B256" s="718"/>
      <c r="C256" s="718"/>
      <c r="D256" s="569" t="s">
        <v>88</v>
      </c>
      <c r="E256" s="561"/>
      <c r="F256" s="561"/>
      <c r="G256" s="563"/>
      <c r="H256" s="685" t="s">
        <v>14</v>
      </c>
      <c r="I256" s="565"/>
      <c r="J256" s="565"/>
      <c r="K256" s="566"/>
      <c r="L256" s="567">
        <f ca="1">IFERROR(__xludf.DUMMYFUNCTION("IMPORTRANGE(""https://docs.google.com/spreadsheets/d/1eHaY18a8A9IcSdp1K8H6x8fbOy06t2VsZHhMHf-1x7Y/edit?usp=sharing"",""แผน!BC17"")"),0)</f>
        <v>0</v>
      </c>
      <c r="M256" s="566"/>
      <c r="N256" s="786">
        <v>0</v>
      </c>
      <c r="O256" s="566"/>
      <c r="P256" s="566"/>
      <c r="Q256" s="566"/>
      <c r="R256" s="566"/>
      <c r="S256" s="566"/>
      <c r="T256" s="566"/>
      <c r="U256" s="566"/>
    </row>
    <row r="257" spans="1:21" ht="18.75" hidden="1" x14ac:dyDescent="0.25">
      <c r="A257" s="764"/>
      <c r="B257" s="718"/>
      <c r="C257" s="718"/>
      <c r="D257" s="569" t="s">
        <v>106</v>
      </c>
      <c r="E257" s="561"/>
      <c r="F257" s="561"/>
      <c r="G257" s="563"/>
      <c r="H257" s="685" t="s">
        <v>14</v>
      </c>
      <c r="I257" s="565"/>
      <c r="J257" s="565"/>
      <c r="K257" s="566"/>
      <c r="L257" s="567">
        <f ca="1">IFERROR(__xludf.DUMMYFUNCTION("IMPORTRANGE(""https://docs.google.com/spreadsheets/d/1eHaY18a8A9IcSdp1K8H6x8fbOy06t2VsZHhMHf-1x7Y/edit?usp=sharing"",""แผน!BD17"")"),0)</f>
        <v>0</v>
      </c>
      <c r="M257" s="566"/>
      <c r="N257" s="786">
        <v>0</v>
      </c>
      <c r="O257" s="566"/>
      <c r="P257" s="566"/>
      <c r="Q257" s="566"/>
      <c r="R257" s="566"/>
      <c r="S257" s="566"/>
      <c r="T257" s="566"/>
      <c r="U257" s="566"/>
    </row>
    <row r="258" spans="1:21" ht="18.75" hidden="1" x14ac:dyDescent="0.25">
      <c r="A258" s="764"/>
      <c r="B258" s="718"/>
      <c r="C258" s="718"/>
      <c r="D258" s="569" t="s">
        <v>107</v>
      </c>
      <c r="E258" s="561"/>
      <c r="F258" s="561"/>
      <c r="G258" s="563"/>
      <c r="H258" s="685" t="s">
        <v>14</v>
      </c>
      <c r="I258" s="565"/>
      <c r="J258" s="565"/>
      <c r="K258" s="566"/>
      <c r="L258" s="567">
        <f ca="1">IFERROR(__xludf.DUMMYFUNCTION("IMPORTRANGE(""https://docs.google.com/spreadsheets/d/1eHaY18a8A9IcSdp1K8H6x8fbOy06t2VsZHhMHf-1x7Y/edit?usp=sharing"",""แผน!BE17"")"),0)</f>
        <v>0</v>
      </c>
      <c r="M258" s="566"/>
      <c r="N258" s="786">
        <v>0</v>
      </c>
      <c r="O258" s="566"/>
      <c r="P258" s="566"/>
      <c r="Q258" s="566"/>
      <c r="R258" s="566"/>
      <c r="S258" s="566"/>
      <c r="T258" s="566"/>
      <c r="U258" s="566"/>
    </row>
    <row r="259" spans="1:21" ht="19.5" hidden="1" x14ac:dyDescent="0.3">
      <c r="A259" s="687"/>
      <c r="B259" s="688"/>
      <c r="C259" s="800" t="s">
        <v>18</v>
      </c>
      <c r="D259" s="801" t="s">
        <v>38</v>
      </c>
      <c r="E259" s="690"/>
      <c r="F259" s="690"/>
      <c r="G259" s="691"/>
      <c r="H259" s="692"/>
      <c r="I259" s="683"/>
      <c r="J259" s="565"/>
      <c r="K259" s="566"/>
      <c r="L259" s="574"/>
      <c r="M259" s="566"/>
      <c r="N259" s="566"/>
      <c r="O259" s="684"/>
      <c r="P259" s="684"/>
      <c r="Q259" s="566"/>
      <c r="R259" s="566"/>
      <c r="S259" s="566"/>
      <c r="T259" s="684"/>
      <c r="U259" s="684"/>
    </row>
    <row r="260" spans="1:21" ht="18.75" hidden="1" x14ac:dyDescent="0.25">
      <c r="A260" s="687"/>
      <c r="B260" s="688"/>
      <c r="C260" s="688"/>
      <c r="D260" s="726" t="s">
        <v>108</v>
      </c>
      <c r="E260" s="695"/>
      <c r="F260" s="695"/>
      <c r="G260" s="692"/>
      <c r="H260" s="802" t="s">
        <v>35</v>
      </c>
      <c r="I260" s="735">
        <f ca="1">IFERROR(__xludf.DUMMYFUNCTION("IMPORTRANGE(""https://docs.google.com/spreadsheets/d/1eHaY18a8A9IcSdp1K8H6x8fbOy06t2VsZHhMHf-1x7Y/edit?usp=sharing"",""แผน!BH17"")"),0)</f>
        <v>0</v>
      </c>
      <c r="J260" s="736">
        <v>0</v>
      </c>
      <c r="K260" s="572">
        <f ca="1">IF(I260&gt;0,J260*100/I260,0)</f>
        <v>0</v>
      </c>
      <c r="L260" s="574"/>
      <c r="M260" s="566"/>
      <c r="N260" s="566"/>
      <c r="O260" s="566"/>
      <c r="P260" s="566"/>
      <c r="Q260" s="566"/>
      <c r="R260" s="566"/>
      <c r="S260" s="566"/>
      <c r="T260" s="566"/>
      <c r="U260" s="566"/>
    </row>
    <row r="261" spans="1:21" ht="18.75" hidden="1" x14ac:dyDescent="0.25">
      <c r="A261" s="687"/>
      <c r="B261" s="688"/>
      <c r="C261" s="688"/>
      <c r="D261" s="803" t="s">
        <v>43</v>
      </c>
      <c r="E261" s="695"/>
      <c r="F261" s="695"/>
      <c r="G261" s="692"/>
      <c r="H261" s="692"/>
      <c r="I261" s="565"/>
      <c r="J261" s="565"/>
      <c r="K261" s="566"/>
      <c r="L261" s="574"/>
      <c r="M261" s="566"/>
      <c r="N261" s="566"/>
      <c r="O261" s="684"/>
      <c r="P261" s="684"/>
      <c r="Q261" s="566"/>
      <c r="R261" s="566"/>
      <c r="S261" s="566"/>
      <c r="T261" s="684"/>
      <c r="U261" s="684"/>
    </row>
    <row r="262" spans="1:21" ht="18.75" hidden="1" x14ac:dyDescent="0.25">
      <c r="A262" s="687"/>
      <c r="B262" s="688"/>
      <c r="C262" s="688"/>
      <c r="D262" s="688"/>
      <c r="E262" s="804" t="s">
        <v>109</v>
      </c>
      <c r="F262" s="695"/>
      <c r="G262" s="692"/>
      <c r="H262" s="802" t="s">
        <v>35</v>
      </c>
      <c r="I262" s="565"/>
      <c r="J262" s="736">
        <v>0</v>
      </c>
      <c r="K262" s="572">
        <f t="shared" ref="K262:K263" si="159">IF(I262&gt;0,J262*100/I262,0)</f>
        <v>0</v>
      </c>
      <c r="L262" s="574"/>
      <c r="M262" s="566"/>
      <c r="N262" s="566"/>
      <c r="O262" s="566"/>
      <c r="P262" s="566"/>
      <c r="Q262" s="566"/>
      <c r="R262" s="566"/>
      <c r="S262" s="566"/>
      <c r="T262" s="566"/>
      <c r="U262" s="566"/>
    </row>
    <row r="263" spans="1:21" ht="18.75" hidden="1" x14ac:dyDescent="0.25">
      <c r="A263" s="687"/>
      <c r="B263" s="688"/>
      <c r="C263" s="688"/>
      <c r="D263" s="688"/>
      <c r="E263" s="804" t="s">
        <v>110</v>
      </c>
      <c r="F263" s="695"/>
      <c r="G263" s="692"/>
      <c r="H263" s="802" t="s">
        <v>61</v>
      </c>
      <c r="I263" s="565"/>
      <c r="J263" s="736">
        <v>0</v>
      </c>
      <c r="K263" s="572">
        <f t="shared" si="159"/>
        <v>0</v>
      </c>
      <c r="L263" s="574"/>
      <c r="M263" s="566"/>
      <c r="N263" s="566"/>
      <c r="O263" s="566"/>
      <c r="P263" s="566"/>
      <c r="Q263" s="566"/>
      <c r="R263" s="566"/>
      <c r="S263" s="566"/>
      <c r="T263" s="566"/>
      <c r="U263" s="566"/>
    </row>
    <row r="264" spans="1:21" ht="19.5" x14ac:dyDescent="0.3">
      <c r="A264" s="806" t="s">
        <v>113</v>
      </c>
      <c r="B264" s="807"/>
      <c r="C264" s="807"/>
      <c r="D264" s="808"/>
      <c r="E264" s="808"/>
      <c r="F264" s="808"/>
      <c r="G264" s="809"/>
      <c r="H264" s="809"/>
      <c r="I264" s="810"/>
      <c r="J264" s="810"/>
      <c r="K264" s="811"/>
      <c r="L264" s="812"/>
      <c r="M264" s="811"/>
      <c r="N264" s="811"/>
      <c r="O264" s="811"/>
      <c r="P264" s="811"/>
      <c r="Q264" s="811"/>
      <c r="R264" s="811"/>
      <c r="S264" s="811"/>
      <c r="T264" s="811"/>
      <c r="U264" s="811"/>
    </row>
    <row r="265" spans="1:21" ht="19.5" x14ac:dyDescent="0.3">
      <c r="A265" s="813"/>
      <c r="B265" s="814" t="s">
        <v>114</v>
      </c>
      <c r="C265" s="815"/>
      <c r="D265" s="816"/>
      <c r="E265" s="816"/>
      <c r="F265" s="816"/>
      <c r="G265" s="817"/>
      <c r="H265" s="818" t="s">
        <v>35</v>
      </c>
      <c r="I265" s="819">
        <f t="shared" ref="I265:J265" ca="1" si="160">I276</f>
        <v>22</v>
      </c>
      <c r="J265" s="819">
        <f t="shared" si="160"/>
        <v>22</v>
      </c>
      <c r="K265" s="820">
        <f ca="1">IF(I265&gt;0,J265*100/I265,0)</f>
        <v>100</v>
      </c>
      <c r="L265" s="821"/>
      <c r="M265" s="822"/>
      <c r="N265" s="822"/>
      <c r="O265" s="822"/>
      <c r="P265" s="822"/>
      <c r="Q265" s="822"/>
      <c r="R265" s="822"/>
      <c r="S265" s="822"/>
      <c r="T265" s="822"/>
      <c r="U265" s="822"/>
    </row>
    <row r="266" spans="1:21" ht="19.5" x14ac:dyDescent="0.3">
      <c r="A266" s="823"/>
      <c r="B266" s="824"/>
      <c r="C266" s="825" t="s">
        <v>18</v>
      </c>
      <c r="D266" s="826" t="s">
        <v>19</v>
      </c>
      <c r="E266" s="824"/>
      <c r="F266" s="824"/>
      <c r="G266" s="827"/>
      <c r="H266" s="828" t="s">
        <v>14</v>
      </c>
      <c r="I266" s="829"/>
      <c r="J266" s="829"/>
      <c r="K266" s="830"/>
      <c r="L266" s="831">
        <f t="shared" ref="L266:N266" ca="1" si="161">L267+L268</f>
        <v>5000</v>
      </c>
      <c r="M266" s="832">
        <f t="shared" ca="1" si="161"/>
        <v>5000</v>
      </c>
      <c r="N266" s="832">
        <f t="shared" ca="1" si="161"/>
        <v>0</v>
      </c>
      <c r="O266" s="832">
        <f t="shared" ref="O266:O274" ca="1" si="162">IF(L266&gt;0,N266*100/L266,0)</f>
        <v>0</v>
      </c>
      <c r="P266" s="832">
        <f t="shared" ref="P266:P274" ca="1" si="163">IF(M266&gt;0,N266*100/M266,0)</f>
        <v>0</v>
      </c>
      <c r="Q266" s="832">
        <f t="shared" ref="Q266:S266" ca="1" si="164">Q267+Q268</f>
        <v>50660</v>
      </c>
      <c r="R266" s="832">
        <f t="shared" ca="1" si="164"/>
        <v>50660</v>
      </c>
      <c r="S266" s="832">
        <f t="shared" ca="1" si="164"/>
        <v>43780</v>
      </c>
      <c r="T266" s="832">
        <f t="shared" ref="T266:T274" ca="1" si="165">IF(Q266&gt;0,S266*100/Q266,0)</f>
        <v>86.419265692854324</v>
      </c>
      <c r="U266" s="832">
        <f t="shared" ref="U266:U274" ca="1" si="166">IF(R266&gt;0,S266*100/R266,0)</f>
        <v>86.419265692854324</v>
      </c>
    </row>
    <row r="267" spans="1:21" ht="18.75" x14ac:dyDescent="0.25">
      <c r="A267" s="833"/>
      <c r="B267" s="834"/>
      <c r="C267" s="834"/>
      <c r="D267" s="834"/>
      <c r="E267" s="569" t="s">
        <v>20</v>
      </c>
      <c r="F267" s="834"/>
      <c r="G267" s="835"/>
      <c r="H267" s="680" t="s">
        <v>14</v>
      </c>
      <c r="I267" s="836"/>
      <c r="J267" s="836"/>
      <c r="K267" s="837"/>
      <c r="L267" s="571">
        <f t="shared" ref="L267:N268" si="167">L270+L273</f>
        <v>0</v>
      </c>
      <c r="M267" s="572">
        <f t="shared" si="167"/>
        <v>0</v>
      </c>
      <c r="N267" s="572">
        <f t="shared" si="167"/>
        <v>0</v>
      </c>
      <c r="O267" s="572">
        <f t="shared" si="162"/>
        <v>0</v>
      </c>
      <c r="P267" s="572">
        <f t="shared" si="163"/>
        <v>0</v>
      </c>
      <c r="Q267" s="572">
        <f t="shared" ref="Q267:S268" si="168">Q270+Q273</f>
        <v>0</v>
      </c>
      <c r="R267" s="572">
        <f t="shared" si="168"/>
        <v>0</v>
      </c>
      <c r="S267" s="572">
        <f t="shared" si="168"/>
        <v>0</v>
      </c>
      <c r="T267" s="572">
        <f t="shared" si="165"/>
        <v>0</v>
      </c>
      <c r="U267" s="572">
        <f t="shared" si="166"/>
        <v>0</v>
      </c>
    </row>
    <row r="268" spans="1:21" ht="18.75" x14ac:dyDescent="0.25">
      <c r="A268" s="823"/>
      <c r="B268" s="824"/>
      <c r="C268" s="824"/>
      <c r="D268" s="824"/>
      <c r="E268" s="838" t="s">
        <v>21</v>
      </c>
      <c r="F268" s="824"/>
      <c r="G268" s="827"/>
      <c r="H268" s="839" t="s">
        <v>14</v>
      </c>
      <c r="I268" s="829"/>
      <c r="J268" s="829"/>
      <c r="K268" s="830"/>
      <c r="L268" s="840">
        <f t="shared" ca="1" si="167"/>
        <v>5000</v>
      </c>
      <c r="M268" s="841">
        <f t="shared" ca="1" si="167"/>
        <v>5000</v>
      </c>
      <c r="N268" s="841">
        <f t="shared" ca="1" si="167"/>
        <v>0</v>
      </c>
      <c r="O268" s="841">
        <f t="shared" ca="1" si="162"/>
        <v>0</v>
      </c>
      <c r="P268" s="841">
        <f t="shared" ca="1" si="163"/>
        <v>0</v>
      </c>
      <c r="Q268" s="841">
        <f t="shared" ca="1" si="168"/>
        <v>50660</v>
      </c>
      <c r="R268" s="841">
        <f t="shared" ca="1" si="168"/>
        <v>50660</v>
      </c>
      <c r="S268" s="841">
        <f t="shared" ca="1" si="168"/>
        <v>43780</v>
      </c>
      <c r="T268" s="841">
        <f t="shared" ca="1" si="165"/>
        <v>86.419265692854324</v>
      </c>
      <c r="U268" s="841">
        <f t="shared" ca="1" si="166"/>
        <v>86.419265692854324</v>
      </c>
    </row>
    <row r="269" spans="1:21" ht="18.75" x14ac:dyDescent="0.25">
      <c r="A269" s="823"/>
      <c r="B269" s="824"/>
      <c r="C269" s="824"/>
      <c r="D269" s="842" t="s">
        <v>22</v>
      </c>
      <c r="E269" s="824"/>
      <c r="F269" s="824"/>
      <c r="G269" s="827"/>
      <c r="H269" s="843" t="s">
        <v>14</v>
      </c>
      <c r="I269" s="844"/>
      <c r="J269" s="844"/>
      <c r="K269" s="845"/>
      <c r="L269" s="840">
        <f t="shared" ref="L269:N269" ca="1" si="169">L270+L271</f>
        <v>5000</v>
      </c>
      <c r="M269" s="841">
        <f t="shared" ca="1" si="169"/>
        <v>5000</v>
      </c>
      <c r="N269" s="841">
        <f t="shared" ca="1" si="169"/>
        <v>0</v>
      </c>
      <c r="O269" s="841">
        <f t="shared" ca="1" si="162"/>
        <v>0</v>
      </c>
      <c r="P269" s="841">
        <f t="shared" ca="1" si="163"/>
        <v>0</v>
      </c>
      <c r="Q269" s="841">
        <f t="shared" ref="Q269:S269" ca="1" si="170">Q270+Q271</f>
        <v>50660</v>
      </c>
      <c r="R269" s="841">
        <f t="shared" ca="1" si="170"/>
        <v>50660</v>
      </c>
      <c r="S269" s="841">
        <f t="shared" ca="1" si="170"/>
        <v>43780</v>
      </c>
      <c r="T269" s="841">
        <f t="shared" ca="1" si="165"/>
        <v>86.419265692854324</v>
      </c>
      <c r="U269" s="841">
        <f t="shared" ca="1" si="166"/>
        <v>86.419265692854324</v>
      </c>
    </row>
    <row r="270" spans="1:21" ht="18.75" x14ac:dyDescent="0.25">
      <c r="A270" s="833"/>
      <c r="B270" s="834"/>
      <c r="C270" s="834"/>
      <c r="D270" s="834"/>
      <c r="E270" s="569" t="s">
        <v>36</v>
      </c>
      <c r="F270" s="834"/>
      <c r="G270" s="835"/>
      <c r="H270" s="685" t="s">
        <v>14</v>
      </c>
      <c r="I270" s="846"/>
      <c r="J270" s="846"/>
      <c r="K270" s="847"/>
      <c r="L270" s="571">
        <v>0</v>
      </c>
      <c r="M270" s="572">
        <v>0</v>
      </c>
      <c r="N270" s="572">
        <v>0</v>
      </c>
      <c r="O270" s="572">
        <f t="shared" si="162"/>
        <v>0</v>
      </c>
      <c r="P270" s="572">
        <f t="shared" si="163"/>
        <v>0</v>
      </c>
      <c r="Q270" s="572">
        <v>0</v>
      </c>
      <c r="R270" s="572">
        <v>0</v>
      </c>
      <c r="S270" s="572">
        <v>0</v>
      </c>
      <c r="T270" s="572">
        <f t="shared" si="165"/>
        <v>0</v>
      </c>
      <c r="U270" s="572">
        <f t="shared" si="166"/>
        <v>0</v>
      </c>
    </row>
    <row r="271" spans="1:21" ht="18.75" x14ac:dyDescent="0.25">
      <c r="A271" s="823"/>
      <c r="B271" s="824"/>
      <c r="C271" s="824"/>
      <c r="D271" s="824"/>
      <c r="E271" s="838" t="s">
        <v>37</v>
      </c>
      <c r="F271" s="824"/>
      <c r="G271" s="827"/>
      <c r="H271" s="843" t="s">
        <v>14</v>
      </c>
      <c r="I271" s="844"/>
      <c r="J271" s="844"/>
      <c r="K271" s="845"/>
      <c r="L271" s="840">
        <f ca="1">IFERROR(__xludf.DUMMYFUNCTION("IMPORTRANGE(""https://docs.google.com/spreadsheets/d/1-uDff_7J0KD5mKrp0Vvzr7lt3OU09vwQwhkpOPPYv2Y/edit?usp=sharing"",""งบพรบ!DE17"")"),5000)</f>
        <v>5000</v>
      </c>
      <c r="M271" s="841">
        <f ca="1">IFERROR(__xludf.DUMMYFUNCTION("IMPORTRANGE(""https://docs.google.com/spreadsheets/d/1-uDff_7J0KD5mKrp0Vvzr7lt3OU09vwQwhkpOPPYv2Y/edit?usp=sharing"",""งบพรบ!DJ17"")"),5000)</f>
        <v>5000</v>
      </c>
      <c r="N271" s="841">
        <f ca="1">IFERROR(__xludf.DUMMYFUNCTION("IMPORTRANGE(""https://docs.google.com/spreadsheets/d/1-uDff_7J0KD5mKrp0Vvzr7lt3OU09vwQwhkpOPPYv2Y/edit?usp=sharing"",""งบพรบ!DL17"")"),0)</f>
        <v>0</v>
      </c>
      <c r="O271" s="841">
        <f t="shared" ca="1" si="162"/>
        <v>0</v>
      </c>
      <c r="P271" s="841">
        <f t="shared" ca="1" si="163"/>
        <v>0</v>
      </c>
      <c r="Q271" s="841">
        <f ca="1">IFERROR(__xludf.DUMMYFUNCTION("IMPORTRANGE(""https://docs.google.com/spreadsheets/d/1ItG2mGa2ceCfYo0BwxsXqNm01IGEUdYcSSLTEv9YCik/edit?usp=sharing"",""เบิกจ่ายกองทุน!AP17"")"),50660)</f>
        <v>50660</v>
      </c>
      <c r="R271" s="841">
        <f ca="1">IFERROR(__xludf.DUMMYFUNCTION("IMPORTRANGE(""https://docs.google.com/spreadsheets/d/1ItG2mGa2ceCfYo0BwxsXqNm01IGEUdYcSSLTEv9YCik/edit?usp=sharing"",""เบิกจ่ายกองทุน!AQ17"")"),50660)</f>
        <v>50660</v>
      </c>
      <c r="S271" s="841">
        <f ca="1">IFERROR(__xludf.DUMMYFUNCTION("IMPORTRANGE(""https://docs.google.com/spreadsheets/d/1ItG2mGa2ceCfYo0BwxsXqNm01IGEUdYcSSLTEv9YCik/edit?usp=sharing"",""เบิกจ่ายกองทุน!AR17"")"),43780)</f>
        <v>43780</v>
      </c>
      <c r="T271" s="841">
        <f t="shared" ca="1" si="165"/>
        <v>86.419265692854324</v>
      </c>
      <c r="U271" s="841">
        <f t="shared" ca="1" si="166"/>
        <v>86.419265692854324</v>
      </c>
    </row>
    <row r="272" spans="1:21" ht="18.75" x14ac:dyDescent="0.25">
      <c r="A272" s="823"/>
      <c r="B272" s="824"/>
      <c r="C272" s="824"/>
      <c r="D272" s="842" t="s">
        <v>23</v>
      </c>
      <c r="E272" s="824"/>
      <c r="F272" s="824"/>
      <c r="G272" s="827"/>
      <c r="H272" s="848" t="s">
        <v>14</v>
      </c>
      <c r="I272" s="844"/>
      <c r="J272" s="844"/>
      <c r="K272" s="845"/>
      <c r="L272" s="840">
        <f t="shared" ref="L272:N272" ca="1" si="171">L273+L274</f>
        <v>0</v>
      </c>
      <c r="M272" s="841">
        <f t="shared" ca="1" si="171"/>
        <v>0</v>
      </c>
      <c r="N272" s="841">
        <f t="shared" ca="1" si="171"/>
        <v>0</v>
      </c>
      <c r="O272" s="841">
        <f t="shared" ca="1" si="162"/>
        <v>0</v>
      </c>
      <c r="P272" s="841">
        <f t="shared" ca="1" si="163"/>
        <v>0</v>
      </c>
      <c r="Q272" s="841">
        <f t="shared" ref="Q272:S272" si="172">Q273+Q274</f>
        <v>0</v>
      </c>
      <c r="R272" s="841">
        <f t="shared" si="172"/>
        <v>0</v>
      </c>
      <c r="S272" s="841">
        <f t="shared" si="172"/>
        <v>0</v>
      </c>
      <c r="T272" s="841">
        <f t="shared" si="165"/>
        <v>0</v>
      </c>
      <c r="U272" s="841">
        <f t="shared" si="166"/>
        <v>0</v>
      </c>
    </row>
    <row r="273" spans="1:21" ht="18.75" x14ac:dyDescent="0.25">
      <c r="A273" s="833"/>
      <c r="B273" s="834"/>
      <c r="C273" s="834"/>
      <c r="D273" s="834"/>
      <c r="E273" s="569" t="s">
        <v>20</v>
      </c>
      <c r="F273" s="834"/>
      <c r="G273" s="835"/>
      <c r="H273" s="685" t="s">
        <v>14</v>
      </c>
      <c r="I273" s="846"/>
      <c r="J273" s="846"/>
      <c r="K273" s="847"/>
      <c r="L273" s="571">
        <v>0</v>
      </c>
      <c r="M273" s="572">
        <v>0</v>
      </c>
      <c r="N273" s="572">
        <v>0</v>
      </c>
      <c r="O273" s="572">
        <f t="shared" si="162"/>
        <v>0</v>
      </c>
      <c r="P273" s="572">
        <f t="shared" si="163"/>
        <v>0</v>
      </c>
      <c r="Q273" s="572">
        <v>0</v>
      </c>
      <c r="R273" s="572">
        <v>0</v>
      </c>
      <c r="S273" s="572">
        <v>0</v>
      </c>
      <c r="T273" s="572">
        <f t="shared" si="165"/>
        <v>0</v>
      </c>
      <c r="U273" s="572">
        <f t="shared" si="166"/>
        <v>0</v>
      </c>
    </row>
    <row r="274" spans="1:21" ht="18.75" x14ac:dyDescent="0.25">
      <c r="A274" s="823"/>
      <c r="B274" s="824"/>
      <c r="C274" s="824"/>
      <c r="D274" s="824"/>
      <c r="E274" s="838" t="s">
        <v>21</v>
      </c>
      <c r="F274" s="824"/>
      <c r="G274" s="827"/>
      <c r="H274" s="848" t="s">
        <v>14</v>
      </c>
      <c r="I274" s="844"/>
      <c r="J274" s="844"/>
      <c r="K274" s="845"/>
      <c r="L274" s="840">
        <f ca="1">IFERROR(__xludf.DUMMYFUNCTION("IMPORTRANGE(""https://docs.google.com/spreadsheets/d/1-uDff_7J0KD5mKrp0Vvzr7lt3OU09vwQwhkpOPPYv2Y/edit?usp=sharing"",""งบพรบ!DH17"")"),0)</f>
        <v>0</v>
      </c>
      <c r="M274" s="841">
        <f ca="1">IFERROR(__xludf.DUMMYFUNCTION("IMPORTRANGE(""https://docs.google.com/spreadsheets/d/1-uDff_7J0KD5mKrp0Vvzr7lt3OU09vwQwhkpOPPYv2Y/edit?usp=sharing"",""งบพรบ!DK17"")"),0)</f>
        <v>0</v>
      </c>
      <c r="N274" s="841">
        <f ca="1">IFERROR(__xludf.DUMMYFUNCTION("IMPORTRANGE(""https://docs.google.com/spreadsheets/d/1-uDff_7J0KD5mKrp0Vvzr7lt3OU09vwQwhkpOPPYv2Y/edit?usp=sharing"",""งบพรบ!DM17"")"),0)</f>
        <v>0</v>
      </c>
      <c r="O274" s="841">
        <f t="shared" ca="1" si="162"/>
        <v>0</v>
      </c>
      <c r="P274" s="841">
        <f t="shared" ca="1" si="163"/>
        <v>0</v>
      </c>
      <c r="Q274" s="841">
        <v>0</v>
      </c>
      <c r="R274" s="841">
        <v>0</v>
      </c>
      <c r="S274" s="841">
        <v>0</v>
      </c>
      <c r="T274" s="841">
        <f t="shared" si="165"/>
        <v>0</v>
      </c>
      <c r="U274" s="841">
        <f t="shared" si="166"/>
        <v>0</v>
      </c>
    </row>
    <row r="275" spans="1:21" ht="19.5" x14ac:dyDescent="0.3">
      <c r="A275" s="849"/>
      <c r="B275" s="850"/>
      <c r="C275" s="838" t="s">
        <v>18</v>
      </c>
      <c r="D275" s="851" t="s">
        <v>38</v>
      </c>
      <c r="E275" s="816"/>
      <c r="F275" s="816"/>
      <c r="G275" s="817"/>
      <c r="H275" s="852"/>
      <c r="I275" s="844"/>
      <c r="J275" s="844"/>
      <c r="K275" s="845"/>
      <c r="L275" s="853"/>
      <c r="M275" s="845"/>
      <c r="N275" s="845"/>
      <c r="O275" s="845"/>
      <c r="P275" s="845"/>
      <c r="Q275" s="845"/>
      <c r="R275" s="845"/>
      <c r="S275" s="845"/>
      <c r="T275" s="845"/>
      <c r="U275" s="845"/>
    </row>
    <row r="276" spans="1:21" ht="18.75" x14ac:dyDescent="0.25">
      <c r="A276" s="854"/>
      <c r="B276" s="855"/>
      <c r="C276" s="855"/>
      <c r="D276" s="856" t="s">
        <v>115</v>
      </c>
      <c r="E276" s="857"/>
      <c r="F276" s="857"/>
      <c r="G276" s="858"/>
      <c r="H276" s="859" t="s">
        <v>35</v>
      </c>
      <c r="I276" s="860">
        <f ca="1">IFERROR(__xludf.DUMMYFUNCTION("IMPORTRANGE(""https://docs.google.com/spreadsheets/d/1eHaY18a8A9IcSdp1K8H6x8fbOy06t2VsZHhMHf-1x7Y/edit?usp=sharing"",""แผน!EC17"")"),22)</f>
        <v>22</v>
      </c>
      <c r="J276" s="861">
        <v>22</v>
      </c>
      <c r="K276" s="862">
        <f ca="1">IF(I276&gt;0,J276*100/I276,0)</f>
        <v>100</v>
      </c>
      <c r="L276" s="574"/>
      <c r="M276" s="566"/>
      <c r="N276" s="566"/>
      <c r="O276" s="566"/>
      <c r="P276" s="566"/>
      <c r="Q276" s="566"/>
      <c r="R276" s="566"/>
      <c r="S276" s="566"/>
      <c r="T276" s="566"/>
      <c r="U276" s="566"/>
    </row>
    <row r="277" spans="1:21" ht="18.75" x14ac:dyDescent="0.25">
      <c r="A277" s="863"/>
      <c r="B277" s="864"/>
      <c r="C277" s="864"/>
      <c r="D277" s="865" t="s">
        <v>116</v>
      </c>
      <c r="E277" s="512"/>
      <c r="F277" s="512"/>
      <c r="G277" s="866"/>
      <c r="H277" s="867" t="s">
        <v>35</v>
      </c>
      <c r="I277" s="740">
        <v>0</v>
      </c>
      <c r="J277" s="740">
        <v>0</v>
      </c>
      <c r="K277" s="868">
        <v>0</v>
      </c>
      <c r="L277" s="869"/>
      <c r="M277" s="870"/>
      <c r="N277" s="870"/>
      <c r="O277" s="870"/>
      <c r="P277" s="870"/>
      <c r="Q277" s="870"/>
      <c r="R277" s="870"/>
      <c r="S277" s="870"/>
      <c r="T277" s="870"/>
      <c r="U277" s="870"/>
    </row>
    <row r="278" spans="1:21" ht="19.5" x14ac:dyDescent="0.3">
      <c r="A278" s="871" t="s">
        <v>117</v>
      </c>
      <c r="B278" s="872"/>
      <c r="C278" s="872"/>
      <c r="D278" s="872"/>
      <c r="E278" s="873"/>
      <c r="F278" s="873"/>
      <c r="G278" s="873"/>
      <c r="H278" s="873"/>
      <c r="I278" s="874"/>
      <c r="J278" s="874"/>
      <c r="K278" s="875"/>
      <c r="L278" s="875"/>
      <c r="M278" s="875"/>
      <c r="N278" s="875"/>
      <c r="O278" s="875"/>
      <c r="P278" s="876"/>
      <c r="Q278" s="875"/>
      <c r="R278" s="875"/>
      <c r="S278" s="875"/>
      <c r="T278" s="875"/>
      <c r="U278" s="876"/>
    </row>
    <row r="279" spans="1:21" ht="19.5" x14ac:dyDescent="0.3">
      <c r="A279" s="877" t="s">
        <v>118</v>
      </c>
      <c r="B279" s="878"/>
      <c r="C279" s="879"/>
      <c r="D279" s="878"/>
      <c r="E279" s="878"/>
      <c r="F279" s="878"/>
      <c r="G279" s="878"/>
      <c r="H279" s="878"/>
      <c r="I279" s="880"/>
      <c r="J279" s="881"/>
      <c r="K279" s="882"/>
      <c r="L279" s="883"/>
      <c r="M279" s="882"/>
      <c r="N279" s="882"/>
      <c r="O279" s="882"/>
      <c r="P279" s="882"/>
      <c r="Q279" s="882"/>
      <c r="R279" s="882"/>
      <c r="S279" s="882"/>
      <c r="T279" s="882"/>
      <c r="U279" s="882"/>
    </row>
    <row r="280" spans="1:21" ht="19.5" x14ac:dyDescent="0.3">
      <c r="A280" s="884"/>
      <c r="B280" s="885" t="s">
        <v>119</v>
      </c>
      <c r="C280" s="886"/>
      <c r="D280" s="887"/>
      <c r="E280" s="886"/>
      <c r="F280" s="886"/>
      <c r="G280" s="888"/>
      <c r="H280" s="889" t="s">
        <v>35</v>
      </c>
      <c r="I280" s="890">
        <f t="shared" ref="I280:J280" ca="1" si="173">I293</f>
        <v>20</v>
      </c>
      <c r="J280" s="890">
        <f t="shared" si="173"/>
        <v>20</v>
      </c>
      <c r="K280" s="891">
        <f t="shared" ref="K280:K281" ca="1" si="174">IF(I280&gt;0,J280*100/I280,0)</f>
        <v>100</v>
      </c>
      <c r="L280" s="892"/>
      <c r="M280" s="893"/>
      <c r="N280" s="893"/>
      <c r="O280" s="893"/>
      <c r="P280" s="893"/>
      <c r="Q280" s="893"/>
      <c r="R280" s="893"/>
      <c r="S280" s="893"/>
      <c r="T280" s="893"/>
      <c r="U280" s="893"/>
    </row>
    <row r="281" spans="1:21" ht="19.5" x14ac:dyDescent="0.3">
      <c r="A281" s="884"/>
      <c r="B281" s="886"/>
      <c r="C281" s="886"/>
      <c r="D281" s="887"/>
      <c r="E281" s="886"/>
      <c r="F281" s="886"/>
      <c r="G281" s="888"/>
      <c r="H281" s="889" t="s">
        <v>46</v>
      </c>
      <c r="I281" s="890">
        <f t="shared" ref="I281:J281" ca="1" si="175">I292</f>
        <v>200</v>
      </c>
      <c r="J281" s="890">
        <f t="shared" si="175"/>
        <v>200</v>
      </c>
      <c r="K281" s="891">
        <f t="shared" ca="1" si="174"/>
        <v>100</v>
      </c>
      <c r="L281" s="892"/>
      <c r="M281" s="893"/>
      <c r="N281" s="893"/>
      <c r="O281" s="893"/>
      <c r="P281" s="893"/>
      <c r="Q281" s="893"/>
      <c r="R281" s="893"/>
      <c r="S281" s="893"/>
      <c r="T281" s="893"/>
      <c r="U281" s="893"/>
    </row>
    <row r="282" spans="1:21" ht="19.5" x14ac:dyDescent="0.3">
      <c r="A282" s="674"/>
      <c r="B282" s="561"/>
      <c r="C282" s="675" t="s">
        <v>18</v>
      </c>
      <c r="D282" s="676" t="s">
        <v>19</v>
      </c>
      <c r="E282" s="561"/>
      <c r="F282" s="561"/>
      <c r="G282" s="563"/>
      <c r="H282" s="677" t="s">
        <v>14</v>
      </c>
      <c r="I282" s="565"/>
      <c r="J282" s="565"/>
      <c r="K282" s="566"/>
      <c r="L282" s="678">
        <f t="shared" ref="L282:N282" ca="1" si="176">L283+L284</f>
        <v>71120</v>
      </c>
      <c r="M282" s="679">
        <f t="shared" ca="1" si="176"/>
        <v>71120</v>
      </c>
      <c r="N282" s="679">
        <f t="shared" ca="1" si="176"/>
        <v>53090</v>
      </c>
      <c r="O282" s="679">
        <f t="shared" ref="O282:O290" ca="1" si="177">IF(L282&gt;0,N282*100/L282,0)</f>
        <v>74.648481439820017</v>
      </c>
      <c r="P282" s="679">
        <f t="shared" ref="P282:P290" ca="1" si="178">IF(M282&gt;0,N282*100/M282,0)</f>
        <v>74.648481439820017</v>
      </c>
      <c r="Q282" s="679">
        <f t="shared" ref="Q282:S282" si="179">Q283+Q284</f>
        <v>0</v>
      </c>
      <c r="R282" s="679">
        <f t="shared" si="179"/>
        <v>0</v>
      </c>
      <c r="S282" s="679">
        <f t="shared" si="179"/>
        <v>0</v>
      </c>
      <c r="T282" s="679">
        <f t="shared" ref="T282:T290" si="180">IF(Q282&gt;0,S282*100/Q282,0)</f>
        <v>0</v>
      </c>
      <c r="U282" s="679">
        <f t="shared" ref="U282:U290" si="181">IF(R282&gt;0,S282*100/R282,0)</f>
        <v>0</v>
      </c>
    </row>
    <row r="283" spans="1:21" ht="18.75" x14ac:dyDescent="0.25">
      <c r="A283" s="674"/>
      <c r="B283" s="561"/>
      <c r="C283" s="561"/>
      <c r="D283" s="561"/>
      <c r="E283" s="569" t="s">
        <v>20</v>
      </c>
      <c r="F283" s="561"/>
      <c r="G283" s="563"/>
      <c r="H283" s="680" t="s">
        <v>14</v>
      </c>
      <c r="I283" s="565"/>
      <c r="J283" s="565"/>
      <c r="K283" s="566"/>
      <c r="L283" s="571">
        <f t="shared" ref="L283:N284" si="182">L286+L289</f>
        <v>0</v>
      </c>
      <c r="M283" s="572">
        <f t="shared" si="182"/>
        <v>0</v>
      </c>
      <c r="N283" s="572">
        <f t="shared" si="182"/>
        <v>0</v>
      </c>
      <c r="O283" s="572">
        <f t="shared" si="177"/>
        <v>0</v>
      </c>
      <c r="P283" s="572">
        <f t="shared" si="178"/>
        <v>0</v>
      </c>
      <c r="Q283" s="572">
        <f t="shared" ref="Q283:S284" si="183">Q286+Q289</f>
        <v>0</v>
      </c>
      <c r="R283" s="572">
        <f t="shared" si="183"/>
        <v>0</v>
      </c>
      <c r="S283" s="572">
        <f t="shared" si="183"/>
        <v>0</v>
      </c>
      <c r="T283" s="572">
        <f t="shared" si="180"/>
        <v>0</v>
      </c>
      <c r="U283" s="572">
        <f t="shared" si="181"/>
        <v>0</v>
      </c>
    </row>
    <row r="284" spans="1:21" ht="18.75" x14ac:dyDescent="0.25">
      <c r="A284" s="674"/>
      <c r="B284" s="561"/>
      <c r="C284" s="561"/>
      <c r="D284" s="561"/>
      <c r="E284" s="573" t="s">
        <v>21</v>
      </c>
      <c r="F284" s="561"/>
      <c r="G284" s="563"/>
      <c r="H284" s="681" t="s">
        <v>14</v>
      </c>
      <c r="I284" s="565"/>
      <c r="J284" s="565"/>
      <c r="K284" s="566"/>
      <c r="L284" s="567">
        <f t="shared" ca="1" si="182"/>
        <v>71120</v>
      </c>
      <c r="M284" s="568">
        <f t="shared" ca="1" si="182"/>
        <v>71120</v>
      </c>
      <c r="N284" s="568">
        <f t="shared" ca="1" si="182"/>
        <v>53090</v>
      </c>
      <c r="O284" s="568">
        <f t="shared" ca="1" si="177"/>
        <v>74.648481439820017</v>
      </c>
      <c r="P284" s="568">
        <f t="shared" ca="1" si="178"/>
        <v>74.648481439820017</v>
      </c>
      <c r="Q284" s="568">
        <f t="shared" si="183"/>
        <v>0</v>
      </c>
      <c r="R284" s="568">
        <f t="shared" si="183"/>
        <v>0</v>
      </c>
      <c r="S284" s="568">
        <f t="shared" si="183"/>
        <v>0</v>
      </c>
      <c r="T284" s="568">
        <f t="shared" si="180"/>
        <v>0</v>
      </c>
      <c r="U284" s="568">
        <f t="shared" si="181"/>
        <v>0</v>
      </c>
    </row>
    <row r="285" spans="1:21" ht="18.75" x14ac:dyDescent="0.25">
      <c r="A285" s="674"/>
      <c r="B285" s="561"/>
      <c r="C285" s="561"/>
      <c r="D285" s="562" t="s">
        <v>22</v>
      </c>
      <c r="E285" s="561"/>
      <c r="F285" s="561"/>
      <c r="G285" s="563"/>
      <c r="H285" s="682" t="s">
        <v>14</v>
      </c>
      <c r="I285" s="683"/>
      <c r="J285" s="683"/>
      <c r="K285" s="684"/>
      <c r="L285" s="567">
        <f t="shared" ref="L285:N285" ca="1" si="184">L286+L287</f>
        <v>71120</v>
      </c>
      <c r="M285" s="568">
        <f t="shared" ca="1" si="184"/>
        <v>71120</v>
      </c>
      <c r="N285" s="568">
        <f t="shared" ca="1" si="184"/>
        <v>53090</v>
      </c>
      <c r="O285" s="568">
        <f t="shared" ca="1" si="177"/>
        <v>74.648481439820017</v>
      </c>
      <c r="P285" s="568">
        <f t="shared" ca="1" si="178"/>
        <v>74.648481439820017</v>
      </c>
      <c r="Q285" s="568">
        <f t="shared" ref="Q285:S285" si="185">Q286+Q287</f>
        <v>0</v>
      </c>
      <c r="R285" s="568">
        <f t="shared" si="185"/>
        <v>0</v>
      </c>
      <c r="S285" s="568">
        <f t="shared" si="185"/>
        <v>0</v>
      </c>
      <c r="T285" s="568">
        <f t="shared" si="180"/>
        <v>0</v>
      </c>
      <c r="U285" s="568">
        <f t="shared" si="181"/>
        <v>0</v>
      </c>
    </row>
    <row r="286" spans="1:21" ht="18.75" x14ac:dyDescent="0.25">
      <c r="A286" s="674"/>
      <c r="B286" s="561"/>
      <c r="C286" s="561"/>
      <c r="D286" s="561"/>
      <c r="E286" s="569" t="s">
        <v>36</v>
      </c>
      <c r="F286" s="561"/>
      <c r="G286" s="563"/>
      <c r="H286" s="685" t="s">
        <v>14</v>
      </c>
      <c r="I286" s="683"/>
      <c r="J286" s="683"/>
      <c r="K286" s="684"/>
      <c r="L286" s="571">
        <v>0</v>
      </c>
      <c r="M286" s="572">
        <v>0</v>
      </c>
      <c r="N286" s="572">
        <v>0</v>
      </c>
      <c r="O286" s="572">
        <f t="shared" si="177"/>
        <v>0</v>
      </c>
      <c r="P286" s="572">
        <f t="shared" si="178"/>
        <v>0</v>
      </c>
      <c r="Q286" s="572">
        <v>0</v>
      </c>
      <c r="R286" s="572">
        <v>0</v>
      </c>
      <c r="S286" s="572">
        <v>0</v>
      </c>
      <c r="T286" s="572">
        <f t="shared" si="180"/>
        <v>0</v>
      </c>
      <c r="U286" s="572">
        <f t="shared" si="181"/>
        <v>0</v>
      </c>
    </row>
    <row r="287" spans="1:21" ht="18.75" x14ac:dyDescent="0.25">
      <c r="A287" s="674"/>
      <c r="B287" s="561"/>
      <c r="C287" s="561"/>
      <c r="D287" s="561"/>
      <c r="E287" s="573" t="s">
        <v>37</v>
      </c>
      <c r="F287" s="561"/>
      <c r="G287" s="563"/>
      <c r="H287" s="682" t="s">
        <v>14</v>
      </c>
      <c r="I287" s="683"/>
      <c r="J287" s="683"/>
      <c r="K287" s="684"/>
      <c r="L287" s="567">
        <f ca="1">IFERROR(__xludf.DUMMYFUNCTION("IMPORTRANGE(""https://docs.google.com/spreadsheets/d/1-uDff_7J0KD5mKrp0Vvzr7lt3OU09vwQwhkpOPPYv2Y/edit?usp=sharing"",""งบพรบ!DO17"")"),71120)</f>
        <v>71120</v>
      </c>
      <c r="M287" s="568">
        <f ca="1">IFERROR(__xludf.DUMMYFUNCTION("IMPORTRANGE(""https://docs.google.com/spreadsheets/d/1-uDff_7J0KD5mKrp0Vvzr7lt3OU09vwQwhkpOPPYv2Y/edit?usp=sharing"",""งบพรบ!DT17"")"),71120)</f>
        <v>71120</v>
      </c>
      <c r="N287" s="568">
        <f ca="1">IFERROR(__xludf.DUMMYFUNCTION("IMPORTRANGE(""https://docs.google.com/spreadsheets/d/1-uDff_7J0KD5mKrp0Vvzr7lt3OU09vwQwhkpOPPYv2Y/edit?usp=sharing"",""งบพรบ!DV17"")"),53090)</f>
        <v>53090</v>
      </c>
      <c r="O287" s="568">
        <f t="shared" ca="1" si="177"/>
        <v>74.648481439820017</v>
      </c>
      <c r="P287" s="568">
        <f t="shared" ca="1" si="178"/>
        <v>74.648481439820017</v>
      </c>
      <c r="Q287" s="568">
        <v>0</v>
      </c>
      <c r="R287" s="568">
        <v>0</v>
      </c>
      <c r="S287" s="568">
        <v>0</v>
      </c>
      <c r="T287" s="572">
        <f t="shared" si="180"/>
        <v>0</v>
      </c>
      <c r="U287" s="572">
        <f t="shared" si="181"/>
        <v>0</v>
      </c>
    </row>
    <row r="288" spans="1:21" ht="18.75" x14ac:dyDescent="0.25">
      <c r="A288" s="674"/>
      <c r="B288" s="561"/>
      <c r="C288" s="561"/>
      <c r="D288" s="562" t="s">
        <v>23</v>
      </c>
      <c r="E288" s="561"/>
      <c r="F288" s="561"/>
      <c r="G288" s="563"/>
      <c r="H288" s="686" t="s">
        <v>14</v>
      </c>
      <c r="I288" s="683"/>
      <c r="J288" s="683"/>
      <c r="K288" s="684"/>
      <c r="L288" s="567">
        <f t="shared" ref="L288:N288" ca="1" si="186">L289+L290</f>
        <v>0</v>
      </c>
      <c r="M288" s="568">
        <f t="shared" ca="1" si="186"/>
        <v>0</v>
      </c>
      <c r="N288" s="568">
        <f t="shared" ca="1" si="186"/>
        <v>0</v>
      </c>
      <c r="O288" s="568">
        <f t="shared" ca="1" si="177"/>
        <v>0</v>
      </c>
      <c r="P288" s="568">
        <f t="shared" ca="1" si="178"/>
        <v>0</v>
      </c>
      <c r="Q288" s="568">
        <f t="shared" ref="Q288:S288" si="187">Q289+Q290</f>
        <v>0</v>
      </c>
      <c r="R288" s="568">
        <f t="shared" si="187"/>
        <v>0</v>
      </c>
      <c r="S288" s="568">
        <f t="shared" si="187"/>
        <v>0</v>
      </c>
      <c r="T288" s="568">
        <f t="shared" si="180"/>
        <v>0</v>
      </c>
      <c r="U288" s="568">
        <f t="shared" si="181"/>
        <v>0</v>
      </c>
    </row>
    <row r="289" spans="1:21" ht="18.75" x14ac:dyDescent="0.25">
      <c r="A289" s="674"/>
      <c r="B289" s="561"/>
      <c r="C289" s="561"/>
      <c r="D289" s="561"/>
      <c r="E289" s="569" t="s">
        <v>20</v>
      </c>
      <c r="F289" s="561"/>
      <c r="G289" s="563"/>
      <c r="H289" s="685" t="s">
        <v>14</v>
      </c>
      <c r="I289" s="683"/>
      <c r="J289" s="683"/>
      <c r="K289" s="684"/>
      <c r="L289" s="571">
        <v>0</v>
      </c>
      <c r="M289" s="572">
        <v>0</v>
      </c>
      <c r="N289" s="572">
        <v>0</v>
      </c>
      <c r="O289" s="572">
        <f t="shared" si="177"/>
        <v>0</v>
      </c>
      <c r="P289" s="572">
        <f t="shared" si="178"/>
        <v>0</v>
      </c>
      <c r="Q289" s="572">
        <v>0</v>
      </c>
      <c r="R289" s="572">
        <v>0</v>
      </c>
      <c r="S289" s="572">
        <v>0</v>
      </c>
      <c r="T289" s="572">
        <f t="shared" si="180"/>
        <v>0</v>
      </c>
      <c r="U289" s="572">
        <f t="shared" si="181"/>
        <v>0</v>
      </c>
    </row>
    <row r="290" spans="1:21" ht="18.75" x14ac:dyDescent="0.25">
      <c r="A290" s="674"/>
      <c r="B290" s="561"/>
      <c r="C290" s="561"/>
      <c r="D290" s="561"/>
      <c r="E290" s="573" t="s">
        <v>21</v>
      </c>
      <c r="F290" s="561"/>
      <c r="G290" s="563"/>
      <c r="H290" s="686" t="s">
        <v>14</v>
      </c>
      <c r="I290" s="683"/>
      <c r="J290" s="683"/>
      <c r="K290" s="684"/>
      <c r="L290" s="567">
        <f ca="1">IFERROR(__xludf.DUMMYFUNCTION("IMPORTRANGE(""https://docs.google.com/spreadsheets/d/1-uDff_7J0KD5mKrp0Vvzr7lt3OU09vwQwhkpOPPYv2Y/edit?usp=sharing"",""งบพรบ!DR17"")"),0)</f>
        <v>0</v>
      </c>
      <c r="M290" s="568">
        <f ca="1">IFERROR(__xludf.DUMMYFUNCTION("IMPORTRANGE(""https://docs.google.com/spreadsheets/d/1-uDff_7J0KD5mKrp0Vvzr7lt3OU09vwQwhkpOPPYv2Y/edit?usp=sharing"",""งบพรบ!DU17"")"),0)</f>
        <v>0</v>
      </c>
      <c r="N290" s="568">
        <f ca="1">IFERROR(__xludf.DUMMYFUNCTION("IMPORTRANGE(""https://docs.google.com/spreadsheets/d/1-uDff_7J0KD5mKrp0Vvzr7lt3OU09vwQwhkpOPPYv2Y/edit?usp=sharing"",""งบพรบ!DW17"")"),0)</f>
        <v>0</v>
      </c>
      <c r="O290" s="568">
        <f t="shared" ca="1" si="177"/>
        <v>0</v>
      </c>
      <c r="P290" s="568">
        <f t="shared" ca="1" si="178"/>
        <v>0</v>
      </c>
      <c r="Q290" s="568">
        <v>0</v>
      </c>
      <c r="R290" s="568">
        <v>0</v>
      </c>
      <c r="S290" s="568">
        <v>0</v>
      </c>
      <c r="T290" s="568">
        <f t="shared" si="180"/>
        <v>0</v>
      </c>
      <c r="U290" s="568">
        <f t="shared" si="181"/>
        <v>0</v>
      </c>
    </row>
    <row r="291" spans="1:21" ht="19.5" x14ac:dyDescent="0.3">
      <c r="A291" s="687"/>
      <c r="B291" s="688"/>
      <c r="C291" s="675" t="s">
        <v>18</v>
      </c>
      <c r="D291" s="689" t="s">
        <v>38</v>
      </c>
      <c r="E291" s="690"/>
      <c r="F291" s="690"/>
      <c r="G291" s="691"/>
      <c r="H291" s="692"/>
      <c r="I291" s="683"/>
      <c r="J291" s="683"/>
      <c r="K291" s="684"/>
      <c r="L291" s="693"/>
      <c r="M291" s="684"/>
      <c r="N291" s="684"/>
      <c r="O291" s="684"/>
      <c r="P291" s="684"/>
      <c r="Q291" s="684"/>
      <c r="R291" s="684"/>
      <c r="S291" s="684"/>
      <c r="T291" s="684"/>
      <c r="U291" s="684"/>
    </row>
    <row r="292" spans="1:21" ht="18.75" x14ac:dyDescent="0.25">
      <c r="A292" s="687"/>
      <c r="B292" s="688"/>
      <c r="C292" s="688"/>
      <c r="D292" s="699" t="s">
        <v>120</v>
      </c>
      <c r="E292" s="688"/>
      <c r="F292" s="695"/>
      <c r="G292" s="692"/>
      <c r="H292" s="704" t="s">
        <v>46</v>
      </c>
      <c r="I292" s="708">
        <f ca="1">IFERROR(__xludf.DUMMYFUNCTION("IMPORTRANGE(""https://docs.google.com/spreadsheets/d/1eHaY18a8A9IcSdp1K8H6x8fbOy06t2VsZHhMHf-1x7Y/edit?usp=sharing"",""แผน!EE17"")"),200)</f>
        <v>200</v>
      </c>
      <c r="J292" s="702">
        <v>200</v>
      </c>
      <c r="K292" s="703">
        <f t="shared" ref="K292:K293" ca="1" si="188">IF(I292&gt;0,J292*100/I292,0)</f>
        <v>100</v>
      </c>
      <c r="L292" s="693"/>
      <c r="M292" s="684"/>
      <c r="N292" s="684"/>
      <c r="O292" s="684"/>
      <c r="P292" s="684"/>
      <c r="Q292" s="684"/>
      <c r="R292" s="684"/>
      <c r="S292" s="684"/>
      <c r="T292" s="684"/>
      <c r="U292" s="684"/>
    </row>
    <row r="293" spans="1:21" ht="19.5" x14ac:dyDescent="0.3">
      <c r="A293" s="687"/>
      <c r="B293" s="688"/>
      <c r="C293" s="688"/>
      <c r="D293" s="699" t="s">
        <v>121</v>
      </c>
      <c r="E293" s="688"/>
      <c r="F293" s="695"/>
      <c r="G293" s="692"/>
      <c r="H293" s="696" t="s">
        <v>35</v>
      </c>
      <c r="I293" s="697">
        <f ca="1">IFERROR(__xludf.DUMMYFUNCTION("IMPORTRANGE(""https://docs.google.com/spreadsheets/d/1eHaY18a8A9IcSdp1K8H6x8fbOy06t2VsZHhMHf-1x7Y/edit?usp=sharing"",""แผน!ED17"")"),20)</f>
        <v>20</v>
      </c>
      <c r="J293" s="697">
        <f>J296</f>
        <v>20</v>
      </c>
      <c r="K293" s="698">
        <f t="shared" ca="1" si="188"/>
        <v>100</v>
      </c>
      <c r="L293" s="693"/>
      <c r="M293" s="684"/>
      <c r="N293" s="684"/>
      <c r="O293" s="684"/>
      <c r="P293" s="684"/>
      <c r="Q293" s="684"/>
      <c r="R293" s="684"/>
      <c r="S293" s="684"/>
      <c r="T293" s="684"/>
      <c r="U293" s="684"/>
    </row>
    <row r="294" spans="1:21" ht="19.5" x14ac:dyDescent="0.3">
      <c r="A294" s="687"/>
      <c r="B294" s="688"/>
      <c r="C294" s="688"/>
      <c r="D294" s="695"/>
      <c r="E294" s="707" t="s">
        <v>303</v>
      </c>
      <c r="F294" s="695"/>
      <c r="G294" s="692"/>
      <c r="H294" s="692"/>
      <c r="I294" s="683"/>
      <c r="J294" s="565"/>
      <c r="K294" s="684"/>
      <c r="L294" s="693"/>
      <c r="M294" s="684"/>
      <c r="N294" s="684"/>
      <c r="O294" s="684"/>
      <c r="P294" s="684"/>
      <c r="Q294" s="684"/>
      <c r="R294" s="684"/>
      <c r="S294" s="684"/>
      <c r="T294" s="684"/>
      <c r="U294" s="684"/>
    </row>
    <row r="295" spans="1:21" ht="19.5" x14ac:dyDescent="0.3">
      <c r="A295" s="687"/>
      <c r="B295" s="688"/>
      <c r="C295" s="688"/>
      <c r="D295" s="695"/>
      <c r="E295" s="699" t="s">
        <v>304</v>
      </c>
      <c r="F295" s="695"/>
      <c r="G295" s="692"/>
      <c r="H295" s="700" t="s">
        <v>35</v>
      </c>
      <c r="I295" s="701">
        <f ca="1">IFERROR(__xludf.DUMMYFUNCTION("IMPORTRANGE(""https://docs.google.com/spreadsheets/d/1eHaY18a8A9IcSdp1K8H6x8fbOy06t2VsZHhMHf-1x7Y/edit?usp=sharing"",""แผน!ED17"")"),20)</f>
        <v>20</v>
      </c>
      <c r="J295" s="702">
        <v>20</v>
      </c>
      <c r="K295" s="703">
        <f t="shared" ref="K295:K296" ca="1" si="189">IF(I295&gt;0,J295*100/I295,0)</f>
        <v>100</v>
      </c>
      <c r="L295" s="693"/>
      <c r="M295" s="684"/>
      <c r="N295" s="684"/>
      <c r="O295" s="684"/>
      <c r="P295" s="684"/>
      <c r="Q295" s="684"/>
      <c r="R295" s="684"/>
      <c r="S295" s="684"/>
      <c r="T295" s="684"/>
      <c r="U295" s="684"/>
    </row>
    <row r="296" spans="1:21" ht="19.5" x14ac:dyDescent="0.3">
      <c r="A296" s="687"/>
      <c r="B296" s="688"/>
      <c r="C296" s="688"/>
      <c r="D296" s="695"/>
      <c r="E296" s="699" t="s">
        <v>305</v>
      </c>
      <c r="F296" s="695"/>
      <c r="G296" s="692"/>
      <c r="H296" s="700" t="s">
        <v>35</v>
      </c>
      <c r="I296" s="701">
        <f ca="1">IFERROR(__xludf.DUMMYFUNCTION("IMPORTRANGE(""https://docs.google.com/spreadsheets/d/1eHaY18a8A9IcSdp1K8H6x8fbOy06t2VsZHhMHf-1x7Y/edit?usp=sharing"",""แผน!ED17"")"),20)</f>
        <v>20</v>
      </c>
      <c r="J296" s="702">
        <v>20</v>
      </c>
      <c r="K296" s="703">
        <f t="shared" ca="1" si="189"/>
        <v>100</v>
      </c>
      <c r="L296" s="693"/>
      <c r="M296" s="684"/>
      <c r="N296" s="684"/>
      <c r="O296" s="684"/>
      <c r="P296" s="684"/>
      <c r="Q296" s="684"/>
      <c r="R296" s="684"/>
      <c r="S296" s="684"/>
      <c r="T296" s="684"/>
      <c r="U296" s="684"/>
    </row>
    <row r="297" spans="1:21" ht="12.75" hidden="1" x14ac:dyDescent="0.2">
      <c r="A297" s="705"/>
      <c r="B297" s="706"/>
      <c r="C297" s="706"/>
      <c r="D297" s="531"/>
      <c r="E297" s="531"/>
      <c r="F297" s="531"/>
      <c r="G297" s="532"/>
      <c r="H297" s="532"/>
      <c r="I297" s="533"/>
      <c r="J297" s="533"/>
      <c r="K297" s="534"/>
      <c r="L297" s="535"/>
      <c r="M297" s="534"/>
      <c r="N297" s="534"/>
      <c r="O297" s="534"/>
      <c r="P297" s="534"/>
      <c r="Q297" s="534"/>
      <c r="R297" s="534"/>
      <c r="S297" s="534"/>
      <c r="T297" s="534"/>
      <c r="U297" s="534"/>
    </row>
    <row r="298" spans="1:21" ht="12.75" hidden="1" x14ac:dyDescent="0.2">
      <c r="A298" s="705"/>
      <c r="B298" s="706"/>
      <c r="C298" s="706"/>
      <c r="D298" s="531"/>
      <c r="E298" s="531"/>
      <c r="F298" s="531"/>
      <c r="G298" s="532"/>
      <c r="H298" s="532"/>
      <c r="I298" s="533"/>
      <c r="J298" s="533"/>
      <c r="K298" s="534"/>
      <c r="L298" s="535"/>
      <c r="M298" s="534"/>
      <c r="N298" s="534"/>
      <c r="O298" s="534"/>
      <c r="P298" s="534"/>
      <c r="Q298" s="534"/>
      <c r="R298" s="534"/>
      <c r="S298" s="534"/>
      <c r="T298" s="534"/>
      <c r="U298" s="534"/>
    </row>
    <row r="299" spans="1:21" ht="12.75" hidden="1" x14ac:dyDescent="0.2">
      <c r="A299" s="894"/>
      <c r="B299" s="895"/>
      <c r="C299" s="895"/>
      <c r="D299" s="537"/>
      <c r="E299" s="537"/>
      <c r="F299" s="537"/>
      <c r="G299" s="526"/>
      <c r="H299" s="526"/>
      <c r="I299" s="527"/>
      <c r="J299" s="527"/>
      <c r="K299" s="528"/>
      <c r="L299" s="529"/>
      <c r="M299" s="528"/>
      <c r="N299" s="528"/>
      <c r="O299" s="528"/>
      <c r="P299" s="528"/>
      <c r="Q299" s="528"/>
      <c r="R299" s="528"/>
      <c r="S299" s="528"/>
      <c r="T299" s="528"/>
      <c r="U299" s="528"/>
    </row>
    <row r="300" spans="1:21" ht="19.5" x14ac:dyDescent="0.3">
      <c r="A300" s="896" t="s">
        <v>125</v>
      </c>
      <c r="B300" s="897"/>
      <c r="C300" s="897"/>
      <c r="D300" s="897"/>
      <c r="E300" s="898"/>
      <c r="F300" s="898"/>
      <c r="G300" s="898"/>
      <c r="H300" s="898"/>
      <c r="I300" s="899"/>
      <c r="J300" s="899"/>
      <c r="K300" s="900"/>
      <c r="L300" s="900"/>
      <c r="M300" s="900"/>
      <c r="N300" s="900"/>
      <c r="O300" s="900"/>
      <c r="P300" s="901"/>
      <c r="Q300" s="900"/>
      <c r="R300" s="900"/>
      <c r="S300" s="900"/>
      <c r="T300" s="900"/>
      <c r="U300" s="901"/>
    </row>
    <row r="301" spans="1:21" ht="19.5" x14ac:dyDescent="0.3">
      <c r="A301" s="902" t="s">
        <v>126</v>
      </c>
      <c r="B301" s="903"/>
      <c r="C301" s="903"/>
      <c r="D301" s="904"/>
      <c r="E301" s="904"/>
      <c r="F301" s="904"/>
      <c r="G301" s="905"/>
      <c r="H301" s="905"/>
      <c r="I301" s="906"/>
      <c r="J301" s="906"/>
      <c r="K301" s="907"/>
      <c r="L301" s="908"/>
      <c r="M301" s="907"/>
      <c r="N301" s="907"/>
      <c r="O301" s="907"/>
      <c r="P301" s="907"/>
      <c r="Q301" s="907"/>
      <c r="R301" s="907"/>
      <c r="S301" s="907"/>
      <c r="T301" s="907"/>
      <c r="U301" s="907"/>
    </row>
    <row r="302" spans="1:21" ht="19.5" x14ac:dyDescent="0.3">
      <c r="A302" s="909"/>
      <c r="B302" s="910" t="s">
        <v>127</v>
      </c>
      <c r="C302" s="911"/>
      <c r="D302" s="911"/>
      <c r="E302" s="911"/>
      <c r="F302" s="911"/>
      <c r="G302" s="912"/>
      <c r="H302" s="913" t="s">
        <v>35</v>
      </c>
      <c r="I302" s="914">
        <f t="shared" ref="I302:J302" ca="1" si="190">I314</f>
        <v>20</v>
      </c>
      <c r="J302" s="914">
        <f t="shared" si="190"/>
        <v>20</v>
      </c>
      <c r="K302" s="915">
        <f ca="1">IF(I302&gt;0,J302*100/I302,0)</f>
        <v>100</v>
      </c>
      <c r="L302" s="916"/>
      <c r="M302" s="917"/>
      <c r="N302" s="917"/>
      <c r="O302" s="917"/>
      <c r="P302" s="917"/>
      <c r="Q302" s="917"/>
      <c r="R302" s="917"/>
      <c r="S302" s="917"/>
      <c r="T302" s="917"/>
      <c r="U302" s="917"/>
    </row>
    <row r="303" spans="1:21" ht="19.5" x14ac:dyDescent="0.3">
      <c r="A303" s="674"/>
      <c r="B303" s="561"/>
      <c r="C303" s="675" t="s">
        <v>18</v>
      </c>
      <c r="D303" s="676" t="s">
        <v>19</v>
      </c>
      <c r="E303" s="561"/>
      <c r="F303" s="561"/>
      <c r="G303" s="563"/>
      <c r="H303" s="677" t="s">
        <v>14</v>
      </c>
      <c r="I303" s="565"/>
      <c r="J303" s="565"/>
      <c r="K303" s="566"/>
      <c r="L303" s="678">
        <f t="shared" ref="L303:N303" ca="1" si="191">L304+L305</f>
        <v>155000</v>
      </c>
      <c r="M303" s="679">
        <f t="shared" ca="1" si="191"/>
        <v>133500</v>
      </c>
      <c r="N303" s="679">
        <f t="shared" ca="1" si="191"/>
        <v>103723</v>
      </c>
      <c r="O303" s="679">
        <f t="shared" ref="O303:O311" ca="1" si="192">IF(L303&gt;0,N303*100/L303,0)</f>
        <v>66.918064516129036</v>
      </c>
      <c r="P303" s="679">
        <f t="shared" ref="P303:P311" ca="1" si="193">IF(M303&gt;0,N303*100/M303,0)</f>
        <v>77.695131086142325</v>
      </c>
      <c r="Q303" s="679">
        <f t="shared" ref="Q303:S303" ca="1" si="194">Q304+Q305</f>
        <v>144609.24</v>
      </c>
      <c r="R303" s="679">
        <f t="shared" ca="1" si="194"/>
        <v>144609</v>
      </c>
      <c r="S303" s="679">
        <f t="shared" ca="1" si="194"/>
        <v>0</v>
      </c>
      <c r="T303" s="679">
        <f t="shared" ref="T303:T311" ca="1" si="195">IF(Q303&gt;0,S303*100/Q303,0)</f>
        <v>0</v>
      </c>
      <c r="U303" s="679">
        <f t="shared" ref="U303:U311" ca="1" si="196">IF(R303&gt;0,S303*100/R303,0)</f>
        <v>0</v>
      </c>
    </row>
    <row r="304" spans="1:21" ht="18.75" x14ac:dyDescent="0.25">
      <c r="A304" s="674"/>
      <c r="B304" s="561"/>
      <c r="C304" s="561"/>
      <c r="D304" s="561"/>
      <c r="E304" s="569" t="s">
        <v>20</v>
      </c>
      <c r="F304" s="561"/>
      <c r="G304" s="563"/>
      <c r="H304" s="680" t="s">
        <v>14</v>
      </c>
      <c r="I304" s="565"/>
      <c r="J304" s="565"/>
      <c r="K304" s="566"/>
      <c r="L304" s="571">
        <f t="shared" ref="L304:N305" si="197">L307+L310</f>
        <v>0</v>
      </c>
      <c r="M304" s="572">
        <f t="shared" si="197"/>
        <v>0</v>
      </c>
      <c r="N304" s="572">
        <f t="shared" si="197"/>
        <v>0</v>
      </c>
      <c r="O304" s="572">
        <f t="shared" si="192"/>
        <v>0</v>
      </c>
      <c r="P304" s="572">
        <f t="shared" si="193"/>
        <v>0</v>
      </c>
      <c r="Q304" s="572">
        <f t="shared" ref="Q304:S305" si="198">Q307+Q310</f>
        <v>0</v>
      </c>
      <c r="R304" s="572">
        <f t="shared" si="198"/>
        <v>0</v>
      </c>
      <c r="S304" s="572">
        <f t="shared" si="198"/>
        <v>0</v>
      </c>
      <c r="T304" s="572">
        <f t="shared" si="195"/>
        <v>0</v>
      </c>
      <c r="U304" s="572">
        <f t="shared" si="196"/>
        <v>0</v>
      </c>
    </row>
    <row r="305" spans="1:21" ht="18.75" x14ac:dyDescent="0.25">
      <c r="A305" s="674"/>
      <c r="B305" s="561"/>
      <c r="C305" s="561"/>
      <c r="D305" s="561"/>
      <c r="E305" s="573" t="s">
        <v>21</v>
      </c>
      <c r="F305" s="561"/>
      <c r="G305" s="563"/>
      <c r="H305" s="681" t="s">
        <v>14</v>
      </c>
      <c r="I305" s="565"/>
      <c r="J305" s="565"/>
      <c r="K305" s="566"/>
      <c r="L305" s="567">
        <f t="shared" ca="1" si="197"/>
        <v>155000</v>
      </c>
      <c r="M305" s="568">
        <f t="shared" ca="1" si="197"/>
        <v>133500</v>
      </c>
      <c r="N305" s="568">
        <f t="shared" ca="1" si="197"/>
        <v>103723</v>
      </c>
      <c r="O305" s="568">
        <f t="shared" ca="1" si="192"/>
        <v>66.918064516129036</v>
      </c>
      <c r="P305" s="568">
        <f t="shared" ca="1" si="193"/>
        <v>77.695131086142325</v>
      </c>
      <c r="Q305" s="568">
        <f t="shared" ca="1" si="198"/>
        <v>144609.24</v>
      </c>
      <c r="R305" s="568">
        <f t="shared" ca="1" si="198"/>
        <v>144609</v>
      </c>
      <c r="S305" s="568">
        <f t="shared" ca="1" si="198"/>
        <v>0</v>
      </c>
      <c r="T305" s="568">
        <f t="shared" ca="1" si="195"/>
        <v>0</v>
      </c>
      <c r="U305" s="568">
        <f t="shared" ca="1" si="196"/>
        <v>0</v>
      </c>
    </row>
    <row r="306" spans="1:21" ht="18.75" x14ac:dyDescent="0.25">
      <c r="A306" s="674"/>
      <c r="B306" s="561"/>
      <c r="C306" s="561"/>
      <c r="D306" s="562" t="s">
        <v>22</v>
      </c>
      <c r="E306" s="561"/>
      <c r="F306" s="561"/>
      <c r="G306" s="563"/>
      <c r="H306" s="682" t="s">
        <v>14</v>
      </c>
      <c r="I306" s="683"/>
      <c r="J306" s="683"/>
      <c r="K306" s="684"/>
      <c r="L306" s="567">
        <f t="shared" ref="L306:N306" ca="1" si="199">L307+L308</f>
        <v>155000</v>
      </c>
      <c r="M306" s="568">
        <f t="shared" ca="1" si="199"/>
        <v>133500</v>
      </c>
      <c r="N306" s="568">
        <f t="shared" ca="1" si="199"/>
        <v>103723</v>
      </c>
      <c r="O306" s="568">
        <f t="shared" ca="1" si="192"/>
        <v>66.918064516129036</v>
      </c>
      <c r="P306" s="568">
        <f t="shared" ca="1" si="193"/>
        <v>77.695131086142325</v>
      </c>
      <c r="Q306" s="568">
        <f t="shared" ref="Q306:S306" ca="1" si="200">Q307+Q308</f>
        <v>144609.24</v>
      </c>
      <c r="R306" s="568">
        <f t="shared" ca="1" si="200"/>
        <v>144609</v>
      </c>
      <c r="S306" s="568">
        <f t="shared" ca="1" si="200"/>
        <v>0</v>
      </c>
      <c r="T306" s="568">
        <f t="shared" ca="1" si="195"/>
        <v>0</v>
      </c>
      <c r="U306" s="568">
        <f t="shared" ca="1" si="196"/>
        <v>0</v>
      </c>
    </row>
    <row r="307" spans="1:21" ht="18.75" x14ac:dyDescent="0.25">
      <c r="A307" s="674"/>
      <c r="B307" s="561"/>
      <c r="C307" s="561"/>
      <c r="D307" s="561"/>
      <c r="E307" s="569" t="s">
        <v>36</v>
      </c>
      <c r="F307" s="561"/>
      <c r="G307" s="563"/>
      <c r="H307" s="685" t="s">
        <v>14</v>
      </c>
      <c r="I307" s="683"/>
      <c r="J307" s="683"/>
      <c r="K307" s="684"/>
      <c r="L307" s="571">
        <v>0</v>
      </c>
      <c r="M307" s="572">
        <v>0</v>
      </c>
      <c r="N307" s="572">
        <v>0</v>
      </c>
      <c r="O307" s="572">
        <f t="shared" si="192"/>
        <v>0</v>
      </c>
      <c r="P307" s="572">
        <f t="shared" si="193"/>
        <v>0</v>
      </c>
      <c r="Q307" s="572">
        <v>0</v>
      </c>
      <c r="R307" s="572">
        <v>0</v>
      </c>
      <c r="S307" s="572">
        <v>0</v>
      </c>
      <c r="T307" s="572">
        <f t="shared" si="195"/>
        <v>0</v>
      </c>
      <c r="U307" s="572">
        <f t="shared" si="196"/>
        <v>0</v>
      </c>
    </row>
    <row r="308" spans="1:21" ht="18.75" x14ac:dyDescent="0.25">
      <c r="A308" s="674"/>
      <c r="B308" s="561"/>
      <c r="C308" s="561"/>
      <c r="D308" s="561"/>
      <c r="E308" s="573" t="s">
        <v>37</v>
      </c>
      <c r="F308" s="561"/>
      <c r="G308" s="563"/>
      <c r="H308" s="682" t="s">
        <v>14</v>
      </c>
      <c r="I308" s="683"/>
      <c r="J308" s="683"/>
      <c r="K308" s="684"/>
      <c r="L308" s="567">
        <f ca="1">IFERROR(__xludf.DUMMYFUNCTION("IMPORTRANGE(""https://docs.google.com/spreadsheets/d/1-uDff_7J0KD5mKrp0Vvzr7lt3OU09vwQwhkpOPPYv2Y/edit?usp=sharing"",""งบพรบ!DY17"")"),155000)</f>
        <v>155000</v>
      </c>
      <c r="M308" s="568">
        <f ca="1">IFERROR(__xludf.DUMMYFUNCTION("IMPORTRANGE(""https://docs.google.com/spreadsheets/d/1-uDff_7J0KD5mKrp0Vvzr7lt3OU09vwQwhkpOPPYv2Y/edit?usp=sharing"",""งบพรบ!ED17"")"),133500)</f>
        <v>133500</v>
      </c>
      <c r="N308" s="568">
        <f ca="1">IFERROR(__xludf.DUMMYFUNCTION("IMPORTRANGE(""https://docs.google.com/spreadsheets/d/1-uDff_7J0KD5mKrp0Vvzr7lt3OU09vwQwhkpOPPYv2Y/edit?usp=sharing"",""งบพรบ!EF17"")"),103723)</f>
        <v>103723</v>
      </c>
      <c r="O308" s="568">
        <f t="shared" ca="1" si="192"/>
        <v>66.918064516129036</v>
      </c>
      <c r="P308" s="568">
        <f t="shared" ca="1" si="193"/>
        <v>77.695131086142325</v>
      </c>
      <c r="Q308" s="568">
        <f ca="1">IFERROR(__xludf.DUMMYFUNCTION("IMPORTRANGE(""https://docs.google.com/spreadsheets/d/1ItG2mGa2ceCfYo0BwxsXqNm01IGEUdYcSSLTEv9YCik/edit?usp=sharing"",""เบิกจ่ายกองทุน!BB17"")"),144609.24)</f>
        <v>144609.24</v>
      </c>
      <c r="R308" s="568">
        <f ca="1">IFERROR(__xludf.DUMMYFUNCTION("IMPORTRANGE(""https://docs.google.com/spreadsheets/d/1ItG2mGa2ceCfYo0BwxsXqNm01IGEUdYcSSLTEv9YCik/edit?usp=sharing"",""เบิกจ่ายกองทุน!BC17"")"),144609)</f>
        <v>144609</v>
      </c>
      <c r="S308" s="568">
        <f ca="1">IFERROR(__xludf.DUMMYFUNCTION("IMPORTRANGE(""https://docs.google.com/spreadsheets/d/1ItG2mGa2ceCfYo0BwxsXqNm01IGEUdYcSSLTEv9YCik/edit?usp=sharing"",""เบิกจ่ายกองทุน!BD17"")"),0)</f>
        <v>0</v>
      </c>
      <c r="T308" s="568">
        <f t="shared" ca="1" si="195"/>
        <v>0</v>
      </c>
      <c r="U308" s="568">
        <f t="shared" ca="1" si="196"/>
        <v>0</v>
      </c>
    </row>
    <row r="309" spans="1:21" ht="18.75" x14ac:dyDescent="0.25">
      <c r="A309" s="674"/>
      <c r="B309" s="561"/>
      <c r="C309" s="561"/>
      <c r="D309" s="562" t="s">
        <v>23</v>
      </c>
      <c r="E309" s="561"/>
      <c r="F309" s="561"/>
      <c r="G309" s="563"/>
      <c r="H309" s="686" t="s">
        <v>14</v>
      </c>
      <c r="I309" s="683"/>
      <c r="J309" s="683"/>
      <c r="K309" s="684"/>
      <c r="L309" s="567">
        <f t="shared" ref="L309:N309" ca="1" si="201">L310+L311</f>
        <v>0</v>
      </c>
      <c r="M309" s="568">
        <f t="shared" ca="1" si="201"/>
        <v>0</v>
      </c>
      <c r="N309" s="568">
        <f t="shared" ca="1" si="201"/>
        <v>0</v>
      </c>
      <c r="O309" s="568">
        <f t="shared" ca="1" si="192"/>
        <v>0</v>
      </c>
      <c r="P309" s="568">
        <f t="shared" ca="1" si="193"/>
        <v>0</v>
      </c>
      <c r="Q309" s="568">
        <f t="shared" ref="Q309:S309" si="202">Q310+Q311</f>
        <v>0</v>
      </c>
      <c r="R309" s="568">
        <f t="shared" si="202"/>
        <v>0</v>
      </c>
      <c r="S309" s="568">
        <f t="shared" si="202"/>
        <v>0</v>
      </c>
      <c r="T309" s="568">
        <f t="shared" si="195"/>
        <v>0</v>
      </c>
      <c r="U309" s="568">
        <f t="shared" si="196"/>
        <v>0</v>
      </c>
    </row>
    <row r="310" spans="1:21" ht="18.75" x14ac:dyDescent="0.25">
      <c r="A310" s="674"/>
      <c r="B310" s="561"/>
      <c r="C310" s="561"/>
      <c r="D310" s="561"/>
      <c r="E310" s="569" t="s">
        <v>20</v>
      </c>
      <c r="F310" s="561"/>
      <c r="G310" s="563"/>
      <c r="H310" s="685" t="s">
        <v>14</v>
      </c>
      <c r="I310" s="683"/>
      <c r="J310" s="683"/>
      <c r="K310" s="684"/>
      <c r="L310" s="571">
        <v>0</v>
      </c>
      <c r="M310" s="572">
        <v>0</v>
      </c>
      <c r="N310" s="572">
        <v>0</v>
      </c>
      <c r="O310" s="572">
        <f t="shared" si="192"/>
        <v>0</v>
      </c>
      <c r="P310" s="572">
        <f t="shared" si="193"/>
        <v>0</v>
      </c>
      <c r="Q310" s="572">
        <v>0</v>
      </c>
      <c r="R310" s="572">
        <v>0</v>
      </c>
      <c r="S310" s="572">
        <v>0</v>
      </c>
      <c r="T310" s="572">
        <f t="shared" si="195"/>
        <v>0</v>
      </c>
      <c r="U310" s="572">
        <f t="shared" si="196"/>
        <v>0</v>
      </c>
    </row>
    <row r="311" spans="1:21" ht="18.75" x14ac:dyDescent="0.25">
      <c r="A311" s="674"/>
      <c r="B311" s="561"/>
      <c r="C311" s="561"/>
      <c r="D311" s="561"/>
      <c r="E311" s="573" t="s">
        <v>21</v>
      </c>
      <c r="F311" s="561"/>
      <c r="G311" s="563"/>
      <c r="H311" s="686" t="s">
        <v>14</v>
      </c>
      <c r="I311" s="683"/>
      <c r="J311" s="683"/>
      <c r="K311" s="684"/>
      <c r="L311" s="567">
        <f ca="1">IFERROR(__xludf.DUMMYFUNCTION("IMPORTRANGE(""https://docs.google.com/spreadsheets/d/1-uDff_7J0KD5mKrp0Vvzr7lt3OU09vwQwhkpOPPYv2Y/edit?usp=sharing"",""งบพรบ!EB17"")"),0)</f>
        <v>0</v>
      </c>
      <c r="M311" s="568">
        <f ca="1">IFERROR(__xludf.DUMMYFUNCTION("IMPORTRANGE(""https://docs.google.com/spreadsheets/d/1-uDff_7J0KD5mKrp0Vvzr7lt3OU09vwQwhkpOPPYv2Y/edit?usp=sharing"",""งบพรบ!EE17"")"),0)</f>
        <v>0</v>
      </c>
      <c r="N311" s="568">
        <f ca="1">IFERROR(__xludf.DUMMYFUNCTION("IMPORTRANGE(""https://docs.google.com/spreadsheets/d/1-uDff_7J0KD5mKrp0Vvzr7lt3OU09vwQwhkpOPPYv2Y/edit?usp=sharing"",""งบพรบ!EG17"")"),0)</f>
        <v>0</v>
      </c>
      <c r="O311" s="568">
        <f t="shared" ca="1" si="192"/>
        <v>0</v>
      </c>
      <c r="P311" s="568">
        <f t="shared" ca="1" si="193"/>
        <v>0</v>
      </c>
      <c r="Q311" s="568">
        <v>0</v>
      </c>
      <c r="R311" s="568">
        <v>0</v>
      </c>
      <c r="S311" s="568">
        <v>0</v>
      </c>
      <c r="T311" s="568">
        <f t="shared" si="195"/>
        <v>0</v>
      </c>
      <c r="U311" s="568">
        <f t="shared" si="196"/>
        <v>0</v>
      </c>
    </row>
    <row r="312" spans="1:21" ht="19.5" x14ac:dyDescent="0.3">
      <c r="A312" s="687"/>
      <c r="B312" s="688"/>
      <c r="C312" s="675" t="s">
        <v>18</v>
      </c>
      <c r="D312" s="689" t="s">
        <v>38</v>
      </c>
      <c r="E312" s="690"/>
      <c r="F312" s="690"/>
      <c r="G312" s="691"/>
      <c r="H312" s="692"/>
      <c r="I312" s="565"/>
      <c r="J312" s="565"/>
      <c r="K312" s="566"/>
      <c r="L312" s="574"/>
      <c r="M312" s="566"/>
      <c r="N312" s="566"/>
      <c r="O312" s="566"/>
      <c r="P312" s="566"/>
      <c r="Q312" s="566"/>
      <c r="R312" s="566"/>
      <c r="S312" s="566"/>
      <c r="T312" s="566"/>
      <c r="U312" s="566"/>
    </row>
    <row r="313" spans="1:21" ht="18.75" hidden="1" x14ac:dyDescent="0.25">
      <c r="A313" s="705"/>
      <c r="B313" s="706"/>
      <c r="C313" s="706"/>
      <c r="D313" s="918"/>
      <c r="E313" s="531"/>
      <c r="F313" s="531"/>
      <c r="G313" s="532"/>
      <c r="H313" s="532"/>
      <c r="I313" s="533"/>
      <c r="J313" s="919"/>
      <c r="K313" s="534"/>
      <c r="L313" s="535"/>
      <c r="M313" s="534"/>
      <c r="N313" s="534"/>
      <c r="O313" s="534"/>
      <c r="P313" s="534"/>
      <c r="Q313" s="534"/>
      <c r="R313" s="534"/>
      <c r="S313" s="534"/>
      <c r="T313" s="534"/>
      <c r="U313" s="534"/>
    </row>
    <row r="314" spans="1:21" ht="18.75" x14ac:dyDescent="0.25">
      <c r="A314" s="687"/>
      <c r="B314" s="688"/>
      <c r="C314" s="688"/>
      <c r="D314" s="699" t="s">
        <v>121</v>
      </c>
      <c r="E314" s="695"/>
      <c r="F314" s="695"/>
      <c r="G314" s="692"/>
      <c r="H314" s="700" t="s">
        <v>35</v>
      </c>
      <c r="I314" s="708">
        <f ca="1">IFERROR(__xludf.DUMMYFUNCTION("IMPORTRANGE(""https://docs.google.com/spreadsheets/d/1eHaY18a8A9IcSdp1K8H6x8fbOy06t2VsZHhMHf-1x7Y/edit?usp=sharing"",""แผน!EF17"")"),20)</f>
        <v>20</v>
      </c>
      <c r="J314" s="702">
        <v>20</v>
      </c>
      <c r="K314" s="568">
        <f ca="1">IF(I314&gt;0,J314*100/I314,0)</f>
        <v>100</v>
      </c>
      <c r="L314" s="574"/>
      <c r="M314" s="566"/>
      <c r="N314" s="566"/>
      <c r="O314" s="566"/>
      <c r="P314" s="566"/>
      <c r="Q314" s="566"/>
      <c r="R314" s="566"/>
      <c r="S314" s="566"/>
      <c r="T314" s="566"/>
      <c r="U314" s="566"/>
    </row>
    <row r="315" spans="1:21" ht="18.75" hidden="1" x14ac:dyDescent="0.25">
      <c r="A315" s="705"/>
      <c r="B315" s="706"/>
      <c r="C315" s="706"/>
      <c r="D315" s="918"/>
      <c r="E315" s="531"/>
      <c r="F315" s="531"/>
      <c r="G315" s="532"/>
      <c r="H315" s="920"/>
      <c r="I315" s="919"/>
      <c r="J315" s="919"/>
      <c r="K315" s="921"/>
      <c r="L315" s="535"/>
      <c r="M315" s="534"/>
      <c r="N315" s="534"/>
      <c r="O315" s="534"/>
      <c r="P315" s="534"/>
      <c r="Q315" s="534"/>
      <c r="R315" s="534"/>
      <c r="S315" s="534"/>
      <c r="T315" s="534"/>
      <c r="U315" s="534"/>
    </row>
    <row r="316" spans="1:21" ht="18.75" hidden="1" x14ac:dyDescent="0.25">
      <c r="A316" s="705"/>
      <c r="B316" s="706"/>
      <c r="C316" s="706"/>
      <c r="D316" s="918"/>
      <c r="E316" s="531"/>
      <c r="F316" s="531"/>
      <c r="G316" s="532"/>
      <c r="H316" s="920"/>
      <c r="I316" s="919"/>
      <c r="J316" s="919"/>
      <c r="K316" s="921"/>
      <c r="L316" s="535"/>
      <c r="M316" s="534"/>
      <c r="N316" s="534"/>
      <c r="O316" s="534"/>
      <c r="P316" s="534"/>
      <c r="Q316" s="534"/>
      <c r="R316" s="534"/>
      <c r="S316" s="534"/>
      <c r="T316" s="534"/>
      <c r="U316" s="534"/>
    </row>
    <row r="317" spans="1:21" ht="18.75" hidden="1" x14ac:dyDescent="0.25">
      <c r="A317" s="705"/>
      <c r="B317" s="706"/>
      <c r="C317" s="706"/>
      <c r="D317" s="922"/>
      <c r="E317" s="531"/>
      <c r="F317" s="531"/>
      <c r="G317" s="532"/>
      <c r="H317" s="923"/>
      <c r="I317" s="924"/>
      <c r="J317" s="924"/>
      <c r="K317" s="925"/>
      <c r="L317" s="535"/>
      <c r="M317" s="534"/>
      <c r="N317" s="534"/>
      <c r="O317" s="534"/>
      <c r="P317" s="534"/>
      <c r="Q317" s="534"/>
      <c r="R317" s="534"/>
      <c r="S317" s="534"/>
      <c r="T317" s="534"/>
      <c r="U317" s="534"/>
    </row>
    <row r="318" spans="1:21" ht="19.5" hidden="1" x14ac:dyDescent="0.3">
      <c r="A318" s="902" t="s">
        <v>131</v>
      </c>
      <c r="B318" s="903"/>
      <c r="C318" s="903"/>
      <c r="D318" s="904"/>
      <c r="E318" s="903"/>
      <c r="F318" s="903"/>
      <c r="G318" s="903"/>
      <c r="H318" s="904"/>
      <c r="I318" s="906"/>
      <c r="J318" s="906"/>
      <c r="K318" s="907"/>
      <c r="L318" s="908"/>
      <c r="M318" s="907"/>
      <c r="N318" s="907"/>
      <c r="O318" s="907"/>
      <c r="P318" s="907"/>
      <c r="Q318" s="907"/>
      <c r="R318" s="907"/>
      <c r="S318" s="907"/>
      <c r="T318" s="907"/>
      <c r="U318" s="907"/>
    </row>
    <row r="319" spans="1:21" ht="19.5" hidden="1" x14ac:dyDescent="0.3">
      <c r="A319" s="926"/>
      <c r="B319" s="910" t="s">
        <v>132</v>
      </c>
      <c r="C319" s="927"/>
      <c r="D319" s="928"/>
      <c r="E319" s="911"/>
      <c r="F319" s="911"/>
      <c r="G319" s="912"/>
      <c r="H319" s="913" t="s">
        <v>133</v>
      </c>
      <c r="I319" s="914">
        <f t="shared" ref="I319:J319" ca="1" si="203">I330</f>
        <v>0</v>
      </c>
      <c r="J319" s="914">
        <f t="shared" si="203"/>
        <v>0</v>
      </c>
      <c r="K319" s="915">
        <f ca="1">IF(I319&gt;0,J319*100/I319,0)</f>
        <v>0</v>
      </c>
      <c r="L319" s="916"/>
      <c r="M319" s="917"/>
      <c r="N319" s="917"/>
      <c r="O319" s="917"/>
      <c r="P319" s="917"/>
      <c r="Q319" s="917"/>
      <c r="R319" s="917"/>
      <c r="S319" s="917"/>
      <c r="T319" s="917"/>
      <c r="U319" s="917"/>
    </row>
    <row r="320" spans="1:21" ht="19.5" hidden="1" x14ac:dyDescent="0.3">
      <c r="A320" s="674"/>
      <c r="B320" s="561"/>
      <c r="C320" s="675" t="s">
        <v>18</v>
      </c>
      <c r="D320" s="676" t="s">
        <v>19</v>
      </c>
      <c r="E320" s="561"/>
      <c r="F320" s="561"/>
      <c r="G320" s="563"/>
      <c r="H320" s="677" t="s">
        <v>14</v>
      </c>
      <c r="I320" s="565"/>
      <c r="J320" s="565"/>
      <c r="K320" s="566"/>
      <c r="L320" s="678">
        <f t="shared" ref="L320:N320" ca="1" si="204">L321+L322</f>
        <v>0</v>
      </c>
      <c r="M320" s="679">
        <f t="shared" ca="1" si="204"/>
        <v>0</v>
      </c>
      <c r="N320" s="679">
        <f t="shared" ca="1" si="204"/>
        <v>0</v>
      </c>
      <c r="O320" s="679">
        <f t="shared" ref="O320:O328" ca="1" si="205">IF(L320&gt;0,N320*100/L320,0)</f>
        <v>0</v>
      </c>
      <c r="P320" s="679">
        <f t="shared" ref="P320:P328" ca="1" si="206">IF(M320&gt;0,N320*100/M320,0)</f>
        <v>0</v>
      </c>
      <c r="Q320" s="679">
        <f t="shared" ref="Q320:S320" si="207">Q321+Q322</f>
        <v>0</v>
      </c>
      <c r="R320" s="679">
        <f t="shared" si="207"/>
        <v>0</v>
      </c>
      <c r="S320" s="679">
        <f t="shared" si="207"/>
        <v>0</v>
      </c>
      <c r="T320" s="679">
        <f t="shared" ref="T320:T328" si="208">IF(Q320&gt;0,S320*100/Q320,0)</f>
        <v>0</v>
      </c>
      <c r="U320" s="679">
        <f t="shared" ref="U320:U328" si="209">IF(R320&gt;0,S320*100/R320,0)</f>
        <v>0</v>
      </c>
    </row>
    <row r="321" spans="1:21" ht="18.75" hidden="1" x14ac:dyDescent="0.25">
      <c r="A321" s="674"/>
      <c r="B321" s="561"/>
      <c r="C321" s="561"/>
      <c r="D321" s="561"/>
      <c r="E321" s="569" t="s">
        <v>20</v>
      </c>
      <c r="F321" s="561"/>
      <c r="G321" s="563"/>
      <c r="H321" s="680" t="s">
        <v>14</v>
      </c>
      <c r="I321" s="565"/>
      <c r="J321" s="565"/>
      <c r="K321" s="566"/>
      <c r="L321" s="571">
        <f t="shared" ref="L321:N322" si="210">L324+L327</f>
        <v>0</v>
      </c>
      <c r="M321" s="572">
        <f t="shared" si="210"/>
        <v>0</v>
      </c>
      <c r="N321" s="572">
        <f t="shared" si="210"/>
        <v>0</v>
      </c>
      <c r="O321" s="572">
        <f t="shared" si="205"/>
        <v>0</v>
      </c>
      <c r="P321" s="572">
        <f t="shared" si="206"/>
        <v>0</v>
      </c>
      <c r="Q321" s="572">
        <f t="shared" ref="Q321:S322" si="211">Q324+Q327</f>
        <v>0</v>
      </c>
      <c r="R321" s="572">
        <f t="shared" si="211"/>
        <v>0</v>
      </c>
      <c r="S321" s="572">
        <f t="shared" si="211"/>
        <v>0</v>
      </c>
      <c r="T321" s="572">
        <f t="shared" si="208"/>
        <v>0</v>
      </c>
      <c r="U321" s="572">
        <f t="shared" si="209"/>
        <v>0</v>
      </c>
    </row>
    <row r="322" spans="1:21" ht="18.75" hidden="1" x14ac:dyDescent="0.25">
      <c r="A322" s="674"/>
      <c r="B322" s="561"/>
      <c r="C322" s="561"/>
      <c r="D322" s="561"/>
      <c r="E322" s="573" t="s">
        <v>21</v>
      </c>
      <c r="F322" s="561"/>
      <c r="G322" s="563"/>
      <c r="H322" s="681" t="s">
        <v>14</v>
      </c>
      <c r="I322" s="565"/>
      <c r="J322" s="565"/>
      <c r="K322" s="566"/>
      <c r="L322" s="567">
        <f t="shared" ca="1" si="210"/>
        <v>0</v>
      </c>
      <c r="M322" s="568">
        <f t="shared" ca="1" si="210"/>
        <v>0</v>
      </c>
      <c r="N322" s="568">
        <f t="shared" ca="1" si="210"/>
        <v>0</v>
      </c>
      <c r="O322" s="568">
        <f t="shared" ca="1" si="205"/>
        <v>0</v>
      </c>
      <c r="P322" s="568">
        <f t="shared" ca="1" si="206"/>
        <v>0</v>
      </c>
      <c r="Q322" s="568">
        <f t="shared" si="211"/>
        <v>0</v>
      </c>
      <c r="R322" s="568">
        <f t="shared" si="211"/>
        <v>0</v>
      </c>
      <c r="S322" s="568">
        <f t="shared" si="211"/>
        <v>0</v>
      </c>
      <c r="T322" s="568">
        <f t="shared" si="208"/>
        <v>0</v>
      </c>
      <c r="U322" s="568">
        <f t="shared" si="209"/>
        <v>0</v>
      </c>
    </row>
    <row r="323" spans="1:21" ht="18.75" hidden="1" x14ac:dyDescent="0.25">
      <c r="A323" s="674"/>
      <c r="B323" s="561"/>
      <c r="C323" s="561"/>
      <c r="D323" s="562" t="s">
        <v>22</v>
      </c>
      <c r="E323" s="561"/>
      <c r="F323" s="561"/>
      <c r="G323" s="563"/>
      <c r="H323" s="682" t="s">
        <v>14</v>
      </c>
      <c r="I323" s="683"/>
      <c r="J323" s="683"/>
      <c r="K323" s="684"/>
      <c r="L323" s="567">
        <f t="shared" ref="L323:N323" ca="1" si="212">L324+L325</f>
        <v>0</v>
      </c>
      <c r="M323" s="568">
        <f t="shared" ca="1" si="212"/>
        <v>0</v>
      </c>
      <c r="N323" s="568">
        <f t="shared" ca="1" si="212"/>
        <v>0</v>
      </c>
      <c r="O323" s="568">
        <f t="shared" ca="1" si="205"/>
        <v>0</v>
      </c>
      <c r="P323" s="568">
        <f t="shared" ca="1" si="206"/>
        <v>0</v>
      </c>
      <c r="Q323" s="568">
        <f t="shared" ref="Q323:S323" si="213">Q324+Q325</f>
        <v>0</v>
      </c>
      <c r="R323" s="568">
        <f t="shared" si="213"/>
        <v>0</v>
      </c>
      <c r="S323" s="568">
        <f t="shared" si="213"/>
        <v>0</v>
      </c>
      <c r="T323" s="568">
        <f t="shared" si="208"/>
        <v>0</v>
      </c>
      <c r="U323" s="568">
        <f t="shared" si="209"/>
        <v>0</v>
      </c>
    </row>
    <row r="324" spans="1:21" ht="18.75" hidden="1" x14ac:dyDescent="0.25">
      <c r="A324" s="674"/>
      <c r="B324" s="561"/>
      <c r="C324" s="561"/>
      <c r="D324" s="561"/>
      <c r="E324" s="569" t="s">
        <v>36</v>
      </c>
      <c r="F324" s="561"/>
      <c r="G324" s="563"/>
      <c r="H324" s="685" t="s">
        <v>14</v>
      </c>
      <c r="I324" s="683"/>
      <c r="J324" s="683"/>
      <c r="K324" s="684"/>
      <c r="L324" s="571">
        <v>0</v>
      </c>
      <c r="M324" s="572">
        <v>0</v>
      </c>
      <c r="N324" s="572">
        <v>0</v>
      </c>
      <c r="O324" s="572">
        <f t="shared" si="205"/>
        <v>0</v>
      </c>
      <c r="P324" s="572">
        <f t="shared" si="206"/>
        <v>0</v>
      </c>
      <c r="Q324" s="572">
        <v>0</v>
      </c>
      <c r="R324" s="572">
        <v>0</v>
      </c>
      <c r="S324" s="572">
        <v>0</v>
      </c>
      <c r="T324" s="572">
        <f t="shared" si="208"/>
        <v>0</v>
      </c>
      <c r="U324" s="572">
        <f t="shared" si="209"/>
        <v>0</v>
      </c>
    </row>
    <row r="325" spans="1:21" ht="18.75" hidden="1" x14ac:dyDescent="0.25">
      <c r="A325" s="674"/>
      <c r="B325" s="561"/>
      <c r="C325" s="561"/>
      <c r="D325" s="561"/>
      <c r="E325" s="573" t="s">
        <v>37</v>
      </c>
      <c r="F325" s="561"/>
      <c r="G325" s="563"/>
      <c r="H325" s="682" t="s">
        <v>14</v>
      </c>
      <c r="I325" s="683"/>
      <c r="J325" s="683"/>
      <c r="K325" s="684"/>
      <c r="L325" s="567">
        <f ca="1">IFERROR(__xludf.DUMMYFUNCTION("IMPORTRANGE(""https://docs.google.com/spreadsheets/d/1-uDff_7J0KD5mKrp0Vvzr7lt3OU09vwQwhkpOPPYv2Y/edit?usp=sharing"",""งบพรบ!EI17"")"),0)</f>
        <v>0</v>
      </c>
      <c r="M325" s="568">
        <f ca="1">IFERROR(__xludf.DUMMYFUNCTION("IMPORTRANGE(""https://docs.google.com/spreadsheets/d/1-uDff_7J0KD5mKrp0Vvzr7lt3OU09vwQwhkpOPPYv2Y/edit?usp=sharing"",""งบพรบ!EN17"")"),0)</f>
        <v>0</v>
      </c>
      <c r="N325" s="568">
        <f ca="1">IFERROR(__xludf.DUMMYFUNCTION("IMPORTRANGE(""https://docs.google.com/spreadsheets/d/1-uDff_7J0KD5mKrp0Vvzr7lt3OU09vwQwhkpOPPYv2Y/edit?usp=sharing"",""งบพรบ!EP17"")"),0)</f>
        <v>0</v>
      </c>
      <c r="O325" s="568">
        <f t="shared" ca="1" si="205"/>
        <v>0</v>
      </c>
      <c r="P325" s="568">
        <f t="shared" ca="1" si="206"/>
        <v>0</v>
      </c>
      <c r="Q325" s="568">
        <v>0</v>
      </c>
      <c r="R325" s="568">
        <v>0</v>
      </c>
      <c r="S325" s="568">
        <v>0</v>
      </c>
      <c r="T325" s="568">
        <f t="shared" si="208"/>
        <v>0</v>
      </c>
      <c r="U325" s="568">
        <f t="shared" si="209"/>
        <v>0</v>
      </c>
    </row>
    <row r="326" spans="1:21" ht="18.75" hidden="1" x14ac:dyDescent="0.25">
      <c r="A326" s="674"/>
      <c r="B326" s="561"/>
      <c r="C326" s="561"/>
      <c r="D326" s="562" t="s">
        <v>23</v>
      </c>
      <c r="E326" s="561"/>
      <c r="F326" s="561"/>
      <c r="G326" s="563"/>
      <c r="H326" s="686" t="s">
        <v>14</v>
      </c>
      <c r="I326" s="683"/>
      <c r="J326" s="683"/>
      <c r="K326" s="684"/>
      <c r="L326" s="567">
        <f t="shared" ref="L326:N326" ca="1" si="214">L327+L328</f>
        <v>0</v>
      </c>
      <c r="M326" s="568">
        <f t="shared" ca="1" si="214"/>
        <v>0</v>
      </c>
      <c r="N326" s="568">
        <f t="shared" ca="1" si="214"/>
        <v>0</v>
      </c>
      <c r="O326" s="568">
        <f t="shared" ca="1" si="205"/>
        <v>0</v>
      </c>
      <c r="P326" s="568">
        <f t="shared" ca="1" si="206"/>
        <v>0</v>
      </c>
      <c r="Q326" s="568">
        <f t="shared" ref="Q326:S326" si="215">Q327+Q328</f>
        <v>0</v>
      </c>
      <c r="R326" s="568">
        <f t="shared" si="215"/>
        <v>0</v>
      </c>
      <c r="S326" s="568">
        <f t="shared" si="215"/>
        <v>0</v>
      </c>
      <c r="T326" s="568">
        <f t="shared" si="208"/>
        <v>0</v>
      </c>
      <c r="U326" s="568">
        <f t="shared" si="209"/>
        <v>0</v>
      </c>
    </row>
    <row r="327" spans="1:21" ht="18.75" hidden="1" x14ac:dyDescent="0.25">
      <c r="A327" s="674"/>
      <c r="B327" s="561"/>
      <c r="C327" s="561"/>
      <c r="D327" s="561"/>
      <c r="E327" s="569" t="s">
        <v>20</v>
      </c>
      <c r="F327" s="561"/>
      <c r="G327" s="563"/>
      <c r="H327" s="685" t="s">
        <v>14</v>
      </c>
      <c r="I327" s="683"/>
      <c r="J327" s="683"/>
      <c r="K327" s="684"/>
      <c r="L327" s="571">
        <v>0</v>
      </c>
      <c r="M327" s="572">
        <v>0</v>
      </c>
      <c r="N327" s="572">
        <v>0</v>
      </c>
      <c r="O327" s="572">
        <f t="shared" si="205"/>
        <v>0</v>
      </c>
      <c r="P327" s="572">
        <f t="shared" si="206"/>
        <v>0</v>
      </c>
      <c r="Q327" s="572">
        <v>0</v>
      </c>
      <c r="R327" s="572">
        <v>0</v>
      </c>
      <c r="S327" s="572">
        <v>0</v>
      </c>
      <c r="T327" s="572">
        <f t="shared" si="208"/>
        <v>0</v>
      </c>
      <c r="U327" s="572">
        <f t="shared" si="209"/>
        <v>0</v>
      </c>
    </row>
    <row r="328" spans="1:21" ht="18.75" hidden="1" x14ac:dyDescent="0.25">
      <c r="A328" s="674"/>
      <c r="B328" s="561"/>
      <c r="C328" s="561"/>
      <c r="D328" s="561"/>
      <c r="E328" s="573" t="s">
        <v>21</v>
      </c>
      <c r="F328" s="561"/>
      <c r="G328" s="563"/>
      <c r="H328" s="686" t="s">
        <v>14</v>
      </c>
      <c r="I328" s="683"/>
      <c r="J328" s="683"/>
      <c r="K328" s="684"/>
      <c r="L328" s="567">
        <f ca="1">IFERROR(__xludf.DUMMYFUNCTION("IMPORTRANGE(""https://docs.google.com/spreadsheets/d/1-uDff_7J0KD5mKrp0Vvzr7lt3OU09vwQwhkpOPPYv2Y/edit?usp=sharing"",""งบพรบ!EL17"")"),0)</f>
        <v>0</v>
      </c>
      <c r="M328" s="568">
        <f ca="1">IFERROR(__xludf.DUMMYFUNCTION("IMPORTRANGE(""https://docs.google.com/spreadsheets/d/1-uDff_7J0KD5mKrp0Vvzr7lt3OU09vwQwhkpOPPYv2Y/edit?usp=sharing"",""งบพรบ!EO17"")"),0)</f>
        <v>0</v>
      </c>
      <c r="N328" s="568">
        <f ca="1">IFERROR(__xludf.DUMMYFUNCTION("IMPORTRANGE(""https://docs.google.com/spreadsheets/d/1-uDff_7J0KD5mKrp0Vvzr7lt3OU09vwQwhkpOPPYv2Y/edit?usp=sharing"",""งบพรบ!EQ17"")"),0)</f>
        <v>0</v>
      </c>
      <c r="O328" s="568">
        <f t="shared" ca="1" si="205"/>
        <v>0</v>
      </c>
      <c r="P328" s="568">
        <f t="shared" ca="1" si="206"/>
        <v>0</v>
      </c>
      <c r="Q328" s="568">
        <v>0</v>
      </c>
      <c r="R328" s="568">
        <v>0</v>
      </c>
      <c r="S328" s="568">
        <v>0</v>
      </c>
      <c r="T328" s="568">
        <f t="shared" si="208"/>
        <v>0</v>
      </c>
      <c r="U328" s="568">
        <f t="shared" si="209"/>
        <v>0</v>
      </c>
    </row>
    <row r="329" spans="1:21" ht="19.5" hidden="1" x14ac:dyDescent="0.3">
      <c r="A329" s="687"/>
      <c r="B329" s="688"/>
      <c r="C329" s="675" t="s">
        <v>18</v>
      </c>
      <c r="D329" s="689" t="s">
        <v>38</v>
      </c>
      <c r="E329" s="690"/>
      <c r="F329" s="690"/>
      <c r="G329" s="691"/>
      <c r="H329" s="692"/>
      <c r="I329" s="683"/>
      <c r="J329" s="565"/>
      <c r="K329" s="566"/>
      <c r="L329" s="574"/>
      <c r="M329" s="566"/>
      <c r="N329" s="566"/>
      <c r="O329" s="684"/>
      <c r="P329" s="684"/>
      <c r="Q329" s="566"/>
      <c r="R329" s="566"/>
      <c r="S329" s="566"/>
      <c r="T329" s="684"/>
      <c r="U329" s="684"/>
    </row>
    <row r="330" spans="1:21" ht="18.75" hidden="1" x14ac:dyDescent="0.25">
      <c r="A330" s="687"/>
      <c r="B330" s="688"/>
      <c r="C330" s="688"/>
      <c r="D330" s="694" t="s">
        <v>134</v>
      </c>
      <c r="E330" s="695"/>
      <c r="F330" s="695"/>
      <c r="G330" s="692"/>
      <c r="H330" s="564" t="s">
        <v>133</v>
      </c>
      <c r="I330" s="708">
        <f ca="1">IFERROR(__xludf.DUMMYFUNCTION("IMPORTRANGE(""https://docs.google.com/spreadsheets/d/1eHaY18a8A9IcSdp1K8H6x8fbOy06t2VsZHhMHf-1x7Y/edit?usp=sharing"",""แผน!EJ17"")"),0)</f>
        <v>0</v>
      </c>
      <c r="J330" s="702">
        <v>0</v>
      </c>
      <c r="K330" s="568">
        <f ca="1">IF(I330&gt;0,J330*100/I330,0)</f>
        <v>0</v>
      </c>
      <c r="L330" s="574"/>
      <c r="M330" s="566"/>
      <c r="N330" s="566"/>
      <c r="O330" s="684"/>
      <c r="P330" s="684"/>
      <c r="Q330" s="566"/>
      <c r="R330" s="566"/>
      <c r="S330" s="566"/>
      <c r="T330" s="684"/>
      <c r="U330" s="684"/>
    </row>
    <row r="331" spans="1:21" ht="19.5" x14ac:dyDescent="0.3">
      <c r="A331" s="902" t="s">
        <v>135</v>
      </c>
      <c r="B331" s="903"/>
      <c r="C331" s="903"/>
      <c r="D331" s="904"/>
      <c r="E331" s="903"/>
      <c r="F331" s="903"/>
      <c r="G331" s="903"/>
      <c r="H331" s="904"/>
      <c r="I331" s="906"/>
      <c r="J331" s="906"/>
      <c r="K331" s="907"/>
      <c r="L331" s="908"/>
      <c r="M331" s="907"/>
      <c r="N331" s="907"/>
      <c r="O331" s="907"/>
      <c r="P331" s="907"/>
      <c r="Q331" s="907"/>
      <c r="R331" s="907"/>
      <c r="S331" s="907"/>
      <c r="T331" s="907"/>
      <c r="U331" s="907"/>
    </row>
    <row r="332" spans="1:21" ht="19.5" x14ac:dyDescent="0.3">
      <c r="A332" s="909"/>
      <c r="B332" s="910" t="s">
        <v>136</v>
      </c>
      <c r="C332" s="928"/>
      <c r="D332" s="911"/>
      <c r="E332" s="911"/>
      <c r="F332" s="911"/>
      <c r="G332" s="912"/>
      <c r="H332" s="913" t="s">
        <v>35</v>
      </c>
      <c r="I332" s="929">
        <f ca="1">I344</f>
        <v>600</v>
      </c>
      <c r="J332" s="930">
        <f ca="1">J344+J347+J348+J349+J353</f>
        <v>4727</v>
      </c>
      <c r="K332" s="931">
        <f ca="1">IF(I332&gt;0,J332*100/I332,0)</f>
        <v>787.83333333333337</v>
      </c>
      <c r="L332" s="916"/>
      <c r="M332" s="917"/>
      <c r="N332" s="917"/>
      <c r="O332" s="917"/>
      <c r="P332" s="917"/>
      <c r="Q332" s="917"/>
      <c r="R332" s="917"/>
      <c r="S332" s="917"/>
      <c r="T332" s="917"/>
      <c r="U332" s="917"/>
    </row>
    <row r="333" spans="1:21" ht="19.5" x14ac:dyDescent="0.3">
      <c r="A333" s="674"/>
      <c r="B333" s="561"/>
      <c r="C333" s="675" t="s">
        <v>18</v>
      </c>
      <c r="D333" s="676" t="s">
        <v>19</v>
      </c>
      <c r="E333" s="561"/>
      <c r="F333" s="561"/>
      <c r="G333" s="563"/>
      <c r="H333" s="677" t="s">
        <v>14</v>
      </c>
      <c r="I333" s="565"/>
      <c r="J333" s="565"/>
      <c r="K333" s="566"/>
      <c r="L333" s="678">
        <f t="shared" ref="L333:N333" ca="1" si="216">L334+L335</f>
        <v>180000</v>
      </c>
      <c r="M333" s="679">
        <f t="shared" ca="1" si="216"/>
        <v>110000</v>
      </c>
      <c r="N333" s="679">
        <f t="shared" ca="1" si="216"/>
        <v>88310</v>
      </c>
      <c r="O333" s="679">
        <f t="shared" ref="O333:O341" ca="1" si="217">IF(L333&gt;0,N333*100/L333,0)</f>
        <v>49.06111111111111</v>
      </c>
      <c r="P333" s="679">
        <f t="shared" ref="P333:P341" ca="1" si="218">IF(M333&gt;0,N333*100/M333,0)</f>
        <v>80.281818181818181</v>
      </c>
      <c r="Q333" s="679">
        <f t="shared" ref="Q333:S333" si="219">Q334+Q335</f>
        <v>0</v>
      </c>
      <c r="R333" s="679">
        <f t="shared" si="219"/>
        <v>0</v>
      </c>
      <c r="S333" s="679">
        <f t="shared" si="219"/>
        <v>0</v>
      </c>
      <c r="T333" s="679">
        <f t="shared" ref="T333:T341" si="220">IF(Q333&gt;0,S333*100/Q333,0)</f>
        <v>0</v>
      </c>
      <c r="U333" s="679">
        <f t="shared" ref="U333:U341" si="221">IF(R333&gt;0,S333*100/R333,0)</f>
        <v>0</v>
      </c>
    </row>
    <row r="334" spans="1:21" ht="18.75" x14ac:dyDescent="0.25">
      <c r="A334" s="674"/>
      <c r="B334" s="561"/>
      <c r="C334" s="561"/>
      <c r="D334" s="561"/>
      <c r="E334" s="569" t="s">
        <v>20</v>
      </c>
      <c r="F334" s="561"/>
      <c r="G334" s="563"/>
      <c r="H334" s="680" t="s">
        <v>14</v>
      </c>
      <c r="I334" s="565"/>
      <c r="J334" s="565"/>
      <c r="K334" s="566"/>
      <c r="L334" s="571">
        <f t="shared" ref="L334:N335" si="222">L337+L340</f>
        <v>0</v>
      </c>
      <c r="M334" s="572">
        <f t="shared" si="222"/>
        <v>0</v>
      </c>
      <c r="N334" s="572">
        <f t="shared" si="222"/>
        <v>0</v>
      </c>
      <c r="O334" s="572">
        <f t="shared" si="217"/>
        <v>0</v>
      </c>
      <c r="P334" s="572">
        <f t="shared" si="218"/>
        <v>0</v>
      </c>
      <c r="Q334" s="572">
        <f t="shared" ref="Q334:S335" si="223">Q337+Q340</f>
        <v>0</v>
      </c>
      <c r="R334" s="572">
        <f t="shared" si="223"/>
        <v>0</v>
      </c>
      <c r="S334" s="572">
        <f t="shared" si="223"/>
        <v>0</v>
      </c>
      <c r="T334" s="572">
        <f t="shared" si="220"/>
        <v>0</v>
      </c>
      <c r="U334" s="572">
        <f t="shared" si="221"/>
        <v>0</v>
      </c>
    </row>
    <row r="335" spans="1:21" ht="18.75" x14ac:dyDescent="0.25">
      <c r="A335" s="674"/>
      <c r="B335" s="561"/>
      <c r="C335" s="561"/>
      <c r="D335" s="561"/>
      <c r="E335" s="573" t="s">
        <v>21</v>
      </c>
      <c r="F335" s="561"/>
      <c r="G335" s="563"/>
      <c r="H335" s="681" t="s">
        <v>14</v>
      </c>
      <c r="I335" s="565"/>
      <c r="J335" s="565"/>
      <c r="K335" s="566"/>
      <c r="L335" s="567">
        <f t="shared" ca="1" si="222"/>
        <v>180000</v>
      </c>
      <c r="M335" s="568">
        <f t="shared" ca="1" si="222"/>
        <v>110000</v>
      </c>
      <c r="N335" s="568">
        <f t="shared" ca="1" si="222"/>
        <v>88310</v>
      </c>
      <c r="O335" s="568">
        <f t="shared" ca="1" si="217"/>
        <v>49.06111111111111</v>
      </c>
      <c r="P335" s="568">
        <f t="shared" ca="1" si="218"/>
        <v>80.281818181818181</v>
      </c>
      <c r="Q335" s="568">
        <f t="shared" si="223"/>
        <v>0</v>
      </c>
      <c r="R335" s="568">
        <f t="shared" si="223"/>
        <v>0</v>
      </c>
      <c r="S335" s="568">
        <f t="shared" si="223"/>
        <v>0</v>
      </c>
      <c r="T335" s="568">
        <f t="shared" si="220"/>
        <v>0</v>
      </c>
      <c r="U335" s="568">
        <f t="shared" si="221"/>
        <v>0</v>
      </c>
    </row>
    <row r="336" spans="1:21" ht="18.75" x14ac:dyDescent="0.25">
      <c r="A336" s="674"/>
      <c r="B336" s="561"/>
      <c r="C336" s="561"/>
      <c r="D336" s="562" t="s">
        <v>22</v>
      </c>
      <c r="E336" s="561"/>
      <c r="F336" s="561"/>
      <c r="G336" s="563"/>
      <c r="H336" s="682" t="s">
        <v>14</v>
      </c>
      <c r="I336" s="683"/>
      <c r="J336" s="683"/>
      <c r="K336" s="684"/>
      <c r="L336" s="567">
        <f t="shared" ref="L336:N336" ca="1" si="224">L337+L338</f>
        <v>180000</v>
      </c>
      <c r="M336" s="568">
        <f t="shared" ca="1" si="224"/>
        <v>110000</v>
      </c>
      <c r="N336" s="568">
        <f t="shared" ca="1" si="224"/>
        <v>88310</v>
      </c>
      <c r="O336" s="568">
        <f t="shared" ca="1" si="217"/>
        <v>49.06111111111111</v>
      </c>
      <c r="P336" s="568">
        <f t="shared" ca="1" si="218"/>
        <v>80.281818181818181</v>
      </c>
      <c r="Q336" s="568">
        <f t="shared" ref="Q336:S336" si="225">Q337+Q338</f>
        <v>0</v>
      </c>
      <c r="R336" s="568">
        <f t="shared" si="225"/>
        <v>0</v>
      </c>
      <c r="S336" s="568">
        <f t="shared" si="225"/>
        <v>0</v>
      </c>
      <c r="T336" s="568">
        <f t="shared" si="220"/>
        <v>0</v>
      </c>
      <c r="U336" s="568">
        <f t="shared" si="221"/>
        <v>0</v>
      </c>
    </row>
    <row r="337" spans="1:21" ht="18.75" x14ac:dyDescent="0.25">
      <c r="A337" s="674"/>
      <c r="B337" s="561"/>
      <c r="C337" s="561"/>
      <c r="D337" s="561"/>
      <c r="E337" s="569" t="s">
        <v>36</v>
      </c>
      <c r="F337" s="561"/>
      <c r="G337" s="563"/>
      <c r="H337" s="685" t="s">
        <v>14</v>
      </c>
      <c r="I337" s="683"/>
      <c r="J337" s="683"/>
      <c r="K337" s="684"/>
      <c r="L337" s="571">
        <v>0</v>
      </c>
      <c r="M337" s="572">
        <v>0</v>
      </c>
      <c r="N337" s="572">
        <v>0</v>
      </c>
      <c r="O337" s="572">
        <f t="shared" si="217"/>
        <v>0</v>
      </c>
      <c r="P337" s="572">
        <f t="shared" si="218"/>
        <v>0</v>
      </c>
      <c r="Q337" s="572">
        <v>0</v>
      </c>
      <c r="R337" s="572">
        <v>0</v>
      </c>
      <c r="S337" s="572">
        <v>0</v>
      </c>
      <c r="T337" s="572">
        <f t="shared" si="220"/>
        <v>0</v>
      </c>
      <c r="U337" s="572">
        <f t="shared" si="221"/>
        <v>0</v>
      </c>
    </row>
    <row r="338" spans="1:21" ht="18.75" x14ac:dyDescent="0.25">
      <c r="A338" s="674"/>
      <c r="B338" s="561"/>
      <c r="C338" s="561"/>
      <c r="D338" s="561"/>
      <c r="E338" s="573" t="s">
        <v>37</v>
      </c>
      <c r="F338" s="561"/>
      <c r="G338" s="563"/>
      <c r="H338" s="682" t="s">
        <v>14</v>
      </c>
      <c r="I338" s="683"/>
      <c r="J338" s="683"/>
      <c r="K338" s="684"/>
      <c r="L338" s="567">
        <f ca="1">IFERROR(__xludf.DUMMYFUNCTION("IMPORTRANGE(""https://docs.google.com/spreadsheets/d/1-uDff_7J0KD5mKrp0Vvzr7lt3OU09vwQwhkpOPPYv2Y/edit?usp=sharing"",""งบพรบ!ES17"")"),180000)</f>
        <v>180000</v>
      </c>
      <c r="M338" s="568">
        <f ca="1">IFERROR(__xludf.DUMMYFUNCTION("IMPORTRANGE(""https://docs.google.com/spreadsheets/d/1-uDff_7J0KD5mKrp0Vvzr7lt3OU09vwQwhkpOPPYv2Y/edit?usp=sharing"",""งบพรบ!EX17"")"),110000)</f>
        <v>110000</v>
      </c>
      <c r="N338" s="568">
        <f ca="1">IFERROR(__xludf.DUMMYFUNCTION("IMPORTRANGE(""https://docs.google.com/spreadsheets/d/1-uDff_7J0KD5mKrp0Vvzr7lt3OU09vwQwhkpOPPYv2Y/edit?usp=sharing"",""งบพรบ!EZ17"")"),88310)</f>
        <v>88310</v>
      </c>
      <c r="O338" s="568">
        <f t="shared" ca="1" si="217"/>
        <v>49.06111111111111</v>
      </c>
      <c r="P338" s="568">
        <f t="shared" ca="1" si="218"/>
        <v>80.281818181818181</v>
      </c>
      <c r="Q338" s="568">
        <v>0</v>
      </c>
      <c r="R338" s="568">
        <v>0</v>
      </c>
      <c r="S338" s="568">
        <v>0</v>
      </c>
      <c r="T338" s="568">
        <f t="shared" si="220"/>
        <v>0</v>
      </c>
      <c r="U338" s="568">
        <f t="shared" si="221"/>
        <v>0</v>
      </c>
    </row>
    <row r="339" spans="1:21" ht="18.75" x14ac:dyDescent="0.25">
      <c r="A339" s="674"/>
      <c r="B339" s="561"/>
      <c r="C339" s="561"/>
      <c r="D339" s="562" t="s">
        <v>23</v>
      </c>
      <c r="E339" s="561"/>
      <c r="F339" s="561"/>
      <c r="G339" s="563"/>
      <c r="H339" s="686" t="s">
        <v>14</v>
      </c>
      <c r="I339" s="683"/>
      <c r="J339" s="683"/>
      <c r="K339" s="684"/>
      <c r="L339" s="567">
        <f t="shared" ref="L339:N339" ca="1" si="226">L340+L341</f>
        <v>0</v>
      </c>
      <c r="M339" s="568">
        <f t="shared" ca="1" si="226"/>
        <v>0</v>
      </c>
      <c r="N339" s="568">
        <f t="shared" ca="1" si="226"/>
        <v>0</v>
      </c>
      <c r="O339" s="568">
        <f t="shared" ca="1" si="217"/>
        <v>0</v>
      </c>
      <c r="P339" s="568">
        <f t="shared" ca="1" si="218"/>
        <v>0</v>
      </c>
      <c r="Q339" s="568">
        <f t="shared" ref="Q339:S339" si="227">Q340+Q341</f>
        <v>0</v>
      </c>
      <c r="R339" s="568">
        <f t="shared" si="227"/>
        <v>0</v>
      </c>
      <c r="S339" s="568">
        <f t="shared" si="227"/>
        <v>0</v>
      </c>
      <c r="T339" s="568">
        <f t="shared" si="220"/>
        <v>0</v>
      </c>
      <c r="U339" s="568">
        <f t="shared" si="221"/>
        <v>0</v>
      </c>
    </row>
    <row r="340" spans="1:21" ht="18.75" x14ac:dyDescent="0.25">
      <c r="A340" s="674"/>
      <c r="B340" s="561"/>
      <c r="C340" s="561"/>
      <c r="D340" s="561"/>
      <c r="E340" s="569" t="s">
        <v>20</v>
      </c>
      <c r="F340" s="561"/>
      <c r="G340" s="563"/>
      <c r="H340" s="685" t="s">
        <v>14</v>
      </c>
      <c r="I340" s="683"/>
      <c r="J340" s="683"/>
      <c r="K340" s="684"/>
      <c r="L340" s="571">
        <v>0</v>
      </c>
      <c r="M340" s="572">
        <v>0</v>
      </c>
      <c r="N340" s="572">
        <v>0</v>
      </c>
      <c r="O340" s="572">
        <f t="shared" si="217"/>
        <v>0</v>
      </c>
      <c r="P340" s="572">
        <f t="shared" si="218"/>
        <v>0</v>
      </c>
      <c r="Q340" s="572">
        <v>0</v>
      </c>
      <c r="R340" s="572">
        <v>0</v>
      </c>
      <c r="S340" s="572">
        <v>0</v>
      </c>
      <c r="T340" s="572">
        <f t="shared" si="220"/>
        <v>0</v>
      </c>
      <c r="U340" s="572">
        <f t="shared" si="221"/>
        <v>0</v>
      </c>
    </row>
    <row r="341" spans="1:21" ht="18.75" x14ac:dyDescent="0.25">
      <c r="A341" s="674"/>
      <c r="B341" s="561"/>
      <c r="C341" s="561"/>
      <c r="D341" s="561"/>
      <c r="E341" s="573" t="s">
        <v>21</v>
      </c>
      <c r="F341" s="561"/>
      <c r="G341" s="563"/>
      <c r="H341" s="686" t="s">
        <v>14</v>
      </c>
      <c r="I341" s="683"/>
      <c r="J341" s="683"/>
      <c r="K341" s="684"/>
      <c r="L341" s="567">
        <f ca="1">IFERROR(__xludf.DUMMYFUNCTION("IMPORTRANGE(""https://docs.google.com/spreadsheets/d/1-uDff_7J0KD5mKrp0Vvzr7lt3OU09vwQwhkpOPPYv2Y/edit?usp=sharing"",""งบพรบ!EV17"")"),0)</f>
        <v>0</v>
      </c>
      <c r="M341" s="568">
        <f ca="1">IFERROR(__xludf.DUMMYFUNCTION("IMPORTRANGE(""https://docs.google.com/spreadsheets/d/1-uDff_7J0KD5mKrp0Vvzr7lt3OU09vwQwhkpOPPYv2Y/edit?usp=sharing"",""งบพรบ!EY17"")"),0)</f>
        <v>0</v>
      </c>
      <c r="N341" s="568">
        <f ca="1">IFERROR(__xludf.DUMMYFUNCTION("IMPORTRANGE(""https://docs.google.com/spreadsheets/d/1-uDff_7J0KD5mKrp0Vvzr7lt3OU09vwQwhkpOPPYv2Y/edit?usp=sharing"",""งบพรบ!FA17"")"),0)</f>
        <v>0</v>
      </c>
      <c r="O341" s="568">
        <f t="shared" ca="1" si="217"/>
        <v>0</v>
      </c>
      <c r="P341" s="568">
        <f t="shared" ca="1" si="218"/>
        <v>0</v>
      </c>
      <c r="Q341" s="568">
        <v>0</v>
      </c>
      <c r="R341" s="568">
        <v>0</v>
      </c>
      <c r="S341" s="568">
        <v>0</v>
      </c>
      <c r="T341" s="568">
        <f t="shared" si="220"/>
        <v>0</v>
      </c>
      <c r="U341" s="568">
        <f t="shared" si="221"/>
        <v>0</v>
      </c>
    </row>
    <row r="342" spans="1:21" ht="19.5" x14ac:dyDescent="0.3">
      <c r="A342" s="687"/>
      <c r="B342" s="688"/>
      <c r="C342" s="675" t="s">
        <v>18</v>
      </c>
      <c r="D342" s="757" t="s">
        <v>38</v>
      </c>
      <c r="E342" s="690"/>
      <c r="F342" s="690"/>
      <c r="G342" s="691"/>
      <c r="H342" s="563"/>
      <c r="I342" s="565"/>
      <c r="J342" s="565"/>
      <c r="K342" s="566"/>
      <c r="L342" s="574"/>
      <c r="M342" s="566"/>
      <c r="N342" s="566"/>
      <c r="O342" s="684"/>
      <c r="P342" s="684"/>
      <c r="Q342" s="566"/>
      <c r="R342" s="566"/>
      <c r="S342" s="566"/>
      <c r="T342" s="684"/>
      <c r="U342" s="684"/>
    </row>
    <row r="343" spans="1:21" ht="19.5" x14ac:dyDescent="0.3">
      <c r="A343" s="932"/>
      <c r="B343" s="933"/>
      <c r="C343" s="934"/>
      <c r="D343" s="933"/>
      <c r="E343" s="935" t="s">
        <v>137</v>
      </c>
      <c r="F343" s="933"/>
      <c r="G343" s="936"/>
      <c r="H343" s="937" t="s">
        <v>35</v>
      </c>
      <c r="I343" s="938">
        <v>0</v>
      </c>
      <c r="J343" s="938">
        <f ca="1">J344+J347+J348+J349</f>
        <v>1076</v>
      </c>
      <c r="K343" s="939">
        <v>0</v>
      </c>
      <c r="L343" s="777"/>
      <c r="M343" s="778"/>
      <c r="N343" s="778"/>
      <c r="O343" s="778"/>
      <c r="P343" s="778"/>
      <c r="Q343" s="778"/>
      <c r="R343" s="778"/>
      <c r="S343" s="778"/>
      <c r="T343" s="778"/>
      <c r="U343" s="778"/>
    </row>
    <row r="344" spans="1:21" ht="18.75" x14ac:dyDescent="0.25">
      <c r="A344" s="764"/>
      <c r="B344" s="561"/>
      <c r="C344" s="718"/>
      <c r="D344" s="695"/>
      <c r="E344" s="699" t="s">
        <v>138</v>
      </c>
      <c r="F344" s="561"/>
      <c r="G344" s="563"/>
      <c r="H344" s="766" t="s">
        <v>35</v>
      </c>
      <c r="I344" s="708">
        <f ca="1">IFERROR(__xludf.DUMMYFUNCTION("IMPORTRANGE(""https://docs.google.com/spreadsheets/d/1eHaY18a8A9IcSdp1K8H6x8fbOy06t2VsZHhMHf-1x7Y/edit?usp=sharing"",""แผน!EK17"")"),600)</f>
        <v>600</v>
      </c>
      <c r="J344" s="708">
        <f ca="1">IFERROR(__xludf.DUMMYFUNCTION("IMPORTRANGE(""https://docs.google.com/spreadsheets/d/1awYsYK3VOup2i3Pq_Yjnu8DRu_mYwSBnCR2QPthd0rU/edit?usp=sharing"",""ศูนย์ยกเว้นโฉนด!D17"")"),972)</f>
        <v>972</v>
      </c>
      <c r="K344" s="568">
        <f ca="1">IF(I344&gt;0,J344*100/I344,0)</f>
        <v>162</v>
      </c>
      <c r="L344" s="574"/>
      <c r="M344" s="566"/>
      <c r="N344" s="566"/>
      <c r="O344" s="566"/>
      <c r="P344" s="566"/>
      <c r="Q344" s="566"/>
      <c r="R344" s="566"/>
      <c r="S344" s="566"/>
      <c r="T344" s="566"/>
      <c r="U344" s="566"/>
    </row>
    <row r="345" spans="1:21" ht="18.75" x14ac:dyDescent="0.25">
      <c r="A345" s="764"/>
      <c r="B345" s="561"/>
      <c r="C345" s="718"/>
      <c r="D345" s="695"/>
      <c r="E345" s="699" t="s">
        <v>139</v>
      </c>
      <c r="F345" s="561"/>
      <c r="G345" s="563"/>
      <c r="H345" s="727"/>
      <c r="I345" s="565"/>
      <c r="J345" s="565"/>
      <c r="K345" s="566"/>
      <c r="L345" s="574"/>
      <c r="M345" s="566"/>
      <c r="N345" s="566"/>
      <c r="O345" s="566"/>
      <c r="P345" s="566"/>
      <c r="Q345" s="566"/>
      <c r="R345" s="566"/>
      <c r="S345" s="566"/>
      <c r="T345" s="566"/>
      <c r="U345" s="566"/>
    </row>
    <row r="346" spans="1:21" ht="18.75" x14ac:dyDescent="0.25">
      <c r="A346" s="764"/>
      <c r="B346" s="561"/>
      <c r="C346" s="718"/>
      <c r="D346" s="695"/>
      <c r="E346" s="695"/>
      <c r="F346" s="699" t="s">
        <v>140</v>
      </c>
      <c r="G346" s="563"/>
      <c r="H346" s="722" t="s">
        <v>141</v>
      </c>
      <c r="I346" s="708">
        <f ca="1">IFERROR(__xludf.DUMMYFUNCTION("IMPORTRANGE(""https://docs.google.com/spreadsheets/d/1eHaY18a8A9IcSdp1K8H6x8fbOy06t2VsZHhMHf-1x7Y/edit?usp=sharing"",""แผน!EL17"")"),4)</f>
        <v>4</v>
      </c>
      <c r="J346" s="708">
        <f ca="1">IFERROR(__xludf.DUMMYFUNCTION("IMPORTRANGE(""https://docs.google.com/spreadsheets/d/1awYsYK3VOup2i3Pq_Yjnu8DRu_mYwSBnCR2QPthd0rU/edit?usp=sharing"",""ศูนย์รวม!E17"")"),7)</f>
        <v>7</v>
      </c>
      <c r="K346" s="568">
        <f ca="1">IF(I346&gt;0,J346*100/I346,0)</f>
        <v>175</v>
      </c>
      <c r="L346" s="574"/>
      <c r="M346" s="566"/>
      <c r="N346" s="566"/>
      <c r="O346" s="566"/>
      <c r="P346" s="566"/>
      <c r="Q346" s="566"/>
      <c r="R346" s="566"/>
      <c r="S346" s="566"/>
      <c r="T346" s="566"/>
      <c r="U346" s="566"/>
    </row>
    <row r="347" spans="1:21" ht="18.75" x14ac:dyDescent="0.25">
      <c r="A347" s="764"/>
      <c r="B347" s="561"/>
      <c r="C347" s="718"/>
      <c r="D347" s="695"/>
      <c r="E347" s="695"/>
      <c r="F347" s="699" t="s">
        <v>142</v>
      </c>
      <c r="G347" s="563"/>
      <c r="H347" s="722" t="s">
        <v>35</v>
      </c>
      <c r="I347" s="565"/>
      <c r="J347" s="708">
        <f ca="1">IFERROR(__xludf.DUMMYFUNCTION("IMPORTRANGE(""https://docs.google.com/spreadsheets/d/1awYsYK3VOup2i3Pq_Yjnu8DRu_mYwSBnCR2QPthd0rU/edit?usp=sharing"",""ศูนย์ยกเว้นโฉนด!F17"")"),6)</f>
        <v>6</v>
      </c>
      <c r="K347" s="566"/>
      <c r="L347" s="574"/>
      <c r="M347" s="566"/>
      <c r="N347" s="566"/>
      <c r="O347" s="566"/>
      <c r="P347" s="566"/>
      <c r="Q347" s="566"/>
      <c r="R347" s="566"/>
      <c r="S347" s="566"/>
      <c r="T347" s="566"/>
      <c r="U347" s="566"/>
    </row>
    <row r="348" spans="1:21" ht="18.75" x14ac:dyDescent="0.25">
      <c r="A348" s="764"/>
      <c r="B348" s="561"/>
      <c r="C348" s="718"/>
      <c r="D348" s="695"/>
      <c r="E348" s="699" t="s">
        <v>143</v>
      </c>
      <c r="F348" s="695"/>
      <c r="G348" s="563"/>
      <c r="H348" s="722" t="s">
        <v>35</v>
      </c>
      <c r="I348" s="565"/>
      <c r="J348" s="708">
        <f ca="1">IFERROR(__xludf.DUMMYFUNCTION("IMPORTRANGE(""https://docs.google.com/spreadsheets/d/1awYsYK3VOup2i3Pq_Yjnu8DRu_mYwSBnCR2QPthd0rU/edit?usp=sharing"",""ศูนย์ยกเว้นโฉนด!G17"")"),98)</f>
        <v>98</v>
      </c>
      <c r="K348" s="566"/>
      <c r="L348" s="574"/>
      <c r="M348" s="566"/>
      <c r="N348" s="566"/>
      <c r="O348" s="566"/>
      <c r="P348" s="566"/>
      <c r="Q348" s="566"/>
      <c r="R348" s="566"/>
      <c r="S348" s="566"/>
      <c r="T348" s="566"/>
      <c r="U348" s="566"/>
    </row>
    <row r="349" spans="1:21" ht="18.75" x14ac:dyDescent="0.25">
      <c r="A349" s="764"/>
      <c r="B349" s="561"/>
      <c r="C349" s="718"/>
      <c r="D349" s="688"/>
      <c r="E349" s="699" t="s">
        <v>144</v>
      </c>
      <c r="F349" s="695"/>
      <c r="G349" s="563"/>
      <c r="H349" s="722" t="s">
        <v>35</v>
      </c>
      <c r="I349" s="565"/>
      <c r="J349" s="708">
        <f ca="1">IFERROR(__xludf.DUMMYFUNCTION("IMPORTRANGE(""https://docs.google.com/spreadsheets/d/1awYsYK3VOup2i3Pq_Yjnu8DRu_mYwSBnCR2QPthd0rU/edit?usp=sharing"",""ศูนย์ยกเว้นโฉนด!H17"")"),0)</f>
        <v>0</v>
      </c>
      <c r="K349" s="566"/>
      <c r="L349" s="574"/>
      <c r="M349" s="566"/>
      <c r="N349" s="566"/>
      <c r="O349" s="566"/>
      <c r="P349" s="566"/>
      <c r="Q349" s="566"/>
      <c r="R349" s="566"/>
      <c r="S349" s="566"/>
      <c r="T349" s="566"/>
      <c r="U349" s="566"/>
    </row>
    <row r="350" spans="1:21" ht="16.5" x14ac:dyDescent="0.25">
      <c r="A350" s="718"/>
      <c r="B350" s="561"/>
      <c r="C350" s="718"/>
      <c r="D350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61"/>
      <c r="F350" s="561"/>
      <c r="G350" s="563"/>
      <c r="H350" s="727"/>
      <c r="I350" s="565"/>
      <c r="J350" s="565"/>
      <c r="K350" s="566"/>
      <c r="L350" s="574"/>
      <c r="M350" s="566"/>
      <c r="N350" s="566"/>
      <c r="O350" s="566"/>
      <c r="P350" s="566"/>
      <c r="Q350" s="566"/>
      <c r="R350" s="566"/>
      <c r="S350" s="566"/>
      <c r="T350" s="566"/>
      <c r="U350" s="566"/>
    </row>
    <row r="351" spans="1:21" ht="19.5" x14ac:dyDescent="0.3">
      <c r="A351" s="769"/>
      <c r="B351" s="772"/>
      <c r="C351" s="770"/>
      <c r="D351" s="772"/>
      <c r="E351" s="941" t="s">
        <v>145</v>
      </c>
      <c r="F351" s="772"/>
      <c r="G351" s="773"/>
      <c r="H351" s="774" t="s">
        <v>35</v>
      </c>
      <c r="I351" s="775">
        <v>0</v>
      </c>
      <c r="J351" s="775">
        <f ca="1">J352+J353</f>
        <v>3675</v>
      </c>
      <c r="K351" s="776">
        <v>0</v>
      </c>
      <c r="L351" s="777"/>
      <c r="M351" s="778"/>
      <c r="N351" s="778"/>
      <c r="O351" s="778"/>
      <c r="P351" s="778"/>
      <c r="Q351" s="778"/>
      <c r="R351" s="778"/>
      <c r="S351" s="778"/>
      <c r="T351" s="778"/>
      <c r="U351" s="778"/>
    </row>
    <row r="352" spans="1:21" ht="18.75" x14ac:dyDescent="0.25">
      <c r="A352" s="718"/>
      <c r="B352" s="561"/>
      <c r="C352" s="718"/>
      <c r="D352" s="695"/>
      <c r="E352" s="699" t="s">
        <v>146</v>
      </c>
      <c r="F352" s="561"/>
      <c r="G352" s="563"/>
      <c r="H352" s="681" t="s">
        <v>35</v>
      </c>
      <c r="I352" s="565"/>
      <c r="J352" s="708">
        <f ca="1">IFERROR(__xludf.DUMMYFUNCTION("IMPORTRANGE(""https://docs.google.com/spreadsheets/d/1awYsYK3VOup2i3Pq_Yjnu8DRu_mYwSBnCR2QPthd0rU/edit?usp=sharing"",""โฉนดM3!G17"")"),24)</f>
        <v>24</v>
      </c>
      <c r="K352" s="566"/>
      <c r="L352" s="574"/>
      <c r="M352" s="566"/>
      <c r="N352" s="566"/>
      <c r="O352" s="566"/>
      <c r="P352" s="566"/>
      <c r="Q352" s="566"/>
      <c r="R352" s="566"/>
      <c r="S352" s="566"/>
      <c r="T352" s="566"/>
      <c r="U352" s="566"/>
    </row>
    <row r="353" spans="1:21" ht="18.75" x14ac:dyDescent="0.25">
      <c r="A353" s="718"/>
      <c r="B353" s="561"/>
      <c r="C353" s="718"/>
      <c r="D353" s="695"/>
      <c r="E353" s="699" t="s">
        <v>147</v>
      </c>
      <c r="F353" s="561"/>
      <c r="G353" s="563"/>
      <c r="H353" s="681" t="s">
        <v>35</v>
      </c>
      <c r="I353" s="565"/>
      <c r="J353" s="708">
        <f ca="1">IFERROR(__xludf.DUMMYFUNCTION("IMPORTRANGE(""https://docs.google.com/spreadsheets/d/1awYsYK3VOup2i3Pq_Yjnu8DRu_mYwSBnCR2QPthd0rU/edit?usp=sharing"",""โฉนดM3!H17"")"),3651)</f>
        <v>3651</v>
      </c>
      <c r="K353" s="566"/>
      <c r="L353" s="574"/>
      <c r="M353" s="566"/>
      <c r="N353" s="566"/>
      <c r="O353" s="566"/>
      <c r="P353" s="566"/>
      <c r="Q353" s="566"/>
      <c r="R353" s="566"/>
      <c r="S353" s="566"/>
      <c r="T353" s="566"/>
      <c r="U353" s="566"/>
    </row>
    <row r="354" spans="1:21" ht="16.5" x14ac:dyDescent="0.25">
      <c r="A354" s="718"/>
      <c r="B354" s="561"/>
      <c r="C354" s="718"/>
      <c r="D354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61"/>
      <c r="F354" s="561"/>
      <c r="G354" s="563"/>
      <c r="H354" s="727"/>
      <c r="I354" s="565"/>
      <c r="J354" s="565"/>
      <c r="K354" s="566"/>
      <c r="L354" s="574"/>
      <c r="M354" s="566"/>
      <c r="N354" s="566"/>
      <c r="O354" s="566"/>
      <c r="P354" s="566"/>
      <c r="Q354" s="566"/>
      <c r="R354" s="566"/>
      <c r="S354" s="566"/>
      <c r="T354" s="566"/>
      <c r="U354" s="566"/>
    </row>
    <row r="355" spans="1:21" ht="19.5" x14ac:dyDescent="0.3">
      <c r="A355" s="909"/>
      <c r="B355" s="910" t="s">
        <v>148</v>
      </c>
      <c r="C355" s="928"/>
      <c r="D355" s="911"/>
      <c r="E355" s="911"/>
      <c r="F355" s="911"/>
      <c r="G355" s="912"/>
      <c r="H355" s="912"/>
      <c r="I355" s="942"/>
      <c r="J355" s="942"/>
      <c r="K355" s="917"/>
      <c r="L355" s="916"/>
      <c r="M355" s="917"/>
      <c r="N355" s="917"/>
      <c r="O355" s="917"/>
      <c r="P355" s="917"/>
      <c r="Q355" s="917"/>
      <c r="R355" s="917"/>
      <c r="S355" s="917"/>
      <c r="T355" s="917"/>
      <c r="U355" s="917"/>
    </row>
    <row r="356" spans="1:21" ht="19.5" x14ac:dyDescent="0.3">
      <c r="A356" s="674"/>
      <c r="B356" s="561"/>
      <c r="C356" s="675" t="s">
        <v>18</v>
      </c>
      <c r="D356" s="676" t="s">
        <v>19</v>
      </c>
      <c r="E356" s="561"/>
      <c r="F356" s="561"/>
      <c r="G356" s="563"/>
      <c r="H356" s="677" t="s">
        <v>14</v>
      </c>
      <c r="I356" s="565"/>
      <c r="J356" s="565"/>
      <c r="K356" s="566"/>
      <c r="L356" s="678">
        <f t="shared" ref="L356:N356" ca="1" si="228">L357+L358</f>
        <v>481500</v>
      </c>
      <c r="M356" s="679">
        <f t="shared" ca="1" si="228"/>
        <v>446460</v>
      </c>
      <c r="N356" s="679">
        <f t="shared" ca="1" si="228"/>
        <v>265326</v>
      </c>
      <c r="O356" s="679">
        <f t="shared" ref="O356:O364" ca="1" si="229">IF(L356&gt;0,N356*100/L356,0)</f>
        <v>55.104049844236762</v>
      </c>
      <c r="P356" s="679">
        <f t="shared" ref="P356:P364" ca="1" si="230">IF(M356&gt;0,N356*100/M356,0)</f>
        <v>59.428840209649238</v>
      </c>
      <c r="Q356" s="679">
        <f t="shared" ref="Q356:S356" si="231">Q357+Q358</f>
        <v>0</v>
      </c>
      <c r="R356" s="679">
        <f t="shared" si="231"/>
        <v>0</v>
      </c>
      <c r="S356" s="679">
        <f t="shared" si="231"/>
        <v>0</v>
      </c>
      <c r="T356" s="679">
        <f t="shared" ref="T356:T364" si="232">IF(Q356&gt;0,S356*100/Q356,0)</f>
        <v>0</v>
      </c>
      <c r="U356" s="679">
        <f t="shared" ref="U356:U364" si="233">IF(R356&gt;0,S356*100/R356,0)</f>
        <v>0</v>
      </c>
    </row>
    <row r="357" spans="1:21" ht="18.75" x14ac:dyDescent="0.25">
      <c r="A357" s="674"/>
      <c r="B357" s="561"/>
      <c r="C357" s="561"/>
      <c r="D357" s="561"/>
      <c r="E357" s="569" t="s">
        <v>20</v>
      </c>
      <c r="F357" s="561"/>
      <c r="G357" s="563"/>
      <c r="H357" s="680" t="s">
        <v>14</v>
      </c>
      <c r="I357" s="565"/>
      <c r="J357" s="565"/>
      <c r="K357" s="566"/>
      <c r="L357" s="571">
        <f t="shared" ref="L357:N358" si="234">L360+L363</f>
        <v>0</v>
      </c>
      <c r="M357" s="572">
        <f t="shared" si="234"/>
        <v>0</v>
      </c>
      <c r="N357" s="572">
        <f t="shared" si="234"/>
        <v>0</v>
      </c>
      <c r="O357" s="572">
        <f t="shared" si="229"/>
        <v>0</v>
      </c>
      <c r="P357" s="572">
        <f t="shared" si="230"/>
        <v>0</v>
      </c>
      <c r="Q357" s="572">
        <f t="shared" ref="Q357:S358" si="235">Q360+Q363</f>
        <v>0</v>
      </c>
      <c r="R357" s="572">
        <f t="shared" si="235"/>
        <v>0</v>
      </c>
      <c r="S357" s="572">
        <f t="shared" si="235"/>
        <v>0</v>
      </c>
      <c r="T357" s="572">
        <f t="shared" si="232"/>
        <v>0</v>
      </c>
      <c r="U357" s="572">
        <f t="shared" si="233"/>
        <v>0</v>
      </c>
    </row>
    <row r="358" spans="1:21" ht="18.75" x14ac:dyDescent="0.25">
      <c r="A358" s="674"/>
      <c r="B358" s="561"/>
      <c r="C358" s="561"/>
      <c r="D358" s="561"/>
      <c r="E358" s="573" t="s">
        <v>21</v>
      </c>
      <c r="F358" s="561"/>
      <c r="G358" s="563"/>
      <c r="H358" s="681" t="s">
        <v>14</v>
      </c>
      <c r="I358" s="565"/>
      <c r="J358" s="565"/>
      <c r="K358" s="566"/>
      <c r="L358" s="567">
        <f t="shared" ca="1" si="234"/>
        <v>481500</v>
      </c>
      <c r="M358" s="568">
        <f t="shared" ca="1" si="234"/>
        <v>446460</v>
      </c>
      <c r="N358" s="568">
        <f t="shared" ca="1" si="234"/>
        <v>265326</v>
      </c>
      <c r="O358" s="568">
        <f t="shared" ca="1" si="229"/>
        <v>55.104049844236762</v>
      </c>
      <c r="P358" s="568">
        <f t="shared" ca="1" si="230"/>
        <v>59.428840209649238</v>
      </c>
      <c r="Q358" s="568">
        <f t="shared" si="235"/>
        <v>0</v>
      </c>
      <c r="R358" s="568">
        <f t="shared" si="235"/>
        <v>0</v>
      </c>
      <c r="S358" s="568">
        <f t="shared" si="235"/>
        <v>0</v>
      </c>
      <c r="T358" s="568">
        <f t="shared" si="232"/>
        <v>0</v>
      </c>
      <c r="U358" s="568">
        <f t="shared" si="233"/>
        <v>0</v>
      </c>
    </row>
    <row r="359" spans="1:21" ht="18.75" x14ac:dyDescent="0.25">
      <c r="A359" s="674"/>
      <c r="B359" s="561"/>
      <c r="C359" s="561"/>
      <c r="D359" s="562" t="s">
        <v>22</v>
      </c>
      <c r="E359" s="561"/>
      <c r="F359" s="561"/>
      <c r="G359" s="563"/>
      <c r="H359" s="682" t="s">
        <v>14</v>
      </c>
      <c r="I359" s="683"/>
      <c r="J359" s="683"/>
      <c r="K359" s="684"/>
      <c r="L359" s="567">
        <f t="shared" ref="L359:N359" ca="1" si="236">L360+L361</f>
        <v>481500</v>
      </c>
      <c r="M359" s="568">
        <f t="shared" ca="1" si="236"/>
        <v>446460</v>
      </c>
      <c r="N359" s="568">
        <f t="shared" ca="1" si="236"/>
        <v>265326</v>
      </c>
      <c r="O359" s="568">
        <f t="shared" ca="1" si="229"/>
        <v>55.104049844236762</v>
      </c>
      <c r="P359" s="568">
        <f t="shared" ca="1" si="230"/>
        <v>59.428840209649238</v>
      </c>
      <c r="Q359" s="568">
        <f t="shared" ref="Q359:S359" si="237">Q360+Q361</f>
        <v>0</v>
      </c>
      <c r="R359" s="568">
        <f t="shared" si="237"/>
        <v>0</v>
      </c>
      <c r="S359" s="568">
        <f t="shared" si="237"/>
        <v>0</v>
      </c>
      <c r="T359" s="568">
        <f t="shared" si="232"/>
        <v>0</v>
      </c>
      <c r="U359" s="568">
        <f t="shared" si="233"/>
        <v>0</v>
      </c>
    </row>
    <row r="360" spans="1:21" ht="18.75" x14ac:dyDescent="0.25">
      <c r="A360" s="674"/>
      <c r="B360" s="561"/>
      <c r="C360" s="561"/>
      <c r="D360" s="561"/>
      <c r="E360" s="569" t="s">
        <v>36</v>
      </c>
      <c r="F360" s="561"/>
      <c r="G360" s="563"/>
      <c r="H360" s="685" t="s">
        <v>14</v>
      </c>
      <c r="I360" s="683"/>
      <c r="J360" s="683"/>
      <c r="K360" s="684"/>
      <c r="L360" s="571">
        <v>0</v>
      </c>
      <c r="M360" s="572">
        <v>0</v>
      </c>
      <c r="N360" s="572">
        <v>0</v>
      </c>
      <c r="O360" s="572">
        <f t="shared" si="229"/>
        <v>0</v>
      </c>
      <c r="P360" s="572">
        <f t="shared" si="230"/>
        <v>0</v>
      </c>
      <c r="Q360" s="572">
        <v>0</v>
      </c>
      <c r="R360" s="572">
        <v>0</v>
      </c>
      <c r="S360" s="572">
        <v>0</v>
      </c>
      <c r="T360" s="572">
        <f t="shared" si="232"/>
        <v>0</v>
      </c>
      <c r="U360" s="572">
        <f t="shared" si="233"/>
        <v>0</v>
      </c>
    </row>
    <row r="361" spans="1:21" ht="18.75" x14ac:dyDescent="0.25">
      <c r="A361" s="674"/>
      <c r="B361" s="561"/>
      <c r="C361" s="561"/>
      <c r="D361" s="561"/>
      <c r="E361" s="573" t="s">
        <v>37</v>
      </c>
      <c r="F361" s="561"/>
      <c r="G361" s="563"/>
      <c r="H361" s="682" t="s">
        <v>14</v>
      </c>
      <c r="I361" s="683"/>
      <c r="J361" s="683"/>
      <c r="K361" s="684"/>
      <c r="L361" s="567">
        <f ca="1">IFERROR(__xludf.DUMMYFUNCTION("IMPORTRANGE(""https://docs.google.com/spreadsheets/d/1-uDff_7J0KD5mKrp0Vvzr7lt3OU09vwQwhkpOPPYv2Y/edit?usp=sharing"",""งบพรบ!FC17"")"),481500)</f>
        <v>481500</v>
      </c>
      <c r="M361" s="568">
        <f ca="1">IFERROR(__xludf.DUMMYFUNCTION("IMPORTRANGE(""https://docs.google.com/spreadsheets/d/1-uDff_7J0KD5mKrp0Vvzr7lt3OU09vwQwhkpOPPYv2Y/edit?usp=sharing"",""งบพรบ!FH17"")"),446460)</f>
        <v>446460</v>
      </c>
      <c r="N361" s="568">
        <f ca="1">IFERROR(__xludf.DUMMYFUNCTION("IMPORTRANGE(""https://docs.google.com/spreadsheets/d/1-uDff_7J0KD5mKrp0Vvzr7lt3OU09vwQwhkpOPPYv2Y/edit?usp=sharing"",""งบพรบ!FJ17"")"),265326)</f>
        <v>265326</v>
      </c>
      <c r="O361" s="568">
        <f t="shared" ca="1" si="229"/>
        <v>55.104049844236762</v>
      </c>
      <c r="P361" s="568">
        <f t="shared" ca="1" si="230"/>
        <v>59.428840209649238</v>
      </c>
      <c r="Q361" s="568">
        <v>0</v>
      </c>
      <c r="R361" s="568">
        <v>0</v>
      </c>
      <c r="S361" s="568">
        <v>0</v>
      </c>
      <c r="T361" s="568">
        <f t="shared" si="232"/>
        <v>0</v>
      </c>
      <c r="U361" s="568">
        <f t="shared" si="233"/>
        <v>0</v>
      </c>
    </row>
    <row r="362" spans="1:21" ht="18.75" x14ac:dyDescent="0.25">
      <c r="A362" s="674"/>
      <c r="B362" s="561"/>
      <c r="C362" s="561"/>
      <c r="D362" s="562" t="s">
        <v>23</v>
      </c>
      <c r="E362" s="561"/>
      <c r="F362" s="561"/>
      <c r="G362" s="563"/>
      <c r="H362" s="686" t="s">
        <v>14</v>
      </c>
      <c r="I362" s="683"/>
      <c r="J362" s="683"/>
      <c r="K362" s="684"/>
      <c r="L362" s="567">
        <f t="shared" ref="L362:N362" ca="1" si="238">L363+L364</f>
        <v>0</v>
      </c>
      <c r="M362" s="568">
        <f t="shared" ca="1" si="238"/>
        <v>0</v>
      </c>
      <c r="N362" s="568">
        <f t="shared" ca="1" si="238"/>
        <v>0</v>
      </c>
      <c r="O362" s="568">
        <f t="shared" ca="1" si="229"/>
        <v>0</v>
      </c>
      <c r="P362" s="568">
        <f t="shared" ca="1" si="230"/>
        <v>0</v>
      </c>
      <c r="Q362" s="568">
        <f t="shared" ref="Q362:S362" si="239">Q363+Q364</f>
        <v>0</v>
      </c>
      <c r="R362" s="568">
        <f t="shared" si="239"/>
        <v>0</v>
      </c>
      <c r="S362" s="568">
        <f t="shared" si="239"/>
        <v>0</v>
      </c>
      <c r="T362" s="568">
        <f t="shared" si="232"/>
        <v>0</v>
      </c>
      <c r="U362" s="568">
        <f t="shared" si="233"/>
        <v>0</v>
      </c>
    </row>
    <row r="363" spans="1:21" ht="18.75" x14ac:dyDescent="0.25">
      <c r="A363" s="674"/>
      <c r="B363" s="561"/>
      <c r="C363" s="561"/>
      <c r="D363" s="561"/>
      <c r="E363" s="569" t="s">
        <v>20</v>
      </c>
      <c r="F363" s="561"/>
      <c r="G363" s="563"/>
      <c r="H363" s="685" t="s">
        <v>14</v>
      </c>
      <c r="I363" s="683"/>
      <c r="J363" s="683"/>
      <c r="K363" s="684"/>
      <c r="L363" s="571">
        <v>0</v>
      </c>
      <c r="M363" s="572">
        <v>0</v>
      </c>
      <c r="N363" s="572">
        <v>0</v>
      </c>
      <c r="O363" s="572">
        <f t="shared" si="229"/>
        <v>0</v>
      </c>
      <c r="P363" s="572">
        <f t="shared" si="230"/>
        <v>0</v>
      </c>
      <c r="Q363" s="572">
        <v>0</v>
      </c>
      <c r="R363" s="572">
        <v>0</v>
      </c>
      <c r="S363" s="572">
        <v>0</v>
      </c>
      <c r="T363" s="572">
        <f t="shared" si="232"/>
        <v>0</v>
      </c>
      <c r="U363" s="572">
        <f t="shared" si="233"/>
        <v>0</v>
      </c>
    </row>
    <row r="364" spans="1:21" ht="18.75" x14ac:dyDescent="0.25">
      <c r="A364" s="674"/>
      <c r="B364" s="561"/>
      <c r="C364" s="561"/>
      <c r="D364" s="561"/>
      <c r="E364" s="573" t="s">
        <v>21</v>
      </c>
      <c r="F364" s="561"/>
      <c r="G364" s="563"/>
      <c r="H364" s="686" t="s">
        <v>14</v>
      </c>
      <c r="I364" s="683"/>
      <c r="J364" s="683"/>
      <c r="K364" s="684"/>
      <c r="L364" s="567">
        <f ca="1">IFERROR(__xludf.DUMMYFUNCTION("IMPORTRANGE(""https://docs.google.com/spreadsheets/d/1-uDff_7J0KD5mKrp0Vvzr7lt3OU09vwQwhkpOPPYv2Y/edit?usp=sharing"",""งบพรบ!FF17"")"),0)</f>
        <v>0</v>
      </c>
      <c r="M364" s="568">
        <f ca="1">IFERROR(__xludf.DUMMYFUNCTION("IMPORTRANGE(""https://docs.google.com/spreadsheets/d/1-uDff_7J0KD5mKrp0Vvzr7lt3OU09vwQwhkpOPPYv2Y/edit?usp=sharing"",""งบพรบ!FI17"")"),0)</f>
        <v>0</v>
      </c>
      <c r="N364" s="568">
        <f ca="1">IFERROR(__xludf.DUMMYFUNCTION("IMPORTRANGE(""https://docs.google.com/spreadsheets/d/1-uDff_7J0KD5mKrp0Vvzr7lt3OU09vwQwhkpOPPYv2Y/edit?usp=sharing"",""งบพรบ!FK17"")"),0)</f>
        <v>0</v>
      </c>
      <c r="O364" s="568">
        <f t="shared" ca="1" si="229"/>
        <v>0</v>
      </c>
      <c r="P364" s="568">
        <f t="shared" ca="1" si="230"/>
        <v>0</v>
      </c>
      <c r="Q364" s="568">
        <v>0</v>
      </c>
      <c r="R364" s="568">
        <v>0</v>
      </c>
      <c r="S364" s="568">
        <v>0</v>
      </c>
      <c r="T364" s="568">
        <f t="shared" si="232"/>
        <v>0</v>
      </c>
      <c r="U364" s="568">
        <f t="shared" si="233"/>
        <v>0</v>
      </c>
    </row>
    <row r="365" spans="1:21" ht="19.5" x14ac:dyDescent="0.3">
      <c r="A365" s="769"/>
      <c r="B365" s="770"/>
      <c r="C365" s="772"/>
      <c r="D365" s="941" t="s">
        <v>149</v>
      </c>
      <c r="E365" s="772"/>
      <c r="F365" s="772"/>
      <c r="G365" s="773"/>
      <c r="H365" s="782" t="s">
        <v>35</v>
      </c>
      <c r="I365" s="775">
        <f t="shared" ref="I365:J365" ca="1" si="240">I371</f>
        <v>333</v>
      </c>
      <c r="J365" s="775">
        <f t="shared" ca="1" si="240"/>
        <v>315</v>
      </c>
      <c r="K365" s="776">
        <f ca="1">IF(I365&gt;0,J365*100/I365,0)</f>
        <v>94.594594594594597</v>
      </c>
      <c r="L365" s="777"/>
      <c r="M365" s="778"/>
      <c r="N365" s="778"/>
      <c r="O365" s="778"/>
      <c r="P365" s="778"/>
      <c r="Q365" s="778"/>
      <c r="R365" s="778"/>
      <c r="S365" s="778"/>
      <c r="T365" s="778"/>
      <c r="U365" s="778"/>
    </row>
    <row r="366" spans="1:21" ht="19.5" x14ac:dyDescent="0.3">
      <c r="A366" s="687"/>
      <c r="B366" s="688"/>
      <c r="C366" s="675" t="s">
        <v>18</v>
      </c>
      <c r="D366" s="689" t="s">
        <v>38</v>
      </c>
      <c r="E366" s="690"/>
      <c r="F366" s="690"/>
      <c r="G366" s="691"/>
      <c r="H366" s="692"/>
      <c r="I366" s="565"/>
      <c r="J366" s="565"/>
      <c r="K366" s="566"/>
      <c r="L366" s="693"/>
      <c r="M366" s="684"/>
      <c r="N366" s="684"/>
      <c r="O366" s="684"/>
      <c r="P366" s="684"/>
      <c r="Q366" s="684"/>
      <c r="R366" s="684"/>
      <c r="S366" s="684"/>
      <c r="T366" s="684"/>
      <c r="U366" s="684"/>
    </row>
    <row r="367" spans="1:21" ht="18.75" x14ac:dyDescent="0.25">
      <c r="A367" s="687"/>
      <c r="B367" s="695"/>
      <c r="C367" s="688"/>
      <c r="D367" s="695"/>
      <c r="E367" s="694" t="s">
        <v>150</v>
      </c>
      <c r="F367" s="695"/>
      <c r="G367" s="692"/>
      <c r="H367" s="704" t="s">
        <v>35</v>
      </c>
      <c r="I367" s="708">
        <v>0</v>
      </c>
      <c r="J367" s="708">
        <f ca="1">IFERROR(__xludf.DUMMYFUNCTION("IMPORTRANGE(""https://docs.google.com/spreadsheets/d/1tdoBKaGub7dwA3U6UFTqxio9LNnvDCQjHKmttSEBsFQ/edit?usp=sharing"",""จัดที่ดิน!AB17"")"),95)</f>
        <v>95</v>
      </c>
      <c r="K367" s="568">
        <f t="shared" ref="K367:K372" si="241">IF(I367&gt;0,J367*100/I367,0)</f>
        <v>0</v>
      </c>
      <c r="L367" s="693"/>
      <c r="M367" s="684"/>
      <c r="N367" s="684"/>
      <c r="O367" s="684"/>
      <c r="P367" s="684"/>
      <c r="Q367" s="684"/>
      <c r="R367" s="684"/>
      <c r="S367" s="684"/>
      <c r="T367" s="684"/>
      <c r="U367" s="684"/>
    </row>
    <row r="368" spans="1:21" ht="18.75" x14ac:dyDescent="0.25">
      <c r="A368" s="687"/>
      <c r="B368" s="695"/>
      <c r="C368" s="688"/>
      <c r="D368" s="695"/>
      <c r="E368" s="695"/>
      <c r="F368" s="695"/>
      <c r="G368" s="692"/>
      <c r="H368" s="704" t="s">
        <v>46</v>
      </c>
      <c r="I368" s="708">
        <f ca="1">IFERROR(__xludf.DUMMYFUNCTION("IMPORTRANGE(""https://docs.google.com/spreadsheets/d/1eHaY18a8A9IcSdp1K8H6x8fbOy06t2VsZHhMHf-1x7Y/edit?usp=sharing"",""แผน!EW17"")"),740)</f>
        <v>740</v>
      </c>
      <c r="J368" s="943">
        <f ca="1">IFERROR(__xludf.DUMMYFUNCTION("IMPORTRANGE(""https://docs.google.com/spreadsheets/d/1tdoBKaGub7dwA3U6UFTqxio9LNnvDCQjHKmttSEBsFQ/edit?usp=sharing"",""จัดที่ดิน!AC17"")"),700.16)</f>
        <v>700.16</v>
      </c>
      <c r="K368" s="568">
        <f t="shared" ca="1" si="241"/>
        <v>94.616216216216216</v>
      </c>
      <c r="L368" s="693"/>
      <c r="M368" s="684"/>
      <c r="N368" s="684"/>
      <c r="O368" s="684"/>
      <c r="P368" s="684"/>
      <c r="Q368" s="684"/>
      <c r="R368" s="684"/>
      <c r="S368" s="684"/>
      <c r="T368" s="684"/>
      <c r="U368" s="684"/>
    </row>
    <row r="369" spans="1:21" ht="18.75" x14ac:dyDescent="0.25">
      <c r="A369" s="687"/>
      <c r="B369" s="695"/>
      <c r="C369" s="688"/>
      <c r="D369" s="695"/>
      <c r="E369" s="694" t="s">
        <v>151</v>
      </c>
      <c r="F369" s="695"/>
      <c r="G369" s="692"/>
      <c r="H369" s="700" t="s">
        <v>35</v>
      </c>
      <c r="I369" s="708">
        <f ca="1">IFERROR(__xludf.DUMMYFUNCTION("IMPORTRANGE(""https://docs.google.com/spreadsheets/d/1eHaY18a8A9IcSdp1K8H6x8fbOy06t2VsZHhMHf-1x7Y/edit?usp=sharing"",""แผน!EX17"")"),333)</f>
        <v>333</v>
      </c>
      <c r="J369" s="708">
        <f ca="1">IFERROR(__xludf.DUMMYFUNCTION("IMPORTRANGE(""https://docs.google.com/spreadsheets/d/1tdoBKaGub7dwA3U6UFTqxio9LNnvDCQjHKmttSEBsFQ/edit?usp=sharing"",""จัดที่ดิน!AD17"")"),320)</f>
        <v>320</v>
      </c>
      <c r="K369" s="568">
        <f t="shared" ca="1" si="241"/>
        <v>96.09609609609609</v>
      </c>
      <c r="L369" s="693"/>
      <c r="M369" s="684"/>
      <c r="N369" s="684"/>
      <c r="O369" s="684"/>
      <c r="P369" s="684"/>
      <c r="Q369" s="684"/>
      <c r="R369" s="684"/>
      <c r="S369" s="684"/>
      <c r="T369" s="684"/>
      <c r="U369" s="684"/>
    </row>
    <row r="370" spans="1:21" ht="18.75" x14ac:dyDescent="0.25">
      <c r="A370" s="687"/>
      <c r="B370" s="695"/>
      <c r="C370" s="688"/>
      <c r="D370" s="695"/>
      <c r="E370" s="695"/>
      <c r="F370" s="695"/>
      <c r="G370" s="692"/>
      <c r="H370" s="700" t="s">
        <v>46</v>
      </c>
      <c r="I370" s="708">
        <v>0</v>
      </c>
      <c r="J370" s="943">
        <f ca="1">IFERROR(__xludf.DUMMYFUNCTION("IMPORTRANGE(""https://docs.google.com/spreadsheets/d/1tdoBKaGub7dwA3U6UFTqxio9LNnvDCQjHKmttSEBsFQ/edit?usp=sharing"",""จัดที่ดิน!AE17"")"),4037.58999999999)</f>
        <v>4037.5899999999901</v>
      </c>
      <c r="K370" s="568">
        <f t="shared" si="241"/>
        <v>0</v>
      </c>
      <c r="L370" s="693"/>
      <c r="M370" s="684"/>
      <c r="N370" s="684"/>
      <c r="O370" s="684"/>
      <c r="P370" s="684"/>
      <c r="Q370" s="684"/>
      <c r="R370" s="684"/>
      <c r="S370" s="684"/>
      <c r="T370" s="684"/>
      <c r="U370" s="684"/>
    </row>
    <row r="371" spans="1:21" ht="18.75" x14ac:dyDescent="0.25">
      <c r="A371" s="687"/>
      <c r="B371" s="695"/>
      <c r="C371" s="688"/>
      <c r="D371" s="695"/>
      <c r="E371" s="944" t="s">
        <v>152</v>
      </c>
      <c r="F371" s="695"/>
      <c r="G371" s="692"/>
      <c r="H371" s="700" t="s">
        <v>35</v>
      </c>
      <c r="I371" s="708">
        <f ca="1">IFERROR(__xludf.DUMMYFUNCTION("IMPORTRANGE(""https://docs.google.com/spreadsheets/d/1eHaY18a8A9IcSdp1K8H6x8fbOy06t2VsZHhMHf-1x7Y/edit?usp=sharing"",""แผน!EY17"")"),333)</f>
        <v>333</v>
      </c>
      <c r="J371" s="708">
        <f ca="1">IFERROR(__xludf.DUMMYFUNCTION("IMPORTRANGE(""https://docs.google.com/spreadsheets/d/1tdoBKaGub7dwA3U6UFTqxio9LNnvDCQjHKmttSEBsFQ/edit?usp=sharing"",""จัดที่ดิน!AF17"")"),315)</f>
        <v>315</v>
      </c>
      <c r="K371" s="568">
        <f t="shared" ca="1" si="241"/>
        <v>94.594594594594597</v>
      </c>
      <c r="L371" s="693"/>
      <c r="M371" s="684"/>
      <c r="N371" s="684"/>
      <c r="O371" s="684"/>
      <c r="P371" s="684"/>
      <c r="Q371" s="684"/>
      <c r="R371" s="684"/>
      <c r="S371" s="684"/>
      <c r="T371" s="684"/>
      <c r="U371" s="684"/>
    </row>
    <row r="372" spans="1:21" ht="18.75" x14ac:dyDescent="0.25">
      <c r="A372" s="687"/>
      <c r="B372" s="695"/>
      <c r="C372" s="688"/>
      <c r="D372" s="695"/>
      <c r="E372" s="695"/>
      <c r="F372" s="695"/>
      <c r="G372" s="692"/>
      <c r="H372" s="700" t="s">
        <v>46</v>
      </c>
      <c r="I372" s="708">
        <v>0</v>
      </c>
      <c r="J372" s="943">
        <f ca="1">IFERROR(__xludf.DUMMYFUNCTION("IMPORTRANGE(""https://docs.google.com/spreadsheets/d/1tdoBKaGub7dwA3U6UFTqxio9LNnvDCQjHKmttSEBsFQ/edit?usp=sharing"",""จัดที่ดิน!AG17"")"),3957.06)</f>
        <v>3957.06</v>
      </c>
      <c r="K372" s="568">
        <f t="shared" si="241"/>
        <v>0</v>
      </c>
      <c r="L372" s="693"/>
      <c r="M372" s="684"/>
      <c r="N372" s="684"/>
      <c r="O372" s="684"/>
      <c r="P372" s="684"/>
      <c r="Q372" s="684"/>
      <c r="R372" s="684"/>
      <c r="S372" s="684"/>
      <c r="T372" s="684"/>
      <c r="U372" s="684"/>
    </row>
    <row r="373" spans="1:21" ht="16.5" x14ac:dyDescent="0.25">
      <c r="A373" s="514"/>
      <c r="B373" s="513"/>
      <c r="C373" s="514"/>
      <c r="D373" s="9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513"/>
      <c r="F373" s="513"/>
      <c r="G373" s="577"/>
      <c r="H373" s="577"/>
      <c r="I373" s="579"/>
      <c r="J373" s="579"/>
      <c r="K373" s="580"/>
      <c r="L373" s="581"/>
      <c r="M373" s="580"/>
      <c r="N373" s="580"/>
      <c r="O373" s="580"/>
      <c r="P373" s="580"/>
      <c r="Q373" s="580"/>
      <c r="R373" s="580"/>
      <c r="S373" s="580"/>
      <c r="T373" s="580"/>
      <c r="U373" s="580"/>
    </row>
    <row r="374" spans="1:21" ht="19.5" x14ac:dyDescent="0.3">
      <c r="A374" s="946"/>
      <c r="B374" s="947" t="s">
        <v>153</v>
      </c>
      <c r="C374" s="948"/>
      <c r="D374" s="949"/>
      <c r="E374" s="950"/>
      <c r="F374" s="950"/>
      <c r="G374" s="951"/>
      <c r="H374" s="952" t="s">
        <v>46</v>
      </c>
      <c r="I374" s="953">
        <f t="shared" ref="I374:J374" ca="1" si="242">I386+I388</f>
        <v>1000</v>
      </c>
      <c r="J374" s="953">
        <f t="shared" ca="1" si="242"/>
        <v>0</v>
      </c>
      <c r="K374" s="954">
        <f ca="1">IF(I374&gt;0,J374*100/I374,0)</f>
        <v>0</v>
      </c>
      <c r="L374" s="916"/>
      <c r="M374" s="917"/>
      <c r="N374" s="917"/>
      <c r="O374" s="917"/>
      <c r="P374" s="917"/>
      <c r="Q374" s="917"/>
      <c r="R374" s="917"/>
      <c r="S374" s="917"/>
      <c r="T374" s="917"/>
      <c r="U374" s="917"/>
    </row>
    <row r="375" spans="1:21" ht="19.5" x14ac:dyDescent="0.3">
      <c r="A375" s="674"/>
      <c r="B375" s="718"/>
      <c r="C375" s="719" t="s">
        <v>18</v>
      </c>
      <c r="D375" s="955" t="s">
        <v>19</v>
      </c>
      <c r="E375" s="561"/>
      <c r="F375" s="561"/>
      <c r="G375" s="563"/>
      <c r="H375" s="677" t="s">
        <v>14</v>
      </c>
      <c r="I375" s="565"/>
      <c r="J375" s="565"/>
      <c r="K375" s="566"/>
      <c r="L375" s="678">
        <f t="shared" ref="L375:N375" ca="1" si="243">L376+L377</f>
        <v>0</v>
      </c>
      <c r="M375" s="679">
        <f t="shared" ca="1" si="243"/>
        <v>0</v>
      </c>
      <c r="N375" s="679">
        <f t="shared" ca="1" si="243"/>
        <v>0</v>
      </c>
      <c r="O375" s="679">
        <f t="shared" ref="O375:O383" ca="1" si="244">IF(L375&gt;0,N375*100/L375,0)</f>
        <v>0</v>
      </c>
      <c r="P375" s="679">
        <f t="shared" ref="P375:P383" ca="1" si="245">IF(M375&gt;0,N375*100/M375,0)</f>
        <v>0</v>
      </c>
      <c r="Q375" s="679">
        <f t="shared" ref="Q375:S375" ca="1" si="246">Q376+Q377</f>
        <v>62500</v>
      </c>
      <c r="R375" s="679">
        <f t="shared" ca="1" si="246"/>
        <v>62500</v>
      </c>
      <c r="S375" s="679">
        <f t="shared" ca="1" si="246"/>
        <v>0</v>
      </c>
      <c r="T375" s="679">
        <f t="shared" ref="T375:T383" ca="1" si="247">IF(Q375&gt;0,S375*100/Q375,0)</f>
        <v>0</v>
      </c>
      <c r="U375" s="679">
        <f t="shared" ref="U375:U383" ca="1" si="248">IF(R375&gt;0,S375*100/R375,0)</f>
        <v>0</v>
      </c>
    </row>
    <row r="376" spans="1:21" ht="18.75" x14ac:dyDescent="0.25">
      <c r="A376" s="674"/>
      <c r="B376" s="718"/>
      <c r="C376" s="718"/>
      <c r="D376" s="718"/>
      <c r="E376" s="569" t="s">
        <v>20</v>
      </c>
      <c r="F376" s="561"/>
      <c r="G376" s="563"/>
      <c r="H376" s="680" t="s">
        <v>14</v>
      </c>
      <c r="I376" s="565"/>
      <c r="J376" s="565"/>
      <c r="K376" s="566"/>
      <c r="L376" s="571">
        <f t="shared" ref="L376:N377" si="249">L379+L382</f>
        <v>0</v>
      </c>
      <c r="M376" s="572">
        <f t="shared" si="249"/>
        <v>0</v>
      </c>
      <c r="N376" s="572">
        <f t="shared" si="249"/>
        <v>0</v>
      </c>
      <c r="O376" s="572">
        <f t="shared" si="244"/>
        <v>0</v>
      </c>
      <c r="P376" s="572">
        <f t="shared" si="245"/>
        <v>0</v>
      </c>
      <c r="Q376" s="572">
        <f t="shared" ref="Q376:S377" si="250">Q379+Q382</f>
        <v>0</v>
      </c>
      <c r="R376" s="572">
        <f t="shared" si="250"/>
        <v>0</v>
      </c>
      <c r="S376" s="572">
        <f t="shared" si="250"/>
        <v>0</v>
      </c>
      <c r="T376" s="572">
        <f t="shared" si="247"/>
        <v>0</v>
      </c>
      <c r="U376" s="572">
        <f t="shared" si="248"/>
        <v>0</v>
      </c>
    </row>
    <row r="377" spans="1:21" ht="18.75" x14ac:dyDescent="0.25">
      <c r="A377" s="674"/>
      <c r="B377" s="718"/>
      <c r="C377" s="718"/>
      <c r="D377" s="718"/>
      <c r="E377" s="573" t="s">
        <v>21</v>
      </c>
      <c r="F377" s="561"/>
      <c r="G377" s="563"/>
      <c r="H377" s="681" t="s">
        <v>14</v>
      </c>
      <c r="I377" s="565"/>
      <c r="J377" s="565"/>
      <c r="K377" s="566"/>
      <c r="L377" s="567">
        <f t="shared" ca="1" si="249"/>
        <v>0</v>
      </c>
      <c r="M377" s="568">
        <f t="shared" ca="1" si="249"/>
        <v>0</v>
      </c>
      <c r="N377" s="568">
        <f t="shared" ca="1" si="249"/>
        <v>0</v>
      </c>
      <c r="O377" s="568">
        <f t="shared" ca="1" si="244"/>
        <v>0</v>
      </c>
      <c r="P377" s="568">
        <f t="shared" ca="1" si="245"/>
        <v>0</v>
      </c>
      <c r="Q377" s="568">
        <f t="shared" ca="1" si="250"/>
        <v>62500</v>
      </c>
      <c r="R377" s="568">
        <f t="shared" ca="1" si="250"/>
        <v>62500</v>
      </c>
      <c r="S377" s="568">
        <f t="shared" ca="1" si="250"/>
        <v>0</v>
      </c>
      <c r="T377" s="568">
        <f t="shared" ca="1" si="247"/>
        <v>0</v>
      </c>
      <c r="U377" s="568">
        <f t="shared" ca="1" si="248"/>
        <v>0</v>
      </c>
    </row>
    <row r="378" spans="1:21" ht="18.75" x14ac:dyDescent="0.25">
      <c r="A378" s="674"/>
      <c r="B378" s="718"/>
      <c r="C378" s="718"/>
      <c r="D378" s="721" t="s">
        <v>22</v>
      </c>
      <c r="E378" s="561"/>
      <c r="F378" s="561"/>
      <c r="G378" s="563"/>
      <c r="H378" s="682" t="s">
        <v>14</v>
      </c>
      <c r="I378" s="683"/>
      <c r="J378" s="683"/>
      <c r="K378" s="684"/>
      <c r="L378" s="567">
        <f t="shared" ref="L378:N378" ca="1" si="251">L379+L380</f>
        <v>0</v>
      </c>
      <c r="M378" s="568">
        <f t="shared" ca="1" si="251"/>
        <v>0</v>
      </c>
      <c r="N378" s="568">
        <f t="shared" ca="1" si="251"/>
        <v>0</v>
      </c>
      <c r="O378" s="568">
        <f t="shared" ca="1" si="244"/>
        <v>0</v>
      </c>
      <c r="P378" s="568">
        <f t="shared" ca="1" si="245"/>
        <v>0</v>
      </c>
      <c r="Q378" s="568">
        <f t="shared" ref="Q378:S378" ca="1" si="252">Q379+Q380</f>
        <v>62500</v>
      </c>
      <c r="R378" s="568">
        <f t="shared" ca="1" si="252"/>
        <v>62500</v>
      </c>
      <c r="S378" s="568">
        <f t="shared" ca="1" si="252"/>
        <v>0</v>
      </c>
      <c r="T378" s="568">
        <f t="shared" ca="1" si="247"/>
        <v>0</v>
      </c>
      <c r="U378" s="568">
        <f t="shared" ca="1" si="248"/>
        <v>0</v>
      </c>
    </row>
    <row r="379" spans="1:21" ht="18.75" x14ac:dyDescent="0.25">
      <c r="A379" s="674"/>
      <c r="B379" s="718"/>
      <c r="C379" s="718"/>
      <c r="D379" s="718"/>
      <c r="E379" s="569" t="s">
        <v>36</v>
      </c>
      <c r="F379" s="561"/>
      <c r="G379" s="563"/>
      <c r="H379" s="685" t="s">
        <v>14</v>
      </c>
      <c r="I379" s="683"/>
      <c r="J379" s="683"/>
      <c r="K379" s="684"/>
      <c r="L379" s="571">
        <v>0</v>
      </c>
      <c r="M379" s="572">
        <v>0</v>
      </c>
      <c r="N379" s="572">
        <v>0</v>
      </c>
      <c r="O379" s="572">
        <f t="shared" si="244"/>
        <v>0</v>
      </c>
      <c r="P379" s="572">
        <f t="shared" si="245"/>
        <v>0</v>
      </c>
      <c r="Q379" s="572">
        <v>0</v>
      </c>
      <c r="R379" s="572">
        <v>0</v>
      </c>
      <c r="S379" s="572">
        <v>0</v>
      </c>
      <c r="T379" s="572">
        <f t="shared" si="247"/>
        <v>0</v>
      </c>
      <c r="U379" s="572">
        <f t="shared" si="248"/>
        <v>0</v>
      </c>
    </row>
    <row r="380" spans="1:21" ht="18.75" x14ac:dyDescent="0.25">
      <c r="A380" s="674"/>
      <c r="B380" s="718"/>
      <c r="C380" s="718"/>
      <c r="D380" s="718"/>
      <c r="E380" s="765" t="s">
        <v>37</v>
      </c>
      <c r="F380" s="718"/>
      <c r="G380" s="727"/>
      <c r="H380" s="682" t="s">
        <v>14</v>
      </c>
      <c r="I380" s="683"/>
      <c r="J380" s="683"/>
      <c r="K380" s="684"/>
      <c r="L380" s="567">
        <f ca="1">IFERROR(__xludf.DUMMYFUNCTION("IMPORTRANGE(""https://docs.google.com/spreadsheets/d/1-uDff_7J0KD5mKrp0Vvzr7lt3OU09vwQwhkpOPPYv2Y/edit?usp=sharing"",""งบพรบ!IE17"")"),0)</f>
        <v>0</v>
      </c>
      <c r="M380" s="568">
        <f ca="1">IFERROR(__xludf.DUMMYFUNCTION("IMPORTRANGE(""https://docs.google.com/spreadsheets/d/1-uDff_7J0KD5mKrp0Vvzr7lt3OU09vwQwhkpOPPYv2Y/edit?usp=sharing"",""งบพรบ!IJ17"")"),0)</f>
        <v>0</v>
      </c>
      <c r="N380" s="568">
        <f ca="1">IFERROR(__xludf.DUMMYFUNCTION("IMPORTRANGE(""https://docs.google.com/spreadsheets/d/1-uDff_7J0KD5mKrp0Vvzr7lt3OU09vwQwhkpOPPYv2Y/edit?usp=sharing"",""งบพรบ!IL17"")"),0)</f>
        <v>0</v>
      </c>
      <c r="O380" s="568">
        <f t="shared" ca="1" si="244"/>
        <v>0</v>
      </c>
      <c r="P380" s="568">
        <f t="shared" ca="1" si="245"/>
        <v>0</v>
      </c>
      <c r="Q380" s="568">
        <f ca="1">IFERROR(__xludf.DUMMYFUNCTION("IMPORTRANGE(""https://docs.google.com/spreadsheets/d/1ItG2mGa2ceCfYo0BwxsXqNm01IGEUdYcSSLTEv9YCik/edit?usp=sharing"",""เบิกจ่ายกองทุน!BW17"")"),62500)</f>
        <v>62500</v>
      </c>
      <c r="R380" s="568">
        <f ca="1">IFERROR(__xludf.DUMMYFUNCTION("IMPORTRANGE(""https://docs.google.com/spreadsheets/d/1ItG2mGa2ceCfYo0BwxsXqNm01IGEUdYcSSLTEv9YCik/edit?usp=sharing"",""เบิกจ่ายกองทุน!BX17"")"),62500)</f>
        <v>62500</v>
      </c>
      <c r="S380" s="568">
        <f ca="1">IFERROR(__xludf.DUMMYFUNCTION("IMPORTRANGE(""https://docs.google.com/spreadsheets/d/1ItG2mGa2ceCfYo0BwxsXqNm01IGEUdYcSSLTEv9YCik/edit?usp=sharing"",""เบิกจ่ายกองทุน!BY17"")"),0)</f>
        <v>0</v>
      </c>
      <c r="T380" s="568">
        <f t="shared" ca="1" si="247"/>
        <v>0</v>
      </c>
      <c r="U380" s="568">
        <f t="shared" ca="1" si="248"/>
        <v>0</v>
      </c>
    </row>
    <row r="381" spans="1:21" ht="18.75" x14ac:dyDescent="0.25">
      <c r="A381" s="674"/>
      <c r="B381" s="718"/>
      <c r="C381" s="718"/>
      <c r="D381" s="721" t="s">
        <v>23</v>
      </c>
      <c r="E381" s="561"/>
      <c r="F381" s="561"/>
      <c r="G381" s="563"/>
      <c r="H381" s="686" t="s">
        <v>14</v>
      </c>
      <c r="I381" s="683"/>
      <c r="J381" s="683"/>
      <c r="K381" s="684"/>
      <c r="L381" s="567">
        <f t="shared" ref="L381:N381" ca="1" si="253">L382+L383</f>
        <v>0</v>
      </c>
      <c r="M381" s="568">
        <f t="shared" ca="1" si="253"/>
        <v>0</v>
      </c>
      <c r="N381" s="568">
        <f t="shared" ca="1" si="253"/>
        <v>0</v>
      </c>
      <c r="O381" s="568">
        <f t="shared" ca="1" si="244"/>
        <v>0</v>
      </c>
      <c r="P381" s="568">
        <f t="shared" ca="1" si="245"/>
        <v>0</v>
      </c>
      <c r="Q381" s="568">
        <f t="shared" ref="Q381:S381" si="254">Q382+Q383</f>
        <v>0</v>
      </c>
      <c r="R381" s="568">
        <f t="shared" si="254"/>
        <v>0</v>
      </c>
      <c r="S381" s="568">
        <f t="shared" si="254"/>
        <v>0</v>
      </c>
      <c r="T381" s="568">
        <f t="shared" si="247"/>
        <v>0</v>
      </c>
      <c r="U381" s="568">
        <f t="shared" si="248"/>
        <v>0</v>
      </c>
    </row>
    <row r="382" spans="1:21" ht="18.75" x14ac:dyDescent="0.25">
      <c r="A382" s="674"/>
      <c r="B382" s="718"/>
      <c r="C382" s="718"/>
      <c r="D382" s="718"/>
      <c r="E382" s="569" t="s">
        <v>20</v>
      </c>
      <c r="F382" s="561"/>
      <c r="G382" s="563"/>
      <c r="H382" s="685" t="s">
        <v>14</v>
      </c>
      <c r="I382" s="683"/>
      <c r="J382" s="683"/>
      <c r="K382" s="684"/>
      <c r="L382" s="571">
        <v>0</v>
      </c>
      <c r="M382" s="572">
        <v>0</v>
      </c>
      <c r="N382" s="572">
        <v>0</v>
      </c>
      <c r="O382" s="572">
        <f t="shared" si="244"/>
        <v>0</v>
      </c>
      <c r="P382" s="572">
        <f t="shared" si="245"/>
        <v>0</v>
      </c>
      <c r="Q382" s="572">
        <v>0</v>
      </c>
      <c r="R382" s="572">
        <v>0</v>
      </c>
      <c r="S382" s="572">
        <v>0</v>
      </c>
      <c r="T382" s="572">
        <f t="shared" si="247"/>
        <v>0</v>
      </c>
      <c r="U382" s="572">
        <f t="shared" si="248"/>
        <v>0</v>
      </c>
    </row>
    <row r="383" spans="1:21" ht="18.75" x14ac:dyDescent="0.25">
      <c r="A383" s="674"/>
      <c r="B383" s="718"/>
      <c r="C383" s="718"/>
      <c r="D383" s="718"/>
      <c r="E383" s="573" t="s">
        <v>21</v>
      </c>
      <c r="F383" s="561"/>
      <c r="G383" s="563"/>
      <c r="H383" s="686" t="s">
        <v>14</v>
      </c>
      <c r="I383" s="683"/>
      <c r="J383" s="683"/>
      <c r="K383" s="684"/>
      <c r="L383" s="567">
        <f ca="1">IFERROR(__xludf.DUMMYFUNCTION("IMPORTRANGE(""https://docs.google.com/spreadsheets/d/1-uDff_7J0KD5mKrp0Vvzr7lt3OU09vwQwhkpOPPYv2Y/edit?usp=sharing"",""งบพรบ!IH17"")"),0)</f>
        <v>0</v>
      </c>
      <c r="M383" s="568">
        <f ca="1">IFERROR(__xludf.DUMMYFUNCTION("IMPORTRANGE(""https://docs.google.com/spreadsheets/d/1-uDff_7J0KD5mKrp0Vvzr7lt3OU09vwQwhkpOPPYv2Y/edit?usp=sharing"",""งบพรบ!IK17"")"),0)</f>
        <v>0</v>
      </c>
      <c r="N383" s="568">
        <f ca="1">IFERROR(__xludf.DUMMYFUNCTION("IMPORTRANGE(""https://docs.google.com/spreadsheets/d/1-uDff_7J0KD5mKrp0Vvzr7lt3OU09vwQwhkpOPPYv2Y/edit?usp=sharing"",""งบพรบ!IM17"")"),0)</f>
        <v>0</v>
      </c>
      <c r="O383" s="568">
        <f t="shared" ca="1" si="244"/>
        <v>0</v>
      </c>
      <c r="P383" s="568">
        <f t="shared" ca="1" si="245"/>
        <v>0</v>
      </c>
      <c r="Q383" s="568">
        <v>0</v>
      </c>
      <c r="R383" s="568">
        <v>0</v>
      </c>
      <c r="S383" s="568">
        <v>0</v>
      </c>
      <c r="T383" s="568">
        <f t="shared" si="247"/>
        <v>0</v>
      </c>
      <c r="U383" s="568">
        <f t="shared" si="248"/>
        <v>0</v>
      </c>
    </row>
    <row r="384" spans="1:21" ht="19.5" x14ac:dyDescent="0.3">
      <c r="A384" s="687"/>
      <c r="B384" s="688"/>
      <c r="C384" s="719" t="s">
        <v>18</v>
      </c>
      <c r="D384" s="956" t="s">
        <v>38</v>
      </c>
      <c r="E384" s="690"/>
      <c r="F384" s="690"/>
      <c r="G384" s="691"/>
      <c r="H384" s="725"/>
      <c r="I384" s="683"/>
      <c r="J384" s="565"/>
      <c r="K384" s="566"/>
      <c r="L384" s="574"/>
      <c r="M384" s="566"/>
      <c r="N384" s="566"/>
      <c r="O384" s="684"/>
      <c r="P384" s="684"/>
      <c r="Q384" s="566"/>
      <c r="R384" s="566"/>
      <c r="S384" s="566"/>
      <c r="T384" s="684"/>
      <c r="U384" s="684"/>
    </row>
    <row r="385" spans="1:21" ht="18.75" x14ac:dyDescent="0.25">
      <c r="A385" s="764"/>
      <c r="B385" s="718"/>
      <c r="C385" s="718"/>
      <c r="D385" s="718"/>
      <c r="E385" s="573" t="s">
        <v>154</v>
      </c>
      <c r="F385" s="561"/>
      <c r="G385" s="563"/>
      <c r="H385" s="681" t="s">
        <v>34</v>
      </c>
      <c r="I385" s="708">
        <v>0</v>
      </c>
      <c r="J385" s="708">
        <f ca="1">IFERROR(__xludf.DUMMYFUNCTION("IMPORTRANGE(""https://docs.google.com/spreadsheets/d/1w5rwWK1o49a35cNtocGL0gxDwhFSTZUQu90BiH9_zqM/edit?usp=sharing"",""RTK!H17"")"),0)</f>
        <v>0</v>
      </c>
      <c r="K385" s="568">
        <f t="shared" ref="K385:K388" si="255">IF(I385&gt;0,J385*100/I385,0)</f>
        <v>0</v>
      </c>
      <c r="L385" s="574"/>
      <c r="M385" s="566"/>
      <c r="N385" s="566"/>
      <c r="O385" s="566"/>
      <c r="P385" s="566"/>
      <c r="Q385" s="566"/>
      <c r="R385" s="566"/>
      <c r="S385" s="566"/>
      <c r="T385" s="566"/>
      <c r="U385" s="566"/>
    </row>
    <row r="386" spans="1:21" ht="18.75" x14ac:dyDescent="0.25">
      <c r="A386" s="718"/>
      <c r="B386" s="718"/>
      <c r="C386" s="718"/>
      <c r="D386" s="718"/>
      <c r="E386" s="718"/>
      <c r="F386" s="718"/>
      <c r="G386" s="727"/>
      <c r="H386" s="681" t="s">
        <v>46</v>
      </c>
      <c r="I386" s="708">
        <f ca="1">IFERROR(__xludf.DUMMYFUNCTION("IMPORTRANGE(""https://docs.google.com/spreadsheets/d/1w5rwWK1o49a35cNtocGL0gxDwhFSTZUQu90BiH9_zqM/edit?usp=sharing"",""RTK!G17"")"),1000)</f>
        <v>1000</v>
      </c>
      <c r="J386" s="708">
        <f ca="1">IFERROR(__xludf.DUMMYFUNCTION("IMPORTRANGE(""https://docs.google.com/spreadsheets/d/1w5rwWK1o49a35cNtocGL0gxDwhFSTZUQu90BiH9_zqM/edit?usp=sharing"",""RTK!I17"")"),0)</f>
        <v>0</v>
      </c>
      <c r="K386" s="568">
        <f t="shared" ca="1" si="255"/>
        <v>0</v>
      </c>
      <c r="L386" s="574"/>
      <c r="M386" s="566"/>
      <c r="N386" s="566"/>
      <c r="O386" s="566"/>
      <c r="P386" s="566"/>
      <c r="Q386" s="566"/>
      <c r="R386" s="566"/>
      <c r="S386" s="566"/>
      <c r="T386" s="566"/>
      <c r="U386" s="566"/>
    </row>
    <row r="387" spans="1:21" ht="18.75" x14ac:dyDescent="0.25">
      <c r="A387" s="957"/>
      <c r="B387" s="957"/>
      <c r="C387" s="957"/>
      <c r="D387" s="957"/>
      <c r="E387" s="958" t="s">
        <v>155</v>
      </c>
      <c r="F387" s="957"/>
      <c r="G387" s="959"/>
      <c r="H387" s="839" t="s">
        <v>34</v>
      </c>
      <c r="I387" s="960">
        <v>0</v>
      </c>
      <c r="J387" s="960">
        <f ca="1">IFERROR(__xludf.DUMMYFUNCTION("IMPORTRANGE(""https://docs.google.com/spreadsheets/d/1w5rwWK1o49a35cNtocGL0gxDwhFSTZUQu90BiH9_zqM/edit?usp=sharing"",""RTK!L17"")"),0)</f>
        <v>0</v>
      </c>
      <c r="K387" s="841">
        <f t="shared" si="255"/>
        <v>0</v>
      </c>
      <c r="L387" s="1106"/>
      <c r="M387" s="830"/>
      <c r="N387" s="830"/>
      <c r="O387" s="830"/>
      <c r="P387" s="830"/>
      <c r="Q387" s="830"/>
      <c r="R387" s="830"/>
      <c r="S387" s="830"/>
      <c r="T387" s="830"/>
      <c r="U387" s="830"/>
    </row>
    <row r="388" spans="1:21" ht="18.75" x14ac:dyDescent="0.25">
      <c r="A388" s="957"/>
      <c r="B388" s="957"/>
      <c r="C388" s="957"/>
      <c r="D388" s="957"/>
      <c r="E388" s="957"/>
      <c r="F388" s="957"/>
      <c r="G388" s="959"/>
      <c r="H388" s="839" t="s">
        <v>46</v>
      </c>
      <c r="I388" s="960">
        <f ca="1">IFERROR(__xludf.DUMMYFUNCTION("IMPORTRANGE(""https://docs.google.com/spreadsheets/d/1w5rwWK1o49a35cNtocGL0gxDwhFSTZUQu90BiH9_zqM/edit?usp=sharing"",""RTK!K17"")"),0)</f>
        <v>0</v>
      </c>
      <c r="J388" s="960">
        <f ca="1">IFERROR(__xludf.DUMMYFUNCTION("IMPORTRANGE(""https://docs.google.com/spreadsheets/d/1w5rwWK1o49a35cNtocGL0gxDwhFSTZUQu90BiH9_zqM/edit?usp=sharing"",""RTK!M17"")"),0)</f>
        <v>0</v>
      </c>
      <c r="K388" s="841">
        <f t="shared" ca="1" si="255"/>
        <v>0</v>
      </c>
      <c r="L388" s="1106"/>
      <c r="M388" s="830"/>
      <c r="N388" s="830"/>
      <c r="O388" s="830"/>
      <c r="P388" s="830"/>
      <c r="Q388" s="830"/>
      <c r="R388" s="830"/>
      <c r="S388" s="830"/>
      <c r="T388" s="830"/>
      <c r="U388" s="830"/>
    </row>
    <row r="389" spans="1:21" ht="12.75" hidden="1" x14ac:dyDescent="0.2">
      <c r="A389" s="961"/>
      <c r="B389" s="961"/>
      <c r="C389" s="961"/>
      <c r="D389" s="961"/>
      <c r="E389" s="961"/>
      <c r="F389" s="961"/>
      <c r="G389" s="962"/>
      <c r="H389" s="962"/>
      <c r="I389" s="963"/>
      <c r="J389" s="963"/>
      <c r="K389" s="964"/>
      <c r="L389" s="965"/>
      <c r="M389" s="964"/>
      <c r="N389" s="964"/>
      <c r="O389" s="964"/>
      <c r="P389" s="964"/>
      <c r="Q389" s="964"/>
      <c r="R389" s="964"/>
      <c r="S389" s="964"/>
      <c r="T389" s="964"/>
      <c r="U389" s="964"/>
    </row>
    <row r="390" spans="1:21" ht="12.75" hidden="1" x14ac:dyDescent="0.2">
      <c r="A390" s="966"/>
      <c r="B390" s="966"/>
      <c r="C390" s="966"/>
      <c r="D390" s="966"/>
      <c r="E390" s="966"/>
      <c r="F390" s="966"/>
      <c r="G390" s="967"/>
      <c r="H390" s="967"/>
      <c r="I390" s="968"/>
      <c r="J390" s="968"/>
      <c r="K390" s="969"/>
      <c r="L390" s="970"/>
      <c r="M390" s="969"/>
      <c r="N390" s="969"/>
      <c r="O390" s="969"/>
      <c r="P390" s="969"/>
      <c r="Q390" s="969"/>
      <c r="R390" s="969"/>
      <c r="S390" s="969"/>
      <c r="T390" s="969"/>
      <c r="U390" s="969"/>
    </row>
    <row r="391" spans="1:21" ht="19.5" hidden="1" x14ac:dyDescent="0.3">
      <c r="A391" s="926"/>
      <c r="B391" s="971" t="s">
        <v>156</v>
      </c>
      <c r="C391" s="927"/>
      <c r="D391" s="928"/>
      <c r="E391" s="911"/>
      <c r="F391" s="911"/>
      <c r="G391" s="912"/>
      <c r="H391" s="972" t="s">
        <v>61</v>
      </c>
      <c r="I391" s="942">
        <f t="shared" ref="I391:J391" si="256">I402</f>
        <v>0</v>
      </c>
      <c r="J391" s="942">
        <f t="shared" si="256"/>
        <v>0</v>
      </c>
      <c r="K391" s="915">
        <f>IF(I391&gt;0,J391*100/I391,0)</f>
        <v>0</v>
      </c>
      <c r="L391" s="916"/>
      <c r="M391" s="917"/>
      <c r="N391" s="917"/>
      <c r="O391" s="917"/>
      <c r="P391" s="917"/>
      <c r="Q391" s="917"/>
      <c r="R391" s="917"/>
      <c r="S391" s="917"/>
      <c r="T391" s="917"/>
      <c r="U391" s="917"/>
    </row>
    <row r="392" spans="1:21" ht="19.5" hidden="1" x14ac:dyDescent="0.3">
      <c r="A392" s="674"/>
      <c r="B392" s="718"/>
      <c r="C392" s="719" t="s">
        <v>18</v>
      </c>
      <c r="D392" s="955" t="s">
        <v>19</v>
      </c>
      <c r="E392" s="561"/>
      <c r="F392" s="561"/>
      <c r="G392" s="563"/>
      <c r="H392" s="677" t="s">
        <v>14</v>
      </c>
      <c r="I392" s="565"/>
      <c r="J392" s="565"/>
      <c r="K392" s="566"/>
      <c r="L392" s="678">
        <f t="shared" ref="L392:N392" si="257">L393+L394</f>
        <v>0</v>
      </c>
      <c r="M392" s="679">
        <f t="shared" si="257"/>
        <v>0</v>
      </c>
      <c r="N392" s="679">
        <f t="shared" si="257"/>
        <v>0</v>
      </c>
      <c r="O392" s="679">
        <f t="shared" ref="O392:O400" si="258">IF(L392&gt;0,N392*100/L392,0)</f>
        <v>0</v>
      </c>
      <c r="P392" s="679">
        <f t="shared" ref="P392:P400" si="259">IF(M392&gt;0,N392*100/M392,0)</f>
        <v>0</v>
      </c>
      <c r="Q392" s="679">
        <f t="shared" ref="Q392:S392" ca="1" si="260">Q393+Q394</f>
        <v>0</v>
      </c>
      <c r="R392" s="679">
        <f t="shared" ca="1" si="260"/>
        <v>0</v>
      </c>
      <c r="S392" s="679">
        <f t="shared" ca="1" si="260"/>
        <v>0</v>
      </c>
      <c r="T392" s="679">
        <f t="shared" ref="T392:T400" ca="1" si="261">IF(Q392&gt;0,S392*100/Q392,0)</f>
        <v>0</v>
      </c>
      <c r="U392" s="679">
        <f t="shared" ref="U392:U400" ca="1" si="262">IF(R392&gt;0,S392*100/R392,0)</f>
        <v>0</v>
      </c>
    </row>
    <row r="393" spans="1:21" ht="18.75" hidden="1" x14ac:dyDescent="0.25">
      <c r="A393" s="674"/>
      <c r="B393" s="718"/>
      <c r="C393" s="718"/>
      <c r="D393" s="718"/>
      <c r="E393" s="569" t="s">
        <v>20</v>
      </c>
      <c r="F393" s="561"/>
      <c r="G393" s="563"/>
      <c r="H393" s="680" t="s">
        <v>14</v>
      </c>
      <c r="I393" s="565"/>
      <c r="J393" s="565"/>
      <c r="K393" s="566"/>
      <c r="L393" s="571">
        <f t="shared" ref="L393:N394" si="263">L396+L399</f>
        <v>0</v>
      </c>
      <c r="M393" s="572">
        <f t="shared" si="263"/>
        <v>0</v>
      </c>
      <c r="N393" s="572">
        <f t="shared" si="263"/>
        <v>0</v>
      </c>
      <c r="O393" s="572">
        <f t="shared" si="258"/>
        <v>0</v>
      </c>
      <c r="P393" s="572">
        <f t="shared" si="259"/>
        <v>0</v>
      </c>
      <c r="Q393" s="572">
        <f t="shared" ref="Q393:S394" si="264">Q396+Q399</f>
        <v>0</v>
      </c>
      <c r="R393" s="572">
        <f t="shared" si="264"/>
        <v>0</v>
      </c>
      <c r="S393" s="572">
        <f t="shared" si="264"/>
        <v>0</v>
      </c>
      <c r="T393" s="572">
        <f t="shared" si="261"/>
        <v>0</v>
      </c>
      <c r="U393" s="572">
        <f t="shared" si="262"/>
        <v>0</v>
      </c>
    </row>
    <row r="394" spans="1:21" ht="18.75" hidden="1" x14ac:dyDescent="0.25">
      <c r="A394" s="674"/>
      <c r="B394" s="718"/>
      <c r="C394" s="718"/>
      <c r="D394" s="718"/>
      <c r="E394" s="573" t="s">
        <v>21</v>
      </c>
      <c r="F394" s="561"/>
      <c r="G394" s="563"/>
      <c r="H394" s="681" t="s">
        <v>14</v>
      </c>
      <c r="I394" s="565"/>
      <c r="J394" s="565"/>
      <c r="K394" s="566"/>
      <c r="L394" s="567">
        <f t="shared" si="263"/>
        <v>0</v>
      </c>
      <c r="M394" s="568">
        <f t="shared" si="263"/>
        <v>0</v>
      </c>
      <c r="N394" s="568">
        <f t="shared" si="263"/>
        <v>0</v>
      </c>
      <c r="O394" s="568">
        <f t="shared" si="258"/>
        <v>0</v>
      </c>
      <c r="P394" s="568">
        <f t="shared" si="259"/>
        <v>0</v>
      </c>
      <c r="Q394" s="568">
        <f t="shared" ca="1" si="264"/>
        <v>0</v>
      </c>
      <c r="R394" s="568">
        <f t="shared" ca="1" si="264"/>
        <v>0</v>
      </c>
      <c r="S394" s="568">
        <f t="shared" ca="1" si="264"/>
        <v>0</v>
      </c>
      <c r="T394" s="568">
        <f t="shared" ca="1" si="261"/>
        <v>0</v>
      </c>
      <c r="U394" s="568">
        <f t="shared" ca="1" si="262"/>
        <v>0</v>
      </c>
    </row>
    <row r="395" spans="1:21" ht="18.75" hidden="1" x14ac:dyDescent="0.25">
      <c r="A395" s="674"/>
      <c r="B395" s="718"/>
      <c r="C395" s="718"/>
      <c r="D395" s="721" t="s">
        <v>22</v>
      </c>
      <c r="E395" s="561"/>
      <c r="F395" s="561"/>
      <c r="G395" s="563"/>
      <c r="H395" s="682" t="s">
        <v>14</v>
      </c>
      <c r="I395" s="683"/>
      <c r="J395" s="683"/>
      <c r="K395" s="684"/>
      <c r="L395" s="567">
        <f t="shared" ref="L395:N395" si="265">L396+L397</f>
        <v>0</v>
      </c>
      <c r="M395" s="568">
        <f t="shared" si="265"/>
        <v>0</v>
      </c>
      <c r="N395" s="568">
        <f t="shared" si="265"/>
        <v>0</v>
      </c>
      <c r="O395" s="568">
        <f t="shared" si="258"/>
        <v>0</v>
      </c>
      <c r="P395" s="568">
        <f t="shared" si="259"/>
        <v>0</v>
      </c>
      <c r="Q395" s="568">
        <f t="shared" ref="Q395:S395" ca="1" si="266">Q396+Q397</f>
        <v>0</v>
      </c>
      <c r="R395" s="568">
        <f t="shared" ca="1" si="266"/>
        <v>0</v>
      </c>
      <c r="S395" s="568">
        <f t="shared" ca="1" si="266"/>
        <v>0</v>
      </c>
      <c r="T395" s="568">
        <f t="shared" ca="1" si="261"/>
        <v>0</v>
      </c>
      <c r="U395" s="568">
        <f t="shared" ca="1" si="262"/>
        <v>0</v>
      </c>
    </row>
    <row r="396" spans="1:21" ht="18.75" hidden="1" x14ac:dyDescent="0.25">
      <c r="A396" s="674"/>
      <c r="B396" s="718"/>
      <c r="C396" s="718"/>
      <c r="D396" s="718"/>
      <c r="E396" s="569" t="s">
        <v>36</v>
      </c>
      <c r="F396" s="561"/>
      <c r="G396" s="563"/>
      <c r="H396" s="685" t="s">
        <v>14</v>
      </c>
      <c r="I396" s="683"/>
      <c r="J396" s="683"/>
      <c r="K396" s="684"/>
      <c r="L396" s="571">
        <v>0</v>
      </c>
      <c r="M396" s="572">
        <v>0</v>
      </c>
      <c r="N396" s="572">
        <v>0</v>
      </c>
      <c r="O396" s="572">
        <f t="shared" si="258"/>
        <v>0</v>
      </c>
      <c r="P396" s="572">
        <f t="shared" si="259"/>
        <v>0</v>
      </c>
      <c r="Q396" s="572">
        <v>0</v>
      </c>
      <c r="R396" s="572">
        <v>0</v>
      </c>
      <c r="S396" s="572">
        <v>0</v>
      </c>
      <c r="T396" s="572">
        <f t="shared" si="261"/>
        <v>0</v>
      </c>
      <c r="U396" s="572">
        <f t="shared" si="262"/>
        <v>0</v>
      </c>
    </row>
    <row r="397" spans="1:21" ht="18.75" hidden="1" x14ac:dyDescent="0.25">
      <c r="A397" s="674"/>
      <c r="B397" s="718"/>
      <c r="C397" s="718"/>
      <c r="D397" s="718"/>
      <c r="E397" s="765" t="s">
        <v>37</v>
      </c>
      <c r="F397" s="718"/>
      <c r="G397" s="727"/>
      <c r="H397" s="682" t="s">
        <v>14</v>
      </c>
      <c r="I397" s="683"/>
      <c r="J397" s="683"/>
      <c r="K397" s="684"/>
      <c r="L397" s="567">
        <v>0</v>
      </c>
      <c r="M397" s="568">
        <v>0</v>
      </c>
      <c r="N397" s="568">
        <v>0</v>
      </c>
      <c r="O397" s="568">
        <f t="shared" si="258"/>
        <v>0</v>
      </c>
      <c r="P397" s="568">
        <f t="shared" si="259"/>
        <v>0</v>
      </c>
      <c r="Q397" s="568">
        <f ca="1">IFERROR(__xludf.DUMMYFUNCTION("IMPORTRANGE(""https://docs.google.com/spreadsheets/d/1ItG2mGa2ceCfYo0BwxsXqNm01IGEUdYcSSLTEv9YCik/edit?usp=sharing"",""เบิกจ่ายกองทุน!CL17"")"),0)</f>
        <v>0</v>
      </c>
      <c r="R397" s="568">
        <f ca="1">IFERROR(__xludf.DUMMYFUNCTION("IMPORTRANGE(""https://docs.google.com/spreadsheets/d/1ItG2mGa2ceCfYo0BwxsXqNm01IGEUdYcSSLTEv9YCik/edit?usp=sharing"",""เบิกจ่ายกองทุน!CM17"")"),0)</f>
        <v>0</v>
      </c>
      <c r="S397" s="568">
        <f ca="1">IFERROR(__xludf.DUMMYFUNCTION("IMPORTRANGE(""https://docs.google.com/spreadsheets/d/1ItG2mGa2ceCfYo0BwxsXqNm01IGEUdYcSSLTEv9YCik/edit?usp=sharing"",""เบิกจ่ายกองทุน!CN17"")"),0)</f>
        <v>0</v>
      </c>
      <c r="T397" s="568">
        <f t="shared" ca="1" si="261"/>
        <v>0</v>
      </c>
      <c r="U397" s="568">
        <f t="shared" ca="1" si="262"/>
        <v>0</v>
      </c>
    </row>
    <row r="398" spans="1:21" ht="18.75" hidden="1" x14ac:dyDescent="0.25">
      <c r="A398" s="674"/>
      <c r="B398" s="718"/>
      <c r="C398" s="718"/>
      <c r="D398" s="721" t="s">
        <v>23</v>
      </c>
      <c r="E398" s="561"/>
      <c r="F398" s="561"/>
      <c r="G398" s="563"/>
      <c r="H398" s="686" t="s">
        <v>14</v>
      </c>
      <c r="I398" s="683"/>
      <c r="J398" s="683"/>
      <c r="K398" s="684"/>
      <c r="L398" s="567">
        <f t="shared" ref="L398:N398" si="267">L399+L400</f>
        <v>0</v>
      </c>
      <c r="M398" s="568">
        <f t="shared" si="267"/>
        <v>0</v>
      </c>
      <c r="N398" s="568">
        <f t="shared" si="267"/>
        <v>0</v>
      </c>
      <c r="O398" s="568">
        <f t="shared" si="258"/>
        <v>0</v>
      </c>
      <c r="P398" s="568">
        <f t="shared" si="259"/>
        <v>0</v>
      </c>
      <c r="Q398" s="568">
        <f t="shared" ref="Q398:S398" si="268">Q399+Q400</f>
        <v>0</v>
      </c>
      <c r="R398" s="568">
        <f t="shared" si="268"/>
        <v>0</v>
      </c>
      <c r="S398" s="568">
        <f t="shared" si="268"/>
        <v>0</v>
      </c>
      <c r="T398" s="568">
        <f t="shared" si="261"/>
        <v>0</v>
      </c>
      <c r="U398" s="568">
        <f t="shared" si="262"/>
        <v>0</v>
      </c>
    </row>
    <row r="399" spans="1:21" ht="18.75" hidden="1" x14ac:dyDescent="0.25">
      <c r="A399" s="674"/>
      <c r="B399" s="718"/>
      <c r="C399" s="718"/>
      <c r="D399" s="718"/>
      <c r="E399" s="569" t="s">
        <v>20</v>
      </c>
      <c r="F399" s="561"/>
      <c r="G399" s="563"/>
      <c r="H399" s="685" t="s">
        <v>14</v>
      </c>
      <c r="I399" s="683"/>
      <c r="J399" s="683"/>
      <c r="K399" s="684"/>
      <c r="L399" s="571">
        <v>0</v>
      </c>
      <c r="M399" s="572">
        <v>0</v>
      </c>
      <c r="N399" s="572">
        <v>0</v>
      </c>
      <c r="O399" s="572">
        <f t="shared" si="258"/>
        <v>0</v>
      </c>
      <c r="P399" s="572">
        <f t="shared" si="259"/>
        <v>0</v>
      </c>
      <c r="Q399" s="572">
        <v>0</v>
      </c>
      <c r="R399" s="572">
        <v>0</v>
      </c>
      <c r="S399" s="572">
        <v>0</v>
      </c>
      <c r="T399" s="572">
        <f t="shared" si="261"/>
        <v>0</v>
      </c>
      <c r="U399" s="572">
        <f t="shared" si="262"/>
        <v>0</v>
      </c>
    </row>
    <row r="400" spans="1:21" ht="18.75" hidden="1" x14ac:dyDescent="0.25">
      <c r="A400" s="674"/>
      <c r="B400" s="718"/>
      <c r="C400" s="718"/>
      <c r="D400" s="718"/>
      <c r="E400" s="573" t="s">
        <v>21</v>
      </c>
      <c r="F400" s="561"/>
      <c r="G400" s="563"/>
      <c r="H400" s="686" t="s">
        <v>14</v>
      </c>
      <c r="I400" s="683"/>
      <c r="J400" s="683"/>
      <c r="K400" s="684"/>
      <c r="L400" s="567">
        <v>0</v>
      </c>
      <c r="M400" s="568">
        <v>0</v>
      </c>
      <c r="N400" s="568">
        <v>0</v>
      </c>
      <c r="O400" s="568">
        <f t="shared" si="258"/>
        <v>0</v>
      </c>
      <c r="P400" s="568">
        <f t="shared" si="259"/>
        <v>0</v>
      </c>
      <c r="Q400" s="568">
        <v>0</v>
      </c>
      <c r="R400" s="568">
        <v>0</v>
      </c>
      <c r="S400" s="568">
        <v>0</v>
      </c>
      <c r="T400" s="568">
        <f t="shared" si="261"/>
        <v>0</v>
      </c>
      <c r="U400" s="568">
        <f t="shared" si="262"/>
        <v>0</v>
      </c>
    </row>
    <row r="401" spans="1:21" ht="19.5" hidden="1" x14ac:dyDescent="0.3">
      <c r="A401" s="687"/>
      <c r="B401" s="688"/>
      <c r="C401" s="719" t="s">
        <v>18</v>
      </c>
      <c r="D401" s="956" t="s">
        <v>38</v>
      </c>
      <c r="E401" s="690"/>
      <c r="F401" s="690"/>
      <c r="G401" s="691"/>
      <c r="H401" s="725"/>
      <c r="I401" s="683"/>
      <c r="J401" s="565"/>
      <c r="K401" s="566"/>
      <c r="L401" s="574"/>
      <c r="M401" s="566"/>
      <c r="N401" s="566"/>
      <c r="O401" s="684"/>
      <c r="P401" s="684"/>
      <c r="Q401" s="566"/>
      <c r="R401" s="566"/>
      <c r="S401" s="566"/>
      <c r="T401" s="684"/>
      <c r="U401" s="684"/>
    </row>
    <row r="402" spans="1:21" ht="12.75" hidden="1" x14ac:dyDescent="0.2">
      <c r="A402" s="973"/>
      <c r="B402" s="961"/>
      <c r="C402" s="961"/>
      <c r="D402" s="961"/>
      <c r="E402" s="974"/>
      <c r="F402" s="974"/>
      <c r="G402" s="975"/>
      <c r="H402" s="962"/>
      <c r="I402" s="963"/>
      <c r="J402" s="963"/>
      <c r="K402" s="964"/>
      <c r="L402" s="965"/>
      <c r="M402" s="964"/>
      <c r="N402" s="964"/>
      <c r="O402" s="964"/>
      <c r="P402" s="964"/>
      <c r="Q402" s="964"/>
      <c r="R402" s="964"/>
      <c r="S402" s="964"/>
      <c r="T402" s="964"/>
      <c r="U402" s="964"/>
    </row>
    <row r="403" spans="1:21" ht="12.75" hidden="1" x14ac:dyDescent="0.2">
      <c r="A403" s="961"/>
      <c r="B403" s="961"/>
      <c r="C403" s="961"/>
      <c r="D403" s="961"/>
      <c r="E403" s="961"/>
      <c r="F403" s="961"/>
      <c r="G403" s="962"/>
      <c r="H403" s="962"/>
      <c r="I403" s="963"/>
      <c r="J403" s="963"/>
      <c r="K403" s="964"/>
      <c r="L403" s="965"/>
      <c r="M403" s="964"/>
      <c r="N403" s="964"/>
      <c r="O403" s="964"/>
      <c r="P403" s="964"/>
      <c r="Q403" s="964"/>
      <c r="R403" s="964"/>
      <c r="S403" s="964"/>
      <c r="T403" s="964"/>
      <c r="U403" s="964"/>
    </row>
    <row r="404" spans="1:21" ht="12.75" hidden="1" x14ac:dyDescent="0.2">
      <c r="A404" s="961"/>
      <c r="B404" s="961"/>
      <c r="C404" s="961"/>
      <c r="D404" s="961"/>
      <c r="E404" s="961"/>
      <c r="F404" s="961"/>
      <c r="G404" s="962"/>
      <c r="H404" s="962"/>
      <c r="I404" s="963"/>
      <c r="J404" s="963"/>
      <c r="K404" s="964"/>
      <c r="L404" s="965"/>
      <c r="M404" s="964"/>
      <c r="N404" s="964"/>
      <c r="O404" s="964"/>
      <c r="P404" s="964"/>
      <c r="Q404" s="964"/>
      <c r="R404" s="964"/>
      <c r="S404" s="964"/>
      <c r="T404" s="964"/>
      <c r="U404" s="964"/>
    </row>
    <row r="405" spans="1:21" ht="12.75" hidden="1" x14ac:dyDescent="0.2">
      <c r="A405" s="961"/>
      <c r="B405" s="961"/>
      <c r="C405" s="961"/>
      <c r="D405" s="961"/>
      <c r="E405" s="961"/>
      <c r="F405" s="961"/>
      <c r="G405" s="962"/>
      <c r="H405" s="962"/>
      <c r="I405" s="963"/>
      <c r="J405" s="963"/>
      <c r="K405" s="964"/>
      <c r="L405" s="965"/>
      <c r="M405" s="964"/>
      <c r="N405" s="964"/>
      <c r="O405" s="964"/>
      <c r="P405" s="964"/>
      <c r="Q405" s="964"/>
      <c r="R405" s="964"/>
      <c r="S405" s="964"/>
      <c r="T405" s="964"/>
      <c r="U405" s="964"/>
    </row>
    <row r="406" spans="1:21" ht="12.75" hidden="1" x14ac:dyDescent="0.2">
      <c r="A406" s="961"/>
      <c r="B406" s="961"/>
      <c r="C406" s="961"/>
      <c r="D406" s="961"/>
      <c r="E406" s="961"/>
      <c r="F406" s="961"/>
      <c r="G406" s="962"/>
      <c r="H406" s="962"/>
      <c r="I406" s="963"/>
      <c r="J406" s="963"/>
      <c r="K406" s="964"/>
      <c r="L406" s="965"/>
      <c r="M406" s="964"/>
      <c r="N406" s="964"/>
      <c r="O406" s="964"/>
      <c r="P406" s="964"/>
      <c r="Q406" s="964"/>
      <c r="R406" s="964"/>
      <c r="S406" s="964"/>
      <c r="T406" s="964"/>
      <c r="U406" s="964"/>
    </row>
    <row r="407" spans="1:21" ht="12.75" hidden="1" x14ac:dyDescent="0.2">
      <c r="A407" s="961"/>
      <c r="B407" s="961"/>
      <c r="C407" s="961"/>
      <c r="D407" s="961"/>
      <c r="E407" s="961"/>
      <c r="F407" s="961"/>
      <c r="G407" s="962"/>
      <c r="H407" s="962"/>
      <c r="I407" s="963"/>
      <c r="J407" s="963"/>
      <c r="K407" s="964"/>
      <c r="L407" s="965"/>
      <c r="M407" s="964"/>
      <c r="N407" s="964"/>
      <c r="O407" s="964"/>
      <c r="P407" s="964"/>
      <c r="Q407" s="964"/>
      <c r="R407" s="964"/>
      <c r="S407" s="964"/>
      <c r="T407" s="964"/>
      <c r="U407" s="964"/>
    </row>
    <row r="408" spans="1:21" ht="12.75" hidden="1" x14ac:dyDescent="0.2">
      <c r="A408" s="961"/>
      <c r="B408" s="961"/>
      <c r="C408" s="961"/>
      <c r="D408" s="961"/>
      <c r="E408" s="961"/>
      <c r="F408" s="961"/>
      <c r="G408" s="962"/>
      <c r="H408" s="962"/>
      <c r="I408" s="963"/>
      <c r="J408" s="963"/>
      <c r="K408" s="964"/>
      <c r="L408" s="965"/>
      <c r="M408" s="964"/>
      <c r="N408" s="964"/>
      <c r="O408" s="964"/>
      <c r="P408" s="964"/>
      <c r="Q408" s="964"/>
      <c r="R408" s="964"/>
      <c r="S408" s="964"/>
      <c r="T408" s="964"/>
      <c r="U408" s="964"/>
    </row>
    <row r="409" spans="1:21" ht="12.75" hidden="1" x14ac:dyDescent="0.2">
      <c r="A409" s="961"/>
      <c r="B409" s="961"/>
      <c r="C409" s="961"/>
      <c r="D409" s="961"/>
      <c r="E409" s="961"/>
      <c r="F409" s="961"/>
      <c r="G409" s="962"/>
      <c r="H409" s="962"/>
      <c r="I409" s="963"/>
      <c r="J409" s="963"/>
      <c r="K409" s="964"/>
      <c r="L409" s="965"/>
      <c r="M409" s="964"/>
      <c r="N409" s="964"/>
      <c r="O409" s="964"/>
      <c r="P409" s="964"/>
      <c r="Q409" s="964"/>
      <c r="R409" s="964"/>
      <c r="S409" s="964"/>
      <c r="T409" s="964"/>
      <c r="U409" s="964"/>
    </row>
    <row r="410" spans="1:21" ht="12.75" hidden="1" x14ac:dyDescent="0.2">
      <c r="A410" s="961"/>
      <c r="B410" s="961"/>
      <c r="C410" s="961"/>
      <c r="D410" s="961"/>
      <c r="E410" s="961"/>
      <c r="F410" s="961"/>
      <c r="G410" s="962"/>
      <c r="H410" s="962"/>
      <c r="I410" s="963"/>
      <c r="J410" s="963"/>
      <c r="K410" s="964"/>
      <c r="L410" s="965"/>
      <c r="M410" s="964"/>
      <c r="N410" s="964"/>
      <c r="O410" s="964"/>
      <c r="P410" s="964"/>
      <c r="Q410" s="964"/>
      <c r="R410" s="964"/>
      <c r="S410" s="964"/>
      <c r="T410" s="964"/>
      <c r="U410" s="964"/>
    </row>
    <row r="411" spans="1:21" ht="12.75" hidden="1" x14ac:dyDescent="0.2">
      <c r="A411" s="966"/>
      <c r="B411" s="966"/>
      <c r="C411" s="966"/>
      <c r="D411" s="966"/>
      <c r="E411" s="966"/>
      <c r="F411" s="966"/>
      <c r="G411" s="967"/>
      <c r="H411" s="967"/>
      <c r="I411" s="968"/>
      <c r="J411" s="968"/>
      <c r="K411" s="969"/>
      <c r="L411" s="970"/>
      <c r="M411" s="969"/>
      <c r="N411" s="969"/>
      <c r="O411" s="969"/>
      <c r="P411" s="969"/>
      <c r="Q411" s="969"/>
      <c r="R411" s="969"/>
      <c r="S411" s="969"/>
      <c r="T411" s="969"/>
      <c r="U411" s="969"/>
    </row>
    <row r="412" spans="1:21" ht="19.5" x14ac:dyDescent="0.3">
      <c r="A412" s="928"/>
      <c r="B412" s="971" t="s">
        <v>157</v>
      </c>
      <c r="C412" s="928"/>
      <c r="D412" s="928"/>
      <c r="E412" s="928"/>
      <c r="F412" s="928"/>
      <c r="G412" s="976"/>
      <c r="H412" s="977" t="s">
        <v>46</v>
      </c>
      <c r="I412" s="914">
        <f t="shared" ref="I412:J412" ca="1" si="269">I423</f>
        <v>14465</v>
      </c>
      <c r="J412" s="914">
        <f t="shared" si="269"/>
        <v>0</v>
      </c>
      <c r="K412" s="915">
        <f ca="1">IF(I412&gt;0,J412*100/I412,0)</f>
        <v>0</v>
      </c>
      <c r="L412" s="916"/>
      <c r="M412" s="917"/>
      <c r="N412" s="917"/>
      <c r="O412" s="917"/>
      <c r="P412" s="917"/>
      <c r="Q412" s="917"/>
      <c r="R412" s="917"/>
      <c r="S412" s="917"/>
      <c r="T412" s="917"/>
      <c r="U412" s="917"/>
    </row>
    <row r="413" spans="1:21" ht="19.5" x14ac:dyDescent="0.3">
      <c r="A413" s="674"/>
      <c r="B413" s="718"/>
      <c r="C413" s="978" t="s">
        <v>18</v>
      </c>
      <c r="D413" s="1313" t="s">
        <v>19</v>
      </c>
      <c r="E413" s="1314"/>
      <c r="F413" s="1314"/>
      <c r="G413" s="1317"/>
      <c r="H413" s="979" t="s">
        <v>14</v>
      </c>
      <c r="I413" s="565"/>
      <c r="J413" s="565"/>
      <c r="K413" s="566"/>
      <c r="L413" s="678">
        <f t="shared" ref="L413:N413" ca="1" si="270">L414+L415</f>
        <v>390430</v>
      </c>
      <c r="M413" s="679">
        <f t="shared" ca="1" si="270"/>
        <v>255500</v>
      </c>
      <c r="N413" s="679">
        <f t="shared" ca="1" si="270"/>
        <v>12140</v>
      </c>
      <c r="O413" s="679">
        <f t="shared" ref="O413:O421" ca="1" si="271">IF(L413&gt;0,N413*100/L413,0)</f>
        <v>3.1093922085905286</v>
      </c>
      <c r="P413" s="679">
        <f t="shared" ref="P413:P421" ca="1" si="272">IF(M413&gt;0,N413*100/M413,0)</f>
        <v>4.7514677103718199</v>
      </c>
      <c r="Q413" s="679">
        <f t="shared" ref="Q413:S413" ca="1" si="273">Q414+Q415</f>
        <v>53910</v>
      </c>
      <c r="R413" s="679">
        <f t="shared" ca="1" si="273"/>
        <v>53910</v>
      </c>
      <c r="S413" s="679">
        <f t="shared" ca="1" si="273"/>
        <v>0</v>
      </c>
      <c r="T413" s="679">
        <f t="shared" ref="T413:T421" ca="1" si="274">IF(Q413&gt;0,S413*100/Q413,0)</f>
        <v>0</v>
      </c>
      <c r="U413" s="679">
        <f t="shared" ref="U413:U421" ca="1" si="275">IF(R413&gt;0,S413*100/R413,0)</f>
        <v>0</v>
      </c>
    </row>
    <row r="414" spans="1:21" ht="18.75" x14ac:dyDescent="0.25">
      <c r="A414" s="674"/>
      <c r="B414" s="718"/>
      <c r="C414" s="718"/>
      <c r="D414" s="718"/>
      <c r="E414" s="767" t="s">
        <v>158</v>
      </c>
      <c r="F414" s="718"/>
      <c r="G414" s="727"/>
      <c r="H414" s="723" t="s">
        <v>14</v>
      </c>
      <c r="I414" s="565"/>
      <c r="J414" s="565"/>
      <c r="K414" s="566"/>
      <c r="L414" s="571">
        <f t="shared" ref="L414:N415" si="276">L417+L420</f>
        <v>0</v>
      </c>
      <c r="M414" s="572">
        <f t="shared" si="276"/>
        <v>0</v>
      </c>
      <c r="N414" s="572">
        <f t="shared" si="276"/>
        <v>0</v>
      </c>
      <c r="O414" s="572">
        <f t="shared" si="271"/>
        <v>0</v>
      </c>
      <c r="P414" s="572">
        <f t="shared" si="272"/>
        <v>0</v>
      </c>
      <c r="Q414" s="572">
        <f t="shared" ref="Q414:S415" si="277">Q417+Q420</f>
        <v>0</v>
      </c>
      <c r="R414" s="572">
        <f t="shared" si="277"/>
        <v>0</v>
      </c>
      <c r="S414" s="572">
        <f t="shared" si="277"/>
        <v>0</v>
      </c>
      <c r="T414" s="572">
        <f t="shared" si="274"/>
        <v>0</v>
      </c>
      <c r="U414" s="572">
        <f t="shared" si="275"/>
        <v>0</v>
      </c>
    </row>
    <row r="415" spans="1:21" ht="18.75" x14ac:dyDescent="0.25">
      <c r="A415" s="674"/>
      <c r="B415" s="718"/>
      <c r="C415" s="718"/>
      <c r="D415" s="718"/>
      <c r="E415" s="765" t="s">
        <v>159</v>
      </c>
      <c r="F415" s="718"/>
      <c r="G415" s="727"/>
      <c r="H415" s="722" t="s">
        <v>14</v>
      </c>
      <c r="I415" s="565"/>
      <c r="J415" s="565"/>
      <c r="K415" s="566"/>
      <c r="L415" s="567">
        <f t="shared" ca="1" si="276"/>
        <v>390430</v>
      </c>
      <c r="M415" s="568">
        <f t="shared" ca="1" si="276"/>
        <v>255500</v>
      </c>
      <c r="N415" s="568">
        <f t="shared" ca="1" si="276"/>
        <v>12140</v>
      </c>
      <c r="O415" s="568">
        <f t="shared" ca="1" si="271"/>
        <v>3.1093922085905286</v>
      </c>
      <c r="P415" s="568">
        <f t="shared" ca="1" si="272"/>
        <v>4.7514677103718199</v>
      </c>
      <c r="Q415" s="568">
        <f t="shared" ca="1" si="277"/>
        <v>53910</v>
      </c>
      <c r="R415" s="568">
        <f t="shared" ca="1" si="277"/>
        <v>53910</v>
      </c>
      <c r="S415" s="568">
        <f t="shared" ca="1" si="277"/>
        <v>0</v>
      </c>
      <c r="T415" s="568">
        <f t="shared" ca="1" si="274"/>
        <v>0</v>
      </c>
      <c r="U415" s="568">
        <f t="shared" ca="1" si="275"/>
        <v>0</v>
      </c>
    </row>
    <row r="416" spans="1:21" ht="19.5" x14ac:dyDescent="0.3">
      <c r="A416" s="674"/>
      <c r="B416" s="718"/>
      <c r="C416" s="718"/>
      <c r="D416" s="955" t="s">
        <v>22</v>
      </c>
      <c r="E416" s="718"/>
      <c r="F416" s="718"/>
      <c r="G416" s="727"/>
      <c r="H416" s="979" t="s">
        <v>14</v>
      </c>
      <c r="I416" s="565"/>
      <c r="J416" s="565"/>
      <c r="K416" s="566"/>
      <c r="L416" s="567">
        <f t="shared" ref="L416:N416" ca="1" si="278">L417+L418</f>
        <v>390430</v>
      </c>
      <c r="M416" s="568">
        <f t="shared" ca="1" si="278"/>
        <v>255500</v>
      </c>
      <c r="N416" s="568">
        <f t="shared" ca="1" si="278"/>
        <v>12140</v>
      </c>
      <c r="O416" s="568">
        <f t="shared" ca="1" si="271"/>
        <v>3.1093922085905286</v>
      </c>
      <c r="P416" s="568">
        <f t="shared" ca="1" si="272"/>
        <v>4.7514677103718199</v>
      </c>
      <c r="Q416" s="568">
        <f t="shared" ref="Q416:S416" ca="1" si="279">Q417+Q418</f>
        <v>53910</v>
      </c>
      <c r="R416" s="568">
        <f t="shared" ca="1" si="279"/>
        <v>53910</v>
      </c>
      <c r="S416" s="568">
        <f t="shared" ca="1" si="279"/>
        <v>0</v>
      </c>
      <c r="T416" s="568">
        <f t="shared" ca="1" si="274"/>
        <v>0</v>
      </c>
      <c r="U416" s="568">
        <f t="shared" ca="1" si="275"/>
        <v>0</v>
      </c>
    </row>
    <row r="417" spans="1:21" ht="18.75" x14ac:dyDescent="0.25">
      <c r="A417" s="674"/>
      <c r="B417" s="718"/>
      <c r="C417" s="718"/>
      <c r="D417" s="718"/>
      <c r="E417" s="767" t="s">
        <v>158</v>
      </c>
      <c r="F417" s="718"/>
      <c r="G417" s="727"/>
      <c r="H417" s="723" t="s">
        <v>14</v>
      </c>
      <c r="I417" s="565"/>
      <c r="J417" s="565"/>
      <c r="K417" s="566"/>
      <c r="L417" s="571">
        <v>0</v>
      </c>
      <c r="M417" s="572">
        <v>0</v>
      </c>
      <c r="N417" s="572">
        <v>0</v>
      </c>
      <c r="O417" s="572">
        <f t="shared" si="271"/>
        <v>0</v>
      </c>
      <c r="P417" s="572">
        <f t="shared" si="272"/>
        <v>0</v>
      </c>
      <c r="Q417" s="572">
        <v>0</v>
      </c>
      <c r="R417" s="572">
        <v>0</v>
      </c>
      <c r="S417" s="572">
        <v>0</v>
      </c>
      <c r="T417" s="572">
        <f t="shared" si="274"/>
        <v>0</v>
      </c>
      <c r="U417" s="572">
        <f t="shared" si="275"/>
        <v>0</v>
      </c>
    </row>
    <row r="418" spans="1:21" ht="18.75" x14ac:dyDescent="0.25">
      <c r="A418" s="674"/>
      <c r="B418" s="718"/>
      <c r="C418" s="718"/>
      <c r="D418" s="718"/>
      <c r="E418" s="765" t="s">
        <v>159</v>
      </c>
      <c r="F418" s="718"/>
      <c r="G418" s="727"/>
      <c r="H418" s="722" t="s">
        <v>14</v>
      </c>
      <c r="I418" s="565"/>
      <c r="J418" s="565"/>
      <c r="K418" s="566"/>
      <c r="L418" s="567">
        <f ca="1">IFERROR(__xludf.DUMMYFUNCTION("IMPORTRANGE(""https://docs.google.com/spreadsheets/d/1-uDff_7J0KD5mKrp0Vvzr7lt3OU09vwQwhkpOPPYv2Y/edit?usp=sharing"",""งบพรบ!IO17"")"),390430)</f>
        <v>390430</v>
      </c>
      <c r="M418" s="568">
        <f ca="1">IFERROR(__xludf.DUMMYFUNCTION("IMPORTRANGE(""https://docs.google.com/spreadsheets/d/1-uDff_7J0KD5mKrp0Vvzr7lt3OU09vwQwhkpOPPYv2Y/edit?usp=sharing"",""งบพรบ!IT17"")"),255500)</f>
        <v>255500</v>
      </c>
      <c r="N418" s="568">
        <f ca="1">IFERROR(__xludf.DUMMYFUNCTION("IMPORTRANGE(""https://docs.google.com/spreadsheets/d/1-uDff_7J0KD5mKrp0Vvzr7lt3OU09vwQwhkpOPPYv2Y/edit?usp=sharing"",""งบพรบ!IV17"")"),12140)</f>
        <v>12140</v>
      </c>
      <c r="O418" s="568">
        <f t="shared" ca="1" si="271"/>
        <v>3.1093922085905286</v>
      </c>
      <c r="P418" s="568">
        <f t="shared" ca="1" si="272"/>
        <v>4.7514677103718199</v>
      </c>
      <c r="Q418" s="568">
        <f ca="1">IFERROR(__xludf.DUMMYFUNCTION("IMPORTRANGE(""https://docs.google.com/spreadsheets/d/1ItG2mGa2ceCfYo0BwxsXqNm01IGEUdYcSSLTEv9YCik/edit?usp=sharing"",""เบิกจ่ายกองทุน!BZ17"")"),53910)</f>
        <v>53910</v>
      </c>
      <c r="R418" s="568">
        <f ca="1">IFERROR(__xludf.DUMMYFUNCTION("IMPORTRANGE(""https://docs.google.com/spreadsheets/d/1ItG2mGa2ceCfYo0BwxsXqNm01IGEUdYcSSLTEv9YCik/edit?usp=sharing"",""เบิกจ่ายกองทุน!CA17"")"),53910)</f>
        <v>53910</v>
      </c>
      <c r="S418" s="568">
        <f ca="1">IFERROR(__xludf.DUMMYFUNCTION("IMPORTRANGE(""https://docs.google.com/spreadsheets/d/1ItG2mGa2ceCfYo0BwxsXqNm01IGEUdYcSSLTEv9YCik/edit?usp=sharing"",""เบิกจ่ายกองทุน!CB17"")"),0)</f>
        <v>0</v>
      </c>
      <c r="T418" s="568">
        <f t="shared" ca="1" si="274"/>
        <v>0</v>
      </c>
      <c r="U418" s="568">
        <f t="shared" ca="1" si="275"/>
        <v>0</v>
      </c>
    </row>
    <row r="419" spans="1:21" ht="19.5" x14ac:dyDescent="0.3">
      <c r="A419" s="674"/>
      <c r="B419" s="718"/>
      <c r="C419" s="718"/>
      <c r="D419" s="955" t="s">
        <v>23</v>
      </c>
      <c r="E419" s="718"/>
      <c r="F419" s="718"/>
      <c r="G419" s="727"/>
      <c r="H419" s="677" t="s">
        <v>14</v>
      </c>
      <c r="I419" s="565"/>
      <c r="J419" s="565"/>
      <c r="K419" s="566"/>
      <c r="L419" s="567">
        <f t="shared" ref="L419:N419" ca="1" si="280">L420+L421</f>
        <v>0</v>
      </c>
      <c r="M419" s="568">
        <f t="shared" ca="1" si="280"/>
        <v>0</v>
      </c>
      <c r="N419" s="568">
        <f t="shared" ca="1" si="280"/>
        <v>0</v>
      </c>
      <c r="O419" s="568">
        <f t="shared" ca="1" si="271"/>
        <v>0</v>
      </c>
      <c r="P419" s="568">
        <f t="shared" ca="1" si="272"/>
        <v>0</v>
      </c>
      <c r="Q419" s="568">
        <f t="shared" ref="Q419:S419" si="281">Q420+Q421</f>
        <v>0</v>
      </c>
      <c r="R419" s="568">
        <f t="shared" si="281"/>
        <v>0</v>
      </c>
      <c r="S419" s="568">
        <f t="shared" si="281"/>
        <v>0</v>
      </c>
      <c r="T419" s="568">
        <f t="shared" si="274"/>
        <v>0</v>
      </c>
      <c r="U419" s="568">
        <f t="shared" si="275"/>
        <v>0</v>
      </c>
    </row>
    <row r="420" spans="1:21" ht="18.75" x14ac:dyDescent="0.25">
      <c r="A420" s="674"/>
      <c r="B420" s="718"/>
      <c r="C420" s="718"/>
      <c r="D420" s="718"/>
      <c r="E420" s="767" t="s">
        <v>20</v>
      </c>
      <c r="F420" s="718"/>
      <c r="G420" s="727"/>
      <c r="H420" s="723" t="s">
        <v>14</v>
      </c>
      <c r="I420" s="565"/>
      <c r="J420" s="565"/>
      <c r="K420" s="566"/>
      <c r="L420" s="571">
        <v>0</v>
      </c>
      <c r="M420" s="572">
        <v>0</v>
      </c>
      <c r="N420" s="572">
        <v>0</v>
      </c>
      <c r="O420" s="572">
        <f t="shared" si="271"/>
        <v>0</v>
      </c>
      <c r="P420" s="572">
        <f t="shared" si="272"/>
        <v>0</v>
      </c>
      <c r="Q420" s="572">
        <v>0</v>
      </c>
      <c r="R420" s="572">
        <v>0</v>
      </c>
      <c r="S420" s="572">
        <v>0</v>
      </c>
      <c r="T420" s="572">
        <f t="shared" si="274"/>
        <v>0</v>
      </c>
      <c r="U420" s="572">
        <f t="shared" si="275"/>
        <v>0</v>
      </c>
    </row>
    <row r="421" spans="1:21" ht="18.75" x14ac:dyDescent="0.25">
      <c r="A421" s="674"/>
      <c r="B421" s="718"/>
      <c r="C421" s="718"/>
      <c r="D421" s="718"/>
      <c r="E421" s="765" t="s">
        <v>21</v>
      </c>
      <c r="F421" s="718"/>
      <c r="G421" s="727"/>
      <c r="H421" s="681" t="s">
        <v>14</v>
      </c>
      <c r="I421" s="565"/>
      <c r="J421" s="565"/>
      <c r="K421" s="566"/>
      <c r="L421" s="567">
        <f ca="1">IFERROR(__xludf.DUMMYFUNCTION("IMPORTRANGE(""https://docs.google.com/spreadsheets/d/1-uDff_7J0KD5mKrp0Vvzr7lt3OU09vwQwhkpOPPYv2Y/edit?usp=sharing"",""งบพรบ!IR17"")"),0)</f>
        <v>0</v>
      </c>
      <c r="M421" s="568">
        <f ca="1">IFERROR(__xludf.DUMMYFUNCTION("IMPORTRANGE(""https://docs.google.com/spreadsheets/d/1-uDff_7J0KD5mKrp0Vvzr7lt3OU09vwQwhkpOPPYv2Y/edit?usp=sharing"",""งบพรบ!IU17"")"),0)</f>
        <v>0</v>
      </c>
      <c r="N421" s="568">
        <f ca="1">IFERROR(__xludf.DUMMYFUNCTION("IMPORTRANGE(""https://docs.google.com/spreadsheets/d/1-uDff_7J0KD5mKrp0Vvzr7lt3OU09vwQwhkpOPPYv2Y/edit?usp=sharing"",""งบพรบ!IW17"")"),0)</f>
        <v>0</v>
      </c>
      <c r="O421" s="568">
        <f t="shared" ca="1" si="271"/>
        <v>0</v>
      </c>
      <c r="P421" s="568">
        <f t="shared" ca="1" si="272"/>
        <v>0</v>
      </c>
      <c r="Q421" s="568">
        <v>0</v>
      </c>
      <c r="R421" s="568">
        <v>0</v>
      </c>
      <c r="S421" s="568">
        <v>0</v>
      </c>
      <c r="T421" s="568">
        <f t="shared" si="274"/>
        <v>0</v>
      </c>
      <c r="U421" s="568">
        <f t="shared" si="275"/>
        <v>0</v>
      </c>
    </row>
    <row r="422" spans="1:21" ht="19.5" x14ac:dyDescent="0.3">
      <c r="A422" s="764"/>
      <c r="B422" s="718"/>
      <c r="C422" s="978" t="s">
        <v>18</v>
      </c>
      <c r="D422" s="980" t="s">
        <v>38</v>
      </c>
      <c r="E422" s="718"/>
      <c r="F422" s="718"/>
      <c r="G422" s="727"/>
      <c r="H422" s="727"/>
      <c r="I422" s="565"/>
      <c r="J422" s="565"/>
      <c r="K422" s="566"/>
      <c r="L422" s="574"/>
      <c r="M422" s="566"/>
      <c r="N422" s="566"/>
      <c r="O422" s="566"/>
      <c r="P422" s="566"/>
      <c r="Q422" s="566"/>
      <c r="R422" s="566"/>
      <c r="S422" s="566"/>
      <c r="T422" s="566"/>
      <c r="U422" s="566"/>
    </row>
    <row r="423" spans="1:21" ht="19.5" x14ac:dyDescent="0.3">
      <c r="A423" s="764"/>
      <c r="B423" s="719" t="s">
        <v>160</v>
      </c>
      <c r="C423" s="718"/>
      <c r="D423" s="718"/>
      <c r="E423" s="718"/>
      <c r="F423" s="718"/>
      <c r="G423" s="727"/>
      <c r="H423" s="979" t="s">
        <v>46</v>
      </c>
      <c r="I423" s="697">
        <f t="shared" ref="I423:J423" ca="1" si="282">I440</f>
        <v>14465</v>
      </c>
      <c r="J423" s="697">
        <f t="shared" si="282"/>
        <v>0</v>
      </c>
      <c r="K423" s="679">
        <f t="shared" ref="K423:K425" ca="1" si="283">IF(I423&gt;0,J423*100/I423,0)</f>
        <v>0</v>
      </c>
      <c r="L423" s="574"/>
      <c r="M423" s="566"/>
      <c r="N423" s="566"/>
      <c r="O423" s="566"/>
      <c r="P423" s="566"/>
      <c r="Q423" s="566"/>
      <c r="R423" s="566"/>
      <c r="S423" s="566"/>
      <c r="T423" s="566"/>
      <c r="U423" s="566"/>
    </row>
    <row r="424" spans="1:21" ht="19.5" x14ac:dyDescent="0.3">
      <c r="A424" s="764"/>
      <c r="B424" s="718"/>
      <c r="C424" s="719" t="s">
        <v>161</v>
      </c>
      <c r="D424" s="718"/>
      <c r="E424" s="718"/>
      <c r="F424" s="718"/>
      <c r="G424" s="727"/>
      <c r="H424" s="677" t="s">
        <v>46</v>
      </c>
      <c r="I424" s="697">
        <f ca="1">IFERROR(__xludf.DUMMYFUNCTION("IMPORTRANGE(""https://docs.google.com/spreadsheets/d/1eHaY18a8A9IcSdp1K8H6x8fbOy06t2VsZHhMHf-1x7Y/edit?usp=sharing"",""แผน!HJ17"")"),14465)</f>
        <v>14465</v>
      </c>
      <c r="J424" s="697">
        <f t="shared" ref="J424:J425" si="284">J426+J428+J430</f>
        <v>0</v>
      </c>
      <c r="K424" s="679">
        <f t="shared" ca="1" si="283"/>
        <v>0</v>
      </c>
      <c r="L424" s="574"/>
      <c r="M424" s="566"/>
      <c r="N424" s="566"/>
      <c r="O424" s="566"/>
      <c r="P424" s="566"/>
      <c r="Q424" s="566"/>
      <c r="R424" s="566"/>
      <c r="S424" s="566"/>
      <c r="T424" s="566"/>
      <c r="U424" s="566"/>
    </row>
    <row r="425" spans="1:21" ht="19.5" x14ac:dyDescent="0.3">
      <c r="A425" s="764"/>
      <c r="B425" s="718"/>
      <c r="C425" s="718"/>
      <c r="D425" s="718"/>
      <c r="E425" s="718"/>
      <c r="F425" s="718"/>
      <c r="G425" s="727"/>
      <c r="H425" s="677" t="s">
        <v>34</v>
      </c>
      <c r="I425" s="697">
        <f ca="1">IFERROR(__xludf.DUMMYFUNCTION("IMPORTRANGE(""https://docs.google.com/spreadsheets/d/1eHaY18a8A9IcSdp1K8H6x8fbOy06t2VsZHhMHf-1x7Y/edit?usp=sharing"",""แผน!HK17"")"),1899)</f>
        <v>1899</v>
      </c>
      <c r="J425" s="697">
        <f t="shared" si="284"/>
        <v>0</v>
      </c>
      <c r="K425" s="679">
        <f t="shared" ca="1" si="283"/>
        <v>0</v>
      </c>
      <c r="L425" s="574"/>
      <c r="M425" s="566"/>
      <c r="N425" s="566"/>
      <c r="O425" s="566"/>
      <c r="P425" s="566"/>
      <c r="Q425" s="566"/>
      <c r="R425" s="566"/>
      <c r="S425" s="566"/>
      <c r="T425" s="566"/>
      <c r="U425" s="566"/>
    </row>
    <row r="426" spans="1:21" ht="18.75" x14ac:dyDescent="0.25">
      <c r="A426" s="764"/>
      <c r="B426" s="718"/>
      <c r="C426" s="718"/>
      <c r="D426" s="765" t="s">
        <v>162</v>
      </c>
      <c r="E426" s="718"/>
      <c r="F426" s="718"/>
      <c r="G426" s="727"/>
      <c r="H426" s="681" t="s">
        <v>46</v>
      </c>
      <c r="I426" s="565"/>
      <c r="J426" s="565"/>
      <c r="K426" s="566"/>
      <c r="L426" s="574"/>
      <c r="M426" s="566"/>
      <c r="N426" s="566"/>
      <c r="O426" s="566"/>
      <c r="P426" s="566"/>
      <c r="Q426" s="566"/>
      <c r="R426" s="566"/>
      <c r="S426" s="566"/>
      <c r="T426" s="566"/>
      <c r="U426" s="566"/>
    </row>
    <row r="427" spans="1:21" ht="18.75" x14ac:dyDescent="0.25">
      <c r="A427" s="764"/>
      <c r="B427" s="718"/>
      <c r="C427" s="718"/>
      <c r="D427" s="718"/>
      <c r="E427" s="718"/>
      <c r="F427" s="718"/>
      <c r="G427" s="727"/>
      <c r="H427" s="681" t="s">
        <v>34</v>
      </c>
      <c r="I427" s="565"/>
      <c r="J427" s="565"/>
      <c r="K427" s="566"/>
      <c r="L427" s="574"/>
      <c r="M427" s="566"/>
      <c r="N427" s="566"/>
      <c r="O427" s="566"/>
      <c r="P427" s="566"/>
      <c r="Q427" s="566"/>
      <c r="R427" s="566"/>
      <c r="S427" s="566"/>
      <c r="T427" s="566"/>
      <c r="U427" s="566"/>
    </row>
    <row r="428" spans="1:21" ht="18.75" x14ac:dyDescent="0.25">
      <c r="A428" s="764"/>
      <c r="B428" s="718"/>
      <c r="C428" s="718"/>
      <c r="D428" s="765" t="s">
        <v>163</v>
      </c>
      <c r="E428" s="718"/>
      <c r="F428" s="718"/>
      <c r="G428" s="727"/>
      <c r="H428" s="681" t="s">
        <v>46</v>
      </c>
      <c r="I428" s="565"/>
      <c r="J428" s="565"/>
      <c r="K428" s="566"/>
      <c r="L428" s="574"/>
      <c r="M428" s="566"/>
      <c r="N428" s="566"/>
      <c r="O428" s="566"/>
      <c r="P428" s="566"/>
      <c r="Q428" s="566"/>
      <c r="R428" s="566"/>
      <c r="S428" s="566"/>
      <c r="T428" s="566"/>
      <c r="U428" s="566"/>
    </row>
    <row r="429" spans="1:21" ht="18.75" x14ac:dyDescent="0.25">
      <c r="A429" s="764"/>
      <c r="B429" s="718"/>
      <c r="C429" s="718"/>
      <c r="D429" s="718"/>
      <c r="E429" s="718"/>
      <c r="F429" s="718"/>
      <c r="G429" s="727"/>
      <c r="H429" s="681" t="s">
        <v>34</v>
      </c>
      <c r="I429" s="565"/>
      <c r="J429" s="565"/>
      <c r="K429" s="566"/>
      <c r="L429" s="574"/>
      <c r="M429" s="566"/>
      <c r="N429" s="566"/>
      <c r="O429" s="566"/>
      <c r="P429" s="566"/>
      <c r="Q429" s="566"/>
      <c r="R429" s="566"/>
      <c r="S429" s="566"/>
      <c r="T429" s="566"/>
      <c r="U429" s="566"/>
    </row>
    <row r="430" spans="1:21" ht="18.75" x14ac:dyDescent="0.25">
      <c r="A430" s="764"/>
      <c r="B430" s="718"/>
      <c r="C430" s="718"/>
      <c r="D430" s="765" t="s">
        <v>164</v>
      </c>
      <c r="E430" s="718"/>
      <c r="F430" s="718"/>
      <c r="G430" s="727"/>
      <c r="H430" s="681" t="s">
        <v>46</v>
      </c>
      <c r="I430" s="565"/>
      <c r="J430" s="565"/>
      <c r="K430" s="566"/>
      <c r="L430" s="574"/>
      <c r="M430" s="566"/>
      <c r="N430" s="566"/>
      <c r="O430" s="566"/>
      <c r="P430" s="566"/>
      <c r="Q430" s="566"/>
      <c r="R430" s="566"/>
      <c r="S430" s="566"/>
      <c r="T430" s="566"/>
      <c r="U430" s="566"/>
    </row>
    <row r="431" spans="1:21" ht="18.75" x14ac:dyDescent="0.25">
      <c r="A431" s="764"/>
      <c r="B431" s="718"/>
      <c r="C431" s="718"/>
      <c r="D431" s="718"/>
      <c r="E431" s="718"/>
      <c r="F431" s="718"/>
      <c r="G431" s="727"/>
      <c r="H431" s="681" t="s">
        <v>34</v>
      </c>
      <c r="I431" s="565"/>
      <c r="J431" s="565"/>
      <c r="K431" s="566"/>
      <c r="L431" s="574"/>
      <c r="M431" s="566"/>
      <c r="N431" s="566"/>
      <c r="O431" s="566"/>
      <c r="P431" s="566"/>
      <c r="Q431" s="566"/>
      <c r="R431" s="566"/>
      <c r="S431" s="566"/>
      <c r="T431" s="566"/>
      <c r="U431" s="566"/>
    </row>
    <row r="432" spans="1:21" ht="19.5" x14ac:dyDescent="0.3">
      <c r="A432" s="764"/>
      <c r="B432" s="718"/>
      <c r="C432" s="719" t="s">
        <v>165</v>
      </c>
      <c r="D432" s="718"/>
      <c r="E432" s="718"/>
      <c r="F432" s="718"/>
      <c r="G432" s="727"/>
      <c r="H432" s="677" t="s">
        <v>46</v>
      </c>
      <c r="I432" s="697">
        <f ca="1">IFERROR(__xludf.DUMMYFUNCTION("IMPORTRANGE(""https://docs.google.com/spreadsheets/d/1eHaY18a8A9IcSdp1K8H6x8fbOy06t2VsZHhMHf-1x7Y/edit?usp=sharing"",""แผน!HJ17"")"),14465)</f>
        <v>14465</v>
      </c>
      <c r="J432" s="697">
        <f t="shared" ref="J432:J433" si="285">J434+J436+J438</f>
        <v>0</v>
      </c>
      <c r="K432" s="679">
        <f t="shared" ref="K432:K433" ca="1" si="286">IF(I432&gt;0,J432*100/I432,0)</f>
        <v>0</v>
      </c>
      <c r="L432" s="574"/>
      <c r="M432" s="566"/>
      <c r="N432" s="566"/>
      <c r="O432" s="566"/>
      <c r="P432" s="566"/>
      <c r="Q432" s="566"/>
      <c r="R432" s="566"/>
      <c r="S432" s="566"/>
      <c r="T432" s="566"/>
      <c r="U432" s="566"/>
    </row>
    <row r="433" spans="1:21" ht="19.5" x14ac:dyDescent="0.3">
      <c r="A433" s="764"/>
      <c r="B433" s="718"/>
      <c r="C433" s="718"/>
      <c r="D433" s="718"/>
      <c r="E433" s="718"/>
      <c r="F433" s="718"/>
      <c r="G433" s="727"/>
      <c r="H433" s="677" t="s">
        <v>34</v>
      </c>
      <c r="I433" s="697">
        <f ca="1">IFERROR(__xludf.DUMMYFUNCTION("IMPORTRANGE(""https://docs.google.com/spreadsheets/d/1eHaY18a8A9IcSdp1K8H6x8fbOy06t2VsZHhMHf-1x7Y/edit?usp=sharing"",""แผน!HK17"")"),1899)</f>
        <v>1899</v>
      </c>
      <c r="J433" s="697">
        <f t="shared" si="285"/>
        <v>0</v>
      </c>
      <c r="K433" s="679">
        <f t="shared" ca="1" si="286"/>
        <v>0</v>
      </c>
      <c r="L433" s="574"/>
      <c r="M433" s="566"/>
      <c r="N433" s="566"/>
      <c r="O433" s="566"/>
      <c r="P433" s="566"/>
      <c r="Q433" s="566"/>
      <c r="R433" s="566"/>
      <c r="S433" s="566"/>
      <c r="T433" s="566"/>
      <c r="U433" s="566"/>
    </row>
    <row r="434" spans="1:21" ht="18.75" x14ac:dyDescent="0.25">
      <c r="A434" s="764"/>
      <c r="B434" s="718"/>
      <c r="C434" s="718"/>
      <c r="D434" s="765" t="s">
        <v>166</v>
      </c>
      <c r="E434" s="718"/>
      <c r="F434" s="718"/>
      <c r="G434" s="727"/>
      <c r="H434" s="681" t="s">
        <v>46</v>
      </c>
      <c r="I434" s="565"/>
      <c r="J434" s="565"/>
      <c r="K434" s="566"/>
      <c r="L434" s="574"/>
      <c r="M434" s="566"/>
      <c r="N434" s="566"/>
      <c r="O434" s="566"/>
      <c r="P434" s="566"/>
      <c r="Q434" s="566"/>
      <c r="R434" s="566"/>
      <c r="S434" s="566"/>
      <c r="T434" s="566"/>
      <c r="U434" s="566"/>
    </row>
    <row r="435" spans="1:21" ht="18.75" x14ac:dyDescent="0.25">
      <c r="A435" s="764"/>
      <c r="B435" s="718"/>
      <c r="C435" s="718"/>
      <c r="D435" s="718"/>
      <c r="E435" s="718"/>
      <c r="F435" s="718"/>
      <c r="G435" s="727"/>
      <c r="H435" s="681" t="s">
        <v>34</v>
      </c>
      <c r="I435" s="565"/>
      <c r="J435" s="565"/>
      <c r="K435" s="566"/>
      <c r="L435" s="574"/>
      <c r="M435" s="566"/>
      <c r="N435" s="566"/>
      <c r="O435" s="566"/>
      <c r="P435" s="566"/>
      <c r="Q435" s="566"/>
      <c r="R435" s="566"/>
      <c r="S435" s="566"/>
      <c r="T435" s="566"/>
      <c r="U435" s="566"/>
    </row>
    <row r="436" spans="1:21" ht="18.75" x14ac:dyDescent="0.25">
      <c r="A436" s="764"/>
      <c r="B436" s="718"/>
      <c r="C436" s="718"/>
      <c r="D436" s="765" t="s">
        <v>167</v>
      </c>
      <c r="E436" s="718"/>
      <c r="F436" s="718"/>
      <c r="G436" s="727"/>
      <c r="H436" s="681" t="s">
        <v>46</v>
      </c>
      <c r="I436" s="565"/>
      <c r="J436" s="565"/>
      <c r="K436" s="566"/>
      <c r="L436" s="574"/>
      <c r="M436" s="566"/>
      <c r="N436" s="566"/>
      <c r="O436" s="566"/>
      <c r="P436" s="566"/>
      <c r="Q436" s="566"/>
      <c r="R436" s="566"/>
      <c r="S436" s="566"/>
      <c r="T436" s="566"/>
      <c r="U436" s="566"/>
    </row>
    <row r="437" spans="1:21" ht="18.75" x14ac:dyDescent="0.25">
      <c r="A437" s="764"/>
      <c r="B437" s="718"/>
      <c r="C437" s="718"/>
      <c r="D437" s="718"/>
      <c r="E437" s="718"/>
      <c r="F437" s="718"/>
      <c r="G437" s="727"/>
      <c r="H437" s="681" t="s">
        <v>34</v>
      </c>
      <c r="I437" s="565"/>
      <c r="J437" s="565"/>
      <c r="K437" s="566"/>
      <c r="L437" s="574"/>
      <c r="M437" s="566"/>
      <c r="N437" s="566"/>
      <c r="O437" s="566"/>
      <c r="P437" s="566"/>
      <c r="Q437" s="566"/>
      <c r="R437" s="566"/>
      <c r="S437" s="566"/>
      <c r="T437" s="566"/>
      <c r="U437" s="566"/>
    </row>
    <row r="438" spans="1:21" ht="18.75" x14ac:dyDescent="0.25">
      <c r="A438" s="764"/>
      <c r="B438" s="718"/>
      <c r="C438" s="718"/>
      <c r="D438" s="765" t="s">
        <v>168</v>
      </c>
      <c r="E438" s="718"/>
      <c r="F438" s="718"/>
      <c r="G438" s="727"/>
      <c r="H438" s="681" t="s">
        <v>46</v>
      </c>
      <c r="I438" s="565"/>
      <c r="J438" s="565"/>
      <c r="K438" s="566"/>
      <c r="L438" s="574"/>
      <c r="M438" s="566"/>
      <c r="N438" s="566"/>
      <c r="O438" s="566"/>
      <c r="P438" s="566"/>
      <c r="Q438" s="566"/>
      <c r="R438" s="566"/>
      <c r="S438" s="566"/>
      <c r="T438" s="566"/>
      <c r="U438" s="566"/>
    </row>
    <row r="439" spans="1:21" ht="18.75" x14ac:dyDescent="0.25">
      <c r="A439" s="764"/>
      <c r="B439" s="718"/>
      <c r="C439" s="718"/>
      <c r="D439" s="718"/>
      <c r="E439" s="718"/>
      <c r="F439" s="718"/>
      <c r="G439" s="727"/>
      <c r="H439" s="681" t="s">
        <v>34</v>
      </c>
      <c r="I439" s="565"/>
      <c r="J439" s="565"/>
      <c r="K439" s="566"/>
      <c r="L439" s="574"/>
      <c r="M439" s="566"/>
      <c r="N439" s="566"/>
      <c r="O439" s="566"/>
      <c r="P439" s="566"/>
      <c r="Q439" s="566"/>
      <c r="R439" s="566"/>
      <c r="S439" s="566"/>
      <c r="T439" s="566"/>
      <c r="U439" s="566"/>
    </row>
    <row r="440" spans="1:21" ht="19.5" x14ac:dyDescent="0.3">
      <c r="A440" s="764"/>
      <c r="B440" s="718"/>
      <c r="C440" s="719" t="s">
        <v>169</v>
      </c>
      <c r="D440" s="718"/>
      <c r="E440" s="718"/>
      <c r="F440" s="718"/>
      <c r="G440" s="727"/>
      <c r="H440" s="677" t="s">
        <v>46</v>
      </c>
      <c r="I440" s="697">
        <f ca="1">IFERROR(__xludf.DUMMYFUNCTION("IMPORTRANGE(""https://docs.google.com/spreadsheets/d/1eHaY18a8A9IcSdp1K8H6x8fbOy06t2VsZHhMHf-1x7Y/edit?usp=sharing"",""แผน!HJ17"")"),14465)</f>
        <v>14465</v>
      </c>
      <c r="J440" s="697">
        <f t="shared" ref="J440:J441" si="287">J442+J444+J446+J452+J454</f>
        <v>0</v>
      </c>
      <c r="K440" s="679">
        <f t="shared" ref="K440:K441" ca="1" si="288">IF(I440&gt;0,J440*100/I440,0)</f>
        <v>0</v>
      </c>
      <c r="L440" s="574"/>
      <c r="M440" s="566"/>
      <c r="N440" s="566"/>
      <c r="O440" s="566"/>
      <c r="P440" s="566"/>
      <c r="Q440" s="566"/>
      <c r="R440" s="566"/>
      <c r="S440" s="566"/>
      <c r="T440" s="566"/>
      <c r="U440" s="566"/>
    </row>
    <row r="441" spans="1:21" ht="19.5" x14ac:dyDescent="0.3">
      <c r="A441" s="764"/>
      <c r="B441" s="718"/>
      <c r="C441" s="718"/>
      <c r="D441" s="718"/>
      <c r="E441" s="718"/>
      <c r="F441" s="718"/>
      <c r="G441" s="727"/>
      <c r="H441" s="677" t="s">
        <v>34</v>
      </c>
      <c r="I441" s="697">
        <f ca="1">IFERROR(__xludf.DUMMYFUNCTION("IMPORTRANGE(""https://docs.google.com/spreadsheets/d/1eHaY18a8A9IcSdp1K8H6x8fbOy06t2VsZHhMHf-1x7Y/edit?usp=sharing"",""แผน!HK17"")"),1899)</f>
        <v>1899</v>
      </c>
      <c r="J441" s="697">
        <f t="shared" si="287"/>
        <v>0</v>
      </c>
      <c r="K441" s="679">
        <f t="shared" ca="1" si="288"/>
        <v>0</v>
      </c>
      <c r="L441" s="574"/>
      <c r="M441" s="566"/>
      <c r="N441" s="566"/>
      <c r="O441" s="566"/>
      <c r="P441" s="566"/>
      <c r="Q441" s="566"/>
      <c r="R441" s="566"/>
      <c r="S441" s="566"/>
      <c r="T441" s="566"/>
      <c r="U441" s="566"/>
    </row>
    <row r="442" spans="1:21" ht="18.75" x14ac:dyDescent="0.25">
      <c r="A442" s="764"/>
      <c r="B442" s="718"/>
      <c r="C442" s="718"/>
      <c r="D442" s="765" t="s">
        <v>170</v>
      </c>
      <c r="E442" s="718"/>
      <c r="F442" s="718"/>
      <c r="G442" s="727"/>
      <c r="H442" s="681" t="s">
        <v>46</v>
      </c>
      <c r="I442" s="565"/>
      <c r="J442" s="565"/>
      <c r="K442" s="566"/>
      <c r="L442" s="574"/>
      <c r="M442" s="566"/>
      <c r="N442" s="566"/>
      <c r="O442" s="566"/>
      <c r="P442" s="566"/>
      <c r="Q442" s="566"/>
      <c r="R442" s="566"/>
      <c r="S442" s="566"/>
      <c r="T442" s="566"/>
      <c r="U442" s="566"/>
    </row>
    <row r="443" spans="1:21" ht="18.75" x14ac:dyDescent="0.25">
      <c r="A443" s="764"/>
      <c r="B443" s="718"/>
      <c r="C443" s="718"/>
      <c r="D443" s="718"/>
      <c r="E443" s="718"/>
      <c r="F443" s="718"/>
      <c r="G443" s="727"/>
      <c r="H443" s="681" t="s">
        <v>34</v>
      </c>
      <c r="I443" s="565"/>
      <c r="J443" s="565"/>
      <c r="K443" s="566"/>
      <c r="L443" s="574"/>
      <c r="M443" s="566"/>
      <c r="N443" s="566"/>
      <c r="O443" s="566"/>
      <c r="P443" s="566"/>
      <c r="Q443" s="566"/>
      <c r="R443" s="566"/>
      <c r="S443" s="566"/>
      <c r="T443" s="566"/>
      <c r="U443" s="566"/>
    </row>
    <row r="444" spans="1:21" ht="18.75" x14ac:dyDescent="0.25">
      <c r="A444" s="764"/>
      <c r="B444" s="718"/>
      <c r="C444" s="718"/>
      <c r="D444" s="765" t="s">
        <v>171</v>
      </c>
      <c r="E444" s="718"/>
      <c r="F444" s="718"/>
      <c r="G444" s="727"/>
      <c r="H444" s="681" t="s">
        <v>46</v>
      </c>
      <c r="I444" s="565"/>
      <c r="J444" s="565"/>
      <c r="K444" s="566"/>
      <c r="L444" s="574"/>
      <c r="M444" s="566"/>
      <c r="N444" s="566"/>
      <c r="O444" s="566"/>
      <c r="P444" s="566"/>
      <c r="Q444" s="566"/>
      <c r="R444" s="566"/>
      <c r="S444" s="566"/>
      <c r="T444" s="566"/>
      <c r="U444" s="566"/>
    </row>
    <row r="445" spans="1:21" ht="18.75" x14ac:dyDescent="0.25">
      <c r="A445" s="764"/>
      <c r="B445" s="718"/>
      <c r="C445" s="718"/>
      <c r="D445" s="718"/>
      <c r="E445" s="718"/>
      <c r="F445" s="718"/>
      <c r="G445" s="727"/>
      <c r="H445" s="681" t="s">
        <v>34</v>
      </c>
      <c r="I445" s="565"/>
      <c r="J445" s="565"/>
      <c r="K445" s="566"/>
      <c r="L445" s="574"/>
      <c r="M445" s="566"/>
      <c r="N445" s="566"/>
      <c r="O445" s="566"/>
      <c r="P445" s="566"/>
      <c r="Q445" s="566"/>
      <c r="R445" s="566"/>
      <c r="S445" s="566"/>
      <c r="T445" s="566"/>
      <c r="U445" s="566"/>
    </row>
    <row r="446" spans="1:21" ht="19.5" x14ac:dyDescent="0.3">
      <c r="A446" s="764"/>
      <c r="B446" s="718"/>
      <c r="C446" s="718"/>
      <c r="D446" s="765" t="s">
        <v>172</v>
      </c>
      <c r="E446" s="718"/>
      <c r="F446" s="718"/>
      <c r="G446" s="727"/>
      <c r="H446" s="681" t="s">
        <v>46</v>
      </c>
      <c r="I446" s="565"/>
      <c r="J446" s="697">
        <f t="shared" ref="J446:J447" si="289">J448+J450</f>
        <v>0</v>
      </c>
      <c r="K446" s="566"/>
      <c r="L446" s="574"/>
      <c r="M446" s="566"/>
      <c r="N446" s="566"/>
      <c r="O446" s="566"/>
      <c r="P446" s="566"/>
      <c r="Q446" s="566"/>
      <c r="R446" s="566"/>
      <c r="S446" s="566"/>
      <c r="T446" s="566"/>
      <c r="U446" s="566"/>
    </row>
    <row r="447" spans="1:21" ht="19.5" x14ac:dyDescent="0.3">
      <c r="A447" s="764"/>
      <c r="B447" s="718"/>
      <c r="C447" s="718"/>
      <c r="D447" s="718"/>
      <c r="E447" s="718"/>
      <c r="F447" s="718"/>
      <c r="G447" s="727"/>
      <c r="H447" s="681" t="s">
        <v>34</v>
      </c>
      <c r="I447" s="565"/>
      <c r="J447" s="697">
        <f t="shared" si="289"/>
        <v>0</v>
      </c>
      <c r="K447" s="566"/>
      <c r="L447" s="574"/>
      <c r="M447" s="566"/>
      <c r="N447" s="566"/>
      <c r="O447" s="566"/>
      <c r="P447" s="566"/>
      <c r="Q447" s="566"/>
      <c r="R447" s="566"/>
      <c r="S447" s="566"/>
      <c r="T447" s="566"/>
      <c r="U447" s="566"/>
    </row>
    <row r="448" spans="1:21" ht="18.75" x14ac:dyDescent="0.25">
      <c r="A448" s="764"/>
      <c r="B448" s="718"/>
      <c r="C448" s="718"/>
      <c r="D448" s="718"/>
      <c r="E448" s="765" t="s">
        <v>173</v>
      </c>
      <c r="F448" s="718"/>
      <c r="G448" s="727"/>
      <c r="H448" s="681" t="s">
        <v>46</v>
      </c>
      <c r="I448" s="565"/>
      <c r="J448" s="565"/>
      <c r="K448" s="566"/>
      <c r="L448" s="574"/>
      <c r="M448" s="566"/>
      <c r="N448" s="566"/>
      <c r="O448" s="566"/>
      <c r="P448" s="566"/>
      <c r="Q448" s="566"/>
      <c r="R448" s="566"/>
      <c r="S448" s="566"/>
      <c r="T448" s="566"/>
      <c r="U448" s="566"/>
    </row>
    <row r="449" spans="1:21" ht="18.75" x14ac:dyDescent="0.25">
      <c r="A449" s="764"/>
      <c r="B449" s="718"/>
      <c r="C449" s="718"/>
      <c r="D449" s="718"/>
      <c r="E449" s="718"/>
      <c r="F449" s="718"/>
      <c r="G449" s="727"/>
      <c r="H449" s="681" t="s">
        <v>34</v>
      </c>
      <c r="I449" s="565"/>
      <c r="J449" s="565"/>
      <c r="K449" s="566"/>
      <c r="L449" s="574"/>
      <c r="M449" s="566"/>
      <c r="N449" s="566"/>
      <c r="O449" s="566"/>
      <c r="P449" s="566"/>
      <c r="Q449" s="566"/>
      <c r="R449" s="566"/>
      <c r="S449" s="566"/>
      <c r="T449" s="566"/>
      <c r="U449" s="566"/>
    </row>
    <row r="450" spans="1:21" ht="18.75" x14ac:dyDescent="0.25">
      <c r="A450" s="764"/>
      <c r="B450" s="718"/>
      <c r="C450" s="718"/>
      <c r="D450" s="718"/>
      <c r="E450" s="765" t="s">
        <v>174</v>
      </c>
      <c r="F450" s="718"/>
      <c r="G450" s="727"/>
      <c r="H450" s="681" t="s">
        <v>46</v>
      </c>
      <c r="I450" s="565"/>
      <c r="J450" s="565"/>
      <c r="K450" s="566"/>
      <c r="L450" s="574"/>
      <c r="M450" s="566"/>
      <c r="N450" s="566"/>
      <c r="O450" s="566"/>
      <c r="P450" s="566"/>
      <c r="Q450" s="566"/>
      <c r="R450" s="566"/>
      <c r="S450" s="566"/>
      <c r="T450" s="566"/>
      <c r="U450" s="566"/>
    </row>
    <row r="451" spans="1:21" ht="18.75" x14ac:dyDescent="0.25">
      <c r="A451" s="764"/>
      <c r="B451" s="718"/>
      <c r="C451" s="718"/>
      <c r="D451" s="718"/>
      <c r="E451" s="718"/>
      <c r="F451" s="718"/>
      <c r="G451" s="727"/>
      <c r="H451" s="681" t="s">
        <v>34</v>
      </c>
      <c r="I451" s="565"/>
      <c r="J451" s="565"/>
      <c r="K451" s="566"/>
      <c r="L451" s="574"/>
      <c r="M451" s="566"/>
      <c r="N451" s="566"/>
      <c r="O451" s="566"/>
      <c r="P451" s="566"/>
      <c r="Q451" s="566"/>
      <c r="R451" s="566"/>
      <c r="S451" s="566"/>
      <c r="T451" s="566"/>
      <c r="U451" s="566"/>
    </row>
    <row r="452" spans="1:21" ht="18.75" x14ac:dyDescent="0.25">
      <c r="A452" s="764"/>
      <c r="B452" s="718"/>
      <c r="C452" s="718"/>
      <c r="D452" s="765" t="s">
        <v>175</v>
      </c>
      <c r="E452" s="718"/>
      <c r="F452" s="718"/>
      <c r="G452" s="727"/>
      <c r="H452" s="681" t="s">
        <v>46</v>
      </c>
      <c r="I452" s="565"/>
      <c r="J452" s="565"/>
      <c r="K452" s="566"/>
      <c r="L452" s="574"/>
      <c r="M452" s="566"/>
      <c r="N452" s="566"/>
      <c r="O452" s="566"/>
      <c r="P452" s="566"/>
      <c r="Q452" s="566"/>
      <c r="R452" s="566"/>
      <c r="S452" s="566"/>
      <c r="T452" s="566"/>
      <c r="U452" s="566"/>
    </row>
    <row r="453" spans="1:21" ht="18.75" x14ac:dyDescent="0.25">
      <c r="A453" s="764"/>
      <c r="B453" s="718"/>
      <c r="C453" s="718"/>
      <c r="D453" s="718"/>
      <c r="E453" s="718"/>
      <c r="F453" s="718"/>
      <c r="G453" s="727"/>
      <c r="H453" s="681" t="s">
        <v>34</v>
      </c>
      <c r="I453" s="565"/>
      <c r="J453" s="565"/>
      <c r="K453" s="566"/>
      <c r="L453" s="574"/>
      <c r="M453" s="566"/>
      <c r="N453" s="566"/>
      <c r="O453" s="566"/>
      <c r="P453" s="566"/>
      <c r="Q453" s="566"/>
      <c r="R453" s="566"/>
      <c r="S453" s="566"/>
      <c r="T453" s="566"/>
      <c r="U453" s="566"/>
    </row>
    <row r="454" spans="1:21" ht="18.75" x14ac:dyDescent="0.25">
      <c r="A454" s="764"/>
      <c r="B454" s="718"/>
      <c r="C454" s="718"/>
      <c r="D454" s="765" t="s">
        <v>176</v>
      </c>
      <c r="E454" s="718"/>
      <c r="F454" s="718"/>
      <c r="G454" s="727"/>
      <c r="H454" s="681" t="s">
        <v>46</v>
      </c>
      <c r="I454" s="565"/>
      <c r="J454" s="981"/>
      <c r="K454" s="566"/>
      <c r="L454" s="574"/>
      <c r="M454" s="566"/>
      <c r="N454" s="566"/>
      <c r="O454" s="566"/>
      <c r="P454" s="566"/>
      <c r="Q454" s="566"/>
      <c r="R454" s="566"/>
      <c r="S454" s="566"/>
      <c r="T454" s="566"/>
      <c r="U454" s="566"/>
    </row>
    <row r="455" spans="1:21" ht="18.75" x14ac:dyDescent="0.25">
      <c r="A455" s="764"/>
      <c r="B455" s="718"/>
      <c r="C455" s="718"/>
      <c r="D455" s="718"/>
      <c r="E455" s="718"/>
      <c r="F455" s="718"/>
      <c r="G455" s="727"/>
      <c r="H455" s="681" t="s">
        <v>34</v>
      </c>
      <c r="I455" s="565"/>
      <c r="J455" s="565"/>
      <c r="K455" s="566"/>
      <c r="L455" s="574"/>
      <c r="M455" s="566"/>
      <c r="N455" s="566"/>
      <c r="O455" s="566"/>
      <c r="P455" s="566"/>
      <c r="Q455" s="566"/>
      <c r="R455" s="566"/>
      <c r="S455" s="566"/>
      <c r="T455" s="566"/>
      <c r="U455" s="566"/>
    </row>
    <row r="456" spans="1:21" ht="19.5" x14ac:dyDescent="0.3">
      <c r="A456" s="764"/>
      <c r="B456" s="719" t="s">
        <v>177</v>
      </c>
      <c r="C456" s="718"/>
      <c r="D456" s="718"/>
      <c r="E456" s="718"/>
      <c r="F456" s="718"/>
      <c r="G456" s="727"/>
      <c r="H456" s="979" t="s">
        <v>46</v>
      </c>
      <c r="I456" s="697">
        <f t="shared" ref="I456:J456" ca="1" si="290">I457</f>
        <v>80</v>
      </c>
      <c r="J456" s="697">
        <f t="shared" si="290"/>
        <v>0</v>
      </c>
      <c r="K456" s="679">
        <f t="shared" ref="K456:K458" ca="1" si="291">IF(I456&gt;0,J456*100/I456,0)</f>
        <v>0</v>
      </c>
      <c r="L456" s="574"/>
      <c r="M456" s="566"/>
      <c r="N456" s="566"/>
      <c r="O456" s="566"/>
      <c r="P456" s="566"/>
      <c r="Q456" s="566"/>
      <c r="R456" s="566"/>
      <c r="S456" s="566"/>
      <c r="T456" s="566"/>
      <c r="U456" s="566"/>
    </row>
    <row r="457" spans="1:21" ht="19.5" x14ac:dyDescent="0.3">
      <c r="A457" s="764"/>
      <c r="B457" s="718"/>
      <c r="C457" s="719" t="s">
        <v>178</v>
      </c>
      <c r="D457" s="718"/>
      <c r="E457" s="718"/>
      <c r="F457" s="718"/>
      <c r="G457" s="727"/>
      <c r="H457" s="677" t="s">
        <v>46</v>
      </c>
      <c r="I457" s="697">
        <f ca="1">IFERROR(__xludf.DUMMYFUNCTION("IMPORTRANGE(""https://docs.google.com/spreadsheets/d/1eHaY18a8A9IcSdp1K8H6x8fbOy06t2VsZHhMHf-1x7Y/edit?usp=sharing"",""แผน!HL17"")"),80)</f>
        <v>80</v>
      </c>
      <c r="J457" s="697">
        <f t="shared" ref="J457:J458" si="292">J459+J467+J473</f>
        <v>0</v>
      </c>
      <c r="K457" s="679">
        <f t="shared" ca="1" si="291"/>
        <v>0</v>
      </c>
      <c r="L457" s="574"/>
      <c r="M457" s="566"/>
      <c r="N457" s="566"/>
      <c r="O457" s="566"/>
      <c r="P457" s="566"/>
      <c r="Q457" s="566"/>
      <c r="R457" s="566"/>
      <c r="S457" s="566"/>
      <c r="T457" s="566"/>
      <c r="U457" s="566"/>
    </row>
    <row r="458" spans="1:21" ht="19.5" x14ac:dyDescent="0.3">
      <c r="A458" s="764"/>
      <c r="B458" s="718"/>
      <c r="C458" s="718"/>
      <c r="D458" s="718"/>
      <c r="E458" s="718"/>
      <c r="F458" s="718"/>
      <c r="G458" s="727"/>
      <c r="H458" s="677" t="s">
        <v>34</v>
      </c>
      <c r="I458" s="697">
        <f ca="1">IFERROR(__xludf.DUMMYFUNCTION("IMPORTRANGE(""https://docs.google.com/spreadsheets/d/1eHaY18a8A9IcSdp1K8H6x8fbOy06t2VsZHhMHf-1x7Y/edit?usp=sharing"",""แผน!HM17"")"),0)</f>
        <v>0</v>
      </c>
      <c r="J458" s="697">
        <f t="shared" si="292"/>
        <v>0</v>
      </c>
      <c r="K458" s="679">
        <f t="shared" ca="1" si="291"/>
        <v>0</v>
      </c>
      <c r="L458" s="574"/>
      <c r="M458" s="566"/>
      <c r="N458" s="566"/>
      <c r="O458" s="566"/>
      <c r="P458" s="566"/>
      <c r="Q458" s="566"/>
      <c r="R458" s="566"/>
      <c r="S458" s="566"/>
      <c r="T458" s="566"/>
      <c r="U458" s="566"/>
    </row>
    <row r="459" spans="1:21" ht="18.75" x14ac:dyDescent="0.25">
      <c r="A459" s="764"/>
      <c r="B459" s="718"/>
      <c r="C459" s="765" t="s">
        <v>179</v>
      </c>
      <c r="D459" s="718"/>
      <c r="E459" s="718"/>
      <c r="F459" s="718"/>
      <c r="G459" s="727"/>
      <c r="H459" s="681" t="s">
        <v>46</v>
      </c>
      <c r="I459" s="565"/>
      <c r="J459" s="708">
        <f t="shared" ref="J459:J460" si="293">J461+J463</f>
        <v>0</v>
      </c>
      <c r="K459" s="566"/>
      <c r="L459" s="574"/>
      <c r="M459" s="566"/>
      <c r="N459" s="566"/>
      <c r="O459" s="566"/>
      <c r="P459" s="566"/>
      <c r="Q459" s="566"/>
      <c r="R459" s="566"/>
      <c r="S459" s="566"/>
      <c r="T459" s="566"/>
      <c r="U459" s="566"/>
    </row>
    <row r="460" spans="1:21" ht="18.75" x14ac:dyDescent="0.25">
      <c r="A460" s="764"/>
      <c r="B460" s="718"/>
      <c r="C460" s="718"/>
      <c r="D460" s="718"/>
      <c r="E460" s="718"/>
      <c r="F460" s="718"/>
      <c r="G460" s="727"/>
      <c r="H460" s="681" t="s">
        <v>34</v>
      </c>
      <c r="I460" s="565"/>
      <c r="J460" s="708">
        <f t="shared" si="293"/>
        <v>0</v>
      </c>
      <c r="K460" s="566"/>
      <c r="L460" s="574"/>
      <c r="M460" s="566"/>
      <c r="N460" s="566"/>
      <c r="O460" s="566"/>
      <c r="P460" s="566"/>
      <c r="Q460" s="566"/>
      <c r="R460" s="566"/>
      <c r="S460" s="566"/>
      <c r="T460" s="566"/>
      <c r="U460" s="566"/>
    </row>
    <row r="461" spans="1:21" ht="18.75" x14ac:dyDescent="0.25">
      <c r="A461" s="764"/>
      <c r="B461" s="718"/>
      <c r="C461" s="718"/>
      <c r="D461" s="982" t="s">
        <v>180</v>
      </c>
      <c r="E461" s="718"/>
      <c r="F461" s="718"/>
      <c r="G461" s="727"/>
      <c r="H461" s="681" t="s">
        <v>46</v>
      </c>
      <c r="I461" s="565"/>
      <c r="J461" s="565"/>
      <c r="K461" s="566"/>
      <c r="L461" s="574"/>
      <c r="M461" s="566"/>
      <c r="N461" s="566"/>
      <c r="O461" s="566"/>
      <c r="P461" s="566"/>
      <c r="Q461" s="566"/>
      <c r="R461" s="566"/>
      <c r="S461" s="566"/>
      <c r="T461" s="566"/>
      <c r="U461" s="566"/>
    </row>
    <row r="462" spans="1:21" ht="18.75" x14ac:dyDescent="0.25">
      <c r="A462" s="764"/>
      <c r="B462" s="718"/>
      <c r="C462" s="718"/>
      <c r="D462" s="718"/>
      <c r="E462" s="718"/>
      <c r="F462" s="718"/>
      <c r="G462" s="727"/>
      <c r="H462" s="681" t="s">
        <v>34</v>
      </c>
      <c r="I462" s="565"/>
      <c r="J462" s="565"/>
      <c r="K462" s="566"/>
      <c r="L462" s="574"/>
      <c r="M462" s="566"/>
      <c r="N462" s="566"/>
      <c r="O462" s="566"/>
      <c r="P462" s="566"/>
      <c r="Q462" s="566"/>
      <c r="R462" s="566"/>
      <c r="S462" s="566"/>
      <c r="T462" s="566"/>
      <c r="U462" s="566"/>
    </row>
    <row r="463" spans="1:21" ht="18.75" x14ac:dyDescent="0.25">
      <c r="A463" s="764"/>
      <c r="B463" s="718"/>
      <c r="C463" s="718"/>
      <c r="D463" s="982" t="s">
        <v>181</v>
      </c>
      <c r="E463" s="718"/>
      <c r="F463" s="718"/>
      <c r="G463" s="727"/>
      <c r="H463" s="681" t="s">
        <v>46</v>
      </c>
      <c r="I463" s="565"/>
      <c r="J463" s="565"/>
      <c r="K463" s="566"/>
      <c r="L463" s="574"/>
      <c r="M463" s="566"/>
      <c r="N463" s="566"/>
      <c r="O463" s="566"/>
      <c r="P463" s="566"/>
      <c r="Q463" s="566"/>
      <c r="R463" s="566"/>
      <c r="S463" s="566"/>
      <c r="T463" s="566"/>
      <c r="U463" s="566"/>
    </row>
    <row r="464" spans="1:21" ht="18.75" x14ac:dyDescent="0.25">
      <c r="A464" s="764"/>
      <c r="B464" s="718"/>
      <c r="C464" s="718"/>
      <c r="D464" s="718"/>
      <c r="E464" s="718"/>
      <c r="F464" s="718"/>
      <c r="G464" s="727"/>
      <c r="H464" s="681" t="s">
        <v>34</v>
      </c>
      <c r="I464" s="565"/>
      <c r="J464" s="565"/>
      <c r="K464" s="566"/>
      <c r="L464" s="574"/>
      <c r="M464" s="566"/>
      <c r="N464" s="566"/>
      <c r="O464" s="566"/>
      <c r="P464" s="566"/>
      <c r="Q464" s="566"/>
      <c r="R464" s="566"/>
      <c r="S464" s="566"/>
      <c r="T464" s="566"/>
      <c r="U464" s="566"/>
    </row>
    <row r="465" spans="1:21" ht="18.75" x14ac:dyDescent="0.25">
      <c r="A465" s="764"/>
      <c r="B465" s="718"/>
      <c r="C465" s="718"/>
      <c r="D465" s="982" t="s">
        <v>182</v>
      </c>
      <c r="E465" s="718"/>
      <c r="F465" s="718"/>
      <c r="G465" s="727"/>
      <c r="H465" s="681" t="s">
        <v>46</v>
      </c>
      <c r="I465" s="565"/>
      <c r="J465" s="565"/>
      <c r="K465" s="566"/>
      <c r="L465" s="574"/>
      <c r="M465" s="566"/>
      <c r="N465" s="566"/>
      <c r="O465" s="566"/>
      <c r="P465" s="566"/>
      <c r="Q465" s="566"/>
      <c r="R465" s="566"/>
      <c r="S465" s="566"/>
      <c r="T465" s="566"/>
      <c r="U465" s="566"/>
    </row>
    <row r="466" spans="1:21" ht="18.75" x14ac:dyDescent="0.25">
      <c r="A466" s="764"/>
      <c r="B466" s="718"/>
      <c r="C466" s="718"/>
      <c r="D466" s="718"/>
      <c r="E466" s="718"/>
      <c r="F466" s="718"/>
      <c r="G466" s="727"/>
      <c r="H466" s="681" t="s">
        <v>34</v>
      </c>
      <c r="I466" s="565"/>
      <c r="J466" s="565"/>
      <c r="K466" s="566"/>
      <c r="L466" s="574"/>
      <c r="M466" s="566"/>
      <c r="N466" s="566"/>
      <c r="O466" s="566"/>
      <c r="P466" s="566"/>
      <c r="Q466" s="566"/>
      <c r="R466" s="566"/>
      <c r="S466" s="566"/>
      <c r="T466" s="566"/>
      <c r="U466" s="566"/>
    </row>
    <row r="467" spans="1:21" ht="18.75" x14ac:dyDescent="0.25">
      <c r="A467" s="764"/>
      <c r="B467" s="718"/>
      <c r="C467" s="982" t="s">
        <v>183</v>
      </c>
      <c r="D467" s="718"/>
      <c r="E467" s="718"/>
      <c r="F467" s="718"/>
      <c r="G467" s="727"/>
      <c r="H467" s="681" t="s">
        <v>46</v>
      </c>
      <c r="I467" s="565"/>
      <c r="J467" s="708">
        <f t="shared" ref="J467:J468" si="294">J469+J471</f>
        <v>0</v>
      </c>
      <c r="K467" s="566"/>
      <c r="L467" s="574"/>
      <c r="M467" s="566"/>
      <c r="N467" s="566"/>
      <c r="O467" s="566"/>
      <c r="P467" s="566"/>
      <c r="Q467" s="566"/>
      <c r="R467" s="566"/>
      <c r="S467" s="566"/>
      <c r="T467" s="566"/>
      <c r="U467" s="566"/>
    </row>
    <row r="468" spans="1:21" ht="18.75" x14ac:dyDescent="0.25">
      <c r="A468" s="764"/>
      <c r="B468" s="718"/>
      <c r="C468" s="718"/>
      <c r="D468" s="718"/>
      <c r="E468" s="718"/>
      <c r="F468" s="718"/>
      <c r="G468" s="727"/>
      <c r="H468" s="681" t="s">
        <v>34</v>
      </c>
      <c r="I468" s="565"/>
      <c r="J468" s="708">
        <f t="shared" si="294"/>
        <v>0</v>
      </c>
      <c r="K468" s="566"/>
      <c r="L468" s="574"/>
      <c r="M468" s="566"/>
      <c r="N468" s="566"/>
      <c r="O468" s="566"/>
      <c r="P468" s="566"/>
      <c r="Q468" s="566"/>
      <c r="R468" s="566"/>
      <c r="S468" s="566"/>
      <c r="T468" s="566"/>
      <c r="U468" s="566"/>
    </row>
    <row r="469" spans="1:21" ht="18.75" x14ac:dyDescent="0.25">
      <c r="A469" s="764"/>
      <c r="B469" s="718"/>
      <c r="C469" s="718"/>
      <c r="D469" s="982" t="s">
        <v>184</v>
      </c>
      <c r="E469" s="718"/>
      <c r="F469" s="718"/>
      <c r="G469" s="727"/>
      <c r="H469" s="681" t="s">
        <v>46</v>
      </c>
      <c r="I469" s="565"/>
      <c r="J469" s="565"/>
      <c r="K469" s="566"/>
      <c r="L469" s="574"/>
      <c r="M469" s="566"/>
      <c r="N469" s="566"/>
      <c r="O469" s="566"/>
      <c r="P469" s="566"/>
      <c r="Q469" s="566"/>
      <c r="R469" s="566"/>
      <c r="S469" s="566"/>
      <c r="T469" s="566"/>
      <c r="U469" s="566"/>
    </row>
    <row r="470" spans="1:21" ht="18.75" x14ac:dyDescent="0.25">
      <c r="A470" s="764"/>
      <c r="B470" s="718"/>
      <c r="C470" s="718"/>
      <c r="D470" s="718"/>
      <c r="E470" s="718"/>
      <c r="F470" s="718"/>
      <c r="G470" s="727"/>
      <c r="H470" s="681" t="s">
        <v>34</v>
      </c>
      <c r="I470" s="565"/>
      <c r="J470" s="565"/>
      <c r="K470" s="566"/>
      <c r="L470" s="574"/>
      <c r="M470" s="566"/>
      <c r="N470" s="566"/>
      <c r="O470" s="566"/>
      <c r="P470" s="566"/>
      <c r="Q470" s="566"/>
      <c r="R470" s="566"/>
      <c r="S470" s="566"/>
      <c r="T470" s="566"/>
      <c r="U470" s="566"/>
    </row>
    <row r="471" spans="1:21" ht="18.75" x14ac:dyDescent="0.25">
      <c r="A471" s="764"/>
      <c r="B471" s="718"/>
      <c r="C471" s="718"/>
      <c r="D471" s="982" t="s">
        <v>185</v>
      </c>
      <c r="E471" s="718"/>
      <c r="F471" s="718"/>
      <c r="G471" s="727"/>
      <c r="H471" s="681" t="s">
        <v>46</v>
      </c>
      <c r="I471" s="565"/>
      <c r="J471" s="565"/>
      <c r="K471" s="566"/>
      <c r="L471" s="574"/>
      <c r="M471" s="566"/>
      <c r="N471" s="566"/>
      <c r="O471" s="566"/>
      <c r="P471" s="566"/>
      <c r="Q471" s="566"/>
      <c r="R471" s="566"/>
      <c r="S471" s="566"/>
      <c r="T471" s="566"/>
      <c r="U471" s="566"/>
    </row>
    <row r="472" spans="1:21" ht="18.75" x14ac:dyDescent="0.25">
      <c r="A472" s="764"/>
      <c r="B472" s="718"/>
      <c r="C472" s="718"/>
      <c r="D472" s="718"/>
      <c r="E472" s="718"/>
      <c r="F472" s="718"/>
      <c r="G472" s="727"/>
      <c r="H472" s="681" t="s">
        <v>34</v>
      </c>
      <c r="I472" s="565"/>
      <c r="J472" s="565"/>
      <c r="K472" s="566"/>
      <c r="L472" s="574"/>
      <c r="M472" s="566"/>
      <c r="N472" s="566"/>
      <c r="O472" s="566"/>
      <c r="P472" s="566"/>
      <c r="Q472" s="566"/>
      <c r="R472" s="566"/>
      <c r="S472" s="566"/>
      <c r="T472" s="566"/>
      <c r="U472" s="566"/>
    </row>
    <row r="473" spans="1:21" ht="18.75" x14ac:dyDescent="0.25">
      <c r="A473" s="764"/>
      <c r="B473" s="718"/>
      <c r="C473" s="765" t="s">
        <v>186</v>
      </c>
      <c r="D473" s="718"/>
      <c r="E473" s="718"/>
      <c r="F473" s="718"/>
      <c r="G473" s="727"/>
      <c r="H473" s="681" t="s">
        <v>46</v>
      </c>
      <c r="I473" s="565"/>
      <c r="J473" s="565"/>
      <c r="K473" s="566"/>
      <c r="L473" s="574"/>
      <c r="M473" s="566"/>
      <c r="N473" s="566"/>
      <c r="O473" s="566"/>
      <c r="P473" s="566"/>
      <c r="Q473" s="566"/>
      <c r="R473" s="566"/>
      <c r="S473" s="566"/>
      <c r="T473" s="566"/>
      <c r="U473" s="566"/>
    </row>
    <row r="474" spans="1:21" ht="18.75" x14ac:dyDescent="0.25">
      <c r="A474" s="764"/>
      <c r="B474" s="718"/>
      <c r="C474" s="718"/>
      <c r="D474" s="718"/>
      <c r="E474" s="718"/>
      <c r="F474" s="718"/>
      <c r="G474" s="727"/>
      <c r="H474" s="681" t="s">
        <v>34</v>
      </c>
      <c r="I474" s="565"/>
      <c r="J474" s="565"/>
      <c r="K474" s="566"/>
      <c r="L474" s="574"/>
      <c r="M474" s="566"/>
      <c r="N474" s="566"/>
      <c r="O474" s="566"/>
      <c r="P474" s="566"/>
      <c r="Q474" s="566"/>
      <c r="R474" s="566"/>
      <c r="S474" s="566"/>
      <c r="T474" s="566"/>
      <c r="U474" s="566"/>
    </row>
    <row r="475" spans="1:21" ht="19.5" x14ac:dyDescent="0.3">
      <c r="A475" s="764"/>
      <c r="B475" s="983" t="s">
        <v>187</v>
      </c>
      <c r="C475" s="718"/>
      <c r="D475" s="718"/>
      <c r="E475" s="718"/>
      <c r="F475" s="718"/>
      <c r="G475" s="727"/>
      <c r="H475" s="677" t="s">
        <v>46</v>
      </c>
      <c r="I475" s="697">
        <v>0</v>
      </c>
      <c r="J475" s="697">
        <f>J478+J480</f>
        <v>0</v>
      </c>
      <c r="K475" s="679">
        <f t="shared" ref="K475:K477" si="295">IF(I475&gt;0,J475*100/I475,0)</f>
        <v>0</v>
      </c>
      <c r="L475" s="574"/>
      <c r="M475" s="566"/>
      <c r="N475" s="566"/>
      <c r="O475" s="566"/>
      <c r="P475" s="566"/>
      <c r="Q475" s="566"/>
      <c r="R475" s="566"/>
      <c r="S475" s="566"/>
      <c r="T475" s="566"/>
      <c r="U475" s="566"/>
    </row>
    <row r="476" spans="1:21" ht="19.5" x14ac:dyDescent="0.3">
      <c r="A476" s="764"/>
      <c r="B476" s="718"/>
      <c r="C476" s="719" t="s">
        <v>188</v>
      </c>
      <c r="D476" s="718"/>
      <c r="E476" s="718"/>
      <c r="F476" s="718"/>
      <c r="G476" s="727"/>
      <c r="H476" s="677" t="s">
        <v>46</v>
      </c>
      <c r="I476" s="697">
        <v>0</v>
      </c>
      <c r="J476" s="697">
        <f t="shared" ref="J476:J477" si="296">J478+J480</f>
        <v>0</v>
      </c>
      <c r="K476" s="679">
        <f t="shared" si="295"/>
        <v>0</v>
      </c>
      <c r="L476" s="574"/>
      <c r="M476" s="566"/>
      <c r="N476" s="566"/>
      <c r="O476" s="566"/>
      <c r="P476" s="566"/>
      <c r="Q476" s="566"/>
      <c r="R476" s="566"/>
      <c r="S476" s="566"/>
      <c r="T476" s="566"/>
      <c r="U476" s="566"/>
    </row>
    <row r="477" spans="1:21" ht="19.5" x14ac:dyDescent="0.3">
      <c r="A477" s="764"/>
      <c r="B477" s="718"/>
      <c r="C477" s="765" t="s">
        <v>189</v>
      </c>
      <c r="D477" s="718"/>
      <c r="E477" s="718"/>
      <c r="F477" s="718"/>
      <c r="G477" s="727"/>
      <c r="H477" s="677" t="s">
        <v>34</v>
      </c>
      <c r="I477" s="697">
        <v>0</v>
      </c>
      <c r="J477" s="697">
        <f t="shared" si="296"/>
        <v>0</v>
      </c>
      <c r="K477" s="679">
        <f t="shared" si="295"/>
        <v>0</v>
      </c>
      <c r="L477" s="574"/>
      <c r="M477" s="566"/>
      <c r="N477" s="566"/>
      <c r="O477" s="566"/>
      <c r="P477" s="566"/>
      <c r="Q477" s="566"/>
      <c r="R477" s="566"/>
      <c r="S477" s="566"/>
      <c r="T477" s="566"/>
      <c r="U477" s="566"/>
    </row>
    <row r="478" spans="1:21" ht="18.75" x14ac:dyDescent="0.25">
      <c r="A478" s="764"/>
      <c r="B478" s="718"/>
      <c r="C478" s="718"/>
      <c r="D478" s="765" t="s">
        <v>190</v>
      </c>
      <c r="E478" s="718"/>
      <c r="F478" s="718"/>
      <c r="G478" s="727"/>
      <c r="H478" s="681" t="s">
        <v>46</v>
      </c>
      <c r="I478" s="565"/>
      <c r="J478" s="565"/>
      <c r="K478" s="566"/>
      <c r="L478" s="574"/>
      <c r="M478" s="566"/>
      <c r="N478" s="566"/>
      <c r="O478" s="566"/>
      <c r="P478" s="566"/>
      <c r="Q478" s="566"/>
      <c r="R478" s="566"/>
      <c r="S478" s="566"/>
      <c r="T478" s="566"/>
      <c r="U478" s="566"/>
    </row>
    <row r="479" spans="1:21" ht="18.75" x14ac:dyDescent="0.25">
      <c r="A479" s="764"/>
      <c r="B479" s="718"/>
      <c r="C479" s="718"/>
      <c r="D479" s="718"/>
      <c r="E479" s="718"/>
      <c r="F479" s="718"/>
      <c r="G479" s="727"/>
      <c r="H479" s="681" t="s">
        <v>34</v>
      </c>
      <c r="I479" s="565"/>
      <c r="J479" s="565"/>
      <c r="K479" s="566"/>
      <c r="L479" s="574"/>
      <c r="M479" s="566"/>
      <c r="N479" s="566"/>
      <c r="O479" s="566"/>
      <c r="P479" s="566"/>
      <c r="Q479" s="566"/>
      <c r="R479" s="566"/>
      <c r="S479" s="566"/>
      <c r="T479" s="566"/>
      <c r="U479" s="566"/>
    </row>
    <row r="480" spans="1:21" ht="18.75" x14ac:dyDescent="0.25">
      <c r="A480" s="764"/>
      <c r="B480" s="718"/>
      <c r="C480" s="718"/>
      <c r="D480" s="982" t="s">
        <v>191</v>
      </c>
      <c r="E480" s="718"/>
      <c r="F480" s="718"/>
      <c r="G480" s="727"/>
      <c r="H480" s="681" t="s">
        <v>46</v>
      </c>
      <c r="I480" s="565"/>
      <c r="J480" s="565"/>
      <c r="K480" s="566"/>
      <c r="L480" s="574"/>
      <c r="M480" s="566"/>
      <c r="N480" s="566"/>
      <c r="O480" s="566"/>
      <c r="P480" s="566"/>
      <c r="Q480" s="566"/>
      <c r="R480" s="566"/>
      <c r="S480" s="566"/>
      <c r="T480" s="566"/>
      <c r="U480" s="566"/>
    </row>
    <row r="481" spans="1:21" ht="18.75" x14ac:dyDescent="0.25">
      <c r="A481" s="764"/>
      <c r="B481" s="718"/>
      <c r="C481" s="718"/>
      <c r="D481" s="718"/>
      <c r="E481" s="718"/>
      <c r="F481" s="718"/>
      <c r="G481" s="727"/>
      <c r="H481" s="681" t="s">
        <v>34</v>
      </c>
      <c r="I481" s="565"/>
      <c r="J481" s="565"/>
      <c r="K481" s="566"/>
      <c r="L481" s="574"/>
      <c r="M481" s="566"/>
      <c r="N481" s="566"/>
      <c r="O481" s="566"/>
      <c r="P481" s="566"/>
      <c r="Q481" s="566"/>
      <c r="R481" s="566"/>
      <c r="S481" s="566"/>
      <c r="T481" s="566"/>
      <c r="U481" s="566"/>
    </row>
    <row r="482" spans="1:21" ht="18.75" x14ac:dyDescent="0.25">
      <c r="A482" s="764"/>
      <c r="B482" s="718"/>
      <c r="C482" s="718"/>
      <c r="D482" s="982" t="s">
        <v>192</v>
      </c>
      <c r="E482" s="718"/>
      <c r="F482" s="718"/>
      <c r="G482" s="727"/>
      <c r="H482" s="681" t="s">
        <v>46</v>
      </c>
      <c r="I482" s="565"/>
      <c r="J482" s="708">
        <f ca="1">IFERROR(__xludf.DUMMYFUNCTION("IMPORTRANGE(""https://docs.google.com/spreadsheets/d/1eHaY18a8A9IcSdp1K8H6x8fbOy06t2VsZHhMHf-1x7Y/edit?usp=sharing"",""แผน!HN17"")"),0)</f>
        <v>0</v>
      </c>
      <c r="K482" s="566"/>
      <c r="L482" s="574"/>
      <c r="M482" s="566"/>
      <c r="N482" s="566"/>
      <c r="O482" s="566"/>
      <c r="P482" s="566"/>
      <c r="Q482" s="566"/>
      <c r="R482" s="566"/>
      <c r="S482" s="566"/>
      <c r="T482" s="566"/>
      <c r="U482" s="566"/>
    </row>
    <row r="483" spans="1:21" ht="18.75" x14ac:dyDescent="0.25">
      <c r="A483" s="764"/>
      <c r="B483" s="718"/>
      <c r="C483" s="718"/>
      <c r="D483" s="718"/>
      <c r="E483" s="718"/>
      <c r="F483" s="718"/>
      <c r="G483" s="727"/>
      <c r="H483" s="681" t="s">
        <v>34</v>
      </c>
      <c r="I483" s="565"/>
      <c r="J483" s="708">
        <f ca="1">IFERROR(__xludf.DUMMYFUNCTION("IMPORTRANGE(""https://docs.google.com/spreadsheets/d/1eHaY18a8A9IcSdp1K8H6x8fbOy06t2VsZHhMHf-1x7Y/edit?usp=sharing"",""แผน!HO17"")"),0)</f>
        <v>0</v>
      </c>
      <c r="K483" s="566"/>
      <c r="L483" s="574"/>
      <c r="M483" s="566"/>
      <c r="N483" s="566"/>
      <c r="O483" s="566"/>
      <c r="P483" s="566"/>
      <c r="Q483" s="566"/>
      <c r="R483" s="566"/>
      <c r="S483" s="566"/>
      <c r="T483" s="566"/>
      <c r="U483" s="566"/>
    </row>
    <row r="484" spans="1:21" ht="19.5" x14ac:dyDescent="0.3">
      <c r="A484" s="764"/>
      <c r="B484" s="718"/>
      <c r="C484" s="719" t="s">
        <v>193</v>
      </c>
      <c r="D484" s="718"/>
      <c r="E484" s="718"/>
      <c r="F484" s="718"/>
      <c r="G484" s="727"/>
      <c r="H484" s="677" t="s">
        <v>46</v>
      </c>
      <c r="I484" s="565">
        <f t="shared" ref="I484:I485" si="297">J480</f>
        <v>0</v>
      </c>
      <c r="J484" s="697">
        <f t="shared" ref="J484:J485" si="298">J486+J488+J490</f>
        <v>0</v>
      </c>
      <c r="K484" s="679">
        <f t="shared" ref="K484:K485" si="299">IF(I484&gt;0,J484*100/I484,0)</f>
        <v>0</v>
      </c>
      <c r="L484" s="574"/>
      <c r="M484" s="566"/>
      <c r="N484" s="566"/>
      <c r="O484" s="566"/>
      <c r="P484" s="566"/>
      <c r="Q484" s="566"/>
      <c r="R484" s="566"/>
      <c r="S484" s="566"/>
      <c r="T484" s="566"/>
      <c r="U484" s="566"/>
    </row>
    <row r="485" spans="1:21" ht="19.5" x14ac:dyDescent="0.3">
      <c r="A485" s="764"/>
      <c r="B485" s="718"/>
      <c r="C485" s="765" t="s">
        <v>194</v>
      </c>
      <c r="D485" s="718"/>
      <c r="E485" s="718"/>
      <c r="F485" s="718"/>
      <c r="G485" s="727"/>
      <c r="H485" s="677" t="s">
        <v>34</v>
      </c>
      <c r="I485" s="565">
        <f t="shared" si="297"/>
        <v>0</v>
      </c>
      <c r="J485" s="697">
        <f t="shared" si="298"/>
        <v>0</v>
      </c>
      <c r="K485" s="679">
        <f t="shared" si="299"/>
        <v>0</v>
      </c>
      <c r="L485" s="574"/>
      <c r="M485" s="566"/>
      <c r="N485" s="566"/>
      <c r="O485" s="566"/>
      <c r="P485" s="566"/>
      <c r="Q485" s="566"/>
      <c r="R485" s="566"/>
      <c r="S485" s="566"/>
      <c r="T485" s="566"/>
      <c r="U485" s="566"/>
    </row>
    <row r="486" spans="1:21" ht="18.75" x14ac:dyDescent="0.25">
      <c r="A486" s="764"/>
      <c r="B486" s="718"/>
      <c r="C486" s="718"/>
      <c r="D486" s="982" t="s">
        <v>195</v>
      </c>
      <c r="E486" s="718"/>
      <c r="F486" s="718"/>
      <c r="G486" s="727"/>
      <c r="H486" s="681" t="s">
        <v>46</v>
      </c>
      <c r="I486" s="565"/>
      <c r="J486" s="565"/>
      <c r="K486" s="566"/>
      <c r="L486" s="574"/>
      <c r="M486" s="566"/>
      <c r="N486" s="566"/>
      <c r="O486" s="566"/>
      <c r="P486" s="566"/>
      <c r="Q486" s="566"/>
      <c r="R486" s="566"/>
      <c r="S486" s="566"/>
      <c r="T486" s="566"/>
      <c r="U486" s="566"/>
    </row>
    <row r="487" spans="1:21" ht="18.75" x14ac:dyDescent="0.25">
      <c r="A487" s="764"/>
      <c r="B487" s="718"/>
      <c r="C487" s="718"/>
      <c r="D487" s="718"/>
      <c r="E487" s="718"/>
      <c r="F487" s="718"/>
      <c r="G487" s="727"/>
      <c r="H487" s="681" t="s">
        <v>34</v>
      </c>
      <c r="I487" s="565"/>
      <c r="J487" s="565"/>
      <c r="K487" s="566"/>
      <c r="L487" s="574"/>
      <c r="M487" s="566"/>
      <c r="N487" s="566"/>
      <c r="O487" s="566"/>
      <c r="P487" s="566"/>
      <c r="Q487" s="566"/>
      <c r="R487" s="566"/>
      <c r="S487" s="566"/>
      <c r="T487" s="566"/>
      <c r="U487" s="566"/>
    </row>
    <row r="488" spans="1:21" ht="18.75" x14ac:dyDescent="0.25">
      <c r="A488" s="764"/>
      <c r="B488" s="718"/>
      <c r="C488" s="718"/>
      <c r="D488" s="982" t="s">
        <v>196</v>
      </c>
      <c r="E488" s="718"/>
      <c r="F488" s="718"/>
      <c r="G488" s="727"/>
      <c r="H488" s="681" t="s">
        <v>46</v>
      </c>
      <c r="I488" s="565"/>
      <c r="J488" s="565"/>
      <c r="K488" s="566"/>
      <c r="L488" s="574"/>
      <c r="M488" s="566"/>
      <c r="N488" s="566"/>
      <c r="O488" s="566"/>
      <c r="P488" s="566"/>
      <c r="Q488" s="566"/>
      <c r="R488" s="566"/>
      <c r="S488" s="566"/>
      <c r="T488" s="566"/>
      <c r="U488" s="566"/>
    </row>
    <row r="489" spans="1:21" ht="18.75" x14ac:dyDescent="0.25">
      <c r="A489" s="764"/>
      <c r="B489" s="718"/>
      <c r="C489" s="718"/>
      <c r="D489" s="718"/>
      <c r="E489" s="718"/>
      <c r="F489" s="718"/>
      <c r="G489" s="727"/>
      <c r="H489" s="681" t="s">
        <v>34</v>
      </c>
      <c r="I489" s="565"/>
      <c r="J489" s="565"/>
      <c r="K489" s="566"/>
      <c r="L489" s="574"/>
      <c r="M489" s="566"/>
      <c r="N489" s="566"/>
      <c r="O489" s="566"/>
      <c r="P489" s="566"/>
      <c r="Q489" s="566"/>
      <c r="R489" s="566"/>
      <c r="S489" s="566"/>
      <c r="T489" s="566"/>
      <c r="U489" s="566"/>
    </row>
    <row r="490" spans="1:21" ht="18.75" x14ac:dyDescent="0.25">
      <c r="A490" s="764"/>
      <c r="B490" s="718"/>
      <c r="C490" s="718"/>
      <c r="D490" s="982" t="s">
        <v>197</v>
      </c>
      <c r="E490" s="718"/>
      <c r="F490" s="718"/>
      <c r="G490" s="727"/>
      <c r="H490" s="681" t="s">
        <v>46</v>
      </c>
      <c r="I490" s="565"/>
      <c r="J490" s="565"/>
      <c r="K490" s="566"/>
      <c r="L490" s="574"/>
      <c r="M490" s="566"/>
      <c r="N490" s="566"/>
      <c r="O490" s="566"/>
      <c r="P490" s="566"/>
      <c r="Q490" s="566"/>
      <c r="R490" s="566"/>
      <c r="S490" s="566"/>
      <c r="T490" s="566"/>
      <c r="U490" s="566"/>
    </row>
    <row r="491" spans="1:21" ht="18.75" x14ac:dyDescent="0.25">
      <c r="A491" s="984"/>
      <c r="B491" s="514"/>
      <c r="C491" s="514"/>
      <c r="D491" s="514"/>
      <c r="E491" s="514"/>
      <c r="F491" s="514"/>
      <c r="G491" s="985"/>
      <c r="H491" s="986" t="s">
        <v>34</v>
      </c>
      <c r="I491" s="579"/>
      <c r="J491" s="579"/>
      <c r="K491" s="580"/>
      <c r="L491" s="581"/>
      <c r="M491" s="580"/>
      <c r="N491" s="580"/>
      <c r="O491" s="580"/>
      <c r="P491" s="580"/>
      <c r="Q491" s="580"/>
      <c r="R491" s="580"/>
      <c r="S491" s="580"/>
      <c r="T491" s="580"/>
      <c r="U491" s="580"/>
    </row>
    <row r="492" spans="1:21" ht="19.5" hidden="1" x14ac:dyDescent="0.3">
      <c r="A492" s="926"/>
      <c r="B492" s="971" t="s">
        <v>198</v>
      </c>
      <c r="C492" s="928"/>
      <c r="D492" s="928"/>
      <c r="E492" s="911"/>
      <c r="F492" s="911"/>
      <c r="G492" s="912"/>
      <c r="H492" s="977" t="s">
        <v>35</v>
      </c>
      <c r="I492" s="914">
        <f t="shared" ref="I492:J492" ca="1" si="300">I503</f>
        <v>0</v>
      </c>
      <c r="J492" s="914">
        <f t="shared" ca="1" si="300"/>
        <v>0</v>
      </c>
      <c r="K492" s="915">
        <f ca="1">IF(I492&gt;0,J492*100/I492,0)</f>
        <v>0</v>
      </c>
      <c r="L492" s="916"/>
      <c r="M492" s="917"/>
      <c r="N492" s="917"/>
      <c r="O492" s="917"/>
      <c r="P492" s="917"/>
      <c r="Q492" s="917"/>
      <c r="R492" s="917"/>
      <c r="S492" s="917"/>
      <c r="T492" s="917"/>
      <c r="U492" s="917"/>
    </row>
    <row r="493" spans="1:21" ht="19.5" hidden="1" x14ac:dyDescent="0.3">
      <c r="A493" s="674"/>
      <c r="B493" s="718"/>
      <c r="C493" s="724" t="s">
        <v>18</v>
      </c>
      <c r="D493" s="1313" t="s">
        <v>19</v>
      </c>
      <c r="E493" s="1314"/>
      <c r="F493" s="1314"/>
      <c r="G493" s="563"/>
      <c r="H493" s="780" t="s">
        <v>14</v>
      </c>
      <c r="I493" s="565"/>
      <c r="J493" s="565"/>
      <c r="K493" s="566"/>
      <c r="L493" s="678">
        <f t="shared" ref="L493:N493" ca="1" si="301">L494+L495</f>
        <v>0</v>
      </c>
      <c r="M493" s="679">
        <f t="shared" ca="1" si="301"/>
        <v>0</v>
      </c>
      <c r="N493" s="679">
        <f t="shared" ca="1" si="301"/>
        <v>0</v>
      </c>
      <c r="O493" s="679">
        <f t="shared" ref="O493:O501" ca="1" si="302">IF(L493&gt;0,N493*100/L493,0)</f>
        <v>0</v>
      </c>
      <c r="P493" s="679">
        <f t="shared" ref="P493:P501" ca="1" si="303">IF(M493&gt;0,N493*100/M493,0)</f>
        <v>0</v>
      </c>
      <c r="Q493" s="679">
        <f t="shared" ref="Q493:S493" ca="1" si="304">Q494+Q495</f>
        <v>0</v>
      </c>
      <c r="R493" s="679">
        <f t="shared" ca="1" si="304"/>
        <v>0</v>
      </c>
      <c r="S493" s="679">
        <f t="shared" ca="1" si="304"/>
        <v>0</v>
      </c>
      <c r="T493" s="679">
        <f t="shared" ref="T493:T501" ca="1" si="305">IF(Q493&gt;0,S493*100/Q493,0)</f>
        <v>0</v>
      </c>
      <c r="U493" s="679">
        <f t="shared" ref="U493:U501" ca="1" si="306">IF(R493&gt;0,S493*100/R493,0)</f>
        <v>0</v>
      </c>
    </row>
    <row r="494" spans="1:21" ht="18.75" hidden="1" x14ac:dyDescent="0.25">
      <c r="A494" s="674"/>
      <c r="B494" s="718"/>
      <c r="C494" s="718"/>
      <c r="D494" s="688"/>
      <c r="E494" s="569" t="s">
        <v>158</v>
      </c>
      <c r="F494" s="561"/>
      <c r="G494" s="563"/>
      <c r="H494" s="685" t="s">
        <v>14</v>
      </c>
      <c r="I494" s="565"/>
      <c r="J494" s="565"/>
      <c r="K494" s="566"/>
      <c r="L494" s="571">
        <f t="shared" ref="L494:N495" si="307">L497+L500</f>
        <v>0</v>
      </c>
      <c r="M494" s="572">
        <f t="shared" si="307"/>
        <v>0</v>
      </c>
      <c r="N494" s="572">
        <f t="shared" si="307"/>
        <v>0</v>
      </c>
      <c r="O494" s="572">
        <f t="shared" si="302"/>
        <v>0</v>
      </c>
      <c r="P494" s="572">
        <f t="shared" si="303"/>
        <v>0</v>
      </c>
      <c r="Q494" s="572">
        <f t="shared" ref="Q494:S495" si="308">Q497+Q500</f>
        <v>0</v>
      </c>
      <c r="R494" s="572">
        <f t="shared" si="308"/>
        <v>0</v>
      </c>
      <c r="S494" s="572">
        <f t="shared" si="308"/>
        <v>0</v>
      </c>
      <c r="T494" s="572">
        <f t="shared" si="305"/>
        <v>0</v>
      </c>
      <c r="U494" s="572">
        <f t="shared" si="306"/>
        <v>0</v>
      </c>
    </row>
    <row r="495" spans="1:21" ht="18.75" hidden="1" x14ac:dyDescent="0.25">
      <c r="A495" s="674"/>
      <c r="B495" s="718"/>
      <c r="C495" s="718"/>
      <c r="D495" s="688"/>
      <c r="E495" s="573" t="s">
        <v>159</v>
      </c>
      <c r="F495" s="561"/>
      <c r="G495" s="563"/>
      <c r="H495" s="682" t="s">
        <v>14</v>
      </c>
      <c r="I495" s="565"/>
      <c r="J495" s="565"/>
      <c r="K495" s="566"/>
      <c r="L495" s="567">
        <f t="shared" ca="1" si="307"/>
        <v>0</v>
      </c>
      <c r="M495" s="568">
        <f t="shared" ca="1" si="307"/>
        <v>0</v>
      </c>
      <c r="N495" s="568">
        <f t="shared" ca="1" si="307"/>
        <v>0</v>
      </c>
      <c r="O495" s="568">
        <f t="shared" ca="1" si="302"/>
        <v>0</v>
      </c>
      <c r="P495" s="568">
        <f t="shared" ca="1" si="303"/>
        <v>0</v>
      </c>
      <c r="Q495" s="568">
        <f t="shared" ca="1" si="308"/>
        <v>0</v>
      </c>
      <c r="R495" s="568">
        <f t="shared" ca="1" si="308"/>
        <v>0</v>
      </c>
      <c r="S495" s="568">
        <f t="shared" ca="1" si="308"/>
        <v>0</v>
      </c>
      <c r="T495" s="568">
        <f t="shared" ca="1" si="305"/>
        <v>0</v>
      </c>
      <c r="U495" s="568">
        <f t="shared" ca="1" si="306"/>
        <v>0</v>
      </c>
    </row>
    <row r="496" spans="1:21" ht="18.75" hidden="1" x14ac:dyDescent="0.25">
      <c r="A496" s="674"/>
      <c r="B496" s="718"/>
      <c r="C496" s="718"/>
      <c r="D496" s="721" t="s">
        <v>22</v>
      </c>
      <c r="E496" s="561"/>
      <c r="F496" s="561"/>
      <c r="G496" s="563"/>
      <c r="H496" s="682" t="s">
        <v>14</v>
      </c>
      <c r="I496" s="683"/>
      <c r="J496" s="683"/>
      <c r="K496" s="684"/>
      <c r="L496" s="567">
        <f t="shared" ref="L496:N496" ca="1" si="309">L497+L498</f>
        <v>0</v>
      </c>
      <c r="M496" s="568">
        <f t="shared" ca="1" si="309"/>
        <v>0</v>
      </c>
      <c r="N496" s="568">
        <f t="shared" ca="1" si="309"/>
        <v>0</v>
      </c>
      <c r="O496" s="568">
        <f t="shared" ca="1" si="302"/>
        <v>0</v>
      </c>
      <c r="P496" s="568">
        <f t="shared" ca="1" si="303"/>
        <v>0</v>
      </c>
      <c r="Q496" s="568">
        <f t="shared" ref="Q496:S496" ca="1" si="310">Q497+Q498</f>
        <v>0</v>
      </c>
      <c r="R496" s="568">
        <f t="shared" ca="1" si="310"/>
        <v>0</v>
      </c>
      <c r="S496" s="568">
        <f t="shared" ca="1" si="310"/>
        <v>0</v>
      </c>
      <c r="T496" s="568">
        <f t="shared" ca="1" si="305"/>
        <v>0</v>
      </c>
      <c r="U496" s="568">
        <f t="shared" ca="1" si="306"/>
        <v>0</v>
      </c>
    </row>
    <row r="497" spans="1:21" ht="18.75" hidden="1" x14ac:dyDescent="0.25">
      <c r="A497" s="674"/>
      <c r="B497" s="718"/>
      <c r="C497" s="718"/>
      <c r="D497" s="688"/>
      <c r="E497" s="569" t="s">
        <v>158</v>
      </c>
      <c r="F497" s="561"/>
      <c r="G497" s="563"/>
      <c r="H497" s="685" t="s">
        <v>14</v>
      </c>
      <c r="I497" s="565"/>
      <c r="J497" s="565"/>
      <c r="K497" s="566"/>
      <c r="L497" s="571">
        <v>0</v>
      </c>
      <c r="M497" s="572">
        <v>0</v>
      </c>
      <c r="N497" s="572">
        <v>0</v>
      </c>
      <c r="O497" s="572">
        <f t="shared" si="302"/>
        <v>0</v>
      </c>
      <c r="P497" s="572">
        <f t="shared" si="303"/>
        <v>0</v>
      </c>
      <c r="Q497" s="572">
        <v>0</v>
      </c>
      <c r="R497" s="572">
        <v>0</v>
      </c>
      <c r="S497" s="572">
        <v>0</v>
      </c>
      <c r="T497" s="572">
        <f t="shared" si="305"/>
        <v>0</v>
      </c>
      <c r="U497" s="572">
        <f t="shared" si="306"/>
        <v>0</v>
      </c>
    </row>
    <row r="498" spans="1:21" ht="18.75" hidden="1" x14ac:dyDescent="0.25">
      <c r="A498" s="674"/>
      <c r="B498" s="718"/>
      <c r="C498" s="718"/>
      <c r="D498" s="688"/>
      <c r="E498" s="573" t="s">
        <v>159</v>
      </c>
      <c r="F498" s="561"/>
      <c r="G498" s="563"/>
      <c r="H498" s="682" t="s">
        <v>14</v>
      </c>
      <c r="I498" s="565"/>
      <c r="J498" s="565"/>
      <c r="K498" s="566"/>
      <c r="L498" s="567">
        <f ca="1">IFERROR(__xludf.DUMMYFUNCTION("IMPORTRANGE(""https://docs.google.com/spreadsheets/d/1-uDff_7J0KD5mKrp0Vvzr7lt3OU09vwQwhkpOPPYv2Y/edit?usp=sharing"",""งบพรบ!HU17"")"),0)</f>
        <v>0</v>
      </c>
      <c r="M498" s="568">
        <f ca="1">IFERROR(__xludf.DUMMYFUNCTION("IMPORTRANGE(""https://docs.google.com/spreadsheets/d/1-uDff_7J0KD5mKrp0Vvzr7lt3OU09vwQwhkpOPPYv2Y/edit?usp=sharing"",""งบพรบ!HZ17"")"),0)</f>
        <v>0</v>
      </c>
      <c r="N498" s="568">
        <f ca="1">IFERROR(__xludf.DUMMYFUNCTION("IMPORTRANGE(""https://docs.google.com/spreadsheets/d/1-uDff_7J0KD5mKrp0Vvzr7lt3OU09vwQwhkpOPPYv2Y/edit?usp=sharing"",""งบพรบ!IB17"")"),0)</f>
        <v>0</v>
      </c>
      <c r="O498" s="568">
        <f t="shared" ca="1" si="302"/>
        <v>0</v>
      </c>
      <c r="P498" s="568">
        <f t="shared" ca="1" si="303"/>
        <v>0</v>
      </c>
      <c r="Q498" s="568">
        <f ca="1">IFERROR(__xludf.DUMMYFUNCTION("IMPORTRANGE(""https://docs.google.com/spreadsheets/d/1ItG2mGa2ceCfYo0BwxsXqNm01IGEUdYcSSLTEv9YCik/edit?usp=sharing"",""เบิกจ่ายกองทุน!AD17"")"),0)</f>
        <v>0</v>
      </c>
      <c r="R498" s="568">
        <f ca="1">IFERROR(__xludf.DUMMYFUNCTION("IMPORTRANGE(""https://docs.google.com/spreadsheets/d/1ItG2mGa2ceCfYo0BwxsXqNm01IGEUdYcSSLTEv9YCik/edit?usp=sharing"",""เบิกจ่ายกองทุน!AE17"")"),0)</f>
        <v>0</v>
      </c>
      <c r="S498" s="568">
        <f ca="1">IFERROR(__xludf.DUMMYFUNCTION("IMPORTRANGE(""https://docs.google.com/spreadsheets/d/1ItG2mGa2ceCfYo0BwxsXqNm01IGEUdYcSSLTEv9YCik/edit?usp=sharing"",""เบิกจ่ายกองทุน!AF17"")"),0)</f>
        <v>0</v>
      </c>
      <c r="T498" s="568">
        <f t="shared" ca="1" si="305"/>
        <v>0</v>
      </c>
      <c r="U498" s="568">
        <f t="shared" ca="1" si="306"/>
        <v>0</v>
      </c>
    </row>
    <row r="499" spans="1:21" ht="18.75" hidden="1" x14ac:dyDescent="0.25">
      <c r="A499" s="674"/>
      <c r="B499" s="718"/>
      <c r="C499" s="718"/>
      <c r="D499" s="721" t="s">
        <v>23</v>
      </c>
      <c r="E499" s="561"/>
      <c r="F499" s="561"/>
      <c r="G499" s="563"/>
      <c r="H499" s="686" t="s">
        <v>14</v>
      </c>
      <c r="I499" s="683"/>
      <c r="J499" s="683"/>
      <c r="K499" s="684"/>
      <c r="L499" s="567">
        <f t="shared" ref="L499:N499" ca="1" si="311">L500+L501</f>
        <v>0</v>
      </c>
      <c r="M499" s="568">
        <f t="shared" ca="1" si="311"/>
        <v>0</v>
      </c>
      <c r="N499" s="568">
        <f t="shared" ca="1" si="311"/>
        <v>0</v>
      </c>
      <c r="O499" s="568">
        <f t="shared" ca="1" si="302"/>
        <v>0</v>
      </c>
      <c r="P499" s="568">
        <f t="shared" ca="1" si="303"/>
        <v>0</v>
      </c>
      <c r="Q499" s="568">
        <f t="shared" ref="Q499:S499" si="312">Q500+Q501</f>
        <v>0</v>
      </c>
      <c r="R499" s="568">
        <f t="shared" si="312"/>
        <v>0</v>
      </c>
      <c r="S499" s="568">
        <f t="shared" si="312"/>
        <v>0</v>
      </c>
      <c r="T499" s="568">
        <f t="shared" si="305"/>
        <v>0</v>
      </c>
      <c r="U499" s="568">
        <f t="shared" si="306"/>
        <v>0</v>
      </c>
    </row>
    <row r="500" spans="1:21" ht="18.75" hidden="1" x14ac:dyDescent="0.25">
      <c r="A500" s="674"/>
      <c r="B500" s="718"/>
      <c r="C500" s="718"/>
      <c r="D500" s="718"/>
      <c r="E500" s="569" t="s">
        <v>20</v>
      </c>
      <c r="F500" s="561"/>
      <c r="G500" s="563"/>
      <c r="H500" s="685" t="s">
        <v>14</v>
      </c>
      <c r="I500" s="683"/>
      <c r="J500" s="683"/>
      <c r="K500" s="684"/>
      <c r="L500" s="571">
        <v>0</v>
      </c>
      <c r="M500" s="572">
        <v>0</v>
      </c>
      <c r="N500" s="572">
        <v>0</v>
      </c>
      <c r="O500" s="572">
        <f t="shared" si="302"/>
        <v>0</v>
      </c>
      <c r="P500" s="572">
        <f t="shared" si="303"/>
        <v>0</v>
      </c>
      <c r="Q500" s="572">
        <v>0</v>
      </c>
      <c r="R500" s="572">
        <v>0</v>
      </c>
      <c r="S500" s="572">
        <v>0</v>
      </c>
      <c r="T500" s="572">
        <f t="shared" si="305"/>
        <v>0</v>
      </c>
      <c r="U500" s="572">
        <f t="shared" si="306"/>
        <v>0</v>
      </c>
    </row>
    <row r="501" spans="1:21" ht="18.75" hidden="1" x14ac:dyDescent="0.25">
      <c r="A501" s="674"/>
      <c r="B501" s="718"/>
      <c r="C501" s="718"/>
      <c r="D501" s="718"/>
      <c r="E501" s="573" t="s">
        <v>21</v>
      </c>
      <c r="F501" s="561"/>
      <c r="G501" s="563"/>
      <c r="H501" s="686" t="s">
        <v>14</v>
      </c>
      <c r="I501" s="683"/>
      <c r="J501" s="683"/>
      <c r="K501" s="684"/>
      <c r="L501" s="567">
        <f ca="1">IFERROR(__xludf.DUMMYFUNCTION("IMPORTRANGE(""https://docs.google.com/spreadsheets/d/1-uDff_7J0KD5mKrp0Vvzr7lt3OU09vwQwhkpOPPYv2Y/edit?usp=sharing"",""งบพรบ!HX17"")"),0)</f>
        <v>0</v>
      </c>
      <c r="M501" s="568">
        <f ca="1">IFERROR(__xludf.DUMMYFUNCTION("IMPORTRANGE(""https://docs.google.com/spreadsheets/d/1-uDff_7J0KD5mKrp0Vvzr7lt3OU09vwQwhkpOPPYv2Y/edit?usp=sharing"",""งบพรบ!IA17"")"),0)</f>
        <v>0</v>
      </c>
      <c r="N501" s="568">
        <f ca="1">IFERROR(__xludf.DUMMYFUNCTION("IMPORTRANGE(""https://docs.google.com/spreadsheets/d/1-uDff_7J0KD5mKrp0Vvzr7lt3OU09vwQwhkpOPPYv2Y/edit?usp=sharing"",""งบพรบ!IC17"")"),0)</f>
        <v>0</v>
      </c>
      <c r="O501" s="568">
        <f t="shared" ca="1" si="302"/>
        <v>0</v>
      </c>
      <c r="P501" s="568">
        <f t="shared" ca="1" si="303"/>
        <v>0</v>
      </c>
      <c r="Q501" s="568">
        <v>0</v>
      </c>
      <c r="R501" s="568">
        <v>0</v>
      </c>
      <c r="S501" s="568">
        <v>0</v>
      </c>
      <c r="T501" s="568">
        <f t="shared" si="305"/>
        <v>0</v>
      </c>
      <c r="U501" s="568">
        <f t="shared" si="306"/>
        <v>0</v>
      </c>
    </row>
    <row r="502" spans="1:21" ht="19.5" hidden="1" x14ac:dyDescent="0.3">
      <c r="A502" s="687"/>
      <c r="B502" s="688"/>
      <c r="C502" s="724" t="s">
        <v>18</v>
      </c>
      <c r="D502" s="956" t="s">
        <v>38</v>
      </c>
      <c r="E502" s="690"/>
      <c r="F502" s="690"/>
      <c r="G502" s="691"/>
      <c r="H502" s="725"/>
      <c r="I502" s="683"/>
      <c r="J502" s="683"/>
      <c r="K502" s="684"/>
      <c r="L502" s="693"/>
      <c r="M502" s="684"/>
      <c r="N502" s="684"/>
      <c r="O502" s="684"/>
      <c r="P502" s="684"/>
      <c r="Q502" s="684"/>
      <c r="R502" s="684"/>
      <c r="S502" s="684"/>
      <c r="T502" s="684"/>
      <c r="U502" s="684"/>
    </row>
    <row r="503" spans="1:21" ht="19.5" hidden="1" x14ac:dyDescent="0.3">
      <c r="A503" s="764"/>
      <c r="B503" s="718"/>
      <c r="C503" s="718"/>
      <c r="D503" s="719" t="s">
        <v>199</v>
      </c>
      <c r="E503" s="561"/>
      <c r="F503" s="561"/>
      <c r="G503" s="563"/>
      <c r="H503" s="681" t="s">
        <v>35</v>
      </c>
      <c r="I503" s="697">
        <f ca="1">IFERROR(__xludf.DUMMYFUNCTION("IMPORTRANGE(""https://docs.google.com/spreadsheets/d/1eHaY18a8A9IcSdp1K8H6x8fbOy06t2VsZHhMHf-1x7Y/edit?usp=sharing"",""แผน!GX17"")"),0)</f>
        <v>0</v>
      </c>
      <c r="J503" s="697">
        <f ca="1">IF(AND(J504=I504,J505=I505,J506=I506,J507=I507),I503,0)</f>
        <v>0</v>
      </c>
      <c r="K503" s="679">
        <f t="shared" ref="K503:K509" ca="1" si="313">IF(I503&gt;0,J503*100/I503,0)</f>
        <v>0</v>
      </c>
      <c r="L503" s="574"/>
      <c r="M503" s="566"/>
      <c r="N503" s="566"/>
      <c r="O503" s="566"/>
      <c r="P503" s="566"/>
      <c r="Q503" s="566"/>
      <c r="R503" s="566"/>
      <c r="S503" s="566"/>
      <c r="T503" s="566"/>
      <c r="U503" s="566"/>
    </row>
    <row r="504" spans="1:21" ht="18.75" hidden="1" x14ac:dyDescent="0.25">
      <c r="A504" s="764"/>
      <c r="B504" s="718"/>
      <c r="C504" s="718"/>
      <c r="D504" s="718"/>
      <c r="E504" s="573" t="s">
        <v>200</v>
      </c>
      <c r="F504" s="561"/>
      <c r="G504" s="563"/>
      <c r="H504" s="681" t="s">
        <v>35</v>
      </c>
      <c r="I504" s="708">
        <f ca="1">IFERROR(__xludf.DUMMYFUNCTION("IMPORTRANGE(""https://docs.google.com/spreadsheets/d/1eHaY18a8A9IcSdp1K8H6x8fbOy06t2VsZHhMHf-1x7Y/edit?usp=sharing"",""แผน!GY17"")"),0)</f>
        <v>0</v>
      </c>
      <c r="J504" s="702">
        <v>0</v>
      </c>
      <c r="K504" s="568">
        <f t="shared" ca="1" si="313"/>
        <v>0</v>
      </c>
      <c r="L504" s="574"/>
      <c r="M504" s="566"/>
      <c r="N504" s="566"/>
      <c r="O504" s="566"/>
      <c r="P504" s="566"/>
      <c r="Q504" s="566"/>
      <c r="R504" s="566"/>
      <c r="S504" s="566"/>
      <c r="T504" s="566"/>
      <c r="U504" s="566"/>
    </row>
    <row r="505" spans="1:21" ht="18.75" hidden="1" x14ac:dyDescent="0.25">
      <c r="A505" s="764"/>
      <c r="B505" s="718"/>
      <c r="C505" s="718"/>
      <c r="D505" s="718"/>
      <c r="E505" s="573" t="s">
        <v>201</v>
      </c>
      <c r="F505" s="561"/>
      <c r="G505" s="563"/>
      <c r="H505" s="681" t="s">
        <v>35</v>
      </c>
      <c r="I505" s="708">
        <f ca="1">IFERROR(__xludf.DUMMYFUNCTION("IMPORTRANGE(""https://docs.google.com/spreadsheets/d/1eHaY18a8A9IcSdp1K8H6x8fbOy06t2VsZHhMHf-1x7Y/edit?usp=sharing"",""แผน!GZ17"")"),0)</f>
        <v>0</v>
      </c>
      <c r="J505" s="702">
        <v>0</v>
      </c>
      <c r="K505" s="568">
        <f t="shared" ca="1" si="313"/>
        <v>0</v>
      </c>
      <c r="L505" s="574"/>
      <c r="M505" s="566"/>
      <c r="N505" s="566"/>
      <c r="O505" s="566"/>
      <c r="P505" s="566"/>
      <c r="Q505" s="566"/>
      <c r="R505" s="566"/>
      <c r="S505" s="566"/>
      <c r="T505" s="566"/>
      <c r="U505" s="566"/>
    </row>
    <row r="506" spans="1:21" ht="18.75" hidden="1" x14ac:dyDescent="0.25">
      <c r="A506" s="764"/>
      <c r="B506" s="718"/>
      <c r="C506" s="718"/>
      <c r="D506" s="718"/>
      <c r="E506" s="573" t="s">
        <v>202</v>
      </c>
      <c r="F506" s="561"/>
      <c r="G506" s="563"/>
      <c r="H506" s="681" t="s">
        <v>35</v>
      </c>
      <c r="I506" s="708">
        <f ca="1">IFERROR(__xludf.DUMMYFUNCTION("IMPORTRANGE(""https://docs.google.com/spreadsheets/d/1eHaY18a8A9IcSdp1K8H6x8fbOy06t2VsZHhMHf-1x7Y/edit?usp=sharing"",""แผน!HA17"")"),0)</f>
        <v>0</v>
      </c>
      <c r="J506" s="702">
        <v>0</v>
      </c>
      <c r="K506" s="568">
        <f t="shared" ca="1" si="313"/>
        <v>0</v>
      </c>
      <c r="L506" s="574"/>
      <c r="M506" s="566"/>
      <c r="N506" s="566"/>
      <c r="O506" s="566"/>
      <c r="P506" s="566"/>
      <c r="Q506" s="566"/>
      <c r="R506" s="566"/>
      <c r="S506" s="566"/>
      <c r="T506" s="566"/>
      <c r="U506" s="566"/>
    </row>
    <row r="507" spans="1:21" ht="18.75" hidden="1" x14ac:dyDescent="0.25">
      <c r="A507" s="764"/>
      <c r="B507" s="718"/>
      <c r="C507" s="718"/>
      <c r="D507" s="718"/>
      <c r="E507" s="987" t="s">
        <v>203</v>
      </c>
      <c r="F507" s="561"/>
      <c r="G507" s="563"/>
      <c r="H507" s="681" t="s">
        <v>35</v>
      </c>
      <c r="I507" s="708">
        <f ca="1">IFERROR(__xludf.DUMMYFUNCTION("IMPORTRANGE(""https://docs.google.com/spreadsheets/d/1eHaY18a8A9IcSdp1K8H6x8fbOy06t2VsZHhMHf-1x7Y/edit?usp=sharing"",""แผน!HB17"")"),0)</f>
        <v>0</v>
      </c>
      <c r="J507" s="702">
        <v>0</v>
      </c>
      <c r="K507" s="568">
        <f t="shared" ca="1" si="313"/>
        <v>0</v>
      </c>
      <c r="L507" s="574"/>
      <c r="M507" s="566"/>
      <c r="N507" s="566"/>
      <c r="O507" s="566"/>
      <c r="P507" s="566"/>
      <c r="Q507" s="566"/>
      <c r="R507" s="566"/>
      <c r="S507" s="566"/>
      <c r="T507" s="566"/>
      <c r="U507" s="566"/>
    </row>
    <row r="508" spans="1:21" ht="18.75" hidden="1" x14ac:dyDescent="0.25">
      <c r="A508" s="764"/>
      <c r="B508" s="718"/>
      <c r="C508" s="718"/>
      <c r="D508" s="718"/>
      <c r="E508" s="573" t="s">
        <v>204</v>
      </c>
      <c r="F508" s="561"/>
      <c r="G508" s="563"/>
      <c r="H508" s="681" t="s">
        <v>35</v>
      </c>
      <c r="I508" s="708">
        <v>0</v>
      </c>
      <c r="J508" s="708">
        <v>0</v>
      </c>
      <c r="K508" s="568">
        <f t="shared" si="313"/>
        <v>0</v>
      </c>
      <c r="L508" s="574"/>
      <c r="M508" s="566"/>
      <c r="N508" s="566"/>
      <c r="O508" s="566"/>
      <c r="P508" s="566"/>
      <c r="Q508" s="566"/>
      <c r="R508" s="566"/>
      <c r="S508" s="566"/>
      <c r="T508" s="566"/>
      <c r="U508" s="566"/>
    </row>
    <row r="509" spans="1:21" ht="19.5" hidden="1" x14ac:dyDescent="0.3">
      <c r="A509" s="984"/>
      <c r="B509" s="514"/>
      <c r="C509" s="514"/>
      <c r="D509" s="988" t="s">
        <v>50</v>
      </c>
      <c r="E509" s="513"/>
      <c r="F509" s="513"/>
      <c r="G509" s="577"/>
      <c r="H509" s="986" t="s">
        <v>35</v>
      </c>
      <c r="I509" s="989">
        <f ca="1">IFERROR(__xludf.DUMMYFUNCTION("IMPORTRANGE(""https://docs.google.com/spreadsheets/d/1eHaY18a8A9IcSdp1K8H6x8fbOy06t2VsZHhMHf-1x7Y/edit?usp=sharing"",""แผน!HC17"")"),0)</f>
        <v>0</v>
      </c>
      <c r="J509" s="990">
        <v>0</v>
      </c>
      <c r="K509" s="655">
        <f t="shared" ca="1" si="313"/>
        <v>0</v>
      </c>
      <c r="L509" s="581"/>
      <c r="M509" s="580"/>
      <c r="N509" s="580"/>
      <c r="O509" s="580"/>
      <c r="P509" s="580"/>
      <c r="Q509" s="580"/>
      <c r="R509" s="580"/>
      <c r="S509" s="580"/>
      <c r="T509" s="580"/>
      <c r="U509" s="580"/>
    </row>
    <row r="510" spans="1:21" ht="19.5" hidden="1" x14ac:dyDescent="0.3">
      <c r="A510" s="991" t="s">
        <v>205</v>
      </c>
      <c r="B510" s="992"/>
      <c r="C510" s="992"/>
      <c r="D510" s="992"/>
      <c r="E510" s="993"/>
      <c r="F510" s="993"/>
      <c r="G510" s="993"/>
      <c r="H510" s="993"/>
      <c r="I510" s="994"/>
      <c r="J510" s="994"/>
      <c r="K510" s="995"/>
      <c r="L510" s="996"/>
      <c r="M510" s="997"/>
      <c r="N510" s="997"/>
      <c r="O510" s="997"/>
      <c r="P510" s="997"/>
      <c r="Q510" s="997"/>
      <c r="R510" s="997"/>
      <c r="S510" s="997"/>
      <c r="T510" s="997"/>
      <c r="U510" s="997"/>
    </row>
    <row r="511" spans="1:21" ht="19.5" hidden="1" x14ac:dyDescent="0.3">
      <c r="A511" s="998" t="s">
        <v>206</v>
      </c>
      <c r="B511" s="999"/>
      <c r="C511" s="999"/>
      <c r="D511" s="1000"/>
      <c r="E511" s="999"/>
      <c r="F511" s="999"/>
      <c r="G511" s="999"/>
      <c r="H511" s="1001"/>
      <c r="I511" s="1002"/>
      <c r="J511" s="1002"/>
      <c r="K511" s="1003"/>
      <c r="L511" s="1004"/>
      <c r="M511" s="1005"/>
      <c r="N511" s="1005"/>
      <c r="O511" s="1005"/>
      <c r="P511" s="1005"/>
      <c r="Q511" s="1005"/>
      <c r="R511" s="1005"/>
      <c r="S511" s="1005"/>
      <c r="T511" s="1005"/>
      <c r="U511" s="1005"/>
    </row>
    <row r="512" spans="1:21" ht="19.5" hidden="1" x14ac:dyDescent="0.3">
      <c r="A512" s="1006"/>
      <c r="B512" s="1007" t="s">
        <v>207</v>
      </c>
      <c r="C512" s="1008"/>
      <c r="D512" s="1009"/>
      <c r="E512" s="1009"/>
      <c r="F512" s="1009"/>
      <c r="G512" s="1010"/>
      <c r="H512" s="1011" t="s">
        <v>61</v>
      </c>
      <c r="I512" s="1012">
        <f t="shared" ref="I512:J512" si="314">I524</f>
        <v>0</v>
      </c>
      <c r="J512" s="1012">
        <f t="shared" si="314"/>
        <v>0</v>
      </c>
      <c r="K512" s="1013">
        <f>IF(I512&gt;0,J512*100/I512,0)</f>
        <v>0</v>
      </c>
      <c r="L512" s="1014"/>
      <c r="M512" s="1015"/>
      <c r="N512" s="1015"/>
      <c r="O512" s="1015"/>
      <c r="P512" s="1015"/>
      <c r="Q512" s="1015"/>
      <c r="R512" s="1015"/>
      <c r="S512" s="1015"/>
      <c r="T512" s="1015"/>
      <c r="U512" s="1015"/>
    </row>
    <row r="513" spans="1:21" ht="19.5" hidden="1" x14ac:dyDescent="0.3">
      <c r="A513" s="674"/>
      <c r="B513" s="561"/>
      <c r="C513" s="797" t="s">
        <v>18</v>
      </c>
      <c r="D513" s="798" t="s">
        <v>19</v>
      </c>
      <c r="E513" s="561"/>
      <c r="F513" s="561"/>
      <c r="G513" s="563"/>
      <c r="H513" s="1016" t="s">
        <v>14</v>
      </c>
      <c r="I513" s="565"/>
      <c r="J513" s="565"/>
      <c r="K513" s="566"/>
      <c r="L513" s="678">
        <f t="shared" ref="L513:N513" ca="1" si="315">L514+L515</f>
        <v>0</v>
      </c>
      <c r="M513" s="679">
        <f t="shared" ca="1" si="315"/>
        <v>0</v>
      </c>
      <c r="N513" s="679">
        <f t="shared" ca="1" si="315"/>
        <v>0</v>
      </c>
      <c r="O513" s="679">
        <f t="shared" ref="O513:O521" ca="1" si="316">IF(L513&gt;0,N513*100/L513,0)</f>
        <v>0</v>
      </c>
      <c r="P513" s="679">
        <f t="shared" ref="P513:P521" ca="1" si="317">IF(M513&gt;0,N513*100/M513,0)</f>
        <v>0</v>
      </c>
      <c r="Q513" s="679">
        <f t="shared" ref="Q513:S513" si="318">Q514+Q515</f>
        <v>0</v>
      </c>
      <c r="R513" s="679">
        <f t="shared" si="318"/>
        <v>0</v>
      </c>
      <c r="S513" s="679">
        <f t="shared" si="318"/>
        <v>0</v>
      </c>
      <c r="T513" s="679">
        <f t="shared" ref="T513:T521" si="319">IF(Q513&gt;0,S513*100/Q513,0)</f>
        <v>0</v>
      </c>
      <c r="U513" s="679">
        <f t="shared" ref="U513:U521" si="320">IF(R513&gt;0,S513*100/R513,0)</f>
        <v>0</v>
      </c>
    </row>
    <row r="514" spans="1:21" ht="18.75" hidden="1" x14ac:dyDescent="0.25">
      <c r="A514" s="674"/>
      <c r="B514" s="561"/>
      <c r="C514" s="561"/>
      <c r="D514" s="561"/>
      <c r="E514" s="569" t="s">
        <v>20</v>
      </c>
      <c r="F514" s="561"/>
      <c r="G514" s="563"/>
      <c r="H514" s="680" t="s">
        <v>14</v>
      </c>
      <c r="I514" s="565"/>
      <c r="J514" s="565"/>
      <c r="K514" s="566"/>
      <c r="L514" s="571">
        <f t="shared" ref="L514:N515" si="321">L517+L520</f>
        <v>0</v>
      </c>
      <c r="M514" s="572">
        <f t="shared" si="321"/>
        <v>0</v>
      </c>
      <c r="N514" s="572">
        <f t="shared" si="321"/>
        <v>0</v>
      </c>
      <c r="O514" s="572">
        <f t="shared" si="316"/>
        <v>0</v>
      </c>
      <c r="P514" s="572">
        <f t="shared" si="317"/>
        <v>0</v>
      </c>
      <c r="Q514" s="572">
        <f t="shared" ref="Q514:S515" si="322">Q517+Q520</f>
        <v>0</v>
      </c>
      <c r="R514" s="572">
        <f t="shared" si="322"/>
        <v>0</v>
      </c>
      <c r="S514" s="572">
        <f t="shared" si="322"/>
        <v>0</v>
      </c>
      <c r="T514" s="572">
        <f t="shared" si="319"/>
        <v>0</v>
      </c>
      <c r="U514" s="572">
        <f t="shared" si="320"/>
        <v>0</v>
      </c>
    </row>
    <row r="515" spans="1:21" ht="18.75" hidden="1" x14ac:dyDescent="0.25">
      <c r="A515" s="674"/>
      <c r="B515" s="561"/>
      <c r="C515" s="561"/>
      <c r="D515" s="561"/>
      <c r="E515" s="569" t="s">
        <v>21</v>
      </c>
      <c r="F515" s="561"/>
      <c r="G515" s="563"/>
      <c r="H515" s="680" t="s">
        <v>14</v>
      </c>
      <c r="I515" s="565"/>
      <c r="J515" s="565"/>
      <c r="K515" s="566"/>
      <c r="L515" s="567">
        <f t="shared" ca="1" si="321"/>
        <v>0</v>
      </c>
      <c r="M515" s="568">
        <f t="shared" ca="1" si="321"/>
        <v>0</v>
      </c>
      <c r="N515" s="568">
        <f t="shared" ca="1" si="321"/>
        <v>0</v>
      </c>
      <c r="O515" s="568">
        <f t="shared" ca="1" si="316"/>
        <v>0</v>
      </c>
      <c r="P515" s="568">
        <f t="shared" ca="1" si="317"/>
        <v>0</v>
      </c>
      <c r="Q515" s="568">
        <f t="shared" si="322"/>
        <v>0</v>
      </c>
      <c r="R515" s="568">
        <f t="shared" si="322"/>
        <v>0</v>
      </c>
      <c r="S515" s="568">
        <f t="shared" si="322"/>
        <v>0</v>
      </c>
      <c r="T515" s="568">
        <f t="shared" si="319"/>
        <v>0</v>
      </c>
      <c r="U515" s="568">
        <f t="shared" si="320"/>
        <v>0</v>
      </c>
    </row>
    <row r="516" spans="1:21" ht="18.75" hidden="1" x14ac:dyDescent="0.25">
      <c r="A516" s="674"/>
      <c r="B516" s="561"/>
      <c r="C516" s="561"/>
      <c r="D516" s="1017" t="s">
        <v>22</v>
      </c>
      <c r="E516" s="561"/>
      <c r="F516" s="561"/>
      <c r="G516" s="563"/>
      <c r="H516" s="685" t="s">
        <v>14</v>
      </c>
      <c r="I516" s="683"/>
      <c r="J516" s="683"/>
      <c r="K516" s="684"/>
      <c r="L516" s="567">
        <f t="shared" ref="L516:N516" ca="1" si="323">L517+L518</f>
        <v>0</v>
      </c>
      <c r="M516" s="568">
        <f t="shared" ca="1" si="323"/>
        <v>0</v>
      </c>
      <c r="N516" s="568">
        <f t="shared" ca="1" si="323"/>
        <v>0</v>
      </c>
      <c r="O516" s="568">
        <f t="shared" ca="1" si="316"/>
        <v>0</v>
      </c>
      <c r="P516" s="568">
        <f t="shared" ca="1" si="317"/>
        <v>0</v>
      </c>
      <c r="Q516" s="568">
        <f t="shared" ref="Q516:S516" si="324">Q517+Q518</f>
        <v>0</v>
      </c>
      <c r="R516" s="568">
        <f t="shared" si="324"/>
        <v>0</v>
      </c>
      <c r="S516" s="568">
        <f t="shared" si="324"/>
        <v>0</v>
      </c>
      <c r="T516" s="568">
        <f t="shared" si="319"/>
        <v>0</v>
      </c>
      <c r="U516" s="568">
        <f t="shared" si="320"/>
        <v>0</v>
      </c>
    </row>
    <row r="517" spans="1:21" ht="18.75" hidden="1" x14ac:dyDescent="0.25">
      <c r="A517" s="674"/>
      <c r="B517" s="561"/>
      <c r="C517" s="561"/>
      <c r="D517" s="561"/>
      <c r="E517" s="569" t="s">
        <v>36</v>
      </c>
      <c r="F517" s="561"/>
      <c r="G517" s="563"/>
      <c r="H517" s="685" t="s">
        <v>14</v>
      </c>
      <c r="I517" s="683"/>
      <c r="J517" s="683"/>
      <c r="K517" s="684"/>
      <c r="L517" s="571">
        <v>0</v>
      </c>
      <c r="M517" s="572">
        <v>0</v>
      </c>
      <c r="N517" s="572">
        <v>0</v>
      </c>
      <c r="O517" s="572">
        <f t="shared" si="316"/>
        <v>0</v>
      </c>
      <c r="P517" s="572">
        <f t="shared" si="317"/>
        <v>0</v>
      </c>
      <c r="Q517" s="572">
        <v>0</v>
      </c>
      <c r="R517" s="572">
        <v>0</v>
      </c>
      <c r="S517" s="572">
        <v>0</v>
      </c>
      <c r="T517" s="572">
        <f t="shared" si="319"/>
        <v>0</v>
      </c>
      <c r="U517" s="572">
        <f t="shared" si="320"/>
        <v>0</v>
      </c>
    </row>
    <row r="518" spans="1:21" ht="18.75" hidden="1" x14ac:dyDescent="0.25">
      <c r="A518" s="674"/>
      <c r="B518" s="561"/>
      <c r="C518" s="561"/>
      <c r="D518" s="561"/>
      <c r="E518" s="569" t="s">
        <v>37</v>
      </c>
      <c r="F518" s="561"/>
      <c r="G518" s="563"/>
      <c r="H518" s="685" t="s">
        <v>14</v>
      </c>
      <c r="I518" s="683"/>
      <c r="J518" s="683"/>
      <c r="K518" s="684"/>
      <c r="L518" s="567">
        <f ca="1">IFERROR(__xludf.DUMMYFUNCTION("IMPORTRANGE(""https://docs.google.com/spreadsheets/d/1-uDff_7J0KD5mKrp0Vvzr7lt3OU09vwQwhkpOPPYv2Y/edit?usp=sharing"",""งบพรบ!FM17"")"),0)</f>
        <v>0</v>
      </c>
      <c r="M518" s="568">
        <f ca="1">IFERROR(__xludf.DUMMYFUNCTION("IMPORTRANGE(""https://docs.google.com/spreadsheets/d/1-uDff_7J0KD5mKrp0Vvzr7lt3OU09vwQwhkpOPPYv2Y/edit?usp=sharing"",""งบพรบ!FR17"")"),0)</f>
        <v>0</v>
      </c>
      <c r="N518" s="568">
        <f ca="1">IFERROR(__xludf.DUMMYFUNCTION("IMPORTRANGE(""https://docs.google.com/spreadsheets/d/1-uDff_7J0KD5mKrp0Vvzr7lt3OU09vwQwhkpOPPYv2Y/edit?usp=sharing"",""งบพรบ!FT17"")"),0)</f>
        <v>0</v>
      </c>
      <c r="O518" s="568">
        <f t="shared" ca="1" si="316"/>
        <v>0</v>
      </c>
      <c r="P518" s="568">
        <f t="shared" ca="1" si="317"/>
        <v>0</v>
      </c>
      <c r="Q518" s="568">
        <v>0</v>
      </c>
      <c r="R518" s="568">
        <v>0</v>
      </c>
      <c r="S518" s="568">
        <v>0</v>
      </c>
      <c r="T518" s="568">
        <f t="shared" si="319"/>
        <v>0</v>
      </c>
      <c r="U518" s="568">
        <f t="shared" si="320"/>
        <v>0</v>
      </c>
    </row>
    <row r="519" spans="1:21" ht="18.75" hidden="1" x14ac:dyDescent="0.25">
      <c r="A519" s="674"/>
      <c r="B519" s="561"/>
      <c r="C519" s="561"/>
      <c r="D519" s="1017" t="s">
        <v>23</v>
      </c>
      <c r="E519" s="561"/>
      <c r="F519" s="561"/>
      <c r="G519" s="563"/>
      <c r="H519" s="734" t="s">
        <v>14</v>
      </c>
      <c r="I519" s="683"/>
      <c r="J519" s="683"/>
      <c r="K519" s="684"/>
      <c r="L519" s="567">
        <f t="shared" ref="L519:N519" ca="1" si="325">L520+L521</f>
        <v>0</v>
      </c>
      <c r="M519" s="568">
        <f t="shared" ca="1" si="325"/>
        <v>0</v>
      </c>
      <c r="N519" s="568">
        <f t="shared" ca="1" si="325"/>
        <v>0</v>
      </c>
      <c r="O519" s="568">
        <f t="shared" ca="1" si="316"/>
        <v>0</v>
      </c>
      <c r="P519" s="568">
        <f t="shared" ca="1" si="317"/>
        <v>0</v>
      </c>
      <c r="Q519" s="568">
        <f t="shared" ref="Q519:S519" si="326">Q520+Q521</f>
        <v>0</v>
      </c>
      <c r="R519" s="568">
        <f t="shared" si="326"/>
        <v>0</v>
      </c>
      <c r="S519" s="568">
        <f t="shared" si="326"/>
        <v>0</v>
      </c>
      <c r="T519" s="568">
        <f t="shared" si="319"/>
        <v>0</v>
      </c>
      <c r="U519" s="568">
        <f t="shared" si="320"/>
        <v>0</v>
      </c>
    </row>
    <row r="520" spans="1:21" ht="18.75" hidden="1" x14ac:dyDescent="0.25">
      <c r="A520" s="674"/>
      <c r="B520" s="561"/>
      <c r="C520" s="561"/>
      <c r="D520" s="561"/>
      <c r="E520" s="569" t="s">
        <v>20</v>
      </c>
      <c r="F520" s="561"/>
      <c r="G520" s="563"/>
      <c r="H520" s="685" t="s">
        <v>14</v>
      </c>
      <c r="I520" s="683"/>
      <c r="J520" s="683"/>
      <c r="K520" s="684"/>
      <c r="L520" s="571">
        <v>0</v>
      </c>
      <c r="M520" s="572">
        <v>0</v>
      </c>
      <c r="N520" s="572">
        <v>0</v>
      </c>
      <c r="O520" s="572">
        <f t="shared" si="316"/>
        <v>0</v>
      </c>
      <c r="P520" s="572">
        <f t="shared" si="317"/>
        <v>0</v>
      </c>
      <c r="Q520" s="572">
        <v>0</v>
      </c>
      <c r="R520" s="572">
        <v>0</v>
      </c>
      <c r="S520" s="572">
        <v>0</v>
      </c>
      <c r="T520" s="572">
        <f t="shared" si="319"/>
        <v>0</v>
      </c>
      <c r="U520" s="572">
        <f t="shared" si="320"/>
        <v>0</v>
      </c>
    </row>
    <row r="521" spans="1:21" ht="18.75" hidden="1" x14ac:dyDescent="0.25">
      <c r="A521" s="674"/>
      <c r="B521" s="561"/>
      <c r="C521" s="561"/>
      <c r="D521" s="561"/>
      <c r="E521" s="569" t="s">
        <v>21</v>
      </c>
      <c r="F521" s="561"/>
      <c r="G521" s="563"/>
      <c r="H521" s="734" t="s">
        <v>14</v>
      </c>
      <c r="I521" s="683"/>
      <c r="J521" s="683"/>
      <c r="K521" s="684"/>
      <c r="L521" s="567">
        <f ca="1">IFERROR(__xludf.DUMMYFUNCTION("IMPORTRANGE(""https://docs.google.com/spreadsheets/d/1-uDff_7J0KD5mKrp0Vvzr7lt3OU09vwQwhkpOPPYv2Y/edit?usp=sharing"",""งบพรบ!FP17"")"),0)</f>
        <v>0</v>
      </c>
      <c r="M521" s="568">
        <f ca="1">IFERROR(__xludf.DUMMYFUNCTION("IMPORTRANGE(""https://docs.google.com/spreadsheets/d/1-uDff_7J0KD5mKrp0Vvzr7lt3OU09vwQwhkpOPPYv2Y/edit?usp=sharing"",""งบพรบ!FS17"")"),0)</f>
        <v>0</v>
      </c>
      <c r="N521" s="568">
        <f ca="1">IFERROR(__xludf.DUMMYFUNCTION("IMPORTRANGE(""https://docs.google.com/spreadsheets/d/1-uDff_7J0KD5mKrp0Vvzr7lt3OU09vwQwhkpOPPYv2Y/edit?usp=sharing"",""งบพรบ!FU17"")"),0)</f>
        <v>0</v>
      </c>
      <c r="O521" s="568">
        <f t="shared" ca="1" si="316"/>
        <v>0</v>
      </c>
      <c r="P521" s="568">
        <f t="shared" ca="1" si="317"/>
        <v>0</v>
      </c>
      <c r="Q521" s="568">
        <v>0</v>
      </c>
      <c r="R521" s="568">
        <v>0</v>
      </c>
      <c r="S521" s="568">
        <v>0</v>
      </c>
      <c r="T521" s="568">
        <f t="shared" si="319"/>
        <v>0</v>
      </c>
      <c r="U521" s="568">
        <f t="shared" si="320"/>
        <v>0</v>
      </c>
    </row>
    <row r="522" spans="1:21" ht="19.5" hidden="1" x14ac:dyDescent="0.3">
      <c r="A522" s="687"/>
      <c r="B522" s="688"/>
      <c r="C522" s="797" t="s">
        <v>18</v>
      </c>
      <c r="D522" s="801" t="s">
        <v>38</v>
      </c>
      <c r="E522" s="690"/>
      <c r="F522" s="690"/>
      <c r="G522" s="691"/>
      <c r="H522" s="692"/>
      <c r="I522" s="683"/>
      <c r="J522" s="565"/>
      <c r="K522" s="566"/>
      <c r="L522" s="574"/>
      <c r="M522" s="566"/>
      <c r="N522" s="566"/>
      <c r="O522" s="684"/>
      <c r="P522" s="684"/>
      <c r="Q522" s="566"/>
      <c r="R522" s="566"/>
      <c r="S522" s="566"/>
      <c r="T522" s="684"/>
      <c r="U522" s="684"/>
    </row>
    <row r="523" spans="1:21" ht="18.75" hidden="1" x14ac:dyDescent="0.25">
      <c r="A523" s="764"/>
      <c r="B523" s="561"/>
      <c r="C523" s="718"/>
      <c r="D523" s="726" t="s">
        <v>208</v>
      </c>
      <c r="E523" s="688"/>
      <c r="F523" s="561"/>
      <c r="G523" s="563"/>
      <c r="H523" s="768" t="s">
        <v>11</v>
      </c>
      <c r="I523" s="735">
        <v>0</v>
      </c>
      <c r="J523" s="736">
        <v>0</v>
      </c>
      <c r="K523" s="572">
        <f t="shared" ref="K523:K524" si="327">IF(I523&gt;0,J523*100/I523,0)</f>
        <v>0</v>
      </c>
      <c r="L523" s="574"/>
      <c r="M523" s="566"/>
      <c r="N523" s="566"/>
      <c r="O523" s="566"/>
      <c r="P523" s="566"/>
      <c r="Q523" s="566"/>
      <c r="R523" s="566"/>
      <c r="S523" s="566"/>
      <c r="T523" s="566"/>
      <c r="U523" s="566"/>
    </row>
    <row r="524" spans="1:21" ht="18.75" hidden="1" x14ac:dyDescent="0.25">
      <c r="A524" s="984"/>
      <c r="B524" s="513"/>
      <c r="C524" s="514"/>
      <c r="D524" s="1018" t="s">
        <v>209</v>
      </c>
      <c r="E524" s="864"/>
      <c r="F524" s="513"/>
      <c r="G524" s="577"/>
      <c r="H524" s="1019" t="s">
        <v>61</v>
      </c>
      <c r="I524" s="740">
        <v>0</v>
      </c>
      <c r="J524" s="741">
        <v>0</v>
      </c>
      <c r="K524" s="742">
        <f t="shared" si="327"/>
        <v>0</v>
      </c>
      <c r="L524" s="574"/>
      <c r="M524" s="566"/>
      <c r="N524" s="566"/>
      <c r="O524" s="566"/>
      <c r="P524" s="566"/>
      <c r="Q524" s="566"/>
      <c r="R524" s="566"/>
      <c r="S524" s="566"/>
      <c r="T524" s="566"/>
      <c r="U524" s="566"/>
    </row>
    <row r="525" spans="1:21" ht="12.75" hidden="1" x14ac:dyDescent="0.2">
      <c r="A525" s="1020"/>
      <c r="B525" s="1021"/>
      <c r="C525" s="1021"/>
      <c r="D525" s="1022"/>
      <c r="E525" s="1022"/>
      <c r="F525" s="1022"/>
      <c r="G525" s="1023"/>
      <c r="H525" s="1024"/>
      <c r="I525" s="1025"/>
      <c r="J525" s="1025"/>
      <c r="K525" s="1026"/>
      <c r="L525" s="965"/>
      <c r="M525" s="964"/>
      <c r="N525" s="964"/>
      <c r="O525" s="964"/>
      <c r="P525" s="964"/>
      <c r="Q525" s="964"/>
      <c r="R525" s="964"/>
      <c r="S525" s="964"/>
      <c r="T525" s="964"/>
      <c r="U525" s="964"/>
    </row>
    <row r="526" spans="1:21" ht="12.75" hidden="1" x14ac:dyDescent="0.2">
      <c r="A526" s="973"/>
      <c r="B526" s="961"/>
      <c r="C526" s="961"/>
      <c r="D526" s="974"/>
      <c r="E526" s="974"/>
      <c r="F526" s="974"/>
      <c r="G526" s="975"/>
      <c r="H526" s="962"/>
      <c r="I526" s="963"/>
      <c r="J526" s="963"/>
      <c r="K526" s="964"/>
      <c r="L526" s="965"/>
      <c r="M526" s="964"/>
      <c r="N526" s="964"/>
      <c r="O526" s="964"/>
      <c r="P526" s="964"/>
      <c r="Q526" s="964"/>
      <c r="R526" s="964"/>
      <c r="S526" s="964"/>
      <c r="T526" s="964"/>
      <c r="U526" s="964"/>
    </row>
    <row r="527" spans="1:21" ht="12.75" hidden="1" x14ac:dyDescent="0.2">
      <c r="A527" s="973"/>
      <c r="B527" s="961"/>
      <c r="C527" s="961"/>
      <c r="D527" s="974"/>
      <c r="E527" s="974"/>
      <c r="F527" s="974"/>
      <c r="G527" s="975"/>
      <c r="H527" s="962"/>
      <c r="I527" s="963"/>
      <c r="J527" s="963"/>
      <c r="K527" s="964"/>
      <c r="L527" s="965"/>
      <c r="M527" s="964"/>
      <c r="N527" s="964"/>
      <c r="O527" s="964"/>
      <c r="P527" s="964"/>
      <c r="Q527" s="964"/>
      <c r="R527" s="964"/>
      <c r="S527" s="964"/>
      <c r="T527" s="964"/>
      <c r="U527" s="964"/>
    </row>
    <row r="528" spans="1:21" ht="12.75" hidden="1" x14ac:dyDescent="0.2">
      <c r="A528" s="973"/>
      <c r="B528" s="961"/>
      <c r="C528" s="961"/>
      <c r="D528" s="974"/>
      <c r="E528" s="974"/>
      <c r="F528" s="974"/>
      <c r="G528" s="975"/>
      <c r="H528" s="962"/>
      <c r="I528" s="963"/>
      <c r="J528" s="963"/>
      <c r="K528" s="964"/>
      <c r="L528" s="965"/>
      <c r="M528" s="964"/>
      <c r="N528" s="964"/>
      <c r="O528" s="964"/>
      <c r="P528" s="964"/>
      <c r="Q528" s="964"/>
      <c r="R528" s="964"/>
      <c r="S528" s="964"/>
      <c r="T528" s="964"/>
      <c r="U528" s="964"/>
    </row>
    <row r="529" spans="1:21" ht="12.75" hidden="1" x14ac:dyDescent="0.2">
      <c r="A529" s="973"/>
      <c r="B529" s="961"/>
      <c r="C529" s="961"/>
      <c r="D529" s="974"/>
      <c r="E529" s="974"/>
      <c r="F529" s="974"/>
      <c r="G529" s="975"/>
      <c r="H529" s="962"/>
      <c r="I529" s="963"/>
      <c r="J529" s="963"/>
      <c r="K529" s="964"/>
      <c r="L529" s="965"/>
      <c r="M529" s="964"/>
      <c r="N529" s="964"/>
      <c r="O529" s="964"/>
      <c r="P529" s="964"/>
      <c r="Q529" s="964"/>
      <c r="R529" s="964"/>
      <c r="S529" s="964"/>
      <c r="T529" s="964"/>
      <c r="U529" s="964"/>
    </row>
    <row r="530" spans="1:21" ht="12.75" hidden="1" x14ac:dyDescent="0.2">
      <c r="A530" s="973"/>
      <c r="B530" s="961"/>
      <c r="C530" s="961"/>
      <c r="D530" s="974"/>
      <c r="E530" s="974"/>
      <c r="F530" s="974"/>
      <c r="G530" s="975"/>
      <c r="H530" s="962"/>
      <c r="I530" s="963"/>
      <c r="J530" s="963"/>
      <c r="K530" s="964"/>
      <c r="L530" s="965"/>
      <c r="M530" s="964"/>
      <c r="N530" s="964"/>
      <c r="O530" s="964"/>
      <c r="P530" s="964"/>
      <c r="Q530" s="964"/>
      <c r="R530" s="964"/>
      <c r="S530" s="964"/>
      <c r="T530" s="964"/>
      <c r="U530" s="964"/>
    </row>
    <row r="531" spans="1:21" ht="12.75" hidden="1" x14ac:dyDescent="0.2">
      <c r="A531" s="973"/>
      <c r="B531" s="961"/>
      <c r="C531" s="961"/>
      <c r="D531" s="974"/>
      <c r="E531" s="974"/>
      <c r="F531" s="974"/>
      <c r="G531" s="975"/>
      <c r="H531" s="962"/>
      <c r="I531" s="963"/>
      <c r="J531" s="963"/>
      <c r="K531" s="964"/>
      <c r="L531" s="965"/>
      <c r="M531" s="964"/>
      <c r="N531" s="964"/>
      <c r="O531" s="964"/>
      <c r="P531" s="964"/>
      <c r="Q531" s="964"/>
      <c r="R531" s="964"/>
      <c r="S531" s="964"/>
      <c r="T531" s="964"/>
      <c r="U531" s="964"/>
    </row>
    <row r="532" spans="1:21" ht="12.75" hidden="1" x14ac:dyDescent="0.2">
      <c r="A532" s="1027"/>
      <c r="B532" s="966"/>
      <c r="C532" s="966"/>
      <c r="D532" s="1028"/>
      <c r="E532" s="1028"/>
      <c r="F532" s="1028"/>
      <c r="G532" s="1029"/>
      <c r="H532" s="967"/>
      <c r="I532" s="968"/>
      <c r="J532" s="968"/>
      <c r="K532" s="969"/>
      <c r="L532" s="970"/>
      <c r="M532" s="969"/>
      <c r="N532" s="969"/>
      <c r="O532" s="969"/>
      <c r="P532" s="969"/>
      <c r="Q532" s="969"/>
      <c r="R532" s="969"/>
      <c r="S532" s="969"/>
      <c r="T532" s="969"/>
      <c r="U532" s="969"/>
    </row>
    <row r="533" spans="1:21" ht="19.5" hidden="1" x14ac:dyDescent="0.3">
      <c r="A533" s="1006"/>
      <c r="B533" s="1030" t="s">
        <v>210</v>
      </c>
      <c r="C533" s="1008"/>
      <c r="D533" s="1009"/>
      <c r="E533" s="1009"/>
      <c r="F533" s="1009"/>
      <c r="G533" s="1010"/>
      <c r="H533" s="1031" t="s">
        <v>61</v>
      </c>
      <c r="I533" s="1032">
        <f t="shared" ref="I533:J533" si="328">I545</f>
        <v>0</v>
      </c>
      <c r="J533" s="1032">
        <f t="shared" si="328"/>
        <v>0</v>
      </c>
      <c r="K533" s="1033">
        <f>IF(I533&gt;0,J533*100/I533,0)</f>
        <v>0</v>
      </c>
      <c r="L533" s="1014"/>
      <c r="M533" s="1015"/>
      <c r="N533" s="1015"/>
      <c r="O533" s="1015"/>
      <c r="P533" s="1015"/>
      <c r="Q533" s="1015"/>
      <c r="R533" s="1015"/>
      <c r="S533" s="1015"/>
      <c r="T533" s="1015"/>
      <c r="U533" s="1015"/>
    </row>
    <row r="534" spans="1:21" ht="19.5" hidden="1" x14ac:dyDescent="0.3">
      <c r="A534" s="674"/>
      <c r="B534" s="561"/>
      <c r="C534" s="675" t="s">
        <v>18</v>
      </c>
      <c r="D534" s="676" t="s">
        <v>19</v>
      </c>
      <c r="E534" s="561"/>
      <c r="F534" s="561"/>
      <c r="G534" s="563"/>
      <c r="H534" s="677" t="s">
        <v>14</v>
      </c>
      <c r="I534" s="565"/>
      <c r="J534" s="565"/>
      <c r="K534" s="566"/>
      <c r="L534" s="678">
        <f t="shared" ref="L534:N534" ca="1" si="329">L535+L536</f>
        <v>0</v>
      </c>
      <c r="M534" s="679">
        <f t="shared" ca="1" si="329"/>
        <v>0</v>
      </c>
      <c r="N534" s="679">
        <f t="shared" ca="1" si="329"/>
        <v>0</v>
      </c>
      <c r="O534" s="679">
        <f t="shared" ref="O534:O542" ca="1" si="330">IF(L534&gt;0,N534*100/L534,0)</f>
        <v>0</v>
      </c>
      <c r="P534" s="679">
        <f t="shared" ref="P534:P542" ca="1" si="331">IF(M534&gt;0,N534*100/M534,0)</f>
        <v>0</v>
      </c>
      <c r="Q534" s="679">
        <f t="shared" ref="Q534:S534" si="332">Q535+Q536</f>
        <v>0</v>
      </c>
      <c r="R534" s="679">
        <f t="shared" si="332"/>
        <v>0</v>
      </c>
      <c r="S534" s="679">
        <f t="shared" si="332"/>
        <v>0</v>
      </c>
      <c r="T534" s="679">
        <f t="shared" ref="T534:T542" si="333">IF(Q534&gt;0,S534*100/Q534,0)</f>
        <v>0</v>
      </c>
      <c r="U534" s="679">
        <f t="shared" ref="U534:U542" si="334">IF(R534&gt;0,S534*100/R534,0)</f>
        <v>0</v>
      </c>
    </row>
    <row r="535" spans="1:21" ht="18.75" hidden="1" x14ac:dyDescent="0.25">
      <c r="A535" s="674"/>
      <c r="B535" s="718"/>
      <c r="C535" s="561"/>
      <c r="D535" s="561"/>
      <c r="E535" s="569" t="s">
        <v>20</v>
      </c>
      <c r="F535" s="561"/>
      <c r="G535" s="563"/>
      <c r="H535" s="680" t="s">
        <v>14</v>
      </c>
      <c r="I535" s="565"/>
      <c r="J535" s="565"/>
      <c r="K535" s="566"/>
      <c r="L535" s="571">
        <f t="shared" ref="L535:N536" si="335">L538+L541</f>
        <v>0</v>
      </c>
      <c r="M535" s="572">
        <f t="shared" si="335"/>
        <v>0</v>
      </c>
      <c r="N535" s="572">
        <f t="shared" si="335"/>
        <v>0</v>
      </c>
      <c r="O535" s="572">
        <f t="shared" si="330"/>
        <v>0</v>
      </c>
      <c r="P535" s="572">
        <f t="shared" si="331"/>
        <v>0</v>
      </c>
      <c r="Q535" s="572">
        <f t="shared" ref="Q535:S536" si="336">Q538+Q541</f>
        <v>0</v>
      </c>
      <c r="R535" s="572">
        <f t="shared" si="336"/>
        <v>0</v>
      </c>
      <c r="S535" s="572">
        <f t="shared" si="336"/>
        <v>0</v>
      </c>
      <c r="T535" s="572">
        <f t="shared" si="333"/>
        <v>0</v>
      </c>
      <c r="U535" s="572">
        <f t="shared" si="334"/>
        <v>0</v>
      </c>
    </row>
    <row r="536" spans="1:21" ht="18.75" hidden="1" x14ac:dyDescent="0.25">
      <c r="A536" s="674"/>
      <c r="B536" s="561"/>
      <c r="C536" s="718"/>
      <c r="D536" s="561"/>
      <c r="E536" s="765" t="s">
        <v>21</v>
      </c>
      <c r="F536" s="561"/>
      <c r="G536" s="563"/>
      <c r="H536" s="681" t="s">
        <v>14</v>
      </c>
      <c r="I536" s="565"/>
      <c r="J536" s="565"/>
      <c r="K536" s="566"/>
      <c r="L536" s="567">
        <f t="shared" ca="1" si="335"/>
        <v>0</v>
      </c>
      <c r="M536" s="568">
        <f t="shared" ca="1" si="335"/>
        <v>0</v>
      </c>
      <c r="N536" s="568">
        <f t="shared" ca="1" si="335"/>
        <v>0</v>
      </c>
      <c r="O536" s="568">
        <f t="shared" ca="1" si="330"/>
        <v>0</v>
      </c>
      <c r="P536" s="568">
        <f t="shared" ca="1" si="331"/>
        <v>0</v>
      </c>
      <c r="Q536" s="568">
        <f t="shared" si="336"/>
        <v>0</v>
      </c>
      <c r="R536" s="568">
        <f t="shared" si="336"/>
        <v>0</v>
      </c>
      <c r="S536" s="568">
        <f t="shared" si="336"/>
        <v>0</v>
      </c>
      <c r="T536" s="568">
        <f t="shared" si="333"/>
        <v>0</v>
      </c>
      <c r="U536" s="568">
        <f t="shared" si="334"/>
        <v>0</v>
      </c>
    </row>
    <row r="537" spans="1:21" ht="18.75" hidden="1" x14ac:dyDescent="0.25">
      <c r="A537" s="674"/>
      <c r="B537" s="561"/>
      <c r="C537" s="718"/>
      <c r="D537" s="562" t="s">
        <v>22</v>
      </c>
      <c r="E537" s="718"/>
      <c r="F537" s="561"/>
      <c r="G537" s="563"/>
      <c r="H537" s="682" t="s">
        <v>14</v>
      </c>
      <c r="I537" s="683"/>
      <c r="J537" s="683"/>
      <c r="K537" s="684"/>
      <c r="L537" s="567">
        <f t="shared" ref="L537:N537" ca="1" si="337">L538+L539</f>
        <v>0</v>
      </c>
      <c r="M537" s="568">
        <f t="shared" ca="1" si="337"/>
        <v>0</v>
      </c>
      <c r="N537" s="568">
        <f t="shared" ca="1" si="337"/>
        <v>0</v>
      </c>
      <c r="O537" s="568">
        <f t="shared" ca="1" si="330"/>
        <v>0</v>
      </c>
      <c r="P537" s="568">
        <f t="shared" ca="1" si="331"/>
        <v>0</v>
      </c>
      <c r="Q537" s="568">
        <f t="shared" ref="Q537:S537" si="338">Q538+Q539</f>
        <v>0</v>
      </c>
      <c r="R537" s="568">
        <f t="shared" si="338"/>
        <v>0</v>
      </c>
      <c r="S537" s="568">
        <f t="shared" si="338"/>
        <v>0</v>
      </c>
      <c r="T537" s="568">
        <f t="shared" si="333"/>
        <v>0</v>
      </c>
      <c r="U537" s="568">
        <f t="shared" si="334"/>
        <v>0</v>
      </c>
    </row>
    <row r="538" spans="1:21" ht="18.75" hidden="1" x14ac:dyDescent="0.25">
      <c r="A538" s="674"/>
      <c r="B538" s="561"/>
      <c r="C538" s="561"/>
      <c r="D538" s="561"/>
      <c r="E538" s="569" t="s">
        <v>36</v>
      </c>
      <c r="F538" s="561"/>
      <c r="G538" s="563"/>
      <c r="H538" s="685" t="s">
        <v>14</v>
      </c>
      <c r="I538" s="683"/>
      <c r="J538" s="683"/>
      <c r="K538" s="684"/>
      <c r="L538" s="571">
        <v>0</v>
      </c>
      <c r="M538" s="572">
        <v>0</v>
      </c>
      <c r="N538" s="572">
        <v>0</v>
      </c>
      <c r="O538" s="572">
        <f t="shared" si="330"/>
        <v>0</v>
      </c>
      <c r="P538" s="572">
        <f t="shared" si="331"/>
        <v>0</v>
      </c>
      <c r="Q538" s="572">
        <v>0</v>
      </c>
      <c r="R538" s="572">
        <v>0</v>
      </c>
      <c r="S538" s="572">
        <v>0</v>
      </c>
      <c r="T538" s="572">
        <f t="shared" si="333"/>
        <v>0</v>
      </c>
      <c r="U538" s="572">
        <f t="shared" si="334"/>
        <v>0</v>
      </c>
    </row>
    <row r="539" spans="1:21" ht="18.75" hidden="1" x14ac:dyDescent="0.25">
      <c r="A539" s="674"/>
      <c r="B539" s="561"/>
      <c r="C539" s="561"/>
      <c r="D539" s="561"/>
      <c r="E539" s="573" t="s">
        <v>37</v>
      </c>
      <c r="F539" s="561"/>
      <c r="G539" s="563"/>
      <c r="H539" s="682" t="s">
        <v>14</v>
      </c>
      <c r="I539" s="683"/>
      <c r="J539" s="683"/>
      <c r="K539" s="684"/>
      <c r="L539" s="567">
        <f ca="1">IFERROR(__xludf.DUMMYFUNCTION("IMPORTRANGE(""https://docs.google.com/spreadsheets/d/1-uDff_7J0KD5mKrp0Vvzr7lt3OU09vwQwhkpOPPYv2Y/edit?usp=sharing"",""งบพรบ!FW17"")"),0)</f>
        <v>0</v>
      </c>
      <c r="M539" s="568">
        <f ca="1">IFERROR(__xludf.DUMMYFUNCTION("IMPORTRANGE(""https://docs.google.com/spreadsheets/d/1-uDff_7J0KD5mKrp0Vvzr7lt3OU09vwQwhkpOPPYv2Y/edit?usp=sharing"",""งบพรบ!GB17"")"),0)</f>
        <v>0</v>
      </c>
      <c r="N539" s="568">
        <f ca="1">IFERROR(__xludf.DUMMYFUNCTION("IMPORTRANGE(""https://docs.google.com/spreadsheets/d/1-uDff_7J0KD5mKrp0Vvzr7lt3OU09vwQwhkpOPPYv2Y/edit?usp=sharing"",""งบพรบ!GD17"")"),0)</f>
        <v>0</v>
      </c>
      <c r="O539" s="568">
        <f t="shared" ca="1" si="330"/>
        <v>0</v>
      </c>
      <c r="P539" s="568">
        <f t="shared" ca="1" si="331"/>
        <v>0</v>
      </c>
      <c r="Q539" s="568">
        <v>0</v>
      </c>
      <c r="R539" s="568">
        <v>0</v>
      </c>
      <c r="S539" s="568">
        <v>0</v>
      </c>
      <c r="T539" s="568">
        <f t="shared" si="333"/>
        <v>0</v>
      </c>
      <c r="U539" s="568">
        <f t="shared" si="334"/>
        <v>0</v>
      </c>
    </row>
    <row r="540" spans="1:21" ht="18.75" hidden="1" x14ac:dyDescent="0.25">
      <c r="A540" s="674"/>
      <c r="B540" s="561"/>
      <c r="C540" s="561"/>
      <c r="D540" s="562" t="s">
        <v>23</v>
      </c>
      <c r="E540" s="561"/>
      <c r="F540" s="561"/>
      <c r="G540" s="563"/>
      <c r="H540" s="686" t="s">
        <v>14</v>
      </c>
      <c r="I540" s="683"/>
      <c r="J540" s="683"/>
      <c r="K540" s="684"/>
      <c r="L540" s="567">
        <f t="shared" ref="L540:N540" ca="1" si="339">L541+L542</f>
        <v>0</v>
      </c>
      <c r="M540" s="568">
        <f t="shared" ca="1" si="339"/>
        <v>0</v>
      </c>
      <c r="N540" s="568">
        <f t="shared" ca="1" si="339"/>
        <v>0</v>
      </c>
      <c r="O540" s="568">
        <f t="shared" ca="1" si="330"/>
        <v>0</v>
      </c>
      <c r="P540" s="568">
        <f t="shared" ca="1" si="331"/>
        <v>0</v>
      </c>
      <c r="Q540" s="568">
        <f t="shared" ref="Q540:S540" si="340">Q541+Q542</f>
        <v>0</v>
      </c>
      <c r="R540" s="568">
        <f t="shared" si="340"/>
        <v>0</v>
      </c>
      <c r="S540" s="568">
        <f t="shared" si="340"/>
        <v>0</v>
      </c>
      <c r="T540" s="568">
        <f t="shared" si="333"/>
        <v>0</v>
      </c>
      <c r="U540" s="568">
        <f t="shared" si="334"/>
        <v>0</v>
      </c>
    </row>
    <row r="541" spans="1:21" ht="18.75" hidden="1" x14ac:dyDescent="0.25">
      <c r="A541" s="674"/>
      <c r="B541" s="561"/>
      <c r="C541" s="561"/>
      <c r="D541" s="561"/>
      <c r="E541" s="569" t="s">
        <v>20</v>
      </c>
      <c r="F541" s="561"/>
      <c r="G541" s="563"/>
      <c r="H541" s="685" t="s">
        <v>14</v>
      </c>
      <c r="I541" s="683"/>
      <c r="J541" s="683"/>
      <c r="K541" s="684"/>
      <c r="L541" s="571">
        <v>0</v>
      </c>
      <c r="M541" s="572">
        <v>0</v>
      </c>
      <c r="N541" s="572">
        <v>0</v>
      </c>
      <c r="O541" s="572">
        <f t="shared" si="330"/>
        <v>0</v>
      </c>
      <c r="P541" s="572">
        <f t="shared" si="331"/>
        <v>0</v>
      </c>
      <c r="Q541" s="572">
        <v>0</v>
      </c>
      <c r="R541" s="572">
        <v>0</v>
      </c>
      <c r="S541" s="572">
        <v>0</v>
      </c>
      <c r="T541" s="572">
        <f t="shared" si="333"/>
        <v>0</v>
      </c>
      <c r="U541" s="572">
        <f t="shared" si="334"/>
        <v>0</v>
      </c>
    </row>
    <row r="542" spans="1:21" ht="18.75" hidden="1" x14ac:dyDescent="0.25">
      <c r="A542" s="674"/>
      <c r="B542" s="561"/>
      <c r="C542" s="561"/>
      <c r="D542" s="561"/>
      <c r="E542" s="573" t="s">
        <v>21</v>
      </c>
      <c r="F542" s="561"/>
      <c r="G542" s="563"/>
      <c r="H542" s="686" t="s">
        <v>14</v>
      </c>
      <c r="I542" s="683"/>
      <c r="J542" s="683"/>
      <c r="K542" s="684"/>
      <c r="L542" s="567">
        <f ca="1">IFERROR(__xludf.DUMMYFUNCTION("IMPORTRANGE(""https://docs.google.com/spreadsheets/d/1-uDff_7J0KD5mKrp0Vvzr7lt3OU09vwQwhkpOPPYv2Y/edit?usp=sharing"",""งบพรบ!FZ17"")"),0)</f>
        <v>0</v>
      </c>
      <c r="M542" s="568">
        <f ca="1">IFERROR(__xludf.DUMMYFUNCTION("IMPORTRANGE(""https://docs.google.com/spreadsheets/d/1-uDff_7J0KD5mKrp0Vvzr7lt3OU09vwQwhkpOPPYv2Y/edit?usp=sharing"",""งบพรบ!GC17"")"),0)</f>
        <v>0</v>
      </c>
      <c r="N542" s="568">
        <f ca="1">IFERROR(__xludf.DUMMYFUNCTION("IMPORTRANGE(""https://docs.google.com/spreadsheets/d/1-uDff_7J0KD5mKrp0Vvzr7lt3OU09vwQwhkpOPPYv2Y/edit?usp=sharing"",""งบพรบ!GE17"")"),0)</f>
        <v>0</v>
      </c>
      <c r="O542" s="568">
        <f t="shared" ca="1" si="330"/>
        <v>0</v>
      </c>
      <c r="P542" s="568">
        <f t="shared" ca="1" si="331"/>
        <v>0</v>
      </c>
      <c r="Q542" s="568">
        <v>0</v>
      </c>
      <c r="R542" s="568">
        <v>0</v>
      </c>
      <c r="S542" s="568">
        <v>0</v>
      </c>
      <c r="T542" s="568">
        <f t="shared" si="333"/>
        <v>0</v>
      </c>
      <c r="U542" s="568">
        <f t="shared" si="334"/>
        <v>0</v>
      </c>
    </row>
    <row r="543" spans="1:21" ht="19.5" hidden="1" x14ac:dyDescent="0.3">
      <c r="A543" s="687"/>
      <c r="B543" s="688"/>
      <c r="C543" s="1034" t="s">
        <v>18</v>
      </c>
      <c r="D543" s="689" t="s">
        <v>38</v>
      </c>
      <c r="E543" s="690"/>
      <c r="F543" s="690"/>
      <c r="G543" s="691"/>
      <c r="H543" s="692"/>
      <c r="I543" s="683"/>
      <c r="J543" s="565"/>
      <c r="K543" s="566"/>
      <c r="L543" s="574"/>
      <c r="M543" s="566"/>
      <c r="N543" s="566"/>
      <c r="O543" s="684"/>
      <c r="P543" s="684"/>
      <c r="Q543" s="566"/>
      <c r="R543" s="566"/>
      <c r="S543" s="566"/>
      <c r="T543" s="684"/>
      <c r="U543" s="684"/>
    </row>
    <row r="544" spans="1:21" ht="12.75" hidden="1" x14ac:dyDescent="0.2">
      <c r="A544" s="973"/>
      <c r="B544" s="974"/>
      <c r="C544" s="961"/>
      <c r="D544" s="974"/>
      <c r="E544" s="961"/>
      <c r="F544" s="974"/>
      <c r="G544" s="975"/>
      <c r="H544" s="975"/>
      <c r="I544" s="963"/>
      <c r="J544" s="963"/>
      <c r="K544" s="964"/>
      <c r="L544" s="965"/>
      <c r="M544" s="964"/>
      <c r="N544" s="964"/>
      <c r="O544" s="964"/>
      <c r="P544" s="964"/>
      <c r="Q544" s="964"/>
      <c r="R544" s="964"/>
      <c r="S544" s="964"/>
      <c r="T544" s="964"/>
      <c r="U544" s="964"/>
    </row>
    <row r="545" spans="1:21" ht="12.75" hidden="1" x14ac:dyDescent="0.2">
      <c r="A545" s="973"/>
      <c r="B545" s="974"/>
      <c r="C545" s="961"/>
      <c r="D545" s="974"/>
      <c r="E545" s="961"/>
      <c r="F545" s="974"/>
      <c r="G545" s="975"/>
      <c r="H545" s="975"/>
      <c r="I545" s="963"/>
      <c r="J545" s="963"/>
      <c r="K545" s="964"/>
      <c r="L545" s="965"/>
      <c r="M545" s="964"/>
      <c r="N545" s="964"/>
      <c r="O545" s="964"/>
      <c r="P545" s="964"/>
      <c r="Q545" s="964"/>
      <c r="R545" s="964"/>
      <c r="S545" s="964"/>
      <c r="T545" s="964"/>
      <c r="U545" s="964"/>
    </row>
    <row r="546" spans="1:21" ht="12.75" hidden="1" x14ac:dyDescent="0.2">
      <c r="A546" s="973"/>
      <c r="B546" s="961"/>
      <c r="C546" s="961"/>
      <c r="D546" s="974"/>
      <c r="E546" s="974"/>
      <c r="F546" s="974"/>
      <c r="G546" s="975"/>
      <c r="H546" s="962"/>
      <c r="I546" s="963"/>
      <c r="J546" s="963"/>
      <c r="K546" s="964"/>
      <c r="L546" s="965"/>
      <c r="M546" s="964"/>
      <c r="N546" s="964"/>
      <c r="O546" s="964"/>
      <c r="P546" s="964"/>
      <c r="Q546" s="964"/>
      <c r="R546" s="964"/>
      <c r="S546" s="964"/>
      <c r="T546" s="964"/>
      <c r="U546" s="964"/>
    </row>
    <row r="547" spans="1:21" ht="12.75" hidden="1" x14ac:dyDescent="0.2">
      <c r="A547" s="973"/>
      <c r="B547" s="961"/>
      <c r="C547" s="961"/>
      <c r="D547" s="974"/>
      <c r="E547" s="974"/>
      <c r="F547" s="974"/>
      <c r="G547" s="975"/>
      <c r="H547" s="962"/>
      <c r="I547" s="963"/>
      <c r="J547" s="963"/>
      <c r="K547" s="964"/>
      <c r="L547" s="965"/>
      <c r="M547" s="964"/>
      <c r="N547" s="964"/>
      <c r="O547" s="964"/>
      <c r="P547" s="964"/>
      <c r="Q547" s="964"/>
      <c r="R547" s="964"/>
      <c r="S547" s="964"/>
      <c r="T547" s="964"/>
      <c r="U547" s="964"/>
    </row>
    <row r="548" spans="1:21" ht="12.75" hidden="1" x14ac:dyDescent="0.2">
      <c r="A548" s="973"/>
      <c r="B548" s="961"/>
      <c r="C548" s="961"/>
      <c r="D548" s="974"/>
      <c r="E548" s="974"/>
      <c r="F548" s="974"/>
      <c r="G548" s="975"/>
      <c r="H548" s="962"/>
      <c r="I548" s="963"/>
      <c r="J548" s="963"/>
      <c r="K548" s="964"/>
      <c r="L548" s="965"/>
      <c r="M548" s="964"/>
      <c r="N548" s="964"/>
      <c r="O548" s="964"/>
      <c r="P548" s="964"/>
      <c r="Q548" s="964"/>
      <c r="R548" s="964"/>
      <c r="S548" s="964"/>
      <c r="T548" s="964"/>
      <c r="U548" s="964"/>
    </row>
    <row r="549" spans="1:21" ht="12.75" hidden="1" x14ac:dyDescent="0.2">
      <c r="A549" s="973"/>
      <c r="B549" s="961"/>
      <c r="C549" s="961"/>
      <c r="D549" s="974"/>
      <c r="E549" s="974"/>
      <c r="F549" s="974"/>
      <c r="G549" s="975"/>
      <c r="H549" s="962"/>
      <c r="I549" s="963"/>
      <c r="J549" s="963"/>
      <c r="K549" s="964"/>
      <c r="L549" s="965"/>
      <c r="M549" s="964"/>
      <c r="N549" s="964"/>
      <c r="O549" s="964"/>
      <c r="P549" s="964"/>
      <c r="Q549" s="964"/>
      <c r="R549" s="964"/>
      <c r="S549" s="964"/>
      <c r="T549" s="964"/>
      <c r="U549" s="964"/>
    </row>
    <row r="550" spans="1:21" ht="12.75" hidden="1" x14ac:dyDescent="0.2">
      <c r="A550" s="973"/>
      <c r="B550" s="961"/>
      <c r="C550" s="961"/>
      <c r="D550" s="974"/>
      <c r="E550" s="974"/>
      <c r="F550" s="974"/>
      <c r="G550" s="975"/>
      <c r="H550" s="962"/>
      <c r="I550" s="963"/>
      <c r="J550" s="963"/>
      <c r="K550" s="964"/>
      <c r="L550" s="965"/>
      <c r="M550" s="964"/>
      <c r="N550" s="964"/>
      <c r="O550" s="964"/>
      <c r="P550" s="964"/>
      <c r="Q550" s="964"/>
      <c r="R550" s="964"/>
      <c r="S550" s="964"/>
      <c r="T550" s="964"/>
      <c r="U550" s="964"/>
    </row>
    <row r="551" spans="1:21" ht="12.75" hidden="1" x14ac:dyDescent="0.2">
      <c r="A551" s="973"/>
      <c r="B551" s="961"/>
      <c r="C551" s="961"/>
      <c r="D551" s="974"/>
      <c r="E551" s="974"/>
      <c r="F551" s="974"/>
      <c r="G551" s="975"/>
      <c r="H551" s="962"/>
      <c r="I551" s="963"/>
      <c r="J551" s="963"/>
      <c r="K551" s="964"/>
      <c r="L551" s="965"/>
      <c r="M551" s="964"/>
      <c r="N551" s="964"/>
      <c r="O551" s="964"/>
      <c r="P551" s="964"/>
      <c r="Q551" s="964"/>
      <c r="R551" s="964"/>
      <c r="S551" s="964"/>
      <c r="T551" s="964"/>
      <c r="U551" s="964"/>
    </row>
    <row r="552" spans="1:21" ht="12.75" hidden="1" x14ac:dyDescent="0.2">
      <c r="A552" s="973"/>
      <c r="B552" s="961"/>
      <c r="C552" s="961"/>
      <c r="D552" s="974"/>
      <c r="E552" s="974"/>
      <c r="F552" s="974"/>
      <c r="G552" s="975"/>
      <c r="H552" s="962"/>
      <c r="I552" s="963"/>
      <c r="J552" s="963"/>
      <c r="K552" s="964"/>
      <c r="L552" s="965"/>
      <c r="M552" s="964"/>
      <c r="N552" s="964"/>
      <c r="O552" s="964"/>
      <c r="P552" s="964"/>
      <c r="Q552" s="964"/>
      <c r="R552" s="964"/>
      <c r="S552" s="964"/>
      <c r="T552" s="964"/>
      <c r="U552" s="964"/>
    </row>
    <row r="553" spans="1:21" ht="12.75" hidden="1" x14ac:dyDescent="0.2">
      <c r="A553" s="1027"/>
      <c r="B553" s="966"/>
      <c r="C553" s="966"/>
      <c r="D553" s="1028"/>
      <c r="E553" s="1028"/>
      <c r="F553" s="1028"/>
      <c r="G553" s="1029"/>
      <c r="H553" s="967"/>
      <c r="I553" s="968"/>
      <c r="J553" s="968"/>
      <c r="K553" s="969"/>
      <c r="L553" s="970"/>
      <c r="M553" s="969"/>
      <c r="N553" s="969"/>
      <c r="O553" s="969"/>
      <c r="P553" s="969"/>
      <c r="Q553" s="969"/>
      <c r="R553" s="969"/>
      <c r="S553" s="969"/>
      <c r="T553" s="969"/>
      <c r="U553" s="969"/>
    </row>
    <row r="554" spans="1:21" ht="19.5" hidden="1" x14ac:dyDescent="0.3">
      <c r="A554" s="1006"/>
      <c r="B554" s="1030" t="s">
        <v>211</v>
      </c>
      <c r="C554" s="1008"/>
      <c r="D554" s="1009"/>
      <c r="E554" s="1009"/>
      <c r="F554" s="1009"/>
      <c r="G554" s="1010"/>
      <c r="H554" s="1031" t="s">
        <v>61</v>
      </c>
      <c r="I554" s="1032">
        <f t="shared" ref="I554:J554" si="341">I566</f>
        <v>0</v>
      </c>
      <c r="J554" s="1032">
        <f t="shared" si="341"/>
        <v>0</v>
      </c>
      <c r="K554" s="1033">
        <f>IF(I554&gt;0,J554*100/I554,0)</f>
        <v>0</v>
      </c>
      <c r="L554" s="1014"/>
      <c r="M554" s="1015"/>
      <c r="N554" s="1015"/>
      <c r="O554" s="1015"/>
      <c r="P554" s="1015"/>
      <c r="Q554" s="1015"/>
      <c r="R554" s="1015"/>
      <c r="S554" s="1015"/>
      <c r="T554" s="1015"/>
      <c r="U554" s="1015"/>
    </row>
    <row r="555" spans="1:21" ht="19.5" hidden="1" x14ac:dyDescent="0.3">
      <c r="A555" s="674"/>
      <c r="B555" s="561"/>
      <c r="C555" s="675" t="s">
        <v>18</v>
      </c>
      <c r="D555" s="676" t="s">
        <v>19</v>
      </c>
      <c r="E555" s="561"/>
      <c r="F555" s="561"/>
      <c r="G555" s="563"/>
      <c r="H555" s="677" t="s">
        <v>14</v>
      </c>
      <c r="I555" s="565"/>
      <c r="J555" s="565"/>
      <c r="K555" s="566"/>
      <c r="L555" s="678">
        <f t="shared" ref="L555:N555" ca="1" si="342">L556+L557</f>
        <v>0</v>
      </c>
      <c r="M555" s="679">
        <f t="shared" ca="1" si="342"/>
        <v>0</v>
      </c>
      <c r="N555" s="679">
        <f t="shared" ca="1" si="342"/>
        <v>0</v>
      </c>
      <c r="O555" s="679">
        <f t="shared" ref="O555:O563" ca="1" si="343">IF(L555&gt;0,N555*100/L555,0)</f>
        <v>0</v>
      </c>
      <c r="P555" s="679">
        <f t="shared" ref="P555:P563" ca="1" si="344">IF(M555&gt;0,N555*100/M555,0)</f>
        <v>0</v>
      </c>
      <c r="Q555" s="679">
        <f t="shared" ref="Q555:S555" si="345">Q556+Q557</f>
        <v>0</v>
      </c>
      <c r="R555" s="679">
        <f t="shared" si="345"/>
        <v>0</v>
      </c>
      <c r="S555" s="679">
        <f t="shared" si="345"/>
        <v>0</v>
      </c>
      <c r="T555" s="679">
        <f t="shared" ref="T555:T563" si="346">IF(Q555&gt;0,S555*100/Q555,0)</f>
        <v>0</v>
      </c>
      <c r="U555" s="679">
        <f t="shared" ref="U555:U563" si="347">IF(R555&gt;0,S555*100/R555,0)</f>
        <v>0</v>
      </c>
    </row>
    <row r="556" spans="1:21" ht="18.75" hidden="1" x14ac:dyDescent="0.25">
      <c r="A556" s="674"/>
      <c r="B556" s="718"/>
      <c r="C556" s="561"/>
      <c r="D556" s="561"/>
      <c r="E556" s="569" t="s">
        <v>20</v>
      </c>
      <c r="F556" s="561"/>
      <c r="G556" s="563"/>
      <c r="H556" s="680" t="s">
        <v>14</v>
      </c>
      <c r="I556" s="565"/>
      <c r="J556" s="565"/>
      <c r="K556" s="566"/>
      <c r="L556" s="571">
        <f t="shared" ref="L556:N557" si="348">L559+L562</f>
        <v>0</v>
      </c>
      <c r="M556" s="572">
        <f t="shared" si="348"/>
        <v>0</v>
      </c>
      <c r="N556" s="572">
        <f t="shared" si="348"/>
        <v>0</v>
      </c>
      <c r="O556" s="572">
        <f t="shared" si="343"/>
        <v>0</v>
      </c>
      <c r="P556" s="572">
        <f t="shared" si="344"/>
        <v>0</v>
      </c>
      <c r="Q556" s="572">
        <f t="shared" ref="Q556:S557" si="349">Q559+Q562</f>
        <v>0</v>
      </c>
      <c r="R556" s="572">
        <f t="shared" si="349"/>
        <v>0</v>
      </c>
      <c r="S556" s="572">
        <f t="shared" si="349"/>
        <v>0</v>
      </c>
      <c r="T556" s="572">
        <f t="shared" si="346"/>
        <v>0</v>
      </c>
      <c r="U556" s="572">
        <f t="shared" si="347"/>
        <v>0</v>
      </c>
    </row>
    <row r="557" spans="1:21" ht="18.75" hidden="1" x14ac:dyDescent="0.25">
      <c r="A557" s="674"/>
      <c r="B557" s="561"/>
      <c r="C557" s="718"/>
      <c r="D557" s="561"/>
      <c r="E557" s="765" t="s">
        <v>21</v>
      </c>
      <c r="F557" s="561"/>
      <c r="G557" s="563"/>
      <c r="H557" s="681" t="s">
        <v>14</v>
      </c>
      <c r="I557" s="565"/>
      <c r="J557" s="565"/>
      <c r="K557" s="566"/>
      <c r="L557" s="567">
        <f t="shared" ca="1" si="348"/>
        <v>0</v>
      </c>
      <c r="M557" s="568">
        <f t="shared" ca="1" si="348"/>
        <v>0</v>
      </c>
      <c r="N557" s="568">
        <f t="shared" ca="1" si="348"/>
        <v>0</v>
      </c>
      <c r="O557" s="568">
        <f t="shared" ca="1" si="343"/>
        <v>0</v>
      </c>
      <c r="P557" s="568">
        <f t="shared" ca="1" si="344"/>
        <v>0</v>
      </c>
      <c r="Q557" s="568">
        <f t="shared" si="349"/>
        <v>0</v>
      </c>
      <c r="R557" s="568">
        <f t="shared" si="349"/>
        <v>0</v>
      </c>
      <c r="S557" s="568">
        <f t="shared" si="349"/>
        <v>0</v>
      </c>
      <c r="T557" s="568">
        <f t="shared" si="346"/>
        <v>0</v>
      </c>
      <c r="U557" s="568">
        <f t="shared" si="347"/>
        <v>0</v>
      </c>
    </row>
    <row r="558" spans="1:21" ht="18.75" hidden="1" x14ac:dyDescent="0.25">
      <c r="A558" s="674"/>
      <c r="B558" s="561"/>
      <c r="C558" s="718"/>
      <c r="D558" s="562" t="s">
        <v>22</v>
      </c>
      <c r="E558" s="718"/>
      <c r="F558" s="561"/>
      <c r="G558" s="563"/>
      <c r="H558" s="682" t="s">
        <v>14</v>
      </c>
      <c r="I558" s="683"/>
      <c r="J558" s="683"/>
      <c r="K558" s="684"/>
      <c r="L558" s="567">
        <f t="shared" ref="L558:N558" ca="1" si="350">L559+L560</f>
        <v>0</v>
      </c>
      <c r="M558" s="568">
        <f t="shared" ca="1" si="350"/>
        <v>0</v>
      </c>
      <c r="N558" s="568">
        <f t="shared" ca="1" si="350"/>
        <v>0</v>
      </c>
      <c r="O558" s="568">
        <f t="shared" ca="1" si="343"/>
        <v>0</v>
      </c>
      <c r="P558" s="568">
        <f t="shared" ca="1" si="344"/>
        <v>0</v>
      </c>
      <c r="Q558" s="568">
        <f t="shared" ref="Q558:S558" si="351">Q559+Q560</f>
        <v>0</v>
      </c>
      <c r="R558" s="568">
        <f t="shared" si="351"/>
        <v>0</v>
      </c>
      <c r="S558" s="568">
        <f t="shared" si="351"/>
        <v>0</v>
      </c>
      <c r="T558" s="568">
        <f t="shared" si="346"/>
        <v>0</v>
      </c>
      <c r="U558" s="568">
        <f t="shared" si="347"/>
        <v>0</v>
      </c>
    </row>
    <row r="559" spans="1:21" ht="18.75" hidden="1" x14ac:dyDescent="0.25">
      <c r="A559" s="674"/>
      <c r="B559" s="561"/>
      <c r="C559" s="561"/>
      <c r="D559" s="561"/>
      <c r="E559" s="569" t="s">
        <v>36</v>
      </c>
      <c r="F559" s="561"/>
      <c r="G559" s="563"/>
      <c r="H559" s="685" t="s">
        <v>14</v>
      </c>
      <c r="I559" s="683"/>
      <c r="J559" s="683"/>
      <c r="K559" s="684"/>
      <c r="L559" s="571">
        <v>0</v>
      </c>
      <c r="M559" s="572">
        <v>0</v>
      </c>
      <c r="N559" s="572">
        <v>0</v>
      </c>
      <c r="O559" s="572">
        <f t="shared" si="343"/>
        <v>0</v>
      </c>
      <c r="P559" s="572">
        <f t="shared" si="344"/>
        <v>0</v>
      </c>
      <c r="Q559" s="572">
        <v>0</v>
      </c>
      <c r="R559" s="572">
        <v>0</v>
      </c>
      <c r="S559" s="572">
        <v>0</v>
      </c>
      <c r="T559" s="572">
        <f t="shared" si="346"/>
        <v>0</v>
      </c>
      <c r="U559" s="572">
        <f t="shared" si="347"/>
        <v>0</v>
      </c>
    </row>
    <row r="560" spans="1:21" ht="18.75" hidden="1" x14ac:dyDescent="0.25">
      <c r="A560" s="674"/>
      <c r="B560" s="561"/>
      <c r="C560" s="561"/>
      <c r="D560" s="561"/>
      <c r="E560" s="573" t="s">
        <v>37</v>
      </c>
      <c r="F560" s="561"/>
      <c r="G560" s="563"/>
      <c r="H560" s="682" t="s">
        <v>14</v>
      </c>
      <c r="I560" s="683"/>
      <c r="J560" s="683"/>
      <c r="K560" s="684"/>
      <c r="L560" s="567">
        <f ca="1">IFERROR(__xludf.DUMMYFUNCTION("IMPORTRANGE(""https://docs.google.com/spreadsheets/d/1-uDff_7J0KD5mKrp0Vvzr7lt3OU09vwQwhkpOPPYv2Y/edit?usp=sharing"",""งบพรบ!GG17"")"),0)</f>
        <v>0</v>
      </c>
      <c r="M560" s="568">
        <f ca="1">IFERROR(__xludf.DUMMYFUNCTION("IMPORTRANGE(""https://docs.google.com/spreadsheets/d/1-uDff_7J0KD5mKrp0Vvzr7lt3OU09vwQwhkpOPPYv2Y/edit?usp=sharing"",""งบพรบ!GL17"")"),0)</f>
        <v>0</v>
      </c>
      <c r="N560" s="568">
        <f ca="1">IFERROR(__xludf.DUMMYFUNCTION("IMPORTRANGE(""https://docs.google.com/spreadsheets/d/1-uDff_7J0KD5mKrp0Vvzr7lt3OU09vwQwhkpOPPYv2Y/edit?usp=sharing"",""งบพรบ!GN17"")"),0)</f>
        <v>0</v>
      </c>
      <c r="O560" s="568">
        <f t="shared" ca="1" si="343"/>
        <v>0</v>
      </c>
      <c r="P560" s="568">
        <f t="shared" ca="1" si="344"/>
        <v>0</v>
      </c>
      <c r="Q560" s="568">
        <v>0</v>
      </c>
      <c r="R560" s="568">
        <v>0</v>
      </c>
      <c r="S560" s="568">
        <v>0</v>
      </c>
      <c r="T560" s="568">
        <f t="shared" si="346"/>
        <v>0</v>
      </c>
      <c r="U560" s="568">
        <f t="shared" si="347"/>
        <v>0</v>
      </c>
    </row>
    <row r="561" spans="1:21" ht="18.75" hidden="1" x14ac:dyDescent="0.25">
      <c r="A561" s="674"/>
      <c r="B561" s="561"/>
      <c r="C561" s="561"/>
      <c r="D561" s="562" t="s">
        <v>23</v>
      </c>
      <c r="E561" s="561"/>
      <c r="F561" s="561"/>
      <c r="G561" s="563"/>
      <c r="H561" s="686" t="s">
        <v>14</v>
      </c>
      <c r="I561" s="683"/>
      <c r="J561" s="683"/>
      <c r="K561" s="684"/>
      <c r="L561" s="567">
        <f t="shared" ref="L561:N561" ca="1" si="352">L562+L563</f>
        <v>0</v>
      </c>
      <c r="M561" s="568">
        <f t="shared" ca="1" si="352"/>
        <v>0</v>
      </c>
      <c r="N561" s="568">
        <f t="shared" ca="1" si="352"/>
        <v>0</v>
      </c>
      <c r="O561" s="568">
        <f t="shared" ca="1" si="343"/>
        <v>0</v>
      </c>
      <c r="P561" s="568">
        <f t="shared" ca="1" si="344"/>
        <v>0</v>
      </c>
      <c r="Q561" s="568">
        <f t="shared" ref="Q561:S561" si="353">Q562+Q563</f>
        <v>0</v>
      </c>
      <c r="R561" s="568">
        <f t="shared" si="353"/>
        <v>0</v>
      </c>
      <c r="S561" s="568">
        <f t="shared" si="353"/>
        <v>0</v>
      </c>
      <c r="T561" s="568">
        <f t="shared" si="346"/>
        <v>0</v>
      </c>
      <c r="U561" s="568">
        <f t="shared" si="347"/>
        <v>0</v>
      </c>
    </row>
    <row r="562" spans="1:21" ht="18.75" hidden="1" x14ac:dyDescent="0.25">
      <c r="A562" s="674"/>
      <c r="B562" s="561"/>
      <c r="C562" s="561"/>
      <c r="D562" s="561"/>
      <c r="E562" s="569" t="s">
        <v>20</v>
      </c>
      <c r="F562" s="561"/>
      <c r="G562" s="563"/>
      <c r="H562" s="685" t="s">
        <v>14</v>
      </c>
      <c r="I562" s="683"/>
      <c r="J562" s="683"/>
      <c r="K562" s="684"/>
      <c r="L562" s="571">
        <v>0</v>
      </c>
      <c r="M562" s="572">
        <v>0</v>
      </c>
      <c r="N562" s="572">
        <v>0</v>
      </c>
      <c r="O562" s="572">
        <f t="shared" si="343"/>
        <v>0</v>
      </c>
      <c r="P562" s="572">
        <f t="shared" si="344"/>
        <v>0</v>
      </c>
      <c r="Q562" s="572">
        <v>0</v>
      </c>
      <c r="R562" s="572">
        <v>0</v>
      </c>
      <c r="S562" s="572">
        <v>0</v>
      </c>
      <c r="T562" s="572">
        <f t="shared" si="346"/>
        <v>0</v>
      </c>
      <c r="U562" s="572">
        <f t="shared" si="347"/>
        <v>0</v>
      </c>
    </row>
    <row r="563" spans="1:21" ht="18.75" hidden="1" x14ac:dyDescent="0.25">
      <c r="A563" s="674"/>
      <c r="B563" s="561"/>
      <c r="C563" s="561"/>
      <c r="D563" s="561"/>
      <c r="E563" s="573" t="s">
        <v>21</v>
      </c>
      <c r="F563" s="561"/>
      <c r="G563" s="563"/>
      <c r="H563" s="686" t="s">
        <v>14</v>
      </c>
      <c r="I563" s="683"/>
      <c r="J563" s="683"/>
      <c r="K563" s="684"/>
      <c r="L563" s="567">
        <f ca="1">IFERROR(__xludf.DUMMYFUNCTION("IMPORTRANGE(""https://docs.google.com/spreadsheets/d/1-uDff_7J0KD5mKrp0Vvzr7lt3OU09vwQwhkpOPPYv2Y/edit?usp=sharing"",""งบพรบ!GJ17"")"),0)</f>
        <v>0</v>
      </c>
      <c r="M563" s="568">
        <f ca="1">IFERROR(__xludf.DUMMYFUNCTION("IMPORTRANGE(""https://docs.google.com/spreadsheets/d/1-uDff_7J0KD5mKrp0Vvzr7lt3OU09vwQwhkpOPPYv2Y/edit?usp=sharing"",""งบพรบ!GM17"")"),0)</f>
        <v>0</v>
      </c>
      <c r="N563" s="568">
        <f ca="1">IFERROR(__xludf.DUMMYFUNCTION("IMPORTRANGE(""https://docs.google.com/spreadsheets/d/1-uDff_7J0KD5mKrp0Vvzr7lt3OU09vwQwhkpOPPYv2Y/edit?usp=sharing"",""งบพรบ!GO17"")"),0)</f>
        <v>0</v>
      </c>
      <c r="O563" s="568">
        <f t="shared" ca="1" si="343"/>
        <v>0</v>
      </c>
      <c r="P563" s="568">
        <f t="shared" ca="1" si="344"/>
        <v>0</v>
      </c>
      <c r="Q563" s="568">
        <v>0</v>
      </c>
      <c r="R563" s="568">
        <v>0</v>
      </c>
      <c r="S563" s="568">
        <v>0</v>
      </c>
      <c r="T563" s="568">
        <f t="shared" si="346"/>
        <v>0</v>
      </c>
      <c r="U563" s="568">
        <f t="shared" si="347"/>
        <v>0</v>
      </c>
    </row>
    <row r="564" spans="1:21" ht="19.5" hidden="1" x14ac:dyDescent="0.3">
      <c r="A564" s="687"/>
      <c r="B564" s="688"/>
      <c r="C564" s="1034" t="s">
        <v>18</v>
      </c>
      <c r="D564" s="689" t="s">
        <v>38</v>
      </c>
      <c r="E564" s="690"/>
      <c r="F564" s="690"/>
      <c r="G564" s="691"/>
      <c r="H564" s="692"/>
      <c r="I564" s="683"/>
      <c r="J564" s="565"/>
      <c r="K564" s="566"/>
      <c r="L564" s="574"/>
      <c r="M564" s="566"/>
      <c r="N564" s="566"/>
      <c r="O564" s="684"/>
      <c r="P564" s="684"/>
      <c r="Q564" s="566"/>
      <c r="R564" s="566"/>
      <c r="S564" s="566"/>
      <c r="T564" s="684"/>
      <c r="U564" s="684"/>
    </row>
    <row r="565" spans="1:21" ht="12.75" hidden="1" x14ac:dyDescent="0.2">
      <c r="A565" s="973"/>
      <c r="B565" s="974"/>
      <c r="C565" s="961"/>
      <c r="D565" s="974"/>
      <c r="E565" s="961"/>
      <c r="F565" s="974"/>
      <c r="G565" s="975"/>
      <c r="H565" s="975"/>
      <c r="I565" s="963"/>
      <c r="J565" s="963"/>
      <c r="K565" s="964"/>
      <c r="L565" s="965"/>
      <c r="M565" s="964"/>
      <c r="N565" s="964"/>
      <c r="O565" s="964"/>
      <c r="P565" s="964"/>
      <c r="Q565" s="964"/>
      <c r="R565" s="964"/>
      <c r="S565" s="964"/>
      <c r="T565" s="964"/>
      <c r="U565" s="964"/>
    </row>
    <row r="566" spans="1:21" ht="12.75" hidden="1" x14ac:dyDescent="0.2">
      <c r="A566" s="973"/>
      <c r="B566" s="974"/>
      <c r="C566" s="961"/>
      <c r="D566" s="974"/>
      <c r="E566" s="961"/>
      <c r="F566" s="974"/>
      <c r="G566" s="975"/>
      <c r="H566" s="975"/>
      <c r="I566" s="963"/>
      <c r="J566" s="963"/>
      <c r="K566" s="964"/>
      <c r="L566" s="965"/>
      <c r="M566" s="964"/>
      <c r="N566" s="964"/>
      <c r="O566" s="964"/>
      <c r="P566" s="964"/>
      <c r="Q566" s="964"/>
      <c r="R566" s="964"/>
      <c r="S566" s="964"/>
      <c r="T566" s="964"/>
      <c r="U566" s="964"/>
    </row>
    <row r="567" spans="1:21" ht="12.75" hidden="1" x14ac:dyDescent="0.2">
      <c r="A567" s="973"/>
      <c r="B567" s="961"/>
      <c r="C567" s="961"/>
      <c r="D567" s="974"/>
      <c r="E567" s="974"/>
      <c r="F567" s="974"/>
      <c r="G567" s="975"/>
      <c r="H567" s="962"/>
      <c r="I567" s="963"/>
      <c r="J567" s="963"/>
      <c r="K567" s="964"/>
      <c r="L567" s="965"/>
      <c r="M567" s="964"/>
      <c r="N567" s="964"/>
      <c r="O567" s="964"/>
      <c r="P567" s="964"/>
      <c r="Q567" s="964"/>
      <c r="R567" s="964"/>
      <c r="S567" s="964"/>
      <c r="T567" s="964"/>
      <c r="U567" s="964"/>
    </row>
    <row r="568" spans="1:21" ht="12.75" hidden="1" x14ac:dyDescent="0.2">
      <c r="A568" s="973"/>
      <c r="B568" s="961"/>
      <c r="C568" s="961"/>
      <c r="D568" s="974"/>
      <c r="E568" s="974"/>
      <c r="F568" s="974"/>
      <c r="G568" s="975"/>
      <c r="H568" s="962"/>
      <c r="I568" s="963"/>
      <c r="J568" s="963"/>
      <c r="K568" s="964"/>
      <c r="L568" s="965"/>
      <c r="M568" s="964"/>
      <c r="N568" s="964"/>
      <c r="O568" s="964"/>
      <c r="P568" s="964"/>
      <c r="Q568" s="964"/>
      <c r="R568" s="964"/>
      <c r="S568" s="964"/>
      <c r="T568" s="964"/>
      <c r="U568" s="964"/>
    </row>
    <row r="569" spans="1:21" ht="12.75" hidden="1" x14ac:dyDescent="0.2">
      <c r="A569" s="973"/>
      <c r="B569" s="961"/>
      <c r="C569" s="961"/>
      <c r="D569" s="974"/>
      <c r="E569" s="974"/>
      <c r="F569" s="974"/>
      <c r="G569" s="975"/>
      <c r="H569" s="962"/>
      <c r="I569" s="963"/>
      <c r="J569" s="963"/>
      <c r="K569" s="964"/>
      <c r="L569" s="965"/>
      <c r="M569" s="964"/>
      <c r="N569" s="964"/>
      <c r="O569" s="964"/>
      <c r="P569" s="964"/>
      <c r="Q569" s="964"/>
      <c r="R569" s="964"/>
      <c r="S569" s="964"/>
      <c r="T569" s="964"/>
      <c r="U569" s="964"/>
    </row>
    <row r="570" spans="1:21" ht="12.75" hidden="1" x14ac:dyDescent="0.2">
      <c r="A570" s="973"/>
      <c r="B570" s="961"/>
      <c r="C570" s="961"/>
      <c r="D570" s="974"/>
      <c r="E570" s="974"/>
      <c r="F570" s="974"/>
      <c r="G570" s="975"/>
      <c r="H570" s="962"/>
      <c r="I570" s="963"/>
      <c r="J570" s="963"/>
      <c r="K570" s="964"/>
      <c r="L570" s="965"/>
      <c r="M570" s="964"/>
      <c r="N570" s="964"/>
      <c r="O570" s="964"/>
      <c r="P570" s="964"/>
      <c r="Q570" s="964"/>
      <c r="R570" s="964"/>
      <c r="S570" s="964"/>
      <c r="T570" s="964"/>
      <c r="U570" s="964"/>
    </row>
    <row r="571" spans="1:21" ht="12.75" hidden="1" x14ac:dyDescent="0.2">
      <c r="A571" s="973"/>
      <c r="B571" s="961"/>
      <c r="C571" s="961"/>
      <c r="D571" s="974"/>
      <c r="E571" s="974"/>
      <c r="F571" s="974"/>
      <c r="G571" s="975"/>
      <c r="H571" s="962"/>
      <c r="I571" s="963"/>
      <c r="J571" s="963"/>
      <c r="K571" s="964"/>
      <c r="L571" s="965"/>
      <c r="M571" s="964"/>
      <c r="N571" s="964"/>
      <c r="O571" s="964"/>
      <c r="P571" s="964"/>
      <c r="Q571" s="964"/>
      <c r="R571" s="964"/>
      <c r="S571" s="964"/>
      <c r="T571" s="964"/>
      <c r="U571" s="964"/>
    </row>
    <row r="572" spans="1:21" ht="12.75" hidden="1" x14ac:dyDescent="0.2">
      <c r="A572" s="973"/>
      <c r="B572" s="961"/>
      <c r="C572" s="961"/>
      <c r="D572" s="974"/>
      <c r="E572" s="974"/>
      <c r="F572" s="974"/>
      <c r="G572" s="975"/>
      <c r="H572" s="962"/>
      <c r="I572" s="963"/>
      <c r="J572" s="963"/>
      <c r="K572" s="964"/>
      <c r="L572" s="965"/>
      <c r="M572" s="964"/>
      <c r="N572" s="964"/>
      <c r="O572" s="964"/>
      <c r="P572" s="964"/>
      <c r="Q572" s="964"/>
      <c r="R572" s="964"/>
      <c r="S572" s="964"/>
      <c r="T572" s="964"/>
      <c r="U572" s="964"/>
    </row>
    <row r="573" spans="1:21" ht="12.75" hidden="1" x14ac:dyDescent="0.2">
      <c r="A573" s="973"/>
      <c r="B573" s="961"/>
      <c r="C573" s="961"/>
      <c r="D573" s="974"/>
      <c r="E573" s="974"/>
      <c r="F573" s="974"/>
      <c r="G573" s="975"/>
      <c r="H573" s="962"/>
      <c r="I573" s="963"/>
      <c r="J573" s="963"/>
      <c r="K573" s="964"/>
      <c r="L573" s="965"/>
      <c r="M573" s="964"/>
      <c r="N573" s="964"/>
      <c r="O573" s="964"/>
      <c r="P573" s="964"/>
      <c r="Q573" s="964"/>
      <c r="R573" s="964"/>
      <c r="S573" s="964"/>
      <c r="T573" s="964"/>
      <c r="U573" s="964"/>
    </row>
    <row r="574" spans="1:21" ht="12.75" hidden="1" x14ac:dyDescent="0.2">
      <c r="A574" s="1027"/>
      <c r="B574" s="966"/>
      <c r="C574" s="966"/>
      <c r="D574" s="1028"/>
      <c r="E574" s="1028"/>
      <c r="F574" s="1028"/>
      <c r="G574" s="1029"/>
      <c r="H574" s="967"/>
      <c r="I574" s="968"/>
      <c r="J574" s="968"/>
      <c r="K574" s="969"/>
      <c r="L574" s="970"/>
      <c r="M574" s="969"/>
      <c r="N574" s="969"/>
      <c r="O574" s="969"/>
      <c r="P574" s="969"/>
      <c r="Q574" s="969"/>
      <c r="R574" s="969"/>
      <c r="S574" s="969"/>
      <c r="T574" s="969"/>
      <c r="U574" s="969"/>
    </row>
    <row r="575" spans="1:21" ht="19.5" x14ac:dyDescent="0.3">
      <c r="A575" s="1006"/>
      <c r="B575" s="1030" t="s">
        <v>212</v>
      </c>
      <c r="C575" s="1008"/>
      <c r="D575" s="1009"/>
      <c r="E575" s="1009"/>
      <c r="F575" s="1009"/>
      <c r="G575" s="1010"/>
      <c r="H575" s="1031" t="s">
        <v>61</v>
      </c>
      <c r="I575" s="1032">
        <f t="shared" ref="I575:J575" si="354">I587</f>
        <v>0</v>
      </c>
      <c r="J575" s="1032">
        <f t="shared" si="354"/>
        <v>0</v>
      </c>
      <c r="K575" s="1033">
        <f>IF(I575&gt;0,J575*100/I575,0)</f>
        <v>0</v>
      </c>
      <c r="L575" s="1014"/>
      <c r="M575" s="1015"/>
      <c r="N575" s="1015"/>
      <c r="O575" s="1015"/>
      <c r="P575" s="1015"/>
      <c r="Q575" s="1015"/>
      <c r="R575" s="1015"/>
      <c r="S575" s="1015"/>
      <c r="T575" s="1015"/>
      <c r="U575" s="1015"/>
    </row>
    <row r="576" spans="1:21" ht="19.5" x14ac:dyDescent="0.3">
      <c r="A576" s="674"/>
      <c r="B576" s="561"/>
      <c r="C576" s="675" t="s">
        <v>18</v>
      </c>
      <c r="D576" s="676" t="s">
        <v>19</v>
      </c>
      <c r="E576" s="561"/>
      <c r="F576" s="561"/>
      <c r="G576" s="563"/>
      <c r="H576" s="677" t="s">
        <v>14</v>
      </c>
      <c r="I576" s="565"/>
      <c r="J576" s="565"/>
      <c r="K576" s="566"/>
      <c r="L576" s="678">
        <f t="shared" ref="L576:N576" ca="1" si="355">L577+L578</f>
        <v>335254</v>
      </c>
      <c r="M576" s="679">
        <f t="shared" ca="1" si="355"/>
        <v>0</v>
      </c>
      <c r="N576" s="679">
        <f t="shared" ca="1" si="355"/>
        <v>0</v>
      </c>
      <c r="O576" s="679">
        <f t="shared" ref="O576:O584" ca="1" si="356">IF(L576&gt;0,N576*100/L576,0)</f>
        <v>0</v>
      </c>
      <c r="P576" s="679">
        <f t="shared" ref="P576:P584" ca="1" si="357">IF(M576&gt;0,N576*100/M576,0)</f>
        <v>0</v>
      </c>
      <c r="Q576" s="679">
        <f t="shared" ref="Q576:S576" si="358">Q577+Q578</f>
        <v>0</v>
      </c>
      <c r="R576" s="679">
        <f t="shared" si="358"/>
        <v>0</v>
      </c>
      <c r="S576" s="679">
        <f t="shared" si="358"/>
        <v>0</v>
      </c>
      <c r="T576" s="679">
        <f t="shared" ref="T576:T584" si="359">IF(Q576&gt;0,S576*100/Q576,0)</f>
        <v>0</v>
      </c>
      <c r="U576" s="679">
        <f t="shared" ref="U576:U584" si="360">IF(R576&gt;0,S576*100/R576,0)</f>
        <v>0</v>
      </c>
    </row>
    <row r="577" spans="1:21" ht="18.75" x14ac:dyDescent="0.25">
      <c r="A577" s="674"/>
      <c r="B577" s="718"/>
      <c r="C577" s="561"/>
      <c r="D577" s="561"/>
      <c r="E577" s="569" t="s">
        <v>20</v>
      </c>
      <c r="F577" s="561"/>
      <c r="G577" s="563"/>
      <c r="H577" s="680" t="s">
        <v>14</v>
      </c>
      <c r="I577" s="565"/>
      <c r="J577" s="565"/>
      <c r="K577" s="566"/>
      <c r="L577" s="571">
        <f t="shared" ref="L577:N578" si="361">L580+L583</f>
        <v>0</v>
      </c>
      <c r="M577" s="572">
        <f t="shared" si="361"/>
        <v>0</v>
      </c>
      <c r="N577" s="572">
        <f t="shared" si="361"/>
        <v>0</v>
      </c>
      <c r="O577" s="572">
        <f t="shared" si="356"/>
        <v>0</v>
      </c>
      <c r="P577" s="572">
        <f t="shared" si="357"/>
        <v>0</v>
      </c>
      <c r="Q577" s="572">
        <f t="shared" ref="Q577:S578" si="362">Q580+Q583</f>
        <v>0</v>
      </c>
      <c r="R577" s="572">
        <f t="shared" si="362"/>
        <v>0</v>
      </c>
      <c r="S577" s="572">
        <f t="shared" si="362"/>
        <v>0</v>
      </c>
      <c r="T577" s="572">
        <f t="shared" si="359"/>
        <v>0</v>
      </c>
      <c r="U577" s="572">
        <f t="shared" si="360"/>
        <v>0</v>
      </c>
    </row>
    <row r="578" spans="1:21" ht="18.75" x14ac:dyDescent="0.25">
      <c r="A578" s="674"/>
      <c r="B578" s="561"/>
      <c r="C578" s="718"/>
      <c r="D578" s="561"/>
      <c r="E578" s="765" t="s">
        <v>21</v>
      </c>
      <c r="F578" s="561"/>
      <c r="G578" s="563"/>
      <c r="H578" s="681" t="s">
        <v>14</v>
      </c>
      <c r="I578" s="565"/>
      <c r="J578" s="565"/>
      <c r="K578" s="566"/>
      <c r="L578" s="567">
        <f t="shared" ca="1" si="361"/>
        <v>335254</v>
      </c>
      <c r="M578" s="568">
        <f t="shared" ca="1" si="361"/>
        <v>0</v>
      </c>
      <c r="N578" s="568">
        <f t="shared" ca="1" si="361"/>
        <v>0</v>
      </c>
      <c r="O578" s="568">
        <f t="shared" ca="1" si="356"/>
        <v>0</v>
      </c>
      <c r="P578" s="568">
        <f t="shared" ca="1" si="357"/>
        <v>0</v>
      </c>
      <c r="Q578" s="568">
        <f t="shared" si="362"/>
        <v>0</v>
      </c>
      <c r="R578" s="568">
        <f t="shared" si="362"/>
        <v>0</v>
      </c>
      <c r="S578" s="568">
        <f t="shared" si="362"/>
        <v>0</v>
      </c>
      <c r="T578" s="568">
        <f t="shared" si="359"/>
        <v>0</v>
      </c>
      <c r="U578" s="568">
        <f t="shared" si="360"/>
        <v>0</v>
      </c>
    </row>
    <row r="579" spans="1:21" ht="18.75" x14ac:dyDescent="0.25">
      <c r="A579" s="674"/>
      <c r="B579" s="561"/>
      <c r="C579" s="718"/>
      <c r="D579" s="562" t="s">
        <v>22</v>
      </c>
      <c r="E579" s="718"/>
      <c r="F579" s="561"/>
      <c r="G579" s="563"/>
      <c r="H579" s="682" t="s">
        <v>14</v>
      </c>
      <c r="I579" s="683"/>
      <c r="J579" s="683"/>
      <c r="K579" s="684"/>
      <c r="L579" s="567">
        <f t="shared" ref="L579:N579" ca="1" si="363">L580+L581</f>
        <v>335254</v>
      </c>
      <c r="M579" s="568">
        <f t="shared" ca="1" si="363"/>
        <v>0</v>
      </c>
      <c r="N579" s="568">
        <f t="shared" ca="1" si="363"/>
        <v>0</v>
      </c>
      <c r="O579" s="568">
        <f t="shared" ca="1" si="356"/>
        <v>0</v>
      </c>
      <c r="P579" s="568">
        <f t="shared" ca="1" si="357"/>
        <v>0</v>
      </c>
      <c r="Q579" s="568">
        <f t="shared" ref="Q579:S579" si="364">Q580+Q581</f>
        <v>0</v>
      </c>
      <c r="R579" s="568">
        <f t="shared" si="364"/>
        <v>0</v>
      </c>
      <c r="S579" s="568">
        <f t="shared" si="364"/>
        <v>0</v>
      </c>
      <c r="T579" s="568">
        <f t="shared" si="359"/>
        <v>0</v>
      </c>
      <c r="U579" s="568">
        <f t="shared" si="360"/>
        <v>0</v>
      </c>
    </row>
    <row r="580" spans="1:21" ht="18.75" x14ac:dyDescent="0.25">
      <c r="A580" s="674"/>
      <c r="B580" s="561"/>
      <c r="C580" s="561"/>
      <c r="D580" s="561"/>
      <c r="E580" s="569" t="s">
        <v>36</v>
      </c>
      <c r="F580" s="561"/>
      <c r="G580" s="563"/>
      <c r="H580" s="685" t="s">
        <v>14</v>
      </c>
      <c r="I580" s="683"/>
      <c r="J580" s="683"/>
      <c r="K580" s="684"/>
      <c r="L580" s="571">
        <v>0</v>
      </c>
      <c r="M580" s="572">
        <v>0</v>
      </c>
      <c r="N580" s="572">
        <v>0</v>
      </c>
      <c r="O580" s="572">
        <f t="shared" si="356"/>
        <v>0</v>
      </c>
      <c r="P580" s="572">
        <f t="shared" si="357"/>
        <v>0</v>
      </c>
      <c r="Q580" s="572">
        <v>0</v>
      </c>
      <c r="R580" s="572">
        <v>0</v>
      </c>
      <c r="S580" s="572">
        <v>0</v>
      </c>
      <c r="T580" s="572">
        <f t="shared" si="359"/>
        <v>0</v>
      </c>
      <c r="U580" s="572">
        <f t="shared" si="360"/>
        <v>0</v>
      </c>
    </row>
    <row r="581" spans="1:21" ht="18.75" x14ac:dyDescent="0.25">
      <c r="A581" s="674"/>
      <c r="B581" s="561"/>
      <c r="C581" s="561"/>
      <c r="D581" s="561"/>
      <c r="E581" s="573" t="s">
        <v>37</v>
      </c>
      <c r="F581" s="561"/>
      <c r="G581" s="563"/>
      <c r="H581" s="682" t="s">
        <v>14</v>
      </c>
      <c r="I581" s="683"/>
      <c r="J581" s="683"/>
      <c r="K581" s="684"/>
      <c r="L581" s="567">
        <f ca="1">IFERROR(__xludf.DUMMYFUNCTION("IMPORTRANGE(""https://docs.google.com/spreadsheets/d/1-uDff_7J0KD5mKrp0Vvzr7lt3OU09vwQwhkpOPPYv2Y/edit?usp=sharing"",""งบพรบ!GQ17"")"),335254)</f>
        <v>335254</v>
      </c>
      <c r="M581" s="568">
        <f ca="1">IFERROR(__xludf.DUMMYFUNCTION("IMPORTRANGE(""https://docs.google.com/spreadsheets/d/1-uDff_7J0KD5mKrp0Vvzr7lt3OU09vwQwhkpOPPYv2Y/edit?usp=sharing"",""งบพรบ!GV17"")"),0)</f>
        <v>0</v>
      </c>
      <c r="N581" s="568">
        <f ca="1">IFERROR(__xludf.DUMMYFUNCTION("IMPORTRANGE(""https://docs.google.com/spreadsheets/d/1-uDff_7J0KD5mKrp0Vvzr7lt3OU09vwQwhkpOPPYv2Y/edit?usp=sharing"",""งบพรบ!GX17"")"),0)</f>
        <v>0</v>
      </c>
      <c r="O581" s="568">
        <f t="shared" ca="1" si="356"/>
        <v>0</v>
      </c>
      <c r="P581" s="568">
        <f t="shared" ca="1" si="357"/>
        <v>0</v>
      </c>
      <c r="Q581" s="568">
        <v>0</v>
      </c>
      <c r="R581" s="568">
        <v>0</v>
      </c>
      <c r="S581" s="568">
        <v>0</v>
      </c>
      <c r="T581" s="568">
        <f t="shared" si="359"/>
        <v>0</v>
      </c>
      <c r="U581" s="568">
        <f t="shared" si="360"/>
        <v>0</v>
      </c>
    </row>
    <row r="582" spans="1:21" ht="18.75" x14ac:dyDescent="0.25">
      <c r="A582" s="674"/>
      <c r="B582" s="561"/>
      <c r="C582" s="561"/>
      <c r="D582" s="562" t="s">
        <v>23</v>
      </c>
      <c r="E582" s="561"/>
      <c r="F582" s="561"/>
      <c r="G582" s="563"/>
      <c r="H582" s="686" t="s">
        <v>14</v>
      </c>
      <c r="I582" s="683"/>
      <c r="J582" s="683"/>
      <c r="K582" s="684"/>
      <c r="L582" s="567">
        <f t="shared" ref="L582:N582" ca="1" si="365">L583+L584</f>
        <v>0</v>
      </c>
      <c r="M582" s="568">
        <f t="shared" ca="1" si="365"/>
        <v>0</v>
      </c>
      <c r="N582" s="568">
        <f t="shared" ca="1" si="365"/>
        <v>0</v>
      </c>
      <c r="O582" s="568">
        <f t="shared" ca="1" si="356"/>
        <v>0</v>
      </c>
      <c r="P582" s="568">
        <f t="shared" ca="1" si="357"/>
        <v>0</v>
      </c>
      <c r="Q582" s="568">
        <f t="shared" ref="Q582:S582" si="366">Q583+Q584</f>
        <v>0</v>
      </c>
      <c r="R582" s="568">
        <f t="shared" si="366"/>
        <v>0</v>
      </c>
      <c r="S582" s="568">
        <f t="shared" si="366"/>
        <v>0</v>
      </c>
      <c r="T582" s="568">
        <f t="shared" si="359"/>
        <v>0</v>
      </c>
      <c r="U582" s="568">
        <f t="shared" si="360"/>
        <v>0</v>
      </c>
    </row>
    <row r="583" spans="1:21" ht="18.75" x14ac:dyDescent="0.25">
      <c r="A583" s="674"/>
      <c r="B583" s="561"/>
      <c r="C583" s="561"/>
      <c r="D583" s="561"/>
      <c r="E583" s="569" t="s">
        <v>20</v>
      </c>
      <c r="F583" s="561"/>
      <c r="G583" s="563"/>
      <c r="H583" s="685" t="s">
        <v>14</v>
      </c>
      <c r="I583" s="683"/>
      <c r="J583" s="683"/>
      <c r="K583" s="684"/>
      <c r="L583" s="571">
        <v>0</v>
      </c>
      <c r="M583" s="572">
        <v>0</v>
      </c>
      <c r="N583" s="572">
        <v>0</v>
      </c>
      <c r="O583" s="572">
        <f t="shared" si="356"/>
        <v>0</v>
      </c>
      <c r="P583" s="572">
        <f t="shared" si="357"/>
        <v>0</v>
      </c>
      <c r="Q583" s="572">
        <v>0</v>
      </c>
      <c r="R583" s="572">
        <v>0</v>
      </c>
      <c r="S583" s="572">
        <v>0</v>
      </c>
      <c r="T583" s="572">
        <f t="shared" si="359"/>
        <v>0</v>
      </c>
      <c r="U583" s="572">
        <f t="shared" si="360"/>
        <v>0</v>
      </c>
    </row>
    <row r="584" spans="1:21" ht="18.75" x14ac:dyDescent="0.25">
      <c r="A584" s="674"/>
      <c r="B584" s="561"/>
      <c r="C584" s="561"/>
      <c r="D584" s="561"/>
      <c r="E584" s="573" t="s">
        <v>21</v>
      </c>
      <c r="F584" s="561"/>
      <c r="G584" s="563"/>
      <c r="H584" s="686" t="s">
        <v>14</v>
      </c>
      <c r="I584" s="683"/>
      <c r="J584" s="683"/>
      <c r="K584" s="684"/>
      <c r="L584" s="567">
        <f ca="1">IFERROR(__xludf.DUMMYFUNCTION("IMPORTRANGE(""https://docs.google.com/spreadsheets/d/1-uDff_7J0KD5mKrp0Vvzr7lt3OU09vwQwhkpOPPYv2Y/edit?usp=sharing"",""งบพรบ!GT17"")"),0)</f>
        <v>0</v>
      </c>
      <c r="M584" s="568">
        <f ca="1">IFERROR(__xludf.DUMMYFUNCTION("IMPORTRANGE(""https://docs.google.com/spreadsheets/d/1-uDff_7J0KD5mKrp0Vvzr7lt3OU09vwQwhkpOPPYv2Y/edit?usp=sharing"",""งบพรบ!GW17"")"),0)</f>
        <v>0</v>
      </c>
      <c r="N584" s="568">
        <f ca="1">IFERROR(__xludf.DUMMYFUNCTION("IMPORTRANGE(""https://docs.google.com/spreadsheets/d/1-uDff_7J0KD5mKrp0Vvzr7lt3OU09vwQwhkpOPPYv2Y/edit?usp=sharing"",""งบพรบ!GY17"")"),0)</f>
        <v>0</v>
      </c>
      <c r="O584" s="568">
        <f t="shared" ca="1" si="356"/>
        <v>0</v>
      </c>
      <c r="P584" s="568">
        <f t="shared" ca="1" si="357"/>
        <v>0</v>
      </c>
      <c r="Q584" s="568">
        <v>0</v>
      </c>
      <c r="R584" s="568">
        <v>0</v>
      </c>
      <c r="S584" s="568">
        <v>0</v>
      </c>
      <c r="T584" s="568">
        <f t="shared" si="359"/>
        <v>0</v>
      </c>
      <c r="U584" s="568">
        <f t="shared" si="360"/>
        <v>0</v>
      </c>
    </row>
    <row r="585" spans="1:21" ht="19.5" hidden="1" x14ac:dyDescent="0.3">
      <c r="A585" s="687"/>
      <c r="B585" s="688"/>
      <c r="C585" s="1034" t="s">
        <v>18</v>
      </c>
      <c r="D585" s="689" t="s">
        <v>38</v>
      </c>
      <c r="E585" s="690"/>
      <c r="F585" s="690"/>
      <c r="G585" s="691"/>
      <c r="H585" s="692"/>
      <c r="I585" s="683"/>
      <c r="J585" s="565"/>
      <c r="K585" s="566"/>
      <c r="L585" s="574"/>
      <c r="M585" s="566"/>
      <c r="N585" s="566"/>
      <c r="O585" s="684"/>
      <c r="P585" s="684"/>
      <c r="Q585" s="566"/>
      <c r="R585" s="566"/>
      <c r="S585" s="566"/>
      <c r="T585" s="684"/>
      <c r="U585" s="684"/>
    </row>
    <row r="586" spans="1:21" ht="12.75" hidden="1" x14ac:dyDescent="0.2">
      <c r="A586" s="973"/>
      <c r="B586" s="974"/>
      <c r="C586" s="961"/>
      <c r="D586" s="974"/>
      <c r="E586" s="961"/>
      <c r="F586" s="974"/>
      <c r="G586" s="975"/>
      <c r="H586" s="975"/>
      <c r="I586" s="963"/>
      <c r="J586" s="963"/>
      <c r="K586" s="964"/>
      <c r="L586" s="965"/>
      <c r="M586" s="964"/>
      <c r="N586" s="964"/>
      <c r="O586" s="964"/>
      <c r="P586" s="964"/>
      <c r="Q586" s="964"/>
      <c r="R586" s="964"/>
      <c r="S586" s="964"/>
      <c r="T586" s="964"/>
      <c r="U586" s="964"/>
    </row>
    <row r="587" spans="1:21" ht="12.75" hidden="1" x14ac:dyDescent="0.2">
      <c r="A587" s="973"/>
      <c r="B587" s="974"/>
      <c r="C587" s="961"/>
      <c r="D587" s="974"/>
      <c r="E587" s="961"/>
      <c r="F587" s="974"/>
      <c r="G587" s="975"/>
      <c r="H587" s="975"/>
      <c r="I587" s="963"/>
      <c r="J587" s="963"/>
      <c r="K587" s="964"/>
      <c r="L587" s="965"/>
      <c r="M587" s="964"/>
      <c r="N587" s="964"/>
      <c r="O587" s="964"/>
      <c r="P587" s="964"/>
      <c r="Q587" s="964"/>
      <c r="R587" s="964"/>
      <c r="S587" s="964"/>
      <c r="T587" s="964"/>
      <c r="U587" s="964"/>
    </row>
    <row r="588" spans="1:21" ht="12.75" hidden="1" x14ac:dyDescent="0.2">
      <c r="A588" s="973"/>
      <c r="B588" s="961"/>
      <c r="C588" s="961"/>
      <c r="D588" s="974"/>
      <c r="E588" s="974"/>
      <c r="F588" s="974"/>
      <c r="G588" s="975"/>
      <c r="H588" s="962"/>
      <c r="I588" s="963"/>
      <c r="J588" s="963"/>
      <c r="K588" s="964"/>
      <c r="L588" s="965"/>
      <c r="M588" s="964"/>
      <c r="N588" s="964"/>
      <c r="O588" s="964"/>
      <c r="P588" s="964"/>
      <c r="Q588" s="964"/>
      <c r="R588" s="964"/>
      <c r="S588" s="964"/>
      <c r="T588" s="964"/>
      <c r="U588" s="964"/>
    </row>
    <row r="589" spans="1:21" ht="12.75" hidden="1" x14ac:dyDescent="0.2">
      <c r="A589" s="973"/>
      <c r="B589" s="961"/>
      <c r="C589" s="961"/>
      <c r="D589" s="974"/>
      <c r="E589" s="974"/>
      <c r="F589" s="974"/>
      <c r="G589" s="975"/>
      <c r="H589" s="962"/>
      <c r="I589" s="963"/>
      <c r="J589" s="963"/>
      <c r="K589" s="964"/>
      <c r="L589" s="965"/>
      <c r="M589" s="964"/>
      <c r="N589" s="964"/>
      <c r="O589" s="964"/>
      <c r="P589" s="964"/>
      <c r="Q589" s="964"/>
      <c r="R589" s="964"/>
      <c r="S589" s="964"/>
      <c r="T589" s="964"/>
      <c r="U589" s="964"/>
    </row>
    <row r="590" spans="1:21" ht="12.75" hidden="1" x14ac:dyDescent="0.2">
      <c r="A590" s="973"/>
      <c r="B590" s="961"/>
      <c r="C590" s="961"/>
      <c r="D590" s="974"/>
      <c r="E590" s="974"/>
      <c r="F590" s="974"/>
      <c r="G590" s="975"/>
      <c r="H590" s="962"/>
      <c r="I590" s="963"/>
      <c r="J590" s="963"/>
      <c r="K590" s="964"/>
      <c r="L590" s="965"/>
      <c r="M590" s="964"/>
      <c r="N590" s="964"/>
      <c r="O590" s="964"/>
      <c r="P590" s="964"/>
      <c r="Q590" s="964"/>
      <c r="R590" s="964"/>
      <c r="S590" s="964"/>
      <c r="T590" s="964"/>
      <c r="U590" s="964"/>
    </row>
    <row r="591" spans="1:21" ht="12.75" hidden="1" x14ac:dyDescent="0.2">
      <c r="A591" s="973"/>
      <c r="B591" s="961"/>
      <c r="C591" s="961"/>
      <c r="D591" s="974"/>
      <c r="E591" s="974"/>
      <c r="F591" s="974"/>
      <c r="G591" s="975"/>
      <c r="H591" s="962"/>
      <c r="I591" s="963"/>
      <c r="J591" s="963"/>
      <c r="K591" s="964"/>
      <c r="L591" s="965"/>
      <c r="M591" s="964"/>
      <c r="N591" s="964"/>
      <c r="O591" s="964"/>
      <c r="P591" s="964"/>
      <c r="Q591" s="964"/>
      <c r="R591" s="964"/>
      <c r="S591" s="964"/>
      <c r="T591" s="964"/>
      <c r="U591" s="964"/>
    </row>
    <row r="592" spans="1:21" ht="12.75" hidden="1" x14ac:dyDescent="0.2">
      <c r="A592" s="973"/>
      <c r="B592" s="961"/>
      <c r="C592" s="961"/>
      <c r="D592" s="974"/>
      <c r="E592" s="974"/>
      <c r="F592" s="974"/>
      <c r="G592" s="975"/>
      <c r="H592" s="962"/>
      <c r="I592" s="963"/>
      <c r="J592" s="963"/>
      <c r="K592" s="964"/>
      <c r="L592" s="965"/>
      <c r="M592" s="964"/>
      <c r="N592" s="964"/>
      <c r="O592" s="964"/>
      <c r="P592" s="964"/>
      <c r="Q592" s="964"/>
      <c r="R592" s="964"/>
      <c r="S592" s="964"/>
      <c r="T592" s="964"/>
      <c r="U592" s="964"/>
    </row>
    <row r="593" spans="1:21" ht="12.75" hidden="1" x14ac:dyDescent="0.2">
      <c r="A593" s="973"/>
      <c r="B593" s="961"/>
      <c r="C593" s="961"/>
      <c r="D593" s="974"/>
      <c r="E593" s="974"/>
      <c r="F593" s="974"/>
      <c r="G593" s="975"/>
      <c r="H593" s="962"/>
      <c r="I593" s="963"/>
      <c r="J593" s="963"/>
      <c r="K593" s="964"/>
      <c r="L593" s="965"/>
      <c r="M593" s="964"/>
      <c r="N593" s="964"/>
      <c r="O593" s="964"/>
      <c r="P593" s="964"/>
      <c r="Q593" s="964"/>
      <c r="R593" s="964"/>
      <c r="S593" s="964"/>
      <c r="T593" s="964"/>
      <c r="U593" s="964"/>
    </row>
    <row r="594" spans="1:21" ht="12.75" hidden="1" x14ac:dyDescent="0.2">
      <c r="A594" s="973"/>
      <c r="B594" s="961"/>
      <c r="C594" s="961"/>
      <c r="D594" s="974"/>
      <c r="E594" s="974"/>
      <c r="F594" s="974"/>
      <c r="G594" s="975"/>
      <c r="H594" s="962"/>
      <c r="I594" s="963"/>
      <c r="J594" s="963"/>
      <c r="K594" s="964"/>
      <c r="L594" s="965"/>
      <c r="M594" s="964"/>
      <c r="N594" s="964"/>
      <c r="O594" s="964"/>
      <c r="P594" s="964"/>
      <c r="Q594" s="964"/>
      <c r="R594" s="964"/>
      <c r="S594" s="964"/>
      <c r="T594" s="964"/>
      <c r="U594" s="964"/>
    </row>
    <row r="595" spans="1:21" ht="12.75" hidden="1" x14ac:dyDescent="0.2">
      <c r="A595" s="1027"/>
      <c r="B595" s="966"/>
      <c r="C595" s="966"/>
      <c r="D595" s="1028"/>
      <c r="E595" s="1028"/>
      <c r="F595" s="1028"/>
      <c r="G595" s="1029"/>
      <c r="H595" s="967"/>
      <c r="I595" s="968"/>
      <c r="J595" s="968"/>
      <c r="K595" s="969"/>
      <c r="L595" s="970"/>
      <c r="M595" s="969"/>
      <c r="N595" s="969"/>
      <c r="O595" s="969"/>
      <c r="P595" s="969"/>
      <c r="Q595" s="969"/>
      <c r="R595" s="969"/>
      <c r="S595" s="969"/>
      <c r="T595" s="969"/>
      <c r="U595" s="969"/>
    </row>
    <row r="596" spans="1:21" ht="19.5" x14ac:dyDescent="0.3">
      <c r="A596" s="1194" t="s">
        <v>213</v>
      </c>
      <c r="B596" s="1195"/>
      <c r="C596" s="1196"/>
      <c r="D596" s="1195"/>
      <c r="E596" s="1195"/>
      <c r="F596" s="1195"/>
      <c r="G596" s="1195"/>
      <c r="H596" s="1197"/>
      <c r="I596" s="1198"/>
      <c r="J596" s="1198"/>
      <c r="K596" s="1199"/>
      <c r="L596" s="1200"/>
      <c r="M596" s="1200"/>
      <c r="N596" s="1200"/>
      <c r="O596" s="1200"/>
      <c r="P596" s="1200"/>
      <c r="Q596" s="1200"/>
      <c r="R596" s="1200"/>
      <c r="S596" s="1200"/>
      <c r="T596" s="1200"/>
      <c r="U596" s="1200"/>
    </row>
    <row r="597" spans="1:21" ht="19.5" x14ac:dyDescent="0.3">
      <c r="A597" s="669"/>
      <c r="B597" s="1203" t="s">
        <v>214</v>
      </c>
      <c r="C597" s="1204"/>
      <c r="D597" s="1205"/>
      <c r="E597" s="1206"/>
      <c r="F597" s="1206"/>
      <c r="G597" s="1206"/>
      <c r="H597" s="1207" t="s">
        <v>99</v>
      </c>
      <c r="I597" s="1208"/>
      <c r="J597" s="1209"/>
      <c r="K597" s="1210"/>
      <c r="L597" s="1211"/>
      <c r="M597" s="1210"/>
      <c r="N597" s="1210"/>
      <c r="O597" s="1210"/>
      <c r="P597" s="1210"/>
      <c r="Q597" s="1210"/>
      <c r="R597" s="1210"/>
      <c r="S597" s="1210"/>
      <c r="T597" s="1210"/>
      <c r="U597" s="1210"/>
    </row>
    <row r="598" spans="1:21" ht="19.5" x14ac:dyDescent="0.3">
      <c r="A598" s="1038"/>
      <c r="B598" s="1213" t="s">
        <v>215</v>
      </c>
      <c r="C598" s="1205"/>
      <c r="D598" s="1206"/>
      <c r="E598" s="1206"/>
      <c r="F598" s="1206"/>
      <c r="G598" s="1214"/>
      <c r="H598" s="1215" t="s">
        <v>35</v>
      </c>
      <c r="I598" s="1209"/>
      <c r="J598" s="1209"/>
      <c r="K598" s="1210"/>
      <c r="L598" s="1211"/>
      <c r="M598" s="1210"/>
      <c r="N598" s="1210"/>
      <c r="O598" s="1210"/>
      <c r="P598" s="1210"/>
      <c r="Q598" s="1210"/>
      <c r="R598" s="1210"/>
      <c r="S598" s="1210"/>
      <c r="T598" s="1210"/>
      <c r="U598" s="1210"/>
    </row>
    <row r="599" spans="1:21" ht="19.5" x14ac:dyDescent="0.3">
      <c r="A599" s="674"/>
      <c r="B599" s="1177"/>
      <c r="C599" s="1217" t="s">
        <v>18</v>
      </c>
      <c r="D599" s="1334" t="s">
        <v>19</v>
      </c>
      <c r="E599" s="1311"/>
      <c r="F599" s="1311"/>
      <c r="G599" s="1312"/>
      <c r="H599" s="1171" t="s">
        <v>14</v>
      </c>
      <c r="I599" s="1182"/>
      <c r="J599" s="1182"/>
      <c r="K599" s="1175"/>
      <c r="L599" s="1174">
        <f t="shared" ref="L599:N599" ca="1" si="367">L600+L601</f>
        <v>8275</v>
      </c>
      <c r="M599" s="1176">
        <f t="shared" ca="1" si="367"/>
        <v>0</v>
      </c>
      <c r="N599" s="1176">
        <f t="shared" ca="1" si="367"/>
        <v>0</v>
      </c>
      <c r="O599" s="1176">
        <f t="shared" ref="O599:O607" ca="1" si="368">IF(L599&gt;0,N599*100/L599,0)</f>
        <v>0</v>
      </c>
      <c r="P599" s="1176">
        <f t="shared" ref="P599:P607" ca="1" si="369">IF(M599&gt;0,N599*100/M599,0)</f>
        <v>0</v>
      </c>
      <c r="Q599" s="1176">
        <f t="shared" ref="Q599:S599" ca="1" si="370">Q600+Q601</f>
        <v>0</v>
      </c>
      <c r="R599" s="1176">
        <f t="shared" ca="1" si="370"/>
        <v>0</v>
      </c>
      <c r="S599" s="1176">
        <f t="shared" ca="1" si="370"/>
        <v>0</v>
      </c>
      <c r="T599" s="1176">
        <f t="shared" ref="T599:T607" ca="1" si="371">IF(Q599&gt;0,S599*100/Q599,0)</f>
        <v>0</v>
      </c>
      <c r="U599" s="1176">
        <f t="shared" ref="U599:U607" ca="1" si="372">IF(R599&gt;0,S599*100/R599,0)</f>
        <v>0</v>
      </c>
    </row>
    <row r="600" spans="1:21" ht="18.75" x14ac:dyDescent="0.25">
      <c r="A600" s="674"/>
      <c r="B600" s="1177"/>
      <c r="C600" s="1177"/>
      <c r="D600" s="623"/>
      <c r="E600" s="1178" t="s">
        <v>158</v>
      </c>
      <c r="F600" s="1167"/>
      <c r="G600" s="1170"/>
      <c r="H600" s="1179" t="s">
        <v>14</v>
      </c>
      <c r="I600" s="1182"/>
      <c r="J600" s="1182"/>
      <c r="K600" s="1175"/>
      <c r="L600" s="1180">
        <f t="shared" ref="L600:N601" si="373">L603+L606</f>
        <v>0</v>
      </c>
      <c r="M600" s="1181">
        <f t="shared" si="373"/>
        <v>0</v>
      </c>
      <c r="N600" s="1181">
        <f t="shared" si="373"/>
        <v>0</v>
      </c>
      <c r="O600" s="1181">
        <f t="shared" si="368"/>
        <v>0</v>
      </c>
      <c r="P600" s="1181">
        <f t="shared" si="369"/>
        <v>0</v>
      </c>
      <c r="Q600" s="1181">
        <f t="shared" ref="Q600:S601" si="374">Q603+Q606</f>
        <v>0</v>
      </c>
      <c r="R600" s="1181">
        <f t="shared" si="374"/>
        <v>0</v>
      </c>
      <c r="S600" s="1181">
        <f t="shared" si="374"/>
        <v>0</v>
      </c>
      <c r="T600" s="1181">
        <f t="shared" si="371"/>
        <v>0</v>
      </c>
      <c r="U600" s="1181">
        <f t="shared" si="372"/>
        <v>0</v>
      </c>
    </row>
    <row r="601" spans="1:21" ht="18.75" x14ac:dyDescent="0.25">
      <c r="A601" s="674"/>
      <c r="B601" s="1177"/>
      <c r="C601" s="1177"/>
      <c r="D601" s="623"/>
      <c r="E601" s="1178" t="s">
        <v>159</v>
      </c>
      <c r="F601" s="1167"/>
      <c r="G601" s="1170"/>
      <c r="H601" s="1179" t="s">
        <v>14</v>
      </c>
      <c r="I601" s="1182"/>
      <c r="J601" s="1182"/>
      <c r="K601" s="1175"/>
      <c r="L601" s="1180">
        <f t="shared" ca="1" si="373"/>
        <v>8275</v>
      </c>
      <c r="M601" s="1181">
        <f t="shared" ca="1" si="373"/>
        <v>0</v>
      </c>
      <c r="N601" s="1181">
        <f t="shared" ca="1" si="373"/>
        <v>0</v>
      </c>
      <c r="O601" s="1181">
        <f t="shared" ca="1" si="368"/>
        <v>0</v>
      </c>
      <c r="P601" s="1181">
        <f t="shared" ca="1" si="369"/>
        <v>0</v>
      </c>
      <c r="Q601" s="1181">
        <f t="shared" ca="1" si="374"/>
        <v>0</v>
      </c>
      <c r="R601" s="1181">
        <f t="shared" ca="1" si="374"/>
        <v>0</v>
      </c>
      <c r="S601" s="1181">
        <f t="shared" ca="1" si="374"/>
        <v>0</v>
      </c>
      <c r="T601" s="1181">
        <f t="shared" ca="1" si="371"/>
        <v>0</v>
      </c>
      <c r="U601" s="1181">
        <f t="shared" ca="1" si="372"/>
        <v>0</v>
      </c>
    </row>
    <row r="602" spans="1:21" ht="19.5" x14ac:dyDescent="0.3">
      <c r="A602" s="674"/>
      <c r="B602" s="1177"/>
      <c r="C602" s="1177"/>
      <c r="D602" s="1169" t="s">
        <v>22</v>
      </c>
      <c r="E602" s="1167"/>
      <c r="F602" s="1167"/>
      <c r="G602" s="1170"/>
      <c r="H602" s="1171" t="s">
        <v>14</v>
      </c>
      <c r="I602" s="1172"/>
      <c r="J602" s="1172"/>
      <c r="K602" s="1173"/>
      <c r="L602" s="1180">
        <f t="shared" ref="L602:N602" ca="1" si="375">L603+L604</f>
        <v>8275</v>
      </c>
      <c r="M602" s="1181">
        <f t="shared" ca="1" si="375"/>
        <v>0</v>
      </c>
      <c r="N602" s="1181">
        <f t="shared" ca="1" si="375"/>
        <v>0</v>
      </c>
      <c r="O602" s="1181">
        <f t="shared" ca="1" si="368"/>
        <v>0</v>
      </c>
      <c r="P602" s="1181">
        <f t="shared" ca="1" si="369"/>
        <v>0</v>
      </c>
      <c r="Q602" s="1181">
        <f t="shared" ref="Q602:S602" ca="1" si="376">Q603+Q604</f>
        <v>0</v>
      </c>
      <c r="R602" s="1181">
        <f t="shared" ca="1" si="376"/>
        <v>0</v>
      </c>
      <c r="S602" s="1181">
        <f t="shared" ca="1" si="376"/>
        <v>0</v>
      </c>
      <c r="T602" s="1181">
        <f t="shared" ca="1" si="371"/>
        <v>0</v>
      </c>
      <c r="U602" s="1181">
        <f t="shared" ca="1" si="372"/>
        <v>0</v>
      </c>
    </row>
    <row r="603" spans="1:21" ht="18.75" x14ac:dyDescent="0.25">
      <c r="A603" s="674"/>
      <c r="B603" s="1177"/>
      <c r="C603" s="1177"/>
      <c r="D603" s="623"/>
      <c r="E603" s="1178" t="s">
        <v>158</v>
      </c>
      <c r="F603" s="1167"/>
      <c r="G603" s="1170"/>
      <c r="H603" s="1179" t="s">
        <v>14</v>
      </c>
      <c r="I603" s="1182"/>
      <c r="J603" s="1182"/>
      <c r="K603" s="1175"/>
      <c r="L603" s="1180">
        <v>0</v>
      </c>
      <c r="M603" s="1181">
        <v>0</v>
      </c>
      <c r="N603" s="1181">
        <v>0</v>
      </c>
      <c r="O603" s="1181">
        <f t="shared" si="368"/>
        <v>0</v>
      </c>
      <c r="P603" s="1181">
        <f t="shared" si="369"/>
        <v>0</v>
      </c>
      <c r="Q603" s="1181">
        <v>0</v>
      </c>
      <c r="R603" s="1181">
        <v>0</v>
      </c>
      <c r="S603" s="1181">
        <v>0</v>
      </c>
      <c r="T603" s="1181">
        <f t="shared" si="371"/>
        <v>0</v>
      </c>
      <c r="U603" s="1181">
        <f t="shared" si="372"/>
        <v>0</v>
      </c>
    </row>
    <row r="604" spans="1:21" ht="18.75" x14ac:dyDescent="0.25">
      <c r="A604" s="674"/>
      <c r="B604" s="1177"/>
      <c r="C604" s="1177"/>
      <c r="D604" s="623"/>
      <c r="E604" s="1178" t="s">
        <v>159</v>
      </c>
      <c r="F604" s="1167"/>
      <c r="G604" s="1170"/>
      <c r="H604" s="1179" t="s">
        <v>14</v>
      </c>
      <c r="I604" s="1182"/>
      <c r="J604" s="1182"/>
      <c r="K604" s="1175"/>
      <c r="L604" s="1180">
        <f ca="1">IFERROR(__xludf.DUMMYFUNCTION("IMPORTRANGE(""https://docs.google.com/spreadsheets/d/1-uDff_7J0KD5mKrp0Vvzr7lt3OU09vwQwhkpOPPYv2Y/edit?usp=sharing"",""งบพรบ!HK17"")"),8275)</f>
        <v>8275</v>
      </c>
      <c r="M604" s="1181">
        <f ca="1">IFERROR(__xludf.DUMMYFUNCTION("IMPORTRANGE(""https://docs.google.com/spreadsheets/d/1-uDff_7J0KD5mKrp0Vvzr7lt3OU09vwQwhkpOPPYv2Y/edit?usp=sharing"",""งบพรบ!HP17"")"),0)</f>
        <v>0</v>
      </c>
      <c r="N604" s="1181">
        <f ca="1">IFERROR(__xludf.DUMMYFUNCTION("IMPORTRANGE(""https://docs.google.com/spreadsheets/d/1-uDff_7J0KD5mKrp0Vvzr7lt3OU09vwQwhkpOPPYv2Y/edit?usp=sharing"",""งบพรบ!HR17"")"),0)</f>
        <v>0</v>
      </c>
      <c r="O604" s="1181">
        <f t="shared" ca="1" si="368"/>
        <v>0</v>
      </c>
      <c r="P604" s="1181">
        <f t="shared" ca="1" si="369"/>
        <v>0</v>
      </c>
      <c r="Q604" s="1181">
        <f ca="1">IFERROR(__xludf.DUMMYFUNCTION("IMPORTRANGE(""https://docs.google.com/spreadsheets/d/1ItG2mGa2ceCfYo0BwxsXqNm01IGEUdYcSSLTEv9YCik/edit?usp=sharing"",""เบิกจ่ายกองทุน!AV17"")"),0)</f>
        <v>0</v>
      </c>
      <c r="R604" s="1181">
        <f ca="1">IFERROR(__xludf.DUMMYFUNCTION("IMPORTRANGE(""https://docs.google.com/spreadsheets/d/1ItG2mGa2ceCfYo0BwxsXqNm01IGEUdYcSSLTEv9YCik/edit?usp=sharing"",""เบิกจ่ายกองทุน!AW17"")"),0)</f>
        <v>0</v>
      </c>
      <c r="S604" s="1181">
        <f ca="1">IFERROR(__xludf.DUMMYFUNCTION("IMPORTRANGE(""https://docs.google.com/spreadsheets/d/1ItG2mGa2ceCfYo0BwxsXqNm01IGEUdYcSSLTEv9YCik/edit?usp=sharing"",""เบิกจ่ายกองทุน!AX17"")"),0)</f>
        <v>0</v>
      </c>
      <c r="T604" s="1181">
        <f t="shared" ca="1" si="371"/>
        <v>0</v>
      </c>
      <c r="U604" s="1181">
        <f t="shared" ca="1" si="372"/>
        <v>0</v>
      </c>
    </row>
    <row r="605" spans="1:21" ht="19.5" x14ac:dyDescent="0.3">
      <c r="A605" s="674"/>
      <c r="B605" s="1177"/>
      <c r="C605" s="1177"/>
      <c r="D605" s="1169" t="s">
        <v>23</v>
      </c>
      <c r="E605" s="1177"/>
      <c r="F605" s="1167"/>
      <c r="G605" s="1170"/>
      <c r="H605" s="1218" t="s">
        <v>14</v>
      </c>
      <c r="I605" s="1172"/>
      <c r="J605" s="1172"/>
      <c r="K605" s="1173"/>
      <c r="L605" s="1180">
        <f t="shared" ref="L605:N605" ca="1" si="377">L606+L607</f>
        <v>0</v>
      </c>
      <c r="M605" s="1181">
        <f t="shared" ca="1" si="377"/>
        <v>0</v>
      </c>
      <c r="N605" s="1181">
        <f t="shared" ca="1" si="377"/>
        <v>0</v>
      </c>
      <c r="O605" s="1181">
        <f t="shared" ca="1" si="368"/>
        <v>0</v>
      </c>
      <c r="P605" s="1181">
        <f t="shared" ca="1" si="369"/>
        <v>0</v>
      </c>
      <c r="Q605" s="1181">
        <f t="shared" ref="Q605:S605" ca="1" si="378">Q606+Q607</f>
        <v>0</v>
      </c>
      <c r="R605" s="1181">
        <f t="shared" ca="1" si="378"/>
        <v>0</v>
      </c>
      <c r="S605" s="1181">
        <f t="shared" ca="1" si="378"/>
        <v>0</v>
      </c>
      <c r="T605" s="1181">
        <f t="shared" ca="1" si="371"/>
        <v>0</v>
      </c>
      <c r="U605" s="1181">
        <f t="shared" ca="1" si="372"/>
        <v>0</v>
      </c>
    </row>
    <row r="606" spans="1:21" ht="18.75" x14ac:dyDescent="0.25">
      <c r="A606" s="674"/>
      <c r="B606" s="1177"/>
      <c r="C606" s="1177"/>
      <c r="D606" s="1177"/>
      <c r="E606" s="1219" t="s">
        <v>20</v>
      </c>
      <c r="F606" s="1167"/>
      <c r="G606" s="1170"/>
      <c r="H606" s="1179" t="s">
        <v>14</v>
      </c>
      <c r="I606" s="1172"/>
      <c r="J606" s="1172"/>
      <c r="K606" s="1173"/>
      <c r="L606" s="1180">
        <v>0</v>
      </c>
      <c r="M606" s="1181">
        <v>0</v>
      </c>
      <c r="N606" s="1181">
        <v>0</v>
      </c>
      <c r="O606" s="1181">
        <f t="shared" si="368"/>
        <v>0</v>
      </c>
      <c r="P606" s="1181">
        <f t="shared" si="369"/>
        <v>0</v>
      </c>
      <c r="Q606" s="1181">
        <v>0</v>
      </c>
      <c r="R606" s="1181">
        <v>0</v>
      </c>
      <c r="S606" s="1181">
        <v>0</v>
      </c>
      <c r="T606" s="1181">
        <f t="shared" si="371"/>
        <v>0</v>
      </c>
      <c r="U606" s="1181">
        <f t="shared" si="372"/>
        <v>0</v>
      </c>
    </row>
    <row r="607" spans="1:21" ht="18.75" x14ac:dyDescent="0.25">
      <c r="A607" s="674"/>
      <c r="B607" s="1177"/>
      <c r="C607" s="1177"/>
      <c r="D607" s="1167"/>
      <c r="E607" s="1219" t="s">
        <v>21</v>
      </c>
      <c r="F607" s="1167"/>
      <c r="G607" s="1170"/>
      <c r="H607" s="1220" t="s">
        <v>14</v>
      </c>
      <c r="I607" s="1172"/>
      <c r="J607" s="1172"/>
      <c r="K607" s="1173"/>
      <c r="L607" s="1180">
        <f ca="1">IFERROR(__xludf.DUMMYFUNCTION("IMPORTRANGE(""https://docs.google.com/spreadsheets/d/1-uDff_7J0KD5mKrp0Vvzr7lt3OU09vwQwhkpOPPYv2Y/edit?usp=sharing"",""งบพรบ!HN17"")"),0)</f>
        <v>0</v>
      </c>
      <c r="M607" s="1181">
        <f ca="1">IFERROR(__xludf.DUMMYFUNCTION("IMPORTRANGE(""https://docs.google.com/spreadsheets/d/1-uDff_7J0KD5mKrp0Vvzr7lt3OU09vwQwhkpOPPYv2Y/edit?usp=sharing"",""งบพรบ!HQ17"")"),0)</f>
        <v>0</v>
      </c>
      <c r="N607" s="1181">
        <f ca="1">IFERROR(__xludf.DUMMYFUNCTION("IMPORTRANGE(""https://docs.google.com/spreadsheets/d/1-uDff_7J0KD5mKrp0Vvzr7lt3OU09vwQwhkpOPPYv2Y/edit?usp=sharing"",""งบพรบ!HS17"")"),0)</f>
        <v>0</v>
      </c>
      <c r="O607" s="1181">
        <f t="shared" ca="1" si="368"/>
        <v>0</v>
      </c>
      <c r="P607" s="1181">
        <f t="shared" ca="1" si="369"/>
        <v>0</v>
      </c>
      <c r="Q607" s="1181">
        <f ca="1">IFERROR(__xludf.DUMMYFUNCTION("IMPORTRANGE(""https://docs.google.com/spreadsheets/d/1ItG2mGa2ceCfYo0BwxsXqNm01IGEUdYcSSLTEv9YCik/edit?usp=sharing"",""เบิกจ่ายกองทุน!AY17"")"),0)</f>
        <v>0</v>
      </c>
      <c r="R607" s="1181">
        <f ca="1">IFERROR(__xludf.DUMMYFUNCTION("IMPORTRANGE(""https://docs.google.com/spreadsheets/d/1ItG2mGa2ceCfYo0BwxsXqNm01IGEUdYcSSLTEv9YCik/edit?usp=sharing"",""เบิกจ่ายกองทุน!AZ17"")"),0)</f>
        <v>0</v>
      </c>
      <c r="S607" s="1181">
        <f ca="1">IFERROR(__xludf.DUMMYFUNCTION("IMPORTRANGE(""https://docs.google.com/spreadsheets/d/1ItG2mGa2ceCfYo0BwxsXqNm01IGEUdYcSSLTEv9YCik/edit?usp=sharing"",""เบิกจ่ายกองทุน!BA17"")"),0)</f>
        <v>0</v>
      </c>
      <c r="T607" s="1181">
        <f t="shared" ca="1" si="371"/>
        <v>0</v>
      </c>
      <c r="U607" s="1181">
        <f t="shared" ca="1" si="372"/>
        <v>0</v>
      </c>
    </row>
    <row r="608" spans="1:21" ht="19.5" x14ac:dyDescent="0.3">
      <c r="A608" s="687"/>
      <c r="B608" s="1183"/>
      <c r="C608" s="1217" t="s">
        <v>18</v>
      </c>
      <c r="D608" s="1185" t="s">
        <v>38</v>
      </c>
      <c r="E608" s="1186"/>
      <c r="F608" s="1186"/>
      <c r="G608" s="1187"/>
      <c r="H608" s="1222"/>
      <c r="I608" s="1172"/>
      <c r="J608" s="1172"/>
      <c r="K608" s="1173"/>
      <c r="L608" s="1188"/>
      <c r="M608" s="1175"/>
      <c r="N608" s="1175"/>
      <c r="O608" s="1175"/>
      <c r="P608" s="1175"/>
      <c r="Q608" s="1175"/>
      <c r="R608" s="1175"/>
      <c r="S608" s="1175"/>
      <c r="T608" s="1175"/>
      <c r="U608" s="1175"/>
    </row>
    <row r="609" spans="1:21" ht="18.75" x14ac:dyDescent="0.25">
      <c r="A609" s="687"/>
      <c r="B609" s="1183"/>
      <c r="C609" s="1183"/>
      <c r="D609" s="1223" t="s">
        <v>216</v>
      </c>
      <c r="E609" s="623"/>
      <c r="F609" s="623"/>
      <c r="G609" s="624"/>
      <c r="H609" s="1179" t="s">
        <v>99</v>
      </c>
      <c r="I609" s="1182"/>
      <c r="J609" s="1182"/>
      <c r="K609" s="1173"/>
      <c r="L609" s="1188"/>
      <c r="M609" s="1175"/>
      <c r="N609" s="1175"/>
      <c r="O609" s="1175"/>
      <c r="P609" s="1175"/>
      <c r="Q609" s="1175"/>
      <c r="R609" s="1175"/>
      <c r="S609" s="1175"/>
      <c r="T609" s="1175"/>
      <c r="U609" s="1175"/>
    </row>
    <row r="610" spans="1:21" ht="19.5" x14ac:dyDescent="0.3">
      <c r="A610" s="687"/>
      <c r="B610" s="1183"/>
      <c r="C610" s="1183"/>
      <c r="D610" s="1223" t="s">
        <v>217</v>
      </c>
      <c r="E610" s="623"/>
      <c r="F610" s="623"/>
      <c r="G610" s="624"/>
      <c r="H610" s="1171" t="s">
        <v>35</v>
      </c>
      <c r="I610" s="1182"/>
      <c r="J610" s="1182"/>
      <c r="K610" s="1173"/>
      <c r="L610" s="1188"/>
      <c r="M610" s="1175"/>
      <c r="N610" s="1175"/>
      <c r="O610" s="1175"/>
      <c r="P610" s="1175"/>
      <c r="Q610" s="1175"/>
      <c r="R610" s="1175"/>
      <c r="S610" s="1175"/>
      <c r="T610" s="1175"/>
      <c r="U610" s="1175"/>
    </row>
    <row r="611" spans="1:21" ht="18.75" x14ac:dyDescent="0.25">
      <c r="A611" s="687"/>
      <c r="B611" s="1183"/>
      <c r="C611" s="1183"/>
      <c r="D611" s="1183"/>
      <c r="E611" s="1223" t="s">
        <v>218</v>
      </c>
      <c r="F611" s="623"/>
      <c r="G611" s="624"/>
      <c r="H611" s="1220" t="s">
        <v>35</v>
      </c>
      <c r="I611" s="1182"/>
      <c r="J611" s="1182"/>
      <c r="K611" s="1173"/>
      <c r="L611" s="1188"/>
      <c r="M611" s="1175"/>
      <c r="N611" s="1175"/>
      <c r="O611" s="1175"/>
      <c r="P611" s="1175"/>
      <c r="Q611" s="1175"/>
      <c r="R611" s="1175"/>
      <c r="S611" s="1175"/>
      <c r="T611" s="1175"/>
      <c r="U611" s="1175"/>
    </row>
    <row r="612" spans="1:21" ht="19.5" thickBot="1" x14ac:dyDescent="0.3">
      <c r="A612" s="1043"/>
      <c r="B612" s="1225"/>
      <c r="C612" s="1225"/>
      <c r="D612" s="1225"/>
      <c r="E612" s="1226" t="s">
        <v>219</v>
      </c>
      <c r="F612" s="1227"/>
      <c r="G612" s="1228"/>
      <c r="H612" s="1229" t="s">
        <v>35</v>
      </c>
      <c r="I612" s="1230"/>
      <c r="J612" s="1230"/>
      <c r="K612" s="1231"/>
      <c r="L612" s="1232"/>
      <c r="M612" s="1233"/>
      <c r="N612" s="1233"/>
      <c r="O612" s="1233"/>
      <c r="P612" s="1233"/>
      <c r="Q612" s="1233"/>
      <c r="R612" s="1233"/>
      <c r="S612" s="1233"/>
      <c r="T612" s="1233"/>
      <c r="U612" s="1233"/>
    </row>
    <row r="613" spans="1:21" ht="19.5" x14ac:dyDescent="0.3">
      <c r="A613" s="1053" t="s">
        <v>220</v>
      </c>
      <c r="B613" s="1054"/>
      <c r="C613" s="1054"/>
      <c r="D613" s="1055"/>
      <c r="E613" s="1055"/>
      <c r="F613" s="1055"/>
      <c r="G613" s="1056"/>
      <c r="H613" s="1057"/>
      <c r="I613" s="1058"/>
      <c r="J613" s="1058"/>
      <c r="K613" s="1059"/>
      <c r="L613" s="1060"/>
      <c r="M613" s="1059"/>
      <c r="N613" s="1059"/>
      <c r="O613" s="1059"/>
      <c r="P613" s="1059"/>
      <c r="Q613" s="1059"/>
      <c r="R613" s="1059"/>
      <c r="S613" s="1059"/>
      <c r="T613" s="1059"/>
      <c r="U613" s="1059"/>
    </row>
    <row r="614" spans="1:21" ht="19.5" x14ac:dyDescent="0.3">
      <c r="A614" s="1061"/>
      <c r="B614" s="1062" t="s">
        <v>221</v>
      </c>
      <c r="C614" s="1061"/>
      <c r="D614" s="1063"/>
      <c r="E614" s="1063"/>
      <c r="F614" s="1063"/>
      <c r="G614" s="1064"/>
      <c r="H614" s="1065"/>
      <c r="I614" s="1066"/>
      <c r="J614" s="1066"/>
      <c r="K614" s="1067"/>
      <c r="L614" s="1068"/>
      <c r="M614" s="1067"/>
      <c r="N614" s="1067"/>
      <c r="O614" s="1067"/>
      <c r="P614" s="1067"/>
      <c r="Q614" s="1067"/>
      <c r="R614" s="1067"/>
      <c r="S614" s="1067"/>
      <c r="T614" s="1067"/>
      <c r="U614" s="1067"/>
    </row>
    <row r="615" spans="1:21" ht="19.5" x14ac:dyDescent="0.3">
      <c r="A615" s="1069"/>
      <c r="B615" s="1070" t="s">
        <v>222</v>
      </c>
      <c r="C615" s="1069"/>
      <c r="D615" s="1071"/>
      <c r="E615" s="1071"/>
      <c r="F615" s="1071"/>
      <c r="G615" s="1072"/>
      <c r="H615" s="1073" t="s">
        <v>46</v>
      </c>
      <c r="I615" s="1074">
        <f t="shared" ref="I615:J615" ca="1" si="379">I626</f>
        <v>0</v>
      </c>
      <c r="J615" s="1074">
        <f t="shared" si="379"/>
        <v>0</v>
      </c>
      <c r="K615" s="1075">
        <f ca="1">IF(I615&gt;0,J615*100/I615,0)</f>
        <v>0</v>
      </c>
      <c r="L615" s="1076"/>
      <c r="M615" s="1077"/>
      <c r="N615" s="1077"/>
      <c r="O615" s="1077"/>
      <c r="P615" s="1077"/>
      <c r="Q615" s="1077"/>
      <c r="R615" s="1077"/>
      <c r="S615" s="1077"/>
      <c r="T615" s="1077"/>
      <c r="U615" s="1077"/>
    </row>
    <row r="616" spans="1:21" ht="19.5" x14ac:dyDescent="0.3">
      <c r="A616" s="674"/>
      <c r="B616" s="718"/>
      <c r="C616" s="724" t="s">
        <v>18</v>
      </c>
      <c r="D616" s="1310" t="s">
        <v>19</v>
      </c>
      <c r="E616" s="1311"/>
      <c r="F616" s="1311"/>
      <c r="G616" s="1312"/>
      <c r="H616" s="780" t="s">
        <v>14</v>
      </c>
      <c r="I616" s="565"/>
      <c r="J616" s="565"/>
      <c r="K616" s="566"/>
      <c r="L616" s="678">
        <f t="shared" ref="L616:N616" si="380">L617+L618</f>
        <v>0</v>
      </c>
      <c r="M616" s="679">
        <f t="shared" si="380"/>
        <v>0</v>
      </c>
      <c r="N616" s="679">
        <f t="shared" si="380"/>
        <v>0</v>
      </c>
      <c r="O616" s="679">
        <f t="shared" ref="O616:O624" si="381">IF(L616&gt;0,N616*100/L616,0)</f>
        <v>0</v>
      </c>
      <c r="P616" s="679">
        <f t="shared" ref="P616:P624" si="382">IF(M616&gt;0,N616*100/M616,0)</f>
        <v>0</v>
      </c>
      <c r="Q616" s="679">
        <f t="shared" ref="Q616:S616" ca="1" si="383">Q617+Q618</f>
        <v>1825</v>
      </c>
      <c r="R616" s="679">
        <f t="shared" ca="1" si="383"/>
        <v>1825</v>
      </c>
      <c r="S616" s="679">
        <f t="shared" ca="1" si="383"/>
        <v>300</v>
      </c>
      <c r="T616" s="679">
        <f t="shared" ref="T616:T624" ca="1" si="384">IF(Q616&gt;0,S616*100/Q616,0)</f>
        <v>16.438356164383563</v>
      </c>
      <c r="U616" s="679">
        <f t="shared" ref="U616:U624" ca="1" si="385">IF(R616&gt;0,S616*100/R616,0)</f>
        <v>16.438356164383563</v>
      </c>
    </row>
    <row r="617" spans="1:21" ht="18.75" x14ac:dyDescent="0.25">
      <c r="A617" s="674"/>
      <c r="B617" s="718"/>
      <c r="C617" s="718"/>
      <c r="D617" s="695"/>
      <c r="E617" s="569" t="s">
        <v>158</v>
      </c>
      <c r="F617" s="561"/>
      <c r="G617" s="563"/>
      <c r="H617" s="685" t="s">
        <v>14</v>
      </c>
      <c r="I617" s="565"/>
      <c r="J617" s="565"/>
      <c r="K617" s="566"/>
      <c r="L617" s="571">
        <f t="shared" ref="L617:N618" si="386">L620+L623</f>
        <v>0</v>
      </c>
      <c r="M617" s="572">
        <f t="shared" si="386"/>
        <v>0</v>
      </c>
      <c r="N617" s="572">
        <f t="shared" si="386"/>
        <v>0</v>
      </c>
      <c r="O617" s="572">
        <f t="shared" si="381"/>
        <v>0</v>
      </c>
      <c r="P617" s="572">
        <f t="shared" si="382"/>
        <v>0</v>
      </c>
      <c r="Q617" s="572">
        <f t="shared" ref="Q617:S618" si="387">Q620+Q623</f>
        <v>0</v>
      </c>
      <c r="R617" s="572">
        <f t="shared" si="387"/>
        <v>0</v>
      </c>
      <c r="S617" s="572">
        <f t="shared" si="387"/>
        <v>0</v>
      </c>
      <c r="T617" s="572">
        <f t="shared" si="384"/>
        <v>0</v>
      </c>
      <c r="U617" s="572">
        <f t="shared" si="385"/>
        <v>0</v>
      </c>
    </row>
    <row r="618" spans="1:21" ht="18.75" x14ac:dyDescent="0.25">
      <c r="A618" s="674"/>
      <c r="B618" s="718"/>
      <c r="C618" s="718"/>
      <c r="D618" s="695"/>
      <c r="E618" s="573" t="s">
        <v>159</v>
      </c>
      <c r="F618" s="561"/>
      <c r="G618" s="563"/>
      <c r="H618" s="682" t="s">
        <v>14</v>
      </c>
      <c r="I618" s="565"/>
      <c r="J618" s="565"/>
      <c r="K618" s="566"/>
      <c r="L618" s="567">
        <f t="shared" si="386"/>
        <v>0</v>
      </c>
      <c r="M618" s="568">
        <f t="shared" si="386"/>
        <v>0</v>
      </c>
      <c r="N618" s="568">
        <f t="shared" si="386"/>
        <v>0</v>
      </c>
      <c r="O618" s="568">
        <f t="shared" si="381"/>
        <v>0</v>
      </c>
      <c r="P618" s="568">
        <f t="shared" si="382"/>
        <v>0</v>
      </c>
      <c r="Q618" s="568">
        <f t="shared" ca="1" si="387"/>
        <v>1825</v>
      </c>
      <c r="R618" s="568">
        <f t="shared" ca="1" si="387"/>
        <v>1825</v>
      </c>
      <c r="S618" s="568">
        <f t="shared" ca="1" si="387"/>
        <v>300</v>
      </c>
      <c r="T618" s="568">
        <f t="shared" ca="1" si="384"/>
        <v>16.438356164383563</v>
      </c>
      <c r="U618" s="568">
        <f t="shared" ca="1" si="385"/>
        <v>16.438356164383563</v>
      </c>
    </row>
    <row r="619" spans="1:21" ht="18.75" x14ac:dyDescent="0.25">
      <c r="A619" s="674"/>
      <c r="B619" s="718"/>
      <c r="C619" s="718"/>
      <c r="D619" s="562" t="s">
        <v>22</v>
      </c>
      <c r="E619" s="561"/>
      <c r="F619" s="561"/>
      <c r="G619" s="563"/>
      <c r="H619" s="682" t="s">
        <v>14</v>
      </c>
      <c r="I619" s="683"/>
      <c r="J619" s="683"/>
      <c r="K619" s="684"/>
      <c r="L619" s="567">
        <f t="shared" ref="L619:N619" si="388">L620+L621</f>
        <v>0</v>
      </c>
      <c r="M619" s="568">
        <f t="shared" si="388"/>
        <v>0</v>
      </c>
      <c r="N619" s="568">
        <f t="shared" si="388"/>
        <v>0</v>
      </c>
      <c r="O619" s="568">
        <f t="shared" si="381"/>
        <v>0</v>
      </c>
      <c r="P619" s="568">
        <f t="shared" si="382"/>
        <v>0</v>
      </c>
      <c r="Q619" s="568">
        <f t="shared" ref="Q619:S619" ca="1" si="389">Q620+Q621</f>
        <v>1825</v>
      </c>
      <c r="R619" s="568">
        <f t="shared" ca="1" si="389"/>
        <v>1825</v>
      </c>
      <c r="S619" s="568">
        <f t="shared" ca="1" si="389"/>
        <v>300</v>
      </c>
      <c r="T619" s="568">
        <f t="shared" ca="1" si="384"/>
        <v>16.438356164383563</v>
      </c>
      <c r="U619" s="568">
        <f t="shared" ca="1" si="385"/>
        <v>16.438356164383563</v>
      </c>
    </row>
    <row r="620" spans="1:21" ht="18.75" x14ac:dyDescent="0.25">
      <c r="A620" s="674"/>
      <c r="B620" s="718"/>
      <c r="C620" s="718"/>
      <c r="D620" s="695"/>
      <c r="E620" s="569" t="s">
        <v>158</v>
      </c>
      <c r="F620" s="561"/>
      <c r="G620" s="563"/>
      <c r="H620" s="685" t="s">
        <v>14</v>
      </c>
      <c r="I620" s="565"/>
      <c r="J620" s="565"/>
      <c r="K620" s="566"/>
      <c r="L620" s="571">
        <v>0</v>
      </c>
      <c r="M620" s="572">
        <v>0</v>
      </c>
      <c r="N620" s="572">
        <v>0</v>
      </c>
      <c r="O620" s="572">
        <f t="shared" si="381"/>
        <v>0</v>
      </c>
      <c r="P620" s="572">
        <f t="shared" si="382"/>
        <v>0</v>
      </c>
      <c r="Q620" s="572">
        <v>0</v>
      </c>
      <c r="R620" s="572">
        <v>0</v>
      </c>
      <c r="S620" s="572">
        <v>0</v>
      </c>
      <c r="T620" s="572">
        <f t="shared" si="384"/>
        <v>0</v>
      </c>
      <c r="U620" s="572">
        <f t="shared" si="385"/>
        <v>0</v>
      </c>
    </row>
    <row r="621" spans="1:21" ht="18.75" x14ac:dyDescent="0.25">
      <c r="A621" s="674"/>
      <c r="B621" s="718"/>
      <c r="C621" s="718"/>
      <c r="D621" s="695"/>
      <c r="E621" s="573" t="s">
        <v>159</v>
      </c>
      <c r="F621" s="561"/>
      <c r="G621" s="563"/>
      <c r="H621" s="682" t="s">
        <v>14</v>
      </c>
      <c r="I621" s="565"/>
      <c r="J621" s="565"/>
      <c r="K621" s="566"/>
      <c r="L621" s="567">
        <v>0</v>
      </c>
      <c r="M621" s="568">
        <v>0</v>
      </c>
      <c r="N621" s="568">
        <v>0</v>
      </c>
      <c r="O621" s="568">
        <f t="shared" si="381"/>
        <v>0</v>
      </c>
      <c r="P621" s="568">
        <f t="shared" si="382"/>
        <v>0</v>
      </c>
      <c r="Q621" s="568">
        <f ca="1">IFERROR(__xludf.DUMMYFUNCTION("IMPORTRANGE(""https://docs.google.com/spreadsheets/d/1ItG2mGa2ceCfYo0BwxsXqNm01IGEUdYcSSLTEv9YCik/edit?usp=sharing"",""เบิกจ่ายกองทุน!F17"")"),1825)</f>
        <v>1825</v>
      </c>
      <c r="R621" s="568">
        <f ca="1">IFERROR(__xludf.DUMMYFUNCTION("IMPORTRANGE(""https://docs.google.com/spreadsheets/d/1ItG2mGa2ceCfYo0BwxsXqNm01IGEUdYcSSLTEv9YCik/edit?usp=sharing"",""เบิกจ่ายกองทุน!G17"")"),1825)</f>
        <v>1825</v>
      </c>
      <c r="S621" s="568">
        <f ca="1">IFERROR(__xludf.DUMMYFUNCTION("IMPORTRANGE(""https://docs.google.com/spreadsheets/d/1ItG2mGa2ceCfYo0BwxsXqNm01IGEUdYcSSLTEv9YCik/edit?usp=sharing"",""เบิกจ่ายกองทุน!H17"")"),300)</f>
        <v>300</v>
      </c>
      <c r="T621" s="568">
        <f t="shared" ca="1" si="384"/>
        <v>16.438356164383563</v>
      </c>
      <c r="U621" s="568">
        <f t="shared" ca="1" si="385"/>
        <v>16.438356164383563</v>
      </c>
    </row>
    <row r="622" spans="1:21" ht="18.75" x14ac:dyDescent="0.25">
      <c r="A622" s="674"/>
      <c r="B622" s="718"/>
      <c r="C622" s="718"/>
      <c r="D622" s="562" t="s">
        <v>23</v>
      </c>
      <c r="E622" s="561"/>
      <c r="F622" s="561"/>
      <c r="G622" s="563"/>
      <c r="H622" s="686" t="s">
        <v>14</v>
      </c>
      <c r="I622" s="683"/>
      <c r="J622" s="683"/>
      <c r="K622" s="684"/>
      <c r="L622" s="567">
        <f t="shared" ref="L622:N622" si="390">L623+L624</f>
        <v>0</v>
      </c>
      <c r="M622" s="568">
        <f t="shared" si="390"/>
        <v>0</v>
      </c>
      <c r="N622" s="568">
        <f t="shared" si="390"/>
        <v>0</v>
      </c>
      <c r="O622" s="568">
        <f t="shared" si="381"/>
        <v>0</v>
      </c>
      <c r="P622" s="568">
        <f t="shared" si="382"/>
        <v>0</v>
      </c>
      <c r="Q622" s="568">
        <f t="shared" ref="Q622:S622" si="391">Q623+Q624</f>
        <v>0</v>
      </c>
      <c r="R622" s="568">
        <f t="shared" si="391"/>
        <v>0</v>
      </c>
      <c r="S622" s="568">
        <f t="shared" si="391"/>
        <v>0</v>
      </c>
      <c r="T622" s="568">
        <f t="shared" si="384"/>
        <v>0</v>
      </c>
      <c r="U622" s="568">
        <f t="shared" si="385"/>
        <v>0</v>
      </c>
    </row>
    <row r="623" spans="1:21" ht="18.75" x14ac:dyDescent="0.25">
      <c r="A623" s="674"/>
      <c r="B623" s="718"/>
      <c r="C623" s="718"/>
      <c r="D623" s="718"/>
      <c r="E623" s="569" t="s">
        <v>20</v>
      </c>
      <c r="F623" s="561"/>
      <c r="G623" s="563"/>
      <c r="H623" s="685" t="s">
        <v>14</v>
      </c>
      <c r="I623" s="683"/>
      <c r="J623" s="683"/>
      <c r="K623" s="684"/>
      <c r="L623" s="571">
        <v>0</v>
      </c>
      <c r="M623" s="572">
        <v>0</v>
      </c>
      <c r="N623" s="572">
        <v>0</v>
      </c>
      <c r="O623" s="572">
        <f t="shared" si="381"/>
        <v>0</v>
      </c>
      <c r="P623" s="572">
        <f t="shared" si="382"/>
        <v>0</v>
      </c>
      <c r="Q623" s="572">
        <v>0</v>
      </c>
      <c r="R623" s="572">
        <v>0</v>
      </c>
      <c r="S623" s="572">
        <v>0</v>
      </c>
      <c r="T623" s="572">
        <f t="shared" si="384"/>
        <v>0</v>
      </c>
      <c r="U623" s="572">
        <f t="shared" si="385"/>
        <v>0</v>
      </c>
    </row>
    <row r="624" spans="1:21" ht="18.75" x14ac:dyDescent="0.25">
      <c r="A624" s="674"/>
      <c r="B624" s="718"/>
      <c r="C624" s="718"/>
      <c r="D624" s="718"/>
      <c r="E624" s="573" t="s">
        <v>21</v>
      </c>
      <c r="F624" s="561"/>
      <c r="G624" s="563"/>
      <c r="H624" s="686" t="s">
        <v>14</v>
      </c>
      <c r="I624" s="683"/>
      <c r="J624" s="683"/>
      <c r="K624" s="684"/>
      <c r="L624" s="567">
        <v>0</v>
      </c>
      <c r="M624" s="568">
        <v>0</v>
      </c>
      <c r="N624" s="568">
        <v>0</v>
      </c>
      <c r="O624" s="568">
        <f t="shared" si="381"/>
        <v>0</v>
      </c>
      <c r="P624" s="568">
        <f t="shared" si="382"/>
        <v>0</v>
      </c>
      <c r="Q624" s="568">
        <v>0</v>
      </c>
      <c r="R624" s="568">
        <v>0</v>
      </c>
      <c r="S624" s="568">
        <v>0</v>
      </c>
      <c r="T624" s="568">
        <f t="shared" si="384"/>
        <v>0</v>
      </c>
      <c r="U624" s="568">
        <f t="shared" si="385"/>
        <v>0</v>
      </c>
    </row>
    <row r="625" spans="1:21" ht="19.5" x14ac:dyDescent="0.3">
      <c r="A625" s="687"/>
      <c r="B625" s="688"/>
      <c r="C625" s="724" t="s">
        <v>18</v>
      </c>
      <c r="D625" s="1078" t="s">
        <v>38</v>
      </c>
      <c r="E625" s="690"/>
      <c r="F625" s="690"/>
      <c r="G625" s="691"/>
      <c r="H625" s="725"/>
      <c r="I625" s="683"/>
      <c r="J625" s="683"/>
      <c r="K625" s="684"/>
      <c r="L625" s="693"/>
      <c r="M625" s="684"/>
      <c r="N625" s="684"/>
      <c r="O625" s="684"/>
      <c r="P625" s="684"/>
      <c r="Q625" s="684"/>
      <c r="R625" s="684"/>
      <c r="S625" s="684"/>
      <c r="T625" s="684"/>
      <c r="U625" s="684"/>
    </row>
    <row r="626" spans="1:21" ht="19.5" x14ac:dyDescent="0.3">
      <c r="A626" s="687"/>
      <c r="B626" s="688"/>
      <c r="C626" s="688"/>
      <c r="D626" s="1079" t="s">
        <v>223</v>
      </c>
      <c r="E626" s="695"/>
      <c r="F626" s="695"/>
      <c r="G626" s="692"/>
      <c r="H626" s="1080" t="s">
        <v>46</v>
      </c>
      <c r="I626" s="697">
        <f ca="1">IFERROR(__xludf.DUMMYFUNCTION("IMPORTRANGE(""https://docs.google.com/spreadsheets/d/1eHaY18a8A9IcSdp1K8H6x8fbOy06t2VsZHhMHf-1x7Y/edit?usp=sharing"",""แผน!ID17"")"),0)</f>
        <v>0</v>
      </c>
      <c r="J626" s="697">
        <f>J632</f>
        <v>0</v>
      </c>
      <c r="K626" s="679">
        <f ca="1">IF(I626&gt;0,J626*100/I626,0)</f>
        <v>0</v>
      </c>
      <c r="L626" s="693"/>
      <c r="M626" s="684"/>
      <c r="N626" s="684"/>
      <c r="O626" s="684"/>
      <c r="P626" s="684"/>
      <c r="Q626" s="684"/>
      <c r="R626" s="684"/>
      <c r="S626" s="684"/>
      <c r="T626" s="684"/>
      <c r="U626" s="684"/>
    </row>
    <row r="627" spans="1:21" ht="18.75" x14ac:dyDescent="0.25">
      <c r="A627" s="687"/>
      <c r="B627" s="688"/>
      <c r="C627" s="688"/>
      <c r="D627" s="688"/>
      <c r="E627" s="699" t="s">
        <v>224</v>
      </c>
      <c r="F627" s="695"/>
      <c r="G627" s="692"/>
      <c r="H627" s="686" t="s">
        <v>61</v>
      </c>
      <c r="I627" s="708">
        <f ca="1">IFERROR(__xludf.DUMMYFUNCTION("IMPORTRANGE(""https://docs.google.com/spreadsheets/d/1eHaY18a8A9IcSdp1K8H6x8fbOy06t2VsZHhMHf-1x7Y/edit?usp=sharing"",""แผน!IC17"")"),1)</f>
        <v>1</v>
      </c>
      <c r="J627" s="702">
        <v>1</v>
      </c>
      <c r="K627" s="568">
        <f t="shared" ref="K627:K628" ca="1" si="392">IF(I627&gt;0,(J627*100)/I627,0)</f>
        <v>100</v>
      </c>
      <c r="L627" s="693"/>
      <c r="M627" s="684"/>
      <c r="N627" s="684"/>
      <c r="O627" s="684"/>
      <c r="P627" s="684"/>
      <c r="Q627" s="684"/>
      <c r="R627" s="684"/>
      <c r="S627" s="684"/>
      <c r="T627" s="684"/>
      <c r="U627" s="684"/>
    </row>
    <row r="628" spans="1:21" ht="18.75" x14ac:dyDescent="0.25">
      <c r="A628" s="687"/>
      <c r="B628" s="688"/>
      <c r="C628" s="688"/>
      <c r="D628" s="688"/>
      <c r="E628" s="699" t="s">
        <v>225</v>
      </c>
      <c r="F628" s="695"/>
      <c r="G628" s="692"/>
      <c r="H628" s="686" t="s">
        <v>61</v>
      </c>
      <c r="I628" s="708">
        <f ca="1">IFERROR(__xludf.DUMMYFUNCTION("IMPORTRANGE(""https://docs.google.com/spreadsheets/d/1eHaY18a8A9IcSdp1K8H6x8fbOy06t2VsZHhMHf-1x7Y/edit?usp=sharing"",""แผน!IC17"")"),1)</f>
        <v>1</v>
      </c>
      <c r="J628" s="702">
        <v>1</v>
      </c>
      <c r="K628" s="568">
        <f t="shared" ca="1" si="392"/>
        <v>100</v>
      </c>
      <c r="L628" s="693"/>
      <c r="M628" s="684"/>
      <c r="N628" s="684"/>
      <c r="O628" s="684"/>
      <c r="P628" s="684"/>
      <c r="Q628" s="684"/>
      <c r="R628" s="684"/>
      <c r="S628" s="684"/>
      <c r="T628" s="684"/>
      <c r="U628" s="684"/>
    </row>
    <row r="629" spans="1:21" ht="18.75" x14ac:dyDescent="0.25">
      <c r="A629" s="687"/>
      <c r="B629" s="688"/>
      <c r="C629" s="688"/>
      <c r="D629" s="688"/>
      <c r="E629" s="699" t="s">
        <v>226</v>
      </c>
      <c r="F629" s="695"/>
      <c r="G629" s="692"/>
      <c r="H629" s="686" t="s">
        <v>46</v>
      </c>
      <c r="I629" s="565"/>
      <c r="J629" s="702">
        <v>0</v>
      </c>
      <c r="K629" s="568">
        <f t="shared" ref="K629:K631" ca="1" si="393">IF(I$626&gt;0,J629*100/I$626,0)</f>
        <v>0</v>
      </c>
      <c r="L629" s="693"/>
      <c r="M629" s="684"/>
      <c r="N629" s="684"/>
      <c r="O629" s="684"/>
      <c r="P629" s="684"/>
      <c r="Q629" s="684"/>
      <c r="R629" s="684"/>
      <c r="S629" s="684"/>
      <c r="T629" s="684"/>
      <c r="U629" s="684"/>
    </row>
    <row r="630" spans="1:21" ht="18.75" x14ac:dyDescent="0.25">
      <c r="A630" s="687"/>
      <c r="B630" s="688"/>
      <c r="C630" s="688"/>
      <c r="D630" s="688"/>
      <c r="E630" s="699" t="s">
        <v>227</v>
      </c>
      <c r="F630" s="695"/>
      <c r="G630" s="692"/>
      <c r="H630" s="686" t="s">
        <v>46</v>
      </c>
      <c r="I630" s="565"/>
      <c r="J630" s="702">
        <v>0</v>
      </c>
      <c r="K630" s="568">
        <f t="shared" ca="1" si="393"/>
        <v>0</v>
      </c>
      <c r="L630" s="693"/>
      <c r="M630" s="684"/>
      <c r="N630" s="684"/>
      <c r="O630" s="684"/>
      <c r="P630" s="684"/>
      <c r="Q630" s="684"/>
      <c r="R630" s="684"/>
      <c r="S630" s="684"/>
      <c r="T630" s="684"/>
      <c r="U630" s="684"/>
    </row>
    <row r="631" spans="1:21" ht="18.75" x14ac:dyDescent="0.25">
      <c r="A631" s="687"/>
      <c r="B631" s="688"/>
      <c r="C631" s="688"/>
      <c r="D631" s="688"/>
      <c r="E631" s="699" t="s">
        <v>228</v>
      </c>
      <c r="F631" s="695"/>
      <c r="G631" s="692"/>
      <c r="H631" s="686" t="s">
        <v>46</v>
      </c>
      <c r="I631" s="565"/>
      <c r="J631" s="702">
        <v>0</v>
      </c>
      <c r="K631" s="568">
        <f t="shared" ca="1" si="393"/>
        <v>0</v>
      </c>
      <c r="L631" s="693"/>
      <c r="M631" s="684"/>
      <c r="N631" s="684"/>
      <c r="O631" s="684"/>
      <c r="P631" s="684"/>
      <c r="Q631" s="684"/>
      <c r="R631" s="684"/>
      <c r="S631" s="684"/>
      <c r="T631" s="684"/>
      <c r="U631" s="684"/>
    </row>
    <row r="632" spans="1:21" ht="19.5" x14ac:dyDescent="0.3">
      <c r="A632" s="687"/>
      <c r="B632" s="688"/>
      <c r="C632" s="688"/>
      <c r="D632" s="688"/>
      <c r="E632" s="699" t="s">
        <v>229</v>
      </c>
      <c r="F632" s="695"/>
      <c r="G632" s="692"/>
      <c r="H632" s="686" t="s">
        <v>46</v>
      </c>
      <c r="I632" s="565"/>
      <c r="J632" s="697">
        <f>J633+J634</f>
        <v>0</v>
      </c>
      <c r="K632" s="679">
        <f ca="1">IF(I626&gt;0,J632*100/I626,0)</f>
        <v>0</v>
      </c>
      <c r="L632" s="693"/>
      <c r="M632" s="684"/>
      <c r="N632" s="684"/>
      <c r="O632" s="684"/>
      <c r="P632" s="684"/>
      <c r="Q632" s="684"/>
      <c r="R632" s="684"/>
      <c r="S632" s="684"/>
      <c r="T632" s="684"/>
      <c r="U632" s="684"/>
    </row>
    <row r="633" spans="1:21" ht="18.75" x14ac:dyDescent="0.25">
      <c r="A633" s="687"/>
      <c r="B633" s="688"/>
      <c r="C633" s="688"/>
      <c r="D633" s="688"/>
      <c r="E633" s="695"/>
      <c r="F633" s="699" t="s">
        <v>230</v>
      </c>
      <c r="G633" s="692"/>
      <c r="H633" s="686" t="s">
        <v>46</v>
      </c>
      <c r="I633" s="565"/>
      <c r="J633" s="702">
        <v>0</v>
      </c>
      <c r="K633" s="566"/>
      <c r="L633" s="693"/>
      <c r="M633" s="684"/>
      <c r="N633" s="684"/>
      <c r="O633" s="684"/>
      <c r="P633" s="684"/>
      <c r="Q633" s="684"/>
      <c r="R633" s="684"/>
      <c r="S633" s="684"/>
      <c r="T633" s="684"/>
      <c r="U633" s="684"/>
    </row>
    <row r="634" spans="1:21" ht="18.75" x14ac:dyDescent="0.25">
      <c r="A634" s="687"/>
      <c r="B634" s="688"/>
      <c r="C634" s="688"/>
      <c r="D634" s="688"/>
      <c r="E634" s="695"/>
      <c r="F634" s="699" t="s">
        <v>231</v>
      </c>
      <c r="G634" s="692"/>
      <c r="H634" s="686" t="s">
        <v>46</v>
      </c>
      <c r="I634" s="565"/>
      <c r="J634" s="702">
        <v>0</v>
      </c>
      <c r="K634" s="566"/>
      <c r="L634" s="693"/>
      <c r="M634" s="684"/>
      <c r="N634" s="684"/>
      <c r="O634" s="684"/>
      <c r="P634" s="684"/>
      <c r="Q634" s="684"/>
      <c r="R634" s="684"/>
      <c r="S634" s="684"/>
      <c r="T634" s="684"/>
      <c r="U634" s="684"/>
    </row>
    <row r="635" spans="1:21" ht="19.5" x14ac:dyDescent="0.3">
      <c r="A635" s="687"/>
      <c r="B635" s="688"/>
      <c r="C635" s="688"/>
      <c r="D635" s="1079" t="s">
        <v>232</v>
      </c>
      <c r="E635" s="695"/>
      <c r="F635" s="695"/>
      <c r="G635" s="692"/>
      <c r="H635" s="686" t="s">
        <v>46</v>
      </c>
      <c r="I635" s="697">
        <f ca="1">IFERROR(__xludf.DUMMYFUNCTION("IMPORTRANGE(""https://docs.google.com/spreadsheets/d/1eHaY18a8A9IcSdp1K8H6x8fbOy06t2VsZHhMHf-1x7Y/edit?usp=sharing"",""แผน!IE17"")"),0)</f>
        <v>0</v>
      </c>
      <c r="J635" s="697">
        <f>J636</f>
        <v>0</v>
      </c>
      <c r="K635" s="679">
        <f ca="1">IF(I635&gt;0,J635*100/I635,0)</f>
        <v>0</v>
      </c>
      <c r="L635" s="693"/>
      <c r="M635" s="684"/>
      <c r="N635" s="684"/>
      <c r="O635" s="684"/>
      <c r="P635" s="684"/>
      <c r="Q635" s="684"/>
      <c r="R635" s="684"/>
      <c r="S635" s="684"/>
      <c r="T635" s="684"/>
      <c r="U635" s="684"/>
    </row>
    <row r="636" spans="1:21" ht="18.75" x14ac:dyDescent="0.25">
      <c r="A636" s="687"/>
      <c r="B636" s="688"/>
      <c r="C636" s="688"/>
      <c r="D636" s="688"/>
      <c r="E636" s="699" t="s">
        <v>233</v>
      </c>
      <c r="F636" s="695"/>
      <c r="G636" s="692"/>
      <c r="H636" s="686" t="s">
        <v>46</v>
      </c>
      <c r="I636" s="565"/>
      <c r="J636" s="708">
        <f>J637+J638</f>
        <v>0</v>
      </c>
      <c r="K636" s="566"/>
      <c r="L636" s="693"/>
      <c r="M636" s="684"/>
      <c r="N636" s="684"/>
      <c r="O636" s="684"/>
      <c r="P636" s="684"/>
      <c r="Q636" s="684"/>
      <c r="R636" s="684"/>
      <c r="S636" s="684"/>
      <c r="T636" s="684"/>
      <c r="U636" s="684"/>
    </row>
    <row r="637" spans="1:21" ht="18.75" x14ac:dyDescent="0.25">
      <c r="A637" s="687"/>
      <c r="B637" s="688"/>
      <c r="C637" s="688"/>
      <c r="D637" s="688"/>
      <c r="E637" s="695"/>
      <c r="F637" s="699" t="s">
        <v>230</v>
      </c>
      <c r="G637" s="692"/>
      <c r="H637" s="686" t="s">
        <v>46</v>
      </c>
      <c r="I637" s="565"/>
      <c r="J637" s="702">
        <v>0</v>
      </c>
      <c r="K637" s="566"/>
      <c r="L637" s="693"/>
      <c r="M637" s="684"/>
      <c r="N637" s="684"/>
      <c r="O637" s="684"/>
      <c r="P637" s="684"/>
      <c r="Q637" s="684"/>
      <c r="R637" s="684"/>
      <c r="S637" s="684"/>
      <c r="T637" s="684"/>
      <c r="U637" s="684"/>
    </row>
    <row r="638" spans="1:21" ht="18.75" x14ac:dyDescent="0.25">
      <c r="A638" s="687"/>
      <c r="B638" s="688"/>
      <c r="C638" s="688"/>
      <c r="D638" s="688"/>
      <c r="E638" s="695"/>
      <c r="F638" s="699" t="s">
        <v>231</v>
      </c>
      <c r="G638" s="692"/>
      <c r="H638" s="686" t="s">
        <v>46</v>
      </c>
      <c r="I638" s="565"/>
      <c r="J638" s="702">
        <v>0</v>
      </c>
      <c r="K638" s="566"/>
      <c r="L638" s="693"/>
      <c r="M638" s="684"/>
      <c r="N638" s="684"/>
      <c r="O638" s="684"/>
      <c r="P638" s="684"/>
      <c r="Q638" s="684"/>
      <c r="R638" s="684"/>
      <c r="S638" s="684"/>
      <c r="T638" s="684"/>
      <c r="U638" s="684"/>
    </row>
    <row r="639" spans="1:21" ht="18.75" x14ac:dyDescent="0.25">
      <c r="A639" s="687"/>
      <c r="B639" s="688"/>
      <c r="C639" s="688"/>
      <c r="D639" s="688"/>
      <c r="E639" s="699" t="s">
        <v>234</v>
      </c>
      <c r="F639" s="695"/>
      <c r="G639" s="692"/>
      <c r="H639" s="686" t="s">
        <v>46</v>
      </c>
      <c r="I639" s="565"/>
      <c r="J639" s="702">
        <v>0</v>
      </c>
      <c r="K639" s="566"/>
      <c r="L639" s="693"/>
      <c r="M639" s="684"/>
      <c r="N639" s="684"/>
      <c r="O639" s="684"/>
      <c r="P639" s="684"/>
      <c r="Q639" s="684"/>
      <c r="R639" s="684"/>
      <c r="S639" s="684"/>
      <c r="T639" s="684"/>
      <c r="U639" s="684"/>
    </row>
    <row r="640" spans="1:21" ht="18.75" x14ac:dyDescent="0.25">
      <c r="A640" s="687"/>
      <c r="B640" s="688"/>
      <c r="C640" s="688"/>
      <c r="D640" s="688"/>
      <c r="E640" s="695"/>
      <c r="F640" s="699" t="s">
        <v>235</v>
      </c>
      <c r="G640" s="692"/>
      <c r="H640" s="686" t="s">
        <v>46</v>
      </c>
      <c r="I640" s="565"/>
      <c r="J640" s="702">
        <v>0</v>
      </c>
      <c r="K640" s="566"/>
      <c r="L640" s="693"/>
      <c r="M640" s="684"/>
      <c r="N640" s="684"/>
      <c r="O640" s="684"/>
      <c r="P640" s="684"/>
      <c r="Q640" s="684"/>
      <c r="R640" s="684"/>
      <c r="S640" s="684"/>
      <c r="T640" s="684"/>
      <c r="U640" s="684"/>
    </row>
    <row r="641" spans="1:21" ht="19.5" hidden="1" x14ac:dyDescent="0.3">
      <c r="A641" s="1069"/>
      <c r="B641" s="1070" t="s">
        <v>236</v>
      </c>
      <c r="C641" s="1069"/>
      <c r="D641" s="1071"/>
      <c r="E641" s="1071"/>
      <c r="F641" s="1071"/>
      <c r="G641" s="1072"/>
      <c r="H641" s="1081"/>
      <c r="I641" s="1082"/>
      <c r="J641" s="1082"/>
      <c r="K641" s="1077"/>
      <c r="L641" s="1076"/>
      <c r="M641" s="1077"/>
      <c r="N641" s="1077"/>
      <c r="O641" s="1077"/>
      <c r="P641" s="1077"/>
      <c r="Q641" s="1077"/>
      <c r="R641" s="1077"/>
      <c r="S641" s="1077"/>
      <c r="T641" s="1077"/>
      <c r="U641" s="1077"/>
    </row>
    <row r="642" spans="1:21" ht="19.5" hidden="1" x14ac:dyDescent="0.3">
      <c r="A642" s="674"/>
      <c r="B642" s="718"/>
      <c r="C642" s="765" t="s">
        <v>18</v>
      </c>
      <c r="D642" s="1310" t="s">
        <v>19</v>
      </c>
      <c r="E642" s="1311"/>
      <c r="F642" s="1311"/>
      <c r="G642" s="1312"/>
      <c r="H642" s="780" t="s">
        <v>14</v>
      </c>
      <c r="I642" s="565"/>
      <c r="J642" s="565"/>
      <c r="K642" s="566"/>
      <c r="L642" s="678">
        <f t="shared" ref="L642:N642" si="394">L643+L644</f>
        <v>0</v>
      </c>
      <c r="M642" s="679">
        <f t="shared" si="394"/>
        <v>0</v>
      </c>
      <c r="N642" s="679">
        <f t="shared" si="394"/>
        <v>0</v>
      </c>
      <c r="O642" s="679">
        <f t="shared" ref="O642:O650" si="395">IF(L642&gt;0,N642*100/L642,0)</f>
        <v>0</v>
      </c>
      <c r="P642" s="679">
        <f t="shared" ref="P642:P650" si="396">IF(M642&gt;0,N642*100/M642,0)</f>
        <v>0</v>
      </c>
      <c r="Q642" s="679">
        <f t="shared" ref="Q642:S642" ca="1" si="397">Q643+Q644</f>
        <v>0</v>
      </c>
      <c r="R642" s="679">
        <f t="shared" ca="1" si="397"/>
        <v>0</v>
      </c>
      <c r="S642" s="679">
        <f t="shared" ca="1" si="397"/>
        <v>0</v>
      </c>
      <c r="T642" s="679">
        <f t="shared" ref="T642:T650" ca="1" si="398">IF(Q642&gt;0,S642*100/Q642,0)</f>
        <v>0</v>
      </c>
      <c r="U642" s="679">
        <f t="shared" ref="U642:U650" ca="1" si="399">IF(R642&gt;0,S642*100/R642,0)</f>
        <v>0</v>
      </c>
    </row>
    <row r="643" spans="1:21" ht="18.75" hidden="1" x14ac:dyDescent="0.25">
      <c r="A643" s="674"/>
      <c r="B643" s="718"/>
      <c r="C643" s="718"/>
      <c r="D643" s="695"/>
      <c r="E643" s="569" t="s">
        <v>158</v>
      </c>
      <c r="F643" s="561"/>
      <c r="G643" s="563"/>
      <c r="H643" s="685" t="s">
        <v>14</v>
      </c>
      <c r="I643" s="565"/>
      <c r="J643" s="565"/>
      <c r="K643" s="566"/>
      <c r="L643" s="571">
        <f t="shared" ref="L643:N644" si="400">L646+L649</f>
        <v>0</v>
      </c>
      <c r="M643" s="572">
        <f t="shared" si="400"/>
        <v>0</v>
      </c>
      <c r="N643" s="572">
        <f t="shared" si="400"/>
        <v>0</v>
      </c>
      <c r="O643" s="572">
        <f t="shared" si="395"/>
        <v>0</v>
      </c>
      <c r="P643" s="572">
        <f t="shared" si="396"/>
        <v>0</v>
      </c>
      <c r="Q643" s="572">
        <f t="shared" ref="Q643:S644" si="401">Q646+Q649</f>
        <v>0</v>
      </c>
      <c r="R643" s="572">
        <f t="shared" si="401"/>
        <v>0</v>
      </c>
      <c r="S643" s="572">
        <f t="shared" si="401"/>
        <v>0</v>
      </c>
      <c r="T643" s="572">
        <f t="shared" si="398"/>
        <v>0</v>
      </c>
      <c r="U643" s="572">
        <f t="shared" si="399"/>
        <v>0</v>
      </c>
    </row>
    <row r="644" spans="1:21" ht="18.75" hidden="1" x14ac:dyDescent="0.25">
      <c r="A644" s="674"/>
      <c r="B644" s="718"/>
      <c r="C644" s="718"/>
      <c r="D644" s="695"/>
      <c r="E644" s="573" t="s">
        <v>159</v>
      </c>
      <c r="F644" s="561"/>
      <c r="G644" s="563"/>
      <c r="H644" s="682" t="s">
        <v>14</v>
      </c>
      <c r="I644" s="565"/>
      <c r="J644" s="565"/>
      <c r="K644" s="566"/>
      <c r="L644" s="567">
        <f t="shared" si="400"/>
        <v>0</v>
      </c>
      <c r="M644" s="568">
        <f t="shared" si="400"/>
        <v>0</v>
      </c>
      <c r="N644" s="568">
        <f t="shared" si="400"/>
        <v>0</v>
      </c>
      <c r="O644" s="568">
        <f t="shared" si="395"/>
        <v>0</v>
      </c>
      <c r="P644" s="568">
        <f t="shared" si="396"/>
        <v>0</v>
      </c>
      <c r="Q644" s="568">
        <f t="shared" ca="1" si="401"/>
        <v>0</v>
      </c>
      <c r="R644" s="568">
        <f t="shared" ca="1" si="401"/>
        <v>0</v>
      </c>
      <c r="S644" s="568">
        <f t="shared" ca="1" si="401"/>
        <v>0</v>
      </c>
      <c r="T644" s="568">
        <f t="shared" ca="1" si="398"/>
        <v>0</v>
      </c>
      <c r="U644" s="568">
        <f t="shared" ca="1" si="399"/>
        <v>0</v>
      </c>
    </row>
    <row r="645" spans="1:21" ht="18.75" hidden="1" x14ac:dyDescent="0.25">
      <c r="A645" s="674"/>
      <c r="B645" s="718"/>
      <c r="C645" s="718"/>
      <c r="D645" s="562" t="s">
        <v>22</v>
      </c>
      <c r="E645" s="561"/>
      <c r="F645" s="561"/>
      <c r="G645" s="563"/>
      <c r="H645" s="682" t="s">
        <v>14</v>
      </c>
      <c r="I645" s="683"/>
      <c r="J645" s="683"/>
      <c r="K645" s="684"/>
      <c r="L645" s="567">
        <f t="shared" ref="L645:N645" si="402">L646+L647</f>
        <v>0</v>
      </c>
      <c r="M645" s="568">
        <f t="shared" si="402"/>
        <v>0</v>
      </c>
      <c r="N645" s="568">
        <f t="shared" si="402"/>
        <v>0</v>
      </c>
      <c r="O645" s="568">
        <f t="shared" si="395"/>
        <v>0</v>
      </c>
      <c r="P645" s="568">
        <f t="shared" si="396"/>
        <v>0</v>
      </c>
      <c r="Q645" s="568">
        <f t="shared" ref="Q645:S645" ca="1" si="403">Q646+Q647</f>
        <v>0</v>
      </c>
      <c r="R645" s="568">
        <f t="shared" ca="1" si="403"/>
        <v>0</v>
      </c>
      <c r="S645" s="568">
        <f t="shared" ca="1" si="403"/>
        <v>0</v>
      </c>
      <c r="T645" s="568">
        <f t="shared" ca="1" si="398"/>
        <v>0</v>
      </c>
      <c r="U645" s="568">
        <f t="shared" ca="1" si="399"/>
        <v>0</v>
      </c>
    </row>
    <row r="646" spans="1:21" ht="18.75" hidden="1" x14ac:dyDescent="0.25">
      <c r="A646" s="674"/>
      <c r="B646" s="718"/>
      <c r="C646" s="718"/>
      <c r="D646" s="695"/>
      <c r="E646" s="569" t="s">
        <v>158</v>
      </c>
      <c r="F646" s="561"/>
      <c r="G646" s="563"/>
      <c r="H646" s="685" t="s">
        <v>14</v>
      </c>
      <c r="I646" s="565"/>
      <c r="J646" s="565"/>
      <c r="K646" s="566"/>
      <c r="L646" s="571">
        <v>0</v>
      </c>
      <c r="M646" s="572">
        <v>0</v>
      </c>
      <c r="N646" s="572">
        <v>0</v>
      </c>
      <c r="O646" s="572">
        <f t="shared" si="395"/>
        <v>0</v>
      </c>
      <c r="P646" s="572">
        <f t="shared" si="396"/>
        <v>0</v>
      </c>
      <c r="Q646" s="572">
        <v>0</v>
      </c>
      <c r="R646" s="572">
        <v>0</v>
      </c>
      <c r="S646" s="572">
        <v>0</v>
      </c>
      <c r="T646" s="572">
        <f t="shared" si="398"/>
        <v>0</v>
      </c>
      <c r="U646" s="572">
        <f t="shared" si="399"/>
        <v>0</v>
      </c>
    </row>
    <row r="647" spans="1:21" ht="18.75" hidden="1" x14ac:dyDescent="0.25">
      <c r="A647" s="674"/>
      <c r="B647" s="718"/>
      <c r="C647" s="718"/>
      <c r="D647" s="695"/>
      <c r="E647" s="573" t="s">
        <v>159</v>
      </c>
      <c r="F647" s="561"/>
      <c r="G647" s="563"/>
      <c r="H647" s="682" t="s">
        <v>14</v>
      </c>
      <c r="I647" s="565"/>
      <c r="J647" s="565"/>
      <c r="K647" s="566"/>
      <c r="L647" s="567">
        <v>0</v>
      </c>
      <c r="M647" s="568">
        <v>0</v>
      </c>
      <c r="N647" s="568">
        <v>0</v>
      </c>
      <c r="O647" s="568">
        <f t="shared" si="395"/>
        <v>0</v>
      </c>
      <c r="P647" s="568">
        <f t="shared" si="396"/>
        <v>0</v>
      </c>
      <c r="Q647" s="568">
        <f ca="1">IFERROR(__xludf.DUMMYFUNCTION("IMPORTRANGE(""https://docs.google.com/spreadsheets/d/1ItG2mGa2ceCfYo0BwxsXqNm01IGEUdYcSSLTEv9YCik/edit?usp=sharing"",""เบิกจ่ายกองทุน!I17"")"),0)</f>
        <v>0</v>
      </c>
      <c r="R647" s="568">
        <f ca="1">IFERROR(__xludf.DUMMYFUNCTION("IMPORTRANGE(""https://docs.google.com/spreadsheets/d/1ItG2mGa2ceCfYo0BwxsXqNm01IGEUdYcSSLTEv9YCik/edit?usp=sharing"",""เบิกจ่ายกองทุน!J17"")"),0)</f>
        <v>0</v>
      </c>
      <c r="S647" s="568">
        <f ca="1">IFERROR(__xludf.DUMMYFUNCTION("IMPORTRANGE(""https://docs.google.com/spreadsheets/d/1ItG2mGa2ceCfYo0BwxsXqNm01IGEUdYcSSLTEv9YCik/edit?usp=sharing"",""เบิกจ่ายกองทุน!K17"")"),0)</f>
        <v>0</v>
      </c>
      <c r="T647" s="568">
        <f t="shared" ca="1" si="398"/>
        <v>0</v>
      </c>
      <c r="U647" s="568">
        <f t="shared" ca="1" si="399"/>
        <v>0</v>
      </c>
    </row>
    <row r="648" spans="1:21" ht="18.75" hidden="1" x14ac:dyDescent="0.25">
      <c r="A648" s="674"/>
      <c r="B648" s="718"/>
      <c r="C648" s="718"/>
      <c r="D648" s="562" t="s">
        <v>23</v>
      </c>
      <c r="E648" s="561"/>
      <c r="F648" s="561"/>
      <c r="G648" s="563"/>
      <c r="H648" s="686" t="s">
        <v>14</v>
      </c>
      <c r="I648" s="683"/>
      <c r="J648" s="683"/>
      <c r="K648" s="684"/>
      <c r="L648" s="567">
        <f t="shared" ref="L648:N648" si="404">L649+L650</f>
        <v>0</v>
      </c>
      <c r="M648" s="568">
        <f t="shared" si="404"/>
        <v>0</v>
      </c>
      <c r="N648" s="568">
        <f t="shared" si="404"/>
        <v>0</v>
      </c>
      <c r="O648" s="568">
        <f t="shared" si="395"/>
        <v>0</v>
      </c>
      <c r="P648" s="568">
        <f t="shared" si="396"/>
        <v>0</v>
      </c>
      <c r="Q648" s="568">
        <f t="shared" ref="Q648:S648" si="405">Q649+Q650</f>
        <v>0</v>
      </c>
      <c r="R648" s="568">
        <f t="shared" si="405"/>
        <v>0</v>
      </c>
      <c r="S648" s="568">
        <f t="shared" si="405"/>
        <v>0</v>
      </c>
      <c r="T648" s="568">
        <f t="shared" si="398"/>
        <v>0</v>
      </c>
      <c r="U648" s="568">
        <f t="shared" si="399"/>
        <v>0</v>
      </c>
    </row>
    <row r="649" spans="1:21" ht="18.75" hidden="1" x14ac:dyDescent="0.25">
      <c r="A649" s="674"/>
      <c r="B649" s="718"/>
      <c r="C649" s="718"/>
      <c r="D649" s="561"/>
      <c r="E649" s="569" t="s">
        <v>20</v>
      </c>
      <c r="F649" s="561"/>
      <c r="G649" s="563"/>
      <c r="H649" s="685" t="s">
        <v>14</v>
      </c>
      <c r="I649" s="683"/>
      <c r="J649" s="683"/>
      <c r="K649" s="684"/>
      <c r="L649" s="571">
        <v>0</v>
      </c>
      <c r="M649" s="572">
        <v>0</v>
      </c>
      <c r="N649" s="572">
        <v>0</v>
      </c>
      <c r="O649" s="572">
        <f t="shared" si="395"/>
        <v>0</v>
      </c>
      <c r="P649" s="572">
        <f t="shared" si="396"/>
        <v>0</v>
      </c>
      <c r="Q649" s="572">
        <v>0</v>
      </c>
      <c r="R649" s="572">
        <v>0</v>
      </c>
      <c r="S649" s="572">
        <v>0</v>
      </c>
      <c r="T649" s="572">
        <f t="shared" si="398"/>
        <v>0</v>
      </c>
      <c r="U649" s="572">
        <f t="shared" si="399"/>
        <v>0</v>
      </c>
    </row>
    <row r="650" spans="1:21" ht="18.75" hidden="1" x14ac:dyDescent="0.25">
      <c r="A650" s="674"/>
      <c r="B650" s="718"/>
      <c r="C650" s="718"/>
      <c r="D650" s="561"/>
      <c r="E650" s="573" t="s">
        <v>21</v>
      </c>
      <c r="F650" s="561"/>
      <c r="G650" s="563"/>
      <c r="H650" s="686" t="s">
        <v>14</v>
      </c>
      <c r="I650" s="683"/>
      <c r="J650" s="683"/>
      <c r="K650" s="684"/>
      <c r="L650" s="567">
        <v>0</v>
      </c>
      <c r="M650" s="568">
        <v>0</v>
      </c>
      <c r="N650" s="568">
        <v>0</v>
      </c>
      <c r="O650" s="568">
        <f t="shared" si="395"/>
        <v>0</v>
      </c>
      <c r="P650" s="568">
        <f t="shared" si="396"/>
        <v>0</v>
      </c>
      <c r="Q650" s="568">
        <v>0</v>
      </c>
      <c r="R650" s="568">
        <v>0</v>
      </c>
      <c r="S650" s="568">
        <v>0</v>
      </c>
      <c r="T650" s="568">
        <f t="shared" si="398"/>
        <v>0</v>
      </c>
      <c r="U650" s="568">
        <f t="shared" si="399"/>
        <v>0</v>
      </c>
    </row>
    <row r="651" spans="1:21" ht="19.5" hidden="1" x14ac:dyDescent="0.3">
      <c r="A651" s="687"/>
      <c r="B651" s="688"/>
      <c r="C651" s="765" t="s">
        <v>18</v>
      </c>
      <c r="D651" s="1083" t="s">
        <v>38</v>
      </c>
      <c r="E651" s="690"/>
      <c r="F651" s="690"/>
      <c r="G651" s="691"/>
      <c r="H651" s="725"/>
      <c r="I651" s="683"/>
      <c r="J651" s="683"/>
      <c r="K651" s="684"/>
      <c r="L651" s="693"/>
      <c r="M651" s="684"/>
      <c r="N651" s="684"/>
      <c r="O651" s="684"/>
      <c r="P651" s="684"/>
      <c r="Q651" s="566"/>
      <c r="R651" s="566"/>
      <c r="S651" s="566"/>
      <c r="T651" s="684"/>
      <c r="U651" s="684"/>
    </row>
    <row r="652" spans="1:21" ht="18.75" hidden="1" x14ac:dyDescent="0.25">
      <c r="A652" s="764"/>
      <c r="B652" s="718"/>
      <c r="C652" s="718"/>
      <c r="D652" s="573" t="s">
        <v>237</v>
      </c>
      <c r="E652" s="561"/>
      <c r="F652" s="561"/>
      <c r="G652" s="563"/>
      <c r="H652" s="686" t="s">
        <v>46</v>
      </c>
      <c r="I652" s="1084">
        <f ca="1">IFERROR(__xludf.DUMMYFUNCTION("IMPORTRANGE(""https://docs.google.com/spreadsheets/d/1eHaY18a8A9IcSdp1K8H6x8fbOy06t2VsZHhMHf-1x7Y/edit?usp=sharing"",""แผน!IF17"")"),0)</f>
        <v>0</v>
      </c>
      <c r="J652" s="708">
        <f ca="1">IFERROR(__xludf.DUMMYFUNCTION("IMPORTRANGE(""https://docs.google.com/spreadsheets/d/1tdoBKaGub7dwA3U6UFTqxio9LNnvDCQjHKmttSEBsFQ/edit?usp=sharing"",""จัดที่ดิน!AU17"")"),0)</f>
        <v>0</v>
      </c>
      <c r="K652" s="568">
        <f t="shared" ref="K652:K654" ca="1" si="406">IF(I652&gt;0,J652*100/I652,0)</f>
        <v>0</v>
      </c>
      <c r="L652" s="574"/>
      <c r="M652" s="566"/>
      <c r="N652" s="1085"/>
      <c r="O652" s="566"/>
      <c r="P652" s="566"/>
      <c r="Q652" s="566"/>
      <c r="R652" s="566"/>
      <c r="S652" s="1085"/>
      <c r="T652" s="566"/>
      <c r="U652" s="566"/>
    </row>
    <row r="653" spans="1:21" ht="18.75" hidden="1" x14ac:dyDescent="0.25">
      <c r="A653" s="764"/>
      <c r="B653" s="718"/>
      <c r="C653" s="718"/>
      <c r="D653" s="573" t="s">
        <v>238</v>
      </c>
      <c r="E653" s="561"/>
      <c r="F653" s="561"/>
      <c r="G653" s="563"/>
      <c r="H653" s="686" t="s">
        <v>35</v>
      </c>
      <c r="I653" s="1084">
        <f ca="1">IFERROR(__xludf.DUMMYFUNCTION("IMPORTRANGE(""https://docs.google.com/spreadsheets/d/1eHaY18a8A9IcSdp1K8H6x8fbOy06t2VsZHhMHf-1x7Y/edit?usp=sharing"",""แผน!IG17"")"),0)</f>
        <v>0</v>
      </c>
      <c r="J653" s="708">
        <f ca="1">IFERROR(__xludf.DUMMYFUNCTION("IMPORTRANGE(""https://docs.google.com/spreadsheets/d/1tdoBKaGub7dwA3U6UFTqxio9LNnvDCQjHKmttSEBsFQ/edit?usp=sharing"",""จัดที่ดิน!AW17"")"),0)</f>
        <v>0</v>
      </c>
      <c r="K653" s="568">
        <f t="shared" ca="1" si="406"/>
        <v>0</v>
      </c>
      <c r="L653" s="574"/>
      <c r="M653" s="566"/>
      <c r="N653" s="1085"/>
      <c r="O653" s="566"/>
      <c r="P653" s="566"/>
      <c r="Q653" s="566"/>
      <c r="R653" s="566"/>
      <c r="S653" s="1085"/>
      <c r="T653" s="566"/>
      <c r="U653" s="566"/>
    </row>
    <row r="654" spans="1:21" ht="19.5" hidden="1" x14ac:dyDescent="0.3">
      <c r="A654" s="764"/>
      <c r="B654" s="718"/>
      <c r="C654" s="718"/>
      <c r="D654" s="573" t="s">
        <v>239</v>
      </c>
      <c r="E654" s="561"/>
      <c r="F654" s="561"/>
      <c r="G654" s="563"/>
      <c r="H654" s="1080" t="s">
        <v>46</v>
      </c>
      <c r="I654" s="1086">
        <f ca="1">IFERROR(__xludf.DUMMYFUNCTION("IMPORTRANGE(""https://docs.google.com/spreadsheets/d/1eHaY18a8A9IcSdp1K8H6x8fbOy06t2VsZHhMHf-1x7Y/edit?usp=sharing"",""แผน!IH17"")"),0)</f>
        <v>0</v>
      </c>
      <c r="J654" s="697">
        <f>J657+J660</f>
        <v>0</v>
      </c>
      <c r="K654" s="679">
        <f t="shared" ca="1" si="406"/>
        <v>0</v>
      </c>
      <c r="L654" s="574"/>
      <c r="M654" s="566"/>
      <c r="N654" s="1085"/>
      <c r="O654" s="566"/>
      <c r="P654" s="566"/>
      <c r="Q654" s="566"/>
      <c r="R654" s="566"/>
      <c r="S654" s="1085"/>
      <c r="T654" s="566"/>
      <c r="U654" s="566"/>
    </row>
    <row r="655" spans="1:21" ht="18.75" hidden="1" x14ac:dyDescent="0.25">
      <c r="A655" s="764"/>
      <c r="B655" s="718"/>
      <c r="C655" s="718"/>
      <c r="D655" s="561"/>
      <c r="E655" s="573" t="s">
        <v>240</v>
      </c>
      <c r="F655" s="561"/>
      <c r="G655" s="563"/>
      <c r="H655" s="686" t="s">
        <v>35</v>
      </c>
      <c r="I655" s="727"/>
      <c r="J655" s="702">
        <v>0</v>
      </c>
      <c r="K655" s="566"/>
      <c r="L655" s="574"/>
      <c r="M655" s="566"/>
      <c r="N655" s="1085"/>
      <c r="O655" s="566"/>
      <c r="P655" s="566"/>
      <c r="Q655" s="566"/>
      <c r="R655" s="566"/>
      <c r="S655" s="1085"/>
      <c r="T655" s="566"/>
      <c r="U655" s="566"/>
    </row>
    <row r="656" spans="1:21" ht="18.75" hidden="1" x14ac:dyDescent="0.25">
      <c r="A656" s="764"/>
      <c r="B656" s="718"/>
      <c r="C656" s="718"/>
      <c r="D656" s="561"/>
      <c r="E656" s="561"/>
      <c r="F656" s="561"/>
      <c r="G656" s="563"/>
      <c r="H656" s="686" t="s">
        <v>34</v>
      </c>
      <c r="I656" s="727"/>
      <c r="J656" s="702">
        <v>0</v>
      </c>
      <c r="K656" s="566"/>
      <c r="L656" s="574"/>
      <c r="M656" s="566"/>
      <c r="N656" s="1085"/>
      <c r="O656" s="566"/>
      <c r="P656" s="566"/>
      <c r="Q656" s="566"/>
      <c r="R656" s="566"/>
      <c r="S656" s="1085"/>
      <c r="T656" s="566"/>
      <c r="U656" s="566"/>
    </row>
    <row r="657" spans="1:21" ht="18.75" hidden="1" x14ac:dyDescent="0.25">
      <c r="A657" s="764"/>
      <c r="B657" s="718"/>
      <c r="C657" s="718"/>
      <c r="D657" s="561"/>
      <c r="E657" s="561"/>
      <c r="F657" s="561"/>
      <c r="G657" s="563"/>
      <c r="H657" s="686" t="s">
        <v>46</v>
      </c>
      <c r="I657" s="1084">
        <f ca="1">IFERROR(__xludf.DUMMYFUNCTION("IMPORTRANGE(""https://docs.google.com/spreadsheets/d/1eHaY18a8A9IcSdp1K8H6x8fbOy06t2VsZHhMHf-1x7Y/edit?usp=sharing"",""แผน!II17"")"),0)</f>
        <v>0</v>
      </c>
      <c r="J657" s="702">
        <v>0</v>
      </c>
      <c r="K657" s="566"/>
      <c r="L657" s="574"/>
      <c r="M657" s="566"/>
      <c r="N657" s="1085"/>
      <c r="O657" s="566"/>
      <c r="P657" s="566"/>
      <c r="Q657" s="566"/>
      <c r="R657" s="566"/>
      <c r="S657" s="1085"/>
      <c r="T657" s="566"/>
      <c r="U657" s="566"/>
    </row>
    <row r="658" spans="1:21" ht="18.75" hidden="1" x14ac:dyDescent="0.25">
      <c r="A658" s="764"/>
      <c r="B658" s="718"/>
      <c r="C658" s="718"/>
      <c r="D658" s="561"/>
      <c r="E658" s="573" t="s">
        <v>241</v>
      </c>
      <c r="F658" s="561"/>
      <c r="G658" s="563"/>
      <c r="H658" s="686" t="s">
        <v>35</v>
      </c>
      <c r="I658" s="727"/>
      <c r="J658" s="702">
        <v>0</v>
      </c>
      <c r="K658" s="566"/>
      <c r="L658" s="574"/>
      <c r="M658" s="566"/>
      <c r="N658" s="1085"/>
      <c r="O658" s="566"/>
      <c r="P658" s="566"/>
      <c r="Q658" s="566"/>
      <c r="R658" s="566"/>
      <c r="S658" s="1085"/>
      <c r="T658" s="566"/>
      <c r="U658" s="566"/>
    </row>
    <row r="659" spans="1:21" ht="18.75" hidden="1" x14ac:dyDescent="0.25">
      <c r="A659" s="764"/>
      <c r="B659" s="718"/>
      <c r="C659" s="718"/>
      <c r="D659" s="561"/>
      <c r="E659" s="561"/>
      <c r="F659" s="561"/>
      <c r="G659" s="563"/>
      <c r="H659" s="686" t="s">
        <v>34</v>
      </c>
      <c r="I659" s="727"/>
      <c r="J659" s="702">
        <v>0</v>
      </c>
      <c r="K659" s="566"/>
      <c r="L659" s="574"/>
      <c r="M659" s="566"/>
      <c r="N659" s="1085"/>
      <c r="O659" s="566"/>
      <c r="P659" s="566"/>
      <c r="Q659" s="566"/>
      <c r="R659" s="566"/>
      <c r="S659" s="1085"/>
      <c r="T659" s="566"/>
      <c r="U659" s="566"/>
    </row>
    <row r="660" spans="1:21" ht="18.75" hidden="1" x14ac:dyDescent="0.25">
      <c r="A660" s="764"/>
      <c r="B660" s="718"/>
      <c r="C660" s="718"/>
      <c r="D660" s="561"/>
      <c r="E660" s="561"/>
      <c r="F660" s="561"/>
      <c r="G660" s="563"/>
      <c r="H660" s="686" t="s">
        <v>46</v>
      </c>
      <c r="I660" s="1084">
        <f ca="1">IFERROR(__xludf.DUMMYFUNCTION("IMPORTRANGE(""https://docs.google.com/spreadsheets/d/1eHaY18a8A9IcSdp1K8H6x8fbOy06t2VsZHhMHf-1x7Y/edit?usp=sharing"",""แผน!IJ17"")"),0)</f>
        <v>0</v>
      </c>
      <c r="J660" s="702">
        <v>0</v>
      </c>
      <c r="K660" s="566"/>
      <c r="L660" s="574"/>
      <c r="M660" s="566"/>
      <c r="N660" s="1085"/>
      <c r="O660" s="566"/>
      <c r="P660" s="566"/>
      <c r="Q660" s="566"/>
      <c r="R660" s="566"/>
      <c r="S660" s="1085"/>
      <c r="T660" s="566"/>
      <c r="U660" s="566"/>
    </row>
    <row r="661" spans="1:21" ht="19.5" hidden="1" x14ac:dyDescent="0.3">
      <c r="A661" s="764"/>
      <c r="B661" s="718"/>
      <c r="C661" s="718"/>
      <c r="D661" s="987" t="s">
        <v>242</v>
      </c>
      <c r="E661" s="561"/>
      <c r="F661" s="561"/>
      <c r="G661" s="563"/>
      <c r="H661" s="1080" t="s">
        <v>46</v>
      </c>
      <c r="I661" s="1086">
        <f ca="1">IFERROR(__xludf.DUMMYFUNCTION("IMPORTRANGE(""https://docs.google.com/spreadsheets/d/1eHaY18a8A9IcSdp1K8H6x8fbOy06t2VsZHhMHf-1x7Y/edit?usp=sharing"",""แผน!IK17"")"),0)</f>
        <v>0</v>
      </c>
      <c r="J661" s="697">
        <f>J667+J670</f>
        <v>0</v>
      </c>
      <c r="K661" s="679">
        <f ca="1">IF(I661&gt;0,J661*100/I661,0)</f>
        <v>0</v>
      </c>
      <c r="L661" s="574"/>
      <c r="M661" s="566"/>
      <c r="N661" s="1085"/>
      <c r="O661" s="566"/>
      <c r="P661" s="566"/>
      <c r="Q661" s="566"/>
      <c r="R661" s="566"/>
      <c r="S661" s="1085"/>
      <c r="T661" s="566"/>
      <c r="U661" s="566"/>
    </row>
    <row r="662" spans="1:21" ht="18.75" hidden="1" x14ac:dyDescent="0.25">
      <c r="A662" s="764"/>
      <c r="B662" s="718"/>
      <c r="C662" s="718"/>
      <c r="D662" s="561"/>
      <c r="E662" s="573" t="s">
        <v>243</v>
      </c>
      <c r="F662" s="561"/>
      <c r="G662" s="563"/>
      <c r="H662" s="686" t="s">
        <v>34</v>
      </c>
      <c r="I662" s="727"/>
      <c r="J662" s="702">
        <v>0</v>
      </c>
      <c r="K662" s="566"/>
      <c r="L662" s="1087"/>
      <c r="M662" s="566"/>
      <c r="N662" s="1085"/>
      <c r="O662" s="566"/>
      <c r="P662" s="566"/>
      <c r="Q662" s="1085"/>
      <c r="R662" s="566"/>
      <c r="S662" s="1085"/>
      <c r="T662" s="566"/>
      <c r="U662" s="566"/>
    </row>
    <row r="663" spans="1:21" ht="18.75" hidden="1" x14ac:dyDescent="0.25">
      <c r="A663" s="764"/>
      <c r="B663" s="718"/>
      <c r="C663" s="718"/>
      <c r="D663" s="561"/>
      <c r="E663" s="561"/>
      <c r="F663" s="561"/>
      <c r="G663" s="563"/>
      <c r="H663" s="686" t="s">
        <v>46</v>
      </c>
      <c r="I663" s="727"/>
      <c r="J663" s="702">
        <v>0</v>
      </c>
      <c r="K663" s="566"/>
      <c r="L663" s="1087"/>
      <c r="M663" s="566"/>
      <c r="N663" s="1085"/>
      <c r="O663" s="566"/>
      <c r="P663" s="566"/>
      <c r="Q663" s="1085"/>
      <c r="R663" s="566"/>
      <c r="S663" s="1085"/>
      <c r="T663" s="566"/>
      <c r="U663" s="566"/>
    </row>
    <row r="664" spans="1:21" ht="18.75" hidden="1" x14ac:dyDescent="0.25">
      <c r="A664" s="764"/>
      <c r="B664" s="718"/>
      <c r="C664" s="718"/>
      <c r="D664" s="561"/>
      <c r="E664" s="573" t="s">
        <v>244</v>
      </c>
      <c r="F664" s="561"/>
      <c r="G664" s="563"/>
      <c r="H664" s="725"/>
      <c r="I664" s="727"/>
      <c r="J664" s="565"/>
      <c r="K664" s="566"/>
      <c r="L664" s="1087"/>
      <c r="M664" s="566"/>
      <c r="N664" s="1085"/>
      <c r="O664" s="566"/>
      <c r="P664" s="566"/>
      <c r="Q664" s="1085"/>
      <c r="R664" s="566"/>
      <c r="S664" s="1085"/>
      <c r="T664" s="566"/>
      <c r="U664" s="566"/>
    </row>
    <row r="665" spans="1:21" ht="18.75" hidden="1" x14ac:dyDescent="0.25">
      <c r="A665" s="764"/>
      <c r="B665" s="718"/>
      <c r="C665" s="718"/>
      <c r="D665" s="561"/>
      <c r="E665" s="561"/>
      <c r="F665" s="573" t="s">
        <v>245</v>
      </c>
      <c r="G665" s="563"/>
      <c r="H665" s="686" t="s">
        <v>35</v>
      </c>
      <c r="I665" s="727"/>
      <c r="J665" s="702">
        <v>0</v>
      </c>
      <c r="K665" s="566"/>
      <c r="L665" s="1087"/>
      <c r="M665" s="566"/>
      <c r="N665" s="1085"/>
      <c r="O665" s="566"/>
      <c r="P665" s="566"/>
      <c r="Q665" s="1085"/>
      <c r="R665" s="566"/>
      <c r="S665" s="1085"/>
      <c r="T665" s="566"/>
      <c r="U665" s="566"/>
    </row>
    <row r="666" spans="1:21" ht="18.75" hidden="1" x14ac:dyDescent="0.25">
      <c r="A666" s="764"/>
      <c r="B666" s="718"/>
      <c r="C666" s="718"/>
      <c r="D666" s="561"/>
      <c r="E666" s="561"/>
      <c r="F666" s="561"/>
      <c r="G666" s="563"/>
      <c r="H666" s="686" t="s">
        <v>34</v>
      </c>
      <c r="I666" s="727"/>
      <c r="J666" s="702">
        <v>0</v>
      </c>
      <c r="K666" s="566"/>
      <c r="L666" s="1087"/>
      <c r="M666" s="566"/>
      <c r="N666" s="1085"/>
      <c r="O666" s="566"/>
      <c r="P666" s="566"/>
      <c r="Q666" s="1085"/>
      <c r="R666" s="566"/>
      <c r="S666" s="1085"/>
      <c r="T666" s="566"/>
      <c r="U666" s="566"/>
    </row>
    <row r="667" spans="1:21" ht="18.75" hidden="1" x14ac:dyDescent="0.25">
      <c r="A667" s="764"/>
      <c r="B667" s="718"/>
      <c r="C667" s="718"/>
      <c r="D667" s="561"/>
      <c r="E667" s="561"/>
      <c r="F667" s="561"/>
      <c r="G667" s="563"/>
      <c r="H667" s="686" t="s">
        <v>46</v>
      </c>
      <c r="I667" s="727"/>
      <c r="J667" s="702">
        <v>0</v>
      </c>
      <c r="K667" s="566"/>
      <c r="L667" s="1087"/>
      <c r="M667" s="566"/>
      <c r="N667" s="1085"/>
      <c r="O667" s="566"/>
      <c r="P667" s="566"/>
      <c r="Q667" s="1085"/>
      <c r="R667" s="566"/>
      <c r="S667" s="1085"/>
      <c r="T667" s="566"/>
      <c r="U667" s="566"/>
    </row>
    <row r="668" spans="1:21" ht="18.75" hidden="1" x14ac:dyDescent="0.25">
      <c r="A668" s="764"/>
      <c r="B668" s="718"/>
      <c r="C668" s="718"/>
      <c r="D668" s="561"/>
      <c r="E668" s="561"/>
      <c r="F668" s="573" t="s">
        <v>246</v>
      </c>
      <c r="G668" s="563"/>
      <c r="H668" s="686" t="s">
        <v>35</v>
      </c>
      <c r="I668" s="727"/>
      <c r="J668" s="702">
        <v>0</v>
      </c>
      <c r="K668" s="566"/>
      <c r="L668" s="1087"/>
      <c r="M668" s="566"/>
      <c r="N668" s="1085"/>
      <c r="O668" s="566"/>
      <c r="P668" s="566"/>
      <c r="Q668" s="1085"/>
      <c r="R668" s="566"/>
      <c r="S668" s="1085"/>
      <c r="T668" s="566"/>
      <c r="U668" s="566"/>
    </row>
    <row r="669" spans="1:21" ht="18.75" hidden="1" x14ac:dyDescent="0.25">
      <c r="A669" s="764"/>
      <c r="B669" s="718"/>
      <c r="C669" s="718"/>
      <c r="D669" s="561"/>
      <c r="E669" s="561"/>
      <c r="F669" s="561"/>
      <c r="G669" s="563"/>
      <c r="H669" s="686" t="s">
        <v>34</v>
      </c>
      <c r="I669" s="727"/>
      <c r="J669" s="702">
        <v>0</v>
      </c>
      <c r="K669" s="566"/>
      <c r="L669" s="1087"/>
      <c r="M669" s="566"/>
      <c r="N669" s="1085"/>
      <c r="O669" s="566"/>
      <c r="P669" s="566"/>
      <c r="Q669" s="1085"/>
      <c r="R669" s="566"/>
      <c r="S669" s="1085"/>
      <c r="T669" s="566"/>
      <c r="U669" s="566"/>
    </row>
    <row r="670" spans="1:21" ht="18.75" hidden="1" x14ac:dyDescent="0.25">
      <c r="A670" s="764"/>
      <c r="B670" s="718"/>
      <c r="C670" s="718"/>
      <c r="D670" s="561"/>
      <c r="E670" s="561"/>
      <c r="F670" s="561"/>
      <c r="G670" s="563"/>
      <c r="H670" s="686" t="s">
        <v>46</v>
      </c>
      <c r="I670" s="727"/>
      <c r="J670" s="702">
        <v>0</v>
      </c>
      <c r="K670" s="566"/>
      <c r="L670" s="1087"/>
      <c r="M670" s="566"/>
      <c r="N670" s="1085"/>
      <c r="O670" s="566"/>
      <c r="P670" s="566"/>
      <c r="Q670" s="1085"/>
      <c r="R670" s="566"/>
      <c r="S670" s="1085"/>
      <c r="T670" s="566"/>
      <c r="U670" s="566"/>
    </row>
    <row r="671" spans="1:21" ht="18.75" hidden="1" x14ac:dyDescent="0.25">
      <c r="A671" s="764"/>
      <c r="B671" s="718"/>
      <c r="C671" s="718"/>
      <c r="D671" s="573" t="s">
        <v>247</v>
      </c>
      <c r="E671" s="561"/>
      <c r="F671" s="561"/>
      <c r="G671" s="563"/>
      <c r="H671" s="686" t="s">
        <v>35</v>
      </c>
      <c r="I671" s="727"/>
      <c r="J671" s="708">
        <f ca="1">IFERROR(__xludf.DUMMYFUNCTION("IMPORTRANGE(""https://docs.google.com/spreadsheets/d/1tdoBKaGub7dwA3U6UFTqxio9LNnvDCQjHKmttSEBsFQ/edit?usp=sharing"",""จัดที่ดิน!AY17"")"),0)</f>
        <v>0</v>
      </c>
      <c r="K671" s="566"/>
      <c r="L671" s="574"/>
      <c r="M671" s="566"/>
      <c r="N671" s="1085"/>
      <c r="O671" s="566"/>
      <c r="P671" s="566"/>
      <c r="Q671" s="566"/>
      <c r="R671" s="566"/>
      <c r="S671" s="1085"/>
      <c r="T671" s="566"/>
      <c r="U671" s="566"/>
    </row>
    <row r="672" spans="1:21" ht="18.75" hidden="1" x14ac:dyDescent="0.25">
      <c r="A672" s="764"/>
      <c r="B672" s="718"/>
      <c r="C672" s="718"/>
      <c r="D672" s="561"/>
      <c r="E672" s="561"/>
      <c r="F672" s="561"/>
      <c r="G672" s="563"/>
      <c r="H672" s="686" t="s">
        <v>34</v>
      </c>
      <c r="I672" s="727"/>
      <c r="J672" s="708">
        <f ca="1">IFERROR(__xludf.DUMMYFUNCTION("IMPORTRANGE(""https://docs.google.com/spreadsheets/d/1tdoBKaGub7dwA3U6UFTqxio9LNnvDCQjHKmttSEBsFQ/edit?usp=sharing"",""จัดที่ดิน!AZ17"")"),0)</f>
        <v>0</v>
      </c>
      <c r="K672" s="566"/>
      <c r="L672" s="1087"/>
      <c r="M672" s="566"/>
      <c r="N672" s="1085"/>
      <c r="O672" s="566"/>
      <c r="P672" s="566"/>
      <c r="Q672" s="1085"/>
      <c r="R672" s="566"/>
      <c r="S672" s="1085"/>
      <c r="T672" s="566"/>
      <c r="U672" s="566"/>
    </row>
    <row r="673" spans="1:21" ht="18.75" hidden="1" x14ac:dyDescent="0.25">
      <c r="A673" s="764"/>
      <c r="B673" s="718"/>
      <c r="C673" s="718"/>
      <c r="D673" s="561"/>
      <c r="E673" s="561"/>
      <c r="F673" s="561"/>
      <c r="G673" s="563"/>
      <c r="H673" s="686" t="s">
        <v>46</v>
      </c>
      <c r="I673" s="1084">
        <f ca="1">IFERROR(__xludf.DUMMYFUNCTION("IMPORTRANGE(""https://docs.google.com/spreadsheets/d/1eHaY18a8A9IcSdp1K8H6x8fbOy06t2VsZHhMHf-1x7Y/edit?usp=sharing"",""แผน!IL17"")"),0)</f>
        <v>0</v>
      </c>
      <c r="J673" s="708">
        <f ca="1">IFERROR(__xludf.DUMMYFUNCTION("IMPORTRANGE(""https://docs.google.com/spreadsheets/d/1tdoBKaGub7dwA3U6UFTqxio9LNnvDCQjHKmttSEBsFQ/edit?usp=sharing"",""จัดที่ดิน!BA17"")"),0)</f>
        <v>0</v>
      </c>
      <c r="K673" s="568">
        <f t="shared" ref="K673:K676" ca="1" si="407">IF(I673&gt;0,J673*100/I673,0)</f>
        <v>0</v>
      </c>
      <c r="L673" s="1087"/>
      <c r="M673" s="566"/>
      <c r="N673" s="1085"/>
      <c r="O673" s="566"/>
      <c r="P673" s="566"/>
      <c r="Q673" s="1085"/>
      <c r="R673" s="566"/>
      <c r="S673" s="1085"/>
      <c r="T673" s="566"/>
      <c r="U673" s="566"/>
    </row>
    <row r="674" spans="1:21" ht="19.5" hidden="1" x14ac:dyDescent="0.3">
      <c r="A674" s="764"/>
      <c r="B674" s="718"/>
      <c r="C674" s="718"/>
      <c r="D674" s="573" t="s">
        <v>248</v>
      </c>
      <c r="E674" s="561"/>
      <c r="F674" s="561"/>
      <c r="G674" s="563"/>
      <c r="H674" s="1080" t="s">
        <v>35</v>
      </c>
      <c r="I674" s="1086">
        <f ca="1">IFERROR(__xludf.DUMMYFUNCTION("IMPORTRANGE(""https://docs.google.com/spreadsheets/d/1eHaY18a8A9IcSdp1K8H6x8fbOy06t2VsZHhMHf-1x7Y/edit?usp=sharing"",""แผน!IM17"")"),0)</f>
        <v>0</v>
      </c>
      <c r="J674" s="697">
        <f ca="1">J676+J679</f>
        <v>0</v>
      </c>
      <c r="K674" s="679">
        <f t="shared" ca="1" si="407"/>
        <v>0</v>
      </c>
      <c r="L674" s="1087"/>
      <c r="M674" s="566"/>
      <c r="N674" s="1085"/>
      <c r="O674" s="566"/>
      <c r="P674" s="566"/>
      <c r="Q674" s="1085"/>
      <c r="R674" s="566"/>
      <c r="S674" s="1085"/>
      <c r="T674" s="566"/>
      <c r="U674" s="566"/>
    </row>
    <row r="675" spans="1:21" ht="19.5" hidden="1" x14ac:dyDescent="0.3">
      <c r="A675" s="764"/>
      <c r="B675" s="718"/>
      <c r="C675" s="718"/>
      <c r="D675" s="561"/>
      <c r="E675" s="561"/>
      <c r="F675" s="561"/>
      <c r="G675" s="563"/>
      <c r="H675" s="1080" t="s">
        <v>46</v>
      </c>
      <c r="I675" s="1086">
        <f ca="1">IFERROR(__xludf.DUMMYFUNCTION("IMPORTRANGE(""https://docs.google.com/spreadsheets/d/1eHaY18a8A9IcSdp1K8H6x8fbOy06t2VsZHhMHf-1x7Y/edit?usp=sharing"",""แผน!IN17"")"),0)</f>
        <v>0</v>
      </c>
      <c r="J675" s="697">
        <f ca="1">J678+J681</f>
        <v>0</v>
      </c>
      <c r="K675" s="679">
        <f t="shared" ca="1" si="407"/>
        <v>0</v>
      </c>
      <c r="L675" s="574"/>
      <c r="M675" s="566"/>
      <c r="N675" s="1085"/>
      <c r="O675" s="566"/>
      <c r="P675" s="566"/>
      <c r="Q675" s="566"/>
      <c r="R675" s="566"/>
      <c r="S675" s="1085"/>
      <c r="T675" s="566"/>
      <c r="U675" s="566"/>
    </row>
    <row r="676" spans="1:21" ht="18.75" hidden="1" x14ac:dyDescent="0.25">
      <c r="A676" s="764"/>
      <c r="B676" s="718"/>
      <c r="C676" s="718"/>
      <c r="D676" s="561"/>
      <c r="E676" s="573" t="s">
        <v>249</v>
      </c>
      <c r="F676" s="561"/>
      <c r="G676" s="563"/>
      <c r="H676" s="686" t="s">
        <v>35</v>
      </c>
      <c r="I676" s="1084">
        <f ca="1">IFERROR(__xludf.DUMMYFUNCTION("IMPORTRANGE(""https://docs.google.com/spreadsheets/d/1eHaY18a8A9IcSdp1K8H6x8fbOy06t2VsZHhMHf-1x7Y/edit?usp=sharing"",""แผน!IO17"")"),0)</f>
        <v>0</v>
      </c>
      <c r="J676" s="708">
        <f ca="1">IFERROR(__xludf.DUMMYFUNCTION("IMPORTRANGE(""https://docs.google.com/spreadsheets/d/1tdoBKaGub7dwA3U6UFTqxio9LNnvDCQjHKmttSEBsFQ/edit?usp=sharing"",""จัดที่ดิน!BF17"")"),0)</f>
        <v>0</v>
      </c>
      <c r="K676" s="568">
        <f t="shared" ca="1" si="407"/>
        <v>0</v>
      </c>
      <c r="L676" s="574"/>
      <c r="M676" s="566"/>
      <c r="N676" s="1085"/>
      <c r="O676" s="566"/>
      <c r="P676" s="566"/>
      <c r="Q676" s="566"/>
      <c r="R676" s="566"/>
      <c r="S676" s="1085"/>
      <c r="T676" s="566"/>
      <c r="U676" s="566"/>
    </row>
    <row r="677" spans="1:21" ht="18.75" hidden="1" x14ac:dyDescent="0.25">
      <c r="A677" s="764"/>
      <c r="B677" s="718"/>
      <c r="C677" s="718"/>
      <c r="D677" s="561"/>
      <c r="E677" s="561"/>
      <c r="F677" s="561"/>
      <c r="G677" s="563"/>
      <c r="H677" s="686" t="s">
        <v>34</v>
      </c>
      <c r="I677" s="727"/>
      <c r="J677" s="708">
        <f ca="1">IFERROR(__xludf.DUMMYFUNCTION("IMPORTRANGE(""https://docs.google.com/spreadsheets/d/1tdoBKaGub7dwA3U6UFTqxio9LNnvDCQjHKmttSEBsFQ/edit?usp=sharing"",""จัดที่ดิน!BG17"")"),0)</f>
        <v>0</v>
      </c>
      <c r="K677" s="566"/>
      <c r="L677" s="1087"/>
      <c r="M677" s="566"/>
      <c r="N677" s="1085"/>
      <c r="O677" s="566"/>
      <c r="P677" s="566"/>
      <c r="Q677" s="1085"/>
      <c r="R677" s="566"/>
      <c r="S677" s="1085"/>
      <c r="T677" s="566"/>
      <c r="U677" s="566"/>
    </row>
    <row r="678" spans="1:21" ht="18.75" hidden="1" x14ac:dyDescent="0.25">
      <c r="A678" s="764"/>
      <c r="B678" s="718"/>
      <c r="C678" s="718"/>
      <c r="D678" s="561"/>
      <c r="E678" s="561"/>
      <c r="F678" s="561"/>
      <c r="G678" s="563"/>
      <c r="H678" s="686" t="s">
        <v>46</v>
      </c>
      <c r="I678" s="1084">
        <f ca="1">IFERROR(__xludf.DUMMYFUNCTION("IMPORTRANGE(""https://docs.google.com/spreadsheets/d/1eHaY18a8A9IcSdp1K8H6x8fbOy06t2VsZHhMHf-1x7Y/edit?usp=sharing"",""แผน!IP17"")"),0)</f>
        <v>0</v>
      </c>
      <c r="J678" s="708">
        <f ca="1">IFERROR(__xludf.DUMMYFUNCTION("IMPORTRANGE(""https://docs.google.com/spreadsheets/d/1tdoBKaGub7dwA3U6UFTqxio9LNnvDCQjHKmttSEBsFQ/edit?usp=sharing"",""จัดที่ดิน!BH17"")"),0)</f>
        <v>0</v>
      </c>
      <c r="K678" s="568">
        <f t="shared" ref="K678:K679" ca="1" si="408">IF(I678&gt;0,J678*100/I678,0)</f>
        <v>0</v>
      </c>
      <c r="L678" s="1087"/>
      <c r="M678" s="566"/>
      <c r="N678" s="1085"/>
      <c r="O678" s="566"/>
      <c r="P678" s="566"/>
      <c r="Q678" s="1085"/>
      <c r="R678" s="566"/>
      <c r="S678" s="1085"/>
      <c r="T678" s="566"/>
      <c r="U678" s="566"/>
    </row>
    <row r="679" spans="1:21" ht="18.75" hidden="1" x14ac:dyDescent="0.25">
      <c r="A679" s="764"/>
      <c r="B679" s="718"/>
      <c r="C679" s="718"/>
      <c r="D679" s="561"/>
      <c r="E679" s="573" t="s">
        <v>250</v>
      </c>
      <c r="F679" s="561"/>
      <c r="G679" s="563"/>
      <c r="H679" s="686" t="s">
        <v>35</v>
      </c>
      <c r="I679" s="1084">
        <f ca="1">IFERROR(__xludf.DUMMYFUNCTION("IMPORTRANGE(""https://docs.google.com/spreadsheets/d/1eHaY18a8A9IcSdp1K8H6x8fbOy06t2VsZHhMHf-1x7Y/edit?usp=sharing"",""แผน!IQ17"")"),0)</f>
        <v>0</v>
      </c>
      <c r="J679" s="708">
        <f ca="1">IFERROR(__xludf.DUMMYFUNCTION("IMPORTRANGE(""https://docs.google.com/spreadsheets/d/1tdoBKaGub7dwA3U6UFTqxio9LNnvDCQjHKmttSEBsFQ/edit?usp=sharing"",""จัดที่ดิน!BK17"")"),0)</f>
        <v>0</v>
      </c>
      <c r="K679" s="568">
        <f t="shared" ca="1" si="408"/>
        <v>0</v>
      </c>
      <c r="L679" s="574"/>
      <c r="M679" s="566"/>
      <c r="N679" s="1085"/>
      <c r="O679" s="566"/>
      <c r="P679" s="566"/>
      <c r="Q679" s="566"/>
      <c r="R679" s="566"/>
      <c r="S679" s="1085"/>
      <c r="T679" s="566"/>
      <c r="U679" s="566"/>
    </row>
    <row r="680" spans="1:21" ht="18.75" hidden="1" x14ac:dyDescent="0.25">
      <c r="A680" s="764"/>
      <c r="B680" s="718"/>
      <c r="C680" s="718"/>
      <c r="D680" s="561"/>
      <c r="E680" s="561"/>
      <c r="F680" s="561"/>
      <c r="G680" s="563"/>
      <c r="H680" s="686" t="s">
        <v>34</v>
      </c>
      <c r="I680" s="727"/>
      <c r="J680" s="708">
        <f ca="1">IFERROR(__xludf.DUMMYFUNCTION("IMPORTRANGE(""https://docs.google.com/spreadsheets/d/1tdoBKaGub7dwA3U6UFTqxio9LNnvDCQjHKmttSEBsFQ/edit?usp=sharing"",""จัดที่ดิน!BL17"")"),0)</f>
        <v>0</v>
      </c>
      <c r="K680" s="566"/>
      <c r="L680" s="1087"/>
      <c r="M680" s="566"/>
      <c r="N680" s="1085"/>
      <c r="O680" s="566"/>
      <c r="P680" s="566"/>
      <c r="Q680" s="1085"/>
      <c r="R680" s="566"/>
      <c r="S680" s="1085"/>
      <c r="T680" s="566"/>
      <c r="U680" s="566"/>
    </row>
    <row r="681" spans="1:21" ht="18.75" hidden="1" x14ac:dyDescent="0.25">
      <c r="A681" s="764"/>
      <c r="B681" s="718"/>
      <c r="C681" s="718"/>
      <c r="D681" s="561"/>
      <c r="E681" s="561"/>
      <c r="F681" s="561"/>
      <c r="G681" s="563"/>
      <c r="H681" s="686" t="s">
        <v>46</v>
      </c>
      <c r="I681" s="1084">
        <f ca="1">IFERROR(__xludf.DUMMYFUNCTION("IMPORTRANGE(""https://docs.google.com/spreadsheets/d/1eHaY18a8A9IcSdp1K8H6x8fbOy06t2VsZHhMHf-1x7Y/edit?usp=sharing"",""แผน!IR17"")"),0)</f>
        <v>0</v>
      </c>
      <c r="J681" s="708">
        <f ca="1">IFERROR(__xludf.DUMMYFUNCTION("IMPORTRANGE(""https://docs.google.com/spreadsheets/d/1tdoBKaGub7dwA3U6UFTqxio9LNnvDCQjHKmttSEBsFQ/edit?usp=sharing"",""จัดที่ดิน!BM17"")"),0)</f>
        <v>0</v>
      </c>
      <c r="K681" s="568">
        <f t="shared" ref="K681:K682" ca="1" si="409">IF(I681&gt;0,J681*100/I681,0)</f>
        <v>0</v>
      </c>
      <c r="L681" s="1087"/>
      <c r="M681" s="566"/>
      <c r="N681" s="1085"/>
      <c r="O681" s="566"/>
      <c r="P681" s="566"/>
      <c r="Q681" s="1085"/>
      <c r="R681" s="566"/>
      <c r="S681" s="1085"/>
      <c r="T681" s="566"/>
      <c r="U681" s="566"/>
    </row>
    <row r="682" spans="1:21" ht="19.5" hidden="1" x14ac:dyDescent="0.3">
      <c r="A682" s="764"/>
      <c r="B682" s="718"/>
      <c r="C682" s="718"/>
      <c r="D682" s="573" t="s">
        <v>251</v>
      </c>
      <c r="E682" s="561"/>
      <c r="F682" s="561"/>
      <c r="G682" s="563"/>
      <c r="H682" s="1080" t="s">
        <v>46</v>
      </c>
      <c r="I682" s="1086">
        <f ca="1">IFERROR(__xludf.DUMMYFUNCTION("IMPORTRANGE(""https://docs.google.com/spreadsheets/d/1eHaY18a8A9IcSdp1K8H6x8fbOy06t2VsZHhMHf-1x7Y/edit?usp=sharing"",""แผน!IS17"")"),0)</f>
        <v>0</v>
      </c>
      <c r="J682" s="697">
        <f>J685+J688</f>
        <v>0</v>
      </c>
      <c r="K682" s="679">
        <f t="shared" ca="1" si="409"/>
        <v>0</v>
      </c>
      <c r="L682" s="574"/>
      <c r="M682" s="566"/>
      <c r="N682" s="1085"/>
      <c r="O682" s="566"/>
      <c r="P682" s="566"/>
      <c r="Q682" s="566"/>
      <c r="R682" s="566"/>
      <c r="S682" s="1085"/>
      <c r="T682" s="566"/>
      <c r="U682" s="566"/>
    </row>
    <row r="683" spans="1:21" ht="18.75" hidden="1" x14ac:dyDescent="0.25">
      <c r="A683" s="764"/>
      <c r="B683" s="718"/>
      <c r="C683" s="718"/>
      <c r="D683" s="561"/>
      <c r="E683" s="573" t="s">
        <v>252</v>
      </c>
      <c r="F683" s="561"/>
      <c r="G683" s="563"/>
      <c r="H683" s="686" t="s">
        <v>35</v>
      </c>
      <c r="I683" s="727"/>
      <c r="J683" s="702">
        <v>0</v>
      </c>
      <c r="K683" s="566"/>
      <c r="L683" s="1087"/>
      <c r="M683" s="566"/>
      <c r="N683" s="1085"/>
      <c r="O683" s="566"/>
      <c r="P683" s="566"/>
      <c r="Q683" s="1085"/>
      <c r="R683" s="566"/>
      <c r="S683" s="1085"/>
      <c r="T683" s="566"/>
      <c r="U683" s="566"/>
    </row>
    <row r="684" spans="1:21" ht="18.75" hidden="1" x14ac:dyDescent="0.25">
      <c r="A684" s="764"/>
      <c r="B684" s="718"/>
      <c r="C684" s="718"/>
      <c r="D684" s="561"/>
      <c r="E684" s="561"/>
      <c r="F684" s="561"/>
      <c r="G684" s="563"/>
      <c r="H684" s="686" t="s">
        <v>34</v>
      </c>
      <c r="I684" s="727"/>
      <c r="J684" s="702">
        <v>0</v>
      </c>
      <c r="K684" s="566"/>
      <c r="L684" s="1087"/>
      <c r="M684" s="566"/>
      <c r="N684" s="1085"/>
      <c r="O684" s="566"/>
      <c r="P684" s="566"/>
      <c r="Q684" s="1085"/>
      <c r="R684" s="566"/>
      <c r="S684" s="1085"/>
      <c r="T684" s="566"/>
      <c r="U684" s="566"/>
    </row>
    <row r="685" spans="1:21" ht="18.75" hidden="1" x14ac:dyDescent="0.25">
      <c r="A685" s="764"/>
      <c r="B685" s="718"/>
      <c r="C685" s="718"/>
      <c r="D685" s="561"/>
      <c r="E685" s="561"/>
      <c r="F685" s="561"/>
      <c r="G685" s="563"/>
      <c r="H685" s="686" t="s">
        <v>46</v>
      </c>
      <c r="I685" s="727"/>
      <c r="J685" s="702">
        <v>0</v>
      </c>
      <c r="K685" s="566"/>
      <c r="L685" s="1087"/>
      <c r="M685" s="566"/>
      <c r="N685" s="1085"/>
      <c r="O685" s="566"/>
      <c r="P685" s="566"/>
      <c r="Q685" s="1085"/>
      <c r="R685" s="566"/>
      <c r="S685" s="1085"/>
      <c r="T685" s="566"/>
      <c r="U685" s="566"/>
    </row>
    <row r="686" spans="1:21" ht="18.75" hidden="1" x14ac:dyDescent="0.25">
      <c r="A686" s="764"/>
      <c r="B686" s="718"/>
      <c r="C686" s="718"/>
      <c r="D686" s="561"/>
      <c r="E686" s="573" t="s">
        <v>253</v>
      </c>
      <c r="F686" s="561"/>
      <c r="G686" s="563"/>
      <c r="H686" s="686" t="s">
        <v>35</v>
      </c>
      <c r="I686" s="727"/>
      <c r="J686" s="702">
        <v>0</v>
      </c>
      <c r="K686" s="566"/>
      <c r="L686" s="1087"/>
      <c r="M686" s="566"/>
      <c r="N686" s="1085"/>
      <c r="O686" s="566"/>
      <c r="P686" s="566"/>
      <c r="Q686" s="1085"/>
      <c r="R686" s="566"/>
      <c r="S686" s="1085"/>
      <c r="T686" s="566"/>
      <c r="U686" s="566"/>
    </row>
    <row r="687" spans="1:21" ht="18.75" hidden="1" x14ac:dyDescent="0.25">
      <c r="A687" s="764"/>
      <c r="B687" s="718"/>
      <c r="C687" s="718"/>
      <c r="D687" s="561"/>
      <c r="E687" s="561"/>
      <c r="F687" s="561"/>
      <c r="G687" s="563"/>
      <c r="H687" s="686" t="s">
        <v>34</v>
      </c>
      <c r="I687" s="727"/>
      <c r="J687" s="702">
        <v>0</v>
      </c>
      <c r="K687" s="566"/>
      <c r="L687" s="1087"/>
      <c r="M687" s="566"/>
      <c r="N687" s="1085"/>
      <c r="O687" s="566"/>
      <c r="P687" s="566"/>
      <c r="Q687" s="1085"/>
      <c r="R687" s="566"/>
      <c r="S687" s="1085"/>
      <c r="T687" s="566"/>
      <c r="U687" s="566"/>
    </row>
    <row r="688" spans="1:21" ht="19.5" hidden="1" x14ac:dyDescent="0.3">
      <c r="A688" s="863"/>
      <c r="B688" s="1088" t="s">
        <v>254</v>
      </c>
      <c r="C688" s="864"/>
      <c r="D688" s="512"/>
      <c r="E688" s="512"/>
      <c r="F688" s="512"/>
      <c r="G688" s="866"/>
      <c r="H688" s="1089" t="s">
        <v>46</v>
      </c>
      <c r="I688" s="985"/>
      <c r="J688" s="990">
        <v>0</v>
      </c>
      <c r="K688" s="580"/>
      <c r="L688" s="1090"/>
      <c r="M688" s="580"/>
      <c r="N688" s="1091"/>
      <c r="O688" s="580"/>
      <c r="P688" s="580"/>
      <c r="Q688" s="1091"/>
      <c r="R688" s="580"/>
      <c r="S688" s="1091"/>
      <c r="T688" s="580"/>
      <c r="U688" s="580"/>
    </row>
    <row r="689" spans="1:21" ht="19.5" x14ac:dyDescent="0.3">
      <c r="A689" s="1061"/>
      <c r="B689" s="1062" t="s">
        <v>255</v>
      </c>
      <c r="C689" s="1061"/>
      <c r="D689" s="1063"/>
      <c r="E689" s="1063"/>
      <c r="F689" s="1063"/>
      <c r="G689" s="1064"/>
      <c r="H689" s="1092" t="s">
        <v>35</v>
      </c>
      <c r="I689" s="1093">
        <f t="shared" ref="I689:J689" ca="1" si="410">I707</f>
        <v>15</v>
      </c>
      <c r="J689" s="1093">
        <f t="shared" ca="1" si="410"/>
        <v>0</v>
      </c>
      <c r="K689" s="1094">
        <f ca="1">IF(I689&gt;0,J689*100/I689,0)</f>
        <v>0</v>
      </c>
      <c r="L689" s="1068"/>
      <c r="M689" s="1067"/>
      <c r="N689" s="1067"/>
      <c r="O689" s="1067"/>
      <c r="P689" s="1067"/>
      <c r="Q689" s="1067"/>
      <c r="R689" s="1067"/>
      <c r="S689" s="1067"/>
      <c r="T689" s="1067"/>
      <c r="U689" s="1067"/>
    </row>
    <row r="690" spans="1:21" ht="19.5" x14ac:dyDescent="0.3">
      <c r="A690" s="674"/>
      <c r="B690" s="718"/>
      <c r="C690" s="724" t="s">
        <v>18</v>
      </c>
      <c r="D690" s="1310" t="s">
        <v>19</v>
      </c>
      <c r="E690" s="1311"/>
      <c r="F690" s="1311"/>
      <c r="G690" s="1312"/>
      <c r="H690" s="780" t="s">
        <v>14</v>
      </c>
      <c r="I690" s="565"/>
      <c r="J690" s="565"/>
      <c r="K690" s="566"/>
      <c r="L690" s="678">
        <f t="shared" ref="L690:N690" si="411">L691+L692</f>
        <v>0</v>
      </c>
      <c r="M690" s="679">
        <f t="shared" si="411"/>
        <v>0</v>
      </c>
      <c r="N690" s="679">
        <f t="shared" si="411"/>
        <v>0</v>
      </c>
      <c r="O690" s="679">
        <f t="shared" ref="O690:O698" si="412">IF(L690&gt;0,N690*100/L690,0)</f>
        <v>0</v>
      </c>
      <c r="P690" s="679">
        <f t="shared" ref="P690:P698" si="413">IF(M690&gt;0,N690*100/M690,0)</f>
        <v>0</v>
      </c>
      <c r="Q690" s="679">
        <f t="shared" ref="Q690:S690" ca="1" si="414">Q691+Q692</f>
        <v>82240</v>
      </c>
      <c r="R690" s="679">
        <f t="shared" ca="1" si="414"/>
        <v>82240</v>
      </c>
      <c r="S690" s="679">
        <f t="shared" ca="1" si="414"/>
        <v>13120</v>
      </c>
      <c r="T690" s="679">
        <f t="shared" ref="T690:T698" ca="1" si="415">IF(Q690&gt;0,S690*100/Q690,0)</f>
        <v>15.953307392996109</v>
      </c>
      <c r="U690" s="679">
        <f t="shared" ref="U690:U698" ca="1" si="416">IF(R690&gt;0,S690*100/R690,0)</f>
        <v>15.953307392996109</v>
      </c>
    </row>
    <row r="691" spans="1:21" ht="18.75" x14ac:dyDescent="0.25">
      <c r="A691" s="674"/>
      <c r="B691" s="718"/>
      <c r="C691" s="718"/>
      <c r="D691" s="695"/>
      <c r="E691" s="569" t="s">
        <v>158</v>
      </c>
      <c r="F691" s="561"/>
      <c r="G691" s="563"/>
      <c r="H691" s="685" t="s">
        <v>14</v>
      </c>
      <c r="I691" s="565"/>
      <c r="J691" s="565"/>
      <c r="K691" s="566"/>
      <c r="L691" s="571">
        <f t="shared" ref="L691:N692" si="417">L694+L697</f>
        <v>0</v>
      </c>
      <c r="M691" s="572">
        <f t="shared" si="417"/>
        <v>0</v>
      </c>
      <c r="N691" s="572">
        <f t="shared" si="417"/>
        <v>0</v>
      </c>
      <c r="O691" s="572">
        <f t="shared" si="412"/>
        <v>0</v>
      </c>
      <c r="P691" s="572">
        <f t="shared" si="413"/>
        <v>0</v>
      </c>
      <c r="Q691" s="572">
        <f t="shared" ref="Q691:S692" si="418">Q694+Q697</f>
        <v>0</v>
      </c>
      <c r="R691" s="572">
        <f t="shared" si="418"/>
        <v>0</v>
      </c>
      <c r="S691" s="572">
        <f t="shared" si="418"/>
        <v>0</v>
      </c>
      <c r="T691" s="572">
        <f t="shared" si="415"/>
        <v>0</v>
      </c>
      <c r="U691" s="572">
        <f t="shared" si="416"/>
        <v>0</v>
      </c>
    </row>
    <row r="692" spans="1:21" ht="18.75" x14ac:dyDescent="0.25">
      <c r="A692" s="674"/>
      <c r="B692" s="718"/>
      <c r="C692" s="718"/>
      <c r="D692" s="695"/>
      <c r="E692" s="573" t="s">
        <v>159</v>
      </c>
      <c r="F692" s="561"/>
      <c r="G692" s="563"/>
      <c r="H692" s="682" t="s">
        <v>14</v>
      </c>
      <c r="I692" s="565"/>
      <c r="J692" s="565"/>
      <c r="K692" s="566"/>
      <c r="L692" s="567">
        <f t="shared" si="417"/>
        <v>0</v>
      </c>
      <c r="M692" s="568">
        <f t="shared" si="417"/>
        <v>0</v>
      </c>
      <c r="N692" s="568">
        <f t="shared" si="417"/>
        <v>0</v>
      </c>
      <c r="O692" s="568">
        <f t="shared" si="412"/>
        <v>0</v>
      </c>
      <c r="P692" s="568">
        <f t="shared" si="413"/>
        <v>0</v>
      </c>
      <c r="Q692" s="568">
        <f t="shared" ca="1" si="418"/>
        <v>82240</v>
      </c>
      <c r="R692" s="568">
        <f t="shared" ca="1" si="418"/>
        <v>82240</v>
      </c>
      <c r="S692" s="568">
        <f t="shared" ca="1" si="418"/>
        <v>13120</v>
      </c>
      <c r="T692" s="568">
        <f t="shared" ca="1" si="415"/>
        <v>15.953307392996109</v>
      </c>
      <c r="U692" s="568">
        <f t="shared" ca="1" si="416"/>
        <v>15.953307392996109</v>
      </c>
    </row>
    <row r="693" spans="1:21" ht="18.75" x14ac:dyDescent="0.25">
      <c r="A693" s="674"/>
      <c r="B693" s="718"/>
      <c r="C693" s="718"/>
      <c r="D693" s="562" t="s">
        <v>22</v>
      </c>
      <c r="E693" s="561"/>
      <c r="F693" s="561"/>
      <c r="G693" s="563"/>
      <c r="H693" s="682" t="s">
        <v>14</v>
      </c>
      <c r="I693" s="683"/>
      <c r="J693" s="683"/>
      <c r="K693" s="684"/>
      <c r="L693" s="567">
        <f t="shared" ref="L693:N693" si="419">L694+L695</f>
        <v>0</v>
      </c>
      <c r="M693" s="568">
        <f t="shared" si="419"/>
        <v>0</v>
      </c>
      <c r="N693" s="568">
        <f t="shared" si="419"/>
        <v>0</v>
      </c>
      <c r="O693" s="568">
        <f t="shared" si="412"/>
        <v>0</v>
      </c>
      <c r="P693" s="568">
        <f t="shared" si="413"/>
        <v>0</v>
      </c>
      <c r="Q693" s="568">
        <f t="shared" ref="Q693:S693" ca="1" si="420">Q694+Q695</f>
        <v>82240</v>
      </c>
      <c r="R693" s="568">
        <f t="shared" ca="1" si="420"/>
        <v>82240</v>
      </c>
      <c r="S693" s="568">
        <f t="shared" ca="1" si="420"/>
        <v>13120</v>
      </c>
      <c r="T693" s="568">
        <f t="shared" ca="1" si="415"/>
        <v>15.953307392996109</v>
      </c>
      <c r="U693" s="568">
        <f t="shared" ca="1" si="416"/>
        <v>15.953307392996109</v>
      </c>
    </row>
    <row r="694" spans="1:21" ht="18.75" x14ac:dyDescent="0.25">
      <c r="A694" s="674"/>
      <c r="B694" s="718"/>
      <c r="C694" s="718"/>
      <c r="D694" s="695"/>
      <c r="E694" s="569" t="s">
        <v>158</v>
      </c>
      <c r="F694" s="561"/>
      <c r="G694" s="563"/>
      <c r="H694" s="685" t="s">
        <v>14</v>
      </c>
      <c r="I694" s="565"/>
      <c r="J694" s="565"/>
      <c r="K694" s="566"/>
      <c r="L694" s="571">
        <v>0</v>
      </c>
      <c r="M694" s="572">
        <v>0</v>
      </c>
      <c r="N694" s="572">
        <v>0</v>
      </c>
      <c r="O694" s="572">
        <f t="shared" si="412"/>
        <v>0</v>
      </c>
      <c r="P694" s="572">
        <f t="shared" si="413"/>
        <v>0</v>
      </c>
      <c r="Q694" s="572">
        <v>0</v>
      </c>
      <c r="R694" s="572">
        <v>0</v>
      </c>
      <c r="S694" s="572">
        <v>0</v>
      </c>
      <c r="T694" s="572">
        <f t="shared" si="415"/>
        <v>0</v>
      </c>
      <c r="U694" s="572">
        <f t="shared" si="416"/>
        <v>0</v>
      </c>
    </row>
    <row r="695" spans="1:21" ht="18.75" x14ac:dyDescent="0.25">
      <c r="A695" s="674"/>
      <c r="B695" s="718"/>
      <c r="C695" s="718"/>
      <c r="D695" s="695"/>
      <c r="E695" s="573" t="s">
        <v>159</v>
      </c>
      <c r="F695" s="561"/>
      <c r="G695" s="563"/>
      <c r="H695" s="682" t="s">
        <v>14</v>
      </c>
      <c r="I695" s="565"/>
      <c r="J695" s="565"/>
      <c r="K695" s="566"/>
      <c r="L695" s="567">
        <v>0</v>
      </c>
      <c r="M695" s="568">
        <v>0</v>
      </c>
      <c r="N695" s="568">
        <v>0</v>
      </c>
      <c r="O695" s="568">
        <f t="shared" si="412"/>
        <v>0</v>
      </c>
      <c r="P695" s="568">
        <f t="shared" si="413"/>
        <v>0</v>
      </c>
      <c r="Q695" s="568">
        <f ca="1">IFERROR(__xludf.DUMMYFUNCTION("IMPORTRANGE(""https://docs.google.com/spreadsheets/d/1ItG2mGa2ceCfYo0BwxsXqNm01IGEUdYcSSLTEv9YCik/edit?usp=sharing"",""เบิกจ่ายกองทุน!L17"")"),82240)</f>
        <v>82240</v>
      </c>
      <c r="R695" s="568">
        <f ca="1">IFERROR(__xludf.DUMMYFUNCTION("IMPORTRANGE(""https://docs.google.com/spreadsheets/d/1ItG2mGa2ceCfYo0BwxsXqNm01IGEUdYcSSLTEv9YCik/edit?usp=sharing"",""เบิกจ่ายกองทุน!M17"")"),82240)</f>
        <v>82240</v>
      </c>
      <c r="S695" s="568">
        <f ca="1">IFERROR(__xludf.DUMMYFUNCTION("IMPORTRANGE(""https://docs.google.com/spreadsheets/d/1ItG2mGa2ceCfYo0BwxsXqNm01IGEUdYcSSLTEv9YCik/edit?usp=sharing"",""เบิกจ่ายกองทุน!N17"")"),13120)</f>
        <v>13120</v>
      </c>
      <c r="T695" s="568">
        <f t="shared" ca="1" si="415"/>
        <v>15.953307392996109</v>
      </c>
      <c r="U695" s="568">
        <f t="shared" ca="1" si="416"/>
        <v>15.953307392996109</v>
      </c>
    </row>
    <row r="696" spans="1:21" ht="18.75" x14ac:dyDescent="0.25">
      <c r="A696" s="674"/>
      <c r="B696" s="718"/>
      <c r="C696" s="718"/>
      <c r="D696" s="562" t="s">
        <v>23</v>
      </c>
      <c r="E696" s="561"/>
      <c r="F696" s="561"/>
      <c r="G696" s="563"/>
      <c r="H696" s="686" t="s">
        <v>14</v>
      </c>
      <c r="I696" s="683"/>
      <c r="J696" s="683"/>
      <c r="K696" s="684"/>
      <c r="L696" s="567">
        <f t="shared" ref="L696:N696" si="421">L697+L698</f>
        <v>0</v>
      </c>
      <c r="M696" s="568">
        <f t="shared" si="421"/>
        <v>0</v>
      </c>
      <c r="N696" s="568">
        <f t="shared" si="421"/>
        <v>0</v>
      </c>
      <c r="O696" s="568">
        <f t="shared" si="412"/>
        <v>0</v>
      </c>
      <c r="P696" s="568">
        <f t="shared" si="413"/>
        <v>0</v>
      </c>
      <c r="Q696" s="568">
        <f t="shared" ref="Q696:S696" si="422">Q697+Q698</f>
        <v>0</v>
      </c>
      <c r="R696" s="568">
        <f t="shared" si="422"/>
        <v>0</v>
      </c>
      <c r="S696" s="568">
        <f t="shared" si="422"/>
        <v>0</v>
      </c>
      <c r="T696" s="568">
        <f t="shared" si="415"/>
        <v>0</v>
      </c>
      <c r="U696" s="568">
        <f t="shared" si="416"/>
        <v>0</v>
      </c>
    </row>
    <row r="697" spans="1:21" ht="18.75" x14ac:dyDescent="0.25">
      <c r="A697" s="674"/>
      <c r="B697" s="718"/>
      <c r="C697" s="718"/>
      <c r="D697" s="561"/>
      <c r="E697" s="569" t="s">
        <v>20</v>
      </c>
      <c r="F697" s="561"/>
      <c r="G697" s="563"/>
      <c r="H697" s="685" t="s">
        <v>14</v>
      </c>
      <c r="I697" s="683"/>
      <c r="J697" s="683"/>
      <c r="K697" s="684"/>
      <c r="L697" s="571">
        <v>0</v>
      </c>
      <c r="M697" s="572">
        <v>0</v>
      </c>
      <c r="N697" s="572">
        <v>0</v>
      </c>
      <c r="O697" s="572">
        <f t="shared" si="412"/>
        <v>0</v>
      </c>
      <c r="P697" s="572">
        <f t="shared" si="413"/>
        <v>0</v>
      </c>
      <c r="Q697" s="572">
        <v>0</v>
      </c>
      <c r="R697" s="572">
        <v>0</v>
      </c>
      <c r="S697" s="572">
        <v>0</v>
      </c>
      <c r="T697" s="572">
        <f t="shared" si="415"/>
        <v>0</v>
      </c>
      <c r="U697" s="572">
        <f t="shared" si="416"/>
        <v>0</v>
      </c>
    </row>
    <row r="698" spans="1:21" ht="18.75" x14ac:dyDescent="0.25">
      <c r="A698" s="674"/>
      <c r="B698" s="718"/>
      <c r="C698" s="718"/>
      <c r="D698" s="561"/>
      <c r="E698" s="573" t="s">
        <v>21</v>
      </c>
      <c r="F698" s="561"/>
      <c r="G698" s="563"/>
      <c r="H698" s="686" t="s">
        <v>14</v>
      </c>
      <c r="I698" s="683"/>
      <c r="J698" s="683"/>
      <c r="K698" s="684"/>
      <c r="L698" s="567">
        <v>0</v>
      </c>
      <c r="M698" s="568">
        <v>0</v>
      </c>
      <c r="N698" s="568">
        <v>0</v>
      </c>
      <c r="O698" s="568">
        <f t="shared" si="412"/>
        <v>0</v>
      </c>
      <c r="P698" s="568">
        <f t="shared" si="413"/>
        <v>0</v>
      </c>
      <c r="Q698" s="568">
        <v>0</v>
      </c>
      <c r="R698" s="568">
        <v>0</v>
      </c>
      <c r="S698" s="568">
        <v>0</v>
      </c>
      <c r="T698" s="568">
        <f t="shared" si="415"/>
        <v>0</v>
      </c>
      <c r="U698" s="568">
        <f t="shared" si="416"/>
        <v>0</v>
      </c>
    </row>
    <row r="699" spans="1:21" ht="19.5" x14ac:dyDescent="0.3">
      <c r="A699" s="687"/>
      <c r="B699" s="688"/>
      <c r="C699" s="724" t="s">
        <v>18</v>
      </c>
      <c r="D699" s="689" t="s">
        <v>38</v>
      </c>
      <c r="E699" s="690"/>
      <c r="F699" s="690"/>
      <c r="G699" s="690"/>
      <c r="H699" s="725"/>
      <c r="I699" s="683"/>
      <c r="J699" s="683"/>
      <c r="K699" s="684"/>
      <c r="L699" s="574"/>
      <c r="M699" s="566"/>
      <c r="N699" s="566"/>
      <c r="O699" s="566"/>
      <c r="P699" s="566"/>
      <c r="Q699" s="566"/>
      <c r="R699" s="566"/>
      <c r="S699" s="566"/>
      <c r="T699" s="566"/>
      <c r="U699" s="566"/>
    </row>
    <row r="700" spans="1:21" ht="18.75" x14ac:dyDescent="0.25">
      <c r="A700" s="764"/>
      <c r="B700" s="718"/>
      <c r="C700" s="718"/>
      <c r="D700" s="695"/>
      <c r="E700" s="694" t="s">
        <v>256</v>
      </c>
      <c r="F700" s="695"/>
      <c r="G700" s="692"/>
      <c r="H700" s="686" t="s">
        <v>257</v>
      </c>
      <c r="I700" s="708">
        <f ca="1">IFERROR(__xludf.DUMMYFUNCTION("IMPORTRANGE(""https://docs.google.com/spreadsheets/d/1eHaY18a8A9IcSdp1K8H6x8fbOy06t2VsZHhMHf-1x7Y/edit?usp=sharing"",""แผน!LC17"")"),0)</f>
        <v>0</v>
      </c>
      <c r="J700" s="702">
        <v>0</v>
      </c>
      <c r="K700" s="703">
        <f t="shared" ref="K700:K710" ca="1" si="423">IF(I700&gt;0,J700*100/I700,0)</f>
        <v>0</v>
      </c>
      <c r="L700" s="693"/>
      <c r="M700" s="684"/>
      <c r="N700" s="566"/>
      <c r="O700" s="684"/>
      <c r="P700" s="684"/>
      <c r="Q700" s="684"/>
      <c r="R700" s="684"/>
      <c r="S700" s="566"/>
      <c r="T700" s="684"/>
      <c r="U700" s="684"/>
    </row>
    <row r="701" spans="1:21" ht="19.5" x14ac:dyDescent="0.3">
      <c r="A701" s="764"/>
      <c r="B701" s="718"/>
      <c r="C701" s="718"/>
      <c r="D701" s="695"/>
      <c r="E701" s="1095" t="s">
        <v>258</v>
      </c>
      <c r="F701" s="695"/>
      <c r="G701" s="692"/>
      <c r="H701" s="677" t="s">
        <v>35</v>
      </c>
      <c r="I701" s="697">
        <f t="shared" ref="I701:J701" ca="1" si="424">I703+I705</f>
        <v>20</v>
      </c>
      <c r="J701" s="697">
        <f t="shared" ca="1" si="424"/>
        <v>0</v>
      </c>
      <c r="K701" s="679">
        <f t="shared" ca="1" si="423"/>
        <v>0</v>
      </c>
      <c r="L701" s="693"/>
      <c r="M701" s="684"/>
      <c r="N701" s="684"/>
      <c r="O701" s="684"/>
      <c r="P701" s="684"/>
      <c r="Q701" s="684"/>
      <c r="R701" s="684"/>
      <c r="S701" s="684"/>
      <c r="T701" s="684"/>
      <c r="U701" s="684"/>
    </row>
    <row r="702" spans="1:21" ht="19.5" x14ac:dyDescent="0.3">
      <c r="A702" s="764"/>
      <c r="B702" s="718"/>
      <c r="C702" s="718"/>
      <c r="D702" s="695"/>
      <c r="E702" s="695"/>
      <c r="F702" s="695"/>
      <c r="G702" s="692"/>
      <c r="H702" s="677" t="s">
        <v>46</v>
      </c>
      <c r="I702" s="697">
        <v>0</v>
      </c>
      <c r="J702" s="697">
        <f ca="1">J704+J706</f>
        <v>0</v>
      </c>
      <c r="K702" s="679">
        <f t="shared" si="423"/>
        <v>0</v>
      </c>
      <c r="L702" s="693"/>
      <c r="M702" s="684"/>
      <c r="N702" s="684"/>
      <c r="O702" s="684"/>
      <c r="P702" s="684"/>
      <c r="Q702" s="684"/>
      <c r="R702" s="684"/>
      <c r="S702" s="684"/>
      <c r="T702" s="684"/>
      <c r="U702" s="684"/>
    </row>
    <row r="703" spans="1:21" ht="18.75" x14ac:dyDescent="0.25">
      <c r="A703" s="764"/>
      <c r="B703" s="718"/>
      <c r="C703" s="718"/>
      <c r="D703" s="695"/>
      <c r="E703" s="695"/>
      <c r="F703" s="694" t="s">
        <v>259</v>
      </c>
      <c r="G703" s="692"/>
      <c r="H703" s="686" t="s">
        <v>35</v>
      </c>
      <c r="I703" s="708">
        <f ca="1">IFERROR(__xludf.DUMMYFUNCTION("IMPORTRANGE(""https://docs.google.com/spreadsheets/d/1eHaY18a8A9IcSdp1K8H6x8fbOy06t2VsZHhMHf-1x7Y/edit?usp=sharing"",""แผน!LJ17"")"),15)</f>
        <v>15</v>
      </c>
      <c r="J703" s="708">
        <f ca="1">IFERROR(__xludf.DUMMYFUNCTION("IMPORTRANGE(""https://docs.google.com/spreadsheets/d/1tdoBKaGub7dwA3U6UFTqxio9LNnvDCQjHKmttSEBsFQ/edit?usp=sharing"",""จัดที่ดิน!AP17"")"),0)</f>
        <v>0</v>
      </c>
      <c r="K703" s="568">
        <f t="shared" ca="1" si="423"/>
        <v>0</v>
      </c>
      <c r="L703" s="693"/>
      <c r="M703" s="684"/>
      <c r="N703" s="684"/>
      <c r="O703" s="684"/>
      <c r="P703" s="684"/>
      <c r="Q703" s="684"/>
      <c r="R703" s="684"/>
      <c r="S703" s="684"/>
      <c r="T703" s="684"/>
      <c r="U703" s="684"/>
    </row>
    <row r="704" spans="1:21" ht="18.75" x14ac:dyDescent="0.25">
      <c r="A704" s="764"/>
      <c r="B704" s="718"/>
      <c r="C704" s="718"/>
      <c r="D704" s="695"/>
      <c r="E704" s="695"/>
      <c r="F704" s="695"/>
      <c r="G704" s="692"/>
      <c r="H704" s="686" t="s">
        <v>46</v>
      </c>
      <c r="I704" s="708">
        <v>0</v>
      </c>
      <c r="J704" s="708">
        <f ca="1">IFERROR(__xludf.DUMMYFUNCTION("IMPORTRANGE(""https://docs.google.com/spreadsheets/d/1tdoBKaGub7dwA3U6UFTqxio9LNnvDCQjHKmttSEBsFQ/edit?usp=sharing"",""จัดที่ดิน!AQ17"")"),0)</f>
        <v>0</v>
      </c>
      <c r="K704" s="568">
        <f t="shared" si="423"/>
        <v>0</v>
      </c>
      <c r="L704" s="693"/>
      <c r="M704" s="684"/>
      <c r="N704" s="684"/>
      <c r="O704" s="684"/>
      <c r="P704" s="684"/>
      <c r="Q704" s="684"/>
      <c r="R704" s="684"/>
      <c r="S704" s="684"/>
      <c r="T704" s="684"/>
      <c r="U704" s="684"/>
    </row>
    <row r="705" spans="1:21" ht="18.75" x14ac:dyDescent="0.25">
      <c r="A705" s="764"/>
      <c r="B705" s="718"/>
      <c r="C705" s="718"/>
      <c r="D705" s="695"/>
      <c r="E705" s="695"/>
      <c r="F705" s="694" t="s">
        <v>260</v>
      </c>
      <c r="G705" s="692"/>
      <c r="H705" s="686" t="s">
        <v>35</v>
      </c>
      <c r="I705" s="708">
        <f ca="1">IFERROR(__xludf.DUMMYFUNCTION("IMPORTRANGE(""https://docs.google.com/spreadsheets/d/1eHaY18a8A9IcSdp1K8H6x8fbOy06t2VsZHhMHf-1x7Y/edit?usp=sharing"",""แผน!LK17"")"),5)</f>
        <v>5</v>
      </c>
      <c r="J705" s="708">
        <f ca="1">IFERROR(__xludf.DUMMYFUNCTION("IMPORTRANGE(""https://docs.google.com/spreadsheets/d/1tdoBKaGub7dwA3U6UFTqxio9LNnvDCQjHKmttSEBsFQ/edit?usp=sharing"",""จัดที่ดิน!AR17"")"),0)</f>
        <v>0</v>
      </c>
      <c r="K705" s="703">
        <f t="shared" ca="1" si="423"/>
        <v>0</v>
      </c>
      <c r="L705" s="693"/>
      <c r="M705" s="684"/>
      <c r="N705" s="684"/>
      <c r="O705" s="684"/>
      <c r="P705" s="684"/>
      <c r="Q705" s="684"/>
      <c r="R705" s="684"/>
      <c r="S705" s="684"/>
      <c r="T705" s="684"/>
      <c r="U705" s="684"/>
    </row>
    <row r="706" spans="1:21" ht="18.75" x14ac:dyDescent="0.25">
      <c r="A706" s="764"/>
      <c r="B706" s="718"/>
      <c r="C706" s="718"/>
      <c r="D706" s="695"/>
      <c r="E706" s="695"/>
      <c r="F706" s="695"/>
      <c r="G706" s="692"/>
      <c r="H706" s="686" t="s">
        <v>46</v>
      </c>
      <c r="I706" s="708">
        <v>0</v>
      </c>
      <c r="J706" s="708">
        <f ca="1">IFERROR(__xludf.DUMMYFUNCTION("IMPORTRANGE(""https://docs.google.com/spreadsheets/d/1tdoBKaGub7dwA3U6UFTqxio9LNnvDCQjHKmttSEBsFQ/edit?usp=sharing"",""จัดที่ดิน!AS17"")"),0)</f>
        <v>0</v>
      </c>
      <c r="K706" s="568">
        <f t="shared" si="423"/>
        <v>0</v>
      </c>
      <c r="L706" s="693"/>
      <c r="M706" s="684"/>
      <c r="N706" s="684"/>
      <c r="O706" s="684"/>
      <c r="P706" s="684"/>
      <c r="Q706" s="684"/>
      <c r="R706" s="684"/>
      <c r="S706" s="684"/>
      <c r="T706" s="684"/>
      <c r="U706" s="684"/>
    </row>
    <row r="707" spans="1:21" ht="18.75" x14ac:dyDescent="0.25">
      <c r="A707" s="764"/>
      <c r="B707" s="718"/>
      <c r="C707" s="718"/>
      <c r="D707" s="695"/>
      <c r="E707" s="694" t="s">
        <v>261</v>
      </c>
      <c r="F707" s="695"/>
      <c r="G707" s="692"/>
      <c r="H707" s="682" t="s">
        <v>35</v>
      </c>
      <c r="I707" s="708">
        <f ca="1">IFERROR(__xludf.DUMMYFUNCTION("IMPORTRANGE(""https://docs.google.com/spreadsheets/d/1eHaY18a8A9IcSdp1K8H6x8fbOy06t2VsZHhMHf-1x7Y/edit?usp=sharing"",""แผน!LJ17"")"),15)</f>
        <v>15</v>
      </c>
      <c r="J707" s="708">
        <f ca="1">IFERROR(__xludf.DUMMYFUNCTION("IMPORTRANGE(""https://docs.google.com/spreadsheets/d/1tdoBKaGub7dwA3U6UFTqxio9LNnvDCQjHKmttSEBsFQ/edit?usp=sharing"",""จัดที่ดิน!BN17"")"),0)</f>
        <v>0</v>
      </c>
      <c r="K707" s="568">
        <f t="shared" ca="1" si="423"/>
        <v>0</v>
      </c>
      <c r="L707" s="693"/>
      <c r="M707" s="684"/>
      <c r="N707" s="684"/>
      <c r="O707" s="684"/>
      <c r="P707" s="684"/>
      <c r="Q707" s="684"/>
      <c r="R707" s="684"/>
      <c r="S707" s="684"/>
      <c r="T707" s="684"/>
      <c r="U707" s="684"/>
    </row>
    <row r="708" spans="1:21" ht="18.75" x14ac:dyDescent="0.25">
      <c r="A708" s="764"/>
      <c r="B708" s="718"/>
      <c r="C708" s="718"/>
      <c r="D708" s="695"/>
      <c r="E708" s="1096" t="s">
        <v>262</v>
      </c>
      <c r="F708" s="695"/>
      <c r="G708" s="692"/>
      <c r="H708" s="682" t="s">
        <v>46</v>
      </c>
      <c r="I708" s="708">
        <v>0</v>
      </c>
      <c r="J708" s="708">
        <f ca="1">IFERROR(__xludf.DUMMYFUNCTION("IMPORTRANGE(""https://docs.google.com/spreadsheets/d/1tdoBKaGub7dwA3U6UFTqxio9LNnvDCQjHKmttSEBsFQ/edit?usp=sharing"",""จัดที่ดิน!BO17"")"),0)</f>
        <v>0</v>
      </c>
      <c r="K708" s="568">
        <f t="shared" si="423"/>
        <v>0</v>
      </c>
      <c r="L708" s="693"/>
      <c r="M708" s="684"/>
      <c r="N708" s="684"/>
      <c r="O708" s="684"/>
      <c r="P708" s="684"/>
      <c r="Q708" s="684"/>
      <c r="R708" s="684"/>
      <c r="S708" s="684"/>
      <c r="T708" s="684"/>
      <c r="U708" s="684"/>
    </row>
    <row r="709" spans="1:21" ht="18.75" x14ac:dyDescent="0.25">
      <c r="A709" s="764"/>
      <c r="B709" s="718"/>
      <c r="C709" s="718"/>
      <c r="D709" s="561"/>
      <c r="E709" s="573" t="s">
        <v>263</v>
      </c>
      <c r="F709" s="561"/>
      <c r="G709" s="563"/>
      <c r="H709" s="722" t="s">
        <v>35</v>
      </c>
      <c r="I709" s="708">
        <f ca="1">IFERROR(__xludf.DUMMYFUNCTION("IMPORTRANGE(""https://docs.google.com/spreadsheets/d/1eHaY18a8A9IcSdp1K8H6x8fbOy06t2VsZHhMHf-1x7Y/edit?usp=sharing"",""แผน!LK17"")"),5)</f>
        <v>5</v>
      </c>
      <c r="J709" s="708">
        <f ca="1">IFERROR(__xludf.DUMMYFUNCTION("IMPORTRANGE(""https://docs.google.com/spreadsheets/d/1tdoBKaGub7dwA3U6UFTqxio9LNnvDCQjHKmttSEBsFQ/edit?usp=sharing"",""จัดที่ดิน!BP17"")"),1)</f>
        <v>1</v>
      </c>
      <c r="K709" s="568">
        <f t="shared" ca="1" si="423"/>
        <v>20</v>
      </c>
      <c r="L709" s="574"/>
      <c r="M709" s="566"/>
      <c r="N709" s="566"/>
      <c r="O709" s="566"/>
      <c r="P709" s="566"/>
      <c r="Q709" s="566"/>
      <c r="R709" s="566"/>
      <c r="S709" s="566"/>
      <c r="T709" s="566"/>
      <c r="U709" s="566"/>
    </row>
    <row r="710" spans="1:21" ht="18.75" x14ac:dyDescent="0.25">
      <c r="A710" s="764"/>
      <c r="B710" s="718"/>
      <c r="C710" s="718"/>
      <c r="D710" s="561"/>
      <c r="E710" s="1096" t="s">
        <v>264</v>
      </c>
      <c r="F710" s="561"/>
      <c r="G710" s="563"/>
      <c r="H710" s="722" t="s">
        <v>46</v>
      </c>
      <c r="I710" s="708">
        <v>0</v>
      </c>
      <c r="J710" s="708">
        <f ca="1">IFERROR(__xludf.DUMMYFUNCTION("IMPORTRANGE(""https://docs.google.com/spreadsheets/d/1tdoBKaGub7dwA3U6UFTqxio9LNnvDCQjHKmttSEBsFQ/edit?usp=sharing"",""จัดที่ดิน!BQ17"")"),0)</f>
        <v>0</v>
      </c>
      <c r="K710" s="568">
        <f t="shared" si="423"/>
        <v>0</v>
      </c>
      <c r="L710" s="574"/>
      <c r="M710" s="566"/>
      <c r="N710" s="566"/>
      <c r="O710" s="566"/>
      <c r="P710" s="566"/>
      <c r="Q710" s="566"/>
      <c r="R710" s="566"/>
      <c r="S710" s="566"/>
      <c r="T710" s="566"/>
      <c r="U710" s="566"/>
    </row>
    <row r="711" spans="1:21" ht="12.75" hidden="1" x14ac:dyDescent="0.2">
      <c r="A711" s="1027"/>
      <c r="B711" s="966"/>
      <c r="C711" s="966"/>
      <c r="D711" s="1028"/>
      <c r="E711" s="1028"/>
      <c r="F711" s="1028"/>
      <c r="G711" s="1029"/>
      <c r="H711" s="967"/>
      <c r="I711" s="968"/>
      <c r="J711" s="968"/>
      <c r="K711" s="969"/>
      <c r="L711" s="970"/>
      <c r="M711" s="969"/>
      <c r="N711" s="969"/>
      <c r="O711" s="969"/>
      <c r="P711" s="969"/>
      <c r="Q711" s="969"/>
      <c r="R711" s="969"/>
      <c r="S711" s="969"/>
      <c r="T711" s="969"/>
      <c r="U711" s="969"/>
    </row>
    <row r="712" spans="1:21" ht="19.5" hidden="1" x14ac:dyDescent="0.3">
      <c r="A712" s="1061"/>
      <c r="B712" s="1097" t="s">
        <v>265</v>
      </c>
      <c r="C712" s="1061"/>
      <c r="D712" s="1063"/>
      <c r="E712" s="1063"/>
      <c r="F712" s="1063"/>
      <c r="G712" s="1064"/>
      <c r="H712" s="1098" t="s">
        <v>46</v>
      </c>
      <c r="I712" s="1066"/>
      <c r="J712" s="1066">
        <f>J724</f>
        <v>0</v>
      </c>
      <c r="K712" s="1099">
        <f>IF(I712&gt;0,J712*100/I712,0)</f>
        <v>0</v>
      </c>
      <c r="L712" s="1068"/>
      <c r="M712" s="1067"/>
      <c r="N712" s="1067"/>
      <c r="O712" s="1067"/>
      <c r="P712" s="1067"/>
      <c r="Q712" s="1067"/>
      <c r="R712" s="1067"/>
      <c r="S712" s="1067"/>
      <c r="T712" s="1067"/>
      <c r="U712" s="1067"/>
    </row>
    <row r="713" spans="1:21" ht="19.5" hidden="1" x14ac:dyDescent="0.3">
      <c r="A713" s="1061"/>
      <c r="B713" s="1097" t="s">
        <v>266</v>
      </c>
      <c r="C713" s="1061"/>
      <c r="D713" s="1063"/>
      <c r="E713" s="1063"/>
      <c r="F713" s="1063"/>
      <c r="G713" s="1064"/>
      <c r="H713" s="1065"/>
      <c r="I713" s="1066"/>
      <c r="J713" s="1066"/>
      <c r="K713" s="1067"/>
      <c r="L713" s="1068"/>
      <c r="M713" s="1067"/>
      <c r="N713" s="1067"/>
      <c r="O713" s="1067"/>
      <c r="P713" s="1067"/>
      <c r="Q713" s="1067"/>
      <c r="R713" s="1067"/>
      <c r="S713" s="1067"/>
      <c r="T713" s="1067"/>
      <c r="U713" s="1067"/>
    </row>
    <row r="714" spans="1:21" ht="19.5" hidden="1" x14ac:dyDescent="0.3">
      <c r="A714" s="674"/>
      <c r="B714" s="718"/>
      <c r="C714" s="767" t="s">
        <v>18</v>
      </c>
      <c r="D714" s="1315" t="s">
        <v>19</v>
      </c>
      <c r="E714" s="1311"/>
      <c r="F714" s="1311"/>
      <c r="G714" s="1312"/>
      <c r="H714" s="799" t="s">
        <v>14</v>
      </c>
      <c r="I714" s="565"/>
      <c r="J714" s="565"/>
      <c r="K714" s="566"/>
      <c r="L714" s="678">
        <f t="shared" ref="L714:N714" si="425">L715+L716</f>
        <v>0</v>
      </c>
      <c r="M714" s="679">
        <f t="shared" si="425"/>
        <v>0</v>
      </c>
      <c r="N714" s="679">
        <f t="shared" si="425"/>
        <v>0</v>
      </c>
      <c r="O714" s="679">
        <f t="shared" ref="O714:O722" si="426">IF(L714&gt;0,N714*100/L714,0)</f>
        <v>0</v>
      </c>
      <c r="P714" s="679">
        <f t="shared" ref="P714:P722" si="427">IF(M714&gt;0,N714*100/M714,0)</f>
        <v>0</v>
      </c>
      <c r="Q714" s="679">
        <f t="shared" ref="Q714:S714" si="428">Q715+Q716</f>
        <v>0</v>
      </c>
      <c r="R714" s="679">
        <f t="shared" si="428"/>
        <v>0</v>
      </c>
      <c r="S714" s="679">
        <f t="shared" si="428"/>
        <v>0</v>
      </c>
      <c r="T714" s="679">
        <f t="shared" ref="T714:T722" si="429">IF(Q714&gt;0,S714*100/Q714,0)</f>
        <v>0</v>
      </c>
      <c r="U714" s="679">
        <f t="shared" ref="U714:U722" si="430">IF(R714&gt;0,S714*100/R714,0)</f>
        <v>0</v>
      </c>
    </row>
    <row r="715" spans="1:21" ht="18.75" hidden="1" x14ac:dyDescent="0.25">
      <c r="A715" s="674"/>
      <c r="B715" s="718"/>
      <c r="C715" s="718"/>
      <c r="D715" s="695"/>
      <c r="E715" s="569" t="s">
        <v>158</v>
      </c>
      <c r="F715" s="561"/>
      <c r="G715" s="563"/>
      <c r="H715" s="685" t="s">
        <v>14</v>
      </c>
      <c r="I715" s="565"/>
      <c r="J715" s="565"/>
      <c r="K715" s="566"/>
      <c r="L715" s="571">
        <f t="shared" ref="L715:N716" si="431">L718+L721</f>
        <v>0</v>
      </c>
      <c r="M715" s="572">
        <f t="shared" si="431"/>
        <v>0</v>
      </c>
      <c r="N715" s="572">
        <f t="shared" si="431"/>
        <v>0</v>
      </c>
      <c r="O715" s="572">
        <f t="shared" si="426"/>
        <v>0</v>
      </c>
      <c r="P715" s="572">
        <f t="shared" si="427"/>
        <v>0</v>
      </c>
      <c r="Q715" s="572">
        <f t="shared" ref="Q715:S716" si="432">Q718+Q721</f>
        <v>0</v>
      </c>
      <c r="R715" s="572">
        <f t="shared" si="432"/>
        <v>0</v>
      </c>
      <c r="S715" s="572">
        <f t="shared" si="432"/>
        <v>0</v>
      </c>
      <c r="T715" s="572">
        <f t="shared" si="429"/>
        <v>0</v>
      </c>
      <c r="U715" s="572">
        <f t="shared" si="430"/>
        <v>0</v>
      </c>
    </row>
    <row r="716" spans="1:21" ht="18.75" hidden="1" x14ac:dyDescent="0.25">
      <c r="A716" s="674"/>
      <c r="B716" s="718"/>
      <c r="C716" s="718"/>
      <c r="D716" s="695"/>
      <c r="E716" s="569" t="s">
        <v>159</v>
      </c>
      <c r="F716" s="561"/>
      <c r="G716" s="563"/>
      <c r="H716" s="685" t="s">
        <v>14</v>
      </c>
      <c r="I716" s="565"/>
      <c r="J716" s="565"/>
      <c r="K716" s="566"/>
      <c r="L716" s="567">
        <f t="shared" si="431"/>
        <v>0</v>
      </c>
      <c r="M716" s="568">
        <f t="shared" si="431"/>
        <v>0</v>
      </c>
      <c r="N716" s="568">
        <f t="shared" si="431"/>
        <v>0</v>
      </c>
      <c r="O716" s="568">
        <f t="shared" si="426"/>
        <v>0</v>
      </c>
      <c r="P716" s="568">
        <f t="shared" si="427"/>
        <v>0</v>
      </c>
      <c r="Q716" s="568">
        <f t="shared" si="432"/>
        <v>0</v>
      </c>
      <c r="R716" s="568">
        <f t="shared" si="432"/>
        <v>0</v>
      </c>
      <c r="S716" s="568">
        <f t="shared" si="432"/>
        <v>0</v>
      </c>
      <c r="T716" s="568">
        <f t="shared" si="429"/>
        <v>0</v>
      </c>
      <c r="U716" s="568">
        <f t="shared" si="430"/>
        <v>0</v>
      </c>
    </row>
    <row r="717" spans="1:21" ht="19.5" hidden="1" x14ac:dyDescent="0.3">
      <c r="A717" s="674"/>
      <c r="B717" s="718"/>
      <c r="C717" s="718"/>
      <c r="D717" s="798" t="s">
        <v>22</v>
      </c>
      <c r="E717" s="561"/>
      <c r="F717" s="561"/>
      <c r="G717" s="563"/>
      <c r="H717" s="799" t="s">
        <v>14</v>
      </c>
      <c r="I717" s="683"/>
      <c r="J717" s="683"/>
      <c r="K717" s="684"/>
      <c r="L717" s="567">
        <f t="shared" ref="L717:N717" si="433">L718+L719</f>
        <v>0</v>
      </c>
      <c r="M717" s="568">
        <f t="shared" si="433"/>
        <v>0</v>
      </c>
      <c r="N717" s="568">
        <f t="shared" si="433"/>
        <v>0</v>
      </c>
      <c r="O717" s="568">
        <f t="shared" si="426"/>
        <v>0</v>
      </c>
      <c r="P717" s="568">
        <f t="shared" si="427"/>
        <v>0</v>
      </c>
      <c r="Q717" s="568">
        <f t="shared" ref="Q717:S717" si="434">Q718+Q719</f>
        <v>0</v>
      </c>
      <c r="R717" s="568">
        <f t="shared" si="434"/>
        <v>0</v>
      </c>
      <c r="S717" s="568">
        <f t="shared" si="434"/>
        <v>0</v>
      </c>
      <c r="T717" s="568">
        <f t="shared" si="429"/>
        <v>0</v>
      </c>
      <c r="U717" s="568">
        <f t="shared" si="430"/>
        <v>0</v>
      </c>
    </row>
    <row r="718" spans="1:21" ht="18.75" hidden="1" x14ac:dyDescent="0.25">
      <c r="A718" s="674"/>
      <c r="B718" s="718"/>
      <c r="C718" s="718"/>
      <c r="D718" s="695"/>
      <c r="E718" s="569" t="s">
        <v>158</v>
      </c>
      <c r="F718" s="561"/>
      <c r="G718" s="563"/>
      <c r="H718" s="685" t="s">
        <v>14</v>
      </c>
      <c r="I718" s="565"/>
      <c r="J718" s="565"/>
      <c r="K718" s="566"/>
      <c r="L718" s="571">
        <v>0</v>
      </c>
      <c r="M718" s="572">
        <v>0</v>
      </c>
      <c r="N718" s="572">
        <v>0</v>
      </c>
      <c r="O718" s="572">
        <f t="shared" si="426"/>
        <v>0</v>
      </c>
      <c r="P718" s="572">
        <f t="shared" si="427"/>
        <v>0</v>
      </c>
      <c r="Q718" s="572">
        <v>0</v>
      </c>
      <c r="R718" s="572">
        <v>0</v>
      </c>
      <c r="S718" s="572">
        <v>0</v>
      </c>
      <c r="T718" s="572">
        <f t="shared" si="429"/>
        <v>0</v>
      </c>
      <c r="U718" s="572">
        <f t="shared" si="430"/>
        <v>0</v>
      </c>
    </row>
    <row r="719" spans="1:21" ht="18.75" hidden="1" x14ac:dyDescent="0.25">
      <c r="A719" s="674"/>
      <c r="B719" s="718"/>
      <c r="C719" s="718"/>
      <c r="D719" s="695"/>
      <c r="E719" s="569" t="s">
        <v>159</v>
      </c>
      <c r="F719" s="561"/>
      <c r="G719" s="563"/>
      <c r="H719" s="685" t="s">
        <v>14</v>
      </c>
      <c r="I719" s="565"/>
      <c r="J719" s="565"/>
      <c r="K719" s="566"/>
      <c r="L719" s="567">
        <v>0</v>
      </c>
      <c r="M719" s="568">
        <v>0</v>
      </c>
      <c r="N719" s="568">
        <v>0</v>
      </c>
      <c r="O719" s="568">
        <f t="shared" si="426"/>
        <v>0</v>
      </c>
      <c r="P719" s="568">
        <f t="shared" si="427"/>
        <v>0</v>
      </c>
      <c r="Q719" s="568">
        <v>0</v>
      </c>
      <c r="R719" s="568">
        <v>0</v>
      </c>
      <c r="S719" s="568">
        <v>0</v>
      </c>
      <c r="T719" s="568">
        <f t="shared" si="429"/>
        <v>0</v>
      </c>
      <c r="U719" s="568">
        <f t="shared" si="430"/>
        <v>0</v>
      </c>
    </row>
    <row r="720" spans="1:21" ht="19.5" hidden="1" x14ac:dyDescent="0.3">
      <c r="A720" s="674"/>
      <c r="B720" s="718"/>
      <c r="C720" s="718"/>
      <c r="D720" s="798" t="s">
        <v>23</v>
      </c>
      <c r="E720" s="561"/>
      <c r="F720" s="561"/>
      <c r="G720" s="563"/>
      <c r="H720" s="1041" t="s">
        <v>14</v>
      </c>
      <c r="I720" s="683"/>
      <c r="J720" s="683"/>
      <c r="K720" s="684"/>
      <c r="L720" s="567">
        <f t="shared" ref="L720:N720" si="435">L721+L722</f>
        <v>0</v>
      </c>
      <c r="M720" s="568">
        <f t="shared" si="435"/>
        <v>0</v>
      </c>
      <c r="N720" s="568">
        <f t="shared" si="435"/>
        <v>0</v>
      </c>
      <c r="O720" s="568">
        <f t="shared" si="426"/>
        <v>0</v>
      </c>
      <c r="P720" s="568">
        <f t="shared" si="427"/>
        <v>0</v>
      </c>
      <c r="Q720" s="568">
        <f t="shared" ref="Q720:S720" si="436">Q721+Q722</f>
        <v>0</v>
      </c>
      <c r="R720" s="568">
        <f t="shared" si="436"/>
        <v>0</v>
      </c>
      <c r="S720" s="568">
        <f t="shared" si="436"/>
        <v>0</v>
      </c>
      <c r="T720" s="568">
        <f t="shared" si="429"/>
        <v>0</v>
      </c>
      <c r="U720" s="568">
        <f t="shared" si="430"/>
        <v>0</v>
      </c>
    </row>
    <row r="721" spans="1:21" ht="18.75" hidden="1" x14ac:dyDescent="0.25">
      <c r="A721" s="674"/>
      <c r="B721" s="718"/>
      <c r="C721" s="718"/>
      <c r="D721" s="561"/>
      <c r="E721" s="569" t="s">
        <v>20</v>
      </c>
      <c r="F721" s="561"/>
      <c r="G721" s="563"/>
      <c r="H721" s="685" t="s">
        <v>14</v>
      </c>
      <c r="I721" s="683"/>
      <c r="J721" s="683"/>
      <c r="K721" s="684"/>
      <c r="L721" s="571">
        <v>0</v>
      </c>
      <c r="M721" s="572">
        <v>0</v>
      </c>
      <c r="N721" s="572">
        <v>0</v>
      </c>
      <c r="O721" s="572">
        <f t="shared" si="426"/>
        <v>0</v>
      </c>
      <c r="P721" s="572">
        <f t="shared" si="427"/>
        <v>0</v>
      </c>
      <c r="Q721" s="572">
        <v>0</v>
      </c>
      <c r="R721" s="572">
        <v>0</v>
      </c>
      <c r="S721" s="572">
        <v>0</v>
      </c>
      <c r="T721" s="572">
        <f t="shared" si="429"/>
        <v>0</v>
      </c>
      <c r="U721" s="572">
        <f t="shared" si="430"/>
        <v>0</v>
      </c>
    </row>
    <row r="722" spans="1:21" ht="18.75" hidden="1" x14ac:dyDescent="0.25">
      <c r="A722" s="674"/>
      <c r="B722" s="718"/>
      <c r="C722" s="718"/>
      <c r="D722" s="561"/>
      <c r="E722" s="569" t="s">
        <v>21</v>
      </c>
      <c r="F722" s="561"/>
      <c r="G722" s="563"/>
      <c r="H722" s="734" t="s">
        <v>14</v>
      </c>
      <c r="I722" s="683"/>
      <c r="J722" s="683"/>
      <c r="K722" s="684"/>
      <c r="L722" s="567">
        <v>0</v>
      </c>
      <c r="M722" s="568">
        <v>0</v>
      </c>
      <c r="N722" s="568">
        <v>0</v>
      </c>
      <c r="O722" s="568">
        <f t="shared" si="426"/>
        <v>0</v>
      </c>
      <c r="P722" s="568">
        <f t="shared" si="427"/>
        <v>0</v>
      </c>
      <c r="Q722" s="568">
        <v>0</v>
      </c>
      <c r="R722" s="568">
        <v>0</v>
      </c>
      <c r="S722" s="568">
        <v>0</v>
      </c>
      <c r="T722" s="568">
        <f t="shared" si="429"/>
        <v>0</v>
      </c>
      <c r="U722" s="568">
        <f t="shared" si="430"/>
        <v>0</v>
      </c>
    </row>
    <row r="723" spans="1:21" ht="19.5" hidden="1" x14ac:dyDescent="0.3">
      <c r="A723" s="687"/>
      <c r="B723" s="688"/>
      <c r="C723" s="767" t="s">
        <v>18</v>
      </c>
      <c r="D723" s="1100" t="s">
        <v>38</v>
      </c>
      <c r="E723" s="690"/>
      <c r="F723" s="690"/>
      <c r="G723" s="691"/>
      <c r="H723" s="725"/>
      <c r="I723" s="683"/>
      <c r="J723" s="683"/>
      <c r="K723" s="684"/>
      <c r="L723" s="693"/>
      <c r="M723" s="684"/>
      <c r="N723" s="684"/>
      <c r="O723" s="684"/>
      <c r="P723" s="684"/>
      <c r="Q723" s="684"/>
      <c r="R723" s="684"/>
      <c r="S723" s="684"/>
      <c r="T723" s="684"/>
      <c r="U723" s="684"/>
    </row>
    <row r="724" spans="1:21" ht="18.75" hidden="1" x14ac:dyDescent="0.25">
      <c r="A724" s="764"/>
      <c r="B724" s="718"/>
      <c r="C724" s="718"/>
      <c r="D724" s="561"/>
      <c r="E724" s="569" t="s">
        <v>267</v>
      </c>
      <c r="F724" s="561"/>
      <c r="G724" s="563"/>
      <c r="H724" s="685" t="s">
        <v>46</v>
      </c>
      <c r="I724" s="735">
        <v>0</v>
      </c>
      <c r="J724" s="565"/>
      <c r="K724" s="566"/>
      <c r="L724" s="574"/>
      <c r="M724" s="566"/>
      <c r="N724" s="566"/>
      <c r="O724" s="566"/>
      <c r="P724" s="566"/>
      <c r="Q724" s="566"/>
      <c r="R724" s="566"/>
      <c r="S724" s="566"/>
      <c r="T724" s="566"/>
      <c r="U724" s="566"/>
    </row>
    <row r="725" spans="1:21" ht="18.75" hidden="1" x14ac:dyDescent="0.25">
      <c r="A725" s="984"/>
      <c r="B725" s="514"/>
      <c r="C725" s="514"/>
      <c r="D725" s="513"/>
      <c r="E725" s="738" t="s">
        <v>268</v>
      </c>
      <c r="F725" s="513"/>
      <c r="G725" s="577"/>
      <c r="H725" s="1101" t="s">
        <v>46</v>
      </c>
      <c r="I725" s="740">
        <v>0</v>
      </c>
      <c r="J725" s="579"/>
      <c r="K725" s="580"/>
      <c r="L725" s="581"/>
      <c r="M725" s="580"/>
      <c r="N725" s="580"/>
      <c r="O725" s="580"/>
      <c r="P725" s="580"/>
      <c r="Q725" s="580"/>
      <c r="R725" s="580"/>
      <c r="S725" s="580"/>
      <c r="T725" s="580"/>
      <c r="U725" s="580"/>
    </row>
    <row r="726" spans="1:21" ht="19.5" x14ac:dyDescent="0.3">
      <c r="A726" s="1061"/>
      <c r="B726" s="1062" t="s">
        <v>269</v>
      </c>
      <c r="C726" s="1061"/>
      <c r="D726" s="1063"/>
      <c r="E726" s="1063"/>
      <c r="F726" s="1063"/>
      <c r="G726" s="1064"/>
      <c r="H726" s="1092" t="s">
        <v>35</v>
      </c>
      <c r="I726" s="1093">
        <f ca="1">IFERROR(__xludf.DUMMYFUNCTION("IMPORTRANGE(""https://docs.google.com/spreadsheets/d/1eHaY18a8A9IcSdp1K8H6x8fbOy06t2VsZHhMHf-1x7Y/edit?usp=sharing"",""แผน!GA17"")"),31)</f>
        <v>31</v>
      </c>
      <c r="J726" s="1093">
        <f>J742+J746+J749</f>
        <v>31</v>
      </c>
      <c r="K726" s="1094">
        <f t="shared" ref="K726:K727" ca="1" si="437">IF(I726&gt;0,J726*100/I726,0)</f>
        <v>100</v>
      </c>
      <c r="L726" s="1068"/>
      <c r="M726" s="1067"/>
      <c r="N726" s="1067"/>
      <c r="O726" s="1067"/>
      <c r="P726" s="1067"/>
      <c r="Q726" s="1067"/>
      <c r="R726" s="1067"/>
      <c r="S726" s="1067"/>
      <c r="T726" s="1067"/>
      <c r="U726" s="1067"/>
    </row>
    <row r="727" spans="1:21" ht="19.5" x14ac:dyDescent="0.3">
      <c r="A727" s="1102"/>
      <c r="B727" s="1061"/>
      <c r="C727" s="1061"/>
      <c r="D727" s="1063"/>
      <c r="E727" s="1063"/>
      <c r="F727" s="1063"/>
      <c r="G727" s="1064"/>
      <c r="H727" s="1092" t="s">
        <v>46</v>
      </c>
      <c r="I727" s="1093">
        <f ca="1">IFERROR(__xludf.DUMMYFUNCTION("IMPORTRANGE(""https://docs.google.com/spreadsheets/d/1eHaY18a8A9IcSdp1K8H6x8fbOy06t2VsZHhMHf-1x7Y/edit?usp=sharing"",""แผน!FZ17"")"),300)</f>
        <v>300</v>
      </c>
      <c r="J727" s="1093">
        <f>J752+J755</f>
        <v>0</v>
      </c>
      <c r="K727" s="1094">
        <f t="shared" ca="1" si="437"/>
        <v>0</v>
      </c>
      <c r="L727" s="1068"/>
      <c r="M727" s="1067"/>
      <c r="N727" s="1067"/>
      <c r="O727" s="1067"/>
      <c r="P727" s="1067"/>
      <c r="Q727" s="1067"/>
      <c r="R727" s="1067"/>
      <c r="S727" s="1067"/>
      <c r="T727" s="1067"/>
      <c r="U727" s="1067"/>
    </row>
    <row r="728" spans="1:21" ht="19.5" x14ac:dyDescent="0.3">
      <c r="A728" s="674"/>
      <c r="B728" s="718"/>
      <c r="C728" s="724" t="s">
        <v>18</v>
      </c>
      <c r="D728" s="1310" t="s">
        <v>19</v>
      </c>
      <c r="E728" s="1311"/>
      <c r="F728" s="1311"/>
      <c r="G728" s="1312"/>
      <c r="H728" s="780" t="s">
        <v>14</v>
      </c>
      <c r="I728" s="565"/>
      <c r="J728" s="565"/>
      <c r="K728" s="566"/>
      <c r="L728" s="678">
        <f t="shared" ref="L728:N728" si="438">L729+L730</f>
        <v>0</v>
      </c>
      <c r="M728" s="679">
        <f t="shared" si="438"/>
        <v>0</v>
      </c>
      <c r="N728" s="679">
        <f t="shared" si="438"/>
        <v>0</v>
      </c>
      <c r="O728" s="679">
        <f t="shared" ref="O728:O736" si="439">IF(L728&gt;0,N728*100/L728,0)</f>
        <v>0</v>
      </c>
      <c r="P728" s="679">
        <f t="shared" ref="P728:P736" si="440">IF(M728&gt;0,N728*100/M728,0)</f>
        <v>0</v>
      </c>
      <c r="Q728" s="679">
        <f t="shared" ref="Q728:S728" ca="1" si="441">Q729+Q730</f>
        <v>242546</v>
      </c>
      <c r="R728" s="679">
        <f t="shared" ca="1" si="441"/>
        <v>242546</v>
      </c>
      <c r="S728" s="679">
        <f t="shared" ca="1" si="441"/>
        <v>42786</v>
      </c>
      <c r="T728" s="679">
        <f t="shared" ref="T728:T736" ca="1" si="442">IF(Q728&gt;0,S728*100/Q728,0)</f>
        <v>17.640365126615158</v>
      </c>
      <c r="U728" s="679">
        <f t="shared" ref="U728:U736" ca="1" si="443">IF(R728&gt;0,S728*100/R728,0)</f>
        <v>17.640365126615158</v>
      </c>
    </row>
    <row r="729" spans="1:21" ht="18.75" x14ac:dyDescent="0.25">
      <c r="A729" s="674"/>
      <c r="B729" s="718"/>
      <c r="C729" s="718"/>
      <c r="D729" s="695"/>
      <c r="E729" s="569" t="s">
        <v>158</v>
      </c>
      <c r="F729" s="561"/>
      <c r="G729" s="563"/>
      <c r="H729" s="685" t="s">
        <v>14</v>
      </c>
      <c r="I729" s="565"/>
      <c r="J729" s="565"/>
      <c r="K729" s="566"/>
      <c r="L729" s="571">
        <f t="shared" ref="L729:N730" si="444">L732+L735</f>
        <v>0</v>
      </c>
      <c r="M729" s="572">
        <f t="shared" si="444"/>
        <v>0</v>
      </c>
      <c r="N729" s="572">
        <f t="shared" si="444"/>
        <v>0</v>
      </c>
      <c r="O729" s="572">
        <f t="shared" si="439"/>
        <v>0</v>
      </c>
      <c r="P729" s="572">
        <f t="shared" si="440"/>
        <v>0</v>
      </c>
      <c r="Q729" s="572">
        <f t="shared" ref="Q729:S730" si="445">Q732+Q735</f>
        <v>0</v>
      </c>
      <c r="R729" s="572">
        <f t="shared" si="445"/>
        <v>0</v>
      </c>
      <c r="S729" s="572">
        <f t="shared" si="445"/>
        <v>0</v>
      </c>
      <c r="T729" s="572">
        <f t="shared" si="442"/>
        <v>0</v>
      </c>
      <c r="U729" s="572">
        <f t="shared" si="443"/>
        <v>0</v>
      </c>
    </row>
    <row r="730" spans="1:21" ht="18.75" x14ac:dyDescent="0.25">
      <c r="A730" s="674"/>
      <c r="B730" s="718"/>
      <c r="C730" s="718"/>
      <c r="D730" s="695"/>
      <c r="E730" s="573" t="s">
        <v>159</v>
      </c>
      <c r="F730" s="561"/>
      <c r="G730" s="563"/>
      <c r="H730" s="682" t="s">
        <v>14</v>
      </c>
      <c r="I730" s="565"/>
      <c r="J730" s="565"/>
      <c r="K730" s="566"/>
      <c r="L730" s="567">
        <f t="shared" si="444"/>
        <v>0</v>
      </c>
      <c r="M730" s="568">
        <f t="shared" si="444"/>
        <v>0</v>
      </c>
      <c r="N730" s="568">
        <f t="shared" si="444"/>
        <v>0</v>
      </c>
      <c r="O730" s="568">
        <f t="shared" si="439"/>
        <v>0</v>
      </c>
      <c r="P730" s="568">
        <f t="shared" si="440"/>
        <v>0</v>
      </c>
      <c r="Q730" s="568">
        <f t="shared" ca="1" si="445"/>
        <v>242546</v>
      </c>
      <c r="R730" s="568">
        <f t="shared" ca="1" si="445"/>
        <v>242546</v>
      </c>
      <c r="S730" s="568">
        <f t="shared" ca="1" si="445"/>
        <v>42786</v>
      </c>
      <c r="T730" s="568">
        <f t="shared" ca="1" si="442"/>
        <v>17.640365126615158</v>
      </c>
      <c r="U730" s="568">
        <f t="shared" ca="1" si="443"/>
        <v>17.640365126615158</v>
      </c>
    </row>
    <row r="731" spans="1:21" ht="18.75" x14ac:dyDescent="0.25">
      <c r="A731" s="674"/>
      <c r="B731" s="718"/>
      <c r="C731" s="718"/>
      <c r="D731" s="562" t="s">
        <v>22</v>
      </c>
      <c r="E731" s="561"/>
      <c r="F731" s="561"/>
      <c r="G731" s="563"/>
      <c r="H731" s="682" t="s">
        <v>14</v>
      </c>
      <c r="I731" s="683"/>
      <c r="J731" s="683"/>
      <c r="K731" s="684"/>
      <c r="L731" s="567">
        <f t="shared" ref="L731:N731" si="446">L732+L733</f>
        <v>0</v>
      </c>
      <c r="M731" s="568">
        <f t="shared" si="446"/>
        <v>0</v>
      </c>
      <c r="N731" s="568">
        <f t="shared" si="446"/>
        <v>0</v>
      </c>
      <c r="O731" s="568">
        <f t="shared" si="439"/>
        <v>0</v>
      </c>
      <c r="P731" s="568">
        <f t="shared" si="440"/>
        <v>0</v>
      </c>
      <c r="Q731" s="568">
        <f t="shared" ref="Q731:S731" ca="1" si="447">Q732+Q733</f>
        <v>242546</v>
      </c>
      <c r="R731" s="568">
        <f t="shared" ca="1" si="447"/>
        <v>242546</v>
      </c>
      <c r="S731" s="568">
        <f t="shared" ca="1" si="447"/>
        <v>42786</v>
      </c>
      <c r="T731" s="568">
        <f t="shared" ca="1" si="442"/>
        <v>17.640365126615158</v>
      </c>
      <c r="U731" s="568">
        <f t="shared" ca="1" si="443"/>
        <v>17.640365126615158</v>
      </c>
    </row>
    <row r="732" spans="1:21" ht="18.75" x14ac:dyDescent="0.25">
      <c r="A732" s="674"/>
      <c r="B732" s="718"/>
      <c r="C732" s="718"/>
      <c r="D732" s="695"/>
      <c r="E732" s="569" t="s">
        <v>158</v>
      </c>
      <c r="F732" s="561"/>
      <c r="G732" s="563"/>
      <c r="H732" s="685" t="s">
        <v>14</v>
      </c>
      <c r="I732" s="565"/>
      <c r="J732" s="565"/>
      <c r="K732" s="566"/>
      <c r="L732" s="571">
        <v>0</v>
      </c>
      <c r="M732" s="572">
        <v>0</v>
      </c>
      <c r="N732" s="572">
        <v>0</v>
      </c>
      <c r="O732" s="572">
        <f t="shared" si="439"/>
        <v>0</v>
      </c>
      <c r="P732" s="572">
        <f t="shared" si="440"/>
        <v>0</v>
      </c>
      <c r="Q732" s="572">
        <v>0</v>
      </c>
      <c r="R732" s="572">
        <v>0</v>
      </c>
      <c r="S732" s="572">
        <v>0</v>
      </c>
      <c r="T732" s="572">
        <f t="shared" si="442"/>
        <v>0</v>
      </c>
      <c r="U732" s="572">
        <f t="shared" si="443"/>
        <v>0</v>
      </c>
    </row>
    <row r="733" spans="1:21" ht="18.75" x14ac:dyDescent="0.25">
      <c r="A733" s="674"/>
      <c r="B733" s="718"/>
      <c r="C733" s="718"/>
      <c r="D733" s="695"/>
      <c r="E733" s="573" t="s">
        <v>159</v>
      </c>
      <c r="F733" s="561"/>
      <c r="G733" s="563"/>
      <c r="H733" s="682" t="s">
        <v>14</v>
      </c>
      <c r="I733" s="565"/>
      <c r="J733" s="565"/>
      <c r="K733" s="566"/>
      <c r="L733" s="567">
        <v>0</v>
      </c>
      <c r="M733" s="568">
        <v>0</v>
      </c>
      <c r="N733" s="568">
        <v>0</v>
      </c>
      <c r="O733" s="568">
        <f t="shared" si="439"/>
        <v>0</v>
      </c>
      <c r="P733" s="568">
        <f t="shared" si="440"/>
        <v>0</v>
      </c>
      <c r="Q733" s="568">
        <f ca="1">IFERROR(__xludf.DUMMYFUNCTION("IMPORTRANGE(""https://docs.google.com/spreadsheets/d/1ItG2mGa2ceCfYo0BwxsXqNm01IGEUdYcSSLTEv9YCik/edit?usp=sharing"",""เบิกจ่ายกองทุน!O17"")"),242546)</f>
        <v>242546</v>
      </c>
      <c r="R733" s="568">
        <f ca="1">IFERROR(__xludf.DUMMYFUNCTION("IMPORTRANGE(""https://docs.google.com/spreadsheets/d/1ItG2mGa2ceCfYo0BwxsXqNm01IGEUdYcSSLTEv9YCik/edit?usp=sharing"",""เบิกจ่ายกองทุน!P17"")"),242546)</f>
        <v>242546</v>
      </c>
      <c r="S733" s="568">
        <f ca="1">IFERROR(__xludf.DUMMYFUNCTION("IMPORTRANGE(""https://docs.google.com/spreadsheets/d/1ItG2mGa2ceCfYo0BwxsXqNm01IGEUdYcSSLTEv9YCik/edit?usp=sharing"",""เบิกจ่ายกองทุน!Q17"")"),42786)</f>
        <v>42786</v>
      </c>
      <c r="T733" s="568">
        <f t="shared" ca="1" si="442"/>
        <v>17.640365126615158</v>
      </c>
      <c r="U733" s="568">
        <f t="shared" ca="1" si="443"/>
        <v>17.640365126615158</v>
      </c>
    </row>
    <row r="734" spans="1:21" ht="18.75" x14ac:dyDescent="0.25">
      <c r="A734" s="674"/>
      <c r="B734" s="718"/>
      <c r="C734" s="718"/>
      <c r="D734" s="562" t="s">
        <v>23</v>
      </c>
      <c r="E734" s="718"/>
      <c r="F734" s="718"/>
      <c r="G734" s="563"/>
      <c r="H734" s="686" t="s">
        <v>14</v>
      </c>
      <c r="I734" s="683"/>
      <c r="J734" s="683"/>
      <c r="K734" s="684"/>
      <c r="L734" s="567">
        <f t="shared" ref="L734:N734" si="448">L735+L736</f>
        <v>0</v>
      </c>
      <c r="M734" s="568">
        <f t="shared" si="448"/>
        <v>0</v>
      </c>
      <c r="N734" s="568">
        <f t="shared" si="448"/>
        <v>0</v>
      </c>
      <c r="O734" s="568">
        <f t="shared" si="439"/>
        <v>0</v>
      </c>
      <c r="P734" s="568">
        <f t="shared" si="440"/>
        <v>0</v>
      </c>
      <c r="Q734" s="568">
        <f t="shared" ref="Q734:S734" si="449">Q735+Q736</f>
        <v>0</v>
      </c>
      <c r="R734" s="568">
        <f t="shared" si="449"/>
        <v>0</v>
      </c>
      <c r="S734" s="568">
        <f t="shared" si="449"/>
        <v>0</v>
      </c>
      <c r="T734" s="568">
        <f t="shared" si="442"/>
        <v>0</v>
      </c>
      <c r="U734" s="568">
        <f t="shared" si="443"/>
        <v>0</v>
      </c>
    </row>
    <row r="735" spans="1:21" ht="18.75" x14ac:dyDescent="0.25">
      <c r="A735" s="674"/>
      <c r="B735" s="718"/>
      <c r="C735" s="718"/>
      <c r="D735" s="718"/>
      <c r="E735" s="767" t="s">
        <v>20</v>
      </c>
      <c r="F735" s="718"/>
      <c r="G735" s="563"/>
      <c r="H735" s="685" t="s">
        <v>14</v>
      </c>
      <c r="I735" s="683"/>
      <c r="J735" s="683"/>
      <c r="K735" s="684"/>
      <c r="L735" s="571">
        <v>0</v>
      </c>
      <c r="M735" s="572">
        <v>0</v>
      </c>
      <c r="N735" s="572">
        <v>0</v>
      </c>
      <c r="O735" s="572">
        <f t="shared" si="439"/>
        <v>0</v>
      </c>
      <c r="P735" s="572">
        <f t="shared" si="440"/>
        <v>0</v>
      </c>
      <c r="Q735" s="572">
        <v>0</v>
      </c>
      <c r="R735" s="572">
        <v>0</v>
      </c>
      <c r="S735" s="572">
        <v>0</v>
      </c>
      <c r="T735" s="572">
        <f t="shared" si="442"/>
        <v>0</v>
      </c>
      <c r="U735" s="572">
        <f t="shared" si="443"/>
        <v>0</v>
      </c>
    </row>
    <row r="736" spans="1:21" ht="18.75" x14ac:dyDescent="0.25">
      <c r="A736" s="674"/>
      <c r="B736" s="718"/>
      <c r="C736" s="718"/>
      <c r="D736" s="718"/>
      <c r="E736" s="765" t="s">
        <v>21</v>
      </c>
      <c r="F736" s="718"/>
      <c r="G736" s="563"/>
      <c r="H736" s="686" t="s">
        <v>14</v>
      </c>
      <c r="I736" s="683"/>
      <c r="J736" s="683"/>
      <c r="K736" s="684"/>
      <c r="L736" s="567">
        <v>0</v>
      </c>
      <c r="M736" s="568">
        <v>0</v>
      </c>
      <c r="N736" s="568">
        <v>0</v>
      </c>
      <c r="O736" s="568">
        <f t="shared" si="439"/>
        <v>0</v>
      </c>
      <c r="P736" s="568">
        <f t="shared" si="440"/>
        <v>0</v>
      </c>
      <c r="Q736" s="568">
        <v>0</v>
      </c>
      <c r="R736" s="568">
        <v>0</v>
      </c>
      <c r="S736" s="568">
        <v>0</v>
      </c>
      <c r="T736" s="568">
        <f t="shared" si="442"/>
        <v>0</v>
      </c>
      <c r="U736" s="568">
        <f t="shared" si="443"/>
        <v>0</v>
      </c>
    </row>
    <row r="737" spans="1:21" ht="19.5" x14ac:dyDescent="0.3">
      <c r="A737" s="687"/>
      <c r="B737" s="688"/>
      <c r="C737" s="724" t="s">
        <v>18</v>
      </c>
      <c r="D737" s="956" t="s">
        <v>38</v>
      </c>
      <c r="E737" s="758"/>
      <c r="F737" s="690"/>
      <c r="G737" s="691"/>
      <c r="H737" s="725"/>
      <c r="I737" s="565"/>
      <c r="J737" s="565"/>
      <c r="K737" s="566"/>
      <c r="L737" s="574"/>
      <c r="M737" s="566"/>
      <c r="N737" s="566"/>
      <c r="O737" s="566"/>
      <c r="P737" s="566"/>
      <c r="Q737" s="566"/>
      <c r="R737" s="566"/>
      <c r="S737" s="566"/>
      <c r="T737" s="566"/>
      <c r="U737" s="566"/>
    </row>
    <row r="738" spans="1:21" ht="19.5" x14ac:dyDescent="0.3">
      <c r="A738" s="687"/>
      <c r="B738" s="688"/>
      <c r="C738" s="688"/>
      <c r="D738" s="1103" t="s">
        <v>121</v>
      </c>
      <c r="E738" s="688"/>
      <c r="F738" s="688"/>
      <c r="G738" s="692"/>
      <c r="H738" s="727"/>
      <c r="I738" s="565"/>
      <c r="J738" s="565"/>
      <c r="K738" s="566"/>
      <c r="L738" s="574"/>
      <c r="M738" s="566"/>
      <c r="N738" s="566"/>
      <c r="O738" s="566"/>
      <c r="P738" s="566"/>
      <c r="Q738" s="566"/>
      <c r="R738" s="566"/>
      <c r="S738" s="566"/>
      <c r="T738" s="566"/>
      <c r="U738" s="566"/>
    </row>
    <row r="739" spans="1:21" ht="18.75" x14ac:dyDescent="0.25">
      <c r="A739" s="849"/>
      <c r="B739" s="850"/>
      <c r="C739" s="850"/>
      <c r="D739" s="850"/>
      <c r="E739" s="1104" t="s">
        <v>270</v>
      </c>
      <c r="F739" s="850"/>
      <c r="G739" s="852"/>
      <c r="H739" s="959"/>
      <c r="I739" s="829"/>
      <c r="J739" s="829"/>
      <c r="K739" s="830"/>
      <c r="L739" s="1106"/>
      <c r="M739" s="830"/>
      <c r="N739" s="830"/>
      <c r="O739" s="830"/>
      <c r="P739" s="830"/>
      <c r="Q739" s="830"/>
      <c r="R739" s="830"/>
      <c r="S739" s="830"/>
      <c r="T739" s="830"/>
      <c r="U739" s="830"/>
    </row>
    <row r="740" spans="1:21" ht="18.75" x14ac:dyDescent="0.25">
      <c r="A740" s="849"/>
      <c r="B740" s="850"/>
      <c r="C740" s="850"/>
      <c r="D740" s="850"/>
      <c r="E740" s="850"/>
      <c r="F740" s="1104" t="s">
        <v>271</v>
      </c>
      <c r="G740" s="852"/>
      <c r="H740" s="839" t="s">
        <v>46</v>
      </c>
      <c r="I740" s="960">
        <f ca="1">IFERROR(__xludf.DUMMYFUNCTION("IMPORTRANGE(""https://docs.google.com/spreadsheets/d/1eHaY18a8A9IcSdp1K8H6x8fbOy06t2VsZHhMHf-1x7Y/edit?usp=sharing"",""แผน!GB17"")"),240)</f>
        <v>240</v>
      </c>
      <c r="J740" s="1105">
        <v>0</v>
      </c>
      <c r="K740" s="841">
        <f ca="1">IF(I740&gt;0,J740*100/I740,0)</f>
        <v>0</v>
      </c>
      <c r="L740" s="1106"/>
      <c r="M740" s="830"/>
      <c r="N740" s="830"/>
      <c r="O740" s="830"/>
      <c r="P740" s="830"/>
      <c r="Q740" s="830"/>
      <c r="R740" s="830"/>
      <c r="S740" s="830"/>
      <c r="T740" s="830"/>
      <c r="U740" s="830"/>
    </row>
    <row r="741" spans="1:21" ht="18.75" x14ac:dyDescent="0.25">
      <c r="A741" s="849"/>
      <c r="B741" s="850"/>
      <c r="C741" s="850"/>
      <c r="D741" s="850"/>
      <c r="E741" s="850"/>
      <c r="F741" s="1104" t="s">
        <v>306</v>
      </c>
      <c r="G741" s="852"/>
      <c r="H741" s="839" t="s">
        <v>35</v>
      </c>
      <c r="I741" s="829"/>
      <c r="J741" s="1105">
        <v>0</v>
      </c>
      <c r="K741" s="830"/>
      <c r="L741" s="1106"/>
      <c r="M741" s="830"/>
      <c r="N741" s="830"/>
      <c r="O741" s="830"/>
      <c r="P741" s="830"/>
      <c r="Q741" s="830"/>
      <c r="R741" s="830"/>
      <c r="S741" s="830"/>
      <c r="T741" s="830"/>
      <c r="U741" s="830"/>
    </row>
    <row r="742" spans="1:21" ht="18.75" x14ac:dyDescent="0.25">
      <c r="A742" s="849"/>
      <c r="B742" s="850"/>
      <c r="C742" s="850"/>
      <c r="D742" s="850"/>
      <c r="E742" s="850"/>
      <c r="F742" s="1104" t="s">
        <v>307</v>
      </c>
      <c r="G742" s="852"/>
      <c r="H742" s="839" t="s">
        <v>35</v>
      </c>
      <c r="I742" s="960">
        <f ca="1">IFERROR(__xludf.DUMMYFUNCTION("IMPORTRANGE(""https://docs.google.com/spreadsheets/d/1eHaY18a8A9IcSdp1K8H6x8fbOy06t2VsZHhMHf-1x7Y/edit?usp=sharing"",""แผน!GC17"")"),24)</f>
        <v>24</v>
      </c>
      <c r="J742" s="1105">
        <v>24</v>
      </c>
      <c r="K742" s="841">
        <f ca="1">IF(I742&gt;0,J742*100/I742,0)</f>
        <v>100</v>
      </c>
      <c r="L742" s="1106"/>
      <c r="M742" s="830"/>
      <c r="N742" s="830"/>
      <c r="O742" s="830"/>
      <c r="P742" s="830"/>
      <c r="Q742" s="830"/>
      <c r="R742" s="830"/>
      <c r="S742" s="830"/>
      <c r="T742" s="830"/>
      <c r="U742" s="830"/>
    </row>
    <row r="743" spans="1:21" ht="18.75" x14ac:dyDescent="0.25">
      <c r="A743" s="849"/>
      <c r="B743" s="850"/>
      <c r="C743" s="850"/>
      <c r="D743" s="850"/>
      <c r="E743" s="1104" t="s">
        <v>274</v>
      </c>
      <c r="F743" s="850"/>
      <c r="G743" s="852"/>
      <c r="H743" s="959"/>
      <c r="I743" s="829"/>
      <c r="J743" s="829"/>
      <c r="K743" s="830"/>
      <c r="L743" s="1106"/>
      <c r="M743" s="830"/>
      <c r="N743" s="830"/>
      <c r="O743" s="830"/>
      <c r="P743" s="830"/>
      <c r="Q743" s="830"/>
      <c r="R743" s="830"/>
      <c r="S743" s="830"/>
      <c r="T743" s="830"/>
      <c r="U743" s="830"/>
    </row>
    <row r="744" spans="1:21" ht="18.75" x14ac:dyDescent="0.25">
      <c r="A744" s="849"/>
      <c r="B744" s="850"/>
      <c r="C744" s="850"/>
      <c r="D744" s="850"/>
      <c r="E744" s="850"/>
      <c r="F744" s="1104" t="s">
        <v>271</v>
      </c>
      <c r="G744" s="852"/>
      <c r="H744" s="839" t="s">
        <v>46</v>
      </c>
      <c r="I744" s="960">
        <f ca="1">IFERROR(__xludf.DUMMYFUNCTION("IMPORTRANGE(""https://docs.google.com/spreadsheets/d/1eHaY18a8A9IcSdp1K8H6x8fbOy06t2VsZHhMHf-1x7Y/edit?usp=sharing"",""แผน!GD17"")"),60)</f>
        <v>60</v>
      </c>
      <c r="J744" s="1105">
        <v>0</v>
      </c>
      <c r="K744" s="841">
        <f ca="1">IF(I744&gt;0,J744*100/I744,0)</f>
        <v>0</v>
      </c>
      <c r="L744" s="1106"/>
      <c r="M744" s="830"/>
      <c r="N744" s="830"/>
      <c r="O744" s="830"/>
      <c r="P744" s="830"/>
      <c r="Q744" s="830"/>
      <c r="R744" s="830"/>
      <c r="S744" s="830"/>
      <c r="T744" s="830"/>
      <c r="U744" s="830"/>
    </row>
    <row r="745" spans="1:21" ht="18.75" x14ac:dyDescent="0.25">
      <c r="A745" s="849"/>
      <c r="B745" s="850"/>
      <c r="C745" s="850"/>
      <c r="D745" s="850"/>
      <c r="E745" s="850"/>
      <c r="F745" s="1104" t="s">
        <v>308</v>
      </c>
      <c r="G745" s="852"/>
      <c r="H745" s="839" t="s">
        <v>35</v>
      </c>
      <c r="I745" s="829"/>
      <c r="J745" s="1105">
        <v>0</v>
      </c>
      <c r="K745" s="830"/>
      <c r="L745" s="1106"/>
      <c r="M745" s="830"/>
      <c r="N745" s="830"/>
      <c r="O745" s="830"/>
      <c r="P745" s="830"/>
      <c r="Q745" s="830"/>
      <c r="R745" s="830"/>
      <c r="S745" s="830"/>
      <c r="T745" s="830"/>
      <c r="U745" s="830"/>
    </row>
    <row r="746" spans="1:21" ht="18.75" x14ac:dyDescent="0.25">
      <c r="A746" s="849"/>
      <c r="B746" s="850"/>
      <c r="C746" s="850"/>
      <c r="D746" s="850"/>
      <c r="E746" s="850"/>
      <c r="F746" s="1104" t="s">
        <v>309</v>
      </c>
      <c r="G746" s="852"/>
      <c r="H746" s="839" t="s">
        <v>35</v>
      </c>
      <c r="I746" s="960">
        <f ca="1">IFERROR(__xludf.DUMMYFUNCTION("IMPORTRANGE(""https://docs.google.com/spreadsheets/d/1eHaY18a8A9IcSdp1K8H6x8fbOy06t2VsZHhMHf-1x7Y/edit?usp=sharing"",""แผน!GE17"")"),6)</f>
        <v>6</v>
      </c>
      <c r="J746" s="1105">
        <v>6</v>
      </c>
      <c r="K746" s="841">
        <f ca="1">IF(I746&gt;0,J746*100/I746,0)</f>
        <v>100</v>
      </c>
      <c r="L746" s="1106"/>
      <c r="M746" s="830"/>
      <c r="N746" s="830"/>
      <c r="O746" s="830"/>
      <c r="P746" s="830"/>
      <c r="Q746" s="830"/>
      <c r="R746" s="830"/>
      <c r="S746" s="830"/>
      <c r="T746" s="830"/>
      <c r="U746" s="830"/>
    </row>
    <row r="747" spans="1:21" ht="18.75" x14ac:dyDescent="0.25">
      <c r="A747" s="849"/>
      <c r="B747" s="850"/>
      <c r="C747" s="850"/>
      <c r="D747" s="850"/>
      <c r="E747" s="1104" t="s">
        <v>277</v>
      </c>
      <c r="F747" s="1107"/>
      <c r="G747" s="852"/>
      <c r="H747" s="959"/>
      <c r="I747" s="829"/>
      <c r="J747" s="829"/>
      <c r="K747" s="830"/>
      <c r="L747" s="1106"/>
      <c r="M747" s="830"/>
      <c r="N747" s="830"/>
      <c r="O747" s="830"/>
      <c r="P747" s="830"/>
      <c r="Q747" s="830"/>
      <c r="R747" s="830"/>
      <c r="S747" s="830"/>
      <c r="T747" s="830"/>
      <c r="U747" s="830"/>
    </row>
    <row r="748" spans="1:21" ht="18.75" x14ac:dyDescent="0.25">
      <c r="A748" s="849"/>
      <c r="B748" s="850"/>
      <c r="C748" s="850"/>
      <c r="D748" s="850"/>
      <c r="E748" s="850"/>
      <c r="F748" s="1104" t="s">
        <v>310</v>
      </c>
      <c r="G748" s="852"/>
      <c r="H748" s="839" t="s">
        <v>35</v>
      </c>
      <c r="I748" s="829"/>
      <c r="J748" s="1105">
        <v>0</v>
      </c>
      <c r="K748" s="830"/>
      <c r="L748" s="1106"/>
      <c r="M748" s="830"/>
      <c r="N748" s="830"/>
      <c r="O748" s="830"/>
      <c r="P748" s="830"/>
      <c r="Q748" s="830"/>
      <c r="R748" s="830"/>
      <c r="S748" s="830"/>
      <c r="T748" s="830"/>
      <c r="U748" s="830"/>
    </row>
    <row r="749" spans="1:21" ht="18.75" x14ac:dyDescent="0.25">
      <c r="A749" s="849"/>
      <c r="B749" s="850"/>
      <c r="C749" s="850"/>
      <c r="D749" s="850"/>
      <c r="E749" s="850"/>
      <c r="F749" s="1104" t="s">
        <v>311</v>
      </c>
      <c r="G749" s="852"/>
      <c r="H749" s="839" t="s">
        <v>35</v>
      </c>
      <c r="I749" s="960">
        <f ca="1">IFERROR(__xludf.DUMMYFUNCTION("IMPORTRANGE(""https://docs.google.com/spreadsheets/d/1eHaY18a8A9IcSdp1K8H6x8fbOy06t2VsZHhMHf-1x7Y/edit?usp=sharing"",""แผน!GF17"")"),1)</f>
        <v>1</v>
      </c>
      <c r="J749" s="1105">
        <v>1</v>
      </c>
      <c r="K749" s="841">
        <f ca="1">IF(I749&gt;0,J749*100/I749,0)</f>
        <v>100</v>
      </c>
      <c r="L749" s="1106"/>
      <c r="M749" s="830"/>
      <c r="N749" s="830"/>
      <c r="O749" s="830"/>
      <c r="P749" s="830"/>
      <c r="Q749" s="830"/>
      <c r="R749" s="830"/>
      <c r="S749" s="830"/>
      <c r="T749" s="830"/>
      <c r="U749" s="830"/>
    </row>
    <row r="750" spans="1:21" ht="19.5" x14ac:dyDescent="0.3">
      <c r="A750" s="849"/>
      <c r="B750" s="850"/>
      <c r="C750" s="850"/>
      <c r="D750" s="1108" t="s">
        <v>50</v>
      </c>
      <c r="E750" s="850"/>
      <c r="F750" s="1107"/>
      <c r="G750" s="852"/>
      <c r="H750" s="959"/>
      <c r="I750" s="829"/>
      <c r="J750" s="829"/>
      <c r="K750" s="830"/>
      <c r="L750" s="1106"/>
      <c r="M750" s="830"/>
      <c r="N750" s="830"/>
      <c r="O750" s="830"/>
      <c r="P750" s="830"/>
      <c r="Q750" s="830"/>
      <c r="R750" s="830"/>
      <c r="S750" s="830"/>
      <c r="T750" s="830"/>
      <c r="U750" s="830"/>
    </row>
    <row r="751" spans="1:21" ht="18.75" x14ac:dyDescent="0.25">
      <c r="A751" s="849"/>
      <c r="B751" s="850"/>
      <c r="C751" s="850"/>
      <c r="D751" s="850"/>
      <c r="E751" s="1104" t="s">
        <v>270</v>
      </c>
      <c r="F751" s="1107"/>
      <c r="G751" s="852"/>
      <c r="H751" s="959"/>
      <c r="I751" s="829"/>
      <c r="J751" s="829"/>
      <c r="K751" s="830"/>
      <c r="L751" s="1106"/>
      <c r="M751" s="830"/>
      <c r="N751" s="830"/>
      <c r="O751" s="830"/>
      <c r="P751" s="830"/>
      <c r="Q751" s="830"/>
      <c r="R751" s="830"/>
      <c r="S751" s="830"/>
      <c r="T751" s="830"/>
      <c r="U751" s="830"/>
    </row>
    <row r="752" spans="1:21" ht="18.75" x14ac:dyDescent="0.25">
      <c r="A752" s="849"/>
      <c r="B752" s="850"/>
      <c r="C752" s="850"/>
      <c r="D752" s="850"/>
      <c r="E752" s="850"/>
      <c r="F752" s="1109" t="s">
        <v>312</v>
      </c>
      <c r="G752" s="852"/>
      <c r="H752" s="839" t="s">
        <v>46</v>
      </c>
      <c r="I752" s="960">
        <f ca="1">IFERROR(__xludf.DUMMYFUNCTION("IMPORTRANGE(""https://docs.google.com/spreadsheets/d/1eHaY18a8A9IcSdp1K8H6x8fbOy06t2VsZHhMHf-1x7Y/edit?usp=sharing"",""แผน!GB17"")"),240)</f>
        <v>240</v>
      </c>
      <c r="J752" s="1105">
        <v>0</v>
      </c>
      <c r="K752" s="841">
        <f ca="1">IF(I752&gt;0,J752*100/I752,0)</f>
        <v>0</v>
      </c>
      <c r="L752" s="1106"/>
      <c r="M752" s="830"/>
      <c r="N752" s="830"/>
      <c r="O752" s="830"/>
      <c r="P752" s="830"/>
      <c r="Q752" s="830"/>
      <c r="R752" s="830"/>
      <c r="S752" s="830"/>
      <c r="T752" s="830"/>
      <c r="U752" s="830"/>
    </row>
    <row r="753" spans="1:21" ht="18.75" x14ac:dyDescent="0.25">
      <c r="A753" s="849"/>
      <c r="B753" s="850"/>
      <c r="C753" s="850"/>
      <c r="D753" s="850"/>
      <c r="E753" s="850"/>
      <c r="F753" s="1109" t="s">
        <v>313</v>
      </c>
      <c r="G753" s="852"/>
      <c r="H753" s="839" t="s">
        <v>46</v>
      </c>
      <c r="I753" s="829"/>
      <c r="J753" s="1105">
        <v>0</v>
      </c>
      <c r="K753" s="830"/>
      <c r="L753" s="1106"/>
      <c r="M753" s="830"/>
      <c r="N753" s="830"/>
      <c r="O753" s="830"/>
      <c r="P753" s="830"/>
      <c r="Q753" s="830"/>
      <c r="R753" s="830"/>
      <c r="S753" s="830"/>
      <c r="T753" s="830"/>
      <c r="U753" s="830"/>
    </row>
    <row r="754" spans="1:21" ht="18.75" x14ac:dyDescent="0.25">
      <c r="A754" s="849"/>
      <c r="B754" s="850"/>
      <c r="C754" s="850"/>
      <c r="D754" s="850"/>
      <c r="E754" s="1104" t="s">
        <v>274</v>
      </c>
      <c r="F754" s="1107"/>
      <c r="G754" s="852"/>
      <c r="H754" s="959"/>
      <c r="I754" s="829"/>
      <c r="J754" s="829"/>
      <c r="K754" s="830"/>
      <c r="L754" s="1106"/>
      <c r="M754" s="830"/>
      <c r="N754" s="830"/>
      <c r="O754" s="830"/>
      <c r="P754" s="830"/>
      <c r="Q754" s="830"/>
      <c r="R754" s="830"/>
      <c r="S754" s="830"/>
      <c r="T754" s="830"/>
      <c r="U754" s="830"/>
    </row>
    <row r="755" spans="1:21" ht="18.75" x14ac:dyDescent="0.25">
      <c r="A755" s="849"/>
      <c r="B755" s="850"/>
      <c r="C755" s="850"/>
      <c r="D755" s="850"/>
      <c r="E755" s="1107"/>
      <c r="F755" s="1109" t="s">
        <v>314</v>
      </c>
      <c r="G755" s="852"/>
      <c r="H755" s="839" t="s">
        <v>46</v>
      </c>
      <c r="I755" s="960">
        <f ca="1">IFERROR(__xludf.DUMMYFUNCTION("IMPORTRANGE(""https://docs.google.com/spreadsheets/d/1eHaY18a8A9IcSdp1K8H6x8fbOy06t2VsZHhMHf-1x7Y/edit?usp=sharing"",""แผน!GD17"")"),60)</f>
        <v>60</v>
      </c>
      <c r="J755" s="1105">
        <v>0</v>
      </c>
      <c r="K755" s="841">
        <f ca="1">IF(I755&gt;0,J755*100/I755,0)</f>
        <v>0</v>
      </c>
      <c r="L755" s="1106"/>
      <c r="M755" s="830"/>
      <c r="N755" s="830"/>
      <c r="O755" s="830"/>
      <c r="P755" s="830"/>
      <c r="Q755" s="830"/>
      <c r="R755" s="830"/>
      <c r="S755" s="830"/>
      <c r="T755" s="830"/>
      <c r="U755" s="830"/>
    </row>
    <row r="756" spans="1:21" ht="18.75" x14ac:dyDescent="0.25">
      <c r="A756" s="849"/>
      <c r="B756" s="850"/>
      <c r="C756" s="850"/>
      <c r="D756" s="850"/>
      <c r="E756" s="1107"/>
      <c r="F756" s="1109" t="s">
        <v>315</v>
      </c>
      <c r="G756" s="852"/>
      <c r="H756" s="839" t="s">
        <v>46</v>
      </c>
      <c r="I756" s="829"/>
      <c r="J756" s="1105">
        <v>0</v>
      </c>
      <c r="K756" s="830"/>
      <c r="L756" s="1106"/>
      <c r="M756" s="830"/>
      <c r="N756" s="830"/>
      <c r="O756" s="830"/>
      <c r="P756" s="830"/>
      <c r="Q756" s="830"/>
      <c r="R756" s="830"/>
      <c r="S756" s="830"/>
      <c r="T756" s="830"/>
      <c r="U756" s="830"/>
    </row>
    <row r="757" spans="1:21" ht="18.75" x14ac:dyDescent="0.25">
      <c r="A757" s="1110"/>
      <c r="B757" s="1110"/>
      <c r="C757" s="1110"/>
      <c r="D757" s="1110"/>
      <c r="E757" s="1111" t="s">
        <v>284</v>
      </c>
      <c r="F757" s="1112"/>
      <c r="G757" s="1113"/>
      <c r="H757" s="1114" t="s">
        <v>35</v>
      </c>
      <c r="I757" s="1115"/>
      <c r="J757" s="861">
        <v>0</v>
      </c>
      <c r="K757" s="1116"/>
      <c r="L757" s="1116"/>
      <c r="M757" s="1116"/>
      <c r="N757" s="1116"/>
      <c r="O757" s="1116"/>
      <c r="P757" s="1116"/>
      <c r="Q757" s="1116"/>
      <c r="R757" s="1116"/>
      <c r="S757" s="1116"/>
      <c r="T757" s="1116"/>
      <c r="U757" s="1116"/>
    </row>
    <row r="758" spans="1:21" ht="19.5" hidden="1" x14ac:dyDescent="0.3">
      <c r="A758" s="1061"/>
      <c r="B758" s="1062" t="s">
        <v>285</v>
      </c>
      <c r="C758" s="1061"/>
      <c r="D758" s="1063"/>
      <c r="E758" s="1063"/>
      <c r="F758" s="1063"/>
      <c r="G758" s="1064"/>
      <c r="H758" s="1092" t="s">
        <v>35</v>
      </c>
      <c r="I758" s="1093">
        <f t="shared" ref="I758:J758" ca="1" si="450">I772</f>
        <v>0</v>
      </c>
      <c r="J758" s="1093">
        <f t="shared" si="450"/>
        <v>0</v>
      </c>
      <c r="K758" s="1094">
        <f t="shared" ref="K758:K759" ca="1" si="451">IF(I758&gt;0,J758*100/I758,0)</f>
        <v>0</v>
      </c>
      <c r="L758" s="1068"/>
      <c r="M758" s="1067"/>
      <c r="N758" s="1067"/>
      <c r="O758" s="1067"/>
      <c r="P758" s="1067"/>
      <c r="Q758" s="1067"/>
      <c r="R758" s="1067"/>
      <c r="S758" s="1067"/>
      <c r="T758" s="1067"/>
      <c r="U758" s="1067"/>
    </row>
    <row r="759" spans="1:21" ht="19.5" hidden="1" x14ac:dyDescent="0.3">
      <c r="A759" s="1102"/>
      <c r="B759" s="1061"/>
      <c r="C759" s="1061"/>
      <c r="D759" s="1063"/>
      <c r="E759" s="1063"/>
      <c r="F759" s="1063"/>
      <c r="G759" s="1064"/>
      <c r="H759" s="1092" t="s">
        <v>46</v>
      </c>
      <c r="I759" s="1093">
        <f t="shared" ref="I759:J759" ca="1" si="452">I774</f>
        <v>0</v>
      </c>
      <c r="J759" s="1093">
        <f t="shared" si="452"/>
        <v>0</v>
      </c>
      <c r="K759" s="1094">
        <f t="shared" ca="1" si="451"/>
        <v>0</v>
      </c>
      <c r="L759" s="1068"/>
      <c r="M759" s="1067"/>
      <c r="N759" s="1067"/>
      <c r="O759" s="1067"/>
      <c r="P759" s="1067"/>
      <c r="Q759" s="1067"/>
      <c r="R759" s="1067"/>
      <c r="S759" s="1067"/>
      <c r="T759" s="1067"/>
      <c r="U759" s="1067"/>
    </row>
    <row r="760" spans="1:21" ht="19.5" hidden="1" x14ac:dyDescent="0.3">
      <c r="A760" s="674"/>
      <c r="B760" s="718"/>
      <c r="C760" s="724" t="s">
        <v>18</v>
      </c>
      <c r="D760" s="1310" t="s">
        <v>19</v>
      </c>
      <c r="E760" s="1311"/>
      <c r="F760" s="1311"/>
      <c r="G760" s="1312"/>
      <c r="H760" s="780" t="s">
        <v>14</v>
      </c>
      <c r="I760" s="565"/>
      <c r="J760" s="565"/>
      <c r="K760" s="566"/>
      <c r="L760" s="678">
        <f t="shared" ref="L760:N760" si="453">L761+L762</f>
        <v>0</v>
      </c>
      <c r="M760" s="679">
        <f t="shared" si="453"/>
        <v>0</v>
      </c>
      <c r="N760" s="679">
        <f t="shared" si="453"/>
        <v>0</v>
      </c>
      <c r="O760" s="679">
        <f t="shared" ref="O760:O768" si="454">IF(L760&gt;0,N760*100/L760,0)</f>
        <v>0</v>
      </c>
      <c r="P760" s="679">
        <f t="shared" ref="P760:P768" si="455">IF(M760&gt;0,N760*100/M760,0)</f>
        <v>0</v>
      </c>
      <c r="Q760" s="679">
        <f t="shared" ref="Q760:S760" ca="1" si="456">Q761+Q762</f>
        <v>0</v>
      </c>
      <c r="R760" s="679">
        <f t="shared" ca="1" si="456"/>
        <v>0</v>
      </c>
      <c r="S760" s="679">
        <f t="shared" ca="1" si="456"/>
        <v>0</v>
      </c>
      <c r="T760" s="679">
        <f t="shared" ref="T760:T768" ca="1" si="457">IF(Q760&gt;0,S760*100/Q760,0)</f>
        <v>0</v>
      </c>
      <c r="U760" s="679">
        <f t="shared" ref="U760:U768" ca="1" si="458">IF(R760&gt;0,S760*100/R760,0)</f>
        <v>0</v>
      </c>
    </row>
    <row r="761" spans="1:21" ht="18.75" hidden="1" x14ac:dyDescent="0.25">
      <c r="A761" s="674"/>
      <c r="B761" s="718"/>
      <c r="C761" s="718"/>
      <c r="D761" s="695"/>
      <c r="E761" s="569" t="s">
        <v>158</v>
      </c>
      <c r="F761" s="561"/>
      <c r="G761" s="563"/>
      <c r="H761" s="685" t="s">
        <v>14</v>
      </c>
      <c r="I761" s="565"/>
      <c r="J761" s="565"/>
      <c r="K761" s="566"/>
      <c r="L761" s="571">
        <f t="shared" ref="L761:N762" si="459">L764+L767</f>
        <v>0</v>
      </c>
      <c r="M761" s="572">
        <f t="shared" si="459"/>
        <v>0</v>
      </c>
      <c r="N761" s="572">
        <f t="shared" si="459"/>
        <v>0</v>
      </c>
      <c r="O761" s="572">
        <f t="shared" si="454"/>
        <v>0</v>
      </c>
      <c r="P761" s="572">
        <f t="shared" si="455"/>
        <v>0</v>
      </c>
      <c r="Q761" s="572">
        <f t="shared" ref="Q761:S762" si="460">Q764+Q767</f>
        <v>0</v>
      </c>
      <c r="R761" s="572">
        <f t="shared" si="460"/>
        <v>0</v>
      </c>
      <c r="S761" s="572">
        <f t="shared" si="460"/>
        <v>0</v>
      </c>
      <c r="T761" s="572">
        <f t="shared" si="457"/>
        <v>0</v>
      </c>
      <c r="U761" s="572">
        <f t="shared" si="458"/>
        <v>0</v>
      </c>
    </row>
    <row r="762" spans="1:21" ht="18.75" hidden="1" x14ac:dyDescent="0.25">
      <c r="A762" s="674"/>
      <c r="B762" s="718"/>
      <c r="C762" s="720"/>
      <c r="D762" s="695"/>
      <c r="E762" s="573" t="s">
        <v>159</v>
      </c>
      <c r="F762" s="561"/>
      <c r="G762" s="563"/>
      <c r="H762" s="682" t="s">
        <v>14</v>
      </c>
      <c r="I762" s="565"/>
      <c r="J762" s="565"/>
      <c r="K762" s="566"/>
      <c r="L762" s="567">
        <f t="shared" si="459"/>
        <v>0</v>
      </c>
      <c r="M762" s="568">
        <f t="shared" si="459"/>
        <v>0</v>
      </c>
      <c r="N762" s="568">
        <f t="shared" si="459"/>
        <v>0</v>
      </c>
      <c r="O762" s="568">
        <f t="shared" si="454"/>
        <v>0</v>
      </c>
      <c r="P762" s="568">
        <f t="shared" si="455"/>
        <v>0</v>
      </c>
      <c r="Q762" s="568">
        <f t="shared" ca="1" si="460"/>
        <v>0</v>
      </c>
      <c r="R762" s="568">
        <f t="shared" ca="1" si="460"/>
        <v>0</v>
      </c>
      <c r="S762" s="568">
        <f t="shared" ca="1" si="460"/>
        <v>0</v>
      </c>
      <c r="T762" s="568">
        <f t="shared" ca="1" si="457"/>
        <v>0</v>
      </c>
      <c r="U762" s="568">
        <f t="shared" ca="1" si="458"/>
        <v>0</v>
      </c>
    </row>
    <row r="763" spans="1:21" ht="18.75" hidden="1" x14ac:dyDescent="0.25">
      <c r="A763" s="674"/>
      <c r="B763" s="718"/>
      <c r="C763" s="720"/>
      <c r="D763" s="562" t="s">
        <v>22</v>
      </c>
      <c r="E763" s="561"/>
      <c r="F763" s="561"/>
      <c r="G763" s="563"/>
      <c r="H763" s="682" t="s">
        <v>14</v>
      </c>
      <c r="I763" s="683"/>
      <c r="J763" s="683"/>
      <c r="K763" s="684"/>
      <c r="L763" s="567">
        <f t="shared" ref="L763:N763" si="461">L764+L765</f>
        <v>0</v>
      </c>
      <c r="M763" s="568">
        <f t="shared" si="461"/>
        <v>0</v>
      </c>
      <c r="N763" s="568">
        <f t="shared" si="461"/>
        <v>0</v>
      </c>
      <c r="O763" s="568">
        <f t="shared" si="454"/>
        <v>0</v>
      </c>
      <c r="P763" s="568">
        <f t="shared" si="455"/>
        <v>0</v>
      </c>
      <c r="Q763" s="568">
        <f t="shared" ref="Q763:S763" ca="1" si="462">Q764+Q765</f>
        <v>0</v>
      </c>
      <c r="R763" s="568">
        <f t="shared" ca="1" si="462"/>
        <v>0</v>
      </c>
      <c r="S763" s="568">
        <f t="shared" ca="1" si="462"/>
        <v>0</v>
      </c>
      <c r="T763" s="568">
        <f t="shared" ca="1" si="457"/>
        <v>0</v>
      </c>
      <c r="U763" s="568">
        <f t="shared" ca="1" si="458"/>
        <v>0</v>
      </c>
    </row>
    <row r="764" spans="1:21" ht="18.75" hidden="1" x14ac:dyDescent="0.25">
      <c r="A764" s="674"/>
      <c r="B764" s="718"/>
      <c r="C764" s="720"/>
      <c r="D764" s="695"/>
      <c r="E764" s="569" t="s">
        <v>158</v>
      </c>
      <c r="F764" s="561"/>
      <c r="G764" s="563"/>
      <c r="H764" s="685" t="s">
        <v>14</v>
      </c>
      <c r="I764" s="565"/>
      <c r="J764" s="565"/>
      <c r="K764" s="566"/>
      <c r="L764" s="571">
        <v>0</v>
      </c>
      <c r="M764" s="572">
        <v>0</v>
      </c>
      <c r="N764" s="572">
        <v>0</v>
      </c>
      <c r="O764" s="572">
        <f t="shared" si="454"/>
        <v>0</v>
      </c>
      <c r="P764" s="572">
        <f t="shared" si="455"/>
        <v>0</v>
      </c>
      <c r="Q764" s="572">
        <v>0</v>
      </c>
      <c r="R764" s="572">
        <v>0</v>
      </c>
      <c r="S764" s="572">
        <v>0</v>
      </c>
      <c r="T764" s="572">
        <f t="shared" si="457"/>
        <v>0</v>
      </c>
      <c r="U764" s="572">
        <f t="shared" si="458"/>
        <v>0</v>
      </c>
    </row>
    <row r="765" spans="1:21" ht="18.75" hidden="1" x14ac:dyDescent="0.25">
      <c r="A765" s="674"/>
      <c r="B765" s="718"/>
      <c r="C765" s="720"/>
      <c r="D765" s="695"/>
      <c r="E765" s="573" t="s">
        <v>159</v>
      </c>
      <c r="F765" s="561"/>
      <c r="G765" s="563"/>
      <c r="H765" s="682" t="s">
        <v>14</v>
      </c>
      <c r="I765" s="565"/>
      <c r="J765" s="565"/>
      <c r="K765" s="566"/>
      <c r="L765" s="567">
        <v>0</v>
      </c>
      <c r="M765" s="568">
        <v>0</v>
      </c>
      <c r="N765" s="568">
        <v>0</v>
      </c>
      <c r="O765" s="568">
        <f t="shared" si="454"/>
        <v>0</v>
      </c>
      <c r="P765" s="568">
        <f t="shared" si="455"/>
        <v>0</v>
      </c>
      <c r="Q765" s="568">
        <f ca="1">IFERROR(__xludf.DUMMYFUNCTION("IMPORTRANGE(""https://docs.google.com/spreadsheets/d/1ItG2mGa2ceCfYo0BwxsXqNm01IGEUdYcSSLTEv9YCik/edit?usp=sharing"",""เบิกจ่ายกองทุน!AA17"")"),0)</f>
        <v>0</v>
      </c>
      <c r="R765" s="568">
        <f ca="1">IFERROR(__xludf.DUMMYFUNCTION("IMPORTRANGE(""https://docs.google.com/spreadsheets/d/1ItG2mGa2ceCfYo0BwxsXqNm01IGEUdYcSSLTEv9YCik/edit?usp=sharing"",""เบิกจ่ายกองทุน!AB17"")"),0)</f>
        <v>0</v>
      </c>
      <c r="S765" s="568">
        <f ca="1">IFERROR(__xludf.DUMMYFUNCTION("IMPORTRANGE(""https://docs.google.com/spreadsheets/d/1ItG2mGa2ceCfYo0BwxsXqNm01IGEUdYcSSLTEv9YCik/edit?usp=sharing"",""เบิกจ่ายกองทุน!AC17"")"),0)</f>
        <v>0</v>
      </c>
      <c r="T765" s="568">
        <f t="shared" ca="1" si="457"/>
        <v>0</v>
      </c>
      <c r="U765" s="568">
        <f t="shared" ca="1" si="458"/>
        <v>0</v>
      </c>
    </row>
    <row r="766" spans="1:21" ht="18.75" hidden="1" x14ac:dyDescent="0.25">
      <c r="A766" s="674"/>
      <c r="B766" s="718"/>
      <c r="C766" s="718"/>
      <c r="D766" s="562" t="s">
        <v>23</v>
      </c>
      <c r="E766" s="718"/>
      <c r="F766" s="561"/>
      <c r="G766" s="563"/>
      <c r="H766" s="686" t="s">
        <v>14</v>
      </c>
      <c r="I766" s="683"/>
      <c r="J766" s="683"/>
      <c r="K766" s="684"/>
      <c r="L766" s="567">
        <f t="shared" ref="L766:N766" si="463">L767+L768</f>
        <v>0</v>
      </c>
      <c r="M766" s="568">
        <f t="shared" si="463"/>
        <v>0</v>
      </c>
      <c r="N766" s="568">
        <f t="shared" si="463"/>
        <v>0</v>
      </c>
      <c r="O766" s="568">
        <f t="shared" si="454"/>
        <v>0</v>
      </c>
      <c r="P766" s="568">
        <f t="shared" si="455"/>
        <v>0</v>
      </c>
      <c r="Q766" s="568">
        <f t="shared" ref="Q766:S766" si="464">Q767+Q768</f>
        <v>0</v>
      </c>
      <c r="R766" s="568">
        <f t="shared" si="464"/>
        <v>0</v>
      </c>
      <c r="S766" s="568">
        <f t="shared" si="464"/>
        <v>0</v>
      </c>
      <c r="T766" s="568">
        <f t="shared" si="457"/>
        <v>0</v>
      </c>
      <c r="U766" s="568">
        <f t="shared" si="458"/>
        <v>0</v>
      </c>
    </row>
    <row r="767" spans="1:21" ht="18.75" hidden="1" x14ac:dyDescent="0.25">
      <c r="A767" s="674"/>
      <c r="B767" s="718"/>
      <c r="C767" s="718"/>
      <c r="D767" s="718"/>
      <c r="E767" s="767" t="s">
        <v>20</v>
      </c>
      <c r="F767" s="561"/>
      <c r="G767" s="563"/>
      <c r="H767" s="685" t="s">
        <v>14</v>
      </c>
      <c r="I767" s="683"/>
      <c r="J767" s="683"/>
      <c r="K767" s="684"/>
      <c r="L767" s="571">
        <v>0</v>
      </c>
      <c r="M767" s="572">
        <v>0</v>
      </c>
      <c r="N767" s="572">
        <v>0</v>
      </c>
      <c r="O767" s="572">
        <f t="shared" si="454"/>
        <v>0</v>
      </c>
      <c r="P767" s="572">
        <f t="shared" si="455"/>
        <v>0</v>
      </c>
      <c r="Q767" s="572">
        <v>0</v>
      </c>
      <c r="R767" s="572">
        <v>0</v>
      </c>
      <c r="S767" s="572">
        <v>0</v>
      </c>
      <c r="T767" s="572">
        <f t="shared" si="457"/>
        <v>0</v>
      </c>
      <c r="U767" s="572">
        <f t="shared" si="458"/>
        <v>0</v>
      </c>
    </row>
    <row r="768" spans="1:21" ht="18.75" hidden="1" x14ac:dyDescent="0.25">
      <c r="A768" s="674"/>
      <c r="B768" s="718"/>
      <c r="C768" s="718"/>
      <c r="D768" s="718"/>
      <c r="E768" s="765" t="s">
        <v>21</v>
      </c>
      <c r="F768" s="561"/>
      <c r="G768" s="563"/>
      <c r="H768" s="686" t="s">
        <v>14</v>
      </c>
      <c r="I768" s="683"/>
      <c r="J768" s="683"/>
      <c r="K768" s="684"/>
      <c r="L768" s="567">
        <v>0</v>
      </c>
      <c r="M768" s="568">
        <v>0</v>
      </c>
      <c r="N768" s="568">
        <v>0</v>
      </c>
      <c r="O768" s="568">
        <f t="shared" si="454"/>
        <v>0</v>
      </c>
      <c r="P768" s="568">
        <f t="shared" si="455"/>
        <v>0</v>
      </c>
      <c r="Q768" s="568">
        <v>0</v>
      </c>
      <c r="R768" s="568">
        <v>0</v>
      </c>
      <c r="S768" s="568">
        <v>0</v>
      </c>
      <c r="T768" s="568">
        <f t="shared" si="457"/>
        <v>0</v>
      </c>
      <c r="U768" s="568">
        <f t="shared" si="458"/>
        <v>0</v>
      </c>
    </row>
    <row r="769" spans="1:21" ht="19.5" hidden="1" x14ac:dyDescent="0.3">
      <c r="A769" s="687"/>
      <c r="B769" s="688"/>
      <c r="C769" s="1117" t="s">
        <v>18</v>
      </c>
      <c r="D769" s="1078" t="s">
        <v>38</v>
      </c>
      <c r="E769" s="758"/>
      <c r="F769" s="690"/>
      <c r="G769" s="691"/>
      <c r="H769" s="725"/>
      <c r="I769" s="565"/>
      <c r="J769" s="565"/>
      <c r="K769" s="566"/>
      <c r="L769" s="574"/>
      <c r="M769" s="566"/>
      <c r="N769" s="566"/>
      <c r="O769" s="566"/>
      <c r="P769" s="566"/>
      <c r="Q769" s="566"/>
      <c r="R769" s="566"/>
      <c r="S769" s="566"/>
      <c r="T769" s="566"/>
      <c r="U769" s="566"/>
    </row>
    <row r="770" spans="1:21" ht="18.75" hidden="1" x14ac:dyDescent="0.25">
      <c r="A770" s="687"/>
      <c r="B770" s="688"/>
      <c r="C770" s="688"/>
      <c r="D770" s="1042" t="s">
        <v>286</v>
      </c>
      <c r="E770" s="688"/>
      <c r="F770" s="695"/>
      <c r="G770" s="692"/>
      <c r="H770" s="734" t="s">
        <v>35</v>
      </c>
      <c r="I770" s="735">
        <f ca="1">IFERROR(__xludf.DUMMYFUNCTION("IMPORTRANGE(""https://docs.google.com/spreadsheets/d/1eHaY18a8A9IcSdp1K8H6x8fbOy06t2VsZHhMHf-1x7Y/edit?usp=sharing"",""แผน!FI17"")"),0)</f>
        <v>0</v>
      </c>
      <c r="J770" s="735">
        <v>0</v>
      </c>
      <c r="K770" s="572">
        <f ca="1">IF(I770&gt;0,J770*100/I770,0)</f>
        <v>0</v>
      </c>
      <c r="L770" s="574"/>
      <c r="M770" s="566"/>
      <c r="N770" s="566"/>
      <c r="O770" s="566"/>
      <c r="P770" s="566"/>
      <c r="Q770" s="566"/>
      <c r="R770" s="566"/>
      <c r="S770" s="566"/>
      <c r="T770" s="566"/>
      <c r="U770" s="566"/>
    </row>
    <row r="771" spans="1:21" ht="18.75" hidden="1" x14ac:dyDescent="0.25">
      <c r="A771" s="687"/>
      <c r="B771" s="688"/>
      <c r="C771" s="688"/>
      <c r="D771" s="1042" t="s">
        <v>287</v>
      </c>
      <c r="E771" s="688"/>
      <c r="F771" s="695"/>
      <c r="G771" s="692"/>
      <c r="H771" s="725"/>
      <c r="I771" s="565"/>
      <c r="J771" s="565"/>
      <c r="K771" s="566"/>
      <c r="L771" s="574"/>
      <c r="M771" s="566"/>
      <c r="N771" s="566"/>
      <c r="O771" s="566"/>
      <c r="P771" s="566"/>
      <c r="Q771" s="566"/>
      <c r="R771" s="566"/>
      <c r="S771" s="566"/>
      <c r="T771" s="566"/>
      <c r="U771" s="566"/>
    </row>
    <row r="772" spans="1:21" ht="18.75" hidden="1" x14ac:dyDescent="0.25">
      <c r="A772" s="687"/>
      <c r="B772" s="688"/>
      <c r="C772" s="688"/>
      <c r="D772" s="1079" t="s">
        <v>288</v>
      </c>
      <c r="E772" s="688"/>
      <c r="F772" s="695"/>
      <c r="G772" s="692"/>
      <c r="H772" s="686" t="s">
        <v>35</v>
      </c>
      <c r="I772" s="708">
        <f ca="1">IFERROR(__xludf.DUMMYFUNCTION("IMPORTRANGE(""https://docs.google.com/spreadsheets/d/1eHaY18a8A9IcSdp1K8H6x8fbOy06t2VsZHhMHf-1x7Y/edit?usp=sharing"",""แผน!FQ17"")"),0)</f>
        <v>0</v>
      </c>
      <c r="J772" s="702">
        <v>0</v>
      </c>
      <c r="K772" s="568">
        <f ca="1">IF(I772&gt;0,J772*100/I772,0)</f>
        <v>0</v>
      </c>
      <c r="L772" s="574"/>
      <c r="M772" s="566"/>
      <c r="N772" s="566"/>
      <c r="O772" s="566"/>
      <c r="P772" s="566"/>
      <c r="Q772" s="566"/>
      <c r="R772" s="566"/>
      <c r="S772" s="566"/>
      <c r="T772" s="566"/>
      <c r="U772" s="566"/>
    </row>
    <row r="773" spans="1:21" ht="18.75" hidden="1" x14ac:dyDescent="0.25">
      <c r="A773" s="687"/>
      <c r="B773" s="688"/>
      <c r="C773" s="688"/>
      <c r="D773" s="1079" t="s">
        <v>289</v>
      </c>
      <c r="E773" s="688"/>
      <c r="F773" s="695"/>
      <c r="G773" s="692"/>
      <c r="H773" s="725"/>
      <c r="I773" s="565"/>
      <c r="J773" s="565"/>
      <c r="K773" s="566"/>
      <c r="L773" s="574"/>
      <c r="M773" s="566"/>
      <c r="N773" s="566"/>
      <c r="O773" s="566"/>
      <c r="P773" s="566"/>
      <c r="Q773" s="566"/>
      <c r="R773" s="566"/>
      <c r="S773" s="566"/>
      <c r="T773" s="566"/>
      <c r="U773" s="566"/>
    </row>
    <row r="774" spans="1:21" ht="18.75" hidden="1" x14ac:dyDescent="0.25">
      <c r="A774" s="687"/>
      <c r="B774" s="688"/>
      <c r="C774" s="688"/>
      <c r="D774" s="1079" t="s">
        <v>290</v>
      </c>
      <c r="E774" s="688"/>
      <c r="F774" s="695"/>
      <c r="G774" s="692"/>
      <c r="H774" s="686" t="s">
        <v>46</v>
      </c>
      <c r="I774" s="708">
        <f ca="1">IFERROR(__xludf.DUMMYFUNCTION("IMPORTRANGE(""https://docs.google.com/spreadsheets/d/1eHaY18a8A9IcSdp1K8H6x8fbOy06t2VsZHhMHf-1x7Y/edit?usp=sharing"",""แผน!FR17"")"),0)</f>
        <v>0</v>
      </c>
      <c r="J774" s="702">
        <v>0</v>
      </c>
      <c r="K774" s="568">
        <f ca="1">IF(I774&gt;0,J774*100/I774,0)</f>
        <v>0</v>
      </c>
      <c r="L774" s="574"/>
      <c r="M774" s="566"/>
      <c r="N774" s="566"/>
      <c r="O774" s="566"/>
      <c r="P774" s="566"/>
      <c r="Q774" s="566"/>
      <c r="R774" s="566"/>
      <c r="S774" s="566"/>
      <c r="T774" s="566"/>
      <c r="U774" s="566"/>
    </row>
    <row r="775" spans="1:21" ht="18.75" hidden="1" x14ac:dyDescent="0.25">
      <c r="A775" s="687"/>
      <c r="B775" s="688"/>
      <c r="C775" s="688"/>
      <c r="D775" s="1079" t="s">
        <v>50</v>
      </c>
      <c r="E775" s="695"/>
      <c r="F775" s="561"/>
      <c r="G775" s="563"/>
      <c r="H775" s="686" t="s">
        <v>46</v>
      </c>
      <c r="I775" s="708">
        <f ca="1">IFERROR(__xludf.DUMMYFUNCTION("IMPORTRANGE(""https://docs.google.com/spreadsheets/d/1eHaY18a8A9IcSdp1K8H6x8fbOy06t2VsZHhMHf-1x7Y/edit?usp=sharing"",""แผน!FS17"")"),0)</f>
        <v>0</v>
      </c>
      <c r="J775" s="702">
        <v>0</v>
      </c>
      <c r="K775" s="566"/>
      <c r="L775" s="574"/>
      <c r="M775" s="566"/>
      <c r="N775" s="566"/>
      <c r="O775" s="566"/>
      <c r="P775" s="566"/>
      <c r="Q775" s="566"/>
      <c r="R775" s="566"/>
      <c r="S775" s="566"/>
      <c r="T775" s="566"/>
      <c r="U775" s="566"/>
    </row>
    <row r="776" spans="1:21" ht="18.75" hidden="1" x14ac:dyDescent="0.25">
      <c r="A776" s="863"/>
      <c r="B776" s="864"/>
      <c r="C776" s="864"/>
      <c r="D776" s="864"/>
      <c r="E776" s="512"/>
      <c r="F776" s="512"/>
      <c r="G776" s="577"/>
      <c r="H776" s="1089" t="s">
        <v>35</v>
      </c>
      <c r="I776" s="989">
        <f ca="1">IFERROR(__xludf.DUMMYFUNCTION("IMPORTRANGE(""https://docs.google.com/spreadsheets/d/1eHaY18a8A9IcSdp1K8H6x8fbOy06t2VsZHhMHf-1x7Y/edit?usp=sharing"",""แผน!FT17"")"),0)</f>
        <v>0</v>
      </c>
      <c r="J776" s="990">
        <v>0</v>
      </c>
      <c r="K776" s="580"/>
      <c r="L776" s="581"/>
      <c r="M776" s="580"/>
      <c r="N776" s="580"/>
      <c r="O776" s="580"/>
      <c r="P776" s="580"/>
      <c r="Q776" s="580"/>
      <c r="R776" s="580"/>
      <c r="S776" s="580"/>
      <c r="T776" s="580"/>
      <c r="U776" s="580"/>
    </row>
    <row r="777" spans="1:21" ht="19.5" x14ac:dyDescent="0.3">
      <c r="A777" s="1118" t="s">
        <v>291</v>
      </c>
      <c r="B777" s="1119"/>
      <c r="C777" s="1119"/>
      <c r="D777" s="1120"/>
      <c r="E777" s="1119"/>
      <c r="F777" s="1119"/>
      <c r="G777" s="1121"/>
      <c r="H777" s="112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1123"/>
      <c r="J777" s="1124"/>
      <c r="K777" s="1125"/>
      <c r="L777" s="1125"/>
      <c r="M777" s="1125"/>
      <c r="N777" s="1125"/>
      <c r="O777" s="1125"/>
      <c r="P777" s="1125"/>
      <c r="Q777" s="1125"/>
      <c r="R777" s="1125"/>
      <c r="S777" s="1125"/>
      <c r="T777" s="1125"/>
      <c r="U777" s="1125"/>
    </row>
    <row r="778" spans="1:21" ht="18.75" x14ac:dyDescent="0.25">
      <c r="A778" s="560"/>
      <c r="B778" s="573" t="s">
        <v>292</v>
      </c>
      <c r="C778" s="561"/>
      <c r="D778" s="718"/>
      <c r="E778" s="561"/>
      <c r="F778" s="561"/>
      <c r="G778" s="563"/>
      <c r="H778" s="564" t="s">
        <v>14</v>
      </c>
      <c r="I778" s="708">
        <f ca="1">IFERROR(__xludf.DUMMYFUNCTION("IMPORTRANGE(""https://docs.google.com/spreadsheets/d/10OvvATaaLtwErnr3qtWFcTmtbfpFEt5Bsqel9sXx0uE/edit?usp=sharing"",""งานกองทุน!D17"")"),2298513.49)</f>
        <v>2298513.4900000002</v>
      </c>
      <c r="J778" s="708">
        <f ca="1">IFERROR(__xludf.DUMMYFUNCTION("IMPORTRANGE(""https://docs.google.com/spreadsheets/d/10OvvATaaLtwErnr3qtWFcTmtbfpFEt5Bsqel9sXx0uE/edit?usp=sharing"",""งานกองทุน!F17"")"),855575.95)</f>
        <v>855575.95</v>
      </c>
      <c r="K778" s="568">
        <f t="shared" ref="K778:K785" ca="1" si="465">IF(I778&gt;0,J778*100/I778,0)</f>
        <v>37.223011904098065</v>
      </c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</row>
    <row r="779" spans="1:21" ht="18.75" x14ac:dyDescent="0.25">
      <c r="A779" s="560"/>
      <c r="B779" s="561"/>
      <c r="C779" s="561"/>
      <c r="D779" s="718"/>
      <c r="E779" s="561"/>
      <c r="F779" s="561"/>
      <c r="G779" s="563"/>
      <c r="H779" s="564" t="s">
        <v>35</v>
      </c>
      <c r="I779" s="708">
        <f ca="1">IFERROR(__xludf.DUMMYFUNCTION("IMPORTRANGE(""https://docs.google.com/spreadsheets/d/10OvvATaaLtwErnr3qtWFcTmtbfpFEt5Bsqel9sXx0uE/edit?usp=sharing"",""งานกองทุน!C17"")"),198)</f>
        <v>198</v>
      </c>
      <c r="J779" s="708">
        <f ca="1">IFERROR(__xludf.DUMMYFUNCTION("IMPORTRANGE(""https://docs.google.com/spreadsheets/d/10OvvATaaLtwErnr3qtWFcTmtbfpFEt5Bsqel9sXx0uE/edit?usp=sharing"",""งานกองทุน!E17"")"),78)</f>
        <v>78</v>
      </c>
      <c r="K779" s="568">
        <f t="shared" ca="1" si="465"/>
        <v>39.393939393939391</v>
      </c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</row>
    <row r="780" spans="1:21" ht="18.75" x14ac:dyDescent="0.25">
      <c r="A780" s="560"/>
      <c r="B780" s="573" t="s">
        <v>293</v>
      </c>
      <c r="C780" s="561"/>
      <c r="D780" s="718"/>
      <c r="E780" s="561"/>
      <c r="F780" s="561"/>
      <c r="G780" s="563"/>
      <c r="H780" s="564" t="s">
        <v>14</v>
      </c>
      <c r="I780" s="708">
        <f ca="1">IFERROR(__xludf.DUMMYFUNCTION("IMPORTRANGE(""https://docs.google.com/spreadsheets/d/10OvvATaaLtwErnr3qtWFcTmtbfpFEt5Bsqel9sXx0uE/edit?usp=sharing"",""งานกองทุน!I17"")"),7698648.46)</f>
        <v>7698648.46</v>
      </c>
      <c r="J780" s="708">
        <f ca="1">IFERROR(__xludf.DUMMYFUNCTION("IMPORTRANGE(""https://docs.google.com/spreadsheets/d/10OvvATaaLtwErnr3qtWFcTmtbfpFEt5Bsqel9sXx0uE/edit?usp=sharing"",""งานกองทุน!K17"")"),415912.68)</f>
        <v>415912.68</v>
      </c>
      <c r="K780" s="568">
        <f t="shared" ca="1" si="465"/>
        <v>5.4024116331712593</v>
      </c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</row>
    <row r="781" spans="1:21" ht="18.75" x14ac:dyDescent="0.25">
      <c r="A781" s="560"/>
      <c r="B781" s="561"/>
      <c r="C781" s="561"/>
      <c r="D781" s="718"/>
      <c r="E781" s="561"/>
      <c r="F781" s="561"/>
      <c r="G781" s="563"/>
      <c r="H781" s="564" t="s">
        <v>35</v>
      </c>
      <c r="I781" s="708">
        <f ca="1">IFERROR(__xludf.DUMMYFUNCTION("IMPORTRANGE(""https://docs.google.com/spreadsheets/d/10OvvATaaLtwErnr3qtWFcTmtbfpFEt5Bsqel9sXx0uE/edit?usp=sharing"",""งานกองทุน!H17"")"),324)</f>
        <v>324</v>
      </c>
      <c r="J781" s="708">
        <f ca="1">IFERROR(__xludf.DUMMYFUNCTION("IMPORTRANGE(""https://docs.google.com/spreadsheets/d/10OvvATaaLtwErnr3qtWFcTmtbfpFEt5Bsqel9sXx0uE/edit?usp=sharing"",""งานกองทุน!J17"")"),136)</f>
        <v>136</v>
      </c>
      <c r="K781" s="568">
        <f t="shared" ca="1" si="465"/>
        <v>41.97530864197531</v>
      </c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</row>
    <row r="782" spans="1:21" ht="18.75" x14ac:dyDescent="0.25">
      <c r="A782" s="560"/>
      <c r="B782" s="573" t="s">
        <v>294</v>
      </c>
      <c r="C782" s="561"/>
      <c r="D782" s="718"/>
      <c r="E782" s="561"/>
      <c r="F782" s="561"/>
      <c r="G782" s="563"/>
      <c r="H782" s="564" t="s">
        <v>14</v>
      </c>
      <c r="I782" s="708">
        <f ca="1">IFERROR(__xludf.DUMMYFUNCTION("IMPORTRANGE(""https://docs.google.com/spreadsheets/d/10OvvATaaLtwErnr3qtWFcTmtbfpFEt5Bsqel9sXx0uE/edit?usp=sharing"",""งานกองทุน!N17"")"),0)</f>
        <v>0</v>
      </c>
      <c r="J782" s="708">
        <f ca="1">IFERROR(__xludf.DUMMYFUNCTION("IMPORTRANGE(""https://docs.google.com/spreadsheets/d/10OvvATaaLtwErnr3qtWFcTmtbfpFEt5Bsqel9sXx0uE/edit?usp=sharing"",""งานกองทุน!P17"")"),0)</f>
        <v>0</v>
      </c>
      <c r="K782" s="568">
        <f t="shared" ca="1" si="465"/>
        <v>0</v>
      </c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</row>
    <row r="783" spans="1:21" ht="18.75" x14ac:dyDescent="0.25">
      <c r="A783" s="560"/>
      <c r="B783" s="561"/>
      <c r="C783" s="561"/>
      <c r="D783" s="718"/>
      <c r="E783" s="561"/>
      <c r="F783" s="561"/>
      <c r="G783" s="563"/>
      <c r="H783" s="564" t="s">
        <v>35</v>
      </c>
      <c r="I783" s="708">
        <f ca="1">IFERROR(__xludf.DUMMYFUNCTION("IMPORTRANGE(""https://docs.google.com/spreadsheets/d/10OvvATaaLtwErnr3qtWFcTmtbfpFEt5Bsqel9sXx0uE/edit?usp=sharing"",""งานกองทุน!M17"")"),0)</f>
        <v>0</v>
      </c>
      <c r="J783" s="708">
        <f ca="1">IFERROR(__xludf.DUMMYFUNCTION("IMPORTRANGE(""https://docs.google.com/spreadsheets/d/10OvvATaaLtwErnr3qtWFcTmtbfpFEt5Bsqel9sXx0uE/edit?usp=sharing"",""งานกองทุน!O17"")"),0)</f>
        <v>0</v>
      </c>
      <c r="K783" s="568">
        <f t="shared" ca="1" si="465"/>
        <v>0</v>
      </c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</row>
    <row r="784" spans="1:21" ht="18.75" x14ac:dyDescent="0.25">
      <c r="A784" s="560"/>
      <c r="B784" s="573" t="s">
        <v>295</v>
      </c>
      <c r="C784" s="561"/>
      <c r="D784" s="718"/>
      <c r="E784" s="561"/>
      <c r="F784" s="561"/>
      <c r="G784" s="563"/>
      <c r="H784" s="564" t="s">
        <v>14</v>
      </c>
      <c r="I784" s="708">
        <f ca="1">IFERROR(__xludf.DUMMYFUNCTION("IMPORTRANGE(""https://docs.google.com/spreadsheets/d/10OvvATaaLtwErnr3qtWFcTmtbfpFEt5Bsqel9sXx0uE/edit?usp=sharing"",""งานกองทุน!S17"")"),3780000)</f>
        <v>3780000</v>
      </c>
      <c r="J784" s="708">
        <f ca="1">IFERROR(__xludf.DUMMYFUNCTION("IMPORTRANGE(""https://docs.google.com/spreadsheets/d/10OvvATaaLtwErnr3qtWFcTmtbfpFEt5Bsqel9sXx0uE/edit?usp=sharing"",""งานกองทุน!U17"")"),0)</f>
        <v>0</v>
      </c>
      <c r="K784" s="568">
        <f t="shared" ca="1" si="465"/>
        <v>0</v>
      </c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</row>
    <row r="785" spans="1:21" ht="18.75" x14ac:dyDescent="0.25">
      <c r="A785" s="575"/>
      <c r="B785" s="513"/>
      <c r="C785" s="513"/>
      <c r="D785" s="514"/>
      <c r="E785" s="513"/>
      <c r="F785" s="513"/>
      <c r="G785" s="577"/>
      <c r="H785" s="578" t="s">
        <v>35</v>
      </c>
      <c r="I785" s="989">
        <f ca="1">IFERROR(__xludf.DUMMYFUNCTION("IMPORTRANGE(""https://docs.google.com/spreadsheets/d/10OvvATaaLtwErnr3qtWFcTmtbfpFEt5Bsqel9sXx0uE/edit?usp=sharing"",""งานกองทุน!R17"")"),135)</f>
        <v>135</v>
      </c>
      <c r="J785" s="989">
        <f ca="1">IFERROR(__xludf.DUMMYFUNCTION("IMPORTRANGE(""https://docs.google.com/spreadsheets/d/10OvvATaaLtwErnr3qtWFcTmtbfpFEt5Bsqel9sXx0uE/edit?usp=sharing"",""งานกองทุน!T17"")"),0)</f>
        <v>0</v>
      </c>
      <c r="K785" s="655">
        <f t="shared" ca="1" si="465"/>
        <v>0</v>
      </c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</row>
    <row r="786" spans="1:21" ht="12.75" x14ac:dyDescent="0.2">
      <c r="A786" s="510"/>
      <c r="B786" s="510"/>
      <c r="C786" s="510"/>
      <c r="D786" s="510"/>
      <c r="E786" s="510"/>
      <c r="F786" s="510"/>
      <c r="G786" s="510"/>
      <c r="H786" s="510"/>
      <c r="I786" s="510"/>
      <c r="J786" s="510"/>
      <c r="K786" s="510"/>
      <c r="L786" s="510"/>
      <c r="M786" s="510"/>
      <c r="N786" s="510"/>
      <c r="O786" s="510"/>
      <c r="P786" s="510"/>
      <c r="Q786" s="510"/>
      <c r="R786" s="510"/>
      <c r="S786" s="510"/>
      <c r="T786" s="510"/>
      <c r="U786" s="510"/>
    </row>
    <row r="787" spans="1:21" ht="16.5" x14ac:dyDescent="0.25">
      <c r="A787" s="1126" t="s">
        <v>296</v>
      </c>
      <c r="B787" s="510"/>
      <c r="C787" s="510"/>
      <c r="D787" s="510"/>
      <c r="E787" s="510"/>
      <c r="F787" s="510"/>
      <c r="G787" s="510"/>
      <c r="H787" s="510"/>
      <c r="I787" s="510"/>
      <c r="J787" s="510"/>
      <c r="K787" s="510"/>
      <c r="L787" s="510"/>
      <c r="M787" s="510"/>
      <c r="N787" s="510"/>
      <c r="O787" s="510"/>
      <c r="P787" s="510"/>
      <c r="Q787" s="510"/>
      <c r="R787" s="510"/>
      <c r="S787" s="510"/>
      <c r="T787" s="510"/>
      <c r="U787" s="510"/>
    </row>
    <row r="788" spans="1:21" ht="16.5" x14ac:dyDescent="0.25">
      <c r="A788" s="112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510"/>
      <c r="C788" s="510"/>
      <c r="D788" s="510"/>
      <c r="E788" s="510"/>
      <c r="F788" s="510"/>
      <c r="G788" s="510"/>
      <c r="H788" s="510"/>
      <c r="I788" s="510"/>
      <c r="J788" s="510"/>
      <c r="K788" s="510"/>
      <c r="L788" s="510"/>
      <c r="M788" s="510"/>
      <c r="N788" s="510"/>
      <c r="O788" s="510"/>
      <c r="P788" s="510"/>
      <c r="Q788" s="510"/>
      <c r="R788" s="510"/>
      <c r="S788" s="510"/>
      <c r="T788" s="510"/>
      <c r="U788" s="510"/>
    </row>
    <row r="789" spans="1:21" ht="16.5" x14ac:dyDescent="0.25">
      <c r="A789" s="112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510"/>
      <c r="C789" s="510"/>
      <c r="D789" s="510"/>
      <c r="E789" s="510"/>
      <c r="F789" s="510"/>
      <c r="G789" s="510"/>
      <c r="H789" s="510"/>
      <c r="I789" s="510"/>
      <c r="J789" s="510"/>
      <c r="K789" s="510"/>
      <c r="L789" s="510"/>
      <c r="M789" s="510"/>
      <c r="N789" s="510"/>
      <c r="O789" s="510"/>
      <c r="P789" s="510"/>
      <c r="Q789" s="510"/>
      <c r="R789" s="510"/>
      <c r="S789" s="510"/>
      <c r="T789" s="510"/>
      <c r="U789" s="510"/>
    </row>
  </sheetData>
  <mergeCells count="25">
    <mergeCell ref="Q4:U4"/>
    <mergeCell ref="A5:G6"/>
    <mergeCell ref="I5:K5"/>
    <mergeCell ref="L5:M5"/>
    <mergeCell ref="N5:P5"/>
    <mergeCell ref="Q5:R5"/>
    <mergeCell ref="B57:G57"/>
    <mergeCell ref="L4:P4"/>
    <mergeCell ref="A1:U1"/>
    <mergeCell ref="A2:U2"/>
    <mergeCell ref="A3:U3"/>
    <mergeCell ref="S5:U5"/>
    <mergeCell ref="A7:G7"/>
    <mergeCell ref="A17:G17"/>
    <mergeCell ref="A30:G30"/>
    <mergeCell ref="A56:G56"/>
    <mergeCell ref="D714:G714"/>
    <mergeCell ref="D728:G728"/>
    <mergeCell ref="D760:G760"/>
    <mergeCell ref="D413:G413"/>
    <mergeCell ref="D493:F493"/>
    <mergeCell ref="D599:G599"/>
    <mergeCell ref="D616:G616"/>
    <mergeCell ref="D642:G642"/>
    <mergeCell ref="D690:G690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4483-770E-4130-A2A0-CF33D0329322}">
  <sheetPr>
    <outlinePr summaryBelow="0" summaryRight="0"/>
  </sheetPr>
  <dimension ref="A1:U789"/>
  <sheetViews>
    <sheetView view="pageBreakPreview" zoomScale="60" zoomScaleNormal="100" workbookViewId="0">
      <pane xSplit="8" ySplit="6" topLeftCell="I1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style="511" customWidth="1"/>
    <col min="7" max="7" width="61.42578125" style="511" customWidth="1"/>
    <col min="8" max="8" width="9.42578125" style="511" customWidth="1"/>
    <col min="9" max="11" width="15.140625" style="511" customWidth="1"/>
    <col min="12" max="14" width="21.28515625" style="511" bestFit="1" customWidth="1"/>
    <col min="15" max="15" width="19.28515625" style="511" bestFit="1" customWidth="1"/>
    <col min="16" max="16" width="20.85546875" style="511" bestFit="1" customWidth="1"/>
    <col min="17" max="18" width="21.28515625" style="511" bestFit="1" customWidth="1"/>
    <col min="19" max="19" width="18.7109375" style="511" bestFit="1" customWidth="1"/>
    <col min="20" max="20" width="19.28515625" style="511" bestFit="1" customWidth="1"/>
    <col min="21" max="21" width="20.85546875" style="511" bestFit="1" customWidth="1"/>
    <col min="22" max="16384" width="12.5703125" style="511"/>
  </cols>
  <sheetData>
    <row r="1" spans="1:21" ht="15.75" customHeight="1" x14ac:dyDescent="0.3">
      <c r="A1" s="1321" t="s">
        <v>0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  <c r="R1" s="1321"/>
      <c r="S1" s="1321"/>
      <c r="T1" s="1321"/>
      <c r="U1" s="1321"/>
    </row>
    <row r="2" spans="1:21" ht="15.75" customHeight="1" x14ac:dyDescent="0.3">
      <c r="A2" s="1321" t="s">
        <v>321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</row>
    <row r="3" spans="1:21" ht="15.75" customHeight="1" x14ac:dyDescent="0.3">
      <c r="A3" s="1321" t="s">
        <v>350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</row>
    <row r="4" spans="1:21" ht="15.75" customHeight="1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4"/>
      <c r="K4" s="515"/>
      <c r="L4" s="1323" t="s">
        <v>2</v>
      </c>
      <c r="M4" s="1314"/>
      <c r="N4" s="1314"/>
      <c r="O4" s="1314"/>
      <c r="P4" s="1317"/>
      <c r="Q4" s="1324" t="s">
        <v>3</v>
      </c>
      <c r="R4" s="1314"/>
      <c r="S4" s="1314"/>
      <c r="T4" s="1314"/>
      <c r="U4" s="1317"/>
    </row>
    <row r="5" spans="1:21" ht="15.75" customHeight="1" x14ac:dyDescent="0.3">
      <c r="A5" s="1325" t="s">
        <v>4</v>
      </c>
      <c r="B5" s="1322"/>
      <c r="C5" s="1322"/>
      <c r="D5" s="1322"/>
      <c r="E5" s="1322"/>
      <c r="F5" s="1322"/>
      <c r="G5" s="1326"/>
      <c r="H5" s="516" t="s">
        <v>5</v>
      </c>
      <c r="I5" s="1328" t="s">
        <v>6</v>
      </c>
      <c r="J5" s="1314"/>
      <c r="K5" s="1317"/>
      <c r="L5" s="1329" t="s">
        <v>7</v>
      </c>
      <c r="M5" s="1317"/>
      <c r="N5" s="1330" t="s">
        <v>8</v>
      </c>
      <c r="O5" s="1314"/>
      <c r="P5" s="1317"/>
      <c r="Q5" s="1331" t="s">
        <v>7</v>
      </c>
      <c r="R5" s="1317"/>
      <c r="S5" s="1330" t="s">
        <v>8</v>
      </c>
      <c r="T5" s="1314"/>
      <c r="U5" s="1317"/>
    </row>
    <row r="6" spans="1:21" ht="15.75" customHeight="1" x14ac:dyDescent="0.3">
      <c r="A6" s="1327"/>
      <c r="B6" s="1314"/>
      <c r="C6" s="1314"/>
      <c r="D6" s="1314"/>
      <c r="E6" s="1314"/>
      <c r="F6" s="1314"/>
      <c r="G6" s="1317"/>
      <c r="H6" s="517"/>
      <c r="I6" s="518" t="s">
        <v>9</v>
      </c>
      <c r="J6" s="519" t="s">
        <v>10</v>
      </c>
      <c r="K6" s="518" t="s">
        <v>11</v>
      </c>
      <c r="L6" s="520" t="s">
        <v>12</v>
      </c>
      <c r="M6" s="521" t="s">
        <v>13</v>
      </c>
      <c r="N6" s="522" t="s">
        <v>14</v>
      </c>
      <c r="O6" s="523" t="s">
        <v>15</v>
      </c>
      <c r="P6" s="524" t="s">
        <v>16</v>
      </c>
      <c r="Q6" s="525" t="s">
        <v>12</v>
      </c>
      <c r="R6" s="521" t="s">
        <v>13</v>
      </c>
      <c r="S6" s="522" t="s">
        <v>14</v>
      </c>
      <c r="T6" s="523" t="s">
        <v>15</v>
      </c>
      <c r="U6" s="524" t="s">
        <v>16</v>
      </c>
    </row>
    <row r="7" spans="1:21" ht="12.75" hidden="1" x14ac:dyDescent="0.2">
      <c r="A7" s="1316"/>
      <c r="B7" s="1314"/>
      <c r="C7" s="1314"/>
      <c r="D7" s="1314"/>
      <c r="E7" s="1314"/>
      <c r="F7" s="1314"/>
      <c r="G7" s="1317"/>
      <c r="H7" s="526"/>
      <c r="I7" s="527"/>
      <c r="J7" s="527"/>
      <c r="K7" s="528"/>
      <c r="L7" s="529"/>
      <c r="M7" s="528"/>
      <c r="N7" s="528"/>
      <c r="O7" s="528"/>
      <c r="P7" s="528"/>
      <c r="Q7" s="528"/>
      <c r="R7" s="528"/>
      <c r="S7" s="528"/>
      <c r="T7" s="528"/>
      <c r="U7" s="528"/>
    </row>
    <row r="8" spans="1:21" ht="12.75" hidden="1" x14ac:dyDescent="0.2">
      <c r="A8" s="530"/>
      <c r="B8" s="531"/>
      <c r="C8" s="531"/>
      <c r="D8" s="531"/>
      <c r="E8" s="531"/>
      <c r="F8" s="531"/>
      <c r="G8" s="532"/>
      <c r="H8" s="532"/>
      <c r="I8" s="533"/>
      <c r="J8" s="533"/>
      <c r="K8" s="534"/>
      <c r="L8" s="535"/>
      <c r="M8" s="534"/>
      <c r="N8" s="534"/>
      <c r="O8" s="534"/>
      <c r="P8" s="534"/>
      <c r="Q8" s="534"/>
      <c r="R8" s="534"/>
      <c r="S8" s="534"/>
      <c r="T8" s="534"/>
      <c r="U8" s="534"/>
    </row>
    <row r="9" spans="1:21" ht="12.75" hidden="1" x14ac:dyDescent="0.2">
      <c r="A9" s="530"/>
      <c r="B9" s="531"/>
      <c r="C9" s="531"/>
      <c r="D9" s="531"/>
      <c r="E9" s="531"/>
      <c r="F9" s="531"/>
      <c r="G9" s="532"/>
      <c r="H9" s="532"/>
      <c r="I9" s="533"/>
      <c r="J9" s="533"/>
      <c r="K9" s="534"/>
      <c r="L9" s="535"/>
      <c r="M9" s="534"/>
      <c r="N9" s="534"/>
      <c r="O9" s="534"/>
      <c r="P9" s="534"/>
      <c r="Q9" s="534"/>
      <c r="R9" s="534"/>
      <c r="S9" s="534"/>
      <c r="T9" s="534"/>
      <c r="U9" s="534"/>
    </row>
    <row r="10" spans="1:21" ht="12.75" hidden="1" x14ac:dyDescent="0.2">
      <c r="A10" s="530"/>
      <c r="B10" s="531"/>
      <c r="C10" s="531"/>
      <c r="D10" s="531"/>
      <c r="E10" s="531"/>
      <c r="F10" s="531"/>
      <c r="G10" s="532"/>
      <c r="H10" s="532"/>
      <c r="I10" s="533"/>
      <c r="J10" s="533"/>
      <c r="K10" s="534"/>
      <c r="L10" s="535"/>
      <c r="M10" s="534"/>
      <c r="N10" s="534"/>
      <c r="O10" s="534"/>
      <c r="P10" s="534"/>
      <c r="Q10" s="534"/>
      <c r="R10" s="534"/>
      <c r="S10" s="534"/>
      <c r="T10" s="534"/>
      <c r="U10" s="534"/>
    </row>
    <row r="11" spans="1:21" ht="12.75" hidden="1" x14ac:dyDescent="0.2">
      <c r="A11" s="530"/>
      <c r="B11" s="531"/>
      <c r="C11" s="531"/>
      <c r="D11" s="531"/>
      <c r="E11" s="531"/>
      <c r="F11" s="531"/>
      <c r="G11" s="532"/>
      <c r="H11" s="532"/>
      <c r="I11" s="533"/>
      <c r="J11" s="533"/>
      <c r="K11" s="534"/>
      <c r="L11" s="535"/>
      <c r="M11" s="534"/>
      <c r="N11" s="534"/>
      <c r="O11" s="534"/>
      <c r="P11" s="534"/>
      <c r="Q11" s="534"/>
      <c r="R11" s="534"/>
      <c r="S11" s="534"/>
      <c r="T11" s="534"/>
      <c r="U11" s="534"/>
    </row>
    <row r="12" spans="1:21" ht="12.75" hidden="1" x14ac:dyDescent="0.2">
      <c r="A12" s="530"/>
      <c r="B12" s="531"/>
      <c r="C12" s="531"/>
      <c r="D12" s="531"/>
      <c r="E12" s="531"/>
      <c r="F12" s="531"/>
      <c r="G12" s="532"/>
      <c r="H12" s="532"/>
      <c r="I12" s="533"/>
      <c r="J12" s="533"/>
      <c r="K12" s="534"/>
      <c r="L12" s="535"/>
      <c r="M12" s="534"/>
      <c r="N12" s="534"/>
      <c r="O12" s="534"/>
      <c r="P12" s="534"/>
      <c r="Q12" s="534"/>
      <c r="R12" s="534"/>
      <c r="S12" s="534"/>
      <c r="T12" s="534"/>
      <c r="U12" s="534"/>
    </row>
    <row r="13" spans="1:21" ht="12.75" hidden="1" x14ac:dyDescent="0.2">
      <c r="A13" s="530"/>
      <c r="B13" s="531"/>
      <c r="C13" s="531"/>
      <c r="D13" s="531"/>
      <c r="E13" s="531"/>
      <c r="F13" s="531"/>
      <c r="G13" s="532"/>
      <c r="H13" s="532"/>
      <c r="I13" s="533"/>
      <c r="J13" s="533"/>
      <c r="K13" s="534"/>
      <c r="L13" s="535"/>
      <c r="M13" s="534"/>
      <c r="N13" s="534"/>
      <c r="O13" s="534"/>
      <c r="P13" s="534"/>
      <c r="Q13" s="534"/>
      <c r="R13" s="534"/>
      <c r="S13" s="534"/>
      <c r="T13" s="534"/>
      <c r="U13" s="534"/>
    </row>
    <row r="14" spans="1:21" ht="12.75" hidden="1" x14ac:dyDescent="0.2">
      <c r="A14" s="530"/>
      <c r="B14" s="531"/>
      <c r="C14" s="531"/>
      <c r="D14" s="531"/>
      <c r="E14" s="531"/>
      <c r="F14" s="531"/>
      <c r="G14" s="532"/>
      <c r="H14" s="532"/>
      <c r="I14" s="533"/>
      <c r="J14" s="533"/>
      <c r="K14" s="534"/>
      <c r="L14" s="535"/>
      <c r="M14" s="534"/>
      <c r="N14" s="534"/>
      <c r="O14" s="534"/>
      <c r="P14" s="534"/>
      <c r="Q14" s="534"/>
      <c r="R14" s="534"/>
      <c r="S14" s="534"/>
      <c r="T14" s="534"/>
      <c r="U14" s="534"/>
    </row>
    <row r="15" spans="1:21" ht="12.75" hidden="1" x14ac:dyDescent="0.2">
      <c r="A15" s="530"/>
      <c r="B15" s="531"/>
      <c r="C15" s="531"/>
      <c r="D15" s="531"/>
      <c r="E15" s="531"/>
      <c r="F15" s="531"/>
      <c r="G15" s="532"/>
      <c r="H15" s="532"/>
      <c r="I15" s="533"/>
      <c r="J15" s="533"/>
      <c r="K15" s="534"/>
      <c r="L15" s="535"/>
      <c r="M15" s="534"/>
      <c r="N15" s="534"/>
      <c r="O15" s="534"/>
      <c r="P15" s="534"/>
      <c r="Q15" s="534"/>
      <c r="R15" s="534"/>
      <c r="S15" s="534"/>
      <c r="T15" s="534"/>
      <c r="U15" s="534"/>
    </row>
    <row r="16" spans="1:21" ht="12.75" hidden="1" x14ac:dyDescent="0.2">
      <c r="A16" s="536"/>
      <c r="B16" s="537"/>
      <c r="C16" s="537"/>
      <c r="D16" s="537"/>
      <c r="E16" s="537"/>
      <c r="F16" s="537"/>
      <c r="G16" s="526"/>
      <c r="H16" s="526"/>
      <c r="I16" s="527"/>
      <c r="J16" s="527"/>
      <c r="K16" s="528"/>
      <c r="L16" s="529"/>
      <c r="M16" s="528"/>
      <c r="N16" s="528"/>
      <c r="O16" s="528"/>
      <c r="P16" s="528"/>
      <c r="Q16" s="528"/>
      <c r="R16" s="528"/>
      <c r="S16" s="528"/>
      <c r="T16" s="528"/>
      <c r="U16" s="528"/>
    </row>
    <row r="17" spans="1:21" ht="15.75" customHeight="1" x14ac:dyDescent="0.3">
      <c r="A17" s="1318" t="s">
        <v>298</v>
      </c>
      <c r="B17" s="1314"/>
      <c r="C17" s="1314"/>
      <c r="D17" s="1314"/>
      <c r="E17" s="1314"/>
      <c r="F17" s="1314"/>
      <c r="G17" s="1317"/>
      <c r="H17" s="538"/>
      <c r="I17" s="539"/>
      <c r="J17" s="539"/>
      <c r="K17" s="540"/>
      <c r="L17" s="541"/>
      <c r="M17" s="540"/>
      <c r="N17" s="540"/>
      <c r="O17" s="540"/>
      <c r="P17" s="540"/>
      <c r="Q17" s="540"/>
      <c r="R17" s="540"/>
      <c r="S17" s="540"/>
      <c r="T17" s="540"/>
      <c r="U17" s="540"/>
    </row>
    <row r="18" spans="1:21" ht="15.75" customHeight="1" x14ac:dyDescent="0.3">
      <c r="A18" s="542"/>
      <c r="B18" s="543"/>
      <c r="C18" s="544" t="s">
        <v>18</v>
      </c>
      <c r="D18" s="545" t="s">
        <v>19</v>
      </c>
      <c r="E18" s="543"/>
      <c r="F18" s="543"/>
      <c r="G18" s="546"/>
      <c r="H18" s="547" t="s">
        <v>14</v>
      </c>
      <c r="I18" s="548"/>
      <c r="J18" s="548"/>
      <c r="K18" s="549"/>
      <c r="L18" s="550">
        <f t="shared" ref="L18:N18" ca="1" si="0">L19+L20</f>
        <v>3169199</v>
      </c>
      <c r="M18" s="551">
        <f t="shared" ca="1" si="0"/>
        <v>3138627</v>
      </c>
      <c r="N18" s="551">
        <f t="shared" ca="1" si="0"/>
        <v>2229069.61</v>
      </c>
      <c r="O18" s="551">
        <f t="shared" ref="O18:O26" ca="1" si="1">IF(L18&gt;0,N18*100/L18,0)</f>
        <v>70.335425765311683</v>
      </c>
      <c r="P18" s="551">
        <f t="shared" ref="P18:P26" ca="1" si="2">IF(M18&gt;0,N18*100/M18,0)</f>
        <v>71.020532544963132</v>
      </c>
      <c r="Q18" s="551">
        <f t="shared" ref="Q18:S18" ca="1" si="3">Q19+Q20</f>
        <v>3692702.24</v>
      </c>
      <c r="R18" s="551">
        <f t="shared" ca="1" si="3"/>
        <v>3647842</v>
      </c>
      <c r="S18" s="551">
        <f t="shared" ca="1" si="3"/>
        <v>787206.45</v>
      </c>
      <c r="T18" s="551">
        <f t="shared" ref="T18:T26" ca="1" si="4">IF(Q18&gt;0,S18*100/Q18,0)</f>
        <v>21.317896728115286</v>
      </c>
      <c r="U18" s="551">
        <f t="shared" ref="U18:U26" ca="1" si="5">IF(R18&gt;0,S18*100/R18,0)</f>
        <v>21.580058840267753</v>
      </c>
    </row>
    <row r="19" spans="1:21" ht="15.75" customHeight="1" x14ac:dyDescent="0.25">
      <c r="A19" s="542"/>
      <c r="B19" s="543"/>
      <c r="C19" s="543"/>
      <c r="D19" s="543"/>
      <c r="E19" s="552" t="s">
        <v>20</v>
      </c>
      <c r="F19" s="543"/>
      <c r="G19" s="546"/>
      <c r="H19" s="553" t="s">
        <v>14</v>
      </c>
      <c r="I19" s="548"/>
      <c r="J19" s="548"/>
      <c r="K19" s="549"/>
      <c r="L19" s="554">
        <f t="shared" ref="L19:N20" si="6">L22+L25</f>
        <v>0</v>
      </c>
      <c r="M19" s="555">
        <f t="shared" si="6"/>
        <v>0</v>
      </c>
      <c r="N19" s="555">
        <f t="shared" si="6"/>
        <v>0</v>
      </c>
      <c r="O19" s="555">
        <f t="shared" si="1"/>
        <v>0</v>
      </c>
      <c r="P19" s="555">
        <f t="shared" si="2"/>
        <v>0</v>
      </c>
      <c r="Q19" s="555">
        <f t="shared" ref="Q19:S20" si="7">Q22+Q25</f>
        <v>0</v>
      </c>
      <c r="R19" s="555">
        <f t="shared" si="7"/>
        <v>0</v>
      </c>
      <c r="S19" s="555">
        <f t="shared" si="7"/>
        <v>0</v>
      </c>
      <c r="T19" s="555">
        <f t="shared" si="4"/>
        <v>0</v>
      </c>
      <c r="U19" s="555">
        <f t="shared" si="5"/>
        <v>0</v>
      </c>
    </row>
    <row r="20" spans="1:21" ht="15.75" customHeight="1" x14ac:dyDescent="0.25">
      <c r="A20" s="542"/>
      <c r="B20" s="543"/>
      <c r="C20" s="543"/>
      <c r="D20" s="543"/>
      <c r="E20" s="556" t="s">
        <v>21</v>
      </c>
      <c r="F20" s="543"/>
      <c r="G20" s="546"/>
      <c r="H20" s="557" t="s">
        <v>14</v>
      </c>
      <c r="I20" s="548"/>
      <c r="J20" s="548"/>
      <c r="K20" s="549"/>
      <c r="L20" s="558">
        <f t="shared" ca="1" si="6"/>
        <v>3169199</v>
      </c>
      <c r="M20" s="559">
        <f t="shared" ca="1" si="6"/>
        <v>3138627</v>
      </c>
      <c r="N20" s="559">
        <f t="shared" ca="1" si="6"/>
        <v>2229069.61</v>
      </c>
      <c r="O20" s="559">
        <f t="shared" ca="1" si="1"/>
        <v>70.335425765311683</v>
      </c>
      <c r="P20" s="559">
        <f t="shared" ca="1" si="2"/>
        <v>71.020532544963132</v>
      </c>
      <c r="Q20" s="559">
        <f t="shared" ca="1" si="7"/>
        <v>3692702.24</v>
      </c>
      <c r="R20" s="559">
        <f t="shared" ca="1" si="7"/>
        <v>3647842</v>
      </c>
      <c r="S20" s="559">
        <f t="shared" ca="1" si="7"/>
        <v>787206.45</v>
      </c>
      <c r="T20" s="559">
        <f t="shared" ca="1" si="4"/>
        <v>21.317896728115286</v>
      </c>
      <c r="U20" s="559">
        <f t="shared" ca="1" si="5"/>
        <v>21.580058840267753</v>
      </c>
    </row>
    <row r="21" spans="1:21" ht="15.75" customHeight="1" x14ac:dyDescent="0.25">
      <c r="A21" s="560"/>
      <c r="B21" s="561"/>
      <c r="C21" s="561"/>
      <c r="D21" s="562" t="s">
        <v>22</v>
      </c>
      <c r="E21" s="561"/>
      <c r="F21" s="561"/>
      <c r="G21" s="563"/>
      <c r="H21" s="564" t="s">
        <v>14</v>
      </c>
      <c r="I21" s="565"/>
      <c r="J21" s="565"/>
      <c r="K21" s="566"/>
      <c r="L21" s="567">
        <f t="shared" ref="L21:N21" ca="1" si="8">L22+L23</f>
        <v>3169199</v>
      </c>
      <c r="M21" s="568">
        <f t="shared" ca="1" si="8"/>
        <v>3138627</v>
      </c>
      <c r="N21" s="568">
        <f t="shared" ca="1" si="8"/>
        <v>2229069.61</v>
      </c>
      <c r="O21" s="568">
        <f t="shared" ca="1" si="1"/>
        <v>70.335425765311683</v>
      </c>
      <c r="P21" s="568">
        <f t="shared" ca="1" si="2"/>
        <v>71.020532544963132</v>
      </c>
      <c r="Q21" s="568">
        <f t="shared" ref="Q21:S21" ca="1" si="9">Q22+Q23</f>
        <v>3692702.24</v>
      </c>
      <c r="R21" s="568">
        <f t="shared" ca="1" si="9"/>
        <v>3647842</v>
      </c>
      <c r="S21" s="568">
        <f t="shared" ca="1" si="9"/>
        <v>787206.45</v>
      </c>
      <c r="T21" s="568">
        <f t="shared" ca="1" si="4"/>
        <v>21.317896728115286</v>
      </c>
      <c r="U21" s="568">
        <f t="shared" ca="1" si="5"/>
        <v>21.580058840267753</v>
      </c>
    </row>
    <row r="22" spans="1:21" ht="15.75" customHeight="1" x14ac:dyDescent="0.25">
      <c r="A22" s="560"/>
      <c r="B22" s="561"/>
      <c r="C22" s="561"/>
      <c r="D22" s="561"/>
      <c r="E22" s="569" t="s">
        <v>20</v>
      </c>
      <c r="F22" s="561"/>
      <c r="G22" s="563"/>
      <c r="H22" s="570" t="s">
        <v>14</v>
      </c>
      <c r="I22" s="565"/>
      <c r="J22" s="565"/>
      <c r="K22" s="566"/>
      <c r="L22" s="571">
        <f t="shared" ref="L22:N23" si="10">L48+L63+L76+L98+L129+L143+L161+L190+L177+L270+L286+L307+L324+L337+L360+L517</f>
        <v>0</v>
      </c>
      <c r="M22" s="572">
        <f t="shared" si="10"/>
        <v>0</v>
      </c>
      <c r="N22" s="572">
        <f t="shared" si="10"/>
        <v>0</v>
      </c>
      <c r="O22" s="572">
        <f t="shared" si="1"/>
        <v>0</v>
      </c>
      <c r="P22" s="572">
        <f t="shared" si="2"/>
        <v>0</v>
      </c>
      <c r="Q22" s="572">
        <f t="shared" ref="Q22:S23" si="11">Q76+Q98+Q121+Q143+Q161+Q177+Q190+Q270+Q286+Q307+Q337+Q379+Q396+Q417+Q497+Q603+Q620+Q646+Q694+Q718+Q732+Q764</f>
        <v>0</v>
      </c>
      <c r="R22" s="572">
        <f t="shared" si="11"/>
        <v>0</v>
      </c>
      <c r="S22" s="572">
        <f t="shared" si="11"/>
        <v>0</v>
      </c>
      <c r="T22" s="572">
        <f t="shared" si="4"/>
        <v>0</v>
      </c>
      <c r="U22" s="572">
        <f t="shared" si="5"/>
        <v>0</v>
      </c>
    </row>
    <row r="23" spans="1:21" ht="15.75" customHeight="1" x14ac:dyDescent="0.25">
      <c r="A23" s="560"/>
      <c r="B23" s="561"/>
      <c r="C23" s="561"/>
      <c r="D23" s="561"/>
      <c r="E23" s="573" t="s">
        <v>21</v>
      </c>
      <c r="F23" s="561"/>
      <c r="G23" s="563"/>
      <c r="H23" s="564" t="s">
        <v>14</v>
      </c>
      <c r="I23" s="565"/>
      <c r="J23" s="565"/>
      <c r="K23" s="566"/>
      <c r="L23" s="567">
        <f t="shared" ca="1" si="10"/>
        <v>3169199</v>
      </c>
      <c r="M23" s="568">
        <f t="shared" ca="1" si="10"/>
        <v>3138627</v>
      </c>
      <c r="N23" s="568">
        <f t="shared" ca="1" si="10"/>
        <v>2229069.61</v>
      </c>
      <c r="O23" s="568">
        <f t="shared" ca="1" si="1"/>
        <v>70.335425765311683</v>
      </c>
      <c r="P23" s="568">
        <f t="shared" ca="1" si="2"/>
        <v>71.020532544963132</v>
      </c>
      <c r="Q23" s="568">
        <f t="shared" ca="1" si="11"/>
        <v>3692702.24</v>
      </c>
      <c r="R23" s="568">
        <f t="shared" ca="1" si="11"/>
        <v>3647842</v>
      </c>
      <c r="S23" s="568">
        <f t="shared" ca="1" si="11"/>
        <v>787206.45</v>
      </c>
      <c r="T23" s="568">
        <f t="shared" ca="1" si="4"/>
        <v>21.317896728115286</v>
      </c>
      <c r="U23" s="568">
        <f t="shared" ca="1" si="5"/>
        <v>21.580058840267753</v>
      </c>
    </row>
    <row r="24" spans="1:21" ht="15.75" customHeight="1" x14ac:dyDescent="0.25">
      <c r="A24" s="560"/>
      <c r="B24" s="561"/>
      <c r="C24" s="561"/>
      <c r="D24" s="562" t="s">
        <v>23</v>
      </c>
      <c r="E24" s="561"/>
      <c r="F24" s="561"/>
      <c r="G24" s="563"/>
      <c r="H24" s="564" t="s">
        <v>14</v>
      </c>
      <c r="I24" s="565"/>
      <c r="J24" s="565"/>
      <c r="K24" s="566"/>
      <c r="L24" s="567">
        <f t="shared" ref="L24:N24" ca="1" si="12">L25+L26</f>
        <v>0</v>
      </c>
      <c r="M24" s="568">
        <f t="shared" ca="1" si="12"/>
        <v>0</v>
      </c>
      <c r="N24" s="568">
        <f t="shared" ca="1" si="12"/>
        <v>0</v>
      </c>
      <c r="O24" s="568">
        <f t="shared" ca="1" si="1"/>
        <v>0</v>
      </c>
      <c r="P24" s="568">
        <f t="shared" ca="1" si="2"/>
        <v>0</v>
      </c>
      <c r="Q24" s="568">
        <f t="shared" ref="Q24:S24" ca="1" si="13">Q25+Q26</f>
        <v>0</v>
      </c>
      <c r="R24" s="568">
        <f t="shared" ca="1" si="13"/>
        <v>0</v>
      </c>
      <c r="S24" s="568">
        <f t="shared" ca="1" si="13"/>
        <v>0</v>
      </c>
      <c r="T24" s="568">
        <f t="shared" ca="1" si="4"/>
        <v>0</v>
      </c>
      <c r="U24" s="568">
        <f t="shared" ca="1" si="5"/>
        <v>0</v>
      </c>
    </row>
    <row r="25" spans="1:21" ht="15.75" customHeight="1" x14ac:dyDescent="0.25">
      <c r="A25" s="560"/>
      <c r="B25" s="561"/>
      <c r="C25" s="561"/>
      <c r="D25" s="561"/>
      <c r="E25" s="569" t="s">
        <v>20</v>
      </c>
      <c r="F25" s="561"/>
      <c r="G25" s="563"/>
      <c r="H25" s="570" t="s">
        <v>14</v>
      </c>
      <c r="I25" s="565"/>
      <c r="J25" s="565"/>
      <c r="K25" s="566"/>
      <c r="L25" s="571">
        <f t="shared" ref="L25:N26" si="14">L51+L66+L79+L101+L132+L146+L164+L193+L180+L273+L289+L310+L327+L340+L363+L520</f>
        <v>0</v>
      </c>
      <c r="M25" s="572">
        <f t="shared" si="14"/>
        <v>0</v>
      </c>
      <c r="N25" s="572">
        <f t="shared" si="14"/>
        <v>0</v>
      </c>
      <c r="O25" s="572">
        <f t="shared" si="1"/>
        <v>0</v>
      </c>
      <c r="P25" s="572">
        <f t="shared" si="2"/>
        <v>0</v>
      </c>
      <c r="Q25" s="572">
        <f t="shared" ref="Q25:S26" si="15">Q79+Q101+Q124+Q146+Q164+Q180+Q193+Q273+Q289+Q310+Q340+Q382+Q399+Q420+Q500+Q606+Q623+Q649+Q697+Q721+Q735+Q767</f>
        <v>0</v>
      </c>
      <c r="R25" s="572">
        <f t="shared" si="15"/>
        <v>0</v>
      </c>
      <c r="S25" s="572">
        <f t="shared" si="15"/>
        <v>0</v>
      </c>
      <c r="T25" s="572">
        <f t="shared" si="4"/>
        <v>0</v>
      </c>
      <c r="U25" s="572">
        <f t="shared" si="5"/>
        <v>0</v>
      </c>
    </row>
    <row r="26" spans="1:21" ht="15.75" customHeight="1" x14ac:dyDescent="0.25">
      <c r="A26" s="560"/>
      <c r="B26" s="561"/>
      <c r="C26" s="561"/>
      <c r="D26" s="561"/>
      <c r="E26" s="573" t="s">
        <v>21</v>
      </c>
      <c r="F26" s="561"/>
      <c r="G26" s="563"/>
      <c r="H26" s="564" t="s">
        <v>14</v>
      </c>
      <c r="I26" s="565"/>
      <c r="J26" s="565"/>
      <c r="K26" s="566"/>
      <c r="L26" s="567">
        <f t="shared" ca="1" si="14"/>
        <v>0</v>
      </c>
      <c r="M26" s="568">
        <f t="shared" ca="1" si="14"/>
        <v>0</v>
      </c>
      <c r="N26" s="568">
        <f t="shared" ca="1" si="14"/>
        <v>0</v>
      </c>
      <c r="O26" s="568">
        <f t="shared" ca="1" si="1"/>
        <v>0</v>
      </c>
      <c r="P26" s="568">
        <f t="shared" ca="1" si="2"/>
        <v>0</v>
      </c>
      <c r="Q26" s="572">
        <f t="shared" ca="1" si="15"/>
        <v>0</v>
      </c>
      <c r="R26" s="572">
        <f t="shared" ca="1" si="15"/>
        <v>0</v>
      </c>
      <c r="S26" s="572">
        <f t="shared" ca="1" si="15"/>
        <v>0</v>
      </c>
      <c r="T26" s="568">
        <f t="shared" ca="1" si="4"/>
        <v>0</v>
      </c>
      <c r="U26" s="568">
        <f t="shared" ca="1" si="5"/>
        <v>0</v>
      </c>
    </row>
    <row r="27" spans="1:21" ht="15.75" customHeight="1" x14ac:dyDescent="0.25">
      <c r="A27" s="560"/>
      <c r="B27" s="561"/>
      <c r="C27" s="561"/>
      <c r="D27" s="562" t="s">
        <v>24</v>
      </c>
      <c r="E27" s="561"/>
      <c r="F27" s="561"/>
      <c r="G27" s="563"/>
      <c r="H27" s="564" t="s">
        <v>14</v>
      </c>
      <c r="I27" s="565"/>
      <c r="J27" s="565"/>
      <c r="K27" s="566"/>
      <c r="L27" s="574"/>
      <c r="M27" s="566"/>
      <c r="N27" s="566"/>
      <c r="O27" s="566"/>
      <c r="P27" s="566"/>
      <c r="Q27" s="566"/>
      <c r="R27" s="566"/>
      <c r="S27" s="566"/>
      <c r="T27" s="566"/>
      <c r="U27" s="566"/>
    </row>
    <row r="28" spans="1:21" ht="15.75" customHeight="1" x14ac:dyDescent="0.25">
      <c r="A28" s="560"/>
      <c r="B28" s="561"/>
      <c r="C28" s="561"/>
      <c r="D28" s="561"/>
      <c r="E28" s="569" t="s">
        <v>20</v>
      </c>
      <c r="F28" s="561"/>
      <c r="G28" s="563"/>
      <c r="H28" s="570" t="s">
        <v>14</v>
      </c>
      <c r="I28" s="565"/>
      <c r="J28" s="565"/>
      <c r="K28" s="566"/>
      <c r="L28" s="574"/>
      <c r="M28" s="566"/>
      <c r="N28" s="566"/>
      <c r="O28" s="566"/>
      <c r="P28" s="566"/>
      <c r="Q28" s="566"/>
      <c r="R28" s="566"/>
      <c r="S28" s="566"/>
      <c r="T28" s="566"/>
      <c r="U28" s="566"/>
    </row>
    <row r="29" spans="1:21" ht="15.75" customHeight="1" x14ac:dyDescent="0.25">
      <c r="A29" s="575"/>
      <c r="B29" s="513"/>
      <c r="C29" s="513"/>
      <c r="D29" s="513"/>
      <c r="E29" s="576" t="s">
        <v>21</v>
      </c>
      <c r="F29" s="513"/>
      <c r="G29" s="577"/>
      <c r="H29" s="578" t="s">
        <v>14</v>
      </c>
      <c r="I29" s="579"/>
      <c r="J29" s="579"/>
      <c r="K29" s="580"/>
      <c r="L29" s="581"/>
      <c r="M29" s="580"/>
      <c r="N29" s="580"/>
      <c r="O29" s="580"/>
      <c r="P29" s="580"/>
      <c r="Q29" s="580"/>
      <c r="R29" s="580"/>
      <c r="S29" s="580"/>
      <c r="T29" s="580"/>
      <c r="U29" s="580"/>
    </row>
    <row r="30" spans="1:21" ht="12.75" hidden="1" x14ac:dyDescent="0.2">
      <c r="A30" s="1316"/>
      <c r="B30" s="1314"/>
      <c r="C30" s="1314"/>
      <c r="D30" s="1314"/>
      <c r="E30" s="1314"/>
      <c r="F30" s="1314"/>
      <c r="G30" s="1317"/>
      <c r="H30" s="526"/>
      <c r="I30" s="527"/>
      <c r="J30" s="527"/>
      <c r="K30" s="528"/>
      <c r="L30" s="529"/>
      <c r="M30" s="528"/>
      <c r="N30" s="528"/>
      <c r="O30" s="528"/>
      <c r="P30" s="528"/>
      <c r="Q30" s="528"/>
      <c r="R30" s="528"/>
      <c r="S30" s="528"/>
      <c r="T30" s="528"/>
      <c r="U30" s="528"/>
    </row>
    <row r="31" spans="1:21" ht="12.75" hidden="1" x14ac:dyDescent="0.2">
      <c r="A31" s="530"/>
      <c r="B31" s="531"/>
      <c r="C31" s="531"/>
      <c r="D31" s="531"/>
      <c r="E31" s="531"/>
      <c r="F31" s="531"/>
      <c r="G31" s="532"/>
      <c r="H31" s="532"/>
      <c r="I31" s="533"/>
      <c r="J31" s="533"/>
      <c r="K31" s="534"/>
      <c r="L31" s="535"/>
      <c r="M31" s="534"/>
      <c r="N31" s="534"/>
      <c r="O31" s="534"/>
      <c r="P31" s="534"/>
      <c r="Q31" s="534"/>
      <c r="R31" s="534"/>
      <c r="S31" s="534"/>
      <c r="T31" s="534"/>
      <c r="U31" s="534"/>
    </row>
    <row r="32" spans="1:21" ht="12.75" hidden="1" x14ac:dyDescent="0.2">
      <c r="A32" s="530"/>
      <c r="B32" s="531"/>
      <c r="C32" s="531"/>
      <c r="D32" s="531"/>
      <c r="E32" s="531"/>
      <c r="F32" s="531"/>
      <c r="G32" s="532"/>
      <c r="H32" s="532"/>
      <c r="I32" s="533"/>
      <c r="J32" s="533"/>
      <c r="K32" s="534"/>
      <c r="L32" s="535"/>
      <c r="M32" s="534"/>
      <c r="N32" s="534"/>
      <c r="O32" s="534"/>
      <c r="P32" s="534"/>
      <c r="Q32" s="534"/>
      <c r="R32" s="534"/>
      <c r="S32" s="534"/>
      <c r="T32" s="534"/>
      <c r="U32" s="534"/>
    </row>
    <row r="33" spans="1:21" ht="12.75" hidden="1" x14ac:dyDescent="0.2">
      <c r="A33" s="530"/>
      <c r="B33" s="531"/>
      <c r="C33" s="531"/>
      <c r="D33" s="531"/>
      <c r="E33" s="531"/>
      <c r="F33" s="531"/>
      <c r="G33" s="532"/>
      <c r="H33" s="532"/>
      <c r="I33" s="533"/>
      <c r="J33" s="533"/>
      <c r="K33" s="534"/>
      <c r="L33" s="535"/>
      <c r="M33" s="534"/>
      <c r="N33" s="534"/>
      <c r="O33" s="534"/>
      <c r="P33" s="534"/>
      <c r="Q33" s="534"/>
      <c r="R33" s="534"/>
      <c r="S33" s="534"/>
      <c r="T33" s="534"/>
      <c r="U33" s="534"/>
    </row>
    <row r="34" spans="1:21" ht="12.75" hidden="1" x14ac:dyDescent="0.2">
      <c r="A34" s="530"/>
      <c r="B34" s="531"/>
      <c r="C34" s="531"/>
      <c r="D34" s="531"/>
      <c r="E34" s="531"/>
      <c r="F34" s="531"/>
      <c r="G34" s="532"/>
      <c r="H34" s="532"/>
      <c r="I34" s="533"/>
      <c r="J34" s="533"/>
      <c r="K34" s="534"/>
      <c r="L34" s="535"/>
      <c r="M34" s="534"/>
      <c r="N34" s="534"/>
      <c r="O34" s="534"/>
      <c r="P34" s="534"/>
      <c r="Q34" s="534"/>
      <c r="R34" s="534"/>
      <c r="S34" s="534"/>
      <c r="T34" s="534"/>
      <c r="U34" s="534"/>
    </row>
    <row r="35" spans="1:21" ht="12.75" hidden="1" x14ac:dyDescent="0.2">
      <c r="A35" s="530"/>
      <c r="B35" s="531"/>
      <c r="C35" s="531"/>
      <c r="D35" s="531"/>
      <c r="E35" s="531"/>
      <c r="F35" s="531"/>
      <c r="G35" s="532"/>
      <c r="H35" s="532"/>
      <c r="I35" s="533"/>
      <c r="J35" s="533"/>
      <c r="K35" s="534"/>
      <c r="L35" s="535"/>
      <c r="M35" s="534"/>
      <c r="N35" s="534"/>
      <c r="O35" s="534"/>
      <c r="P35" s="534"/>
      <c r="Q35" s="534"/>
      <c r="R35" s="534"/>
      <c r="S35" s="534"/>
      <c r="T35" s="534"/>
      <c r="U35" s="534"/>
    </row>
    <row r="36" spans="1:21" ht="12.75" hidden="1" x14ac:dyDescent="0.2">
      <c r="A36" s="530"/>
      <c r="B36" s="531"/>
      <c r="C36" s="531"/>
      <c r="D36" s="531"/>
      <c r="E36" s="531"/>
      <c r="F36" s="531"/>
      <c r="G36" s="532"/>
      <c r="H36" s="532"/>
      <c r="I36" s="533"/>
      <c r="J36" s="533"/>
      <c r="K36" s="534"/>
      <c r="L36" s="535"/>
      <c r="M36" s="534"/>
      <c r="N36" s="534"/>
      <c r="O36" s="534"/>
      <c r="P36" s="534"/>
      <c r="Q36" s="534"/>
      <c r="R36" s="534"/>
      <c r="S36" s="534"/>
      <c r="T36" s="534"/>
      <c r="U36" s="534"/>
    </row>
    <row r="37" spans="1:21" ht="12.75" hidden="1" x14ac:dyDescent="0.2">
      <c r="A37" s="530"/>
      <c r="B37" s="531"/>
      <c r="C37" s="531"/>
      <c r="D37" s="531"/>
      <c r="E37" s="531"/>
      <c r="F37" s="531"/>
      <c r="G37" s="532"/>
      <c r="H37" s="532"/>
      <c r="I37" s="533"/>
      <c r="J37" s="533"/>
      <c r="K37" s="534"/>
      <c r="L37" s="535"/>
      <c r="M37" s="534"/>
      <c r="N37" s="534"/>
      <c r="O37" s="534"/>
      <c r="P37" s="534"/>
      <c r="Q37" s="534"/>
      <c r="R37" s="534"/>
      <c r="S37" s="534"/>
      <c r="T37" s="534"/>
      <c r="U37" s="534"/>
    </row>
    <row r="38" spans="1:21" ht="12.75" hidden="1" x14ac:dyDescent="0.2">
      <c r="A38" s="530"/>
      <c r="B38" s="531"/>
      <c r="C38" s="531"/>
      <c r="D38" s="531"/>
      <c r="E38" s="531"/>
      <c r="F38" s="531"/>
      <c r="G38" s="532"/>
      <c r="H38" s="532"/>
      <c r="I38" s="533"/>
      <c r="J38" s="533"/>
      <c r="K38" s="534"/>
      <c r="L38" s="535"/>
      <c r="M38" s="534"/>
      <c r="N38" s="534"/>
      <c r="O38" s="534"/>
      <c r="P38" s="534"/>
      <c r="Q38" s="534"/>
      <c r="R38" s="534"/>
      <c r="S38" s="534"/>
      <c r="T38" s="534"/>
      <c r="U38" s="534"/>
    </row>
    <row r="39" spans="1:21" ht="12.75" hidden="1" x14ac:dyDescent="0.2">
      <c r="A39" s="536"/>
      <c r="B39" s="537"/>
      <c r="C39" s="537"/>
      <c r="D39" s="537"/>
      <c r="E39" s="537"/>
      <c r="F39" s="537"/>
      <c r="G39" s="526"/>
      <c r="H39" s="526"/>
      <c r="I39" s="527"/>
      <c r="J39" s="527"/>
      <c r="K39" s="528"/>
      <c r="L39" s="529"/>
      <c r="M39" s="528"/>
      <c r="N39" s="528"/>
      <c r="O39" s="528"/>
      <c r="P39" s="528"/>
      <c r="Q39" s="528"/>
      <c r="R39" s="528"/>
      <c r="S39" s="528"/>
      <c r="T39" s="528"/>
      <c r="U39" s="528"/>
    </row>
    <row r="40" spans="1:21" ht="19.5" x14ac:dyDescent="0.3">
      <c r="A40" s="582" t="s">
        <v>25</v>
      </c>
      <c r="B40" s="583"/>
      <c r="C40" s="583"/>
      <c r="D40" s="583"/>
      <c r="E40" s="583"/>
      <c r="F40" s="583"/>
      <c r="G40" s="584"/>
      <c r="H40" s="584"/>
      <c r="I40" s="585"/>
      <c r="J40" s="585"/>
      <c r="K40" s="586"/>
      <c r="L40" s="587">
        <f t="shared" ref="L40:N40" ca="1" si="16">L44+L59+L72+L94+L125+L139+L157+L173+L186+L266+L282+L303+L320+L333+L356</f>
        <v>3169199</v>
      </c>
      <c r="M40" s="588">
        <f t="shared" ca="1" si="16"/>
        <v>3138627</v>
      </c>
      <c r="N40" s="588">
        <f t="shared" ca="1" si="16"/>
        <v>2229069.61</v>
      </c>
      <c r="O40" s="588">
        <f ca="1">IF(L40&gt;0,N40*100/L40,0)</f>
        <v>70.335425765311683</v>
      </c>
      <c r="P40" s="588">
        <f ca="1">IF(M40&gt;0,N40*100/M40,0)</f>
        <v>71.020532544963132</v>
      </c>
      <c r="Q40" s="586"/>
      <c r="R40" s="586"/>
      <c r="S40" s="586"/>
      <c r="T40" s="586"/>
      <c r="U40" s="586"/>
    </row>
    <row r="41" spans="1:21" ht="19.5" x14ac:dyDescent="0.3">
      <c r="A41" s="589" t="s">
        <v>26</v>
      </c>
      <c r="B41" s="590"/>
      <c r="C41" s="590"/>
      <c r="D41" s="590"/>
      <c r="E41" s="590"/>
      <c r="F41" s="590"/>
      <c r="G41" s="590"/>
      <c r="H41" s="590"/>
      <c r="I41" s="591"/>
      <c r="J41" s="591"/>
      <c r="K41" s="592"/>
      <c r="L41" s="592"/>
      <c r="M41" s="592"/>
      <c r="N41" s="592"/>
      <c r="O41" s="592"/>
      <c r="P41" s="593"/>
      <c r="Q41" s="592"/>
      <c r="R41" s="592"/>
      <c r="S41" s="592"/>
      <c r="T41" s="592"/>
      <c r="U41" s="593"/>
    </row>
    <row r="42" spans="1:21" ht="19.5" x14ac:dyDescent="0.3">
      <c r="A42" s="594"/>
      <c r="B42" s="595" t="s">
        <v>27</v>
      </c>
      <c r="C42" s="594"/>
      <c r="D42" s="594"/>
      <c r="E42" s="594"/>
      <c r="F42" s="594"/>
      <c r="G42" s="596"/>
      <c r="H42" s="596"/>
      <c r="I42" s="597"/>
      <c r="J42" s="597"/>
      <c r="K42" s="598"/>
      <c r="L42" s="599"/>
      <c r="M42" s="598"/>
      <c r="N42" s="598"/>
      <c r="O42" s="598"/>
      <c r="P42" s="598"/>
      <c r="Q42" s="598"/>
      <c r="R42" s="598"/>
      <c r="S42" s="598"/>
      <c r="T42" s="598"/>
      <c r="U42" s="598"/>
    </row>
    <row r="43" spans="1:21" ht="12.75" hidden="1" x14ac:dyDescent="0.2">
      <c r="A43" s="530"/>
      <c r="B43" s="531"/>
      <c r="C43" s="531"/>
      <c r="D43" s="531"/>
      <c r="E43" s="531"/>
      <c r="F43" s="531"/>
      <c r="G43" s="532"/>
      <c r="H43" s="532"/>
      <c r="I43" s="533"/>
      <c r="J43" s="533"/>
      <c r="K43" s="534"/>
      <c r="L43" s="535"/>
      <c r="M43" s="534"/>
      <c r="N43" s="534"/>
      <c r="O43" s="534"/>
      <c r="P43" s="534"/>
      <c r="Q43" s="534"/>
      <c r="R43" s="534"/>
      <c r="S43" s="534"/>
      <c r="T43" s="534"/>
      <c r="U43" s="534"/>
    </row>
    <row r="44" spans="1:21" ht="19.5" x14ac:dyDescent="0.3">
      <c r="A44" s="600"/>
      <c r="B44" s="601"/>
      <c r="C44" s="602" t="s">
        <v>18</v>
      </c>
      <c r="D44" s="603" t="s">
        <v>19</v>
      </c>
      <c r="E44" s="601"/>
      <c r="F44" s="601"/>
      <c r="G44" s="604"/>
      <c r="H44" s="605" t="s">
        <v>14</v>
      </c>
      <c r="I44" s="606"/>
      <c r="J44" s="606"/>
      <c r="K44" s="607"/>
      <c r="L44" s="608">
        <f t="shared" ref="L44:N44" ca="1" si="17">L45+L46</f>
        <v>586499</v>
      </c>
      <c r="M44" s="609">
        <f t="shared" ca="1" si="17"/>
        <v>753312</v>
      </c>
      <c r="N44" s="609">
        <f t="shared" ca="1" si="17"/>
        <v>481345</v>
      </c>
      <c r="O44" s="609">
        <f t="shared" ref="O44:O52" ca="1" si="18">IF(L44&gt;0,N44*100/L44,0)</f>
        <v>82.070898671608987</v>
      </c>
      <c r="P44" s="609">
        <f t="shared" ref="P44:P52" ca="1" si="19">IF(M44&gt;0,N44*100/M44,0)</f>
        <v>63.897163459496198</v>
      </c>
      <c r="Q44" s="609">
        <f t="shared" ref="Q44:S44" si="20">Q45+Q46</f>
        <v>0</v>
      </c>
      <c r="R44" s="609">
        <f t="shared" si="20"/>
        <v>0</v>
      </c>
      <c r="S44" s="609">
        <f t="shared" si="20"/>
        <v>0</v>
      </c>
      <c r="T44" s="609">
        <f t="shared" ref="T44:T52" si="21">IF(Q44&gt;0,S44*100/Q44,0)</f>
        <v>0</v>
      </c>
      <c r="U44" s="609">
        <f t="shared" ref="U44:U52" si="22">IF(R44&gt;0,S44*100/R44,0)</f>
        <v>0</v>
      </c>
    </row>
    <row r="45" spans="1:21" ht="18.75" x14ac:dyDescent="0.25">
      <c r="A45" s="600"/>
      <c r="B45" s="601"/>
      <c r="C45" s="601"/>
      <c r="D45" s="601"/>
      <c r="E45" s="610" t="s">
        <v>20</v>
      </c>
      <c r="F45" s="601"/>
      <c r="G45" s="604"/>
      <c r="H45" s="611" t="s">
        <v>14</v>
      </c>
      <c r="I45" s="606"/>
      <c r="J45" s="606"/>
      <c r="K45" s="607"/>
      <c r="L45" s="612">
        <f t="shared" ref="L45:N46" si="23">L48+L51</f>
        <v>0</v>
      </c>
      <c r="M45" s="613">
        <f t="shared" si="23"/>
        <v>0</v>
      </c>
      <c r="N45" s="613">
        <f t="shared" si="23"/>
        <v>0</v>
      </c>
      <c r="O45" s="613">
        <f t="shared" si="18"/>
        <v>0</v>
      </c>
      <c r="P45" s="613">
        <f t="shared" si="19"/>
        <v>0</v>
      </c>
      <c r="Q45" s="613">
        <f t="shared" ref="Q45:S46" si="24">Q48+Q51</f>
        <v>0</v>
      </c>
      <c r="R45" s="613">
        <f t="shared" si="24"/>
        <v>0</v>
      </c>
      <c r="S45" s="613">
        <f t="shared" si="24"/>
        <v>0</v>
      </c>
      <c r="T45" s="613">
        <f t="shared" si="21"/>
        <v>0</v>
      </c>
      <c r="U45" s="613">
        <f t="shared" si="22"/>
        <v>0</v>
      </c>
    </row>
    <row r="46" spans="1:21" ht="18.75" x14ac:dyDescent="0.25">
      <c r="A46" s="600"/>
      <c r="B46" s="601"/>
      <c r="C46" s="601"/>
      <c r="D46" s="601"/>
      <c r="E46" s="614" t="s">
        <v>21</v>
      </c>
      <c r="F46" s="601"/>
      <c r="G46" s="604"/>
      <c r="H46" s="615" t="s">
        <v>14</v>
      </c>
      <c r="I46" s="606"/>
      <c r="J46" s="606"/>
      <c r="K46" s="607"/>
      <c r="L46" s="616">
        <f t="shared" ca="1" si="23"/>
        <v>586499</v>
      </c>
      <c r="M46" s="617">
        <f t="shared" ca="1" si="23"/>
        <v>753312</v>
      </c>
      <c r="N46" s="617">
        <f t="shared" ca="1" si="23"/>
        <v>481345</v>
      </c>
      <c r="O46" s="617">
        <f t="shared" ca="1" si="18"/>
        <v>82.070898671608987</v>
      </c>
      <c r="P46" s="617">
        <f t="shared" ca="1" si="19"/>
        <v>63.897163459496198</v>
      </c>
      <c r="Q46" s="617">
        <f t="shared" si="24"/>
        <v>0</v>
      </c>
      <c r="R46" s="617">
        <f t="shared" si="24"/>
        <v>0</v>
      </c>
      <c r="S46" s="617">
        <f t="shared" si="24"/>
        <v>0</v>
      </c>
      <c r="T46" s="617">
        <f t="shared" si="21"/>
        <v>0</v>
      </c>
      <c r="U46" s="617">
        <f t="shared" si="22"/>
        <v>0</v>
      </c>
    </row>
    <row r="47" spans="1:21" ht="18.75" x14ac:dyDescent="0.25">
      <c r="A47" s="560"/>
      <c r="B47" s="561"/>
      <c r="C47" s="561"/>
      <c r="D47" s="562" t="s">
        <v>22</v>
      </c>
      <c r="E47" s="561"/>
      <c r="F47" s="561"/>
      <c r="G47" s="563"/>
      <c r="H47" s="564" t="s">
        <v>14</v>
      </c>
      <c r="I47" s="565"/>
      <c r="J47" s="565"/>
      <c r="K47" s="566"/>
      <c r="L47" s="567">
        <f t="shared" ref="L47:N47" ca="1" si="25">L48+L49</f>
        <v>586499</v>
      </c>
      <c r="M47" s="568">
        <f t="shared" ca="1" si="25"/>
        <v>753312</v>
      </c>
      <c r="N47" s="568">
        <f t="shared" ca="1" si="25"/>
        <v>481345</v>
      </c>
      <c r="O47" s="568">
        <f t="shared" ca="1" si="18"/>
        <v>82.070898671608987</v>
      </c>
      <c r="P47" s="568">
        <f t="shared" ca="1" si="19"/>
        <v>63.897163459496198</v>
      </c>
      <c r="Q47" s="568">
        <f t="shared" ref="Q47:S47" si="26">Q48+Q49</f>
        <v>0</v>
      </c>
      <c r="R47" s="568">
        <f t="shared" si="26"/>
        <v>0</v>
      </c>
      <c r="S47" s="568">
        <f t="shared" si="26"/>
        <v>0</v>
      </c>
      <c r="T47" s="568">
        <f t="shared" si="21"/>
        <v>0</v>
      </c>
      <c r="U47" s="568">
        <f t="shared" si="22"/>
        <v>0</v>
      </c>
    </row>
    <row r="48" spans="1:21" ht="18.75" x14ac:dyDescent="0.25">
      <c r="A48" s="560"/>
      <c r="B48" s="561"/>
      <c r="C48" s="561"/>
      <c r="D48" s="561"/>
      <c r="E48" s="569" t="s">
        <v>20</v>
      </c>
      <c r="F48" s="561"/>
      <c r="G48" s="563"/>
      <c r="H48" s="570" t="s">
        <v>14</v>
      </c>
      <c r="I48" s="565"/>
      <c r="J48" s="565"/>
      <c r="K48" s="566"/>
      <c r="L48" s="571">
        <v>0</v>
      </c>
      <c r="M48" s="572">
        <v>0</v>
      </c>
      <c r="N48" s="572">
        <v>0</v>
      </c>
      <c r="O48" s="572">
        <f t="shared" si="18"/>
        <v>0</v>
      </c>
      <c r="P48" s="572">
        <f t="shared" si="19"/>
        <v>0</v>
      </c>
      <c r="Q48" s="572">
        <v>0</v>
      </c>
      <c r="R48" s="572">
        <v>0</v>
      </c>
      <c r="S48" s="572">
        <v>0</v>
      </c>
      <c r="T48" s="572">
        <f t="shared" si="21"/>
        <v>0</v>
      </c>
      <c r="U48" s="572">
        <f t="shared" si="22"/>
        <v>0</v>
      </c>
    </row>
    <row r="49" spans="1:21" ht="18.75" x14ac:dyDescent="0.25">
      <c r="A49" s="560"/>
      <c r="B49" s="561"/>
      <c r="C49" s="561"/>
      <c r="D49" s="561"/>
      <c r="E49" s="573" t="s">
        <v>21</v>
      </c>
      <c r="F49" s="561"/>
      <c r="G49" s="563"/>
      <c r="H49" s="564" t="s">
        <v>14</v>
      </c>
      <c r="I49" s="565"/>
      <c r="J49" s="565"/>
      <c r="K49" s="566"/>
      <c r="L49" s="567">
        <f ca="1">IFERROR(__xludf.DUMMYFUNCTION("IMPORTRANGE(""https://docs.google.com/spreadsheets/d/1-uDff_7J0KD5mKrp0Vvzr7lt3OU09vwQwhkpOPPYv2Y/edit?usp=sharing"",""งบพรบ!P18"")"),586499)</f>
        <v>586499</v>
      </c>
      <c r="M49" s="568">
        <f ca="1">IFERROR(__xludf.DUMMYFUNCTION("IMPORTRANGE(""https://docs.google.com/spreadsheets/d/1-uDff_7J0KD5mKrp0Vvzr7lt3OU09vwQwhkpOPPYv2Y/edit?usp=sharing"",""งบพรบ!V18"")"),753312)</f>
        <v>753312</v>
      </c>
      <c r="N49" s="568">
        <f ca="1">IFERROR(__xludf.DUMMYFUNCTION("IMPORTRANGE(""https://docs.google.com/spreadsheets/d/1-uDff_7J0KD5mKrp0Vvzr7lt3OU09vwQwhkpOPPYv2Y/edit?usp=sharing"",""งบพรบ!Y18"")"),481345)</f>
        <v>481345</v>
      </c>
      <c r="O49" s="568">
        <f t="shared" ca="1" si="18"/>
        <v>82.070898671608987</v>
      </c>
      <c r="P49" s="568">
        <f t="shared" ca="1" si="19"/>
        <v>63.897163459496198</v>
      </c>
      <c r="Q49" s="568">
        <v>0</v>
      </c>
      <c r="R49" s="568">
        <v>0</v>
      </c>
      <c r="S49" s="568">
        <v>0</v>
      </c>
      <c r="T49" s="568">
        <f t="shared" si="21"/>
        <v>0</v>
      </c>
      <c r="U49" s="568">
        <f t="shared" si="22"/>
        <v>0</v>
      </c>
    </row>
    <row r="50" spans="1:21" ht="18.75" x14ac:dyDescent="0.25">
      <c r="A50" s="560"/>
      <c r="B50" s="561"/>
      <c r="C50" s="561"/>
      <c r="D50" s="562" t="s">
        <v>23</v>
      </c>
      <c r="E50" s="561"/>
      <c r="F50" s="561"/>
      <c r="G50" s="563"/>
      <c r="H50" s="564" t="s">
        <v>14</v>
      </c>
      <c r="I50" s="565"/>
      <c r="J50" s="565"/>
      <c r="K50" s="566"/>
      <c r="L50" s="567">
        <f t="shared" ref="L50:N50" ca="1" si="27">L51+L52</f>
        <v>0</v>
      </c>
      <c r="M50" s="568">
        <f t="shared" ca="1" si="27"/>
        <v>0</v>
      </c>
      <c r="N50" s="568">
        <f t="shared" ca="1" si="27"/>
        <v>0</v>
      </c>
      <c r="O50" s="568">
        <f t="shared" ca="1" si="18"/>
        <v>0</v>
      </c>
      <c r="P50" s="568">
        <f t="shared" ca="1" si="19"/>
        <v>0</v>
      </c>
      <c r="Q50" s="568">
        <f t="shared" ref="Q50:S50" si="28">Q51+Q52</f>
        <v>0</v>
      </c>
      <c r="R50" s="568">
        <f t="shared" si="28"/>
        <v>0</v>
      </c>
      <c r="S50" s="568">
        <f t="shared" si="28"/>
        <v>0</v>
      </c>
      <c r="T50" s="568">
        <f t="shared" si="21"/>
        <v>0</v>
      </c>
      <c r="U50" s="568">
        <f t="shared" si="22"/>
        <v>0</v>
      </c>
    </row>
    <row r="51" spans="1:21" ht="18.75" x14ac:dyDescent="0.25">
      <c r="A51" s="560"/>
      <c r="B51" s="561"/>
      <c r="C51" s="561"/>
      <c r="D51" s="561"/>
      <c r="E51" s="569" t="s">
        <v>20</v>
      </c>
      <c r="F51" s="561"/>
      <c r="G51" s="563"/>
      <c r="H51" s="570" t="s">
        <v>14</v>
      </c>
      <c r="I51" s="565"/>
      <c r="J51" s="565"/>
      <c r="K51" s="566"/>
      <c r="L51" s="571">
        <v>0</v>
      </c>
      <c r="M51" s="572">
        <v>0</v>
      </c>
      <c r="N51" s="572">
        <v>0</v>
      </c>
      <c r="O51" s="572">
        <f t="shared" si="18"/>
        <v>0</v>
      </c>
      <c r="P51" s="572">
        <f t="shared" si="19"/>
        <v>0</v>
      </c>
      <c r="Q51" s="572">
        <v>0</v>
      </c>
      <c r="R51" s="572">
        <v>0</v>
      </c>
      <c r="S51" s="572">
        <v>0</v>
      </c>
      <c r="T51" s="572">
        <f t="shared" si="21"/>
        <v>0</v>
      </c>
      <c r="U51" s="572">
        <f t="shared" si="22"/>
        <v>0</v>
      </c>
    </row>
    <row r="52" spans="1:21" ht="18.75" x14ac:dyDescent="0.25">
      <c r="A52" s="560"/>
      <c r="B52" s="561"/>
      <c r="C52" s="561"/>
      <c r="D52" s="561"/>
      <c r="E52" s="573" t="s">
        <v>21</v>
      </c>
      <c r="F52" s="561"/>
      <c r="G52" s="563"/>
      <c r="H52" s="564" t="s">
        <v>14</v>
      </c>
      <c r="I52" s="565"/>
      <c r="J52" s="565"/>
      <c r="K52" s="566"/>
      <c r="L52" s="567">
        <f ca="1">IFERROR(__xludf.DUMMYFUNCTION("IMPORTRANGE(""https://docs.google.com/spreadsheets/d/1-uDff_7J0KD5mKrp0Vvzr7lt3OU09vwQwhkpOPPYv2Y/edit?usp=sharing"",""งบพรบ!S18"")"),0)</f>
        <v>0</v>
      </c>
      <c r="M52" s="568">
        <f ca="1">IFERROR(__xludf.DUMMYFUNCTION("IMPORTRANGE(""https://docs.google.com/spreadsheets/d/1-uDff_7J0KD5mKrp0Vvzr7lt3OU09vwQwhkpOPPYv2Y/edit?usp=sharing"",""งบพรบ!W18"")"),0)</f>
        <v>0</v>
      </c>
      <c r="N52" s="568">
        <f ca="1">IFERROR(__xludf.DUMMYFUNCTION("IMPORTRANGE(""https://docs.google.com/spreadsheets/d/1-uDff_7J0KD5mKrp0Vvzr7lt3OU09vwQwhkpOPPYv2Y/edit?usp=sharing"",""งบพรบ!Z18"")"),0)</f>
        <v>0</v>
      </c>
      <c r="O52" s="568">
        <f t="shared" ca="1" si="18"/>
        <v>0</v>
      </c>
      <c r="P52" s="568">
        <f t="shared" ca="1" si="19"/>
        <v>0</v>
      </c>
      <c r="Q52" s="568">
        <v>0</v>
      </c>
      <c r="R52" s="568">
        <v>0</v>
      </c>
      <c r="S52" s="568">
        <v>0</v>
      </c>
      <c r="T52" s="568">
        <f t="shared" si="21"/>
        <v>0</v>
      </c>
      <c r="U52" s="568">
        <f t="shared" si="22"/>
        <v>0</v>
      </c>
    </row>
    <row r="53" spans="1:21" ht="18.75" x14ac:dyDescent="0.25">
      <c r="A53" s="560"/>
      <c r="B53" s="561"/>
      <c r="C53" s="561"/>
      <c r="D53" s="562" t="s">
        <v>24</v>
      </c>
      <c r="E53" s="561"/>
      <c r="F53" s="561"/>
      <c r="G53" s="563"/>
      <c r="H53" s="564" t="s">
        <v>14</v>
      </c>
      <c r="I53" s="565"/>
      <c r="J53" s="565"/>
      <c r="K53" s="566"/>
      <c r="L53" s="574"/>
      <c r="M53" s="566"/>
      <c r="N53" s="566"/>
      <c r="O53" s="566"/>
      <c r="P53" s="566"/>
      <c r="Q53" s="566"/>
      <c r="R53" s="566"/>
      <c r="S53" s="566"/>
      <c r="T53" s="566"/>
      <c r="U53" s="566"/>
    </row>
    <row r="54" spans="1:21" ht="18.75" x14ac:dyDescent="0.25">
      <c r="A54" s="560"/>
      <c r="B54" s="561"/>
      <c r="C54" s="561"/>
      <c r="D54" s="561"/>
      <c r="E54" s="569" t="s">
        <v>20</v>
      </c>
      <c r="F54" s="561"/>
      <c r="G54" s="563"/>
      <c r="H54" s="570" t="s">
        <v>14</v>
      </c>
      <c r="I54" s="565"/>
      <c r="J54" s="565"/>
      <c r="K54" s="566"/>
      <c r="L54" s="574"/>
      <c r="M54" s="566"/>
      <c r="N54" s="566"/>
      <c r="O54" s="566"/>
      <c r="P54" s="566"/>
      <c r="Q54" s="566"/>
      <c r="R54" s="566"/>
      <c r="S54" s="566"/>
      <c r="T54" s="566"/>
      <c r="U54" s="566"/>
    </row>
    <row r="55" spans="1:21" ht="18.75" x14ac:dyDescent="0.25">
      <c r="A55" s="575"/>
      <c r="B55" s="513"/>
      <c r="C55" s="513"/>
      <c r="D55" s="513"/>
      <c r="E55" s="576" t="s">
        <v>21</v>
      </c>
      <c r="F55" s="513"/>
      <c r="G55" s="577"/>
      <c r="H55" s="578" t="s">
        <v>14</v>
      </c>
      <c r="I55" s="579"/>
      <c r="J55" s="579"/>
      <c r="K55" s="580"/>
      <c r="L55" s="581"/>
      <c r="M55" s="580"/>
      <c r="N55" s="580"/>
      <c r="O55" s="580"/>
      <c r="P55" s="580"/>
      <c r="Q55" s="580"/>
      <c r="R55" s="580"/>
      <c r="S55" s="580"/>
      <c r="T55" s="580"/>
      <c r="U55" s="580"/>
    </row>
    <row r="56" spans="1:21" ht="19.5" x14ac:dyDescent="0.3">
      <c r="A56" s="1319" t="s">
        <v>28</v>
      </c>
      <c r="B56" s="1314"/>
      <c r="C56" s="1314"/>
      <c r="D56" s="1314"/>
      <c r="E56" s="1314"/>
      <c r="F56" s="1314"/>
      <c r="G56" s="1317"/>
      <c r="H56" s="618"/>
      <c r="I56" s="619"/>
      <c r="J56" s="619"/>
      <c r="K56" s="620"/>
      <c r="L56" s="620"/>
      <c r="M56" s="620"/>
      <c r="N56" s="620"/>
      <c r="O56" s="620"/>
      <c r="P56" s="621"/>
      <c r="Q56" s="620"/>
      <c r="R56" s="620"/>
      <c r="S56" s="620"/>
      <c r="T56" s="620"/>
      <c r="U56" s="621"/>
    </row>
    <row r="57" spans="1:21" ht="19.5" x14ac:dyDescent="0.3">
      <c r="A57" s="622"/>
      <c r="B57" s="1320" t="s">
        <v>29</v>
      </c>
      <c r="C57" s="1311"/>
      <c r="D57" s="1311"/>
      <c r="E57" s="1311"/>
      <c r="F57" s="1311"/>
      <c r="G57" s="1312"/>
      <c r="H57" s="625"/>
      <c r="I57" s="626"/>
      <c r="J57" s="626"/>
      <c r="K57" s="627"/>
      <c r="L57" s="628"/>
      <c r="M57" s="627"/>
      <c r="N57" s="627"/>
      <c r="O57" s="627"/>
      <c r="P57" s="627"/>
      <c r="Q57" s="627"/>
      <c r="R57" s="627"/>
      <c r="S57" s="627"/>
      <c r="T57" s="627"/>
      <c r="U57" s="627"/>
    </row>
    <row r="58" spans="1:21" ht="19.5" x14ac:dyDescent="0.3">
      <c r="A58" s="629"/>
      <c r="B58" s="630" t="s">
        <v>30</v>
      </c>
      <c r="C58" s="631"/>
      <c r="D58" s="631"/>
      <c r="E58" s="631"/>
      <c r="F58" s="631"/>
      <c r="G58" s="632"/>
      <c r="H58" s="632"/>
      <c r="I58" s="633"/>
      <c r="J58" s="633"/>
      <c r="K58" s="634"/>
      <c r="L58" s="635"/>
      <c r="M58" s="634"/>
      <c r="N58" s="634"/>
      <c r="O58" s="634"/>
      <c r="P58" s="634"/>
      <c r="Q58" s="634"/>
      <c r="R58" s="634"/>
      <c r="S58" s="634"/>
      <c r="T58" s="634"/>
      <c r="U58" s="634"/>
    </row>
    <row r="59" spans="1:21" ht="19.5" x14ac:dyDescent="0.3">
      <c r="A59" s="636"/>
      <c r="B59" s="637"/>
      <c r="C59" s="638" t="s">
        <v>18</v>
      </c>
      <c r="D59" s="639" t="s">
        <v>19</v>
      </c>
      <c r="E59" s="637"/>
      <c r="F59" s="637"/>
      <c r="G59" s="640"/>
      <c r="H59" s="641" t="s">
        <v>14</v>
      </c>
      <c r="I59" s="642"/>
      <c r="J59" s="642"/>
      <c r="K59" s="643"/>
      <c r="L59" s="644">
        <f t="shared" ref="L59:N59" ca="1" si="29">L60+L61</f>
        <v>960700</v>
      </c>
      <c r="M59" s="645">
        <f t="shared" ca="1" si="29"/>
        <v>1020240</v>
      </c>
      <c r="N59" s="645">
        <f t="shared" ca="1" si="29"/>
        <v>748846.61</v>
      </c>
      <c r="O59" s="645">
        <f t="shared" ref="O59:O67" ca="1" si="30">IF(L59&gt;0,N59*100/L59,0)</f>
        <v>77.948018111793488</v>
      </c>
      <c r="P59" s="645">
        <f t="shared" ref="P59:P67" ca="1" si="31">IF(M59&gt;0,N59*100/M59,0)</f>
        <v>73.399063945738263</v>
      </c>
      <c r="Q59" s="645">
        <f t="shared" ref="Q59:S59" si="32">Q60+Q61</f>
        <v>0</v>
      </c>
      <c r="R59" s="645">
        <f t="shared" si="32"/>
        <v>0</v>
      </c>
      <c r="S59" s="645">
        <f t="shared" si="32"/>
        <v>0</v>
      </c>
      <c r="T59" s="645">
        <f t="shared" ref="T59:T67" si="33">IF(Q59&gt;0,S59*100/Q59,0)</f>
        <v>0</v>
      </c>
      <c r="U59" s="645">
        <f t="shared" ref="U59:U67" si="34">IF(R59&gt;0,S59*100/R59,0)</f>
        <v>0</v>
      </c>
    </row>
    <row r="60" spans="1:21" ht="18.75" x14ac:dyDescent="0.25">
      <c r="A60" s="636"/>
      <c r="B60" s="637"/>
      <c r="C60" s="637"/>
      <c r="D60" s="637"/>
      <c r="E60" s="646" t="s">
        <v>20</v>
      </c>
      <c r="F60" s="637"/>
      <c r="G60" s="640"/>
      <c r="H60" s="647" t="s">
        <v>14</v>
      </c>
      <c r="I60" s="642"/>
      <c r="J60" s="642"/>
      <c r="K60" s="643"/>
      <c r="L60" s="648">
        <f t="shared" ref="L60:N61" si="35">L63+L66</f>
        <v>0</v>
      </c>
      <c r="M60" s="649">
        <f t="shared" si="35"/>
        <v>0</v>
      </c>
      <c r="N60" s="649">
        <f t="shared" si="35"/>
        <v>0</v>
      </c>
      <c r="O60" s="649">
        <f t="shared" si="30"/>
        <v>0</v>
      </c>
      <c r="P60" s="649">
        <f t="shared" si="31"/>
        <v>0</v>
      </c>
      <c r="Q60" s="649">
        <f t="shared" ref="Q60:S61" si="36">Q63+Q66</f>
        <v>0</v>
      </c>
      <c r="R60" s="649">
        <f t="shared" si="36"/>
        <v>0</v>
      </c>
      <c r="S60" s="649">
        <f t="shared" si="36"/>
        <v>0</v>
      </c>
      <c r="T60" s="649">
        <f t="shared" si="33"/>
        <v>0</v>
      </c>
      <c r="U60" s="649">
        <f t="shared" si="34"/>
        <v>0</v>
      </c>
    </row>
    <row r="61" spans="1:21" ht="18.75" x14ac:dyDescent="0.25">
      <c r="A61" s="636"/>
      <c r="B61" s="637"/>
      <c r="C61" s="637"/>
      <c r="D61" s="637"/>
      <c r="E61" s="650" t="s">
        <v>21</v>
      </c>
      <c r="F61" s="637"/>
      <c r="G61" s="640"/>
      <c r="H61" s="651" t="s">
        <v>14</v>
      </c>
      <c r="I61" s="642"/>
      <c r="J61" s="642"/>
      <c r="K61" s="643"/>
      <c r="L61" s="652">
        <f t="shared" ca="1" si="35"/>
        <v>960700</v>
      </c>
      <c r="M61" s="653">
        <f t="shared" ca="1" si="35"/>
        <v>1020240</v>
      </c>
      <c r="N61" s="653">
        <f t="shared" ca="1" si="35"/>
        <v>748846.61</v>
      </c>
      <c r="O61" s="653">
        <f t="shared" ca="1" si="30"/>
        <v>77.948018111793488</v>
      </c>
      <c r="P61" s="653">
        <f t="shared" ca="1" si="31"/>
        <v>73.399063945738263</v>
      </c>
      <c r="Q61" s="653">
        <f t="shared" si="36"/>
        <v>0</v>
      </c>
      <c r="R61" s="653">
        <f t="shared" si="36"/>
        <v>0</v>
      </c>
      <c r="S61" s="653">
        <f t="shared" si="36"/>
        <v>0</v>
      </c>
      <c r="T61" s="653">
        <f t="shared" si="33"/>
        <v>0</v>
      </c>
      <c r="U61" s="653">
        <f t="shared" si="34"/>
        <v>0</v>
      </c>
    </row>
    <row r="62" spans="1:21" ht="18.75" x14ac:dyDescent="0.25">
      <c r="A62" s="560"/>
      <c r="B62" s="561"/>
      <c r="C62" s="561"/>
      <c r="D62" s="562" t="s">
        <v>22</v>
      </c>
      <c r="E62" s="561"/>
      <c r="F62" s="561"/>
      <c r="G62" s="563"/>
      <c r="H62" s="564" t="s">
        <v>14</v>
      </c>
      <c r="I62" s="565"/>
      <c r="J62" s="565"/>
      <c r="K62" s="566"/>
      <c r="L62" s="567">
        <f t="shared" ref="L62:N62" ca="1" si="37">L63+L64</f>
        <v>960700</v>
      </c>
      <c r="M62" s="568">
        <f t="shared" ca="1" si="37"/>
        <v>1020240</v>
      </c>
      <c r="N62" s="568">
        <f t="shared" ca="1" si="37"/>
        <v>748846.61</v>
      </c>
      <c r="O62" s="568">
        <f t="shared" ca="1" si="30"/>
        <v>77.948018111793488</v>
      </c>
      <c r="P62" s="568">
        <f t="shared" ca="1" si="31"/>
        <v>73.399063945738263</v>
      </c>
      <c r="Q62" s="568">
        <f t="shared" ref="Q62:S62" si="38">Q63+Q64</f>
        <v>0</v>
      </c>
      <c r="R62" s="568">
        <f t="shared" si="38"/>
        <v>0</v>
      </c>
      <c r="S62" s="568">
        <f t="shared" si="38"/>
        <v>0</v>
      </c>
      <c r="T62" s="568">
        <f t="shared" si="33"/>
        <v>0</v>
      </c>
      <c r="U62" s="568">
        <f t="shared" si="34"/>
        <v>0</v>
      </c>
    </row>
    <row r="63" spans="1:21" ht="18.75" x14ac:dyDescent="0.25">
      <c r="A63" s="560"/>
      <c r="B63" s="561"/>
      <c r="C63" s="561"/>
      <c r="D63" s="561"/>
      <c r="E63" s="569" t="s">
        <v>20</v>
      </c>
      <c r="F63" s="561"/>
      <c r="G63" s="563"/>
      <c r="H63" s="570" t="s">
        <v>14</v>
      </c>
      <c r="I63" s="565"/>
      <c r="J63" s="565"/>
      <c r="K63" s="566"/>
      <c r="L63" s="571">
        <v>0</v>
      </c>
      <c r="M63" s="572">
        <v>0</v>
      </c>
      <c r="N63" s="572">
        <v>0</v>
      </c>
      <c r="O63" s="572">
        <f t="shared" si="30"/>
        <v>0</v>
      </c>
      <c r="P63" s="572">
        <f t="shared" si="31"/>
        <v>0</v>
      </c>
      <c r="Q63" s="572">
        <v>0</v>
      </c>
      <c r="R63" s="572">
        <v>0</v>
      </c>
      <c r="S63" s="572">
        <v>0</v>
      </c>
      <c r="T63" s="572">
        <f t="shared" si="33"/>
        <v>0</v>
      </c>
      <c r="U63" s="572">
        <f t="shared" si="34"/>
        <v>0</v>
      </c>
    </row>
    <row r="64" spans="1:21" ht="18.75" x14ac:dyDescent="0.25">
      <c r="A64" s="560"/>
      <c r="B64" s="561"/>
      <c r="C64" s="561"/>
      <c r="D64" s="561"/>
      <c r="E64" s="573" t="s">
        <v>21</v>
      </c>
      <c r="F64" s="561"/>
      <c r="G64" s="563"/>
      <c r="H64" s="564" t="s">
        <v>14</v>
      </c>
      <c r="I64" s="565"/>
      <c r="J64" s="565"/>
      <c r="K64" s="566"/>
      <c r="L64" s="567">
        <f ca="1">IFERROR(__xludf.DUMMYFUNCTION("IMPORTRANGE(""https://docs.google.com/spreadsheets/d/1-uDff_7J0KD5mKrp0Vvzr7lt3OU09vwQwhkpOPPYv2Y/edit?usp=sharing"",""งบพรบ!AC18"")"),960700)</f>
        <v>960700</v>
      </c>
      <c r="M64" s="568">
        <f ca="1">IFERROR(__xludf.DUMMYFUNCTION("IMPORTRANGE(""https://docs.google.com/spreadsheets/d/1-uDff_7J0KD5mKrp0Vvzr7lt3OU09vwQwhkpOPPYv2Y/edit?usp=sharing"",""งบพรบ!AH18"")"),1020240)</f>
        <v>1020240</v>
      </c>
      <c r="N64" s="568">
        <f ca="1">IFERROR(__xludf.DUMMYFUNCTION("IMPORTRANGE(""https://docs.google.com/spreadsheets/d/1-uDff_7J0KD5mKrp0Vvzr7lt3OU09vwQwhkpOPPYv2Y/edit?usp=sharing"",""งบพรบ!AJ18"")"),748846.61)</f>
        <v>748846.61</v>
      </c>
      <c r="O64" s="568">
        <f t="shared" ca="1" si="30"/>
        <v>77.948018111793488</v>
      </c>
      <c r="P64" s="568">
        <f t="shared" ca="1" si="31"/>
        <v>73.399063945738263</v>
      </c>
      <c r="Q64" s="568">
        <v>0</v>
      </c>
      <c r="R64" s="568">
        <v>0</v>
      </c>
      <c r="S64" s="568">
        <v>0</v>
      </c>
      <c r="T64" s="568">
        <f t="shared" si="33"/>
        <v>0</v>
      </c>
      <c r="U64" s="568">
        <f t="shared" si="34"/>
        <v>0</v>
      </c>
    </row>
    <row r="65" spans="1:21" ht="18.75" x14ac:dyDescent="0.25">
      <c r="A65" s="560"/>
      <c r="B65" s="561"/>
      <c r="C65" s="561"/>
      <c r="D65" s="562" t="s">
        <v>23</v>
      </c>
      <c r="E65" s="561"/>
      <c r="F65" s="561"/>
      <c r="G65" s="563"/>
      <c r="H65" s="564" t="s">
        <v>14</v>
      </c>
      <c r="I65" s="565"/>
      <c r="J65" s="565"/>
      <c r="K65" s="566"/>
      <c r="L65" s="567">
        <f t="shared" ref="L65:N65" ca="1" si="39">L66+L67</f>
        <v>0</v>
      </c>
      <c r="M65" s="568">
        <f t="shared" ca="1" si="39"/>
        <v>0</v>
      </c>
      <c r="N65" s="568">
        <f t="shared" ca="1" si="39"/>
        <v>0</v>
      </c>
      <c r="O65" s="568">
        <f t="shared" ca="1" si="30"/>
        <v>0</v>
      </c>
      <c r="P65" s="568">
        <f t="shared" ca="1" si="31"/>
        <v>0</v>
      </c>
      <c r="Q65" s="568">
        <f t="shared" ref="Q65:S65" si="40">Q66+Q67</f>
        <v>0</v>
      </c>
      <c r="R65" s="568">
        <f t="shared" si="40"/>
        <v>0</v>
      </c>
      <c r="S65" s="568">
        <f t="shared" si="40"/>
        <v>0</v>
      </c>
      <c r="T65" s="568">
        <f t="shared" si="33"/>
        <v>0</v>
      </c>
      <c r="U65" s="568">
        <f t="shared" si="34"/>
        <v>0</v>
      </c>
    </row>
    <row r="66" spans="1:21" ht="18.75" x14ac:dyDescent="0.25">
      <c r="A66" s="560"/>
      <c r="B66" s="561"/>
      <c r="C66" s="561"/>
      <c r="D66" s="561"/>
      <c r="E66" s="569" t="s">
        <v>20</v>
      </c>
      <c r="F66" s="561"/>
      <c r="G66" s="563"/>
      <c r="H66" s="570" t="s">
        <v>14</v>
      </c>
      <c r="I66" s="565"/>
      <c r="J66" s="565"/>
      <c r="K66" s="566"/>
      <c r="L66" s="571">
        <v>0</v>
      </c>
      <c r="M66" s="572">
        <v>0</v>
      </c>
      <c r="N66" s="572">
        <v>0</v>
      </c>
      <c r="O66" s="572">
        <f t="shared" si="30"/>
        <v>0</v>
      </c>
      <c r="P66" s="572">
        <f t="shared" si="31"/>
        <v>0</v>
      </c>
      <c r="Q66" s="572">
        <v>0</v>
      </c>
      <c r="R66" s="572">
        <v>0</v>
      </c>
      <c r="S66" s="572">
        <v>0</v>
      </c>
      <c r="T66" s="572">
        <f t="shared" si="33"/>
        <v>0</v>
      </c>
      <c r="U66" s="572">
        <f t="shared" si="34"/>
        <v>0</v>
      </c>
    </row>
    <row r="67" spans="1:21" ht="18.75" x14ac:dyDescent="0.25">
      <c r="A67" s="575"/>
      <c r="B67" s="513"/>
      <c r="C67" s="513"/>
      <c r="D67" s="513"/>
      <c r="E67" s="576" t="s">
        <v>21</v>
      </c>
      <c r="F67" s="513"/>
      <c r="G67" s="577"/>
      <c r="H67" s="578" t="s">
        <v>14</v>
      </c>
      <c r="I67" s="579"/>
      <c r="J67" s="579"/>
      <c r="K67" s="580"/>
      <c r="L67" s="654">
        <f ca="1">IFERROR(__xludf.DUMMYFUNCTION("IMPORTRANGE(""https://docs.google.com/spreadsheets/d/1-uDff_7J0KD5mKrp0Vvzr7lt3OU09vwQwhkpOPPYv2Y/edit?usp=sharing"",""งบพรบ!AF18"")"),0)</f>
        <v>0</v>
      </c>
      <c r="M67" s="655">
        <f ca="1">IFERROR(__xludf.DUMMYFUNCTION("IMPORTRANGE(""https://docs.google.com/spreadsheets/d/1-uDff_7J0KD5mKrp0Vvzr7lt3OU09vwQwhkpOPPYv2Y/edit?usp=sharing"",""งบพรบ!AI18"")"),0)</f>
        <v>0</v>
      </c>
      <c r="N67" s="655">
        <f ca="1">IFERROR(__xludf.DUMMYFUNCTION("IMPORTRANGE(""https://docs.google.com/spreadsheets/d/1-uDff_7J0KD5mKrp0Vvzr7lt3OU09vwQwhkpOPPYv2Y/edit?usp=sharing"",""งบพรบ!AK18"")"),0)</f>
        <v>0</v>
      </c>
      <c r="O67" s="655">
        <f t="shared" ca="1" si="30"/>
        <v>0</v>
      </c>
      <c r="P67" s="655">
        <f t="shared" ca="1" si="31"/>
        <v>0</v>
      </c>
      <c r="Q67" s="655">
        <v>0</v>
      </c>
      <c r="R67" s="655">
        <v>0</v>
      </c>
      <c r="S67" s="655">
        <v>0</v>
      </c>
      <c r="T67" s="655">
        <f t="shared" si="33"/>
        <v>0</v>
      </c>
      <c r="U67" s="655">
        <f t="shared" si="34"/>
        <v>0</v>
      </c>
    </row>
    <row r="68" spans="1:21" ht="19.5" x14ac:dyDescent="0.3">
      <c r="A68" s="656" t="s">
        <v>31</v>
      </c>
      <c r="B68" s="657"/>
      <c r="C68" s="657"/>
      <c r="D68" s="657"/>
      <c r="E68" s="658"/>
      <c r="F68" s="658"/>
      <c r="G68" s="658"/>
      <c r="H68" s="658"/>
      <c r="I68" s="659"/>
      <c r="J68" s="659"/>
      <c r="K68" s="660"/>
      <c r="L68" s="660"/>
      <c r="M68" s="660"/>
      <c r="N68" s="660"/>
      <c r="O68" s="660"/>
      <c r="P68" s="661"/>
      <c r="Q68" s="660"/>
      <c r="R68" s="660"/>
      <c r="S68" s="660"/>
      <c r="T68" s="660"/>
      <c r="U68" s="661"/>
    </row>
    <row r="69" spans="1:21" ht="19.5" x14ac:dyDescent="0.3">
      <c r="A69" s="662" t="s">
        <v>32</v>
      </c>
      <c r="B69" s="663"/>
      <c r="C69" s="664"/>
      <c r="D69" s="663"/>
      <c r="E69" s="663"/>
      <c r="F69" s="663"/>
      <c r="G69" s="665"/>
      <c r="H69" s="665"/>
      <c r="I69" s="666"/>
      <c r="J69" s="666"/>
      <c r="K69" s="667"/>
      <c r="L69" s="668"/>
      <c r="M69" s="667"/>
      <c r="N69" s="667"/>
      <c r="O69" s="667"/>
      <c r="P69" s="667"/>
      <c r="Q69" s="667"/>
      <c r="R69" s="667"/>
      <c r="S69" s="667"/>
      <c r="T69" s="667"/>
      <c r="U69" s="667"/>
    </row>
    <row r="70" spans="1:21" ht="19.5" x14ac:dyDescent="0.3">
      <c r="A70" s="669"/>
      <c r="B70" s="544" t="s">
        <v>33</v>
      </c>
      <c r="C70" s="543"/>
      <c r="D70" s="670"/>
      <c r="E70" s="543"/>
      <c r="F70" s="543"/>
      <c r="G70" s="546"/>
      <c r="H70" s="671" t="s">
        <v>34</v>
      </c>
      <c r="I70" s="672">
        <f t="shared" ref="I70:J71" ca="1" si="41">I82</f>
        <v>1</v>
      </c>
      <c r="J70" s="672">
        <f t="shared" si="41"/>
        <v>1</v>
      </c>
      <c r="K70" s="551">
        <f t="shared" ref="K70:K71" ca="1" si="42">IF(I70&gt;0,J70*100/I70,0)</f>
        <v>100</v>
      </c>
      <c r="L70" s="673"/>
      <c r="M70" s="549"/>
      <c r="N70" s="549"/>
      <c r="O70" s="549"/>
      <c r="P70" s="549"/>
      <c r="Q70" s="549"/>
      <c r="R70" s="549"/>
      <c r="S70" s="549"/>
      <c r="T70" s="549"/>
      <c r="U70" s="549"/>
    </row>
    <row r="71" spans="1:21" ht="19.5" x14ac:dyDescent="0.3">
      <c r="A71" s="669"/>
      <c r="B71" s="543"/>
      <c r="C71" s="543"/>
      <c r="D71" s="670"/>
      <c r="E71" s="543"/>
      <c r="F71" s="543"/>
      <c r="G71" s="546"/>
      <c r="H71" s="671" t="s">
        <v>35</v>
      </c>
      <c r="I71" s="672">
        <f t="shared" ca="1" si="41"/>
        <v>31</v>
      </c>
      <c r="J71" s="672">
        <f t="shared" si="41"/>
        <v>10</v>
      </c>
      <c r="K71" s="551">
        <f t="shared" ca="1" si="42"/>
        <v>32.258064516129032</v>
      </c>
      <c r="L71" s="673"/>
      <c r="M71" s="549"/>
      <c r="N71" s="549"/>
      <c r="O71" s="549"/>
      <c r="P71" s="549"/>
      <c r="Q71" s="549"/>
      <c r="R71" s="549"/>
      <c r="S71" s="549"/>
      <c r="T71" s="549"/>
      <c r="U71" s="549"/>
    </row>
    <row r="72" spans="1:21" ht="19.5" x14ac:dyDescent="0.3">
      <c r="A72" s="674"/>
      <c r="B72" s="561"/>
      <c r="C72" s="675" t="s">
        <v>18</v>
      </c>
      <c r="D72" s="676" t="s">
        <v>19</v>
      </c>
      <c r="E72" s="561"/>
      <c r="F72" s="561"/>
      <c r="G72" s="563"/>
      <c r="H72" s="677" t="s">
        <v>14</v>
      </c>
      <c r="I72" s="565"/>
      <c r="J72" s="565"/>
      <c r="K72" s="566"/>
      <c r="L72" s="678">
        <f t="shared" ref="L72:N72" ca="1" si="43">L73+L74</f>
        <v>90000</v>
      </c>
      <c r="M72" s="679">
        <f t="shared" ca="1" si="43"/>
        <v>90000</v>
      </c>
      <c r="N72" s="679">
        <f t="shared" ca="1" si="43"/>
        <v>8660</v>
      </c>
      <c r="O72" s="679">
        <f t="shared" ref="O72:O80" ca="1" si="44">IF(L72&gt;0,N72*100/L72,0)</f>
        <v>9.6222222222222218</v>
      </c>
      <c r="P72" s="679">
        <f t="shared" ref="P72:P80" ca="1" si="45">IF(M72&gt;0,N72*100/M72,0)</f>
        <v>9.6222222222222218</v>
      </c>
      <c r="Q72" s="679">
        <f t="shared" ref="Q72:S72" ca="1" si="46">Q73+Q74</f>
        <v>410120</v>
      </c>
      <c r="R72" s="679">
        <f t="shared" ca="1" si="46"/>
        <v>410120</v>
      </c>
      <c r="S72" s="679">
        <f t="shared" ca="1" si="46"/>
        <v>52200</v>
      </c>
      <c r="T72" s="679">
        <f t="shared" ref="T72:T80" ca="1" si="47">IF(Q72&gt;0,S72*100/Q72,0)</f>
        <v>12.727982054032966</v>
      </c>
      <c r="U72" s="679">
        <f t="shared" ref="U72:U80" ca="1" si="48">IF(R72&gt;0,S72*100/R72,0)</f>
        <v>12.727982054032966</v>
      </c>
    </row>
    <row r="73" spans="1:21" ht="18.75" x14ac:dyDescent="0.25">
      <c r="A73" s="674"/>
      <c r="B73" s="561"/>
      <c r="C73" s="561"/>
      <c r="D73" s="561"/>
      <c r="E73" s="569" t="s">
        <v>20</v>
      </c>
      <c r="F73" s="561"/>
      <c r="G73" s="563"/>
      <c r="H73" s="680" t="s">
        <v>14</v>
      </c>
      <c r="I73" s="565"/>
      <c r="J73" s="565"/>
      <c r="K73" s="566"/>
      <c r="L73" s="571">
        <f t="shared" ref="L73:N74" si="49">L76+L79</f>
        <v>0</v>
      </c>
      <c r="M73" s="572">
        <f t="shared" si="49"/>
        <v>0</v>
      </c>
      <c r="N73" s="572">
        <f t="shared" si="49"/>
        <v>0</v>
      </c>
      <c r="O73" s="572">
        <f t="shared" si="44"/>
        <v>0</v>
      </c>
      <c r="P73" s="572">
        <f t="shared" si="45"/>
        <v>0</v>
      </c>
      <c r="Q73" s="572">
        <f t="shared" ref="Q73:S74" si="50">Q76+Q79</f>
        <v>0</v>
      </c>
      <c r="R73" s="572">
        <f t="shared" si="50"/>
        <v>0</v>
      </c>
      <c r="S73" s="572">
        <f t="shared" si="50"/>
        <v>0</v>
      </c>
      <c r="T73" s="572">
        <f t="shared" si="47"/>
        <v>0</v>
      </c>
      <c r="U73" s="572">
        <f t="shared" si="48"/>
        <v>0</v>
      </c>
    </row>
    <row r="74" spans="1:21" ht="18.75" x14ac:dyDescent="0.25">
      <c r="A74" s="674"/>
      <c r="B74" s="561"/>
      <c r="C74" s="561"/>
      <c r="D74" s="561"/>
      <c r="E74" s="573" t="s">
        <v>21</v>
      </c>
      <c r="F74" s="561"/>
      <c r="G74" s="563"/>
      <c r="H74" s="681" t="s">
        <v>14</v>
      </c>
      <c r="I74" s="565"/>
      <c r="J74" s="565"/>
      <c r="K74" s="566"/>
      <c r="L74" s="567">
        <f t="shared" ca="1" si="49"/>
        <v>90000</v>
      </c>
      <c r="M74" s="568">
        <f t="shared" ca="1" si="49"/>
        <v>90000</v>
      </c>
      <c r="N74" s="568">
        <f t="shared" ca="1" si="49"/>
        <v>8660</v>
      </c>
      <c r="O74" s="568">
        <f t="shared" ca="1" si="44"/>
        <v>9.6222222222222218</v>
      </c>
      <c r="P74" s="568">
        <f t="shared" ca="1" si="45"/>
        <v>9.6222222222222218</v>
      </c>
      <c r="Q74" s="568">
        <f t="shared" ca="1" si="50"/>
        <v>410120</v>
      </c>
      <c r="R74" s="568">
        <f t="shared" ca="1" si="50"/>
        <v>410120</v>
      </c>
      <c r="S74" s="568">
        <f t="shared" ca="1" si="50"/>
        <v>52200</v>
      </c>
      <c r="T74" s="568">
        <f t="shared" ca="1" si="47"/>
        <v>12.727982054032966</v>
      </c>
      <c r="U74" s="568">
        <f t="shared" ca="1" si="48"/>
        <v>12.727982054032966</v>
      </c>
    </row>
    <row r="75" spans="1:21" ht="18.75" x14ac:dyDescent="0.25">
      <c r="A75" s="674"/>
      <c r="B75" s="561"/>
      <c r="C75" s="561"/>
      <c r="D75" s="562" t="s">
        <v>22</v>
      </c>
      <c r="E75" s="561"/>
      <c r="F75" s="561"/>
      <c r="G75" s="563"/>
      <c r="H75" s="682" t="s">
        <v>14</v>
      </c>
      <c r="I75" s="683"/>
      <c r="J75" s="683"/>
      <c r="K75" s="684"/>
      <c r="L75" s="567">
        <f t="shared" ref="L75:N75" ca="1" si="51">L76+L77</f>
        <v>90000</v>
      </c>
      <c r="M75" s="568">
        <f t="shared" ca="1" si="51"/>
        <v>90000</v>
      </c>
      <c r="N75" s="568">
        <f t="shared" ca="1" si="51"/>
        <v>8660</v>
      </c>
      <c r="O75" s="568">
        <f t="shared" ca="1" si="44"/>
        <v>9.6222222222222218</v>
      </c>
      <c r="P75" s="568">
        <f t="shared" ca="1" si="45"/>
        <v>9.6222222222222218</v>
      </c>
      <c r="Q75" s="568">
        <f t="shared" ref="Q75:S75" ca="1" si="52">Q76+Q77</f>
        <v>410120</v>
      </c>
      <c r="R75" s="568">
        <f t="shared" ca="1" si="52"/>
        <v>410120</v>
      </c>
      <c r="S75" s="568">
        <f t="shared" ca="1" si="52"/>
        <v>52200</v>
      </c>
      <c r="T75" s="568">
        <f t="shared" ca="1" si="47"/>
        <v>12.727982054032966</v>
      </c>
      <c r="U75" s="568">
        <f t="shared" ca="1" si="48"/>
        <v>12.727982054032966</v>
      </c>
    </row>
    <row r="76" spans="1:21" ht="18.75" x14ac:dyDescent="0.25">
      <c r="A76" s="674"/>
      <c r="B76" s="561"/>
      <c r="C76" s="561"/>
      <c r="D76" s="561"/>
      <c r="E76" s="569" t="s">
        <v>36</v>
      </c>
      <c r="F76" s="561"/>
      <c r="G76" s="563"/>
      <c r="H76" s="685" t="s">
        <v>14</v>
      </c>
      <c r="I76" s="683"/>
      <c r="J76" s="683"/>
      <c r="K76" s="684"/>
      <c r="L76" s="571">
        <v>0</v>
      </c>
      <c r="M76" s="572">
        <v>0</v>
      </c>
      <c r="N76" s="572">
        <v>0</v>
      </c>
      <c r="O76" s="572">
        <f t="shared" si="44"/>
        <v>0</v>
      </c>
      <c r="P76" s="572">
        <f t="shared" si="45"/>
        <v>0</v>
      </c>
      <c r="Q76" s="572">
        <v>0</v>
      </c>
      <c r="R76" s="572">
        <v>0</v>
      </c>
      <c r="S76" s="572">
        <v>0</v>
      </c>
      <c r="T76" s="572">
        <f t="shared" si="47"/>
        <v>0</v>
      </c>
      <c r="U76" s="572">
        <f t="shared" si="48"/>
        <v>0</v>
      </c>
    </row>
    <row r="77" spans="1:21" ht="18.75" x14ac:dyDescent="0.25">
      <c r="A77" s="674"/>
      <c r="B77" s="561"/>
      <c r="C77" s="561"/>
      <c r="D77" s="561"/>
      <c r="E77" s="573" t="s">
        <v>37</v>
      </c>
      <c r="F77" s="561"/>
      <c r="G77" s="563"/>
      <c r="H77" s="682" t="s">
        <v>14</v>
      </c>
      <c r="I77" s="683"/>
      <c r="J77" s="683"/>
      <c r="K77" s="684"/>
      <c r="L77" s="567">
        <f ca="1">IFERROR(__xludf.DUMMYFUNCTION("IMPORTRANGE(""https://docs.google.com/spreadsheets/d/1-uDff_7J0KD5mKrp0Vvzr7lt3OU09vwQwhkpOPPYv2Y/edit?usp=sharing"",""งบพรบ!AM18"")"),90000)</f>
        <v>90000</v>
      </c>
      <c r="M77" s="568">
        <f ca="1">IFERROR(__xludf.DUMMYFUNCTION("IMPORTRANGE(""https://docs.google.com/spreadsheets/d/1-uDff_7J0KD5mKrp0Vvzr7lt3OU09vwQwhkpOPPYv2Y/edit?usp=sharing"",""งบพรบ!AR18"")"),90000)</f>
        <v>90000</v>
      </c>
      <c r="N77" s="568">
        <f ca="1">IFERROR(__xludf.DUMMYFUNCTION("IMPORTRANGE(""https://docs.google.com/spreadsheets/d/1-uDff_7J0KD5mKrp0Vvzr7lt3OU09vwQwhkpOPPYv2Y/edit?usp=sharing"",""งบพรบ!AT18"")"),8660)</f>
        <v>8660</v>
      </c>
      <c r="O77" s="568">
        <f t="shared" ca="1" si="44"/>
        <v>9.6222222222222218</v>
      </c>
      <c r="P77" s="568">
        <f t="shared" ca="1" si="45"/>
        <v>9.6222222222222218</v>
      </c>
      <c r="Q77" s="568">
        <f ca="1">IFERROR(__xludf.DUMMYFUNCTION("IMPORTRANGE(""https://docs.google.com/spreadsheets/d/1ItG2mGa2ceCfYo0BwxsXqNm01IGEUdYcSSLTEv9YCik/edit?usp=sharing"",""เบิกจ่ายกองทุน!BH18"")"),410120)</f>
        <v>410120</v>
      </c>
      <c r="R77" s="568">
        <f ca="1">IFERROR(__xludf.DUMMYFUNCTION("IMPORTRANGE(""https://docs.google.com/spreadsheets/d/1ItG2mGa2ceCfYo0BwxsXqNm01IGEUdYcSSLTEv9YCik/edit?usp=sharing"",""เบิกจ่ายกองทุน!BI18"")"),410120)</f>
        <v>410120</v>
      </c>
      <c r="S77" s="568">
        <f ca="1">IFERROR(__xludf.DUMMYFUNCTION("IMPORTRANGE(""https://docs.google.com/spreadsheets/d/1ItG2mGa2ceCfYo0BwxsXqNm01IGEUdYcSSLTEv9YCik/edit?usp=sharing"",""เบิกจ่ายกองทุน!BJ18"")"),52200)</f>
        <v>52200</v>
      </c>
      <c r="T77" s="568">
        <f t="shared" ca="1" si="47"/>
        <v>12.727982054032966</v>
      </c>
      <c r="U77" s="568">
        <f t="shared" ca="1" si="48"/>
        <v>12.727982054032966</v>
      </c>
    </row>
    <row r="78" spans="1:21" ht="18.75" x14ac:dyDescent="0.25">
      <c r="A78" s="674"/>
      <c r="B78" s="561"/>
      <c r="C78" s="561"/>
      <c r="D78" s="562" t="s">
        <v>23</v>
      </c>
      <c r="E78" s="561"/>
      <c r="F78" s="561"/>
      <c r="G78" s="563"/>
      <c r="H78" s="686" t="s">
        <v>14</v>
      </c>
      <c r="I78" s="683"/>
      <c r="J78" s="683"/>
      <c r="K78" s="684"/>
      <c r="L78" s="567">
        <f t="shared" ref="L78:N78" ca="1" si="53">L79+L80</f>
        <v>0</v>
      </c>
      <c r="M78" s="568">
        <f t="shared" ca="1" si="53"/>
        <v>0</v>
      </c>
      <c r="N78" s="568">
        <f t="shared" ca="1" si="53"/>
        <v>0</v>
      </c>
      <c r="O78" s="568">
        <f t="shared" ca="1" si="44"/>
        <v>0</v>
      </c>
      <c r="P78" s="568">
        <f t="shared" ca="1" si="45"/>
        <v>0</v>
      </c>
      <c r="Q78" s="568">
        <f t="shared" ref="Q78:S78" ca="1" si="54">Q79+Q80</f>
        <v>0</v>
      </c>
      <c r="R78" s="568">
        <f t="shared" ca="1" si="54"/>
        <v>0</v>
      </c>
      <c r="S78" s="568">
        <f t="shared" ca="1" si="54"/>
        <v>0</v>
      </c>
      <c r="T78" s="568">
        <f t="shared" ca="1" si="47"/>
        <v>0</v>
      </c>
      <c r="U78" s="568">
        <f t="shared" ca="1" si="48"/>
        <v>0</v>
      </c>
    </row>
    <row r="79" spans="1:21" ht="18.75" x14ac:dyDescent="0.25">
      <c r="A79" s="674"/>
      <c r="B79" s="561"/>
      <c r="C79" s="561"/>
      <c r="D79" s="561"/>
      <c r="E79" s="569" t="s">
        <v>20</v>
      </c>
      <c r="F79" s="561"/>
      <c r="G79" s="563"/>
      <c r="H79" s="685" t="s">
        <v>14</v>
      </c>
      <c r="I79" s="683"/>
      <c r="J79" s="683"/>
      <c r="K79" s="684"/>
      <c r="L79" s="571">
        <v>0</v>
      </c>
      <c r="M79" s="568">
        <v>0</v>
      </c>
      <c r="N79" s="568">
        <v>0</v>
      </c>
      <c r="O79" s="572">
        <f t="shared" si="44"/>
        <v>0</v>
      </c>
      <c r="P79" s="572">
        <f t="shared" si="45"/>
        <v>0</v>
      </c>
      <c r="Q79" s="572">
        <v>0</v>
      </c>
      <c r="R79" s="568">
        <v>0</v>
      </c>
      <c r="S79" s="568">
        <v>0</v>
      </c>
      <c r="T79" s="572">
        <f t="shared" si="47"/>
        <v>0</v>
      </c>
      <c r="U79" s="572">
        <f t="shared" si="48"/>
        <v>0</v>
      </c>
    </row>
    <row r="80" spans="1:21" ht="18.75" x14ac:dyDescent="0.25">
      <c r="A80" s="674"/>
      <c r="B80" s="561"/>
      <c r="C80" s="561"/>
      <c r="D80" s="561"/>
      <c r="E80" s="573" t="s">
        <v>21</v>
      </c>
      <c r="F80" s="561"/>
      <c r="G80" s="563"/>
      <c r="H80" s="686" t="s">
        <v>14</v>
      </c>
      <c r="I80" s="683"/>
      <c r="J80" s="683"/>
      <c r="K80" s="684"/>
      <c r="L80" s="567">
        <f ca="1">IFERROR(__xludf.DUMMYFUNCTION("IMPORTRANGE(""https://docs.google.com/spreadsheets/d/1-uDff_7J0KD5mKrp0Vvzr7lt3OU09vwQwhkpOPPYv2Y/edit?usp=sharing"",""งบพรบ!AP18"")"),0)</f>
        <v>0</v>
      </c>
      <c r="M80" s="568">
        <f ca="1">IFERROR(__xludf.DUMMYFUNCTION("IMPORTRANGE(""https://docs.google.com/spreadsheets/d/1-uDff_7J0KD5mKrp0Vvzr7lt3OU09vwQwhkpOPPYv2Y/edit?usp=sharing"",""งบพรบ!AS18"")"),0)</f>
        <v>0</v>
      </c>
      <c r="N80" s="568">
        <f ca="1">IFERROR(__xludf.DUMMYFUNCTION("IMPORTRANGE(""https://docs.google.com/spreadsheets/d/1-uDff_7J0KD5mKrp0Vvzr7lt3OU09vwQwhkpOPPYv2Y/edit?usp=sharing"",""งบพรบ!AU18"")"),0)</f>
        <v>0</v>
      </c>
      <c r="O80" s="568">
        <f t="shared" ca="1" si="44"/>
        <v>0</v>
      </c>
      <c r="P80" s="568">
        <f t="shared" ca="1" si="45"/>
        <v>0</v>
      </c>
      <c r="Q80" s="568">
        <f ca="1">IFERROR(__xludf.DUMMYFUNCTION("IMPORTRANGE(""https://docs.google.com/spreadsheets/d/1ItG2mGa2ceCfYo0BwxsXqNm01IGEUdYcSSLTEv9YCik/edit?usp=sharing"",""เบิกจ่ายกองทุน!BK18"")"),0)</f>
        <v>0</v>
      </c>
      <c r="R80" s="568">
        <f ca="1">IFERROR(__xludf.DUMMYFUNCTION("IMPORTRANGE(""https://docs.google.com/spreadsheets/d/1ItG2mGa2ceCfYo0BwxsXqNm01IGEUdYcSSLTEv9YCik/edit?usp=sharing"",""เบิกจ่ายกองทุน!BL18"")"),0)</f>
        <v>0</v>
      </c>
      <c r="S80" s="568">
        <f ca="1">IFERROR(__xludf.DUMMYFUNCTION("IMPORTRANGE(""https://docs.google.com/spreadsheets/d/1ItG2mGa2ceCfYo0BwxsXqNm01IGEUdYcSSLTEv9YCik/edit?usp=sharing"",""เบิกจ่ายกองทุน!BM18"")"),0)</f>
        <v>0</v>
      </c>
      <c r="T80" s="568">
        <f t="shared" ca="1" si="47"/>
        <v>0</v>
      </c>
      <c r="U80" s="568">
        <f t="shared" ca="1" si="48"/>
        <v>0</v>
      </c>
    </row>
    <row r="81" spans="1:21" ht="19.5" x14ac:dyDescent="0.3">
      <c r="A81" s="687"/>
      <c r="B81" s="688"/>
      <c r="C81" s="675" t="s">
        <v>18</v>
      </c>
      <c r="D81" s="689" t="s">
        <v>38</v>
      </c>
      <c r="E81" s="690"/>
      <c r="F81" s="690"/>
      <c r="G81" s="691"/>
      <c r="H81" s="692"/>
      <c r="I81" s="683"/>
      <c r="J81" s="683"/>
      <c r="K81" s="684"/>
      <c r="L81" s="693"/>
      <c r="M81" s="684"/>
      <c r="N81" s="684"/>
      <c r="O81" s="684"/>
      <c r="P81" s="684"/>
      <c r="Q81" s="684"/>
      <c r="R81" s="684"/>
      <c r="S81" s="684"/>
      <c r="T81" s="684"/>
      <c r="U81" s="684"/>
    </row>
    <row r="82" spans="1:21" ht="19.5" x14ac:dyDescent="0.3">
      <c r="A82" s="687"/>
      <c r="B82" s="688"/>
      <c r="C82" s="688"/>
      <c r="D82" s="694" t="s">
        <v>39</v>
      </c>
      <c r="E82" s="695"/>
      <c r="F82" s="695"/>
      <c r="G82" s="692"/>
      <c r="H82" s="696" t="s">
        <v>34</v>
      </c>
      <c r="I82" s="697">
        <f t="shared" ref="I82:J83" ca="1" si="55">I84+I86+I88</f>
        <v>1</v>
      </c>
      <c r="J82" s="697">
        <f t="shared" si="55"/>
        <v>1</v>
      </c>
      <c r="K82" s="698">
        <f t="shared" ref="K82:K90" ca="1" si="56">IF(I82&gt;0,J82*100/I82,0)</f>
        <v>100</v>
      </c>
      <c r="L82" s="693"/>
      <c r="M82" s="684"/>
      <c r="N82" s="684"/>
      <c r="O82" s="684"/>
      <c r="P82" s="684"/>
      <c r="Q82" s="684"/>
      <c r="R82" s="684"/>
      <c r="S82" s="684"/>
      <c r="T82" s="684"/>
      <c r="U82" s="684"/>
    </row>
    <row r="83" spans="1:21" ht="19.5" x14ac:dyDescent="0.3">
      <c r="A83" s="687"/>
      <c r="B83" s="688"/>
      <c r="C83" s="688"/>
      <c r="D83" s="688"/>
      <c r="E83" s="695"/>
      <c r="F83" s="695"/>
      <c r="G83" s="692"/>
      <c r="H83" s="696" t="s">
        <v>35</v>
      </c>
      <c r="I83" s="697">
        <f t="shared" ca="1" si="55"/>
        <v>31</v>
      </c>
      <c r="J83" s="697">
        <f t="shared" si="55"/>
        <v>10</v>
      </c>
      <c r="K83" s="698">
        <f t="shared" ca="1" si="56"/>
        <v>32.258064516129032</v>
      </c>
      <c r="L83" s="693"/>
      <c r="M83" s="684"/>
      <c r="N83" s="684"/>
      <c r="O83" s="684"/>
      <c r="P83" s="684"/>
      <c r="Q83" s="684"/>
      <c r="R83" s="684"/>
      <c r="S83" s="684"/>
      <c r="T83" s="684"/>
      <c r="U83" s="684"/>
    </row>
    <row r="84" spans="1:21" ht="18.75" x14ac:dyDescent="0.25">
      <c r="A84" s="687"/>
      <c r="B84" s="688"/>
      <c r="C84" s="688"/>
      <c r="D84" s="688"/>
      <c r="E84" s="699" t="s">
        <v>40</v>
      </c>
      <c r="F84" s="695"/>
      <c r="G84" s="692"/>
      <c r="H84" s="700" t="s">
        <v>34</v>
      </c>
      <c r="I84" s="701">
        <f ca="1">IFERROR(__xludf.DUMMYFUNCTION("IMPORTRANGE(""https://docs.google.com/spreadsheets/d/1eHaY18a8A9IcSdp1K8H6x8fbOy06t2VsZHhMHf-1x7Y/edit?usp=sharing"",""แผน!H18"")"),1)</f>
        <v>1</v>
      </c>
      <c r="J84" s="702">
        <v>1</v>
      </c>
      <c r="K84" s="703">
        <f t="shared" ca="1" si="56"/>
        <v>100</v>
      </c>
      <c r="L84" s="693"/>
      <c r="M84" s="684"/>
      <c r="N84" s="684"/>
      <c r="O84" s="684"/>
      <c r="P84" s="684"/>
      <c r="Q84" s="684"/>
      <c r="R84" s="684"/>
      <c r="S84" s="684"/>
      <c r="T84" s="684"/>
      <c r="U84" s="684"/>
    </row>
    <row r="85" spans="1:21" ht="18.75" x14ac:dyDescent="0.25">
      <c r="A85" s="687"/>
      <c r="B85" s="688"/>
      <c r="C85" s="688"/>
      <c r="D85" s="688"/>
      <c r="E85" s="695"/>
      <c r="F85" s="695"/>
      <c r="G85" s="692"/>
      <c r="H85" s="700" t="s">
        <v>35</v>
      </c>
      <c r="I85" s="701">
        <f ca="1">IFERROR(__xludf.DUMMYFUNCTION("IMPORTRANGE(""https://docs.google.com/spreadsheets/d/1eHaY18a8A9IcSdp1K8H6x8fbOy06t2VsZHhMHf-1x7Y/edit?usp=sharing"",""แผน!I18"")"),31)</f>
        <v>31</v>
      </c>
      <c r="J85" s="702">
        <v>10</v>
      </c>
      <c r="K85" s="703">
        <f t="shared" ca="1" si="56"/>
        <v>32.258064516129032</v>
      </c>
      <c r="L85" s="693"/>
      <c r="M85" s="684"/>
      <c r="N85" s="684"/>
      <c r="O85" s="684"/>
      <c r="P85" s="684"/>
      <c r="Q85" s="684"/>
      <c r="R85" s="684"/>
      <c r="S85" s="684"/>
      <c r="T85" s="684"/>
      <c r="U85" s="684"/>
    </row>
    <row r="86" spans="1:21" ht="18.75" x14ac:dyDescent="0.25">
      <c r="A86" s="687"/>
      <c r="B86" s="688"/>
      <c r="C86" s="688"/>
      <c r="D86" s="688"/>
      <c r="E86" s="699" t="s">
        <v>41</v>
      </c>
      <c r="F86" s="695"/>
      <c r="G86" s="692"/>
      <c r="H86" s="700" t="s">
        <v>34</v>
      </c>
      <c r="I86" s="701">
        <f ca="1">IFERROR(__xludf.DUMMYFUNCTION("IMPORTRANGE(""https://docs.google.com/spreadsheets/d/1eHaY18a8A9IcSdp1K8H6x8fbOy06t2VsZHhMHf-1x7Y/edit?usp=sharing"",""แผน!F18"")"),0)</f>
        <v>0</v>
      </c>
      <c r="J86" s="702">
        <v>0</v>
      </c>
      <c r="K86" s="703">
        <f t="shared" ca="1" si="56"/>
        <v>0</v>
      </c>
      <c r="L86" s="693"/>
      <c r="M86" s="684"/>
      <c r="N86" s="684"/>
      <c r="O86" s="684"/>
      <c r="P86" s="684"/>
      <c r="Q86" s="684"/>
      <c r="R86" s="684"/>
      <c r="S86" s="684"/>
      <c r="T86" s="684"/>
      <c r="U86" s="684"/>
    </row>
    <row r="87" spans="1:21" ht="18.75" x14ac:dyDescent="0.25">
      <c r="A87" s="687"/>
      <c r="B87" s="688"/>
      <c r="C87" s="688"/>
      <c r="D87" s="688"/>
      <c r="E87" s="695"/>
      <c r="F87" s="695"/>
      <c r="G87" s="692"/>
      <c r="H87" s="700" t="s">
        <v>35</v>
      </c>
      <c r="I87" s="701">
        <f ca="1">IFERROR(__xludf.DUMMYFUNCTION("IMPORTRANGE(""https://docs.google.com/spreadsheets/d/1eHaY18a8A9IcSdp1K8H6x8fbOy06t2VsZHhMHf-1x7Y/edit?usp=sharing"",""แผน!G18"")"),0)</f>
        <v>0</v>
      </c>
      <c r="J87" s="702">
        <v>0</v>
      </c>
      <c r="K87" s="703">
        <f t="shared" ca="1" si="56"/>
        <v>0</v>
      </c>
      <c r="L87" s="693"/>
      <c r="M87" s="684"/>
      <c r="N87" s="684"/>
      <c r="O87" s="684"/>
      <c r="P87" s="684"/>
      <c r="Q87" s="684"/>
      <c r="R87" s="684"/>
      <c r="S87" s="684"/>
      <c r="T87" s="684"/>
      <c r="U87" s="684"/>
    </row>
    <row r="88" spans="1:21" ht="18.75" x14ac:dyDescent="0.25">
      <c r="A88" s="687"/>
      <c r="B88" s="688"/>
      <c r="C88" s="688"/>
      <c r="D88" s="688"/>
      <c r="E88" s="699" t="s">
        <v>42</v>
      </c>
      <c r="F88" s="695"/>
      <c r="G88" s="692"/>
      <c r="H88" s="700" t="s">
        <v>34</v>
      </c>
      <c r="I88" s="701">
        <f ca="1">IFERROR(__xludf.DUMMYFUNCTION("IMPORTRANGE(""https://docs.google.com/spreadsheets/d/1eHaY18a8A9IcSdp1K8H6x8fbOy06t2VsZHhMHf-1x7Y/edit?usp=sharing"",""แผน!D18"")"),0)</f>
        <v>0</v>
      </c>
      <c r="J88" s="702">
        <v>0</v>
      </c>
      <c r="K88" s="703">
        <f t="shared" ca="1" si="56"/>
        <v>0</v>
      </c>
      <c r="L88" s="693"/>
      <c r="M88" s="684"/>
      <c r="N88" s="684"/>
      <c r="O88" s="684"/>
      <c r="P88" s="684"/>
      <c r="Q88" s="684"/>
      <c r="R88" s="684"/>
      <c r="S88" s="684"/>
      <c r="T88" s="684"/>
      <c r="U88" s="684"/>
    </row>
    <row r="89" spans="1:21" ht="18.75" x14ac:dyDescent="0.25">
      <c r="A89" s="687"/>
      <c r="B89" s="688"/>
      <c r="C89" s="688"/>
      <c r="D89" s="688"/>
      <c r="E89" s="695"/>
      <c r="F89" s="695"/>
      <c r="G89" s="692"/>
      <c r="H89" s="700" t="s">
        <v>35</v>
      </c>
      <c r="I89" s="701">
        <f ca="1">IFERROR(__xludf.DUMMYFUNCTION("IMPORTRANGE(""https://docs.google.com/spreadsheets/d/1eHaY18a8A9IcSdp1K8H6x8fbOy06t2VsZHhMHf-1x7Y/edit?usp=sharing"",""แผน!E18"")"),0)</f>
        <v>0</v>
      </c>
      <c r="J89" s="702">
        <v>0</v>
      </c>
      <c r="K89" s="703">
        <f t="shared" ca="1" si="56"/>
        <v>0</v>
      </c>
      <c r="L89" s="693"/>
      <c r="M89" s="684"/>
      <c r="N89" s="684"/>
      <c r="O89" s="684"/>
      <c r="P89" s="684"/>
      <c r="Q89" s="684"/>
      <c r="R89" s="684"/>
      <c r="S89" s="684"/>
      <c r="T89" s="684"/>
      <c r="U89" s="684"/>
    </row>
    <row r="90" spans="1:21" ht="18.75" x14ac:dyDescent="0.25">
      <c r="A90" s="687"/>
      <c r="B90" s="688"/>
      <c r="C90" s="688"/>
      <c r="D90" s="694" t="s">
        <v>43</v>
      </c>
      <c r="E90" s="695"/>
      <c r="F90" s="695"/>
      <c r="G90" s="692"/>
      <c r="H90" s="704" t="s">
        <v>34</v>
      </c>
      <c r="I90" s="701">
        <f ca="1">IFERROR(__xludf.DUMMYFUNCTION("IMPORTRANGE(""https://docs.google.com/spreadsheets/d/1eHaY18a8A9IcSdp1K8H6x8fbOy06t2VsZHhMHf-1x7Y/edit?usp=sharing"",""แผน!J18"")"),1)</f>
        <v>1</v>
      </c>
      <c r="J90" s="702">
        <v>0</v>
      </c>
      <c r="K90" s="703">
        <f t="shared" ca="1" si="56"/>
        <v>0</v>
      </c>
      <c r="L90" s="693"/>
      <c r="M90" s="684"/>
      <c r="N90" s="684"/>
      <c r="O90" s="684"/>
      <c r="P90" s="684"/>
      <c r="Q90" s="684"/>
      <c r="R90" s="684"/>
      <c r="S90" s="684"/>
      <c r="T90" s="684"/>
      <c r="U90" s="684"/>
    </row>
    <row r="91" spans="1:21" ht="19.5" x14ac:dyDescent="0.3">
      <c r="A91" s="662" t="s">
        <v>44</v>
      </c>
      <c r="B91" s="663"/>
      <c r="C91" s="664"/>
      <c r="D91" s="663"/>
      <c r="E91" s="663"/>
      <c r="F91" s="663"/>
      <c r="G91" s="665"/>
      <c r="H91" s="665"/>
      <c r="I91" s="666"/>
      <c r="J91" s="666"/>
      <c r="K91" s="667"/>
      <c r="L91" s="668"/>
      <c r="M91" s="667"/>
      <c r="N91" s="667"/>
      <c r="O91" s="667"/>
      <c r="P91" s="667"/>
      <c r="Q91" s="667"/>
      <c r="R91" s="667"/>
      <c r="S91" s="667"/>
      <c r="T91" s="667"/>
      <c r="U91" s="667"/>
    </row>
    <row r="92" spans="1:21" ht="19.5" x14ac:dyDescent="0.3">
      <c r="A92" s="669"/>
      <c r="B92" s="544" t="s">
        <v>45</v>
      </c>
      <c r="C92" s="543"/>
      <c r="D92" s="670"/>
      <c r="E92" s="543"/>
      <c r="F92" s="543"/>
      <c r="G92" s="546"/>
      <c r="H92" s="671" t="s">
        <v>46</v>
      </c>
      <c r="I92" s="672">
        <f t="shared" ref="I92:J93" ca="1" si="57">I108</f>
        <v>30</v>
      </c>
      <c r="J92" s="672">
        <f t="shared" si="57"/>
        <v>30</v>
      </c>
      <c r="K92" s="551">
        <f t="shared" ref="K92:K93" ca="1" si="58">IF(I92&gt;0,J92*100/I92,0)</f>
        <v>100</v>
      </c>
      <c r="L92" s="673"/>
      <c r="M92" s="549"/>
      <c r="N92" s="549"/>
      <c r="O92" s="549"/>
      <c r="P92" s="549"/>
      <c r="Q92" s="549"/>
      <c r="R92" s="549"/>
      <c r="S92" s="549"/>
      <c r="T92" s="549"/>
      <c r="U92" s="549"/>
    </row>
    <row r="93" spans="1:21" ht="19.5" x14ac:dyDescent="0.3">
      <c r="A93" s="669"/>
      <c r="B93" s="543"/>
      <c r="C93" s="543"/>
      <c r="D93" s="670"/>
      <c r="E93" s="543"/>
      <c r="F93" s="543"/>
      <c r="G93" s="546"/>
      <c r="H93" s="671" t="s">
        <v>35</v>
      </c>
      <c r="I93" s="672">
        <f t="shared" ca="1" si="57"/>
        <v>10</v>
      </c>
      <c r="J93" s="672">
        <f t="shared" si="57"/>
        <v>10</v>
      </c>
      <c r="K93" s="551">
        <f t="shared" ca="1" si="58"/>
        <v>100</v>
      </c>
      <c r="L93" s="673"/>
      <c r="M93" s="549"/>
      <c r="N93" s="549"/>
      <c r="O93" s="549"/>
      <c r="P93" s="549"/>
      <c r="Q93" s="549"/>
      <c r="R93" s="549"/>
      <c r="S93" s="549"/>
      <c r="T93" s="549"/>
      <c r="U93" s="549"/>
    </row>
    <row r="94" spans="1:21" ht="19.5" x14ac:dyDescent="0.3">
      <c r="A94" s="674"/>
      <c r="B94" s="561"/>
      <c r="C94" s="675" t="s">
        <v>18</v>
      </c>
      <c r="D94" s="676" t="s">
        <v>19</v>
      </c>
      <c r="E94" s="561"/>
      <c r="F94" s="561"/>
      <c r="G94" s="563"/>
      <c r="H94" s="677" t="s">
        <v>14</v>
      </c>
      <c r="I94" s="565"/>
      <c r="J94" s="565"/>
      <c r="K94" s="566"/>
      <c r="L94" s="678">
        <f t="shared" ref="L94:N94" ca="1" si="59">L95+L96</f>
        <v>0</v>
      </c>
      <c r="M94" s="679">
        <f t="shared" ca="1" si="59"/>
        <v>19500</v>
      </c>
      <c r="N94" s="679">
        <f t="shared" ca="1" si="59"/>
        <v>0</v>
      </c>
      <c r="O94" s="679">
        <f t="shared" ref="O94:O102" ca="1" si="60">IF(L94&gt;0,N94*100/L94,0)</f>
        <v>0</v>
      </c>
      <c r="P94" s="679">
        <f t="shared" ref="P94:P102" ca="1" si="61">IF(M94&gt;0,N94*100/M94,0)</f>
        <v>0</v>
      </c>
      <c r="Q94" s="679">
        <f t="shared" ref="Q94:S94" ca="1" si="62">Q95+Q96</f>
        <v>64920</v>
      </c>
      <c r="R94" s="679">
        <f t="shared" ca="1" si="62"/>
        <v>64920</v>
      </c>
      <c r="S94" s="679">
        <f t="shared" ca="1" si="62"/>
        <v>30867</v>
      </c>
      <c r="T94" s="679">
        <f t="shared" ref="T94:T102" ca="1" si="63">IF(Q94&gt;0,S94*100/Q94,0)</f>
        <v>47.546210720887245</v>
      </c>
      <c r="U94" s="679">
        <f t="shared" ref="U94:U102" ca="1" si="64">IF(R94&gt;0,S94*100/R94,0)</f>
        <v>47.546210720887245</v>
      </c>
    </row>
    <row r="95" spans="1:21" ht="18.75" x14ac:dyDescent="0.25">
      <c r="A95" s="674"/>
      <c r="B95" s="561"/>
      <c r="C95" s="561"/>
      <c r="D95" s="561"/>
      <c r="E95" s="569" t="s">
        <v>20</v>
      </c>
      <c r="F95" s="561"/>
      <c r="G95" s="563"/>
      <c r="H95" s="680" t="s">
        <v>14</v>
      </c>
      <c r="I95" s="565"/>
      <c r="J95" s="565"/>
      <c r="K95" s="566"/>
      <c r="L95" s="571">
        <f t="shared" ref="L95:N96" si="65">L98+L101</f>
        <v>0</v>
      </c>
      <c r="M95" s="572">
        <f t="shared" si="65"/>
        <v>0</v>
      </c>
      <c r="N95" s="572">
        <f t="shared" si="65"/>
        <v>0</v>
      </c>
      <c r="O95" s="572">
        <f t="shared" si="60"/>
        <v>0</v>
      </c>
      <c r="P95" s="572">
        <f t="shared" si="61"/>
        <v>0</v>
      </c>
      <c r="Q95" s="572">
        <f t="shared" ref="Q95:S96" si="66">Q98+Q101</f>
        <v>0</v>
      </c>
      <c r="R95" s="572">
        <f t="shared" si="66"/>
        <v>0</v>
      </c>
      <c r="S95" s="572">
        <f t="shared" si="66"/>
        <v>0</v>
      </c>
      <c r="T95" s="572">
        <f t="shared" si="63"/>
        <v>0</v>
      </c>
      <c r="U95" s="572">
        <f t="shared" si="64"/>
        <v>0</v>
      </c>
    </row>
    <row r="96" spans="1:21" ht="18.75" x14ac:dyDescent="0.25">
      <c r="A96" s="674"/>
      <c r="B96" s="561"/>
      <c r="C96" s="561"/>
      <c r="D96" s="561"/>
      <c r="E96" s="573" t="s">
        <v>21</v>
      </c>
      <c r="F96" s="561"/>
      <c r="G96" s="563"/>
      <c r="H96" s="681" t="s">
        <v>14</v>
      </c>
      <c r="I96" s="565"/>
      <c r="J96" s="565"/>
      <c r="K96" s="566"/>
      <c r="L96" s="567">
        <f t="shared" ca="1" si="65"/>
        <v>0</v>
      </c>
      <c r="M96" s="568">
        <f t="shared" ca="1" si="65"/>
        <v>19500</v>
      </c>
      <c r="N96" s="568">
        <f t="shared" ca="1" si="65"/>
        <v>0</v>
      </c>
      <c r="O96" s="568">
        <f t="shared" ca="1" si="60"/>
        <v>0</v>
      </c>
      <c r="P96" s="568">
        <f t="shared" ca="1" si="61"/>
        <v>0</v>
      </c>
      <c r="Q96" s="568">
        <f t="shared" ca="1" si="66"/>
        <v>64920</v>
      </c>
      <c r="R96" s="568">
        <f t="shared" ca="1" si="66"/>
        <v>64920</v>
      </c>
      <c r="S96" s="568">
        <f t="shared" ca="1" si="66"/>
        <v>30867</v>
      </c>
      <c r="T96" s="568">
        <f t="shared" ca="1" si="63"/>
        <v>47.546210720887245</v>
      </c>
      <c r="U96" s="568">
        <f t="shared" ca="1" si="64"/>
        <v>47.546210720887245</v>
      </c>
    </row>
    <row r="97" spans="1:21" ht="18.75" x14ac:dyDescent="0.25">
      <c r="A97" s="674"/>
      <c r="B97" s="561"/>
      <c r="C97" s="561"/>
      <c r="D97" s="562" t="s">
        <v>22</v>
      </c>
      <c r="E97" s="561"/>
      <c r="F97" s="561"/>
      <c r="G97" s="563"/>
      <c r="H97" s="682" t="s">
        <v>14</v>
      </c>
      <c r="I97" s="683"/>
      <c r="J97" s="683"/>
      <c r="K97" s="684"/>
      <c r="L97" s="567">
        <f t="shared" ref="L97:N97" ca="1" si="67">L98+L99</f>
        <v>0</v>
      </c>
      <c r="M97" s="568">
        <f t="shared" ca="1" si="67"/>
        <v>19500</v>
      </c>
      <c r="N97" s="568">
        <f t="shared" ca="1" si="67"/>
        <v>0</v>
      </c>
      <c r="O97" s="568">
        <f t="shared" ca="1" si="60"/>
        <v>0</v>
      </c>
      <c r="P97" s="568">
        <f t="shared" ca="1" si="61"/>
        <v>0</v>
      </c>
      <c r="Q97" s="568">
        <f t="shared" ref="Q97:S97" ca="1" si="68">Q98+Q99</f>
        <v>64920</v>
      </c>
      <c r="R97" s="568">
        <f t="shared" ca="1" si="68"/>
        <v>64920</v>
      </c>
      <c r="S97" s="568">
        <f t="shared" ca="1" si="68"/>
        <v>30867</v>
      </c>
      <c r="T97" s="568">
        <f t="shared" ca="1" si="63"/>
        <v>47.546210720887245</v>
      </c>
      <c r="U97" s="568">
        <f t="shared" ca="1" si="64"/>
        <v>47.546210720887245</v>
      </c>
    </row>
    <row r="98" spans="1:21" ht="18.75" x14ac:dyDescent="0.25">
      <c r="A98" s="674"/>
      <c r="B98" s="561"/>
      <c r="C98" s="561"/>
      <c r="D98" s="561"/>
      <c r="E98" s="569" t="s">
        <v>36</v>
      </c>
      <c r="F98" s="561"/>
      <c r="G98" s="563"/>
      <c r="H98" s="685" t="s">
        <v>14</v>
      </c>
      <c r="I98" s="683"/>
      <c r="J98" s="683"/>
      <c r="K98" s="684"/>
      <c r="L98" s="571">
        <v>0</v>
      </c>
      <c r="M98" s="572">
        <v>0</v>
      </c>
      <c r="N98" s="572">
        <v>0</v>
      </c>
      <c r="O98" s="572">
        <f t="shared" si="60"/>
        <v>0</v>
      </c>
      <c r="P98" s="572">
        <f t="shared" si="61"/>
        <v>0</v>
      </c>
      <c r="Q98" s="572">
        <v>0</v>
      </c>
      <c r="R98" s="572">
        <v>0</v>
      </c>
      <c r="S98" s="572">
        <v>0</v>
      </c>
      <c r="T98" s="572">
        <f t="shared" si="63"/>
        <v>0</v>
      </c>
      <c r="U98" s="572">
        <f t="shared" si="64"/>
        <v>0</v>
      </c>
    </row>
    <row r="99" spans="1:21" ht="18.75" x14ac:dyDescent="0.25">
      <c r="A99" s="674"/>
      <c r="B99" s="561"/>
      <c r="C99" s="561"/>
      <c r="D99" s="561"/>
      <c r="E99" s="573" t="s">
        <v>37</v>
      </c>
      <c r="F99" s="561"/>
      <c r="G99" s="563"/>
      <c r="H99" s="682" t="s">
        <v>14</v>
      </c>
      <c r="I99" s="683"/>
      <c r="J99" s="683"/>
      <c r="K99" s="684"/>
      <c r="L99" s="567">
        <f ca="1">IFERROR(__xludf.DUMMYFUNCTION("IMPORTRANGE(""https://docs.google.com/spreadsheets/d/1-uDff_7J0KD5mKrp0Vvzr7lt3OU09vwQwhkpOPPYv2Y/edit?usp=sharing"",""งบพรบ!AW18"")"),0)</f>
        <v>0</v>
      </c>
      <c r="M99" s="568">
        <f ca="1">IFERROR(__xludf.DUMMYFUNCTION("IMPORTRANGE(""https://docs.google.com/spreadsheets/d/1-uDff_7J0KD5mKrp0Vvzr7lt3OU09vwQwhkpOPPYv2Y/edit?usp=sharing"",""งบพรบ!BB18"")"),19500)</f>
        <v>19500</v>
      </c>
      <c r="N99" s="568">
        <f ca="1">IFERROR(__xludf.DUMMYFUNCTION("IMPORTRANGE(""https://docs.google.com/spreadsheets/d/1-uDff_7J0KD5mKrp0Vvzr7lt3OU09vwQwhkpOPPYv2Y/edit?usp=sharing"",""งบพรบ!BD18"")"),0)</f>
        <v>0</v>
      </c>
      <c r="O99" s="568">
        <f t="shared" ca="1" si="60"/>
        <v>0</v>
      </c>
      <c r="P99" s="568">
        <f t="shared" ca="1" si="61"/>
        <v>0</v>
      </c>
      <c r="Q99" s="568">
        <f ca="1">IFERROR(__xludf.DUMMYFUNCTION("IMPORTRANGE(""https://docs.google.com/spreadsheets/d/1ItG2mGa2ceCfYo0BwxsXqNm01IGEUdYcSSLTEv9YCik/edit?usp=sharing"",""เบิกจ่ายกองทุน!AJ18"")"),64920)</f>
        <v>64920</v>
      </c>
      <c r="R99" s="568">
        <f ca="1">IFERROR(__xludf.DUMMYFUNCTION("IMPORTRANGE(""https://docs.google.com/spreadsheets/d/1ItG2mGa2ceCfYo0BwxsXqNm01IGEUdYcSSLTEv9YCik/edit?usp=sharing"",""เบิกจ่ายกองทุน!AK18"")"),64920)</f>
        <v>64920</v>
      </c>
      <c r="S99" s="568">
        <f ca="1">IFERROR(__xludf.DUMMYFUNCTION("IMPORTRANGE(""https://docs.google.com/spreadsheets/d/1ItG2mGa2ceCfYo0BwxsXqNm01IGEUdYcSSLTEv9YCik/edit?usp=sharing"",""เบิกจ่ายกองทุน!AL18"")"),30867)</f>
        <v>30867</v>
      </c>
      <c r="T99" s="568">
        <f t="shared" ca="1" si="63"/>
        <v>47.546210720887245</v>
      </c>
      <c r="U99" s="568">
        <f t="shared" ca="1" si="64"/>
        <v>47.546210720887245</v>
      </c>
    </row>
    <row r="100" spans="1:21" ht="18.75" x14ac:dyDescent="0.25">
      <c r="A100" s="674"/>
      <c r="B100" s="561"/>
      <c r="C100" s="561"/>
      <c r="D100" s="562" t="s">
        <v>23</v>
      </c>
      <c r="E100" s="561"/>
      <c r="F100" s="561"/>
      <c r="G100" s="563"/>
      <c r="H100" s="686" t="s">
        <v>14</v>
      </c>
      <c r="I100" s="683"/>
      <c r="J100" s="683"/>
      <c r="K100" s="684"/>
      <c r="L100" s="567">
        <f t="shared" ref="L100:N100" ca="1" si="69">L101+L102</f>
        <v>0</v>
      </c>
      <c r="M100" s="568">
        <f t="shared" ca="1" si="69"/>
        <v>0</v>
      </c>
      <c r="N100" s="568">
        <f t="shared" ca="1" si="69"/>
        <v>0</v>
      </c>
      <c r="O100" s="568">
        <f t="shared" ca="1" si="60"/>
        <v>0</v>
      </c>
      <c r="P100" s="568">
        <f t="shared" ca="1" si="61"/>
        <v>0</v>
      </c>
      <c r="Q100" s="568">
        <f t="shared" ref="Q100:S100" si="70">Q101+Q102</f>
        <v>0</v>
      </c>
      <c r="R100" s="568">
        <f t="shared" si="70"/>
        <v>0</v>
      </c>
      <c r="S100" s="568">
        <f t="shared" si="70"/>
        <v>0</v>
      </c>
      <c r="T100" s="568">
        <f t="shared" si="63"/>
        <v>0</v>
      </c>
      <c r="U100" s="568">
        <f t="shared" si="64"/>
        <v>0</v>
      </c>
    </row>
    <row r="101" spans="1:21" ht="18.75" x14ac:dyDescent="0.25">
      <c r="A101" s="674"/>
      <c r="B101" s="561"/>
      <c r="C101" s="561"/>
      <c r="D101" s="561"/>
      <c r="E101" s="569" t="s">
        <v>20</v>
      </c>
      <c r="F101" s="561"/>
      <c r="G101" s="563"/>
      <c r="H101" s="685" t="s">
        <v>14</v>
      </c>
      <c r="I101" s="683"/>
      <c r="J101" s="683"/>
      <c r="K101" s="684"/>
      <c r="L101" s="571">
        <v>0</v>
      </c>
      <c r="M101" s="572">
        <v>0</v>
      </c>
      <c r="N101" s="572">
        <v>0</v>
      </c>
      <c r="O101" s="572">
        <f t="shared" si="60"/>
        <v>0</v>
      </c>
      <c r="P101" s="572">
        <f t="shared" si="61"/>
        <v>0</v>
      </c>
      <c r="Q101" s="572">
        <v>0</v>
      </c>
      <c r="R101" s="572">
        <v>0</v>
      </c>
      <c r="S101" s="572">
        <v>0</v>
      </c>
      <c r="T101" s="572">
        <f t="shared" si="63"/>
        <v>0</v>
      </c>
      <c r="U101" s="572">
        <f t="shared" si="64"/>
        <v>0</v>
      </c>
    </row>
    <row r="102" spans="1:21" ht="18.75" x14ac:dyDescent="0.25">
      <c r="A102" s="674"/>
      <c r="B102" s="561"/>
      <c r="C102" s="561"/>
      <c r="D102" s="561"/>
      <c r="E102" s="573" t="s">
        <v>21</v>
      </c>
      <c r="F102" s="561"/>
      <c r="G102" s="563"/>
      <c r="H102" s="686" t="s">
        <v>14</v>
      </c>
      <c r="I102" s="683"/>
      <c r="J102" s="683"/>
      <c r="K102" s="684"/>
      <c r="L102" s="567">
        <f ca="1">IFERROR(__xludf.DUMMYFUNCTION("IMPORTRANGE(""https://docs.google.com/spreadsheets/d/1-uDff_7J0KD5mKrp0Vvzr7lt3OU09vwQwhkpOPPYv2Y/edit?usp=sharing"",""งบพรบ!AZ18"")"),0)</f>
        <v>0</v>
      </c>
      <c r="M102" s="568">
        <f ca="1">IFERROR(__xludf.DUMMYFUNCTION("IMPORTRANGE(""https://docs.google.com/spreadsheets/d/1-uDff_7J0KD5mKrp0Vvzr7lt3OU09vwQwhkpOPPYv2Y/edit?usp=sharing"",""งบพรบ!BC18"")"),0)</f>
        <v>0</v>
      </c>
      <c r="N102" s="568">
        <f ca="1">IFERROR(__xludf.DUMMYFUNCTION("IMPORTRANGE(""https://docs.google.com/spreadsheets/d/1-uDff_7J0KD5mKrp0Vvzr7lt3OU09vwQwhkpOPPYv2Y/edit?usp=sharing"",""งบพรบ!BE18"")"),0)</f>
        <v>0</v>
      </c>
      <c r="O102" s="568">
        <f t="shared" ca="1" si="60"/>
        <v>0</v>
      </c>
      <c r="P102" s="568">
        <f t="shared" ca="1" si="61"/>
        <v>0</v>
      </c>
      <c r="Q102" s="568">
        <v>0</v>
      </c>
      <c r="R102" s="568">
        <v>0</v>
      </c>
      <c r="S102" s="568">
        <v>0</v>
      </c>
      <c r="T102" s="568">
        <f t="shared" si="63"/>
        <v>0</v>
      </c>
      <c r="U102" s="568">
        <f t="shared" si="64"/>
        <v>0</v>
      </c>
    </row>
    <row r="103" spans="1:21" ht="19.5" x14ac:dyDescent="0.3">
      <c r="A103" s="687"/>
      <c r="B103" s="688"/>
      <c r="C103" s="675" t="s">
        <v>18</v>
      </c>
      <c r="D103" s="689" t="s">
        <v>38</v>
      </c>
      <c r="E103" s="690"/>
      <c r="F103" s="690"/>
      <c r="G103" s="691"/>
      <c r="H103" s="692"/>
      <c r="I103" s="683"/>
      <c r="J103" s="565"/>
      <c r="K103" s="566"/>
      <c r="L103" s="574"/>
      <c r="M103" s="566"/>
      <c r="N103" s="566"/>
      <c r="O103" s="684"/>
      <c r="P103" s="684"/>
      <c r="Q103" s="566"/>
      <c r="R103" s="566"/>
      <c r="S103" s="566"/>
      <c r="T103" s="684"/>
      <c r="U103" s="684"/>
    </row>
    <row r="104" spans="1:21" ht="12.75" hidden="1" x14ac:dyDescent="0.2">
      <c r="A104" s="705"/>
      <c r="B104" s="706"/>
      <c r="C104" s="706"/>
      <c r="D104" s="531"/>
      <c r="E104" s="531"/>
      <c r="F104" s="531"/>
      <c r="G104" s="532"/>
      <c r="H104" s="532"/>
      <c r="I104" s="533"/>
      <c r="J104" s="533"/>
      <c r="K104" s="534"/>
      <c r="L104" s="535"/>
      <c r="M104" s="534"/>
      <c r="N104" s="534"/>
      <c r="O104" s="534"/>
      <c r="P104" s="534"/>
      <c r="Q104" s="534"/>
      <c r="R104" s="534"/>
      <c r="S104" s="534"/>
      <c r="T104" s="534"/>
      <c r="U104" s="534"/>
    </row>
    <row r="105" spans="1:21" ht="12.75" hidden="1" x14ac:dyDescent="0.2">
      <c r="A105" s="705"/>
      <c r="B105" s="706"/>
      <c r="C105" s="706"/>
      <c r="D105" s="531"/>
      <c r="E105" s="531"/>
      <c r="F105" s="531"/>
      <c r="G105" s="532"/>
      <c r="H105" s="532"/>
      <c r="I105" s="533"/>
      <c r="J105" s="533"/>
      <c r="K105" s="534"/>
      <c r="L105" s="535"/>
      <c r="M105" s="534"/>
      <c r="N105" s="534"/>
      <c r="O105" s="534"/>
      <c r="P105" s="534"/>
      <c r="Q105" s="534"/>
      <c r="R105" s="534"/>
      <c r="S105" s="534"/>
      <c r="T105" s="534"/>
      <c r="U105" s="534"/>
    </row>
    <row r="106" spans="1:21" ht="12.75" hidden="1" x14ac:dyDescent="0.2">
      <c r="A106" s="705"/>
      <c r="B106" s="706"/>
      <c r="C106" s="706"/>
      <c r="D106" s="706"/>
      <c r="E106" s="531"/>
      <c r="F106" s="531"/>
      <c r="G106" s="532"/>
      <c r="H106" s="532"/>
      <c r="I106" s="533"/>
      <c r="J106" s="533"/>
      <c r="K106" s="534"/>
      <c r="L106" s="535"/>
      <c r="M106" s="534"/>
      <c r="N106" s="534"/>
      <c r="O106" s="534"/>
      <c r="P106" s="534"/>
      <c r="Q106" s="534"/>
      <c r="R106" s="534"/>
      <c r="S106" s="534"/>
      <c r="T106" s="534"/>
      <c r="U106" s="534"/>
    </row>
    <row r="107" spans="1:21" ht="19.5" x14ac:dyDescent="0.3">
      <c r="A107" s="687"/>
      <c r="B107" s="688"/>
      <c r="C107" s="688"/>
      <c r="D107" s="707" t="s">
        <v>47</v>
      </c>
      <c r="E107" s="510"/>
      <c r="F107" s="695"/>
      <c r="G107" s="692"/>
      <c r="H107" s="563"/>
      <c r="I107" s="565"/>
      <c r="J107" s="565"/>
      <c r="K107" s="566"/>
      <c r="L107" s="574"/>
      <c r="M107" s="566"/>
      <c r="N107" s="566"/>
      <c r="O107" s="684"/>
      <c r="P107" s="684"/>
      <c r="Q107" s="566"/>
      <c r="R107" s="566"/>
      <c r="S107" s="566"/>
      <c r="T107" s="684"/>
      <c r="U107" s="684"/>
    </row>
    <row r="108" spans="1:21" ht="18.75" x14ac:dyDescent="0.25">
      <c r="A108" s="687"/>
      <c r="B108" s="688"/>
      <c r="C108" s="688"/>
      <c r="D108" s="699" t="s">
        <v>48</v>
      </c>
      <c r="E108" s="695"/>
      <c r="F108" s="695"/>
      <c r="G108" s="692"/>
      <c r="H108" s="564" t="s">
        <v>46</v>
      </c>
      <c r="I108" s="708">
        <f ca="1">IFERROR(__xludf.DUMMYFUNCTION("IMPORTRANGE(""https://docs.google.com/spreadsheets/d/1eHaY18a8A9IcSdp1K8H6x8fbOy06t2VsZHhMHf-1x7Y/edit?usp=sharing"",""แผน!N18"")"),30)</f>
        <v>30</v>
      </c>
      <c r="J108" s="702">
        <v>30</v>
      </c>
      <c r="K108" s="568">
        <f t="shared" ref="K108:K109" ca="1" si="71">IF(I108&gt;0,J108*100/I108,0)</f>
        <v>100</v>
      </c>
      <c r="L108" s="574"/>
      <c r="M108" s="566"/>
      <c r="N108" s="566"/>
      <c r="O108" s="684"/>
      <c r="P108" s="684"/>
      <c r="Q108" s="566"/>
      <c r="R108" s="566"/>
      <c r="S108" s="566"/>
      <c r="T108" s="684"/>
      <c r="U108" s="684"/>
    </row>
    <row r="109" spans="1:21" ht="18.75" x14ac:dyDescent="0.25">
      <c r="A109" s="687"/>
      <c r="B109" s="688"/>
      <c r="C109" s="688"/>
      <c r="D109" s="699" t="s">
        <v>49</v>
      </c>
      <c r="E109" s="695"/>
      <c r="F109" s="695"/>
      <c r="G109" s="692"/>
      <c r="H109" s="564" t="s">
        <v>35</v>
      </c>
      <c r="I109" s="708">
        <f ca="1">IFERROR(__xludf.DUMMYFUNCTION("IMPORTRANGE(""https://docs.google.com/spreadsheets/d/1eHaY18a8A9IcSdp1K8H6x8fbOy06t2VsZHhMHf-1x7Y/edit?usp=sharing"",""แผน!O18"")"),10)</f>
        <v>10</v>
      </c>
      <c r="J109" s="702">
        <v>10</v>
      </c>
      <c r="K109" s="568">
        <f t="shared" ca="1" si="71"/>
        <v>100</v>
      </c>
      <c r="L109" s="574"/>
      <c r="M109" s="566"/>
      <c r="N109" s="566"/>
      <c r="O109" s="684"/>
      <c r="P109" s="684"/>
      <c r="Q109" s="566"/>
      <c r="R109" s="566"/>
      <c r="S109" s="566"/>
      <c r="T109" s="684"/>
      <c r="U109" s="684"/>
    </row>
    <row r="110" spans="1:21" ht="12.75" hidden="1" x14ac:dyDescent="0.2">
      <c r="A110" s="705"/>
      <c r="B110" s="706"/>
      <c r="C110" s="706"/>
      <c r="D110" s="531"/>
      <c r="E110" s="531"/>
      <c r="F110" s="531"/>
      <c r="G110" s="532"/>
      <c r="H110" s="532"/>
      <c r="I110" s="533"/>
      <c r="J110" s="533"/>
      <c r="K110" s="534"/>
      <c r="L110" s="535"/>
      <c r="M110" s="534"/>
      <c r="N110" s="534"/>
      <c r="O110" s="534"/>
      <c r="P110" s="534"/>
      <c r="Q110" s="534"/>
      <c r="R110" s="534"/>
      <c r="S110" s="534"/>
      <c r="T110" s="534"/>
      <c r="U110" s="534"/>
    </row>
    <row r="111" spans="1:21" ht="12.75" hidden="1" x14ac:dyDescent="0.2">
      <c r="A111" s="705"/>
      <c r="B111" s="706"/>
      <c r="C111" s="706"/>
      <c r="D111" s="531"/>
      <c r="E111" s="531"/>
      <c r="F111" s="531"/>
      <c r="G111" s="532"/>
      <c r="H111" s="532"/>
      <c r="I111" s="533"/>
      <c r="J111" s="533"/>
      <c r="K111" s="534"/>
      <c r="L111" s="535"/>
      <c r="M111" s="534"/>
      <c r="N111" s="534"/>
      <c r="O111" s="534"/>
      <c r="P111" s="534"/>
      <c r="Q111" s="534"/>
      <c r="R111" s="534"/>
      <c r="S111" s="534"/>
      <c r="T111" s="534"/>
      <c r="U111" s="534"/>
    </row>
    <row r="112" spans="1:21" ht="12.75" hidden="1" x14ac:dyDescent="0.2">
      <c r="A112" s="705"/>
      <c r="B112" s="706"/>
      <c r="C112" s="706"/>
      <c r="D112" s="531"/>
      <c r="E112" s="531"/>
      <c r="F112" s="531"/>
      <c r="G112" s="532"/>
      <c r="H112" s="532"/>
      <c r="I112" s="533"/>
      <c r="J112" s="533"/>
      <c r="K112" s="534"/>
      <c r="L112" s="535"/>
      <c r="M112" s="534"/>
      <c r="N112" s="534"/>
      <c r="O112" s="534"/>
      <c r="P112" s="534"/>
      <c r="Q112" s="534"/>
      <c r="R112" s="534"/>
      <c r="S112" s="534"/>
      <c r="T112" s="534"/>
      <c r="U112" s="534"/>
    </row>
    <row r="113" spans="1:21" ht="18.75" x14ac:dyDescent="0.25">
      <c r="A113" s="1131"/>
      <c r="B113" s="1110"/>
      <c r="C113" s="1110"/>
      <c r="D113" s="1132" t="s">
        <v>50</v>
      </c>
      <c r="E113" s="1112"/>
      <c r="F113" s="1112"/>
      <c r="G113" s="1113"/>
      <c r="H113" s="1133" t="s">
        <v>46</v>
      </c>
      <c r="I113" s="1134">
        <f ca="1">IFERROR(__xludf.DUMMYFUNCTION("IMPORTRANGE(""https://docs.google.com/spreadsheets/d/1eHaY18a8A9IcSdp1K8H6x8fbOy06t2VsZHhMHf-1x7Y/edit?usp=sharing"",""แผน!N18"")"),30)</f>
        <v>30</v>
      </c>
      <c r="J113" s="861">
        <v>0</v>
      </c>
      <c r="K113" s="862">
        <f t="shared" ref="K113:K114" ca="1" si="72">IF(I113&gt;0,J113*100/I113,0)</f>
        <v>0</v>
      </c>
      <c r="L113" s="784"/>
      <c r="M113" s="784"/>
      <c r="N113" s="784"/>
      <c r="O113" s="1116"/>
      <c r="P113" s="1116"/>
      <c r="Q113" s="784"/>
      <c r="R113" s="784"/>
      <c r="S113" s="784"/>
      <c r="T113" s="1116"/>
      <c r="U113" s="1116"/>
    </row>
    <row r="114" spans="1:21" ht="18.75" x14ac:dyDescent="0.25">
      <c r="A114" s="687"/>
      <c r="B114" s="688"/>
      <c r="C114" s="688"/>
      <c r="D114" s="695"/>
      <c r="E114" s="695"/>
      <c r="F114" s="695"/>
      <c r="G114" s="692"/>
      <c r="H114" s="700" t="s">
        <v>35</v>
      </c>
      <c r="I114" s="701">
        <f ca="1">IFERROR(__xludf.DUMMYFUNCTION("IMPORTRANGE(""https://docs.google.com/spreadsheets/d/1eHaY18a8A9IcSdp1K8H6x8fbOy06t2VsZHhMHf-1x7Y/edit?usp=sharing"",""แผน!O18"")"),10)</f>
        <v>10</v>
      </c>
      <c r="J114" s="702">
        <v>0</v>
      </c>
      <c r="K114" s="568">
        <f t="shared" ca="1" si="72"/>
        <v>0</v>
      </c>
      <c r="L114" s="566"/>
      <c r="M114" s="566"/>
      <c r="N114" s="566"/>
      <c r="O114" s="684"/>
      <c r="P114" s="684"/>
      <c r="Q114" s="566"/>
      <c r="R114" s="566"/>
      <c r="S114" s="566"/>
      <c r="T114" s="684"/>
      <c r="U114" s="684"/>
    </row>
    <row r="115" spans="1:21" ht="19.5" x14ac:dyDescent="0.3">
      <c r="A115" s="709" t="s">
        <v>51</v>
      </c>
      <c r="B115" s="710"/>
      <c r="C115" s="711"/>
      <c r="D115" s="712"/>
      <c r="E115" s="712"/>
      <c r="F115" s="712"/>
      <c r="G115" s="712"/>
      <c r="H115" s="710"/>
      <c r="I115" s="713"/>
      <c r="J115" s="713"/>
      <c r="K115" s="714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</row>
    <row r="116" spans="1:21" ht="19.5" x14ac:dyDescent="0.3">
      <c r="A116" s="669"/>
      <c r="B116" s="715" t="s">
        <v>52</v>
      </c>
      <c r="C116" s="716"/>
      <c r="D116" s="670"/>
      <c r="E116" s="543"/>
      <c r="F116" s="543"/>
      <c r="G116" s="546"/>
      <c r="H116" s="717" t="s">
        <v>35</v>
      </c>
      <c r="I116" s="672">
        <f t="shared" ref="I116:J116" ca="1" si="73">I127</f>
        <v>100</v>
      </c>
      <c r="J116" s="672">
        <f t="shared" si="73"/>
        <v>100</v>
      </c>
      <c r="K116" s="551">
        <f ca="1">IF(I116&gt;0,J116*100/I116,0)</f>
        <v>100</v>
      </c>
      <c r="L116" s="673"/>
      <c r="M116" s="549"/>
      <c r="N116" s="549"/>
      <c r="O116" s="549"/>
      <c r="P116" s="549"/>
      <c r="Q116" s="549"/>
      <c r="R116" s="549"/>
      <c r="S116" s="549"/>
      <c r="T116" s="549"/>
      <c r="U116" s="549"/>
    </row>
    <row r="117" spans="1:21" ht="19.5" x14ac:dyDescent="0.3">
      <c r="A117" s="674"/>
      <c r="B117" s="718"/>
      <c r="C117" s="719" t="s">
        <v>18</v>
      </c>
      <c r="D117" s="676" t="s">
        <v>19</v>
      </c>
      <c r="E117" s="561"/>
      <c r="F117" s="561"/>
      <c r="G117" s="563"/>
      <c r="H117" s="677" t="s">
        <v>14</v>
      </c>
      <c r="I117" s="565"/>
      <c r="J117" s="565"/>
      <c r="K117" s="566"/>
      <c r="L117" s="678">
        <f t="shared" ref="L117:N117" ca="1" si="74">L118+L119</f>
        <v>0</v>
      </c>
      <c r="M117" s="679">
        <f t="shared" ca="1" si="74"/>
        <v>0</v>
      </c>
      <c r="N117" s="679">
        <f t="shared" ca="1" si="74"/>
        <v>0</v>
      </c>
      <c r="O117" s="679">
        <f t="shared" ref="O117:O125" ca="1" si="75">IF(L117&gt;0,N117*100/L117,0)</f>
        <v>0</v>
      </c>
      <c r="P117" s="679">
        <f t="shared" ref="P117:P125" ca="1" si="76">IF(M117&gt;0,N117*100/M117,0)</f>
        <v>0</v>
      </c>
      <c r="Q117" s="679">
        <f t="shared" ref="Q117:S117" ca="1" si="77">Q118+Q119</f>
        <v>408480</v>
      </c>
      <c r="R117" s="679">
        <f t="shared" ca="1" si="77"/>
        <v>408480</v>
      </c>
      <c r="S117" s="679">
        <f t="shared" ca="1" si="77"/>
        <v>191137.5</v>
      </c>
      <c r="T117" s="679">
        <f t="shared" ref="T117:T125" ca="1" si="78">IF(Q117&gt;0,S117*100/Q117,0)</f>
        <v>46.792376615746178</v>
      </c>
      <c r="U117" s="679">
        <f t="shared" ref="U117:U125" ca="1" si="79">IF(R117&gt;0,S117*100/R117,0)</f>
        <v>46.792376615746178</v>
      </c>
    </row>
    <row r="118" spans="1:21" ht="18.75" x14ac:dyDescent="0.25">
      <c r="A118" s="674"/>
      <c r="B118" s="718"/>
      <c r="C118" s="718"/>
      <c r="D118" s="718"/>
      <c r="E118" s="569" t="s">
        <v>20</v>
      </c>
      <c r="F118" s="561"/>
      <c r="G118" s="563"/>
      <c r="H118" s="680" t="s">
        <v>14</v>
      </c>
      <c r="I118" s="565"/>
      <c r="J118" s="565"/>
      <c r="K118" s="566"/>
      <c r="L118" s="571">
        <f t="shared" ref="L118:N119" si="80">L121+L124</f>
        <v>0</v>
      </c>
      <c r="M118" s="572">
        <f t="shared" si="80"/>
        <v>0</v>
      </c>
      <c r="N118" s="572">
        <f t="shared" si="80"/>
        <v>0</v>
      </c>
      <c r="O118" s="572">
        <f t="shared" si="75"/>
        <v>0</v>
      </c>
      <c r="P118" s="572">
        <f t="shared" si="76"/>
        <v>0</v>
      </c>
      <c r="Q118" s="572">
        <f t="shared" ref="Q118:S119" si="81">Q121+Q124</f>
        <v>0</v>
      </c>
      <c r="R118" s="572">
        <f t="shared" si="81"/>
        <v>0</v>
      </c>
      <c r="S118" s="572">
        <f t="shared" si="81"/>
        <v>0</v>
      </c>
      <c r="T118" s="572">
        <f t="shared" si="78"/>
        <v>0</v>
      </c>
      <c r="U118" s="572">
        <f t="shared" si="79"/>
        <v>0</v>
      </c>
    </row>
    <row r="119" spans="1:21" ht="18.75" x14ac:dyDescent="0.25">
      <c r="A119" s="674"/>
      <c r="B119" s="718"/>
      <c r="C119" s="718"/>
      <c r="D119" s="718"/>
      <c r="E119" s="573" t="s">
        <v>21</v>
      </c>
      <c r="F119" s="561"/>
      <c r="G119" s="563"/>
      <c r="H119" s="681" t="s">
        <v>14</v>
      </c>
      <c r="I119" s="565"/>
      <c r="J119" s="565"/>
      <c r="K119" s="566"/>
      <c r="L119" s="567">
        <f t="shared" ca="1" si="80"/>
        <v>0</v>
      </c>
      <c r="M119" s="568">
        <f t="shared" ca="1" si="80"/>
        <v>0</v>
      </c>
      <c r="N119" s="568">
        <f t="shared" ca="1" si="80"/>
        <v>0</v>
      </c>
      <c r="O119" s="568">
        <f t="shared" ca="1" si="75"/>
        <v>0</v>
      </c>
      <c r="P119" s="568">
        <f t="shared" ca="1" si="76"/>
        <v>0</v>
      </c>
      <c r="Q119" s="568">
        <f t="shared" ca="1" si="81"/>
        <v>408480</v>
      </c>
      <c r="R119" s="568">
        <f t="shared" ca="1" si="81"/>
        <v>408480</v>
      </c>
      <c r="S119" s="568">
        <f t="shared" ca="1" si="81"/>
        <v>191137.5</v>
      </c>
      <c r="T119" s="568">
        <f t="shared" ca="1" si="78"/>
        <v>46.792376615746178</v>
      </c>
      <c r="U119" s="568">
        <f t="shared" ca="1" si="79"/>
        <v>46.792376615746178</v>
      </c>
    </row>
    <row r="120" spans="1:21" ht="18.75" x14ac:dyDescent="0.25">
      <c r="A120" s="674"/>
      <c r="B120" s="718"/>
      <c r="C120" s="720"/>
      <c r="D120" s="721" t="s">
        <v>22</v>
      </c>
      <c r="E120" s="561"/>
      <c r="F120" s="561"/>
      <c r="G120" s="563"/>
      <c r="H120" s="722" t="s">
        <v>14</v>
      </c>
      <c r="I120" s="565"/>
      <c r="J120" s="565"/>
      <c r="K120" s="566"/>
      <c r="L120" s="567">
        <f t="shared" ref="L120:N120" ca="1" si="82">L121+L122</f>
        <v>0</v>
      </c>
      <c r="M120" s="568">
        <f t="shared" ca="1" si="82"/>
        <v>0</v>
      </c>
      <c r="N120" s="568">
        <f t="shared" ca="1" si="82"/>
        <v>0</v>
      </c>
      <c r="O120" s="568">
        <f t="shared" ca="1" si="75"/>
        <v>0</v>
      </c>
      <c r="P120" s="568">
        <f t="shared" ca="1" si="76"/>
        <v>0</v>
      </c>
      <c r="Q120" s="568">
        <f t="shared" ref="Q120:S120" ca="1" si="83">Q121+Q122</f>
        <v>408480</v>
      </c>
      <c r="R120" s="568">
        <f t="shared" ca="1" si="83"/>
        <v>408480</v>
      </c>
      <c r="S120" s="568">
        <f t="shared" ca="1" si="83"/>
        <v>191137.5</v>
      </c>
      <c r="T120" s="568">
        <f t="shared" ca="1" si="78"/>
        <v>46.792376615746178</v>
      </c>
      <c r="U120" s="568">
        <f t="shared" ca="1" si="79"/>
        <v>46.792376615746178</v>
      </c>
    </row>
    <row r="121" spans="1:21" ht="18.75" x14ac:dyDescent="0.25">
      <c r="A121" s="674"/>
      <c r="B121" s="718"/>
      <c r="C121" s="720"/>
      <c r="D121" s="718"/>
      <c r="E121" s="569" t="s">
        <v>36</v>
      </c>
      <c r="F121" s="561"/>
      <c r="G121" s="563"/>
      <c r="H121" s="723" t="s">
        <v>14</v>
      </c>
      <c r="I121" s="565"/>
      <c r="J121" s="565"/>
      <c r="K121" s="566"/>
      <c r="L121" s="571">
        <v>0</v>
      </c>
      <c r="M121" s="572">
        <v>0</v>
      </c>
      <c r="N121" s="572">
        <v>0</v>
      </c>
      <c r="O121" s="572">
        <f t="shared" si="75"/>
        <v>0</v>
      </c>
      <c r="P121" s="572">
        <f t="shared" si="76"/>
        <v>0</v>
      </c>
      <c r="Q121" s="572">
        <v>0</v>
      </c>
      <c r="R121" s="572">
        <v>0</v>
      </c>
      <c r="S121" s="572">
        <v>0</v>
      </c>
      <c r="T121" s="572">
        <f t="shared" si="78"/>
        <v>0</v>
      </c>
      <c r="U121" s="572">
        <f t="shared" si="79"/>
        <v>0</v>
      </c>
    </row>
    <row r="122" spans="1:21" ht="18.75" x14ac:dyDescent="0.25">
      <c r="A122" s="674"/>
      <c r="B122" s="718"/>
      <c r="C122" s="720"/>
      <c r="D122" s="718"/>
      <c r="E122" s="573" t="s">
        <v>37</v>
      </c>
      <c r="F122" s="561"/>
      <c r="G122" s="563"/>
      <c r="H122" s="722" t="s">
        <v>14</v>
      </c>
      <c r="I122" s="565"/>
      <c r="J122" s="565"/>
      <c r="K122" s="566"/>
      <c r="L122" s="567">
        <f ca="1">IFERROR(__xludf.DUMMYFUNCTION("IMPORTRANGE(""https://docs.google.com/spreadsheets/d/1-uDff_7J0KD5mKrp0Vvzr7lt3OU09vwQwhkpOPPYv2Y/edit?usp=sharing"",""งบพรบ!BG18"")"),0)</f>
        <v>0</v>
      </c>
      <c r="M122" s="568">
        <f ca="1">IFERROR(__xludf.DUMMYFUNCTION("IMPORTRANGE(""https://docs.google.com/spreadsheets/d/1-uDff_7J0KD5mKrp0Vvzr7lt3OU09vwQwhkpOPPYv2Y/edit?usp=sharing"",""งบพรบ!BL18"")"),0)</f>
        <v>0</v>
      </c>
      <c r="N122" s="568">
        <f ca="1">IFERROR(__xludf.DUMMYFUNCTION("IMPORTRANGE(""https://docs.google.com/spreadsheets/d/1-uDff_7J0KD5mKrp0Vvzr7lt3OU09vwQwhkpOPPYv2Y/edit?usp=sharing"",""งบพรบ!BN18"")"),0)</f>
        <v>0</v>
      </c>
      <c r="O122" s="568">
        <f t="shared" ca="1" si="75"/>
        <v>0</v>
      </c>
      <c r="P122" s="568">
        <f t="shared" ca="1" si="76"/>
        <v>0</v>
      </c>
      <c r="Q122" s="568">
        <f ca="1">IFERROR(__xludf.DUMMYFUNCTION("IMPORTRANGE(""https://docs.google.com/spreadsheets/d/1ItG2mGa2ceCfYo0BwxsXqNm01IGEUdYcSSLTEv9YCik/edit?usp=sharing"",""เบิกจ่ายกองทุน!U18"")"),408480)</f>
        <v>408480</v>
      </c>
      <c r="R122" s="568">
        <f ca="1">IFERROR(__xludf.DUMMYFUNCTION("IMPORTRANGE(""https://docs.google.com/spreadsheets/d/1ItG2mGa2ceCfYo0BwxsXqNm01IGEUdYcSSLTEv9YCik/edit?usp=sharing"",""เบิกจ่ายกองทุน!V18"")"),408480)</f>
        <v>408480</v>
      </c>
      <c r="S122" s="568">
        <f ca="1">IFERROR(__xludf.DUMMYFUNCTION("IMPORTRANGE(""https://docs.google.com/spreadsheets/d/1ItG2mGa2ceCfYo0BwxsXqNm01IGEUdYcSSLTEv9YCik/edit?usp=sharing"",""เบิกจ่ายกองทุน!W18"")"),191137.5)</f>
        <v>191137.5</v>
      </c>
      <c r="T122" s="568">
        <f t="shared" ca="1" si="78"/>
        <v>46.792376615746178</v>
      </c>
      <c r="U122" s="568">
        <f t="shared" ca="1" si="79"/>
        <v>46.792376615746178</v>
      </c>
    </row>
    <row r="123" spans="1:21" ht="18.75" x14ac:dyDescent="0.25">
      <c r="A123" s="674"/>
      <c r="B123" s="561"/>
      <c r="C123" s="720"/>
      <c r="D123" s="721" t="s">
        <v>23</v>
      </c>
      <c r="E123" s="561"/>
      <c r="F123" s="561"/>
      <c r="G123" s="563"/>
      <c r="H123" s="681" t="s">
        <v>14</v>
      </c>
      <c r="I123" s="565"/>
      <c r="J123" s="565"/>
      <c r="K123" s="566"/>
      <c r="L123" s="567">
        <f t="shared" ref="L123:N123" ca="1" si="84">L124+L125</f>
        <v>0</v>
      </c>
      <c r="M123" s="568">
        <f t="shared" ca="1" si="84"/>
        <v>0</v>
      </c>
      <c r="N123" s="568">
        <f t="shared" ca="1" si="84"/>
        <v>0</v>
      </c>
      <c r="O123" s="568">
        <f t="shared" ca="1" si="75"/>
        <v>0</v>
      </c>
      <c r="P123" s="568">
        <f t="shared" ca="1" si="76"/>
        <v>0</v>
      </c>
      <c r="Q123" s="568">
        <f t="shared" ref="Q123:S123" ca="1" si="85">Q124+Q125</f>
        <v>0</v>
      </c>
      <c r="R123" s="568">
        <f t="shared" ca="1" si="85"/>
        <v>0</v>
      </c>
      <c r="S123" s="568">
        <f t="shared" ca="1" si="85"/>
        <v>0</v>
      </c>
      <c r="T123" s="568">
        <f t="shared" ca="1" si="78"/>
        <v>0</v>
      </c>
      <c r="U123" s="568">
        <f t="shared" ca="1" si="79"/>
        <v>0</v>
      </c>
    </row>
    <row r="124" spans="1:21" ht="18.75" x14ac:dyDescent="0.25">
      <c r="A124" s="674"/>
      <c r="B124" s="561"/>
      <c r="C124" s="720"/>
      <c r="D124" s="718"/>
      <c r="E124" s="569" t="s">
        <v>20</v>
      </c>
      <c r="F124" s="561"/>
      <c r="G124" s="563"/>
      <c r="H124" s="723" t="s">
        <v>14</v>
      </c>
      <c r="I124" s="565"/>
      <c r="J124" s="565"/>
      <c r="K124" s="566"/>
      <c r="L124" s="571">
        <v>0</v>
      </c>
      <c r="M124" s="572">
        <v>0</v>
      </c>
      <c r="N124" s="572">
        <v>0</v>
      </c>
      <c r="O124" s="572">
        <f t="shared" si="75"/>
        <v>0</v>
      </c>
      <c r="P124" s="572">
        <f t="shared" si="76"/>
        <v>0</v>
      </c>
      <c r="Q124" s="572">
        <v>0</v>
      </c>
      <c r="R124" s="572">
        <v>0</v>
      </c>
      <c r="S124" s="572">
        <v>0</v>
      </c>
      <c r="T124" s="572">
        <f t="shared" si="78"/>
        <v>0</v>
      </c>
      <c r="U124" s="572">
        <f t="shared" si="79"/>
        <v>0</v>
      </c>
    </row>
    <row r="125" spans="1:21" ht="18.75" x14ac:dyDescent="0.25">
      <c r="A125" s="674"/>
      <c r="B125" s="561"/>
      <c r="C125" s="561"/>
      <c r="D125" s="561"/>
      <c r="E125" s="573" t="s">
        <v>21</v>
      </c>
      <c r="F125" s="561"/>
      <c r="G125" s="563"/>
      <c r="H125" s="681" t="s">
        <v>14</v>
      </c>
      <c r="I125" s="565"/>
      <c r="J125" s="565"/>
      <c r="K125" s="566"/>
      <c r="L125" s="567">
        <f ca="1">IFERROR(__xludf.DUMMYFUNCTION("IMPORTRANGE(""https://docs.google.com/spreadsheets/d/1-uDff_7J0KD5mKrp0Vvzr7lt3OU09vwQwhkpOPPYv2Y/edit?usp=sharing"",""งบพรบ!BJ18"")"),0)</f>
        <v>0</v>
      </c>
      <c r="M125" s="568">
        <f ca="1">IFERROR(__xludf.DUMMYFUNCTION("IMPORTRANGE(""https://docs.google.com/spreadsheets/d/1-uDff_7J0KD5mKrp0Vvzr7lt3OU09vwQwhkpOPPYv2Y/edit?usp=sharing"",""งบพรบ!BM18"")"),0)</f>
        <v>0</v>
      </c>
      <c r="N125" s="568">
        <f ca="1">IFERROR(__xludf.DUMMYFUNCTION("IMPORTRANGE(""https://docs.google.com/spreadsheets/d/1-uDff_7J0KD5mKrp0Vvzr7lt3OU09vwQwhkpOPPYv2Y/edit?usp=sharing"",""งบพรบ!BO18"")"),0)</f>
        <v>0</v>
      </c>
      <c r="O125" s="568">
        <f t="shared" ca="1" si="75"/>
        <v>0</v>
      </c>
      <c r="P125" s="568">
        <f t="shared" ca="1" si="76"/>
        <v>0</v>
      </c>
      <c r="Q125" s="568">
        <f ca="1">IFERROR(__xludf.DUMMYFUNCTION("IMPORTRANGE(""https://docs.google.com/spreadsheets/d/1ItG2mGa2ceCfYo0BwxsXqNm01IGEUdYcSSLTEv9YCik/edit?usp=sharing"",""เบิกจ่ายกองทุน!X18"")"),0)</f>
        <v>0</v>
      </c>
      <c r="R125" s="568">
        <f ca="1">IFERROR(__xludf.DUMMYFUNCTION("IMPORTRANGE(""https://docs.google.com/spreadsheets/d/1ItG2mGa2ceCfYo0BwxsXqNm01IGEUdYcSSLTEv9YCik/edit?usp=sharing"",""เบิกจ่ายกองทุน!Y18"")"),0)</f>
        <v>0</v>
      </c>
      <c r="S125" s="568">
        <f ca="1">IFERROR(__xludf.DUMMYFUNCTION("IMPORTRANGE(""https://docs.google.com/spreadsheets/d/1ItG2mGa2ceCfYo0BwxsXqNm01IGEUdYcSSLTEv9YCik/edit?usp=sharing"",""เบิกจ่ายกองทุน!Z18"")"),0)</f>
        <v>0</v>
      </c>
      <c r="T125" s="568">
        <f t="shared" ca="1" si="78"/>
        <v>0</v>
      </c>
      <c r="U125" s="568">
        <f t="shared" ca="1" si="79"/>
        <v>0</v>
      </c>
    </row>
    <row r="126" spans="1:21" ht="19.5" x14ac:dyDescent="0.3">
      <c r="A126" s="687"/>
      <c r="B126" s="688"/>
      <c r="C126" s="724" t="s">
        <v>18</v>
      </c>
      <c r="D126" s="689" t="s">
        <v>38</v>
      </c>
      <c r="E126" s="690"/>
      <c r="F126" s="690"/>
      <c r="G126" s="691"/>
      <c r="H126" s="725"/>
      <c r="I126" s="565"/>
      <c r="J126" s="565"/>
      <c r="K126" s="566"/>
      <c r="L126" s="574"/>
      <c r="M126" s="566"/>
      <c r="N126" s="566"/>
      <c r="O126" s="566"/>
      <c r="P126" s="566"/>
      <c r="Q126" s="566"/>
      <c r="R126" s="566"/>
      <c r="S126" s="566"/>
      <c r="T126" s="566"/>
      <c r="U126" s="566"/>
    </row>
    <row r="127" spans="1:21" ht="18.75" x14ac:dyDescent="0.25">
      <c r="A127" s="687"/>
      <c r="B127" s="688"/>
      <c r="C127" s="688"/>
      <c r="D127" s="699" t="s">
        <v>53</v>
      </c>
      <c r="E127" s="695"/>
      <c r="F127" s="695"/>
      <c r="G127" s="692"/>
      <c r="H127" s="681" t="s">
        <v>35</v>
      </c>
      <c r="I127" s="708">
        <f ca="1">IFERROR(__xludf.DUMMYFUNCTION("IMPORTRANGE(""https://docs.google.com/spreadsheets/d/1eHaY18a8A9IcSdp1K8H6x8fbOy06t2VsZHhMHf-1x7Y/edit?usp=sharing"",""แผน!FF18"")"),100)</f>
        <v>100</v>
      </c>
      <c r="J127" s="702">
        <v>100</v>
      </c>
      <c r="K127" s="568">
        <f t="shared" ref="K127:K130" ca="1" si="86">IF(I127&gt;0,J127*100/I127,0)</f>
        <v>100</v>
      </c>
      <c r="L127" s="574"/>
      <c r="M127" s="566"/>
      <c r="N127" s="566"/>
      <c r="O127" s="566"/>
      <c r="P127" s="566"/>
      <c r="Q127" s="566"/>
      <c r="R127" s="566"/>
      <c r="S127" s="566"/>
      <c r="T127" s="566"/>
      <c r="U127" s="566"/>
    </row>
    <row r="128" spans="1:21" ht="18.75" x14ac:dyDescent="0.25">
      <c r="A128" s="687"/>
      <c r="B128" s="688"/>
      <c r="C128" s="688"/>
      <c r="D128" s="695"/>
      <c r="E128" s="695"/>
      <c r="F128" s="695"/>
      <c r="G128" s="692"/>
      <c r="H128" s="681" t="s">
        <v>54</v>
      </c>
      <c r="I128" s="708">
        <f ca="1">IFERROR(__xludf.DUMMYFUNCTION("IMPORTRANGE(""https://docs.google.com/spreadsheets/d/1eHaY18a8A9IcSdp1K8H6x8fbOy06t2VsZHhMHf-1x7Y/edit?usp=sharing"",""แผน!FG18"")"),0)</f>
        <v>0</v>
      </c>
      <c r="J128" s="702">
        <v>0</v>
      </c>
      <c r="K128" s="568">
        <f t="shared" ca="1" si="86"/>
        <v>0</v>
      </c>
      <c r="L128" s="574"/>
      <c r="M128" s="566"/>
      <c r="N128" s="566"/>
      <c r="O128" s="566"/>
      <c r="P128" s="566"/>
      <c r="Q128" s="566"/>
      <c r="R128" s="566"/>
      <c r="S128" s="566"/>
      <c r="T128" s="566"/>
      <c r="U128" s="566"/>
    </row>
    <row r="129" spans="1:21" ht="18.75" x14ac:dyDescent="0.25">
      <c r="A129" s="687"/>
      <c r="B129" s="688"/>
      <c r="C129" s="688"/>
      <c r="D129" s="699" t="s">
        <v>55</v>
      </c>
      <c r="E129" s="695"/>
      <c r="F129" s="695"/>
      <c r="G129" s="692"/>
      <c r="H129" s="681" t="s">
        <v>35</v>
      </c>
      <c r="I129" s="708">
        <f ca="1">IFERROR(__xludf.DUMMYFUNCTION("IMPORTRANGE(""https://docs.google.com/spreadsheets/d/1eHaY18a8A9IcSdp1K8H6x8fbOy06t2VsZHhMHf-1x7Y/edit?usp=sharing"",""แผน!FH18"")"),20)</f>
        <v>20</v>
      </c>
      <c r="J129" s="702">
        <v>20</v>
      </c>
      <c r="K129" s="568">
        <f t="shared" ca="1" si="86"/>
        <v>100</v>
      </c>
      <c r="L129" s="574"/>
      <c r="M129" s="566"/>
      <c r="N129" s="566"/>
      <c r="O129" s="566"/>
      <c r="P129" s="566"/>
      <c r="Q129" s="566"/>
      <c r="R129" s="566"/>
      <c r="S129" s="566"/>
      <c r="T129" s="566"/>
      <c r="U129" s="566"/>
    </row>
    <row r="130" spans="1:21" ht="18.75" x14ac:dyDescent="0.25">
      <c r="A130" s="687"/>
      <c r="B130" s="688"/>
      <c r="C130" s="688"/>
      <c r="D130" s="695"/>
      <c r="E130" s="695"/>
      <c r="F130" s="695"/>
      <c r="G130" s="692"/>
      <c r="H130" s="681" t="s">
        <v>54</v>
      </c>
      <c r="I130" s="708">
        <f ca="1">IFERROR(__xludf.DUMMYFUNCTION("IMPORTRANGE(""https://docs.google.com/spreadsheets/d/1eHaY18a8A9IcSdp1K8H6x8fbOy06t2VsZHhMHf-1x7Y/edit?usp=sharing"",""แผน!FI18"")"),0)</f>
        <v>0</v>
      </c>
      <c r="J130" s="702">
        <v>0</v>
      </c>
      <c r="K130" s="568">
        <f t="shared" ca="1" si="86"/>
        <v>0</v>
      </c>
      <c r="L130" s="574"/>
      <c r="M130" s="566"/>
      <c r="N130" s="566"/>
      <c r="O130" s="566"/>
      <c r="P130" s="566"/>
      <c r="Q130" s="566"/>
      <c r="R130" s="566"/>
      <c r="S130" s="566"/>
      <c r="T130" s="566"/>
      <c r="U130" s="566"/>
    </row>
    <row r="131" spans="1:21" ht="18.75" x14ac:dyDescent="0.25">
      <c r="A131" s="687"/>
      <c r="B131" s="688"/>
      <c r="C131" s="688"/>
      <c r="D131" s="726" t="s">
        <v>56</v>
      </c>
      <c r="E131" s="695"/>
      <c r="F131" s="695"/>
      <c r="G131" s="692"/>
      <c r="H131" s="680" t="s">
        <v>35</v>
      </c>
      <c r="I131" s="565"/>
      <c r="J131" s="565"/>
      <c r="K131" s="566"/>
      <c r="L131" s="574"/>
      <c r="M131" s="566"/>
      <c r="N131" s="566"/>
      <c r="O131" s="566"/>
      <c r="P131" s="566"/>
      <c r="Q131" s="566"/>
      <c r="R131" s="566"/>
      <c r="S131" s="566"/>
      <c r="T131" s="566"/>
      <c r="U131" s="566"/>
    </row>
    <row r="132" spans="1:21" ht="18.75" x14ac:dyDescent="0.25">
      <c r="A132" s="687"/>
      <c r="B132" s="688"/>
      <c r="C132" s="688"/>
      <c r="D132" s="726" t="s">
        <v>57</v>
      </c>
      <c r="E132" s="695"/>
      <c r="F132" s="695"/>
      <c r="G132" s="692"/>
      <c r="H132" s="727"/>
      <c r="I132" s="565"/>
      <c r="J132" s="565"/>
      <c r="K132" s="566"/>
      <c r="L132" s="574"/>
      <c r="M132" s="566"/>
      <c r="N132" s="566"/>
      <c r="O132" s="566"/>
      <c r="P132" s="566"/>
      <c r="Q132" s="566"/>
      <c r="R132" s="566"/>
      <c r="S132" s="566"/>
      <c r="T132" s="566"/>
      <c r="U132" s="566"/>
    </row>
    <row r="133" spans="1:21" ht="12.75" hidden="1" x14ac:dyDescent="0.2">
      <c r="A133" s="705"/>
      <c r="B133" s="706"/>
      <c r="C133" s="706"/>
      <c r="D133" s="531"/>
      <c r="E133" s="531"/>
      <c r="F133" s="531"/>
      <c r="G133" s="532"/>
      <c r="H133" s="728"/>
      <c r="I133" s="533"/>
      <c r="J133" s="533"/>
      <c r="K133" s="534"/>
      <c r="L133" s="535"/>
      <c r="M133" s="534"/>
      <c r="N133" s="534"/>
      <c r="O133" s="534"/>
      <c r="P133" s="534"/>
      <c r="Q133" s="534"/>
      <c r="R133" s="534"/>
      <c r="S133" s="534"/>
      <c r="T133" s="534"/>
      <c r="U133" s="534"/>
    </row>
    <row r="134" spans="1:21" ht="19.5" x14ac:dyDescent="0.3">
      <c r="A134" s="662" t="s">
        <v>58</v>
      </c>
      <c r="B134" s="663"/>
      <c r="C134" s="729"/>
      <c r="D134" s="663"/>
      <c r="E134" s="663"/>
      <c r="F134" s="663"/>
      <c r="G134" s="663"/>
      <c r="H134" s="663"/>
      <c r="I134" s="730"/>
      <c r="J134" s="730"/>
      <c r="K134" s="731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</row>
    <row r="135" spans="1:21" ht="19.5" x14ac:dyDescent="0.3">
      <c r="A135" s="669"/>
      <c r="B135" s="544" t="s">
        <v>59</v>
      </c>
      <c r="C135" s="716"/>
      <c r="D135" s="670"/>
      <c r="E135" s="543"/>
      <c r="F135" s="543"/>
      <c r="G135" s="543"/>
      <c r="H135" s="543"/>
      <c r="I135" s="732"/>
      <c r="J135" s="548"/>
      <c r="K135" s="549"/>
      <c r="L135" s="673"/>
      <c r="M135" s="549"/>
      <c r="N135" s="549"/>
      <c r="O135" s="549"/>
      <c r="P135" s="549"/>
      <c r="Q135" s="549"/>
      <c r="R135" s="549"/>
      <c r="S135" s="549"/>
      <c r="T135" s="549"/>
      <c r="U135" s="549"/>
    </row>
    <row r="136" spans="1:21" ht="19.5" x14ac:dyDescent="0.3">
      <c r="A136" s="669"/>
      <c r="B136" s="543"/>
      <c r="C136" s="733" t="s">
        <v>60</v>
      </c>
      <c r="D136" s="670"/>
      <c r="E136" s="543"/>
      <c r="F136" s="543"/>
      <c r="G136" s="546"/>
      <c r="H136" s="671" t="s">
        <v>61</v>
      </c>
      <c r="I136" s="672">
        <f t="shared" ref="I136:J136" ca="1" si="87">I154</f>
        <v>0</v>
      </c>
      <c r="J136" s="672">
        <f t="shared" si="87"/>
        <v>0</v>
      </c>
      <c r="K136" s="551">
        <f t="shared" ref="K136:K138" ca="1" si="88">IF(I136&gt;0,J136*100/I136,0)</f>
        <v>0</v>
      </c>
      <c r="L136" s="673"/>
      <c r="M136" s="549"/>
      <c r="N136" s="549"/>
      <c r="O136" s="549"/>
      <c r="P136" s="549"/>
      <c r="Q136" s="549"/>
      <c r="R136" s="549"/>
      <c r="S136" s="549"/>
      <c r="T136" s="549"/>
      <c r="U136" s="549"/>
    </row>
    <row r="137" spans="1:21" ht="19.5" x14ac:dyDescent="0.3">
      <c r="A137" s="669"/>
      <c r="B137" s="543"/>
      <c r="C137" s="733" t="s">
        <v>62</v>
      </c>
      <c r="D137" s="670"/>
      <c r="E137" s="543"/>
      <c r="F137" s="543"/>
      <c r="G137" s="546"/>
      <c r="H137" s="671" t="s">
        <v>35</v>
      </c>
      <c r="I137" s="672">
        <f t="shared" ref="I137:J138" ca="1" si="89">I152</f>
        <v>20</v>
      </c>
      <c r="J137" s="672">
        <f t="shared" si="89"/>
        <v>20</v>
      </c>
      <c r="K137" s="551">
        <f t="shared" ca="1" si="88"/>
        <v>100</v>
      </c>
      <c r="L137" s="673"/>
      <c r="M137" s="549"/>
      <c r="N137" s="549"/>
      <c r="O137" s="549"/>
      <c r="P137" s="549"/>
      <c r="Q137" s="549"/>
      <c r="R137" s="549"/>
      <c r="S137" s="549"/>
      <c r="T137" s="549"/>
      <c r="U137" s="549"/>
    </row>
    <row r="138" spans="1:21" ht="19.5" x14ac:dyDescent="0.3">
      <c r="A138" s="669"/>
      <c r="B138" s="543"/>
      <c r="C138" s="716"/>
      <c r="D138" s="670"/>
      <c r="E138" s="543"/>
      <c r="F138" s="543"/>
      <c r="G138" s="546"/>
      <c r="H138" s="671" t="s">
        <v>54</v>
      </c>
      <c r="I138" s="672">
        <f t="shared" ca="1" si="89"/>
        <v>2</v>
      </c>
      <c r="J138" s="672">
        <f t="shared" si="89"/>
        <v>2</v>
      </c>
      <c r="K138" s="551">
        <f t="shared" ca="1" si="88"/>
        <v>100</v>
      </c>
      <c r="L138" s="673"/>
      <c r="M138" s="549"/>
      <c r="N138" s="549"/>
      <c r="O138" s="549"/>
      <c r="P138" s="549"/>
      <c r="Q138" s="549"/>
      <c r="R138" s="549"/>
      <c r="S138" s="549"/>
      <c r="T138" s="549"/>
      <c r="U138" s="549"/>
    </row>
    <row r="139" spans="1:21" ht="19.5" x14ac:dyDescent="0.3">
      <c r="A139" s="674"/>
      <c r="B139" s="561"/>
      <c r="C139" s="675" t="s">
        <v>18</v>
      </c>
      <c r="D139" s="676" t="s">
        <v>19</v>
      </c>
      <c r="E139" s="561"/>
      <c r="F139" s="561"/>
      <c r="G139" s="563"/>
      <c r="H139" s="677" t="s">
        <v>14</v>
      </c>
      <c r="I139" s="565"/>
      <c r="J139" s="565"/>
      <c r="K139" s="566"/>
      <c r="L139" s="678">
        <f t="shared" ref="L139:N139" ca="1" si="90">L140+L141</f>
        <v>31600</v>
      </c>
      <c r="M139" s="679">
        <f t="shared" ca="1" si="90"/>
        <v>26600</v>
      </c>
      <c r="N139" s="679">
        <f t="shared" ca="1" si="90"/>
        <v>21660</v>
      </c>
      <c r="O139" s="679">
        <f t="shared" ref="O139:O147" ca="1" si="91">IF(L139&gt;0,N139*100/L139,0)</f>
        <v>68.544303797468359</v>
      </c>
      <c r="P139" s="679">
        <f t="shared" ref="P139:P147" ca="1" si="92">IF(M139&gt;0,N139*100/M139,0)</f>
        <v>81.428571428571431</v>
      </c>
      <c r="Q139" s="679">
        <f t="shared" ref="Q139:S139" ca="1" si="93">Q140+Q141</f>
        <v>44860</v>
      </c>
      <c r="R139" s="679">
        <f t="shared" ca="1" si="93"/>
        <v>0</v>
      </c>
      <c r="S139" s="679">
        <f t="shared" ca="1" si="93"/>
        <v>0</v>
      </c>
      <c r="T139" s="679">
        <f t="shared" ref="T139:T147" ca="1" si="94">IF(Q139&gt;0,S139*100/Q139,0)</f>
        <v>0</v>
      </c>
      <c r="U139" s="679">
        <f t="shared" ref="U139:U147" ca="1" si="95">IF(R139&gt;0,S139*100/R139,0)</f>
        <v>0</v>
      </c>
    </row>
    <row r="140" spans="1:21" ht="18.75" x14ac:dyDescent="0.25">
      <c r="A140" s="674"/>
      <c r="B140" s="561"/>
      <c r="C140" s="561"/>
      <c r="D140" s="561"/>
      <c r="E140" s="569" t="s">
        <v>20</v>
      </c>
      <c r="F140" s="561"/>
      <c r="G140" s="563"/>
      <c r="H140" s="680" t="s">
        <v>14</v>
      </c>
      <c r="I140" s="565"/>
      <c r="J140" s="565"/>
      <c r="K140" s="566"/>
      <c r="L140" s="571">
        <f t="shared" ref="L140:N141" si="96">L143+L146</f>
        <v>0</v>
      </c>
      <c r="M140" s="572">
        <f t="shared" si="96"/>
        <v>0</v>
      </c>
      <c r="N140" s="572">
        <f t="shared" si="96"/>
        <v>0</v>
      </c>
      <c r="O140" s="572">
        <f t="shared" si="91"/>
        <v>0</v>
      </c>
      <c r="P140" s="572">
        <f t="shared" si="92"/>
        <v>0</v>
      </c>
      <c r="Q140" s="572">
        <f t="shared" ref="Q140:S141" si="97">Q143+Q146</f>
        <v>0</v>
      </c>
      <c r="R140" s="572">
        <f t="shared" si="97"/>
        <v>0</v>
      </c>
      <c r="S140" s="572">
        <f t="shared" si="97"/>
        <v>0</v>
      </c>
      <c r="T140" s="572">
        <f t="shared" si="94"/>
        <v>0</v>
      </c>
      <c r="U140" s="572">
        <f t="shared" si="95"/>
        <v>0</v>
      </c>
    </row>
    <row r="141" spans="1:21" ht="18.75" x14ac:dyDescent="0.25">
      <c r="A141" s="674"/>
      <c r="B141" s="561"/>
      <c r="C141" s="561"/>
      <c r="D141" s="561"/>
      <c r="E141" s="573" t="s">
        <v>21</v>
      </c>
      <c r="F141" s="561"/>
      <c r="G141" s="563"/>
      <c r="H141" s="681" t="s">
        <v>14</v>
      </c>
      <c r="I141" s="565"/>
      <c r="J141" s="565"/>
      <c r="K141" s="566"/>
      <c r="L141" s="567">
        <f t="shared" ca="1" si="96"/>
        <v>31600</v>
      </c>
      <c r="M141" s="568">
        <f t="shared" ca="1" si="96"/>
        <v>26600</v>
      </c>
      <c r="N141" s="568">
        <f t="shared" ca="1" si="96"/>
        <v>21660</v>
      </c>
      <c r="O141" s="568">
        <f t="shared" ca="1" si="91"/>
        <v>68.544303797468359</v>
      </c>
      <c r="P141" s="568">
        <f t="shared" ca="1" si="92"/>
        <v>81.428571428571431</v>
      </c>
      <c r="Q141" s="568">
        <f t="shared" ca="1" si="97"/>
        <v>44860</v>
      </c>
      <c r="R141" s="568">
        <f t="shared" ca="1" si="97"/>
        <v>0</v>
      </c>
      <c r="S141" s="568">
        <f t="shared" ca="1" si="97"/>
        <v>0</v>
      </c>
      <c r="T141" s="568">
        <f t="shared" ca="1" si="94"/>
        <v>0</v>
      </c>
      <c r="U141" s="568">
        <f t="shared" ca="1" si="95"/>
        <v>0</v>
      </c>
    </row>
    <row r="142" spans="1:21" ht="18.75" x14ac:dyDescent="0.25">
      <c r="A142" s="674"/>
      <c r="B142" s="561"/>
      <c r="C142" s="561"/>
      <c r="D142" s="562" t="s">
        <v>22</v>
      </c>
      <c r="E142" s="561"/>
      <c r="F142" s="561"/>
      <c r="G142" s="563"/>
      <c r="H142" s="682" t="s">
        <v>14</v>
      </c>
      <c r="I142" s="683"/>
      <c r="J142" s="683"/>
      <c r="K142" s="684"/>
      <c r="L142" s="567">
        <f t="shared" ref="L142:N142" ca="1" si="98">L143+L144</f>
        <v>31600</v>
      </c>
      <c r="M142" s="568">
        <f t="shared" ca="1" si="98"/>
        <v>26600</v>
      </c>
      <c r="N142" s="568">
        <f t="shared" ca="1" si="98"/>
        <v>21660</v>
      </c>
      <c r="O142" s="568">
        <f t="shared" ca="1" si="91"/>
        <v>68.544303797468359</v>
      </c>
      <c r="P142" s="568">
        <f t="shared" ca="1" si="92"/>
        <v>81.428571428571431</v>
      </c>
      <c r="Q142" s="568">
        <f t="shared" ref="Q142:S142" ca="1" si="99">Q143+Q144</f>
        <v>44860</v>
      </c>
      <c r="R142" s="568">
        <f t="shared" ca="1" si="99"/>
        <v>0</v>
      </c>
      <c r="S142" s="568">
        <f t="shared" ca="1" si="99"/>
        <v>0</v>
      </c>
      <c r="T142" s="568">
        <f t="shared" ca="1" si="94"/>
        <v>0</v>
      </c>
      <c r="U142" s="568">
        <f t="shared" ca="1" si="95"/>
        <v>0</v>
      </c>
    </row>
    <row r="143" spans="1:21" ht="18.75" x14ac:dyDescent="0.25">
      <c r="A143" s="674"/>
      <c r="B143" s="561"/>
      <c r="C143" s="561"/>
      <c r="D143" s="561"/>
      <c r="E143" s="569" t="s">
        <v>36</v>
      </c>
      <c r="F143" s="561"/>
      <c r="G143" s="563"/>
      <c r="H143" s="685" t="s">
        <v>14</v>
      </c>
      <c r="I143" s="683"/>
      <c r="J143" s="683"/>
      <c r="K143" s="684"/>
      <c r="L143" s="571">
        <v>0</v>
      </c>
      <c r="M143" s="572">
        <v>0</v>
      </c>
      <c r="N143" s="572">
        <v>0</v>
      </c>
      <c r="O143" s="572">
        <f t="shared" si="91"/>
        <v>0</v>
      </c>
      <c r="P143" s="572">
        <f t="shared" si="92"/>
        <v>0</v>
      </c>
      <c r="Q143" s="572">
        <v>0</v>
      </c>
      <c r="R143" s="572">
        <v>0</v>
      </c>
      <c r="S143" s="572">
        <v>0</v>
      </c>
      <c r="T143" s="572">
        <f t="shared" si="94"/>
        <v>0</v>
      </c>
      <c r="U143" s="572">
        <f t="shared" si="95"/>
        <v>0</v>
      </c>
    </row>
    <row r="144" spans="1:21" ht="18.75" x14ac:dyDescent="0.25">
      <c r="A144" s="674"/>
      <c r="B144" s="561"/>
      <c r="C144" s="561"/>
      <c r="D144" s="561"/>
      <c r="E144" s="573" t="s">
        <v>37</v>
      </c>
      <c r="F144" s="561"/>
      <c r="G144" s="563"/>
      <c r="H144" s="682" t="s">
        <v>14</v>
      </c>
      <c r="I144" s="683"/>
      <c r="J144" s="683"/>
      <c r="K144" s="684"/>
      <c r="L144" s="567">
        <f ca="1">IFERROR(__xludf.DUMMYFUNCTION("IMPORTRANGE(""https://docs.google.com/spreadsheets/d/1-uDff_7J0KD5mKrp0Vvzr7lt3OU09vwQwhkpOPPYv2Y/edit?usp=sharing"",""งบพรบ!BQ18"")"),31600)</f>
        <v>31600</v>
      </c>
      <c r="M144" s="568">
        <f ca="1">IFERROR(__xludf.DUMMYFUNCTION("IMPORTRANGE(""https://docs.google.com/spreadsheets/d/1-uDff_7J0KD5mKrp0Vvzr7lt3OU09vwQwhkpOPPYv2Y/edit?usp=sharing"",""งบพรบ!BV18"")"),26600)</f>
        <v>26600</v>
      </c>
      <c r="N144" s="568">
        <f ca="1">IFERROR(__xludf.DUMMYFUNCTION("IMPORTRANGE(""https://docs.google.com/spreadsheets/d/1-uDff_7J0KD5mKrp0Vvzr7lt3OU09vwQwhkpOPPYv2Y/edit?usp=sharing"",""งบพรบ!BX18"")"),21660)</f>
        <v>21660</v>
      </c>
      <c r="O144" s="568">
        <f t="shared" ca="1" si="91"/>
        <v>68.544303797468359</v>
      </c>
      <c r="P144" s="568">
        <f t="shared" ca="1" si="92"/>
        <v>81.428571428571431</v>
      </c>
      <c r="Q144" s="568">
        <f ca="1">IFERROR(__xludf.DUMMYFUNCTION("IMPORTRANGE(""https://docs.google.com/spreadsheets/d/1ItG2mGa2ceCfYo0BwxsXqNm01IGEUdYcSSLTEv9YCik/edit?usp=sharing"",""เบิกจ่ายกองทุน!CF18"")"),44860)</f>
        <v>44860</v>
      </c>
      <c r="R144" s="568">
        <f ca="1">IFERROR(__xludf.DUMMYFUNCTION("IMPORTRANGE(""https://docs.google.com/spreadsheets/d/1ItG2mGa2ceCfYo0BwxsXqNm01IGEUdYcSSLTEv9YCik/edit?usp=sharing"",""เบิกจ่ายกองทุน!CG18"")"),0)</f>
        <v>0</v>
      </c>
      <c r="S144" s="568">
        <f ca="1">IFERROR(__xludf.DUMMYFUNCTION("IMPORTRANGE(""https://docs.google.com/spreadsheets/d/1ItG2mGa2ceCfYo0BwxsXqNm01IGEUdYcSSLTEv9YCik/edit?usp=sharing"",""เบิกจ่ายกองทุน!CH18"")"),0)</f>
        <v>0</v>
      </c>
      <c r="T144" s="568">
        <f t="shared" ca="1" si="94"/>
        <v>0</v>
      </c>
      <c r="U144" s="568">
        <f t="shared" ca="1" si="95"/>
        <v>0</v>
      </c>
    </row>
    <row r="145" spans="1:21" ht="18.75" x14ac:dyDescent="0.25">
      <c r="A145" s="674"/>
      <c r="B145" s="561"/>
      <c r="C145" s="561"/>
      <c r="D145" s="562" t="s">
        <v>23</v>
      </c>
      <c r="E145" s="561"/>
      <c r="F145" s="561"/>
      <c r="G145" s="563"/>
      <c r="H145" s="686" t="s">
        <v>14</v>
      </c>
      <c r="I145" s="683"/>
      <c r="J145" s="683"/>
      <c r="K145" s="684"/>
      <c r="L145" s="567">
        <f t="shared" ref="L145:N145" ca="1" si="100">L146+L147</f>
        <v>0</v>
      </c>
      <c r="M145" s="568">
        <f t="shared" ca="1" si="100"/>
        <v>0</v>
      </c>
      <c r="N145" s="568">
        <f t="shared" ca="1" si="100"/>
        <v>0</v>
      </c>
      <c r="O145" s="568">
        <f t="shared" ca="1" si="91"/>
        <v>0</v>
      </c>
      <c r="P145" s="568">
        <f t="shared" ca="1" si="92"/>
        <v>0</v>
      </c>
      <c r="Q145" s="568">
        <f t="shared" ref="Q145:S145" ca="1" si="101">Q146+Q147</f>
        <v>0</v>
      </c>
      <c r="R145" s="568">
        <f t="shared" ca="1" si="101"/>
        <v>0</v>
      </c>
      <c r="S145" s="568">
        <f t="shared" ca="1" si="101"/>
        <v>0</v>
      </c>
      <c r="T145" s="568">
        <f t="shared" ca="1" si="94"/>
        <v>0</v>
      </c>
      <c r="U145" s="568">
        <f t="shared" ca="1" si="95"/>
        <v>0</v>
      </c>
    </row>
    <row r="146" spans="1:21" ht="18.75" x14ac:dyDescent="0.25">
      <c r="A146" s="674"/>
      <c r="B146" s="561"/>
      <c r="C146" s="561"/>
      <c r="D146" s="561"/>
      <c r="E146" s="569" t="s">
        <v>20</v>
      </c>
      <c r="F146" s="561"/>
      <c r="G146" s="563"/>
      <c r="H146" s="685" t="s">
        <v>14</v>
      </c>
      <c r="I146" s="683"/>
      <c r="J146" s="683"/>
      <c r="K146" s="684"/>
      <c r="L146" s="571">
        <v>0</v>
      </c>
      <c r="M146" s="572">
        <v>0</v>
      </c>
      <c r="N146" s="572">
        <v>0</v>
      </c>
      <c r="O146" s="572">
        <f t="shared" si="91"/>
        <v>0</v>
      </c>
      <c r="P146" s="572">
        <f t="shared" si="92"/>
        <v>0</v>
      </c>
      <c r="Q146" s="572">
        <v>0</v>
      </c>
      <c r="R146" s="572">
        <v>0</v>
      </c>
      <c r="S146" s="572">
        <v>0</v>
      </c>
      <c r="T146" s="572">
        <f t="shared" si="94"/>
        <v>0</v>
      </c>
      <c r="U146" s="572">
        <f t="shared" si="95"/>
        <v>0</v>
      </c>
    </row>
    <row r="147" spans="1:21" ht="18.75" x14ac:dyDescent="0.25">
      <c r="A147" s="674"/>
      <c r="B147" s="561"/>
      <c r="C147" s="561"/>
      <c r="D147" s="561"/>
      <c r="E147" s="573" t="s">
        <v>21</v>
      </c>
      <c r="F147" s="561"/>
      <c r="G147" s="563"/>
      <c r="H147" s="686" t="s">
        <v>14</v>
      </c>
      <c r="I147" s="683"/>
      <c r="J147" s="683"/>
      <c r="K147" s="684"/>
      <c r="L147" s="567">
        <f ca="1">IFERROR(__xludf.DUMMYFUNCTION("IMPORTRANGE(""https://docs.google.com/spreadsheets/d/1-uDff_7J0KD5mKrp0Vvzr7lt3OU09vwQwhkpOPPYv2Y/edit?usp=sharing"",""งบพรบ!BT18"")"),0)</f>
        <v>0</v>
      </c>
      <c r="M147" s="568">
        <f ca="1">IFERROR(__xludf.DUMMYFUNCTION("IMPORTRANGE(""https://docs.google.com/spreadsheets/d/1-uDff_7J0KD5mKrp0Vvzr7lt3OU09vwQwhkpOPPYv2Y/edit?usp=sharing"",""งบพรบ!BW18"")"),0)</f>
        <v>0</v>
      </c>
      <c r="N147" s="568">
        <f ca="1">IFERROR(__xludf.DUMMYFUNCTION("IMPORTRANGE(""https://docs.google.com/spreadsheets/d/1-uDff_7J0KD5mKrp0Vvzr7lt3OU09vwQwhkpOPPYv2Y/edit?usp=sharing"",""งบพรบ!BY18"")"),0)</f>
        <v>0</v>
      </c>
      <c r="O147" s="568">
        <f t="shared" ca="1" si="91"/>
        <v>0</v>
      </c>
      <c r="P147" s="568">
        <f t="shared" ca="1" si="92"/>
        <v>0</v>
      </c>
      <c r="Q147" s="568">
        <f ca="1">IFERROR(__xludf.DUMMYFUNCTION("IMPORTRANGE(""https://docs.google.com/spreadsheets/d/1ItG2mGa2ceCfYo0BwxsXqNm01IGEUdYcSSLTEv9YCik/edit?usp=sharing"",""เบิกจ่ายกองทุน!CI18"")"),0)</f>
        <v>0</v>
      </c>
      <c r="R147" s="568">
        <f ca="1">IFERROR(__xludf.DUMMYFUNCTION("IMPORTRANGE(""https://docs.google.com/spreadsheets/d/1ItG2mGa2ceCfYo0BwxsXqNm01IGEUdYcSSLTEv9YCik/edit?usp=sharing"",""เบิกจ่ายกองทุน!CJ18"")"),0)</f>
        <v>0</v>
      </c>
      <c r="S147" s="568">
        <f ca="1">IFERROR(__xludf.DUMMYFUNCTION("IMPORTRANGE(""https://docs.google.com/spreadsheets/d/1ItG2mGa2ceCfYo0BwxsXqNm01IGEUdYcSSLTEv9YCik/edit?usp=sharing"",""เบิกจ่ายกองทุน!CK18"")"),0)</f>
        <v>0</v>
      </c>
      <c r="T147" s="568">
        <f t="shared" ca="1" si="94"/>
        <v>0</v>
      </c>
      <c r="U147" s="568">
        <f t="shared" ca="1" si="95"/>
        <v>0</v>
      </c>
    </row>
    <row r="148" spans="1:21" ht="19.5" x14ac:dyDescent="0.3">
      <c r="A148" s="687"/>
      <c r="B148" s="688"/>
      <c r="C148" s="675" t="s">
        <v>18</v>
      </c>
      <c r="D148" s="689" t="s">
        <v>38</v>
      </c>
      <c r="E148" s="690"/>
      <c r="F148" s="690"/>
      <c r="G148" s="691"/>
      <c r="H148" s="725"/>
      <c r="I148" s="565"/>
      <c r="J148" s="565"/>
      <c r="K148" s="566"/>
      <c r="L148" s="574"/>
      <c r="M148" s="566"/>
      <c r="N148" s="566"/>
      <c r="O148" s="566"/>
      <c r="P148" s="566"/>
      <c r="Q148" s="566"/>
      <c r="R148" s="566"/>
      <c r="S148" s="566"/>
      <c r="T148" s="566"/>
      <c r="U148" s="566"/>
    </row>
    <row r="149" spans="1:21" ht="18.75" x14ac:dyDescent="0.25">
      <c r="A149" s="674"/>
      <c r="B149" s="561"/>
      <c r="C149" s="561"/>
      <c r="D149" s="573" t="s">
        <v>63</v>
      </c>
      <c r="E149" s="561"/>
      <c r="F149" s="561"/>
      <c r="G149" s="563"/>
      <c r="H149" s="725"/>
      <c r="I149" s="565"/>
      <c r="J149" s="702">
        <v>0</v>
      </c>
      <c r="K149" s="566"/>
      <c r="L149" s="574"/>
      <c r="M149" s="566"/>
      <c r="N149" s="566"/>
      <c r="O149" s="566"/>
      <c r="P149" s="566"/>
      <c r="Q149" s="566"/>
      <c r="R149" s="566"/>
      <c r="S149" s="566"/>
      <c r="T149" s="566"/>
      <c r="U149" s="566"/>
    </row>
    <row r="150" spans="1:21" ht="19.5" x14ac:dyDescent="0.3">
      <c r="A150" s="674"/>
      <c r="B150" s="561"/>
      <c r="C150" s="561"/>
      <c r="D150" s="695"/>
      <c r="E150" s="675" t="s">
        <v>299</v>
      </c>
      <c r="F150" s="561"/>
      <c r="G150" s="563"/>
      <c r="H150" s="686" t="s">
        <v>35</v>
      </c>
      <c r="I150" s="708">
        <f ca="1">IFERROR(__xludf.DUMMYFUNCTION("IMPORTRANGE(""https://docs.google.com/spreadsheets/d/1eHaY18a8A9IcSdp1K8H6x8fbOy06t2VsZHhMHf-1x7Y/edit?usp=sharing"",""แผน!U18"")"),0)</f>
        <v>0</v>
      </c>
      <c r="J150" s="702">
        <v>0</v>
      </c>
      <c r="K150" s="568">
        <f t="shared" ref="K150:K154" ca="1" si="102">IF(I150&gt;0,J150*100/I150,0)</f>
        <v>0</v>
      </c>
      <c r="L150" s="574"/>
      <c r="M150" s="566"/>
      <c r="N150" s="566"/>
      <c r="O150" s="566"/>
      <c r="P150" s="566"/>
      <c r="Q150" s="566"/>
      <c r="R150" s="566"/>
      <c r="S150" s="566"/>
      <c r="T150" s="566"/>
      <c r="U150" s="566"/>
    </row>
    <row r="151" spans="1:21" ht="18.75" x14ac:dyDescent="0.25">
      <c r="A151" s="674"/>
      <c r="B151" s="561"/>
      <c r="C151" s="561"/>
      <c r="D151" s="695"/>
      <c r="E151" s="561"/>
      <c r="F151" s="561"/>
      <c r="G151" s="563"/>
      <c r="H151" s="686" t="s">
        <v>54</v>
      </c>
      <c r="I151" s="708">
        <f ca="1">IFERROR(__xludf.DUMMYFUNCTION("IMPORTRANGE(""https://docs.google.com/spreadsheets/d/1eHaY18a8A9IcSdp1K8H6x8fbOy06t2VsZHhMHf-1x7Y/edit?usp=sharing"",""แผน!V18"")"),0)</f>
        <v>0</v>
      </c>
      <c r="J151" s="702">
        <v>0</v>
      </c>
      <c r="K151" s="568">
        <f t="shared" ca="1" si="102"/>
        <v>0</v>
      </c>
      <c r="L151" s="574"/>
      <c r="M151" s="566"/>
      <c r="N151" s="566"/>
      <c r="O151" s="566"/>
      <c r="P151" s="566"/>
      <c r="Q151" s="566"/>
      <c r="R151" s="566"/>
      <c r="S151" s="566"/>
      <c r="T151" s="566"/>
      <c r="U151" s="566"/>
    </row>
    <row r="152" spans="1:21" ht="19.5" x14ac:dyDescent="0.3">
      <c r="A152" s="674"/>
      <c r="B152" s="561"/>
      <c r="C152" s="561"/>
      <c r="D152" s="695"/>
      <c r="E152" s="675" t="s">
        <v>300</v>
      </c>
      <c r="F152" s="561"/>
      <c r="G152" s="563"/>
      <c r="H152" s="686" t="s">
        <v>35</v>
      </c>
      <c r="I152" s="708">
        <f ca="1">IFERROR(__xludf.DUMMYFUNCTION("IMPORTRANGE(""https://docs.google.com/spreadsheets/d/1eHaY18a8A9IcSdp1K8H6x8fbOy06t2VsZHhMHf-1x7Y/edit?usp=sharing"",""แผน!W18"")"),20)</f>
        <v>20</v>
      </c>
      <c r="J152" s="702">
        <v>20</v>
      </c>
      <c r="K152" s="568">
        <f t="shared" ca="1" si="102"/>
        <v>100</v>
      </c>
      <c r="L152" s="574"/>
      <c r="M152" s="566"/>
      <c r="N152" s="566"/>
      <c r="O152" s="566"/>
      <c r="P152" s="566"/>
      <c r="Q152" s="566"/>
      <c r="R152" s="566"/>
      <c r="S152" s="566"/>
      <c r="T152" s="566"/>
      <c r="U152" s="566"/>
    </row>
    <row r="153" spans="1:21" ht="18.75" x14ac:dyDescent="0.25">
      <c r="A153" s="674"/>
      <c r="B153" s="561"/>
      <c r="C153" s="561"/>
      <c r="D153" s="561"/>
      <c r="E153" s="561"/>
      <c r="F153" s="561"/>
      <c r="G153" s="563"/>
      <c r="H153" s="686" t="s">
        <v>54</v>
      </c>
      <c r="I153" s="708">
        <f ca="1">IFERROR(__xludf.DUMMYFUNCTION("IMPORTRANGE(""https://docs.google.com/spreadsheets/d/1eHaY18a8A9IcSdp1K8H6x8fbOy06t2VsZHhMHf-1x7Y/edit?usp=sharing"",""แผน!X18"")"),2)</f>
        <v>2</v>
      </c>
      <c r="J153" s="702">
        <v>2</v>
      </c>
      <c r="K153" s="568">
        <f t="shared" ca="1" si="102"/>
        <v>100</v>
      </c>
      <c r="L153" s="574"/>
      <c r="M153" s="566"/>
      <c r="N153" s="566"/>
      <c r="O153" s="566"/>
      <c r="P153" s="566"/>
      <c r="Q153" s="566"/>
      <c r="R153" s="566"/>
      <c r="S153" s="566"/>
      <c r="T153" s="566"/>
      <c r="U153" s="566"/>
    </row>
    <row r="154" spans="1:21" ht="18.75" x14ac:dyDescent="0.25">
      <c r="A154" s="674"/>
      <c r="B154" s="561"/>
      <c r="C154" s="561"/>
      <c r="D154" s="573" t="s">
        <v>66</v>
      </c>
      <c r="E154" s="561"/>
      <c r="F154" s="561"/>
      <c r="G154" s="563"/>
      <c r="H154" s="686" t="s">
        <v>61</v>
      </c>
      <c r="I154" s="708">
        <f ca="1">IFERROR(__xludf.DUMMYFUNCTION("IMPORTRANGE(""https://docs.google.com/spreadsheets/d/1eHaY18a8A9IcSdp1K8H6x8fbOy06t2VsZHhMHf-1x7Y/edit?usp=sharing"",""แผน!Y18"")"),0)</f>
        <v>0</v>
      </c>
      <c r="J154" s="702">
        <v>0</v>
      </c>
      <c r="K154" s="568">
        <f t="shared" ca="1" si="102"/>
        <v>0</v>
      </c>
      <c r="L154" s="574"/>
      <c r="M154" s="566"/>
      <c r="N154" s="566"/>
      <c r="O154" s="566"/>
      <c r="P154" s="566"/>
      <c r="Q154" s="566"/>
      <c r="R154" s="566"/>
      <c r="S154" s="566"/>
      <c r="T154" s="566"/>
      <c r="U154" s="566"/>
    </row>
    <row r="155" spans="1:21" ht="19.5" x14ac:dyDescent="0.3">
      <c r="A155" s="662" t="s">
        <v>67</v>
      </c>
      <c r="B155" s="663"/>
      <c r="C155" s="729"/>
      <c r="D155" s="663"/>
      <c r="E155" s="663"/>
      <c r="F155" s="663"/>
      <c r="G155" s="663"/>
      <c r="H155" s="663"/>
      <c r="I155" s="730"/>
      <c r="J155" s="730"/>
      <c r="K155" s="731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</row>
    <row r="156" spans="1:21" ht="19.5" x14ac:dyDescent="0.3">
      <c r="A156" s="669"/>
      <c r="B156" s="544" t="s">
        <v>68</v>
      </c>
      <c r="C156" s="543"/>
      <c r="D156" s="543"/>
      <c r="E156" s="543"/>
      <c r="F156" s="543"/>
      <c r="G156" s="546"/>
      <c r="H156" s="717" t="s">
        <v>35</v>
      </c>
      <c r="I156" s="672">
        <f t="shared" ref="I156:J156" ca="1" si="103">I167</f>
        <v>15</v>
      </c>
      <c r="J156" s="672">
        <f t="shared" si="103"/>
        <v>32</v>
      </c>
      <c r="K156" s="551">
        <f ca="1">IF(I156&gt;0,J156*100/I156,0)</f>
        <v>213.33333333333334</v>
      </c>
      <c r="L156" s="673"/>
      <c r="M156" s="549"/>
      <c r="N156" s="549"/>
      <c r="O156" s="549"/>
      <c r="P156" s="549"/>
      <c r="Q156" s="549"/>
      <c r="R156" s="549"/>
      <c r="S156" s="549"/>
      <c r="T156" s="549"/>
      <c r="U156" s="549"/>
    </row>
    <row r="157" spans="1:21" ht="19.5" x14ac:dyDescent="0.3">
      <c r="A157" s="674"/>
      <c r="B157" s="561"/>
      <c r="C157" s="675" t="s">
        <v>18</v>
      </c>
      <c r="D157" s="676" t="s">
        <v>19</v>
      </c>
      <c r="E157" s="561"/>
      <c r="F157" s="561"/>
      <c r="G157" s="563"/>
      <c r="H157" s="677" t="s">
        <v>14</v>
      </c>
      <c r="I157" s="565"/>
      <c r="J157" s="565"/>
      <c r="K157" s="566"/>
      <c r="L157" s="678">
        <f t="shared" ref="L157:N157" ca="1" si="104">L158+L159</f>
        <v>4500</v>
      </c>
      <c r="M157" s="679">
        <f t="shared" ca="1" si="104"/>
        <v>6730</v>
      </c>
      <c r="N157" s="679">
        <f t="shared" ca="1" si="104"/>
        <v>4672</v>
      </c>
      <c r="O157" s="679">
        <f t="shared" ref="O157:O165" ca="1" si="105">IF(L157&gt;0,N157*100/L157,0)</f>
        <v>103.82222222222222</v>
      </c>
      <c r="P157" s="679">
        <f t="shared" ref="P157:P165" ca="1" si="106">IF(M157&gt;0,N157*100/M157,0)</f>
        <v>69.420505200594349</v>
      </c>
      <c r="Q157" s="679">
        <f t="shared" ref="Q157:S157" ca="1" si="107">Q158+Q159</f>
        <v>0</v>
      </c>
      <c r="R157" s="679">
        <f t="shared" ca="1" si="107"/>
        <v>0</v>
      </c>
      <c r="S157" s="679">
        <f t="shared" ca="1" si="107"/>
        <v>0</v>
      </c>
      <c r="T157" s="679">
        <f t="shared" ref="T157:T165" ca="1" si="108">IF(Q157&gt;0,S157*100/Q157,0)</f>
        <v>0</v>
      </c>
      <c r="U157" s="679">
        <f t="shared" ref="U157:U165" ca="1" si="109">IF(R157&gt;0,S157*100/R157,0)</f>
        <v>0</v>
      </c>
    </row>
    <row r="158" spans="1:21" ht="18.75" x14ac:dyDescent="0.25">
      <c r="A158" s="674"/>
      <c r="B158" s="561"/>
      <c r="C158" s="561"/>
      <c r="D158" s="561"/>
      <c r="E158" s="569" t="s">
        <v>20</v>
      </c>
      <c r="F158" s="561"/>
      <c r="G158" s="563"/>
      <c r="H158" s="680" t="s">
        <v>14</v>
      </c>
      <c r="I158" s="565"/>
      <c r="J158" s="565"/>
      <c r="K158" s="566"/>
      <c r="L158" s="571">
        <f t="shared" ref="L158:N159" si="110">L161+L164</f>
        <v>0</v>
      </c>
      <c r="M158" s="572">
        <f t="shared" si="110"/>
        <v>0</v>
      </c>
      <c r="N158" s="572">
        <f t="shared" si="110"/>
        <v>0</v>
      </c>
      <c r="O158" s="572">
        <f t="shared" si="105"/>
        <v>0</v>
      </c>
      <c r="P158" s="572">
        <f t="shared" si="106"/>
        <v>0</v>
      </c>
      <c r="Q158" s="572">
        <f t="shared" ref="Q158:S159" si="111">Q161+Q164</f>
        <v>0</v>
      </c>
      <c r="R158" s="572">
        <f t="shared" si="111"/>
        <v>0</v>
      </c>
      <c r="S158" s="572">
        <f t="shared" si="111"/>
        <v>0</v>
      </c>
      <c r="T158" s="572">
        <f t="shared" si="108"/>
        <v>0</v>
      </c>
      <c r="U158" s="572">
        <f t="shared" si="109"/>
        <v>0</v>
      </c>
    </row>
    <row r="159" spans="1:21" ht="18.75" x14ac:dyDescent="0.25">
      <c r="A159" s="674"/>
      <c r="B159" s="561"/>
      <c r="C159" s="561"/>
      <c r="D159" s="561"/>
      <c r="E159" s="573" t="s">
        <v>21</v>
      </c>
      <c r="F159" s="561"/>
      <c r="G159" s="563"/>
      <c r="H159" s="681" t="s">
        <v>14</v>
      </c>
      <c r="I159" s="565"/>
      <c r="J159" s="565"/>
      <c r="K159" s="566"/>
      <c r="L159" s="567">
        <f t="shared" ca="1" si="110"/>
        <v>4500</v>
      </c>
      <c r="M159" s="568">
        <f t="shared" ca="1" si="110"/>
        <v>6730</v>
      </c>
      <c r="N159" s="568">
        <f t="shared" ca="1" si="110"/>
        <v>4672</v>
      </c>
      <c r="O159" s="568">
        <f t="shared" ca="1" si="105"/>
        <v>103.82222222222222</v>
      </c>
      <c r="P159" s="568">
        <f t="shared" ca="1" si="106"/>
        <v>69.420505200594349</v>
      </c>
      <c r="Q159" s="568">
        <f t="shared" ca="1" si="111"/>
        <v>0</v>
      </c>
      <c r="R159" s="568">
        <f t="shared" ca="1" si="111"/>
        <v>0</v>
      </c>
      <c r="S159" s="568">
        <f t="shared" ca="1" si="111"/>
        <v>0</v>
      </c>
      <c r="T159" s="568">
        <f t="shared" ca="1" si="108"/>
        <v>0</v>
      </c>
      <c r="U159" s="568">
        <f t="shared" ca="1" si="109"/>
        <v>0</v>
      </c>
    </row>
    <row r="160" spans="1:21" ht="18.75" x14ac:dyDescent="0.25">
      <c r="A160" s="674"/>
      <c r="B160" s="561"/>
      <c r="C160" s="561"/>
      <c r="D160" s="562" t="s">
        <v>22</v>
      </c>
      <c r="E160" s="561"/>
      <c r="F160" s="561"/>
      <c r="G160" s="563"/>
      <c r="H160" s="682" t="s">
        <v>14</v>
      </c>
      <c r="I160" s="683"/>
      <c r="J160" s="683"/>
      <c r="K160" s="684"/>
      <c r="L160" s="567">
        <f t="shared" ref="L160:N160" ca="1" si="112">L161+L162</f>
        <v>4500</v>
      </c>
      <c r="M160" s="568">
        <f t="shared" ca="1" si="112"/>
        <v>6730</v>
      </c>
      <c r="N160" s="568">
        <f t="shared" ca="1" si="112"/>
        <v>4672</v>
      </c>
      <c r="O160" s="568">
        <f t="shared" ca="1" si="105"/>
        <v>103.82222222222222</v>
      </c>
      <c r="P160" s="568">
        <f t="shared" ca="1" si="106"/>
        <v>69.420505200594349</v>
      </c>
      <c r="Q160" s="568">
        <f t="shared" ref="Q160:S160" ca="1" si="113">Q161+Q162</f>
        <v>0</v>
      </c>
      <c r="R160" s="568">
        <f t="shared" ca="1" si="113"/>
        <v>0</v>
      </c>
      <c r="S160" s="568">
        <f t="shared" ca="1" si="113"/>
        <v>0</v>
      </c>
      <c r="T160" s="568">
        <f t="shared" ca="1" si="108"/>
        <v>0</v>
      </c>
      <c r="U160" s="568">
        <f t="shared" ca="1" si="109"/>
        <v>0</v>
      </c>
    </row>
    <row r="161" spans="1:21" ht="18.75" x14ac:dyDescent="0.25">
      <c r="A161" s="674"/>
      <c r="B161" s="561"/>
      <c r="C161" s="561"/>
      <c r="D161" s="561"/>
      <c r="E161" s="569" t="s">
        <v>36</v>
      </c>
      <c r="F161" s="561"/>
      <c r="G161" s="563"/>
      <c r="H161" s="685" t="s">
        <v>14</v>
      </c>
      <c r="I161" s="683"/>
      <c r="J161" s="683"/>
      <c r="K161" s="684"/>
      <c r="L161" s="571">
        <v>0</v>
      </c>
      <c r="M161" s="572">
        <v>0</v>
      </c>
      <c r="N161" s="572">
        <v>0</v>
      </c>
      <c r="O161" s="572">
        <f t="shared" si="105"/>
        <v>0</v>
      </c>
      <c r="P161" s="572">
        <f t="shared" si="106"/>
        <v>0</v>
      </c>
      <c r="Q161" s="572">
        <v>0</v>
      </c>
      <c r="R161" s="572">
        <v>0</v>
      </c>
      <c r="S161" s="572">
        <v>0</v>
      </c>
      <c r="T161" s="572">
        <f t="shared" si="108"/>
        <v>0</v>
      </c>
      <c r="U161" s="572">
        <f t="shared" si="109"/>
        <v>0</v>
      </c>
    </row>
    <row r="162" spans="1:21" ht="18.75" x14ac:dyDescent="0.25">
      <c r="A162" s="674"/>
      <c r="B162" s="561"/>
      <c r="C162" s="561"/>
      <c r="D162" s="561"/>
      <c r="E162" s="573" t="s">
        <v>37</v>
      </c>
      <c r="F162" s="561"/>
      <c r="G162" s="563"/>
      <c r="H162" s="682" t="s">
        <v>14</v>
      </c>
      <c r="I162" s="683"/>
      <c r="J162" s="683"/>
      <c r="K162" s="684"/>
      <c r="L162" s="567">
        <f ca="1">IFERROR(__xludf.DUMMYFUNCTION("IMPORTRANGE(""https://docs.google.com/spreadsheets/d/1-uDff_7J0KD5mKrp0Vvzr7lt3OU09vwQwhkpOPPYv2Y/edit?usp=sharing"",""งบพรบ!CA18"")"),4500)</f>
        <v>4500</v>
      </c>
      <c r="M162" s="568">
        <f ca="1">IFERROR(__xludf.DUMMYFUNCTION("IMPORTRANGE(""https://docs.google.com/spreadsheets/d/1-uDff_7J0KD5mKrp0Vvzr7lt3OU09vwQwhkpOPPYv2Y/edit?usp=sharing"",""งบพรบ!CF18"")"),6730)</f>
        <v>6730</v>
      </c>
      <c r="N162" s="568">
        <f ca="1">IFERROR(__xludf.DUMMYFUNCTION("IMPORTRANGE(""https://docs.google.com/spreadsheets/d/1-uDff_7J0KD5mKrp0Vvzr7lt3OU09vwQwhkpOPPYv2Y/edit?usp=sharing"",""งบพรบ!CH18"")"),4672)</f>
        <v>4672</v>
      </c>
      <c r="O162" s="568">
        <f t="shared" ca="1" si="105"/>
        <v>103.82222222222222</v>
      </c>
      <c r="P162" s="568">
        <f t="shared" ca="1" si="106"/>
        <v>69.420505200594349</v>
      </c>
      <c r="Q162" s="568">
        <f ca="1">IFERROR(__xludf.DUMMYFUNCTION("IMPORTRANGE(""https://docs.google.com/spreadsheets/d/1ItG2mGa2ceCfYo0BwxsXqNm01IGEUdYcSSLTEv9YCik/edit?usp=sharing"",""เบิกจ่ายกองทุน!AM18"")"),0)</f>
        <v>0</v>
      </c>
      <c r="R162" s="568">
        <f ca="1">IFERROR(__xludf.DUMMYFUNCTION("IMPORTRANGE(""https://docs.google.com/spreadsheets/d/1ItG2mGa2ceCfYo0BwxsXqNm01IGEUdYcSSLTEv9YCik/edit?usp=sharing"",""เบิกจ่ายกองทุน!AN18"")"),0)</f>
        <v>0</v>
      </c>
      <c r="S162" s="568">
        <f ca="1">IFERROR(__xludf.DUMMYFUNCTION("IMPORTRANGE(""https://docs.google.com/spreadsheets/d/1ItG2mGa2ceCfYo0BwxsXqNm01IGEUdYcSSLTEv9YCik/edit?usp=sharing"",""เบิกจ่ายกองทุน!AO18"")"),0)</f>
        <v>0</v>
      </c>
      <c r="T162" s="568">
        <f t="shared" ca="1" si="108"/>
        <v>0</v>
      </c>
      <c r="U162" s="568">
        <f t="shared" ca="1" si="109"/>
        <v>0</v>
      </c>
    </row>
    <row r="163" spans="1:21" ht="18.75" x14ac:dyDescent="0.25">
      <c r="A163" s="674"/>
      <c r="B163" s="561"/>
      <c r="C163" s="561"/>
      <c r="D163" s="562" t="s">
        <v>23</v>
      </c>
      <c r="E163" s="561"/>
      <c r="F163" s="561"/>
      <c r="G163" s="563"/>
      <c r="H163" s="686" t="s">
        <v>14</v>
      </c>
      <c r="I163" s="683"/>
      <c r="J163" s="683"/>
      <c r="K163" s="684"/>
      <c r="L163" s="567">
        <f t="shared" ref="L163:N163" ca="1" si="114">L164+L165</f>
        <v>0</v>
      </c>
      <c r="M163" s="568">
        <f t="shared" ca="1" si="114"/>
        <v>0</v>
      </c>
      <c r="N163" s="568">
        <f t="shared" ca="1" si="114"/>
        <v>0</v>
      </c>
      <c r="O163" s="568">
        <f t="shared" ca="1" si="105"/>
        <v>0</v>
      </c>
      <c r="P163" s="568">
        <f t="shared" ca="1" si="106"/>
        <v>0</v>
      </c>
      <c r="Q163" s="568">
        <f t="shared" ref="Q163:S163" si="115">Q164+Q165</f>
        <v>0</v>
      </c>
      <c r="R163" s="568">
        <f t="shared" si="115"/>
        <v>0</v>
      </c>
      <c r="S163" s="568">
        <f t="shared" si="115"/>
        <v>0</v>
      </c>
      <c r="T163" s="568">
        <f t="shared" si="108"/>
        <v>0</v>
      </c>
      <c r="U163" s="568">
        <f t="shared" si="109"/>
        <v>0</v>
      </c>
    </row>
    <row r="164" spans="1:21" ht="18.75" x14ac:dyDescent="0.25">
      <c r="A164" s="674"/>
      <c r="B164" s="561"/>
      <c r="C164" s="561"/>
      <c r="D164" s="561"/>
      <c r="E164" s="569" t="s">
        <v>20</v>
      </c>
      <c r="F164" s="561"/>
      <c r="G164" s="563"/>
      <c r="H164" s="685" t="s">
        <v>14</v>
      </c>
      <c r="I164" s="683"/>
      <c r="J164" s="683"/>
      <c r="K164" s="684"/>
      <c r="L164" s="571">
        <v>0</v>
      </c>
      <c r="M164" s="572">
        <v>0</v>
      </c>
      <c r="N164" s="572">
        <v>0</v>
      </c>
      <c r="O164" s="572">
        <f t="shared" si="105"/>
        <v>0</v>
      </c>
      <c r="P164" s="572">
        <f t="shared" si="106"/>
        <v>0</v>
      </c>
      <c r="Q164" s="572">
        <v>0</v>
      </c>
      <c r="R164" s="572">
        <v>0</v>
      </c>
      <c r="S164" s="572">
        <v>0</v>
      </c>
      <c r="T164" s="572">
        <f t="shared" si="108"/>
        <v>0</v>
      </c>
      <c r="U164" s="572">
        <f t="shared" si="109"/>
        <v>0</v>
      </c>
    </row>
    <row r="165" spans="1:21" ht="18.75" x14ac:dyDescent="0.25">
      <c r="A165" s="674"/>
      <c r="B165" s="561"/>
      <c r="C165" s="561"/>
      <c r="D165" s="561"/>
      <c r="E165" s="573" t="s">
        <v>21</v>
      </c>
      <c r="F165" s="561"/>
      <c r="G165" s="563"/>
      <c r="H165" s="686" t="s">
        <v>14</v>
      </c>
      <c r="I165" s="683"/>
      <c r="J165" s="683"/>
      <c r="K165" s="684"/>
      <c r="L165" s="567">
        <f ca="1">IFERROR(__xludf.DUMMYFUNCTION("IMPORTRANGE(""https://docs.google.com/spreadsheets/d/1-uDff_7J0KD5mKrp0Vvzr7lt3OU09vwQwhkpOPPYv2Y/edit?usp=sharing"",""งบพรบ!CD18"")"),0)</f>
        <v>0</v>
      </c>
      <c r="M165" s="568">
        <f ca="1">IFERROR(__xludf.DUMMYFUNCTION("IMPORTRANGE(""https://docs.google.com/spreadsheets/d/1-uDff_7J0KD5mKrp0Vvzr7lt3OU09vwQwhkpOPPYv2Y/edit?usp=sharing"",""งบพรบ!CG18"")"),0)</f>
        <v>0</v>
      </c>
      <c r="N165" s="568">
        <f ca="1">IFERROR(__xludf.DUMMYFUNCTION("IMPORTRANGE(""https://docs.google.com/spreadsheets/d/1-uDff_7J0KD5mKrp0Vvzr7lt3OU09vwQwhkpOPPYv2Y/edit?usp=sharing"",""งบพรบ!CI18"")"),0)</f>
        <v>0</v>
      </c>
      <c r="O165" s="568">
        <f t="shared" ca="1" si="105"/>
        <v>0</v>
      </c>
      <c r="P165" s="568">
        <f t="shared" ca="1" si="106"/>
        <v>0</v>
      </c>
      <c r="Q165" s="568">
        <v>0</v>
      </c>
      <c r="R165" s="568">
        <v>0</v>
      </c>
      <c r="S165" s="568">
        <v>0</v>
      </c>
      <c r="T165" s="568">
        <f t="shared" si="108"/>
        <v>0</v>
      </c>
      <c r="U165" s="568">
        <f t="shared" si="109"/>
        <v>0</v>
      </c>
    </row>
    <row r="166" spans="1:21" ht="19.5" x14ac:dyDescent="0.3">
      <c r="A166" s="687"/>
      <c r="B166" s="688"/>
      <c r="C166" s="675" t="s">
        <v>18</v>
      </c>
      <c r="D166" s="689" t="s">
        <v>38</v>
      </c>
      <c r="E166" s="690"/>
      <c r="F166" s="690"/>
      <c r="G166" s="691"/>
      <c r="H166" s="725"/>
      <c r="I166" s="565"/>
      <c r="J166" s="565"/>
      <c r="K166" s="566"/>
      <c r="L166" s="574"/>
      <c r="M166" s="566"/>
      <c r="N166" s="566"/>
      <c r="O166" s="566"/>
      <c r="P166" s="566"/>
      <c r="Q166" s="566"/>
      <c r="R166" s="566"/>
      <c r="S166" s="566"/>
      <c r="T166" s="566"/>
      <c r="U166" s="566"/>
    </row>
    <row r="167" spans="1:21" ht="18.75" x14ac:dyDescent="0.25">
      <c r="A167" s="674"/>
      <c r="B167" s="561"/>
      <c r="C167" s="561"/>
      <c r="D167" s="573" t="s">
        <v>69</v>
      </c>
      <c r="E167" s="561"/>
      <c r="F167" s="561"/>
      <c r="G167" s="563"/>
      <c r="H167" s="686" t="s">
        <v>35</v>
      </c>
      <c r="I167" s="708">
        <f ca="1">IFERROR(__xludf.DUMMYFUNCTION("IMPORTRANGE(""https://docs.google.com/spreadsheets/d/1eHaY18a8A9IcSdp1K8H6x8fbOy06t2VsZHhMHf-1x7Y/edit?usp=sharing"",""แผน!Z18"")"),15)</f>
        <v>15</v>
      </c>
      <c r="J167" s="702">
        <v>32</v>
      </c>
      <c r="K167" s="568">
        <f t="shared" ref="K167:K169" ca="1" si="116">IF(I167&gt;0,J167*100/I167,0)</f>
        <v>213.33333333333334</v>
      </c>
      <c r="L167" s="574"/>
      <c r="M167" s="566"/>
      <c r="N167" s="566"/>
      <c r="O167" s="566"/>
      <c r="P167" s="566"/>
      <c r="Q167" s="566"/>
      <c r="R167" s="566"/>
      <c r="S167" s="566"/>
      <c r="T167" s="566"/>
      <c r="U167" s="566"/>
    </row>
    <row r="168" spans="1:21" ht="18.75" x14ac:dyDescent="0.25">
      <c r="A168" s="674"/>
      <c r="B168" s="561"/>
      <c r="C168" s="561"/>
      <c r="D168" s="569" t="s">
        <v>70</v>
      </c>
      <c r="E168" s="561"/>
      <c r="F168" s="561"/>
      <c r="G168" s="563"/>
      <c r="H168" s="734" t="s">
        <v>35</v>
      </c>
      <c r="I168" s="735">
        <f ca="1">I167</f>
        <v>15</v>
      </c>
      <c r="J168" s="736">
        <v>0</v>
      </c>
      <c r="K168" s="572">
        <f t="shared" ca="1" si="116"/>
        <v>0</v>
      </c>
      <c r="L168" s="574"/>
      <c r="M168" s="566"/>
      <c r="N168" s="566"/>
      <c r="O168" s="566"/>
      <c r="P168" s="566"/>
      <c r="Q168" s="566"/>
      <c r="R168" s="566"/>
      <c r="S168" s="566"/>
      <c r="T168" s="566"/>
      <c r="U168" s="566"/>
    </row>
    <row r="169" spans="1:21" ht="18.75" x14ac:dyDescent="0.25">
      <c r="A169" s="737"/>
      <c r="B169" s="513"/>
      <c r="C169" s="513"/>
      <c r="D169" s="738" t="s">
        <v>71</v>
      </c>
      <c r="E169" s="513"/>
      <c r="F169" s="513"/>
      <c r="G169" s="577"/>
      <c r="H169" s="739" t="s">
        <v>35</v>
      </c>
      <c r="I169" s="740">
        <f ca="1">I167</f>
        <v>15</v>
      </c>
      <c r="J169" s="741">
        <v>0</v>
      </c>
      <c r="K169" s="742">
        <f t="shared" ca="1" si="116"/>
        <v>0</v>
      </c>
      <c r="L169" s="581"/>
      <c r="M169" s="580"/>
      <c r="N169" s="580"/>
      <c r="O169" s="580"/>
      <c r="P169" s="580"/>
      <c r="Q169" s="580"/>
      <c r="R169" s="580"/>
      <c r="S169" s="580"/>
      <c r="T169" s="580"/>
      <c r="U169" s="580"/>
    </row>
    <row r="170" spans="1:21" ht="19.5" x14ac:dyDescent="0.3">
      <c r="A170" s="743" t="s">
        <v>72</v>
      </c>
      <c r="B170" s="744"/>
      <c r="C170" s="744"/>
      <c r="D170" s="744"/>
      <c r="E170" s="745"/>
      <c r="F170" s="745"/>
      <c r="G170" s="745"/>
      <c r="H170" s="745"/>
      <c r="I170" s="746"/>
      <c r="J170" s="746"/>
      <c r="K170" s="747"/>
      <c r="L170" s="747"/>
      <c r="M170" s="747"/>
      <c r="N170" s="747"/>
      <c r="O170" s="747"/>
      <c r="P170" s="748"/>
      <c r="Q170" s="747"/>
      <c r="R170" s="747"/>
      <c r="S170" s="747"/>
      <c r="T170" s="747"/>
      <c r="U170" s="748"/>
    </row>
    <row r="171" spans="1:21" ht="19.5" x14ac:dyDescent="0.3">
      <c r="A171" s="749" t="s">
        <v>73</v>
      </c>
      <c r="B171" s="750"/>
      <c r="C171" s="750"/>
      <c r="D171" s="751"/>
      <c r="E171" s="751"/>
      <c r="F171" s="751"/>
      <c r="G171" s="751"/>
      <c r="H171" s="752"/>
      <c r="I171" s="753"/>
      <c r="J171" s="753"/>
      <c r="K171" s="754"/>
      <c r="L171" s="755"/>
      <c r="M171" s="754"/>
      <c r="N171" s="754"/>
      <c r="O171" s="754"/>
      <c r="P171" s="754"/>
      <c r="Q171" s="754"/>
      <c r="R171" s="754"/>
      <c r="S171" s="754"/>
      <c r="T171" s="754"/>
      <c r="U171" s="754"/>
    </row>
    <row r="172" spans="1:21" ht="19.5" x14ac:dyDescent="0.3">
      <c r="A172" s="756"/>
      <c r="B172" s="757" t="s">
        <v>74</v>
      </c>
      <c r="C172" s="758"/>
      <c r="D172" s="690"/>
      <c r="E172" s="690"/>
      <c r="F172" s="690"/>
      <c r="G172" s="691"/>
      <c r="H172" s="759" t="s">
        <v>35</v>
      </c>
      <c r="I172" s="760">
        <f t="shared" ref="I172:J172" ca="1" si="117">I183+I184</f>
        <v>17</v>
      </c>
      <c r="J172" s="760">
        <f t="shared" si="117"/>
        <v>7</v>
      </c>
      <c r="K172" s="761">
        <f ca="1">IF(I172&gt;0,J172*100/I172,0)</f>
        <v>41.176470588235297</v>
      </c>
      <c r="L172" s="762"/>
      <c r="M172" s="763"/>
      <c r="N172" s="763"/>
      <c r="O172" s="763"/>
      <c r="P172" s="763"/>
      <c r="Q172" s="763"/>
      <c r="R172" s="763"/>
      <c r="S172" s="763"/>
      <c r="T172" s="763"/>
      <c r="U172" s="763"/>
    </row>
    <row r="173" spans="1:21" ht="19.5" x14ac:dyDescent="0.3">
      <c r="A173" s="674"/>
      <c r="B173" s="561"/>
      <c r="C173" s="675" t="s">
        <v>18</v>
      </c>
      <c r="D173" s="676" t="s">
        <v>19</v>
      </c>
      <c r="E173" s="561"/>
      <c r="F173" s="561"/>
      <c r="G173" s="563"/>
      <c r="H173" s="677" t="s">
        <v>14</v>
      </c>
      <c r="I173" s="565"/>
      <c r="J173" s="565"/>
      <c r="K173" s="566"/>
      <c r="L173" s="678">
        <f t="shared" ref="L173:N173" ca="1" si="118">L174+L175</f>
        <v>19590</v>
      </c>
      <c r="M173" s="679">
        <f t="shared" ca="1" si="118"/>
        <v>30550</v>
      </c>
      <c r="N173" s="679">
        <f t="shared" ca="1" si="118"/>
        <v>30550</v>
      </c>
      <c r="O173" s="679">
        <f t="shared" ref="O173:O181" ca="1" si="119">IF(L173&gt;0,N173*100/L173,0)</f>
        <v>155.94691168963757</v>
      </c>
      <c r="P173" s="679">
        <f t="shared" ref="P173:P181" ca="1" si="120">IF(M173&gt;0,N173*100/M173,0)</f>
        <v>100</v>
      </c>
      <c r="Q173" s="679">
        <f t="shared" ref="Q173:S173" ca="1" si="121">Q174+Q175</f>
        <v>0</v>
      </c>
      <c r="R173" s="679">
        <f t="shared" ca="1" si="121"/>
        <v>0</v>
      </c>
      <c r="S173" s="679">
        <f t="shared" ca="1" si="121"/>
        <v>0</v>
      </c>
      <c r="T173" s="679">
        <f t="shared" ref="T173:T181" ca="1" si="122">IF(Q173&gt;0,S173*100/Q173,0)</f>
        <v>0</v>
      </c>
      <c r="U173" s="679">
        <f t="shared" ref="U173:U181" ca="1" si="123">IF(R173&gt;0,S173*100/R173,0)</f>
        <v>0</v>
      </c>
    </row>
    <row r="174" spans="1:21" ht="18.75" x14ac:dyDescent="0.25">
      <c r="A174" s="674"/>
      <c r="B174" s="561"/>
      <c r="C174" s="561"/>
      <c r="D174" s="561"/>
      <c r="E174" s="569" t="s">
        <v>20</v>
      </c>
      <c r="F174" s="561"/>
      <c r="G174" s="563"/>
      <c r="H174" s="680" t="s">
        <v>14</v>
      </c>
      <c r="I174" s="565"/>
      <c r="J174" s="565"/>
      <c r="K174" s="566"/>
      <c r="L174" s="571">
        <f t="shared" ref="L174:N175" si="124">L177+L180</f>
        <v>0</v>
      </c>
      <c r="M174" s="572">
        <f t="shared" si="124"/>
        <v>0</v>
      </c>
      <c r="N174" s="572">
        <f t="shared" si="124"/>
        <v>0</v>
      </c>
      <c r="O174" s="572">
        <f t="shared" si="119"/>
        <v>0</v>
      </c>
      <c r="P174" s="572">
        <f t="shared" si="120"/>
        <v>0</v>
      </c>
      <c r="Q174" s="572">
        <f t="shared" ref="Q174:S175" si="125">Q177+Q180</f>
        <v>0</v>
      </c>
      <c r="R174" s="572">
        <f t="shared" si="125"/>
        <v>0</v>
      </c>
      <c r="S174" s="572">
        <f t="shared" si="125"/>
        <v>0</v>
      </c>
      <c r="T174" s="572">
        <f t="shared" si="122"/>
        <v>0</v>
      </c>
      <c r="U174" s="572">
        <f t="shared" si="123"/>
        <v>0</v>
      </c>
    </row>
    <row r="175" spans="1:21" ht="18.75" x14ac:dyDescent="0.25">
      <c r="A175" s="674"/>
      <c r="B175" s="561"/>
      <c r="C175" s="561"/>
      <c r="D175" s="561"/>
      <c r="E175" s="573" t="s">
        <v>21</v>
      </c>
      <c r="F175" s="561"/>
      <c r="G175" s="563"/>
      <c r="H175" s="681" t="s">
        <v>14</v>
      </c>
      <c r="I175" s="565"/>
      <c r="J175" s="565"/>
      <c r="K175" s="566"/>
      <c r="L175" s="567">
        <f t="shared" ca="1" si="124"/>
        <v>19590</v>
      </c>
      <c r="M175" s="568">
        <f t="shared" ca="1" si="124"/>
        <v>30550</v>
      </c>
      <c r="N175" s="568">
        <f t="shared" ca="1" si="124"/>
        <v>30550</v>
      </c>
      <c r="O175" s="568">
        <f t="shared" ca="1" si="119"/>
        <v>155.94691168963757</v>
      </c>
      <c r="P175" s="568">
        <f t="shared" ca="1" si="120"/>
        <v>100</v>
      </c>
      <c r="Q175" s="568">
        <f t="shared" ca="1" si="125"/>
        <v>0</v>
      </c>
      <c r="R175" s="568">
        <f t="shared" ca="1" si="125"/>
        <v>0</v>
      </c>
      <c r="S175" s="568">
        <f t="shared" ca="1" si="125"/>
        <v>0</v>
      </c>
      <c r="T175" s="568">
        <f t="shared" ca="1" si="122"/>
        <v>0</v>
      </c>
      <c r="U175" s="568">
        <f t="shared" ca="1" si="123"/>
        <v>0</v>
      </c>
    </row>
    <row r="176" spans="1:21" ht="18.75" x14ac:dyDescent="0.25">
      <c r="A176" s="674"/>
      <c r="B176" s="561"/>
      <c r="C176" s="561"/>
      <c r="D176" s="562" t="s">
        <v>22</v>
      </c>
      <c r="E176" s="561"/>
      <c r="F176" s="561"/>
      <c r="G176" s="563"/>
      <c r="H176" s="682" t="s">
        <v>14</v>
      </c>
      <c r="I176" s="683"/>
      <c r="J176" s="683"/>
      <c r="K176" s="684"/>
      <c r="L176" s="567">
        <f t="shared" ref="L176:N176" ca="1" si="126">L177+L178</f>
        <v>19590</v>
      </c>
      <c r="M176" s="568">
        <f t="shared" ca="1" si="126"/>
        <v>30550</v>
      </c>
      <c r="N176" s="568">
        <f t="shared" ca="1" si="126"/>
        <v>30550</v>
      </c>
      <c r="O176" s="568">
        <f t="shared" ca="1" si="119"/>
        <v>155.94691168963757</v>
      </c>
      <c r="P176" s="568">
        <f t="shared" ca="1" si="120"/>
        <v>100</v>
      </c>
      <c r="Q176" s="568">
        <f t="shared" ref="Q176:S176" ca="1" si="127">Q177+Q178</f>
        <v>0</v>
      </c>
      <c r="R176" s="568">
        <f t="shared" ca="1" si="127"/>
        <v>0</v>
      </c>
      <c r="S176" s="568">
        <f t="shared" ca="1" si="127"/>
        <v>0</v>
      </c>
      <c r="T176" s="568">
        <f t="shared" ca="1" si="122"/>
        <v>0</v>
      </c>
      <c r="U176" s="568">
        <f t="shared" ca="1" si="123"/>
        <v>0</v>
      </c>
    </row>
    <row r="177" spans="1:21" ht="18.75" x14ac:dyDescent="0.25">
      <c r="A177" s="674"/>
      <c r="B177" s="561"/>
      <c r="C177" s="561"/>
      <c r="D177" s="561"/>
      <c r="E177" s="569" t="s">
        <v>36</v>
      </c>
      <c r="F177" s="561"/>
      <c r="G177" s="563"/>
      <c r="H177" s="685" t="s">
        <v>14</v>
      </c>
      <c r="I177" s="683"/>
      <c r="J177" s="683"/>
      <c r="K177" s="684"/>
      <c r="L177" s="571">
        <v>0</v>
      </c>
      <c r="M177" s="572">
        <v>0</v>
      </c>
      <c r="N177" s="572">
        <v>0</v>
      </c>
      <c r="O177" s="572">
        <f t="shared" si="119"/>
        <v>0</v>
      </c>
      <c r="P177" s="572">
        <f t="shared" si="120"/>
        <v>0</v>
      </c>
      <c r="Q177" s="572">
        <v>0</v>
      </c>
      <c r="R177" s="572">
        <v>0</v>
      </c>
      <c r="S177" s="572">
        <v>0</v>
      </c>
      <c r="T177" s="572">
        <f t="shared" si="122"/>
        <v>0</v>
      </c>
      <c r="U177" s="572">
        <f t="shared" si="123"/>
        <v>0</v>
      </c>
    </row>
    <row r="178" spans="1:21" ht="18.75" x14ac:dyDescent="0.25">
      <c r="A178" s="674"/>
      <c r="B178" s="561"/>
      <c r="C178" s="561"/>
      <c r="D178" s="561"/>
      <c r="E178" s="573" t="s">
        <v>37</v>
      </c>
      <c r="F178" s="561"/>
      <c r="G178" s="563"/>
      <c r="H178" s="682" t="s">
        <v>14</v>
      </c>
      <c r="I178" s="683"/>
      <c r="J178" s="683"/>
      <c r="K178" s="684"/>
      <c r="L178" s="567">
        <f ca="1">IFERROR(__xludf.DUMMYFUNCTION("IMPORTRANGE(""https://docs.google.com/spreadsheets/d/1-uDff_7J0KD5mKrp0Vvzr7lt3OU09vwQwhkpOPPYv2Y/edit?usp=sharing"",""งบพรบ!CK18"")"),19590)</f>
        <v>19590</v>
      </c>
      <c r="M178" s="568">
        <f ca="1">IFERROR(__xludf.DUMMYFUNCTION("IMPORTRANGE(""https://docs.google.com/spreadsheets/d/1-uDff_7J0KD5mKrp0Vvzr7lt3OU09vwQwhkpOPPYv2Y/edit?usp=sharing"",""งบพรบ!CP18"")"),30550)</f>
        <v>30550</v>
      </c>
      <c r="N178" s="568">
        <f ca="1">IFERROR(__xludf.DUMMYFUNCTION("IMPORTRANGE(""https://docs.google.com/spreadsheets/d/1-uDff_7J0KD5mKrp0Vvzr7lt3OU09vwQwhkpOPPYv2Y/edit?usp=sharing"",""งบพรบ!CR18"")"),30550)</f>
        <v>30550</v>
      </c>
      <c r="O178" s="568">
        <f t="shared" ca="1" si="119"/>
        <v>155.94691168963757</v>
      </c>
      <c r="P178" s="568">
        <f t="shared" ca="1" si="120"/>
        <v>100</v>
      </c>
      <c r="Q178" s="568">
        <f ca="1">IFERROR(__xludf.DUMMYFUNCTION("IMPORTRANGE(""https://docs.google.com/spreadsheets/d/1ItG2mGa2ceCfYo0BwxsXqNm01IGEUdYcSSLTEv9YCik/edit?usp=sharing"",""เบิกจ่ายกองทุน!DG18"")"),0)</f>
        <v>0</v>
      </c>
      <c r="R178" s="568">
        <f ca="1">IFERROR(__xludf.DUMMYFUNCTION("IMPORTRANGE(""https://docs.google.com/spreadsheets/d/1ItG2mGa2ceCfYo0BwxsXqNm01IGEUdYcSSLTEv9YCik/edit?usp=sharing"",""เบิกจ่ายกองทุน!DH18"")"),0)</f>
        <v>0</v>
      </c>
      <c r="S178" s="568">
        <f ca="1">IFERROR(__xludf.DUMMYFUNCTION("IMPORTRANGE(""https://docs.google.com/spreadsheets/d/1ItG2mGa2ceCfYo0BwxsXqNm01IGEUdYcSSLTEv9YCik/edit?usp=sharing"",""เบิกจ่ายกองทุน!DI18"")"),0)</f>
        <v>0</v>
      </c>
      <c r="T178" s="568">
        <f t="shared" ca="1" si="122"/>
        <v>0</v>
      </c>
      <c r="U178" s="568">
        <f t="shared" ca="1" si="123"/>
        <v>0</v>
      </c>
    </row>
    <row r="179" spans="1:21" ht="18.75" x14ac:dyDescent="0.25">
      <c r="A179" s="674"/>
      <c r="B179" s="561"/>
      <c r="C179" s="561"/>
      <c r="D179" s="562" t="s">
        <v>23</v>
      </c>
      <c r="E179" s="561"/>
      <c r="F179" s="561"/>
      <c r="G179" s="563"/>
      <c r="H179" s="686" t="s">
        <v>14</v>
      </c>
      <c r="I179" s="683"/>
      <c r="J179" s="683"/>
      <c r="K179" s="684"/>
      <c r="L179" s="567">
        <f t="shared" ref="L179:N179" ca="1" si="128">L180+L181</f>
        <v>0</v>
      </c>
      <c r="M179" s="568">
        <f t="shared" ca="1" si="128"/>
        <v>0</v>
      </c>
      <c r="N179" s="568">
        <f t="shared" ca="1" si="128"/>
        <v>0</v>
      </c>
      <c r="O179" s="568">
        <f t="shared" ca="1" si="119"/>
        <v>0</v>
      </c>
      <c r="P179" s="568">
        <f t="shared" ca="1" si="120"/>
        <v>0</v>
      </c>
      <c r="Q179" s="568">
        <f t="shared" ref="Q179:S179" si="129">Q180+Q181</f>
        <v>0</v>
      </c>
      <c r="R179" s="568">
        <f t="shared" si="129"/>
        <v>0</v>
      </c>
      <c r="S179" s="568">
        <f t="shared" si="129"/>
        <v>0</v>
      </c>
      <c r="T179" s="568">
        <f t="shared" si="122"/>
        <v>0</v>
      </c>
      <c r="U179" s="568">
        <f t="shared" si="123"/>
        <v>0</v>
      </c>
    </row>
    <row r="180" spans="1:21" ht="18.75" x14ac:dyDescent="0.25">
      <c r="A180" s="674"/>
      <c r="B180" s="561"/>
      <c r="C180" s="561"/>
      <c r="D180" s="561"/>
      <c r="E180" s="569" t="s">
        <v>20</v>
      </c>
      <c r="F180" s="561"/>
      <c r="G180" s="563"/>
      <c r="H180" s="685" t="s">
        <v>14</v>
      </c>
      <c r="I180" s="683"/>
      <c r="J180" s="683"/>
      <c r="K180" s="684"/>
      <c r="L180" s="571">
        <v>0</v>
      </c>
      <c r="M180" s="572">
        <v>0</v>
      </c>
      <c r="N180" s="572">
        <v>0</v>
      </c>
      <c r="O180" s="572">
        <f t="shared" si="119"/>
        <v>0</v>
      </c>
      <c r="P180" s="572">
        <f t="shared" si="120"/>
        <v>0</v>
      </c>
      <c r="Q180" s="572">
        <v>0</v>
      </c>
      <c r="R180" s="572">
        <v>0</v>
      </c>
      <c r="S180" s="572">
        <v>0</v>
      </c>
      <c r="T180" s="572">
        <f t="shared" si="122"/>
        <v>0</v>
      </c>
      <c r="U180" s="572">
        <f t="shared" si="123"/>
        <v>0</v>
      </c>
    </row>
    <row r="181" spans="1:21" ht="18.75" x14ac:dyDescent="0.25">
      <c r="A181" s="674"/>
      <c r="B181" s="561"/>
      <c r="C181" s="561"/>
      <c r="D181" s="561"/>
      <c r="E181" s="573" t="s">
        <v>21</v>
      </c>
      <c r="F181" s="561"/>
      <c r="G181" s="563"/>
      <c r="H181" s="686" t="s">
        <v>14</v>
      </c>
      <c r="I181" s="683"/>
      <c r="J181" s="683"/>
      <c r="K181" s="684"/>
      <c r="L181" s="567">
        <f ca="1">IFERROR(__xludf.DUMMYFUNCTION("IMPORTRANGE(""https://docs.google.com/spreadsheets/d/1-uDff_7J0KD5mKrp0Vvzr7lt3OU09vwQwhkpOPPYv2Y/edit?usp=sharing"",""งบพรบ!CN18"")"),0)</f>
        <v>0</v>
      </c>
      <c r="M181" s="568">
        <f ca="1">IFERROR(__xludf.DUMMYFUNCTION("IMPORTRANGE(""https://docs.google.com/spreadsheets/d/1-uDff_7J0KD5mKrp0Vvzr7lt3OU09vwQwhkpOPPYv2Y/edit?usp=sharing"",""งบพรบ!CQ18"")"),0)</f>
        <v>0</v>
      </c>
      <c r="N181" s="568">
        <f ca="1">IFERROR(__xludf.DUMMYFUNCTION("IMPORTRANGE(""https://docs.google.com/spreadsheets/d/1-uDff_7J0KD5mKrp0Vvzr7lt3OU09vwQwhkpOPPYv2Y/edit?usp=sharing"",""งบพรบ!CS18"")"),0)</f>
        <v>0</v>
      </c>
      <c r="O181" s="568">
        <f t="shared" ca="1" si="119"/>
        <v>0</v>
      </c>
      <c r="P181" s="568">
        <f t="shared" ca="1" si="120"/>
        <v>0</v>
      </c>
      <c r="Q181" s="568">
        <v>0</v>
      </c>
      <c r="R181" s="568">
        <v>0</v>
      </c>
      <c r="S181" s="568">
        <v>0</v>
      </c>
      <c r="T181" s="568">
        <f t="shared" si="122"/>
        <v>0</v>
      </c>
      <c r="U181" s="568">
        <f t="shared" si="123"/>
        <v>0</v>
      </c>
    </row>
    <row r="182" spans="1:21" ht="19.5" x14ac:dyDescent="0.3">
      <c r="A182" s="687"/>
      <c r="B182" s="688"/>
      <c r="C182" s="675" t="s">
        <v>18</v>
      </c>
      <c r="D182" s="689" t="s">
        <v>38</v>
      </c>
      <c r="E182" s="690"/>
      <c r="F182" s="690"/>
      <c r="G182" s="691"/>
      <c r="H182" s="725"/>
      <c r="I182" s="565"/>
      <c r="J182" s="565"/>
      <c r="K182" s="566"/>
      <c r="L182" s="574"/>
      <c r="M182" s="566"/>
      <c r="N182" s="566"/>
      <c r="O182" s="566"/>
      <c r="P182" s="566"/>
      <c r="Q182" s="566"/>
      <c r="R182" s="566"/>
      <c r="S182" s="566"/>
      <c r="T182" s="566"/>
      <c r="U182" s="566"/>
    </row>
    <row r="183" spans="1:21" ht="18.75" x14ac:dyDescent="0.25">
      <c r="A183" s="764"/>
      <c r="B183" s="561"/>
      <c r="C183" s="718"/>
      <c r="D183" s="765" t="s">
        <v>75</v>
      </c>
      <c r="E183" s="561"/>
      <c r="F183" s="561"/>
      <c r="G183" s="563"/>
      <c r="H183" s="766" t="s">
        <v>35</v>
      </c>
      <c r="I183" s="708">
        <f ca="1">IFERROR(__xludf.DUMMYFUNCTION("IMPORTRANGE(""https://docs.google.com/spreadsheets/d/1eHaY18a8A9IcSdp1K8H6x8fbOy06t2VsZHhMHf-1x7Y/edit?usp=sharing"",""แผน!AA18"")"),17)</f>
        <v>17</v>
      </c>
      <c r="J183" s="702">
        <v>7</v>
      </c>
      <c r="K183" s="568">
        <f t="shared" ref="K183:K185" ca="1" si="130">IF(I183&gt;0,J183*100/I183,0)</f>
        <v>41.176470588235297</v>
      </c>
      <c r="L183" s="574"/>
      <c r="M183" s="566"/>
      <c r="N183" s="566"/>
      <c r="O183" s="566"/>
      <c r="P183" s="566"/>
      <c r="Q183" s="566"/>
      <c r="R183" s="566"/>
      <c r="S183" s="566"/>
      <c r="T183" s="566"/>
      <c r="U183" s="566"/>
    </row>
    <row r="184" spans="1:21" ht="18.75" x14ac:dyDescent="0.25">
      <c r="A184" s="764"/>
      <c r="B184" s="718"/>
      <c r="C184" s="718"/>
      <c r="D184" s="767" t="s">
        <v>76</v>
      </c>
      <c r="E184" s="561"/>
      <c r="F184" s="561"/>
      <c r="G184" s="563"/>
      <c r="H184" s="768" t="s">
        <v>35</v>
      </c>
      <c r="I184" s="735">
        <v>0</v>
      </c>
      <c r="J184" s="735">
        <v>0</v>
      </c>
      <c r="K184" s="572">
        <f t="shared" si="130"/>
        <v>0</v>
      </c>
      <c r="L184" s="574"/>
      <c r="M184" s="566"/>
      <c r="N184" s="566"/>
      <c r="O184" s="566"/>
      <c r="P184" s="566"/>
      <c r="Q184" s="566"/>
      <c r="R184" s="566"/>
      <c r="S184" s="566"/>
      <c r="T184" s="566"/>
      <c r="U184" s="566"/>
    </row>
    <row r="185" spans="1:21" ht="19.5" x14ac:dyDescent="0.3">
      <c r="A185" s="756"/>
      <c r="B185" s="757" t="s">
        <v>77</v>
      </c>
      <c r="C185" s="758"/>
      <c r="D185" s="690"/>
      <c r="E185" s="690"/>
      <c r="F185" s="690"/>
      <c r="G185" s="691"/>
      <c r="H185" s="759" t="s">
        <v>35</v>
      </c>
      <c r="I185" s="760">
        <f t="shared" ref="I185:J185" ca="1" si="131">I230+I231</f>
        <v>0</v>
      </c>
      <c r="J185" s="760">
        <f t="shared" si="131"/>
        <v>0</v>
      </c>
      <c r="K185" s="761">
        <f t="shared" ca="1" si="130"/>
        <v>0</v>
      </c>
      <c r="L185" s="762"/>
      <c r="M185" s="763"/>
      <c r="N185" s="763"/>
      <c r="O185" s="763"/>
      <c r="P185" s="763"/>
      <c r="Q185" s="763"/>
      <c r="R185" s="763"/>
      <c r="S185" s="763"/>
      <c r="T185" s="763"/>
      <c r="U185" s="763"/>
    </row>
    <row r="186" spans="1:21" ht="19.5" x14ac:dyDescent="0.3">
      <c r="A186" s="674"/>
      <c r="B186" s="561"/>
      <c r="C186" s="675" t="s">
        <v>18</v>
      </c>
      <c r="D186" s="676" t="s">
        <v>19</v>
      </c>
      <c r="E186" s="561"/>
      <c r="F186" s="561"/>
      <c r="G186" s="563"/>
      <c r="H186" s="677" t="s">
        <v>14</v>
      </c>
      <c r="I186" s="565"/>
      <c r="J186" s="565"/>
      <c r="K186" s="566"/>
      <c r="L186" s="678">
        <f t="shared" ref="L186:N186" ca="1" si="132">L187+L188</f>
        <v>129500</v>
      </c>
      <c r="M186" s="679">
        <f t="shared" ca="1" si="132"/>
        <v>134500</v>
      </c>
      <c r="N186" s="679">
        <f t="shared" ca="1" si="132"/>
        <v>81568</v>
      </c>
      <c r="O186" s="679">
        <f t="shared" ref="O186:O194" ca="1" si="133">IF(L186&gt;0,N186*100/L186,0)</f>
        <v>62.986872586872586</v>
      </c>
      <c r="P186" s="679">
        <f t="shared" ref="P186:P194" ca="1" si="134">IF(M186&gt;0,N186*100/M186,0)</f>
        <v>60.645353159851304</v>
      </c>
      <c r="Q186" s="679">
        <f t="shared" ref="Q186:S186" ca="1" si="135">Q187+Q188</f>
        <v>56000</v>
      </c>
      <c r="R186" s="679">
        <f t="shared" ca="1" si="135"/>
        <v>56000</v>
      </c>
      <c r="S186" s="679">
        <f t="shared" ca="1" si="135"/>
        <v>0</v>
      </c>
      <c r="T186" s="679">
        <f t="shared" ref="T186:T194" ca="1" si="136">IF(Q186&gt;0,S186*100/Q186,0)</f>
        <v>0</v>
      </c>
      <c r="U186" s="679">
        <f t="shared" ref="U186:U194" ca="1" si="137">IF(R186&gt;0,S186*100/R186,0)</f>
        <v>0</v>
      </c>
    </row>
    <row r="187" spans="1:21" ht="18.75" x14ac:dyDescent="0.25">
      <c r="A187" s="674"/>
      <c r="B187" s="561"/>
      <c r="C187" s="561"/>
      <c r="D187" s="561"/>
      <c r="E187" s="569" t="s">
        <v>20</v>
      </c>
      <c r="F187" s="561"/>
      <c r="G187" s="563"/>
      <c r="H187" s="680" t="s">
        <v>14</v>
      </c>
      <c r="I187" s="565"/>
      <c r="J187" s="565"/>
      <c r="K187" s="566"/>
      <c r="L187" s="571">
        <f t="shared" ref="L187:N188" si="138">L190+L193</f>
        <v>0</v>
      </c>
      <c r="M187" s="572">
        <f t="shared" si="138"/>
        <v>0</v>
      </c>
      <c r="N187" s="572">
        <f t="shared" si="138"/>
        <v>0</v>
      </c>
      <c r="O187" s="572">
        <f t="shared" si="133"/>
        <v>0</v>
      </c>
      <c r="P187" s="572">
        <f t="shared" si="134"/>
        <v>0</v>
      </c>
      <c r="Q187" s="572">
        <f t="shared" ref="Q187:S188" si="139">Q190+Q193</f>
        <v>0</v>
      </c>
      <c r="R187" s="572">
        <f t="shared" si="139"/>
        <v>0</v>
      </c>
      <c r="S187" s="572">
        <f t="shared" si="139"/>
        <v>0</v>
      </c>
      <c r="T187" s="572">
        <f t="shared" si="136"/>
        <v>0</v>
      </c>
      <c r="U187" s="572">
        <f t="shared" si="137"/>
        <v>0</v>
      </c>
    </row>
    <row r="188" spans="1:21" ht="18.75" x14ac:dyDescent="0.25">
      <c r="A188" s="674"/>
      <c r="B188" s="561"/>
      <c r="C188" s="561"/>
      <c r="D188" s="561"/>
      <c r="E188" s="573" t="s">
        <v>21</v>
      </c>
      <c r="F188" s="561"/>
      <c r="G188" s="563"/>
      <c r="H188" s="681" t="s">
        <v>14</v>
      </c>
      <c r="I188" s="565"/>
      <c r="J188" s="565"/>
      <c r="K188" s="566"/>
      <c r="L188" s="567">
        <f t="shared" ca="1" si="138"/>
        <v>129500</v>
      </c>
      <c r="M188" s="568">
        <f t="shared" ca="1" si="138"/>
        <v>134500</v>
      </c>
      <c r="N188" s="568">
        <f t="shared" ca="1" si="138"/>
        <v>81568</v>
      </c>
      <c r="O188" s="568">
        <f t="shared" ca="1" si="133"/>
        <v>62.986872586872586</v>
      </c>
      <c r="P188" s="568">
        <f t="shared" ca="1" si="134"/>
        <v>60.645353159851304</v>
      </c>
      <c r="Q188" s="568">
        <f t="shared" ca="1" si="139"/>
        <v>56000</v>
      </c>
      <c r="R188" s="568">
        <f t="shared" ca="1" si="139"/>
        <v>56000</v>
      </c>
      <c r="S188" s="568">
        <f t="shared" ca="1" si="139"/>
        <v>0</v>
      </c>
      <c r="T188" s="568">
        <f t="shared" ca="1" si="136"/>
        <v>0</v>
      </c>
      <c r="U188" s="568">
        <f t="shared" ca="1" si="137"/>
        <v>0</v>
      </c>
    </row>
    <row r="189" spans="1:21" ht="18.75" x14ac:dyDescent="0.25">
      <c r="A189" s="674"/>
      <c r="B189" s="561"/>
      <c r="C189" s="561"/>
      <c r="D189" s="562" t="s">
        <v>22</v>
      </c>
      <c r="E189" s="561"/>
      <c r="F189" s="561"/>
      <c r="G189" s="563"/>
      <c r="H189" s="682" t="s">
        <v>14</v>
      </c>
      <c r="I189" s="683"/>
      <c r="J189" s="683"/>
      <c r="K189" s="684"/>
      <c r="L189" s="567">
        <f t="shared" ref="L189:N189" ca="1" si="140">L190+L191</f>
        <v>129500</v>
      </c>
      <c r="M189" s="568">
        <f t="shared" ca="1" si="140"/>
        <v>134500</v>
      </c>
      <c r="N189" s="568">
        <f t="shared" ca="1" si="140"/>
        <v>81568</v>
      </c>
      <c r="O189" s="568">
        <f t="shared" ca="1" si="133"/>
        <v>62.986872586872586</v>
      </c>
      <c r="P189" s="568">
        <f t="shared" ca="1" si="134"/>
        <v>60.645353159851304</v>
      </c>
      <c r="Q189" s="568">
        <f t="shared" ref="Q189:S189" ca="1" si="141">Q190+Q191</f>
        <v>56000</v>
      </c>
      <c r="R189" s="568">
        <f t="shared" ca="1" si="141"/>
        <v>56000</v>
      </c>
      <c r="S189" s="568">
        <f t="shared" ca="1" si="141"/>
        <v>0</v>
      </c>
      <c r="T189" s="568">
        <f t="shared" ca="1" si="136"/>
        <v>0</v>
      </c>
      <c r="U189" s="568">
        <f t="shared" ca="1" si="137"/>
        <v>0</v>
      </c>
    </row>
    <row r="190" spans="1:21" ht="18.75" x14ac:dyDescent="0.25">
      <c r="A190" s="674"/>
      <c r="B190" s="561"/>
      <c r="C190" s="561"/>
      <c r="D190" s="561"/>
      <c r="E190" s="569" t="s">
        <v>36</v>
      </c>
      <c r="F190" s="561"/>
      <c r="G190" s="563"/>
      <c r="H190" s="685" t="s">
        <v>14</v>
      </c>
      <c r="I190" s="683"/>
      <c r="J190" s="683"/>
      <c r="K190" s="684"/>
      <c r="L190" s="571">
        <v>0</v>
      </c>
      <c r="M190" s="572">
        <v>0</v>
      </c>
      <c r="N190" s="572">
        <v>0</v>
      </c>
      <c r="O190" s="572">
        <f t="shared" si="133"/>
        <v>0</v>
      </c>
      <c r="P190" s="572">
        <f t="shared" si="134"/>
        <v>0</v>
      </c>
      <c r="Q190" s="572">
        <v>0</v>
      </c>
      <c r="R190" s="572">
        <v>0</v>
      </c>
      <c r="S190" s="572">
        <v>0</v>
      </c>
      <c r="T190" s="572">
        <f t="shared" si="136"/>
        <v>0</v>
      </c>
      <c r="U190" s="572">
        <f t="shared" si="137"/>
        <v>0</v>
      </c>
    </row>
    <row r="191" spans="1:21" ht="18.75" x14ac:dyDescent="0.25">
      <c r="A191" s="674"/>
      <c r="B191" s="561"/>
      <c r="C191" s="561"/>
      <c r="D191" s="561"/>
      <c r="E191" s="573" t="s">
        <v>37</v>
      </c>
      <c r="F191" s="561"/>
      <c r="G191" s="563"/>
      <c r="H191" s="682" t="s">
        <v>14</v>
      </c>
      <c r="I191" s="683"/>
      <c r="J191" s="683"/>
      <c r="K191" s="684"/>
      <c r="L191" s="567">
        <f ca="1">IFERROR(__xludf.DUMMYFUNCTION("IMPORTRANGE(""https://docs.google.com/spreadsheets/d/1-uDff_7J0KD5mKrp0Vvzr7lt3OU09vwQwhkpOPPYv2Y/edit?usp=sharing"",""งบพรบ!CU18"")"),129500)</f>
        <v>129500</v>
      </c>
      <c r="M191" s="568">
        <f ca="1">IFERROR(__xludf.DUMMYFUNCTION("IMPORTRANGE(""https://docs.google.com/spreadsheets/d/1-uDff_7J0KD5mKrp0Vvzr7lt3OU09vwQwhkpOPPYv2Y/edit?usp=sharing"",""งบพรบ!CZ18"")"),134500)</f>
        <v>134500</v>
      </c>
      <c r="N191" s="568">
        <f ca="1">IFERROR(__xludf.DUMMYFUNCTION("IMPORTRANGE(""https://docs.google.com/spreadsheets/d/1-uDff_7J0KD5mKrp0Vvzr7lt3OU09vwQwhkpOPPYv2Y/edit?usp=sharing"",""งบพรบ!DB18"")"),81568)</f>
        <v>81568</v>
      </c>
      <c r="O191" s="568">
        <f t="shared" ca="1" si="133"/>
        <v>62.986872586872586</v>
      </c>
      <c r="P191" s="568">
        <f t="shared" ca="1" si="134"/>
        <v>60.645353159851304</v>
      </c>
      <c r="Q191" s="568">
        <f ca="1">IFERROR(__xludf.DUMMYFUNCTION("IMPORTRANGE(""https://docs.google.com/spreadsheets/d/1ItG2mGa2ceCfYo0BwxsXqNm01IGEUdYcSSLTEv9YCik/edit?usp=sharing"",""เบิกจ่ายกองทุน!BQ18"")"),56000)</f>
        <v>56000</v>
      </c>
      <c r="R191" s="568">
        <f ca="1">IFERROR(__xludf.DUMMYFUNCTION("IMPORTRANGE(""https://docs.google.com/spreadsheets/d/1ItG2mGa2ceCfYo0BwxsXqNm01IGEUdYcSSLTEv9YCik/edit?usp=sharing"",""เบิกจ่ายกองทุน!BR18"")"),56000)</f>
        <v>56000</v>
      </c>
      <c r="S191" s="568">
        <f ca="1">IFERROR(__xludf.DUMMYFUNCTION("IMPORTRANGE(""https://docs.google.com/spreadsheets/d/1ItG2mGa2ceCfYo0BwxsXqNm01IGEUdYcSSLTEv9YCik/edit?usp=sharing"",""เบิกจ่ายกองทุน!BS18"")"),0)</f>
        <v>0</v>
      </c>
      <c r="T191" s="568">
        <f t="shared" ca="1" si="136"/>
        <v>0</v>
      </c>
      <c r="U191" s="568">
        <f t="shared" ca="1" si="137"/>
        <v>0</v>
      </c>
    </row>
    <row r="192" spans="1:21" ht="18.75" x14ac:dyDescent="0.25">
      <c r="A192" s="674"/>
      <c r="B192" s="561"/>
      <c r="C192" s="561"/>
      <c r="D192" s="562" t="s">
        <v>23</v>
      </c>
      <c r="E192" s="561"/>
      <c r="F192" s="561"/>
      <c r="G192" s="563"/>
      <c r="H192" s="686" t="s">
        <v>14</v>
      </c>
      <c r="I192" s="683"/>
      <c r="J192" s="683"/>
      <c r="K192" s="684"/>
      <c r="L192" s="567">
        <f t="shared" ref="L192:N192" ca="1" si="142">L193+L194</f>
        <v>0</v>
      </c>
      <c r="M192" s="568">
        <f t="shared" ca="1" si="142"/>
        <v>0</v>
      </c>
      <c r="N192" s="568">
        <f t="shared" ca="1" si="142"/>
        <v>0</v>
      </c>
      <c r="O192" s="568">
        <f t="shared" ca="1" si="133"/>
        <v>0</v>
      </c>
      <c r="P192" s="568">
        <f t="shared" ca="1" si="134"/>
        <v>0</v>
      </c>
      <c r="Q192" s="568">
        <f t="shared" ref="Q192:S192" ca="1" si="143">Q193+Q194</f>
        <v>0</v>
      </c>
      <c r="R192" s="568">
        <f t="shared" ca="1" si="143"/>
        <v>0</v>
      </c>
      <c r="S192" s="568">
        <f t="shared" ca="1" si="143"/>
        <v>0</v>
      </c>
      <c r="T192" s="568">
        <f t="shared" ca="1" si="136"/>
        <v>0</v>
      </c>
      <c r="U192" s="568">
        <f t="shared" ca="1" si="137"/>
        <v>0</v>
      </c>
    </row>
    <row r="193" spans="1:21" ht="18.75" x14ac:dyDescent="0.25">
      <c r="A193" s="674"/>
      <c r="B193" s="561"/>
      <c r="C193" s="561"/>
      <c r="D193" s="561"/>
      <c r="E193" s="569" t="s">
        <v>20</v>
      </c>
      <c r="F193" s="561"/>
      <c r="G193" s="563"/>
      <c r="H193" s="685" t="s">
        <v>14</v>
      </c>
      <c r="I193" s="683"/>
      <c r="J193" s="683"/>
      <c r="K193" s="684"/>
      <c r="L193" s="571">
        <v>0</v>
      </c>
      <c r="M193" s="572">
        <v>0</v>
      </c>
      <c r="N193" s="572">
        <v>0</v>
      </c>
      <c r="O193" s="572">
        <f t="shared" si="133"/>
        <v>0</v>
      </c>
      <c r="P193" s="572">
        <f t="shared" si="134"/>
        <v>0</v>
      </c>
      <c r="Q193" s="572">
        <v>0</v>
      </c>
      <c r="R193" s="572">
        <v>0</v>
      </c>
      <c r="S193" s="572">
        <v>0</v>
      </c>
      <c r="T193" s="572">
        <f t="shared" si="136"/>
        <v>0</v>
      </c>
      <c r="U193" s="572">
        <f t="shared" si="137"/>
        <v>0</v>
      </c>
    </row>
    <row r="194" spans="1:21" ht="18.75" x14ac:dyDescent="0.25">
      <c r="A194" s="674"/>
      <c r="B194" s="561"/>
      <c r="C194" s="561"/>
      <c r="D194" s="561"/>
      <c r="E194" s="573" t="s">
        <v>21</v>
      </c>
      <c r="F194" s="561"/>
      <c r="G194" s="563"/>
      <c r="H194" s="686" t="s">
        <v>14</v>
      </c>
      <c r="I194" s="683"/>
      <c r="J194" s="683"/>
      <c r="K194" s="684"/>
      <c r="L194" s="567">
        <f ca="1">IFERROR(__xludf.DUMMYFUNCTION("IMPORTRANGE(""https://docs.google.com/spreadsheets/d/1-uDff_7J0KD5mKrp0Vvzr7lt3OU09vwQwhkpOPPYv2Y/edit?usp=sharing"",""งบพรบ!CX18"")"),0)</f>
        <v>0</v>
      </c>
      <c r="M194" s="568">
        <f ca="1">IFERROR(__xludf.DUMMYFUNCTION("IMPORTRANGE(""https://docs.google.com/spreadsheets/d/1-uDff_7J0KD5mKrp0Vvzr7lt3OU09vwQwhkpOPPYv2Y/edit?usp=sharing"",""งบพรบ!DA18"")"),0)</f>
        <v>0</v>
      </c>
      <c r="N194" s="568">
        <f ca="1">IFERROR(__xludf.DUMMYFUNCTION("IMPORTRANGE(""https://docs.google.com/spreadsheets/d/1-uDff_7J0KD5mKrp0Vvzr7lt3OU09vwQwhkpOPPYv2Y/edit?usp=sharing"",""งบพรบ!DC18"")"),0)</f>
        <v>0</v>
      </c>
      <c r="O194" s="568">
        <f t="shared" ca="1" si="133"/>
        <v>0</v>
      </c>
      <c r="P194" s="568">
        <f t="shared" ca="1" si="134"/>
        <v>0</v>
      </c>
      <c r="Q194" s="568">
        <f ca="1">IFERROR(__xludf.DUMMYFUNCTION("IMPORTRANGE(""https://docs.google.com/spreadsheets/d/1ItG2mGa2ceCfYo0BwxsXqNm01IGEUdYcSSLTEv9YCik/edit?usp=sharing"",""เบิกจ่ายกองทุน!BT18"")"),0)</f>
        <v>0</v>
      </c>
      <c r="R194" s="568">
        <f ca="1">IFERROR(__xludf.DUMMYFUNCTION("IMPORTRANGE(""https://docs.google.com/spreadsheets/d/1ItG2mGa2ceCfYo0BwxsXqNm01IGEUdYcSSLTEv9YCik/edit?usp=sharing"",""เบิกจ่ายกองทุน!BU18"")"),0)</f>
        <v>0</v>
      </c>
      <c r="S194" s="568">
        <f ca="1">IFERROR(__xludf.DUMMYFUNCTION("IMPORTRANGE(""https://docs.google.com/spreadsheets/d/1ItG2mGa2ceCfYo0BwxsXqNm01IGEUdYcSSLTEv9YCik/edit?usp=sharing"",""เบิกจ่ายกองทุน!BV18"")"),0)</f>
        <v>0</v>
      </c>
      <c r="T194" s="568">
        <f t="shared" ca="1" si="136"/>
        <v>0</v>
      </c>
      <c r="U194" s="568">
        <f t="shared" ca="1" si="137"/>
        <v>0</v>
      </c>
    </row>
    <row r="195" spans="1:21" ht="19.5" x14ac:dyDescent="0.3">
      <c r="A195" s="769"/>
      <c r="B195" s="770"/>
      <c r="C195" s="771" t="s">
        <v>78</v>
      </c>
      <c r="D195" s="772"/>
      <c r="E195" s="772"/>
      <c r="F195" s="772"/>
      <c r="G195" s="773"/>
      <c r="H195" s="774" t="s">
        <v>79</v>
      </c>
      <c r="I195" s="775">
        <f t="shared" ref="I195:J195" ca="1" si="144">I198</f>
        <v>4</v>
      </c>
      <c r="J195" s="775">
        <f t="shared" si="144"/>
        <v>2</v>
      </c>
      <c r="K195" s="776">
        <f ca="1">IF(I195&gt;0,J195*100/I195,0)</f>
        <v>50</v>
      </c>
      <c r="L195" s="777"/>
      <c r="M195" s="778"/>
      <c r="N195" s="778"/>
      <c r="O195" s="778"/>
      <c r="P195" s="778"/>
      <c r="Q195" s="778"/>
      <c r="R195" s="778"/>
      <c r="S195" s="778"/>
      <c r="T195" s="778"/>
      <c r="U195" s="778"/>
    </row>
    <row r="196" spans="1:21" ht="19.5" x14ac:dyDescent="0.3">
      <c r="A196" s="674"/>
      <c r="B196" s="561"/>
      <c r="C196" s="675" t="s">
        <v>18</v>
      </c>
      <c r="D196" s="779" t="s">
        <v>19</v>
      </c>
      <c r="E196" s="561"/>
      <c r="F196" s="561"/>
      <c r="G196" s="563"/>
      <c r="H196" s="780" t="s">
        <v>14</v>
      </c>
      <c r="I196" s="565"/>
      <c r="J196" s="565"/>
      <c r="K196" s="566"/>
      <c r="L196" s="678">
        <f ca="1">IFERROR(__xludf.DUMMYFUNCTION("IMPORTRANGE(""https://docs.google.com/spreadsheets/d/1eHaY18a8A9IcSdp1K8H6x8fbOy06t2VsZHhMHf-1x7Y/edit?usp=sharing"",""แผน!AB18"")"),6000)</f>
        <v>6000</v>
      </c>
      <c r="M196" s="566"/>
      <c r="N196" s="781">
        <v>0</v>
      </c>
      <c r="O196" s="679">
        <f ca="1">IF(L196&gt;0,N196*100/L196,0)</f>
        <v>0</v>
      </c>
      <c r="P196" s="679">
        <f>IF(M196&gt;0,N196*100/M196,0)</f>
        <v>0</v>
      </c>
      <c r="Q196" s="566"/>
      <c r="R196" s="566"/>
      <c r="S196" s="566"/>
      <c r="T196" s="566"/>
      <c r="U196" s="566"/>
    </row>
    <row r="197" spans="1:21" ht="19.5" x14ac:dyDescent="0.3">
      <c r="A197" s="687"/>
      <c r="B197" s="688"/>
      <c r="C197" s="675" t="s">
        <v>18</v>
      </c>
      <c r="D197" s="689" t="s">
        <v>38</v>
      </c>
      <c r="E197" s="690"/>
      <c r="F197" s="690"/>
      <c r="G197" s="691"/>
      <c r="H197" s="692"/>
      <c r="I197" s="565"/>
      <c r="J197" s="565"/>
      <c r="K197" s="566"/>
      <c r="L197" s="574"/>
      <c r="M197" s="566"/>
      <c r="N197" s="566"/>
      <c r="O197" s="566"/>
      <c r="P197" s="566"/>
      <c r="Q197" s="566"/>
      <c r="R197" s="566"/>
      <c r="S197" s="566"/>
      <c r="T197" s="566"/>
      <c r="U197" s="566"/>
    </row>
    <row r="198" spans="1:21" ht="18.75" x14ac:dyDescent="0.25">
      <c r="A198" s="687"/>
      <c r="B198" s="688"/>
      <c r="C198" s="688"/>
      <c r="D198" s="699" t="s">
        <v>80</v>
      </c>
      <c r="E198" s="695"/>
      <c r="F198" s="695"/>
      <c r="G198" s="692"/>
      <c r="H198" s="700" t="s">
        <v>79</v>
      </c>
      <c r="I198" s="708">
        <f ca="1">IFERROR(__xludf.DUMMYFUNCTION("IMPORTRANGE(""https://docs.google.com/spreadsheets/d/1eHaY18a8A9IcSdp1K8H6x8fbOy06t2VsZHhMHf-1x7Y/edit?usp=sharing"",""แผน!AE18"")"),4)</f>
        <v>4</v>
      </c>
      <c r="J198" s="702">
        <v>2</v>
      </c>
      <c r="K198" s="568">
        <f ca="1">IF(I198&gt;0,J198*100/I198,0)</f>
        <v>50</v>
      </c>
      <c r="L198" s="574"/>
      <c r="M198" s="566"/>
      <c r="N198" s="566"/>
      <c r="O198" s="566"/>
      <c r="P198" s="566"/>
      <c r="Q198" s="566"/>
      <c r="R198" s="566"/>
      <c r="S198" s="566"/>
      <c r="T198" s="566"/>
      <c r="U198" s="566"/>
    </row>
    <row r="199" spans="1:21" ht="18.75" x14ac:dyDescent="0.25">
      <c r="A199" s="687"/>
      <c r="B199" s="688"/>
      <c r="C199" s="688"/>
      <c r="D199" s="699" t="s">
        <v>81</v>
      </c>
      <c r="E199" s="695"/>
      <c r="F199" s="695"/>
      <c r="G199" s="692"/>
      <c r="H199" s="766" t="s">
        <v>35</v>
      </c>
      <c r="I199" s="565"/>
      <c r="J199" s="708">
        <f>J200+J201</f>
        <v>40</v>
      </c>
      <c r="K199" s="566"/>
      <c r="L199" s="574"/>
      <c r="M199" s="566"/>
      <c r="N199" s="566"/>
      <c r="O199" s="566"/>
      <c r="P199" s="566"/>
      <c r="Q199" s="566"/>
      <c r="R199" s="566"/>
      <c r="S199" s="566"/>
      <c r="T199" s="566"/>
      <c r="U199" s="566"/>
    </row>
    <row r="200" spans="1:21" ht="18.75" x14ac:dyDescent="0.25">
      <c r="A200" s="687"/>
      <c r="B200" s="688"/>
      <c r="C200" s="688"/>
      <c r="D200" s="688"/>
      <c r="E200" s="699" t="s">
        <v>82</v>
      </c>
      <c r="F200" s="695"/>
      <c r="G200" s="692"/>
      <c r="H200" s="766" t="s">
        <v>35</v>
      </c>
      <c r="I200" s="565"/>
      <c r="J200" s="702">
        <v>40</v>
      </c>
      <c r="K200" s="566"/>
      <c r="L200" s="574"/>
      <c r="M200" s="566"/>
      <c r="N200" s="566"/>
      <c r="O200" s="566"/>
      <c r="P200" s="566"/>
      <c r="Q200" s="566"/>
      <c r="R200" s="566"/>
      <c r="S200" s="566"/>
      <c r="T200" s="566"/>
      <c r="U200" s="566"/>
    </row>
    <row r="201" spans="1:21" ht="18.75" x14ac:dyDescent="0.25">
      <c r="A201" s="687"/>
      <c r="B201" s="688"/>
      <c r="C201" s="688"/>
      <c r="D201" s="688"/>
      <c r="E201" s="699" t="s">
        <v>83</v>
      </c>
      <c r="F201" s="695"/>
      <c r="G201" s="692"/>
      <c r="H201" s="766" t="s">
        <v>35</v>
      </c>
      <c r="I201" s="565"/>
      <c r="J201" s="702">
        <v>0</v>
      </c>
      <c r="K201" s="566"/>
      <c r="L201" s="574"/>
      <c r="M201" s="566"/>
      <c r="N201" s="566"/>
      <c r="O201" s="566"/>
      <c r="P201" s="566"/>
      <c r="Q201" s="566"/>
      <c r="R201" s="566"/>
      <c r="S201" s="566"/>
      <c r="T201" s="566"/>
      <c r="U201" s="566"/>
    </row>
    <row r="202" spans="1:21" ht="19.5" x14ac:dyDescent="0.3">
      <c r="A202" s="769"/>
      <c r="B202" s="770"/>
      <c r="C202" s="771" t="s">
        <v>84</v>
      </c>
      <c r="D202" s="772"/>
      <c r="E202" s="772"/>
      <c r="F202" s="772"/>
      <c r="G202" s="773"/>
      <c r="H202" s="782" t="s">
        <v>85</v>
      </c>
      <c r="I202" s="775">
        <f t="shared" ref="I202:J202" ca="1" si="145">I209</f>
        <v>4</v>
      </c>
      <c r="J202" s="775">
        <f t="shared" si="145"/>
        <v>0</v>
      </c>
      <c r="K202" s="776">
        <f ca="1">IF(I202&gt;0,J202*100/I202,0)</f>
        <v>0</v>
      </c>
      <c r="L202" s="777"/>
      <c r="M202" s="778"/>
      <c r="N202" s="778"/>
      <c r="O202" s="778"/>
      <c r="P202" s="778"/>
      <c r="Q202" s="778"/>
      <c r="R202" s="778"/>
      <c r="S202" s="778"/>
      <c r="T202" s="778"/>
      <c r="U202" s="778"/>
    </row>
    <row r="203" spans="1:21" ht="19.5" x14ac:dyDescent="0.3">
      <c r="A203" s="674"/>
      <c r="B203" s="561"/>
      <c r="C203" s="675" t="s">
        <v>18</v>
      </c>
      <c r="D203" s="779" t="s">
        <v>19</v>
      </c>
      <c r="E203" s="561"/>
      <c r="F203" s="561"/>
      <c r="G203" s="563"/>
      <c r="H203" s="780" t="s">
        <v>14</v>
      </c>
      <c r="I203" s="683"/>
      <c r="J203" s="683"/>
      <c r="K203" s="684"/>
      <c r="L203" s="678">
        <f ca="1">L204+L205+L206+L207</f>
        <v>20000</v>
      </c>
      <c r="M203" s="566"/>
      <c r="N203" s="679">
        <f>N204+N205+N206+N207</f>
        <v>0</v>
      </c>
      <c r="O203" s="679">
        <f ca="1">IF(L203&gt;0,N203*100/L203,0)</f>
        <v>0</v>
      </c>
      <c r="P203" s="679">
        <f>IF(M203&gt;0,N203*100/M203,0)</f>
        <v>0</v>
      </c>
      <c r="Q203" s="783">
        <f ca="1">Q204+Q205+Q206+Q207</f>
        <v>56000</v>
      </c>
      <c r="R203" s="784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 x14ac:dyDescent="0.25">
      <c r="A204" s="674"/>
      <c r="B204" s="718"/>
      <c r="C204" s="561"/>
      <c r="D204" s="788" t="s">
        <v>317</v>
      </c>
      <c r="E204" s="561"/>
      <c r="F204" s="561"/>
      <c r="G204" s="563"/>
      <c r="H204" s="682" t="s">
        <v>14</v>
      </c>
      <c r="I204" s="683"/>
      <c r="J204" s="683"/>
      <c r="K204" s="684"/>
      <c r="L204" s="567">
        <f ca="1">IFERROR(__xludf.DUMMYFUNCTION("IMPORTRANGE(""https://docs.google.com/spreadsheets/d/1eHaY18a8A9IcSdp1K8H6x8fbOy06t2VsZHhMHf-1x7Y/edit?usp=sharing"",""แผน!AG18"")"),4000)</f>
        <v>4000</v>
      </c>
      <c r="M204" s="566"/>
      <c r="N204" s="786">
        <v>0</v>
      </c>
      <c r="O204" s="684"/>
      <c r="P204" s="566"/>
      <c r="Q204" s="567">
        <v>0</v>
      </c>
      <c r="R204" s="566"/>
      <c r="S204" s="568">
        <v>0</v>
      </c>
      <c r="T204" s="684"/>
      <c r="U204" s="566"/>
    </row>
    <row r="205" spans="1:21" ht="18.75" x14ac:dyDescent="0.25">
      <c r="A205" s="764"/>
      <c r="B205" s="718"/>
      <c r="C205" s="561"/>
      <c r="D205" s="573" t="s">
        <v>301</v>
      </c>
      <c r="E205" s="561"/>
      <c r="F205" s="561"/>
      <c r="G205" s="563"/>
      <c r="H205" s="564" t="s">
        <v>14</v>
      </c>
      <c r="I205" s="565"/>
      <c r="J205" s="565"/>
      <c r="K205" s="566"/>
      <c r="L205" s="567">
        <f ca="1">IFERROR(__xludf.DUMMYFUNCTION("IMPORTRANGE(""https://docs.google.com/spreadsheets/d/1eHaY18a8A9IcSdp1K8H6x8fbOy06t2VsZHhMHf-1x7Y/edit?usp=sharing"",""แผน!AH18"")"),0)</f>
        <v>0</v>
      </c>
      <c r="M205" s="566"/>
      <c r="N205" s="786">
        <v>0</v>
      </c>
      <c r="O205" s="684"/>
      <c r="P205" s="566"/>
      <c r="Q205" s="567">
        <v>0</v>
      </c>
      <c r="R205" s="566"/>
      <c r="S205" s="568">
        <v>0</v>
      </c>
      <c r="T205" s="684"/>
      <c r="U205" s="566"/>
    </row>
    <row r="206" spans="1:21" ht="18.75" x14ac:dyDescent="0.25">
      <c r="A206" s="764"/>
      <c r="B206" s="718"/>
      <c r="C206" s="561"/>
      <c r="D206" s="573" t="s">
        <v>88</v>
      </c>
      <c r="E206" s="561"/>
      <c r="F206" s="561"/>
      <c r="G206" s="563"/>
      <c r="H206" s="564" t="s">
        <v>14</v>
      </c>
      <c r="I206" s="565"/>
      <c r="J206" s="565"/>
      <c r="K206" s="566"/>
      <c r="L206" s="567">
        <f ca="1">IFERROR(__xludf.DUMMYFUNCTION("IMPORTRANGE(""https://docs.google.com/spreadsheets/d/1eHaY18a8A9IcSdp1K8H6x8fbOy06t2VsZHhMHf-1x7Y/edit?usp=sharing"",""แผน!AI18"")"),0)</f>
        <v>0</v>
      </c>
      <c r="M206" s="566"/>
      <c r="N206" s="786">
        <v>0</v>
      </c>
      <c r="O206" s="684"/>
      <c r="P206" s="566"/>
      <c r="Q206" s="567">
        <f ca="1">IFERROR(__xludf.DUMMYFUNCTION("IMPORTRANGE(""https://docs.google.com/spreadsheets/d/1eHaY18a8A9IcSdp1K8H6x8fbOy06t2VsZHhMHf-1x7Y/edit?usp=sharing"",""แผน!LV18"")"),56000)</f>
        <v>56000</v>
      </c>
      <c r="R206" s="566"/>
      <c r="S206" s="786">
        <v>0</v>
      </c>
      <c r="T206" s="684"/>
      <c r="U206" s="566"/>
    </row>
    <row r="207" spans="1:21" ht="18.75" x14ac:dyDescent="0.25">
      <c r="A207" s="764"/>
      <c r="B207" s="718"/>
      <c r="C207" s="561"/>
      <c r="D207" s="573" t="s">
        <v>89</v>
      </c>
      <c r="E207" s="561"/>
      <c r="F207" s="561"/>
      <c r="G207" s="563"/>
      <c r="H207" s="564" t="s">
        <v>14</v>
      </c>
      <c r="I207" s="565"/>
      <c r="J207" s="565"/>
      <c r="K207" s="566"/>
      <c r="L207" s="567">
        <f ca="1">IFERROR(__xludf.DUMMYFUNCTION("IMPORTRANGE(""https://docs.google.com/spreadsheets/d/1eHaY18a8A9IcSdp1K8H6x8fbOy06t2VsZHhMHf-1x7Y/edit?usp=sharing"",""แผน!AJ18"")"),16000)</f>
        <v>16000</v>
      </c>
      <c r="M207" s="566"/>
      <c r="N207" s="786">
        <v>0</v>
      </c>
      <c r="O207" s="684"/>
      <c r="P207" s="566"/>
      <c r="Q207" s="567">
        <v>0</v>
      </c>
      <c r="R207" s="566"/>
      <c r="S207" s="568">
        <v>0</v>
      </c>
      <c r="T207" s="684"/>
      <c r="U207" s="566"/>
    </row>
    <row r="208" spans="1:21" ht="19.5" x14ac:dyDescent="0.3">
      <c r="A208" s="687"/>
      <c r="B208" s="688"/>
      <c r="C208" s="675" t="s">
        <v>18</v>
      </c>
      <c r="D208" s="689" t="s">
        <v>38</v>
      </c>
      <c r="E208" s="690"/>
      <c r="F208" s="690"/>
      <c r="G208" s="691"/>
      <c r="H208" s="692"/>
      <c r="I208" s="683"/>
      <c r="J208" s="683"/>
      <c r="K208" s="684"/>
      <c r="L208" s="693"/>
      <c r="M208" s="684"/>
      <c r="N208" s="684"/>
      <c r="O208" s="684"/>
      <c r="P208" s="684"/>
      <c r="Q208" s="693"/>
      <c r="R208" s="684"/>
      <c r="S208" s="684"/>
      <c r="T208" s="684"/>
      <c r="U208" s="684"/>
    </row>
    <row r="209" spans="1:21" ht="18.75" x14ac:dyDescent="0.25">
      <c r="A209" s="687"/>
      <c r="B209" s="688"/>
      <c r="C209" s="688"/>
      <c r="D209" s="694" t="s">
        <v>90</v>
      </c>
      <c r="E209" s="695"/>
      <c r="F209" s="695"/>
      <c r="G209" s="692"/>
      <c r="H209" s="787" t="s">
        <v>85</v>
      </c>
      <c r="I209" s="708">
        <f ca="1">IFERROR(__xludf.DUMMYFUNCTION("IMPORTRANGE(""https://docs.google.com/spreadsheets/d/1eHaY18a8A9IcSdp1K8H6x8fbOy06t2VsZHhMHf-1x7Y/edit?usp=sharing"",""แผน!AK18"")"),4)</f>
        <v>4</v>
      </c>
      <c r="J209" s="702">
        <v>0</v>
      </c>
      <c r="K209" s="703">
        <f ca="1">IF(I209&gt;0,J209*100/I209,0)</f>
        <v>0</v>
      </c>
      <c r="L209" s="574"/>
      <c r="M209" s="566"/>
      <c r="N209" s="566"/>
      <c r="O209" s="566"/>
      <c r="P209" s="566"/>
      <c r="Q209" s="574"/>
      <c r="R209" s="566"/>
      <c r="S209" s="566"/>
      <c r="T209" s="566"/>
      <c r="U209" s="566"/>
    </row>
    <row r="210" spans="1:21" ht="18.75" x14ac:dyDescent="0.25">
      <c r="A210" s="687"/>
      <c r="B210" s="688"/>
      <c r="C210" s="688"/>
      <c r="D210" s="699" t="s">
        <v>50</v>
      </c>
      <c r="E210" s="695"/>
      <c r="F210" s="695"/>
      <c r="G210" s="692"/>
      <c r="H210" s="692"/>
      <c r="I210" s="565"/>
      <c r="J210" s="565"/>
      <c r="K210" s="684"/>
      <c r="L210" s="574"/>
      <c r="M210" s="566"/>
      <c r="N210" s="566"/>
      <c r="O210" s="566"/>
      <c r="P210" s="566"/>
      <c r="Q210" s="574"/>
      <c r="R210" s="566"/>
      <c r="S210" s="566"/>
      <c r="T210" s="566"/>
      <c r="U210" s="566"/>
    </row>
    <row r="211" spans="1:21" ht="18.75" x14ac:dyDescent="0.25">
      <c r="A211" s="687"/>
      <c r="B211" s="688"/>
      <c r="C211" s="688"/>
      <c r="D211" s="695"/>
      <c r="E211" s="699" t="s">
        <v>91</v>
      </c>
      <c r="F211" s="695"/>
      <c r="G211" s="692"/>
      <c r="H211" s="787" t="s">
        <v>85</v>
      </c>
      <c r="I211" s="708">
        <f ca="1">IFERROR(__xludf.DUMMYFUNCTION("IMPORTRANGE(""https://docs.google.com/spreadsheets/d/1eHaY18a8A9IcSdp1K8H6x8fbOy06t2VsZHhMHf-1x7Y/edit?usp=sharing"",""แผน!JX18"")"),4)</f>
        <v>4</v>
      </c>
      <c r="J211" s="702">
        <v>0</v>
      </c>
      <c r="K211" s="703">
        <f t="shared" ref="K211:K213" ca="1" si="146">IF(I211&gt;0,J211*100/I211,0)</f>
        <v>0</v>
      </c>
      <c r="L211" s="574"/>
      <c r="M211" s="566"/>
      <c r="N211" s="566"/>
      <c r="O211" s="566"/>
      <c r="P211" s="566"/>
      <c r="Q211" s="574"/>
      <c r="R211" s="566"/>
      <c r="S211" s="566"/>
      <c r="T211" s="566"/>
      <c r="U211" s="566"/>
    </row>
    <row r="212" spans="1:21" ht="18.75" x14ac:dyDescent="0.25">
      <c r="A212" s="687"/>
      <c r="B212" s="688"/>
      <c r="C212" s="688"/>
      <c r="D212" s="695"/>
      <c r="E212" s="699" t="s">
        <v>92</v>
      </c>
      <c r="F212" s="695"/>
      <c r="G212" s="695"/>
      <c r="H212" s="700" t="s">
        <v>93</v>
      </c>
      <c r="I212" s="708">
        <f ca="1">IFERROR(__xludf.DUMMYFUNCTION("IMPORTRANGE(""https://docs.google.com/spreadsheets/d/1eHaY18a8A9IcSdp1K8H6x8fbOy06t2VsZHhMHf-1x7Y/edit?usp=sharing"",""แผน!JY18"")"),0)</f>
        <v>0</v>
      </c>
      <c r="J212" s="702">
        <v>0</v>
      </c>
      <c r="K212" s="703">
        <f t="shared" ca="1" si="146"/>
        <v>0</v>
      </c>
      <c r="L212" s="574"/>
      <c r="M212" s="566"/>
      <c r="N212" s="566"/>
      <c r="O212" s="566"/>
      <c r="P212" s="566"/>
      <c r="Q212" s="574"/>
      <c r="R212" s="566"/>
      <c r="S212" s="566"/>
      <c r="T212" s="566"/>
      <c r="U212" s="566"/>
    </row>
    <row r="213" spans="1:21" ht="19.5" x14ac:dyDescent="0.3">
      <c r="A213" s="769"/>
      <c r="B213" s="770"/>
      <c r="C213" s="771" t="s">
        <v>94</v>
      </c>
      <c r="D213" s="772"/>
      <c r="E213" s="772"/>
      <c r="F213" s="772"/>
      <c r="G213" s="773"/>
      <c r="H213" s="782" t="s">
        <v>85</v>
      </c>
      <c r="I213" s="775">
        <f t="shared" ref="I213:J213" ca="1" si="147">I220</f>
        <v>0</v>
      </c>
      <c r="J213" s="775">
        <f t="shared" si="147"/>
        <v>0</v>
      </c>
      <c r="K213" s="776">
        <f t="shared" ca="1" si="146"/>
        <v>0</v>
      </c>
      <c r="L213" s="777"/>
      <c r="M213" s="778"/>
      <c r="N213" s="778"/>
      <c r="O213" s="778"/>
      <c r="P213" s="778"/>
      <c r="Q213" s="777"/>
      <c r="R213" s="778"/>
      <c r="S213" s="778"/>
      <c r="T213" s="778"/>
      <c r="U213" s="778"/>
    </row>
    <row r="214" spans="1:21" ht="19.5" x14ac:dyDescent="0.3">
      <c r="A214" s="674"/>
      <c r="B214" s="561"/>
      <c r="C214" s="675" t="s">
        <v>18</v>
      </c>
      <c r="D214" s="779" t="s">
        <v>19</v>
      </c>
      <c r="E214" s="561"/>
      <c r="F214" s="561"/>
      <c r="G214" s="563"/>
      <c r="H214" s="780" t="s">
        <v>14</v>
      </c>
      <c r="I214" s="683"/>
      <c r="J214" s="683"/>
      <c r="K214" s="684"/>
      <c r="L214" s="678">
        <f ca="1">L215+L216+L217</f>
        <v>0</v>
      </c>
      <c r="M214" s="566"/>
      <c r="N214" s="679">
        <f>N215+N216+N217</f>
        <v>0</v>
      </c>
      <c r="O214" s="679">
        <f ca="1">IF(L214&gt;0,N214*100/L214,0)</f>
        <v>0</v>
      </c>
      <c r="P214" s="679">
        <f>IF(M214&gt;0,N214*100/M214,0)</f>
        <v>0</v>
      </c>
      <c r="Q214" s="678">
        <f ca="1">Q215+Q216+Q217</f>
        <v>0</v>
      </c>
      <c r="R214" s="566"/>
      <c r="S214" s="679">
        <f>S215+S216+S217</f>
        <v>229220</v>
      </c>
      <c r="T214" s="679">
        <f ca="1">IF(Q214&gt;0,S214*100/Q214,0)</f>
        <v>0</v>
      </c>
      <c r="U214" s="679">
        <f>IF(R214&gt;0,S214*100/R214,0)</f>
        <v>0</v>
      </c>
    </row>
    <row r="215" spans="1:21" ht="18.75" x14ac:dyDescent="0.25">
      <c r="A215" s="674"/>
      <c r="B215" s="718"/>
      <c r="C215" s="561"/>
      <c r="D215" s="573" t="s">
        <v>86</v>
      </c>
      <c r="E215" s="561"/>
      <c r="F215" s="561"/>
      <c r="G215" s="563"/>
      <c r="H215" s="682" t="s">
        <v>14</v>
      </c>
      <c r="I215" s="683"/>
      <c r="J215" s="683"/>
      <c r="K215" s="684"/>
      <c r="L215" s="567">
        <f ca="1">IFERROR(__xludf.DUMMYFUNCTION("IMPORTRANGE(""https://docs.google.com/spreadsheets/d/1eHaY18a8A9IcSdp1K8H6x8fbOy06t2VsZHhMHf-1x7Y/edit?usp=sharing"",""แผน!AM18"")"),0)</f>
        <v>0</v>
      </c>
      <c r="M215" s="566"/>
      <c r="N215" s="786">
        <v>0</v>
      </c>
      <c r="O215" s="684"/>
      <c r="P215" s="566"/>
      <c r="Q215" s="567">
        <v>0</v>
      </c>
      <c r="R215" s="566"/>
      <c r="S215" s="568">
        <v>0</v>
      </c>
      <c r="T215" s="684"/>
      <c r="U215" s="566"/>
    </row>
    <row r="216" spans="1:21" ht="18.75" x14ac:dyDescent="0.25">
      <c r="A216" s="764"/>
      <c r="B216" s="718"/>
      <c r="C216" s="718"/>
      <c r="D216" s="573" t="s">
        <v>95</v>
      </c>
      <c r="E216" s="561"/>
      <c r="F216" s="561"/>
      <c r="G216" s="563"/>
      <c r="H216" s="682" t="s">
        <v>14</v>
      </c>
      <c r="I216" s="565"/>
      <c r="J216" s="565"/>
      <c r="K216" s="566"/>
      <c r="L216" s="567">
        <f ca="1">IFERROR(__xludf.DUMMYFUNCTION("IMPORTRANGE(""https://docs.google.com/spreadsheets/d/1eHaY18a8A9IcSdp1K8H6x8fbOy06t2VsZHhMHf-1x7Y/edit?usp=sharing"",""แผน!AN18"")"),0)</f>
        <v>0</v>
      </c>
      <c r="M216" s="566"/>
      <c r="N216" s="786">
        <v>0</v>
      </c>
      <c r="O216" s="684"/>
      <c r="P216" s="566"/>
      <c r="Q216" s="567">
        <v>0</v>
      </c>
      <c r="R216" s="566"/>
      <c r="S216" s="568">
        <v>0</v>
      </c>
      <c r="T216" s="684"/>
      <c r="U216" s="566"/>
    </row>
    <row r="217" spans="1:21" ht="18.75" x14ac:dyDescent="0.25">
      <c r="A217" s="764"/>
      <c r="B217" s="718"/>
      <c r="C217" s="718"/>
      <c r="D217" s="573" t="s">
        <v>88</v>
      </c>
      <c r="E217" s="561"/>
      <c r="F217" s="561"/>
      <c r="G217" s="563"/>
      <c r="H217" s="682" t="s">
        <v>14</v>
      </c>
      <c r="I217" s="565"/>
      <c r="J217" s="565"/>
      <c r="K217" s="566"/>
      <c r="L217" s="567">
        <f ca="1">IFERROR(__xludf.DUMMYFUNCTION("IMPORTRANGE(""https://docs.google.com/spreadsheets/d/1eHaY18a8A9IcSdp1K8H6x8fbOy06t2VsZHhMHf-1x7Y/edit?usp=sharing"",""แผน!AO18"")"),0)</f>
        <v>0</v>
      </c>
      <c r="M217" s="566"/>
      <c r="N217" s="786">
        <v>0</v>
      </c>
      <c r="O217" s="684"/>
      <c r="P217" s="566"/>
      <c r="Q217" s="567">
        <f ca="1">IFERROR(__xludf.DUMMYFUNCTION("IMPORTRANGE(""https://docs.google.com/spreadsheets/d/1eHaY18a8A9IcSdp1K8H6x8fbOy06t2VsZHhMHf-1x7Y/edit?usp=sharing"",""แผน!LY18"")"),0)</f>
        <v>0</v>
      </c>
      <c r="R217" s="566"/>
      <c r="S217" s="786">
        <v>229220</v>
      </c>
      <c r="T217" s="684"/>
      <c r="U217" s="566"/>
    </row>
    <row r="218" spans="1:21" ht="19.5" x14ac:dyDescent="0.3">
      <c r="A218" s="687"/>
      <c r="B218" s="688"/>
      <c r="C218" s="719" t="s">
        <v>18</v>
      </c>
      <c r="D218" s="689" t="s">
        <v>38</v>
      </c>
      <c r="E218" s="690"/>
      <c r="F218" s="690"/>
      <c r="G218" s="691"/>
      <c r="H218" s="692"/>
      <c r="I218" s="683"/>
      <c r="J218" s="565"/>
      <c r="K218" s="566"/>
      <c r="L218" s="574"/>
      <c r="M218" s="566"/>
      <c r="N218" s="566"/>
      <c r="O218" s="684"/>
      <c r="P218" s="684"/>
      <c r="Q218" s="574"/>
      <c r="R218" s="566"/>
      <c r="S218" s="566"/>
      <c r="T218" s="684"/>
      <c r="U218" s="684"/>
    </row>
    <row r="219" spans="1:21" ht="18.75" x14ac:dyDescent="0.25">
      <c r="A219" s="687"/>
      <c r="B219" s="688"/>
      <c r="C219" s="688"/>
      <c r="D219" s="694" t="s">
        <v>96</v>
      </c>
      <c r="E219" s="695"/>
      <c r="F219" s="695"/>
      <c r="G219" s="692"/>
      <c r="H219" s="787" t="s">
        <v>85</v>
      </c>
      <c r="I219" s="708">
        <f ca="1">IFERROR(__xludf.DUMMYFUNCTION("IMPORTRANGE(""https://docs.google.com/spreadsheets/d/1eHaY18a8A9IcSdp1K8H6x8fbOy06t2VsZHhMHf-1x7Y/edit?usp=sharing"",""แผน!AP18"")"),0)</f>
        <v>0</v>
      </c>
      <c r="J219" s="702">
        <v>0</v>
      </c>
      <c r="K219" s="568">
        <f t="shared" ref="K219:K221" ca="1" si="148">IF(I219&gt;0,J219*100/I219,0)</f>
        <v>0</v>
      </c>
      <c r="L219" s="574"/>
      <c r="M219" s="566"/>
      <c r="N219" s="566"/>
      <c r="O219" s="566"/>
      <c r="P219" s="566"/>
      <c r="Q219" s="574"/>
      <c r="R219" s="566"/>
      <c r="S219" s="566"/>
      <c r="T219" s="566"/>
      <c r="U219" s="566"/>
    </row>
    <row r="220" spans="1:21" ht="18.75" x14ac:dyDescent="0.25">
      <c r="A220" s="687"/>
      <c r="B220" s="688"/>
      <c r="C220" s="688"/>
      <c r="D220" s="694" t="s">
        <v>97</v>
      </c>
      <c r="E220" s="695"/>
      <c r="F220" s="695"/>
      <c r="G220" s="692"/>
      <c r="H220" s="787" t="s">
        <v>85</v>
      </c>
      <c r="I220" s="708">
        <f ca="1">IFERROR(__xludf.DUMMYFUNCTION("IMPORTRANGE(""https://docs.google.com/spreadsheets/d/1eHaY18a8A9IcSdp1K8H6x8fbOy06t2VsZHhMHf-1x7Y/edit?usp=sharing"",""แผน!AP18"")"),0)</f>
        <v>0</v>
      </c>
      <c r="J220" s="702">
        <v>0</v>
      </c>
      <c r="K220" s="568">
        <f t="shared" ca="1" si="148"/>
        <v>0</v>
      </c>
      <c r="L220" s="574"/>
      <c r="M220" s="566"/>
      <c r="N220" s="566"/>
      <c r="O220" s="566"/>
      <c r="P220" s="566"/>
      <c r="Q220" s="574"/>
      <c r="R220" s="566"/>
      <c r="S220" s="566"/>
      <c r="T220" s="566"/>
      <c r="U220" s="566"/>
    </row>
    <row r="221" spans="1:21" ht="19.5" x14ac:dyDescent="0.3">
      <c r="A221" s="769"/>
      <c r="B221" s="770"/>
      <c r="C221" s="771" t="s">
        <v>98</v>
      </c>
      <c r="D221" s="772"/>
      <c r="E221" s="772"/>
      <c r="F221" s="772"/>
      <c r="G221" s="773"/>
      <c r="H221" s="774" t="s">
        <v>99</v>
      </c>
      <c r="I221" s="775">
        <f t="shared" ref="I221:J221" ca="1" si="149">I229</f>
        <v>100000</v>
      </c>
      <c r="J221" s="775">
        <f t="shared" si="149"/>
        <v>0</v>
      </c>
      <c r="K221" s="776">
        <f t="shared" ca="1" si="148"/>
        <v>0</v>
      </c>
      <c r="L221" s="777"/>
      <c r="M221" s="778"/>
      <c r="N221" s="778"/>
      <c r="O221" s="778"/>
      <c r="P221" s="778"/>
      <c r="Q221" s="778"/>
      <c r="R221" s="778"/>
      <c r="S221" s="778"/>
      <c r="T221" s="778"/>
      <c r="U221" s="778"/>
    </row>
    <row r="222" spans="1:21" ht="19.5" x14ac:dyDescent="0.3">
      <c r="A222" s="674"/>
      <c r="B222" s="561"/>
      <c r="C222" s="675" t="s">
        <v>18</v>
      </c>
      <c r="D222" s="779" t="s">
        <v>19</v>
      </c>
      <c r="E222" s="561"/>
      <c r="F222" s="561"/>
      <c r="G222" s="563"/>
      <c r="H222" s="780" t="s">
        <v>14</v>
      </c>
      <c r="I222" s="683"/>
      <c r="J222" s="683"/>
      <c r="K222" s="684"/>
      <c r="L222" s="678">
        <f ca="1">L223+L224+L225</f>
        <v>12500</v>
      </c>
      <c r="M222" s="566"/>
      <c r="N222" s="679">
        <f>N223+N224+N225</f>
        <v>0</v>
      </c>
      <c r="O222" s="679">
        <f ca="1">IF(L222&gt;0,N222*100/L222,0)</f>
        <v>0</v>
      </c>
      <c r="P222" s="679">
        <f>IF(M222&gt;0,N222*100/M222,0)</f>
        <v>0</v>
      </c>
      <c r="Q222" s="566"/>
      <c r="R222" s="566"/>
      <c r="S222" s="566"/>
      <c r="T222" s="566"/>
      <c r="U222" s="566"/>
    </row>
    <row r="223" spans="1:21" ht="18.75" x14ac:dyDescent="0.25">
      <c r="A223" s="674"/>
      <c r="B223" s="718"/>
      <c r="C223" s="561"/>
      <c r="D223" s="788" t="s">
        <v>302</v>
      </c>
      <c r="E223" s="561"/>
      <c r="F223" s="561"/>
      <c r="G223" s="563"/>
      <c r="H223" s="682" t="s">
        <v>14</v>
      </c>
      <c r="I223" s="683"/>
      <c r="J223" s="683"/>
      <c r="K223" s="684"/>
      <c r="L223" s="567">
        <f ca="1">IFERROR(__xludf.DUMMYFUNCTION("IMPORTRANGE(""https://docs.google.com/spreadsheets/d/1eHaY18a8A9IcSdp1K8H6x8fbOy06t2VsZHhMHf-1x7Y/edit?usp=sharing"",""แผน!AR18"")"),2500)</f>
        <v>2500</v>
      </c>
      <c r="M223" s="566"/>
      <c r="N223" s="786">
        <v>0</v>
      </c>
      <c r="O223" s="684"/>
      <c r="P223" s="566"/>
      <c r="Q223" s="566"/>
      <c r="R223" s="566"/>
      <c r="S223" s="566"/>
      <c r="T223" s="684"/>
      <c r="U223" s="566"/>
    </row>
    <row r="224" spans="1:21" ht="18.75" x14ac:dyDescent="0.25">
      <c r="A224" s="764"/>
      <c r="B224" s="718"/>
      <c r="C224" s="718"/>
      <c r="D224" s="573" t="s">
        <v>301</v>
      </c>
      <c r="E224" s="561"/>
      <c r="F224" s="561"/>
      <c r="G224" s="563"/>
      <c r="H224" s="682" t="s">
        <v>14</v>
      </c>
      <c r="I224" s="565"/>
      <c r="J224" s="565"/>
      <c r="K224" s="566"/>
      <c r="L224" s="567">
        <f ca="1">IFERROR(__xludf.DUMMYFUNCTION("IMPORTRANGE(""https://docs.google.com/spreadsheets/d/1eHaY18a8A9IcSdp1K8H6x8fbOy06t2VsZHhMHf-1x7Y/edit?usp=sharing"",""แผน!AS18"")"),10000)</f>
        <v>10000</v>
      </c>
      <c r="M224" s="566"/>
      <c r="N224" s="786">
        <v>0</v>
      </c>
      <c r="O224" s="684"/>
      <c r="P224" s="566"/>
      <c r="Q224" s="566"/>
      <c r="R224" s="566"/>
      <c r="S224" s="566"/>
      <c r="T224" s="684"/>
      <c r="U224" s="566"/>
    </row>
    <row r="225" spans="1:21" ht="18.75" x14ac:dyDescent="0.25">
      <c r="A225" s="764"/>
      <c r="B225" s="718"/>
      <c r="C225" s="718"/>
      <c r="D225" s="573" t="s">
        <v>88</v>
      </c>
      <c r="E225" s="561"/>
      <c r="F225" s="561"/>
      <c r="G225" s="563"/>
      <c r="H225" s="682" t="s">
        <v>14</v>
      </c>
      <c r="I225" s="565"/>
      <c r="J225" s="565"/>
      <c r="K225" s="566"/>
      <c r="L225" s="567">
        <f ca="1">IFERROR(__xludf.DUMMYFUNCTION("IMPORTRANGE(""https://docs.google.com/spreadsheets/d/1eHaY18a8A9IcSdp1K8H6x8fbOy06t2VsZHhMHf-1x7Y/edit?usp=sharing"",""แผน!AT18"")"),0)</f>
        <v>0</v>
      </c>
      <c r="M225" s="566"/>
      <c r="N225" s="786">
        <v>0</v>
      </c>
      <c r="O225" s="684"/>
      <c r="P225" s="566"/>
      <c r="Q225" s="566"/>
      <c r="R225" s="566"/>
      <c r="S225" s="566"/>
      <c r="T225" s="684"/>
      <c r="U225" s="566"/>
    </row>
    <row r="226" spans="1:21" ht="19.5" x14ac:dyDescent="0.3">
      <c r="A226" s="687"/>
      <c r="B226" s="688"/>
      <c r="C226" s="719" t="s">
        <v>18</v>
      </c>
      <c r="D226" s="689" t="s">
        <v>38</v>
      </c>
      <c r="E226" s="690"/>
      <c r="F226" s="690"/>
      <c r="G226" s="691"/>
      <c r="H226" s="692"/>
      <c r="I226" s="683"/>
      <c r="J226" s="683"/>
      <c r="K226" s="684"/>
      <c r="L226" s="693"/>
      <c r="M226" s="684"/>
      <c r="N226" s="684"/>
      <c r="O226" s="684"/>
      <c r="P226" s="684"/>
      <c r="Q226" s="684"/>
      <c r="R226" s="684"/>
      <c r="S226" s="684"/>
      <c r="T226" s="684"/>
      <c r="U226" s="684"/>
    </row>
    <row r="227" spans="1:21" ht="18.75" x14ac:dyDescent="0.25">
      <c r="A227" s="687"/>
      <c r="B227" s="688"/>
      <c r="C227" s="688"/>
      <c r="D227" s="573" t="s">
        <v>101</v>
      </c>
      <c r="E227" s="695"/>
      <c r="F227" s="695"/>
      <c r="G227" s="692"/>
      <c r="H227" s="692"/>
      <c r="I227" s="565"/>
      <c r="J227" s="565"/>
      <c r="K227" s="684"/>
      <c r="L227" s="693"/>
      <c r="M227" s="684"/>
      <c r="N227" s="684"/>
      <c r="O227" s="684"/>
      <c r="P227" s="684"/>
      <c r="Q227" s="684"/>
      <c r="R227" s="684"/>
      <c r="S227" s="684"/>
      <c r="T227" s="684"/>
      <c r="U227" s="684"/>
    </row>
    <row r="228" spans="1:21" ht="18.75" x14ac:dyDescent="0.25">
      <c r="A228" s="687"/>
      <c r="B228" s="688"/>
      <c r="C228" s="688"/>
      <c r="D228" s="688"/>
      <c r="E228" s="694" t="s">
        <v>102</v>
      </c>
      <c r="F228" s="695"/>
      <c r="G228" s="692"/>
      <c r="H228" s="700" t="s">
        <v>99</v>
      </c>
      <c r="I228" s="708">
        <f ca="1">IFERROR(__xludf.DUMMYFUNCTION("IMPORTRANGE(""https://docs.google.com/spreadsheets/d/1eHaY18a8A9IcSdp1K8H6x8fbOy06t2VsZHhMHf-1x7Y/edit?usp=sharing"",""แผน!AV18"")"),100000)</f>
        <v>100000</v>
      </c>
      <c r="J228" s="702">
        <v>100000</v>
      </c>
      <c r="K228" s="703">
        <f t="shared" ref="K228:K231" ca="1" si="150">IF(I228&gt;0,J228*100/I228,0)</f>
        <v>100</v>
      </c>
      <c r="L228" s="693"/>
      <c r="M228" s="684"/>
      <c r="N228" s="684"/>
      <c r="O228" s="684"/>
      <c r="P228" s="684"/>
      <c r="Q228" s="684"/>
      <c r="R228" s="684"/>
      <c r="S228" s="684"/>
      <c r="T228" s="684"/>
      <c r="U228" s="684"/>
    </row>
    <row r="229" spans="1:21" ht="18.75" x14ac:dyDescent="0.25">
      <c r="A229" s="687"/>
      <c r="B229" s="688"/>
      <c r="C229" s="688"/>
      <c r="D229" s="688"/>
      <c r="E229" s="694" t="s">
        <v>103</v>
      </c>
      <c r="F229" s="695"/>
      <c r="G229" s="692"/>
      <c r="H229" s="700" t="s">
        <v>99</v>
      </c>
      <c r="I229" s="708">
        <f ca="1">IFERROR(__xludf.DUMMYFUNCTION("IMPORTRANGE(""https://docs.google.com/spreadsheets/d/1eHaY18a8A9IcSdp1K8H6x8fbOy06t2VsZHhMHf-1x7Y/edit?usp=sharing"",""แผน!AV18"")"),100000)</f>
        <v>100000</v>
      </c>
      <c r="J229" s="702">
        <v>0</v>
      </c>
      <c r="K229" s="703">
        <f t="shared" ca="1" si="150"/>
        <v>0</v>
      </c>
      <c r="L229" s="574"/>
      <c r="M229" s="566"/>
      <c r="N229" s="566"/>
      <c r="O229" s="566"/>
      <c r="P229" s="566"/>
      <c r="Q229" s="566"/>
      <c r="R229" s="566"/>
      <c r="S229" s="566"/>
      <c r="T229" s="566"/>
      <c r="U229" s="566"/>
    </row>
    <row r="230" spans="1:21" ht="18.75" x14ac:dyDescent="0.25">
      <c r="A230" s="687"/>
      <c r="B230" s="688"/>
      <c r="C230" s="688"/>
      <c r="D230" s="573" t="s">
        <v>104</v>
      </c>
      <c r="E230" s="695"/>
      <c r="F230" s="695"/>
      <c r="G230" s="692"/>
      <c r="H230" s="700" t="s">
        <v>35</v>
      </c>
      <c r="I230" s="708">
        <f ca="1">IFERROR(__xludf.DUMMYFUNCTION("IMPORTRANGE(""https://docs.google.com/spreadsheets/d/1eHaY18a8A9IcSdp1K8H6x8fbOy06t2VsZHhMHf-1x7Y/edit?usp=sharing"",""แผน!AU18"")"),0)</f>
        <v>0</v>
      </c>
      <c r="J230" s="702">
        <v>0</v>
      </c>
      <c r="K230" s="703">
        <f t="shared" ca="1" si="150"/>
        <v>0</v>
      </c>
      <c r="L230" s="574"/>
      <c r="M230" s="566"/>
      <c r="N230" s="566"/>
      <c r="O230" s="566"/>
      <c r="P230" s="566"/>
      <c r="Q230" s="566"/>
      <c r="R230" s="566"/>
      <c r="S230" s="566"/>
      <c r="T230" s="566"/>
      <c r="U230" s="566"/>
    </row>
    <row r="231" spans="1:21" ht="19.5" hidden="1" x14ac:dyDescent="0.3">
      <c r="A231" s="769"/>
      <c r="B231" s="770"/>
      <c r="C231" s="771" t="s">
        <v>105</v>
      </c>
      <c r="D231" s="772"/>
      <c r="E231" s="772"/>
      <c r="F231" s="772"/>
      <c r="G231" s="773"/>
      <c r="H231" s="774" t="s">
        <v>35</v>
      </c>
      <c r="I231" s="775">
        <f t="shared" ref="I231:J231" ca="1" si="151">I242+I253</f>
        <v>0</v>
      </c>
      <c r="J231" s="775">
        <f t="shared" si="151"/>
        <v>0</v>
      </c>
      <c r="K231" s="776">
        <f t="shared" ca="1" si="150"/>
        <v>0</v>
      </c>
      <c r="L231" s="777"/>
      <c r="M231" s="778"/>
      <c r="N231" s="778"/>
      <c r="O231" s="778"/>
      <c r="P231" s="778"/>
      <c r="Q231" s="778"/>
      <c r="R231" s="778"/>
      <c r="S231" s="778"/>
      <c r="T231" s="778"/>
      <c r="U231" s="778"/>
    </row>
    <row r="232" spans="1:21" ht="19.5" hidden="1" x14ac:dyDescent="0.3">
      <c r="A232" s="674"/>
      <c r="B232" s="561"/>
      <c r="C232" s="675" t="s">
        <v>18</v>
      </c>
      <c r="D232" s="676" t="s">
        <v>19</v>
      </c>
      <c r="E232" s="561"/>
      <c r="F232" s="561"/>
      <c r="G232" s="563"/>
      <c r="H232" s="780" t="s">
        <v>14</v>
      </c>
      <c r="I232" s="683"/>
      <c r="J232" s="683"/>
      <c r="K232" s="684"/>
      <c r="L232" s="789">
        <f t="shared" ref="L232:L236" ca="1" si="152">L243+L254</f>
        <v>0</v>
      </c>
      <c r="M232" s="566"/>
      <c r="N232" s="790">
        <f t="shared" ref="N232:N236" si="153">N243+N254</f>
        <v>0</v>
      </c>
      <c r="O232" s="566"/>
      <c r="P232" s="566"/>
      <c r="Q232" s="566"/>
      <c r="R232" s="566"/>
      <c r="S232" s="566"/>
      <c r="T232" s="566"/>
      <c r="U232" s="566"/>
    </row>
    <row r="233" spans="1:21" ht="18.75" hidden="1" x14ac:dyDescent="0.25">
      <c r="A233" s="674"/>
      <c r="B233" s="718"/>
      <c r="C233" s="561"/>
      <c r="D233" s="573" t="s">
        <v>86</v>
      </c>
      <c r="E233" s="561"/>
      <c r="F233" s="561"/>
      <c r="G233" s="563"/>
      <c r="H233" s="682" t="s">
        <v>14</v>
      </c>
      <c r="I233" s="683"/>
      <c r="J233" s="683"/>
      <c r="K233" s="684"/>
      <c r="L233" s="571">
        <f t="shared" ca="1" si="152"/>
        <v>0</v>
      </c>
      <c r="M233" s="566"/>
      <c r="N233" s="572">
        <f t="shared" si="153"/>
        <v>0</v>
      </c>
      <c r="O233" s="566"/>
      <c r="P233" s="566"/>
      <c r="Q233" s="1127">
        <v>0</v>
      </c>
      <c r="R233" s="1128">
        <v>0</v>
      </c>
      <c r="S233" s="1128">
        <v>0</v>
      </c>
      <c r="T233" s="566"/>
      <c r="U233" s="566"/>
    </row>
    <row r="234" spans="1:21" ht="18.75" hidden="1" x14ac:dyDescent="0.25">
      <c r="A234" s="764"/>
      <c r="B234" s="718"/>
      <c r="C234" s="718"/>
      <c r="D234" s="573" t="s">
        <v>88</v>
      </c>
      <c r="E234" s="561"/>
      <c r="F234" s="561"/>
      <c r="G234" s="563"/>
      <c r="H234" s="682" t="s">
        <v>14</v>
      </c>
      <c r="I234" s="565"/>
      <c r="J234" s="565"/>
      <c r="K234" s="566"/>
      <c r="L234" s="571">
        <f t="shared" ca="1" si="152"/>
        <v>0</v>
      </c>
      <c r="M234" s="566"/>
      <c r="N234" s="572">
        <f t="shared" si="153"/>
        <v>0</v>
      </c>
      <c r="O234" s="566"/>
      <c r="P234" s="566"/>
      <c r="Q234" s="1129">
        <v>0</v>
      </c>
      <c r="R234" s="1130">
        <v>0</v>
      </c>
      <c r="S234" s="1130">
        <v>0</v>
      </c>
      <c r="T234" s="566"/>
      <c r="U234" s="566"/>
    </row>
    <row r="235" spans="1:21" ht="18.75" hidden="1" x14ac:dyDescent="0.25">
      <c r="A235" s="764"/>
      <c r="B235" s="718"/>
      <c r="C235" s="718"/>
      <c r="D235" s="573" t="s">
        <v>106</v>
      </c>
      <c r="E235" s="561"/>
      <c r="F235" s="561"/>
      <c r="G235" s="563"/>
      <c r="H235" s="682" t="s">
        <v>14</v>
      </c>
      <c r="I235" s="565"/>
      <c r="J235" s="565"/>
      <c r="K235" s="566"/>
      <c r="L235" s="571">
        <f t="shared" ca="1" si="152"/>
        <v>0</v>
      </c>
      <c r="M235" s="566"/>
      <c r="N235" s="572">
        <f t="shared" si="153"/>
        <v>0</v>
      </c>
      <c r="O235" s="566"/>
      <c r="P235" s="566"/>
      <c r="Q235" s="1129">
        <v>0</v>
      </c>
      <c r="R235" s="1130">
        <v>0</v>
      </c>
      <c r="S235" s="1130">
        <v>0</v>
      </c>
      <c r="T235" s="566"/>
      <c r="U235" s="566"/>
    </row>
    <row r="236" spans="1:21" ht="18.75" hidden="1" x14ac:dyDescent="0.25">
      <c r="A236" s="764"/>
      <c r="B236" s="718"/>
      <c r="C236" s="718"/>
      <c r="D236" s="573" t="s">
        <v>107</v>
      </c>
      <c r="E236" s="561"/>
      <c r="F236" s="561"/>
      <c r="G236" s="563"/>
      <c r="H236" s="682" t="s">
        <v>14</v>
      </c>
      <c r="I236" s="565"/>
      <c r="J236" s="565"/>
      <c r="K236" s="566"/>
      <c r="L236" s="571">
        <f t="shared" ca="1" si="152"/>
        <v>0</v>
      </c>
      <c r="M236" s="566"/>
      <c r="N236" s="572">
        <f t="shared" si="153"/>
        <v>0</v>
      </c>
      <c r="O236" s="566"/>
      <c r="P236" s="566"/>
      <c r="Q236" s="1129">
        <v>0</v>
      </c>
      <c r="R236" s="1130">
        <v>0</v>
      </c>
      <c r="S236" s="1130">
        <v>0</v>
      </c>
      <c r="T236" s="566"/>
      <c r="U236" s="566"/>
    </row>
    <row r="237" spans="1:21" ht="19.5" hidden="1" x14ac:dyDescent="0.3">
      <c r="A237" s="687"/>
      <c r="B237" s="688"/>
      <c r="C237" s="719" t="s">
        <v>18</v>
      </c>
      <c r="D237" s="689" t="s">
        <v>38</v>
      </c>
      <c r="E237" s="690"/>
      <c r="F237" s="690"/>
      <c r="G237" s="691"/>
      <c r="H237" s="692"/>
      <c r="I237" s="683"/>
      <c r="J237" s="565"/>
      <c r="K237" s="566"/>
      <c r="L237" s="574"/>
      <c r="M237" s="566"/>
      <c r="N237" s="566"/>
      <c r="O237" s="684"/>
      <c r="P237" s="684"/>
      <c r="Q237" s="566"/>
      <c r="R237" s="566"/>
      <c r="S237" s="566"/>
      <c r="T237" s="684"/>
      <c r="U237" s="684"/>
    </row>
    <row r="238" spans="1:21" ht="18.75" hidden="1" x14ac:dyDescent="0.25">
      <c r="A238" s="687"/>
      <c r="B238" s="688"/>
      <c r="C238" s="688"/>
      <c r="D238" s="699" t="s">
        <v>108</v>
      </c>
      <c r="E238" s="695"/>
      <c r="F238" s="695"/>
      <c r="G238" s="692"/>
      <c r="H238" s="700" t="s">
        <v>35</v>
      </c>
      <c r="I238" s="708">
        <f t="shared" ref="I238:J238" ca="1" si="154">I249+I260</f>
        <v>0</v>
      </c>
      <c r="J238" s="708">
        <f t="shared" si="154"/>
        <v>0</v>
      </c>
      <c r="K238" s="568">
        <f ca="1">IF(I238&gt;0,J238*100/I238,0)</f>
        <v>0</v>
      </c>
      <c r="L238" s="574"/>
      <c r="M238" s="566"/>
      <c r="N238" s="566"/>
      <c r="O238" s="566"/>
      <c r="P238" s="566"/>
      <c r="Q238" s="566"/>
      <c r="R238" s="566"/>
      <c r="S238" s="566"/>
      <c r="T238" s="566"/>
      <c r="U238" s="566"/>
    </row>
    <row r="239" spans="1:21" ht="18.75" hidden="1" x14ac:dyDescent="0.25">
      <c r="A239" s="687"/>
      <c r="B239" s="688"/>
      <c r="C239" s="688"/>
      <c r="D239" s="792" t="s">
        <v>43</v>
      </c>
      <c r="E239" s="695"/>
      <c r="F239" s="695"/>
      <c r="G239" s="692"/>
      <c r="H239" s="692"/>
      <c r="I239" s="565"/>
      <c r="J239" s="565"/>
      <c r="K239" s="566"/>
      <c r="L239" s="574"/>
      <c r="M239" s="566"/>
      <c r="N239" s="566"/>
      <c r="O239" s="684"/>
      <c r="P239" s="684"/>
      <c r="Q239" s="566"/>
      <c r="R239" s="566"/>
      <c r="S239" s="566"/>
      <c r="T239" s="684"/>
      <c r="U239" s="684"/>
    </row>
    <row r="240" spans="1:21" ht="18.75" hidden="1" x14ac:dyDescent="0.25">
      <c r="A240" s="687"/>
      <c r="B240" s="688"/>
      <c r="C240" s="688"/>
      <c r="D240" s="688"/>
      <c r="E240" s="694" t="s">
        <v>109</v>
      </c>
      <c r="F240" s="695"/>
      <c r="G240" s="692"/>
      <c r="H240" s="700" t="s">
        <v>35</v>
      </c>
      <c r="I240" s="708">
        <f t="shared" ref="I240:J241" si="155">I251+I262</f>
        <v>0</v>
      </c>
      <c r="J240" s="708">
        <f t="shared" si="155"/>
        <v>0</v>
      </c>
      <c r="K240" s="568">
        <f t="shared" ref="K240:K242" si="156">IF(I240&gt;0,J240*100/I240,0)</f>
        <v>0</v>
      </c>
      <c r="L240" s="574"/>
      <c r="M240" s="566"/>
      <c r="N240" s="566"/>
      <c r="O240" s="566"/>
      <c r="P240" s="566"/>
      <c r="Q240" s="566"/>
      <c r="R240" s="566"/>
      <c r="S240" s="566"/>
      <c r="T240" s="566"/>
      <c r="U240" s="566"/>
    </row>
    <row r="241" spans="1:21" ht="18.75" hidden="1" x14ac:dyDescent="0.25">
      <c r="A241" s="687"/>
      <c r="B241" s="688"/>
      <c r="C241" s="688"/>
      <c r="D241" s="688"/>
      <c r="E241" s="694" t="s">
        <v>110</v>
      </c>
      <c r="F241" s="695"/>
      <c r="G241" s="692"/>
      <c r="H241" s="700" t="s">
        <v>61</v>
      </c>
      <c r="I241" s="708">
        <f t="shared" si="155"/>
        <v>0</v>
      </c>
      <c r="J241" s="708">
        <f t="shared" si="155"/>
        <v>0</v>
      </c>
      <c r="K241" s="568">
        <f t="shared" si="156"/>
        <v>0</v>
      </c>
      <c r="L241" s="574"/>
      <c r="M241" s="566"/>
      <c r="N241" s="566"/>
      <c r="O241" s="566"/>
      <c r="P241" s="566"/>
      <c r="Q241" s="566"/>
      <c r="R241" s="566"/>
      <c r="S241" s="566"/>
      <c r="T241" s="566"/>
      <c r="U241" s="566"/>
    </row>
    <row r="242" spans="1:21" ht="19.5" hidden="1" x14ac:dyDescent="0.3">
      <c r="A242" s="769"/>
      <c r="B242" s="770"/>
      <c r="C242" s="793" t="s">
        <v>111</v>
      </c>
      <c r="D242" s="772"/>
      <c r="E242" s="772"/>
      <c r="F242" s="772"/>
      <c r="G242" s="773"/>
      <c r="H242" s="794" t="s">
        <v>35</v>
      </c>
      <c r="I242" s="795">
        <f t="shared" ref="I242:J242" ca="1" si="157">I249</f>
        <v>0</v>
      </c>
      <c r="J242" s="795">
        <f t="shared" si="157"/>
        <v>0</v>
      </c>
      <c r="K242" s="796">
        <f t="shared" ca="1" si="156"/>
        <v>0</v>
      </c>
      <c r="L242" s="777"/>
      <c r="M242" s="778"/>
      <c r="N242" s="778"/>
      <c r="O242" s="778"/>
      <c r="P242" s="778"/>
      <c r="Q242" s="778"/>
      <c r="R242" s="778"/>
      <c r="S242" s="778"/>
      <c r="T242" s="778"/>
      <c r="U242" s="778"/>
    </row>
    <row r="243" spans="1:21" ht="19.5" hidden="1" x14ac:dyDescent="0.3">
      <c r="A243" s="674"/>
      <c r="B243" s="561"/>
      <c r="C243" s="797" t="s">
        <v>18</v>
      </c>
      <c r="D243" s="798" t="s">
        <v>19</v>
      </c>
      <c r="E243" s="561"/>
      <c r="F243" s="561"/>
      <c r="G243" s="563"/>
      <c r="H243" s="799" t="s">
        <v>14</v>
      </c>
      <c r="I243" s="683"/>
      <c r="J243" s="683"/>
      <c r="K243" s="684"/>
      <c r="L243" s="678">
        <f ca="1">L244+L245+L246+L247</f>
        <v>0</v>
      </c>
      <c r="M243" s="566"/>
      <c r="N243" s="679">
        <f>N244+N245+N246+N247</f>
        <v>0</v>
      </c>
      <c r="O243" s="679">
        <f ca="1">IF(L243&gt;0,N243*100/L243,0)</f>
        <v>0</v>
      </c>
      <c r="P243" s="679">
        <f>IF(M243&gt;0,N243*100/M243,0)</f>
        <v>0</v>
      </c>
      <c r="Q243" s="566"/>
      <c r="R243" s="566"/>
      <c r="S243" s="566"/>
      <c r="T243" s="566"/>
      <c r="U243" s="566"/>
    </row>
    <row r="244" spans="1:21" ht="18.75" hidden="1" x14ac:dyDescent="0.25">
      <c r="A244" s="674"/>
      <c r="B244" s="718"/>
      <c r="C244" s="561"/>
      <c r="D244" s="569" t="s">
        <v>86</v>
      </c>
      <c r="E244" s="561"/>
      <c r="F244" s="561"/>
      <c r="G244" s="563"/>
      <c r="H244" s="685" t="s">
        <v>14</v>
      </c>
      <c r="I244" s="683"/>
      <c r="J244" s="683"/>
      <c r="K244" s="684"/>
      <c r="L244" s="567">
        <f ca="1">IFERROR(__xludf.DUMMYFUNCTION("IMPORTRANGE(""https://docs.google.com/spreadsheets/d/1eHaY18a8A9IcSdp1K8H6x8fbOy06t2VsZHhMHf-1x7Y/edit?usp=sharing"",""แผน!AX18"")"),0)</f>
        <v>0</v>
      </c>
      <c r="M244" s="566"/>
      <c r="N244" s="786">
        <v>0</v>
      </c>
      <c r="O244" s="566"/>
      <c r="P244" s="566"/>
      <c r="Q244" s="566"/>
      <c r="R244" s="566"/>
      <c r="S244" s="566"/>
      <c r="T244" s="566"/>
      <c r="U244" s="566"/>
    </row>
    <row r="245" spans="1:21" ht="18.75" hidden="1" x14ac:dyDescent="0.25">
      <c r="A245" s="764"/>
      <c r="B245" s="718"/>
      <c r="C245" s="718"/>
      <c r="D245" s="569" t="s">
        <v>88</v>
      </c>
      <c r="E245" s="561"/>
      <c r="F245" s="561"/>
      <c r="G245" s="563"/>
      <c r="H245" s="685" t="s">
        <v>14</v>
      </c>
      <c r="I245" s="565"/>
      <c r="J245" s="565"/>
      <c r="K245" s="566"/>
      <c r="L245" s="567">
        <f ca="1">IFERROR(__xludf.DUMMYFUNCTION("IMPORTRANGE(""https://docs.google.com/spreadsheets/d/1eHaY18a8A9IcSdp1K8H6x8fbOy06t2VsZHhMHf-1x7Y/edit?usp=sharing"",""แผน!AY18"")"),0)</f>
        <v>0</v>
      </c>
      <c r="M245" s="566"/>
      <c r="N245" s="786">
        <v>0</v>
      </c>
      <c r="O245" s="566"/>
      <c r="P245" s="566"/>
      <c r="Q245" s="566"/>
      <c r="R245" s="566"/>
      <c r="S245" s="566"/>
      <c r="T245" s="566"/>
      <c r="U245" s="566"/>
    </row>
    <row r="246" spans="1:21" ht="18.75" hidden="1" x14ac:dyDescent="0.25">
      <c r="A246" s="764"/>
      <c r="B246" s="718"/>
      <c r="C246" s="718"/>
      <c r="D246" s="569" t="s">
        <v>106</v>
      </c>
      <c r="E246" s="561"/>
      <c r="F246" s="561"/>
      <c r="G246" s="563"/>
      <c r="H246" s="685" t="s">
        <v>14</v>
      </c>
      <c r="I246" s="565"/>
      <c r="J246" s="565"/>
      <c r="K246" s="566"/>
      <c r="L246" s="567">
        <f ca="1">IFERROR(__xludf.DUMMYFUNCTION("IMPORTRANGE(""https://docs.google.com/spreadsheets/d/1eHaY18a8A9IcSdp1K8H6x8fbOy06t2VsZHhMHf-1x7Y/edit?usp=sharing"",""แผน!AZ18"")"),0)</f>
        <v>0</v>
      </c>
      <c r="M246" s="566"/>
      <c r="N246" s="786">
        <v>0</v>
      </c>
      <c r="O246" s="566"/>
      <c r="P246" s="566"/>
      <c r="Q246" s="566"/>
      <c r="R246" s="566"/>
      <c r="S246" s="566"/>
      <c r="T246" s="566"/>
      <c r="U246" s="566"/>
    </row>
    <row r="247" spans="1:21" ht="18.75" hidden="1" x14ac:dyDescent="0.25">
      <c r="A247" s="764"/>
      <c r="B247" s="718"/>
      <c r="C247" s="718"/>
      <c r="D247" s="569" t="s">
        <v>107</v>
      </c>
      <c r="E247" s="561"/>
      <c r="F247" s="561"/>
      <c r="G247" s="563"/>
      <c r="H247" s="685" t="s">
        <v>14</v>
      </c>
      <c r="I247" s="565"/>
      <c r="J247" s="565"/>
      <c r="K247" s="566"/>
      <c r="L247" s="567">
        <f ca="1">IFERROR(__xludf.DUMMYFUNCTION("IMPORTRANGE(""https://docs.google.com/spreadsheets/d/1eHaY18a8A9IcSdp1K8H6x8fbOy06t2VsZHhMHf-1x7Y/edit?usp=sharing"",""แผน!BA18"")"),0)</f>
        <v>0</v>
      </c>
      <c r="M247" s="566"/>
      <c r="N247" s="786">
        <v>0</v>
      </c>
      <c r="O247" s="566"/>
      <c r="P247" s="566"/>
      <c r="Q247" s="566"/>
      <c r="R247" s="566"/>
      <c r="S247" s="566"/>
      <c r="T247" s="566"/>
      <c r="U247" s="566"/>
    </row>
    <row r="248" spans="1:21" ht="19.5" hidden="1" x14ac:dyDescent="0.3">
      <c r="A248" s="687"/>
      <c r="B248" s="688"/>
      <c r="C248" s="800" t="s">
        <v>18</v>
      </c>
      <c r="D248" s="801" t="s">
        <v>38</v>
      </c>
      <c r="E248" s="690"/>
      <c r="F248" s="690"/>
      <c r="G248" s="691"/>
      <c r="H248" s="692"/>
      <c r="I248" s="683"/>
      <c r="J248" s="565"/>
      <c r="K248" s="566"/>
      <c r="L248" s="574"/>
      <c r="M248" s="566"/>
      <c r="N248" s="566"/>
      <c r="O248" s="684"/>
      <c r="P248" s="684"/>
      <c r="Q248" s="566"/>
      <c r="R248" s="566"/>
      <c r="S248" s="566"/>
      <c r="T248" s="684"/>
      <c r="U248" s="684"/>
    </row>
    <row r="249" spans="1:21" ht="18.75" hidden="1" x14ac:dyDescent="0.25">
      <c r="A249" s="687"/>
      <c r="B249" s="688"/>
      <c r="C249" s="688"/>
      <c r="D249" s="726" t="s">
        <v>108</v>
      </c>
      <c r="E249" s="695"/>
      <c r="F249" s="695"/>
      <c r="G249" s="692"/>
      <c r="H249" s="802" t="s">
        <v>35</v>
      </c>
      <c r="I249" s="735">
        <f ca="1">IFERROR(__xludf.DUMMYFUNCTION("IMPORTRANGE(""https://docs.google.com/spreadsheets/d/1eHaY18a8A9IcSdp1K8H6x8fbOy06t2VsZHhMHf-1x7Y/edit?usp=sharing"",""แผน!BG18"")"),0)</f>
        <v>0</v>
      </c>
      <c r="J249" s="736">
        <v>0</v>
      </c>
      <c r="K249" s="572">
        <f ca="1">IF(I249&gt;0,J249*100/I249,0)</f>
        <v>0</v>
      </c>
      <c r="L249" s="574"/>
      <c r="M249" s="566"/>
      <c r="N249" s="566"/>
      <c r="O249" s="566"/>
      <c r="P249" s="566"/>
      <c r="Q249" s="566"/>
      <c r="R249" s="566"/>
      <c r="S249" s="566"/>
      <c r="T249" s="566"/>
      <c r="U249" s="566"/>
    </row>
    <row r="250" spans="1:21" ht="18.75" hidden="1" x14ac:dyDescent="0.25">
      <c r="A250" s="687"/>
      <c r="B250" s="688"/>
      <c r="C250" s="688"/>
      <c r="D250" s="803" t="s">
        <v>43</v>
      </c>
      <c r="E250" s="695"/>
      <c r="F250" s="695"/>
      <c r="G250" s="692"/>
      <c r="H250" s="692"/>
      <c r="I250" s="565"/>
      <c r="J250" s="565"/>
      <c r="K250" s="566"/>
      <c r="L250" s="574"/>
      <c r="M250" s="566"/>
      <c r="N250" s="566"/>
      <c r="O250" s="684"/>
      <c r="P250" s="684"/>
      <c r="Q250" s="566"/>
      <c r="R250" s="566"/>
      <c r="S250" s="566"/>
      <c r="T250" s="684"/>
      <c r="U250" s="684"/>
    </row>
    <row r="251" spans="1:21" ht="18.75" hidden="1" x14ac:dyDescent="0.25">
      <c r="A251" s="687"/>
      <c r="B251" s="688"/>
      <c r="C251" s="688"/>
      <c r="D251" s="688"/>
      <c r="E251" s="804" t="s">
        <v>109</v>
      </c>
      <c r="F251" s="695"/>
      <c r="G251" s="692"/>
      <c r="H251" s="802" t="s">
        <v>35</v>
      </c>
      <c r="I251" s="735">
        <v>0</v>
      </c>
      <c r="J251" s="736">
        <v>0</v>
      </c>
      <c r="K251" s="572">
        <f t="shared" ref="K251:K253" si="158">IF(I251&gt;0,J251*100/I251,0)</f>
        <v>0</v>
      </c>
      <c r="L251" s="574"/>
      <c r="M251" s="566"/>
      <c r="N251" s="566"/>
      <c r="O251" s="566"/>
      <c r="P251" s="566"/>
      <c r="Q251" s="566"/>
      <c r="R251" s="566"/>
      <c r="S251" s="566"/>
      <c r="T251" s="566"/>
      <c r="U251" s="566"/>
    </row>
    <row r="252" spans="1:21" ht="18.75" hidden="1" x14ac:dyDescent="0.25">
      <c r="A252" s="687"/>
      <c r="B252" s="688"/>
      <c r="C252" s="688"/>
      <c r="D252" s="688"/>
      <c r="E252" s="804" t="s">
        <v>110</v>
      </c>
      <c r="F252" s="695"/>
      <c r="G252" s="692"/>
      <c r="H252" s="802" t="s">
        <v>61</v>
      </c>
      <c r="I252" s="735">
        <v>0</v>
      </c>
      <c r="J252" s="736">
        <v>0</v>
      </c>
      <c r="K252" s="572">
        <f t="shared" si="158"/>
        <v>0</v>
      </c>
      <c r="L252" s="574"/>
      <c r="M252" s="566"/>
      <c r="N252" s="566"/>
      <c r="O252" s="566"/>
      <c r="P252" s="566"/>
      <c r="Q252" s="566"/>
      <c r="R252" s="566"/>
      <c r="S252" s="566"/>
      <c r="T252" s="566"/>
      <c r="U252" s="566"/>
    </row>
    <row r="253" spans="1:21" ht="19.5" hidden="1" x14ac:dyDescent="0.3">
      <c r="A253" s="769"/>
      <c r="B253" s="770"/>
      <c r="C253" s="793" t="s">
        <v>112</v>
      </c>
      <c r="D253" s="772"/>
      <c r="E253" s="772"/>
      <c r="F253" s="772"/>
      <c r="G253" s="773"/>
      <c r="H253" s="794" t="s">
        <v>35</v>
      </c>
      <c r="I253" s="795">
        <f t="shared" ref="I253:J253" ca="1" si="159">I260</f>
        <v>0</v>
      </c>
      <c r="J253" s="795">
        <f t="shared" si="159"/>
        <v>0</v>
      </c>
      <c r="K253" s="796">
        <f t="shared" ca="1" si="158"/>
        <v>0</v>
      </c>
      <c r="L253" s="777"/>
      <c r="M253" s="778"/>
      <c r="N253" s="778"/>
      <c r="O253" s="778"/>
      <c r="P253" s="778"/>
      <c r="Q253" s="778"/>
      <c r="R253" s="778"/>
      <c r="S253" s="778"/>
      <c r="T253" s="778"/>
      <c r="U253" s="778"/>
    </row>
    <row r="254" spans="1:21" ht="19.5" hidden="1" x14ac:dyDescent="0.3">
      <c r="A254" s="674"/>
      <c r="B254" s="561"/>
      <c r="C254" s="797" t="s">
        <v>18</v>
      </c>
      <c r="D254" s="805" t="s">
        <v>19</v>
      </c>
      <c r="E254" s="561"/>
      <c r="F254" s="561"/>
      <c r="G254" s="563"/>
      <c r="H254" s="799" t="s">
        <v>14</v>
      </c>
      <c r="I254" s="683"/>
      <c r="J254" s="683"/>
      <c r="K254" s="684"/>
      <c r="L254" s="678">
        <f ca="1">L255+L256+L257+L258</f>
        <v>0</v>
      </c>
      <c r="M254" s="566"/>
      <c r="N254" s="679">
        <f>N255+N256+N257+N258</f>
        <v>0</v>
      </c>
      <c r="O254" s="679">
        <f ca="1">IF(L254&gt;0,N254*100/L254,0)</f>
        <v>0</v>
      </c>
      <c r="P254" s="679">
        <f>IF(M254&gt;0,N254*100/M254,0)</f>
        <v>0</v>
      </c>
      <c r="Q254" s="566"/>
      <c r="R254" s="566"/>
      <c r="S254" s="566"/>
      <c r="T254" s="566"/>
      <c r="U254" s="566"/>
    </row>
    <row r="255" spans="1:21" ht="18.75" hidden="1" x14ac:dyDescent="0.25">
      <c r="A255" s="674"/>
      <c r="B255" s="718"/>
      <c r="C255" s="561"/>
      <c r="D255" s="569" t="s">
        <v>86</v>
      </c>
      <c r="E255" s="561"/>
      <c r="F255" s="561"/>
      <c r="G255" s="563"/>
      <c r="H255" s="685" t="s">
        <v>14</v>
      </c>
      <c r="I255" s="683"/>
      <c r="J255" s="683"/>
      <c r="K255" s="684"/>
      <c r="L255" s="567">
        <f ca="1">IFERROR(__xludf.DUMMYFUNCTION("IMPORTRANGE(""https://docs.google.com/spreadsheets/d/1eHaY18a8A9IcSdp1K8H6x8fbOy06t2VsZHhMHf-1x7Y/edit?usp=sharing"",""แผน!BB18"")"),0)</f>
        <v>0</v>
      </c>
      <c r="M255" s="566"/>
      <c r="N255" s="786">
        <v>0</v>
      </c>
      <c r="O255" s="566"/>
      <c r="P255" s="566"/>
      <c r="Q255" s="566"/>
      <c r="R255" s="566"/>
      <c r="S255" s="566"/>
      <c r="T255" s="566"/>
      <c r="U255" s="566"/>
    </row>
    <row r="256" spans="1:21" ht="18.75" hidden="1" x14ac:dyDescent="0.25">
      <c r="A256" s="764"/>
      <c r="B256" s="718"/>
      <c r="C256" s="718"/>
      <c r="D256" s="569" t="s">
        <v>88</v>
      </c>
      <c r="E256" s="561"/>
      <c r="F256" s="561"/>
      <c r="G256" s="563"/>
      <c r="H256" s="685" t="s">
        <v>14</v>
      </c>
      <c r="I256" s="565"/>
      <c r="J256" s="565"/>
      <c r="K256" s="566"/>
      <c r="L256" s="567">
        <f ca="1">IFERROR(__xludf.DUMMYFUNCTION("IMPORTRANGE(""https://docs.google.com/spreadsheets/d/1eHaY18a8A9IcSdp1K8H6x8fbOy06t2VsZHhMHf-1x7Y/edit?usp=sharing"",""แผน!BC18"")"),0)</f>
        <v>0</v>
      </c>
      <c r="M256" s="566"/>
      <c r="N256" s="786">
        <v>0</v>
      </c>
      <c r="O256" s="566"/>
      <c r="P256" s="566"/>
      <c r="Q256" s="566"/>
      <c r="R256" s="566"/>
      <c r="S256" s="566"/>
      <c r="T256" s="566"/>
      <c r="U256" s="566"/>
    </row>
    <row r="257" spans="1:21" ht="18.75" hidden="1" x14ac:dyDescent="0.25">
      <c r="A257" s="764"/>
      <c r="B257" s="718"/>
      <c r="C257" s="718"/>
      <c r="D257" s="569" t="s">
        <v>106</v>
      </c>
      <c r="E257" s="561"/>
      <c r="F257" s="561"/>
      <c r="G257" s="563"/>
      <c r="H257" s="685" t="s">
        <v>14</v>
      </c>
      <c r="I257" s="565"/>
      <c r="J257" s="565"/>
      <c r="K257" s="566"/>
      <c r="L257" s="567">
        <f ca="1">IFERROR(__xludf.DUMMYFUNCTION("IMPORTRANGE(""https://docs.google.com/spreadsheets/d/1eHaY18a8A9IcSdp1K8H6x8fbOy06t2VsZHhMHf-1x7Y/edit?usp=sharing"",""แผน!BD18"")"),0)</f>
        <v>0</v>
      </c>
      <c r="M257" s="566"/>
      <c r="N257" s="786">
        <v>0</v>
      </c>
      <c r="O257" s="566"/>
      <c r="P257" s="566"/>
      <c r="Q257" s="566"/>
      <c r="R257" s="566"/>
      <c r="S257" s="566"/>
      <c r="T257" s="566"/>
      <c r="U257" s="566"/>
    </row>
    <row r="258" spans="1:21" ht="18.75" hidden="1" x14ac:dyDescent="0.25">
      <c r="A258" s="764"/>
      <c r="B258" s="718"/>
      <c r="C258" s="718"/>
      <c r="D258" s="569" t="s">
        <v>107</v>
      </c>
      <c r="E258" s="561"/>
      <c r="F258" s="561"/>
      <c r="G258" s="563"/>
      <c r="H258" s="685" t="s">
        <v>14</v>
      </c>
      <c r="I258" s="565"/>
      <c r="J258" s="565"/>
      <c r="K258" s="566"/>
      <c r="L258" s="567">
        <f ca="1">IFERROR(__xludf.DUMMYFUNCTION("IMPORTRANGE(""https://docs.google.com/spreadsheets/d/1eHaY18a8A9IcSdp1K8H6x8fbOy06t2VsZHhMHf-1x7Y/edit?usp=sharing"",""แผน!BE18"")"),0)</f>
        <v>0</v>
      </c>
      <c r="M258" s="566"/>
      <c r="N258" s="786">
        <v>0</v>
      </c>
      <c r="O258" s="566"/>
      <c r="P258" s="566"/>
      <c r="Q258" s="566"/>
      <c r="R258" s="566"/>
      <c r="S258" s="566"/>
      <c r="T258" s="566"/>
      <c r="U258" s="566"/>
    </row>
    <row r="259" spans="1:21" ht="19.5" hidden="1" x14ac:dyDescent="0.3">
      <c r="A259" s="687"/>
      <c r="B259" s="688"/>
      <c r="C259" s="800" t="s">
        <v>18</v>
      </c>
      <c r="D259" s="801" t="s">
        <v>38</v>
      </c>
      <c r="E259" s="690"/>
      <c r="F259" s="690"/>
      <c r="G259" s="691"/>
      <c r="H259" s="692"/>
      <c r="I259" s="683"/>
      <c r="J259" s="565"/>
      <c r="K259" s="566"/>
      <c r="L259" s="574"/>
      <c r="M259" s="566"/>
      <c r="N259" s="566"/>
      <c r="O259" s="684"/>
      <c r="P259" s="684"/>
      <c r="Q259" s="566"/>
      <c r="R259" s="566"/>
      <c r="S259" s="566"/>
      <c r="T259" s="684"/>
      <c r="U259" s="684"/>
    </row>
    <row r="260" spans="1:21" ht="18.75" hidden="1" x14ac:dyDescent="0.25">
      <c r="A260" s="687"/>
      <c r="B260" s="688"/>
      <c r="C260" s="688"/>
      <c r="D260" s="726" t="s">
        <v>108</v>
      </c>
      <c r="E260" s="695"/>
      <c r="F260" s="695"/>
      <c r="G260" s="692"/>
      <c r="H260" s="802" t="s">
        <v>35</v>
      </c>
      <c r="I260" s="735">
        <f ca="1">IFERROR(__xludf.DUMMYFUNCTION("IMPORTRANGE(""https://docs.google.com/spreadsheets/d/1eHaY18a8A9IcSdp1K8H6x8fbOy06t2VsZHhMHf-1x7Y/edit?usp=sharing"",""แผน!BH18"")"),0)</f>
        <v>0</v>
      </c>
      <c r="J260" s="736">
        <v>0</v>
      </c>
      <c r="K260" s="572">
        <f ca="1">IF(I260&gt;0,J260*100/I260,0)</f>
        <v>0</v>
      </c>
      <c r="L260" s="574"/>
      <c r="M260" s="566"/>
      <c r="N260" s="566"/>
      <c r="O260" s="566"/>
      <c r="P260" s="566"/>
      <c r="Q260" s="566"/>
      <c r="R260" s="566"/>
      <c r="S260" s="566"/>
      <c r="T260" s="566"/>
      <c r="U260" s="566"/>
    </row>
    <row r="261" spans="1:21" ht="18.75" hidden="1" x14ac:dyDescent="0.25">
      <c r="A261" s="687"/>
      <c r="B261" s="688"/>
      <c r="C261" s="688"/>
      <c r="D261" s="803" t="s">
        <v>43</v>
      </c>
      <c r="E261" s="695"/>
      <c r="F261" s="695"/>
      <c r="G261" s="692"/>
      <c r="H261" s="692"/>
      <c r="I261" s="565"/>
      <c r="J261" s="565"/>
      <c r="K261" s="566"/>
      <c r="L261" s="574"/>
      <c r="M261" s="566"/>
      <c r="N261" s="566"/>
      <c r="O261" s="684"/>
      <c r="P261" s="684"/>
      <c r="Q261" s="566"/>
      <c r="R261" s="566"/>
      <c r="S261" s="566"/>
      <c r="T261" s="684"/>
      <c r="U261" s="684"/>
    </row>
    <row r="262" spans="1:21" ht="18.75" hidden="1" x14ac:dyDescent="0.25">
      <c r="A262" s="687"/>
      <c r="B262" s="688"/>
      <c r="C262" s="688"/>
      <c r="D262" s="688"/>
      <c r="E262" s="804" t="s">
        <v>109</v>
      </c>
      <c r="F262" s="695"/>
      <c r="G262" s="692"/>
      <c r="H262" s="802" t="s">
        <v>35</v>
      </c>
      <c r="I262" s="565"/>
      <c r="J262" s="736">
        <v>0</v>
      </c>
      <c r="K262" s="572">
        <f t="shared" ref="K262:K263" si="160">IF(I262&gt;0,J262*100/I262,0)</f>
        <v>0</v>
      </c>
      <c r="L262" s="574"/>
      <c r="M262" s="566"/>
      <c r="N262" s="566"/>
      <c r="O262" s="566"/>
      <c r="P262" s="566"/>
      <c r="Q262" s="566"/>
      <c r="R262" s="566"/>
      <c r="S262" s="566"/>
      <c r="T262" s="566"/>
      <c r="U262" s="566"/>
    </row>
    <row r="263" spans="1:21" ht="18.75" hidden="1" x14ac:dyDescent="0.25">
      <c r="A263" s="687"/>
      <c r="B263" s="688"/>
      <c r="C263" s="688"/>
      <c r="D263" s="688"/>
      <c r="E263" s="804" t="s">
        <v>110</v>
      </c>
      <c r="F263" s="695"/>
      <c r="G263" s="692"/>
      <c r="H263" s="802" t="s">
        <v>61</v>
      </c>
      <c r="I263" s="565"/>
      <c r="J263" s="736">
        <v>0</v>
      </c>
      <c r="K263" s="572">
        <f t="shared" si="160"/>
        <v>0</v>
      </c>
      <c r="L263" s="574"/>
      <c r="M263" s="566"/>
      <c r="N263" s="566"/>
      <c r="O263" s="566"/>
      <c r="P263" s="566"/>
      <c r="Q263" s="566"/>
      <c r="R263" s="566"/>
      <c r="S263" s="566"/>
      <c r="T263" s="566"/>
      <c r="U263" s="566"/>
    </row>
    <row r="264" spans="1:21" ht="19.5" x14ac:dyDescent="0.3">
      <c r="A264" s="806" t="s">
        <v>113</v>
      </c>
      <c r="B264" s="807"/>
      <c r="C264" s="807"/>
      <c r="D264" s="808"/>
      <c r="E264" s="808"/>
      <c r="F264" s="808"/>
      <c r="G264" s="809"/>
      <c r="H264" s="809"/>
      <c r="I264" s="810"/>
      <c r="J264" s="810"/>
      <c r="K264" s="811"/>
      <c r="L264" s="812"/>
      <c r="M264" s="811"/>
      <c r="N264" s="811"/>
      <c r="O264" s="811"/>
      <c r="P264" s="811"/>
      <c r="Q264" s="811"/>
      <c r="R264" s="811"/>
      <c r="S264" s="811"/>
      <c r="T264" s="811"/>
      <c r="U264" s="811"/>
    </row>
    <row r="265" spans="1:21" ht="19.5" x14ac:dyDescent="0.3">
      <c r="A265" s="813"/>
      <c r="B265" s="814" t="s">
        <v>114</v>
      </c>
      <c r="C265" s="815"/>
      <c r="D265" s="816"/>
      <c r="E265" s="816"/>
      <c r="F265" s="816"/>
      <c r="G265" s="817"/>
      <c r="H265" s="818" t="s">
        <v>35</v>
      </c>
      <c r="I265" s="819">
        <f t="shared" ref="I265:J265" ca="1" si="161">I276</f>
        <v>24</v>
      </c>
      <c r="J265" s="819">
        <f t="shared" si="161"/>
        <v>24</v>
      </c>
      <c r="K265" s="820">
        <f ca="1">IF(I265&gt;0,J265*100/I265,0)</f>
        <v>100</v>
      </c>
      <c r="L265" s="821"/>
      <c r="M265" s="822"/>
      <c r="N265" s="822"/>
      <c r="O265" s="822"/>
      <c r="P265" s="822"/>
      <c r="Q265" s="822"/>
      <c r="R265" s="822"/>
      <c r="S265" s="822"/>
      <c r="T265" s="822"/>
      <c r="U265" s="822"/>
    </row>
    <row r="266" spans="1:21" ht="19.5" x14ac:dyDescent="0.3">
      <c r="A266" s="823"/>
      <c r="B266" s="824"/>
      <c r="C266" s="825" t="s">
        <v>18</v>
      </c>
      <c r="D266" s="826" t="s">
        <v>19</v>
      </c>
      <c r="E266" s="824"/>
      <c r="F266" s="824"/>
      <c r="G266" s="827"/>
      <c r="H266" s="828" t="s">
        <v>14</v>
      </c>
      <c r="I266" s="829"/>
      <c r="J266" s="829"/>
      <c r="K266" s="830"/>
      <c r="L266" s="831">
        <f t="shared" ref="L266:N266" ca="1" si="162">L267+L268</f>
        <v>5000</v>
      </c>
      <c r="M266" s="832">
        <f t="shared" ca="1" si="162"/>
        <v>5000</v>
      </c>
      <c r="N266" s="832">
        <f t="shared" ca="1" si="162"/>
        <v>5000</v>
      </c>
      <c r="O266" s="832">
        <f t="shared" ref="O266:O274" ca="1" si="163">IF(L266&gt;0,N266*100/L266,0)</f>
        <v>100</v>
      </c>
      <c r="P266" s="832">
        <f t="shared" ref="P266:P274" ca="1" si="164">IF(M266&gt;0,N266*100/M266,0)</f>
        <v>100</v>
      </c>
      <c r="Q266" s="832">
        <f t="shared" ref="Q266:S266" ca="1" si="165">Q267+Q268</f>
        <v>53440</v>
      </c>
      <c r="R266" s="832">
        <f t="shared" ca="1" si="165"/>
        <v>53440</v>
      </c>
      <c r="S266" s="832">
        <f t="shared" ca="1" si="165"/>
        <v>46520</v>
      </c>
      <c r="T266" s="832">
        <f t="shared" ref="T266:T274" ca="1" si="166">IF(Q266&gt;0,S266*100/Q266,0)</f>
        <v>87.050898203592808</v>
      </c>
      <c r="U266" s="832">
        <f t="shared" ref="U266:U274" ca="1" si="167">IF(R266&gt;0,S266*100/R266,0)</f>
        <v>87.050898203592808</v>
      </c>
    </row>
    <row r="267" spans="1:21" ht="18.75" x14ac:dyDescent="0.25">
      <c r="A267" s="833"/>
      <c r="B267" s="834"/>
      <c r="C267" s="834"/>
      <c r="D267" s="834"/>
      <c r="E267" s="569" t="s">
        <v>20</v>
      </c>
      <c r="F267" s="834"/>
      <c r="G267" s="835"/>
      <c r="H267" s="680" t="s">
        <v>14</v>
      </c>
      <c r="I267" s="836"/>
      <c r="J267" s="836"/>
      <c r="K267" s="837"/>
      <c r="L267" s="571">
        <f t="shared" ref="L267:N268" si="168">L270+L273</f>
        <v>0</v>
      </c>
      <c r="M267" s="572">
        <f t="shared" si="168"/>
        <v>0</v>
      </c>
      <c r="N267" s="572">
        <f t="shared" si="168"/>
        <v>0</v>
      </c>
      <c r="O267" s="572">
        <f t="shared" si="163"/>
        <v>0</v>
      </c>
      <c r="P267" s="572">
        <f t="shared" si="164"/>
        <v>0</v>
      </c>
      <c r="Q267" s="572">
        <f t="shared" ref="Q267:S268" si="169">Q270+Q273</f>
        <v>0</v>
      </c>
      <c r="R267" s="572">
        <f t="shared" si="169"/>
        <v>0</v>
      </c>
      <c r="S267" s="572">
        <f t="shared" si="169"/>
        <v>0</v>
      </c>
      <c r="T267" s="572">
        <f t="shared" si="166"/>
        <v>0</v>
      </c>
      <c r="U267" s="572">
        <f t="shared" si="167"/>
        <v>0</v>
      </c>
    </row>
    <row r="268" spans="1:21" ht="18.75" x14ac:dyDescent="0.25">
      <c r="A268" s="823"/>
      <c r="B268" s="824"/>
      <c r="C268" s="824"/>
      <c r="D268" s="824"/>
      <c r="E268" s="838" t="s">
        <v>21</v>
      </c>
      <c r="F268" s="824"/>
      <c r="G268" s="827"/>
      <c r="H268" s="839" t="s">
        <v>14</v>
      </c>
      <c r="I268" s="829"/>
      <c r="J268" s="829"/>
      <c r="K268" s="830"/>
      <c r="L268" s="840">
        <f t="shared" ca="1" si="168"/>
        <v>5000</v>
      </c>
      <c r="M268" s="841">
        <f t="shared" ca="1" si="168"/>
        <v>5000</v>
      </c>
      <c r="N268" s="841">
        <f t="shared" ca="1" si="168"/>
        <v>5000</v>
      </c>
      <c r="O268" s="841">
        <f t="shared" ca="1" si="163"/>
        <v>100</v>
      </c>
      <c r="P268" s="841">
        <f t="shared" ca="1" si="164"/>
        <v>100</v>
      </c>
      <c r="Q268" s="841">
        <f t="shared" ca="1" si="169"/>
        <v>53440</v>
      </c>
      <c r="R268" s="841">
        <f t="shared" ca="1" si="169"/>
        <v>53440</v>
      </c>
      <c r="S268" s="841">
        <f t="shared" ca="1" si="169"/>
        <v>46520</v>
      </c>
      <c r="T268" s="841">
        <f t="shared" ca="1" si="166"/>
        <v>87.050898203592808</v>
      </c>
      <c r="U268" s="841">
        <f t="shared" ca="1" si="167"/>
        <v>87.050898203592808</v>
      </c>
    </row>
    <row r="269" spans="1:21" ht="18.75" x14ac:dyDescent="0.25">
      <c r="A269" s="823"/>
      <c r="B269" s="824"/>
      <c r="C269" s="824"/>
      <c r="D269" s="842" t="s">
        <v>22</v>
      </c>
      <c r="E269" s="824"/>
      <c r="F269" s="824"/>
      <c r="G269" s="827"/>
      <c r="H269" s="843" t="s">
        <v>14</v>
      </c>
      <c r="I269" s="844"/>
      <c r="J269" s="844"/>
      <c r="K269" s="845"/>
      <c r="L269" s="840">
        <f t="shared" ref="L269:N269" ca="1" si="170">L270+L271</f>
        <v>5000</v>
      </c>
      <c r="M269" s="841">
        <f t="shared" ca="1" si="170"/>
        <v>5000</v>
      </c>
      <c r="N269" s="841">
        <f t="shared" ca="1" si="170"/>
        <v>5000</v>
      </c>
      <c r="O269" s="841">
        <f t="shared" ca="1" si="163"/>
        <v>100</v>
      </c>
      <c r="P269" s="841">
        <f t="shared" ca="1" si="164"/>
        <v>100</v>
      </c>
      <c r="Q269" s="841">
        <f t="shared" ref="Q269:S269" ca="1" si="171">Q270+Q271</f>
        <v>53440</v>
      </c>
      <c r="R269" s="841">
        <f t="shared" ca="1" si="171"/>
        <v>53440</v>
      </c>
      <c r="S269" s="841">
        <f t="shared" ca="1" si="171"/>
        <v>46520</v>
      </c>
      <c r="T269" s="841">
        <f t="shared" ca="1" si="166"/>
        <v>87.050898203592808</v>
      </c>
      <c r="U269" s="841">
        <f t="shared" ca="1" si="167"/>
        <v>87.050898203592808</v>
      </c>
    </row>
    <row r="270" spans="1:21" ht="18.75" x14ac:dyDescent="0.25">
      <c r="A270" s="833"/>
      <c r="B270" s="834"/>
      <c r="C270" s="834"/>
      <c r="D270" s="834"/>
      <c r="E270" s="569" t="s">
        <v>36</v>
      </c>
      <c r="F270" s="834"/>
      <c r="G270" s="835"/>
      <c r="H270" s="685" t="s">
        <v>14</v>
      </c>
      <c r="I270" s="846"/>
      <c r="J270" s="846"/>
      <c r="K270" s="847"/>
      <c r="L270" s="571">
        <v>0</v>
      </c>
      <c r="M270" s="572">
        <v>0</v>
      </c>
      <c r="N270" s="572">
        <v>0</v>
      </c>
      <c r="O270" s="572">
        <f t="shared" si="163"/>
        <v>0</v>
      </c>
      <c r="P270" s="572">
        <f t="shared" si="164"/>
        <v>0</v>
      </c>
      <c r="Q270" s="572">
        <v>0</v>
      </c>
      <c r="R270" s="572">
        <v>0</v>
      </c>
      <c r="S270" s="572">
        <v>0</v>
      </c>
      <c r="T270" s="572">
        <f t="shared" si="166"/>
        <v>0</v>
      </c>
      <c r="U270" s="572">
        <f t="shared" si="167"/>
        <v>0</v>
      </c>
    </row>
    <row r="271" spans="1:21" ht="18.75" x14ac:dyDescent="0.25">
      <c r="A271" s="823"/>
      <c r="B271" s="824"/>
      <c r="C271" s="824"/>
      <c r="D271" s="824"/>
      <c r="E271" s="838" t="s">
        <v>37</v>
      </c>
      <c r="F271" s="824"/>
      <c r="G271" s="827"/>
      <c r="H271" s="843" t="s">
        <v>14</v>
      </c>
      <c r="I271" s="844"/>
      <c r="J271" s="844"/>
      <c r="K271" s="845"/>
      <c r="L271" s="840">
        <f ca="1">IFERROR(__xludf.DUMMYFUNCTION("IMPORTRANGE(""https://docs.google.com/spreadsheets/d/1-uDff_7J0KD5mKrp0Vvzr7lt3OU09vwQwhkpOPPYv2Y/edit?usp=sharing"",""งบพรบ!DE18"")"),5000)</f>
        <v>5000</v>
      </c>
      <c r="M271" s="841">
        <f ca="1">IFERROR(__xludf.DUMMYFUNCTION("IMPORTRANGE(""https://docs.google.com/spreadsheets/d/1-uDff_7J0KD5mKrp0Vvzr7lt3OU09vwQwhkpOPPYv2Y/edit?usp=sharing"",""งบพรบ!DJ18"")"),5000)</f>
        <v>5000</v>
      </c>
      <c r="N271" s="841">
        <f ca="1">IFERROR(__xludf.DUMMYFUNCTION("IMPORTRANGE(""https://docs.google.com/spreadsheets/d/1-uDff_7J0KD5mKrp0Vvzr7lt3OU09vwQwhkpOPPYv2Y/edit?usp=sharing"",""งบพรบ!DL18"")"),5000)</f>
        <v>5000</v>
      </c>
      <c r="O271" s="841">
        <f t="shared" ca="1" si="163"/>
        <v>100</v>
      </c>
      <c r="P271" s="841">
        <f t="shared" ca="1" si="164"/>
        <v>100</v>
      </c>
      <c r="Q271" s="841">
        <f ca="1">IFERROR(__xludf.DUMMYFUNCTION("IMPORTRANGE(""https://docs.google.com/spreadsheets/d/1ItG2mGa2ceCfYo0BwxsXqNm01IGEUdYcSSLTEv9YCik/edit?usp=sharing"",""เบิกจ่ายกองทุน!AP18"")"),53440)</f>
        <v>53440</v>
      </c>
      <c r="R271" s="841">
        <f ca="1">IFERROR(__xludf.DUMMYFUNCTION("IMPORTRANGE(""https://docs.google.com/spreadsheets/d/1ItG2mGa2ceCfYo0BwxsXqNm01IGEUdYcSSLTEv9YCik/edit?usp=sharing"",""เบิกจ่ายกองทุน!AQ18"")"),53440)</f>
        <v>53440</v>
      </c>
      <c r="S271" s="841">
        <f ca="1">IFERROR(__xludf.DUMMYFUNCTION("IMPORTRANGE(""https://docs.google.com/spreadsheets/d/1ItG2mGa2ceCfYo0BwxsXqNm01IGEUdYcSSLTEv9YCik/edit?usp=sharing"",""เบิกจ่ายกองทุน!AR18"")"),46520)</f>
        <v>46520</v>
      </c>
      <c r="T271" s="841">
        <f t="shared" ca="1" si="166"/>
        <v>87.050898203592808</v>
      </c>
      <c r="U271" s="841">
        <f t="shared" ca="1" si="167"/>
        <v>87.050898203592808</v>
      </c>
    </row>
    <row r="272" spans="1:21" ht="18.75" x14ac:dyDescent="0.25">
      <c r="A272" s="823"/>
      <c r="B272" s="824"/>
      <c r="C272" s="824"/>
      <c r="D272" s="842" t="s">
        <v>23</v>
      </c>
      <c r="E272" s="824"/>
      <c r="F272" s="824"/>
      <c r="G272" s="827"/>
      <c r="H272" s="848" t="s">
        <v>14</v>
      </c>
      <c r="I272" s="844"/>
      <c r="J272" s="844"/>
      <c r="K272" s="845"/>
      <c r="L272" s="840">
        <f t="shared" ref="L272:N272" ca="1" si="172">L273+L274</f>
        <v>0</v>
      </c>
      <c r="M272" s="841">
        <f t="shared" ca="1" si="172"/>
        <v>0</v>
      </c>
      <c r="N272" s="841">
        <f t="shared" ca="1" si="172"/>
        <v>0</v>
      </c>
      <c r="O272" s="841">
        <f t="shared" ca="1" si="163"/>
        <v>0</v>
      </c>
      <c r="P272" s="841">
        <f t="shared" ca="1" si="164"/>
        <v>0</v>
      </c>
      <c r="Q272" s="841">
        <f t="shared" ref="Q272:S272" si="173">Q273+Q274</f>
        <v>0</v>
      </c>
      <c r="R272" s="841">
        <f t="shared" si="173"/>
        <v>0</v>
      </c>
      <c r="S272" s="841">
        <f t="shared" si="173"/>
        <v>0</v>
      </c>
      <c r="T272" s="841">
        <f t="shared" si="166"/>
        <v>0</v>
      </c>
      <c r="U272" s="841">
        <f t="shared" si="167"/>
        <v>0</v>
      </c>
    </row>
    <row r="273" spans="1:21" ht="18.75" x14ac:dyDescent="0.25">
      <c r="A273" s="833"/>
      <c r="B273" s="834"/>
      <c r="C273" s="834"/>
      <c r="D273" s="834"/>
      <c r="E273" s="569" t="s">
        <v>20</v>
      </c>
      <c r="F273" s="834"/>
      <c r="G273" s="835"/>
      <c r="H273" s="685" t="s">
        <v>14</v>
      </c>
      <c r="I273" s="846"/>
      <c r="J273" s="846"/>
      <c r="K273" s="847"/>
      <c r="L273" s="571">
        <v>0</v>
      </c>
      <c r="M273" s="572">
        <v>0</v>
      </c>
      <c r="N273" s="572">
        <v>0</v>
      </c>
      <c r="O273" s="572">
        <f t="shared" si="163"/>
        <v>0</v>
      </c>
      <c r="P273" s="572">
        <f t="shared" si="164"/>
        <v>0</v>
      </c>
      <c r="Q273" s="572">
        <v>0</v>
      </c>
      <c r="R273" s="572">
        <v>0</v>
      </c>
      <c r="S273" s="572">
        <v>0</v>
      </c>
      <c r="T273" s="572">
        <f t="shared" si="166"/>
        <v>0</v>
      </c>
      <c r="U273" s="572">
        <f t="shared" si="167"/>
        <v>0</v>
      </c>
    </row>
    <row r="274" spans="1:21" ht="18.75" x14ac:dyDescent="0.25">
      <c r="A274" s="823"/>
      <c r="B274" s="824"/>
      <c r="C274" s="824"/>
      <c r="D274" s="824"/>
      <c r="E274" s="838" t="s">
        <v>21</v>
      </c>
      <c r="F274" s="824"/>
      <c r="G274" s="827"/>
      <c r="H274" s="848" t="s">
        <v>14</v>
      </c>
      <c r="I274" s="844"/>
      <c r="J274" s="844"/>
      <c r="K274" s="845"/>
      <c r="L274" s="840">
        <f ca="1">IFERROR(__xludf.DUMMYFUNCTION("IMPORTRANGE(""https://docs.google.com/spreadsheets/d/1-uDff_7J0KD5mKrp0Vvzr7lt3OU09vwQwhkpOPPYv2Y/edit?usp=sharing"",""งบพรบ!DH18"")"),0)</f>
        <v>0</v>
      </c>
      <c r="M274" s="841">
        <f ca="1">IFERROR(__xludf.DUMMYFUNCTION("IMPORTRANGE(""https://docs.google.com/spreadsheets/d/1-uDff_7J0KD5mKrp0Vvzr7lt3OU09vwQwhkpOPPYv2Y/edit?usp=sharing"",""งบพรบ!DK18"")"),0)</f>
        <v>0</v>
      </c>
      <c r="N274" s="841">
        <f ca="1">IFERROR(__xludf.DUMMYFUNCTION("IMPORTRANGE(""https://docs.google.com/spreadsheets/d/1-uDff_7J0KD5mKrp0Vvzr7lt3OU09vwQwhkpOPPYv2Y/edit?usp=sharing"",""งบพรบ!DM18"")"),0)</f>
        <v>0</v>
      </c>
      <c r="O274" s="841">
        <f t="shared" ca="1" si="163"/>
        <v>0</v>
      </c>
      <c r="P274" s="841">
        <f t="shared" ca="1" si="164"/>
        <v>0</v>
      </c>
      <c r="Q274" s="841">
        <v>0</v>
      </c>
      <c r="R274" s="841">
        <v>0</v>
      </c>
      <c r="S274" s="841">
        <v>0</v>
      </c>
      <c r="T274" s="841">
        <f t="shared" si="166"/>
        <v>0</v>
      </c>
      <c r="U274" s="841">
        <f t="shared" si="167"/>
        <v>0</v>
      </c>
    </row>
    <row r="275" spans="1:21" ht="19.5" x14ac:dyDescent="0.3">
      <c r="A275" s="849"/>
      <c r="B275" s="850"/>
      <c r="C275" s="838" t="s">
        <v>18</v>
      </c>
      <c r="D275" s="851" t="s">
        <v>38</v>
      </c>
      <c r="E275" s="816"/>
      <c r="F275" s="816"/>
      <c r="G275" s="817"/>
      <c r="H275" s="852"/>
      <c r="I275" s="844"/>
      <c r="J275" s="844"/>
      <c r="K275" s="845"/>
      <c r="L275" s="853"/>
      <c r="M275" s="845"/>
      <c r="N275" s="845"/>
      <c r="O275" s="845"/>
      <c r="P275" s="845"/>
      <c r="Q275" s="845"/>
      <c r="R275" s="845"/>
      <c r="S275" s="845"/>
      <c r="T275" s="845"/>
      <c r="U275" s="845"/>
    </row>
    <row r="276" spans="1:21" ht="18.75" x14ac:dyDescent="0.25">
      <c r="A276" s="854"/>
      <c r="B276" s="855"/>
      <c r="C276" s="855"/>
      <c r="D276" s="856" t="s">
        <v>115</v>
      </c>
      <c r="E276" s="857"/>
      <c r="F276" s="857"/>
      <c r="G276" s="858"/>
      <c r="H276" s="859" t="s">
        <v>35</v>
      </c>
      <c r="I276" s="860">
        <f ca="1">IFERROR(__xludf.DUMMYFUNCTION("IMPORTRANGE(""https://docs.google.com/spreadsheets/d/1eHaY18a8A9IcSdp1K8H6x8fbOy06t2VsZHhMHf-1x7Y/edit?usp=sharing"",""แผน!EC18"")"),24)</f>
        <v>24</v>
      </c>
      <c r="J276" s="861">
        <v>24</v>
      </c>
      <c r="K276" s="862">
        <f ca="1">IF(I276&gt;0,J276*100/I276,0)</f>
        <v>100</v>
      </c>
      <c r="L276" s="574"/>
      <c r="M276" s="566"/>
      <c r="N276" s="566"/>
      <c r="O276" s="566"/>
      <c r="P276" s="566"/>
      <c r="Q276" s="566"/>
      <c r="R276" s="566"/>
      <c r="S276" s="566"/>
      <c r="T276" s="566"/>
      <c r="U276" s="566"/>
    </row>
    <row r="277" spans="1:21" ht="18.75" x14ac:dyDescent="0.25">
      <c r="A277" s="863"/>
      <c r="B277" s="864"/>
      <c r="C277" s="864"/>
      <c r="D277" s="865" t="s">
        <v>116</v>
      </c>
      <c r="E277" s="512"/>
      <c r="F277" s="512"/>
      <c r="G277" s="866"/>
      <c r="H277" s="867" t="s">
        <v>35</v>
      </c>
      <c r="I277" s="740">
        <v>0</v>
      </c>
      <c r="J277" s="740">
        <v>0</v>
      </c>
      <c r="K277" s="868">
        <v>0</v>
      </c>
      <c r="L277" s="869"/>
      <c r="M277" s="870"/>
      <c r="N277" s="870"/>
      <c r="O277" s="870"/>
      <c r="P277" s="870"/>
      <c r="Q277" s="870"/>
      <c r="R277" s="870"/>
      <c r="S277" s="870"/>
      <c r="T277" s="870"/>
      <c r="U277" s="870"/>
    </row>
    <row r="278" spans="1:21" ht="19.5" x14ac:dyDescent="0.3">
      <c r="A278" s="871" t="s">
        <v>117</v>
      </c>
      <c r="B278" s="872"/>
      <c r="C278" s="872"/>
      <c r="D278" s="872"/>
      <c r="E278" s="873"/>
      <c r="F278" s="873"/>
      <c r="G278" s="873"/>
      <c r="H278" s="873"/>
      <c r="I278" s="874"/>
      <c r="J278" s="874"/>
      <c r="K278" s="875"/>
      <c r="L278" s="875"/>
      <c r="M278" s="875"/>
      <c r="N278" s="875"/>
      <c r="O278" s="875"/>
      <c r="P278" s="876"/>
      <c r="Q278" s="875"/>
      <c r="R278" s="875"/>
      <c r="S278" s="875"/>
      <c r="T278" s="875"/>
      <c r="U278" s="876"/>
    </row>
    <row r="279" spans="1:21" ht="19.5" x14ac:dyDescent="0.3">
      <c r="A279" s="877" t="s">
        <v>118</v>
      </c>
      <c r="B279" s="878"/>
      <c r="C279" s="879"/>
      <c r="D279" s="878"/>
      <c r="E279" s="878"/>
      <c r="F279" s="878"/>
      <c r="G279" s="878"/>
      <c r="H279" s="878"/>
      <c r="I279" s="880"/>
      <c r="J279" s="881"/>
      <c r="K279" s="882"/>
      <c r="L279" s="883"/>
      <c r="M279" s="882"/>
      <c r="N279" s="882"/>
      <c r="O279" s="882"/>
      <c r="P279" s="882"/>
      <c r="Q279" s="882"/>
      <c r="R279" s="882"/>
      <c r="S279" s="882"/>
      <c r="T279" s="882"/>
      <c r="U279" s="882"/>
    </row>
    <row r="280" spans="1:21" ht="19.5" x14ac:dyDescent="0.3">
      <c r="A280" s="884"/>
      <c r="B280" s="885" t="s">
        <v>119</v>
      </c>
      <c r="C280" s="886"/>
      <c r="D280" s="887"/>
      <c r="E280" s="886"/>
      <c r="F280" s="886"/>
      <c r="G280" s="888"/>
      <c r="H280" s="889" t="s">
        <v>35</v>
      </c>
      <c r="I280" s="890">
        <f t="shared" ref="I280:J280" ca="1" si="174">I293</f>
        <v>50</v>
      </c>
      <c r="J280" s="890">
        <f t="shared" si="174"/>
        <v>50</v>
      </c>
      <c r="K280" s="891">
        <f t="shared" ref="K280:K281" ca="1" si="175">IF(I280&gt;0,J280*100/I280,0)</f>
        <v>100</v>
      </c>
      <c r="L280" s="892"/>
      <c r="M280" s="893"/>
      <c r="N280" s="893"/>
      <c r="O280" s="893"/>
      <c r="P280" s="893"/>
      <c r="Q280" s="893"/>
      <c r="R280" s="893"/>
      <c r="S280" s="893"/>
      <c r="T280" s="893"/>
      <c r="U280" s="893"/>
    </row>
    <row r="281" spans="1:21" ht="19.5" x14ac:dyDescent="0.3">
      <c r="A281" s="884"/>
      <c r="B281" s="886"/>
      <c r="C281" s="886"/>
      <c r="D281" s="887"/>
      <c r="E281" s="886"/>
      <c r="F281" s="886"/>
      <c r="G281" s="888"/>
      <c r="H281" s="889" t="s">
        <v>46</v>
      </c>
      <c r="I281" s="890">
        <f t="shared" ref="I281:J281" ca="1" si="176">I292</f>
        <v>500</v>
      </c>
      <c r="J281" s="890">
        <f t="shared" si="176"/>
        <v>500</v>
      </c>
      <c r="K281" s="891">
        <f t="shared" ca="1" si="175"/>
        <v>100</v>
      </c>
      <c r="L281" s="892"/>
      <c r="M281" s="893"/>
      <c r="N281" s="893"/>
      <c r="O281" s="893"/>
      <c r="P281" s="893"/>
      <c r="Q281" s="893"/>
      <c r="R281" s="893"/>
      <c r="S281" s="893"/>
      <c r="T281" s="893"/>
      <c r="U281" s="893"/>
    </row>
    <row r="282" spans="1:21" ht="19.5" x14ac:dyDescent="0.3">
      <c r="A282" s="674"/>
      <c r="B282" s="561"/>
      <c r="C282" s="675" t="s">
        <v>18</v>
      </c>
      <c r="D282" s="676" t="s">
        <v>19</v>
      </c>
      <c r="E282" s="561"/>
      <c r="F282" s="561"/>
      <c r="G282" s="563"/>
      <c r="H282" s="677" t="s">
        <v>14</v>
      </c>
      <c r="I282" s="565"/>
      <c r="J282" s="565"/>
      <c r="K282" s="566"/>
      <c r="L282" s="678">
        <f t="shared" ref="L282:N282" ca="1" si="177">L283+L284</f>
        <v>236720</v>
      </c>
      <c r="M282" s="679">
        <f t="shared" ca="1" si="177"/>
        <v>236720</v>
      </c>
      <c r="N282" s="679">
        <f t="shared" ca="1" si="177"/>
        <v>176136</v>
      </c>
      <c r="O282" s="679">
        <f t="shared" ref="O282:O290" ca="1" si="178">IF(L282&gt;0,N282*100/L282,0)</f>
        <v>74.406894221020622</v>
      </c>
      <c r="P282" s="679">
        <f t="shared" ref="P282:P290" ca="1" si="179">IF(M282&gt;0,N282*100/M282,0)</f>
        <v>74.406894221020622</v>
      </c>
      <c r="Q282" s="679">
        <f t="shared" ref="Q282:S282" si="180">Q283+Q284</f>
        <v>0</v>
      </c>
      <c r="R282" s="679">
        <f t="shared" si="180"/>
        <v>0</v>
      </c>
      <c r="S282" s="679">
        <f t="shared" si="180"/>
        <v>0</v>
      </c>
      <c r="T282" s="679">
        <f t="shared" ref="T282:T290" si="181">IF(Q282&gt;0,S282*100/Q282,0)</f>
        <v>0</v>
      </c>
      <c r="U282" s="679">
        <f t="shared" ref="U282:U290" si="182">IF(R282&gt;0,S282*100/R282,0)</f>
        <v>0</v>
      </c>
    </row>
    <row r="283" spans="1:21" ht="18.75" x14ac:dyDescent="0.25">
      <c r="A283" s="674"/>
      <c r="B283" s="561"/>
      <c r="C283" s="561"/>
      <c r="D283" s="561"/>
      <c r="E283" s="569" t="s">
        <v>20</v>
      </c>
      <c r="F283" s="561"/>
      <c r="G283" s="563"/>
      <c r="H283" s="680" t="s">
        <v>14</v>
      </c>
      <c r="I283" s="565"/>
      <c r="J283" s="565"/>
      <c r="K283" s="566"/>
      <c r="L283" s="571">
        <f t="shared" ref="L283:N284" si="183">L286+L289</f>
        <v>0</v>
      </c>
      <c r="M283" s="572">
        <f t="shared" si="183"/>
        <v>0</v>
      </c>
      <c r="N283" s="572">
        <f t="shared" si="183"/>
        <v>0</v>
      </c>
      <c r="O283" s="572">
        <f t="shared" si="178"/>
        <v>0</v>
      </c>
      <c r="P283" s="572">
        <f t="shared" si="179"/>
        <v>0</v>
      </c>
      <c r="Q283" s="572">
        <f t="shared" ref="Q283:S284" si="184">Q286+Q289</f>
        <v>0</v>
      </c>
      <c r="R283" s="572">
        <f t="shared" si="184"/>
        <v>0</v>
      </c>
      <c r="S283" s="572">
        <f t="shared" si="184"/>
        <v>0</v>
      </c>
      <c r="T283" s="572">
        <f t="shared" si="181"/>
        <v>0</v>
      </c>
      <c r="U283" s="572">
        <f t="shared" si="182"/>
        <v>0</v>
      </c>
    </row>
    <row r="284" spans="1:21" ht="18.75" x14ac:dyDescent="0.25">
      <c r="A284" s="674"/>
      <c r="B284" s="561"/>
      <c r="C284" s="561"/>
      <c r="D284" s="561"/>
      <c r="E284" s="573" t="s">
        <v>21</v>
      </c>
      <c r="F284" s="561"/>
      <c r="G284" s="563"/>
      <c r="H284" s="681" t="s">
        <v>14</v>
      </c>
      <c r="I284" s="565"/>
      <c r="J284" s="565"/>
      <c r="K284" s="566"/>
      <c r="L284" s="567">
        <f t="shared" ca="1" si="183"/>
        <v>236720</v>
      </c>
      <c r="M284" s="568">
        <f t="shared" ca="1" si="183"/>
        <v>236720</v>
      </c>
      <c r="N284" s="568">
        <f t="shared" ca="1" si="183"/>
        <v>176136</v>
      </c>
      <c r="O284" s="568">
        <f t="shared" ca="1" si="178"/>
        <v>74.406894221020622</v>
      </c>
      <c r="P284" s="568">
        <f t="shared" ca="1" si="179"/>
        <v>74.406894221020622</v>
      </c>
      <c r="Q284" s="568">
        <f t="shared" si="184"/>
        <v>0</v>
      </c>
      <c r="R284" s="568">
        <f t="shared" si="184"/>
        <v>0</v>
      </c>
      <c r="S284" s="568">
        <f t="shared" si="184"/>
        <v>0</v>
      </c>
      <c r="T284" s="568">
        <f t="shared" si="181"/>
        <v>0</v>
      </c>
      <c r="U284" s="568">
        <f t="shared" si="182"/>
        <v>0</v>
      </c>
    </row>
    <row r="285" spans="1:21" ht="18.75" x14ac:dyDescent="0.25">
      <c r="A285" s="674"/>
      <c r="B285" s="561"/>
      <c r="C285" s="561"/>
      <c r="D285" s="562" t="s">
        <v>22</v>
      </c>
      <c r="E285" s="561"/>
      <c r="F285" s="561"/>
      <c r="G285" s="563"/>
      <c r="H285" s="682" t="s">
        <v>14</v>
      </c>
      <c r="I285" s="683"/>
      <c r="J285" s="683"/>
      <c r="K285" s="684"/>
      <c r="L285" s="567">
        <f t="shared" ref="L285:N285" ca="1" si="185">L286+L287</f>
        <v>236720</v>
      </c>
      <c r="M285" s="568">
        <f t="shared" ca="1" si="185"/>
        <v>236720</v>
      </c>
      <c r="N285" s="568">
        <f t="shared" ca="1" si="185"/>
        <v>176136</v>
      </c>
      <c r="O285" s="568">
        <f t="shared" ca="1" si="178"/>
        <v>74.406894221020622</v>
      </c>
      <c r="P285" s="568">
        <f t="shared" ca="1" si="179"/>
        <v>74.406894221020622</v>
      </c>
      <c r="Q285" s="568">
        <f t="shared" ref="Q285:S285" si="186">Q286+Q287</f>
        <v>0</v>
      </c>
      <c r="R285" s="568">
        <f t="shared" si="186"/>
        <v>0</v>
      </c>
      <c r="S285" s="568">
        <f t="shared" si="186"/>
        <v>0</v>
      </c>
      <c r="T285" s="568">
        <f t="shared" si="181"/>
        <v>0</v>
      </c>
      <c r="U285" s="568">
        <f t="shared" si="182"/>
        <v>0</v>
      </c>
    </row>
    <row r="286" spans="1:21" ht="18.75" x14ac:dyDescent="0.25">
      <c r="A286" s="674"/>
      <c r="B286" s="561"/>
      <c r="C286" s="561"/>
      <c r="D286" s="561"/>
      <c r="E286" s="569" t="s">
        <v>36</v>
      </c>
      <c r="F286" s="561"/>
      <c r="G286" s="563"/>
      <c r="H286" s="685" t="s">
        <v>14</v>
      </c>
      <c r="I286" s="683"/>
      <c r="J286" s="683"/>
      <c r="K286" s="684"/>
      <c r="L286" s="571">
        <v>0</v>
      </c>
      <c r="M286" s="572">
        <v>0</v>
      </c>
      <c r="N286" s="572">
        <v>0</v>
      </c>
      <c r="O286" s="572">
        <f t="shared" si="178"/>
        <v>0</v>
      </c>
      <c r="P286" s="572">
        <f t="shared" si="179"/>
        <v>0</v>
      </c>
      <c r="Q286" s="572">
        <v>0</v>
      </c>
      <c r="R286" s="572">
        <v>0</v>
      </c>
      <c r="S286" s="572">
        <v>0</v>
      </c>
      <c r="T286" s="572">
        <f t="shared" si="181"/>
        <v>0</v>
      </c>
      <c r="U286" s="572">
        <f t="shared" si="182"/>
        <v>0</v>
      </c>
    </row>
    <row r="287" spans="1:21" ht="18.75" x14ac:dyDescent="0.25">
      <c r="A287" s="674"/>
      <c r="B287" s="561"/>
      <c r="C287" s="561"/>
      <c r="D287" s="561"/>
      <c r="E287" s="573" t="s">
        <v>37</v>
      </c>
      <c r="F287" s="561"/>
      <c r="G287" s="563"/>
      <c r="H287" s="682" t="s">
        <v>14</v>
      </c>
      <c r="I287" s="683"/>
      <c r="J287" s="683"/>
      <c r="K287" s="684"/>
      <c r="L287" s="567">
        <f ca="1">IFERROR(__xludf.DUMMYFUNCTION("IMPORTRANGE(""https://docs.google.com/spreadsheets/d/1-uDff_7J0KD5mKrp0Vvzr7lt3OU09vwQwhkpOPPYv2Y/edit?usp=sharing"",""งบพรบ!DO18"")"),236720)</f>
        <v>236720</v>
      </c>
      <c r="M287" s="568">
        <f ca="1">IFERROR(__xludf.DUMMYFUNCTION("IMPORTRANGE(""https://docs.google.com/spreadsheets/d/1-uDff_7J0KD5mKrp0Vvzr7lt3OU09vwQwhkpOPPYv2Y/edit?usp=sharing"",""งบพรบ!DT18"")"),236720)</f>
        <v>236720</v>
      </c>
      <c r="N287" s="568">
        <f ca="1">IFERROR(__xludf.DUMMYFUNCTION("IMPORTRANGE(""https://docs.google.com/spreadsheets/d/1-uDff_7J0KD5mKrp0Vvzr7lt3OU09vwQwhkpOPPYv2Y/edit?usp=sharing"",""งบพรบ!DV18"")"),176136)</f>
        <v>176136</v>
      </c>
      <c r="O287" s="568">
        <f t="shared" ca="1" si="178"/>
        <v>74.406894221020622</v>
      </c>
      <c r="P287" s="568">
        <f t="shared" ca="1" si="179"/>
        <v>74.406894221020622</v>
      </c>
      <c r="Q287" s="568">
        <v>0</v>
      </c>
      <c r="R287" s="568">
        <v>0</v>
      </c>
      <c r="S287" s="568">
        <v>0</v>
      </c>
      <c r="T287" s="572">
        <f t="shared" si="181"/>
        <v>0</v>
      </c>
      <c r="U287" s="572">
        <f t="shared" si="182"/>
        <v>0</v>
      </c>
    </row>
    <row r="288" spans="1:21" ht="18.75" x14ac:dyDescent="0.25">
      <c r="A288" s="674"/>
      <c r="B288" s="561"/>
      <c r="C288" s="561"/>
      <c r="D288" s="562" t="s">
        <v>23</v>
      </c>
      <c r="E288" s="561"/>
      <c r="F288" s="561"/>
      <c r="G288" s="563"/>
      <c r="H288" s="686" t="s">
        <v>14</v>
      </c>
      <c r="I288" s="683"/>
      <c r="J288" s="683"/>
      <c r="K288" s="684"/>
      <c r="L288" s="567">
        <f t="shared" ref="L288:N288" ca="1" si="187">L289+L290</f>
        <v>0</v>
      </c>
      <c r="M288" s="568">
        <f t="shared" ca="1" si="187"/>
        <v>0</v>
      </c>
      <c r="N288" s="568">
        <f t="shared" ca="1" si="187"/>
        <v>0</v>
      </c>
      <c r="O288" s="568">
        <f t="shared" ca="1" si="178"/>
        <v>0</v>
      </c>
      <c r="P288" s="568">
        <f t="shared" ca="1" si="179"/>
        <v>0</v>
      </c>
      <c r="Q288" s="568">
        <f t="shared" ref="Q288:S288" si="188">Q289+Q290</f>
        <v>0</v>
      </c>
      <c r="R288" s="568">
        <f t="shared" si="188"/>
        <v>0</v>
      </c>
      <c r="S288" s="568">
        <f t="shared" si="188"/>
        <v>0</v>
      </c>
      <c r="T288" s="568">
        <f t="shared" si="181"/>
        <v>0</v>
      </c>
      <c r="U288" s="568">
        <f t="shared" si="182"/>
        <v>0</v>
      </c>
    </row>
    <row r="289" spans="1:21" ht="18.75" x14ac:dyDescent="0.25">
      <c r="A289" s="674"/>
      <c r="B289" s="561"/>
      <c r="C289" s="561"/>
      <c r="D289" s="561"/>
      <c r="E289" s="569" t="s">
        <v>20</v>
      </c>
      <c r="F289" s="561"/>
      <c r="G289" s="563"/>
      <c r="H289" s="685" t="s">
        <v>14</v>
      </c>
      <c r="I289" s="683"/>
      <c r="J289" s="683"/>
      <c r="K289" s="684"/>
      <c r="L289" s="571">
        <v>0</v>
      </c>
      <c r="M289" s="572">
        <v>0</v>
      </c>
      <c r="N289" s="572">
        <v>0</v>
      </c>
      <c r="O289" s="572">
        <f t="shared" si="178"/>
        <v>0</v>
      </c>
      <c r="P289" s="572">
        <f t="shared" si="179"/>
        <v>0</v>
      </c>
      <c r="Q289" s="572">
        <v>0</v>
      </c>
      <c r="R289" s="572">
        <v>0</v>
      </c>
      <c r="S289" s="572">
        <v>0</v>
      </c>
      <c r="T289" s="572">
        <f t="shared" si="181"/>
        <v>0</v>
      </c>
      <c r="U289" s="572">
        <f t="shared" si="182"/>
        <v>0</v>
      </c>
    </row>
    <row r="290" spans="1:21" ht="18.75" x14ac:dyDescent="0.25">
      <c r="A290" s="674"/>
      <c r="B290" s="561"/>
      <c r="C290" s="561"/>
      <c r="D290" s="561"/>
      <c r="E290" s="573" t="s">
        <v>21</v>
      </c>
      <c r="F290" s="561"/>
      <c r="G290" s="563"/>
      <c r="H290" s="686" t="s">
        <v>14</v>
      </c>
      <c r="I290" s="683"/>
      <c r="J290" s="683"/>
      <c r="K290" s="684"/>
      <c r="L290" s="567">
        <f ca="1">IFERROR(__xludf.DUMMYFUNCTION("IMPORTRANGE(""https://docs.google.com/spreadsheets/d/1-uDff_7J0KD5mKrp0Vvzr7lt3OU09vwQwhkpOPPYv2Y/edit?usp=sharing"",""งบพรบ!DR18"")"),0)</f>
        <v>0</v>
      </c>
      <c r="M290" s="568">
        <f ca="1">IFERROR(__xludf.DUMMYFUNCTION("IMPORTRANGE(""https://docs.google.com/spreadsheets/d/1-uDff_7J0KD5mKrp0Vvzr7lt3OU09vwQwhkpOPPYv2Y/edit?usp=sharing"",""งบพรบ!DU18"")"),0)</f>
        <v>0</v>
      </c>
      <c r="N290" s="568">
        <f ca="1">IFERROR(__xludf.DUMMYFUNCTION("IMPORTRANGE(""https://docs.google.com/spreadsheets/d/1-uDff_7J0KD5mKrp0Vvzr7lt3OU09vwQwhkpOPPYv2Y/edit?usp=sharing"",""งบพรบ!DW18"")"),0)</f>
        <v>0</v>
      </c>
      <c r="O290" s="568">
        <f t="shared" ca="1" si="178"/>
        <v>0</v>
      </c>
      <c r="P290" s="568">
        <f t="shared" ca="1" si="179"/>
        <v>0</v>
      </c>
      <c r="Q290" s="568">
        <v>0</v>
      </c>
      <c r="R290" s="568">
        <v>0</v>
      </c>
      <c r="S290" s="568">
        <v>0</v>
      </c>
      <c r="T290" s="568">
        <f t="shared" si="181"/>
        <v>0</v>
      </c>
      <c r="U290" s="568">
        <f t="shared" si="182"/>
        <v>0</v>
      </c>
    </row>
    <row r="291" spans="1:21" ht="19.5" x14ac:dyDescent="0.3">
      <c r="A291" s="687"/>
      <c r="B291" s="688"/>
      <c r="C291" s="675" t="s">
        <v>18</v>
      </c>
      <c r="D291" s="689" t="s">
        <v>38</v>
      </c>
      <c r="E291" s="690"/>
      <c r="F291" s="690"/>
      <c r="G291" s="691"/>
      <c r="H291" s="692"/>
      <c r="I291" s="683"/>
      <c r="J291" s="683"/>
      <c r="K291" s="684"/>
      <c r="L291" s="693"/>
      <c r="M291" s="684"/>
      <c r="N291" s="684"/>
      <c r="O291" s="684"/>
      <c r="P291" s="684"/>
      <c r="Q291" s="684"/>
      <c r="R291" s="684"/>
      <c r="S291" s="684"/>
      <c r="T291" s="684"/>
      <c r="U291" s="684"/>
    </row>
    <row r="292" spans="1:21" ht="18.75" x14ac:dyDescent="0.25">
      <c r="A292" s="687"/>
      <c r="B292" s="688"/>
      <c r="C292" s="688"/>
      <c r="D292" s="699" t="s">
        <v>120</v>
      </c>
      <c r="E292" s="688"/>
      <c r="F292" s="695"/>
      <c r="G292" s="692"/>
      <c r="H292" s="704" t="s">
        <v>46</v>
      </c>
      <c r="I292" s="708">
        <f ca="1">IFERROR(__xludf.DUMMYFUNCTION("IMPORTRANGE(""https://docs.google.com/spreadsheets/d/1eHaY18a8A9IcSdp1K8H6x8fbOy06t2VsZHhMHf-1x7Y/edit?usp=sharing"",""แผน!EE18"")"),500)</f>
        <v>500</v>
      </c>
      <c r="J292" s="702">
        <v>500</v>
      </c>
      <c r="K292" s="703">
        <f t="shared" ref="K292:K293" ca="1" si="189">IF(I292&gt;0,J292*100/I292,0)</f>
        <v>100</v>
      </c>
      <c r="L292" s="693"/>
      <c r="M292" s="684"/>
      <c r="N292" s="684"/>
      <c r="O292" s="684"/>
      <c r="P292" s="684"/>
      <c r="Q292" s="684"/>
      <c r="R292" s="684"/>
      <c r="S292" s="684"/>
      <c r="T292" s="684"/>
      <c r="U292" s="684"/>
    </row>
    <row r="293" spans="1:21" ht="19.5" x14ac:dyDescent="0.3">
      <c r="A293" s="687"/>
      <c r="B293" s="688"/>
      <c r="C293" s="688"/>
      <c r="D293" s="699" t="s">
        <v>121</v>
      </c>
      <c r="E293" s="688"/>
      <c r="F293" s="695"/>
      <c r="G293" s="692"/>
      <c r="H293" s="696" t="s">
        <v>35</v>
      </c>
      <c r="I293" s="697">
        <f ca="1">IFERROR(__xludf.DUMMYFUNCTION("IMPORTRANGE(""https://docs.google.com/spreadsheets/d/1eHaY18a8A9IcSdp1K8H6x8fbOy06t2VsZHhMHf-1x7Y/edit?usp=sharing"",""แผน!ED18"")"),50)</f>
        <v>50</v>
      </c>
      <c r="J293" s="697">
        <f>J296</f>
        <v>50</v>
      </c>
      <c r="K293" s="698">
        <f t="shared" ca="1" si="189"/>
        <v>100</v>
      </c>
      <c r="L293" s="693"/>
      <c r="M293" s="684"/>
      <c r="N293" s="684"/>
      <c r="O293" s="684"/>
      <c r="P293" s="684"/>
      <c r="Q293" s="684"/>
      <c r="R293" s="684"/>
      <c r="S293" s="684"/>
      <c r="T293" s="684"/>
      <c r="U293" s="684"/>
    </row>
    <row r="294" spans="1:21" ht="19.5" x14ac:dyDescent="0.3">
      <c r="A294" s="687"/>
      <c r="B294" s="688"/>
      <c r="C294" s="688"/>
      <c r="D294" s="695"/>
      <c r="E294" s="707" t="s">
        <v>303</v>
      </c>
      <c r="F294" s="695"/>
      <c r="G294" s="692"/>
      <c r="H294" s="692"/>
      <c r="I294" s="683"/>
      <c r="J294" s="565"/>
      <c r="K294" s="684"/>
      <c r="L294" s="693"/>
      <c r="M294" s="684"/>
      <c r="N294" s="684"/>
      <c r="O294" s="684"/>
      <c r="P294" s="684"/>
      <c r="Q294" s="684"/>
      <c r="R294" s="684"/>
      <c r="S294" s="684"/>
      <c r="T294" s="684"/>
      <c r="U294" s="684"/>
    </row>
    <row r="295" spans="1:21" ht="19.5" x14ac:dyDescent="0.3">
      <c r="A295" s="687"/>
      <c r="B295" s="688"/>
      <c r="C295" s="688"/>
      <c r="D295" s="695"/>
      <c r="E295" s="699" t="s">
        <v>304</v>
      </c>
      <c r="F295" s="695"/>
      <c r="G295" s="692"/>
      <c r="H295" s="700" t="s">
        <v>35</v>
      </c>
      <c r="I295" s="701">
        <f ca="1">IFERROR(__xludf.DUMMYFUNCTION("IMPORTRANGE(""https://docs.google.com/spreadsheets/d/1eHaY18a8A9IcSdp1K8H6x8fbOy06t2VsZHhMHf-1x7Y/edit?usp=sharing"",""แผน!ED18"")"),50)</f>
        <v>50</v>
      </c>
      <c r="J295" s="702">
        <v>50</v>
      </c>
      <c r="K295" s="703">
        <f t="shared" ref="K295:K296" ca="1" si="190">IF(I295&gt;0,J295*100/I295,0)</f>
        <v>100</v>
      </c>
      <c r="L295" s="693"/>
      <c r="M295" s="684"/>
      <c r="N295" s="684"/>
      <c r="O295" s="684"/>
      <c r="P295" s="684"/>
      <c r="Q295" s="684"/>
      <c r="R295" s="684"/>
      <c r="S295" s="684"/>
      <c r="T295" s="684"/>
      <c r="U295" s="684"/>
    </row>
    <row r="296" spans="1:21" ht="19.5" x14ac:dyDescent="0.3">
      <c r="A296" s="687"/>
      <c r="B296" s="688"/>
      <c r="C296" s="688"/>
      <c r="D296" s="695"/>
      <c r="E296" s="699" t="s">
        <v>305</v>
      </c>
      <c r="F296" s="695"/>
      <c r="G296" s="692"/>
      <c r="H296" s="700" t="s">
        <v>35</v>
      </c>
      <c r="I296" s="701">
        <f ca="1">IFERROR(__xludf.DUMMYFUNCTION("IMPORTRANGE(""https://docs.google.com/spreadsheets/d/1eHaY18a8A9IcSdp1K8H6x8fbOy06t2VsZHhMHf-1x7Y/edit?usp=sharing"",""แผน!ED18"")"),50)</f>
        <v>50</v>
      </c>
      <c r="J296" s="702">
        <v>50</v>
      </c>
      <c r="K296" s="703">
        <f t="shared" ca="1" si="190"/>
        <v>100</v>
      </c>
      <c r="L296" s="693"/>
      <c r="M296" s="684"/>
      <c r="N296" s="684"/>
      <c r="O296" s="684"/>
      <c r="P296" s="684"/>
      <c r="Q296" s="684"/>
      <c r="R296" s="684"/>
      <c r="S296" s="684"/>
      <c r="T296" s="684"/>
      <c r="U296" s="684"/>
    </row>
    <row r="297" spans="1:21" ht="12.75" hidden="1" x14ac:dyDescent="0.2">
      <c r="A297" s="705"/>
      <c r="B297" s="706"/>
      <c r="C297" s="706"/>
      <c r="D297" s="531"/>
      <c r="E297" s="531"/>
      <c r="F297" s="531"/>
      <c r="G297" s="532"/>
      <c r="H297" s="532"/>
      <c r="I297" s="533"/>
      <c r="J297" s="533"/>
      <c r="K297" s="534"/>
      <c r="L297" s="535"/>
      <c r="M297" s="534"/>
      <c r="N297" s="534"/>
      <c r="O297" s="534"/>
      <c r="P297" s="534"/>
      <c r="Q297" s="534"/>
      <c r="R297" s="534"/>
      <c r="S297" s="534"/>
      <c r="T297" s="534"/>
      <c r="U297" s="534"/>
    </row>
    <row r="298" spans="1:21" ht="12.75" hidden="1" x14ac:dyDescent="0.2">
      <c r="A298" s="705"/>
      <c r="B298" s="706"/>
      <c r="C298" s="706"/>
      <c r="D298" s="531"/>
      <c r="E298" s="531"/>
      <c r="F298" s="531"/>
      <c r="G298" s="532"/>
      <c r="H298" s="532"/>
      <c r="I298" s="533"/>
      <c r="J298" s="533"/>
      <c r="K298" s="534"/>
      <c r="L298" s="535"/>
      <c r="M298" s="534"/>
      <c r="N298" s="534"/>
      <c r="O298" s="534"/>
      <c r="P298" s="534"/>
      <c r="Q298" s="534"/>
      <c r="R298" s="534"/>
      <c r="S298" s="534"/>
      <c r="T298" s="534"/>
      <c r="U298" s="534"/>
    </row>
    <row r="299" spans="1:21" ht="12.75" hidden="1" x14ac:dyDescent="0.2">
      <c r="A299" s="894"/>
      <c r="B299" s="895"/>
      <c r="C299" s="895"/>
      <c r="D299" s="537"/>
      <c r="E299" s="537"/>
      <c r="F299" s="537"/>
      <c r="G299" s="526"/>
      <c r="H299" s="526"/>
      <c r="I299" s="527"/>
      <c r="J299" s="527"/>
      <c r="K299" s="528"/>
      <c r="L299" s="529"/>
      <c r="M299" s="528"/>
      <c r="N299" s="528"/>
      <c r="O299" s="528"/>
      <c r="P299" s="528"/>
      <c r="Q299" s="528"/>
      <c r="R299" s="528"/>
      <c r="S299" s="528"/>
      <c r="T299" s="528"/>
      <c r="U299" s="528"/>
    </row>
    <row r="300" spans="1:21" ht="19.5" x14ac:dyDescent="0.3">
      <c r="A300" s="896" t="s">
        <v>125</v>
      </c>
      <c r="B300" s="897"/>
      <c r="C300" s="897"/>
      <c r="D300" s="897"/>
      <c r="E300" s="898"/>
      <c r="F300" s="898"/>
      <c r="G300" s="898"/>
      <c r="H300" s="898"/>
      <c r="I300" s="899"/>
      <c r="J300" s="899"/>
      <c r="K300" s="900"/>
      <c r="L300" s="900"/>
      <c r="M300" s="900"/>
      <c r="N300" s="900"/>
      <c r="O300" s="900"/>
      <c r="P300" s="901"/>
      <c r="Q300" s="900"/>
      <c r="R300" s="900"/>
      <c r="S300" s="900"/>
      <c r="T300" s="900"/>
      <c r="U300" s="901"/>
    </row>
    <row r="301" spans="1:21" ht="19.5" x14ac:dyDescent="0.3">
      <c r="A301" s="902" t="s">
        <v>126</v>
      </c>
      <c r="B301" s="903"/>
      <c r="C301" s="903"/>
      <c r="D301" s="904"/>
      <c r="E301" s="904"/>
      <c r="F301" s="904"/>
      <c r="G301" s="905"/>
      <c r="H301" s="905"/>
      <c r="I301" s="906"/>
      <c r="J301" s="906"/>
      <c r="K301" s="907"/>
      <c r="L301" s="908"/>
      <c r="M301" s="907"/>
      <c r="N301" s="907"/>
      <c r="O301" s="907"/>
      <c r="P301" s="907"/>
      <c r="Q301" s="907"/>
      <c r="R301" s="907"/>
      <c r="S301" s="907"/>
      <c r="T301" s="907"/>
      <c r="U301" s="907"/>
    </row>
    <row r="302" spans="1:21" ht="19.5" x14ac:dyDescent="0.3">
      <c r="A302" s="909"/>
      <c r="B302" s="910" t="s">
        <v>127</v>
      </c>
      <c r="C302" s="911"/>
      <c r="D302" s="911"/>
      <c r="E302" s="911"/>
      <c r="F302" s="911"/>
      <c r="G302" s="912"/>
      <c r="H302" s="913" t="s">
        <v>35</v>
      </c>
      <c r="I302" s="914">
        <f t="shared" ref="I302:J302" ca="1" si="191">I314</f>
        <v>25</v>
      </c>
      <c r="J302" s="914">
        <f t="shared" si="191"/>
        <v>25</v>
      </c>
      <c r="K302" s="915">
        <f ca="1">IF(I302&gt;0,J302*100/I302,0)</f>
        <v>100</v>
      </c>
      <c r="L302" s="916"/>
      <c r="M302" s="917"/>
      <c r="N302" s="917"/>
      <c r="O302" s="917"/>
      <c r="P302" s="917"/>
      <c r="Q302" s="917"/>
      <c r="R302" s="917"/>
      <c r="S302" s="917"/>
      <c r="T302" s="917"/>
      <c r="U302" s="917"/>
    </row>
    <row r="303" spans="1:21" ht="19.5" x14ac:dyDescent="0.3">
      <c r="A303" s="674"/>
      <c r="B303" s="561"/>
      <c r="C303" s="675" t="s">
        <v>18</v>
      </c>
      <c r="D303" s="676" t="s">
        <v>19</v>
      </c>
      <c r="E303" s="561"/>
      <c r="F303" s="561"/>
      <c r="G303" s="563"/>
      <c r="H303" s="677" t="s">
        <v>14</v>
      </c>
      <c r="I303" s="565"/>
      <c r="J303" s="565"/>
      <c r="K303" s="566"/>
      <c r="L303" s="678">
        <f t="shared" ref="L303:N303" ca="1" si="192">L304+L305</f>
        <v>176600</v>
      </c>
      <c r="M303" s="679">
        <f t="shared" ca="1" si="192"/>
        <v>152100</v>
      </c>
      <c r="N303" s="679">
        <f t="shared" ca="1" si="192"/>
        <v>143500</v>
      </c>
      <c r="O303" s="679">
        <f t="shared" ref="O303:O311" ca="1" si="193">IF(L303&gt;0,N303*100/L303,0)</f>
        <v>81.257078142695363</v>
      </c>
      <c r="P303" s="679">
        <f t="shared" ref="P303:P311" ca="1" si="194">IF(M303&gt;0,N303*100/M303,0)</f>
        <v>94.345825115055888</v>
      </c>
      <c r="Q303" s="679">
        <f t="shared" ref="Q303:S303" ca="1" si="195">Q304+Q305</f>
        <v>166057.24</v>
      </c>
      <c r="R303" s="679">
        <f t="shared" ca="1" si="195"/>
        <v>166057</v>
      </c>
      <c r="S303" s="679">
        <f t="shared" ca="1" si="195"/>
        <v>0</v>
      </c>
      <c r="T303" s="679">
        <f t="shared" ref="T303:T311" ca="1" si="196">IF(Q303&gt;0,S303*100/Q303,0)</f>
        <v>0</v>
      </c>
      <c r="U303" s="679">
        <f t="shared" ref="U303:U311" ca="1" si="197">IF(R303&gt;0,S303*100/R303,0)</f>
        <v>0</v>
      </c>
    </row>
    <row r="304" spans="1:21" ht="18.75" x14ac:dyDescent="0.25">
      <c r="A304" s="674"/>
      <c r="B304" s="561"/>
      <c r="C304" s="561"/>
      <c r="D304" s="561"/>
      <c r="E304" s="569" t="s">
        <v>20</v>
      </c>
      <c r="F304" s="561"/>
      <c r="G304" s="563"/>
      <c r="H304" s="680" t="s">
        <v>14</v>
      </c>
      <c r="I304" s="565"/>
      <c r="J304" s="565"/>
      <c r="K304" s="566"/>
      <c r="L304" s="571">
        <f t="shared" ref="L304:N305" si="198">L307+L310</f>
        <v>0</v>
      </c>
      <c r="M304" s="572">
        <f t="shared" si="198"/>
        <v>0</v>
      </c>
      <c r="N304" s="572">
        <f t="shared" si="198"/>
        <v>0</v>
      </c>
      <c r="O304" s="572">
        <f t="shared" si="193"/>
        <v>0</v>
      </c>
      <c r="P304" s="572">
        <f t="shared" si="194"/>
        <v>0</v>
      </c>
      <c r="Q304" s="572">
        <f t="shared" ref="Q304:S305" si="199">Q307+Q310</f>
        <v>0</v>
      </c>
      <c r="R304" s="572">
        <f t="shared" si="199"/>
        <v>0</v>
      </c>
      <c r="S304" s="572">
        <f t="shared" si="199"/>
        <v>0</v>
      </c>
      <c r="T304" s="572">
        <f t="shared" si="196"/>
        <v>0</v>
      </c>
      <c r="U304" s="572">
        <f t="shared" si="197"/>
        <v>0</v>
      </c>
    </row>
    <row r="305" spans="1:21" ht="18.75" x14ac:dyDescent="0.25">
      <c r="A305" s="674"/>
      <c r="B305" s="561"/>
      <c r="C305" s="561"/>
      <c r="D305" s="561"/>
      <c r="E305" s="573" t="s">
        <v>21</v>
      </c>
      <c r="F305" s="561"/>
      <c r="G305" s="563"/>
      <c r="H305" s="681" t="s">
        <v>14</v>
      </c>
      <c r="I305" s="565"/>
      <c r="J305" s="565"/>
      <c r="K305" s="566"/>
      <c r="L305" s="567">
        <f t="shared" ca="1" si="198"/>
        <v>176600</v>
      </c>
      <c r="M305" s="568">
        <f t="shared" ca="1" si="198"/>
        <v>152100</v>
      </c>
      <c r="N305" s="568">
        <f t="shared" ca="1" si="198"/>
        <v>143500</v>
      </c>
      <c r="O305" s="568">
        <f t="shared" ca="1" si="193"/>
        <v>81.257078142695363</v>
      </c>
      <c r="P305" s="568">
        <f t="shared" ca="1" si="194"/>
        <v>94.345825115055888</v>
      </c>
      <c r="Q305" s="568">
        <f t="shared" ca="1" si="199"/>
        <v>166057.24</v>
      </c>
      <c r="R305" s="568">
        <f t="shared" ca="1" si="199"/>
        <v>166057</v>
      </c>
      <c r="S305" s="568">
        <f t="shared" ca="1" si="199"/>
        <v>0</v>
      </c>
      <c r="T305" s="568">
        <f t="shared" ca="1" si="196"/>
        <v>0</v>
      </c>
      <c r="U305" s="568">
        <f t="shared" ca="1" si="197"/>
        <v>0</v>
      </c>
    </row>
    <row r="306" spans="1:21" ht="18.75" x14ac:dyDescent="0.25">
      <c r="A306" s="674"/>
      <c r="B306" s="561"/>
      <c r="C306" s="561"/>
      <c r="D306" s="562" t="s">
        <v>22</v>
      </c>
      <c r="E306" s="561"/>
      <c r="F306" s="561"/>
      <c r="G306" s="563"/>
      <c r="H306" s="682" t="s">
        <v>14</v>
      </c>
      <c r="I306" s="683"/>
      <c r="J306" s="683"/>
      <c r="K306" s="684"/>
      <c r="L306" s="567">
        <f t="shared" ref="L306:N306" ca="1" si="200">L307+L308</f>
        <v>176600</v>
      </c>
      <c r="M306" s="568">
        <f t="shared" ca="1" si="200"/>
        <v>152100</v>
      </c>
      <c r="N306" s="568">
        <f t="shared" ca="1" si="200"/>
        <v>143500</v>
      </c>
      <c r="O306" s="568">
        <f t="shared" ca="1" si="193"/>
        <v>81.257078142695363</v>
      </c>
      <c r="P306" s="568">
        <f t="shared" ca="1" si="194"/>
        <v>94.345825115055888</v>
      </c>
      <c r="Q306" s="568">
        <f t="shared" ref="Q306:S306" ca="1" si="201">Q307+Q308</f>
        <v>166057.24</v>
      </c>
      <c r="R306" s="568">
        <f t="shared" ca="1" si="201"/>
        <v>166057</v>
      </c>
      <c r="S306" s="568">
        <f t="shared" ca="1" si="201"/>
        <v>0</v>
      </c>
      <c r="T306" s="568">
        <f t="shared" ca="1" si="196"/>
        <v>0</v>
      </c>
      <c r="U306" s="568">
        <f t="shared" ca="1" si="197"/>
        <v>0</v>
      </c>
    </row>
    <row r="307" spans="1:21" ht="18.75" x14ac:dyDescent="0.25">
      <c r="A307" s="674"/>
      <c r="B307" s="561"/>
      <c r="C307" s="561"/>
      <c r="D307" s="561"/>
      <c r="E307" s="569" t="s">
        <v>36</v>
      </c>
      <c r="F307" s="561"/>
      <c r="G307" s="563"/>
      <c r="H307" s="685" t="s">
        <v>14</v>
      </c>
      <c r="I307" s="683"/>
      <c r="J307" s="683"/>
      <c r="K307" s="684"/>
      <c r="L307" s="571">
        <v>0</v>
      </c>
      <c r="M307" s="572">
        <v>0</v>
      </c>
      <c r="N307" s="572">
        <v>0</v>
      </c>
      <c r="O307" s="572">
        <f t="shared" si="193"/>
        <v>0</v>
      </c>
      <c r="P307" s="572">
        <f t="shared" si="194"/>
        <v>0</v>
      </c>
      <c r="Q307" s="572">
        <v>0</v>
      </c>
      <c r="R307" s="572">
        <v>0</v>
      </c>
      <c r="S307" s="572">
        <v>0</v>
      </c>
      <c r="T307" s="572">
        <f t="shared" si="196"/>
        <v>0</v>
      </c>
      <c r="U307" s="572">
        <f t="shared" si="197"/>
        <v>0</v>
      </c>
    </row>
    <row r="308" spans="1:21" ht="18.75" x14ac:dyDescent="0.25">
      <c r="A308" s="674"/>
      <c r="B308" s="561"/>
      <c r="C308" s="561"/>
      <c r="D308" s="561"/>
      <c r="E308" s="573" t="s">
        <v>37</v>
      </c>
      <c r="F308" s="561"/>
      <c r="G308" s="563"/>
      <c r="H308" s="682" t="s">
        <v>14</v>
      </c>
      <c r="I308" s="683"/>
      <c r="J308" s="683"/>
      <c r="K308" s="684"/>
      <c r="L308" s="567">
        <f ca="1">IFERROR(__xludf.DUMMYFUNCTION("IMPORTRANGE(""https://docs.google.com/spreadsheets/d/1-uDff_7J0KD5mKrp0Vvzr7lt3OU09vwQwhkpOPPYv2Y/edit?usp=sharing"",""งบพรบ!DY18"")"),176600)</f>
        <v>176600</v>
      </c>
      <c r="M308" s="568">
        <f ca="1">IFERROR(__xludf.DUMMYFUNCTION("IMPORTRANGE(""https://docs.google.com/spreadsheets/d/1-uDff_7J0KD5mKrp0Vvzr7lt3OU09vwQwhkpOPPYv2Y/edit?usp=sharing"",""งบพรบ!ED18"")"),152100)</f>
        <v>152100</v>
      </c>
      <c r="N308" s="568">
        <f ca="1">IFERROR(__xludf.DUMMYFUNCTION("IMPORTRANGE(""https://docs.google.com/spreadsheets/d/1-uDff_7J0KD5mKrp0Vvzr7lt3OU09vwQwhkpOPPYv2Y/edit?usp=sharing"",""งบพรบ!EF18"")"),143500)</f>
        <v>143500</v>
      </c>
      <c r="O308" s="568">
        <f t="shared" ca="1" si="193"/>
        <v>81.257078142695363</v>
      </c>
      <c r="P308" s="568">
        <f t="shared" ca="1" si="194"/>
        <v>94.345825115055888</v>
      </c>
      <c r="Q308" s="568">
        <f ca="1">IFERROR(__xludf.DUMMYFUNCTION("IMPORTRANGE(""https://docs.google.com/spreadsheets/d/1ItG2mGa2ceCfYo0BwxsXqNm01IGEUdYcSSLTEv9YCik/edit?usp=sharing"",""เบิกจ่ายกองทุน!BB18"")"),166057.24)</f>
        <v>166057.24</v>
      </c>
      <c r="R308" s="568">
        <f ca="1">IFERROR(__xludf.DUMMYFUNCTION("IMPORTRANGE(""https://docs.google.com/spreadsheets/d/1ItG2mGa2ceCfYo0BwxsXqNm01IGEUdYcSSLTEv9YCik/edit?usp=sharing"",""เบิกจ่ายกองทุน!BC18"")"),166057)</f>
        <v>166057</v>
      </c>
      <c r="S308" s="568">
        <f ca="1">IFERROR(__xludf.DUMMYFUNCTION("IMPORTRANGE(""https://docs.google.com/spreadsheets/d/1ItG2mGa2ceCfYo0BwxsXqNm01IGEUdYcSSLTEv9YCik/edit?usp=sharing"",""เบิกจ่ายกองทุน!BD18"")"),0)</f>
        <v>0</v>
      </c>
      <c r="T308" s="568">
        <f t="shared" ca="1" si="196"/>
        <v>0</v>
      </c>
      <c r="U308" s="568">
        <f t="shared" ca="1" si="197"/>
        <v>0</v>
      </c>
    </row>
    <row r="309" spans="1:21" ht="18.75" x14ac:dyDescent="0.25">
      <c r="A309" s="674"/>
      <c r="B309" s="561"/>
      <c r="C309" s="561"/>
      <c r="D309" s="562" t="s">
        <v>23</v>
      </c>
      <c r="E309" s="561"/>
      <c r="F309" s="561"/>
      <c r="G309" s="563"/>
      <c r="H309" s="686" t="s">
        <v>14</v>
      </c>
      <c r="I309" s="683"/>
      <c r="J309" s="683"/>
      <c r="K309" s="684"/>
      <c r="L309" s="567">
        <f t="shared" ref="L309:N309" ca="1" si="202">L310+L311</f>
        <v>0</v>
      </c>
      <c r="M309" s="568">
        <f t="shared" ca="1" si="202"/>
        <v>0</v>
      </c>
      <c r="N309" s="568">
        <f t="shared" ca="1" si="202"/>
        <v>0</v>
      </c>
      <c r="O309" s="568">
        <f t="shared" ca="1" si="193"/>
        <v>0</v>
      </c>
      <c r="P309" s="568">
        <f t="shared" ca="1" si="194"/>
        <v>0</v>
      </c>
      <c r="Q309" s="568">
        <f t="shared" ref="Q309:S309" si="203">Q310+Q311</f>
        <v>0</v>
      </c>
      <c r="R309" s="568">
        <f t="shared" si="203"/>
        <v>0</v>
      </c>
      <c r="S309" s="568">
        <f t="shared" si="203"/>
        <v>0</v>
      </c>
      <c r="T309" s="568">
        <f t="shared" si="196"/>
        <v>0</v>
      </c>
      <c r="U309" s="568">
        <f t="shared" si="197"/>
        <v>0</v>
      </c>
    </row>
    <row r="310" spans="1:21" ht="18.75" x14ac:dyDescent="0.25">
      <c r="A310" s="674"/>
      <c r="B310" s="561"/>
      <c r="C310" s="561"/>
      <c r="D310" s="561"/>
      <c r="E310" s="569" t="s">
        <v>20</v>
      </c>
      <c r="F310" s="561"/>
      <c r="G310" s="563"/>
      <c r="H310" s="685" t="s">
        <v>14</v>
      </c>
      <c r="I310" s="683"/>
      <c r="J310" s="683"/>
      <c r="K310" s="684"/>
      <c r="L310" s="571">
        <v>0</v>
      </c>
      <c r="M310" s="572">
        <v>0</v>
      </c>
      <c r="N310" s="572">
        <v>0</v>
      </c>
      <c r="O310" s="572">
        <f t="shared" si="193"/>
        <v>0</v>
      </c>
      <c r="P310" s="572">
        <f t="shared" si="194"/>
        <v>0</v>
      </c>
      <c r="Q310" s="572">
        <v>0</v>
      </c>
      <c r="R310" s="572">
        <v>0</v>
      </c>
      <c r="S310" s="572">
        <v>0</v>
      </c>
      <c r="T310" s="572">
        <f t="shared" si="196"/>
        <v>0</v>
      </c>
      <c r="U310" s="572">
        <f t="shared" si="197"/>
        <v>0</v>
      </c>
    </row>
    <row r="311" spans="1:21" ht="18.75" x14ac:dyDescent="0.25">
      <c r="A311" s="674"/>
      <c r="B311" s="561"/>
      <c r="C311" s="561"/>
      <c r="D311" s="561"/>
      <c r="E311" s="573" t="s">
        <v>21</v>
      </c>
      <c r="F311" s="561"/>
      <c r="G311" s="563"/>
      <c r="H311" s="686" t="s">
        <v>14</v>
      </c>
      <c r="I311" s="683"/>
      <c r="J311" s="683"/>
      <c r="K311" s="684"/>
      <c r="L311" s="567">
        <f ca="1">IFERROR(__xludf.DUMMYFUNCTION("IMPORTRANGE(""https://docs.google.com/spreadsheets/d/1-uDff_7J0KD5mKrp0Vvzr7lt3OU09vwQwhkpOPPYv2Y/edit?usp=sharing"",""งบพรบ!EB18"")"),0)</f>
        <v>0</v>
      </c>
      <c r="M311" s="568">
        <f ca="1">IFERROR(__xludf.DUMMYFUNCTION("IMPORTRANGE(""https://docs.google.com/spreadsheets/d/1-uDff_7J0KD5mKrp0Vvzr7lt3OU09vwQwhkpOPPYv2Y/edit?usp=sharing"",""งบพรบ!EE18"")"),0)</f>
        <v>0</v>
      </c>
      <c r="N311" s="568">
        <f ca="1">IFERROR(__xludf.DUMMYFUNCTION("IMPORTRANGE(""https://docs.google.com/spreadsheets/d/1-uDff_7J0KD5mKrp0Vvzr7lt3OU09vwQwhkpOPPYv2Y/edit?usp=sharing"",""งบพรบ!EG18"")"),0)</f>
        <v>0</v>
      </c>
      <c r="O311" s="568">
        <f t="shared" ca="1" si="193"/>
        <v>0</v>
      </c>
      <c r="P311" s="568">
        <f t="shared" ca="1" si="194"/>
        <v>0</v>
      </c>
      <c r="Q311" s="568">
        <v>0</v>
      </c>
      <c r="R311" s="568">
        <v>0</v>
      </c>
      <c r="S311" s="568">
        <v>0</v>
      </c>
      <c r="T311" s="568">
        <f t="shared" si="196"/>
        <v>0</v>
      </c>
      <c r="U311" s="568">
        <f t="shared" si="197"/>
        <v>0</v>
      </c>
    </row>
    <row r="312" spans="1:21" ht="19.5" x14ac:dyDescent="0.3">
      <c r="A312" s="687"/>
      <c r="B312" s="688"/>
      <c r="C312" s="675" t="s">
        <v>18</v>
      </c>
      <c r="D312" s="689" t="s">
        <v>38</v>
      </c>
      <c r="E312" s="690"/>
      <c r="F312" s="690"/>
      <c r="G312" s="691"/>
      <c r="H312" s="692"/>
      <c r="I312" s="565"/>
      <c r="J312" s="565"/>
      <c r="K312" s="566"/>
      <c r="L312" s="574"/>
      <c r="M312" s="566"/>
      <c r="N312" s="566"/>
      <c r="O312" s="566"/>
      <c r="P312" s="566"/>
      <c r="Q312" s="566"/>
      <c r="R312" s="566"/>
      <c r="S312" s="566"/>
      <c r="T312" s="566"/>
      <c r="U312" s="566"/>
    </row>
    <row r="313" spans="1:21" ht="18.75" hidden="1" x14ac:dyDescent="0.25">
      <c r="A313" s="705"/>
      <c r="B313" s="706"/>
      <c r="C313" s="706"/>
      <c r="D313" s="918"/>
      <c r="E313" s="531"/>
      <c r="F313" s="531"/>
      <c r="G313" s="532"/>
      <c r="H313" s="532"/>
      <c r="I313" s="533"/>
      <c r="J313" s="919"/>
      <c r="K313" s="534"/>
      <c r="L313" s="535"/>
      <c r="M313" s="534"/>
      <c r="N313" s="534"/>
      <c r="O313" s="534"/>
      <c r="P313" s="534"/>
      <c r="Q313" s="534"/>
      <c r="R313" s="534"/>
      <c r="S313" s="534"/>
      <c r="T313" s="534"/>
      <c r="U313" s="534"/>
    </row>
    <row r="314" spans="1:21" ht="18.75" x14ac:dyDescent="0.25">
      <c r="A314" s="687"/>
      <c r="B314" s="688"/>
      <c r="C314" s="688"/>
      <c r="D314" s="699" t="s">
        <v>121</v>
      </c>
      <c r="E314" s="695"/>
      <c r="F314" s="695"/>
      <c r="G314" s="692"/>
      <c r="H314" s="700" t="s">
        <v>35</v>
      </c>
      <c r="I314" s="708">
        <f ca="1">IFERROR(__xludf.DUMMYFUNCTION("IMPORTRANGE(""https://docs.google.com/spreadsheets/d/1eHaY18a8A9IcSdp1K8H6x8fbOy06t2VsZHhMHf-1x7Y/edit?usp=sharing"",""แผน!EF18"")"),25)</f>
        <v>25</v>
      </c>
      <c r="J314" s="702">
        <v>25</v>
      </c>
      <c r="K314" s="568">
        <f ca="1">IF(I314&gt;0,J314*100/I314,0)</f>
        <v>100</v>
      </c>
      <c r="L314" s="574"/>
      <c r="M314" s="566"/>
      <c r="N314" s="566"/>
      <c r="O314" s="566"/>
      <c r="P314" s="566"/>
      <c r="Q314" s="566"/>
      <c r="R314" s="566"/>
      <c r="S314" s="566"/>
      <c r="T314" s="566"/>
      <c r="U314" s="566"/>
    </row>
    <row r="315" spans="1:21" ht="18.75" hidden="1" x14ac:dyDescent="0.25">
      <c r="A315" s="705"/>
      <c r="B315" s="706"/>
      <c r="C315" s="706"/>
      <c r="D315" s="918"/>
      <c r="E315" s="531"/>
      <c r="F315" s="531"/>
      <c r="G315" s="532"/>
      <c r="H315" s="920"/>
      <c r="I315" s="919"/>
      <c r="J315" s="919"/>
      <c r="K315" s="921"/>
      <c r="L315" s="535"/>
      <c r="M315" s="534"/>
      <c r="N315" s="534"/>
      <c r="O315" s="534"/>
      <c r="P315" s="534"/>
      <c r="Q315" s="534"/>
      <c r="R315" s="534"/>
      <c r="S315" s="534"/>
      <c r="T315" s="534"/>
      <c r="U315" s="534"/>
    </row>
    <row r="316" spans="1:21" ht="18.75" hidden="1" x14ac:dyDescent="0.25">
      <c r="A316" s="705"/>
      <c r="B316" s="706"/>
      <c r="C316" s="706"/>
      <c r="D316" s="918"/>
      <c r="E316" s="531"/>
      <c r="F316" s="531"/>
      <c r="G316" s="532"/>
      <c r="H316" s="920"/>
      <c r="I316" s="919"/>
      <c r="J316" s="919"/>
      <c r="K316" s="921"/>
      <c r="L316" s="535"/>
      <c r="M316" s="534"/>
      <c r="N316" s="534"/>
      <c r="O316" s="534"/>
      <c r="P316" s="534"/>
      <c r="Q316" s="534"/>
      <c r="R316" s="534"/>
      <c r="S316" s="534"/>
      <c r="T316" s="534"/>
      <c r="U316" s="534"/>
    </row>
    <row r="317" spans="1:21" ht="18.75" hidden="1" x14ac:dyDescent="0.25">
      <c r="A317" s="705"/>
      <c r="B317" s="706"/>
      <c r="C317" s="706"/>
      <c r="D317" s="922"/>
      <c r="E317" s="531"/>
      <c r="F317" s="531"/>
      <c r="G317" s="532"/>
      <c r="H317" s="923"/>
      <c r="I317" s="924"/>
      <c r="J317" s="924"/>
      <c r="K317" s="925"/>
      <c r="L317" s="535"/>
      <c r="M317" s="534"/>
      <c r="N317" s="534"/>
      <c r="O317" s="534"/>
      <c r="P317" s="534"/>
      <c r="Q317" s="534"/>
      <c r="R317" s="534"/>
      <c r="S317" s="534"/>
      <c r="T317" s="534"/>
      <c r="U317" s="534"/>
    </row>
    <row r="318" spans="1:21" ht="19.5" hidden="1" x14ac:dyDescent="0.3">
      <c r="A318" s="902" t="s">
        <v>131</v>
      </c>
      <c r="B318" s="903"/>
      <c r="C318" s="903"/>
      <c r="D318" s="904"/>
      <c r="E318" s="903"/>
      <c r="F318" s="903"/>
      <c r="G318" s="903"/>
      <c r="H318" s="904"/>
      <c r="I318" s="906"/>
      <c r="J318" s="906"/>
      <c r="K318" s="907"/>
      <c r="L318" s="908"/>
      <c r="M318" s="907"/>
      <c r="N318" s="907"/>
      <c r="O318" s="907"/>
      <c r="P318" s="907"/>
      <c r="Q318" s="907"/>
      <c r="R318" s="907"/>
      <c r="S318" s="907"/>
      <c r="T318" s="907"/>
      <c r="U318" s="907"/>
    </row>
    <row r="319" spans="1:21" ht="19.5" hidden="1" x14ac:dyDescent="0.3">
      <c r="A319" s="926"/>
      <c r="B319" s="910" t="s">
        <v>132</v>
      </c>
      <c r="C319" s="927"/>
      <c r="D319" s="928"/>
      <c r="E319" s="911"/>
      <c r="F319" s="911"/>
      <c r="G319" s="912"/>
      <c r="H319" s="913" t="s">
        <v>133</v>
      </c>
      <c r="I319" s="914">
        <f t="shared" ref="I319:J319" ca="1" si="204">I330</f>
        <v>0</v>
      </c>
      <c r="J319" s="914">
        <f t="shared" si="204"/>
        <v>0</v>
      </c>
      <c r="K319" s="915">
        <f ca="1">IF(I319&gt;0,J319*100/I319,0)</f>
        <v>0</v>
      </c>
      <c r="L319" s="916"/>
      <c r="M319" s="917"/>
      <c r="N319" s="917"/>
      <c r="O319" s="917"/>
      <c r="P319" s="917"/>
      <c r="Q319" s="917"/>
      <c r="R319" s="917"/>
      <c r="S319" s="917"/>
      <c r="T319" s="917"/>
      <c r="U319" s="917"/>
    </row>
    <row r="320" spans="1:21" ht="19.5" hidden="1" x14ac:dyDescent="0.3">
      <c r="A320" s="674"/>
      <c r="B320" s="561"/>
      <c r="C320" s="675" t="s">
        <v>18</v>
      </c>
      <c r="D320" s="676" t="s">
        <v>19</v>
      </c>
      <c r="E320" s="561"/>
      <c r="F320" s="561"/>
      <c r="G320" s="563"/>
      <c r="H320" s="677" t="s">
        <v>14</v>
      </c>
      <c r="I320" s="565"/>
      <c r="J320" s="565"/>
      <c r="K320" s="566"/>
      <c r="L320" s="678">
        <f t="shared" ref="L320:N320" ca="1" si="205">L321+L322</f>
        <v>0</v>
      </c>
      <c r="M320" s="679">
        <f t="shared" ca="1" si="205"/>
        <v>0</v>
      </c>
      <c r="N320" s="679">
        <f t="shared" ca="1" si="205"/>
        <v>0</v>
      </c>
      <c r="O320" s="679">
        <f t="shared" ref="O320:O328" ca="1" si="206">IF(L320&gt;0,N320*100/L320,0)</f>
        <v>0</v>
      </c>
      <c r="P320" s="679">
        <f t="shared" ref="P320:P328" ca="1" si="207">IF(M320&gt;0,N320*100/M320,0)</f>
        <v>0</v>
      </c>
      <c r="Q320" s="679">
        <f t="shared" ref="Q320:S320" si="208">Q321+Q322</f>
        <v>0</v>
      </c>
      <c r="R320" s="679">
        <f t="shared" si="208"/>
        <v>0</v>
      </c>
      <c r="S320" s="679">
        <f t="shared" si="208"/>
        <v>0</v>
      </c>
      <c r="T320" s="679">
        <f t="shared" ref="T320:T328" si="209">IF(Q320&gt;0,S320*100/Q320,0)</f>
        <v>0</v>
      </c>
      <c r="U320" s="679">
        <f t="shared" ref="U320:U328" si="210">IF(R320&gt;0,S320*100/R320,0)</f>
        <v>0</v>
      </c>
    </row>
    <row r="321" spans="1:21" ht="18.75" hidden="1" x14ac:dyDescent="0.25">
      <c r="A321" s="674"/>
      <c r="B321" s="561"/>
      <c r="C321" s="561"/>
      <c r="D321" s="561"/>
      <c r="E321" s="569" t="s">
        <v>20</v>
      </c>
      <c r="F321" s="561"/>
      <c r="G321" s="563"/>
      <c r="H321" s="680" t="s">
        <v>14</v>
      </c>
      <c r="I321" s="565"/>
      <c r="J321" s="565"/>
      <c r="K321" s="566"/>
      <c r="L321" s="571">
        <f t="shared" ref="L321:N322" si="211">L324+L327</f>
        <v>0</v>
      </c>
      <c r="M321" s="572">
        <f t="shared" si="211"/>
        <v>0</v>
      </c>
      <c r="N321" s="572">
        <f t="shared" si="211"/>
        <v>0</v>
      </c>
      <c r="O321" s="572">
        <f t="shared" si="206"/>
        <v>0</v>
      </c>
      <c r="P321" s="572">
        <f t="shared" si="207"/>
        <v>0</v>
      </c>
      <c r="Q321" s="572">
        <f t="shared" ref="Q321:S322" si="212">Q324+Q327</f>
        <v>0</v>
      </c>
      <c r="R321" s="572">
        <f t="shared" si="212"/>
        <v>0</v>
      </c>
      <c r="S321" s="572">
        <f t="shared" si="212"/>
        <v>0</v>
      </c>
      <c r="T321" s="572">
        <f t="shared" si="209"/>
        <v>0</v>
      </c>
      <c r="U321" s="572">
        <f t="shared" si="210"/>
        <v>0</v>
      </c>
    </row>
    <row r="322" spans="1:21" ht="18.75" hidden="1" x14ac:dyDescent="0.25">
      <c r="A322" s="674"/>
      <c r="B322" s="561"/>
      <c r="C322" s="561"/>
      <c r="D322" s="561"/>
      <c r="E322" s="573" t="s">
        <v>21</v>
      </c>
      <c r="F322" s="561"/>
      <c r="G322" s="563"/>
      <c r="H322" s="681" t="s">
        <v>14</v>
      </c>
      <c r="I322" s="565"/>
      <c r="J322" s="565"/>
      <c r="K322" s="566"/>
      <c r="L322" s="567">
        <f t="shared" ca="1" si="211"/>
        <v>0</v>
      </c>
      <c r="M322" s="568">
        <f t="shared" ca="1" si="211"/>
        <v>0</v>
      </c>
      <c r="N322" s="568">
        <f t="shared" ca="1" si="211"/>
        <v>0</v>
      </c>
      <c r="O322" s="568">
        <f t="shared" ca="1" si="206"/>
        <v>0</v>
      </c>
      <c r="P322" s="568">
        <f t="shared" ca="1" si="207"/>
        <v>0</v>
      </c>
      <c r="Q322" s="568">
        <f t="shared" si="212"/>
        <v>0</v>
      </c>
      <c r="R322" s="568">
        <f t="shared" si="212"/>
        <v>0</v>
      </c>
      <c r="S322" s="568">
        <f t="shared" si="212"/>
        <v>0</v>
      </c>
      <c r="T322" s="568">
        <f t="shared" si="209"/>
        <v>0</v>
      </c>
      <c r="U322" s="568">
        <f t="shared" si="210"/>
        <v>0</v>
      </c>
    </row>
    <row r="323" spans="1:21" ht="18.75" hidden="1" x14ac:dyDescent="0.25">
      <c r="A323" s="674"/>
      <c r="B323" s="561"/>
      <c r="C323" s="561"/>
      <c r="D323" s="562" t="s">
        <v>22</v>
      </c>
      <c r="E323" s="561"/>
      <c r="F323" s="561"/>
      <c r="G323" s="563"/>
      <c r="H323" s="682" t="s">
        <v>14</v>
      </c>
      <c r="I323" s="683"/>
      <c r="J323" s="683"/>
      <c r="K323" s="684"/>
      <c r="L323" s="567">
        <f t="shared" ref="L323:N323" ca="1" si="213">L324+L325</f>
        <v>0</v>
      </c>
      <c r="M323" s="568">
        <f t="shared" ca="1" si="213"/>
        <v>0</v>
      </c>
      <c r="N323" s="568">
        <f t="shared" ca="1" si="213"/>
        <v>0</v>
      </c>
      <c r="O323" s="568">
        <f t="shared" ca="1" si="206"/>
        <v>0</v>
      </c>
      <c r="P323" s="568">
        <f t="shared" ca="1" si="207"/>
        <v>0</v>
      </c>
      <c r="Q323" s="568">
        <f t="shared" ref="Q323:S323" si="214">Q324+Q325</f>
        <v>0</v>
      </c>
      <c r="R323" s="568">
        <f t="shared" si="214"/>
        <v>0</v>
      </c>
      <c r="S323" s="568">
        <f t="shared" si="214"/>
        <v>0</v>
      </c>
      <c r="T323" s="568">
        <f t="shared" si="209"/>
        <v>0</v>
      </c>
      <c r="U323" s="568">
        <f t="shared" si="210"/>
        <v>0</v>
      </c>
    </row>
    <row r="324" spans="1:21" ht="18.75" hidden="1" x14ac:dyDescent="0.25">
      <c r="A324" s="674"/>
      <c r="B324" s="561"/>
      <c r="C324" s="561"/>
      <c r="D324" s="561"/>
      <c r="E324" s="569" t="s">
        <v>36</v>
      </c>
      <c r="F324" s="561"/>
      <c r="G324" s="563"/>
      <c r="H324" s="685" t="s">
        <v>14</v>
      </c>
      <c r="I324" s="683"/>
      <c r="J324" s="683"/>
      <c r="K324" s="684"/>
      <c r="L324" s="571">
        <v>0</v>
      </c>
      <c r="M324" s="572">
        <v>0</v>
      </c>
      <c r="N324" s="572">
        <v>0</v>
      </c>
      <c r="O324" s="572">
        <f t="shared" si="206"/>
        <v>0</v>
      </c>
      <c r="P324" s="572">
        <f t="shared" si="207"/>
        <v>0</v>
      </c>
      <c r="Q324" s="572">
        <v>0</v>
      </c>
      <c r="R324" s="572">
        <v>0</v>
      </c>
      <c r="S324" s="572">
        <v>0</v>
      </c>
      <c r="T324" s="572">
        <f t="shared" si="209"/>
        <v>0</v>
      </c>
      <c r="U324" s="572">
        <f t="shared" si="210"/>
        <v>0</v>
      </c>
    </row>
    <row r="325" spans="1:21" ht="18.75" hidden="1" x14ac:dyDescent="0.25">
      <c r="A325" s="674"/>
      <c r="B325" s="561"/>
      <c r="C325" s="561"/>
      <c r="D325" s="561"/>
      <c r="E325" s="573" t="s">
        <v>37</v>
      </c>
      <c r="F325" s="561"/>
      <c r="G325" s="563"/>
      <c r="H325" s="682" t="s">
        <v>14</v>
      </c>
      <c r="I325" s="683"/>
      <c r="J325" s="683"/>
      <c r="K325" s="684"/>
      <c r="L325" s="567">
        <f ca="1">IFERROR(__xludf.DUMMYFUNCTION("IMPORTRANGE(""https://docs.google.com/spreadsheets/d/1-uDff_7J0KD5mKrp0Vvzr7lt3OU09vwQwhkpOPPYv2Y/edit?usp=sharing"",""งบพรบ!EI18"")"),0)</f>
        <v>0</v>
      </c>
      <c r="M325" s="568">
        <f ca="1">IFERROR(__xludf.DUMMYFUNCTION("IMPORTRANGE(""https://docs.google.com/spreadsheets/d/1-uDff_7J0KD5mKrp0Vvzr7lt3OU09vwQwhkpOPPYv2Y/edit?usp=sharing"",""งบพรบ!EN18"")"),0)</f>
        <v>0</v>
      </c>
      <c r="N325" s="568">
        <f ca="1">IFERROR(__xludf.DUMMYFUNCTION("IMPORTRANGE(""https://docs.google.com/spreadsheets/d/1-uDff_7J0KD5mKrp0Vvzr7lt3OU09vwQwhkpOPPYv2Y/edit?usp=sharing"",""งบพรบ!EP18"")"),0)</f>
        <v>0</v>
      </c>
      <c r="O325" s="568">
        <f t="shared" ca="1" si="206"/>
        <v>0</v>
      </c>
      <c r="P325" s="568">
        <f t="shared" ca="1" si="207"/>
        <v>0</v>
      </c>
      <c r="Q325" s="568">
        <v>0</v>
      </c>
      <c r="R325" s="568">
        <v>0</v>
      </c>
      <c r="S325" s="568">
        <v>0</v>
      </c>
      <c r="T325" s="568">
        <f t="shared" si="209"/>
        <v>0</v>
      </c>
      <c r="U325" s="568">
        <f t="shared" si="210"/>
        <v>0</v>
      </c>
    </row>
    <row r="326" spans="1:21" ht="18.75" hidden="1" x14ac:dyDescent="0.25">
      <c r="A326" s="674"/>
      <c r="B326" s="561"/>
      <c r="C326" s="561"/>
      <c r="D326" s="562" t="s">
        <v>23</v>
      </c>
      <c r="E326" s="561"/>
      <c r="F326" s="561"/>
      <c r="G326" s="563"/>
      <c r="H326" s="686" t="s">
        <v>14</v>
      </c>
      <c r="I326" s="683"/>
      <c r="J326" s="683"/>
      <c r="K326" s="684"/>
      <c r="L326" s="567">
        <f t="shared" ref="L326:N326" ca="1" si="215">L327+L328</f>
        <v>0</v>
      </c>
      <c r="M326" s="568">
        <f t="shared" ca="1" si="215"/>
        <v>0</v>
      </c>
      <c r="N326" s="568">
        <f t="shared" ca="1" si="215"/>
        <v>0</v>
      </c>
      <c r="O326" s="568">
        <f t="shared" ca="1" si="206"/>
        <v>0</v>
      </c>
      <c r="P326" s="568">
        <f t="shared" ca="1" si="207"/>
        <v>0</v>
      </c>
      <c r="Q326" s="568">
        <f t="shared" ref="Q326:S326" si="216">Q327+Q328</f>
        <v>0</v>
      </c>
      <c r="R326" s="568">
        <f t="shared" si="216"/>
        <v>0</v>
      </c>
      <c r="S326" s="568">
        <f t="shared" si="216"/>
        <v>0</v>
      </c>
      <c r="T326" s="568">
        <f t="shared" si="209"/>
        <v>0</v>
      </c>
      <c r="U326" s="568">
        <f t="shared" si="210"/>
        <v>0</v>
      </c>
    </row>
    <row r="327" spans="1:21" ht="18.75" hidden="1" x14ac:dyDescent="0.25">
      <c r="A327" s="674"/>
      <c r="B327" s="561"/>
      <c r="C327" s="561"/>
      <c r="D327" s="561"/>
      <c r="E327" s="569" t="s">
        <v>20</v>
      </c>
      <c r="F327" s="561"/>
      <c r="G327" s="563"/>
      <c r="H327" s="685" t="s">
        <v>14</v>
      </c>
      <c r="I327" s="683"/>
      <c r="J327" s="683"/>
      <c r="K327" s="684"/>
      <c r="L327" s="571">
        <v>0</v>
      </c>
      <c r="M327" s="572">
        <v>0</v>
      </c>
      <c r="N327" s="572">
        <v>0</v>
      </c>
      <c r="O327" s="572">
        <f t="shared" si="206"/>
        <v>0</v>
      </c>
      <c r="P327" s="572">
        <f t="shared" si="207"/>
        <v>0</v>
      </c>
      <c r="Q327" s="572">
        <v>0</v>
      </c>
      <c r="R327" s="572">
        <v>0</v>
      </c>
      <c r="S327" s="572">
        <v>0</v>
      </c>
      <c r="T327" s="572">
        <f t="shared" si="209"/>
        <v>0</v>
      </c>
      <c r="U327" s="572">
        <f t="shared" si="210"/>
        <v>0</v>
      </c>
    </row>
    <row r="328" spans="1:21" ht="18.75" hidden="1" x14ac:dyDescent="0.25">
      <c r="A328" s="674"/>
      <c r="B328" s="561"/>
      <c r="C328" s="561"/>
      <c r="D328" s="561"/>
      <c r="E328" s="573" t="s">
        <v>21</v>
      </c>
      <c r="F328" s="561"/>
      <c r="G328" s="563"/>
      <c r="H328" s="686" t="s">
        <v>14</v>
      </c>
      <c r="I328" s="683"/>
      <c r="J328" s="683"/>
      <c r="K328" s="684"/>
      <c r="L328" s="567">
        <f ca="1">IFERROR(__xludf.DUMMYFUNCTION("IMPORTRANGE(""https://docs.google.com/spreadsheets/d/1-uDff_7J0KD5mKrp0Vvzr7lt3OU09vwQwhkpOPPYv2Y/edit?usp=sharing"",""งบพรบ!EL18"")"),0)</f>
        <v>0</v>
      </c>
      <c r="M328" s="568">
        <f ca="1">IFERROR(__xludf.DUMMYFUNCTION("IMPORTRANGE(""https://docs.google.com/spreadsheets/d/1-uDff_7J0KD5mKrp0Vvzr7lt3OU09vwQwhkpOPPYv2Y/edit?usp=sharing"",""งบพรบ!EO18"")"),0)</f>
        <v>0</v>
      </c>
      <c r="N328" s="568">
        <f ca="1">IFERROR(__xludf.DUMMYFUNCTION("IMPORTRANGE(""https://docs.google.com/spreadsheets/d/1-uDff_7J0KD5mKrp0Vvzr7lt3OU09vwQwhkpOPPYv2Y/edit?usp=sharing"",""งบพรบ!EQ18"")"),0)</f>
        <v>0</v>
      </c>
      <c r="O328" s="568">
        <f t="shared" ca="1" si="206"/>
        <v>0</v>
      </c>
      <c r="P328" s="568">
        <f t="shared" ca="1" si="207"/>
        <v>0</v>
      </c>
      <c r="Q328" s="568">
        <v>0</v>
      </c>
      <c r="R328" s="568">
        <v>0</v>
      </c>
      <c r="S328" s="568">
        <v>0</v>
      </c>
      <c r="T328" s="568">
        <f t="shared" si="209"/>
        <v>0</v>
      </c>
      <c r="U328" s="568">
        <f t="shared" si="210"/>
        <v>0</v>
      </c>
    </row>
    <row r="329" spans="1:21" ht="19.5" hidden="1" x14ac:dyDescent="0.3">
      <c r="A329" s="687"/>
      <c r="B329" s="688"/>
      <c r="C329" s="675" t="s">
        <v>18</v>
      </c>
      <c r="D329" s="689" t="s">
        <v>38</v>
      </c>
      <c r="E329" s="690"/>
      <c r="F329" s="690"/>
      <c r="G329" s="691"/>
      <c r="H329" s="692"/>
      <c r="I329" s="683"/>
      <c r="J329" s="565"/>
      <c r="K329" s="566"/>
      <c r="L329" s="574"/>
      <c r="M329" s="566"/>
      <c r="N329" s="566"/>
      <c r="O329" s="684"/>
      <c r="P329" s="684"/>
      <c r="Q329" s="566"/>
      <c r="R329" s="566"/>
      <c r="S329" s="566"/>
      <c r="T329" s="684"/>
      <c r="U329" s="684"/>
    </row>
    <row r="330" spans="1:21" ht="18.75" hidden="1" x14ac:dyDescent="0.25">
      <c r="A330" s="687"/>
      <c r="B330" s="688"/>
      <c r="C330" s="688"/>
      <c r="D330" s="694" t="s">
        <v>134</v>
      </c>
      <c r="E330" s="695"/>
      <c r="F330" s="695"/>
      <c r="G330" s="692"/>
      <c r="H330" s="564" t="s">
        <v>133</v>
      </c>
      <c r="I330" s="708">
        <f ca="1">IFERROR(__xludf.DUMMYFUNCTION("IMPORTRANGE(""https://docs.google.com/spreadsheets/d/1eHaY18a8A9IcSdp1K8H6x8fbOy06t2VsZHhMHf-1x7Y/edit?usp=sharing"",""แผน!EJ18"")"),0)</f>
        <v>0</v>
      </c>
      <c r="J330" s="702">
        <v>0</v>
      </c>
      <c r="K330" s="568">
        <f ca="1">IF(I330&gt;0,J330*100/I330,0)</f>
        <v>0</v>
      </c>
      <c r="L330" s="574"/>
      <c r="M330" s="566"/>
      <c r="N330" s="566"/>
      <c r="O330" s="684"/>
      <c r="P330" s="684"/>
      <c r="Q330" s="566"/>
      <c r="R330" s="566"/>
      <c r="S330" s="566"/>
      <c r="T330" s="684"/>
      <c r="U330" s="684"/>
    </row>
    <row r="331" spans="1:21" ht="19.5" x14ac:dyDescent="0.3">
      <c r="A331" s="902" t="s">
        <v>135</v>
      </c>
      <c r="B331" s="903"/>
      <c r="C331" s="903"/>
      <c r="D331" s="904"/>
      <c r="E331" s="903"/>
      <c r="F331" s="903"/>
      <c r="G331" s="903"/>
      <c r="H331" s="904"/>
      <c r="I331" s="906"/>
      <c r="J331" s="906"/>
      <c r="K331" s="907"/>
      <c r="L331" s="908"/>
      <c r="M331" s="907"/>
      <c r="N331" s="907"/>
      <c r="O331" s="907"/>
      <c r="P331" s="907"/>
      <c r="Q331" s="907"/>
      <c r="R331" s="907"/>
      <c r="S331" s="907"/>
      <c r="T331" s="907"/>
      <c r="U331" s="907"/>
    </row>
    <row r="332" spans="1:21" ht="19.5" x14ac:dyDescent="0.3">
      <c r="A332" s="909"/>
      <c r="B332" s="910" t="s">
        <v>136</v>
      </c>
      <c r="C332" s="928"/>
      <c r="D332" s="911"/>
      <c r="E332" s="911"/>
      <c r="F332" s="911"/>
      <c r="G332" s="912"/>
      <c r="H332" s="913" t="s">
        <v>35</v>
      </c>
      <c r="I332" s="929">
        <f ca="1">I344</f>
        <v>2340</v>
      </c>
      <c r="J332" s="930">
        <f ca="1">J344+J347+J348+J349+J353</f>
        <v>3006</v>
      </c>
      <c r="K332" s="931">
        <f ca="1">IF(I332&gt;0,J332*100/I332,0)</f>
        <v>128.46153846153845</v>
      </c>
      <c r="L332" s="916"/>
      <c r="M332" s="917"/>
      <c r="N332" s="917"/>
      <c r="O332" s="917"/>
      <c r="P332" s="917"/>
      <c r="Q332" s="917"/>
      <c r="R332" s="917"/>
      <c r="S332" s="917"/>
      <c r="T332" s="917"/>
      <c r="U332" s="917"/>
    </row>
    <row r="333" spans="1:21" ht="19.5" x14ac:dyDescent="0.3">
      <c r="A333" s="674"/>
      <c r="B333" s="561"/>
      <c r="C333" s="675" t="s">
        <v>18</v>
      </c>
      <c r="D333" s="676" t="s">
        <v>19</v>
      </c>
      <c r="E333" s="561"/>
      <c r="F333" s="561"/>
      <c r="G333" s="563"/>
      <c r="H333" s="677" t="s">
        <v>14</v>
      </c>
      <c r="I333" s="565"/>
      <c r="J333" s="565"/>
      <c r="K333" s="566"/>
      <c r="L333" s="678">
        <f t="shared" ref="L333:N333" ca="1" si="217">L334+L335</f>
        <v>192000</v>
      </c>
      <c r="M333" s="679">
        <f t="shared" ca="1" si="217"/>
        <v>118000</v>
      </c>
      <c r="N333" s="679">
        <f t="shared" ca="1" si="217"/>
        <v>102084</v>
      </c>
      <c r="O333" s="679">
        <f t="shared" ref="O333:O341" ca="1" si="218">IF(L333&gt;0,N333*100/L333,0)</f>
        <v>53.168750000000003</v>
      </c>
      <c r="P333" s="679">
        <f t="shared" ref="P333:P341" ca="1" si="219">IF(M333&gt;0,N333*100/M333,0)</f>
        <v>86.511864406779665</v>
      </c>
      <c r="Q333" s="679">
        <f t="shared" ref="Q333:S333" si="220">Q334+Q335</f>
        <v>0</v>
      </c>
      <c r="R333" s="679">
        <f t="shared" si="220"/>
        <v>0</v>
      </c>
      <c r="S333" s="679">
        <f t="shared" si="220"/>
        <v>0</v>
      </c>
      <c r="T333" s="679">
        <f t="shared" ref="T333:T341" si="221">IF(Q333&gt;0,S333*100/Q333,0)</f>
        <v>0</v>
      </c>
      <c r="U333" s="679">
        <f t="shared" ref="U333:U341" si="222">IF(R333&gt;0,S333*100/R333,0)</f>
        <v>0</v>
      </c>
    </row>
    <row r="334" spans="1:21" ht="18.75" x14ac:dyDescent="0.25">
      <c r="A334" s="674"/>
      <c r="B334" s="561"/>
      <c r="C334" s="561"/>
      <c r="D334" s="561"/>
      <c r="E334" s="569" t="s">
        <v>20</v>
      </c>
      <c r="F334" s="561"/>
      <c r="G334" s="563"/>
      <c r="H334" s="680" t="s">
        <v>14</v>
      </c>
      <c r="I334" s="565"/>
      <c r="J334" s="565"/>
      <c r="K334" s="566"/>
      <c r="L334" s="571">
        <f t="shared" ref="L334:N335" si="223">L337+L340</f>
        <v>0</v>
      </c>
      <c r="M334" s="572">
        <f t="shared" si="223"/>
        <v>0</v>
      </c>
      <c r="N334" s="572">
        <f t="shared" si="223"/>
        <v>0</v>
      </c>
      <c r="O334" s="572">
        <f t="shared" si="218"/>
        <v>0</v>
      </c>
      <c r="P334" s="572">
        <f t="shared" si="219"/>
        <v>0</v>
      </c>
      <c r="Q334" s="572">
        <f t="shared" ref="Q334:S335" si="224">Q337+Q340</f>
        <v>0</v>
      </c>
      <c r="R334" s="572">
        <f t="shared" si="224"/>
        <v>0</v>
      </c>
      <c r="S334" s="572">
        <f t="shared" si="224"/>
        <v>0</v>
      </c>
      <c r="T334" s="572">
        <f t="shared" si="221"/>
        <v>0</v>
      </c>
      <c r="U334" s="572">
        <f t="shared" si="222"/>
        <v>0</v>
      </c>
    </row>
    <row r="335" spans="1:21" ht="18.75" x14ac:dyDescent="0.25">
      <c r="A335" s="674"/>
      <c r="B335" s="561"/>
      <c r="C335" s="561"/>
      <c r="D335" s="561"/>
      <c r="E335" s="573" t="s">
        <v>21</v>
      </c>
      <c r="F335" s="561"/>
      <c r="G335" s="563"/>
      <c r="H335" s="681" t="s">
        <v>14</v>
      </c>
      <c r="I335" s="565"/>
      <c r="J335" s="565"/>
      <c r="K335" s="566"/>
      <c r="L335" s="567">
        <f t="shared" ca="1" si="223"/>
        <v>192000</v>
      </c>
      <c r="M335" s="568">
        <f t="shared" ca="1" si="223"/>
        <v>118000</v>
      </c>
      <c r="N335" s="568">
        <f t="shared" ca="1" si="223"/>
        <v>102084</v>
      </c>
      <c r="O335" s="568">
        <f t="shared" ca="1" si="218"/>
        <v>53.168750000000003</v>
      </c>
      <c r="P335" s="568">
        <f t="shared" ca="1" si="219"/>
        <v>86.511864406779665</v>
      </c>
      <c r="Q335" s="568">
        <f t="shared" si="224"/>
        <v>0</v>
      </c>
      <c r="R335" s="568">
        <f t="shared" si="224"/>
        <v>0</v>
      </c>
      <c r="S335" s="568">
        <f t="shared" si="224"/>
        <v>0</v>
      </c>
      <c r="T335" s="568">
        <f t="shared" si="221"/>
        <v>0</v>
      </c>
      <c r="U335" s="568">
        <f t="shared" si="222"/>
        <v>0</v>
      </c>
    </row>
    <row r="336" spans="1:21" ht="18.75" x14ac:dyDescent="0.25">
      <c r="A336" s="674"/>
      <c r="B336" s="561"/>
      <c r="C336" s="561"/>
      <c r="D336" s="562" t="s">
        <v>22</v>
      </c>
      <c r="E336" s="561"/>
      <c r="F336" s="561"/>
      <c r="G336" s="563"/>
      <c r="H336" s="682" t="s">
        <v>14</v>
      </c>
      <c r="I336" s="683"/>
      <c r="J336" s="683"/>
      <c r="K336" s="684"/>
      <c r="L336" s="567">
        <f t="shared" ref="L336:N336" ca="1" si="225">L337+L338</f>
        <v>192000</v>
      </c>
      <c r="M336" s="568">
        <f t="shared" ca="1" si="225"/>
        <v>118000</v>
      </c>
      <c r="N336" s="568">
        <f t="shared" ca="1" si="225"/>
        <v>102084</v>
      </c>
      <c r="O336" s="568">
        <f t="shared" ca="1" si="218"/>
        <v>53.168750000000003</v>
      </c>
      <c r="P336" s="568">
        <f t="shared" ca="1" si="219"/>
        <v>86.511864406779665</v>
      </c>
      <c r="Q336" s="568">
        <f t="shared" ref="Q336:S336" si="226">Q337+Q338</f>
        <v>0</v>
      </c>
      <c r="R336" s="568">
        <f t="shared" si="226"/>
        <v>0</v>
      </c>
      <c r="S336" s="568">
        <f t="shared" si="226"/>
        <v>0</v>
      </c>
      <c r="T336" s="568">
        <f t="shared" si="221"/>
        <v>0</v>
      </c>
      <c r="U336" s="568">
        <f t="shared" si="222"/>
        <v>0</v>
      </c>
    </row>
    <row r="337" spans="1:21" ht="18.75" x14ac:dyDescent="0.25">
      <c r="A337" s="674"/>
      <c r="B337" s="561"/>
      <c r="C337" s="561"/>
      <c r="D337" s="561"/>
      <c r="E337" s="569" t="s">
        <v>36</v>
      </c>
      <c r="F337" s="561"/>
      <c r="G337" s="563"/>
      <c r="H337" s="685" t="s">
        <v>14</v>
      </c>
      <c r="I337" s="683"/>
      <c r="J337" s="683"/>
      <c r="K337" s="684"/>
      <c r="L337" s="571">
        <v>0</v>
      </c>
      <c r="M337" s="572">
        <v>0</v>
      </c>
      <c r="N337" s="572">
        <v>0</v>
      </c>
      <c r="O337" s="572">
        <f t="shared" si="218"/>
        <v>0</v>
      </c>
      <c r="P337" s="572">
        <f t="shared" si="219"/>
        <v>0</v>
      </c>
      <c r="Q337" s="572">
        <v>0</v>
      </c>
      <c r="R337" s="572">
        <v>0</v>
      </c>
      <c r="S337" s="572">
        <v>0</v>
      </c>
      <c r="T337" s="572">
        <f t="shared" si="221"/>
        <v>0</v>
      </c>
      <c r="U337" s="572">
        <f t="shared" si="222"/>
        <v>0</v>
      </c>
    </row>
    <row r="338" spans="1:21" ht="18.75" x14ac:dyDescent="0.25">
      <c r="A338" s="674"/>
      <c r="B338" s="561"/>
      <c r="C338" s="561"/>
      <c r="D338" s="561"/>
      <c r="E338" s="573" t="s">
        <v>37</v>
      </c>
      <c r="F338" s="561"/>
      <c r="G338" s="563"/>
      <c r="H338" s="682" t="s">
        <v>14</v>
      </c>
      <c r="I338" s="683"/>
      <c r="J338" s="683"/>
      <c r="K338" s="684"/>
      <c r="L338" s="567">
        <f ca="1">IFERROR(__xludf.DUMMYFUNCTION("IMPORTRANGE(""https://docs.google.com/spreadsheets/d/1-uDff_7J0KD5mKrp0Vvzr7lt3OU09vwQwhkpOPPYv2Y/edit?usp=sharing"",""งบพรบ!ES18"")"),192000)</f>
        <v>192000</v>
      </c>
      <c r="M338" s="568">
        <f ca="1">IFERROR(__xludf.DUMMYFUNCTION("IMPORTRANGE(""https://docs.google.com/spreadsheets/d/1-uDff_7J0KD5mKrp0Vvzr7lt3OU09vwQwhkpOPPYv2Y/edit?usp=sharing"",""งบพรบ!EX18"")"),118000)</f>
        <v>118000</v>
      </c>
      <c r="N338" s="568">
        <f ca="1">IFERROR(__xludf.DUMMYFUNCTION("IMPORTRANGE(""https://docs.google.com/spreadsheets/d/1-uDff_7J0KD5mKrp0Vvzr7lt3OU09vwQwhkpOPPYv2Y/edit?usp=sharing"",""งบพรบ!EZ18"")"),102084)</f>
        <v>102084</v>
      </c>
      <c r="O338" s="568">
        <f t="shared" ca="1" si="218"/>
        <v>53.168750000000003</v>
      </c>
      <c r="P338" s="568">
        <f t="shared" ca="1" si="219"/>
        <v>86.511864406779665</v>
      </c>
      <c r="Q338" s="568">
        <v>0</v>
      </c>
      <c r="R338" s="568">
        <v>0</v>
      </c>
      <c r="S338" s="568">
        <v>0</v>
      </c>
      <c r="T338" s="568">
        <f t="shared" si="221"/>
        <v>0</v>
      </c>
      <c r="U338" s="568">
        <f t="shared" si="222"/>
        <v>0</v>
      </c>
    </row>
    <row r="339" spans="1:21" ht="18.75" x14ac:dyDescent="0.25">
      <c r="A339" s="674"/>
      <c r="B339" s="561"/>
      <c r="C339" s="561"/>
      <c r="D339" s="562" t="s">
        <v>23</v>
      </c>
      <c r="E339" s="561"/>
      <c r="F339" s="561"/>
      <c r="G339" s="563"/>
      <c r="H339" s="686" t="s">
        <v>14</v>
      </c>
      <c r="I339" s="683"/>
      <c r="J339" s="683"/>
      <c r="K339" s="684"/>
      <c r="L339" s="567">
        <f t="shared" ref="L339:N339" ca="1" si="227">L340+L341</f>
        <v>0</v>
      </c>
      <c r="M339" s="568">
        <f t="shared" ca="1" si="227"/>
        <v>0</v>
      </c>
      <c r="N339" s="568">
        <f t="shared" ca="1" si="227"/>
        <v>0</v>
      </c>
      <c r="O339" s="568">
        <f t="shared" ca="1" si="218"/>
        <v>0</v>
      </c>
      <c r="P339" s="568">
        <f t="shared" ca="1" si="219"/>
        <v>0</v>
      </c>
      <c r="Q339" s="568">
        <f t="shared" ref="Q339:S339" si="228">Q340+Q341</f>
        <v>0</v>
      </c>
      <c r="R339" s="568">
        <f t="shared" si="228"/>
        <v>0</v>
      </c>
      <c r="S339" s="568">
        <f t="shared" si="228"/>
        <v>0</v>
      </c>
      <c r="T339" s="568">
        <f t="shared" si="221"/>
        <v>0</v>
      </c>
      <c r="U339" s="568">
        <f t="shared" si="222"/>
        <v>0</v>
      </c>
    </row>
    <row r="340" spans="1:21" ht="18.75" x14ac:dyDescent="0.25">
      <c r="A340" s="674"/>
      <c r="B340" s="561"/>
      <c r="C340" s="561"/>
      <c r="D340" s="561"/>
      <c r="E340" s="569" t="s">
        <v>20</v>
      </c>
      <c r="F340" s="561"/>
      <c r="G340" s="563"/>
      <c r="H340" s="685" t="s">
        <v>14</v>
      </c>
      <c r="I340" s="683"/>
      <c r="J340" s="683"/>
      <c r="K340" s="684"/>
      <c r="L340" s="571">
        <v>0</v>
      </c>
      <c r="M340" s="572">
        <v>0</v>
      </c>
      <c r="N340" s="572">
        <v>0</v>
      </c>
      <c r="O340" s="572">
        <f t="shared" si="218"/>
        <v>0</v>
      </c>
      <c r="P340" s="572">
        <f t="shared" si="219"/>
        <v>0</v>
      </c>
      <c r="Q340" s="572">
        <v>0</v>
      </c>
      <c r="R340" s="572">
        <v>0</v>
      </c>
      <c r="S340" s="572">
        <v>0</v>
      </c>
      <c r="T340" s="572">
        <f t="shared" si="221"/>
        <v>0</v>
      </c>
      <c r="U340" s="572">
        <f t="shared" si="222"/>
        <v>0</v>
      </c>
    </row>
    <row r="341" spans="1:21" ht="18.75" x14ac:dyDescent="0.25">
      <c r="A341" s="674"/>
      <c r="B341" s="561"/>
      <c r="C341" s="561"/>
      <c r="D341" s="561"/>
      <c r="E341" s="573" t="s">
        <v>21</v>
      </c>
      <c r="F341" s="561"/>
      <c r="G341" s="563"/>
      <c r="H341" s="686" t="s">
        <v>14</v>
      </c>
      <c r="I341" s="683"/>
      <c r="J341" s="683"/>
      <c r="K341" s="684"/>
      <c r="L341" s="567">
        <f ca="1">IFERROR(__xludf.DUMMYFUNCTION("IMPORTRANGE(""https://docs.google.com/spreadsheets/d/1-uDff_7J0KD5mKrp0Vvzr7lt3OU09vwQwhkpOPPYv2Y/edit?usp=sharing"",""งบพรบ!EV18"")"),0)</f>
        <v>0</v>
      </c>
      <c r="M341" s="568">
        <f ca="1">IFERROR(__xludf.DUMMYFUNCTION("IMPORTRANGE(""https://docs.google.com/spreadsheets/d/1-uDff_7J0KD5mKrp0Vvzr7lt3OU09vwQwhkpOPPYv2Y/edit?usp=sharing"",""งบพรบ!EY18"")"),0)</f>
        <v>0</v>
      </c>
      <c r="N341" s="568">
        <f ca="1">IFERROR(__xludf.DUMMYFUNCTION("IMPORTRANGE(""https://docs.google.com/spreadsheets/d/1-uDff_7J0KD5mKrp0Vvzr7lt3OU09vwQwhkpOPPYv2Y/edit?usp=sharing"",""งบพรบ!FA18"")"),0)</f>
        <v>0</v>
      </c>
      <c r="O341" s="568">
        <f t="shared" ca="1" si="218"/>
        <v>0</v>
      </c>
      <c r="P341" s="568">
        <f t="shared" ca="1" si="219"/>
        <v>0</v>
      </c>
      <c r="Q341" s="568">
        <v>0</v>
      </c>
      <c r="R341" s="568">
        <v>0</v>
      </c>
      <c r="S341" s="568">
        <v>0</v>
      </c>
      <c r="T341" s="568">
        <f t="shared" si="221"/>
        <v>0</v>
      </c>
      <c r="U341" s="568">
        <f t="shared" si="222"/>
        <v>0</v>
      </c>
    </row>
    <row r="342" spans="1:21" ht="19.5" x14ac:dyDescent="0.3">
      <c r="A342" s="687"/>
      <c r="B342" s="688"/>
      <c r="C342" s="675" t="s">
        <v>18</v>
      </c>
      <c r="D342" s="757" t="s">
        <v>38</v>
      </c>
      <c r="E342" s="690"/>
      <c r="F342" s="690"/>
      <c r="G342" s="691"/>
      <c r="H342" s="563"/>
      <c r="I342" s="565"/>
      <c r="J342" s="565"/>
      <c r="K342" s="566"/>
      <c r="L342" s="574"/>
      <c r="M342" s="566"/>
      <c r="N342" s="566"/>
      <c r="O342" s="684"/>
      <c r="P342" s="684"/>
      <c r="Q342" s="566"/>
      <c r="R342" s="566"/>
      <c r="S342" s="566"/>
      <c r="T342" s="684"/>
      <c r="U342" s="684"/>
    </row>
    <row r="343" spans="1:21" ht="19.5" x14ac:dyDescent="0.3">
      <c r="A343" s="932"/>
      <c r="B343" s="933"/>
      <c r="C343" s="934"/>
      <c r="D343" s="933"/>
      <c r="E343" s="935" t="s">
        <v>137</v>
      </c>
      <c r="F343" s="933"/>
      <c r="G343" s="936"/>
      <c r="H343" s="937" t="s">
        <v>35</v>
      </c>
      <c r="I343" s="938">
        <v>0</v>
      </c>
      <c r="J343" s="938">
        <f ca="1">J344+J347+J348+J349</f>
        <v>1925</v>
      </c>
      <c r="K343" s="939">
        <v>0</v>
      </c>
      <c r="L343" s="777"/>
      <c r="M343" s="778"/>
      <c r="N343" s="778"/>
      <c r="O343" s="778"/>
      <c r="P343" s="778"/>
      <c r="Q343" s="778"/>
      <c r="R343" s="778"/>
      <c r="S343" s="778"/>
      <c r="T343" s="778"/>
      <c r="U343" s="778"/>
    </row>
    <row r="344" spans="1:21" ht="18.75" x14ac:dyDescent="0.25">
      <c r="A344" s="764"/>
      <c r="B344" s="561"/>
      <c r="C344" s="718"/>
      <c r="D344" s="695"/>
      <c r="E344" s="699" t="s">
        <v>138</v>
      </c>
      <c r="F344" s="561"/>
      <c r="G344" s="563"/>
      <c r="H344" s="766" t="s">
        <v>35</v>
      </c>
      <c r="I344" s="708">
        <f ca="1">IFERROR(__xludf.DUMMYFUNCTION("IMPORTRANGE(""https://docs.google.com/spreadsheets/d/1eHaY18a8A9IcSdp1K8H6x8fbOy06t2VsZHhMHf-1x7Y/edit?usp=sharing"",""แผน!EK18"")"),2340)</f>
        <v>2340</v>
      </c>
      <c r="J344" s="708">
        <f ca="1">IFERROR(__xludf.DUMMYFUNCTION("IMPORTRANGE(""https://docs.google.com/spreadsheets/d/1awYsYK3VOup2i3Pq_Yjnu8DRu_mYwSBnCR2QPthd0rU/edit?usp=sharing"",""ศูนย์ยกเว้นโฉนด!D18"")"),1747)</f>
        <v>1747</v>
      </c>
      <c r="K344" s="568">
        <f ca="1">IF(I344&gt;0,J344*100/I344,0)</f>
        <v>74.658119658119659</v>
      </c>
      <c r="L344" s="574"/>
      <c r="M344" s="566"/>
      <c r="N344" s="566"/>
      <c r="O344" s="566"/>
      <c r="P344" s="566"/>
      <c r="Q344" s="566"/>
      <c r="R344" s="566"/>
      <c r="S344" s="566"/>
      <c r="T344" s="566"/>
      <c r="U344" s="566"/>
    </row>
    <row r="345" spans="1:21" ht="18.75" x14ac:dyDescent="0.25">
      <c r="A345" s="764"/>
      <c r="B345" s="561"/>
      <c r="C345" s="718"/>
      <c r="D345" s="695"/>
      <c r="E345" s="699" t="s">
        <v>139</v>
      </c>
      <c r="F345" s="561"/>
      <c r="G345" s="563"/>
      <c r="H345" s="727"/>
      <c r="I345" s="565"/>
      <c r="J345" s="565"/>
      <c r="K345" s="566"/>
      <c r="L345" s="574"/>
      <c r="M345" s="566"/>
      <c r="N345" s="566"/>
      <c r="O345" s="566"/>
      <c r="P345" s="566"/>
      <c r="Q345" s="566"/>
      <c r="R345" s="566"/>
      <c r="S345" s="566"/>
      <c r="T345" s="566"/>
      <c r="U345" s="566"/>
    </row>
    <row r="346" spans="1:21" ht="18.75" x14ac:dyDescent="0.25">
      <c r="A346" s="764"/>
      <c r="B346" s="561"/>
      <c r="C346" s="718"/>
      <c r="D346" s="695"/>
      <c r="E346" s="695"/>
      <c r="F346" s="699" t="s">
        <v>140</v>
      </c>
      <c r="G346" s="563"/>
      <c r="H346" s="722" t="s">
        <v>141</v>
      </c>
      <c r="I346" s="708">
        <f ca="1">IFERROR(__xludf.DUMMYFUNCTION("IMPORTRANGE(""https://docs.google.com/spreadsheets/d/1eHaY18a8A9IcSdp1K8H6x8fbOy06t2VsZHhMHf-1x7Y/edit?usp=sharing"",""แผน!EL18"")"),5)</f>
        <v>5</v>
      </c>
      <c r="J346" s="708">
        <f ca="1">IFERROR(__xludf.DUMMYFUNCTION("IMPORTRANGE(""https://docs.google.com/spreadsheets/d/1awYsYK3VOup2i3Pq_Yjnu8DRu_mYwSBnCR2QPthd0rU/edit?usp=sharing"",""ศูนย์รวม!E18"")"),5)</f>
        <v>5</v>
      </c>
      <c r="K346" s="568">
        <f ca="1">IF(I346&gt;0,J346*100/I346,0)</f>
        <v>100</v>
      </c>
      <c r="L346" s="574"/>
      <c r="M346" s="566"/>
      <c r="N346" s="566"/>
      <c r="O346" s="566"/>
      <c r="P346" s="566"/>
      <c r="Q346" s="566"/>
      <c r="R346" s="566"/>
      <c r="S346" s="566"/>
      <c r="T346" s="566"/>
      <c r="U346" s="566"/>
    </row>
    <row r="347" spans="1:21" ht="18.75" x14ac:dyDescent="0.25">
      <c r="A347" s="764"/>
      <c r="B347" s="561"/>
      <c r="C347" s="718"/>
      <c r="D347" s="695"/>
      <c r="E347" s="695"/>
      <c r="F347" s="699" t="s">
        <v>142</v>
      </c>
      <c r="G347" s="563"/>
      <c r="H347" s="722" t="s">
        <v>35</v>
      </c>
      <c r="I347" s="565"/>
      <c r="J347" s="708">
        <f ca="1">IFERROR(__xludf.DUMMYFUNCTION("IMPORTRANGE(""https://docs.google.com/spreadsheets/d/1awYsYK3VOup2i3Pq_Yjnu8DRu_mYwSBnCR2QPthd0rU/edit?usp=sharing"",""ศูนย์ยกเว้นโฉนด!F18"")"),177)</f>
        <v>177</v>
      </c>
      <c r="K347" s="566"/>
      <c r="L347" s="574"/>
      <c r="M347" s="566"/>
      <c r="N347" s="566"/>
      <c r="O347" s="566"/>
      <c r="P347" s="566"/>
      <c r="Q347" s="566"/>
      <c r="R347" s="566"/>
      <c r="S347" s="566"/>
      <c r="T347" s="566"/>
      <c r="U347" s="566"/>
    </row>
    <row r="348" spans="1:21" ht="18.75" x14ac:dyDescent="0.25">
      <c r="A348" s="764"/>
      <c r="B348" s="561"/>
      <c r="C348" s="718"/>
      <c r="D348" s="695"/>
      <c r="E348" s="699" t="s">
        <v>143</v>
      </c>
      <c r="F348" s="695"/>
      <c r="G348" s="563"/>
      <c r="H348" s="722" t="s">
        <v>35</v>
      </c>
      <c r="I348" s="565"/>
      <c r="J348" s="708">
        <f ca="1">IFERROR(__xludf.DUMMYFUNCTION("IMPORTRANGE(""https://docs.google.com/spreadsheets/d/1awYsYK3VOup2i3Pq_Yjnu8DRu_mYwSBnCR2QPthd0rU/edit?usp=sharing"",""ศูนย์ยกเว้นโฉนด!G18"")"),1)</f>
        <v>1</v>
      </c>
      <c r="K348" s="566"/>
      <c r="L348" s="574"/>
      <c r="M348" s="566"/>
      <c r="N348" s="566"/>
      <c r="O348" s="566"/>
      <c r="P348" s="566"/>
      <c r="Q348" s="566"/>
      <c r="R348" s="566"/>
      <c r="S348" s="566"/>
      <c r="T348" s="566"/>
      <c r="U348" s="566"/>
    </row>
    <row r="349" spans="1:21" ht="18.75" x14ac:dyDescent="0.25">
      <c r="A349" s="764"/>
      <c r="B349" s="561"/>
      <c r="C349" s="718"/>
      <c r="D349" s="688"/>
      <c r="E349" s="699" t="s">
        <v>144</v>
      </c>
      <c r="F349" s="695"/>
      <c r="G349" s="563"/>
      <c r="H349" s="722" t="s">
        <v>35</v>
      </c>
      <c r="I349" s="565"/>
      <c r="J349" s="708">
        <f ca="1">IFERROR(__xludf.DUMMYFUNCTION("IMPORTRANGE(""https://docs.google.com/spreadsheets/d/1awYsYK3VOup2i3Pq_Yjnu8DRu_mYwSBnCR2QPthd0rU/edit?usp=sharing"",""ศูนย์ยกเว้นโฉนด!H18"")"),0)</f>
        <v>0</v>
      </c>
      <c r="K349" s="566"/>
      <c r="L349" s="574"/>
      <c r="M349" s="566"/>
      <c r="N349" s="566"/>
      <c r="O349" s="566"/>
      <c r="P349" s="566"/>
      <c r="Q349" s="566"/>
      <c r="R349" s="566"/>
      <c r="S349" s="566"/>
      <c r="T349" s="566"/>
      <c r="U349" s="566"/>
    </row>
    <row r="350" spans="1:21" ht="16.5" x14ac:dyDescent="0.25">
      <c r="A350" s="718"/>
      <c r="B350" s="561"/>
      <c r="C350" s="718"/>
      <c r="D350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61"/>
      <c r="F350" s="561"/>
      <c r="G350" s="563"/>
      <c r="H350" s="727"/>
      <c r="I350" s="565"/>
      <c r="J350" s="565"/>
      <c r="K350" s="566"/>
      <c r="L350" s="574"/>
      <c r="M350" s="566"/>
      <c r="N350" s="566"/>
      <c r="O350" s="566"/>
      <c r="P350" s="566"/>
      <c r="Q350" s="566"/>
      <c r="R350" s="566"/>
      <c r="S350" s="566"/>
      <c r="T350" s="566"/>
      <c r="U350" s="566"/>
    </row>
    <row r="351" spans="1:21" ht="19.5" x14ac:dyDescent="0.3">
      <c r="A351" s="769"/>
      <c r="B351" s="772"/>
      <c r="C351" s="770"/>
      <c r="D351" s="772"/>
      <c r="E351" s="941" t="s">
        <v>145</v>
      </c>
      <c r="F351" s="772"/>
      <c r="G351" s="773"/>
      <c r="H351" s="774" t="s">
        <v>35</v>
      </c>
      <c r="I351" s="775">
        <v>0</v>
      </c>
      <c r="J351" s="775">
        <f ca="1">J352+J353</f>
        <v>3284</v>
      </c>
      <c r="K351" s="776">
        <v>0</v>
      </c>
      <c r="L351" s="777"/>
      <c r="M351" s="778"/>
      <c r="N351" s="778"/>
      <c r="O351" s="778"/>
      <c r="P351" s="778"/>
      <c r="Q351" s="778"/>
      <c r="R351" s="778"/>
      <c r="S351" s="778"/>
      <c r="T351" s="778"/>
      <c r="U351" s="778"/>
    </row>
    <row r="352" spans="1:21" ht="18.75" x14ac:dyDescent="0.25">
      <c r="A352" s="718"/>
      <c r="B352" s="561"/>
      <c r="C352" s="718"/>
      <c r="D352" s="695"/>
      <c r="E352" s="699" t="s">
        <v>146</v>
      </c>
      <c r="F352" s="561"/>
      <c r="G352" s="563"/>
      <c r="H352" s="681" t="s">
        <v>35</v>
      </c>
      <c r="I352" s="565"/>
      <c r="J352" s="708">
        <f ca="1">IFERROR(__xludf.DUMMYFUNCTION("IMPORTRANGE(""https://docs.google.com/spreadsheets/d/1awYsYK3VOup2i3Pq_Yjnu8DRu_mYwSBnCR2QPthd0rU/edit?usp=sharing"",""โฉนดM3!G18"")"),2203)</f>
        <v>2203</v>
      </c>
      <c r="K352" s="566"/>
      <c r="L352" s="574"/>
      <c r="M352" s="566"/>
      <c r="N352" s="566"/>
      <c r="O352" s="566"/>
      <c r="P352" s="566"/>
      <c r="Q352" s="566"/>
      <c r="R352" s="566"/>
      <c r="S352" s="566"/>
      <c r="T352" s="566"/>
      <c r="U352" s="566"/>
    </row>
    <row r="353" spans="1:21" ht="18.75" x14ac:dyDescent="0.25">
      <c r="A353" s="718"/>
      <c r="B353" s="561"/>
      <c r="C353" s="718"/>
      <c r="D353" s="695"/>
      <c r="E353" s="699" t="s">
        <v>147</v>
      </c>
      <c r="F353" s="561"/>
      <c r="G353" s="563"/>
      <c r="H353" s="681" t="s">
        <v>35</v>
      </c>
      <c r="I353" s="565"/>
      <c r="J353" s="708">
        <f ca="1">IFERROR(__xludf.DUMMYFUNCTION("IMPORTRANGE(""https://docs.google.com/spreadsheets/d/1awYsYK3VOup2i3Pq_Yjnu8DRu_mYwSBnCR2QPthd0rU/edit?usp=sharing"",""โฉนดM3!H18"")"),1081)</f>
        <v>1081</v>
      </c>
      <c r="K353" s="566"/>
      <c r="L353" s="574"/>
      <c r="M353" s="566"/>
      <c r="N353" s="566"/>
      <c r="O353" s="566"/>
      <c r="P353" s="566"/>
      <c r="Q353" s="566"/>
      <c r="R353" s="566"/>
      <c r="S353" s="566"/>
      <c r="T353" s="566"/>
      <c r="U353" s="566"/>
    </row>
    <row r="354" spans="1:21" ht="16.5" x14ac:dyDescent="0.25">
      <c r="A354" s="718"/>
      <c r="B354" s="561"/>
      <c r="C354" s="718"/>
      <c r="D354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61"/>
      <c r="F354" s="561"/>
      <c r="G354" s="563"/>
      <c r="H354" s="727"/>
      <c r="I354" s="565"/>
      <c r="J354" s="565"/>
      <c r="K354" s="566"/>
      <c r="L354" s="574"/>
      <c r="M354" s="566"/>
      <c r="N354" s="566"/>
      <c r="O354" s="566"/>
      <c r="P354" s="566"/>
      <c r="Q354" s="566"/>
      <c r="R354" s="566"/>
      <c r="S354" s="566"/>
      <c r="T354" s="566"/>
      <c r="U354" s="566"/>
    </row>
    <row r="355" spans="1:21" ht="19.5" x14ac:dyDescent="0.3">
      <c r="A355" s="909"/>
      <c r="B355" s="910" t="s">
        <v>148</v>
      </c>
      <c r="C355" s="928"/>
      <c r="D355" s="911"/>
      <c r="E355" s="911"/>
      <c r="F355" s="911"/>
      <c r="G355" s="912"/>
      <c r="H355" s="912"/>
      <c r="I355" s="942"/>
      <c r="J355" s="942"/>
      <c r="K355" s="917"/>
      <c r="L355" s="916"/>
      <c r="M355" s="917"/>
      <c r="N355" s="917"/>
      <c r="O355" s="917"/>
      <c r="P355" s="917"/>
      <c r="Q355" s="917"/>
      <c r="R355" s="917"/>
      <c r="S355" s="917"/>
      <c r="T355" s="917"/>
      <c r="U355" s="917"/>
    </row>
    <row r="356" spans="1:21" ht="19.5" x14ac:dyDescent="0.3">
      <c r="A356" s="674"/>
      <c r="B356" s="561"/>
      <c r="C356" s="675" t="s">
        <v>18</v>
      </c>
      <c r="D356" s="676" t="s">
        <v>19</v>
      </c>
      <c r="E356" s="561"/>
      <c r="F356" s="561"/>
      <c r="G356" s="563"/>
      <c r="H356" s="677" t="s">
        <v>14</v>
      </c>
      <c r="I356" s="565"/>
      <c r="J356" s="565"/>
      <c r="K356" s="566"/>
      <c r="L356" s="678">
        <f t="shared" ref="L356:N356" ca="1" si="229">L357+L358</f>
        <v>736490</v>
      </c>
      <c r="M356" s="679">
        <f t="shared" ca="1" si="229"/>
        <v>545375</v>
      </c>
      <c r="N356" s="679">
        <f t="shared" ca="1" si="229"/>
        <v>425048</v>
      </c>
      <c r="O356" s="679">
        <f t="shared" ref="O356:O364" ca="1" si="230">IF(L356&gt;0,N356*100/L356,0)</f>
        <v>57.71266412307024</v>
      </c>
      <c r="P356" s="679">
        <f t="shared" ref="P356:P364" ca="1" si="231">IF(M356&gt;0,N356*100/M356,0)</f>
        <v>77.936832454732979</v>
      </c>
      <c r="Q356" s="679">
        <f t="shared" ref="Q356:S356" si="232">Q357+Q358</f>
        <v>0</v>
      </c>
      <c r="R356" s="679">
        <f t="shared" si="232"/>
        <v>0</v>
      </c>
      <c r="S356" s="679">
        <f t="shared" si="232"/>
        <v>0</v>
      </c>
      <c r="T356" s="679">
        <f t="shared" ref="T356:T364" si="233">IF(Q356&gt;0,S356*100/Q356,0)</f>
        <v>0</v>
      </c>
      <c r="U356" s="679">
        <f t="shared" ref="U356:U364" si="234">IF(R356&gt;0,S356*100/R356,0)</f>
        <v>0</v>
      </c>
    </row>
    <row r="357" spans="1:21" ht="18.75" x14ac:dyDescent="0.25">
      <c r="A357" s="674"/>
      <c r="B357" s="561"/>
      <c r="C357" s="561"/>
      <c r="D357" s="561"/>
      <c r="E357" s="569" t="s">
        <v>20</v>
      </c>
      <c r="F357" s="561"/>
      <c r="G357" s="563"/>
      <c r="H357" s="680" t="s">
        <v>14</v>
      </c>
      <c r="I357" s="565"/>
      <c r="J357" s="565"/>
      <c r="K357" s="566"/>
      <c r="L357" s="571">
        <f t="shared" ref="L357:N358" si="235">L360+L363</f>
        <v>0</v>
      </c>
      <c r="M357" s="572">
        <f t="shared" si="235"/>
        <v>0</v>
      </c>
      <c r="N357" s="572">
        <f t="shared" si="235"/>
        <v>0</v>
      </c>
      <c r="O357" s="572">
        <f t="shared" si="230"/>
        <v>0</v>
      </c>
      <c r="P357" s="572">
        <f t="shared" si="231"/>
        <v>0</v>
      </c>
      <c r="Q357" s="572">
        <f t="shared" ref="Q357:S358" si="236">Q360+Q363</f>
        <v>0</v>
      </c>
      <c r="R357" s="572">
        <f t="shared" si="236"/>
        <v>0</v>
      </c>
      <c r="S357" s="572">
        <f t="shared" si="236"/>
        <v>0</v>
      </c>
      <c r="T357" s="572">
        <f t="shared" si="233"/>
        <v>0</v>
      </c>
      <c r="U357" s="572">
        <f t="shared" si="234"/>
        <v>0</v>
      </c>
    </row>
    <row r="358" spans="1:21" ht="18.75" x14ac:dyDescent="0.25">
      <c r="A358" s="674"/>
      <c r="B358" s="561"/>
      <c r="C358" s="561"/>
      <c r="D358" s="561"/>
      <c r="E358" s="573" t="s">
        <v>21</v>
      </c>
      <c r="F358" s="561"/>
      <c r="G358" s="563"/>
      <c r="H358" s="681" t="s">
        <v>14</v>
      </c>
      <c r="I358" s="565"/>
      <c r="J358" s="565"/>
      <c r="K358" s="566"/>
      <c r="L358" s="567">
        <f t="shared" ca="1" si="235"/>
        <v>736490</v>
      </c>
      <c r="M358" s="568">
        <f t="shared" ca="1" si="235"/>
        <v>545375</v>
      </c>
      <c r="N358" s="568">
        <f t="shared" ca="1" si="235"/>
        <v>425048</v>
      </c>
      <c r="O358" s="568">
        <f t="shared" ca="1" si="230"/>
        <v>57.71266412307024</v>
      </c>
      <c r="P358" s="568">
        <f t="shared" ca="1" si="231"/>
        <v>77.936832454732979</v>
      </c>
      <c r="Q358" s="568">
        <f t="shared" si="236"/>
        <v>0</v>
      </c>
      <c r="R358" s="568">
        <f t="shared" si="236"/>
        <v>0</v>
      </c>
      <c r="S358" s="568">
        <f t="shared" si="236"/>
        <v>0</v>
      </c>
      <c r="T358" s="568">
        <f t="shared" si="233"/>
        <v>0</v>
      </c>
      <c r="U358" s="568">
        <f t="shared" si="234"/>
        <v>0</v>
      </c>
    </row>
    <row r="359" spans="1:21" ht="18.75" x14ac:dyDescent="0.25">
      <c r="A359" s="674"/>
      <c r="B359" s="561"/>
      <c r="C359" s="561"/>
      <c r="D359" s="562" t="s">
        <v>22</v>
      </c>
      <c r="E359" s="561"/>
      <c r="F359" s="561"/>
      <c r="G359" s="563"/>
      <c r="H359" s="682" t="s">
        <v>14</v>
      </c>
      <c r="I359" s="683"/>
      <c r="J359" s="683"/>
      <c r="K359" s="684"/>
      <c r="L359" s="567">
        <f t="shared" ref="L359:N359" ca="1" si="237">L360+L361</f>
        <v>736490</v>
      </c>
      <c r="M359" s="568">
        <f t="shared" ca="1" si="237"/>
        <v>545375</v>
      </c>
      <c r="N359" s="568">
        <f t="shared" ca="1" si="237"/>
        <v>425048</v>
      </c>
      <c r="O359" s="568">
        <f t="shared" ca="1" si="230"/>
        <v>57.71266412307024</v>
      </c>
      <c r="P359" s="568">
        <f t="shared" ca="1" si="231"/>
        <v>77.936832454732979</v>
      </c>
      <c r="Q359" s="568">
        <f t="shared" ref="Q359:S359" si="238">Q360+Q361</f>
        <v>0</v>
      </c>
      <c r="R359" s="568">
        <f t="shared" si="238"/>
        <v>0</v>
      </c>
      <c r="S359" s="568">
        <f t="shared" si="238"/>
        <v>0</v>
      </c>
      <c r="T359" s="568">
        <f t="shared" si="233"/>
        <v>0</v>
      </c>
      <c r="U359" s="568">
        <f t="shared" si="234"/>
        <v>0</v>
      </c>
    </row>
    <row r="360" spans="1:21" ht="18.75" x14ac:dyDescent="0.25">
      <c r="A360" s="674"/>
      <c r="B360" s="561"/>
      <c r="C360" s="561"/>
      <c r="D360" s="561"/>
      <c r="E360" s="569" t="s">
        <v>36</v>
      </c>
      <c r="F360" s="561"/>
      <c r="G360" s="563"/>
      <c r="H360" s="685" t="s">
        <v>14</v>
      </c>
      <c r="I360" s="683"/>
      <c r="J360" s="683"/>
      <c r="K360" s="684"/>
      <c r="L360" s="571">
        <v>0</v>
      </c>
      <c r="M360" s="572">
        <v>0</v>
      </c>
      <c r="N360" s="572">
        <v>0</v>
      </c>
      <c r="O360" s="572">
        <f t="shared" si="230"/>
        <v>0</v>
      </c>
      <c r="P360" s="572">
        <f t="shared" si="231"/>
        <v>0</v>
      </c>
      <c r="Q360" s="572">
        <v>0</v>
      </c>
      <c r="R360" s="572">
        <v>0</v>
      </c>
      <c r="S360" s="572">
        <v>0</v>
      </c>
      <c r="T360" s="572">
        <f t="shared" si="233"/>
        <v>0</v>
      </c>
      <c r="U360" s="572">
        <f t="shared" si="234"/>
        <v>0</v>
      </c>
    </row>
    <row r="361" spans="1:21" ht="18.75" x14ac:dyDescent="0.25">
      <c r="A361" s="674"/>
      <c r="B361" s="561"/>
      <c r="C361" s="561"/>
      <c r="D361" s="561"/>
      <c r="E361" s="573" t="s">
        <v>37</v>
      </c>
      <c r="F361" s="561"/>
      <c r="G361" s="563"/>
      <c r="H361" s="682" t="s">
        <v>14</v>
      </c>
      <c r="I361" s="683"/>
      <c r="J361" s="683"/>
      <c r="K361" s="684"/>
      <c r="L361" s="567">
        <f ca="1">IFERROR(__xludf.DUMMYFUNCTION("IMPORTRANGE(""https://docs.google.com/spreadsheets/d/1-uDff_7J0KD5mKrp0Vvzr7lt3OU09vwQwhkpOPPYv2Y/edit?usp=sharing"",""งบพรบ!FC18"")"),736490)</f>
        <v>736490</v>
      </c>
      <c r="M361" s="568">
        <f ca="1">IFERROR(__xludf.DUMMYFUNCTION("IMPORTRANGE(""https://docs.google.com/spreadsheets/d/1-uDff_7J0KD5mKrp0Vvzr7lt3OU09vwQwhkpOPPYv2Y/edit?usp=sharing"",""งบพรบ!FH18"")"),545375)</f>
        <v>545375</v>
      </c>
      <c r="N361" s="568">
        <f ca="1">IFERROR(__xludf.DUMMYFUNCTION("IMPORTRANGE(""https://docs.google.com/spreadsheets/d/1-uDff_7J0KD5mKrp0Vvzr7lt3OU09vwQwhkpOPPYv2Y/edit?usp=sharing"",""งบพรบ!FJ18"")"),425048)</f>
        <v>425048</v>
      </c>
      <c r="O361" s="568">
        <f t="shared" ca="1" si="230"/>
        <v>57.71266412307024</v>
      </c>
      <c r="P361" s="568">
        <f t="shared" ca="1" si="231"/>
        <v>77.936832454732979</v>
      </c>
      <c r="Q361" s="568">
        <v>0</v>
      </c>
      <c r="R361" s="568">
        <v>0</v>
      </c>
      <c r="S361" s="568">
        <v>0</v>
      </c>
      <c r="T361" s="568">
        <f t="shared" si="233"/>
        <v>0</v>
      </c>
      <c r="U361" s="568">
        <f t="shared" si="234"/>
        <v>0</v>
      </c>
    </row>
    <row r="362" spans="1:21" ht="18.75" x14ac:dyDescent="0.25">
      <c r="A362" s="674"/>
      <c r="B362" s="561"/>
      <c r="C362" s="561"/>
      <c r="D362" s="562" t="s">
        <v>23</v>
      </c>
      <c r="E362" s="561"/>
      <c r="F362" s="561"/>
      <c r="G362" s="563"/>
      <c r="H362" s="686" t="s">
        <v>14</v>
      </c>
      <c r="I362" s="683"/>
      <c r="J362" s="683"/>
      <c r="K362" s="684"/>
      <c r="L362" s="567">
        <f t="shared" ref="L362:N362" ca="1" si="239">L363+L364</f>
        <v>0</v>
      </c>
      <c r="M362" s="568">
        <f t="shared" ca="1" si="239"/>
        <v>0</v>
      </c>
      <c r="N362" s="568">
        <f t="shared" ca="1" si="239"/>
        <v>0</v>
      </c>
      <c r="O362" s="568">
        <f t="shared" ca="1" si="230"/>
        <v>0</v>
      </c>
      <c r="P362" s="568">
        <f t="shared" ca="1" si="231"/>
        <v>0</v>
      </c>
      <c r="Q362" s="568">
        <f t="shared" ref="Q362:S362" si="240">Q363+Q364</f>
        <v>0</v>
      </c>
      <c r="R362" s="568">
        <f t="shared" si="240"/>
        <v>0</v>
      </c>
      <c r="S362" s="568">
        <f t="shared" si="240"/>
        <v>0</v>
      </c>
      <c r="T362" s="568">
        <f t="shared" si="233"/>
        <v>0</v>
      </c>
      <c r="U362" s="568">
        <f t="shared" si="234"/>
        <v>0</v>
      </c>
    </row>
    <row r="363" spans="1:21" ht="18.75" x14ac:dyDescent="0.25">
      <c r="A363" s="674"/>
      <c r="B363" s="561"/>
      <c r="C363" s="561"/>
      <c r="D363" s="561"/>
      <c r="E363" s="569" t="s">
        <v>20</v>
      </c>
      <c r="F363" s="561"/>
      <c r="G363" s="563"/>
      <c r="H363" s="685" t="s">
        <v>14</v>
      </c>
      <c r="I363" s="683"/>
      <c r="J363" s="683"/>
      <c r="K363" s="684"/>
      <c r="L363" s="571">
        <v>0</v>
      </c>
      <c r="M363" s="572">
        <v>0</v>
      </c>
      <c r="N363" s="572">
        <v>0</v>
      </c>
      <c r="O363" s="572">
        <f t="shared" si="230"/>
        <v>0</v>
      </c>
      <c r="P363" s="572">
        <f t="shared" si="231"/>
        <v>0</v>
      </c>
      <c r="Q363" s="572">
        <v>0</v>
      </c>
      <c r="R363" s="572">
        <v>0</v>
      </c>
      <c r="S363" s="572">
        <v>0</v>
      </c>
      <c r="T363" s="572">
        <f t="shared" si="233"/>
        <v>0</v>
      </c>
      <c r="U363" s="572">
        <f t="shared" si="234"/>
        <v>0</v>
      </c>
    </row>
    <row r="364" spans="1:21" ht="18.75" x14ac:dyDescent="0.25">
      <c r="A364" s="674"/>
      <c r="B364" s="561"/>
      <c r="C364" s="561"/>
      <c r="D364" s="561"/>
      <c r="E364" s="573" t="s">
        <v>21</v>
      </c>
      <c r="F364" s="561"/>
      <c r="G364" s="563"/>
      <c r="H364" s="686" t="s">
        <v>14</v>
      </c>
      <c r="I364" s="683"/>
      <c r="J364" s="683"/>
      <c r="K364" s="684"/>
      <c r="L364" s="567">
        <f ca="1">IFERROR(__xludf.DUMMYFUNCTION("IMPORTRANGE(""https://docs.google.com/spreadsheets/d/1-uDff_7J0KD5mKrp0Vvzr7lt3OU09vwQwhkpOPPYv2Y/edit?usp=sharing"",""งบพรบ!FF18"")"),0)</f>
        <v>0</v>
      </c>
      <c r="M364" s="568">
        <f ca="1">IFERROR(__xludf.DUMMYFUNCTION("IMPORTRANGE(""https://docs.google.com/spreadsheets/d/1-uDff_7J0KD5mKrp0Vvzr7lt3OU09vwQwhkpOPPYv2Y/edit?usp=sharing"",""งบพรบ!FI18"")"),0)</f>
        <v>0</v>
      </c>
      <c r="N364" s="568">
        <f ca="1">IFERROR(__xludf.DUMMYFUNCTION("IMPORTRANGE(""https://docs.google.com/spreadsheets/d/1-uDff_7J0KD5mKrp0Vvzr7lt3OU09vwQwhkpOPPYv2Y/edit?usp=sharing"",""งบพรบ!FK18"")"),0)</f>
        <v>0</v>
      </c>
      <c r="O364" s="568">
        <f t="shared" ca="1" si="230"/>
        <v>0</v>
      </c>
      <c r="P364" s="568">
        <f t="shared" ca="1" si="231"/>
        <v>0</v>
      </c>
      <c r="Q364" s="568">
        <v>0</v>
      </c>
      <c r="R364" s="568">
        <v>0</v>
      </c>
      <c r="S364" s="568">
        <v>0</v>
      </c>
      <c r="T364" s="568">
        <f t="shared" si="233"/>
        <v>0</v>
      </c>
      <c r="U364" s="568">
        <f t="shared" si="234"/>
        <v>0</v>
      </c>
    </row>
    <row r="365" spans="1:21" ht="19.5" x14ac:dyDescent="0.3">
      <c r="A365" s="769"/>
      <c r="B365" s="770"/>
      <c r="C365" s="772"/>
      <c r="D365" s="941" t="s">
        <v>149</v>
      </c>
      <c r="E365" s="772"/>
      <c r="F365" s="772"/>
      <c r="G365" s="773"/>
      <c r="H365" s="782" t="s">
        <v>35</v>
      </c>
      <c r="I365" s="775">
        <f t="shared" ref="I365:J365" ca="1" si="241">I371</f>
        <v>198</v>
      </c>
      <c r="J365" s="775">
        <f t="shared" ca="1" si="241"/>
        <v>268</v>
      </c>
      <c r="K365" s="776">
        <f ca="1">IF(I365&gt;0,J365*100/I365,0)</f>
        <v>135.35353535353536</v>
      </c>
      <c r="L365" s="777"/>
      <c r="M365" s="778"/>
      <c r="N365" s="778"/>
      <c r="O365" s="778"/>
      <c r="P365" s="778"/>
      <c r="Q365" s="778"/>
      <c r="R365" s="778"/>
      <c r="S365" s="778"/>
      <c r="T365" s="778"/>
      <c r="U365" s="778"/>
    </row>
    <row r="366" spans="1:21" ht="19.5" x14ac:dyDescent="0.3">
      <c r="A366" s="687"/>
      <c r="B366" s="688"/>
      <c r="C366" s="675" t="s">
        <v>18</v>
      </c>
      <c r="D366" s="689" t="s">
        <v>38</v>
      </c>
      <c r="E366" s="690"/>
      <c r="F366" s="690"/>
      <c r="G366" s="691"/>
      <c r="H366" s="692"/>
      <c r="I366" s="565"/>
      <c r="J366" s="565"/>
      <c r="K366" s="566"/>
      <c r="L366" s="693"/>
      <c r="M366" s="684"/>
      <c r="N366" s="684"/>
      <c r="O366" s="684"/>
      <c r="P366" s="684"/>
      <c r="Q366" s="684"/>
      <c r="R366" s="684"/>
      <c r="S366" s="684"/>
      <c r="T366" s="684"/>
      <c r="U366" s="684"/>
    </row>
    <row r="367" spans="1:21" ht="18.75" x14ac:dyDescent="0.25">
      <c r="A367" s="687"/>
      <c r="B367" s="695"/>
      <c r="C367" s="688"/>
      <c r="D367" s="695"/>
      <c r="E367" s="694" t="s">
        <v>150</v>
      </c>
      <c r="F367" s="695"/>
      <c r="G367" s="692"/>
      <c r="H367" s="704" t="s">
        <v>35</v>
      </c>
      <c r="I367" s="708">
        <v>0</v>
      </c>
      <c r="J367" s="708">
        <f ca="1">IFERROR(__xludf.DUMMYFUNCTION("IMPORTRANGE(""https://docs.google.com/spreadsheets/d/1tdoBKaGub7dwA3U6UFTqxio9LNnvDCQjHKmttSEBsFQ/edit?usp=sharing"",""จัดที่ดิน!AB18"")"),121)</f>
        <v>121</v>
      </c>
      <c r="K367" s="568">
        <f t="shared" ref="K367:K372" si="242">IF(I367&gt;0,J367*100/I367,0)</f>
        <v>0</v>
      </c>
      <c r="L367" s="693"/>
      <c r="M367" s="684"/>
      <c r="N367" s="684"/>
      <c r="O367" s="684"/>
      <c r="P367" s="684"/>
      <c r="Q367" s="684"/>
      <c r="R367" s="684"/>
      <c r="S367" s="684"/>
      <c r="T367" s="684"/>
      <c r="U367" s="684"/>
    </row>
    <row r="368" spans="1:21" ht="18.75" x14ac:dyDescent="0.25">
      <c r="A368" s="687"/>
      <c r="B368" s="695"/>
      <c r="C368" s="688"/>
      <c r="D368" s="695"/>
      <c r="E368" s="695"/>
      <c r="F368" s="695"/>
      <c r="G368" s="692"/>
      <c r="H368" s="704" t="s">
        <v>46</v>
      </c>
      <c r="I368" s="708">
        <f ca="1">IFERROR(__xludf.DUMMYFUNCTION("IMPORTRANGE(""https://docs.google.com/spreadsheets/d/1eHaY18a8A9IcSdp1K8H6x8fbOy06t2VsZHhMHf-1x7Y/edit?usp=sharing"",""แผน!EW18"")"),1255)</f>
        <v>1255</v>
      </c>
      <c r="J368" s="943">
        <f ca="1">IFERROR(__xludf.DUMMYFUNCTION("IMPORTRANGE(""https://docs.google.com/spreadsheets/d/1tdoBKaGub7dwA3U6UFTqxio9LNnvDCQjHKmttSEBsFQ/edit?usp=sharing"",""จัดที่ดิน!AC18"")"),1701.38999999999)</f>
        <v>1701.3899999999901</v>
      </c>
      <c r="K368" s="568">
        <f t="shared" ca="1" si="242"/>
        <v>135.56892430278805</v>
      </c>
      <c r="L368" s="693"/>
      <c r="M368" s="684"/>
      <c r="N368" s="684"/>
      <c r="O368" s="684"/>
      <c r="P368" s="684"/>
      <c r="Q368" s="684"/>
      <c r="R368" s="684"/>
      <c r="S368" s="684"/>
      <c r="T368" s="684"/>
      <c r="U368" s="684"/>
    </row>
    <row r="369" spans="1:21" ht="18.75" x14ac:dyDescent="0.25">
      <c r="A369" s="687"/>
      <c r="B369" s="695"/>
      <c r="C369" s="688"/>
      <c r="D369" s="695"/>
      <c r="E369" s="694" t="s">
        <v>151</v>
      </c>
      <c r="F369" s="695"/>
      <c r="G369" s="692"/>
      <c r="H369" s="700" t="s">
        <v>35</v>
      </c>
      <c r="I369" s="708">
        <f ca="1">IFERROR(__xludf.DUMMYFUNCTION("IMPORTRANGE(""https://docs.google.com/spreadsheets/d/1eHaY18a8A9IcSdp1K8H6x8fbOy06t2VsZHhMHf-1x7Y/edit?usp=sharing"",""แผน!EX18"")"),198)</f>
        <v>198</v>
      </c>
      <c r="J369" s="708">
        <f ca="1">IFERROR(__xludf.DUMMYFUNCTION("IMPORTRANGE(""https://docs.google.com/spreadsheets/d/1tdoBKaGub7dwA3U6UFTqxio9LNnvDCQjHKmttSEBsFQ/edit?usp=sharing"",""จัดที่ดิน!AD18"")"),270)</f>
        <v>270</v>
      </c>
      <c r="K369" s="568">
        <f t="shared" ca="1" si="242"/>
        <v>136.36363636363637</v>
      </c>
      <c r="L369" s="693"/>
      <c r="M369" s="684"/>
      <c r="N369" s="684"/>
      <c r="O369" s="684"/>
      <c r="P369" s="684"/>
      <c r="Q369" s="684"/>
      <c r="R369" s="684"/>
      <c r="S369" s="684"/>
      <c r="T369" s="684"/>
      <c r="U369" s="684"/>
    </row>
    <row r="370" spans="1:21" ht="18.75" x14ac:dyDescent="0.25">
      <c r="A370" s="687"/>
      <c r="B370" s="695"/>
      <c r="C370" s="688"/>
      <c r="D370" s="695"/>
      <c r="E370" s="695"/>
      <c r="F370" s="695"/>
      <c r="G370" s="692"/>
      <c r="H370" s="700" t="s">
        <v>46</v>
      </c>
      <c r="I370" s="708">
        <v>0</v>
      </c>
      <c r="J370" s="943">
        <f ca="1">IFERROR(__xludf.DUMMYFUNCTION("IMPORTRANGE(""https://docs.google.com/spreadsheets/d/1tdoBKaGub7dwA3U6UFTqxio9LNnvDCQjHKmttSEBsFQ/edit?usp=sharing"",""จัดที่ดิน!AE18"")"),4688.54)</f>
        <v>4688.54</v>
      </c>
      <c r="K370" s="568">
        <f t="shared" si="242"/>
        <v>0</v>
      </c>
      <c r="L370" s="693"/>
      <c r="M370" s="684"/>
      <c r="N370" s="684"/>
      <c r="O370" s="684"/>
      <c r="P370" s="684"/>
      <c r="Q370" s="684"/>
      <c r="R370" s="684"/>
      <c r="S370" s="684"/>
      <c r="T370" s="684"/>
      <c r="U370" s="684"/>
    </row>
    <row r="371" spans="1:21" ht="18.75" x14ac:dyDescent="0.25">
      <c r="A371" s="687"/>
      <c r="B371" s="695"/>
      <c r="C371" s="688"/>
      <c r="D371" s="695"/>
      <c r="E371" s="944" t="s">
        <v>152</v>
      </c>
      <c r="F371" s="695"/>
      <c r="G371" s="692"/>
      <c r="H371" s="700" t="s">
        <v>35</v>
      </c>
      <c r="I371" s="708">
        <f ca="1">IFERROR(__xludf.DUMMYFUNCTION("IMPORTRANGE(""https://docs.google.com/spreadsheets/d/1eHaY18a8A9IcSdp1K8H6x8fbOy06t2VsZHhMHf-1x7Y/edit?usp=sharing"",""แผน!EY18"")"),198)</f>
        <v>198</v>
      </c>
      <c r="J371" s="708">
        <f ca="1">IFERROR(__xludf.DUMMYFUNCTION("IMPORTRANGE(""https://docs.google.com/spreadsheets/d/1tdoBKaGub7dwA3U6UFTqxio9LNnvDCQjHKmttSEBsFQ/edit?usp=sharing"",""จัดที่ดิน!AF18"")"),268)</f>
        <v>268</v>
      </c>
      <c r="K371" s="568">
        <f t="shared" ca="1" si="242"/>
        <v>135.35353535353536</v>
      </c>
      <c r="L371" s="693"/>
      <c r="M371" s="684"/>
      <c r="N371" s="684"/>
      <c r="O371" s="684"/>
      <c r="P371" s="684"/>
      <c r="Q371" s="684"/>
      <c r="R371" s="684"/>
      <c r="S371" s="684"/>
      <c r="T371" s="684"/>
      <c r="U371" s="684"/>
    </row>
    <row r="372" spans="1:21" ht="18.75" x14ac:dyDescent="0.25">
      <c r="A372" s="687"/>
      <c r="B372" s="695"/>
      <c r="C372" s="688"/>
      <c r="D372" s="695"/>
      <c r="E372" s="695"/>
      <c r="F372" s="695"/>
      <c r="G372" s="692"/>
      <c r="H372" s="700" t="s">
        <v>46</v>
      </c>
      <c r="I372" s="708">
        <v>0</v>
      </c>
      <c r="J372" s="943">
        <f ca="1">IFERROR(__xludf.DUMMYFUNCTION("IMPORTRANGE(""https://docs.google.com/spreadsheets/d/1tdoBKaGub7dwA3U6UFTqxio9LNnvDCQjHKmttSEBsFQ/edit?usp=sharing"",""จัดที่ดิน!AG18"")"),4663.58)</f>
        <v>4663.58</v>
      </c>
      <c r="K372" s="568">
        <f t="shared" si="242"/>
        <v>0</v>
      </c>
      <c r="L372" s="693"/>
      <c r="M372" s="684"/>
      <c r="N372" s="684"/>
      <c r="O372" s="684"/>
      <c r="P372" s="684"/>
      <c r="Q372" s="684"/>
      <c r="R372" s="684"/>
      <c r="S372" s="684"/>
      <c r="T372" s="684"/>
      <c r="U372" s="684"/>
    </row>
    <row r="373" spans="1:21" ht="16.5" x14ac:dyDescent="0.25">
      <c r="A373" s="514"/>
      <c r="B373" s="513"/>
      <c r="C373" s="514"/>
      <c r="D373" s="9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513"/>
      <c r="F373" s="513"/>
      <c r="G373" s="577"/>
      <c r="H373" s="577"/>
      <c r="I373" s="579"/>
      <c r="J373" s="579"/>
      <c r="K373" s="580"/>
      <c r="L373" s="581"/>
      <c r="M373" s="580"/>
      <c r="N373" s="580"/>
      <c r="O373" s="580"/>
      <c r="P373" s="580"/>
      <c r="Q373" s="580"/>
      <c r="R373" s="580"/>
      <c r="S373" s="580"/>
      <c r="T373" s="580"/>
      <c r="U373" s="580"/>
    </row>
    <row r="374" spans="1:21" ht="19.5" x14ac:dyDescent="0.3">
      <c r="A374" s="946"/>
      <c r="B374" s="947" t="s">
        <v>153</v>
      </c>
      <c r="C374" s="948"/>
      <c r="D374" s="949"/>
      <c r="E374" s="950"/>
      <c r="F374" s="950"/>
      <c r="G374" s="951"/>
      <c r="H374" s="952" t="s">
        <v>46</v>
      </c>
      <c r="I374" s="1151">
        <f t="shared" ref="I374:J374" ca="1" si="243">I386+I388</f>
        <v>2000</v>
      </c>
      <c r="J374" s="953">
        <f t="shared" ca="1" si="243"/>
        <v>0</v>
      </c>
      <c r="K374" s="954">
        <f ca="1">IF(I374&gt;0,J374*100/I374,0)</f>
        <v>0</v>
      </c>
      <c r="L374" s="916"/>
      <c r="M374" s="917"/>
      <c r="N374" s="917"/>
      <c r="O374" s="917"/>
      <c r="P374" s="917"/>
      <c r="Q374" s="917"/>
      <c r="R374" s="917"/>
      <c r="S374" s="917"/>
      <c r="T374" s="917"/>
      <c r="U374" s="917"/>
    </row>
    <row r="375" spans="1:21" ht="19.5" x14ac:dyDescent="0.3">
      <c r="A375" s="674"/>
      <c r="B375" s="718"/>
      <c r="C375" s="719" t="s">
        <v>18</v>
      </c>
      <c r="D375" s="955" t="s">
        <v>19</v>
      </c>
      <c r="E375" s="561"/>
      <c r="F375" s="561"/>
      <c r="G375" s="563"/>
      <c r="H375" s="677" t="s">
        <v>14</v>
      </c>
      <c r="I375" s="1152"/>
      <c r="J375" s="565"/>
      <c r="K375" s="566"/>
      <c r="L375" s="678">
        <f t="shared" ref="L375:N375" ca="1" si="244">L376+L377</f>
        <v>0</v>
      </c>
      <c r="M375" s="679">
        <f t="shared" ca="1" si="244"/>
        <v>0</v>
      </c>
      <c r="N375" s="679">
        <f t="shared" ca="1" si="244"/>
        <v>0</v>
      </c>
      <c r="O375" s="679">
        <f t="shared" ref="O375:O383" ca="1" si="245">IF(L375&gt;0,N375*100/L375,0)</f>
        <v>0</v>
      </c>
      <c r="P375" s="679">
        <f t="shared" ref="P375:P383" ca="1" si="246">IF(M375&gt;0,N375*100/M375,0)</f>
        <v>0</v>
      </c>
      <c r="Q375" s="679">
        <f t="shared" ref="Q375:S375" ca="1" si="247">Q376+Q377</f>
        <v>125000</v>
      </c>
      <c r="R375" s="679">
        <f t="shared" ca="1" si="247"/>
        <v>125000</v>
      </c>
      <c r="S375" s="679">
        <f t="shared" ca="1" si="247"/>
        <v>0</v>
      </c>
      <c r="T375" s="679">
        <f t="shared" ref="T375:T383" ca="1" si="248">IF(Q375&gt;0,S375*100/Q375,0)</f>
        <v>0</v>
      </c>
      <c r="U375" s="679">
        <f t="shared" ref="U375:U383" ca="1" si="249">IF(R375&gt;0,S375*100/R375,0)</f>
        <v>0</v>
      </c>
    </row>
    <row r="376" spans="1:21" ht="18.75" x14ac:dyDescent="0.25">
      <c r="A376" s="674"/>
      <c r="B376" s="718"/>
      <c r="C376" s="718"/>
      <c r="D376" s="718"/>
      <c r="E376" s="569" t="s">
        <v>20</v>
      </c>
      <c r="F376" s="561"/>
      <c r="G376" s="563"/>
      <c r="H376" s="680" t="s">
        <v>14</v>
      </c>
      <c r="I376" s="1152"/>
      <c r="J376" s="565"/>
      <c r="K376" s="566"/>
      <c r="L376" s="571">
        <f t="shared" ref="L376:N377" si="250">L379+L382</f>
        <v>0</v>
      </c>
      <c r="M376" s="572">
        <f t="shared" si="250"/>
        <v>0</v>
      </c>
      <c r="N376" s="572">
        <f t="shared" si="250"/>
        <v>0</v>
      </c>
      <c r="O376" s="572">
        <f t="shared" si="245"/>
        <v>0</v>
      </c>
      <c r="P376" s="572">
        <f t="shared" si="246"/>
        <v>0</v>
      </c>
      <c r="Q376" s="572">
        <f t="shared" ref="Q376:S377" si="251">Q379+Q382</f>
        <v>0</v>
      </c>
      <c r="R376" s="572">
        <f t="shared" si="251"/>
        <v>0</v>
      </c>
      <c r="S376" s="572">
        <f t="shared" si="251"/>
        <v>0</v>
      </c>
      <c r="T376" s="572">
        <f t="shared" si="248"/>
        <v>0</v>
      </c>
      <c r="U376" s="572">
        <f t="shared" si="249"/>
        <v>0</v>
      </c>
    </row>
    <row r="377" spans="1:21" ht="18.75" x14ac:dyDescent="0.25">
      <c r="A377" s="674"/>
      <c r="B377" s="718"/>
      <c r="C377" s="718"/>
      <c r="D377" s="718"/>
      <c r="E377" s="573" t="s">
        <v>21</v>
      </c>
      <c r="F377" s="561"/>
      <c r="G377" s="563"/>
      <c r="H377" s="681" t="s">
        <v>14</v>
      </c>
      <c r="I377" s="1152"/>
      <c r="J377" s="565"/>
      <c r="K377" s="566"/>
      <c r="L377" s="567">
        <f t="shared" ca="1" si="250"/>
        <v>0</v>
      </c>
      <c r="M377" s="568">
        <f t="shared" ca="1" si="250"/>
        <v>0</v>
      </c>
      <c r="N377" s="568">
        <f t="shared" ca="1" si="250"/>
        <v>0</v>
      </c>
      <c r="O377" s="568">
        <f t="shared" ca="1" si="245"/>
        <v>0</v>
      </c>
      <c r="P377" s="568">
        <f t="shared" ca="1" si="246"/>
        <v>0</v>
      </c>
      <c r="Q377" s="568">
        <f t="shared" ca="1" si="251"/>
        <v>125000</v>
      </c>
      <c r="R377" s="568">
        <f t="shared" ca="1" si="251"/>
        <v>125000</v>
      </c>
      <c r="S377" s="568">
        <f t="shared" ca="1" si="251"/>
        <v>0</v>
      </c>
      <c r="T377" s="568">
        <f t="shared" ca="1" si="248"/>
        <v>0</v>
      </c>
      <c r="U377" s="568">
        <f t="shared" ca="1" si="249"/>
        <v>0</v>
      </c>
    </row>
    <row r="378" spans="1:21" ht="18.75" x14ac:dyDescent="0.25">
      <c r="A378" s="674"/>
      <c r="B378" s="718"/>
      <c r="C378" s="718"/>
      <c r="D378" s="721" t="s">
        <v>22</v>
      </c>
      <c r="E378" s="561"/>
      <c r="F378" s="561"/>
      <c r="G378" s="563"/>
      <c r="H378" s="682" t="s">
        <v>14</v>
      </c>
      <c r="I378" s="1153"/>
      <c r="J378" s="683"/>
      <c r="K378" s="684"/>
      <c r="L378" s="567">
        <f t="shared" ref="L378:N378" ca="1" si="252">L379+L380</f>
        <v>0</v>
      </c>
      <c r="M378" s="568">
        <f t="shared" ca="1" si="252"/>
        <v>0</v>
      </c>
      <c r="N378" s="568">
        <f t="shared" ca="1" si="252"/>
        <v>0</v>
      </c>
      <c r="O378" s="568">
        <f t="shared" ca="1" si="245"/>
        <v>0</v>
      </c>
      <c r="P378" s="568">
        <f t="shared" ca="1" si="246"/>
        <v>0</v>
      </c>
      <c r="Q378" s="568">
        <f t="shared" ref="Q378:S378" ca="1" si="253">Q379+Q380</f>
        <v>125000</v>
      </c>
      <c r="R378" s="568">
        <f t="shared" ca="1" si="253"/>
        <v>125000</v>
      </c>
      <c r="S378" s="568">
        <f t="shared" ca="1" si="253"/>
        <v>0</v>
      </c>
      <c r="T378" s="568">
        <f t="shared" ca="1" si="248"/>
        <v>0</v>
      </c>
      <c r="U378" s="568">
        <f t="shared" ca="1" si="249"/>
        <v>0</v>
      </c>
    </row>
    <row r="379" spans="1:21" ht="18.75" x14ac:dyDescent="0.25">
      <c r="A379" s="674"/>
      <c r="B379" s="718"/>
      <c r="C379" s="718"/>
      <c r="D379" s="718"/>
      <c r="E379" s="569" t="s">
        <v>36</v>
      </c>
      <c r="F379" s="561"/>
      <c r="G379" s="563"/>
      <c r="H379" s="685" t="s">
        <v>14</v>
      </c>
      <c r="I379" s="1153"/>
      <c r="J379" s="683"/>
      <c r="K379" s="684"/>
      <c r="L379" s="571">
        <v>0</v>
      </c>
      <c r="M379" s="572">
        <v>0</v>
      </c>
      <c r="N379" s="572">
        <v>0</v>
      </c>
      <c r="O379" s="572">
        <f t="shared" si="245"/>
        <v>0</v>
      </c>
      <c r="P379" s="572">
        <f t="shared" si="246"/>
        <v>0</v>
      </c>
      <c r="Q379" s="572">
        <v>0</v>
      </c>
      <c r="R379" s="572">
        <v>0</v>
      </c>
      <c r="S379" s="572">
        <v>0</v>
      </c>
      <c r="T379" s="572">
        <f t="shared" si="248"/>
        <v>0</v>
      </c>
      <c r="U379" s="572">
        <f t="shared" si="249"/>
        <v>0</v>
      </c>
    </row>
    <row r="380" spans="1:21" ht="18.75" x14ac:dyDescent="0.25">
      <c r="A380" s="674"/>
      <c r="B380" s="718"/>
      <c r="C380" s="718"/>
      <c r="D380" s="718"/>
      <c r="E380" s="765" t="s">
        <v>37</v>
      </c>
      <c r="F380" s="718"/>
      <c r="G380" s="727"/>
      <c r="H380" s="682" t="s">
        <v>14</v>
      </c>
      <c r="I380" s="1153"/>
      <c r="J380" s="683"/>
      <c r="K380" s="684"/>
      <c r="L380" s="567">
        <f ca="1">IFERROR(__xludf.DUMMYFUNCTION("IMPORTRANGE(""https://docs.google.com/spreadsheets/d/1-uDff_7J0KD5mKrp0Vvzr7lt3OU09vwQwhkpOPPYv2Y/edit?usp=sharing"",""งบพรบ!IE18"")"),0)</f>
        <v>0</v>
      </c>
      <c r="M380" s="568">
        <f ca="1">IFERROR(__xludf.DUMMYFUNCTION("IMPORTRANGE(""https://docs.google.com/spreadsheets/d/1-uDff_7J0KD5mKrp0Vvzr7lt3OU09vwQwhkpOPPYv2Y/edit?usp=sharing"",""งบพรบ!IJ18"")"),0)</f>
        <v>0</v>
      </c>
      <c r="N380" s="568">
        <f ca="1">IFERROR(__xludf.DUMMYFUNCTION("IMPORTRANGE(""https://docs.google.com/spreadsheets/d/1-uDff_7J0KD5mKrp0Vvzr7lt3OU09vwQwhkpOPPYv2Y/edit?usp=sharing"",""งบพรบ!IL18"")"),0)</f>
        <v>0</v>
      </c>
      <c r="O380" s="568">
        <f t="shared" ca="1" si="245"/>
        <v>0</v>
      </c>
      <c r="P380" s="568">
        <f t="shared" ca="1" si="246"/>
        <v>0</v>
      </c>
      <c r="Q380" s="568">
        <f ca="1">IFERROR(__xludf.DUMMYFUNCTION("IMPORTRANGE(""https://docs.google.com/spreadsheets/d/1ItG2mGa2ceCfYo0BwxsXqNm01IGEUdYcSSLTEv9YCik/edit?usp=sharing"",""เบิกจ่ายกองทุน!BW18"")"),125000)</f>
        <v>125000</v>
      </c>
      <c r="R380" s="568">
        <f ca="1">IFERROR(__xludf.DUMMYFUNCTION("IMPORTRANGE(""https://docs.google.com/spreadsheets/d/1ItG2mGa2ceCfYo0BwxsXqNm01IGEUdYcSSLTEv9YCik/edit?usp=sharing"",""เบิกจ่ายกองทุน!BX18"")"),125000)</f>
        <v>125000</v>
      </c>
      <c r="S380" s="568">
        <f ca="1">IFERROR(__xludf.DUMMYFUNCTION("IMPORTRANGE(""https://docs.google.com/spreadsheets/d/1ItG2mGa2ceCfYo0BwxsXqNm01IGEUdYcSSLTEv9YCik/edit?usp=sharing"",""เบิกจ่ายกองทุน!BY18"")"),0)</f>
        <v>0</v>
      </c>
      <c r="T380" s="568">
        <f t="shared" ca="1" si="248"/>
        <v>0</v>
      </c>
      <c r="U380" s="568">
        <f t="shared" ca="1" si="249"/>
        <v>0</v>
      </c>
    </row>
    <row r="381" spans="1:21" ht="18.75" x14ac:dyDescent="0.25">
      <c r="A381" s="674"/>
      <c r="B381" s="718"/>
      <c r="C381" s="718"/>
      <c r="D381" s="721" t="s">
        <v>23</v>
      </c>
      <c r="E381" s="561"/>
      <c r="F381" s="561"/>
      <c r="G381" s="563"/>
      <c r="H381" s="686" t="s">
        <v>14</v>
      </c>
      <c r="I381" s="1153"/>
      <c r="J381" s="683"/>
      <c r="K381" s="684"/>
      <c r="L381" s="567">
        <f t="shared" ref="L381:N381" ca="1" si="254">L382+L383</f>
        <v>0</v>
      </c>
      <c r="M381" s="568">
        <f t="shared" ca="1" si="254"/>
        <v>0</v>
      </c>
      <c r="N381" s="568">
        <f t="shared" ca="1" si="254"/>
        <v>0</v>
      </c>
      <c r="O381" s="568">
        <f t="shared" ca="1" si="245"/>
        <v>0</v>
      </c>
      <c r="P381" s="568">
        <f t="shared" ca="1" si="246"/>
        <v>0</v>
      </c>
      <c r="Q381" s="568">
        <f t="shared" ref="Q381:S381" si="255">Q382+Q383</f>
        <v>0</v>
      </c>
      <c r="R381" s="568">
        <f t="shared" si="255"/>
        <v>0</v>
      </c>
      <c r="S381" s="568">
        <f t="shared" si="255"/>
        <v>0</v>
      </c>
      <c r="T381" s="568">
        <f t="shared" si="248"/>
        <v>0</v>
      </c>
      <c r="U381" s="568">
        <f t="shared" si="249"/>
        <v>0</v>
      </c>
    </row>
    <row r="382" spans="1:21" ht="18.75" x14ac:dyDescent="0.25">
      <c r="A382" s="674"/>
      <c r="B382" s="718"/>
      <c r="C382" s="718"/>
      <c r="D382" s="718"/>
      <c r="E382" s="569" t="s">
        <v>20</v>
      </c>
      <c r="F382" s="561"/>
      <c r="G382" s="563"/>
      <c r="H382" s="685" t="s">
        <v>14</v>
      </c>
      <c r="I382" s="1153"/>
      <c r="J382" s="683"/>
      <c r="K382" s="684"/>
      <c r="L382" s="571">
        <v>0</v>
      </c>
      <c r="M382" s="572">
        <v>0</v>
      </c>
      <c r="N382" s="572">
        <v>0</v>
      </c>
      <c r="O382" s="572">
        <f t="shared" si="245"/>
        <v>0</v>
      </c>
      <c r="P382" s="572">
        <f t="shared" si="246"/>
        <v>0</v>
      </c>
      <c r="Q382" s="572">
        <v>0</v>
      </c>
      <c r="R382" s="572">
        <v>0</v>
      </c>
      <c r="S382" s="572">
        <v>0</v>
      </c>
      <c r="T382" s="572">
        <f t="shared" si="248"/>
        <v>0</v>
      </c>
      <c r="U382" s="572">
        <f t="shared" si="249"/>
        <v>0</v>
      </c>
    </row>
    <row r="383" spans="1:21" ht="18.75" x14ac:dyDescent="0.25">
      <c r="A383" s="674"/>
      <c r="B383" s="718"/>
      <c r="C383" s="718"/>
      <c r="D383" s="718"/>
      <c r="E383" s="573" t="s">
        <v>21</v>
      </c>
      <c r="F383" s="561"/>
      <c r="G383" s="563"/>
      <c r="H383" s="686" t="s">
        <v>14</v>
      </c>
      <c r="I383" s="1153"/>
      <c r="J383" s="683"/>
      <c r="K383" s="684"/>
      <c r="L383" s="567">
        <f ca="1">IFERROR(__xludf.DUMMYFUNCTION("IMPORTRANGE(""https://docs.google.com/spreadsheets/d/1-uDff_7J0KD5mKrp0Vvzr7lt3OU09vwQwhkpOPPYv2Y/edit?usp=sharing"",""งบพรบ!IH18"")"),0)</f>
        <v>0</v>
      </c>
      <c r="M383" s="568">
        <f ca="1">IFERROR(__xludf.DUMMYFUNCTION("IMPORTRANGE(""https://docs.google.com/spreadsheets/d/1-uDff_7J0KD5mKrp0Vvzr7lt3OU09vwQwhkpOPPYv2Y/edit?usp=sharing"",""งบพรบ!IK18"")"),0)</f>
        <v>0</v>
      </c>
      <c r="N383" s="568">
        <f ca="1">IFERROR(__xludf.DUMMYFUNCTION("IMPORTRANGE(""https://docs.google.com/spreadsheets/d/1-uDff_7J0KD5mKrp0Vvzr7lt3OU09vwQwhkpOPPYv2Y/edit?usp=sharing"",""งบพรบ!IM18"")"),0)</f>
        <v>0</v>
      </c>
      <c r="O383" s="568">
        <f t="shared" ca="1" si="245"/>
        <v>0</v>
      </c>
      <c r="P383" s="568">
        <f t="shared" ca="1" si="246"/>
        <v>0</v>
      </c>
      <c r="Q383" s="568">
        <v>0</v>
      </c>
      <c r="R383" s="568">
        <v>0</v>
      </c>
      <c r="S383" s="568">
        <v>0</v>
      </c>
      <c r="T383" s="568">
        <f t="shared" si="248"/>
        <v>0</v>
      </c>
      <c r="U383" s="568">
        <f t="shared" si="249"/>
        <v>0</v>
      </c>
    </row>
    <row r="384" spans="1:21" ht="19.5" x14ac:dyDescent="0.3">
      <c r="A384" s="687"/>
      <c r="B384" s="688"/>
      <c r="C384" s="719" t="s">
        <v>18</v>
      </c>
      <c r="D384" s="956" t="s">
        <v>38</v>
      </c>
      <c r="E384" s="690"/>
      <c r="F384" s="690"/>
      <c r="G384" s="691"/>
      <c r="H384" s="725"/>
      <c r="I384" s="1153"/>
      <c r="J384" s="565"/>
      <c r="K384" s="566"/>
      <c r="L384" s="574"/>
      <c r="M384" s="566"/>
      <c r="N384" s="566"/>
      <c r="O384" s="684"/>
      <c r="P384" s="684"/>
      <c r="Q384" s="566"/>
      <c r="R384" s="566"/>
      <c r="S384" s="566"/>
      <c r="T384" s="684"/>
      <c r="U384" s="684"/>
    </row>
    <row r="385" spans="1:21" ht="18.75" x14ac:dyDescent="0.25">
      <c r="A385" s="764"/>
      <c r="B385" s="718"/>
      <c r="C385" s="718"/>
      <c r="D385" s="718"/>
      <c r="E385" s="573" t="s">
        <v>154</v>
      </c>
      <c r="F385" s="561"/>
      <c r="G385" s="563"/>
      <c r="H385" s="681" t="s">
        <v>34</v>
      </c>
      <c r="I385" s="1154">
        <v>0</v>
      </c>
      <c r="J385" s="708">
        <f ca="1">IFERROR(__xludf.DUMMYFUNCTION("IMPORTRANGE(""https://docs.google.com/spreadsheets/d/1w5rwWK1o49a35cNtocGL0gxDwhFSTZUQu90BiH9_zqM/edit?usp=sharing"",""RTK!H18"")"),0)</f>
        <v>0</v>
      </c>
      <c r="K385" s="568">
        <f t="shared" ref="K385:K388" si="256">IF(I385&gt;0,J385*100/I385,0)</f>
        <v>0</v>
      </c>
      <c r="L385" s="574"/>
      <c r="M385" s="566"/>
      <c r="N385" s="566"/>
      <c r="O385" s="566"/>
      <c r="P385" s="566"/>
      <c r="Q385" s="566"/>
      <c r="R385" s="566"/>
      <c r="S385" s="566"/>
      <c r="T385" s="566"/>
      <c r="U385" s="566"/>
    </row>
    <row r="386" spans="1:21" ht="18.75" x14ac:dyDescent="0.25">
      <c r="A386" s="718"/>
      <c r="B386" s="718"/>
      <c r="C386" s="718"/>
      <c r="D386" s="718"/>
      <c r="E386" s="718"/>
      <c r="F386" s="718"/>
      <c r="G386" s="727"/>
      <c r="H386" s="681" t="s">
        <v>46</v>
      </c>
      <c r="I386" s="1154">
        <f ca="1">IFERROR(__xludf.DUMMYFUNCTION("IMPORTRANGE(""https://docs.google.com/spreadsheets/d/1w5rwWK1o49a35cNtocGL0gxDwhFSTZUQu90BiH9_zqM/edit?usp=sharing"",""RTK!G18"")"),2000)</f>
        <v>2000</v>
      </c>
      <c r="J386" s="708">
        <f ca="1">IFERROR(__xludf.DUMMYFUNCTION("IMPORTRANGE(""https://docs.google.com/spreadsheets/d/1w5rwWK1o49a35cNtocGL0gxDwhFSTZUQu90BiH9_zqM/edit?usp=sharing"",""RTK!I18"")"),0)</f>
        <v>0</v>
      </c>
      <c r="K386" s="568">
        <f t="shared" ca="1" si="256"/>
        <v>0</v>
      </c>
      <c r="L386" s="574"/>
      <c r="M386" s="566"/>
      <c r="N386" s="566"/>
      <c r="O386" s="566"/>
      <c r="P386" s="566"/>
      <c r="Q386" s="566"/>
      <c r="R386" s="566"/>
      <c r="S386" s="566"/>
      <c r="T386" s="566"/>
      <c r="U386" s="566"/>
    </row>
    <row r="387" spans="1:21" ht="18.75" x14ac:dyDescent="0.25">
      <c r="A387" s="957"/>
      <c r="B387" s="957"/>
      <c r="C387" s="957"/>
      <c r="D387" s="957"/>
      <c r="E387" s="958" t="s">
        <v>155</v>
      </c>
      <c r="F387" s="957"/>
      <c r="G387" s="959"/>
      <c r="H387" s="839" t="s">
        <v>34</v>
      </c>
      <c r="I387" s="1155">
        <v>0</v>
      </c>
      <c r="J387" s="960">
        <f ca="1">IFERROR(__xludf.DUMMYFUNCTION("IMPORTRANGE(""https://docs.google.com/spreadsheets/d/1w5rwWK1o49a35cNtocGL0gxDwhFSTZUQu90BiH9_zqM/edit?usp=sharing"",""RTK!L18"")"),0)</f>
        <v>0</v>
      </c>
      <c r="K387" s="841">
        <f t="shared" si="256"/>
        <v>0</v>
      </c>
      <c r="L387" s="574"/>
      <c r="M387" s="566"/>
      <c r="N387" s="566"/>
      <c r="O387" s="566"/>
      <c r="P387" s="566"/>
      <c r="Q387" s="566"/>
      <c r="R387" s="566"/>
      <c r="S387" s="566"/>
      <c r="T387" s="566"/>
      <c r="U387" s="566"/>
    </row>
    <row r="388" spans="1:21" ht="18.75" x14ac:dyDescent="0.25">
      <c r="A388" s="957"/>
      <c r="B388" s="957"/>
      <c r="C388" s="957"/>
      <c r="D388" s="957"/>
      <c r="E388" s="957"/>
      <c r="F388" s="957"/>
      <c r="G388" s="959"/>
      <c r="H388" s="839" t="s">
        <v>46</v>
      </c>
      <c r="I388" s="1155">
        <f ca="1">IFERROR(__xludf.DUMMYFUNCTION("IMPORTRANGE(""https://docs.google.com/spreadsheets/d/1w5rwWK1o49a35cNtocGL0gxDwhFSTZUQu90BiH9_zqM/edit?usp=sharing"",""RTK!K18"")"),0)</f>
        <v>0</v>
      </c>
      <c r="J388" s="960">
        <f ca="1">IFERROR(__xludf.DUMMYFUNCTION("IMPORTRANGE(""https://docs.google.com/spreadsheets/d/1w5rwWK1o49a35cNtocGL0gxDwhFSTZUQu90BiH9_zqM/edit?usp=sharing"",""RTK!M18"")"),0)</f>
        <v>0</v>
      </c>
      <c r="K388" s="841">
        <f t="shared" ca="1" si="256"/>
        <v>0</v>
      </c>
      <c r="L388" s="574"/>
      <c r="M388" s="566"/>
      <c r="N388" s="566"/>
      <c r="O388" s="566"/>
      <c r="P388" s="566"/>
      <c r="Q388" s="566"/>
      <c r="R388" s="566"/>
      <c r="S388" s="566"/>
      <c r="T388" s="566"/>
      <c r="U388" s="566"/>
    </row>
    <row r="389" spans="1:21" ht="12.75" hidden="1" x14ac:dyDescent="0.2">
      <c r="A389" s="961"/>
      <c r="B389" s="961"/>
      <c r="C389" s="961"/>
      <c r="D389" s="961"/>
      <c r="E389" s="961"/>
      <c r="F389" s="961"/>
      <c r="G389" s="962"/>
      <c r="H389" s="962"/>
      <c r="I389" s="1156"/>
      <c r="J389" s="963"/>
      <c r="K389" s="964"/>
      <c r="L389" s="965"/>
      <c r="M389" s="964"/>
      <c r="N389" s="964"/>
      <c r="O389" s="964"/>
      <c r="P389" s="964"/>
      <c r="Q389" s="964"/>
      <c r="R389" s="964"/>
      <c r="S389" s="964"/>
      <c r="T389" s="964"/>
      <c r="U389" s="964"/>
    </row>
    <row r="390" spans="1:21" ht="12.75" hidden="1" x14ac:dyDescent="0.2">
      <c r="A390" s="966"/>
      <c r="B390" s="966"/>
      <c r="C390" s="966"/>
      <c r="D390" s="966"/>
      <c r="E390" s="966"/>
      <c r="F390" s="966"/>
      <c r="G390" s="967"/>
      <c r="H390" s="967"/>
      <c r="I390" s="1157"/>
      <c r="J390" s="968"/>
      <c r="K390" s="969"/>
      <c r="L390" s="970"/>
      <c r="M390" s="969"/>
      <c r="N390" s="969"/>
      <c r="O390" s="969"/>
      <c r="P390" s="969"/>
      <c r="Q390" s="969"/>
      <c r="R390" s="969"/>
      <c r="S390" s="969"/>
      <c r="T390" s="969"/>
      <c r="U390" s="969"/>
    </row>
    <row r="391" spans="1:21" ht="19.5" hidden="1" x14ac:dyDescent="0.3">
      <c r="A391" s="926"/>
      <c r="B391" s="971" t="s">
        <v>156</v>
      </c>
      <c r="C391" s="927"/>
      <c r="D391" s="928"/>
      <c r="E391" s="911"/>
      <c r="F391" s="911"/>
      <c r="G391" s="912"/>
      <c r="H391" s="972" t="s">
        <v>61</v>
      </c>
      <c r="I391" s="942">
        <f t="shared" ref="I391:J391" si="257">I402</f>
        <v>0</v>
      </c>
      <c r="J391" s="942">
        <f t="shared" si="257"/>
        <v>0</v>
      </c>
      <c r="K391" s="915">
        <f>IF(I391&gt;0,J391*100/I391,0)</f>
        <v>0</v>
      </c>
      <c r="L391" s="916"/>
      <c r="M391" s="917"/>
      <c r="N391" s="917"/>
      <c r="O391" s="917"/>
      <c r="P391" s="917"/>
      <c r="Q391" s="917"/>
      <c r="R391" s="917"/>
      <c r="S391" s="917"/>
      <c r="T391" s="917"/>
      <c r="U391" s="917"/>
    </row>
    <row r="392" spans="1:21" ht="19.5" hidden="1" x14ac:dyDescent="0.3">
      <c r="A392" s="674"/>
      <c r="B392" s="718"/>
      <c r="C392" s="719" t="s">
        <v>18</v>
      </c>
      <c r="D392" s="955" t="s">
        <v>19</v>
      </c>
      <c r="E392" s="561"/>
      <c r="F392" s="561"/>
      <c r="G392" s="563"/>
      <c r="H392" s="677" t="s">
        <v>14</v>
      </c>
      <c r="I392" s="565"/>
      <c r="J392" s="565"/>
      <c r="K392" s="566"/>
      <c r="L392" s="678">
        <f t="shared" ref="L392:N392" si="258">L393+L394</f>
        <v>0</v>
      </c>
      <c r="M392" s="679">
        <f t="shared" si="258"/>
        <v>0</v>
      </c>
      <c r="N392" s="679">
        <f t="shared" si="258"/>
        <v>0</v>
      </c>
      <c r="O392" s="679">
        <f t="shared" ref="O392:O400" si="259">IF(L392&gt;0,N392*100/L392,0)</f>
        <v>0</v>
      </c>
      <c r="P392" s="679">
        <f t="shared" ref="P392:P400" si="260">IF(M392&gt;0,N392*100/M392,0)</f>
        <v>0</v>
      </c>
      <c r="Q392" s="679">
        <f t="shared" ref="Q392:S392" ca="1" si="261">Q393+Q394</f>
        <v>0</v>
      </c>
      <c r="R392" s="679">
        <f t="shared" ca="1" si="261"/>
        <v>0</v>
      </c>
      <c r="S392" s="679">
        <f t="shared" ca="1" si="261"/>
        <v>0</v>
      </c>
      <c r="T392" s="679">
        <f t="shared" ref="T392:T400" ca="1" si="262">IF(Q392&gt;0,S392*100/Q392,0)</f>
        <v>0</v>
      </c>
      <c r="U392" s="679">
        <f t="shared" ref="U392:U400" ca="1" si="263">IF(R392&gt;0,S392*100/R392,0)</f>
        <v>0</v>
      </c>
    </row>
    <row r="393" spans="1:21" ht="18.75" hidden="1" x14ac:dyDescent="0.25">
      <c r="A393" s="674"/>
      <c r="B393" s="718"/>
      <c r="C393" s="718"/>
      <c r="D393" s="718"/>
      <c r="E393" s="569" t="s">
        <v>20</v>
      </c>
      <c r="F393" s="561"/>
      <c r="G393" s="563"/>
      <c r="H393" s="680" t="s">
        <v>14</v>
      </c>
      <c r="I393" s="565"/>
      <c r="J393" s="565"/>
      <c r="K393" s="566"/>
      <c r="L393" s="571">
        <f t="shared" ref="L393:N394" si="264">L396+L399</f>
        <v>0</v>
      </c>
      <c r="M393" s="572">
        <f t="shared" si="264"/>
        <v>0</v>
      </c>
      <c r="N393" s="572">
        <f t="shared" si="264"/>
        <v>0</v>
      </c>
      <c r="O393" s="572">
        <f t="shared" si="259"/>
        <v>0</v>
      </c>
      <c r="P393" s="572">
        <f t="shared" si="260"/>
        <v>0</v>
      </c>
      <c r="Q393" s="572">
        <f t="shared" ref="Q393:S394" si="265">Q396+Q399</f>
        <v>0</v>
      </c>
      <c r="R393" s="572">
        <f t="shared" si="265"/>
        <v>0</v>
      </c>
      <c r="S393" s="572">
        <f t="shared" si="265"/>
        <v>0</v>
      </c>
      <c r="T393" s="572">
        <f t="shared" si="262"/>
        <v>0</v>
      </c>
      <c r="U393" s="572">
        <f t="shared" si="263"/>
        <v>0</v>
      </c>
    </row>
    <row r="394" spans="1:21" ht="18.75" hidden="1" x14ac:dyDescent="0.25">
      <c r="A394" s="674"/>
      <c r="B394" s="718"/>
      <c r="C394" s="718"/>
      <c r="D394" s="718"/>
      <c r="E394" s="573" t="s">
        <v>21</v>
      </c>
      <c r="F394" s="561"/>
      <c r="G394" s="563"/>
      <c r="H394" s="681" t="s">
        <v>14</v>
      </c>
      <c r="I394" s="565"/>
      <c r="J394" s="565"/>
      <c r="K394" s="566"/>
      <c r="L394" s="567">
        <f t="shared" si="264"/>
        <v>0</v>
      </c>
      <c r="M394" s="568">
        <f t="shared" si="264"/>
        <v>0</v>
      </c>
      <c r="N394" s="568">
        <f t="shared" si="264"/>
        <v>0</v>
      </c>
      <c r="O394" s="568">
        <f t="shared" si="259"/>
        <v>0</v>
      </c>
      <c r="P394" s="568">
        <f t="shared" si="260"/>
        <v>0</v>
      </c>
      <c r="Q394" s="568">
        <f t="shared" ca="1" si="265"/>
        <v>0</v>
      </c>
      <c r="R394" s="568">
        <f t="shared" ca="1" si="265"/>
        <v>0</v>
      </c>
      <c r="S394" s="568">
        <f t="shared" ca="1" si="265"/>
        <v>0</v>
      </c>
      <c r="T394" s="568">
        <f t="shared" ca="1" si="262"/>
        <v>0</v>
      </c>
      <c r="U394" s="568">
        <f t="shared" ca="1" si="263"/>
        <v>0</v>
      </c>
    </row>
    <row r="395" spans="1:21" ht="18.75" hidden="1" x14ac:dyDescent="0.25">
      <c r="A395" s="674"/>
      <c r="B395" s="718"/>
      <c r="C395" s="718"/>
      <c r="D395" s="721" t="s">
        <v>22</v>
      </c>
      <c r="E395" s="561"/>
      <c r="F395" s="561"/>
      <c r="G395" s="563"/>
      <c r="H395" s="682" t="s">
        <v>14</v>
      </c>
      <c r="I395" s="683"/>
      <c r="J395" s="683"/>
      <c r="K395" s="684"/>
      <c r="L395" s="567">
        <f t="shared" ref="L395:N395" si="266">L396+L397</f>
        <v>0</v>
      </c>
      <c r="M395" s="568">
        <f t="shared" si="266"/>
        <v>0</v>
      </c>
      <c r="N395" s="568">
        <f t="shared" si="266"/>
        <v>0</v>
      </c>
      <c r="O395" s="568">
        <f t="shared" si="259"/>
        <v>0</v>
      </c>
      <c r="P395" s="568">
        <f t="shared" si="260"/>
        <v>0</v>
      </c>
      <c r="Q395" s="568">
        <f t="shared" ref="Q395:S395" ca="1" si="267">Q396+Q397</f>
        <v>0</v>
      </c>
      <c r="R395" s="568">
        <f t="shared" ca="1" si="267"/>
        <v>0</v>
      </c>
      <c r="S395" s="568">
        <f t="shared" ca="1" si="267"/>
        <v>0</v>
      </c>
      <c r="T395" s="568">
        <f t="shared" ca="1" si="262"/>
        <v>0</v>
      </c>
      <c r="U395" s="568">
        <f t="shared" ca="1" si="263"/>
        <v>0</v>
      </c>
    </row>
    <row r="396" spans="1:21" ht="18.75" hidden="1" x14ac:dyDescent="0.25">
      <c r="A396" s="674"/>
      <c r="B396" s="718"/>
      <c r="C396" s="718"/>
      <c r="D396" s="718"/>
      <c r="E396" s="569" t="s">
        <v>36</v>
      </c>
      <c r="F396" s="561"/>
      <c r="G396" s="563"/>
      <c r="H396" s="685" t="s">
        <v>14</v>
      </c>
      <c r="I396" s="683"/>
      <c r="J396" s="683"/>
      <c r="K396" s="684"/>
      <c r="L396" s="571">
        <v>0</v>
      </c>
      <c r="M396" s="572">
        <v>0</v>
      </c>
      <c r="N396" s="572">
        <v>0</v>
      </c>
      <c r="O396" s="572">
        <f t="shared" si="259"/>
        <v>0</v>
      </c>
      <c r="P396" s="572">
        <f t="shared" si="260"/>
        <v>0</v>
      </c>
      <c r="Q396" s="572">
        <v>0</v>
      </c>
      <c r="R396" s="572">
        <v>0</v>
      </c>
      <c r="S396" s="572">
        <v>0</v>
      </c>
      <c r="T396" s="572">
        <f t="shared" si="262"/>
        <v>0</v>
      </c>
      <c r="U396" s="572">
        <f t="shared" si="263"/>
        <v>0</v>
      </c>
    </row>
    <row r="397" spans="1:21" ht="18.75" hidden="1" x14ac:dyDescent="0.25">
      <c r="A397" s="674"/>
      <c r="B397" s="718"/>
      <c r="C397" s="718"/>
      <c r="D397" s="718"/>
      <c r="E397" s="765" t="s">
        <v>37</v>
      </c>
      <c r="F397" s="718"/>
      <c r="G397" s="727"/>
      <c r="H397" s="682" t="s">
        <v>14</v>
      </c>
      <c r="I397" s="683"/>
      <c r="J397" s="683"/>
      <c r="K397" s="684"/>
      <c r="L397" s="567">
        <v>0</v>
      </c>
      <c r="M397" s="568">
        <v>0</v>
      </c>
      <c r="N397" s="568">
        <v>0</v>
      </c>
      <c r="O397" s="568">
        <f t="shared" si="259"/>
        <v>0</v>
      </c>
      <c r="P397" s="568">
        <f t="shared" si="260"/>
        <v>0</v>
      </c>
      <c r="Q397" s="568">
        <f ca="1">IFERROR(__xludf.DUMMYFUNCTION("IMPORTRANGE(""https://docs.google.com/spreadsheets/d/1ItG2mGa2ceCfYo0BwxsXqNm01IGEUdYcSSLTEv9YCik/edit?usp=sharing"",""เบิกจ่ายกองทุน!CL18"")"),0)</f>
        <v>0</v>
      </c>
      <c r="R397" s="568">
        <f ca="1">IFERROR(__xludf.DUMMYFUNCTION("IMPORTRANGE(""https://docs.google.com/spreadsheets/d/1ItG2mGa2ceCfYo0BwxsXqNm01IGEUdYcSSLTEv9YCik/edit?usp=sharing"",""เบิกจ่ายกองทุน!CM18"")"),0)</f>
        <v>0</v>
      </c>
      <c r="S397" s="568">
        <f ca="1">IFERROR(__xludf.DUMMYFUNCTION("IMPORTRANGE(""https://docs.google.com/spreadsheets/d/1ItG2mGa2ceCfYo0BwxsXqNm01IGEUdYcSSLTEv9YCik/edit?usp=sharing"",""เบิกจ่ายกองทุน!CN18"")"),0)</f>
        <v>0</v>
      </c>
      <c r="T397" s="568">
        <f t="shared" ca="1" si="262"/>
        <v>0</v>
      </c>
      <c r="U397" s="568">
        <f t="shared" ca="1" si="263"/>
        <v>0</v>
      </c>
    </row>
    <row r="398" spans="1:21" ht="18.75" hidden="1" x14ac:dyDescent="0.25">
      <c r="A398" s="674"/>
      <c r="B398" s="718"/>
      <c r="C398" s="718"/>
      <c r="D398" s="721" t="s">
        <v>23</v>
      </c>
      <c r="E398" s="561"/>
      <c r="F398" s="561"/>
      <c r="G398" s="563"/>
      <c r="H398" s="686" t="s">
        <v>14</v>
      </c>
      <c r="I398" s="683"/>
      <c r="J398" s="683"/>
      <c r="K398" s="684"/>
      <c r="L398" s="567">
        <f t="shared" ref="L398:N398" si="268">L399+L400</f>
        <v>0</v>
      </c>
      <c r="M398" s="568">
        <f t="shared" si="268"/>
        <v>0</v>
      </c>
      <c r="N398" s="568">
        <f t="shared" si="268"/>
        <v>0</v>
      </c>
      <c r="O398" s="568">
        <f t="shared" si="259"/>
        <v>0</v>
      </c>
      <c r="P398" s="568">
        <f t="shared" si="260"/>
        <v>0</v>
      </c>
      <c r="Q398" s="568">
        <f t="shared" ref="Q398:S398" si="269">Q399+Q400</f>
        <v>0</v>
      </c>
      <c r="R398" s="568">
        <f t="shared" si="269"/>
        <v>0</v>
      </c>
      <c r="S398" s="568">
        <f t="shared" si="269"/>
        <v>0</v>
      </c>
      <c r="T398" s="568">
        <f t="shared" si="262"/>
        <v>0</v>
      </c>
      <c r="U398" s="568">
        <f t="shared" si="263"/>
        <v>0</v>
      </c>
    </row>
    <row r="399" spans="1:21" ht="18.75" hidden="1" x14ac:dyDescent="0.25">
      <c r="A399" s="674"/>
      <c r="B399" s="718"/>
      <c r="C399" s="718"/>
      <c r="D399" s="718"/>
      <c r="E399" s="569" t="s">
        <v>20</v>
      </c>
      <c r="F399" s="561"/>
      <c r="G399" s="563"/>
      <c r="H399" s="685" t="s">
        <v>14</v>
      </c>
      <c r="I399" s="683"/>
      <c r="J399" s="683"/>
      <c r="K399" s="684"/>
      <c r="L399" s="571">
        <v>0</v>
      </c>
      <c r="M399" s="572">
        <v>0</v>
      </c>
      <c r="N399" s="572">
        <v>0</v>
      </c>
      <c r="O399" s="572">
        <f t="shared" si="259"/>
        <v>0</v>
      </c>
      <c r="P399" s="572">
        <f t="shared" si="260"/>
        <v>0</v>
      </c>
      <c r="Q399" s="572">
        <v>0</v>
      </c>
      <c r="R399" s="572">
        <v>0</v>
      </c>
      <c r="S399" s="572">
        <v>0</v>
      </c>
      <c r="T399" s="572">
        <f t="shared" si="262"/>
        <v>0</v>
      </c>
      <c r="U399" s="572">
        <f t="shared" si="263"/>
        <v>0</v>
      </c>
    </row>
    <row r="400" spans="1:21" ht="18.75" hidden="1" x14ac:dyDescent="0.25">
      <c r="A400" s="674"/>
      <c r="B400" s="718"/>
      <c r="C400" s="718"/>
      <c r="D400" s="718"/>
      <c r="E400" s="573" t="s">
        <v>21</v>
      </c>
      <c r="F400" s="561"/>
      <c r="G400" s="563"/>
      <c r="H400" s="686" t="s">
        <v>14</v>
      </c>
      <c r="I400" s="683"/>
      <c r="J400" s="683"/>
      <c r="K400" s="684"/>
      <c r="L400" s="567">
        <v>0</v>
      </c>
      <c r="M400" s="568">
        <v>0</v>
      </c>
      <c r="N400" s="568">
        <v>0</v>
      </c>
      <c r="O400" s="568">
        <f t="shared" si="259"/>
        <v>0</v>
      </c>
      <c r="P400" s="568">
        <f t="shared" si="260"/>
        <v>0</v>
      </c>
      <c r="Q400" s="568">
        <v>0</v>
      </c>
      <c r="R400" s="568">
        <v>0</v>
      </c>
      <c r="S400" s="568">
        <v>0</v>
      </c>
      <c r="T400" s="568">
        <f t="shared" si="262"/>
        <v>0</v>
      </c>
      <c r="U400" s="568">
        <f t="shared" si="263"/>
        <v>0</v>
      </c>
    </row>
    <row r="401" spans="1:21" ht="19.5" hidden="1" x14ac:dyDescent="0.3">
      <c r="A401" s="687"/>
      <c r="B401" s="688"/>
      <c r="C401" s="719" t="s">
        <v>18</v>
      </c>
      <c r="D401" s="956" t="s">
        <v>38</v>
      </c>
      <c r="E401" s="690"/>
      <c r="F401" s="690"/>
      <c r="G401" s="691"/>
      <c r="H401" s="725"/>
      <c r="I401" s="683"/>
      <c r="J401" s="565"/>
      <c r="K401" s="566"/>
      <c r="L401" s="574"/>
      <c r="M401" s="566"/>
      <c r="N401" s="566"/>
      <c r="O401" s="684"/>
      <c r="P401" s="684"/>
      <c r="Q401" s="566"/>
      <c r="R401" s="566"/>
      <c r="S401" s="566"/>
      <c r="T401" s="684"/>
      <c r="U401" s="684"/>
    </row>
    <row r="402" spans="1:21" ht="12.75" hidden="1" x14ac:dyDescent="0.2">
      <c r="A402" s="973"/>
      <c r="B402" s="961"/>
      <c r="C402" s="961"/>
      <c r="D402" s="961"/>
      <c r="E402" s="974"/>
      <c r="F402" s="974"/>
      <c r="G402" s="975"/>
      <c r="H402" s="962"/>
      <c r="I402" s="963"/>
      <c r="J402" s="963"/>
      <c r="K402" s="964"/>
      <c r="L402" s="965"/>
      <c r="M402" s="964"/>
      <c r="N402" s="964"/>
      <c r="O402" s="964"/>
      <c r="P402" s="964"/>
      <c r="Q402" s="964"/>
      <c r="R402" s="964"/>
      <c r="S402" s="964"/>
      <c r="T402" s="964"/>
      <c r="U402" s="964"/>
    </row>
    <row r="403" spans="1:21" ht="12.75" hidden="1" x14ac:dyDescent="0.2">
      <c r="A403" s="961"/>
      <c r="B403" s="961"/>
      <c r="C403" s="961"/>
      <c r="D403" s="961"/>
      <c r="E403" s="961"/>
      <c r="F403" s="961"/>
      <c r="G403" s="962"/>
      <c r="H403" s="962"/>
      <c r="I403" s="963"/>
      <c r="J403" s="963"/>
      <c r="K403" s="964"/>
      <c r="L403" s="965"/>
      <c r="M403" s="964"/>
      <c r="N403" s="964"/>
      <c r="O403" s="964"/>
      <c r="P403" s="964"/>
      <c r="Q403" s="964"/>
      <c r="R403" s="964"/>
      <c r="S403" s="964"/>
      <c r="T403" s="964"/>
      <c r="U403" s="964"/>
    </row>
    <row r="404" spans="1:21" ht="12.75" hidden="1" x14ac:dyDescent="0.2">
      <c r="A404" s="961"/>
      <c r="B404" s="961"/>
      <c r="C404" s="961"/>
      <c r="D404" s="961"/>
      <c r="E404" s="961"/>
      <c r="F404" s="961"/>
      <c r="G404" s="962"/>
      <c r="H404" s="962"/>
      <c r="I404" s="963"/>
      <c r="J404" s="963"/>
      <c r="K404" s="964"/>
      <c r="L404" s="965"/>
      <c r="M404" s="964"/>
      <c r="N404" s="964"/>
      <c r="O404" s="964"/>
      <c r="P404" s="964"/>
      <c r="Q404" s="964"/>
      <c r="R404" s="964"/>
      <c r="S404" s="964"/>
      <c r="T404" s="964"/>
      <c r="U404" s="964"/>
    </row>
    <row r="405" spans="1:21" ht="12.75" hidden="1" x14ac:dyDescent="0.2">
      <c r="A405" s="961"/>
      <c r="B405" s="961"/>
      <c r="C405" s="961"/>
      <c r="D405" s="961"/>
      <c r="E405" s="961"/>
      <c r="F405" s="961"/>
      <c r="G405" s="962"/>
      <c r="H405" s="962"/>
      <c r="I405" s="963"/>
      <c r="J405" s="963"/>
      <c r="K405" s="964"/>
      <c r="L405" s="965"/>
      <c r="M405" s="964"/>
      <c r="N405" s="964"/>
      <c r="O405" s="964"/>
      <c r="P405" s="964"/>
      <c r="Q405" s="964"/>
      <c r="R405" s="964"/>
      <c r="S405" s="964"/>
      <c r="T405" s="964"/>
      <c r="U405" s="964"/>
    </row>
    <row r="406" spans="1:21" ht="12.75" hidden="1" x14ac:dyDescent="0.2">
      <c r="A406" s="961"/>
      <c r="B406" s="961"/>
      <c r="C406" s="961"/>
      <c r="D406" s="961"/>
      <c r="E406" s="961"/>
      <c r="F406" s="961"/>
      <c r="G406" s="962"/>
      <c r="H406" s="962"/>
      <c r="I406" s="963"/>
      <c r="J406" s="963"/>
      <c r="K406" s="964"/>
      <c r="L406" s="965"/>
      <c r="M406" s="964"/>
      <c r="N406" s="964"/>
      <c r="O406" s="964"/>
      <c r="P406" s="964"/>
      <c r="Q406" s="964"/>
      <c r="R406" s="964"/>
      <c r="S406" s="964"/>
      <c r="T406" s="964"/>
      <c r="U406" s="964"/>
    </row>
    <row r="407" spans="1:21" ht="12.75" hidden="1" x14ac:dyDescent="0.2">
      <c r="A407" s="961"/>
      <c r="B407" s="961"/>
      <c r="C407" s="961"/>
      <c r="D407" s="961"/>
      <c r="E407" s="961"/>
      <c r="F407" s="961"/>
      <c r="G407" s="962"/>
      <c r="H407" s="962"/>
      <c r="I407" s="963"/>
      <c r="J407" s="963"/>
      <c r="K407" s="964"/>
      <c r="L407" s="965"/>
      <c r="M407" s="964"/>
      <c r="N407" s="964"/>
      <c r="O407" s="964"/>
      <c r="P407" s="964"/>
      <c r="Q407" s="964"/>
      <c r="R407" s="964"/>
      <c r="S407" s="964"/>
      <c r="T407" s="964"/>
      <c r="U407" s="964"/>
    </row>
    <row r="408" spans="1:21" ht="12.75" hidden="1" x14ac:dyDescent="0.2">
      <c r="A408" s="961"/>
      <c r="B408" s="961"/>
      <c r="C408" s="961"/>
      <c r="D408" s="961"/>
      <c r="E408" s="961"/>
      <c r="F408" s="961"/>
      <c r="G408" s="962"/>
      <c r="H408" s="962"/>
      <c r="I408" s="963"/>
      <c r="J408" s="963"/>
      <c r="K408" s="964"/>
      <c r="L408" s="965"/>
      <c r="M408" s="964"/>
      <c r="N408" s="964"/>
      <c r="O408" s="964"/>
      <c r="P408" s="964"/>
      <c r="Q408" s="964"/>
      <c r="R408" s="964"/>
      <c r="S408" s="964"/>
      <c r="T408" s="964"/>
      <c r="U408" s="964"/>
    </row>
    <row r="409" spans="1:21" ht="12.75" hidden="1" x14ac:dyDescent="0.2">
      <c r="A409" s="961"/>
      <c r="B409" s="961"/>
      <c r="C409" s="961"/>
      <c r="D409" s="961"/>
      <c r="E409" s="961"/>
      <c r="F409" s="961"/>
      <c r="G409" s="962"/>
      <c r="H409" s="962"/>
      <c r="I409" s="963"/>
      <c r="J409" s="963"/>
      <c r="K409" s="964"/>
      <c r="L409" s="965"/>
      <c r="M409" s="964"/>
      <c r="N409" s="964"/>
      <c r="O409" s="964"/>
      <c r="P409" s="964"/>
      <c r="Q409" s="964"/>
      <c r="R409" s="964"/>
      <c r="S409" s="964"/>
      <c r="T409" s="964"/>
      <c r="U409" s="964"/>
    </row>
    <row r="410" spans="1:21" ht="12.75" hidden="1" x14ac:dyDescent="0.2">
      <c r="A410" s="961"/>
      <c r="B410" s="961"/>
      <c r="C410" s="961"/>
      <c r="D410" s="961"/>
      <c r="E410" s="961"/>
      <c r="F410" s="961"/>
      <c r="G410" s="962"/>
      <c r="H410" s="962"/>
      <c r="I410" s="963"/>
      <c r="J410" s="963"/>
      <c r="K410" s="964"/>
      <c r="L410" s="965"/>
      <c r="M410" s="964"/>
      <c r="N410" s="964"/>
      <c r="O410" s="964"/>
      <c r="P410" s="964"/>
      <c r="Q410" s="964"/>
      <c r="R410" s="964"/>
      <c r="S410" s="964"/>
      <c r="T410" s="964"/>
      <c r="U410" s="964"/>
    </row>
    <row r="411" spans="1:21" ht="12.75" hidden="1" x14ac:dyDescent="0.2">
      <c r="A411" s="966"/>
      <c r="B411" s="966"/>
      <c r="C411" s="966"/>
      <c r="D411" s="966"/>
      <c r="E411" s="966"/>
      <c r="F411" s="966"/>
      <c r="G411" s="967"/>
      <c r="H411" s="967"/>
      <c r="I411" s="968"/>
      <c r="J411" s="968"/>
      <c r="K411" s="969"/>
      <c r="L411" s="970"/>
      <c r="M411" s="969"/>
      <c r="N411" s="969"/>
      <c r="O411" s="969"/>
      <c r="P411" s="969"/>
      <c r="Q411" s="969"/>
      <c r="R411" s="969"/>
      <c r="S411" s="969"/>
      <c r="T411" s="969"/>
      <c r="U411" s="969"/>
    </row>
    <row r="412" spans="1:21" ht="19.5" x14ac:dyDescent="0.3">
      <c r="A412" s="928"/>
      <c r="B412" s="971" t="s">
        <v>157</v>
      </c>
      <c r="C412" s="928"/>
      <c r="D412" s="928"/>
      <c r="E412" s="928"/>
      <c r="F412" s="928"/>
      <c r="G412" s="976"/>
      <c r="H412" s="977" t="s">
        <v>46</v>
      </c>
      <c r="I412" s="914">
        <f t="shared" ref="I412:J412" ca="1" si="270">I423</f>
        <v>70983</v>
      </c>
      <c r="J412" s="914">
        <f t="shared" si="270"/>
        <v>0</v>
      </c>
      <c r="K412" s="915">
        <f ca="1">IF(I412&gt;0,J412*100/I412,0)</f>
        <v>0</v>
      </c>
      <c r="L412" s="916"/>
      <c r="M412" s="917"/>
      <c r="N412" s="917"/>
      <c r="O412" s="917"/>
      <c r="P412" s="917"/>
      <c r="Q412" s="917"/>
      <c r="R412" s="917"/>
      <c r="S412" s="917"/>
      <c r="T412" s="917"/>
      <c r="U412" s="917"/>
    </row>
    <row r="413" spans="1:21" ht="19.5" x14ac:dyDescent="0.3">
      <c r="A413" s="674"/>
      <c r="B413" s="718"/>
      <c r="C413" s="978" t="s">
        <v>18</v>
      </c>
      <c r="D413" s="1313" t="s">
        <v>19</v>
      </c>
      <c r="E413" s="1314"/>
      <c r="F413" s="1314"/>
      <c r="G413" s="1317"/>
      <c r="H413" s="979" t="s">
        <v>14</v>
      </c>
      <c r="I413" s="565"/>
      <c r="J413" s="565"/>
      <c r="K413" s="566"/>
      <c r="L413" s="678">
        <f t="shared" ref="L413:N413" ca="1" si="271">L414+L415</f>
        <v>562280</v>
      </c>
      <c r="M413" s="679">
        <f t="shared" ca="1" si="271"/>
        <v>233200</v>
      </c>
      <c r="N413" s="679">
        <f t="shared" ca="1" si="271"/>
        <v>0</v>
      </c>
      <c r="O413" s="679">
        <f t="shared" ref="O413:O421" ca="1" si="272">IF(L413&gt;0,N413*100/L413,0)</f>
        <v>0</v>
      </c>
      <c r="P413" s="679">
        <f t="shared" ref="P413:P421" ca="1" si="273">IF(M413&gt;0,N413*100/M413,0)</f>
        <v>0</v>
      </c>
      <c r="Q413" s="679">
        <f t="shared" ref="Q413:S413" ca="1" si="274">Q414+Q415</f>
        <v>130430</v>
      </c>
      <c r="R413" s="679">
        <f t="shared" ca="1" si="274"/>
        <v>130430</v>
      </c>
      <c r="S413" s="679">
        <f t="shared" ca="1" si="274"/>
        <v>0</v>
      </c>
      <c r="T413" s="679">
        <f t="shared" ref="T413:T421" ca="1" si="275">IF(Q413&gt;0,S413*100/Q413,0)</f>
        <v>0</v>
      </c>
      <c r="U413" s="679">
        <f t="shared" ref="U413:U421" ca="1" si="276">IF(R413&gt;0,S413*100/R413,0)</f>
        <v>0</v>
      </c>
    </row>
    <row r="414" spans="1:21" ht="18.75" x14ac:dyDescent="0.25">
      <c r="A414" s="674"/>
      <c r="B414" s="718"/>
      <c r="C414" s="718"/>
      <c r="D414" s="718"/>
      <c r="E414" s="767" t="s">
        <v>158</v>
      </c>
      <c r="F414" s="718"/>
      <c r="G414" s="727"/>
      <c r="H414" s="723" t="s">
        <v>14</v>
      </c>
      <c r="I414" s="565"/>
      <c r="J414" s="565"/>
      <c r="K414" s="566"/>
      <c r="L414" s="571">
        <f t="shared" ref="L414:N415" si="277">L417+L420</f>
        <v>0</v>
      </c>
      <c r="M414" s="572">
        <f t="shared" si="277"/>
        <v>0</v>
      </c>
      <c r="N414" s="572">
        <f t="shared" si="277"/>
        <v>0</v>
      </c>
      <c r="O414" s="572">
        <f t="shared" si="272"/>
        <v>0</v>
      </c>
      <c r="P414" s="572">
        <f t="shared" si="273"/>
        <v>0</v>
      </c>
      <c r="Q414" s="572">
        <f t="shared" ref="Q414:S415" si="278">Q417+Q420</f>
        <v>0</v>
      </c>
      <c r="R414" s="572">
        <f t="shared" si="278"/>
        <v>0</v>
      </c>
      <c r="S414" s="572">
        <f t="shared" si="278"/>
        <v>0</v>
      </c>
      <c r="T414" s="572">
        <f t="shared" si="275"/>
        <v>0</v>
      </c>
      <c r="U414" s="572">
        <f t="shared" si="276"/>
        <v>0</v>
      </c>
    </row>
    <row r="415" spans="1:21" ht="18.75" x14ac:dyDescent="0.25">
      <c r="A415" s="674"/>
      <c r="B415" s="718"/>
      <c r="C415" s="718"/>
      <c r="D415" s="718"/>
      <c r="E415" s="765" t="s">
        <v>159</v>
      </c>
      <c r="F415" s="718"/>
      <c r="G415" s="727"/>
      <c r="H415" s="722" t="s">
        <v>14</v>
      </c>
      <c r="I415" s="565"/>
      <c r="J415" s="565"/>
      <c r="K415" s="566"/>
      <c r="L415" s="567">
        <f t="shared" ca="1" si="277"/>
        <v>562280</v>
      </c>
      <c r="M415" s="568">
        <f t="shared" ca="1" si="277"/>
        <v>233200</v>
      </c>
      <c r="N415" s="568">
        <f t="shared" ca="1" si="277"/>
        <v>0</v>
      </c>
      <c r="O415" s="568">
        <f t="shared" ca="1" si="272"/>
        <v>0</v>
      </c>
      <c r="P415" s="568">
        <f t="shared" ca="1" si="273"/>
        <v>0</v>
      </c>
      <c r="Q415" s="568">
        <f t="shared" ca="1" si="278"/>
        <v>130430</v>
      </c>
      <c r="R415" s="568">
        <f t="shared" ca="1" si="278"/>
        <v>130430</v>
      </c>
      <c r="S415" s="568">
        <f t="shared" ca="1" si="278"/>
        <v>0</v>
      </c>
      <c r="T415" s="568">
        <f t="shared" ca="1" si="275"/>
        <v>0</v>
      </c>
      <c r="U415" s="568">
        <f t="shared" ca="1" si="276"/>
        <v>0</v>
      </c>
    </row>
    <row r="416" spans="1:21" ht="19.5" x14ac:dyDescent="0.3">
      <c r="A416" s="674"/>
      <c r="B416" s="718"/>
      <c r="C416" s="718"/>
      <c r="D416" s="955" t="s">
        <v>22</v>
      </c>
      <c r="E416" s="718"/>
      <c r="F416" s="718"/>
      <c r="G416" s="727"/>
      <c r="H416" s="979" t="s">
        <v>14</v>
      </c>
      <c r="I416" s="565"/>
      <c r="J416" s="565"/>
      <c r="K416" s="566"/>
      <c r="L416" s="567">
        <f t="shared" ref="L416:N416" ca="1" si="279">L417+L418</f>
        <v>562280</v>
      </c>
      <c r="M416" s="568">
        <f t="shared" ca="1" si="279"/>
        <v>233200</v>
      </c>
      <c r="N416" s="568">
        <f t="shared" ca="1" si="279"/>
        <v>0</v>
      </c>
      <c r="O416" s="568">
        <f t="shared" ca="1" si="272"/>
        <v>0</v>
      </c>
      <c r="P416" s="568">
        <f t="shared" ca="1" si="273"/>
        <v>0</v>
      </c>
      <c r="Q416" s="568">
        <f t="shared" ref="Q416:S416" ca="1" si="280">Q417+Q418</f>
        <v>130430</v>
      </c>
      <c r="R416" s="568">
        <f t="shared" ca="1" si="280"/>
        <v>130430</v>
      </c>
      <c r="S416" s="568">
        <f t="shared" ca="1" si="280"/>
        <v>0</v>
      </c>
      <c r="T416" s="568">
        <f t="shared" ca="1" si="275"/>
        <v>0</v>
      </c>
      <c r="U416" s="568">
        <f t="shared" ca="1" si="276"/>
        <v>0</v>
      </c>
    </row>
    <row r="417" spans="1:21" ht="18.75" x14ac:dyDescent="0.25">
      <c r="A417" s="674"/>
      <c r="B417" s="718"/>
      <c r="C417" s="718"/>
      <c r="D417" s="718"/>
      <c r="E417" s="767" t="s">
        <v>158</v>
      </c>
      <c r="F417" s="718"/>
      <c r="G417" s="727"/>
      <c r="H417" s="723" t="s">
        <v>14</v>
      </c>
      <c r="I417" s="565"/>
      <c r="J417" s="565"/>
      <c r="K417" s="566"/>
      <c r="L417" s="571">
        <v>0</v>
      </c>
      <c r="M417" s="572">
        <v>0</v>
      </c>
      <c r="N417" s="572">
        <v>0</v>
      </c>
      <c r="O417" s="572">
        <f t="shared" si="272"/>
        <v>0</v>
      </c>
      <c r="P417" s="572">
        <f t="shared" si="273"/>
        <v>0</v>
      </c>
      <c r="Q417" s="572">
        <v>0</v>
      </c>
      <c r="R417" s="572">
        <v>0</v>
      </c>
      <c r="S417" s="572">
        <v>0</v>
      </c>
      <c r="T417" s="572">
        <f t="shared" si="275"/>
        <v>0</v>
      </c>
      <c r="U417" s="572">
        <f t="shared" si="276"/>
        <v>0</v>
      </c>
    </row>
    <row r="418" spans="1:21" ht="18.75" x14ac:dyDescent="0.25">
      <c r="A418" s="674"/>
      <c r="B418" s="718"/>
      <c r="C418" s="718"/>
      <c r="D418" s="718"/>
      <c r="E418" s="765" t="s">
        <v>159</v>
      </c>
      <c r="F418" s="718"/>
      <c r="G418" s="727"/>
      <c r="H418" s="722" t="s">
        <v>14</v>
      </c>
      <c r="I418" s="565"/>
      <c r="J418" s="565"/>
      <c r="K418" s="566"/>
      <c r="L418" s="567">
        <f ca="1">IFERROR(__xludf.DUMMYFUNCTION("IMPORTRANGE(""https://docs.google.com/spreadsheets/d/1-uDff_7J0KD5mKrp0Vvzr7lt3OU09vwQwhkpOPPYv2Y/edit?usp=sharing"",""งบพรบ!IO18"")"),562280)</f>
        <v>562280</v>
      </c>
      <c r="M418" s="568">
        <f ca="1">IFERROR(__xludf.DUMMYFUNCTION("IMPORTRANGE(""https://docs.google.com/spreadsheets/d/1-uDff_7J0KD5mKrp0Vvzr7lt3OU09vwQwhkpOPPYv2Y/edit?usp=sharing"",""งบพรบ!IT18"")"),233200)</f>
        <v>233200</v>
      </c>
      <c r="N418" s="568">
        <f ca="1">IFERROR(__xludf.DUMMYFUNCTION("IMPORTRANGE(""https://docs.google.com/spreadsheets/d/1-uDff_7J0KD5mKrp0Vvzr7lt3OU09vwQwhkpOPPYv2Y/edit?usp=sharing"",""งบพรบ!IV18"")"),0)</f>
        <v>0</v>
      </c>
      <c r="O418" s="568">
        <f t="shared" ca="1" si="272"/>
        <v>0</v>
      </c>
      <c r="P418" s="568">
        <f t="shared" ca="1" si="273"/>
        <v>0</v>
      </c>
      <c r="Q418" s="568">
        <f ca="1">IFERROR(__xludf.DUMMYFUNCTION("IMPORTRANGE(""https://docs.google.com/spreadsheets/d/1ItG2mGa2ceCfYo0BwxsXqNm01IGEUdYcSSLTEv9YCik/edit?usp=sharing"",""เบิกจ่ายกองทุน!BZ18"")"),130430)</f>
        <v>130430</v>
      </c>
      <c r="R418" s="568">
        <f ca="1">IFERROR(__xludf.DUMMYFUNCTION("IMPORTRANGE(""https://docs.google.com/spreadsheets/d/1ItG2mGa2ceCfYo0BwxsXqNm01IGEUdYcSSLTEv9YCik/edit?usp=sharing"",""เบิกจ่ายกองทุน!CA18"")"),130430)</f>
        <v>130430</v>
      </c>
      <c r="S418" s="568">
        <f ca="1">IFERROR(__xludf.DUMMYFUNCTION("IMPORTRANGE(""https://docs.google.com/spreadsheets/d/1ItG2mGa2ceCfYo0BwxsXqNm01IGEUdYcSSLTEv9YCik/edit?usp=sharing"",""เบิกจ่ายกองทุน!CB18"")"),0)</f>
        <v>0</v>
      </c>
      <c r="T418" s="568">
        <f t="shared" ca="1" si="275"/>
        <v>0</v>
      </c>
      <c r="U418" s="568">
        <f t="shared" ca="1" si="276"/>
        <v>0</v>
      </c>
    </row>
    <row r="419" spans="1:21" ht="19.5" x14ac:dyDescent="0.3">
      <c r="A419" s="674"/>
      <c r="B419" s="718"/>
      <c r="C419" s="718"/>
      <c r="D419" s="955" t="s">
        <v>23</v>
      </c>
      <c r="E419" s="718"/>
      <c r="F419" s="718"/>
      <c r="G419" s="727"/>
      <c r="H419" s="677" t="s">
        <v>14</v>
      </c>
      <c r="I419" s="565"/>
      <c r="J419" s="565"/>
      <c r="K419" s="566"/>
      <c r="L419" s="567">
        <f t="shared" ref="L419:N419" ca="1" si="281">L420+L421</f>
        <v>0</v>
      </c>
      <c r="M419" s="568">
        <f t="shared" ca="1" si="281"/>
        <v>0</v>
      </c>
      <c r="N419" s="568">
        <f t="shared" ca="1" si="281"/>
        <v>0</v>
      </c>
      <c r="O419" s="568">
        <f t="shared" ca="1" si="272"/>
        <v>0</v>
      </c>
      <c r="P419" s="568">
        <f t="shared" ca="1" si="273"/>
        <v>0</v>
      </c>
      <c r="Q419" s="568">
        <f t="shared" ref="Q419:S419" si="282">Q420+Q421</f>
        <v>0</v>
      </c>
      <c r="R419" s="568">
        <f t="shared" si="282"/>
        <v>0</v>
      </c>
      <c r="S419" s="568">
        <f t="shared" si="282"/>
        <v>0</v>
      </c>
      <c r="T419" s="568">
        <f t="shared" si="275"/>
        <v>0</v>
      </c>
      <c r="U419" s="568">
        <f t="shared" si="276"/>
        <v>0</v>
      </c>
    </row>
    <row r="420" spans="1:21" ht="18.75" x14ac:dyDescent="0.25">
      <c r="A420" s="674"/>
      <c r="B420" s="718"/>
      <c r="C420" s="718"/>
      <c r="D420" s="718"/>
      <c r="E420" s="767" t="s">
        <v>20</v>
      </c>
      <c r="F420" s="718"/>
      <c r="G420" s="727"/>
      <c r="H420" s="723" t="s">
        <v>14</v>
      </c>
      <c r="I420" s="565"/>
      <c r="J420" s="565"/>
      <c r="K420" s="566"/>
      <c r="L420" s="571">
        <v>0</v>
      </c>
      <c r="M420" s="572">
        <v>0</v>
      </c>
      <c r="N420" s="572">
        <v>0</v>
      </c>
      <c r="O420" s="572">
        <f t="shared" si="272"/>
        <v>0</v>
      </c>
      <c r="P420" s="572">
        <f t="shared" si="273"/>
        <v>0</v>
      </c>
      <c r="Q420" s="572">
        <v>0</v>
      </c>
      <c r="R420" s="572">
        <v>0</v>
      </c>
      <c r="S420" s="572">
        <v>0</v>
      </c>
      <c r="T420" s="572">
        <f t="shared" si="275"/>
        <v>0</v>
      </c>
      <c r="U420" s="572">
        <f t="shared" si="276"/>
        <v>0</v>
      </c>
    </row>
    <row r="421" spans="1:21" ht="18.75" x14ac:dyDescent="0.25">
      <c r="A421" s="674"/>
      <c r="B421" s="718"/>
      <c r="C421" s="718"/>
      <c r="D421" s="718"/>
      <c r="E421" s="765" t="s">
        <v>21</v>
      </c>
      <c r="F421" s="718"/>
      <c r="G421" s="727"/>
      <c r="H421" s="681" t="s">
        <v>14</v>
      </c>
      <c r="I421" s="565"/>
      <c r="J421" s="565"/>
      <c r="K421" s="566"/>
      <c r="L421" s="567">
        <f ca="1">IFERROR(__xludf.DUMMYFUNCTION("IMPORTRANGE(""https://docs.google.com/spreadsheets/d/1-uDff_7J0KD5mKrp0Vvzr7lt3OU09vwQwhkpOPPYv2Y/edit?usp=sharing"",""งบพรบ!IR18"")"),0)</f>
        <v>0</v>
      </c>
      <c r="M421" s="568">
        <f ca="1">IFERROR(__xludf.DUMMYFUNCTION("IMPORTRANGE(""https://docs.google.com/spreadsheets/d/1-uDff_7J0KD5mKrp0Vvzr7lt3OU09vwQwhkpOPPYv2Y/edit?usp=sharing"",""งบพรบ!IU18"")"),0)</f>
        <v>0</v>
      </c>
      <c r="N421" s="568">
        <f ca="1">IFERROR(__xludf.DUMMYFUNCTION("IMPORTRANGE(""https://docs.google.com/spreadsheets/d/1-uDff_7J0KD5mKrp0Vvzr7lt3OU09vwQwhkpOPPYv2Y/edit?usp=sharing"",""งบพรบ!IW18"")"),0)</f>
        <v>0</v>
      </c>
      <c r="O421" s="568">
        <f t="shared" ca="1" si="272"/>
        <v>0</v>
      </c>
      <c r="P421" s="568">
        <f t="shared" ca="1" si="273"/>
        <v>0</v>
      </c>
      <c r="Q421" s="568">
        <v>0</v>
      </c>
      <c r="R421" s="568">
        <v>0</v>
      </c>
      <c r="S421" s="568">
        <v>0</v>
      </c>
      <c r="T421" s="568">
        <f t="shared" si="275"/>
        <v>0</v>
      </c>
      <c r="U421" s="568">
        <f t="shared" si="276"/>
        <v>0</v>
      </c>
    </row>
    <row r="422" spans="1:21" ht="19.5" x14ac:dyDescent="0.3">
      <c r="A422" s="764"/>
      <c r="B422" s="718"/>
      <c r="C422" s="978" t="s">
        <v>18</v>
      </c>
      <c r="D422" s="980" t="s">
        <v>38</v>
      </c>
      <c r="E422" s="718"/>
      <c r="F422" s="718"/>
      <c r="G422" s="727"/>
      <c r="H422" s="727"/>
      <c r="I422" s="565"/>
      <c r="J422" s="565"/>
      <c r="K422" s="566"/>
      <c r="L422" s="574"/>
      <c r="M422" s="566"/>
      <c r="N422" s="566"/>
      <c r="O422" s="566"/>
      <c r="P422" s="566"/>
      <c r="Q422" s="566"/>
      <c r="R422" s="566"/>
      <c r="S422" s="566"/>
      <c r="T422" s="566"/>
      <c r="U422" s="566"/>
    </row>
    <row r="423" spans="1:21" ht="19.5" x14ac:dyDescent="0.3">
      <c r="A423" s="764"/>
      <c r="B423" s="719" t="s">
        <v>160</v>
      </c>
      <c r="C423" s="718"/>
      <c r="D423" s="718"/>
      <c r="E423" s="718"/>
      <c r="F423" s="718"/>
      <c r="G423" s="727"/>
      <c r="H423" s="979" t="s">
        <v>46</v>
      </c>
      <c r="I423" s="697">
        <f t="shared" ref="I423:J423" ca="1" si="283">I440</f>
        <v>70983</v>
      </c>
      <c r="J423" s="697">
        <f t="shared" si="283"/>
        <v>0</v>
      </c>
      <c r="K423" s="679">
        <f t="shared" ref="K423:K425" ca="1" si="284">IF(I423&gt;0,J423*100/I423,0)</f>
        <v>0</v>
      </c>
      <c r="L423" s="574"/>
      <c r="M423" s="566"/>
      <c r="N423" s="566"/>
      <c r="O423" s="566"/>
      <c r="P423" s="566"/>
      <c r="Q423" s="566"/>
      <c r="R423" s="566"/>
      <c r="S423" s="566"/>
      <c r="T423" s="566"/>
      <c r="U423" s="566"/>
    </row>
    <row r="424" spans="1:21" ht="19.5" x14ac:dyDescent="0.3">
      <c r="A424" s="764"/>
      <c r="B424" s="718"/>
      <c r="C424" s="719" t="s">
        <v>161</v>
      </c>
      <c r="D424" s="718"/>
      <c r="E424" s="718"/>
      <c r="F424" s="718"/>
      <c r="G424" s="727"/>
      <c r="H424" s="677" t="s">
        <v>46</v>
      </c>
      <c r="I424" s="697">
        <f ca="1">IFERROR(__xludf.DUMMYFUNCTION("IMPORTRANGE(""https://docs.google.com/spreadsheets/d/1eHaY18a8A9IcSdp1K8H6x8fbOy06t2VsZHhMHf-1x7Y/edit?usp=sharing"",""แผน!HJ18"")"),70983)</f>
        <v>70983</v>
      </c>
      <c r="J424" s="697">
        <f t="shared" ref="J424:J425" si="285">J426+J428+J430</f>
        <v>0</v>
      </c>
      <c r="K424" s="679">
        <f t="shared" ca="1" si="284"/>
        <v>0</v>
      </c>
      <c r="L424" s="574"/>
      <c r="M424" s="566"/>
      <c r="N424" s="566"/>
      <c r="O424" s="566"/>
      <c r="P424" s="566"/>
      <c r="Q424" s="566"/>
      <c r="R424" s="566"/>
      <c r="S424" s="566"/>
      <c r="T424" s="566"/>
      <c r="U424" s="566"/>
    </row>
    <row r="425" spans="1:21" ht="19.5" x14ac:dyDescent="0.3">
      <c r="A425" s="764"/>
      <c r="B425" s="718"/>
      <c r="C425" s="718"/>
      <c r="D425" s="718"/>
      <c r="E425" s="718"/>
      <c r="F425" s="718"/>
      <c r="G425" s="727"/>
      <c r="H425" s="677" t="s">
        <v>34</v>
      </c>
      <c r="I425" s="697">
        <f ca="1">IFERROR(__xludf.DUMMYFUNCTION("IMPORTRANGE(""https://docs.google.com/spreadsheets/d/1eHaY18a8A9IcSdp1K8H6x8fbOy06t2VsZHhMHf-1x7Y/edit?usp=sharing"",""แผน!HK18"")"),4843)</f>
        <v>4843</v>
      </c>
      <c r="J425" s="697">
        <f t="shared" si="285"/>
        <v>0</v>
      </c>
      <c r="K425" s="679">
        <f t="shared" ca="1" si="284"/>
        <v>0</v>
      </c>
      <c r="L425" s="574"/>
      <c r="M425" s="566"/>
      <c r="N425" s="566"/>
      <c r="O425" s="566"/>
      <c r="P425" s="566"/>
      <c r="Q425" s="566"/>
      <c r="R425" s="566"/>
      <c r="S425" s="566"/>
      <c r="T425" s="566"/>
      <c r="U425" s="566"/>
    </row>
    <row r="426" spans="1:21" ht="18.75" x14ac:dyDescent="0.25">
      <c r="A426" s="764"/>
      <c r="B426" s="718"/>
      <c r="C426" s="718"/>
      <c r="D426" s="765" t="s">
        <v>162</v>
      </c>
      <c r="E426" s="718"/>
      <c r="F426" s="718"/>
      <c r="G426" s="727"/>
      <c r="H426" s="681" t="s">
        <v>46</v>
      </c>
      <c r="I426" s="565"/>
      <c r="J426" s="565"/>
      <c r="K426" s="566"/>
      <c r="L426" s="574"/>
      <c r="M426" s="566"/>
      <c r="N426" s="566"/>
      <c r="O426" s="566"/>
      <c r="P426" s="566"/>
      <c r="Q426" s="566"/>
      <c r="R426" s="566"/>
      <c r="S426" s="566"/>
      <c r="T426" s="566"/>
      <c r="U426" s="566"/>
    </row>
    <row r="427" spans="1:21" ht="18.75" x14ac:dyDescent="0.25">
      <c r="A427" s="764"/>
      <c r="B427" s="718"/>
      <c r="C427" s="718"/>
      <c r="D427" s="718"/>
      <c r="E427" s="718"/>
      <c r="F427" s="718"/>
      <c r="G427" s="727"/>
      <c r="H427" s="681" t="s">
        <v>34</v>
      </c>
      <c r="I427" s="565"/>
      <c r="J427" s="565"/>
      <c r="K427" s="566"/>
      <c r="L427" s="574"/>
      <c r="M427" s="566"/>
      <c r="N427" s="566"/>
      <c r="O427" s="566"/>
      <c r="P427" s="566"/>
      <c r="Q427" s="566"/>
      <c r="R427" s="566"/>
      <c r="S427" s="566"/>
      <c r="T427" s="566"/>
      <c r="U427" s="566"/>
    </row>
    <row r="428" spans="1:21" ht="18.75" x14ac:dyDescent="0.25">
      <c r="A428" s="764"/>
      <c r="B428" s="718"/>
      <c r="C428" s="718"/>
      <c r="D428" s="765" t="s">
        <v>163</v>
      </c>
      <c r="E428" s="718"/>
      <c r="F428" s="718"/>
      <c r="G428" s="727"/>
      <c r="H428" s="681" t="s">
        <v>46</v>
      </c>
      <c r="I428" s="565"/>
      <c r="J428" s="565"/>
      <c r="K428" s="566"/>
      <c r="L428" s="574"/>
      <c r="M428" s="566"/>
      <c r="N428" s="566"/>
      <c r="O428" s="566"/>
      <c r="P428" s="566"/>
      <c r="Q428" s="566"/>
      <c r="R428" s="566"/>
      <c r="S428" s="566"/>
      <c r="T428" s="566"/>
      <c r="U428" s="566"/>
    </row>
    <row r="429" spans="1:21" ht="18.75" x14ac:dyDescent="0.25">
      <c r="A429" s="764"/>
      <c r="B429" s="718"/>
      <c r="C429" s="718"/>
      <c r="D429" s="718"/>
      <c r="E429" s="718"/>
      <c r="F429" s="718"/>
      <c r="G429" s="727"/>
      <c r="H429" s="681" t="s">
        <v>34</v>
      </c>
      <c r="I429" s="565"/>
      <c r="J429" s="565"/>
      <c r="K429" s="566"/>
      <c r="L429" s="574"/>
      <c r="M429" s="566"/>
      <c r="N429" s="566"/>
      <c r="O429" s="566"/>
      <c r="P429" s="566"/>
      <c r="Q429" s="566"/>
      <c r="R429" s="566"/>
      <c r="S429" s="566"/>
      <c r="T429" s="566"/>
      <c r="U429" s="566"/>
    </row>
    <row r="430" spans="1:21" ht="18.75" x14ac:dyDescent="0.25">
      <c r="A430" s="764"/>
      <c r="B430" s="718"/>
      <c r="C430" s="718"/>
      <c r="D430" s="765" t="s">
        <v>164</v>
      </c>
      <c r="E430" s="718"/>
      <c r="F430" s="718"/>
      <c r="G430" s="727"/>
      <c r="H430" s="681" t="s">
        <v>46</v>
      </c>
      <c r="I430" s="565"/>
      <c r="J430" s="565"/>
      <c r="K430" s="566"/>
      <c r="L430" s="574"/>
      <c r="M430" s="566"/>
      <c r="N430" s="566"/>
      <c r="O430" s="566"/>
      <c r="P430" s="566"/>
      <c r="Q430" s="566"/>
      <c r="R430" s="566"/>
      <c r="S430" s="566"/>
      <c r="T430" s="566"/>
      <c r="U430" s="566"/>
    </row>
    <row r="431" spans="1:21" ht="18.75" x14ac:dyDescent="0.25">
      <c r="A431" s="764"/>
      <c r="B431" s="718"/>
      <c r="C431" s="718"/>
      <c r="D431" s="718"/>
      <c r="E431" s="718"/>
      <c r="F431" s="718"/>
      <c r="G431" s="727"/>
      <c r="H431" s="681" t="s">
        <v>34</v>
      </c>
      <c r="I431" s="565"/>
      <c r="J431" s="565"/>
      <c r="K431" s="566"/>
      <c r="L431" s="574"/>
      <c r="M431" s="566"/>
      <c r="N431" s="566"/>
      <c r="O431" s="566"/>
      <c r="P431" s="566"/>
      <c r="Q431" s="566"/>
      <c r="R431" s="566"/>
      <c r="S431" s="566"/>
      <c r="T431" s="566"/>
      <c r="U431" s="566"/>
    </row>
    <row r="432" spans="1:21" ht="19.5" x14ac:dyDescent="0.3">
      <c r="A432" s="764"/>
      <c r="B432" s="718"/>
      <c r="C432" s="719" t="s">
        <v>165</v>
      </c>
      <c r="D432" s="718"/>
      <c r="E432" s="718"/>
      <c r="F432" s="718"/>
      <c r="G432" s="727"/>
      <c r="H432" s="677" t="s">
        <v>46</v>
      </c>
      <c r="I432" s="697">
        <f ca="1">IFERROR(__xludf.DUMMYFUNCTION("IMPORTRANGE(""https://docs.google.com/spreadsheets/d/1eHaY18a8A9IcSdp1K8H6x8fbOy06t2VsZHhMHf-1x7Y/edit?usp=sharing"",""แผน!HJ18"")"),70983)</f>
        <v>70983</v>
      </c>
      <c r="J432" s="697">
        <f t="shared" ref="J432:J433" si="286">J434+J436+J438</f>
        <v>0</v>
      </c>
      <c r="K432" s="679">
        <f t="shared" ref="K432:K433" ca="1" si="287">IF(I432&gt;0,J432*100/I432,0)</f>
        <v>0</v>
      </c>
      <c r="L432" s="574"/>
      <c r="M432" s="566"/>
      <c r="N432" s="566"/>
      <c r="O432" s="566"/>
      <c r="P432" s="566"/>
      <c r="Q432" s="566"/>
      <c r="R432" s="566"/>
      <c r="S432" s="566"/>
      <c r="T432" s="566"/>
      <c r="U432" s="566"/>
    </row>
    <row r="433" spans="1:21" ht="19.5" x14ac:dyDescent="0.3">
      <c r="A433" s="764"/>
      <c r="B433" s="718"/>
      <c r="C433" s="718"/>
      <c r="D433" s="718"/>
      <c r="E433" s="718"/>
      <c r="F433" s="718"/>
      <c r="G433" s="727"/>
      <c r="H433" s="677" t="s">
        <v>34</v>
      </c>
      <c r="I433" s="697">
        <f ca="1">IFERROR(__xludf.DUMMYFUNCTION("IMPORTRANGE(""https://docs.google.com/spreadsheets/d/1eHaY18a8A9IcSdp1K8H6x8fbOy06t2VsZHhMHf-1x7Y/edit?usp=sharing"",""แผน!HK18"")"),4843)</f>
        <v>4843</v>
      </c>
      <c r="J433" s="697">
        <f t="shared" si="286"/>
        <v>0</v>
      </c>
      <c r="K433" s="679">
        <f t="shared" ca="1" si="287"/>
        <v>0</v>
      </c>
      <c r="L433" s="574"/>
      <c r="M433" s="566"/>
      <c r="N433" s="566"/>
      <c r="O433" s="566"/>
      <c r="P433" s="566"/>
      <c r="Q433" s="566"/>
      <c r="R433" s="566"/>
      <c r="S433" s="566"/>
      <c r="T433" s="566"/>
      <c r="U433" s="566"/>
    </row>
    <row r="434" spans="1:21" ht="18.75" x14ac:dyDescent="0.25">
      <c r="A434" s="764"/>
      <c r="B434" s="718"/>
      <c r="C434" s="718"/>
      <c r="D434" s="765" t="s">
        <v>166</v>
      </c>
      <c r="E434" s="718"/>
      <c r="F434" s="718"/>
      <c r="G434" s="727"/>
      <c r="H434" s="681" t="s">
        <v>46</v>
      </c>
      <c r="I434" s="565"/>
      <c r="J434" s="565"/>
      <c r="K434" s="566"/>
      <c r="L434" s="574"/>
      <c r="M434" s="566"/>
      <c r="N434" s="566"/>
      <c r="O434" s="566"/>
      <c r="P434" s="566"/>
      <c r="Q434" s="566"/>
      <c r="R434" s="566"/>
      <c r="S434" s="566"/>
      <c r="T434" s="566"/>
      <c r="U434" s="566"/>
    </row>
    <row r="435" spans="1:21" ht="18.75" x14ac:dyDescent="0.25">
      <c r="A435" s="764"/>
      <c r="B435" s="718"/>
      <c r="C435" s="718"/>
      <c r="D435" s="718"/>
      <c r="E435" s="718"/>
      <c r="F435" s="718"/>
      <c r="G435" s="727"/>
      <c r="H435" s="681" t="s">
        <v>34</v>
      </c>
      <c r="I435" s="565"/>
      <c r="J435" s="565"/>
      <c r="K435" s="566"/>
      <c r="L435" s="574"/>
      <c r="M435" s="566"/>
      <c r="N435" s="566"/>
      <c r="O435" s="566"/>
      <c r="P435" s="566"/>
      <c r="Q435" s="566"/>
      <c r="R435" s="566"/>
      <c r="S435" s="566"/>
      <c r="T435" s="566"/>
      <c r="U435" s="566"/>
    </row>
    <row r="436" spans="1:21" ht="18.75" x14ac:dyDescent="0.25">
      <c r="A436" s="764"/>
      <c r="B436" s="718"/>
      <c r="C436" s="718"/>
      <c r="D436" s="765" t="s">
        <v>167</v>
      </c>
      <c r="E436" s="718"/>
      <c r="F436" s="718"/>
      <c r="G436" s="727"/>
      <c r="H436" s="681" t="s">
        <v>46</v>
      </c>
      <c r="I436" s="565"/>
      <c r="J436" s="565"/>
      <c r="K436" s="566"/>
      <c r="L436" s="574"/>
      <c r="M436" s="566"/>
      <c r="N436" s="566"/>
      <c r="O436" s="566"/>
      <c r="P436" s="566"/>
      <c r="Q436" s="566"/>
      <c r="R436" s="566"/>
      <c r="S436" s="566"/>
      <c r="T436" s="566"/>
      <c r="U436" s="566"/>
    </row>
    <row r="437" spans="1:21" ht="18.75" x14ac:dyDescent="0.25">
      <c r="A437" s="764"/>
      <c r="B437" s="718"/>
      <c r="C437" s="718"/>
      <c r="D437" s="718"/>
      <c r="E437" s="718"/>
      <c r="F437" s="718"/>
      <c r="G437" s="727"/>
      <c r="H437" s="681" t="s">
        <v>34</v>
      </c>
      <c r="I437" s="565"/>
      <c r="J437" s="565"/>
      <c r="K437" s="566"/>
      <c r="L437" s="574"/>
      <c r="M437" s="566"/>
      <c r="N437" s="566"/>
      <c r="O437" s="566"/>
      <c r="P437" s="566"/>
      <c r="Q437" s="566"/>
      <c r="R437" s="566"/>
      <c r="S437" s="566"/>
      <c r="T437" s="566"/>
      <c r="U437" s="566"/>
    </row>
    <row r="438" spans="1:21" ht="18.75" x14ac:dyDescent="0.25">
      <c r="A438" s="764"/>
      <c r="B438" s="718"/>
      <c r="C438" s="718"/>
      <c r="D438" s="765" t="s">
        <v>168</v>
      </c>
      <c r="E438" s="718"/>
      <c r="F438" s="718"/>
      <c r="G438" s="727"/>
      <c r="H438" s="681" t="s">
        <v>46</v>
      </c>
      <c r="I438" s="565"/>
      <c r="J438" s="565"/>
      <c r="K438" s="566"/>
      <c r="L438" s="574"/>
      <c r="M438" s="566"/>
      <c r="N438" s="566"/>
      <c r="O438" s="566"/>
      <c r="P438" s="566"/>
      <c r="Q438" s="566"/>
      <c r="R438" s="566"/>
      <c r="S438" s="566"/>
      <c r="T438" s="566"/>
      <c r="U438" s="566"/>
    </row>
    <row r="439" spans="1:21" ht="18.75" x14ac:dyDescent="0.25">
      <c r="A439" s="764"/>
      <c r="B439" s="718"/>
      <c r="C439" s="718"/>
      <c r="D439" s="718"/>
      <c r="E439" s="718"/>
      <c r="F439" s="718"/>
      <c r="G439" s="727"/>
      <c r="H439" s="681" t="s">
        <v>34</v>
      </c>
      <c r="I439" s="565"/>
      <c r="J439" s="565"/>
      <c r="K439" s="566"/>
      <c r="L439" s="574"/>
      <c r="M439" s="566"/>
      <c r="N439" s="566"/>
      <c r="O439" s="566"/>
      <c r="P439" s="566"/>
      <c r="Q439" s="566"/>
      <c r="R439" s="566"/>
      <c r="S439" s="566"/>
      <c r="T439" s="566"/>
      <c r="U439" s="566"/>
    </row>
    <row r="440" spans="1:21" ht="19.5" x14ac:dyDescent="0.3">
      <c r="A440" s="764"/>
      <c r="B440" s="718"/>
      <c r="C440" s="719" t="s">
        <v>169</v>
      </c>
      <c r="D440" s="718"/>
      <c r="E440" s="718"/>
      <c r="F440" s="718"/>
      <c r="G440" s="727"/>
      <c r="H440" s="677" t="s">
        <v>46</v>
      </c>
      <c r="I440" s="697">
        <f ca="1">IFERROR(__xludf.DUMMYFUNCTION("IMPORTRANGE(""https://docs.google.com/spreadsheets/d/1eHaY18a8A9IcSdp1K8H6x8fbOy06t2VsZHhMHf-1x7Y/edit?usp=sharing"",""แผน!HJ18"")"),70983)</f>
        <v>70983</v>
      </c>
      <c r="J440" s="697">
        <f t="shared" ref="J440:J441" si="288">J442+J444+J446+J452+J454</f>
        <v>0</v>
      </c>
      <c r="K440" s="679">
        <f t="shared" ref="K440:K441" ca="1" si="289">IF(I440&gt;0,J440*100/I440,0)</f>
        <v>0</v>
      </c>
      <c r="L440" s="574"/>
      <c r="M440" s="566"/>
      <c r="N440" s="566"/>
      <c r="O440" s="566"/>
      <c r="P440" s="566"/>
      <c r="Q440" s="566"/>
      <c r="R440" s="566"/>
      <c r="S440" s="566"/>
      <c r="T440" s="566"/>
      <c r="U440" s="566"/>
    </row>
    <row r="441" spans="1:21" ht="19.5" x14ac:dyDescent="0.3">
      <c r="A441" s="764"/>
      <c r="B441" s="718"/>
      <c r="C441" s="718"/>
      <c r="D441" s="718"/>
      <c r="E441" s="718"/>
      <c r="F441" s="718"/>
      <c r="G441" s="727"/>
      <c r="H441" s="677" t="s">
        <v>34</v>
      </c>
      <c r="I441" s="697">
        <f ca="1">IFERROR(__xludf.DUMMYFUNCTION("IMPORTRANGE(""https://docs.google.com/spreadsheets/d/1eHaY18a8A9IcSdp1K8H6x8fbOy06t2VsZHhMHf-1x7Y/edit?usp=sharing"",""แผน!HK18"")"),4843)</f>
        <v>4843</v>
      </c>
      <c r="J441" s="697">
        <f t="shared" si="288"/>
        <v>0</v>
      </c>
      <c r="K441" s="679">
        <f t="shared" ca="1" si="289"/>
        <v>0</v>
      </c>
      <c r="L441" s="574"/>
      <c r="M441" s="566"/>
      <c r="N441" s="566"/>
      <c r="O441" s="566"/>
      <c r="P441" s="566"/>
      <c r="Q441" s="566"/>
      <c r="R441" s="566"/>
      <c r="S441" s="566"/>
      <c r="T441" s="566"/>
      <c r="U441" s="566"/>
    </row>
    <row r="442" spans="1:21" ht="18.75" x14ac:dyDescent="0.25">
      <c r="A442" s="764"/>
      <c r="B442" s="718"/>
      <c r="C442" s="718"/>
      <c r="D442" s="765" t="s">
        <v>170</v>
      </c>
      <c r="E442" s="718"/>
      <c r="F442" s="718"/>
      <c r="G442" s="727"/>
      <c r="H442" s="681" t="s">
        <v>46</v>
      </c>
      <c r="I442" s="565"/>
      <c r="J442" s="565"/>
      <c r="K442" s="566"/>
      <c r="L442" s="574"/>
      <c r="M442" s="566"/>
      <c r="N442" s="566"/>
      <c r="O442" s="566"/>
      <c r="P442" s="566"/>
      <c r="Q442" s="566"/>
      <c r="R442" s="566"/>
      <c r="S442" s="566"/>
      <c r="T442" s="566"/>
      <c r="U442" s="566"/>
    </row>
    <row r="443" spans="1:21" ht="18.75" x14ac:dyDescent="0.25">
      <c r="A443" s="764"/>
      <c r="B443" s="718"/>
      <c r="C443" s="718"/>
      <c r="D443" s="718"/>
      <c r="E443" s="718"/>
      <c r="F443" s="718"/>
      <c r="G443" s="727"/>
      <c r="H443" s="681" t="s">
        <v>34</v>
      </c>
      <c r="I443" s="565"/>
      <c r="J443" s="565"/>
      <c r="K443" s="566"/>
      <c r="L443" s="574"/>
      <c r="M443" s="566"/>
      <c r="N443" s="566"/>
      <c r="O443" s="566"/>
      <c r="P443" s="566"/>
      <c r="Q443" s="566"/>
      <c r="R443" s="566"/>
      <c r="S443" s="566"/>
      <c r="T443" s="566"/>
      <c r="U443" s="566"/>
    </row>
    <row r="444" spans="1:21" ht="18.75" x14ac:dyDescent="0.25">
      <c r="A444" s="764"/>
      <c r="B444" s="718"/>
      <c r="C444" s="718"/>
      <c r="D444" s="765" t="s">
        <v>171</v>
      </c>
      <c r="E444" s="718"/>
      <c r="F444" s="718"/>
      <c r="G444" s="727"/>
      <c r="H444" s="681" t="s">
        <v>46</v>
      </c>
      <c r="I444" s="565"/>
      <c r="J444" s="565"/>
      <c r="K444" s="566"/>
      <c r="L444" s="574"/>
      <c r="M444" s="566"/>
      <c r="N444" s="566"/>
      <c r="O444" s="566"/>
      <c r="P444" s="566"/>
      <c r="Q444" s="566"/>
      <c r="R444" s="566"/>
      <c r="S444" s="566"/>
      <c r="T444" s="566"/>
      <c r="U444" s="566"/>
    </row>
    <row r="445" spans="1:21" ht="18.75" x14ac:dyDescent="0.25">
      <c r="A445" s="764"/>
      <c r="B445" s="718"/>
      <c r="C445" s="718"/>
      <c r="D445" s="718"/>
      <c r="E445" s="718"/>
      <c r="F445" s="718"/>
      <c r="G445" s="727"/>
      <c r="H445" s="681" t="s">
        <v>34</v>
      </c>
      <c r="I445" s="565"/>
      <c r="J445" s="565"/>
      <c r="K445" s="566"/>
      <c r="L445" s="574"/>
      <c r="M445" s="566"/>
      <c r="N445" s="566"/>
      <c r="O445" s="566"/>
      <c r="P445" s="566"/>
      <c r="Q445" s="566"/>
      <c r="R445" s="566"/>
      <c r="S445" s="566"/>
      <c r="T445" s="566"/>
      <c r="U445" s="566"/>
    </row>
    <row r="446" spans="1:21" ht="19.5" x14ac:dyDescent="0.3">
      <c r="A446" s="764"/>
      <c r="B446" s="718"/>
      <c r="C446" s="718"/>
      <c r="D446" s="765" t="s">
        <v>172</v>
      </c>
      <c r="E446" s="718"/>
      <c r="F446" s="718"/>
      <c r="G446" s="727"/>
      <c r="H446" s="681" t="s">
        <v>46</v>
      </c>
      <c r="I446" s="565"/>
      <c r="J446" s="697">
        <f t="shared" ref="J446:J447" si="290">J448+J450</f>
        <v>0</v>
      </c>
      <c r="K446" s="566"/>
      <c r="L446" s="574"/>
      <c r="M446" s="566"/>
      <c r="N446" s="566"/>
      <c r="O446" s="566"/>
      <c r="P446" s="566"/>
      <c r="Q446" s="566"/>
      <c r="R446" s="566"/>
      <c r="S446" s="566"/>
      <c r="T446" s="566"/>
      <c r="U446" s="566"/>
    </row>
    <row r="447" spans="1:21" ht="19.5" x14ac:dyDescent="0.3">
      <c r="A447" s="764"/>
      <c r="B447" s="718"/>
      <c r="C447" s="718"/>
      <c r="D447" s="718"/>
      <c r="E447" s="718"/>
      <c r="F447" s="718"/>
      <c r="G447" s="727"/>
      <c r="H447" s="681" t="s">
        <v>34</v>
      </c>
      <c r="I447" s="565"/>
      <c r="J447" s="697">
        <f t="shared" si="290"/>
        <v>0</v>
      </c>
      <c r="K447" s="566"/>
      <c r="L447" s="574"/>
      <c r="M447" s="566"/>
      <c r="N447" s="566"/>
      <c r="O447" s="566"/>
      <c r="P447" s="566"/>
      <c r="Q447" s="566"/>
      <c r="R447" s="566"/>
      <c r="S447" s="566"/>
      <c r="T447" s="566"/>
      <c r="U447" s="566"/>
    </row>
    <row r="448" spans="1:21" ht="18.75" x14ac:dyDescent="0.25">
      <c r="A448" s="764"/>
      <c r="B448" s="718"/>
      <c r="C448" s="718"/>
      <c r="D448" s="718"/>
      <c r="E448" s="765" t="s">
        <v>173</v>
      </c>
      <c r="F448" s="718"/>
      <c r="G448" s="727"/>
      <c r="H448" s="681" t="s">
        <v>46</v>
      </c>
      <c r="I448" s="565"/>
      <c r="J448" s="565"/>
      <c r="K448" s="566"/>
      <c r="L448" s="574"/>
      <c r="M448" s="566"/>
      <c r="N448" s="566"/>
      <c r="O448" s="566"/>
      <c r="P448" s="566"/>
      <c r="Q448" s="566"/>
      <c r="R448" s="566"/>
      <c r="S448" s="566"/>
      <c r="T448" s="566"/>
      <c r="U448" s="566"/>
    </row>
    <row r="449" spans="1:21" ht="18.75" x14ac:dyDescent="0.25">
      <c r="A449" s="764"/>
      <c r="B449" s="718"/>
      <c r="C449" s="718"/>
      <c r="D449" s="718"/>
      <c r="E449" s="718"/>
      <c r="F449" s="718"/>
      <c r="G449" s="727"/>
      <c r="H449" s="681" t="s">
        <v>34</v>
      </c>
      <c r="I449" s="565"/>
      <c r="J449" s="565"/>
      <c r="K449" s="566"/>
      <c r="L449" s="574"/>
      <c r="M449" s="566"/>
      <c r="N449" s="566"/>
      <c r="O449" s="566"/>
      <c r="P449" s="566"/>
      <c r="Q449" s="566"/>
      <c r="R449" s="566"/>
      <c r="S449" s="566"/>
      <c r="T449" s="566"/>
      <c r="U449" s="566"/>
    </row>
    <row r="450" spans="1:21" ht="18.75" x14ac:dyDescent="0.25">
      <c r="A450" s="764"/>
      <c r="B450" s="718"/>
      <c r="C450" s="718"/>
      <c r="D450" s="718"/>
      <c r="E450" s="765" t="s">
        <v>174</v>
      </c>
      <c r="F450" s="718"/>
      <c r="G450" s="727"/>
      <c r="H450" s="681" t="s">
        <v>46</v>
      </c>
      <c r="I450" s="565"/>
      <c r="J450" s="565"/>
      <c r="K450" s="566"/>
      <c r="L450" s="574"/>
      <c r="M450" s="566"/>
      <c r="N450" s="566"/>
      <c r="O450" s="566"/>
      <c r="P450" s="566"/>
      <c r="Q450" s="566"/>
      <c r="R450" s="566"/>
      <c r="S450" s="566"/>
      <c r="T450" s="566"/>
      <c r="U450" s="566"/>
    </row>
    <row r="451" spans="1:21" ht="18.75" x14ac:dyDescent="0.25">
      <c r="A451" s="764"/>
      <c r="B451" s="718"/>
      <c r="C451" s="718"/>
      <c r="D451" s="718"/>
      <c r="E451" s="718"/>
      <c r="F451" s="718"/>
      <c r="G451" s="727"/>
      <c r="H451" s="681" t="s">
        <v>34</v>
      </c>
      <c r="I451" s="565"/>
      <c r="J451" s="565"/>
      <c r="K451" s="566"/>
      <c r="L451" s="574"/>
      <c r="M451" s="566"/>
      <c r="N451" s="566"/>
      <c r="O451" s="566"/>
      <c r="P451" s="566"/>
      <c r="Q451" s="566"/>
      <c r="R451" s="566"/>
      <c r="S451" s="566"/>
      <c r="T451" s="566"/>
      <c r="U451" s="566"/>
    </row>
    <row r="452" spans="1:21" ht="18.75" x14ac:dyDescent="0.25">
      <c r="A452" s="764"/>
      <c r="B452" s="718"/>
      <c r="C452" s="718"/>
      <c r="D452" s="765" t="s">
        <v>175</v>
      </c>
      <c r="E452" s="718"/>
      <c r="F452" s="718"/>
      <c r="G452" s="727"/>
      <c r="H452" s="681" t="s">
        <v>46</v>
      </c>
      <c r="I452" s="565"/>
      <c r="J452" s="565"/>
      <c r="K452" s="566"/>
      <c r="L452" s="574"/>
      <c r="M452" s="566"/>
      <c r="N452" s="566"/>
      <c r="O452" s="566"/>
      <c r="P452" s="566"/>
      <c r="Q452" s="566"/>
      <c r="R452" s="566"/>
      <c r="S452" s="566"/>
      <c r="T452" s="566"/>
      <c r="U452" s="566"/>
    </row>
    <row r="453" spans="1:21" ht="18.75" x14ac:dyDescent="0.25">
      <c r="A453" s="764"/>
      <c r="B453" s="718"/>
      <c r="C453" s="718"/>
      <c r="D453" s="718"/>
      <c r="E453" s="718"/>
      <c r="F453" s="718"/>
      <c r="G453" s="727"/>
      <c r="H453" s="681" t="s">
        <v>34</v>
      </c>
      <c r="I453" s="565"/>
      <c r="J453" s="565"/>
      <c r="K453" s="566"/>
      <c r="L453" s="574"/>
      <c r="M453" s="566"/>
      <c r="N453" s="566"/>
      <c r="O453" s="566"/>
      <c r="P453" s="566"/>
      <c r="Q453" s="566"/>
      <c r="R453" s="566"/>
      <c r="S453" s="566"/>
      <c r="T453" s="566"/>
      <c r="U453" s="566"/>
    </row>
    <row r="454" spans="1:21" ht="18.75" x14ac:dyDescent="0.25">
      <c r="A454" s="764"/>
      <c r="B454" s="718"/>
      <c r="C454" s="718"/>
      <c r="D454" s="765" t="s">
        <v>176</v>
      </c>
      <c r="E454" s="718"/>
      <c r="F454" s="718"/>
      <c r="G454" s="727"/>
      <c r="H454" s="681" t="s">
        <v>46</v>
      </c>
      <c r="I454" s="565"/>
      <c r="J454" s="981"/>
      <c r="K454" s="566"/>
      <c r="L454" s="574"/>
      <c r="M454" s="566"/>
      <c r="N454" s="566"/>
      <c r="O454" s="566"/>
      <c r="P454" s="566"/>
      <c r="Q454" s="566"/>
      <c r="R454" s="566"/>
      <c r="S454" s="566"/>
      <c r="T454" s="566"/>
      <c r="U454" s="566"/>
    </row>
    <row r="455" spans="1:21" ht="18.75" x14ac:dyDescent="0.25">
      <c r="A455" s="764"/>
      <c r="B455" s="718"/>
      <c r="C455" s="718"/>
      <c r="D455" s="718"/>
      <c r="E455" s="718"/>
      <c r="F455" s="718"/>
      <c r="G455" s="727"/>
      <c r="H455" s="681" t="s">
        <v>34</v>
      </c>
      <c r="I455" s="565"/>
      <c r="J455" s="565"/>
      <c r="K455" s="566"/>
      <c r="L455" s="574"/>
      <c r="M455" s="566"/>
      <c r="N455" s="566"/>
      <c r="O455" s="566"/>
      <c r="P455" s="566"/>
      <c r="Q455" s="566"/>
      <c r="R455" s="566"/>
      <c r="S455" s="566"/>
      <c r="T455" s="566"/>
      <c r="U455" s="566"/>
    </row>
    <row r="456" spans="1:21" ht="19.5" x14ac:dyDescent="0.3">
      <c r="A456" s="764"/>
      <c r="B456" s="719" t="s">
        <v>177</v>
      </c>
      <c r="C456" s="718"/>
      <c r="D456" s="718"/>
      <c r="E456" s="718"/>
      <c r="F456" s="718"/>
      <c r="G456" s="727"/>
      <c r="H456" s="979" t="s">
        <v>46</v>
      </c>
      <c r="I456" s="697">
        <f t="shared" ref="I456:J456" ca="1" si="291">I457</f>
        <v>338</v>
      </c>
      <c r="J456" s="697">
        <f t="shared" si="291"/>
        <v>0</v>
      </c>
      <c r="K456" s="679">
        <f t="shared" ref="K456:K458" ca="1" si="292">IF(I456&gt;0,J456*100/I456,0)</f>
        <v>0</v>
      </c>
      <c r="L456" s="574"/>
      <c r="M456" s="566"/>
      <c r="N456" s="566"/>
      <c r="O456" s="566"/>
      <c r="P456" s="566"/>
      <c r="Q456" s="566"/>
      <c r="R456" s="566"/>
      <c r="S456" s="566"/>
      <c r="T456" s="566"/>
      <c r="U456" s="566"/>
    </row>
    <row r="457" spans="1:21" ht="19.5" x14ac:dyDescent="0.3">
      <c r="A457" s="764"/>
      <c r="B457" s="718"/>
      <c r="C457" s="719" t="s">
        <v>178</v>
      </c>
      <c r="D457" s="718"/>
      <c r="E457" s="718"/>
      <c r="F457" s="718"/>
      <c r="G457" s="727"/>
      <c r="H457" s="677" t="s">
        <v>46</v>
      </c>
      <c r="I457" s="697">
        <f ca="1">IFERROR(__xludf.DUMMYFUNCTION("IMPORTRANGE(""https://docs.google.com/spreadsheets/d/1eHaY18a8A9IcSdp1K8H6x8fbOy06t2VsZHhMHf-1x7Y/edit?usp=sharing"",""แผน!HL18"")"),338)</f>
        <v>338</v>
      </c>
      <c r="J457" s="697">
        <f t="shared" ref="J457:J458" si="293">J459+J467+J473</f>
        <v>0</v>
      </c>
      <c r="K457" s="679">
        <f t="shared" ca="1" si="292"/>
        <v>0</v>
      </c>
      <c r="L457" s="574"/>
      <c r="M457" s="566"/>
      <c r="N457" s="566"/>
      <c r="O457" s="566"/>
      <c r="P457" s="566"/>
      <c r="Q457" s="566"/>
      <c r="R457" s="566"/>
      <c r="S457" s="566"/>
      <c r="T457" s="566"/>
      <c r="U457" s="566"/>
    </row>
    <row r="458" spans="1:21" ht="19.5" x14ac:dyDescent="0.3">
      <c r="A458" s="764"/>
      <c r="B458" s="718"/>
      <c r="C458" s="718"/>
      <c r="D458" s="718"/>
      <c r="E458" s="718"/>
      <c r="F458" s="718"/>
      <c r="G458" s="727"/>
      <c r="H458" s="677" t="s">
        <v>34</v>
      </c>
      <c r="I458" s="697">
        <f ca="1">IFERROR(__xludf.DUMMYFUNCTION("IMPORTRANGE(""https://docs.google.com/spreadsheets/d/1eHaY18a8A9IcSdp1K8H6x8fbOy06t2VsZHhMHf-1x7Y/edit?usp=sharing"",""แผน!HM18"")"),0)</f>
        <v>0</v>
      </c>
      <c r="J458" s="697">
        <f t="shared" si="293"/>
        <v>0</v>
      </c>
      <c r="K458" s="679">
        <f t="shared" ca="1" si="292"/>
        <v>0</v>
      </c>
      <c r="L458" s="574"/>
      <c r="M458" s="566"/>
      <c r="N458" s="566"/>
      <c r="O458" s="566"/>
      <c r="P458" s="566"/>
      <c r="Q458" s="566"/>
      <c r="R458" s="566"/>
      <c r="S458" s="566"/>
      <c r="T458" s="566"/>
      <c r="U458" s="566"/>
    </row>
    <row r="459" spans="1:21" ht="18.75" x14ac:dyDescent="0.25">
      <c r="A459" s="764"/>
      <c r="B459" s="718"/>
      <c r="C459" s="765" t="s">
        <v>179</v>
      </c>
      <c r="D459" s="718"/>
      <c r="E459" s="718"/>
      <c r="F459" s="718"/>
      <c r="G459" s="727"/>
      <c r="H459" s="681" t="s">
        <v>46</v>
      </c>
      <c r="I459" s="565"/>
      <c r="J459" s="708">
        <f t="shared" ref="J459:J460" si="294">J461+J463</f>
        <v>0</v>
      </c>
      <c r="K459" s="566"/>
      <c r="L459" s="574"/>
      <c r="M459" s="566"/>
      <c r="N459" s="566"/>
      <c r="O459" s="566"/>
      <c r="P459" s="566"/>
      <c r="Q459" s="566"/>
      <c r="R459" s="566"/>
      <c r="S459" s="566"/>
      <c r="T459" s="566"/>
      <c r="U459" s="566"/>
    </row>
    <row r="460" spans="1:21" ht="18.75" x14ac:dyDescent="0.25">
      <c r="A460" s="764"/>
      <c r="B460" s="718"/>
      <c r="C460" s="718"/>
      <c r="D460" s="718"/>
      <c r="E460" s="718"/>
      <c r="F460" s="718"/>
      <c r="G460" s="727"/>
      <c r="H460" s="681" t="s">
        <v>34</v>
      </c>
      <c r="I460" s="565"/>
      <c r="J460" s="708">
        <f t="shared" si="294"/>
        <v>0</v>
      </c>
      <c r="K460" s="566"/>
      <c r="L460" s="574"/>
      <c r="M460" s="566"/>
      <c r="N460" s="566"/>
      <c r="O460" s="566"/>
      <c r="P460" s="566"/>
      <c r="Q460" s="566"/>
      <c r="R460" s="566"/>
      <c r="S460" s="566"/>
      <c r="T460" s="566"/>
      <c r="U460" s="566"/>
    </row>
    <row r="461" spans="1:21" ht="18.75" x14ac:dyDescent="0.25">
      <c r="A461" s="764"/>
      <c r="B461" s="718"/>
      <c r="C461" s="718"/>
      <c r="D461" s="982" t="s">
        <v>180</v>
      </c>
      <c r="E461" s="718"/>
      <c r="F461" s="718"/>
      <c r="G461" s="727"/>
      <c r="H461" s="681" t="s">
        <v>46</v>
      </c>
      <c r="I461" s="565"/>
      <c r="J461" s="565"/>
      <c r="K461" s="566"/>
      <c r="L461" s="574"/>
      <c r="M461" s="566"/>
      <c r="N461" s="566"/>
      <c r="O461" s="566"/>
      <c r="P461" s="566"/>
      <c r="Q461" s="566"/>
      <c r="R461" s="566"/>
      <c r="S461" s="566"/>
      <c r="T461" s="566"/>
      <c r="U461" s="566"/>
    </row>
    <row r="462" spans="1:21" ht="18.75" x14ac:dyDescent="0.25">
      <c r="A462" s="764"/>
      <c r="B462" s="718"/>
      <c r="C462" s="718"/>
      <c r="D462" s="718"/>
      <c r="E462" s="718"/>
      <c r="F462" s="718"/>
      <c r="G462" s="727"/>
      <c r="H462" s="681" t="s">
        <v>34</v>
      </c>
      <c r="I462" s="565"/>
      <c r="J462" s="565"/>
      <c r="K462" s="566"/>
      <c r="L462" s="574"/>
      <c r="M462" s="566"/>
      <c r="N462" s="566"/>
      <c r="O462" s="566"/>
      <c r="P462" s="566"/>
      <c r="Q462" s="566"/>
      <c r="R462" s="566"/>
      <c r="S462" s="566"/>
      <c r="T462" s="566"/>
      <c r="U462" s="566"/>
    </row>
    <row r="463" spans="1:21" ht="18.75" x14ac:dyDescent="0.25">
      <c r="A463" s="764"/>
      <c r="B463" s="718"/>
      <c r="C463" s="718"/>
      <c r="D463" s="982" t="s">
        <v>181</v>
      </c>
      <c r="E463" s="718"/>
      <c r="F463" s="718"/>
      <c r="G463" s="727"/>
      <c r="H463" s="681" t="s">
        <v>46</v>
      </c>
      <c r="I463" s="565"/>
      <c r="J463" s="565"/>
      <c r="K463" s="566"/>
      <c r="L463" s="574"/>
      <c r="M463" s="566"/>
      <c r="N463" s="566"/>
      <c r="O463" s="566"/>
      <c r="P463" s="566"/>
      <c r="Q463" s="566"/>
      <c r="R463" s="566"/>
      <c r="S463" s="566"/>
      <c r="T463" s="566"/>
      <c r="U463" s="566"/>
    </row>
    <row r="464" spans="1:21" ht="18.75" x14ac:dyDescent="0.25">
      <c r="A464" s="764"/>
      <c r="B464" s="718"/>
      <c r="C464" s="718"/>
      <c r="D464" s="718"/>
      <c r="E464" s="718"/>
      <c r="F464" s="718"/>
      <c r="G464" s="727"/>
      <c r="H464" s="681" t="s">
        <v>34</v>
      </c>
      <c r="I464" s="565"/>
      <c r="J464" s="565"/>
      <c r="K464" s="566"/>
      <c r="L464" s="574"/>
      <c r="M464" s="566"/>
      <c r="N464" s="566"/>
      <c r="O464" s="566"/>
      <c r="P464" s="566"/>
      <c r="Q464" s="566"/>
      <c r="R464" s="566"/>
      <c r="S464" s="566"/>
      <c r="T464" s="566"/>
      <c r="U464" s="566"/>
    </row>
    <row r="465" spans="1:21" ht="18.75" x14ac:dyDescent="0.25">
      <c r="A465" s="764"/>
      <c r="B465" s="718"/>
      <c r="C465" s="718"/>
      <c r="D465" s="982" t="s">
        <v>182</v>
      </c>
      <c r="E465" s="718"/>
      <c r="F465" s="718"/>
      <c r="G465" s="727"/>
      <c r="H465" s="681" t="s">
        <v>46</v>
      </c>
      <c r="I465" s="565"/>
      <c r="J465" s="565"/>
      <c r="K465" s="566"/>
      <c r="L465" s="574"/>
      <c r="M465" s="566"/>
      <c r="N465" s="566"/>
      <c r="O465" s="566"/>
      <c r="P465" s="566"/>
      <c r="Q465" s="566"/>
      <c r="R465" s="566"/>
      <c r="S465" s="566"/>
      <c r="T465" s="566"/>
      <c r="U465" s="566"/>
    </row>
    <row r="466" spans="1:21" ht="18.75" x14ac:dyDescent="0.25">
      <c r="A466" s="764"/>
      <c r="B466" s="718"/>
      <c r="C466" s="718"/>
      <c r="D466" s="718"/>
      <c r="E466" s="718"/>
      <c r="F466" s="718"/>
      <c r="G466" s="727"/>
      <c r="H466" s="681" t="s">
        <v>34</v>
      </c>
      <c r="I466" s="565"/>
      <c r="J466" s="565"/>
      <c r="K466" s="566"/>
      <c r="L466" s="574"/>
      <c r="M466" s="566"/>
      <c r="N466" s="566"/>
      <c r="O466" s="566"/>
      <c r="P466" s="566"/>
      <c r="Q466" s="566"/>
      <c r="R466" s="566"/>
      <c r="S466" s="566"/>
      <c r="T466" s="566"/>
      <c r="U466" s="566"/>
    </row>
    <row r="467" spans="1:21" ht="18.75" x14ac:dyDescent="0.25">
      <c r="A467" s="764"/>
      <c r="B467" s="718"/>
      <c r="C467" s="982" t="s">
        <v>183</v>
      </c>
      <c r="D467" s="718"/>
      <c r="E467" s="718"/>
      <c r="F467" s="718"/>
      <c r="G467" s="727"/>
      <c r="H467" s="681" t="s">
        <v>46</v>
      </c>
      <c r="I467" s="565"/>
      <c r="J467" s="708">
        <f t="shared" ref="J467:J468" si="295">J469+J471</f>
        <v>0</v>
      </c>
      <c r="K467" s="566"/>
      <c r="L467" s="574"/>
      <c r="M467" s="566"/>
      <c r="N467" s="566"/>
      <c r="O467" s="566"/>
      <c r="P467" s="566"/>
      <c r="Q467" s="566"/>
      <c r="R467" s="566"/>
      <c r="S467" s="566"/>
      <c r="T467" s="566"/>
      <c r="U467" s="566"/>
    </row>
    <row r="468" spans="1:21" ht="18.75" x14ac:dyDescent="0.25">
      <c r="A468" s="764"/>
      <c r="B468" s="718"/>
      <c r="C468" s="718"/>
      <c r="D468" s="718"/>
      <c r="E468" s="718"/>
      <c r="F468" s="718"/>
      <c r="G468" s="727"/>
      <c r="H468" s="681" t="s">
        <v>34</v>
      </c>
      <c r="I468" s="565"/>
      <c r="J468" s="708">
        <f t="shared" si="295"/>
        <v>0</v>
      </c>
      <c r="K468" s="566"/>
      <c r="L468" s="574"/>
      <c r="M468" s="566"/>
      <c r="N468" s="566"/>
      <c r="O468" s="566"/>
      <c r="P468" s="566"/>
      <c r="Q468" s="566"/>
      <c r="R468" s="566"/>
      <c r="S468" s="566"/>
      <c r="T468" s="566"/>
      <c r="U468" s="566"/>
    </row>
    <row r="469" spans="1:21" ht="18.75" x14ac:dyDescent="0.25">
      <c r="A469" s="764"/>
      <c r="B469" s="718"/>
      <c r="C469" s="718"/>
      <c r="D469" s="982" t="s">
        <v>184</v>
      </c>
      <c r="E469" s="718"/>
      <c r="F469" s="718"/>
      <c r="G469" s="727"/>
      <c r="H469" s="681" t="s">
        <v>46</v>
      </c>
      <c r="I469" s="565"/>
      <c r="J469" s="565"/>
      <c r="K469" s="566"/>
      <c r="L469" s="574"/>
      <c r="M469" s="566"/>
      <c r="N469" s="566"/>
      <c r="O469" s="566"/>
      <c r="P469" s="566"/>
      <c r="Q469" s="566"/>
      <c r="R469" s="566"/>
      <c r="S469" s="566"/>
      <c r="T469" s="566"/>
      <c r="U469" s="566"/>
    </row>
    <row r="470" spans="1:21" ht="18.75" x14ac:dyDescent="0.25">
      <c r="A470" s="764"/>
      <c r="B470" s="718"/>
      <c r="C470" s="718"/>
      <c r="D470" s="718"/>
      <c r="E470" s="718"/>
      <c r="F470" s="718"/>
      <c r="G470" s="727"/>
      <c r="H470" s="681" t="s">
        <v>34</v>
      </c>
      <c r="I470" s="565"/>
      <c r="J470" s="565"/>
      <c r="K470" s="566"/>
      <c r="L470" s="574"/>
      <c r="M470" s="566"/>
      <c r="N470" s="566"/>
      <c r="O470" s="566"/>
      <c r="P470" s="566"/>
      <c r="Q470" s="566"/>
      <c r="R470" s="566"/>
      <c r="S470" s="566"/>
      <c r="T470" s="566"/>
      <c r="U470" s="566"/>
    </row>
    <row r="471" spans="1:21" ht="18.75" x14ac:dyDescent="0.25">
      <c r="A471" s="764"/>
      <c r="B471" s="718"/>
      <c r="C471" s="718"/>
      <c r="D471" s="982" t="s">
        <v>185</v>
      </c>
      <c r="E471" s="718"/>
      <c r="F471" s="718"/>
      <c r="G471" s="727"/>
      <c r="H471" s="681" t="s">
        <v>46</v>
      </c>
      <c r="I471" s="565"/>
      <c r="J471" s="565"/>
      <c r="K471" s="566"/>
      <c r="L471" s="574"/>
      <c r="M471" s="566"/>
      <c r="N471" s="566"/>
      <c r="O471" s="566"/>
      <c r="P471" s="566"/>
      <c r="Q471" s="566"/>
      <c r="R471" s="566"/>
      <c r="S471" s="566"/>
      <c r="T471" s="566"/>
      <c r="U471" s="566"/>
    </row>
    <row r="472" spans="1:21" ht="18.75" x14ac:dyDescent="0.25">
      <c r="A472" s="764"/>
      <c r="B472" s="718"/>
      <c r="C472" s="718"/>
      <c r="D472" s="718"/>
      <c r="E472" s="718"/>
      <c r="F472" s="718"/>
      <c r="G472" s="727"/>
      <c r="H472" s="681" t="s">
        <v>34</v>
      </c>
      <c r="I472" s="565"/>
      <c r="J472" s="565"/>
      <c r="K472" s="566"/>
      <c r="L472" s="574"/>
      <c r="M472" s="566"/>
      <c r="N472" s="566"/>
      <c r="O472" s="566"/>
      <c r="P472" s="566"/>
      <c r="Q472" s="566"/>
      <c r="R472" s="566"/>
      <c r="S472" s="566"/>
      <c r="T472" s="566"/>
      <c r="U472" s="566"/>
    </row>
    <row r="473" spans="1:21" ht="18.75" x14ac:dyDescent="0.25">
      <c r="A473" s="764"/>
      <c r="B473" s="718"/>
      <c r="C473" s="765" t="s">
        <v>186</v>
      </c>
      <c r="D473" s="718"/>
      <c r="E473" s="718"/>
      <c r="F473" s="718"/>
      <c r="G473" s="727"/>
      <c r="H473" s="681" t="s">
        <v>46</v>
      </c>
      <c r="I473" s="565"/>
      <c r="J473" s="565"/>
      <c r="K473" s="566"/>
      <c r="L473" s="574"/>
      <c r="M473" s="566"/>
      <c r="N473" s="566"/>
      <c r="O473" s="566"/>
      <c r="P473" s="566"/>
      <c r="Q473" s="566"/>
      <c r="R473" s="566"/>
      <c r="S473" s="566"/>
      <c r="T473" s="566"/>
      <c r="U473" s="566"/>
    </row>
    <row r="474" spans="1:21" ht="18.75" x14ac:dyDescent="0.25">
      <c r="A474" s="764"/>
      <c r="B474" s="718"/>
      <c r="C474" s="718"/>
      <c r="D474" s="718"/>
      <c r="E474" s="718"/>
      <c r="F474" s="718"/>
      <c r="G474" s="727"/>
      <c r="H474" s="681" t="s">
        <v>34</v>
      </c>
      <c r="I474" s="565"/>
      <c r="J474" s="565"/>
      <c r="K474" s="566"/>
      <c r="L474" s="574"/>
      <c r="M474" s="566"/>
      <c r="N474" s="566"/>
      <c r="O474" s="566"/>
      <c r="P474" s="566"/>
      <c r="Q474" s="566"/>
      <c r="R474" s="566"/>
      <c r="S474" s="566"/>
      <c r="T474" s="566"/>
      <c r="U474" s="566"/>
    </row>
    <row r="475" spans="1:21" ht="19.5" x14ac:dyDescent="0.3">
      <c r="A475" s="764"/>
      <c r="B475" s="983" t="s">
        <v>187</v>
      </c>
      <c r="C475" s="718"/>
      <c r="D475" s="718"/>
      <c r="E475" s="718"/>
      <c r="F475" s="718"/>
      <c r="G475" s="727"/>
      <c r="H475" s="677" t="s">
        <v>46</v>
      </c>
      <c r="I475" s="697">
        <v>0</v>
      </c>
      <c r="J475" s="697">
        <f>J478+J480</f>
        <v>0</v>
      </c>
      <c r="K475" s="679">
        <f t="shared" ref="K475:K477" si="296">IF(I475&gt;0,J475*100/I475,0)</f>
        <v>0</v>
      </c>
      <c r="L475" s="574"/>
      <c r="M475" s="566"/>
      <c r="N475" s="566"/>
      <c r="O475" s="566"/>
      <c r="P475" s="566"/>
      <c r="Q475" s="566"/>
      <c r="R475" s="566"/>
      <c r="S475" s="566"/>
      <c r="T475" s="566"/>
      <c r="U475" s="566"/>
    </row>
    <row r="476" spans="1:21" ht="19.5" x14ac:dyDescent="0.3">
      <c r="A476" s="764"/>
      <c r="B476" s="718"/>
      <c r="C476" s="719" t="s">
        <v>188</v>
      </c>
      <c r="D476" s="718"/>
      <c r="E476" s="718"/>
      <c r="F476" s="718"/>
      <c r="G476" s="727"/>
      <c r="H476" s="677" t="s">
        <v>46</v>
      </c>
      <c r="I476" s="697">
        <v>0</v>
      </c>
      <c r="J476" s="697">
        <f t="shared" ref="J476:J477" si="297">J478+J480</f>
        <v>0</v>
      </c>
      <c r="K476" s="679">
        <f t="shared" si="296"/>
        <v>0</v>
      </c>
      <c r="L476" s="574"/>
      <c r="M476" s="566"/>
      <c r="N476" s="566"/>
      <c r="O476" s="566"/>
      <c r="P476" s="566"/>
      <c r="Q476" s="566"/>
      <c r="R476" s="566"/>
      <c r="S476" s="566"/>
      <c r="T476" s="566"/>
      <c r="U476" s="566"/>
    </row>
    <row r="477" spans="1:21" ht="19.5" x14ac:dyDescent="0.3">
      <c r="A477" s="764"/>
      <c r="B477" s="718"/>
      <c r="C477" s="765" t="s">
        <v>189</v>
      </c>
      <c r="D477" s="718"/>
      <c r="E477" s="718"/>
      <c r="F477" s="718"/>
      <c r="G477" s="727"/>
      <c r="H477" s="677" t="s">
        <v>34</v>
      </c>
      <c r="I477" s="697">
        <v>0</v>
      </c>
      <c r="J477" s="697">
        <f t="shared" si="297"/>
        <v>0</v>
      </c>
      <c r="K477" s="679">
        <f t="shared" si="296"/>
        <v>0</v>
      </c>
      <c r="L477" s="574"/>
      <c r="M477" s="566"/>
      <c r="N477" s="566"/>
      <c r="O477" s="566"/>
      <c r="P477" s="566"/>
      <c r="Q477" s="566"/>
      <c r="R477" s="566"/>
      <c r="S477" s="566"/>
      <c r="T477" s="566"/>
      <c r="U477" s="566"/>
    </row>
    <row r="478" spans="1:21" ht="18.75" x14ac:dyDescent="0.25">
      <c r="A478" s="764"/>
      <c r="B478" s="718"/>
      <c r="C478" s="718"/>
      <c r="D478" s="765" t="s">
        <v>190</v>
      </c>
      <c r="E478" s="718"/>
      <c r="F478" s="718"/>
      <c r="G478" s="727"/>
      <c r="H478" s="681" t="s">
        <v>46</v>
      </c>
      <c r="I478" s="565"/>
      <c r="J478" s="565"/>
      <c r="K478" s="566"/>
      <c r="L478" s="574"/>
      <c r="M478" s="566"/>
      <c r="N478" s="566"/>
      <c r="O478" s="566"/>
      <c r="P478" s="566"/>
      <c r="Q478" s="566"/>
      <c r="R478" s="566"/>
      <c r="S478" s="566"/>
      <c r="T478" s="566"/>
      <c r="U478" s="566"/>
    </row>
    <row r="479" spans="1:21" ht="18.75" x14ac:dyDescent="0.25">
      <c r="A479" s="764"/>
      <c r="B479" s="718"/>
      <c r="C479" s="718"/>
      <c r="D479" s="718"/>
      <c r="E479" s="718"/>
      <c r="F479" s="718"/>
      <c r="G479" s="727"/>
      <c r="H479" s="681" t="s">
        <v>34</v>
      </c>
      <c r="I479" s="565"/>
      <c r="J479" s="565"/>
      <c r="K479" s="566"/>
      <c r="L479" s="574"/>
      <c r="M479" s="566"/>
      <c r="N479" s="566"/>
      <c r="O479" s="566"/>
      <c r="P479" s="566"/>
      <c r="Q479" s="566"/>
      <c r="R479" s="566"/>
      <c r="S479" s="566"/>
      <c r="T479" s="566"/>
      <c r="U479" s="566"/>
    </row>
    <row r="480" spans="1:21" ht="18.75" x14ac:dyDescent="0.25">
      <c r="A480" s="764"/>
      <c r="B480" s="718"/>
      <c r="C480" s="718"/>
      <c r="D480" s="982" t="s">
        <v>191</v>
      </c>
      <c r="E480" s="718"/>
      <c r="F480" s="718"/>
      <c r="G480" s="727"/>
      <c r="H480" s="681" t="s">
        <v>46</v>
      </c>
      <c r="I480" s="565"/>
      <c r="J480" s="565"/>
      <c r="K480" s="566"/>
      <c r="L480" s="574"/>
      <c r="M480" s="566"/>
      <c r="N480" s="566"/>
      <c r="O480" s="566"/>
      <c r="P480" s="566"/>
      <c r="Q480" s="566"/>
      <c r="R480" s="566"/>
      <c r="S480" s="566"/>
      <c r="T480" s="566"/>
      <c r="U480" s="566"/>
    </row>
    <row r="481" spans="1:21" ht="18.75" x14ac:dyDescent="0.25">
      <c r="A481" s="764"/>
      <c r="B481" s="718"/>
      <c r="C481" s="718"/>
      <c r="D481" s="718"/>
      <c r="E481" s="718"/>
      <c r="F481" s="718"/>
      <c r="G481" s="727"/>
      <c r="H481" s="681" t="s">
        <v>34</v>
      </c>
      <c r="I481" s="565"/>
      <c r="J481" s="565"/>
      <c r="K481" s="566"/>
      <c r="L481" s="574"/>
      <c r="M481" s="566"/>
      <c r="N481" s="566"/>
      <c r="O481" s="566"/>
      <c r="P481" s="566"/>
      <c r="Q481" s="566"/>
      <c r="R481" s="566"/>
      <c r="S481" s="566"/>
      <c r="T481" s="566"/>
      <c r="U481" s="566"/>
    </row>
    <row r="482" spans="1:21" ht="18.75" x14ac:dyDescent="0.25">
      <c r="A482" s="764"/>
      <c r="B482" s="718"/>
      <c r="C482" s="718"/>
      <c r="D482" s="982" t="s">
        <v>192</v>
      </c>
      <c r="E482" s="718"/>
      <c r="F482" s="718"/>
      <c r="G482" s="727"/>
      <c r="H482" s="681" t="s">
        <v>46</v>
      </c>
      <c r="I482" s="565"/>
      <c r="J482" s="708">
        <f ca="1">IFERROR(__xludf.DUMMYFUNCTION("IMPORTRANGE(""https://docs.google.com/spreadsheets/d/1eHaY18a8A9IcSdp1K8H6x8fbOy06t2VsZHhMHf-1x7Y/edit?usp=sharing"",""แผน!HN18"")"),0)</f>
        <v>0</v>
      </c>
      <c r="K482" s="566"/>
      <c r="L482" s="574"/>
      <c r="M482" s="566"/>
      <c r="N482" s="566"/>
      <c r="O482" s="566"/>
      <c r="P482" s="566"/>
      <c r="Q482" s="566"/>
      <c r="R482" s="566"/>
      <c r="S482" s="566"/>
      <c r="T482" s="566"/>
      <c r="U482" s="566"/>
    </row>
    <row r="483" spans="1:21" ht="18.75" x14ac:dyDescent="0.25">
      <c r="A483" s="764"/>
      <c r="B483" s="718"/>
      <c r="C483" s="718"/>
      <c r="D483" s="718"/>
      <c r="E483" s="718"/>
      <c r="F483" s="718"/>
      <c r="G483" s="727"/>
      <c r="H483" s="681" t="s">
        <v>34</v>
      </c>
      <c r="I483" s="565"/>
      <c r="J483" s="708">
        <f ca="1">IFERROR(__xludf.DUMMYFUNCTION("IMPORTRANGE(""https://docs.google.com/spreadsheets/d/1eHaY18a8A9IcSdp1K8H6x8fbOy06t2VsZHhMHf-1x7Y/edit?usp=sharing"",""แผน!HO18"")"),0)</f>
        <v>0</v>
      </c>
      <c r="K483" s="566"/>
      <c r="L483" s="574"/>
      <c r="M483" s="566"/>
      <c r="N483" s="566"/>
      <c r="O483" s="566"/>
      <c r="P483" s="566"/>
      <c r="Q483" s="566"/>
      <c r="R483" s="566"/>
      <c r="S483" s="566"/>
      <c r="T483" s="566"/>
      <c r="U483" s="566"/>
    </row>
    <row r="484" spans="1:21" ht="19.5" x14ac:dyDescent="0.3">
      <c r="A484" s="764"/>
      <c r="B484" s="718"/>
      <c r="C484" s="719" t="s">
        <v>193</v>
      </c>
      <c r="D484" s="718"/>
      <c r="E484" s="718"/>
      <c r="F484" s="718"/>
      <c r="G484" s="727"/>
      <c r="H484" s="677" t="s">
        <v>46</v>
      </c>
      <c r="I484" s="565">
        <f t="shared" ref="I484:I485" si="298">J480</f>
        <v>0</v>
      </c>
      <c r="J484" s="697">
        <f t="shared" ref="J484:J485" si="299">J486+J488+J490</f>
        <v>0</v>
      </c>
      <c r="K484" s="679">
        <f t="shared" ref="K484:K485" si="300">IF(I484&gt;0,J484*100/I484,0)</f>
        <v>0</v>
      </c>
      <c r="L484" s="574"/>
      <c r="M484" s="566"/>
      <c r="N484" s="566"/>
      <c r="O484" s="566"/>
      <c r="P484" s="566"/>
      <c r="Q484" s="566"/>
      <c r="R484" s="566"/>
      <c r="S484" s="566"/>
      <c r="T484" s="566"/>
      <c r="U484" s="566"/>
    </row>
    <row r="485" spans="1:21" ht="19.5" x14ac:dyDescent="0.3">
      <c r="A485" s="764"/>
      <c r="B485" s="718"/>
      <c r="C485" s="765" t="s">
        <v>194</v>
      </c>
      <c r="D485" s="718"/>
      <c r="E485" s="718"/>
      <c r="F485" s="718"/>
      <c r="G485" s="727"/>
      <c r="H485" s="677" t="s">
        <v>34</v>
      </c>
      <c r="I485" s="565">
        <f t="shared" si="298"/>
        <v>0</v>
      </c>
      <c r="J485" s="697">
        <f t="shared" si="299"/>
        <v>0</v>
      </c>
      <c r="K485" s="679">
        <f t="shared" si="300"/>
        <v>0</v>
      </c>
      <c r="L485" s="574"/>
      <c r="M485" s="566"/>
      <c r="N485" s="566"/>
      <c r="O485" s="566"/>
      <c r="P485" s="566"/>
      <c r="Q485" s="566"/>
      <c r="R485" s="566"/>
      <c r="S485" s="566"/>
      <c r="T485" s="566"/>
      <c r="U485" s="566"/>
    </row>
    <row r="486" spans="1:21" ht="18.75" x14ac:dyDescent="0.25">
      <c r="A486" s="764"/>
      <c r="B486" s="718"/>
      <c r="C486" s="718"/>
      <c r="D486" s="982" t="s">
        <v>195</v>
      </c>
      <c r="E486" s="718"/>
      <c r="F486" s="718"/>
      <c r="G486" s="727"/>
      <c r="H486" s="681" t="s">
        <v>46</v>
      </c>
      <c r="I486" s="565"/>
      <c r="J486" s="565"/>
      <c r="K486" s="566"/>
      <c r="L486" s="574"/>
      <c r="M486" s="566"/>
      <c r="N486" s="566"/>
      <c r="O486" s="566"/>
      <c r="P486" s="566"/>
      <c r="Q486" s="566"/>
      <c r="R486" s="566"/>
      <c r="S486" s="566"/>
      <c r="T486" s="566"/>
      <c r="U486" s="566"/>
    </row>
    <row r="487" spans="1:21" ht="18.75" x14ac:dyDescent="0.25">
      <c r="A487" s="764"/>
      <c r="B487" s="718"/>
      <c r="C487" s="718"/>
      <c r="D487" s="718"/>
      <c r="E487" s="718"/>
      <c r="F487" s="718"/>
      <c r="G487" s="727"/>
      <c r="H487" s="681" t="s">
        <v>34</v>
      </c>
      <c r="I487" s="565"/>
      <c r="J487" s="565"/>
      <c r="K487" s="566"/>
      <c r="L487" s="574"/>
      <c r="M487" s="566"/>
      <c r="N487" s="566"/>
      <c r="O487" s="566"/>
      <c r="P487" s="566"/>
      <c r="Q487" s="566"/>
      <c r="R487" s="566"/>
      <c r="S487" s="566"/>
      <c r="T487" s="566"/>
      <c r="U487" s="566"/>
    </row>
    <row r="488" spans="1:21" ht="18.75" x14ac:dyDescent="0.25">
      <c r="A488" s="764"/>
      <c r="B488" s="718"/>
      <c r="C488" s="718"/>
      <c r="D488" s="982" t="s">
        <v>196</v>
      </c>
      <c r="E488" s="718"/>
      <c r="F488" s="718"/>
      <c r="G488" s="727"/>
      <c r="H488" s="681" t="s">
        <v>46</v>
      </c>
      <c r="I488" s="565"/>
      <c r="J488" s="565"/>
      <c r="K488" s="566"/>
      <c r="L488" s="574"/>
      <c r="M488" s="566"/>
      <c r="N488" s="566"/>
      <c r="O488" s="566"/>
      <c r="P488" s="566"/>
      <c r="Q488" s="566"/>
      <c r="R488" s="566"/>
      <c r="S488" s="566"/>
      <c r="T488" s="566"/>
      <c r="U488" s="566"/>
    </row>
    <row r="489" spans="1:21" ht="18.75" x14ac:dyDescent="0.25">
      <c r="A489" s="764"/>
      <c r="B489" s="718"/>
      <c r="C489" s="718"/>
      <c r="D489" s="718"/>
      <c r="E489" s="718"/>
      <c r="F489" s="718"/>
      <c r="G489" s="727"/>
      <c r="H489" s="681" t="s">
        <v>34</v>
      </c>
      <c r="I489" s="565"/>
      <c r="J489" s="565"/>
      <c r="K489" s="566"/>
      <c r="L489" s="574"/>
      <c r="M489" s="566"/>
      <c r="N489" s="566"/>
      <c r="O489" s="566"/>
      <c r="P489" s="566"/>
      <c r="Q489" s="566"/>
      <c r="R489" s="566"/>
      <c r="S489" s="566"/>
      <c r="T489" s="566"/>
      <c r="U489" s="566"/>
    </row>
    <row r="490" spans="1:21" ht="18.75" x14ac:dyDescent="0.25">
      <c r="A490" s="764"/>
      <c r="B490" s="718"/>
      <c r="C490" s="718"/>
      <c r="D490" s="982" t="s">
        <v>197</v>
      </c>
      <c r="E490" s="718"/>
      <c r="F490" s="718"/>
      <c r="G490" s="727"/>
      <c r="H490" s="681" t="s">
        <v>46</v>
      </c>
      <c r="I490" s="565"/>
      <c r="J490" s="565"/>
      <c r="K490" s="566"/>
      <c r="L490" s="574"/>
      <c r="M490" s="566"/>
      <c r="N490" s="566"/>
      <c r="O490" s="566"/>
      <c r="P490" s="566"/>
      <c r="Q490" s="566"/>
      <c r="R490" s="566"/>
      <c r="S490" s="566"/>
      <c r="T490" s="566"/>
      <c r="U490" s="566"/>
    </row>
    <row r="491" spans="1:21" ht="18.75" x14ac:dyDescent="0.25">
      <c r="A491" s="984"/>
      <c r="B491" s="514"/>
      <c r="C491" s="514"/>
      <c r="D491" s="514"/>
      <c r="E491" s="514"/>
      <c r="F491" s="514"/>
      <c r="G491" s="985"/>
      <c r="H491" s="986" t="s">
        <v>34</v>
      </c>
      <c r="I491" s="579"/>
      <c r="J491" s="579"/>
      <c r="K491" s="580"/>
      <c r="L491" s="581"/>
      <c r="M491" s="580"/>
      <c r="N491" s="580"/>
      <c r="O491" s="580"/>
      <c r="P491" s="580"/>
      <c r="Q491" s="580"/>
      <c r="R491" s="580"/>
      <c r="S491" s="580"/>
      <c r="T491" s="580"/>
      <c r="U491" s="580"/>
    </row>
    <row r="492" spans="1:21" ht="19.5" hidden="1" x14ac:dyDescent="0.3">
      <c r="A492" s="926"/>
      <c r="B492" s="971" t="s">
        <v>198</v>
      </c>
      <c r="C492" s="928"/>
      <c r="D492" s="928"/>
      <c r="E492" s="911"/>
      <c r="F492" s="911"/>
      <c r="G492" s="912"/>
      <c r="H492" s="977" t="s">
        <v>35</v>
      </c>
      <c r="I492" s="914">
        <f t="shared" ref="I492:J492" ca="1" si="301">I503</f>
        <v>0</v>
      </c>
      <c r="J492" s="914">
        <f t="shared" ca="1" si="301"/>
        <v>0</v>
      </c>
      <c r="K492" s="915">
        <f ca="1">IF(I492&gt;0,J492*100/I492,0)</f>
        <v>0</v>
      </c>
      <c r="L492" s="916"/>
      <c r="M492" s="917"/>
      <c r="N492" s="917"/>
      <c r="O492" s="917"/>
      <c r="P492" s="917"/>
      <c r="Q492" s="917"/>
      <c r="R492" s="917"/>
      <c r="S492" s="917"/>
      <c r="T492" s="917"/>
      <c r="U492" s="917"/>
    </row>
    <row r="493" spans="1:21" ht="19.5" hidden="1" x14ac:dyDescent="0.3">
      <c r="A493" s="674"/>
      <c r="B493" s="718"/>
      <c r="C493" s="724" t="s">
        <v>18</v>
      </c>
      <c r="D493" s="1313" t="s">
        <v>19</v>
      </c>
      <c r="E493" s="1314"/>
      <c r="F493" s="1314"/>
      <c r="G493" s="563"/>
      <c r="H493" s="780" t="s">
        <v>14</v>
      </c>
      <c r="I493" s="565"/>
      <c r="J493" s="565"/>
      <c r="K493" s="566"/>
      <c r="L493" s="678">
        <f t="shared" ref="L493:N493" ca="1" si="302">L494+L495</f>
        <v>0</v>
      </c>
      <c r="M493" s="679">
        <f t="shared" ca="1" si="302"/>
        <v>0</v>
      </c>
      <c r="N493" s="679">
        <f t="shared" ca="1" si="302"/>
        <v>0</v>
      </c>
      <c r="O493" s="679">
        <f t="shared" ref="O493:O501" ca="1" si="303">IF(L493&gt;0,N493*100/L493,0)</f>
        <v>0</v>
      </c>
      <c r="P493" s="679">
        <f t="shared" ref="P493:P501" ca="1" si="304">IF(M493&gt;0,N493*100/M493,0)</f>
        <v>0</v>
      </c>
      <c r="Q493" s="679">
        <f t="shared" ref="Q493:S493" ca="1" si="305">Q494+Q495</f>
        <v>0</v>
      </c>
      <c r="R493" s="679">
        <f t="shared" ca="1" si="305"/>
        <v>0</v>
      </c>
      <c r="S493" s="679">
        <f t="shared" ca="1" si="305"/>
        <v>0</v>
      </c>
      <c r="T493" s="679">
        <f t="shared" ref="T493:T501" ca="1" si="306">IF(Q493&gt;0,S493*100/Q493,0)</f>
        <v>0</v>
      </c>
      <c r="U493" s="679">
        <f t="shared" ref="U493:U501" ca="1" si="307">IF(R493&gt;0,S493*100/R493,0)</f>
        <v>0</v>
      </c>
    </row>
    <row r="494" spans="1:21" ht="18.75" hidden="1" x14ac:dyDescent="0.25">
      <c r="A494" s="674"/>
      <c r="B494" s="718"/>
      <c r="C494" s="718"/>
      <c r="D494" s="688"/>
      <c r="E494" s="569" t="s">
        <v>158</v>
      </c>
      <c r="F494" s="561"/>
      <c r="G494" s="563"/>
      <c r="H494" s="685" t="s">
        <v>14</v>
      </c>
      <c r="I494" s="565"/>
      <c r="J494" s="565"/>
      <c r="K494" s="566"/>
      <c r="L494" s="571">
        <f t="shared" ref="L494:N495" si="308">L497+L500</f>
        <v>0</v>
      </c>
      <c r="M494" s="572">
        <f t="shared" si="308"/>
        <v>0</v>
      </c>
      <c r="N494" s="572">
        <f t="shared" si="308"/>
        <v>0</v>
      </c>
      <c r="O494" s="572">
        <f t="shared" si="303"/>
        <v>0</v>
      </c>
      <c r="P494" s="572">
        <f t="shared" si="304"/>
        <v>0</v>
      </c>
      <c r="Q494" s="572">
        <f t="shared" ref="Q494:S495" si="309">Q497+Q500</f>
        <v>0</v>
      </c>
      <c r="R494" s="572">
        <f t="shared" si="309"/>
        <v>0</v>
      </c>
      <c r="S494" s="572">
        <f t="shared" si="309"/>
        <v>0</v>
      </c>
      <c r="T494" s="572">
        <f t="shared" si="306"/>
        <v>0</v>
      </c>
      <c r="U494" s="572">
        <f t="shared" si="307"/>
        <v>0</v>
      </c>
    </row>
    <row r="495" spans="1:21" ht="18.75" hidden="1" x14ac:dyDescent="0.25">
      <c r="A495" s="674"/>
      <c r="B495" s="718"/>
      <c r="C495" s="718"/>
      <c r="D495" s="688"/>
      <c r="E495" s="573" t="s">
        <v>159</v>
      </c>
      <c r="F495" s="561"/>
      <c r="G495" s="563"/>
      <c r="H495" s="682" t="s">
        <v>14</v>
      </c>
      <c r="I495" s="565"/>
      <c r="J495" s="565"/>
      <c r="K495" s="566"/>
      <c r="L495" s="567">
        <f t="shared" ca="1" si="308"/>
        <v>0</v>
      </c>
      <c r="M495" s="568">
        <f t="shared" ca="1" si="308"/>
        <v>0</v>
      </c>
      <c r="N495" s="568">
        <f t="shared" ca="1" si="308"/>
        <v>0</v>
      </c>
      <c r="O495" s="568">
        <f t="shared" ca="1" si="303"/>
        <v>0</v>
      </c>
      <c r="P495" s="568">
        <f t="shared" ca="1" si="304"/>
        <v>0</v>
      </c>
      <c r="Q495" s="568">
        <f t="shared" ca="1" si="309"/>
        <v>0</v>
      </c>
      <c r="R495" s="568">
        <f t="shared" ca="1" si="309"/>
        <v>0</v>
      </c>
      <c r="S495" s="568">
        <f t="shared" ca="1" si="309"/>
        <v>0</v>
      </c>
      <c r="T495" s="568">
        <f t="shared" ca="1" si="306"/>
        <v>0</v>
      </c>
      <c r="U495" s="568">
        <f t="shared" ca="1" si="307"/>
        <v>0</v>
      </c>
    </row>
    <row r="496" spans="1:21" ht="18.75" hidden="1" x14ac:dyDescent="0.25">
      <c r="A496" s="674"/>
      <c r="B496" s="718"/>
      <c r="C496" s="718"/>
      <c r="D496" s="721" t="s">
        <v>22</v>
      </c>
      <c r="E496" s="561"/>
      <c r="F496" s="561"/>
      <c r="G496" s="563"/>
      <c r="H496" s="682" t="s">
        <v>14</v>
      </c>
      <c r="I496" s="683"/>
      <c r="J496" s="683"/>
      <c r="K496" s="684"/>
      <c r="L496" s="567">
        <f t="shared" ref="L496:N496" ca="1" si="310">L497+L498</f>
        <v>0</v>
      </c>
      <c r="M496" s="568">
        <f t="shared" ca="1" si="310"/>
        <v>0</v>
      </c>
      <c r="N496" s="568">
        <f t="shared" ca="1" si="310"/>
        <v>0</v>
      </c>
      <c r="O496" s="568">
        <f t="shared" ca="1" si="303"/>
        <v>0</v>
      </c>
      <c r="P496" s="568">
        <f t="shared" ca="1" si="304"/>
        <v>0</v>
      </c>
      <c r="Q496" s="568">
        <f t="shared" ref="Q496:S496" ca="1" si="311">Q497+Q498</f>
        <v>0</v>
      </c>
      <c r="R496" s="568">
        <f t="shared" ca="1" si="311"/>
        <v>0</v>
      </c>
      <c r="S496" s="568">
        <f t="shared" ca="1" si="311"/>
        <v>0</v>
      </c>
      <c r="T496" s="568">
        <f t="shared" ca="1" si="306"/>
        <v>0</v>
      </c>
      <c r="U496" s="568">
        <f t="shared" ca="1" si="307"/>
        <v>0</v>
      </c>
    </row>
    <row r="497" spans="1:21" ht="18.75" hidden="1" x14ac:dyDescent="0.25">
      <c r="A497" s="674"/>
      <c r="B497" s="718"/>
      <c r="C497" s="718"/>
      <c r="D497" s="688"/>
      <c r="E497" s="569" t="s">
        <v>158</v>
      </c>
      <c r="F497" s="561"/>
      <c r="G497" s="563"/>
      <c r="H497" s="685" t="s">
        <v>14</v>
      </c>
      <c r="I497" s="565"/>
      <c r="J497" s="565"/>
      <c r="K497" s="566"/>
      <c r="L497" s="571">
        <v>0</v>
      </c>
      <c r="M497" s="572">
        <v>0</v>
      </c>
      <c r="N497" s="572">
        <v>0</v>
      </c>
      <c r="O497" s="572">
        <f t="shared" si="303"/>
        <v>0</v>
      </c>
      <c r="P497" s="572">
        <f t="shared" si="304"/>
        <v>0</v>
      </c>
      <c r="Q497" s="572">
        <v>0</v>
      </c>
      <c r="R497" s="572">
        <v>0</v>
      </c>
      <c r="S497" s="572">
        <v>0</v>
      </c>
      <c r="T497" s="572">
        <f t="shared" si="306"/>
        <v>0</v>
      </c>
      <c r="U497" s="572">
        <f t="shared" si="307"/>
        <v>0</v>
      </c>
    </row>
    <row r="498" spans="1:21" ht="18.75" hidden="1" x14ac:dyDescent="0.25">
      <c r="A498" s="674"/>
      <c r="B498" s="718"/>
      <c r="C498" s="718"/>
      <c r="D498" s="688"/>
      <c r="E498" s="573" t="s">
        <v>159</v>
      </c>
      <c r="F498" s="561"/>
      <c r="G498" s="563"/>
      <c r="H498" s="682" t="s">
        <v>14</v>
      </c>
      <c r="I498" s="565"/>
      <c r="J498" s="565"/>
      <c r="K498" s="566"/>
      <c r="L498" s="567">
        <f ca="1">IFERROR(__xludf.DUMMYFUNCTION("IMPORTRANGE(""https://docs.google.com/spreadsheets/d/1-uDff_7J0KD5mKrp0Vvzr7lt3OU09vwQwhkpOPPYv2Y/edit?usp=sharing"",""งบพรบ!HU18"")"),0)</f>
        <v>0</v>
      </c>
      <c r="M498" s="568">
        <f ca="1">IFERROR(__xludf.DUMMYFUNCTION("IMPORTRANGE(""https://docs.google.com/spreadsheets/d/1-uDff_7J0KD5mKrp0Vvzr7lt3OU09vwQwhkpOPPYv2Y/edit?usp=sharing"",""งบพรบ!HZ18"")"),0)</f>
        <v>0</v>
      </c>
      <c r="N498" s="568">
        <f ca="1">IFERROR(__xludf.DUMMYFUNCTION("IMPORTRANGE(""https://docs.google.com/spreadsheets/d/1-uDff_7J0KD5mKrp0Vvzr7lt3OU09vwQwhkpOPPYv2Y/edit?usp=sharing"",""งบพรบ!IB18"")"),0)</f>
        <v>0</v>
      </c>
      <c r="O498" s="568">
        <f t="shared" ca="1" si="303"/>
        <v>0</v>
      </c>
      <c r="P498" s="568">
        <f t="shared" ca="1" si="304"/>
        <v>0</v>
      </c>
      <c r="Q498" s="568">
        <f ca="1">IFERROR(__xludf.DUMMYFUNCTION("IMPORTRANGE(""https://docs.google.com/spreadsheets/d/1ItG2mGa2ceCfYo0BwxsXqNm01IGEUdYcSSLTEv9YCik/edit?usp=sharing"",""เบิกจ่ายกองทุน!AD18"")"),0)</f>
        <v>0</v>
      </c>
      <c r="R498" s="568">
        <f ca="1">IFERROR(__xludf.DUMMYFUNCTION("IMPORTRANGE(""https://docs.google.com/spreadsheets/d/1ItG2mGa2ceCfYo0BwxsXqNm01IGEUdYcSSLTEv9YCik/edit?usp=sharing"",""เบิกจ่ายกองทุน!AE18"")"),0)</f>
        <v>0</v>
      </c>
      <c r="S498" s="568">
        <f ca="1">IFERROR(__xludf.DUMMYFUNCTION("IMPORTRANGE(""https://docs.google.com/spreadsheets/d/1ItG2mGa2ceCfYo0BwxsXqNm01IGEUdYcSSLTEv9YCik/edit?usp=sharing"",""เบิกจ่ายกองทุน!AF18"")"),0)</f>
        <v>0</v>
      </c>
      <c r="T498" s="568">
        <f t="shared" ca="1" si="306"/>
        <v>0</v>
      </c>
      <c r="U498" s="568">
        <f t="shared" ca="1" si="307"/>
        <v>0</v>
      </c>
    </row>
    <row r="499" spans="1:21" ht="18.75" hidden="1" x14ac:dyDescent="0.25">
      <c r="A499" s="674"/>
      <c r="B499" s="718"/>
      <c r="C499" s="718"/>
      <c r="D499" s="721" t="s">
        <v>23</v>
      </c>
      <c r="E499" s="561"/>
      <c r="F499" s="561"/>
      <c r="G499" s="563"/>
      <c r="H499" s="686" t="s">
        <v>14</v>
      </c>
      <c r="I499" s="683"/>
      <c r="J499" s="683"/>
      <c r="K499" s="684"/>
      <c r="L499" s="567">
        <f t="shared" ref="L499:N499" ca="1" si="312">L500+L501</f>
        <v>0</v>
      </c>
      <c r="M499" s="568">
        <f t="shared" ca="1" si="312"/>
        <v>0</v>
      </c>
      <c r="N499" s="568">
        <f t="shared" ca="1" si="312"/>
        <v>0</v>
      </c>
      <c r="O499" s="568">
        <f t="shared" ca="1" si="303"/>
        <v>0</v>
      </c>
      <c r="P499" s="568">
        <f t="shared" ca="1" si="304"/>
        <v>0</v>
      </c>
      <c r="Q499" s="568">
        <f t="shared" ref="Q499:S499" si="313">Q500+Q501</f>
        <v>0</v>
      </c>
      <c r="R499" s="568">
        <f t="shared" si="313"/>
        <v>0</v>
      </c>
      <c r="S499" s="568">
        <f t="shared" si="313"/>
        <v>0</v>
      </c>
      <c r="T499" s="568">
        <f t="shared" si="306"/>
        <v>0</v>
      </c>
      <c r="U499" s="568">
        <f t="shared" si="307"/>
        <v>0</v>
      </c>
    </row>
    <row r="500" spans="1:21" ht="18.75" hidden="1" x14ac:dyDescent="0.25">
      <c r="A500" s="674"/>
      <c r="B500" s="718"/>
      <c r="C500" s="718"/>
      <c r="D500" s="718"/>
      <c r="E500" s="569" t="s">
        <v>20</v>
      </c>
      <c r="F500" s="561"/>
      <c r="G500" s="563"/>
      <c r="H500" s="685" t="s">
        <v>14</v>
      </c>
      <c r="I500" s="683"/>
      <c r="J500" s="683"/>
      <c r="K500" s="684"/>
      <c r="L500" s="571">
        <v>0</v>
      </c>
      <c r="M500" s="572">
        <v>0</v>
      </c>
      <c r="N500" s="572">
        <v>0</v>
      </c>
      <c r="O500" s="572">
        <f t="shared" si="303"/>
        <v>0</v>
      </c>
      <c r="P500" s="572">
        <f t="shared" si="304"/>
        <v>0</v>
      </c>
      <c r="Q500" s="572">
        <v>0</v>
      </c>
      <c r="R500" s="572">
        <v>0</v>
      </c>
      <c r="S500" s="572">
        <v>0</v>
      </c>
      <c r="T500" s="572">
        <f t="shared" si="306"/>
        <v>0</v>
      </c>
      <c r="U500" s="572">
        <f t="shared" si="307"/>
        <v>0</v>
      </c>
    </row>
    <row r="501" spans="1:21" ht="18.75" hidden="1" x14ac:dyDescent="0.25">
      <c r="A501" s="674"/>
      <c r="B501" s="718"/>
      <c r="C501" s="718"/>
      <c r="D501" s="718"/>
      <c r="E501" s="573" t="s">
        <v>21</v>
      </c>
      <c r="F501" s="561"/>
      <c r="G501" s="563"/>
      <c r="H501" s="686" t="s">
        <v>14</v>
      </c>
      <c r="I501" s="683"/>
      <c r="J501" s="683"/>
      <c r="K501" s="684"/>
      <c r="L501" s="567">
        <f ca="1">IFERROR(__xludf.DUMMYFUNCTION("IMPORTRANGE(""https://docs.google.com/spreadsheets/d/1-uDff_7J0KD5mKrp0Vvzr7lt3OU09vwQwhkpOPPYv2Y/edit?usp=sharing"",""งบพรบ!HX18"")"),0)</f>
        <v>0</v>
      </c>
      <c r="M501" s="568">
        <f ca="1">IFERROR(__xludf.DUMMYFUNCTION("IMPORTRANGE(""https://docs.google.com/spreadsheets/d/1-uDff_7J0KD5mKrp0Vvzr7lt3OU09vwQwhkpOPPYv2Y/edit?usp=sharing"",""งบพรบ!IA18"")"),0)</f>
        <v>0</v>
      </c>
      <c r="N501" s="568">
        <f ca="1">IFERROR(__xludf.DUMMYFUNCTION("IMPORTRANGE(""https://docs.google.com/spreadsheets/d/1-uDff_7J0KD5mKrp0Vvzr7lt3OU09vwQwhkpOPPYv2Y/edit?usp=sharing"",""งบพรบ!IC18"")"),0)</f>
        <v>0</v>
      </c>
      <c r="O501" s="568">
        <f t="shared" ca="1" si="303"/>
        <v>0</v>
      </c>
      <c r="P501" s="568">
        <f t="shared" ca="1" si="304"/>
        <v>0</v>
      </c>
      <c r="Q501" s="568">
        <v>0</v>
      </c>
      <c r="R501" s="568">
        <v>0</v>
      </c>
      <c r="S501" s="568">
        <v>0</v>
      </c>
      <c r="T501" s="568">
        <f t="shared" si="306"/>
        <v>0</v>
      </c>
      <c r="U501" s="568">
        <f t="shared" si="307"/>
        <v>0</v>
      </c>
    </row>
    <row r="502" spans="1:21" ht="19.5" hidden="1" x14ac:dyDescent="0.3">
      <c r="A502" s="687"/>
      <c r="B502" s="688"/>
      <c r="C502" s="724" t="s">
        <v>18</v>
      </c>
      <c r="D502" s="956" t="s">
        <v>38</v>
      </c>
      <c r="E502" s="690"/>
      <c r="F502" s="690"/>
      <c r="G502" s="691"/>
      <c r="H502" s="725"/>
      <c r="I502" s="683"/>
      <c r="J502" s="683"/>
      <c r="K502" s="684"/>
      <c r="L502" s="693"/>
      <c r="M502" s="684"/>
      <c r="N502" s="684"/>
      <c r="O502" s="684"/>
      <c r="P502" s="684"/>
      <c r="Q502" s="684"/>
      <c r="R502" s="684"/>
      <c r="S502" s="684"/>
      <c r="T502" s="684"/>
      <c r="U502" s="684"/>
    </row>
    <row r="503" spans="1:21" ht="19.5" hidden="1" x14ac:dyDescent="0.3">
      <c r="A503" s="764"/>
      <c r="B503" s="718"/>
      <c r="C503" s="718"/>
      <c r="D503" s="719" t="s">
        <v>199</v>
      </c>
      <c r="E503" s="561"/>
      <c r="F503" s="561"/>
      <c r="G503" s="563"/>
      <c r="H503" s="681" t="s">
        <v>35</v>
      </c>
      <c r="I503" s="697">
        <f ca="1">IFERROR(__xludf.DUMMYFUNCTION("IMPORTRANGE(""https://docs.google.com/spreadsheets/d/1eHaY18a8A9IcSdp1K8H6x8fbOy06t2VsZHhMHf-1x7Y/edit?usp=sharing"",""แผน!GX18"")"),0)</f>
        <v>0</v>
      </c>
      <c r="J503" s="697">
        <f ca="1">IF(AND(J504=I504,J505=I505,J506=I506,J507=I507),I503,0)</f>
        <v>0</v>
      </c>
      <c r="K503" s="679">
        <f t="shared" ref="K503:K509" ca="1" si="314">IF(I503&gt;0,J503*100/I503,0)</f>
        <v>0</v>
      </c>
      <c r="L503" s="574"/>
      <c r="M503" s="566"/>
      <c r="N503" s="566"/>
      <c r="O503" s="566"/>
      <c r="P503" s="566"/>
      <c r="Q503" s="566"/>
      <c r="R503" s="566"/>
      <c r="S503" s="566"/>
      <c r="T503" s="566"/>
      <c r="U503" s="566"/>
    </row>
    <row r="504" spans="1:21" ht="18.75" hidden="1" x14ac:dyDescent="0.25">
      <c r="A504" s="764"/>
      <c r="B504" s="718"/>
      <c r="C504" s="718"/>
      <c r="D504" s="718"/>
      <c r="E504" s="573" t="s">
        <v>200</v>
      </c>
      <c r="F504" s="561"/>
      <c r="G504" s="563"/>
      <c r="H504" s="681" t="s">
        <v>35</v>
      </c>
      <c r="I504" s="708">
        <f ca="1">IFERROR(__xludf.DUMMYFUNCTION("IMPORTRANGE(""https://docs.google.com/spreadsheets/d/1eHaY18a8A9IcSdp1K8H6x8fbOy06t2VsZHhMHf-1x7Y/edit?usp=sharing"",""แผน!GY18"")"),0)</f>
        <v>0</v>
      </c>
      <c r="J504" s="702">
        <v>0</v>
      </c>
      <c r="K504" s="568">
        <f t="shared" ca="1" si="314"/>
        <v>0</v>
      </c>
      <c r="L504" s="574"/>
      <c r="M504" s="566"/>
      <c r="N504" s="566"/>
      <c r="O504" s="566"/>
      <c r="P504" s="566"/>
      <c r="Q504" s="566"/>
      <c r="R504" s="566"/>
      <c r="S504" s="566"/>
      <c r="T504" s="566"/>
      <c r="U504" s="566"/>
    </row>
    <row r="505" spans="1:21" ht="18.75" hidden="1" x14ac:dyDescent="0.25">
      <c r="A505" s="764"/>
      <c r="B505" s="718"/>
      <c r="C505" s="718"/>
      <c r="D505" s="718"/>
      <c r="E505" s="573" t="s">
        <v>201</v>
      </c>
      <c r="F505" s="561"/>
      <c r="G505" s="563"/>
      <c r="H505" s="681" t="s">
        <v>35</v>
      </c>
      <c r="I505" s="708">
        <f ca="1">IFERROR(__xludf.DUMMYFUNCTION("IMPORTRANGE(""https://docs.google.com/spreadsheets/d/1eHaY18a8A9IcSdp1K8H6x8fbOy06t2VsZHhMHf-1x7Y/edit?usp=sharing"",""แผน!GZ18"")"),0)</f>
        <v>0</v>
      </c>
      <c r="J505" s="702">
        <v>0</v>
      </c>
      <c r="K505" s="568">
        <f t="shared" ca="1" si="314"/>
        <v>0</v>
      </c>
      <c r="L505" s="574"/>
      <c r="M505" s="566"/>
      <c r="N505" s="566"/>
      <c r="O505" s="566"/>
      <c r="P505" s="566"/>
      <c r="Q505" s="566"/>
      <c r="R505" s="566"/>
      <c r="S505" s="566"/>
      <c r="T505" s="566"/>
      <c r="U505" s="566"/>
    </row>
    <row r="506" spans="1:21" ht="18.75" hidden="1" x14ac:dyDescent="0.25">
      <c r="A506" s="764"/>
      <c r="B506" s="718"/>
      <c r="C506" s="718"/>
      <c r="D506" s="718"/>
      <c r="E506" s="573" t="s">
        <v>202</v>
      </c>
      <c r="F506" s="561"/>
      <c r="G506" s="563"/>
      <c r="H506" s="681" t="s">
        <v>35</v>
      </c>
      <c r="I506" s="708">
        <f ca="1">IFERROR(__xludf.DUMMYFUNCTION("IMPORTRANGE(""https://docs.google.com/spreadsheets/d/1eHaY18a8A9IcSdp1K8H6x8fbOy06t2VsZHhMHf-1x7Y/edit?usp=sharing"",""แผน!HA18"")"),0)</f>
        <v>0</v>
      </c>
      <c r="J506" s="702">
        <v>0</v>
      </c>
      <c r="K506" s="568">
        <f t="shared" ca="1" si="314"/>
        <v>0</v>
      </c>
      <c r="L506" s="574"/>
      <c r="M506" s="566"/>
      <c r="N506" s="566"/>
      <c r="O506" s="566"/>
      <c r="P506" s="566"/>
      <c r="Q506" s="566"/>
      <c r="R506" s="566"/>
      <c r="S506" s="566"/>
      <c r="T506" s="566"/>
      <c r="U506" s="566"/>
    </row>
    <row r="507" spans="1:21" ht="18.75" hidden="1" x14ac:dyDescent="0.25">
      <c r="A507" s="764"/>
      <c r="B507" s="718"/>
      <c r="C507" s="718"/>
      <c r="D507" s="718"/>
      <c r="E507" s="987" t="s">
        <v>203</v>
      </c>
      <c r="F507" s="561"/>
      <c r="G507" s="563"/>
      <c r="H507" s="681" t="s">
        <v>35</v>
      </c>
      <c r="I507" s="708">
        <f ca="1">IFERROR(__xludf.DUMMYFUNCTION("IMPORTRANGE(""https://docs.google.com/spreadsheets/d/1eHaY18a8A9IcSdp1K8H6x8fbOy06t2VsZHhMHf-1x7Y/edit?usp=sharing"",""แผน!HB18"")"),0)</f>
        <v>0</v>
      </c>
      <c r="J507" s="702">
        <v>0</v>
      </c>
      <c r="K507" s="568">
        <f t="shared" ca="1" si="314"/>
        <v>0</v>
      </c>
      <c r="L507" s="574"/>
      <c r="M507" s="566"/>
      <c r="N507" s="566"/>
      <c r="O507" s="566"/>
      <c r="P507" s="566"/>
      <c r="Q507" s="566"/>
      <c r="R507" s="566"/>
      <c r="S507" s="566"/>
      <c r="T507" s="566"/>
      <c r="U507" s="566"/>
    </row>
    <row r="508" spans="1:21" ht="18.75" hidden="1" x14ac:dyDescent="0.25">
      <c r="A508" s="764"/>
      <c r="B508" s="718"/>
      <c r="C508" s="718"/>
      <c r="D508" s="718"/>
      <c r="E508" s="573" t="s">
        <v>204</v>
      </c>
      <c r="F508" s="561"/>
      <c r="G508" s="563"/>
      <c r="H508" s="681" t="s">
        <v>35</v>
      </c>
      <c r="I508" s="708">
        <v>0</v>
      </c>
      <c r="J508" s="708">
        <v>0</v>
      </c>
      <c r="K508" s="568">
        <f t="shared" si="314"/>
        <v>0</v>
      </c>
      <c r="L508" s="574"/>
      <c r="M508" s="566"/>
      <c r="N508" s="566"/>
      <c r="O508" s="566"/>
      <c r="P508" s="566"/>
      <c r="Q508" s="566"/>
      <c r="R508" s="566"/>
      <c r="S508" s="566"/>
      <c r="T508" s="566"/>
      <c r="U508" s="566"/>
    </row>
    <row r="509" spans="1:21" ht="19.5" hidden="1" x14ac:dyDescent="0.3">
      <c r="A509" s="984"/>
      <c r="B509" s="514"/>
      <c r="C509" s="514"/>
      <c r="D509" s="988" t="s">
        <v>50</v>
      </c>
      <c r="E509" s="513"/>
      <c r="F509" s="513"/>
      <c r="G509" s="577"/>
      <c r="H509" s="986" t="s">
        <v>35</v>
      </c>
      <c r="I509" s="989">
        <f ca="1">IFERROR(__xludf.DUMMYFUNCTION("IMPORTRANGE(""https://docs.google.com/spreadsheets/d/1eHaY18a8A9IcSdp1K8H6x8fbOy06t2VsZHhMHf-1x7Y/edit?usp=sharing"",""แผน!HC18"")"),0)</f>
        <v>0</v>
      </c>
      <c r="J509" s="990">
        <v>0</v>
      </c>
      <c r="K509" s="655">
        <f t="shared" ca="1" si="314"/>
        <v>0</v>
      </c>
      <c r="L509" s="581"/>
      <c r="M509" s="580"/>
      <c r="N509" s="580"/>
      <c r="O509" s="580"/>
      <c r="P509" s="580"/>
      <c r="Q509" s="580"/>
      <c r="R509" s="580"/>
      <c r="S509" s="580"/>
      <c r="T509" s="580"/>
      <c r="U509" s="580"/>
    </row>
    <row r="510" spans="1:21" ht="19.5" hidden="1" x14ac:dyDescent="0.3">
      <c r="A510" s="991" t="s">
        <v>205</v>
      </c>
      <c r="B510" s="992"/>
      <c r="C510" s="992"/>
      <c r="D510" s="992"/>
      <c r="E510" s="993"/>
      <c r="F510" s="993"/>
      <c r="G510" s="993"/>
      <c r="H510" s="993"/>
      <c r="I510" s="994"/>
      <c r="J510" s="994"/>
      <c r="K510" s="995"/>
      <c r="L510" s="996"/>
      <c r="M510" s="997"/>
      <c r="N510" s="997"/>
      <c r="O510" s="997"/>
      <c r="P510" s="997"/>
      <c r="Q510" s="997"/>
      <c r="R510" s="997"/>
      <c r="S510" s="997"/>
      <c r="T510" s="997"/>
      <c r="U510" s="997"/>
    </row>
    <row r="511" spans="1:21" ht="19.5" hidden="1" x14ac:dyDescent="0.3">
      <c r="A511" s="998" t="s">
        <v>206</v>
      </c>
      <c r="B511" s="999"/>
      <c r="C511" s="999"/>
      <c r="D511" s="1000"/>
      <c r="E511" s="999"/>
      <c r="F511" s="999"/>
      <c r="G511" s="999"/>
      <c r="H511" s="1001"/>
      <c r="I511" s="1002"/>
      <c r="J511" s="1002"/>
      <c r="K511" s="1003"/>
      <c r="L511" s="1004"/>
      <c r="M511" s="1005"/>
      <c r="N511" s="1005"/>
      <c r="O511" s="1005"/>
      <c r="P511" s="1005"/>
      <c r="Q511" s="1005"/>
      <c r="R511" s="1005"/>
      <c r="S511" s="1005"/>
      <c r="T511" s="1005"/>
      <c r="U511" s="1005"/>
    </row>
    <row r="512" spans="1:21" ht="19.5" hidden="1" x14ac:dyDescent="0.3">
      <c r="A512" s="1006"/>
      <c r="B512" s="1007" t="s">
        <v>207</v>
      </c>
      <c r="C512" s="1008"/>
      <c r="D512" s="1009"/>
      <c r="E512" s="1009"/>
      <c r="F512" s="1009"/>
      <c r="G512" s="1010"/>
      <c r="H512" s="1011" t="s">
        <v>61</v>
      </c>
      <c r="I512" s="1012">
        <f t="shared" ref="I512:J512" si="315">I524</f>
        <v>0</v>
      </c>
      <c r="J512" s="1012">
        <f t="shared" si="315"/>
        <v>0</v>
      </c>
      <c r="K512" s="1013">
        <f>IF(I512&gt;0,J512*100/I512,0)</f>
        <v>0</v>
      </c>
      <c r="L512" s="1014"/>
      <c r="M512" s="1015"/>
      <c r="N512" s="1015"/>
      <c r="O512" s="1015"/>
      <c r="P512" s="1015"/>
      <c r="Q512" s="1015"/>
      <c r="R512" s="1015"/>
      <c r="S512" s="1015"/>
      <c r="T512" s="1015"/>
      <c r="U512" s="1015"/>
    </row>
    <row r="513" spans="1:21" ht="19.5" hidden="1" x14ac:dyDescent="0.3">
      <c r="A513" s="674"/>
      <c r="B513" s="561"/>
      <c r="C513" s="797" t="s">
        <v>18</v>
      </c>
      <c r="D513" s="798" t="s">
        <v>19</v>
      </c>
      <c r="E513" s="561"/>
      <c r="F513" s="561"/>
      <c r="G513" s="563"/>
      <c r="H513" s="1016" t="s">
        <v>14</v>
      </c>
      <c r="I513" s="565"/>
      <c r="J513" s="565"/>
      <c r="K513" s="566"/>
      <c r="L513" s="678">
        <f t="shared" ref="L513:N513" ca="1" si="316">L514+L515</f>
        <v>0</v>
      </c>
      <c r="M513" s="679">
        <f t="shared" ca="1" si="316"/>
        <v>0</v>
      </c>
      <c r="N513" s="679">
        <f t="shared" ca="1" si="316"/>
        <v>0</v>
      </c>
      <c r="O513" s="679">
        <f t="shared" ref="O513:O521" ca="1" si="317">IF(L513&gt;0,N513*100/L513,0)</f>
        <v>0</v>
      </c>
      <c r="P513" s="679">
        <f t="shared" ref="P513:P521" ca="1" si="318">IF(M513&gt;0,N513*100/M513,0)</f>
        <v>0</v>
      </c>
      <c r="Q513" s="679">
        <f t="shared" ref="Q513:S513" si="319">Q514+Q515</f>
        <v>0</v>
      </c>
      <c r="R513" s="679">
        <f t="shared" si="319"/>
        <v>0</v>
      </c>
      <c r="S513" s="679">
        <f t="shared" si="319"/>
        <v>0</v>
      </c>
      <c r="T513" s="679">
        <f t="shared" ref="T513:T521" si="320">IF(Q513&gt;0,S513*100/Q513,0)</f>
        <v>0</v>
      </c>
      <c r="U513" s="679">
        <f t="shared" ref="U513:U521" si="321">IF(R513&gt;0,S513*100/R513,0)</f>
        <v>0</v>
      </c>
    </row>
    <row r="514" spans="1:21" ht="18.75" hidden="1" x14ac:dyDescent="0.25">
      <c r="A514" s="674"/>
      <c r="B514" s="561"/>
      <c r="C514" s="561"/>
      <c r="D514" s="561"/>
      <c r="E514" s="569" t="s">
        <v>20</v>
      </c>
      <c r="F514" s="561"/>
      <c r="G514" s="563"/>
      <c r="H514" s="680" t="s">
        <v>14</v>
      </c>
      <c r="I514" s="565"/>
      <c r="J514" s="565"/>
      <c r="K514" s="566"/>
      <c r="L514" s="571">
        <f t="shared" ref="L514:N515" si="322">L517+L520</f>
        <v>0</v>
      </c>
      <c r="M514" s="572">
        <f t="shared" si="322"/>
        <v>0</v>
      </c>
      <c r="N514" s="572">
        <f t="shared" si="322"/>
        <v>0</v>
      </c>
      <c r="O514" s="572">
        <f t="shared" si="317"/>
        <v>0</v>
      </c>
      <c r="P514" s="572">
        <f t="shared" si="318"/>
        <v>0</v>
      </c>
      <c r="Q514" s="572">
        <f t="shared" ref="Q514:S515" si="323">Q517+Q520</f>
        <v>0</v>
      </c>
      <c r="R514" s="572">
        <f t="shared" si="323"/>
        <v>0</v>
      </c>
      <c r="S514" s="572">
        <f t="shared" si="323"/>
        <v>0</v>
      </c>
      <c r="T514" s="572">
        <f t="shared" si="320"/>
        <v>0</v>
      </c>
      <c r="U514" s="572">
        <f t="shared" si="321"/>
        <v>0</v>
      </c>
    </row>
    <row r="515" spans="1:21" ht="18.75" hidden="1" x14ac:dyDescent="0.25">
      <c r="A515" s="674"/>
      <c r="B515" s="561"/>
      <c r="C515" s="561"/>
      <c r="D515" s="561"/>
      <c r="E515" s="569" t="s">
        <v>21</v>
      </c>
      <c r="F515" s="561"/>
      <c r="G515" s="563"/>
      <c r="H515" s="680" t="s">
        <v>14</v>
      </c>
      <c r="I515" s="565"/>
      <c r="J515" s="565"/>
      <c r="K515" s="566"/>
      <c r="L515" s="567">
        <f t="shared" ca="1" si="322"/>
        <v>0</v>
      </c>
      <c r="M515" s="568">
        <f t="shared" ca="1" si="322"/>
        <v>0</v>
      </c>
      <c r="N515" s="568">
        <f t="shared" ca="1" si="322"/>
        <v>0</v>
      </c>
      <c r="O515" s="568">
        <f t="shared" ca="1" si="317"/>
        <v>0</v>
      </c>
      <c r="P515" s="568">
        <f t="shared" ca="1" si="318"/>
        <v>0</v>
      </c>
      <c r="Q515" s="568">
        <f t="shared" si="323"/>
        <v>0</v>
      </c>
      <c r="R515" s="568">
        <f t="shared" si="323"/>
        <v>0</v>
      </c>
      <c r="S515" s="568">
        <f t="shared" si="323"/>
        <v>0</v>
      </c>
      <c r="T515" s="568">
        <f t="shared" si="320"/>
        <v>0</v>
      </c>
      <c r="U515" s="568">
        <f t="shared" si="321"/>
        <v>0</v>
      </c>
    </row>
    <row r="516" spans="1:21" ht="18.75" hidden="1" x14ac:dyDescent="0.25">
      <c r="A516" s="674"/>
      <c r="B516" s="561"/>
      <c r="C516" s="561"/>
      <c r="D516" s="1017" t="s">
        <v>22</v>
      </c>
      <c r="E516" s="561"/>
      <c r="F516" s="561"/>
      <c r="G516" s="563"/>
      <c r="H516" s="685" t="s">
        <v>14</v>
      </c>
      <c r="I516" s="683"/>
      <c r="J516" s="683"/>
      <c r="K516" s="684"/>
      <c r="L516" s="567">
        <f t="shared" ref="L516:N516" ca="1" si="324">L517+L518</f>
        <v>0</v>
      </c>
      <c r="M516" s="568">
        <f t="shared" ca="1" si="324"/>
        <v>0</v>
      </c>
      <c r="N516" s="568">
        <f t="shared" ca="1" si="324"/>
        <v>0</v>
      </c>
      <c r="O516" s="568">
        <f t="shared" ca="1" si="317"/>
        <v>0</v>
      </c>
      <c r="P516" s="568">
        <f t="shared" ca="1" si="318"/>
        <v>0</v>
      </c>
      <c r="Q516" s="568">
        <f t="shared" ref="Q516:S516" si="325">Q517+Q518</f>
        <v>0</v>
      </c>
      <c r="R516" s="568">
        <f t="shared" si="325"/>
        <v>0</v>
      </c>
      <c r="S516" s="568">
        <f t="shared" si="325"/>
        <v>0</v>
      </c>
      <c r="T516" s="568">
        <f t="shared" si="320"/>
        <v>0</v>
      </c>
      <c r="U516" s="568">
        <f t="shared" si="321"/>
        <v>0</v>
      </c>
    </row>
    <row r="517" spans="1:21" ht="18.75" hidden="1" x14ac:dyDescent="0.25">
      <c r="A517" s="674"/>
      <c r="B517" s="561"/>
      <c r="C517" s="561"/>
      <c r="D517" s="561"/>
      <c r="E517" s="569" t="s">
        <v>36</v>
      </c>
      <c r="F517" s="561"/>
      <c r="G517" s="563"/>
      <c r="H517" s="685" t="s">
        <v>14</v>
      </c>
      <c r="I517" s="683"/>
      <c r="J517" s="683"/>
      <c r="K517" s="684"/>
      <c r="L517" s="571">
        <v>0</v>
      </c>
      <c r="M517" s="572">
        <v>0</v>
      </c>
      <c r="N517" s="572">
        <v>0</v>
      </c>
      <c r="O517" s="572">
        <f t="shared" si="317"/>
        <v>0</v>
      </c>
      <c r="P517" s="572">
        <f t="shared" si="318"/>
        <v>0</v>
      </c>
      <c r="Q517" s="572">
        <v>0</v>
      </c>
      <c r="R517" s="572">
        <v>0</v>
      </c>
      <c r="S517" s="572">
        <v>0</v>
      </c>
      <c r="T517" s="572">
        <f t="shared" si="320"/>
        <v>0</v>
      </c>
      <c r="U517" s="572">
        <f t="shared" si="321"/>
        <v>0</v>
      </c>
    </row>
    <row r="518" spans="1:21" ht="18.75" hidden="1" x14ac:dyDescent="0.25">
      <c r="A518" s="674"/>
      <c r="B518" s="561"/>
      <c r="C518" s="561"/>
      <c r="D518" s="561"/>
      <c r="E518" s="569" t="s">
        <v>37</v>
      </c>
      <c r="F518" s="561"/>
      <c r="G518" s="563"/>
      <c r="H518" s="685" t="s">
        <v>14</v>
      </c>
      <c r="I518" s="683"/>
      <c r="J518" s="683"/>
      <c r="K518" s="684"/>
      <c r="L518" s="567">
        <f ca="1">IFERROR(__xludf.DUMMYFUNCTION("IMPORTRANGE(""https://docs.google.com/spreadsheets/d/1-uDff_7J0KD5mKrp0Vvzr7lt3OU09vwQwhkpOPPYv2Y/edit?usp=sharing"",""งบพรบ!FM18"")"),0)</f>
        <v>0</v>
      </c>
      <c r="M518" s="568">
        <f ca="1">IFERROR(__xludf.DUMMYFUNCTION("IMPORTRANGE(""https://docs.google.com/spreadsheets/d/1-uDff_7J0KD5mKrp0Vvzr7lt3OU09vwQwhkpOPPYv2Y/edit?usp=sharing"",""งบพรบ!FR18"")"),0)</f>
        <v>0</v>
      </c>
      <c r="N518" s="568">
        <f ca="1">IFERROR(__xludf.DUMMYFUNCTION("IMPORTRANGE(""https://docs.google.com/spreadsheets/d/1-uDff_7J0KD5mKrp0Vvzr7lt3OU09vwQwhkpOPPYv2Y/edit?usp=sharing"",""งบพรบ!FT18"")"),0)</f>
        <v>0</v>
      </c>
      <c r="O518" s="568">
        <f t="shared" ca="1" si="317"/>
        <v>0</v>
      </c>
      <c r="P518" s="568">
        <f t="shared" ca="1" si="318"/>
        <v>0</v>
      </c>
      <c r="Q518" s="568">
        <v>0</v>
      </c>
      <c r="R518" s="568">
        <v>0</v>
      </c>
      <c r="S518" s="568">
        <v>0</v>
      </c>
      <c r="T518" s="568">
        <f t="shared" si="320"/>
        <v>0</v>
      </c>
      <c r="U518" s="568">
        <f t="shared" si="321"/>
        <v>0</v>
      </c>
    </row>
    <row r="519" spans="1:21" ht="18.75" hidden="1" x14ac:dyDescent="0.25">
      <c r="A519" s="674"/>
      <c r="B519" s="561"/>
      <c r="C519" s="561"/>
      <c r="D519" s="1017" t="s">
        <v>23</v>
      </c>
      <c r="E519" s="561"/>
      <c r="F519" s="561"/>
      <c r="G519" s="563"/>
      <c r="H519" s="734" t="s">
        <v>14</v>
      </c>
      <c r="I519" s="683"/>
      <c r="J519" s="683"/>
      <c r="K519" s="684"/>
      <c r="L519" s="567">
        <f t="shared" ref="L519:N519" ca="1" si="326">L520+L521</f>
        <v>0</v>
      </c>
      <c r="M519" s="568">
        <f t="shared" ca="1" si="326"/>
        <v>0</v>
      </c>
      <c r="N519" s="568">
        <f t="shared" ca="1" si="326"/>
        <v>0</v>
      </c>
      <c r="O519" s="568">
        <f t="shared" ca="1" si="317"/>
        <v>0</v>
      </c>
      <c r="P519" s="568">
        <f t="shared" ca="1" si="318"/>
        <v>0</v>
      </c>
      <c r="Q519" s="568">
        <f t="shared" ref="Q519:S519" si="327">Q520+Q521</f>
        <v>0</v>
      </c>
      <c r="R519" s="568">
        <f t="shared" si="327"/>
        <v>0</v>
      </c>
      <c r="S519" s="568">
        <f t="shared" si="327"/>
        <v>0</v>
      </c>
      <c r="T519" s="568">
        <f t="shared" si="320"/>
        <v>0</v>
      </c>
      <c r="U519" s="568">
        <f t="shared" si="321"/>
        <v>0</v>
      </c>
    </row>
    <row r="520" spans="1:21" ht="18.75" hidden="1" x14ac:dyDescent="0.25">
      <c r="A520" s="674"/>
      <c r="B520" s="561"/>
      <c r="C520" s="561"/>
      <c r="D520" s="561"/>
      <c r="E520" s="569" t="s">
        <v>20</v>
      </c>
      <c r="F520" s="561"/>
      <c r="G520" s="563"/>
      <c r="H520" s="685" t="s">
        <v>14</v>
      </c>
      <c r="I520" s="683"/>
      <c r="J520" s="683"/>
      <c r="K520" s="684"/>
      <c r="L520" s="571">
        <v>0</v>
      </c>
      <c r="M520" s="572">
        <v>0</v>
      </c>
      <c r="N520" s="572">
        <v>0</v>
      </c>
      <c r="O520" s="572">
        <f t="shared" si="317"/>
        <v>0</v>
      </c>
      <c r="P520" s="572">
        <f t="shared" si="318"/>
        <v>0</v>
      </c>
      <c r="Q520" s="572">
        <v>0</v>
      </c>
      <c r="R520" s="572">
        <v>0</v>
      </c>
      <c r="S520" s="572">
        <v>0</v>
      </c>
      <c r="T520" s="572">
        <f t="shared" si="320"/>
        <v>0</v>
      </c>
      <c r="U520" s="572">
        <f t="shared" si="321"/>
        <v>0</v>
      </c>
    </row>
    <row r="521" spans="1:21" ht="18.75" hidden="1" x14ac:dyDescent="0.25">
      <c r="A521" s="674"/>
      <c r="B521" s="561"/>
      <c r="C521" s="561"/>
      <c r="D521" s="561"/>
      <c r="E521" s="569" t="s">
        <v>21</v>
      </c>
      <c r="F521" s="561"/>
      <c r="G521" s="563"/>
      <c r="H521" s="734" t="s">
        <v>14</v>
      </c>
      <c r="I521" s="683"/>
      <c r="J521" s="683"/>
      <c r="K521" s="684"/>
      <c r="L521" s="567">
        <f ca="1">IFERROR(__xludf.DUMMYFUNCTION("IMPORTRANGE(""https://docs.google.com/spreadsheets/d/1-uDff_7J0KD5mKrp0Vvzr7lt3OU09vwQwhkpOPPYv2Y/edit?usp=sharing"",""งบพรบ!FP18"")"),0)</f>
        <v>0</v>
      </c>
      <c r="M521" s="568">
        <f ca="1">IFERROR(__xludf.DUMMYFUNCTION("IMPORTRANGE(""https://docs.google.com/spreadsheets/d/1-uDff_7J0KD5mKrp0Vvzr7lt3OU09vwQwhkpOPPYv2Y/edit?usp=sharing"",""งบพรบ!FS18"")"),0)</f>
        <v>0</v>
      </c>
      <c r="N521" s="568">
        <f ca="1">IFERROR(__xludf.DUMMYFUNCTION("IMPORTRANGE(""https://docs.google.com/spreadsheets/d/1-uDff_7J0KD5mKrp0Vvzr7lt3OU09vwQwhkpOPPYv2Y/edit?usp=sharing"",""งบพรบ!FU18"")"),0)</f>
        <v>0</v>
      </c>
      <c r="O521" s="568">
        <f t="shared" ca="1" si="317"/>
        <v>0</v>
      </c>
      <c r="P521" s="568">
        <f t="shared" ca="1" si="318"/>
        <v>0</v>
      </c>
      <c r="Q521" s="568">
        <v>0</v>
      </c>
      <c r="R521" s="568">
        <v>0</v>
      </c>
      <c r="S521" s="568">
        <v>0</v>
      </c>
      <c r="T521" s="568">
        <f t="shared" si="320"/>
        <v>0</v>
      </c>
      <c r="U521" s="568">
        <f t="shared" si="321"/>
        <v>0</v>
      </c>
    </row>
    <row r="522" spans="1:21" ht="19.5" hidden="1" x14ac:dyDescent="0.3">
      <c r="A522" s="687"/>
      <c r="B522" s="688"/>
      <c r="C522" s="797" t="s">
        <v>18</v>
      </c>
      <c r="D522" s="801" t="s">
        <v>38</v>
      </c>
      <c r="E522" s="690"/>
      <c r="F522" s="690"/>
      <c r="G522" s="691"/>
      <c r="H522" s="692"/>
      <c r="I522" s="683"/>
      <c r="J522" s="565"/>
      <c r="K522" s="566"/>
      <c r="L522" s="574"/>
      <c r="M522" s="566"/>
      <c r="N522" s="566"/>
      <c r="O522" s="684"/>
      <c r="P522" s="684"/>
      <c r="Q522" s="566"/>
      <c r="R522" s="566"/>
      <c r="S522" s="566"/>
      <c r="T522" s="684"/>
      <c r="U522" s="684"/>
    </row>
    <row r="523" spans="1:21" ht="18.75" hidden="1" x14ac:dyDescent="0.25">
      <c r="A523" s="764"/>
      <c r="B523" s="561"/>
      <c r="C523" s="718"/>
      <c r="D523" s="726" t="s">
        <v>208</v>
      </c>
      <c r="E523" s="688"/>
      <c r="F523" s="561"/>
      <c r="G523" s="563"/>
      <c r="H523" s="768" t="s">
        <v>11</v>
      </c>
      <c r="I523" s="735">
        <v>0</v>
      </c>
      <c r="J523" s="736">
        <v>0</v>
      </c>
      <c r="K523" s="572">
        <f t="shared" ref="K523:K524" si="328">IF(I523&gt;0,J523*100/I523,0)</f>
        <v>0</v>
      </c>
      <c r="L523" s="574"/>
      <c r="M523" s="566"/>
      <c r="N523" s="566"/>
      <c r="O523" s="566"/>
      <c r="P523" s="566"/>
      <c r="Q523" s="566"/>
      <c r="R523" s="566"/>
      <c r="S523" s="566"/>
      <c r="T523" s="566"/>
      <c r="U523" s="566"/>
    </row>
    <row r="524" spans="1:21" ht="18.75" hidden="1" x14ac:dyDescent="0.25">
      <c r="A524" s="984"/>
      <c r="B524" s="513"/>
      <c r="C524" s="514"/>
      <c r="D524" s="1018" t="s">
        <v>209</v>
      </c>
      <c r="E524" s="864"/>
      <c r="F524" s="513"/>
      <c r="G524" s="577"/>
      <c r="H524" s="1019" t="s">
        <v>61</v>
      </c>
      <c r="I524" s="740">
        <v>0</v>
      </c>
      <c r="J524" s="741">
        <v>0</v>
      </c>
      <c r="K524" s="742">
        <f t="shared" si="328"/>
        <v>0</v>
      </c>
      <c r="L524" s="574"/>
      <c r="M524" s="566"/>
      <c r="N524" s="566"/>
      <c r="O524" s="566"/>
      <c r="P524" s="566"/>
      <c r="Q524" s="566"/>
      <c r="R524" s="566"/>
      <c r="S524" s="566"/>
      <c r="T524" s="566"/>
      <c r="U524" s="566"/>
    </row>
    <row r="525" spans="1:21" ht="12.75" hidden="1" x14ac:dyDescent="0.2">
      <c r="A525" s="1020"/>
      <c r="B525" s="1021"/>
      <c r="C525" s="1021"/>
      <c r="D525" s="1022"/>
      <c r="E525" s="1022"/>
      <c r="F525" s="1022"/>
      <c r="G525" s="1023"/>
      <c r="H525" s="1024"/>
      <c r="I525" s="1025"/>
      <c r="J525" s="1025"/>
      <c r="K525" s="1026"/>
      <c r="L525" s="965"/>
      <c r="M525" s="964"/>
      <c r="N525" s="964"/>
      <c r="O525" s="964"/>
      <c r="P525" s="964"/>
      <c r="Q525" s="964"/>
      <c r="R525" s="964"/>
      <c r="S525" s="964"/>
      <c r="T525" s="964"/>
      <c r="U525" s="964"/>
    </row>
    <row r="526" spans="1:21" ht="12.75" hidden="1" x14ac:dyDescent="0.2">
      <c r="A526" s="973"/>
      <c r="B526" s="961"/>
      <c r="C526" s="961"/>
      <c r="D526" s="974"/>
      <c r="E526" s="974"/>
      <c r="F526" s="974"/>
      <c r="G526" s="975"/>
      <c r="H526" s="962"/>
      <c r="I526" s="963"/>
      <c r="J526" s="963"/>
      <c r="K526" s="964"/>
      <c r="L526" s="965"/>
      <c r="M526" s="964"/>
      <c r="N526" s="964"/>
      <c r="O526" s="964"/>
      <c r="P526" s="964"/>
      <c r="Q526" s="964"/>
      <c r="R526" s="964"/>
      <c r="S526" s="964"/>
      <c r="T526" s="964"/>
      <c r="U526" s="964"/>
    </row>
    <row r="527" spans="1:21" ht="12.75" hidden="1" x14ac:dyDescent="0.2">
      <c r="A527" s="973"/>
      <c r="B527" s="961"/>
      <c r="C527" s="961"/>
      <c r="D527" s="974"/>
      <c r="E527" s="974"/>
      <c r="F527" s="974"/>
      <c r="G527" s="975"/>
      <c r="H527" s="962"/>
      <c r="I527" s="963"/>
      <c r="J527" s="963"/>
      <c r="K527" s="964"/>
      <c r="L527" s="965"/>
      <c r="M527" s="964"/>
      <c r="N527" s="964"/>
      <c r="O527" s="964"/>
      <c r="P527" s="964"/>
      <c r="Q527" s="964"/>
      <c r="R527" s="964"/>
      <c r="S527" s="964"/>
      <c r="T527" s="964"/>
      <c r="U527" s="964"/>
    </row>
    <row r="528" spans="1:21" ht="12.75" hidden="1" x14ac:dyDescent="0.2">
      <c r="A528" s="973"/>
      <c r="B528" s="961"/>
      <c r="C528" s="961"/>
      <c r="D528" s="974"/>
      <c r="E528" s="974"/>
      <c r="F528" s="974"/>
      <c r="G528" s="975"/>
      <c r="H528" s="962"/>
      <c r="I528" s="963"/>
      <c r="J528" s="963"/>
      <c r="K528" s="964"/>
      <c r="L528" s="965"/>
      <c r="M528" s="964"/>
      <c r="N528" s="964"/>
      <c r="O528" s="964"/>
      <c r="P528" s="964"/>
      <c r="Q528" s="964"/>
      <c r="R528" s="964"/>
      <c r="S528" s="964"/>
      <c r="T528" s="964"/>
      <c r="U528" s="964"/>
    </row>
    <row r="529" spans="1:21" ht="12.75" hidden="1" x14ac:dyDescent="0.2">
      <c r="A529" s="973"/>
      <c r="B529" s="961"/>
      <c r="C529" s="961"/>
      <c r="D529" s="974"/>
      <c r="E529" s="974"/>
      <c r="F529" s="974"/>
      <c r="G529" s="975"/>
      <c r="H529" s="962"/>
      <c r="I529" s="963"/>
      <c r="J529" s="963"/>
      <c r="K529" s="964"/>
      <c r="L529" s="965"/>
      <c r="M529" s="964"/>
      <c r="N529" s="964"/>
      <c r="O529" s="964"/>
      <c r="P529" s="964"/>
      <c r="Q529" s="964"/>
      <c r="R529" s="964"/>
      <c r="S529" s="964"/>
      <c r="T529" s="964"/>
      <c r="U529" s="964"/>
    </row>
    <row r="530" spans="1:21" ht="12.75" hidden="1" x14ac:dyDescent="0.2">
      <c r="A530" s="973"/>
      <c r="B530" s="961"/>
      <c r="C530" s="961"/>
      <c r="D530" s="974"/>
      <c r="E530" s="974"/>
      <c r="F530" s="974"/>
      <c r="G530" s="975"/>
      <c r="H530" s="962"/>
      <c r="I530" s="963"/>
      <c r="J530" s="963"/>
      <c r="K530" s="964"/>
      <c r="L530" s="965"/>
      <c r="M530" s="964"/>
      <c r="N530" s="964"/>
      <c r="O530" s="964"/>
      <c r="P530" s="964"/>
      <c r="Q530" s="964"/>
      <c r="R530" s="964"/>
      <c r="S530" s="964"/>
      <c r="T530" s="964"/>
      <c r="U530" s="964"/>
    </row>
    <row r="531" spans="1:21" ht="12.75" hidden="1" x14ac:dyDescent="0.2">
      <c r="A531" s="973"/>
      <c r="B531" s="961"/>
      <c r="C531" s="961"/>
      <c r="D531" s="974"/>
      <c r="E531" s="974"/>
      <c r="F531" s="974"/>
      <c r="G531" s="975"/>
      <c r="H531" s="962"/>
      <c r="I531" s="963"/>
      <c r="J531" s="963"/>
      <c r="K531" s="964"/>
      <c r="L531" s="965"/>
      <c r="M531" s="964"/>
      <c r="N531" s="964"/>
      <c r="O531" s="964"/>
      <c r="P531" s="964"/>
      <c r="Q531" s="964"/>
      <c r="R531" s="964"/>
      <c r="S531" s="964"/>
      <c r="T531" s="964"/>
      <c r="U531" s="964"/>
    </row>
    <row r="532" spans="1:21" ht="12.75" hidden="1" x14ac:dyDescent="0.2">
      <c r="A532" s="1027"/>
      <c r="B532" s="966"/>
      <c r="C532" s="966"/>
      <c r="D532" s="1028"/>
      <c r="E532" s="1028"/>
      <c r="F532" s="1028"/>
      <c r="G532" s="1029"/>
      <c r="H532" s="967"/>
      <c r="I532" s="968"/>
      <c r="J532" s="968"/>
      <c r="K532" s="969"/>
      <c r="L532" s="970"/>
      <c r="M532" s="969"/>
      <c r="N532" s="969"/>
      <c r="O532" s="969"/>
      <c r="P532" s="969"/>
      <c r="Q532" s="969"/>
      <c r="R532" s="969"/>
      <c r="S532" s="969"/>
      <c r="T532" s="969"/>
      <c r="U532" s="969"/>
    </row>
    <row r="533" spans="1:21" ht="19.5" hidden="1" x14ac:dyDescent="0.3">
      <c r="A533" s="1006"/>
      <c r="B533" s="1030" t="s">
        <v>210</v>
      </c>
      <c r="C533" s="1008"/>
      <c r="D533" s="1009"/>
      <c r="E533" s="1009"/>
      <c r="F533" s="1009"/>
      <c r="G533" s="1010"/>
      <c r="H533" s="1031" t="s">
        <v>61</v>
      </c>
      <c r="I533" s="1032">
        <f t="shared" ref="I533:J533" si="329">I545</f>
        <v>0</v>
      </c>
      <c r="J533" s="1032">
        <f t="shared" si="329"/>
        <v>0</v>
      </c>
      <c r="K533" s="1033">
        <f>IF(I533&gt;0,J533*100/I533,0)</f>
        <v>0</v>
      </c>
      <c r="L533" s="1014"/>
      <c r="M533" s="1015"/>
      <c r="N533" s="1015"/>
      <c r="O533" s="1015"/>
      <c r="P533" s="1015"/>
      <c r="Q533" s="1015"/>
      <c r="R533" s="1015"/>
      <c r="S533" s="1015"/>
      <c r="T533" s="1015"/>
      <c r="U533" s="1015"/>
    </row>
    <row r="534" spans="1:21" ht="19.5" hidden="1" x14ac:dyDescent="0.3">
      <c r="A534" s="674"/>
      <c r="B534" s="561"/>
      <c r="C534" s="675" t="s">
        <v>18</v>
      </c>
      <c r="D534" s="676" t="s">
        <v>19</v>
      </c>
      <c r="E534" s="561"/>
      <c r="F534" s="561"/>
      <c r="G534" s="563"/>
      <c r="H534" s="677" t="s">
        <v>14</v>
      </c>
      <c r="I534" s="565"/>
      <c r="J534" s="565"/>
      <c r="K534" s="566"/>
      <c r="L534" s="678">
        <f t="shared" ref="L534:N534" ca="1" si="330">L535+L536</f>
        <v>0</v>
      </c>
      <c r="M534" s="679">
        <f t="shared" ca="1" si="330"/>
        <v>0</v>
      </c>
      <c r="N534" s="679">
        <f t="shared" ca="1" si="330"/>
        <v>0</v>
      </c>
      <c r="O534" s="679">
        <f t="shared" ref="O534:O542" ca="1" si="331">IF(L534&gt;0,N534*100/L534,0)</f>
        <v>0</v>
      </c>
      <c r="P534" s="679">
        <f t="shared" ref="P534:P542" ca="1" si="332">IF(M534&gt;0,N534*100/M534,0)</f>
        <v>0</v>
      </c>
      <c r="Q534" s="679">
        <f t="shared" ref="Q534:S534" si="333">Q535+Q536</f>
        <v>0</v>
      </c>
      <c r="R534" s="679">
        <f t="shared" si="333"/>
        <v>0</v>
      </c>
      <c r="S534" s="679">
        <f t="shared" si="333"/>
        <v>0</v>
      </c>
      <c r="T534" s="679">
        <f t="shared" ref="T534:T542" si="334">IF(Q534&gt;0,S534*100/Q534,0)</f>
        <v>0</v>
      </c>
      <c r="U534" s="679">
        <f t="shared" ref="U534:U542" si="335">IF(R534&gt;0,S534*100/R534,0)</f>
        <v>0</v>
      </c>
    </row>
    <row r="535" spans="1:21" ht="18.75" hidden="1" x14ac:dyDescent="0.25">
      <c r="A535" s="674"/>
      <c r="B535" s="718"/>
      <c r="C535" s="561"/>
      <c r="D535" s="561"/>
      <c r="E535" s="569" t="s">
        <v>20</v>
      </c>
      <c r="F535" s="561"/>
      <c r="G535" s="563"/>
      <c r="H535" s="680" t="s">
        <v>14</v>
      </c>
      <c r="I535" s="565"/>
      <c r="J535" s="565"/>
      <c r="K535" s="566"/>
      <c r="L535" s="571">
        <f t="shared" ref="L535:N536" si="336">L538+L541</f>
        <v>0</v>
      </c>
      <c r="M535" s="572">
        <f t="shared" si="336"/>
        <v>0</v>
      </c>
      <c r="N535" s="572">
        <f t="shared" si="336"/>
        <v>0</v>
      </c>
      <c r="O535" s="572">
        <f t="shared" si="331"/>
        <v>0</v>
      </c>
      <c r="P535" s="572">
        <f t="shared" si="332"/>
        <v>0</v>
      </c>
      <c r="Q535" s="572">
        <f t="shared" ref="Q535:S536" si="337">Q538+Q541</f>
        <v>0</v>
      </c>
      <c r="R535" s="572">
        <f t="shared" si="337"/>
        <v>0</v>
      </c>
      <c r="S535" s="572">
        <f t="shared" si="337"/>
        <v>0</v>
      </c>
      <c r="T535" s="572">
        <f t="shared" si="334"/>
        <v>0</v>
      </c>
      <c r="U535" s="572">
        <f t="shared" si="335"/>
        <v>0</v>
      </c>
    </row>
    <row r="536" spans="1:21" ht="18.75" hidden="1" x14ac:dyDescent="0.25">
      <c r="A536" s="674"/>
      <c r="B536" s="561"/>
      <c r="C536" s="718"/>
      <c r="D536" s="561"/>
      <c r="E536" s="765" t="s">
        <v>21</v>
      </c>
      <c r="F536" s="561"/>
      <c r="G536" s="563"/>
      <c r="H536" s="681" t="s">
        <v>14</v>
      </c>
      <c r="I536" s="565"/>
      <c r="J536" s="565"/>
      <c r="K536" s="566"/>
      <c r="L536" s="567">
        <f t="shared" ca="1" si="336"/>
        <v>0</v>
      </c>
      <c r="M536" s="568">
        <f t="shared" ca="1" si="336"/>
        <v>0</v>
      </c>
      <c r="N536" s="568">
        <f t="shared" ca="1" si="336"/>
        <v>0</v>
      </c>
      <c r="O536" s="568">
        <f t="shared" ca="1" si="331"/>
        <v>0</v>
      </c>
      <c r="P536" s="568">
        <f t="shared" ca="1" si="332"/>
        <v>0</v>
      </c>
      <c r="Q536" s="568">
        <f t="shared" si="337"/>
        <v>0</v>
      </c>
      <c r="R536" s="568">
        <f t="shared" si="337"/>
        <v>0</v>
      </c>
      <c r="S536" s="568">
        <f t="shared" si="337"/>
        <v>0</v>
      </c>
      <c r="T536" s="568">
        <f t="shared" si="334"/>
        <v>0</v>
      </c>
      <c r="U536" s="568">
        <f t="shared" si="335"/>
        <v>0</v>
      </c>
    </row>
    <row r="537" spans="1:21" ht="18.75" hidden="1" x14ac:dyDescent="0.25">
      <c r="A537" s="674"/>
      <c r="B537" s="561"/>
      <c r="C537" s="718"/>
      <c r="D537" s="562" t="s">
        <v>22</v>
      </c>
      <c r="E537" s="718"/>
      <c r="F537" s="561"/>
      <c r="G537" s="563"/>
      <c r="H537" s="682" t="s">
        <v>14</v>
      </c>
      <c r="I537" s="683"/>
      <c r="J537" s="683"/>
      <c r="K537" s="684"/>
      <c r="L537" s="567">
        <f t="shared" ref="L537:N537" ca="1" si="338">L538+L539</f>
        <v>0</v>
      </c>
      <c r="M537" s="568">
        <f t="shared" ca="1" si="338"/>
        <v>0</v>
      </c>
      <c r="N537" s="568">
        <f t="shared" ca="1" si="338"/>
        <v>0</v>
      </c>
      <c r="O537" s="568">
        <f t="shared" ca="1" si="331"/>
        <v>0</v>
      </c>
      <c r="P537" s="568">
        <f t="shared" ca="1" si="332"/>
        <v>0</v>
      </c>
      <c r="Q537" s="568">
        <f t="shared" ref="Q537:S537" si="339">Q538+Q539</f>
        <v>0</v>
      </c>
      <c r="R537" s="568">
        <f t="shared" si="339"/>
        <v>0</v>
      </c>
      <c r="S537" s="568">
        <f t="shared" si="339"/>
        <v>0</v>
      </c>
      <c r="T537" s="568">
        <f t="shared" si="334"/>
        <v>0</v>
      </c>
      <c r="U537" s="568">
        <f t="shared" si="335"/>
        <v>0</v>
      </c>
    </row>
    <row r="538" spans="1:21" ht="18.75" hidden="1" x14ac:dyDescent="0.25">
      <c r="A538" s="674"/>
      <c r="B538" s="561"/>
      <c r="C538" s="561"/>
      <c r="D538" s="561"/>
      <c r="E538" s="569" t="s">
        <v>36</v>
      </c>
      <c r="F538" s="561"/>
      <c r="G538" s="563"/>
      <c r="H538" s="685" t="s">
        <v>14</v>
      </c>
      <c r="I538" s="683"/>
      <c r="J538" s="683"/>
      <c r="K538" s="684"/>
      <c r="L538" s="571">
        <v>0</v>
      </c>
      <c r="M538" s="572">
        <v>0</v>
      </c>
      <c r="N538" s="572">
        <v>0</v>
      </c>
      <c r="O538" s="572">
        <f t="shared" si="331"/>
        <v>0</v>
      </c>
      <c r="P538" s="572">
        <f t="shared" si="332"/>
        <v>0</v>
      </c>
      <c r="Q538" s="572">
        <v>0</v>
      </c>
      <c r="R538" s="572">
        <v>0</v>
      </c>
      <c r="S538" s="572">
        <v>0</v>
      </c>
      <c r="T538" s="572">
        <f t="shared" si="334"/>
        <v>0</v>
      </c>
      <c r="U538" s="572">
        <f t="shared" si="335"/>
        <v>0</v>
      </c>
    </row>
    <row r="539" spans="1:21" ht="18.75" hidden="1" x14ac:dyDescent="0.25">
      <c r="A539" s="674"/>
      <c r="B539" s="561"/>
      <c r="C539" s="561"/>
      <c r="D539" s="561"/>
      <c r="E539" s="573" t="s">
        <v>37</v>
      </c>
      <c r="F539" s="561"/>
      <c r="G539" s="563"/>
      <c r="H539" s="682" t="s">
        <v>14</v>
      </c>
      <c r="I539" s="683"/>
      <c r="J539" s="683"/>
      <c r="K539" s="684"/>
      <c r="L539" s="567">
        <f ca="1">IFERROR(__xludf.DUMMYFUNCTION("IMPORTRANGE(""https://docs.google.com/spreadsheets/d/1-uDff_7J0KD5mKrp0Vvzr7lt3OU09vwQwhkpOPPYv2Y/edit?usp=sharing"",""งบพรบ!FW18"")"),0)</f>
        <v>0</v>
      </c>
      <c r="M539" s="568">
        <f ca="1">IFERROR(__xludf.DUMMYFUNCTION("IMPORTRANGE(""https://docs.google.com/spreadsheets/d/1-uDff_7J0KD5mKrp0Vvzr7lt3OU09vwQwhkpOPPYv2Y/edit?usp=sharing"",""งบพรบ!GB18"")"),0)</f>
        <v>0</v>
      </c>
      <c r="N539" s="568">
        <f ca="1">IFERROR(__xludf.DUMMYFUNCTION("IMPORTRANGE(""https://docs.google.com/spreadsheets/d/1-uDff_7J0KD5mKrp0Vvzr7lt3OU09vwQwhkpOPPYv2Y/edit?usp=sharing"",""งบพรบ!GD18"")"),0)</f>
        <v>0</v>
      </c>
      <c r="O539" s="568">
        <f t="shared" ca="1" si="331"/>
        <v>0</v>
      </c>
      <c r="P539" s="568">
        <f t="shared" ca="1" si="332"/>
        <v>0</v>
      </c>
      <c r="Q539" s="568">
        <v>0</v>
      </c>
      <c r="R539" s="568">
        <v>0</v>
      </c>
      <c r="S539" s="568">
        <v>0</v>
      </c>
      <c r="T539" s="568">
        <f t="shared" si="334"/>
        <v>0</v>
      </c>
      <c r="U539" s="568">
        <f t="shared" si="335"/>
        <v>0</v>
      </c>
    </row>
    <row r="540" spans="1:21" ht="18.75" hidden="1" x14ac:dyDescent="0.25">
      <c r="A540" s="674"/>
      <c r="B540" s="561"/>
      <c r="C540" s="561"/>
      <c r="D540" s="562" t="s">
        <v>23</v>
      </c>
      <c r="E540" s="561"/>
      <c r="F540" s="561"/>
      <c r="G540" s="563"/>
      <c r="H540" s="686" t="s">
        <v>14</v>
      </c>
      <c r="I540" s="683"/>
      <c r="J540" s="683"/>
      <c r="K540" s="684"/>
      <c r="L540" s="567">
        <f t="shared" ref="L540:N540" ca="1" si="340">L541+L542</f>
        <v>0</v>
      </c>
      <c r="M540" s="568">
        <f t="shared" ca="1" si="340"/>
        <v>0</v>
      </c>
      <c r="N540" s="568">
        <f t="shared" ca="1" si="340"/>
        <v>0</v>
      </c>
      <c r="O540" s="568">
        <f t="shared" ca="1" si="331"/>
        <v>0</v>
      </c>
      <c r="P540" s="568">
        <f t="shared" ca="1" si="332"/>
        <v>0</v>
      </c>
      <c r="Q540" s="568">
        <f t="shared" ref="Q540:S540" si="341">Q541+Q542</f>
        <v>0</v>
      </c>
      <c r="R540" s="568">
        <f t="shared" si="341"/>
        <v>0</v>
      </c>
      <c r="S540" s="568">
        <f t="shared" si="341"/>
        <v>0</v>
      </c>
      <c r="T540" s="568">
        <f t="shared" si="334"/>
        <v>0</v>
      </c>
      <c r="U540" s="568">
        <f t="shared" si="335"/>
        <v>0</v>
      </c>
    </row>
    <row r="541" spans="1:21" ht="18.75" hidden="1" x14ac:dyDescent="0.25">
      <c r="A541" s="674"/>
      <c r="B541" s="561"/>
      <c r="C541" s="561"/>
      <c r="D541" s="561"/>
      <c r="E541" s="569" t="s">
        <v>20</v>
      </c>
      <c r="F541" s="561"/>
      <c r="G541" s="563"/>
      <c r="H541" s="685" t="s">
        <v>14</v>
      </c>
      <c r="I541" s="683"/>
      <c r="J541" s="683"/>
      <c r="K541" s="684"/>
      <c r="L541" s="571">
        <v>0</v>
      </c>
      <c r="M541" s="572">
        <v>0</v>
      </c>
      <c r="N541" s="572">
        <v>0</v>
      </c>
      <c r="O541" s="572">
        <f t="shared" si="331"/>
        <v>0</v>
      </c>
      <c r="P541" s="572">
        <f t="shared" si="332"/>
        <v>0</v>
      </c>
      <c r="Q541" s="572">
        <v>0</v>
      </c>
      <c r="R541" s="572">
        <v>0</v>
      </c>
      <c r="S541" s="572">
        <v>0</v>
      </c>
      <c r="T541" s="572">
        <f t="shared" si="334"/>
        <v>0</v>
      </c>
      <c r="U541" s="572">
        <f t="shared" si="335"/>
        <v>0</v>
      </c>
    </row>
    <row r="542" spans="1:21" ht="18.75" hidden="1" x14ac:dyDescent="0.25">
      <c r="A542" s="674"/>
      <c r="B542" s="561"/>
      <c r="C542" s="561"/>
      <c r="D542" s="561"/>
      <c r="E542" s="573" t="s">
        <v>21</v>
      </c>
      <c r="F542" s="561"/>
      <c r="G542" s="563"/>
      <c r="H542" s="686" t="s">
        <v>14</v>
      </c>
      <c r="I542" s="683"/>
      <c r="J542" s="683"/>
      <c r="K542" s="684"/>
      <c r="L542" s="567">
        <f ca="1">IFERROR(__xludf.DUMMYFUNCTION("IMPORTRANGE(""https://docs.google.com/spreadsheets/d/1-uDff_7J0KD5mKrp0Vvzr7lt3OU09vwQwhkpOPPYv2Y/edit?usp=sharing"",""งบพรบ!FZ18"")"),0)</f>
        <v>0</v>
      </c>
      <c r="M542" s="568">
        <f ca="1">IFERROR(__xludf.DUMMYFUNCTION("IMPORTRANGE(""https://docs.google.com/spreadsheets/d/1-uDff_7J0KD5mKrp0Vvzr7lt3OU09vwQwhkpOPPYv2Y/edit?usp=sharing"",""งบพรบ!GC18"")"),0)</f>
        <v>0</v>
      </c>
      <c r="N542" s="568">
        <f ca="1">IFERROR(__xludf.DUMMYFUNCTION("IMPORTRANGE(""https://docs.google.com/spreadsheets/d/1-uDff_7J0KD5mKrp0Vvzr7lt3OU09vwQwhkpOPPYv2Y/edit?usp=sharing"",""งบพรบ!GE18"")"),0)</f>
        <v>0</v>
      </c>
      <c r="O542" s="568">
        <f t="shared" ca="1" si="331"/>
        <v>0</v>
      </c>
      <c r="P542" s="568">
        <f t="shared" ca="1" si="332"/>
        <v>0</v>
      </c>
      <c r="Q542" s="568">
        <v>0</v>
      </c>
      <c r="R542" s="568">
        <v>0</v>
      </c>
      <c r="S542" s="568">
        <v>0</v>
      </c>
      <c r="T542" s="568">
        <f t="shared" si="334"/>
        <v>0</v>
      </c>
      <c r="U542" s="568">
        <f t="shared" si="335"/>
        <v>0</v>
      </c>
    </row>
    <row r="543" spans="1:21" ht="19.5" hidden="1" x14ac:dyDescent="0.3">
      <c r="A543" s="687"/>
      <c r="B543" s="688"/>
      <c r="C543" s="1034" t="s">
        <v>18</v>
      </c>
      <c r="D543" s="689" t="s">
        <v>38</v>
      </c>
      <c r="E543" s="690"/>
      <c r="F543" s="690"/>
      <c r="G543" s="691"/>
      <c r="H543" s="692"/>
      <c r="I543" s="683"/>
      <c r="J543" s="565"/>
      <c r="K543" s="566"/>
      <c r="L543" s="574"/>
      <c r="M543" s="566"/>
      <c r="N543" s="566"/>
      <c r="O543" s="684"/>
      <c r="P543" s="684"/>
      <c r="Q543" s="566"/>
      <c r="R543" s="566"/>
      <c r="S543" s="566"/>
      <c r="T543" s="684"/>
      <c r="U543" s="684"/>
    </row>
    <row r="544" spans="1:21" ht="12.75" hidden="1" x14ac:dyDescent="0.2">
      <c r="A544" s="973"/>
      <c r="B544" s="974"/>
      <c r="C544" s="961"/>
      <c r="D544" s="974"/>
      <c r="E544" s="961"/>
      <c r="F544" s="974"/>
      <c r="G544" s="975"/>
      <c r="H544" s="975"/>
      <c r="I544" s="963"/>
      <c r="J544" s="963"/>
      <c r="K544" s="964"/>
      <c r="L544" s="965"/>
      <c r="M544" s="964"/>
      <c r="N544" s="964"/>
      <c r="O544" s="964"/>
      <c r="P544" s="964"/>
      <c r="Q544" s="964"/>
      <c r="R544" s="964"/>
      <c r="S544" s="964"/>
      <c r="T544" s="964"/>
      <c r="U544" s="964"/>
    </row>
    <row r="545" spans="1:21" ht="12.75" hidden="1" x14ac:dyDescent="0.2">
      <c r="A545" s="973"/>
      <c r="B545" s="974"/>
      <c r="C545" s="961"/>
      <c r="D545" s="974"/>
      <c r="E545" s="961"/>
      <c r="F545" s="974"/>
      <c r="G545" s="975"/>
      <c r="H545" s="975"/>
      <c r="I545" s="963"/>
      <c r="J545" s="963"/>
      <c r="K545" s="964"/>
      <c r="L545" s="965"/>
      <c r="M545" s="964"/>
      <c r="N545" s="964"/>
      <c r="O545" s="964"/>
      <c r="P545" s="964"/>
      <c r="Q545" s="964"/>
      <c r="R545" s="964"/>
      <c r="S545" s="964"/>
      <c r="T545" s="964"/>
      <c r="U545" s="964"/>
    </row>
    <row r="546" spans="1:21" ht="12.75" hidden="1" x14ac:dyDescent="0.2">
      <c r="A546" s="973"/>
      <c r="B546" s="961"/>
      <c r="C546" s="961"/>
      <c r="D546" s="974"/>
      <c r="E546" s="974"/>
      <c r="F546" s="974"/>
      <c r="G546" s="975"/>
      <c r="H546" s="962"/>
      <c r="I546" s="963"/>
      <c r="J546" s="963"/>
      <c r="K546" s="964"/>
      <c r="L546" s="965"/>
      <c r="M546" s="964"/>
      <c r="N546" s="964"/>
      <c r="O546" s="964"/>
      <c r="P546" s="964"/>
      <c r="Q546" s="964"/>
      <c r="R546" s="964"/>
      <c r="S546" s="964"/>
      <c r="T546" s="964"/>
      <c r="U546" s="964"/>
    </row>
    <row r="547" spans="1:21" ht="12.75" hidden="1" x14ac:dyDescent="0.2">
      <c r="A547" s="973"/>
      <c r="B547" s="961"/>
      <c r="C547" s="961"/>
      <c r="D547" s="974"/>
      <c r="E547" s="974"/>
      <c r="F547" s="974"/>
      <c r="G547" s="975"/>
      <c r="H547" s="962"/>
      <c r="I547" s="963"/>
      <c r="J547" s="963"/>
      <c r="K547" s="964"/>
      <c r="L547" s="965"/>
      <c r="M547" s="964"/>
      <c r="N547" s="964"/>
      <c r="O547" s="964"/>
      <c r="P547" s="964"/>
      <c r="Q547" s="964"/>
      <c r="R547" s="964"/>
      <c r="S547" s="964"/>
      <c r="T547" s="964"/>
      <c r="U547" s="964"/>
    </row>
    <row r="548" spans="1:21" ht="12.75" hidden="1" x14ac:dyDescent="0.2">
      <c r="A548" s="973"/>
      <c r="B548" s="961"/>
      <c r="C548" s="961"/>
      <c r="D548" s="974"/>
      <c r="E548" s="974"/>
      <c r="F548" s="974"/>
      <c r="G548" s="975"/>
      <c r="H548" s="962"/>
      <c r="I548" s="963"/>
      <c r="J548" s="963"/>
      <c r="K548" s="964"/>
      <c r="L548" s="965"/>
      <c r="M548" s="964"/>
      <c r="N548" s="964"/>
      <c r="O548" s="964"/>
      <c r="P548" s="964"/>
      <c r="Q548" s="964"/>
      <c r="R548" s="964"/>
      <c r="S548" s="964"/>
      <c r="T548" s="964"/>
      <c r="U548" s="964"/>
    </row>
    <row r="549" spans="1:21" ht="12.75" hidden="1" x14ac:dyDescent="0.2">
      <c r="A549" s="973"/>
      <c r="B549" s="961"/>
      <c r="C549" s="961"/>
      <c r="D549" s="974"/>
      <c r="E549" s="974"/>
      <c r="F549" s="974"/>
      <c r="G549" s="975"/>
      <c r="H549" s="962"/>
      <c r="I549" s="963"/>
      <c r="J549" s="963"/>
      <c r="K549" s="964"/>
      <c r="L549" s="965"/>
      <c r="M549" s="964"/>
      <c r="N549" s="964"/>
      <c r="O549" s="964"/>
      <c r="P549" s="964"/>
      <c r="Q549" s="964"/>
      <c r="R549" s="964"/>
      <c r="S549" s="964"/>
      <c r="T549" s="964"/>
      <c r="U549" s="964"/>
    </row>
    <row r="550" spans="1:21" ht="12.75" hidden="1" x14ac:dyDescent="0.2">
      <c r="A550" s="973"/>
      <c r="B550" s="961"/>
      <c r="C550" s="961"/>
      <c r="D550" s="974"/>
      <c r="E550" s="974"/>
      <c r="F550" s="974"/>
      <c r="G550" s="975"/>
      <c r="H550" s="962"/>
      <c r="I550" s="963"/>
      <c r="J550" s="963"/>
      <c r="K550" s="964"/>
      <c r="L550" s="965"/>
      <c r="M550" s="964"/>
      <c r="N550" s="964"/>
      <c r="O550" s="964"/>
      <c r="P550" s="964"/>
      <c r="Q550" s="964"/>
      <c r="R550" s="964"/>
      <c r="S550" s="964"/>
      <c r="T550" s="964"/>
      <c r="U550" s="964"/>
    </row>
    <row r="551" spans="1:21" ht="12.75" hidden="1" x14ac:dyDescent="0.2">
      <c r="A551" s="973"/>
      <c r="B551" s="961"/>
      <c r="C551" s="961"/>
      <c r="D551" s="974"/>
      <c r="E551" s="974"/>
      <c r="F551" s="974"/>
      <c r="G551" s="975"/>
      <c r="H551" s="962"/>
      <c r="I551" s="963"/>
      <c r="J551" s="963"/>
      <c r="K551" s="964"/>
      <c r="L551" s="965"/>
      <c r="M551" s="964"/>
      <c r="N551" s="964"/>
      <c r="O551" s="964"/>
      <c r="P551" s="964"/>
      <c r="Q551" s="964"/>
      <c r="R551" s="964"/>
      <c r="S551" s="964"/>
      <c r="T551" s="964"/>
      <c r="U551" s="964"/>
    </row>
    <row r="552" spans="1:21" ht="12.75" hidden="1" x14ac:dyDescent="0.2">
      <c r="A552" s="973"/>
      <c r="B552" s="961"/>
      <c r="C552" s="961"/>
      <c r="D552" s="974"/>
      <c r="E552" s="974"/>
      <c r="F552" s="974"/>
      <c r="G552" s="975"/>
      <c r="H552" s="962"/>
      <c r="I552" s="963"/>
      <c r="J552" s="963"/>
      <c r="K552" s="964"/>
      <c r="L552" s="965"/>
      <c r="M552" s="964"/>
      <c r="N552" s="964"/>
      <c r="O552" s="964"/>
      <c r="P552" s="964"/>
      <c r="Q552" s="964"/>
      <c r="R552" s="964"/>
      <c r="S552" s="964"/>
      <c r="T552" s="964"/>
      <c r="U552" s="964"/>
    </row>
    <row r="553" spans="1:21" ht="12.75" hidden="1" x14ac:dyDescent="0.2">
      <c r="A553" s="1027"/>
      <c r="B553" s="966"/>
      <c r="C553" s="966"/>
      <c r="D553" s="1028"/>
      <c r="E553" s="1028"/>
      <c r="F553" s="1028"/>
      <c r="G553" s="1029"/>
      <c r="H553" s="967"/>
      <c r="I553" s="968"/>
      <c r="J553" s="968"/>
      <c r="K553" s="969"/>
      <c r="L553" s="970"/>
      <c r="M553" s="969"/>
      <c r="N553" s="969"/>
      <c r="O553" s="969"/>
      <c r="P553" s="969"/>
      <c r="Q553" s="969"/>
      <c r="R553" s="969"/>
      <c r="S553" s="969"/>
      <c r="T553" s="969"/>
      <c r="U553" s="969"/>
    </row>
    <row r="554" spans="1:21" ht="19.5" hidden="1" x14ac:dyDescent="0.3">
      <c r="A554" s="1006"/>
      <c r="B554" s="1030" t="s">
        <v>211</v>
      </c>
      <c r="C554" s="1008"/>
      <c r="D554" s="1009"/>
      <c r="E554" s="1009"/>
      <c r="F554" s="1009"/>
      <c r="G554" s="1010"/>
      <c r="H554" s="1031" t="s">
        <v>61</v>
      </c>
      <c r="I554" s="1032">
        <f t="shared" ref="I554:J554" si="342">I566</f>
        <v>0</v>
      </c>
      <c r="J554" s="1032">
        <f t="shared" si="342"/>
        <v>0</v>
      </c>
      <c r="K554" s="1033">
        <f>IF(I554&gt;0,J554*100/I554,0)</f>
        <v>0</v>
      </c>
      <c r="L554" s="1014"/>
      <c r="M554" s="1015"/>
      <c r="N554" s="1015"/>
      <c r="O554" s="1015"/>
      <c r="P554" s="1015"/>
      <c r="Q554" s="1015"/>
      <c r="R554" s="1015"/>
      <c r="S554" s="1015"/>
      <c r="T554" s="1015"/>
      <c r="U554" s="1015"/>
    </row>
    <row r="555" spans="1:21" ht="19.5" hidden="1" x14ac:dyDescent="0.3">
      <c r="A555" s="674"/>
      <c r="B555" s="561"/>
      <c r="C555" s="675" t="s">
        <v>18</v>
      </c>
      <c r="D555" s="676" t="s">
        <v>19</v>
      </c>
      <c r="E555" s="561"/>
      <c r="F555" s="561"/>
      <c r="G555" s="563"/>
      <c r="H555" s="677" t="s">
        <v>14</v>
      </c>
      <c r="I555" s="565"/>
      <c r="J555" s="565"/>
      <c r="K555" s="566"/>
      <c r="L555" s="678">
        <f t="shared" ref="L555:N555" ca="1" si="343">L556+L557</f>
        <v>0</v>
      </c>
      <c r="M555" s="679">
        <f t="shared" ca="1" si="343"/>
        <v>0</v>
      </c>
      <c r="N555" s="679">
        <f t="shared" ca="1" si="343"/>
        <v>0</v>
      </c>
      <c r="O555" s="679">
        <f t="shared" ref="O555:O563" ca="1" si="344">IF(L555&gt;0,N555*100/L555,0)</f>
        <v>0</v>
      </c>
      <c r="P555" s="679">
        <f t="shared" ref="P555:P563" ca="1" si="345">IF(M555&gt;0,N555*100/M555,0)</f>
        <v>0</v>
      </c>
      <c r="Q555" s="679">
        <f t="shared" ref="Q555:S555" si="346">Q556+Q557</f>
        <v>0</v>
      </c>
      <c r="R555" s="679">
        <f t="shared" si="346"/>
        <v>0</v>
      </c>
      <c r="S555" s="679">
        <f t="shared" si="346"/>
        <v>0</v>
      </c>
      <c r="T555" s="679">
        <f t="shared" ref="T555:T563" si="347">IF(Q555&gt;0,S555*100/Q555,0)</f>
        <v>0</v>
      </c>
      <c r="U555" s="679">
        <f t="shared" ref="U555:U563" si="348">IF(R555&gt;0,S555*100/R555,0)</f>
        <v>0</v>
      </c>
    </row>
    <row r="556" spans="1:21" ht="18.75" hidden="1" x14ac:dyDescent="0.25">
      <c r="A556" s="674"/>
      <c r="B556" s="718"/>
      <c r="C556" s="561"/>
      <c r="D556" s="561"/>
      <c r="E556" s="569" t="s">
        <v>20</v>
      </c>
      <c r="F556" s="561"/>
      <c r="G556" s="563"/>
      <c r="H556" s="680" t="s">
        <v>14</v>
      </c>
      <c r="I556" s="565"/>
      <c r="J556" s="565"/>
      <c r="K556" s="566"/>
      <c r="L556" s="571">
        <f t="shared" ref="L556:N557" si="349">L559+L562</f>
        <v>0</v>
      </c>
      <c r="M556" s="572">
        <f t="shared" si="349"/>
        <v>0</v>
      </c>
      <c r="N556" s="572">
        <f t="shared" si="349"/>
        <v>0</v>
      </c>
      <c r="O556" s="572">
        <f t="shared" si="344"/>
        <v>0</v>
      </c>
      <c r="P556" s="572">
        <f t="shared" si="345"/>
        <v>0</v>
      </c>
      <c r="Q556" s="572">
        <f t="shared" ref="Q556:S557" si="350">Q559+Q562</f>
        <v>0</v>
      </c>
      <c r="R556" s="572">
        <f t="shared" si="350"/>
        <v>0</v>
      </c>
      <c r="S556" s="572">
        <f t="shared" si="350"/>
        <v>0</v>
      </c>
      <c r="T556" s="572">
        <f t="shared" si="347"/>
        <v>0</v>
      </c>
      <c r="U556" s="572">
        <f t="shared" si="348"/>
        <v>0</v>
      </c>
    </row>
    <row r="557" spans="1:21" ht="18.75" hidden="1" x14ac:dyDescent="0.25">
      <c r="A557" s="674"/>
      <c r="B557" s="561"/>
      <c r="C557" s="718"/>
      <c r="D557" s="561"/>
      <c r="E557" s="765" t="s">
        <v>21</v>
      </c>
      <c r="F557" s="561"/>
      <c r="G557" s="563"/>
      <c r="H557" s="681" t="s">
        <v>14</v>
      </c>
      <c r="I557" s="565"/>
      <c r="J557" s="565"/>
      <c r="K557" s="566"/>
      <c r="L557" s="567">
        <f t="shared" ca="1" si="349"/>
        <v>0</v>
      </c>
      <c r="M557" s="568">
        <f t="shared" ca="1" si="349"/>
        <v>0</v>
      </c>
      <c r="N557" s="568">
        <f t="shared" ca="1" si="349"/>
        <v>0</v>
      </c>
      <c r="O557" s="568">
        <f t="shared" ca="1" si="344"/>
        <v>0</v>
      </c>
      <c r="P557" s="568">
        <f t="shared" ca="1" si="345"/>
        <v>0</v>
      </c>
      <c r="Q557" s="568">
        <f t="shared" si="350"/>
        <v>0</v>
      </c>
      <c r="R557" s="568">
        <f t="shared" si="350"/>
        <v>0</v>
      </c>
      <c r="S557" s="568">
        <f t="shared" si="350"/>
        <v>0</v>
      </c>
      <c r="T557" s="568">
        <f t="shared" si="347"/>
        <v>0</v>
      </c>
      <c r="U557" s="568">
        <f t="shared" si="348"/>
        <v>0</v>
      </c>
    </row>
    <row r="558" spans="1:21" ht="18.75" hidden="1" x14ac:dyDescent="0.25">
      <c r="A558" s="674"/>
      <c r="B558" s="561"/>
      <c r="C558" s="718"/>
      <c r="D558" s="562" t="s">
        <v>22</v>
      </c>
      <c r="E558" s="718"/>
      <c r="F558" s="561"/>
      <c r="G558" s="563"/>
      <c r="H558" s="682" t="s">
        <v>14</v>
      </c>
      <c r="I558" s="683"/>
      <c r="J558" s="683"/>
      <c r="K558" s="684"/>
      <c r="L558" s="567">
        <f t="shared" ref="L558:N558" ca="1" si="351">L559+L560</f>
        <v>0</v>
      </c>
      <c r="M558" s="568">
        <f t="shared" ca="1" si="351"/>
        <v>0</v>
      </c>
      <c r="N558" s="568">
        <f t="shared" ca="1" si="351"/>
        <v>0</v>
      </c>
      <c r="O558" s="568">
        <f t="shared" ca="1" si="344"/>
        <v>0</v>
      </c>
      <c r="P558" s="568">
        <f t="shared" ca="1" si="345"/>
        <v>0</v>
      </c>
      <c r="Q558" s="568">
        <f t="shared" ref="Q558:S558" si="352">Q559+Q560</f>
        <v>0</v>
      </c>
      <c r="R558" s="568">
        <f t="shared" si="352"/>
        <v>0</v>
      </c>
      <c r="S558" s="568">
        <f t="shared" si="352"/>
        <v>0</v>
      </c>
      <c r="T558" s="568">
        <f t="shared" si="347"/>
        <v>0</v>
      </c>
      <c r="U558" s="568">
        <f t="shared" si="348"/>
        <v>0</v>
      </c>
    </row>
    <row r="559" spans="1:21" ht="18.75" hidden="1" x14ac:dyDescent="0.25">
      <c r="A559" s="674"/>
      <c r="B559" s="561"/>
      <c r="C559" s="561"/>
      <c r="D559" s="561"/>
      <c r="E559" s="569" t="s">
        <v>36</v>
      </c>
      <c r="F559" s="561"/>
      <c r="G559" s="563"/>
      <c r="H559" s="685" t="s">
        <v>14</v>
      </c>
      <c r="I559" s="683"/>
      <c r="J559" s="683"/>
      <c r="K559" s="684"/>
      <c r="L559" s="571">
        <v>0</v>
      </c>
      <c r="M559" s="572">
        <v>0</v>
      </c>
      <c r="N559" s="572">
        <v>0</v>
      </c>
      <c r="O559" s="572">
        <f t="shared" si="344"/>
        <v>0</v>
      </c>
      <c r="P559" s="572">
        <f t="shared" si="345"/>
        <v>0</v>
      </c>
      <c r="Q559" s="572">
        <v>0</v>
      </c>
      <c r="R559" s="572">
        <v>0</v>
      </c>
      <c r="S559" s="572">
        <v>0</v>
      </c>
      <c r="T559" s="572">
        <f t="shared" si="347"/>
        <v>0</v>
      </c>
      <c r="U559" s="572">
        <f t="shared" si="348"/>
        <v>0</v>
      </c>
    </row>
    <row r="560" spans="1:21" ht="18.75" hidden="1" x14ac:dyDescent="0.25">
      <c r="A560" s="674"/>
      <c r="B560" s="561"/>
      <c r="C560" s="561"/>
      <c r="D560" s="561"/>
      <c r="E560" s="573" t="s">
        <v>37</v>
      </c>
      <c r="F560" s="561"/>
      <c r="G560" s="563"/>
      <c r="H560" s="682" t="s">
        <v>14</v>
      </c>
      <c r="I560" s="683"/>
      <c r="J560" s="683"/>
      <c r="K560" s="684"/>
      <c r="L560" s="567">
        <f ca="1">IFERROR(__xludf.DUMMYFUNCTION("IMPORTRANGE(""https://docs.google.com/spreadsheets/d/1-uDff_7J0KD5mKrp0Vvzr7lt3OU09vwQwhkpOPPYv2Y/edit?usp=sharing"",""งบพรบ!GG18"")"),0)</f>
        <v>0</v>
      </c>
      <c r="M560" s="568">
        <f ca="1">IFERROR(__xludf.DUMMYFUNCTION("IMPORTRANGE(""https://docs.google.com/spreadsheets/d/1-uDff_7J0KD5mKrp0Vvzr7lt3OU09vwQwhkpOPPYv2Y/edit?usp=sharing"",""งบพรบ!GL18"")"),0)</f>
        <v>0</v>
      </c>
      <c r="N560" s="568">
        <f ca="1">IFERROR(__xludf.DUMMYFUNCTION("IMPORTRANGE(""https://docs.google.com/spreadsheets/d/1-uDff_7J0KD5mKrp0Vvzr7lt3OU09vwQwhkpOPPYv2Y/edit?usp=sharing"",""งบพรบ!GN18"")"),0)</f>
        <v>0</v>
      </c>
      <c r="O560" s="568">
        <f t="shared" ca="1" si="344"/>
        <v>0</v>
      </c>
      <c r="P560" s="568">
        <f t="shared" ca="1" si="345"/>
        <v>0</v>
      </c>
      <c r="Q560" s="568">
        <v>0</v>
      </c>
      <c r="R560" s="568">
        <v>0</v>
      </c>
      <c r="S560" s="568">
        <v>0</v>
      </c>
      <c r="T560" s="568">
        <f t="shared" si="347"/>
        <v>0</v>
      </c>
      <c r="U560" s="568">
        <f t="shared" si="348"/>
        <v>0</v>
      </c>
    </row>
    <row r="561" spans="1:21" ht="18.75" hidden="1" x14ac:dyDescent="0.25">
      <c r="A561" s="674"/>
      <c r="B561" s="561"/>
      <c r="C561" s="561"/>
      <c r="D561" s="562" t="s">
        <v>23</v>
      </c>
      <c r="E561" s="561"/>
      <c r="F561" s="561"/>
      <c r="G561" s="563"/>
      <c r="H561" s="686" t="s">
        <v>14</v>
      </c>
      <c r="I561" s="683"/>
      <c r="J561" s="683"/>
      <c r="K561" s="684"/>
      <c r="L561" s="567">
        <f t="shared" ref="L561:N561" ca="1" si="353">L562+L563</f>
        <v>0</v>
      </c>
      <c r="M561" s="568">
        <f t="shared" ca="1" si="353"/>
        <v>0</v>
      </c>
      <c r="N561" s="568">
        <f t="shared" ca="1" si="353"/>
        <v>0</v>
      </c>
      <c r="O561" s="568">
        <f t="shared" ca="1" si="344"/>
        <v>0</v>
      </c>
      <c r="P561" s="568">
        <f t="shared" ca="1" si="345"/>
        <v>0</v>
      </c>
      <c r="Q561" s="568">
        <f t="shared" ref="Q561:S561" si="354">Q562+Q563</f>
        <v>0</v>
      </c>
      <c r="R561" s="568">
        <f t="shared" si="354"/>
        <v>0</v>
      </c>
      <c r="S561" s="568">
        <f t="shared" si="354"/>
        <v>0</v>
      </c>
      <c r="T561" s="568">
        <f t="shared" si="347"/>
        <v>0</v>
      </c>
      <c r="U561" s="568">
        <f t="shared" si="348"/>
        <v>0</v>
      </c>
    </row>
    <row r="562" spans="1:21" ht="18.75" hidden="1" x14ac:dyDescent="0.25">
      <c r="A562" s="674"/>
      <c r="B562" s="561"/>
      <c r="C562" s="561"/>
      <c r="D562" s="561"/>
      <c r="E562" s="569" t="s">
        <v>20</v>
      </c>
      <c r="F562" s="561"/>
      <c r="G562" s="563"/>
      <c r="H562" s="685" t="s">
        <v>14</v>
      </c>
      <c r="I562" s="683"/>
      <c r="J562" s="683"/>
      <c r="K562" s="684"/>
      <c r="L562" s="571">
        <v>0</v>
      </c>
      <c r="M562" s="572">
        <v>0</v>
      </c>
      <c r="N562" s="572">
        <v>0</v>
      </c>
      <c r="O562" s="572">
        <f t="shared" si="344"/>
        <v>0</v>
      </c>
      <c r="P562" s="572">
        <f t="shared" si="345"/>
        <v>0</v>
      </c>
      <c r="Q562" s="572">
        <v>0</v>
      </c>
      <c r="R562" s="572">
        <v>0</v>
      </c>
      <c r="S562" s="572">
        <v>0</v>
      </c>
      <c r="T562" s="572">
        <f t="shared" si="347"/>
        <v>0</v>
      </c>
      <c r="U562" s="572">
        <f t="shared" si="348"/>
        <v>0</v>
      </c>
    </row>
    <row r="563" spans="1:21" ht="18.75" hidden="1" x14ac:dyDescent="0.25">
      <c r="A563" s="674"/>
      <c r="B563" s="561"/>
      <c r="C563" s="561"/>
      <c r="D563" s="561"/>
      <c r="E563" s="573" t="s">
        <v>21</v>
      </c>
      <c r="F563" s="561"/>
      <c r="G563" s="563"/>
      <c r="H563" s="686" t="s">
        <v>14</v>
      </c>
      <c r="I563" s="683"/>
      <c r="J563" s="683"/>
      <c r="K563" s="684"/>
      <c r="L563" s="567">
        <f ca="1">IFERROR(__xludf.DUMMYFUNCTION("IMPORTRANGE(""https://docs.google.com/spreadsheets/d/1-uDff_7J0KD5mKrp0Vvzr7lt3OU09vwQwhkpOPPYv2Y/edit?usp=sharing"",""งบพรบ!GJ18"")"),0)</f>
        <v>0</v>
      </c>
      <c r="M563" s="568">
        <f ca="1">IFERROR(__xludf.DUMMYFUNCTION("IMPORTRANGE(""https://docs.google.com/spreadsheets/d/1-uDff_7J0KD5mKrp0Vvzr7lt3OU09vwQwhkpOPPYv2Y/edit?usp=sharing"",""งบพรบ!GM18"")"),0)</f>
        <v>0</v>
      </c>
      <c r="N563" s="568">
        <f ca="1">IFERROR(__xludf.DUMMYFUNCTION("IMPORTRANGE(""https://docs.google.com/spreadsheets/d/1-uDff_7J0KD5mKrp0Vvzr7lt3OU09vwQwhkpOPPYv2Y/edit?usp=sharing"",""งบพรบ!GO18"")"),0)</f>
        <v>0</v>
      </c>
      <c r="O563" s="568">
        <f t="shared" ca="1" si="344"/>
        <v>0</v>
      </c>
      <c r="P563" s="568">
        <f t="shared" ca="1" si="345"/>
        <v>0</v>
      </c>
      <c r="Q563" s="568">
        <v>0</v>
      </c>
      <c r="R563" s="568">
        <v>0</v>
      </c>
      <c r="S563" s="568">
        <v>0</v>
      </c>
      <c r="T563" s="568">
        <f t="shared" si="347"/>
        <v>0</v>
      </c>
      <c r="U563" s="568">
        <f t="shared" si="348"/>
        <v>0</v>
      </c>
    </row>
    <row r="564" spans="1:21" ht="19.5" hidden="1" x14ac:dyDescent="0.3">
      <c r="A564" s="687"/>
      <c r="B564" s="688"/>
      <c r="C564" s="1034" t="s">
        <v>18</v>
      </c>
      <c r="D564" s="689" t="s">
        <v>38</v>
      </c>
      <c r="E564" s="690"/>
      <c r="F564" s="690"/>
      <c r="G564" s="691"/>
      <c r="H564" s="692"/>
      <c r="I564" s="683"/>
      <c r="J564" s="565"/>
      <c r="K564" s="566"/>
      <c r="L564" s="574"/>
      <c r="M564" s="566"/>
      <c r="N564" s="566"/>
      <c r="O564" s="684"/>
      <c r="P564" s="684"/>
      <c r="Q564" s="566"/>
      <c r="R564" s="566"/>
      <c r="S564" s="566"/>
      <c r="T564" s="684"/>
      <c r="U564" s="684"/>
    </row>
    <row r="565" spans="1:21" ht="12.75" hidden="1" x14ac:dyDescent="0.2">
      <c r="A565" s="973"/>
      <c r="B565" s="974"/>
      <c r="C565" s="961"/>
      <c r="D565" s="974"/>
      <c r="E565" s="961"/>
      <c r="F565" s="974"/>
      <c r="G565" s="975"/>
      <c r="H565" s="975"/>
      <c r="I565" s="963"/>
      <c r="J565" s="963"/>
      <c r="K565" s="964"/>
      <c r="L565" s="965"/>
      <c r="M565" s="964"/>
      <c r="N565" s="964"/>
      <c r="O565" s="964"/>
      <c r="P565" s="964"/>
      <c r="Q565" s="964"/>
      <c r="R565" s="964"/>
      <c r="S565" s="964"/>
      <c r="T565" s="964"/>
      <c r="U565" s="964"/>
    </row>
    <row r="566" spans="1:21" ht="12.75" hidden="1" x14ac:dyDescent="0.2">
      <c r="A566" s="973"/>
      <c r="B566" s="974"/>
      <c r="C566" s="961"/>
      <c r="D566" s="974"/>
      <c r="E566" s="961"/>
      <c r="F566" s="974"/>
      <c r="G566" s="975"/>
      <c r="H566" s="975"/>
      <c r="I566" s="963"/>
      <c r="J566" s="963"/>
      <c r="K566" s="964"/>
      <c r="L566" s="965"/>
      <c r="M566" s="964"/>
      <c r="N566" s="964"/>
      <c r="O566" s="964"/>
      <c r="P566" s="964"/>
      <c r="Q566" s="964"/>
      <c r="R566" s="964"/>
      <c r="S566" s="964"/>
      <c r="T566" s="964"/>
      <c r="U566" s="964"/>
    </row>
    <row r="567" spans="1:21" ht="12.75" hidden="1" x14ac:dyDescent="0.2">
      <c r="A567" s="973"/>
      <c r="B567" s="961"/>
      <c r="C567" s="961"/>
      <c r="D567" s="974"/>
      <c r="E567" s="974"/>
      <c r="F567" s="974"/>
      <c r="G567" s="975"/>
      <c r="H567" s="962"/>
      <c r="I567" s="963"/>
      <c r="J567" s="963"/>
      <c r="K567" s="964"/>
      <c r="L567" s="965"/>
      <c r="M567" s="964"/>
      <c r="N567" s="964"/>
      <c r="O567" s="964"/>
      <c r="P567" s="964"/>
      <c r="Q567" s="964"/>
      <c r="R567" s="964"/>
      <c r="S567" s="964"/>
      <c r="T567" s="964"/>
      <c r="U567" s="964"/>
    </row>
    <row r="568" spans="1:21" ht="12.75" hidden="1" x14ac:dyDescent="0.2">
      <c r="A568" s="973"/>
      <c r="B568" s="961"/>
      <c r="C568" s="961"/>
      <c r="D568" s="974"/>
      <c r="E568" s="974"/>
      <c r="F568" s="974"/>
      <c r="G568" s="975"/>
      <c r="H568" s="962"/>
      <c r="I568" s="963"/>
      <c r="J568" s="963"/>
      <c r="K568" s="964"/>
      <c r="L568" s="965"/>
      <c r="M568" s="964"/>
      <c r="N568" s="964"/>
      <c r="O568" s="964"/>
      <c r="P568" s="964"/>
      <c r="Q568" s="964"/>
      <c r="R568" s="964"/>
      <c r="S568" s="964"/>
      <c r="T568" s="964"/>
      <c r="U568" s="964"/>
    </row>
    <row r="569" spans="1:21" ht="12.75" hidden="1" x14ac:dyDescent="0.2">
      <c r="A569" s="973"/>
      <c r="B569" s="961"/>
      <c r="C569" s="961"/>
      <c r="D569" s="974"/>
      <c r="E569" s="974"/>
      <c r="F569" s="974"/>
      <c r="G569" s="975"/>
      <c r="H569" s="962"/>
      <c r="I569" s="963"/>
      <c r="J569" s="963"/>
      <c r="K569" s="964"/>
      <c r="L569" s="965"/>
      <c r="M569" s="964"/>
      <c r="N569" s="964"/>
      <c r="O569" s="964"/>
      <c r="P569" s="964"/>
      <c r="Q569" s="964"/>
      <c r="R569" s="964"/>
      <c r="S569" s="964"/>
      <c r="T569" s="964"/>
      <c r="U569" s="964"/>
    </row>
    <row r="570" spans="1:21" ht="12.75" hidden="1" x14ac:dyDescent="0.2">
      <c r="A570" s="973"/>
      <c r="B570" s="961"/>
      <c r="C570" s="961"/>
      <c r="D570" s="974"/>
      <c r="E570" s="974"/>
      <c r="F570" s="974"/>
      <c r="G570" s="975"/>
      <c r="H570" s="962"/>
      <c r="I570" s="963"/>
      <c r="J570" s="963"/>
      <c r="K570" s="964"/>
      <c r="L570" s="965"/>
      <c r="M570" s="964"/>
      <c r="N570" s="964"/>
      <c r="O570" s="964"/>
      <c r="P570" s="964"/>
      <c r="Q570" s="964"/>
      <c r="R570" s="964"/>
      <c r="S570" s="964"/>
      <c r="T570" s="964"/>
      <c r="U570" s="964"/>
    </row>
    <row r="571" spans="1:21" ht="12.75" hidden="1" x14ac:dyDescent="0.2">
      <c r="A571" s="973"/>
      <c r="B571" s="961"/>
      <c r="C571" s="961"/>
      <c r="D571" s="974"/>
      <c r="E571" s="974"/>
      <c r="F571" s="974"/>
      <c r="G571" s="975"/>
      <c r="H571" s="962"/>
      <c r="I571" s="963"/>
      <c r="J571" s="963"/>
      <c r="K571" s="964"/>
      <c r="L571" s="965"/>
      <c r="M571" s="964"/>
      <c r="N571" s="964"/>
      <c r="O571" s="964"/>
      <c r="P571" s="964"/>
      <c r="Q571" s="964"/>
      <c r="R571" s="964"/>
      <c r="S571" s="964"/>
      <c r="T571" s="964"/>
      <c r="U571" s="964"/>
    </row>
    <row r="572" spans="1:21" ht="12.75" hidden="1" x14ac:dyDescent="0.2">
      <c r="A572" s="973"/>
      <c r="B572" s="961"/>
      <c r="C572" s="961"/>
      <c r="D572" s="974"/>
      <c r="E572" s="974"/>
      <c r="F572" s="974"/>
      <c r="G572" s="975"/>
      <c r="H572" s="962"/>
      <c r="I572" s="963"/>
      <c r="J572" s="963"/>
      <c r="K572" s="964"/>
      <c r="L572" s="965"/>
      <c r="M572" s="964"/>
      <c r="N572" s="964"/>
      <c r="O572" s="964"/>
      <c r="P572" s="964"/>
      <c r="Q572" s="964"/>
      <c r="R572" s="964"/>
      <c r="S572" s="964"/>
      <c r="T572" s="964"/>
      <c r="U572" s="964"/>
    </row>
    <row r="573" spans="1:21" ht="12.75" hidden="1" x14ac:dyDescent="0.2">
      <c r="A573" s="973"/>
      <c r="B573" s="961"/>
      <c r="C573" s="961"/>
      <c r="D573" s="974"/>
      <c r="E573" s="974"/>
      <c r="F573" s="974"/>
      <c r="G573" s="975"/>
      <c r="H573" s="962"/>
      <c r="I573" s="963"/>
      <c r="J573" s="963"/>
      <c r="K573" s="964"/>
      <c r="L573" s="965"/>
      <c r="M573" s="964"/>
      <c r="N573" s="964"/>
      <c r="O573" s="964"/>
      <c r="P573" s="964"/>
      <c r="Q573" s="964"/>
      <c r="R573" s="964"/>
      <c r="S573" s="964"/>
      <c r="T573" s="964"/>
      <c r="U573" s="964"/>
    </row>
    <row r="574" spans="1:21" ht="12.75" hidden="1" x14ac:dyDescent="0.2">
      <c r="A574" s="1027"/>
      <c r="B574" s="966"/>
      <c r="C574" s="966"/>
      <c r="D574" s="1028"/>
      <c r="E574" s="1028"/>
      <c r="F574" s="1028"/>
      <c r="G574" s="1029"/>
      <c r="H574" s="967"/>
      <c r="I574" s="968"/>
      <c r="J574" s="968"/>
      <c r="K574" s="969"/>
      <c r="L574" s="970"/>
      <c r="M574" s="969"/>
      <c r="N574" s="969"/>
      <c r="O574" s="969"/>
      <c r="P574" s="969"/>
      <c r="Q574" s="969"/>
      <c r="R574" s="969"/>
      <c r="S574" s="969"/>
      <c r="T574" s="969"/>
      <c r="U574" s="969"/>
    </row>
    <row r="575" spans="1:21" ht="19.5" x14ac:dyDescent="0.3">
      <c r="A575" s="1006"/>
      <c r="B575" s="1030" t="s">
        <v>212</v>
      </c>
      <c r="C575" s="1008"/>
      <c r="D575" s="1009"/>
      <c r="E575" s="1009"/>
      <c r="F575" s="1009"/>
      <c r="G575" s="1010"/>
      <c r="H575" s="1031" t="s">
        <v>61</v>
      </c>
      <c r="I575" s="1032">
        <f t="shared" ref="I575:J575" si="355">I587</f>
        <v>0</v>
      </c>
      <c r="J575" s="1032">
        <f t="shared" si="355"/>
        <v>0</v>
      </c>
      <c r="K575" s="1033">
        <f>IF(I575&gt;0,J575*100/I575,0)</f>
        <v>0</v>
      </c>
      <c r="L575" s="1014"/>
      <c r="M575" s="1015"/>
      <c r="N575" s="1015"/>
      <c r="O575" s="1015"/>
      <c r="P575" s="1015"/>
      <c r="Q575" s="1015"/>
      <c r="R575" s="1015"/>
      <c r="S575" s="1015"/>
      <c r="T575" s="1015"/>
      <c r="U575" s="1015"/>
    </row>
    <row r="576" spans="1:21" ht="19.5" x14ac:dyDescent="0.3">
      <c r="A576" s="674"/>
      <c r="B576" s="561"/>
      <c r="C576" s="675" t="s">
        <v>18</v>
      </c>
      <c r="D576" s="676" t="s">
        <v>19</v>
      </c>
      <c r="E576" s="561"/>
      <c r="F576" s="561"/>
      <c r="G576" s="563"/>
      <c r="H576" s="677" t="s">
        <v>14</v>
      </c>
      <c r="I576" s="565"/>
      <c r="J576" s="565"/>
      <c r="K576" s="566"/>
      <c r="L576" s="678">
        <f t="shared" ref="L576:N576" ca="1" si="356">L577+L578</f>
        <v>264155</v>
      </c>
      <c r="M576" s="679">
        <f t="shared" ca="1" si="356"/>
        <v>0</v>
      </c>
      <c r="N576" s="679">
        <f t="shared" ca="1" si="356"/>
        <v>0</v>
      </c>
      <c r="O576" s="679">
        <f t="shared" ref="O576:O584" ca="1" si="357">IF(L576&gt;0,N576*100/L576,0)</f>
        <v>0</v>
      </c>
      <c r="P576" s="679">
        <f t="shared" ref="P576:P584" ca="1" si="358">IF(M576&gt;0,N576*100/M576,0)</f>
        <v>0</v>
      </c>
      <c r="Q576" s="679">
        <f t="shared" ref="Q576:S576" si="359">Q577+Q578</f>
        <v>0</v>
      </c>
      <c r="R576" s="679">
        <f t="shared" si="359"/>
        <v>0</v>
      </c>
      <c r="S576" s="679">
        <f t="shared" si="359"/>
        <v>0</v>
      </c>
      <c r="T576" s="679">
        <f t="shared" ref="T576:T584" si="360">IF(Q576&gt;0,S576*100/Q576,0)</f>
        <v>0</v>
      </c>
      <c r="U576" s="679">
        <f t="shared" ref="U576:U584" si="361">IF(R576&gt;0,S576*100/R576,0)</f>
        <v>0</v>
      </c>
    </row>
    <row r="577" spans="1:21" ht="18.75" x14ac:dyDescent="0.25">
      <c r="A577" s="674"/>
      <c r="B577" s="718"/>
      <c r="C577" s="561"/>
      <c r="D577" s="561"/>
      <c r="E577" s="569" t="s">
        <v>20</v>
      </c>
      <c r="F577" s="561"/>
      <c r="G577" s="563"/>
      <c r="H577" s="680" t="s">
        <v>14</v>
      </c>
      <c r="I577" s="565"/>
      <c r="J577" s="565"/>
      <c r="K577" s="566"/>
      <c r="L577" s="571">
        <f t="shared" ref="L577:N578" si="362">L580+L583</f>
        <v>0</v>
      </c>
      <c r="M577" s="572">
        <f t="shared" si="362"/>
        <v>0</v>
      </c>
      <c r="N577" s="572">
        <f t="shared" si="362"/>
        <v>0</v>
      </c>
      <c r="O577" s="572">
        <f t="shared" si="357"/>
        <v>0</v>
      </c>
      <c r="P577" s="572">
        <f t="shared" si="358"/>
        <v>0</v>
      </c>
      <c r="Q577" s="572">
        <f t="shared" ref="Q577:S578" si="363">Q580+Q583</f>
        <v>0</v>
      </c>
      <c r="R577" s="572">
        <f t="shared" si="363"/>
        <v>0</v>
      </c>
      <c r="S577" s="572">
        <f t="shared" si="363"/>
        <v>0</v>
      </c>
      <c r="T577" s="572">
        <f t="shared" si="360"/>
        <v>0</v>
      </c>
      <c r="U577" s="572">
        <f t="shared" si="361"/>
        <v>0</v>
      </c>
    </row>
    <row r="578" spans="1:21" ht="18.75" x14ac:dyDescent="0.25">
      <c r="A578" s="674"/>
      <c r="B578" s="561"/>
      <c r="C578" s="718"/>
      <c r="D578" s="561"/>
      <c r="E578" s="765" t="s">
        <v>21</v>
      </c>
      <c r="F578" s="561"/>
      <c r="G578" s="563"/>
      <c r="H578" s="681" t="s">
        <v>14</v>
      </c>
      <c r="I578" s="565"/>
      <c r="J578" s="565"/>
      <c r="K578" s="566"/>
      <c r="L578" s="567">
        <f t="shared" ca="1" si="362"/>
        <v>264155</v>
      </c>
      <c r="M578" s="568">
        <f t="shared" ca="1" si="362"/>
        <v>0</v>
      </c>
      <c r="N578" s="568">
        <f t="shared" ca="1" si="362"/>
        <v>0</v>
      </c>
      <c r="O578" s="568">
        <f t="shared" ca="1" si="357"/>
        <v>0</v>
      </c>
      <c r="P578" s="568">
        <f t="shared" ca="1" si="358"/>
        <v>0</v>
      </c>
      <c r="Q578" s="568">
        <f t="shared" si="363"/>
        <v>0</v>
      </c>
      <c r="R578" s="568">
        <f t="shared" si="363"/>
        <v>0</v>
      </c>
      <c r="S578" s="568">
        <f t="shared" si="363"/>
        <v>0</v>
      </c>
      <c r="T578" s="568">
        <f t="shared" si="360"/>
        <v>0</v>
      </c>
      <c r="U578" s="568">
        <f t="shared" si="361"/>
        <v>0</v>
      </c>
    </row>
    <row r="579" spans="1:21" ht="18.75" x14ac:dyDescent="0.25">
      <c r="A579" s="674"/>
      <c r="B579" s="561"/>
      <c r="C579" s="718"/>
      <c r="D579" s="562" t="s">
        <v>22</v>
      </c>
      <c r="E579" s="718"/>
      <c r="F579" s="561"/>
      <c r="G579" s="563"/>
      <c r="H579" s="682" t="s">
        <v>14</v>
      </c>
      <c r="I579" s="683"/>
      <c r="J579" s="683"/>
      <c r="K579" s="684"/>
      <c r="L579" s="567">
        <f t="shared" ref="L579:N579" ca="1" si="364">L580+L581</f>
        <v>264155</v>
      </c>
      <c r="M579" s="568">
        <f t="shared" ca="1" si="364"/>
        <v>0</v>
      </c>
      <c r="N579" s="568">
        <f t="shared" ca="1" si="364"/>
        <v>0</v>
      </c>
      <c r="O579" s="568">
        <f t="shared" ca="1" si="357"/>
        <v>0</v>
      </c>
      <c r="P579" s="568">
        <f t="shared" ca="1" si="358"/>
        <v>0</v>
      </c>
      <c r="Q579" s="568">
        <f t="shared" ref="Q579:S579" si="365">Q580+Q581</f>
        <v>0</v>
      </c>
      <c r="R579" s="568">
        <f t="shared" si="365"/>
        <v>0</v>
      </c>
      <c r="S579" s="568">
        <f t="shared" si="365"/>
        <v>0</v>
      </c>
      <c r="T579" s="568">
        <f t="shared" si="360"/>
        <v>0</v>
      </c>
      <c r="U579" s="568">
        <f t="shared" si="361"/>
        <v>0</v>
      </c>
    </row>
    <row r="580" spans="1:21" ht="18.75" x14ac:dyDescent="0.25">
      <c r="A580" s="674"/>
      <c r="B580" s="561"/>
      <c r="C580" s="561"/>
      <c r="D580" s="561"/>
      <c r="E580" s="569" t="s">
        <v>36</v>
      </c>
      <c r="F580" s="561"/>
      <c r="G580" s="563"/>
      <c r="H580" s="685" t="s">
        <v>14</v>
      </c>
      <c r="I580" s="683"/>
      <c r="J580" s="683"/>
      <c r="K580" s="684"/>
      <c r="L580" s="571">
        <v>0</v>
      </c>
      <c r="M580" s="572">
        <v>0</v>
      </c>
      <c r="N580" s="572">
        <v>0</v>
      </c>
      <c r="O580" s="572">
        <f t="shared" si="357"/>
        <v>0</v>
      </c>
      <c r="P580" s="572">
        <f t="shared" si="358"/>
        <v>0</v>
      </c>
      <c r="Q580" s="572">
        <v>0</v>
      </c>
      <c r="R580" s="572">
        <v>0</v>
      </c>
      <c r="S580" s="572">
        <v>0</v>
      </c>
      <c r="T580" s="572">
        <f t="shared" si="360"/>
        <v>0</v>
      </c>
      <c r="U580" s="572">
        <f t="shared" si="361"/>
        <v>0</v>
      </c>
    </row>
    <row r="581" spans="1:21" ht="18.75" x14ac:dyDescent="0.25">
      <c r="A581" s="674"/>
      <c r="B581" s="561"/>
      <c r="C581" s="561"/>
      <c r="D581" s="561"/>
      <c r="E581" s="573" t="s">
        <v>37</v>
      </c>
      <c r="F581" s="561"/>
      <c r="G581" s="563"/>
      <c r="H581" s="682" t="s">
        <v>14</v>
      </c>
      <c r="I581" s="683"/>
      <c r="J581" s="683"/>
      <c r="K581" s="684"/>
      <c r="L581" s="567">
        <f ca="1">IFERROR(__xludf.DUMMYFUNCTION("IMPORTRANGE(""https://docs.google.com/spreadsheets/d/1-uDff_7J0KD5mKrp0Vvzr7lt3OU09vwQwhkpOPPYv2Y/edit?usp=sharing"",""งบพรบ!GQ18"")"),264155)</f>
        <v>264155</v>
      </c>
      <c r="M581" s="568">
        <f ca="1">IFERROR(__xludf.DUMMYFUNCTION("IMPORTRANGE(""https://docs.google.com/spreadsheets/d/1-uDff_7J0KD5mKrp0Vvzr7lt3OU09vwQwhkpOPPYv2Y/edit?usp=sharing"",""งบพรบ!GV18"")"),0)</f>
        <v>0</v>
      </c>
      <c r="N581" s="568">
        <f ca="1">IFERROR(__xludf.DUMMYFUNCTION("IMPORTRANGE(""https://docs.google.com/spreadsheets/d/1-uDff_7J0KD5mKrp0Vvzr7lt3OU09vwQwhkpOPPYv2Y/edit?usp=sharing"",""งบพรบ!GX18"")"),0)</f>
        <v>0</v>
      </c>
      <c r="O581" s="568">
        <f t="shared" ca="1" si="357"/>
        <v>0</v>
      </c>
      <c r="P581" s="568">
        <f t="shared" ca="1" si="358"/>
        <v>0</v>
      </c>
      <c r="Q581" s="568">
        <v>0</v>
      </c>
      <c r="R581" s="568">
        <v>0</v>
      </c>
      <c r="S581" s="568">
        <v>0</v>
      </c>
      <c r="T581" s="568">
        <f t="shared" si="360"/>
        <v>0</v>
      </c>
      <c r="U581" s="568">
        <f t="shared" si="361"/>
        <v>0</v>
      </c>
    </row>
    <row r="582" spans="1:21" ht="18.75" x14ac:dyDescent="0.25">
      <c r="A582" s="674"/>
      <c r="B582" s="561"/>
      <c r="C582" s="561"/>
      <c r="D582" s="562" t="s">
        <v>23</v>
      </c>
      <c r="E582" s="561"/>
      <c r="F582" s="561"/>
      <c r="G582" s="563"/>
      <c r="H582" s="686" t="s">
        <v>14</v>
      </c>
      <c r="I582" s="683"/>
      <c r="J582" s="683"/>
      <c r="K582" s="684"/>
      <c r="L582" s="567">
        <f t="shared" ref="L582:N582" ca="1" si="366">L583+L584</f>
        <v>0</v>
      </c>
      <c r="M582" s="568">
        <f t="shared" ca="1" si="366"/>
        <v>0</v>
      </c>
      <c r="N582" s="568">
        <f t="shared" ca="1" si="366"/>
        <v>0</v>
      </c>
      <c r="O582" s="568">
        <f t="shared" ca="1" si="357"/>
        <v>0</v>
      </c>
      <c r="P582" s="568">
        <f t="shared" ca="1" si="358"/>
        <v>0</v>
      </c>
      <c r="Q582" s="568">
        <f t="shared" ref="Q582:S582" si="367">Q583+Q584</f>
        <v>0</v>
      </c>
      <c r="R582" s="568">
        <f t="shared" si="367"/>
        <v>0</v>
      </c>
      <c r="S582" s="568">
        <f t="shared" si="367"/>
        <v>0</v>
      </c>
      <c r="T582" s="568">
        <f t="shared" si="360"/>
        <v>0</v>
      </c>
      <c r="U582" s="568">
        <f t="shared" si="361"/>
        <v>0</v>
      </c>
    </row>
    <row r="583" spans="1:21" ht="18.75" x14ac:dyDescent="0.25">
      <c r="A583" s="674"/>
      <c r="B583" s="561"/>
      <c r="C583" s="561"/>
      <c r="D583" s="561"/>
      <c r="E583" s="569" t="s">
        <v>20</v>
      </c>
      <c r="F583" s="561"/>
      <c r="G583" s="563"/>
      <c r="H583" s="685" t="s">
        <v>14</v>
      </c>
      <c r="I583" s="683"/>
      <c r="J583" s="683"/>
      <c r="K583" s="684"/>
      <c r="L583" s="571">
        <v>0</v>
      </c>
      <c r="M583" s="572">
        <v>0</v>
      </c>
      <c r="N583" s="572">
        <v>0</v>
      </c>
      <c r="O583" s="572">
        <f t="shared" si="357"/>
        <v>0</v>
      </c>
      <c r="P583" s="572">
        <f t="shared" si="358"/>
        <v>0</v>
      </c>
      <c r="Q583" s="572">
        <v>0</v>
      </c>
      <c r="R583" s="572">
        <v>0</v>
      </c>
      <c r="S583" s="572">
        <v>0</v>
      </c>
      <c r="T583" s="572">
        <f t="shared" si="360"/>
        <v>0</v>
      </c>
      <c r="U583" s="572">
        <f t="shared" si="361"/>
        <v>0</v>
      </c>
    </row>
    <row r="584" spans="1:21" ht="18.75" x14ac:dyDescent="0.25">
      <c r="A584" s="674"/>
      <c r="B584" s="561"/>
      <c r="C584" s="561"/>
      <c r="D584" s="561"/>
      <c r="E584" s="573" t="s">
        <v>21</v>
      </c>
      <c r="F584" s="561"/>
      <c r="G584" s="563"/>
      <c r="H584" s="686" t="s">
        <v>14</v>
      </c>
      <c r="I584" s="683"/>
      <c r="J584" s="683"/>
      <c r="K584" s="684"/>
      <c r="L584" s="567">
        <f ca="1">IFERROR(__xludf.DUMMYFUNCTION("IMPORTRANGE(""https://docs.google.com/spreadsheets/d/1-uDff_7J0KD5mKrp0Vvzr7lt3OU09vwQwhkpOPPYv2Y/edit?usp=sharing"",""งบพรบ!GT18"")"),0)</f>
        <v>0</v>
      </c>
      <c r="M584" s="568">
        <f ca="1">IFERROR(__xludf.DUMMYFUNCTION("IMPORTRANGE(""https://docs.google.com/spreadsheets/d/1-uDff_7J0KD5mKrp0Vvzr7lt3OU09vwQwhkpOPPYv2Y/edit?usp=sharing"",""งบพรบ!GW18"")"),0)</f>
        <v>0</v>
      </c>
      <c r="N584" s="568">
        <f ca="1">IFERROR(__xludf.DUMMYFUNCTION("IMPORTRANGE(""https://docs.google.com/spreadsheets/d/1-uDff_7J0KD5mKrp0Vvzr7lt3OU09vwQwhkpOPPYv2Y/edit?usp=sharing"",""งบพรบ!GY18"")"),0)</f>
        <v>0</v>
      </c>
      <c r="O584" s="568">
        <f t="shared" ca="1" si="357"/>
        <v>0</v>
      </c>
      <c r="P584" s="568">
        <f t="shared" ca="1" si="358"/>
        <v>0</v>
      </c>
      <c r="Q584" s="568">
        <v>0</v>
      </c>
      <c r="R584" s="568">
        <v>0</v>
      </c>
      <c r="S584" s="568">
        <v>0</v>
      </c>
      <c r="T584" s="568">
        <f t="shared" si="360"/>
        <v>0</v>
      </c>
      <c r="U584" s="568">
        <f t="shared" si="361"/>
        <v>0</v>
      </c>
    </row>
    <row r="585" spans="1:21" ht="19.5" hidden="1" x14ac:dyDescent="0.3">
      <c r="A585" s="687"/>
      <c r="B585" s="688"/>
      <c r="C585" s="1034" t="s">
        <v>18</v>
      </c>
      <c r="D585" s="689" t="s">
        <v>38</v>
      </c>
      <c r="E585" s="690"/>
      <c r="F585" s="690"/>
      <c r="G585" s="691"/>
      <c r="H585" s="692"/>
      <c r="I585" s="683"/>
      <c r="J585" s="565"/>
      <c r="K585" s="566"/>
      <c r="L585" s="574"/>
      <c r="M585" s="566"/>
      <c r="N585" s="566"/>
      <c r="O585" s="684"/>
      <c r="P585" s="684"/>
      <c r="Q585" s="566"/>
      <c r="R585" s="566"/>
      <c r="S585" s="566"/>
      <c r="T585" s="684"/>
      <c r="U585" s="684"/>
    </row>
    <row r="586" spans="1:21" ht="12.75" hidden="1" x14ac:dyDescent="0.2">
      <c r="A586" s="973"/>
      <c r="B586" s="974"/>
      <c r="C586" s="961"/>
      <c r="D586" s="974"/>
      <c r="E586" s="961"/>
      <c r="F586" s="974"/>
      <c r="G586" s="975"/>
      <c r="H586" s="975"/>
      <c r="I586" s="963"/>
      <c r="J586" s="963"/>
      <c r="K586" s="964"/>
      <c r="L586" s="965"/>
      <c r="M586" s="964"/>
      <c r="N586" s="964"/>
      <c r="O586" s="964"/>
      <c r="P586" s="964"/>
      <c r="Q586" s="964"/>
      <c r="R586" s="964"/>
      <c r="S586" s="964"/>
      <c r="T586" s="964"/>
      <c r="U586" s="964"/>
    </row>
    <row r="587" spans="1:21" ht="12.75" hidden="1" x14ac:dyDescent="0.2">
      <c r="A587" s="973"/>
      <c r="B587" s="974"/>
      <c r="C587" s="961"/>
      <c r="D587" s="974"/>
      <c r="E587" s="961"/>
      <c r="F587" s="974"/>
      <c r="G587" s="975"/>
      <c r="H587" s="975"/>
      <c r="I587" s="963"/>
      <c r="J587" s="963"/>
      <c r="K587" s="964"/>
      <c r="L587" s="965"/>
      <c r="M587" s="964"/>
      <c r="N587" s="964"/>
      <c r="O587" s="964"/>
      <c r="P587" s="964"/>
      <c r="Q587" s="964"/>
      <c r="R587" s="964"/>
      <c r="S587" s="964"/>
      <c r="T587" s="964"/>
      <c r="U587" s="964"/>
    </row>
    <row r="588" spans="1:21" ht="12.75" hidden="1" x14ac:dyDescent="0.2">
      <c r="A588" s="973"/>
      <c r="B588" s="961"/>
      <c r="C588" s="961"/>
      <c r="D588" s="974"/>
      <c r="E588" s="974"/>
      <c r="F588" s="974"/>
      <c r="G588" s="975"/>
      <c r="H588" s="962"/>
      <c r="I588" s="963"/>
      <c r="J588" s="963"/>
      <c r="K588" s="964"/>
      <c r="L588" s="965"/>
      <c r="M588" s="964"/>
      <c r="N588" s="964"/>
      <c r="O588" s="964"/>
      <c r="P588" s="964"/>
      <c r="Q588" s="964"/>
      <c r="R588" s="964"/>
      <c r="S588" s="964"/>
      <c r="T588" s="964"/>
      <c r="U588" s="964"/>
    </row>
    <row r="589" spans="1:21" ht="12.75" hidden="1" x14ac:dyDescent="0.2">
      <c r="A589" s="973"/>
      <c r="B589" s="961"/>
      <c r="C589" s="961"/>
      <c r="D589" s="974"/>
      <c r="E589" s="974"/>
      <c r="F589" s="974"/>
      <c r="G589" s="975"/>
      <c r="H589" s="962"/>
      <c r="I589" s="963"/>
      <c r="J589" s="963"/>
      <c r="K589" s="964"/>
      <c r="L589" s="965"/>
      <c r="M589" s="964"/>
      <c r="N589" s="964"/>
      <c r="O589" s="964"/>
      <c r="P589" s="964"/>
      <c r="Q589" s="964"/>
      <c r="R589" s="964"/>
      <c r="S589" s="964"/>
      <c r="T589" s="964"/>
      <c r="U589" s="964"/>
    </row>
    <row r="590" spans="1:21" ht="12.75" hidden="1" x14ac:dyDescent="0.2">
      <c r="A590" s="973"/>
      <c r="B590" s="961"/>
      <c r="C590" s="961"/>
      <c r="D590" s="974"/>
      <c r="E590" s="974"/>
      <c r="F590" s="974"/>
      <c r="G590" s="975"/>
      <c r="H590" s="962"/>
      <c r="I590" s="963"/>
      <c r="J590" s="963"/>
      <c r="K590" s="964"/>
      <c r="L590" s="965"/>
      <c r="M590" s="964"/>
      <c r="N590" s="964"/>
      <c r="O590" s="964"/>
      <c r="P590" s="964"/>
      <c r="Q590" s="964"/>
      <c r="R590" s="964"/>
      <c r="S590" s="964"/>
      <c r="T590" s="964"/>
      <c r="U590" s="964"/>
    </row>
    <row r="591" spans="1:21" ht="12.75" hidden="1" x14ac:dyDescent="0.2">
      <c r="A591" s="973"/>
      <c r="B591" s="961"/>
      <c r="C591" s="961"/>
      <c r="D591" s="974"/>
      <c r="E591" s="974"/>
      <c r="F591" s="974"/>
      <c r="G591" s="975"/>
      <c r="H591" s="962"/>
      <c r="I591" s="963"/>
      <c r="J591" s="963"/>
      <c r="K591" s="964"/>
      <c r="L591" s="965"/>
      <c r="M591" s="964"/>
      <c r="N591" s="964"/>
      <c r="O591" s="964"/>
      <c r="P591" s="964"/>
      <c r="Q591" s="964"/>
      <c r="R591" s="964"/>
      <c r="S591" s="964"/>
      <c r="T591" s="964"/>
      <c r="U591" s="964"/>
    </row>
    <row r="592" spans="1:21" ht="12.75" hidden="1" x14ac:dyDescent="0.2">
      <c r="A592" s="973"/>
      <c r="B592" s="961"/>
      <c r="C592" s="961"/>
      <c r="D592" s="974"/>
      <c r="E592" s="974"/>
      <c r="F592" s="974"/>
      <c r="G592" s="975"/>
      <c r="H592" s="962"/>
      <c r="I592" s="963"/>
      <c r="J592" s="963"/>
      <c r="K592" s="964"/>
      <c r="L592" s="965"/>
      <c r="M592" s="964"/>
      <c r="N592" s="964"/>
      <c r="O592" s="964"/>
      <c r="P592" s="964"/>
      <c r="Q592" s="964"/>
      <c r="R592" s="964"/>
      <c r="S592" s="964"/>
      <c r="T592" s="964"/>
      <c r="U592" s="964"/>
    </row>
    <row r="593" spans="1:21" ht="12.75" hidden="1" x14ac:dyDescent="0.2">
      <c r="A593" s="973"/>
      <c r="B593" s="961"/>
      <c r="C593" s="961"/>
      <c r="D593" s="974"/>
      <c r="E593" s="974"/>
      <c r="F593" s="974"/>
      <c r="G593" s="975"/>
      <c r="H593" s="962"/>
      <c r="I593" s="963"/>
      <c r="J593" s="963"/>
      <c r="K593" s="964"/>
      <c r="L593" s="965"/>
      <c r="M593" s="964"/>
      <c r="N593" s="964"/>
      <c r="O593" s="964"/>
      <c r="P593" s="964"/>
      <c r="Q593" s="964"/>
      <c r="R593" s="964"/>
      <c r="S593" s="964"/>
      <c r="T593" s="964"/>
      <c r="U593" s="964"/>
    </row>
    <row r="594" spans="1:21" ht="12.75" hidden="1" x14ac:dyDescent="0.2">
      <c r="A594" s="973"/>
      <c r="B594" s="961"/>
      <c r="C594" s="961"/>
      <c r="D594" s="974"/>
      <c r="E594" s="974"/>
      <c r="F594" s="974"/>
      <c r="G594" s="975"/>
      <c r="H594" s="962"/>
      <c r="I594" s="963"/>
      <c r="J594" s="963"/>
      <c r="K594" s="964"/>
      <c r="L594" s="965"/>
      <c r="M594" s="964"/>
      <c r="N594" s="964"/>
      <c r="O594" s="964"/>
      <c r="P594" s="964"/>
      <c r="Q594" s="964"/>
      <c r="R594" s="964"/>
      <c r="S594" s="964"/>
      <c r="T594" s="964"/>
      <c r="U594" s="964"/>
    </row>
    <row r="595" spans="1:21" ht="12.75" hidden="1" x14ac:dyDescent="0.2">
      <c r="A595" s="1027"/>
      <c r="B595" s="966"/>
      <c r="C595" s="966"/>
      <c r="D595" s="1028"/>
      <c r="E595" s="1028"/>
      <c r="F595" s="1028"/>
      <c r="G595" s="1029"/>
      <c r="H595" s="967"/>
      <c r="I595" s="968"/>
      <c r="J595" s="968"/>
      <c r="K595" s="969"/>
      <c r="L595" s="970"/>
      <c r="M595" s="969"/>
      <c r="N595" s="969"/>
      <c r="O595" s="969"/>
      <c r="P595" s="969"/>
      <c r="Q595" s="969"/>
      <c r="R595" s="969"/>
      <c r="S595" s="969"/>
      <c r="T595" s="969"/>
      <c r="U595" s="969"/>
    </row>
    <row r="596" spans="1:21" ht="19.5" hidden="1" x14ac:dyDescent="0.3">
      <c r="A596" s="1035" t="s">
        <v>213</v>
      </c>
      <c r="B596" s="663"/>
      <c r="C596" s="729"/>
      <c r="D596" s="663"/>
      <c r="E596" s="663"/>
      <c r="F596" s="663"/>
      <c r="G596" s="663"/>
      <c r="H596" s="664"/>
      <c r="I596" s="730"/>
      <c r="J596" s="730"/>
      <c r="K596" s="731"/>
      <c r="L596" s="667"/>
      <c r="M596" s="667"/>
      <c r="N596" s="667"/>
      <c r="O596" s="667"/>
      <c r="P596" s="667"/>
      <c r="Q596" s="667"/>
      <c r="R596" s="667"/>
      <c r="S596" s="667"/>
      <c r="T596" s="667"/>
      <c r="U596" s="667"/>
    </row>
    <row r="597" spans="1:21" ht="19.5" hidden="1" x14ac:dyDescent="0.3">
      <c r="A597" s="669"/>
      <c r="B597" s="1036" t="s">
        <v>214</v>
      </c>
      <c r="C597" s="716"/>
      <c r="D597" s="670"/>
      <c r="E597" s="543"/>
      <c r="F597" s="543"/>
      <c r="G597" s="543"/>
      <c r="H597" s="1037" t="s">
        <v>99</v>
      </c>
      <c r="I597" s="732"/>
      <c r="J597" s="548"/>
      <c r="K597" s="549"/>
      <c r="L597" s="673"/>
      <c r="M597" s="549"/>
      <c r="N597" s="549"/>
      <c r="O597" s="549"/>
      <c r="P597" s="549"/>
      <c r="Q597" s="549"/>
      <c r="R597" s="549"/>
      <c r="S597" s="549"/>
      <c r="T597" s="549"/>
      <c r="U597" s="549"/>
    </row>
    <row r="598" spans="1:21" ht="19.5" hidden="1" x14ac:dyDescent="0.3">
      <c r="A598" s="1038"/>
      <c r="B598" s="1039" t="s">
        <v>215</v>
      </c>
      <c r="C598" s="670"/>
      <c r="D598" s="543"/>
      <c r="E598" s="543"/>
      <c r="F598" s="543"/>
      <c r="G598" s="546"/>
      <c r="H598" s="1040" t="s">
        <v>35</v>
      </c>
      <c r="I598" s="548"/>
      <c r="J598" s="548"/>
      <c r="K598" s="549"/>
      <c r="L598" s="673"/>
      <c r="M598" s="549"/>
      <c r="N598" s="549"/>
      <c r="O598" s="549"/>
      <c r="P598" s="549"/>
      <c r="Q598" s="549"/>
      <c r="R598" s="549"/>
      <c r="S598" s="549"/>
      <c r="T598" s="549"/>
      <c r="U598" s="549"/>
    </row>
    <row r="599" spans="1:21" ht="19.5" hidden="1" x14ac:dyDescent="0.3">
      <c r="A599" s="674"/>
      <c r="B599" s="718"/>
      <c r="C599" s="724" t="s">
        <v>18</v>
      </c>
      <c r="D599" s="1315" t="s">
        <v>19</v>
      </c>
      <c r="E599" s="1311"/>
      <c r="F599" s="1311"/>
      <c r="G599" s="1312"/>
      <c r="H599" s="799" t="s">
        <v>14</v>
      </c>
      <c r="I599" s="565"/>
      <c r="J599" s="565"/>
      <c r="K599" s="566"/>
      <c r="L599" s="678">
        <f t="shared" ref="L599:N599" ca="1" si="368">L600+L601</f>
        <v>0</v>
      </c>
      <c r="M599" s="679">
        <f t="shared" ca="1" si="368"/>
        <v>0</v>
      </c>
      <c r="N599" s="679">
        <f t="shared" ca="1" si="368"/>
        <v>0</v>
      </c>
      <c r="O599" s="679">
        <f t="shared" ref="O599:O607" ca="1" si="369">IF(L599&gt;0,N599*100/L599,0)</f>
        <v>0</v>
      </c>
      <c r="P599" s="679">
        <f t="shared" ref="P599:P607" ca="1" si="370">IF(M599&gt;0,N599*100/M599,0)</f>
        <v>0</v>
      </c>
      <c r="Q599" s="679">
        <f t="shared" ref="Q599:S599" ca="1" si="371">Q600+Q601</f>
        <v>0</v>
      </c>
      <c r="R599" s="679">
        <f t="shared" ca="1" si="371"/>
        <v>0</v>
      </c>
      <c r="S599" s="679">
        <f t="shared" ca="1" si="371"/>
        <v>0</v>
      </c>
      <c r="T599" s="679">
        <f t="shared" ref="T599:T607" ca="1" si="372">IF(Q599&gt;0,S599*100/Q599,0)</f>
        <v>0</v>
      </c>
      <c r="U599" s="679">
        <f t="shared" ref="U599:U607" ca="1" si="373">IF(R599&gt;0,S599*100/R599,0)</f>
        <v>0</v>
      </c>
    </row>
    <row r="600" spans="1:21" ht="18.75" hidden="1" x14ac:dyDescent="0.25">
      <c r="A600" s="674"/>
      <c r="B600" s="718"/>
      <c r="C600" s="718"/>
      <c r="D600" s="695"/>
      <c r="E600" s="569" t="s">
        <v>158</v>
      </c>
      <c r="F600" s="561"/>
      <c r="G600" s="563"/>
      <c r="H600" s="685" t="s">
        <v>14</v>
      </c>
      <c r="I600" s="565"/>
      <c r="J600" s="565"/>
      <c r="K600" s="566"/>
      <c r="L600" s="571">
        <f t="shared" ref="L600:N601" si="374">L603+L606</f>
        <v>0</v>
      </c>
      <c r="M600" s="572">
        <f t="shared" si="374"/>
        <v>0</v>
      </c>
      <c r="N600" s="572">
        <f t="shared" si="374"/>
        <v>0</v>
      </c>
      <c r="O600" s="572">
        <f t="shared" si="369"/>
        <v>0</v>
      </c>
      <c r="P600" s="572">
        <f t="shared" si="370"/>
        <v>0</v>
      </c>
      <c r="Q600" s="572">
        <f t="shared" ref="Q600:S601" si="375">Q603+Q606</f>
        <v>0</v>
      </c>
      <c r="R600" s="572">
        <f t="shared" si="375"/>
        <v>0</v>
      </c>
      <c r="S600" s="572">
        <f t="shared" si="375"/>
        <v>0</v>
      </c>
      <c r="T600" s="572">
        <f t="shared" si="372"/>
        <v>0</v>
      </c>
      <c r="U600" s="572">
        <f t="shared" si="373"/>
        <v>0</v>
      </c>
    </row>
    <row r="601" spans="1:21" ht="18.75" hidden="1" x14ac:dyDescent="0.25">
      <c r="A601" s="674"/>
      <c r="B601" s="718"/>
      <c r="C601" s="718"/>
      <c r="D601" s="695"/>
      <c r="E601" s="569" t="s">
        <v>159</v>
      </c>
      <c r="F601" s="561"/>
      <c r="G601" s="563"/>
      <c r="H601" s="685" t="s">
        <v>14</v>
      </c>
      <c r="I601" s="565"/>
      <c r="J601" s="565"/>
      <c r="K601" s="566"/>
      <c r="L601" s="567">
        <f t="shared" ca="1" si="374"/>
        <v>0</v>
      </c>
      <c r="M601" s="568">
        <f t="shared" ca="1" si="374"/>
        <v>0</v>
      </c>
      <c r="N601" s="568">
        <f t="shared" ca="1" si="374"/>
        <v>0</v>
      </c>
      <c r="O601" s="568">
        <f t="shared" ca="1" si="369"/>
        <v>0</v>
      </c>
      <c r="P601" s="568">
        <f t="shared" ca="1" si="370"/>
        <v>0</v>
      </c>
      <c r="Q601" s="568">
        <f t="shared" ca="1" si="375"/>
        <v>0</v>
      </c>
      <c r="R601" s="568">
        <f t="shared" ca="1" si="375"/>
        <v>0</v>
      </c>
      <c r="S601" s="568">
        <f t="shared" ca="1" si="375"/>
        <v>0</v>
      </c>
      <c r="T601" s="568">
        <f t="shared" ca="1" si="372"/>
        <v>0</v>
      </c>
      <c r="U601" s="568">
        <f t="shared" ca="1" si="373"/>
        <v>0</v>
      </c>
    </row>
    <row r="602" spans="1:21" ht="19.5" hidden="1" x14ac:dyDescent="0.3">
      <c r="A602" s="674"/>
      <c r="B602" s="718"/>
      <c r="C602" s="718"/>
      <c r="D602" s="798" t="s">
        <v>22</v>
      </c>
      <c r="E602" s="561"/>
      <c r="F602" s="561"/>
      <c r="G602" s="563"/>
      <c r="H602" s="799" t="s">
        <v>14</v>
      </c>
      <c r="I602" s="683"/>
      <c r="J602" s="683"/>
      <c r="K602" s="684"/>
      <c r="L602" s="567">
        <f t="shared" ref="L602:N602" ca="1" si="376">L603+L604</f>
        <v>0</v>
      </c>
      <c r="M602" s="568">
        <f t="shared" ca="1" si="376"/>
        <v>0</v>
      </c>
      <c r="N602" s="568">
        <f t="shared" ca="1" si="376"/>
        <v>0</v>
      </c>
      <c r="O602" s="568">
        <f t="shared" ca="1" si="369"/>
        <v>0</v>
      </c>
      <c r="P602" s="568">
        <f t="shared" ca="1" si="370"/>
        <v>0</v>
      </c>
      <c r="Q602" s="568">
        <f t="shared" ref="Q602:S602" ca="1" si="377">Q603+Q604</f>
        <v>0</v>
      </c>
      <c r="R602" s="568">
        <f t="shared" ca="1" si="377"/>
        <v>0</v>
      </c>
      <c r="S602" s="568">
        <f t="shared" ca="1" si="377"/>
        <v>0</v>
      </c>
      <c r="T602" s="568">
        <f t="shared" ca="1" si="372"/>
        <v>0</v>
      </c>
      <c r="U602" s="568">
        <f t="shared" ca="1" si="373"/>
        <v>0</v>
      </c>
    </row>
    <row r="603" spans="1:21" ht="18.75" hidden="1" x14ac:dyDescent="0.25">
      <c r="A603" s="674"/>
      <c r="B603" s="718"/>
      <c r="C603" s="718"/>
      <c r="D603" s="695"/>
      <c r="E603" s="569" t="s">
        <v>158</v>
      </c>
      <c r="F603" s="561"/>
      <c r="G603" s="563"/>
      <c r="H603" s="685" t="s">
        <v>14</v>
      </c>
      <c r="I603" s="565"/>
      <c r="J603" s="565"/>
      <c r="K603" s="566"/>
      <c r="L603" s="571">
        <v>0</v>
      </c>
      <c r="M603" s="572">
        <v>0</v>
      </c>
      <c r="N603" s="572">
        <v>0</v>
      </c>
      <c r="O603" s="572">
        <f t="shared" si="369"/>
        <v>0</v>
      </c>
      <c r="P603" s="572">
        <f t="shared" si="370"/>
        <v>0</v>
      </c>
      <c r="Q603" s="572">
        <v>0</v>
      </c>
      <c r="R603" s="572">
        <v>0</v>
      </c>
      <c r="S603" s="572">
        <v>0</v>
      </c>
      <c r="T603" s="572">
        <f t="shared" si="372"/>
        <v>0</v>
      </c>
      <c r="U603" s="572">
        <f t="shared" si="373"/>
        <v>0</v>
      </c>
    </row>
    <row r="604" spans="1:21" ht="18.75" hidden="1" x14ac:dyDescent="0.25">
      <c r="A604" s="674"/>
      <c r="B604" s="718"/>
      <c r="C604" s="718"/>
      <c r="D604" s="695"/>
      <c r="E604" s="569" t="s">
        <v>159</v>
      </c>
      <c r="F604" s="561"/>
      <c r="G604" s="563"/>
      <c r="H604" s="685" t="s">
        <v>14</v>
      </c>
      <c r="I604" s="565"/>
      <c r="J604" s="565"/>
      <c r="K604" s="566"/>
      <c r="L604" s="567">
        <f ca="1">IFERROR(__xludf.DUMMYFUNCTION("IMPORTRANGE(""https://docs.google.com/spreadsheets/d/1-uDff_7J0KD5mKrp0Vvzr7lt3OU09vwQwhkpOPPYv2Y/edit?usp=sharing"",""งบพรบ!HK18"")"),0)</f>
        <v>0</v>
      </c>
      <c r="M604" s="568">
        <f ca="1">IFERROR(__xludf.DUMMYFUNCTION("IMPORTRANGE(""https://docs.google.com/spreadsheets/d/1-uDff_7J0KD5mKrp0Vvzr7lt3OU09vwQwhkpOPPYv2Y/edit?usp=sharing"",""งบพรบ!HP18"")"),0)</f>
        <v>0</v>
      </c>
      <c r="N604" s="568">
        <f ca="1">IFERROR(__xludf.DUMMYFUNCTION("IMPORTRANGE(""https://docs.google.com/spreadsheets/d/1-uDff_7J0KD5mKrp0Vvzr7lt3OU09vwQwhkpOPPYv2Y/edit?usp=sharing"",""งบพรบ!HR18"")"),0)</f>
        <v>0</v>
      </c>
      <c r="O604" s="568">
        <f t="shared" ca="1" si="369"/>
        <v>0</v>
      </c>
      <c r="P604" s="568">
        <f t="shared" ca="1" si="370"/>
        <v>0</v>
      </c>
      <c r="Q604" s="568">
        <f ca="1">IFERROR(__xludf.DUMMYFUNCTION("IMPORTRANGE(""https://docs.google.com/spreadsheets/d/1ItG2mGa2ceCfYo0BwxsXqNm01IGEUdYcSSLTEv9YCik/edit?usp=sharing"",""เบิกจ่ายกองทุน!AV18"")"),0)</f>
        <v>0</v>
      </c>
      <c r="R604" s="568">
        <f ca="1">IFERROR(__xludf.DUMMYFUNCTION("IMPORTRANGE(""https://docs.google.com/spreadsheets/d/1ItG2mGa2ceCfYo0BwxsXqNm01IGEUdYcSSLTEv9YCik/edit?usp=sharing"",""เบิกจ่ายกองทุน!AW18"")"),0)</f>
        <v>0</v>
      </c>
      <c r="S604" s="568">
        <f ca="1">IFERROR(__xludf.DUMMYFUNCTION("IMPORTRANGE(""https://docs.google.com/spreadsheets/d/1ItG2mGa2ceCfYo0BwxsXqNm01IGEUdYcSSLTEv9YCik/edit?usp=sharing"",""เบิกจ่ายกองทุน!AX18"")"),0)</f>
        <v>0</v>
      </c>
      <c r="T604" s="568">
        <f t="shared" ca="1" si="372"/>
        <v>0</v>
      </c>
      <c r="U604" s="568">
        <f t="shared" ca="1" si="373"/>
        <v>0</v>
      </c>
    </row>
    <row r="605" spans="1:21" ht="19.5" hidden="1" x14ac:dyDescent="0.3">
      <c r="A605" s="674"/>
      <c r="B605" s="718"/>
      <c r="C605" s="718"/>
      <c r="D605" s="798" t="s">
        <v>23</v>
      </c>
      <c r="E605" s="718"/>
      <c r="F605" s="561"/>
      <c r="G605" s="563"/>
      <c r="H605" s="1041" t="s">
        <v>14</v>
      </c>
      <c r="I605" s="683"/>
      <c r="J605" s="683"/>
      <c r="K605" s="684"/>
      <c r="L605" s="567">
        <f t="shared" ref="L605:N605" ca="1" si="378">L606+L607</f>
        <v>0</v>
      </c>
      <c r="M605" s="568">
        <f t="shared" ca="1" si="378"/>
        <v>0</v>
      </c>
      <c r="N605" s="568">
        <f t="shared" ca="1" si="378"/>
        <v>0</v>
      </c>
      <c r="O605" s="568">
        <f t="shared" ca="1" si="369"/>
        <v>0</v>
      </c>
      <c r="P605" s="568">
        <f t="shared" ca="1" si="370"/>
        <v>0</v>
      </c>
      <c r="Q605" s="568">
        <f t="shared" ref="Q605:S605" ca="1" si="379">Q606+Q607</f>
        <v>0</v>
      </c>
      <c r="R605" s="568">
        <f t="shared" ca="1" si="379"/>
        <v>0</v>
      </c>
      <c r="S605" s="568">
        <f t="shared" ca="1" si="379"/>
        <v>0</v>
      </c>
      <c r="T605" s="568">
        <f t="shared" ca="1" si="372"/>
        <v>0</v>
      </c>
      <c r="U605" s="568">
        <f t="shared" ca="1" si="373"/>
        <v>0</v>
      </c>
    </row>
    <row r="606" spans="1:21" ht="18.75" hidden="1" x14ac:dyDescent="0.25">
      <c r="A606" s="674"/>
      <c r="B606" s="718"/>
      <c r="C606" s="718"/>
      <c r="D606" s="718"/>
      <c r="E606" s="767" t="s">
        <v>20</v>
      </c>
      <c r="F606" s="561"/>
      <c r="G606" s="563"/>
      <c r="H606" s="685" t="s">
        <v>14</v>
      </c>
      <c r="I606" s="683"/>
      <c r="J606" s="683"/>
      <c r="K606" s="684"/>
      <c r="L606" s="571">
        <v>0</v>
      </c>
      <c r="M606" s="572">
        <v>0</v>
      </c>
      <c r="N606" s="572">
        <v>0</v>
      </c>
      <c r="O606" s="572">
        <f t="shared" si="369"/>
        <v>0</v>
      </c>
      <c r="P606" s="572">
        <f t="shared" si="370"/>
        <v>0</v>
      </c>
      <c r="Q606" s="572">
        <v>0</v>
      </c>
      <c r="R606" s="572">
        <v>0</v>
      </c>
      <c r="S606" s="572">
        <v>0</v>
      </c>
      <c r="T606" s="572">
        <f t="shared" si="372"/>
        <v>0</v>
      </c>
      <c r="U606" s="572">
        <f t="shared" si="373"/>
        <v>0</v>
      </c>
    </row>
    <row r="607" spans="1:21" ht="18.75" hidden="1" x14ac:dyDescent="0.25">
      <c r="A607" s="674"/>
      <c r="B607" s="718"/>
      <c r="C607" s="718"/>
      <c r="D607" s="561"/>
      <c r="E607" s="767" t="s">
        <v>21</v>
      </c>
      <c r="F607" s="561"/>
      <c r="G607" s="563"/>
      <c r="H607" s="734" t="s">
        <v>14</v>
      </c>
      <c r="I607" s="683"/>
      <c r="J607" s="683"/>
      <c r="K607" s="684"/>
      <c r="L607" s="567">
        <f ca="1">IFERROR(__xludf.DUMMYFUNCTION("IMPORTRANGE(""https://docs.google.com/spreadsheets/d/1-uDff_7J0KD5mKrp0Vvzr7lt3OU09vwQwhkpOPPYv2Y/edit?usp=sharing"",""งบพรบ!HN18"")"),0)</f>
        <v>0</v>
      </c>
      <c r="M607" s="568">
        <f ca="1">IFERROR(__xludf.DUMMYFUNCTION("IMPORTRANGE(""https://docs.google.com/spreadsheets/d/1-uDff_7J0KD5mKrp0Vvzr7lt3OU09vwQwhkpOPPYv2Y/edit?usp=sharing"",""งบพรบ!HQ18"")"),0)</f>
        <v>0</v>
      </c>
      <c r="N607" s="568">
        <f ca="1">IFERROR(__xludf.DUMMYFUNCTION("IMPORTRANGE(""https://docs.google.com/spreadsheets/d/1-uDff_7J0KD5mKrp0Vvzr7lt3OU09vwQwhkpOPPYv2Y/edit?usp=sharing"",""งบพรบ!HS18"")"),0)</f>
        <v>0</v>
      </c>
      <c r="O607" s="568">
        <f t="shared" ca="1" si="369"/>
        <v>0</v>
      </c>
      <c r="P607" s="568">
        <f t="shared" ca="1" si="370"/>
        <v>0</v>
      </c>
      <c r="Q607" s="568">
        <f ca="1">IFERROR(__xludf.DUMMYFUNCTION("IMPORTRANGE(""https://docs.google.com/spreadsheets/d/1ItG2mGa2ceCfYo0BwxsXqNm01IGEUdYcSSLTEv9YCik/edit?usp=sharing"",""เบิกจ่ายกองทุน!AY18"")"),0)</f>
        <v>0</v>
      </c>
      <c r="R607" s="568">
        <f ca="1">IFERROR(__xludf.DUMMYFUNCTION("IMPORTRANGE(""https://docs.google.com/spreadsheets/d/1ItG2mGa2ceCfYo0BwxsXqNm01IGEUdYcSSLTEv9YCik/edit?usp=sharing"",""เบิกจ่ายกองทุน!AZ18"")"),0)</f>
        <v>0</v>
      </c>
      <c r="S607" s="568">
        <f ca="1">IFERROR(__xludf.DUMMYFUNCTION("IMPORTRANGE(""https://docs.google.com/spreadsheets/d/1ItG2mGa2ceCfYo0BwxsXqNm01IGEUdYcSSLTEv9YCik/edit?usp=sharing"",""เบิกจ่ายกองทุน!BA18"")"),0)</f>
        <v>0</v>
      </c>
      <c r="T607" s="568">
        <f t="shared" ca="1" si="372"/>
        <v>0</v>
      </c>
      <c r="U607" s="568">
        <f t="shared" ca="1" si="373"/>
        <v>0</v>
      </c>
    </row>
    <row r="608" spans="1:21" ht="19.5" hidden="1" x14ac:dyDescent="0.3">
      <c r="A608" s="687"/>
      <c r="B608" s="688"/>
      <c r="C608" s="724" t="s">
        <v>18</v>
      </c>
      <c r="D608" s="801" t="s">
        <v>38</v>
      </c>
      <c r="E608" s="690"/>
      <c r="F608" s="690"/>
      <c r="G608" s="691"/>
      <c r="H608" s="725"/>
      <c r="I608" s="683"/>
      <c r="J608" s="683"/>
      <c r="K608" s="684"/>
      <c r="L608" s="574"/>
      <c r="M608" s="566"/>
      <c r="N608" s="566"/>
      <c r="O608" s="566"/>
      <c r="P608" s="566"/>
      <c r="Q608" s="566"/>
      <c r="R608" s="566"/>
      <c r="S608" s="566"/>
      <c r="T608" s="566"/>
      <c r="U608" s="566"/>
    </row>
    <row r="609" spans="1:21" ht="18.75" hidden="1" x14ac:dyDescent="0.25">
      <c r="A609" s="687"/>
      <c r="B609" s="688"/>
      <c r="C609" s="688"/>
      <c r="D609" s="1042" t="s">
        <v>216</v>
      </c>
      <c r="E609" s="695"/>
      <c r="F609" s="695"/>
      <c r="G609" s="692"/>
      <c r="H609" s="685" t="s">
        <v>99</v>
      </c>
      <c r="I609" s="565"/>
      <c r="J609" s="565"/>
      <c r="K609" s="684"/>
      <c r="L609" s="574"/>
      <c r="M609" s="566"/>
      <c r="N609" s="566"/>
      <c r="O609" s="566"/>
      <c r="P609" s="566"/>
      <c r="Q609" s="566"/>
      <c r="R609" s="566"/>
      <c r="S609" s="566"/>
      <c r="T609" s="566"/>
      <c r="U609" s="566"/>
    </row>
    <row r="610" spans="1:21" ht="19.5" hidden="1" x14ac:dyDescent="0.3">
      <c r="A610" s="687"/>
      <c r="B610" s="688"/>
      <c r="C610" s="688"/>
      <c r="D610" s="1042" t="s">
        <v>217</v>
      </c>
      <c r="E610" s="695"/>
      <c r="F610" s="695"/>
      <c r="G610" s="692"/>
      <c r="H610" s="799" t="s">
        <v>35</v>
      </c>
      <c r="I610" s="565"/>
      <c r="J610" s="565"/>
      <c r="K610" s="684"/>
      <c r="L610" s="574"/>
      <c r="M610" s="566"/>
      <c r="N610" s="566"/>
      <c r="O610" s="566"/>
      <c r="P610" s="566"/>
      <c r="Q610" s="566"/>
      <c r="R610" s="566"/>
      <c r="S610" s="566"/>
      <c r="T610" s="566"/>
      <c r="U610" s="566"/>
    </row>
    <row r="611" spans="1:21" ht="18.75" hidden="1" x14ac:dyDescent="0.25">
      <c r="A611" s="687"/>
      <c r="B611" s="688"/>
      <c r="C611" s="688"/>
      <c r="D611" s="688"/>
      <c r="E611" s="1042" t="s">
        <v>218</v>
      </c>
      <c r="F611" s="695"/>
      <c r="G611" s="692"/>
      <c r="H611" s="734" t="s">
        <v>35</v>
      </c>
      <c r="I611" s="565"/>
      <c r="J611" s="565"/>
      <c r="K611" s="684"/>
      <c r="L611" s="574"/>
      <c r="M611" s="566"/>
      <c r="N611" s="566"/>
      <c r="O611" s="566"/>
      <c r="P611" s="566"/>
      <c r="Q611" s="566"/>
      <c r="R611" s="566"/>
      <c r="S611" s="566"/>
      <c r="T611" s="566"/>
      <c r="U611" s="566"/>
    </row>
    <row r="612" spans="1:21" ht="19.5" hidden="1" thickBot="1" x14ac:dyDescent="0.3">
      <c r="A612" s="1043"/>
      <c r="B612" s="1044"/>
      <c r="C612" s="1044"/>
      <c r="D612" s="1044"/>
      <c r="E612" s="1045" t="s">
        <v>219</v>
      </c>
      <c r="F612" s="1046"/>
      <c r="G612" s="1047"/>
      <c r="H612" s="1048" t="s">
        <v>35</v>
      </c>
      <c r="I612" s="1049"/>
      <c r="J612" s="1049"/>
      <c r="K612" s="1050"/>
      <c r="L612" s="1051"/>
      <c r="M612" s="1052"/>
      <c r="N612" s="1052"/>
      <c r="O612" s="1052"/>
      <c r="P612" s="1052"/>
      <c r="Q612" s="1052"/>
      <c r="R612" s="1052"/>
      <c r="S612" s="1052"/>
      <c r="T612" s="1052"/>
      <c r="U612" s="1052"/>
    </row>
    <row r="613" spans="1:21" ht="19.5" x14ac:dyDescent="0.3">
      <c r="A613" s="1053" t="s">
        <v>220</v>
      </c>
      <c r="B613" s="1054"/>
      <c r="C613" s="1054"/>
      <c r="D613" s="1055"/>
      <c r="E613" s="1055"/>
      <c r="F613" s="1055"/>
      <c r="G613" s="1056"/>
      <c r="H613" s="1057"/>
      <c r="I613" s="1058"/>
      <c r="J613" s="1058"/>
      <c r="K613" s="1059"/>
      <c r="L613" s="1060"/>
      <c r="M613" s="1059"/>
      <c r="N613" s="1059"/>
      <c r="O613" s="1059"/>
      <c r="P613" s="1059"/>
      <c r="Q613" s="1059"/>
      <c r="R613" s="1059"/>
      <c r="S613" s="1059"/>
      <c r="T613" s="1059"/>
      <c r="U613" s="1059"/>
    </row>
    <row r="614" spans="1:21" ht="19.5" x14ac:dyDescent="0.3">
      <c r="A614" s="1061"/>
      <c r="B614" s="1062" t="s">
        <v>221</v>
      </c>
      <c r="C614" s="1061"/>
      <c r="D614" s="1063"/>
      <c r="E614" s="1063"/>
      <c r="F614" s="1063"/>
      <c r="G614" s="1064"/>
      <c r="H614" s="1065"/>
      <c r="I614" s="1066"/>
      <c r="J614" s="1066"/>
      <c r="K614" s="1067"/>
      <c r="L614" s="1068"/>
      <c r="M614" s="1067"/>
      <c r="N614" s="1067"/>
      <c r="O614" s="1067"/>
      <c r="P614" s="1067"/>
      <c r="Q614" s="1067"/>
      <c r="R614" s="1067"/>
      <c r="S614" s="1067"/>
      <c r="T614" s="1067"/>
      <c r="U614" s="1067"/>
    </row>
    <row r="615" spans="1:21" ht="19.5" x14ac:dyDescent="0.3">
      <c r="A615" s="1069"/>
      <c r="B615" s="1070" t="s">
        <v>222</v>
      </c>
      <c r="C615" s="1069"/>
      <c r="D615" s="1071"/>
      <c r="E615" s="1071"/>
      <c r="F615" s="1071"/>
      <c r="G615" s="1072"/>
      <c r="H615" s="1073" t="s">
        <v>46</v>
      </c>
      <c r="I615" s="1074">
        <f t="shared" ref="I615:J615" ca="1" si="380">I626</f>
        <v>50</v>
      </c>
      <c r="J615" s="1074">
        <f t="shared" si="380"/>
        <v>0</v>
      </c>
      <c r="K615" s="1075">
        <f ca="1">IF(I615&gt;0,J615*100/I615,0)</f>
        <v>0</v>
      </c>
      <c r="L615" s="1076"/>
      <c r="M615" s="1077"/>
      <c r="N615" s="1077"/>
      <c r="O615" s="1077"/>
      <c r="P615" s="1077"/>
      <c r="Q615" s="1077"/>
      <c r="R615" s="1077"/>
      <c r="S615" s="1077"/>
      <c r="T615" s="1077"/>
      <c r="U615" s="1077"/>
    </row>
    <row r="616" spans="1:21" ht="19.5" x14ac:dyDescent="0.3">
      <c r="A616" s="674"/>
      <c r="B616" s="718"/>
      <c r="C616" s="724" t="s">
        <v>18</v>
      </c>
      <c r="D616" s="1310" t="s">
        <v>19</v>
      </c>
      <c r="E616" s="1311"/>
      <c r="F616" s="1311"/>
      <c r="G616" s="1312"/>
      <c r="H616" s="780" t="s">
        <v>14</v>
      </c>
      <c r="I616" s="565"/>
      <c r="J616" s="565"/>
      <c r="K616" s="566"/>
      <c r="L616" s="678">
        <f t="shared" ref="L616:N616" si="381">L617+L618</f>
        <v>0</v>
      </c>
      <c r="M616" s="679">
        <f t="shared" si="381"/>
        <v>0</v>
      </c>
      <c r="N616" s="679">
        <f t="shared" si="381"/>
        <v>0</v>
      </c>
      <c r="O616" s="679">
        <f t="shared" ref="O616:O624" si="382">IF(L616&gt;0,N616*100/L616,0)</f>
        <v>0</v>
      </c>
      <c r="P616" s="679">
        <f t="shared" ref="P616:P624" si="383">IF(M616&gt;0,N616*100/M616,0)</f>
        <v>0</v>
      </c>
      <c r="Q616" s="679">
        <f t="shared" ref="Q616:S616" ca="1" si="384">Q617+Q618</f>
        <v>7475</v>
      </c>
      <c r="R616" s="679">
        <f t="shared" ca="1" si="384"/>
        <v>7475</v>
      </c>
      <c r="S616" s="679">
        <f t="shared" ca="1" si="384"/>
        <v>2140</v>
      </c>
      <c r="T616" s="679">
        <f t="shared" ref="T616:T624" ca="1" si="385">IF(Q616&gt;0,S616*100/Q616,0)</f>
        <v>28.628762541806019</v>
      </c>
      <c r="U616" s="679">
        <f t="shared" ref="U616:U624" ca="1" si="386">IF(R616&gt;0,S616*100/R616,0)</f>
        <v>28.628762541806019</v>
      </c>
    </row>
    <row r="617" spans="1:21" ht="18.75" x14ac:dyDescent="0.25">
      <c r="A617" s="674"/>
      <c r="B617" s="718"/>
      <c r="C617" s="718"/>
      <c r="D617" s="695"/>
      <c r="E617" s="569" t="s">
        <v>158</v>
      </c>
      <c r="F617" s="561"/>
      <c r="G617" s="563"/>
      <c r="H617" s="685" t="s">
        <v>14</v>
      </c>
      <c r="I617" s="565"/>
      <c r="J617" s="565"/>
      <c r="K617" s="566"/>
      <c r="L617" s="571">
        <f t="shared" ref="L617:N618" si="387">L620+L623</f>
        <v>0</v>
      </c>
      <c r="M617" s="572">
        <f t="shared" si="387"/>
        <v>0</v>
      </c>
      <c r="N617" s="572">
        <f t="shared" si="387"/>
        <v>0</v>
      </c>
      <c r="O617" s="572">
        <f t="shared" si="382"/>
        <v>0</v>
      </c>
      <c r="P617" s="572">
        <f t="shared" si="383"/>
        <v>0</v>
      </c>
      <c r="Q617" s="572">
        <f t="shared" ref="Q617:S618" si="388">Q620+Q623</f>
        <v>0</v>
      </c>
      <c r="R617" s="572">
        <f t="shared" si="388"/>
        <v>0</v>
      </c>
      <c r="S617" s="572">
        <f t="shared" si="388"/>
        <v>0</v>
      </c>
      <c r="T617" s="572">
        <f t="shared" si="385"/>
        <v>0</v>
      </c>
      <c r="U617" s="572">
        <f t="shared" si="386"/>
        <v>0</v>
      </c>
    </row>
    <row r="618" spans="1:21" ht="18.75" x14ac:dyDescent="0.25">
      <c r="A618" s="674"/>
      <c r="B618" s="718"/>
      <c r="C618" s="718"/>
      <c r="D618" s="695"/>
      <c r="E618" s="573" t="s">
        <v>159</v>
      </c>
      <c r="F618" s="561"/>
      <c r="G618" s="563"/>
      <c r="H618" s="682" t="s">
        <v>14</v>
      </c>
      <c r="I618" s="565"/>
      <c r="J618" s="565"/>
      <c r="K618" s="566"/>
      <c r="L618" s="567">
        <f t="shared" si="387"/>
        <v>0</v>
      </c>
      <c r="M618" s="568">
        <f t="shared" si="387"/>
        <v>0</v>
      </c>
      <c r="N618" s="568">
        <f t="shared" si="387"/>
        <v>0</v>
      </c>
      <c r="O618" s="568">
        <f t="shared" si="382"/>
        <v>0</v>
      </c>
      <c r="P618" s="568">
        <f t="shared" si="383"/>
        <v>0</v>
      </c>
      <c r="Q618" s="568">
        <f t="shared" ca="1" si="388"/>
        <v>7475</v>
      </c>
      <c r="R618" s="568">
        <f t="shared" ca="1" si="388"/>
        <v>7475</v>
      </c>
      <c r="S618" s="568">
        <f t="shared" ca="1" si="388"/>
        <v>2140</v>
      </c>
      <c r="T618" s="568">
        <f t="shared" ca="1" si="385"/>
        <v>28.628762541806019</v>
      </c>
      <c r="U618" s="568">
        <f t="shared" ca="1" si="386"/>
        <v>28.628762541806019</v>
      </c>
    </row>
    <row r="619" spans="1:21" ht="18.75" x14ac:dyDescent="0.25">
      <c r="A619" s="674"/>
      <c r="B619" s="718"/>
      <c r="C619" s="718"/>
      <c r="D619" s="562" t="s">
        <v>22</v>
      </c>
      <c r="E619" s="561"/>
      <c r="F619" s="561"/>
      <c r="G619" s="563"/>
      <c r="H619" s="682" t="s">
        <v>14</v>
      </c>
      <c r="I619" s="683"/>
      <c r="J619" s="683"/>
      <c r="K619" s="684"/>
      <c r="L619" s="567">
        <f t="shared" ref="L619:N619" si="389">L620+L621</f>
        <v>0</v>
      </c>
      <c r="M619" s="568">
        <f t="shared" si="389"/>
        <v>0</v>
      </c>
      <c r="N619" s="568">
        <f t="shared" si="389"/>
        <v>0</v>
      </c>
      <c r="O619" s="568">
        <f t="shared" si="382"/>
        <v>0</v>
      </c>
      <c r="P619" s="568">
        <f t="shared" si="383"/>
        <v>0</v>
      </c>
      <c r="Q619" s="568">
        <f t="shared" ref="Q619:S619" ca="1" si="390">Q620+Q621</f>
        <v>7475</v>
      </c>
      <c r="R619" s="568">
        <f t="shared" ca="1" si="390"/>
        <v>7475</v>
      </c>
      <c r="S619" s="568">
        <f t="shared" ca="1" si="390"/>
        <v>2140</v>
      </c>
      <c r="T619" s="568">
        <f t="shared" ca="1" si="385"/>
        <v>28.628762541806019</v>
      </c>
      <c r="U619" s="568">
        <f t="shared" ca="1" si="386"/>
        <v>28.628762541806019</v>
      </c>
    </row>
    <row r="620" spans="1:21" ht="18.75" x14ac:dyDescent="0.25">
      <c r="A620" s="674"/>
      <c r="B620" s="718"/>
      <c r="C620" s="718"/>
      <c r="D620" s="695"/>
      <c r="E620" s="569" t="s">
        <v>158</v>
      </c>
      <c r="F620" s="561"/>
      <c r="G620" s="563"/>
      <c r="H620" s="685" t="s">
        <v>14</v>
      </c>
      <c r="I620" s="565"/>
      <c r="J620" s="565"/>
      <c r="K620" s="566"/>
      <c r="L620" s="571">
        <v>0</v>
      </c>
      <c r="M620" s="572">
        <v>0</v>
      </c>
      <c r="N620" s="572">
        <v>0</v>
      </c>
      <c r="O620" s="572">
        <f t="shared" si="382"/>
        <v>0</v>
      </c>
      <c r="P620" s="572">
        <f t="shared" si="383"/>
        <v>0</v>
      </c>
      <c r="Q620" s="572">
        <v>0</v>
      </c>
      <c r="R620" s="572">
        <v>0</v>
      </c>
      <c r="S620" s="572">
        <v>0</v>
      </c>
      <c r="T620" s="572">
        <f t="shared" si="385"/>
        <v>0</v>
      </c>
      <c r="U620" s="572">
        <f t="shared" si="386"/>
        <v>0</v>
      </c>
    </row>
    <row r="621" spans="1:21" ht="18.75" x14ac:dyDescent="0.25">
      <c r="A621" s="674"/>
      <c r="B621" s="718"/>
      <c r="C621" s="718"/>
      <c r="D621" s="695"/>
      <c r="E621" s="573" t="s">
        <v>159</v>
      </c>
      <c r="F621" s="561"/>
      <c r="G621" s="563"/>
      <c r="H621" s="682" t="s">
        <v>14</v>
      </c>
      <c r="I621" s="565"/>
      <c r="J621" s="565"/>
      <c r="K621" s="566"/>
      <c r="L621" s="567">
        <v>0</v>
      </c>
      <c r="M621" s="568">
        <v>0</v>
      </c>
      <c r="N621" s="568">
        <v>0</v>
      </c>
      <c r="O621" s="568">
        <f t="shared" si="382"/>
        <v>0</v>
      </c>
      <c r="P621" s="568">
        <f t="shared" si="383"/>
        <v>0</v>
      </c>
      <c r="Q621" s="568">
        <f ca="1">IFERROR(__xludf.DUMMYFUNCTION("IMPORTRANGE(""https://docs.google.com/spreadsheets/d/1ItG2mGa2ceCfYo0BwxsXqNm01IGEUdYcSSLTEv9YCik/edit?usp=sharing"",""เบิกจ่ายกองทุน!F18"")"),7475)</f>
        <v>7475</v>
      </c>
      <c r="R621" s="568">
        <f ca="1">IFERROR(__xludf.DUMMYFUNCTION("IMPORTRANGE(""https://docs.google.com/spreadsheets/d/1ItG2mGa2ceCfYo0BwxsXqNm01IGEUdYcSSLTEv9YCik/edit?usp=sharing"",""เบิกจ่ายกองทุน!G18"")"),7475)</f>
        <v>7475</v>
      </c>
      <c r="S621" s="568">
        <f ca="1">IFERROR(__xludf.DUMMYFUNCTION("IMPORTRANGE(""https://docs.google.com/spreadsheets/d/1ItG2mGa2ceCfYo0BwxsXqNm01IGEUdYcSSLTEv9YCik/edit?usp=sharing"",""เบิกจ่ายกองทุน!H18"")"),2140)</f>
        <v>2140</v>
      </c>
      <c r="T621" s="568">
        <f t="shared" ca="1" si="385"/>
        <v>28.628762541806019</v>
      </c>
      <c r="U621" s="568">
        <f t="shared" ca="1" si="386"/>
        <v>28.628762541806019</v>
      </c>
    </row>
    <row r="622" spans="1:21" ht="18.75" x14ac:dyDescent="0.25">
      <c r="A622" s="674"/>
      <c r="B622" s="718"/>
      <c r="C622" s="718"/>
      <c r="D622" s="562" t="s">
        <v>23</v>
      </c>
      <c r="E622" s="561"/>
      <c r="F622" s="561"/>
      <c r="G622" s="563"/>
      <c r="H622" s="686" t="s">
        <v>14</v>
      </c>
      <c r="I622" s="683"/>
      <c r="J622" s="683"/>
      <c r="K622" s="684"/>
      <c r="L622" s="567">
        <f t="shared" ref="L622:N622" si="391">L623+L624</f>
        <v>0</v>
      </c>
      <c r="M622" s="568">
        <f t="shared" si="391"/>
        <v>0</v>
      </c>
      <c r="N622" s="568">
        <f t="shared" si="391"/>
        <v>0</v>
      </c>
      <c r="O622" s="568">
        <f t="shared" si="382"/>
        <v>0</v>
      </c>
      <c r="P622" s="568">
        <f t="shared" si="383"/>
        <v>0</v>
      </c>
      <c r="Q622" s="568">
        <f t="shared" ref="Q622:S622" si="392">Q623+Q624</f>
        <v>0</v>
      </c>
      <c r="R622" s="568">
        <f t="shared" si="392"/>
        <v>0</v>
      </c>
      <c r="S622" s="568">
        <f t="shared" si="392"/>
        <v>0</v>
      </c>
      <c r="T622" s="568">
        <f t="shared" si="385"/>
        <v>0</v>
      </c>
      <c r="U622" s="568">
        <f t="shared" si="386"/>
        <v>0</v>
      </c>
    </row>
    <row r="623" spans="1:21" ht="18.75" x14ac:dyDescent="0.25">
      <c r="A623" s="674"/>
      <c r="B623" s="718"/>
      <c r="C623" s="718"/>
      <c r="D623" s="718"/>
      <c r="E623" s="569" t="s">
        <v>20</v>
      </c>
      <c r="F623" s="561"/>
      <c r="G623" s="563"/>
      <c r="H623" s="685" t="s">
        <v>14</v>
      </c>
      <c r="I623" s="683"/>
      <c r="J623" s="683"/>
      <c r="K623" s="684"/>
      <c r="L623" s="571">
        <v>0</v>
      </c>
      <c r="M623" s="572">
        <v>0</v>
      </c>
      <c r="N623" s="572">
        <v>0</v>
      </c>
      <c r="O623" s="572">
        <f t="shared" si="382"/>
        <v>0</v>
      </c>
      <c r="P623" s="572">
        <f t="shared" si="383"/>
        <v>0</v>
      </c>
      <c r="Q623" s="572">
        <v>0</v>
      </c>
      <c r="R623" s="572">
        <v>0</v>
      </c>
      <c r="S623" s="572">
        <v>0</v>
      </c>
      <c r="T623" s="572">
        <f t="shared" si="385"/>
        <v>0</v>
      </c>
      <c r="U623" s="572">
        <f t="shared" si="386"/>
        <v>0</v>
      </c>
    </row>
    <row r="624" spans="1:21" ht="18.75" x14ac:dyDescent="0.25">
      <c r="A624" s="674"/>
      <c r="B624" s="718"/>
      <c r="C624" s="718"/>
      <c r="D624" s="718"/>
      <c r="E624" s="573" t="s">
        <v>21</v>
      </c>
      <c r="F624" s="561"/>
      <c r="G624" s="563"/>
      <c r="H624" s="686" t="s">
        <v>14</v>
      </c>
      <c r="I624" s="683"/>
      <c r="J624" s="683"/>
      <c r="K624" s="684"/>
      <c r="L624" s="567">
        <v>0</v>
      </c>
      <c r="M624" s="568">
        <v>0</v>
      </c>
      <c r="N624" s="568">
        <v>0</v>
      </c>
      <c r="O624" s="568">
        <f t="shared" si="382"/>
        <v>0</v>
      </c>
      <c r="P624" s="568">
        <f t="shared" si="383"/>
        <v>0</v>
      </c>
      <c r="Q624" s="568">
        <v>0</v>
      </c>
      <c r="R624" s="568">
        <v>0</v>
      </c>
      <c r="S624" s="568">
        <v>0</v>
      </c>
      <c r="T624" s="568">
        <f t="shared" si="385"/>
        <v>0</v>
      </c>
      <c r="U624" s="568">
        <f t="shared" si="386"/>
        <v>0</v>
      </c>
    </row>
    <row r="625" spans="1:21" ht="19.5" x14ac:dyDescent="0.3">
      <c r="A625" s="687"/>
      <c r="B625" s="688"/>
      <c r="C625" s="724" t="s">
        <v>18</v>
      </c>
      <c r="D625" s="1078" t="s">
        <v>38</v>
      </c>
      <c r="E625" s="690"/>
      <c r="F625" s="690"/>
      <c r="G625" s="691"/>
      <c r="H625" s="725"/>
      <c r="I625" s="683"/>
      <c r="J625" s="683"/>
      <c r="K625" s="684"/>
      <c r="L625" s="693"/>
      <c r="M625" s="684"/>
      <c r="N625" s="684"/>
      <c r="O625" s="684"/>
      <c r="P625" s="684"/>
      <c r="Q625" s="684"/>
      <c r="R625" s="684"/>
      <c r="S625" s="684"/>
      <c r="T625" s="684"/>
      <c r="U625" s="684"/>
    </row>
    <row r="626" spans="1:21" ht="19.5" x14ac:dyDescent="0.3">
      <c r="A626" s="687"/>
      <c r="B626" s="688"/>
      <c r="C626" s="688"/>
      <c r="D626" s="1079" t="s">
        <v>223</v>
      </c>
      <c r="E626" s="695"/>
      <c r="F626" s="695"/>
      <c r="G626" s="692"/>
      <c r="H626" s="1080" t="s">
        <v>46</v>
      </c>
      <c r="I626" s="697">
        <f ca="1">IFERROR(__xludf.DUMMYFUNCTION("IMPORTRANGE(""https://docs.google.com/spreadsheets/d/1eHaY18a8A9IcSdp1K8H6x8fbOy06t2VsZHhMHf-1x7Y/edit?usp=sharing"",""แผน!ID18"")"),50)</f>
        <v>50</v>
      </c>
      <c r="J626" s="697">
        <f>J632</f>
        <v>0</v>
      </c>
      <c r="K626" s="679">
        <f ca="1">IF(I626&gt;0,J626*100/I626,0)</f>
        <v>0</v>
      </c>
      <c r="L626" s="693"/>
      <c r="M626" s="684"/>
      <c r="N626" s="684"/>
      <c r="O626" s="684"/>
      <c r="P626" s="684"/>
      <c r="Q626" s="684"/>
      <c r="R626" s="684"/>
      <c r="S626" s="684"/>
      <c r="T626" s="684"/>
      <c r="U626" s="684"/>
    </row>
    <row r="627" spans="1:21" ht="18.75" x14ac:dyDescent="0.25">
      <c r="A627" s="687"/>
      <c r="B627" s="688"/>
      <c r="C627" s="688"/>
      <c r="D627" s="688"/>
      <c r="E627" s="699" t="s">
        <v>224</v>
      </c>
      <c r="F627" s="695"/>
      <c r="G627" s="692"/>
      <c r="H627" s="686" t="s">
        <v>61</v>
      </c>
      <c r="I627" s="708">
        <f ca="1">IFERROR(__xludf.DUMMYFUNCTION("IMPORTRANGE(""https://docs.google.com/spreadsheets/d/1eHaY18a8A9IcSdp1K8H6x8fbOy06t2VsZHhMHf-1x7Y/edit?usp=sharing"",""แผน!IC18"")"),1)</f>
        <v>1</v>
      </c>
      <c r="J627" s="702">
        <v>1</v>
      </c>
      <c r="K627" s="568">
        <f t="shared" ref="K627:K628" ca="1" si="393">IF(I627&gt;0,(J627*100)/I627,0)</f>
        <v>100</v>
      </c>
      <c r="L627" s="693"/>
      <c r="M627" s="684"/>
      <c r="N627" s="684"/>
      <c r="O627" s="684"/>
      <c r="P627" s="684"/>
      <c r="Q627" s="684"/>
      <c r="R627" s="684"/>
      <c r="S627" s="684"/>
      <c r="T627" s="684"/>
      <c r="U627" s="684"/>
    </row>
    <row r="628" spans="1:21" ht="18.75" x14ac:dyDescent="0.25">
      <c r="A628" s="687"/>
      <c r="B628" s="688"/>
      <c r="C628" s="688"/>
      <c r="D628" s="688"/>
      <c r="E628" s="699" t="s">
        <v>225</v>
      </c>
      <c r="F628" s="695"/>
      <c r="G628" s="692"/>
      <c r="H628" s="686" t="s">
        <v>61</v>
      </c>
      <c r="I628" s="708">
        <f ca="1">IFERROR(__xludf.DUMMYFUNCTION("IMPORTRANGE(""https://docs.google.com/spreadsheets/d/1eHaY18a8A9IcSdp1K8H6x8fbOy06t2VsZHhMHf-1x7Y/edit?usp=sharing"",""แผน!IC18"")"),1)</f>
        <v>1</v>
      </c>
      <c r="J628" s="702">
        <v>1</v>
      </c>
      <c r="K628" s="568">
        <f t="shared" ca="1" si="393"/>
        <v>100</v>
      </c>
      <c r="L628" s="693"/>
      <c r="M628" s="684"/>
      <c r="N628" s="684"/>
      <c r="O628" s="684"/>
      <c r="P628" s="684"/>
      <c r="Q628" s="684"/>
      <c r="R628" s="684"/>
      <c r="S628" s="684"/>
      <c r="T628" s="684"/>
      <c r="U628" s="684"/>
    </row>
    <row r="629" spans="1:21" ht="18.75" x14ac:dyDescent="0.25">
      <c r="A629" s="687"/>
      <c r="B629" s="688"/>
      <c r="C629" s="688"/>
      <c r="D629" s="688"/>
      <c r="E629" s="699" t="s">
        <v>226</v>
      </c>
      <c r="F629" s="695"/>
      <c r="G629" s="692"/>
      <c r="H629" s="686" t="s">
        <v>46</v>
      </c>
      <c r="I629" s="565"/>
      <c r="J629" s="702">
        <v>0</v>
      </c>
      <c r="K629" s="568">
        <f t="shared" ref="K629:K631" ca="1" si="394">IF(I$626&gt;0,J629*100/I$626,0)</f>
        <v>0</v>
      </c>
      <c r="L629" s="693"/>
      <c r="M629" s="684"/>
      <c r="N629" s="684"/>
      <c r="O629" s="684"/>
      <c r="P629" s="684"/>
      <c r="Q629" s="684"/>
      <c r="R629" s="684"/>
      <c r="S629" s="684"/>
      <c r="T629" s="684"/>
      <c r="U629" s="684"/>
    </row>
    <row r="630" spans="1:21" ht="18.75" x14ac:dyDescent="0.25">
      <c r="A630" s="687"/>
      <c r="B630" s="688"/>
      <c r="C630" s="688"/>
      <c r="D630" s="688"/>
      <c r="E630" s="699" t="s">
        <v>227</v>
      </c>
      <c r="F630" s="695"/>
      <c r="G630" s="692"/>
      <c r="H630" s="686" t="s">
        <v>46</v>
      </c>
      <c r="I630" s="565"/>
      <c r="J630" s="702">
        <v>0</v>
      </c>
      <c r="K630" s="568">
        <f t="shared" ca="1" si="394"/>
        <v>0</v>
      </c>
      <c r="L630" s="693"/>
      <c r="M630" s="684"/>
      <c r="N630" s="684"/>
      <c r="O630" s="684"/>
      <c r="P630" s="684"/>
      <c r="Q630" s="684"/>
      <c r="R630" s="684"/>
      <c r="S630" s="684"/>
      <c r="T630" s="684"/>
      <c r="U630" s="684"/>
    </row>
    <row r="631" spans="1:21" ht="18.75" x14ac:dyDescent="0.25">
      <c r="A631" s="687"/>
      <c r="B631" s="688"/>
      <c r="C631" s="688"/>
      <c r="D631" s="688"/>
      <c r="E631" s="699" t="s">
        <v>228</v>
      </c>
      <c r="F631" s="695"/>
      <c r="G631" s="692"/>
      <c r="H631" s="686" t="s">
        <v>46</v>
      </c>
      <c r="I631" s="565"/>
      <c r="J631" s="702">
        <v>0</v>
      </c>
      <c r="K631" s="568">
        <f t="shared" ca="1" si="394"/>
        <v>0</v>
      </c>
      <c r="L631" s="693"/>
      <c r="M631" s="684"/>
      <c r="N631" s="684"/>
      <c r="O631" s="684"/>
      <c r="P631" s="684"/>
      <c r="Q631" s="684"/>
      <c r="R631" s="684"/>
      <c r="S631" s="684"/>
      <c r="T631" s="684"/>
      <c r="U631" s="684"/>
    </row>
    <row r="632" spans="1:21" ht="19.5" x14ac:dyDescent="0.3">
      <c r="A632" s="687"/>
      <c r="B632" s="688"/>
      <c r="C632" s="688"/>
      <c r="D632" s="688"/>
      <c r="E632" s="699" t="s">
        <v>229</v>
      </c>
      <c r="F632" s="695"/>
      <c r="G632" s="692"/>
      <c r="H632" s="686" t="s">
        <v>46</v>
      </c>
      <c r="I632" s="565"/>
      <c r="J632" s="697">
        <f>J633+J634</f>
        <v>0</v>
      </c>
      <c r="K632" s="679">
        <f ca="1">IF(I626&gt;0,J632*100/I626,0)</f>
        <v>0</v>
      </c>
      <c r="L632" s="693"/>
      <c r="M632" s="684"/>
      <c r="N632" s="684"/>
      <c r="O632" s="684"/>
      <c r="P632" s="684"/>
      <c r="Q632" s="684"/>
      <c r="R632" s="684"/>
      <c r="S632" s="684"/>
      <c r="T632" s="684"/>
      <c r="U632" s="684"/>
    </row>
    <row r="633" spans="1:21" ht="18.75" x14ac:dyDescent="0.25">
      <c r="A633" s="687"/>
      <c r="B633" s="688"/>
      <c r="C633" s="688"/>
      <c r="D633" s="688"/>
      <c r="E633" s="695"/>
      <c r="F633" s="699" t="s">
        <v>230</v>
      </c>
      <c r="G633" s="692"/>
      <c r="H633" s="686" t="s">
        <v>46</v>
      </c>
      <c r="I633" s="565"/>
      <c r="J633" s="702">
        <v>0</v>
      </c>
      <c r="K633" s="566"/>
      <c r="L633" s="693"/>
      <c r="M633" s="684"/>
      <c r="N633" s="684"/>
      <c r="O633" s="684"/>
      <c r="P633" s="684"/>
      <c r="Q633" s="684"/>
      <c r="R633" s="684"/>
      <c r="S633" s="684"/>
      <c r="T633" s="684"/>
      <c r="U633" s="684"/>
    </row>
    <row r="634" spans="1:21" ht="18.75" x14ac:dyDescent="0.25">
      <c r="A634" s="687"/>
      <c r="B634" s="688"/>
      <c r="C634" s="688"/>
      <c r="D634" s="688"/>
      <c r="E634" s="695"/>
      <c r="F634" s="699" t="s">
        <v>231</v>
      </c>
      <c r="G634" s="692"/>
      <c r="H634" s="686" t="s">
        <v>46</v>
      </c>
      <c r="I634" s="565"/>
      <c r="J634" s="702">
        <v>0</v>
      </c>
      <c r="K634" s="566"/>
      <c r="L634" s="693"/>
      <c r="M634" s="684"/>
      <c r="N634" s="684"/>
      <c r="O634" s="684"/>
      <c r="P634" s="684"/>
      <c r="Q634" s="684"/>
      <c r="R634" s="684"/>
      <c r="S634" s="684"/>
      <c r="T634" s="684"/>
      <c r="U634" s="684"/>
    </row>
    <row r="635" spans="1:21" ht="19.5" x14ac:dyDescent="0.3">
      <c r="A635" s="687"/>
      <c r="B635" s="688"/>
      <c r="C635" s="688"/>
      <c r="D635" s="1079" t="s">
        <v>232</v>
      </c>
      <c r="E635" s="695"/>
      <c r="F635" s="695"/>
      <c r="G635" s="692"/>
      <c r="H635" s="686" t="s">
        <v>46</v>
      </c>
      <c r="I635" s="697">
        <f ca="1">IFERROR(__xludf.DUMMYFUNCTION("IMPORTRANGE(""https://docs.google.com/spreadsheets/d/1eHaY18a8A9IcSdp1K8H6x8fbOy06t2VsZHhMHf-1x7Y/edit?usp=sharing"",""แผน!IE18"")"),0)</f>
        <v>0</v>
      </c>
      <c r="J635" s="697">
        <f>J636</f>
        <v>0</v>
      </c>
      <c r="K635" s="679">
        <f ca="1">IF(I635&gt;0,J635*100/I635,0)</f>
        <v>0</v>
      </c>
      <c r="L635" s="693"/>
      <c r="M635" s="684"/>
      <c r="N635" s="684"/>
      <c r="O635" s="684"/>
      <c r="P635" s="684"/>
      <c r="Q635" s="684"/>
      <c r="R635" s="684"/>
      <c r="S635" s="684"/>
      <c r="T635" s="684"/>
      <c r="U635" s="684"/>
    </row>
    <row r="636" spans="1:21" ht="18.75" x14ac:dyDescent="0.25">
      <c r="A636" s="687"/>
      <c r="B636" s="688"/>
      <c r="C636" s="688"/>
      <c r="D636" s="688"/>
      <c r="E636" s="699" t="s">
        <v>233</v>
      </c>
      <c r="F636" s="695"/>
      <c r="G636" s="692"/>
      <c r="H636" s="686" t="s">
        <v>46</v>
      </c>
      <c r="I636" s="565"/>
      <c r="J636" s="708">
        <f>J637+J638</f>
        <v>0</v>
      </c>
      <c r="K636" s="566"/>
      <c r="L636" s="693"/>
      <c r="M636" s="684"/>
      <c r="N636" s="684"/>
      <c r="O636" s="684"/>
      <c r="P636" s="684"/>
      <c r="Q636" s="684"/>
      <c r="R636" s="684"/>
      <c r="S636" s="684"/>
      <c r="T636" s="684"/>
      <c r="U636" s="684"/>
    </row>
    <row r="637" spans="1:21" ht="18.75" x14ac:dyDescent="0.25">
      <c r="A637" s="687"/>
      <c r="B637" s="688"/>
      <c r="C637" s="688"/>
      <c r="D637" s="688"/>
      <c r="E637" s="695"/>
      <c r="F637" s="699" t="s">
        <v>230</v>
      </c>
      <c r="G637" s="692"/>
      <c r="H637" s="686" t="s">
        <v>46</v>
      </c>
      <c r="I637" s="565"/>
      <c r="J637" s="702">
        <v>0</v>
      </c>
      <c r="K637" s="566"/>
      <c r="L637" s="693"/>
      <c r="M637" s="684"/>
      <c r="N637" s="684"/>
      <c r="O637" s="684"/>
      <c r="P637" s="684"/>
      <c r="Q637" s="684"/>
      <c r="R637" s="684"/>
      <c r="S637" s="684"/>
      <c r="T637" s="684"/>
      <c r="U637" s="684"/>
    </row>
    <row r="638" spans="1:21" ht="18.75" x14ac:dyDescent="0.25">
      <c r="A638" s="687"/>
      <c r="B638" s="688"/>
      <c r="C638" s="688"/>
      <c r="D638" s="688"/>
      <c r="E638" s="695"/>
      <c r="F638" s="699" t="s">
        <v>231</v>
      </c>
      <c r="G638" s="692"/>
      <c r="H638" s="686" t="s">
        <v>46</v>
      </c>
      <c r="I638" s="565"/>
      <c r="J638" s="702">
        <v>0</v>
      </c>
      <c r="K638" s="566"/>
      <c r="L638" s="693"/>
      <c r="M638" s="684"/>
      <c r="N638" s="684"/>
      <c r="O638" s="684"/>
      <c r="P638" s="684"/>
      <c r="Q638" s="684"/>
      <c r="R638" s="684"/>
      <c r="S638" s="684"/>
      <c r="T638" s="684"/>
      <c r="U638" s="684"/>
    </row>
    <row r="639" spans="1:21" ht="18.75" x14ac:dyDescent="0.25">
      <c r="A639" s="687"/>
      <c r="B639" s="688"/>
      <c r="C639" s="688"/>
      <c r="D639" s="688"/>
      <c r="E639" s="699" t="s">
        <v>234</v>
      </c>
      <c r="F639" s="695"/>
      <c r="G639" s="692"/>
      <c r="H639" s="686" t="s">
        <v>46</v>
      </c>
      <c r="I639" s="565"/>
      <c r="J639" s="702">
        <v>0</v>
      </c>
      <c r="K639" s="566"/>
      <c r="L639" s="693"/>
      <c r="M639" s="684"/>
      <c r="N639" s="684"/>
      <c r="O639" s="684"/>
      <c r="P639" s="684"/>
      <c r="Q639" s="684"/>
      <c r="R639" s="684"/>
      <c r="S639" s="684"/>
      <c r="T639" s="684"/>
      <c r="U639" s="684"/>
    </row>
    <row r="640" spans="1:21" ht="18.75" x14ac:dyDescent="0.25">
      <c r="A640" s="687"/>
      <c r="B640" s="688"/>
      <c r="C640" s="688"/>
      <c r="D640" s="688"/>
      <c r="E640" s="695"/>
      <c r="F640" s="699" t="s">
        <v>235</v>
      </c>
      <c r="G640" s="692"/>
      <c r="H640" s="686" t="s">
        <v>46</v>
      </c>
      <c r="I640" s="565"/>
      <c r="J640" s="702">
        <v>0</v>
      </c>
      <c r="K640" s="566"/>
      <c r="L640" s="693"/>
      <c r="M640" s="684"/>
      <c r="N640" s="684"/>
      <c r="O640" s="684"/>
      <c r="P640" s="684"/>
      <c r="Q640" s="684"/>
      <c r="R640" s="684"/>
      <c r="S640" s="684"/>
      <c r="T640" s="684"/>
      <c r="U640" s="684"/>
    </row>
    <row r="641" spans="1:21" ht="19.5" x14ac:dyDescent="0.3">
      <c r="A641" s="1069"/>
      <c r="B641" s="1070" t="s">
        <v>236</v>
      </c>
      <c r="C641" s="1069"/>
      <c r="D641" s="1071"/>
      <c r="E641" s="1071"/>
      <c r="F641" s="1071"/>
      <c r="G641" s="1072"/>
      <c r="H641" s="1081"/>
      <c r="I641" s="1082"/>
      <c r="J641" s="1082"/>
      <c r="K641" s="1077"/>
      <c r="L641" s="1076"/>
      <c r="M641" s="1077"/>
      <c r="N641" s="1077"/>
      <c r="O641" s="1077"/>
      <c r="P641" s="1077"/>
      <c r="Q641" s="1077"/>
      <c r="R641" s="1077"/>
      <c r="S641" s="1077"/>
      <c r="T641" s="1077"/>
      <c r="U641" s="1077"/>
    </row>
    <row r="642" spans="1:21" ht="19.5" x14ac:dyDescent="0.3">
      <c r="A642" s="674"/>
      <c r="B642" s="718"/>
      <c r="C642" s="765" t="s">
        <v>18</v>
      </c>
      <c r="D642" s="1310" t="s">
        <v>19</v>
      </c>
      <c r="E642" s="1311"/>
      <c r="F642" s="1311"/>
      <c r="G642" s="1312"/>
      <c r="H642" s="780" t="s">
        <v>14</v>
      </c>
      <c r="I642" s="565"/>
      <c r="J642" s="565"/>
      <c r="K642" s="566"/>
      <c r="L642" s="678">
        <f t="shared" ref="L642:N642" si="395">L643+L644</f>
        <v>0</v>
      </c>
      <c r="M642" s="679">
        <f t="shared" si="395"/>
        <v>0</v>
      </c>
      <c r="N642" s="679">
        <f t="shared" si="395"/>
        <v>0</v>
      </c>
      <c r="O642" s="679">
        <f t="shared" ref="O642:O650" si="396">IF(L642&gt;0,N642*100/L642,0)</f>
        <v>0</v>
      </c>
      <c r="P642" s="679">
        <f t="shared" ref="P642:P650" si="397">IF(M642&gt;0,N642*100/M642,0)</f>
        <v>0</v>
      </c>
      <c r="Q642" s="679">
        <f t="shared" ref="Q642:S642" ca="1" si="398">Q643+Q644</f>
        <v>284040</v>
      </c>
      <c r="R642" s="679">
        <f t="shared" ca="1" si="398"/>
        <v>284040</v>
      </c>
      <c r="S642" s="679">
        <f t="shared" ca="1" si="398"/>
        <v>14110</v>
      </c>
      <c r="T642" s="679">
        <f t="shared" ref="T642:T650" ca="1" si="399">IF(Q642&gt;0,S642*100/Q642,0)</f>
        <v>4.9676101957470777</v>
      </c>
      <c r="U642" s="679">
        <f t="shared" ref="U642:U650" ca="1" si="400">IF(R642&gt;0,S642*100/R642,0)</f>
        <v>4.9676101957470777</v>
      </c>
    </row>
    <row r="643" spans="1:21" ht="18.75" x14ac:dyDescent="0.25">
      <c r="A643" s="674"/>
      <c r="B643" s="718"/>
      <c r="C643" s="718"/>
      <c r="D643" s="695"/>
      <c r="E643" s="569" t="s">
        <v>158</v>
      </c>
      <c r="F643" s="561"/>
      <c r="G643" s="563"/>
      <c r="H643" s="685" t="s">
        <v>14</v>
      </c>
      <c r="I643" s="565"/>
      <c r="J643" s="565"/>
      <c r="K643" s="566"/>
      <c r="L643" s="571">
        <f t="shared" ref="L643:N644" si="401">L646+L649</f>
        <v>0</v>
      </c>
      <c r="M643" s="572">
        <f t="shared" si="401"/>
        <v>0</v>
      </c>
      <c r="N643" s="572">
        <f t="shared" si="401"/>
        <v>0</v>
      </c>
      <c r="O643" s="572">
        <f t="shared" si="396"/>
        <v>0</v>
      </c>
      <c r="P643" s="572">
        <f t="shared" si="397"/>
        <v>0</v>
      </c>
      <c r="Q643" s="572">
        <f t="shared" ref="Q643:S644" si="402">Q646+Q649</f>
        <v>0</v>
      </c>
      <c r="R643" s="572">
        <f t="shared" si="402"/>
        <v>0</v>
      </c>
      <c r="S643" s="572">
        <f t="shared" si="402"/>
        <v>0</v>
      </c>
      <c r="T643" s="572">
        <f t="shared" si="399"/>
        <v>0</v>
      </c>
      <c r="U643" s="572">
        <f t="shared" si="400"/>
        <v>0</v>
      </c>
    </row>
    <row r="644" spans="1:21" ht="18.75" x14ac:dyDescent="0.25">
      <c r="A644" s="674"/>
      <c r="B644" s="718"/>
      <c r="C644" s="718"/>
      <c r="D644" s="695"/>
      <c r="E644" s="573" t="s">
        <v>159</v>
      </c>
      <c r="F644" s="561"/>
      <c r="G644" s="563"/>
      <c r="H644" s="682" t="s">
        <v>14</v>
      </c>
      <c r="I644" s="565"/>
      <c r="J644" s="565"/>
      <c r="K644" s="566"/>
      <c r="L644" s="567">
        <f t="shared" si="401"/>
        <v>0</v>
      </c>
      <c r="M644" s="568">
        <f t="shared" si="401"/>
        <v>0</v>
      </c>
      <c r="N644" s="568">
        <f t="shared" si="401"/>
        <v>0</v>
      </c>
      <c r="O644" s="568">
        <f t="shared" si="396"/>
        <v>0</v>
      </c>
      <c r="P644" s="568">
        <f t="shared" si="397"/>
        <v>0</v>
      </c>
      <c r="Q644" s="568">
        <f t="shared" ca="1" si="402"/>
        <v>284040</v>
      </c>
      <c r="R644" s="568">
        <f t="shared" ca="1" si="402"/>
        <v>284040</v>
      </c>
      <c r="S644" s="568">
        <f t="shared" ca="1" si="402"/>
        <v>14110</v>
      </c>
      <c r="T644" s="568">
        <f t="shared" ca="1" si="399"/>
        <v>4.9676101957470777</v>
      </c>
      <c r="U644" s="568">
        <f t="shared" ca="1" si="400"/>
        <v>4.9676101957470777</v>
      </c>
    </row>
    <row r="645" spans="1:21" ht="18.75" x14ac:dyDescent="0.25">
      <c r="A645" s="674"/>
      <c r="B645" s="718"/>
      <c r="C645" s="718"/>
      <c r="D645" s="562" t="s">
        <v>22</v>
      </c>
      <c r="E645" s="561"/>
      <c r="F645" s="561"/>
      <c r="G645" s="563"/>
      <c r="H645" s="682" t="s">
        <v>14</v>
      </c>
      <c r="I645" s="683"/>
      <c r="J645" s="683"/>
      <c r="K645" s="684"/>
      <c r="L645" s="567">
        <f t="shared" ref="L645:N645" si="403">L646+L647</f>
        <v>0</v>
      </c>
      <c r="M645" s="568">
        <f t="shared" si="403"/>
        <v>0</v>
      </c>
      <c r="N645" s="568">
        <f t="shared" si="403"/>
        <v>0</v>
      </c>
      <c r="O645" s="568">
        <f t="shared" si="396"/>
        <v>0</v>
      </c>
      <c r="P645" s="568">
        <f t="shared" si="397"/>
        <v>0</v>
      </c>
      <c r="Q645" s="568">
        <f t="shared" ref="Q645:S645" ca="1" si="404">Q646+Q647</f>
        <v>284040</v>
      </c>
      <c r="R645" s="568">
        <f t="shared" ca="1" si="404"/>
        <v>284040</v>
      </c>
      <c r="S645" s="568">
        <f t="shared" ca="1" si="404"/>
        <v>14110</v>
      </c>
      <c r="T645" s="568">
        <f t="shared" ca="1" si="399"/>
        <v>4.9676101957470777</v>
      </c>
      <c r="U645" s="568">
        <f t="shared" ca="1" si="400"/>
        <v>4.9676101957470777</v>
      </c>
    </row>
    <row r="646" spans="1:21" ht="18.75" x14ac:dyDescent="0.25">
      <c r="A646" s="674"/>
      <c r="B646" s="718"/>
      <c r="C646" s="718"/>
      <c r="D646" s="695"/>
      <c r="E646" s="569" t="s">
        <v>158</v>
      </c>
      <c r="F646" s="561"/>
      <c r="G646" s="563"/>
      <c r="H646" s="685" t="s">
        <v>14</v>
      </c>
      <c r="I646" s="565"/>
      <c r="J646" s="565"/>
      <c r="K646" s="566"/>
      <c r="L646" s="571">
        <v>0</v>
      </c>
      <c r="M646" s="572">
        <v>0</v>
      </c>
      <c r="N646" s="572">
        <v>0</v>
      </c>
      <c r="O646" s="572">
        <f t="shared" si="396"/>
        <v>0</v>
      </c>
      <c r="P646" s="572">
        <f t="shared" si="397"/>
        <v>0</v>
      </c>
      <c r="Q646" s="572">
        <v>0</v>
      </c>
      <c r="R646" s="572">
        <v>0</v>
      </c>
      <c r="S646" s="572">
        <v>0</v>
      </c>
      <c r="T646" s="572">
        <f t="shared" si="399"/>
        <v>0</v>
      </c>
      <c r="U646" s="572">
        <f t="shared" si="400"/>
        <v>0</v>
      </c>
    </row>
    <row r="647" spans="1:21" ht="18.75" x14ac:dyDescent="0.25">
      <c r="A647" s="674"/>
      <c r="B647" s="718"/>
      <c r="C647" s="718"/>
      <c r="D647" s="695"/>
      <c r="E647" s="573" t="s">
        <v>159</v>
      </c>
      <c r="F647" s="561"/>
      <c r="G647" s="563"/>
      <c r="H647" s="682" t="s">
        <v>14</v>
      </c>
      <c r="I647" s="565"/>
      <c r="J647" s="565"/>
      <c r="K647" s="566"/>
      <c r="L647" s="567">
        <v>0</v>
      </c>
      <c r="M647" s="568">
        <v>0</v>
      </c>
      <c r="N647" s="568">
        <v>0</v>
      </c>
      <c r="O647" s="568">
        <f t="shared" si="396"/>
        <v>0</v>
      </c>
      <c r="P647" s="568">
        <f t="shared" si="397"/>
        <v>0</v>
      </c>
      <c r="Q647" s="568">
        <f ca="1">IFERROR(__xludf.DUMMYFUNCTION("IMPORTRANGE(""https://docs.google.com/spreadsheets/d/1ItG2mGa2ceCfYo0BwxsXqNm01IGEUdYcSSLTEv9YCik/edit?usp=sharing"",""เบิกจ่ายกองทุน!I18"")"),284040)</f>
        <v>284040</v>
      </c>
      <c r="R647" s="568">
        <f ca="1">IFERROR(__xludf.DUMMYFUNCTION("IMPORTRANGE(""https://docs.google.com/spreadsheets/d/1ItG2mGa2ceCfYo0BwxsXqNm01IGEUdYcSSLTEv9YCik/edit?usp=sharing"",""เบิกจ่ายกองทุน!J18"")"),284040)</f>
        <v>284040</v>
      </c>
      <c r="S647" s="568">
        <f ca="1">IFERROR(__xludf.DUMMYFUNCTION("IMPORTRANGE(""https://docs.google.com/spreadsheets/d/1ItG2mGa2ceCfYo0BwxsXqNm01IGEUdYcSSLTEv9YCik/edit?usp=sharing"",""เบิกจ่ายกองทุน!K18"")"),14110)</f>
        <v>14110</v>
      </c>
      <c r="T647" s="568">
        <f t="shared" ca="1" si="399"/>
        <v>4.9676101957470777</v>
      </c>
      <c r="U647" s="568">
        <f t="shared" ca="1" si="400"/>
        <v>4.9676101957470777</v>
      </c>
    </row>
    <row r="648" spans="1:21" ht="18.75" x14ac:dyDescent="0.25">
      <c r="A648" s="674"/>
      <c r="B648" s="718"/>
      <c r="C648" s="718"/>
      <c r="D648" s="562" t="s">
        <v>23</v>
      </c>
      <c r="E648" s="561"/>
      <c r="F648" s="561"/>
      <c r="G648" s="563"/>
      <c r="H648" s="686" t="s">
        <v>14</v>
      </c>
      <c r="I648" s="683"/>
      <c r="J648" s="683"/>
      <c r="K648" s="684"/>
      <c r="L648" s="567">
        <f t="shared" ref="L648:N648" si="405">L649+L650</f>
        <v>0</v>
      </c>
      <c r="M648" s="568">
        <f t="shared" si="405"/>
        <v>0</v>
      </c>
      <c r="N648" s="568">
        <f t="shared" si="405"/>
        <v>0</v>
      </c>
      <c r="O648" s="568">
        <f t="shared" si="396"/>
        <v>0</v>
      </c>
      <c r="P648" s="568">
        <f t="shared" si="397"/>
        <v>0</v>
      </c>
      <c r="Q648" s="568">
        <f t="shared" ref="Q648:S648" si="406">Q649+Q650</f>
        <v>0</v>
      </c>
      <c r="R648" s="568">
        <f t="shared" si="406"/>
        <v>0</v>
      </c>
      <c r="S648" s="568">
        <f t="shared" si="406"/>
        <v>0</v>
      </c>
      <c r="T648" s="568">
        <f t="shared" si="399"/>
        <v>0</v>
      </c>
      <c r="U648" s="568">
        <f t="shared" si="400"/>
        <v>0</v>
      </c>
    </row>
    <row r="649" spans="1:21" ht="18.75" x14ac:dyDescent="0.25">
      <c r="A649" s="674"/>
      <c r="B649" s="718"/>
      <c r="C649" s="718"/>
      <c r="D649" s="561"/>
      <c r="E649" s="569" t="s">
        <v>20</v>
      </c>
      <c r="F649" s="561"/>
      <c r="G649" s="563"/>
      <c r="H649" s="685" t="s">
        <v>14</v>
      </c>
      <c r="I649" s="683"/>
      <c r="J649" s="683"/>
      <c r="K649" s="684"/>
      <c r="L649" s="571">
        <v>0</v>
      </c>
      <c r="M649" s="572">
        <v>0</v>
      </c>
      <c r="N649" s="572">
        <v>0</v>
      </c>
      <c r="O649" s="572">
        <f t="shared" si="396"/>
        <v>0</v>
      </c>
      <c r="P649" s="572">
        <f t="shared" si="397"/>
        <v>0</v>
      </c>
      <c r="Q649" s="572">
        <v>0</v>
      </c>
      <c r="R649" s="572">
        <v>0</v>
      </c>
      <c r="S649" s="572">
        <v>0</v>
      </c>
      <c r="T649" s="572">
        <f t="shared" si="399"/>
        <v>0</v>
      </c>
      <c r="U649" s="572">
        <f t="shared" si="400"/>
        <v>0</v>
      </c>
    </row>
    <row r="650" spans="1:21" ht="18.75" x14ac:dyDescent="0.25">
      <c r="A650" s="674"/>
      <c r="B650" s="718"/>
      <c r="C650" s="718"/>
      <c r="D650" s="561"/>
      <c r="E650" s="573" t="s">
        <v>21</v>
      </c>
      <c r="F650" s="561"/>
      <c r="G650" s="563"/>
      <c r="H650" s="686" t="s">
        <v>14</v>
      </c>
      <c r="I650" s="683"/>
      <c r="J650" s="683"/>
      <c r="K650" s="684"/>
      <c r="L650" s="567">
        <v>0</v>
      </c>
      <c r="M650" s="568">
        <v>0</v>
      </c>
      <c r="N650" s="568">
        <v>0</v>
      </c>
      <c r="O650" s="568">
        <f t="shared" si="396"/>
        <v>0</v>
      </c>
      <c r="P650" s="568">
        <f t="shared" si="397"/>
        <v>0</v>
      </c>
      <c r="Q650" s="568">
        <v>0</v>
      </c>
      <c r="R650" s="568">
        <v>0</v>
      </c>
      <c r="S650" s="568">
        <v>0</v>
      </c>
      <c r="T650" s="568">
        <f t="shared" si="399"/>
        <v>0</v>
      </c>
      <c r="U650" s="568">
        <f t="shared" si="400"/>
        <v>0</v>
      </c>
    </row>
    <row r="651" spans="1:21" ht="19.5" x14ac:dyDescent="0.3">
      <c r="A651" s="687"/>
      <c r="B651" s="688"/>
      <c r="C651" s="765" t="s">
        <v>18</v>
      </c>
      <c r="D651" s="1083" t="s">
        <v>38</v>
      </c>
      <c r="E651" s="690"/>
      <c r="F651" s="690"/>
      <c r="G651" s="691"/>
      <c r="H651" s="725"/>
      <c r="I651" s="683"/>
      <c r="J651" s="683"/>
      <c r="K651" s="684"/>
      <c r="L651" s="693"/>
      <c r="M651" s="684"/>
      <c r="N651" s="684"/>
      <c r="O651" s="684"/>
      <c r="P651" s="684"/>
      <c r="Q651" s="566"/>
      <c r="R651" s="566"/>
      <c r="S651" s="566"/>
      <c r="T651" s="684"/>
      <c r="U651" s="684"/>
    </row>
    <row r="652" spans="1:21" ht="18.75" x14ac:dyDescent="0.25">
      <c r="A652" s="764"/>
      <c r="B652" s="718"/>
      <c r="C652" s="718"/>
      <c r="D652" s="573" t="s">
        <v>237</v>
      </c>
      <c r="E652" s="561"/>
      <c r="F652" s="561"/>
      <c r="G652" s="563"/>
      <c r="H652" s="686" t="s">
        <v>46</v>
      </c>
      <c r="I652" s="1084">
        <f ca="1">IFERROR(__xludf.DUMMYFUNCTION("IMPORTRANGE(""https://docs.google.com/spreadsheets/d/1eHaY18a8A9IcSdp1K8H6x8fbOy06t2VsZHhMHf-1x7Y/edit?usp=sharing"",""แผน!IF18"")"),0)</f>
        <v>0</v>
      </c>
      <c r="J652" s="708">
        <f ca="1">IFERROR(__xludf.DUMMYFUNCTION("IMPORTRANGE(""https://docs.google.com/spreadsheets/d/1tdoBKaGub7dwA3U6UFTqxio9LNnvDCQjHKmttSEBsFQ/edit?usp=sharing"",""จัดที่ดิน!AU18"")"),0)</f>
        <v>0</v>
      </c>
      <c r="K652" s="568">
        <f t="shared" ref="K652:K654" ca="1" si="407">IF(I652&gt;0,J652*100/I652,0)</f>
        <v>0</v>
      </c>
      <c r="L652" s="574"/>
      <c r="M652" s="566"/>
      <c r="N652" s="1085"/>
      <c r="O652" s="566"/>
      <c r="P652" s="566"/>
      <c r="Q652" s="566"/>
      <c r="R652" s="566"/>
      <c r="S652" s="1085"/>
      <c r="T652" s="566"/>
      <c r="U652" s="566"/>
    </row>
    <row r="653" spans="1:21" ht="18.75" x14ac:dyDescent="0.25">
      <c r="A653" s="764"/>
      <c r="B653" s="718"/>
      <c r="C653" s="718"/>
      <c r="D653" s="573" t="s">
        <v>238</v>
      </c>
      <c r="E653" s="561"/>
      <c r="F653" s="561"/>
      <c r="G653" s="563"/>
      <c r="H653" s="686" t="s">
        <v>35</v>
      </c>
      <c r="I653" s="1084">
        <f ca="1">IFERROR(__xludf.DUMMYFUNCTION("IMPORTRANGE(""https://docs.google.com/spreadsheets/d/1eHaY18a8A9IcSdp1K8H6x8fbOy06t2VsZHhMHf-1x7Y/edit?usp=sharing"",""แผน!IG18"")"),40)</f>
        <v>40</v>
      </c>
      <c r="J653" s="708">
        <f ca="1">IFERROR(__xludf.DUMMYFUNCTION("IMPORTRANGE(""https://docs.google.com/spreadsheets/d/1tdoBKaGub7dwA3U6UFTqxio9LNnvDCQjHKmttSEBsFQ/edit?usp=sharing"",""จัดที่ดิน!AW18"")"),0)</f>
        <v>0</v>
      </c>
      <c r="K653" s="568">
        <f t="shared" ca="1" si="407"/>
        <v>0</v>
      </c>
      <c r="L653" s="574"/>
      <c r="M653" s="566"/>
      <c r="N653" s="1085"/>
      <c r="O653" s="566"/>
      <c r="P653" s="566"/>
      <c r="Q653" s="566"/>
      <c r="R653" s="566"/>
      <c r="S653" s="1085"/>
      <c r="T653" s="566"/>
      <c r="U653" s="566"/>
    </row>
    <row r="654" spans="1:21" ht="19.5" x14ac:dyDescent="0.3">
      <c r="A654" s="764"/>
      <c r="B654" s="718"/>
      <c r="C654" s="718"/>
      <c r="D654" s="573" t="s">
        <v>239</v>
      </c>
      <c r="E654" s="561"/>
      <c r="F654" s="561"/>
      <c r="G654" s="563"/>
      <c r="H654" s="1080" t="s">
        <v>46</v>
      </c>
      <c r="I654" s="1086">
        <f ca="1">IFERROR(__xludf.DUMMYFUNCTION("IMPORTRANGE(""https://docs.google.com/spreadsheets/d/1eHaY18a8A9IcSdp1K8H6x8fbOy06t2VsZHhMHf-1x7Y/edit?usp=sharing"",""แผน!IH18"")"),1955)</f>
        <v>1955</v>
      </c>
      <c r="J654" s="697">
        <f>J657+J660</f>
        <v>0</v>
      </c>
      <c r="K654" s="679">
        <f t="shared" ca="1" si="407"/>
        <v>0</v>
      </c>
      <c r="L654" s="574"/>
      <c r="M654" s="566"/>
      <c r="N654" s="1085"/>
      <c r="O654" s="566"/>
      <c r="P654" s="566"/>
      <c r="Q654" s="566"/>
      <c r="R654" s="566"/>
      <c r="S654" s="1085"/>
      <c r="T654" s="566"/>
      <c r="U654" s="566"/>
    </row>
    <row r="655" spans="1:21" ht="18.75" x14ac:dyDescent="0.25">
      <c r="A655" s="764"/>
      <c r="B655" s="718"/>
      <c r="C655" s="718"/>
      <c r="D655" s="561"/>
      <c r="E655" s="573" t="s">
        <v>240</v>
      </c>
      <c r="F655" s="561"/>
      <c r="G655" s="563"/>
      <c r="H655" s="686" t="s">
        <v>35</v>
      </c>
      <c r="I655" s="727"/>
      <c r="J655" s="702">
        <v>42</v>
      </c>
      <c r="K655" s="566"/>
      <c r="L655" s="574"/>
      <c r="M655" s="566"/>
      <c r="N655" s="1085"/>
      <c r="O655" s="566"/>
      <c r="P655" s="566"/>
      <c r="Q655" s="566"/>
      <c r="R655" s="566"/>
      <c r="S655" s="1085"/>
      <c r="T655" s="566"/>
      <c r="U655" s="566"/>
    </row>
    <row r="656" spans="1:21" ht="18.75" x14ac:dyDescent="0.25">
      <c r="A656" s="764"/>
      <c r="B656" s="718"/>
      <c r="C656" s="718"/>
      <c r="D656" s="561"/>
      <c r="E656" s="561"/>
      <c r="F656" s="561"/>
      <c r="G656" s="563"/>
      <c r="H656" s="686" t="s">
        <v>34</v>
      </c>
      <c r="I656" s="727"/>
      <c r="J656" s="702">
        <v>48</v>
      </c>
      <c r="K656" s="566"/>
      <c r="L656" s="574"/>
      <c r="M656" s="566"/>
      <c r="N656" s="1085"/>
      <c r="O656" s="566"/>
      <c r="P656" s="566"/>
      <c r="Q656" s="566"/>
      <c r="R656" s="566"/>
      <c r="S656" s="1085"/>
      <c r="T656" s="566"/>
      <c r="U656" s="566"/>
    </row>
    <row r="657" spans="1:21" ht="18.75" x14ac:dyDescent="0.25">
      <c r="A657" s="764"/>
      <c r="B657" s="718"/>
      <c r="C657" s="718"/>
      <c r="D657" s="561"/>
      <c r="E657" s="561"/>
      <c r="F657" s="561"/>
      <c r="G657" s="563"/>
      <c r="H657" s="686" t="s">
        <v>46</v>
      </c>
      <c r="I657" s="1084">
        <f ca="1">IFERROR(__xludf.DUMMYFUNCTION("IMPORTRANGE(""https://docs.google.com/spreadsheets/d/1eHaY18a8A9IcSdp1K8H6x8fbOy06t2VsZHhMHf-1x7Y/edit?usp=sharing"",""แผน!II18"")"),1455)</f>
        <v>1455</v>
      </c>
      <c r="J657" s="702">
        <v>0</v>
      </c>
      <c r="K657" s="566"/>
      <c r="L657" s="574"/>
      <c r="M657" s="566"/>
      <c r="N657" s="1085"/>
      <c r="O657" s="566"/>
      <c r="P657" s="566"/>
      <c r="Q657" s="566"/>
      <c r="R657" s="566"/>
      <c r="S657" s="1085"/>
      <c r="T657" s="566"/>
      <c r="U657" s="566"/>
    </row>
    <row r="658" spans="1:21" ht="18.75" x14ac:dyDescent="0.25">
      <c r="A658" s="764"/>
      <c r="B658" s="718"/>
      <c r="C658" s="718"/>
      <c r="D658" s="561"/>
      <c r="E658" s="573" t="s">
        <v>241</v>
      </c>
      <c r="F658" s="561"/>
      <c r="G658" s="563"/>
      <c r="H658" s="686" t="s">
        <v>35</v>
      </c>
      <c r="I658" s="727"/>
      <c r="J658" s="702">
        <v>0</v>
      </c>
      <c r="K658" s="566"/>
      <c r="L658" s="574"/>
      <c r="M658" s="566"/>
      <c r="N658" s="1085"/>
      <c r="O658" s="566"/>
      <c r="P658" s="566"/>
      <c r="Q658" s="566"/>
      <c r="R658" s="566"/>
      <c r="S658" s="1085"/>
      <c r="T658" s="566"/>
      <c r="U658" s="566"/>
    </row>
    <row r="659" spans="1:21" ht="18.75" x14ac:dyDescent="0.25">
      <c r="A659" s="764"/>
      <c r="B659" s="718"/>
      <c r="C659" s="718"/>
      <c r="D659" s="561"/>
      <c r="E659" s="561"/>
      <c r="F659" s="561"/>
      <c r="G659" s="563"/>
      <c r="H659" s="686" t="s">
        <v>34</v>
      </c>
      <c r="I659" s="727"/>
      <c r="J659" s="702">
        <v>0</v>
      </c>
      <c r="K659" s="566"/>
      <c r="L659" s="574"/>
      <c r="M659" s="566"/>
      <c r="N659" s="1085"/>
      <c r="O659" s="566"/>
      <c r="P659" s="566"/>
      <c r="Q659" s="566"/>
      <c r="R659" s="566"/>
      <c r="S659" s="1085"/>
      <c r="T659" s="566"/>
      <c r="U659" s="566"/>
    </row>
    <row r="660" spans="1:21" ht="18.75" x14ac:dyDescent="0.25">
      <c r="A660" s="764"/>
      <c r="B660" s="718"/>
      <c r="C660" s="718"/>
      <c r="D660" s="561"/>
      <c r="E660" s="561"/>
      <c r="F660" s="561"/>
      <c r="G660" s="563"/>
      <c r="H660" s="686" t="s">
        <v>46</v>
      </c>
      <c r="I660" s="1084">
        <f ca="1">IFERROR(__xludf.DUMMYFUNCTION("IMPORTRANGE(""https://docs.google.com/spreadsheets/d/1eHaY18a8A9IcSdp1K8H6x8fbOy06t2VsZHhMHf-1x7Y/edit?usp=sharing"",""แผน!IJ18"")"),500)</f>
        <v>500</v>
      </c>
      <c r="J660" s="702">
        <v>0</v>
      </c>
      <c r="K660" s="566"/>
      <c r="L660" s="574"/>
      <c r="M660" s="566"/>
      <c r="N660" s="1085"/>
      <c r="O660" s="566"/>
      <c r="P660" s="566"/>
      <c r="Q660" s="566"/>
      <c r="R660" s="566"/>
      <c r="S660" s="1085"/>
      <c r="T660" s="566"/>
      <c r="U660" s="566"/>
    </row>
    <row r="661" spans="1:21" ht="19.5" x14ac:dyDescent="0.3">
      <c r="A661" s="764"/>
      <c r="B661" s="718"/>
      <c r="C661" s="718"/>
      <c r="D661" s="987" t="s">
        <v>242</v>
      </c>
      <c r="E661" s="561"/>
      <c r="F661" s="561"/>
      <c r="G661" s="563"/>
      <c r="H661" s="1080" t="s">
        <v>46</v>
      </c>
      <c r="I661" s="1086">
        <f ca="1">IFERROR(__xludf.DUMMYFUNCTION("IMPORTRANGE(""https://docs.google.com/spreadsheets/d/1eHaY18a8A9IcSdp1K8H6x8fbOy06t2VsZHhMHf-1x7Y/edit?usp=sharing"",""แผน!IK18"")"),1846)</f>
        <v>1846</v>
      </c>
      <c r="J661" s="697">
        <f>J667+J670</f>
        <v>0</v>
      </c>
      <c r="K661" s="679">
        <f ca="1">IF(I661&gt;0,J661*100/I661,0)</f>
        <v>0</v>
      </c>
      <c r="L661" s="574"/>
      <c r="M661" s="566"/>
      <c r="N661" s="1085"/>
      <c r="O661" s="566"/>
      <c r="P661" s="566"/>
      <c r="Q661" s="566"/>
      <c r="R661" s="566"/>
      <c r="S661" s="1085"/>
      <c r="T661" s="566"/>
      <c r="U661" s="566"/>
    </row>
    <row r="662" spans="1:21" ht="18.75" x14ac:dyDescent="0.25">
      <c r="A662" s="764"/>
      <c r="B662" s="718"/>
      <c r="C662" s="718"/>
      <c r="D662" s="561"/>
      <c r="E662" s="573" t="s">
        <v>243</v>
      </c>
      <c r="F662" s="561"/>
      <c r="G662" s="563"/>
      <c r="H662" s="686" t="s">
        <v>34</v>
      </c>
      <c r="I662" s="727"/>
      <c r="J662" s="702">
        <v>0</v>
      </c>
      <c r="K662" s="566"/>
      <c r="L662" s="1087"/>
      <c r="M662" s="566"/>
      <c r="N662" s="1085"/>
      <c r="O662" s="566"/>
      <c r="P662" s="566"/>
      <c r="Q662" s="1085"/>
      <c r="R662" s="566"/>
      <c r="S662" s="1085"/>
      <c r="T662" s="566"/>
      <c r="U662" s="566"/>
    </row>
    <row r="663" spans="1:21" ht="18.75" x14ac:dyDescent="0.25">
      <c r="A663" s="764"/>
      <c r="B663" s="718"/>
      <c r="C663" s="718"/>
      <c r="D663" s="561"/>
      <c r="E663" s="561"/>
      <c r="F663" s="561"/>
      <c r="G663" s="563"/>
      <c r="H663" s="686" t="s">
        <v>46</v>
      </c>
      <c r="I663" s="727"/>
      <c r="J663" s="702">
        <v>0</v>
      </c>
      <c r="K663" s="566"/>
      <c r="L663" s="1087"/>
      <c r="M663" s="566"/>
      <c r="N663" s="1085"/>
      <c r="O663" s="566"/>
      <c r="P663" s="566"/>
      <c r="Q663" s="1085"/>
      <c r="R663" s="566"/>
      <c r="S663" s="1085"/>
      <c r="T663" s="566"/>
      <c r="U663" s="566"/>
    </row>
    <row r="664" spans="1:21" ht="18.75" x14ac:dyDescent="0.25">
      <c r="A664" s="764"/>
      <c r="B664" s="718"/>
      <c r="C664" s="718"/>
      <c r="D664" s="561"/>
      <c r="E664" s="573" t="s">
        <v>244</v>
      </c>
      <c r="F664" s="561"/>
      <c r="G664" s="563"/>
      <c r="H664" s="725"/>
      <c r="I664" s="727"/>
      <c r="J664" s="565"/>
      <c r="K664" s="566"/>
      <c r="L664" s="1087"/>
      <c r="M664" s="566"/>
      <c r="N664" s="1085"/>
      <c r="O664" s="566"/>
      <c r="P664" s="566"/>
      <c r="Q664" s="1085"/>
      <c r="R664" s="566"/>
      <c r="S664" s="1085"/>
      <c r="T664" s="566"/>
      <c r="U664" s="566"/>
    </row>
    <row r="665" spans="1:21" ht="18.75" x14ac:dyDescent="0.25">
      <c r="A665" s="764"/>
      <c r="B665" s="718"/>
      <c r="C665" s="718"/>
      <c r="D665" s="561"/>
      <c r="E665" s="561"/>
      <c r="F665" s="573" t="s">
        <v>245</v>
      </c>
      <c r="G665" s="563"/>
      <c r="H665" s="686" t="s">
        <v>35</v>
      </c>
      <c r="I665" s="727"/>
      <c r="J665" s="702">
        <v>0</v>
      </c>
      <c r="K665" s="566"/>
      <c r="L665" s="1087"/>
      <c r="M665" s="566"/>
      <c r="N665" s="1085"/>
      <c r="O665" s="566"/>
      <c r="P665" s="566"/>
      <c r="Q665" s="1085"/>
      <c r="R665" s="566"/>
      <c r="S665" s="1085"/>
      <c r="T665" s="566"/>
      <c r="U665" s="566"/>
    </row>
    <row r="666" spans="1:21" ht="18.75" x14ac:dyDescent="0.25">
      <c r="A666" s="764"/>
      <c r="B666" s="718"/>
      <c r="C666" s="718"/>
      <c r="D666" s="561"/>
      <c r="E666" s="561"/>
      <c r="F666" s="561"/>
      <c r="G666" s="563"/>
      <c r="H666" s="686" t="s">
        <v>34</v>
      </c>
      <c r="I666" s="727"/>
      <c r="J666" s="702">
        <v>0</v>
      </c>
      <c r="K666" s="566"/>
      <c r="L666" s="1087"/>
      <c r="M666" s="566"/>
      <c r="N666" s="1085"/>
      <c r="O666" s="566"/>
      <c r="P666" s="566"/>
      <c r="Q666" s="1085"/>
      <c r="R666" s="566"/>
      <c r="S666" s="1085"/>
      <c r="T666" s="566"/>
      <c r="U666" s="566"/>
    </row>
    <row r="667" spans="1:21" ht="18.75" x14ac:dyDescent="0.25">
      <c r="A667" s="764"/>
      <c r="B667" s="718"/>
      <c r="C667" s="718"/>
      <c r="D667" s="561"/>
      <c r="E667" s="561"/>
      <c r="F667" s="561"/>
      <c r="G667" s="563"/>
      <c r="H667" s="686" t="s">
        <v>46</v>
      </c>
      <c r="I667" s="727"/>
      <c r="J667" s="702">
        <v>0</v>
      </c>
      <c r="K667" s="566"/>
      <c r="L667" s="1087"/>
      <c r="M667" s="566"/>
      <c r="N667" s="1085"/>
      <c r="O667" s="566"/>
      <c r="P667" s="566"/>
      <c r="Q667" s="1085"/>
      <c r="R667" s="566"/>
      <c r="S667" s="1085"/>
      <c r="T667" s="566"/>
      <c r="U667" s="566"/>
    </row>
    <row r="668" spans="1:21" ht="18.75" x14ac:dyDescent="0.25">
      <c r="A668" s="764"/>
      <c r="B668" s="718"/>
      <c r="C668" s="718"/>
      <c r="D668" s="561"/>
      <c r="E668" s="561"/>
      <c r="F668" s="573" t="s">
        <v>246</v>
      </c>
      <c r="G668" s="563"/>
      <c r="H668" s="686" t="s">
        <v>35</v>
      </c>
      <c r="I668" s="727"/>
      <c r="J668" s="702">
        <v>0</v>
      </c>
      <c r="K668" s="566"/>
      <c r="L668" s="1087"/>
      <c r="M668" s="566"/>
      <c r="N668" s="1085"/>
      <c r="O668" s="566"/>
      <c r="P668" s="566"/>
      <c r="Q668" s="1085"/>
      <c r="R668" s="566"/>
      <c r="S668" s="1085"/>
      <c r="T668" s="566"/>
      <c r="U668" s="566"/>
    </row>
    <row r="669" spans="1:21" ht="18.75" x14ac:dyDescent="0.25">
      <c r="A669" s="764"/>
      <c r="B669" s="718"/>
      <c r="C669" s="718"/>
      <c r="D669" s="561"/>
      <c r="E669" s="561"/>
      <c r="F669" s="561"/>
      <c r="G669" s="563"/>
      <c r="H669" s="686" t="s">
        <v>34</v>
      </c>
      <c r="I669" s="727"/>
      <c r="J669" s="702">
        <v>0</v>
      </c>
      <c r="K669" s="566"/>
      <c r="L669" s="1087"/>
      <c r="M669" s="566"/>
      <c r="N669" s="1085"/>
      <c r="O669" s="566"/>
      <c r="P669" s="566"/>
      <c r="Q669" s="1085"/>
      <c r="R669" s="566"/>
      <c r="S669" s="1085"/>
      <c r="T669" s="566"/>
      <c r="U669" s="566"/>
    </row>
    <row r="670" spans="1:21" ht="18.75" x14ac:dyDescent="0.25">
      <c r="A670" s="764"/>
      <c r="B670" s="718"/>
      <c r="C670" s="718"/>
      <c r="D670" s="561"/>
      <c r="E670" s="561"/>
      <c r="F670" s="561"/>
      <c r="G670" s="563"/>
      <c r="H670" s="686" t="s">
        <v>46</v>
      </c>
      <c r="I670" s="727"/>
      <c r="J670" s="702">
        <v>0</v>
      </c>
      <c r="K670" s="566"/>
      <c r="L670" s="1087"/>
      <c r="M670" s="566"/>
      <c r="N670" s="1085"/>
      <c r="O670" s="566"/>
      <c r="P670" s="566"/>
      <c r="Q670" s="1085"/>
      <c r="R670" s="566"/>
      <c r="S670" s="1085"/>
      <c r="T670" s="566"/>
      <c r="U670" s="566"/>
    </row>
    <row r="671" spans="1:21" ht="18.75" x14ac:dyDescent="0.25">
      <c r="A671" s="764"/>
      <c r="B671" s="718"/>
      <c r="C671" s="718"/>
      <c r="D671" s="573" t="s">
        <v>247</v>
      </c>
      <c r="E671" s="561"/>
      <c r="F671" s="561"/>
      <c r="G671" s="563"/>
      <c r="H671" s="686" t="s">
        <v>35</v>
      </c>
      <c r="I671" s="727"/>
      <c r="J671" s="708">
        <f ca="1">IFERROR(__xludf.DUMMYFUNCTION("IMPORTRANGE(""https://docs.google.com/spreadsheets/d/1tdoBKaGub7dwA3U6UFTqxio9LNnvDCQjHKmttSEBsFQ/edit?usp=sharing"",""จัดที่ดิน!AY18"")"),29)</f>
        <v>29</v>
      </c>
      <c r="K671" s="566"/>
      <c r="L671" s="574"/>
      <c r="M671" s="566"/>
      <c r="N671" s="1085"/>
      <c r="O671" s="566"/>
      <c r="P671" s="566"/>
      <c r="Q671" s="566"/>
      <c r="R671" s="566"/>
      <c r="S671" s="1085"/>
      <c r="T671" s="566"/>
      <c r="U671" s="566"/>
    </row>
    <row r="672" spans="1:21" ht="18.75" x14ac:dyDescent="0.25">
      <c r="A672" s="764"/>
      <c r="B672" s="718"/>
      <c r="C672" s="718"/>
      <c r="D672" s="561"/>
      <c r="E672" s="561"/>
      <c r="F672" s="561"/>
      <c r="G672" s="563"/>
      <c r="H672" s="686" t="s">
        <v>34</v>
      </c>
      <c r="I672" s="727"/>
      <c r="J672" s="708">
        <f ca="1">IFERROR(__xludf.DUMMYFUNCTION("IMPORTRANGE(""https://docs.google.com/spreadsheets/d/1tdoBKaGub7dwA3U6UFTqxio9LNnvDCQjHKmttSEBsFQ/edit?usp=sharing"",""จัดที่ดิน!AZ18"")"),31)</f>
        <v>31</v>
      </c>
      <c r="K672" s="566"/>
      <c r="L672" s="1087"/>
      <c r="M672" s="566"/>
      <c r="N672" s="1085"/>
      <c r="O672" s="566"/>
      <c r="P672" s="566"/>
      <c r="Q672" s="1085"/>
      <c r="R672" s="566"/>
      <c r="S672" s="1085"/>
      <c r="T672" s="566"/>
      <c r="U672" s="566"/>
    </row>
    <row r="673" spans="1:21" ht="18.75" x14ac:dyDescent="0.25">
      <c r="A673" s="764"/>
      <c r="B673" s="718"/>
      <c r="C673" s="718"/>
      <c r="D673" s="561"/>
      <c r="E673" s="561"/>
      <c r="F673" s="561"/>
      <c r="G673" s="563"/>
      <c r="H673" s="686" t="s">
        <v>46</v>
      </c>
      <c r="I673" s="1084">
        <f ca="1">IFERROR(__xludf.DUMMYFUNCTION("IMPORTRANGE(""https://docs.google.com/spreadsheets/d/1eHaY18a8A9IcSdp1K8H6x8fbOy06t2VsZHhMHf-1x7Y/edit?usp=sharing"",""แผน!IL18"")"),2500)</f>
        <v>2500</v>
      </c>
      <c r="J673" s="708">
        <f ca="1">IFERROR(__xludf.DUMMYFUNCTION("IMPORTRANGE(""https://docs.google.com/spreadsheets/d/1tdoBKaGub7dwA3U6UFTqxio9LNnvDCQjHKmttSEBsFQ/edit?usp=sharing"",""จัดที่ดิน!BA18"")"),558.4)</f>
        <v>558.4</v>
      </c>
      <c r="K673" s="568">
        <f t="shared" ref="K673:K676" ca="1" si="408">IF(I673&gt;0,J673*100/I673,0)</f>
        <v>22.335999999999999</v>
      </c>
      <c r="L673" s="1087"/>
      <c r="M673" s="566"/>
      <c r="N673" s="1085"/>
      <c r="O673" s="566"/>
      <c r="P673" s="566"/>
      <c r="Q673" s="1085"/>
      <c r="R673" s="566"/>
      <c r="S673" s="1085"/>
      <c r="T673" s="566"/>
      <c r="U673" s="566"/>
    </row>
    <row r="674" spans="1:21" ht="19.5" x14ac:dyDescent="0.3">
      <c r="A674" s="764"/>
      <c r="B674" s="718"/>
      <c r="C674" s="718"/>
      <c r="D674" s="573" t="s">
        <v>248</v>
      </c>
      <c r="E674" s="561"/>
      <c r="F674" s="561"/>
      <c r="G674" s="563"/>
      <c r="H674" s="1080" t="s">
        <v>35</v>
      </c>
      <c r="I674" s="1086">
        <f ca="1">IFERROR(__xludf.DUMMYFUNCTION("IMPORTRANGE(""https://docs.google.com/spreadsheets/d/1eHaY18a8A9IcSdp1K8H6x8fbOy06t2VsZHhMHf-1x7Y/edit?usp=sharing"",""แผน!IM18"")"),40)</f>
        <v>40</v>
      </c>
      <c r="J674" s="697">
        <f ca="1">J676+J679</f>
        <v>0</v>
      </c>
      <c r="K674" s="679">
        <f t="shared" ca="1" si="408"/>
        <v>0</v>
      </c>
      <c r="L674" s="1087"/>
      <c r="M674" s="566"/>
      <c r="N674" s="1085"/>
      <c r="O674" s="566"/>
      <c r="P674" s="566"/>
      <c r="Q674" s="1085"/>
      <c r="R674" s="566"/>
      <c r="S674" s="1085"/>
      <c r="T674" s="566"/>
      <c r="U674" s="566"/>
    </row>
    <row r="675" spans="1:21" ht="19.5" x14ac:dyDescent="0.3">
      <c r="A675" s="764"/>
      <c r="B675" s="718"/>
      <c r="C675" s="718"/>
      <c r="D675" s="561"/>
      <c r="E675" s="561"/>
      <c r="F675" s="561"/>
      <c r="G675" s="563"/>
      <c r="H675" s="1080" t="s">
        <v>46</v>
      </c>
      <c r="I675" s="1086">
        <f ca="1">IFERROR(__xludf.DUMMYFUNCTION("IMPORTRANGE(""https://docs.google.com/spreadsheets/d/1eHaY18a8A9IcSdp1K8H6x8fbOy06t2VsZHhMHf-1x7Y/edit?usp=sharing"",""แผน!IN18"")"),1009)</f>
        <v>1009</v>
      </c>
      <c r="J675" s="697">
        <f ca="1">J678+J681</f>
        <v>0</v>
      </c>
      <c r="K675" s="679">
        <f t="shared" ca="1" si="408"/>
        <v>0</v>
      </c>
      <c r="L675" s="574"/>
      <c r="M675" s="566"/>
      <c r="N675" s="1085"/>
      <c r="O675" s="566"/>
      <c r="P675" s="566"/>
      <c r="Q675" s="566"/>
      <c r="R675" s="566"/>
      <c r="S675" s="1085"/>
      <c r="T675" s="566"/>
      <c r="U675" s="566"/>
    </row>
    <row r="676" spans="1:21" ht="18.75" x14ac:dyDescent="0.25">
      <c r="A676" s="764"/>
      <c r="B676" s="718"/>
      <c r="C676" s="718"/>
      <c r="D676" s="561"/>
      <c r="E676" s="573" t="s">
        <v>249</v>
      </c>
      <c r="F676" s="561"/>
      <c r="G676" s="563"/>
      <c r="H676" s="686" t="s">
        <v>35</v>
      </c>
      <c r="I676" s="1084">
        <f ca="1">IFERROR(__xludf.DUMMYFUNCTION("IMPORTRANGE(""https://docs.google.com/spreadsheets/d/1eHaY18a8A9IcSdp1K8H6x8fbOy06t2VsZHhMHf-1x7Y/edit?usp=sharing"",""แผน!IO18"")"),40)</f>
        <v>40</v>
      </c>
      <c r="J676" s="708">
        <f ca="1">IFERROR(__xludf.DUMMYFUNCTION("IMPORTRANGE(""https://docs.google.com/spreadsheets/d/1tdoBKaGub7dwA3U6UFTqxio9LNnvDCQjHKmttSEBsFQ/edit?usp=sharing"",""จัดที่ดิน!BF18"")"),0)</f>
        <v>0</v>
      </c>
      <c r="K676" s="568">
        <f t="shared" ca="1" si="408"/>
        <v>0</v>
      </c>
      <c r="L676" s="574"/>
      <c r="M676" s="566"/>
      <c r="N676" s="1085"/>
      <c r="O676" s="566"/>
      <c r="P676" s="566"/>
      <c r="Q676" s="566"/>
      <c r="R676" s="566"/>
      <c r="S676" s="1085"/>
      <c r="T676" s="566"/>
      <c r="U676" s="566"/>
    </row>
    <row r="677" spans="1:21" ht="18.75" x14ac:dyDescent="0.25">
      <c r="A677" s="764"/>
      <c r="B677" s="718"/>
      <c r="C677" s="718"/>
      <c r="D677" s="561"/>
      <c r="E677" s="561"/>
      <c r="F677" s="561"/>
      <c r="G677" s="563"/>
      <c r="H677" s="686" t="s">
        <v>34</v>
      </c>
      <c r="I677" s="727"/>
      <c r="J677" s="708">
        <f ca="1">IFERROR(__xludf.DUMMYFUNCTION("IMPORTRANGE(""https://docs.google.com/spreadsheets/d/1tdoBKaGub7dwA3U6UFTqxio9LNnvDCQjHKmttSEBsFQ/edit?usp=sharing"",""จัดที่ดิน!BG18"")"),0)</f>
        <v>0</v>
      </c>
      <c r="K677" s="566"/>
      <c r="L677" s="1087"/>
      <c r="M677" s="566"/>
      <c r="N677" s="1085"/>
      <c r="O677" s="566"/>
      <c r="P677" s="566"/>
      <c r="Q677" s="1085"/>
      <c r="R677" s="566"/>
      <c r="S677" s="1085"/>
      <c r="T677" s="566"/>
      <c r="U677" s="566"/>
    </row>
    <row r="678" spans="1:21" ht="18.75" x14ac:dyDescent="0.25">
      <c r="A678" s="764"/>
      <c r="B678" s="718"/>
      <c r="C678" s="718"/>
      <c r="D678" s="561"/>
      <c r="E678" s="561"/>
      <c r="F678" s="561"/>
      <c r="G678" s="563"/>
      <c r="H678" s="686" t="s">
        <v>46</v>
      </c>
      <c r="I678" s="1084">
        <f ca="1">IFERROR(__xludf.DUMMYFUNCTION("IMPORTRANGE(""https://docs.google.com/spreadsheets/d/1eHaY18a8A9IcSdp1K8H6x8fbOy06t2VsZHhMHf-1x7Y/edit?usp=sharing"",""แผน!IP18"")"),1009)</f>
        <v>1009</v>
      </c>
      <c r="J678" s="708">
        <f ca="1">IFERROR(__xludf.DUMMYFUNCTION("IMPORTRANGE(""https://docs.google.com/spreadsheets/d/1tdoBKaGub7dwA3U6UFTqxio9LNnvDCQjHKmttSEBsFQ/edit?usp=sharing"",""จัดที่ดิน!BH18"")"),0)</f>
        <v>0</v>
      </c>
      <c r="K678" s="568">
        <f t="shared" ref="K678:K679" ca="1" si="409">IF(I678&gt;0,J678*100/I678,0)</f>
        <v>0</v>
      </c>
      <c r="L678" s="1087"/>
      <c r="M678" s="566"/>
      <c r="N678" s="1085"/>
      <c r="O678" s="566"/>
      <c r="P678" s="566"/>
      <c r="Q678" s="1085"/>
      <c r="R678" s="566"/>
      <c r="S678" s="1085"/>
      <c r="T678" s="566"/>
      <c r="U678" s="566"/>
    </row>
    <row r="679" spans="1:21" ht="18.75" x14ac:dyDescent="0.25">
      <c r="A679" s="764"/>
      <c r="B679" s="718"/>
      <c r="C679" s="718"/>
      <c r="D679" s="561"/>
      <c r="E679" s="573" t="s">
        <v>250</v>
      </c>
      <c r="F679" s="561"/>
      <c r="G679" s="563"/>
      <c r="H679" s="686" t="s">
        <v>35</v>
      </c>
      <c r="I679" s="1084">
        <f ca="1">IFERROR(__xludf.DUMMYFUNCTION("IMPORTRANGE(""https://docs.google.com/spreadsheets/d/1eHaY18a8A9IcSdp1K8H6x8fbOy06t2VsZHhMHf-1x7Y/edit?usp=sharing"",""แผน!IQ18"")"),0)</f>
        <v>0</v>
      </c>
      <c r="J679" s="708">
        <f ca="1">IFERROR(__xludf.DUMMYFUNCTION("IMPORTRANGE(""https://docs.google.com/spreadsheets/d/1tdoBKaGub7dwA3U6UFTqxio9LNnvDCQjHKmttSEBsFQ/edit?usp=sharing"",""จัดที่ดิน!BK18"")"),0)</f>
        <v>0</v>
      </c>
      <c r="K679" s="568">
        <f t="shared" ca="1" si="409"/>
        <v>0</v>
      </c>
      <c r="L679" s="574"/>
      <c r="M679" s="566"/>
      <c r="N679" s="1085"/>
      <c r="O679" s="566"/>
      <c r="P679" s="566"/>
      <c r="Q679" s="566"/>
      <c r="R679" s="566"/>
      <c r="S679" s="1085"/>
      <c r="T679" s="566"/>
      <c r="U679" s="566"/>
    </row>
    <row r="680" spans="1:21" ht="18.75" x14ac:dyDescent="0.25">
      <c r="A680" s="764"/>
      <c r="B680" s="718"/>
      <c r="C680" s="718"/>
      <c r="D680" s="561"/>
      <c r="E680" s="561"/>
      <c r="F680" s="561"/>
      <c r="G680" s="563"/>
      <c r="H680" s="686" t="s">
        <v>34</v>
      </c>
      <c r="I680" s="727"/>
      <c r="J680" s="708">
        <f ca="1">IFERROR(__xludf.DUMMYFUNCTION("IMPORTRANGE(""https://docs.google.com/spreadsheets/d/1tdoBKaGub7dwA3U6UFTqxio9LNnvDCQjHKmttSEBsFQ/edit?usp=sharing"",""จัดที่ดิน!BL18"")"),0)</f>
        <v>0</v>
      </c>
      <c r="K680" s="566"/>
      <c r="L680" s="1087"/>
      <c r="M680" s="566"/>
      <c r="N680" s="1085"/>
      <c r="O680" s="566"/>
      <c r="P680" s="566"/>
      <c r="Q680" s="1085"/>
      <c r="R680" s="566"/>
      <c r="S680" s="1085"/>
      <c r="T680" s="566"/>
      <c r="U680" s="566"/>
    </row>
    <row r="681" spans="1:21" ht="18.75" x14ac:dyDescent="0.25">
      <c r="A681" s="764"/>
      <c r="B681" s="718"/>
      <c r="C681" s="718"/>
      <c r="D681" s="561"/>
      <c r="E681" s="561"/>
      <c r="F681" s="561"/>
      <c r="G681" s="563"/>
      <c r="H681" s="686" t="s">
        <v>46</v>
      </c>
      <c r="I681" s="1084">
        <f ca="1">IFERROR(__xludf.DUMMYFUNCTION("IMPORTRANGE(""https://docs.google.com/spreadsheets/d/1eHaY18a8A9IcSdp1K8H6x8fbOy06t2VsZHhMHf-1x7Y/edit?usp=sharing"",""แผน!IR18"")"),0)</f>
        <v>0</v>
      </c>
      <c r="J681" s="708">
        <f ca="1">IFERROR(__xludf.DUMMYFUNCTION("IMPORTRANGE(""https://docs.google.com/spreadsheets/d/1tdoBKaGub7dwA3U6UFTqxio9LNnvDCQjHKmttSEBsFQ/edit?usp=sharing"",""จัดที่ดิน!BM18"")"),0)</f>
        <v>0</v>
      </c>
      <c r="K681" s="568">
        <f t="shared" ref="K681:K682" ca="1" si="410">IF(I681&gt;0,J681*100/I681,0)</f>
        <v>0</v>
      </c>
      <c r="L681" s="1087"/>
      <c r="M681" s="566"/>
      <c r="N681" s="1085"/>
      <c r="O681" s="566"/>
      <c r="P681" s="566"/>
      <c r="Q681" s="1085"/>
      <c r="R681" s="566"/>
      <c r="S681" s="1085"/>
      <c r="T681" s="566"/>
      <c r="U681" s="566"/>
    </row>
    <row r="682" spans="1:21" ht="19.5" x14ac:dyDescent="0.3">
      <c r="A682" s="764"/>
      <c r="B682" s="718"/>
      <c r="C682" s="718"/>
      <c r="D682" s="573" t="s">
        <v>251</v>
      </c>
      <c r="E682" s="561"/>
      <c r="F682" s="561"/>
      <c r="G682" s="563"/>
      <c r="H682" s="1080" t="s">
        <v>46</v>
      </c>
      <c r="I682" s="1086">
        <f ca="1">IFERROR(__xludf.DUMMYFUNCTION("IMPORTRANGE(""https://docs.google.com/spreadsheets/d/1eHaY18a8A9IcSdp1K8H6x8fbOy06t2VsZHhMHf-1x7Y/edit?usp=sharing"",""แผน!IS18"")"),105)</f>
        <v>105</v>
      </c>
      <c r="J682" s="697">
        <f>J685+J688</f>
        <v>0</v>
      </c>
      <c r="K682" s="679">
        <f t="shared" ca="1" si="410"/>
        <v>0</v>
      </c>
      <c r="L682" s="574"/>
      <c r="M682" s="566"/>
      <c r="N682" s="1085"/>
      <c r="O682" s="566"/>
      <c r="P682" s="566"/>
      <c r="Q682" s="566"/>
      <c r="R682" s="566"/>
      <c r="S682" s="1085"/>
      <c r="T682" s="566"/>
      <c r="U682" s="566"/>
    </row>
    <row r="683" spans="1:21" ht="18.75" x14ac:dyDescent="0.25">
      <c r="A683" s="764"/>
      <c r="B683" s="718"/>
      <c r="C683" s="718"/>
      <c r="D683" s="561"/>
      <c r="E683" s="573" t="s">
        <v>252</v>
      </c>
      <c r="F683" s="561"/>
      <c r="G683" s="563"/>
      <c r="H683" s="686" t="s">
        <v>35</v>
      </c>
      <c r="I683" s="727"/>
      <c r="J683" s="702">
        <v>0</v>
      </c>
      <c r="K683" s="566"/>
      <c r="L683" s="1087"/>
      <c r="M683" s="566"/>
      <c r="N683" s="1085"/>
      <c r="O683" s="566"/>
      <c r="P683" s="566"/>
      <c r="Q683" s="1085"/>
      <c r="R683" s="566"/>
      <c r="S683" s="1085"/>
      <c r="T683" s="566"/>
      <c r="U683" s="566"/>
    </row>
    <row r="684" spans="1:21" ht="18.75" x14ac:dyDescent="0.25">
      <c r="A684" s="764"/>
      <c r="B684" s="718"/>
      <c r="C684" s="718"/>
      <c r="D684" s="561"/>
      <c r="E684" s="561"/>
      <c r="F684" s="561"/>
      <c r="G684" s="563"/>
      <c r="H684" s="686" t="s">
        <v>34</v>
      </c>
      <c r="I684" s="727"/>
      <c r="J684" s="702">
        <v>0</v>
      </c>
      <c r="K684" s="566"/>
      <c r="L684" s="1087"/>
      <c r="M684" s="566"/>
      <c r="N684" s="1085"/>
      <c r="O684" s="566"/>
      <c r="P684" s="566"/>
      <c r="Q684" s="1085"/>
      <c r="R684" s="566"/>
      <c r="S684" s="1085"/>
      <c r="T684" s="566"/>
      <c r="U684" s="566"/>
    </row>
    <row r="685" spans="1:21" ht="18.75" x14ac:dyDescent="0.25">
      <c r="A685" s="764"/>
      <c r="B685" s="718"/>
      <c r="C685" s="718"/>
      <c r="D685" s="561"/>
      <c r="E685" s="561"/>
      <c r="F685" s="561"/>
      <c r="G685" s="563"/>
      <c r="H685" s="686" t="s">
        <v>46</v>
      </c>
      <c r="I685" s="727"/>
      <c r="J685" s="702">
        <v>0</v>
      </c>
      <c r="K685" s="566"/>
      <c r="L685" s="1087"/>
      <c r="M685" s="566"/>
      <c r="N685" s="1085"/>
      <c r="O685" s="566"/>
      <c r="P685" s="566"/>
      <c r="Q685" s="1085"/>
      <c r="R685" s="566"/>
      <c r="S685" s="1085"/>
      <c r="T685" s="566"/>
      <c r="U685" s="566"/>
    </row>
    <row r="686" spans="1:21" ht="18.75" x14ac:dyDescent="0.25">
      <c r="A686" s="764"/>
      <c r="B686" s="718"/>
      <c r="C686" s="718"/>
      <c r="D686" s="561"/>
      <c r="E686" s="573" t="s">
        <v>253</v>
      </c>
      <c r="F686" s="561"/>
      <c r="G686" s="563"/>
      <c r="H686" s="686" t="s">
        <v>35</v>
      </c>
      <c r="I686" s="727"/>
      <c r="J686" s="702">
        <v>0</v>
      </c>
      <c r="K686" s="566"/>
      <c r="L686" s="1087"/>
      <c r="M686" s="566"/>
      <c r="N686" s="1085"/>
      <c r="O686" s="566"/>
      <c r="P686" s="566"/>
      <c r="Q686" s="1085"/>
      <c r="R686" s="566"/>
      <c r="S686" s="1085"/>
      <c r="T686" s="566"/>
      <c r="U686" s="566"/>
    </row>
    <row r="687" spans="1:21" ht="18.75" x14ac:dyDescent="0.25">
      <c r="A687" s="764"/>
      <c r="B687" s="718"/>
      <c r="C687" s="718"/>
      <c r="D687" s="561"/>
      <c r="E687" s="561"/>
      <c r="F687" s="561"/>
      <c r="G687" s="563"/>
      <c r="H687" s="686" t="s">
        <v>34</v>
      </c>
      <c r="I687" s="727"/>
      <c r="J687" s="702">
        <v>0</v>
      </c>
      <c r="K687" s="566"/>
      <c r="L687" s="1087"/>
      <c r="M687" s="566"/>
      <c r="N687" s="1085"/>
      <c r="O687" s="566"/>
      <c r="P687" s="566"/>
      <c r="Q687" s="1085"/>
      <c r="R687" s="566"/>
      <c r="S687" s="1085"/>
      <c r="T687" s="566"/>
      <c r="U687" s="566"/>
    </row>
    <row r="688" spans="1:21" ht="19.5" x14ac:dyDescent="0.3">
      <c r="A688" s="863"/>
      <c r="B688" s="1088" t="s">
        <v>254</v>
      </c>
      <c r="C688" s="864"/>
      <c r="D688" s="512"/>
      <c r="E688" s="512"/>
      <c r="F688" s="512"/>
      <c r="G688" s="866"/>
      <c r="H688" s="1089" t="s">
        <v>46</v>
      </c>
      <c r="I688" s="985"/>
      <c r="J688" s="990">
        <v>0</v>
      </c>
      <c r="K688" s="580"/>
      <c r="L688" s="1090"/>
      <c r="M688" s="580"/>
      <c r="N688" s="1091"/>
      <c r="O688" s="580"/>
      <c r="P688" s="580"/>
      <c r="Q688" s="1091"/>
      <c r="R688" s="580"/>
      <c r="S688" s="1091"/>
      <c r="T688" s="580"/>
      <c r="U688" s="580"/>
    </row>
    <row r="689" spans="1:21" ht="19.5" x14ac:dyDescent="0.3">
      <c r="A689" s="1061"/>
      <c r="B689" s="1062" t="s">
        <v>255</v>
      </c>
      <c r="C689" s="1061"/>
      <c r="D689" s="1063"/>
      <c r="E689" s="1063"/>
      <c r="F689" s="1063"/>
      <c r="G689" s="1064"/>
      <c r="H689" s="1092" t="s">
        <v>35</v>
      </c>
      <c r="I689" s="1093">
        <f t="shared" ref="I689:J689" ca="1" si="411">I707</f>
        <v>300</v>
      </c>
      <c r="J689" s="1093">
        <f t="shared" ca="1" si="411"/>
        <v>0</v>
      </c>
      <c r="K689" s="1094">
        <f ca="1">IF(I689&gt;0,J689*100/I689,0)</f>
        <v>0</v>
      </c>
      <c r="L689" s="1068"/>
      <c r="M689" s="1067"/>
      <c r="N689" s="1067"/>
      <c r="O689" s="1067"/>
      <c r="P689" s="1067"/>
      <c r="Q689" s="1067"/>
      <c r="R689" s="1067"/>
      <c r="S689" s="1067"/>
      <c r="T689" s="1067"/>
      <c r="U689" s="1067"/>
    </row>
    <row r="690" spans="1:21" ht="19.5" x14ac:dyDescent="0.3">
      <c r="A690" s="674"/>
      <c r="B690" s="718"/>
      <c r="C690" s="724" t="s">
        <v>18</v>
      </c>
      <c r="D690" s="1310" t="s">
        <v>19</v>
      </c>
      <c r="E690" s="1311"/>
      <c r="F690" s="1311"/>
      <c r="G690" s="1312"/>
      <c r="H690" s="780" t="s">
        <v>14</v>
      </c>
      <c r="I690" s="565"/>
      <c r="J690" s="565"/>
      <c r="K690" s="566"/>
      <c r="L690" s="678">
        <f t="shared" ref="L690:N690" si="412">L691+L692</f>
        <v>0</v>
      </c>
      <c r="M690" s="679">
        <f t="shared" si="412"/>
        <v>0</v>
      </c>
      <c r="N690" s="679">
        <f t="shared" si="412"/>
        <v>0</v>
      </c>
      <c r="O690" s="679">
        <f t="shared" ref="O690:O698" si="413">IF(L690&gt;0,N690*100/L690,0)</f>
        <v>0</v>
      </c>
      <c r="P690" s="679">
        <f t="shared" ref="P690:P698" si="414">IF(M690&gt;0,N690*100/M690,0)</f>
        <v>0</v>
      </c>
      <c r="Q690" s="679">
        <f t="shared" ref="Q690:S690" ca="1" si="415">Q691+Q692</f>
        <v>463010</v>
      </c>
      <c r="R690" s="679">
        <f t="shared" ca="1" si="415"/>
        <v>463010</v>
      </c>
      <c r="S690" s="679">
        <f t="shared" ca="1" si="415"/>
        <v>254973.95</v>
      </c>
      <c r="T690" s="679">
        <f t="shared" ref="T690:T698" ca="1" si="416">IF(Q690&gt;0,S690*100/Q690,0)</f>
        <v>55.068778212133644</v>
      </c>
      <c r="U690" s="679">
        <f t="shared" ref="U690:U698" ca="1" si="417">IF(R690&gt;0,S690*100/R690,0)</f>
        <v>55.068778212133644</v>
      </c>
    </row>
    <row r="691" spans="1:21" ht="18.75" x14ac:dyDescent="0.25">
      <c r="A691" s="674"/>
      <c r="B691" s="718"/>
      <c r="C691" s="718"/>
      <c r="D691" s="695"/>
      <c r="E691" s="569" t="s">
        <v>158</v>
      </c>
      <c r="F691" s="561"/>
      <c r="G691" s="563"/>
      <c r="H691" s="685" t="s">
        <v>14</v>
      </c>
      <c r="I691" s="565"/>
      <c r="J691" s="565"/>
      <c r="K691" s="566"/>
      <c r="L691" s="571">
        <f t="shared" ref="L691:N692" si="418">L694+L697</f>
        <v>0</v>
      </c>
      <c r="M691" s="572">
        <f t="shared" si="418"/>
        <v>0</v>
      </c>
      <c r="N691" s="572">
        <f t="shared" si="418"/>
        <v>0</v>
      </c>
      <c r="O691" s="572">
        <f t="shared" si="413"/>
        <v>0</v>
      </c>
      <c r="P691" s="572">
        <f t="shared" si="414"/>
        <v>0</v>
      </c>
      <c r="Q691" s="572">
        <f t="shared" ref="Q691:S692" si="419">Q694+Q697</f>
        <v>0</v>
      </c>
      <c r="R691" s="572">
        <f t="shared" si="419"/>
        <v>0</v>
      </c>
      <c r="S691" s="572">
        <f t="shared" si="419"/>
        <v>0</v>
      </c>
      <c r="T691" s="572">
        <f t="shared" si="416"/>
        <v>0</v>
      </c>
      <c r="U691" s="572">
        <f t="shared" si="417"/>
        <v>0</v>
      </c>
    </row>
    <row r="692" spans="1:21" ht="18.75" x14ac:dyDescent="0.25">
      <c r="A692" s="674"/>
      <c r="B692" s="718"/>
      <c r="C692" s="718"/>
      <c r="D692" s="695"/>
      <c r="E692" s="573" t="s">
        <v>159</v>
      </c>
      <c r="F692" s="561"/>
      <c r="G692" s="563"/>
      <c r="H692" s="682" t="s">
        <v>14</v>
      </c>
      <c r="I692" s="565"/>
      <c r="J692" s="565"/>
      <c r="K692" s="566"/>
      <c r="L692" s="567">
        <f t="shared" si="418"/>
        <v>0</v>
      </c>
      <c r="M692" s="568">
        <f t="shared" si="418"/>
        <v>0</v>
      </c>
      <c r="N692" s="568">
        <f t="shared" si="418"/>
        <v>0</v>
      </c>
      <c r="O692" s="568">
        <f t="shared" si="413"/>
        <v>0</v>
      </c>
      <c r="P692" s="568">
        <f t="shared" si="414"/>
        <v>0</v>
      </c>
      <c r="Q692" s="568">
        <f t="shared" ca="1" si="419"/>
        <v>463010</v>
      </c>
      <c r="R692" s="568">
        <f t="shared" ca="1" si="419"/>
        <v>463010</v>
      </c>
      <c r="S692" s="568">
        <f t="shared" ca="1" si="419"/>
        <v>254973.95</v>
      </c>
      <c r="T692" s="568">
        <f t="shared" ca="1" si="416"/>
        <v>55.068778212133644</v>
      </c>
      <c r="U692" s="568">
        <f t="shared" ca="1" si="417"/>
        <v>55.068778212133644</v>
      </c>
    </row>
    <row r="693" spans="1:21" ht="18.75" x14ac:dyDescent="0.25">
      <c r="A693" s="674"/>
      <c r="B693" s="718"/>
      <c r="C693" s="718"/>
      <c r="D693" s="562" t="s">
        <v>22</v>
      </c>
      <c r="E693" s="561"/>
      <c r="F693" s="561"/>
      <c r="G693" s="563"/>
      <c r="H693" s="682" t="s">
        <v>14</v>
      </c>
      <c r="I693" s="683"/>
      <c r="J693" s="683"/>
      <c r="K693" s="684"/>
      <c r="L693" s="567">
        <f t="shared" ref="L693:N693" si="420">L694+L695</f>
        <v>0</v>
      </c>
      <c r="M693" s="568">
        <f t="shared" si="420"/>
        <v>0</v>
      </c>
      <c r="N693" s="568">
        <f t="shared" si="420"/>
        <v>0</v>
      </c>
      <c r="O693" s="568">
        <f t="shared" si="413"/>
        <v>0</v>
      </c>
      <c r="P693" s="568">
        <f t="shared" si="414"/>
        <v>0</v>
      </c>
      <c r="Q693" s="568">
        <f t="shared" ref="Q693:S693" ca="1" si="421">Q694+Q695</f>
        <v>463010</v>
      </c>
      <c r="R693" s="568">
        <f t="shared" ca="1" si="421"/>
        <v>463010</v>
      </c>
      <c r="S693" s="568">
        <f t="shared" ca="1" si="421"/>
        <v>254973.95</v>
      </c>
      <c r="T693" s="568">
        <f t="shared" ca="1" si="416"/>
        <v>55.068778212133644</v>
      </c>
      <c r="U693" s="568">
        <f t="shared" ca="1" si="417"/>
        <v>55.068778212133644</v>
      </c>
    </row>
    <row r="694" spans="1:21" ht="18.75" x14ac:dyDescent="0.25">
      <c r="A694" s="674"/>
      <c r="B694" s="718"/>
      <c r="C694" s="718"/>
      <c r="D694" s="695"/>
      <c r="E694" s="569" t="s">
        <v>158</v>
      </c>
      <c r="F694" s="561"/>
      <c r="G694" s="563"/>
      <c r="H694" s="685" t="s">
        <v>14</v>
      </c>
      <c r="I694" s="565"/>
      <c r="J694" s="565"/>
      <c r="K694" s="566"/>
      <c r="L694" s="571">
        <v>0</v>
      </c>
      <c r="M694" s="572">
        <v>0</v>
      </c>
      <c r="N694" s="572">
        <v>0</v>
      </c>
      <c r="O694" s="572">
        <f t="shared" si="413"/>
        <v>0</v>
      </c>
      <c r="P694" s="572">
        <f t="shared" si="414"/>
        <v>0</v>
      </c>
      <c r="Q694" s="572">
        <v>0</v>
      </c>
      <c r="R694" s="572">
        <v>0</v>
      </c>
      <c r="S694" s="572">
        <v>0</v>
      </c>
      <c r="T694" s="572">
        <f t="shared" si="416"/>
        <v>0</v>
      </c>
      <c r="U694" s="572">
        <f t="shared" si="417"/>
        <v>0</v>
      </c>
    </row>
    <row r="695" spans="1:21" ht="18.75" x14ac:dyDescent="0.25">
      <c r="A695" s="674"/>
      <c r="B695" s="718"/>
      <c r="C695" s="718"/>
      <c r="D695" s="695"/>
      <c r="E695" s="573" t="s">
        <v>159</v>
      </c>
      <c r="F695" s="561"/>
      <c r="G695" s="563"/>
      <c r="H695" s="682" t="s">
        <v>14</v>
      </c>
      <c r="I695" s="565"/>
      <c r="J695" s="565"/>
      <c r="K695" s="566"/>
      <c r="L695" s="567">
        <v>0</v>
      </c>
      <c r="M695" s="568">
        <v>0</v>
      </c>
      <c r="N695" s="568">
        <v>0</v>
      </c>
      <c r="O695" s="568">
        <f t="shared" si="413"/>
        <v>0</v>
      </c>
      <c r="P695" s="568">
        <f t="shared" si="414"/>
        <v>0</v>
      </c>
      <c r="Q695" s="568">
        <f ca="1">IFERROR(__xludf.DUMMYFUNCTION("IMPORTRANGE(""https://docs.google.com/spreadsheets/d/1ItG2mGa2ceCfYo0BwxsXqNm01IGEUdYcSSLTEv9YCik/edit?usp=sharing"",""เบิกจ่ายกองทุน!L18"")"),463010)</f>
        <v>463010</v>
      </c>
      <c r="R695" s="568">
        <f ca="1">IFERROR(__xludf.DUMMYFUNCTION("IMPORTRANGE(""https://docs.google.com/spreadsheets/d/1ItG2mGa2ceCfYo0BwxsXqNm01IGEUdYcSSLTEv9YCik/edit?usp=sharing"",""เบิกจ่ายกองทุน!M18"")"),463010)</f>
        <v>463010</v>
      </c>
      <c r="S695" s="568">
        <f ca="1">IFERROR(__xludf.DUMMYFUNCTION("IMPORTRANGE(""https://docs.google.com/spreadsheets/d/1ItG2mGa2ceCfYo0BwxsXqNm01IGEUdYcSSLTEv9YCik/edit?usp=sharing"",""เบิกจ่ายกองทุน!N18"")"),254973.95)</f>
        <v>254973.95</v>
      </c>
      <c r="T695" s="568">
        <f t="shared" ca="1" si="416"/>
        <v>55.068778212133644</v>
      </c>
      <c r="U695" s="568">
        <f t="shared" ca="1" si="417"/>
        <v>55.068778212133644</v>
      </c>
    </row>
    <row r="696" spans="1:21" ht="18.75" x14ac:dyDescent="0.25">
      <c r="A696" s="674"/>
      <c r="B696" s="718"/>
      <c r="C696" s="718"/>
      <c r="D696" s="562" t="s">
        <v>23</v>
      </c>
      <c r="E696" s="561"/>
      <c r="F696" s="561"/>
      <c r="G696" s="563"/>
      <c r="H696" s="686" t="s">
        <v>14</v>
      </c>
      <c r="I696" s="683"/>
      <c r="J696" s="683"/>
      <c r="K696" s="684"/>
      <c r="L696" s="567">
        <f t="shared" ref="L696:N696" si="422">L697+L698</f>
        <v>0</v>
      </c>
      <c r="M696" s="568">
        <f t="shared" si="422"/>
        <v>0</v>
      </c>
      <c r="N696" s="568">
        <f t="shared" si="422"/>
        <v>0</v>
      </c>
      <c r="O696" s="568">
        <f t="shared" si="413"/>
        <v>0</v>
      </c>
      <c r="P696" s="568">
        <f t="shared" si="414"/>
        <v>0</v>
      </c>
      <c r="Q696" s="568">
        <f t="shared" ref="Q696:S696" si="423">Q697+Q698</f>
        <v>0</v>
      </c>
      <c r="R696" s="568">
        <f t="shared" si="423"/>
        <v>0</v>
      </c>
      <c r="S696" s="568">
        <f t="shared" si="423"/>
        <v>0</v>
      </c>
      <c r="T696" s="568">
        <f t="shared" si="416"/>
        <v>0</v>
      </c>
      <c r="U696" s="568">
        <f t="shared" si="417"/>
        <v>0</v>
      </c>
    </row>
    <row r="697" spans="1:21" ht="18.75" x14ac:dyDescent="0.25">
      <c r="A697" s="674"/>
      <c r="B697" s="718"/>
      <c r="C697" s="718"/>
      <c r="D697" s="561"/>
      <c r="E697" s="569" t="s">
        <v>20</v>
      </c>
      <c r="F697" s="561"/>
      <c r="G697" s="563"/>
      <c r="H697" s="685" t="s">
        <v>14</v>
      </c>
      <c r="I697" s="683"/>
      <c r="J697" s="683"/>
      <c r="K697" s="684"/>
      <c r="L697" s="571">
        <v>0</v>
      </c>
      <c r="M697" s="572">
        <v>0</v>
      </c>
      <c r="N697" s="572">
        <v>0</v>
      </c>
      <c r="O697" s="572">
        <f t="shared" si="413"/>
        <v>0</v>
      </c>
      <c r="P697" s="572">
        <f t="shared" si="414"/>
        <v>0</v>
      </c>
      <c r="Q697" s="572">
        <v>0</v>
      </c>
      <c r="R697" s="572">
        <v>0</v>
      </c>
      <c r="S697" s="572">
        <v>0</v>
      </c>
      <c r="T697" s="572">
        <f t="shared" si="416"/>
        <v>0</v>
      </c>
      <c r="U697" s="572">
        <f t="shared" si="417"/>
        <v>0</v>
      </c>
    </row>
    <row r="698" spans="1:21" ht="18.75" x14ac:dyDescent="0.25">
      <c r="A698" s="674"/>
      <c r="B698" s="718"/>
      <c r="C698" s="718"/>
      <c r="D698" s="561"/>
      <c r="E698" s="573" t="s">
        <v>21</v>
      </c>
      <c r="F698" s="561"/>
      <c r="G698" s="563"/>
      <c r="H698" s="686" t="s">
        <v>14</v>
      </c>
      <c r="I698" s="683"/>
      <c r="J698" s="683"/>
      <c r="K698" s="684"/>
      <c r="L698" s="567">
        <v>0</v>
      </c>
      <c r="M698" s="568">
        <v>0</v>
      </c>
      <c r="N698" s="568">
        <v>0</v>
      </c>
      <c r="O698" s="568">
        <f t="shared" si="413"/>
        <v>0</v>
      </c>
      <c r="P698" s="568">
        <f t="shared" si="414"/>
        <v>0</v>
      </c>
      <c r="Q698" s="568">
        <v>0</v>
      </c>
      <c r="R698" s="568">
        <v>0</v>
      </c>
      <c r="S698" s="568">
        <v>0</v>
      </c>
      <c r="T698" s="568">
        <f t="shared" si="416"/>
        <v>0</v>
      </c>
      <c r="U698" s="568">
        <f t="shared" si="417"/>
        <v>0</v>
      </c>
    </row>
    <row r="699" spans="1:21" ht="19.5" x14ac:dyDescent="0.3">
      <c r="A699" s="687"/>
      <c r="B699" s="688"/>
      <c r="C699" s="724" t="s">
        <v>18</v>
      </c>
      <c r="D699" s="689" t="s">
        <v>38</v>
      </c>
      <c r="E699" s="690"/>
      <c r="F699" s="690"/>
      <c r="G699" s="690"/>
      <c r="H699" s="725"/>
      <c r="I699" s="683"/>
      <c r="J699" s="683"/>
      <c r="K699" s="684"/>
      <c r="L699" s="574"/>
      <c r="M699" s="566"/>
      <c r="N699" s="566"/>
      <c r="O699" s="566"/>
      <c r="P699" s="566"/>
      <c r="Q699" s="566"/>
      <c r="R699" s="566"/>
      <c r="S699" s="566"/>
      <c r="T699" s="566"/>
      <c r="U699" s="566"/>
    </row>
    <row r="700" spans="1:21" ht="18.75" x14ac:dyDescent="0.25">
      <c r="A700" s="764"/>
      <c r="B700" s="718"/>
      <c r="C700" s="718"/>
      <c r="D700" s="695"/>
      <c r="E700" s="694" t="s">
        <v>256</v>
      </c>
      <c r="F700" s="695"/>
      <c r="G700" s="692"/>
      <c r="H700" s="686" t="s">
        <v>257</v>
      </c>
      <c r="I700" s="708">
        <f ca="1">IFERROR(__xludf.DUMMYFUNCTION("IMPORTRANGE(""https://docs.google.com/spreadsheets/d/1eHaY18a8A9IcSdp1K8H6x8fbOy06t2VsZHhMHf-1x7Y/edit?usp=sharing"",""แผน!LC18"")"),3)</f>
        <v>3</v>
      </c>
      <c r="J700" s="702">
        <v>0</v>
      </c>
      <c r="K700" s="703">
        <f t="shared" ref="K700:K710" ca="1" si="424">IF(I700&gt;0,J700*100/I700,0)</f>
        <v>0</v>
      </c>
      <c r="L700" s="693"/>
      <c r="M700" s="684"/>
      <c r="N700" s="566"/>
      <c r="O700" s="684"/>
      <c r="P700" s="684"/>
      <c r="Q700" s="684"/>
      <c r="R700" s="684"/>
      <c r="S700" s="566"/>
      <c r="T700" s="684"/>
      <c r="U700" s="684"/>
    </row>
    <row r="701" spans="1:21" ht="19.5" x14ac:dyDescent="0.3">
      <c r="A701" s="764"/>
      <c r="B701" s="718"/>
      <c r="C701" s="718"/>
      <c r="D701" s="695"/>
      <c r="E701" s="1095" t="s">
        <v>258</v>
      </c>
      <c r="F701" s="695"/>
      <c r="G701" s="692"/>
      <c r="H701" s="677" t="s">
        <v>35</v>
      </c>
      <c r="I701" s="697">
        <f t="shared" ref="I701:J701" ca="1" si="425">I703+I705</f>
        <v>305</v>
      </c>
      <c r="J701" s="697">
        <f t="shared" ca="1" si="425"/>
        <v>0</v>
      </c>
      <c r="K701" s="679">
        <f t="shared" ca="1" si="424"/>
        <v>0</v>
      </c>
      <c r="L701" s="693"/>
      <c r="M701" s="684"/>
      <c r="N701" s="684"/>
      <c r="O701" s="684"/>
      <c r="P701" s="684"/>
      <c r="Q701" s="684"/>
      <c r="R701" s="684"/>
      <c r="S701" s="684"/>
      <c r="T701" s="684"/>
      <c r="U701" s="684"/>
    </row>
    <row r="702" spans="1:21" ht="19.5" x14ac:dyDescent="0.3">
      <c r="A702" s="764"/>
      <c r="B702" s="718"/>
      <c r="C702" s="718"/>
      <c r="D702" s="695"/>
      <c r="E702" s="695"/>
      <c r="F702" s="695"/>
      <c r="G702" s="692"/>
      <c r="H702" s="677" t="s">
        <v>46</v>
      </c>
      <c r="I702" s="697">
        <v>0</v>
      </c>
      <c r="J702" s="697">
        <f ca="1">J704+J706</f>
        <v>0</v>
      </c>
      <c r="K702" s="679">
        <f t="shared" si="424"/>
        <v>0</v>
      </c>
      <c r="L702" s="693"/>
      <c r="M702" s="684"/>
      <c r="N702" s="684"/>
      <c r="O702" s="684"/>
      <c r="P702" s="684"/>
      <c r="Q702" s="684"/>
      <c r="R702" s="684"/>
      <c r="S702" s="684"/>
      <c r="T702" s="684"/>
      <c r="U702" s="684"/>
    </row>
    <row r="703" spans="1:21" ht="18.75" x14ac:dyDescent="0.25">
      <c r="A703" s="764"/>
      <c r="B703" s="718"/>
      <c r="C703" s="718"/>
      <c r="D703" s="695"/>
      <c r="E703" s="695"/>
      <c r="F703" s="694" t="s">
        <v>259</v>
      </c>
      <c r="G703" s="692"/>
      <c r="H703" s="686" t="s">
        <v>35</v>
      </c>
      <c r="I703" s="708">
        <f ca="1">IFERROR(__xludf.DUMMYFUNCTION("IMPORTRANGE(""https://docs.google.com/spreadsheets/d/1eHaY18a8A9IcSdp1K8H6x8fbOy06t2VsZHhMHf-1x7Y/edit?usp=sharing"",""แผน!LJ18"")"),300)</f>
        <v>300</v>
      </c>
      <c r="J703" s="708">
        <f ca="1">IFERROR(__xludf.DUMMYFUNCTION("IMPORTRANGE(""https://docs.google.com/spreadsheets/d/1tdoBKaGub7dwA3U6UFTqxio9LNnvDCQjHKmttSEBsFQ/edit?usp=sharing"",""จัดที่ดิน!AP18"")"),0)</f>
        <v>0</v>
      </c>
      <c r="K703" s="568">
        <f t="shared" ca="1" si="424"/>
        <v>0</v>
      </c>
      <c r="L703" s="693"/>
      <c r="M703" s="684"/>
      <c r="N703" s="684"/>
      <c r="O703" s="684"/>
      <c r="P703" s="684"/>
      <c r="Q703" s="684"/>
      <c r="R703" s="684"/>
      <c r="S703" s="684"/>
      <c r="T703" s="684"/>
      <c r="U703" s="684"/>
    </row>
    <row r="704" spans="1:21" ht="18.75" x14ac:dyDescent="0.25">
      <c r="A704" s="764"/>
      <c r="B704" s="718"/>
      <c r="C704" s="718"/>
      <c r="D704" s="695"/>
      <c r="E704" s="695"/>
      <c r="F704" s="695"/>
      <c r="G704" s="692"/>
      <c r="H704" s="686" t="s">
        <v>46</v>
      </c>
      <c r="I704" s="708">
        <v>0</v>
      </c>
      <c r="J704" s="708">
        <f ca="1">IFERROR(__xludf.DUMMYFUNCTION("IMPORTRANGE(""https://docs.google.com/spreadsheets/d/1tdoBKaGub7dwA3U6UFTqxio9LNnvDCQjHKmttSEBsFQ/edit?usp=sharing"",""จัดที่ดิน!AQ18"")"),0)</f>
        <v>0</v>
      </c>
      <c r="K704" s="568">
        <f t="shared" si="424"/>
        <v>0</v>
      </c>
      <c r="L704" s="693"/>
      <c r="M704" s="684"/>
      <c r="N704" s="684"/>
      <c r="O704" s="684"/>
      <c r="P704" s="684"/>
      <c r="Q704" s="684"/>
      <c r="R704" s="684"/>
      <c r="S704" s="684"/>
      <c r="T704" s="684"/>
      <c r="U704" s="684"/>
    </row>
    <row r="705" spans="1:21" ht="18.75" x14ac:dyDescent="0.25">
      <c r="A705" s="764"/>
      <c r="B705" s="718"/>
      <c r="C705" s="718"/>
      <c r="D705" s="695"/>
      <c r="E705" s="695"/>
      <c r="F705" s="694" t="s">
        <v>260</v>
      </c>
      <c r="G705" s="692"/>
      <c r="H705" s="686" t="s">
        <v>35</v>
      </c>
      <c r="I705" s="708">
        <f ca="1">IFERROR(__xludf.DUMMYFUNCTION("IMPORTRANGE(""https://docs.google.com/spreadsheets/d/1eHaY18a8A9IcSdp1K8H6x8fbOy06t2VsZHhMHf-1x7Y/edit?usp=sharing"",""แผน!LK18"")"),5)</f>
        <v>5</v>
      </c>
      <c r="J705" s="708">
        <f ca="1">IFERROR(__xludf.DUMMYFUNCTION("IMPORTRANGE(""https://docs.google.com/spreadsheets/d/1tdoBKaGub7dwA3U6UFTqxio9LNnvDCQjHKmttSEBsFQ/edit?usp=sharing"",""จัดที่ดิน!AR18"")"),0)</f>
        <v>0</v>
      </c>
      <c r="K705" s="703">
        <f t="shared" ca="1" si="424"/>
        <v>0</v>
      </c>
      <c r="L705" s="693"/>
      <c r="M705" s="684"/>
      <c r="N705" s="684"/>
      <c r="O705" s="684"/>
      <c r="P705" s="684"/>
      <c r="Q705" s="684"/>
      <c r="R705" s="684"/>
      <c r="S705" s="684"/>
      <c r="T705" s="684"/>
      <c r="U705" s="684"/>
    </row>
    <row r="706" spans="1:21" ht="18.75" x14ac:dyDescent="0.25">
      <c r="A706" s="764"/>
      <c r="B706" s="718"/>
      <c r="C706" s="718"/>
      <c r="D706" s="695"/>
      <c r="E706" s="695"/>
      <c r="F706" s="695"/>
      <c r="G706" s="692"/>
      <c r="H706" s="686" t="s">
        <v>46</v>
      </c>
      <c r="I706" s="708">
        <v>0</v>
      </c>
      <c r="J706" s="708">
        <f ca="1">IFERROR(__xludf.DUMMYFUNCTION("IMPORTRANGE(""https://docs.google.com/spreadsheets/d/1tdoBKaGub7dwA3U6UFTqxio9LNnvDCQjHKmttSEBsFQ/edit?usp=sharing"",""จัดที่ดิน!AS18"")"),0)</f>
        <v>0</v>
      </c>
      <c r="K706" s="568">
        <f t="shared" si="424"/>
        <v>0</v>
      </c>
      <c r="L706" s="693"/>
      <c r="M706" s="684"/>
      <c r="N706" s="684"/>
      <c r="O706" s="684"/>
      <c r="P706" s="684"/>
      <c r="Q706" s="684"/>
      <c r="R706" s="684"/>
      <c r="S706" s="684"/>
      <c r="T706" s="684"/>
      <c r="U706" s="684"/>
    </row>
    <row r="707" spans="1:21" ht="18.75" x14ac:dyDescent="0.25">
      <c r="A707" s="764"/>
      <c r="B707" s="718"/>
      <c r="C707" s="718"/>
      <c r="D707" s="695"/>
      <c r="E707" s="694" t="s">
        <v>261</v>
      </c>
      <c r="F707" s="695"/>
      <c r="G707" s="692"/>
      <c r="H707" s="682" t="s">
        <v>35</v>
      </c>
      <c r="I707" s="708">
        <f ca="1">IFERROR(__xludf.DUMMYFUNCTION("IMPORTRANGE(""https://docs.google.com/spreadsheets/d/1eHaY18a8A9IcSdp1K8H6x8fbOy06t2VsZHhMHf-1x7Y/edit?usp=sharing"",""แผน!LJ18"")"),300)</f>
        <v>300</v>
      </c>
      <c r="J707" s="708">
        <f ca="1">IFERROR(__xludf.DUMMYFUNCTION("IMPORTRANGE(""https://docs.google.com/spreadsheets/d/1tdoBKaGub7dwA3U6UFTqxio9LNnvDCQjHKmttSEBsFQ/edit?usp=sharing"",""จัดที่ดิน!BN18"")"),0)</f>
        <v>0</v>
      </c>
      <c r="K707" s="568">
        <f t="shared" ca="1" si="424"/>
        <v>0</v>
      </c>
      <c r="L707" s="693"/>
      <c r="M707" s="684"/>
      <c r="N707" s="684"/>
      <c r="O707" s="684"/>
      <c r="P707" s="684"/>
      <c r="Q707" s="684"/>
      <c r="R707" s="684"/>
      <c r="S707" s="684"/>
      <c r="T707" s="684"/>
      <c r="U707" s="684"/>
    </row>
    <row r="708" spans="1:21" ht="18.75" x14ac:dyDescent="0.25">
      <c r="A708" s="764"/>
      <c r="B708" s="718"/>
      <c r="C708" s="718"/>
      <c r="D708" s="695"/>
      <c r="E708" s="1096" t="s">
        <v>262</v>
      </c>
      <c r="F708" s="695"/>
      <c r="G708" s="692"/>
      <c r="H708" s="682" t="s">
        <v>46</v>
      </c>
      <c r="I708" s="708">
        <v>0</v>
      </c>
      <c r="J708" s="708">
        <f ca="1">IFERROR(__xludf.DUMMYFUNCTION("IMPORTRANGE(""https://docs.google.com/spreadsheets/d/1tdoBKaGub7dwA3U6UFTqxio9LNnvDCQjHKmttSEBsFQ/edit?usp=sharing"",""จัดที่ดิน!BO18"")"),0)</f>
        <v>0</v>
      </c>
      <c r="K708" s="568">
        <f t="shared" si="424"/>
        <v>0</v>
      </c>
      <c r="L708" s="693"/>
      <c r="M708" s="684"/>
      <c r="N708" s="684"/>
      <c r="O708" s="684"/>
      <c r="P708" s="684"/>
      <c r="Q708" s="684"/>
      <c r="R708" s="684"/>
      <c r="S708" s="684"/>
      <c r="T708" s="684"/>
      <c r="U708" s="684"/>
    </row>
    <row r="709" spans="1:21" ht="18.75" x14ac:dyDescent="0.25">
      <c r="A709" s="764"/>
      <c r="B709" s="718"/>
      <c r="C709" s="718"/>
      <c r="D709" s="561"/>
      <c r="E709" s="573" t="s">
        <v>263</v>
      </c>
      <c r="F709" s="561"/>
      <c r="G709" s="563"/>
      <c r="H709" s="722" t="s">
        <v>35</v>
      </c>
      <c r="I709" s="708">
        <f ca="1">IFERROR(__xludf.DUMMYFUNCTION("IMPORTRANGE(""https://docs.google.com/spreadsheets/d/1eHaY18a8A9IcSdp1K8H6x8fbOy06t2VsZHhMHf-1x7Y/edit?usp=sharing"",""แผน!LK18"")"),5)</f>
        <v>5</v>
      </c>
      <c r="J709" s="708">
        <f ca="1">IFERROR(__xludf.DUMMYFUNCTION("IMPORTRANGE(""https://docs.google.com/spreadsheets/d/1tdoBKaGub7dwA3U6UFTqxio9LNnvDCQjHKmttSEBsFQ/edit?usp=sharing"",""จัดที่ดิน!BP18"")"),0)</f>
        <v>0</v>
      </c>
      <c r="K709" s="568">
        <f t="shared" ca="1" si="424"/>
        <v>0</v>
      </c>
      <c r="L709" s="574"/>
      <c r="M709" s="566"/>
      <c r="N709" s="566"/>
      <c r="O709" s="566"/>
      <c r="P709" s="566"/>
      <c r="Q709" s="566"/>
      <c r="R709" s="566"/>
      <c r="S709" s="566"/>
      <c r="T709" s="566"/>
      <c r="U709" s="566"/>
    </row>
    <row r="710" spans="1:21" ht="18.75" x14ac:dyDescent="0.25">
      <c r="A710" s="764"/>
      <c r="B710" s="718"/>
      <c r="C710" s="718"/>
      <c r="D710" s="561"/>
      <c r="E710" s="1096" t="s">
        <v>264</v>
      </c>
      <c r="F710" s="561"/>
      <c r="G710" s="563"/>
      <c r="H710" s="722" t="s">
        <v>46</v>
      </c>
      <c r="I710" s="708">
        <v>0</v>
      </c>
      <c r="J710" s="708">
        <f ca="1">IFERROR(__xludf.DUMMYFUNCTION("IMPORTRANGE(""https://docs.google.com/spreadsheets/d/1tdoBKaGub7dwA3U6UFTqxio9LNnvDCQjHKmttSEBsFQ/edit?usp=sharing"",""จัดที่ดิน!BQ18"")"),0)</f>
        <v>0</v>
      </c>
      <c r="K710" s="568">
        <f t="shared" si="424"/>
        <v>0</v>
      </c>
      <c r="L710" s="574"/>
      <c r="M710" s="566"/>
      <c r="N710" s="566"/>
      <c r="O710" s="566"/>
      <c r="P710" s="566"/>
      <c r="Q710" s="566"/>
      <c r="R710" s="566"/>
      <c r="S710" s="566"/>
      <c r="T710" s="566"/>
      <c r="U710" s="566"/>
    </row>
    <row r="711" spans="1:21" ht="12.75" hidden="1" x14ac:dyDescent="0.2">
      <c r="A711" s="1027"/>
      <c r="B711" s="966"/>
      <c r="C711" s="966"/>
      <c r="D711" s="1028"/>
      <c r="E711" s="1028"/>
      <c r="F711" s="1028"/>
      <c r="G711" s="1029"/>
      <c r="H711" s="967"/>
      <c r="I711" s="968"/>
      <c r="J711" s="968"/>
      <c r="K711" s="969"/>
      <c r="L711" s="970"/>
      <c r="M711" s="969"/>
      <c r="N711" s="969"/>
      <c r="O711" s="969"/>
      <c r="P711" s="969"/>
      <c r="Q711" s="969"/>
      <c r="R711" s="969"/>
      <c r="S711" s="969"/>
      <c r="T711" s="969"/>
      <c r="U711" s="969"/>
    </row>
    <row r="712" spans="1:21" ht="19.5" hidden="1" x14ac:dyDescent="0.3">
      <c r="A712" s="1061"/>
      <c r="B712" s="1097" t="s">
        <v>265</v>
      </c>
      <c r="C712" s="1061"/>
      <c r="D712" s="1063"/>
      <c r="E712" s="1063"/>
      <c r="F712" s="1063"/>
      <c r="G712" s="1064"/>
      <c r="H712" s="1098" t="s">
        <v>46</v>
      </c>
      <c r="I712" s="1066"/>
      <c r="J712" s="1066">
        <f>J724</f>
        <v>0</v>
      </c>
      <c r="K712" s="1099">
        <f>IF(I712&gt;0,J712*100/I712,0)</f>
        <v>0</v>
      </c>
      <c r="L712" s="1068"/>
      <c r="M712" s="1067"/>
      <c r="N712" s="1067"/>
      <c r="O712" s="1067"/>
      <c r="P712" s="1067"/>
      <c r="Q712" s="1067"/>
      <c r="R712" s="1067"/>
      <c r="S712" s="1067"/>
      <c r="T712" s="1067"/>
      <c r="U712" s="1067"/>
    </row>
    <row r="713" spans="1:21" ht="19.5" hidden="1" x14ac:dyDescent="0.3">
      <c r="A713" s="1061"/>
      <c r="B713" s="1097" t="s">
        <v>266</v>
      </c>
      <c r="C713" s="1061"/>
      <c r="D713" s="1063"/>
      <c r="E713" s="1063"/>
      <c r="F713" s="1063"/>
      <c r="G713" s="1064"/>
      <c r="H713" s="1065"/>
      <c r="I713" s="1066"/>
      <c r="J713" s="1066"/>
      <c r="K713" s="1067"/>
      <c r="L713" s="1068"/>
      <c r="M713" s="1067"/>
      <c r="N713" s="1067"/>
      <c r="O713" s="1067"/>
      <c r="P713" s="1067"/>
      <c r="Q713" s="1067"/>
      <c r="R713" s="1067"/>
      <c r="S713" s="1067"/>
      <c r="T713" s="1067"/>
      <c r="U713" s="1067"/>
    </row>
    <row r="714" spans="1:21" ht="19.5" hidden="1" x14ac:dyDescent="0.3">
      <c r="A714" s="674"/>
      <c r="B714" s="718"/>
      <c r="C714" s="767" t="s">
        <v>18</v>
      </c>
      <c r="D714" s="1315" t="s">
        <v>19</v>
      </c>
      <c r="E714" s="1311"/>
      <c r="F714" s="1311"/>
      <c r="G714" s="1312"/>
      <c r="H714" s="799" t="s">
        <v>14</v>
      </c>
      <c r="I714" s="565"/>
      <c r="J714" s="565"/>
      <c r="K714" s="566"/>
      <c r="L714" s="678">
        <f t="shared" ref="L714:N714" si="426">L715+L716</f>
        <v>0</v>
      </c>
      <c r="M714" s="679">
        <f t="shared" si="426"/>
        <v>0</v>
      </c>
      <c r="N714" s="679">
        <f t="shared" si="426"/>
        <v>0</v>
      </c>
      <c r="O714" s="679">
        <f t="shared" ref="O714:O722" si="427">IF(L714&gt;0,N714*100/L714,0)</f>
        <v>0</v>
      </c>
      <c r="P714" s="679">
        <f t="shared" ref="P714:P722" si="428">IF(M714&gt;0,N714*100/M714,0)</f>
        <v>0</v>
      </c>
      <c r="Q714" s="679">
        <f t="shared" ref="Q714:S714" si="429">Q715+Q716</f>
        <v>0</v>
      </c>
      <c r="R714" s="679">
        <f t="shared" si="429"/>
        <v>0</v>
      </c>
      <c r="S714" s="679">
        <f t="shared" si="429"/>
        <v>0</v>
      </c>
      <c r="T714" s="679">
        <f t="shared" ref="T714:T722" si="430">IF(Q714&gt;0,S714*100/Q714,0)</f>
        <v>0</v>
      </c>
      <c r="U714" s="679">
        <f t="shared" ref="U714:U722" si="431">IF(R714&gt;0,S714*100/R714,0)</f>
        <v>0</v>
      </c>
    </row>
    <row r="715" spans="1:21" ht="18.75" hidden="1" x14ac:dyDescent="0.25">
      <c r="A715" s="674"/>
      <c r="B715" s="718"/>
      <c r="C715" s="718"/>
      <c r="D715" s="695"/>
      <c r="E715" s="569" t="s">
        <v>158</v>
      </c>
      <c r="F715" s="561"/>
      <c r="G715" s="563"/>
      <c r="H715" s="685" t="s">
        <v>14</v>
      </c>
      <c r="I715" s="565"/>
      <c r="J715" s="565"/>
      <c r="K715" s="566"/>
      <c r="L715" s="571">
        <f t="shared" ref="L715:N716" si="432">L718+L721</f>
        <v>0</v>
      </c>
      <c r="M715" s="572">
        <f t="shared" si="432"/>
        <v>0</v>
      </c>
      <c r="N715" s="572">
        <f t="shared" si="432"/>
        <v>0</v>
      </c>
      <c r="O715" s="572">
        <f t="shared" si="427"/>
        <v>0</v>
      </c>
      <c r="P715" s="572">
        <f t="shared" si="428"/>
        <v>0</v>
      </c>
      <c r="Q715" s="572">
        <f t="shared" ref="Q715:S716" si="433">Q718+Q721</f>
        <v>0</v>
      </c>
      <c r="R715" s="572">
        <f t="shared" si="433"/>
        <v>0</v>
      </c>
      <c r="S715" s="572">
        <f t="shared" si="433"/>
        <v>0</v>
      </c>
      <c r="T715" s="572">
        <f t="shared" si="430"/>
        <v>0</v>
      </c>
      <c r="U715" s="572">
        <f t="shared" si="431"/>
        <v>0</v>
      </c>
    </row>
    <row r="716" spans="1:21" ht="18.75" hidden="1" x14ac:dyDescent="0.25">
      <c r="A716" s="674"/>
      <c r="B716" s="718"/>
      <c r="C716" s="718"/>
      <c r="D716" s="695"/>
      <c r="E716" s="569" t="s">
        <v>159</v>
      </c>
      <c r="F716" s="561"/>
      <c r="G716" s="563"/>
      <c r="H716" s="685" t="s">
        <v>14</v>
      </c>
      <c r="I716" s="565"/>
      <c r="J716" s="565"/>
      <c r="K716" s="566"/>
      <c r="L716" s="567">
        <f t="shared" si="432"/>
        <v>0</v>
      </c>
      <c r="M716" s="568">
        <f t="shared" si="432"/>
        <v>0</v>
      </c>
      <c r="N716" s="568">
        <f t="shared" si="432"/>
        <v>0</v>
      </c>
      <c r="O716" s="568">
        <f t="shared" si="427"/>
        <v>0</v>
      </c>
      <c r="P716" s="568">
        <f t="shared" si="428"/>
        <v>0</v>
      </c>
      <c r="Q716" s="568">
        <f t="shared" si="433"/>
        <v>0</v>
      </c>
      <c r="R716" s="568">
        <f t="shared" si="433"/>
        <v>0</v>
      </c>
      <c r="S716" s="568">
        <f t="shared" si="433"/>
        <v>0</v>
      </c>
      <c r="T716" s="568">
        <f t="shared" si="430"/>
        <v>0</v>
      </c>
      <c r="U716" s="568">
        <f t="shared" si="431"/>
        <v>0</v>
      </c>
    </row>
    <row r="717" spans="1:21" ht="19.5" hidden="1" x14ac:dyDescent="0.3">
      <c r="A717" s="674"/>
      <c r="B717" s="718"/>
      <c r="C717" s="718"/>
      <c r="D717" s="798" t="s">
        <v>22</v>
      </c>
      <c r="E717" s="561"/>
      <c r="F717" s="561"/>
      <c r="G717" s="563"/>
      <c r="H717" s="799" t="s">
        <v>14</v>
      </c>
      <c r="I717" s="683"/>
      <c r="J717" s="683"/>
      <c r="K717" s="684"/>
      <c r="L717" s="567">
        <f t="shared" ref="L717:N717" si="434">L718+L719</f>
        <v>0</v>
      </c>
      <c r="M717" s="568">
        <f t="shared" si="434"/>
        <v>0</v>
      </c>
      <c r="N717" s="568">
        <f t="shared" si="434"/>
        <v>0</v>
      </c>
      <c r="O717" s="568">
        <f t="shared" si="427"/>
        <v>0</v>
      </c>
      <c r="P717" s="568">
        <f t="shared" si="428"/>
        <v>0</v>
      </c>
      <c r="Q717" s="568">
        <f t="shared" ref="Q717:S717" si="435">Q718+Q719</f>
        <v>0</v>
      </c>
      <c r="R717" s="568">
        <f t="shared" si="435"/>
        <v>0</v>
      </c>
      <c r="S717" s="568">
        <f t="shared" si="435"/>
        <v>0</v>
      </c>
      <c r="T717" s="568">
        <f t="shared" si="430"/>
        <v>0</v>
      </c>
      <c r="U717" s="568">
        <f t="shared" si="431"/>
        <v>0</v>
      </c>
    </row>
    <row r="718" spans="1:21" ht="18.75" hidden="1" x14ac:dyDescent="0.25">
      <c r="A718" s="674"/>
      <c r="B718" s="718"/>
      <c r="C718" s="718"/>
      <c r="D718" s="695"/>
      <c r="E718" s="569" t="s">
        <v>158</v>
      </c>
      <c r="F718" s="561"/>
      <c r="G718" s="563"/>
      <c r="H718" s="685" t="s">
        <v>14</v>
      </c>
      <c r="I718" s="565"/>
      <c r="J718" s="565"/>
      <c r="K718" s="566"/>
      <c r="L718" s="571">
        <v>0</v>
      </c>
      <c r="M718" s="572">
        <v>0</v>
      </c>
      <c r="N718" s="572">
        <v>0</v>
      </c>
      <c r="O718" s="572">
        <f t="shared" si="427"/>
        <v>0</v>
      </c>
      <c r="P718" s="572">
        <f t="shared" si="428"/>
        <v>0</v>
      </c>
      <c r="Q718" s="572">
        <v>0</v>
      </c>
      <c r="R718" s="572">
        <v>0</v>
      </c>
      <c r="S718" s="572">
        <v>0</v>
      </c>
      <c r="T718" s="572">
        <f t="shared" si="430"/>
        <v>0</v>
      </c>
      <c r="U718" s="572">
        <f t="shared" si="431"/>
        <v>0</v>
      </c>
    </row>
    <row r="719" spans="1:21" ht="18.75" hidden="1" x14ac:dyDescent="0.25">
      <c r="A719" s="674"/>
      <c r="B719" s="718"/>
      <c r="C719" s="718"/>
      <c r="D719" s="695"/>
      <c r="E719" s="569" t="s">
        <v>159</v>
      </c>
      <c r="F719" s="561"/>
      <c r="G719" s="563"/>
      <c r="H719" s="685" t="s">
        <v>14</v>
      </c>
      <c r="I719" s="565"/>
      <c r="J719" s="565"/>
      <c r="K719" s="566"/>
      <c r="L719" s="567">
        <v>0</v>
      </c>
      <c r="M719" s="568">
        <v>0</v>
      </c>
      <c r="N719" s="568">
        <v>0</v>
      </c>
      <c r="O719" s="568">
        <f t="shared" si="427"/>
        <v>0</v>
      </c>
      <c r="P719" s="568">
        <f t="shared" si="428"/>
        <v>0</v>
      </c>
      <c r="Q719" s="568">
        <v>0</v>
      </c>
      <c r="R719" s="568">
        <v>0</v>
      </c>
      <c r="S719" s="568">
        <v>0</v>
      </c>
      <c r="T719" s="568">
        <f t="shared" si="430"/>
        <v>0</v>
      </c>
      <c r="U719" s="568">
        <f t="shared" si="431"/>
        <v>0</v>
      </c>
    </row>
    <row r="720" spans="1:21" ht="19.5" hidden="1" x14ac:dyDescent="0.3">
      <c r="A720" s="674"/>
      <c r="B720" s="718"/>
      <c r="C720" s="718"/>
      <c r="D720" s="798" t="s">
        <v>23</v>
      </c>
      <c r="E720" s="561"/>
      <c r="F720" s="561"/>
      <c r="G720" s="563"/>
      <c r="H720" s="1041" t="s">
        <v>14</v>
      </c>
      <c r="I720" s="683"/>
      <c r="J720" s="683"/>
      <c r="K720" s="684"/>
      <c r="L720" s="567">
        <f t="shared" ref="L720:N720" si="436">L721+L722</f>
        <v>0</v>
      </c>
      <c r="M720" s="568">
        <f t="shared" si="436"/>
        <v>0</v>
      </c>
      <c r="N720" s="568">
        <f t="shared" si="436"/>
        <v>0</v>
      </c>
      <c r="O720" s="568">
        <f t="shared" si="427"/>
        <v>0</v>
      </c>
      <c r="P720" s="568">
        <f t="shared" si="428"/>
        <v>0</v>
      </c>
      <c r="Q720" s="568">
        <f t="shared" ref="Q720:S720" si="437">Q721+Q722</f>
        <v>0</v>
      </c>
      <c r="R720" s="568">
        <f t="shared" si="437"/>
        <v>0</v>
      </c>
      <c r="S720" s="568">
        <f t="shared" si="437"/>
        <v>0</v>
      </c>
      <c r="T720" s="568">
        <f t="shared" si="430"/>
        <v>0</v>
      </c>
      <c r="U720" s="568">
        <f t="shared" si="431"/>
        <v>0</v>
      </c>
    </row>
    <row r="721" spans="1:21" ht="18.75" hidden="1" x14ac:dyDescent="0.25">
      <c r="A721" s="674"/>
      <c r="B721" s="718"/>
      <c r="C721" s="718"/>
      <c r="D721" s="561"/>
      <c r="E721" s="569" t="s">
        <v>20</v>
      </c>
      <c r="F721" s="561"/>
      <c r="G721" s="563"/>
      <c r="H721" s="685" t="s">
        <v>14</v>
      </c>
      <c r="I721" s="683"/>
      <c r="J721" s="683"/>
      <c r="K721" s="684"/>
      <c r="L721" s="571">
        <v>0</v>
      </c>
      <c r="M721" s="572">
        <v>0</v>
      </c>
      <c r="N721" s="572">
        <v>0</v>
      </c>
      <c r="O721" s="572">
        <f t="shared" si="427"/>
        <v>0</v>
      </c>
      <c r="P721" s="572">
        <f t="shared" si="428"/>
        <v>0</v>
      </c>
      <c r="Q721" s="572">
        <v>0</v>
      </c>
      <c r="R721" s="572">
        <v>0</v>
      </c>
      <c r="S721" s="572">
        <v>0</v>
      </c>
      <c r="T721" s="572">
        <f t="shared" si="430"/>
        <v>0</v>
      </c>
      <c r="U721" s="572">
        <f t="shared" si="431"/>
        <v>0</v>
      </c>
    </row>
    <row r="722" spans="1:21" ht="18.75" hidden="1" x14ac:dyDescent="0.25">
      <c r="A722" s="674"/>
      <c r="B722" s="718"/>
      <c r="C722" s="718"/>
      <c r="D722" s="561"/>
      <c r="E722" s="569" t="s">
        <v>21</v>
      </c>
      <c r="F722" s="561"/>
      <c r="G722" s="563"/>
      <c r="H722" s="734" t="s">
        <v>14</v>
      </c>
      <c r="I722" s="683"/>
      <c r="J722" s="683"/>
      <c r="K722" s="684"/>
      <c r="L722" s="567">
        <v>0</v>
      </c>
      <c r="M722" s="568">
        <v>0</v>
      </c>
      <c r="N722" s="568">
        <v>0</v>
      </c>
      <c r="O722" s="568">
        <f t="shared" si="427"/>
        <v>0</v>
      </c>
      <c r="P722" s="568">
        <f t="shared" si="428"/>
        <v>0</v>
      </c>
      <c r="Q722" s="568">
        <v>0</v>
      </c>
      <c r="R722" s="568">
        <v>0</v>
      </c>
      <c r="S722" s="568">
        <v>0</v>
      </c>
      <c r="T722" s="568">
        <f t="shared" si="430"/>
        <v>0</v>
      </c>
      <c r="U722" s="568">
        <f t="shared" si="431"/>
        <v>0</v>
      </c>
    </row>
    <row r="723" spans="1:21" ht="19.5" hidden="1" x14ac:dyDescent="0.3">
      <c r="A723" s="687"/>
      <c r="B723" s="688"/>
      <c r="C723" s="767" t="s">
        <v>18</v>
      </c>
      <c r="D723" s="1100" t="s">
        <v>38</v>
      </c>
      <c r="E723" s="690"/>
      <c r="F723" s="690"/>
      <c r="G723" s="691"/>
      <c r="H723" s="725"/>
      <c r="I723" s="683"/>
      <c r="J723" s="683"/>
      <c r="K723" s="684"/>
      <c r="L723" s="693"/>
      <c r="M723" s="684"/>
      <c r="N723" s="684"/>
      <c r="O723" s="684"/>
      <c r="P723" s="684"/>
      <c r="Q723" s="684"/>
      <c r="R723" s="684"/>
      <c r="S723" s="684"/>
      <c r="T723" s="684"/>
      <c r="U723" s="684"/>
    </row>
    <row r="724" spans="1:21" ht="18.75" hidden="1" x14ac:dyDescent="0.25">
      <c r="A724" s="764"/>
      <c r="B724" s="718"/>
      <c r="C724" s="718"/>
      <c r="D724" s="561"/>
      <c r="E724" s="569" t="s">
        <v>267</v>
      </c>
      <c r="F724" s="561"/>
      <c r="G724" s="563"/>
      <c r="H724" s="685" t="s">
        <v>46</v>
      </c>
      <c r="I724" s="735">
        <v>0</v>
      </c>
      <c r="J724" s="565"/>
      <c r="K724" s="566"/>
      <c r="L724" s="574"/>
      <c r="M724" s="566"/>
      <c r="N724" s="566"/>
      <c r="O724" s="566"/>
      <c r="P724" s="566"/>
      <c r="Q724" s="566"/>
      <c r="R724" s="566"/>
      <c r="S724" s="566"/>
      <c r="T724" s="566"/>
      <c r="U724" s="566"/>
    </row>
    <row r="725" spans="1:21" ht="18.75" hidden="1" x14ac:dyDescent="0.25">
      <c r="A725" s="984"/>
      <c r="B725" s="514"/>
      <c r="C725" s="514"/>
      <c r="D725" s="513"/>
      <c r="E725" s="738" t="s">
        <v>268</v>
      </c>
      <c r="F725" s="513"/>
      <c r="G725" s="577"/>
      <c r="H725" s="1101" t="s">
        <v>46</v>
      </c>
      <c r="I725" s="740">
        <v>0</v>
      </c>
      <c r="J725" s="579"/>
      <c r="K725" s="580"/>
      <c r="L725" s="581"/>
      <c r="M725" s="580"/>
      <c r="N725" s="580"/>
      <c r="O725" s="580"/>
      <c r="P725" s="580"/>
      <c r="Q725" s="580"/>
      <c r="R725" s="580"/>
      <c r="S725" s="580"/>
      <c r="T725" s="580"/>
      <c r="U725" s="580"/>
    </row>
    <row r="726" spans="1:21" ht="19.5" x14ac:dyDescent="0.3">
      <c r="A726" s="1061"/>
      <c r="B726" s="1062" t="s">
        <v>269</v>
      </c>
      <c r="C726" s="1061"/>
      <c r="D726" s="1063"/>
      <c r="E726" s="1063"/>
      <c r="F726" s="1063"/>
      <c r="G726" s="1064"/>
      <c r="H726" s="1092" t="s">
        <v>35</v>
      </c>
      <c r="I726" s="1093">
        <f ca="1">IFERROR(__xludf.DUMMYFUNCTION("IMPORTRANGE(""https://docs.google.com/spreadsheets/d/1eHaY18a8A9IcSdp1K8H6x8fbOy06t2VsZHhMHf-1x7Y/edit?usp=sharing"",""แผน!GA18"")"),128)</f>
        <v>128</v>
      </c>
      <c r="J726" s="1093">
        <f>J742+J746+J749</f>
        <v>0</v>
      </c>
      <c r="K726" s="1094">
        <f t="shared" ref="K726:K727" ca="1" si="438">IF(I726&gt;0,J726*100/I726,0)</f>
        <v>0</v>
      </c>
      <c r="L726" s="1068"/>
      <c r="M726" s="1067"/>
      <c r="N726" s="1067"/>
      <c r="O726" s="1067"/>
      <c r="P726" s="1067"/>
      <c r="Q726" s="1067"/>
      <c r="R726" s="1067"/>
      <c r="S726" s="1067"/>
      <c r="T726" s="1067"/>
      <c r="U726" s="1067"/>
    </row>
    <row r="727" spans="1:21" ht="19.5" x14ac:dyDescent="0.3">
      <c r="A727" s="1102"/>
      <c r="B727" s="1061"/>
      <c r="C727" s="1061"/>
      <c r="D727" s="1063"/>
      <c r="E727" s="1063"/>
      <c r="F727" s="1063"/>
      <c r="G727" s="1064"/>
      <c r="H727" s="1092" t="s">
        <v>46</v>
      </c>
      <c r="I727" s="1093">
        <f ca="1">IFERROR(__xludf.DUMMYFUNCTION("IMPORTRANGE(""https://docs.google.com/spreadsheets/d/1eHaY18a8A9IcSdp1K8H6x8fbOy06t2VsZHhMHf-1x7Y/edit?usp=sharing"",""แผน!FZ18"")"),1250)</f>
        <v>1250</v>
      </c>
      <c r="J727" s="1093">
        <f>J752+J755</f>
        <v>0</v>
      </c>
      <c r="K727" s="1094">
        <f t="shared" ca="1" si="438"/>
        <v>0</v>
      </c>
      <c r="L727" s="1068"/>
      <c r="M727" s="1067"/>
      <c r="N727" s="1067"/>
      <c r="O727" s="1067"/>
      <c r="P727" s="1067"/>
      <c r="Q727" s="1067"/>
      <c r="R727" s="1067"/>
      <c r="S727" s="1067"/>
      <c r="T727" s="1067"/>
      <c r="U727" s="1067"/>
    </row>
    <row r="728" spans="1:21" ht="19.5" x14ac:dyDescent="0.3">
      <c r="A728" s="674"/>
      <c r="B728" s="718"/>
      <c r="C728" s="724" t="s">
        <v>18</v>
      </c>
      <c r="D728" s="1310" t="s">
        <v>19</v>
      </c>
      <c r="E728" s="1311"/>
      <c r="F728" s="1311"/>
      <c r="G728" s="1312"/>
      <c r="H728" s="780" t="s">
        <v>14</v>
      </c>
      <c r="I728" s="565"/>
      <c r="J728" s="565"/>
      <c r="K728" s="566"/>
      <c r="L728" s="678">
        <f t="shared" ref="L728:N728" si="439">L729+L730</f>
        <v>0</v>
      </c>
      <c r="M728" s="679">
        <f t="shared" si="439"/>
        <v>0</v>
      </c>
      <c r="N728" s="679">
        <f t="shared" si="439"/>
        <v>0</v>
      </c>
      <c r="O728" s="679">
        <f t="shared" ref="O728:O736" si="440">IF(L728&gt;0,N728*100/L728,0)</f>
        <v>0</v>
      </c>
      <c r="P728" s="679">
        <f t="shared" ref="P728:P736" si="441">IF(M728&gt;0,N728*100/M728,0)</f>
        <v>0</v>
      </c>
      <c r="Q728" s="679">
        <f t="shared" ref="Q728:S728" ca="1" si="442">Q729+Q730</f>
        <v>1008470</v>
      </c>
      <c r="R728" s="679">
        <f t="shared" ca="1" si="442"/>
        <v>1008470</v>
      </c>
      <c r="S728" s="679">
        <f t="shared" ca="1" si="442"/>
        <v>39049</v>
      </c>
      <c r="T728" s="679">
        <f t="shared" ref="T728:T736" ca="1" si="443">IF(Q728&gt;0,S728*100/Q728,0)</f>
        <v>3.8721032851745716</v>
      </c>
      <c r="U728" s="679">
        <f t="shared" ref="U728:U736" ca="1" si="444">IF(R728&gt;0,S728*100/R728,0)</f>
        <v>3.8721032851745716</v>
      </c>
    </row>
    <row r="729" spans="1:21" ht="18.75" x14ac:dyDescent="0.25">
      <c r="A729" s="674"/>
      <c r="B729" s="718"/>
      <c r="C729" s="718"/>
      <c r="D729" s="695"/>
      <c r="E729" s="569" t="s">
        <v>158</v>
      </c>
      <c r="F729" s="561"/>
      <c r="G729" s="563"/>
      <c r="H729" s="685" t="s">
        <v>14</v>
      </c>
      <c r="I729" s="565"/>
      <c r="J729" s="565"/>
      <c r="K729" s="566"/>
      <c r="L729" s="571">
        <f t="shared" ref="L729:N730" si="445">L732+L735</f>
        <v>0</v>
      </c>
      <c r="M729" s="572">
        <f t="shared" si="445"/>
        <v>0</v>
      </c>
      <c r="N729" s="572">
        <f t="shared" si="445"/>
        <v>0</v>
      </c>
      <c r="O729" s="572">
        <f t="shared" si="440"/>
        <v>0</v>
      </c>
      <c r="P729" s="572">
        <f t="shared" si="441"/>
        <v>0</v>
      </c>
      <c r="Q729" s="572">
        <f t="shared" ref="Q729:S730" si="446">Q732+Q735</f>
        <v>0</v>
      </c>
      <c r="R729" s="572">
        <f t="shared" si="446"/>
        <v>0</v>
      </c>
      <c r="S729" s="572">
        <f t="shared" si="446"/>
        <v>0</v>
      </c>
      <c r="T729" s="572">
        <f t="shared" si="443"/>
        <v>0</v>
      </c>
      <c r="U729" s="572">
        <f t="shared" si="444"/>
        <v>0</v>
      </c>
    </row>
    <row r="730" spans="1:21" ht="18.75" x14ac:dyDescent="0.25">
      <c r="A730" s="674"/>
      <c r="B730" s="718"/>
      <c r="C730" s="718"/>
      <c r="D730" s="695"/>
      <c r="E730" s="573" t="s">
        <v>159</v>
      </c>
      <c r="F730" s="561"/>
      <c r="G730" s="563"/>
      <c r="H730" s="682" t="s">
        <v>14</v>
      </c>
      <c r="I730" s="565"/>
      <c r="J730" s="565"/>
      <c r="K730" s="566"/>
      <c r="L730" s="567">
        <f t="shared" si="445"/>
        <v>0</v>
      </c>
      <c r="M730" s="568">
        <f t="shared" si="445"/>
        <v>0</v>
      </c>
      <c r="N730" s="568">
        <f t="shared" si="445"/>
        <v>0</v>
      </c>
      <c r="O730" s="568">
        <f t="shared" si="440"/>
        <v>0</v>
      </c>
      <c r="P730" s="568">
        <f t="shared" si="441"/>
        <v>0</v>
      </c>
      <c r="Q730" s="568">
        <f t="shared" ca="1" si="446"/>
        <v>1008470</v>
      </c>
      <c r="R730" s="568">
        <f t="shared" ca="1" si="446"/>
        <v>1008470</v>
      </c>
      <c r="S730" s="568">
        <f t="shared" ca="1" si="446"/>
        <v>39049</v>
      </c>
      <c r="T730" s="568">
        <f t="shared" ca="1" si="443"/>
        <v>3.8721032851745716</v>
      </c>
      <c r="U730" s="568">
        <f t="shared" ca="1" si="444"/>
        <v>3.8721032851745716</v>
      </c>
    </row>
    <row r="731" spans="1:21" ht="18.75" x14ac:dyDescent="0.25">
      <c r="A731" s="674"/>
      <c r="B731" s="718"/>
      <c r="C731" s="718"/>
      <c r="D731" s="562" t="s">
        <v>22</v>
      </c>
      <c r="E731" s="561"/>
      <c r="F731" s="561"/>
      <c r="G731" s="563"/>
      <c r="H731" s="682" t="s">
        <v>14</v>
      </c>
      <c r="I731" s="683"/>
      <c r="J731" s="683"/>
      <c r="K731" s="684"/>
      <c r="L731" s="567">
        <f t="shared" ref="L731:N731" si="447">L732+L733</f>
        <v>0</v>
      </c>
      <c r="M731" s="568">
        <f t="shared" si="447"/>
        <v>0</v>
      </c>
      <c r="N731" s="568">
        <f t="shared" si="447"/>
        <v>0</v>
      </c>
      <c r="O731" s="568">
        <f t="shared" si="440"/>
        <v>0</v>
      </c>
      <c r="P731" s="568">
        <f t="shared" si="441"/>
        <v>0</v>
      </c>
      <c r="Q731" s="568">
        <f t="shared" ref="Q731:S731" ca="1" si="448">Q732+Q733</f>
        <v>1008470</v>
      </c>
      <c r="R731" s="568">
        <f t="shared" ca="1" si="448"/>
        <v>1008470</v>
      </c>
      <c r="S731" s="568">
        <f t="shared" ca="1" si="448"/>
        <v>39049</v>
      </c>
      <c r="T731" s="568">
        <f t="shared" ca="1" si="443"/>
        <v>3.8721032851745716</v>
      </c>
      <c r="U731" s="568">
        <f t="shared" ca="1" si="444"/>
        <v>3.8721032851745716</v>
      </c>
    </row>
    <row r="732" spans="1:21" ht="18.75" x14ac:dyDescent="0.25">
      <c r="A732" s="674"/>
      <c r="B732" s="718"/>
      <c r="C732" s="718"/>
      <c r="D732" s="695"/>
      <c r="E732" s="569" t="s">
        <v>158</v>
      </c>
      <c r="F732" s="561"/>
      <c r="G732" s="563"/>
      <c r="H732" s="685" t="s">
        <v>14</v>
      </c>
      <c r="I732" s="565"/>
      <c r="J732" s="565"/>
      <c r="K732" s="566"/>
      <c r="L732" s="571">
        <v>0</v>
      </c>
      <c r="M732" s="572">
        <v>0</v>
      </c>
      <c r="N732" s="572">
        <v>0</v>
      </c>
      <c r="O732" s="572">
        <f t="shared" si="440"/>
        <v>0</v>
      </c>
      <c r="P732" s="572">
        <f t="shared" si="441"/>
        <v>0</v>
      </c>
      <c r="Q732" s="572">
        <v>0</v>
      </c>
      <c r="R732" s="572">
        <v>0</v>
      </c>
      <c r="S732" s="572">
        <v>0</v>
      </c>
      <c r="T732" s="572">
        <f t="shared" si="443"/>
        <v>0</v>
      </c>
      <c r="U732" s="572">
        <f t="shared" si="444"/>
        <v>0</v>
      </c>
    </row>
    <row r="733" spans="1:21" ht="18.75" x14ac:dyDescent="0.25">
      <c r="A733" s="674"/>
      <c r="B733" s="718"/>
      <c r="C733" s="718"/>
      <c r="D733" s="695"/>
      <c r="E733" s="573" t="s">
        <v>159</v>
      </c>
      <c r="F733" s="561"/>
      <c r="G733" s="563"/>
      <c r="H733" s="682" t="s">
        <v>14</v>
      </c>
      <c r="I733" s="565"/>
      <c r="J733" s="565"/>
      <c r="K733" s="566"/>
      <c r="L733" s="567">
        <v>0</v>
      </c>
      <c r="M733" s="568">
        <v>0</v>
      </c>
      <c r="N733" s="568">
        <v>0</v>
      </c>
      <c r="O733" s="568">
        <f t="shared" si="440"/>
        <v>0</v>
      </c>
      <c r="P733" s="568">
        <f t="shared" si="441"/>
        <v>0</v>
      </c>
      <c r="Q733" s="568">
        <f ca="1">IFERROR(__xludf.DUMMYFUNCTION("IMPORTRANGE(""https://docs.google.com/spreadsheets/d/1ItG2mGa2ceCfYo0BwxsXqNm01IGEUdYcSSLTEv9YCik/edit?usp=sharing"",""เบิกจ่ายกองทุน!O18"")"),1008470)</f>
        <v>1008470</v>
      </c>
      <c r="R733" s="568">
        <f ca="1">IFERROR(__xludf.DUMMYFUNCTION("IMPORTRANGE(""https://docs.google.com/spreadsheets/d/1ItG2mGa2ceCfYo0BwxsXqNm01IGEUdYcSSLTEv9YCik/edit?usp=sharing"",""เบิกจ่ายกองทุน!P18"")"),1008470)</f>
        <v>1008470</v>
      </c>
      <c r="S733" s="568">
        <f ca="1">IFERROR(__xludf.DUMMYFUNCTION("IMPORTRANGE(""https://docs.google.com/spreadsheets/d/1ItG2mGa2ceCfYo0BwxsXqNm01IGEUdYcSSLTEv9YCik/edit?usp=sharing"",""เบิกจ่ายกองทุน!Q18"")"),39049)</f>
        <v>39049</v>
      </c>
      <c r="T733" s="568">
        <f t="shared" ca="1" si="443"/>
        <v>3.8721032851745716</v>
      </c>
      <c r="U733" s="568">
        <f t="shared" ca="1" si="444"/>
        <v>3.8721032851745716</v>
      </c>
    </row>
    <row r="734" spans="1:21" ht="18.75" x14ac:dyDescent="0.25">
      <c r="A734" s="674"/>
      <c r="B734" s="718"/>
      <c r="C734" s="718"/>
      <c r="D734" s="562" t="s">
        <v>23</v>
      </c>
      <c r="E734" s="718"/>
      <c r="F734" s="718"/>
      <c r="G734" s="563"/>
      <c r="H734" s="686" t="s">
        <v>14</v>
      </c>
      <c r="I734" s="683"/>
      <c r="J734" s="683"/>
      <c r="K734" s="684"/>
      <c r="L734" s="567">
        <f t="shared" ref="L734:N734" si="449">L735+L736</f>
        <v>0</v>
      </c>
      <c r="M734" s="568">
        <f t="shared" si="449"/>
        <v>0</v>
      </c>
      <c r="N734" s="568">
        <f t="shared" si="449"/>
        <v>0</v>
      </c>
      <c r="O734" s="568">
        <f t="shared" si="440"/>
        <v>0</v>
      </c>
      <c r="P734" s="568">
        <f t="shared" si="441"/>
        <v>0</v>
      </c>
      <c r="Q734" s="568">
        <f t="shared" ref="Q734:S734" si="450">Q735+Q736</f>
        <v>0</v>
      </c>
      <c r="R734" s="568">
        <f t="shared" si="450"/>
        <v>0</v>
      </c>
      <c r="S734" s="568">
        <f t="shared" si="450"/>
        <v>0</v>
      </c>
      <c r="T734" s="568">
        <f t="shared" si="443"/>
        <v>0</v>
      </c>
      <c r="U734" s="568">
        <f t="shared" si="444"/>
        <v>0</v>
      </c>
    </row>
    <row r="735" spans="1:21" ht="18.75" x14ac:dyDescent="0.25">
      <c r="A735" s="674"/>
      <c r="B735" s="718"/>
      <c r="C735" s="718"/>
      <c r="D735" s="718"/>
      <c r="E735" s="767" t="s">
        <v>20</v>
      </c>
      <c r="F735" s="718"/>
      <c r="G735" s="563"/>
      <c r="H735" s="685" t="s">
        <v>14</v>
      </c>
      <c r="I735" s="683"/>
      <c r="J735" s="683"/>
      <c r="K735" s="684"/>
      <c r="L735" s="571">
        <v>0</v>
      </c>
      <c r="M735" s="572">
        <v>0</v>
      </c>
      <c r="N735" s="572">
        <v>0</v>
      </c>
      <c r="O735" s="572">
        <f t="shared" si="440"/>
        <v>0</v>
      </c>
      <c r="P735" s="572">
        <f t="shared" si="441"/>
        <v>0</v>
      </c>
      <c r="Q735" s="572">
        <v>0</v>
      </c>
      <c r="R735" s="572">
        <v>0</v>
      </c>
      <c r="S735" s="572">
        <v>0</v>
      </c>
      <c r="T735" s="572">
        <f t="shared" si="443"/>
        <v>0</v>
      </c>
      <c r="U735" s="572">
        <f t="shared" si="444"/>
        <v>0</v>
      </c>
    </row>
    <row r="736" spans="1:21" ht="18.75" x14ac:dyDescent="0.25">
      <c r="A736" s="674"/>
      <c r="B736" s="718"/>
      <c r="C736" s="718"/>
      <c r="D736" s="718"/>
      <c r="E736" s="765" t="s">
        <v>21</v>
      </c>
      <c r="F736" s="718"/>
      <c r="G736" s="563"/>
      <c r="H736" s="686" t="s">
        <v>14</v>
      </c>
      <c r="I736" s="683"/>
      <c r="J736" s="683"/>
      <c r="K736" s="684"/>
      <c r="L736" s="567">
        <v>0</v>
      </c>
      <c r="M736" s="568">
        <v>0</v>
      </c>
      <c r="N736" s="568">
        <v>0</v>
      </c>
      <c r="O736" s="568">
        <f t="shared" si="440"/>
        <v>0</v>
      </c>
      <c r="P736" s="568">
        <f t="shared" si="441"/>
        <v>0</v>
      </c>
      <c r="Q736" s="568">
        <v>0</v>
      </c>
      <c r="R736" s="568">
        <v>0</v>
      </c>
      <c r="S736" s="568">
        <v>0</v>
      </c>
      <c r="T736" s="568">
        <f t="shared" si="443"/>
        <v>0</v>
      </c>
      <c r="U736" s="568">
        <f t="shared" si="444"/>
        <v>0</v>
      </c>
    </row>
    <row r="737" spans="1:21" ht="19.5" x14ac:dyDescent="0.3">
      <c r="A737" s="687"/>
      <c r="B737" s="688"/>
      <c r="C737" s="724" t="s">
        <v>18</v>
      </c>
      <c r="D737" s="956" t="s">
        <v>38</v>
      </c>
      <c r="E737" s="758"/>
      <c r="F737" s="690"/>
      <c r="G737" s="691"/>
      <c r="H737" s="725"/>
      <c r="I737" s="565"/>
      <c r="J737" s="565"/>
      <c r="K737" s="566"/>
      <c r="L737" s="574"/>
      <c r="M737" s="566"/>
      <c r="N737" s="566"/>
      <c r="O737" s="566"/>
      <c r="P737" s="566"/>
      <c r="Q737" s="566"/>
      <c r="R737" s="566"/>
      <c r="S737" s="566"/>
      <c r="T737" s="566"/>
      <c r="U737" s="566"/>
    </row>
    <row r="738" spans="1:21" ht="19.5" x14ac:dyDescent="0.3">
      <c r="A738" s="687"/>
      <c r="B738" s="688"/>
      <c r="C738" s="688"/>
      <c r="D738" s="1103" t="s">
        <v>121</v>
      </c>
      <c r="E738" s="688"/>
      <c r="F738" s="688"/>
      <c r="G738" s="692"/>
      <c r="H738" s="727"/>
      <c r="I738" s="565"/>
      <c r="J738" s="565"/>
      <c r="K738" s="566"/>
      <c r="L738" s="574"/>
      <c r="M738" s="566"/>
      <c r="N738" s="566"/>
      <c r="O738" s="566"/>
      <c r="P738" s="566"/>
      <c r="Q738" s="566"/>
      <c r="R738" s="566"/>
      <c r="S738" s="566"/>
      <c r="T738" s="566"/>
      <c r="U738" s="566"/>
    </row>
    <row r="739" spans="1:21" ht="18.75" x14ac:dyDescent="0.25">
      <c r="A739" s="687"/>
      <c r="B739" s="688"/>
      <c r="C739" s="688"/>
      <c r="D739" s="688"/>
      <c r="E739" s="1079" t="s">
        <v>270</v>
      </c>
      <c r="F739" s="688"/>
      <c r="G739" s="692"/>
      <c r="H739" s="727"/>
      <c r="I739" s="565"/>
      <c r="J739" s="565"/>
      <c r="K739" s="566"/>
      <c r="L739" s="574"/>
      <c r="M739" s="566"/>
      <c r="N739" s="566"/>
      <c r="O739" s="566"/>
      <c r="P739" s="566"/>
      <c r="Q739" s="566"/>
      <c r="R739" s="566"/>
      <c r="S739" s="566"/>
      <c r="T739" s="566"/>
      <c r="U739" s="566"/>
    </row>
    <row r="740" spans="1:21" ht="18.75" x14ac:dyDescent="0.25">
      <c r="A740" s="849"/>
      <c r="B740" s="850"/>
      <c r="C740" s="850"/>
      <c r="D740" s="850"/>
      <c r="E740" s="850"/>
      <c r="F740" s="1104" t="s">
        <v>271</v>
      </c>
      <c r="G740" s="852"/>
      <c r="H740" s="839" t="s">
        <v>46</v>
      </c>
      <c r="I740" s="960">
        <f ca="1">IFERROR(__xludf.DUMMYFUNCTION("IMPORTRANGE(""https://docs.google.com/spreadsheets/d/1eHaY18a8A9IcSdp1K8H6x8fbOy06t2VsZHhMHf-1x7Y/edit?usp=sharing"",""แผน!GB18"")"),1000)</f>
        <v>1000</v>
      </c>
      <c r="J740" s="1105">
        <v>0</v>
      </c>
      <c r="K740" s="841">
        <f ca="1">IF(I740&gt;0,J740*100/I740,0)</f>
        <v>0</v>
      </c>
      <c r="L740" s="1106"/>
      <c r="M740" s="830"/>
      <c r="N740" s="830"/>
      <c r="O740" s="830"/>
      <c r="P740" s="830"/>
      <c r="Q740" s="830"/>
      <c r="R740" s="830"/>
      <c r="S740" s="830"/>
      <c r="T740" s="830"/>
      <c r="U740" s="830"/>
    </row>
    <row r="741" spans="1:21" ht="18.75" x14ac:dyDescent="0.25">
      <c r="A741" s="849"/>
      <c r="B741" s="850"/>
      <c r="C741" s="850"/>
      <c r="D741" s="850"/>
      <c r="E741" s="850"/>
      <c r="F741" s="1104" t="s">
        <v>306</v>
      </c>
      <c r="G741" s="852"/>
      <c r="H741" s="839" t="s">
        <v>35</v>
      </c>
      <c r="I741" s="829"/>
      <c r="J741" s="1105">
        <v>100</v>
      </c>
      <c r="K741" s="830"/>
      <c r="L741" s="1106"/>
      <c r="M741" s="830"/>
      <c r="N741" s="830"/>
      <c r="O741" s="830"/>
      <c r="P741" s="830"/>
      <c r="Q741" s="830"/>
      <c r="R741" s="830"/>
      <c r="S741" s="830"/>
      <c r="T741" s="830"/>
      <c r="U741" s="830"/>
    </row>
    <row r="742" spans="1:21" ht="18.75" x14ac:dyDescent="0.25">
      <c r="A742" s="849"/>
      <c r="B742" s="850"/>
      <c r="C742" s="850"/>
      <c r="D742" s="850"/>
      <c r="E742" s="850"/>
      <c r="F742" s="1104" t="s">
        <v>307</v>
      </c>
      <c r="G742" s="852"/>
      <c r="H742" s="839" t="s">
        <v>35</v>
      </c>
      <c r="I742" s="960">
        <f ca="1">IFERROR(__xludf.DUMMYFUNCTION("IMPORTRANGE(""https://docs.google.com/spreadsheets/d/1eHaY18a8A9IcSdp1K8H6x8fbOy06t2VsZHhMHf-1x7Y/edit?usp=sharing"",""แผน!GC18"")"),100)</f>
        <v>100</v>
      </c>
      <c r="J742" s="1105">
        <v>0</v>
      </c>
      <c r="K742" s="841">
        <f ca="1">IF(I742&gt;0,J742*100/I742,0)</f>
        <v>0</v>
      </c>
      <c r="L742" s="1106"/>
      <c r="M742" s="830"/>
      <c r="N742" s="830"/>
      <c r="O742" s="830"/>
      <c r="P742" s="830"/>
      <c r="Q742" s="830"/>
      <c r="R742" s="830"/>
      <c r="S742" s="830"/>
      <c r="T742" s="830"/>
      <c r="U742" s="830"/>
    </row>
    <row r="743" spans="1:21" ht="18.75" x14ac:dyDescent="0.25">
      <c r="A743" s="849"/>
      <c r="B743" s="850"/>
      <c r="C743" s="850"/>
      <c r="D743" s="850"/>
      <c r="E743" s="1104" t="s">
        <v>274</v>
      </c>
      <c r="F743" s="850"/>
      <c r="G743" s="852"/>
      <c r="H743" s="959"/>
      <c r="I743" s="829"/>
      <c r="J743" s="829"/>
      <c r="K743" s="830"/>
      <c r="L743" s="1106"/>
      <c r="M743" s="830"/>
      <c r="N743" s="830"/>
      <c r="O743" s="830"/>
      <c r="P743" s="830"/>
      <c r="Q743" s="830"/>
      <c r="R743" s="830"/>
      <c r="S743" s="830"/>
      <c r="T743" s="830"/>
      <c r="U743" s="830"/>
    </row>
    <row r="744" spans="1:21" ht="18.75" x14ac:dyDescent="0.25">
      <c r="A744" s="849"/>
      <c r="B744" s="850"/>
      <c r="C744" s="850"/>
      <c r="D744" s="850"/>
      <c r="E744" s="850"/>
      <c r="F744" s="1104" t="s">
        <v>271</v>
      </c>
      <c r="G744" s="852"/>
      <c r="H744" s="839" t="s">
        <v>46</v>
      </c>
      <c r="I744" s="960">
        <f ca="1">IFERROR(__xludf.DUMMYFUNCTION("IMPORTRANGE(""https://docs.google.com/spreadsheets/d/1eHaY18a8A9IcSdp1K8H6x8fbOy06t2VsZHhMHf-1x7Y/edit?usp=sharing"",""แผน!GD18"")"),250)</f>
        <v>250</v>
      </c>
      <c r="J744" s="1105">
        <v>0</v>
      </c>
      <c r="K744" s="841">
        <f ca="1">IF(I744&gt;0,J744*100/I744,0)</f>
        <v>0</v>
      </c>
      <c r="L744" s="1106"/>
      <c r="M744" s="830"/>
      <c r="N744" s="830"/>
      <c r="O744" s="830"/>
      <c r="P744" s="830"/>
      <c r="Q744" s="830"/>
      <c r="R744" s="830"/>
      <c r="S744" s="830"/>
      <c r="T744" s="830"/>
      <c r="U744" s="830"/>
    </row>
    <row r="745" spans="1:21" ht="18.75" x14ac:dyDescent="0.25">
      <c r="A745" s="849"/>
      <c r="B745" s="850"/>
      <c r="C745" s="850"/>
      <c r="D745" s="850"/>
      <c r="E745" s="850"/>
      <c r="F745" s="1104" t="s">
        <v>308</v>
      </c>
      <c r="G745" s="852"/>
      <c r="H745" s="839" t="s">
        <v>35</v>
      </c>
      <c r="I745" s="829"/>
      <c r="J745" s="1105">
        <v>25</v>
      </c>
      <c r="K745" s="830"/>
      <c r="L745" s="1106"/>
      <c r="M745" s="830"/>
      <c r="N745" s="830"/>
      <c r="O745" s="830"/>
      <c r="P745" s="830"/>
      <c r="Q745" s="830"/>
      <c r="R745" s="830"/>
      <c r="S745" s="830"/>
      <c r="T745" s="830"/>
      <c r="U745" s="830"/>
    </row>
    <row r="746" spans="1:21" ht="18.75" x14ac:dyDescent="0.25">
      <c r="A746" s="849"/>
      <c r="B746" s="850"/>
      <c r="C746" s="850"/>
      <c r="D746" s="850"/>
      <c r="E746" s="850"/>
      <c r="F746" s="1104" t="s">
        <v>309</v>
      </c>
      <c r="G746" s="852"/>
      <c r="H746" s="839" t="s">
        <v>35</v>
      </c>
      <c r="I746" s="960">
        <f ca="1">IFERROR(__xludf.DUMMYFUNCTION("IMPORTRANGE(""https://docs.google.com/spreadsheets/d/1eHaY18a8A9IcSdp1K8H6x8fbOy06t2VsZHhMHf-1x7Y/edit?usp=sharing"",""แผน!GE18"")"),25)</f>
        <v>25</v>
      </c>
      <c r="J746" s="1105">
        <v>0</v>
      </c>
      <c r="K746" s="841">
        <f ca="1">IF(I746&gt;0,J746*100/I746,0)</f>
        <v>0</v>
      </c>
      <c r="L746" s="1106"/>
      <c r="M746" s="830"/>
      <c r="N746" s="830"/>
      <c r="O746" s="830"/>
      <c r="P746" s="830"/>
      <c r="Q746" s="830"/>
      <c r="R746" s="830"/>
      <c r="S746" s="830"/>
      <c r="T746" s="830"/>
      <c r="U746" s="830"/>
    </row>
    <row r="747" spans="1:21" ht="18.75" x14ac:dyDescent="0.25">
      <c r="A747" s="849"/>
      <c r="B747" s="850"/>
      <c r="C747" s="850"/>
      <c r="D747" s="850"/>
      <c r="E747" s="1104" t="s">
        <v>277</v>
      </c>
      <c r="F747" s="1107"/>
      <c r="G747" s="852"/>
      <c r="H747" s="959"/>
      <c r="I747" s="829"/>
      <c r="J747" s="829"/>
      <c r="K747" s="830"/>
      <c r="L747" s="1106"/>
      <c r="M747" s="830"/>
      <c r="N747" s="830"/>
      <c r="O747" s="830"/>
      <c r="P747" s="830"/>
      <c r="Q747" s="830"/>
      <c r="R747" s="830"/>
      <c r="S747" s="830"/>
      <c r="T747" s="830"/>
      <c r="U747" s="830"/>
    </row>
    <row r="748" spans="1:21" ht="18.75" x14ac:dyDescent="0.25">
      <c r="A748" s="849"/>
      <c r="B748" s="850"/>
      <c r="C748" s="850"/>
      <c r="D748" s="850"/>
      <c r="E748" s="850"/>
      <c r="F748" s="1104" t="s">
        <v>310</v>
      </c>
      <c r="G748" s="852"/>
      <c r="H748" s="839" t="s">
        <v>35</v>
      </c>
      <c r="I748" s="829"/>
      <c r="J748" s="1105">
        <v>0</v>
      </c>
      <c r="K748" s="830"/>
      <c r="L748" s="1106"/>
      <c r="M748" s="830"/>
      <c r="N748" s="830"/>
      <c r="O748" s="830"/>
      <c r="P748" s="830"/>
      <c r="Q748" s="830"/>
      <c r="R748" s="830"/>
      <c r="S748" s="830"/>
      <c r="T748" s="830"/>
      <c r="U748" s="830"/>
    </row>
    <row r="749" spans="1:21" ht="18.75" x14ac:dyDescent="0.25">
      <c r="A749" s="849"/>
      <c r="B749" s="850"/>
      <c r="C749" s="850"/>
      <c r="D749" s="850"/>
      <c r="E749" s="850"/>
      <c r="F749" s="1104" t="s">
        <v>311</v>
      </c>
      <c r="G749" s="852"/>
      <c r="H749" s="839" t="s">
        <v>35</v>
      </c>
      <c r="I749" s="960">
        <f ca="1">IFERROR(__xludf.DUMMYFUNCTION("IMPORTRANGE(""https://docs.google.com/spreadsheets/d/1eHaY18a8A9IcSdp1K8H6x8fbOy06t2VsZHhMHf-1x7Y/edit?usp=sharing"",""แผน!GF18"")"),3)</f>
        <v>3</v>
      </c>
      <c r="J749" s="1105">
        <v>0</v>
      </c>
      <c r="K749" s="841">
        <f ca="1">IF(I749&gt;0,J749*100/I749,0)</f>
        <v>0</v>
      </c>
      <c r="L749" s="1106"/>
      <c r="M749" s="830"/>
      <c r="N749" s="830"/>
      <c r="O749" s="830"/>
      <c r="P749" s="830"/>
      <c r="Q749" s="830"/>
      <c r="R749" s="830"/>
      <c r="S749" s="830"/>
      <c r="T749" s="830"/>
      <c r="U749" s="830"/>
    </row>
    <row r="750" spans="1:21" ht="19.5" x14ac:dyDescent="0.3">
      <c r="A750" s="849"/>
      <c r="B750" s="850"/>
      <c r="C750" s="850"/>
      <c r="D750" s="1108" t="s">
        <v>50</v>
      </c>
      <c r="E750" s="850"/>
      <c r="F750" s="1107"/>
      <c r="G750" s="852"/>
      <c r="H750" s="959"/>
      <c r="I750" s="829"/>
      <c r="J750" s="829"/>
      <c r="K750" s="830"/>
      <c r="L750" s="1106"/>
      <c r="M750" s="830"/>
      <c r="N750" s="830"/>
      <c r="O750" s="830"/>
      <c r="P750" s="830"/>
      <c r="Q750" s="830"/>
      <c r="R750" s="830"/>
      <c r="S750" s="830"/>
      <c r="T750" s="830"/>
      <c r="U750" s="830"/>
    </row>
    <row r="751" spans="1:21" ht="18.75" x14ac:dyDescent="0.25">
      <c r="A751" s="849"/>
      <c r="B751" s="850"/>
      <c r="C751" s="850"/>
      <c r="D751" s="850"/>
      <c r="E751" s="1104" t="s">
        <v>270</v>
      </c>
      <c r="F751" s="1107"/>
      <c r="G751" s="852"/>
      <c r="H751" s="959"/>
      <c r="I751" s="829"/>
      <c r="J751" s="829"/>
      <c r="K751" s="830"/>
      <c r="L751" s="1106"/>
      <c r="M751" s="830"/>
      <c r="N751" s="830"/>
      <c r="O751" s="830"/>
      <c r="P751" s="830"/>
      <c r="Q751" s="830"/>
      <c r="R751" s="830"/>
      <c r="S751" s="830"/>
      <c r="T751" s="830"/>
      <c r="U751" s="830"/>
    </row>
    <row r="752" spans="1:21" ht="18.75" x14ac:dyDescent="0.25">
      <c r="A752" s="849"/>
      <c r="B752" s="850"/>
      <c r="C752" s="850"/>
      <c r="D752" s="850"/>
      <c r="E752" s="850"/>
      <c r="F752" s="1109" t="s">
        <v>312</v>
      </c>
      <c r="G752" s="852"/>
      <c r="H752" s="839" t="s">
        <v>46</v>
      </c>
      <c r="I752" s="960">
        <f ca="1">IFERROR(__xludf.DUMMYFUNCTION("IMPORTRANGE(""https://docs.google.com/spreadsheets/d/1eHaY18a8A9IcSdp1K8H6x8fbOy06t2VsZHhMHf-1x7Y/edit?usp=sharing"",""แผน!GB18"")"),1000)</f>
        <v>1000</v>
      </c>
      <c r="J752" s="1105">
        <v>0</v>
      </c>
      <c r="K752" s="841">
        <f ca="1">IF(I752&gt;0,J752*100/I752,0)</f>
        <v>0</v>
      </c>
      <c r="L752" s="1106"/>
      <c r="M752" s="830"/>
      <c r="N752" s="830"/>
      <c r="O752" s="830"/>
      <c r="P752" s="830"/>
      <c r="Q752" s="830"/>
      <c r="R752" s="830"/>
      <c r="S752" s="830"/>
      <c r="T752" s="830"/>
      <c r="U752" s="830"/>
    </row>
    <row r="753" spans="1:21" ht="18.75" x14ac:dyDescent="0.25">
      <c r="A753" s="849"/>
      <c r="B753" s="850"/>
      <c r="C753" s="850"/>
      <c r="D753" s="850"/>
      <c r="E753" s="850"/>
      <c r="F753" s="1109" t="s">
        <v>313</v>
      </c>
      <c r="G753" s="852"/>
      <c r="H753" s="839" t="s">
        <v>46</v>
      </c>
      <c r="I753" s="829"/>
      <c r="J753" s="1105">
        <v>0</v>
      </c>
      <c r="K753" s="830"/>
      <c r="L753" s="1106"/>
      <c r="M753" s="830"/>
      <c r="N753" s="830"/>
      <c r="O753" s="830"/>
      <c r="P753" s="830"/>
      <c r="Q753" s="830"/>
      <c r="R753" s="830"/>
      <c r="S753" s="830"/>
      <c r="T753" s="830"/>
      <c r="U753" s="830"/>
    </row>
    <row r="754" spans="1:21" ht="18.75" x14ac:dyDescent="0.25">
      <c r="A754" s="849"/>
      <c r="B754" s="850"/>
      <c r="C754" s="850"/>
      <c r="D754" s="850"/>
      <c r="E754" s="1104" t="s">
        <v>274</v>
      </c>
      <c r="F754" s="1107"/>
      <c r="G754" s="852"/>
      <c r="H754" s="959"/>
      <c r="I754" s="829"/>
      <c r="J754" s="829"/>
      <c r="K754" s="830"/>
      <c r="L754" s="1106"/>
      <c r="M754" s="830"/>
      <c r="N754" s="830"/>
      <c r="O754" s="830"/>
      <c r="P754" s="830"/>
      <c r="Q754" s="830"/>
      <c r="R754" s="830"/>
      <c r="S754" s="830"/>
      <c r="T754" s="830"/>
      <c r="U754" s="830"/>
    </row>
    <row r="755" spans="1:21" ht="18.75" x14ac:dyDescent="0.25">
      <c r="A755" s="849"/>
      <c r="B755" s="850"/>
      <c r="C755" s="850"/>
      <c r="D755" s="850"/>
      <c r="E755" s="1107"/>
      <c r="F755" s="1109" t="s">
        <v>314</v>
      </c>
      <c r="G755" s="852"/>
      <c r="H755" s="839" t="s">
        <v>46</v>
      </c>
      <c r="I755" s="960">
        <f ca="1">IFERROR(__xludf.DUMMYFUNCTION("IMPORTRANGE(""https://docs.google.com/spreadsheets/d/1eHaY18a8A9IcSdp1K8H6x8fbOy06t2VsZHhMHf-1x7Y/edit?usp=sharing"",""แผน!GD18"")"),250)</f>
        <v>250</v>
      </c>
      <c r="J755" s="1105">
        <v>0</v>
      </c>
      <c r="K755" s="841">
        <f ca="1">IF(I755&gt;0,J755*100/I755,0)</f>
        <v>0</v>
      </c>
      <c r="L755" s="1106"/>
      <c r="M755" s="830"/>
      <c r="N755" s="830"/>
      <c r="O755" s="830"/>
      <c r="P755" s="830"/>
      <c r="Q755" s="830"/>
      <c r="R755" s="830"/>
      <c r="S755" s="830"/>
      <c r="T755" s="830"/>
      <c r="U755" s="830"/>
    </row>
    <row r="756" spans="1:21" ht="18.75" x14ac:dyDescent="0.25">
      <c r="A756" s="849"/>
      <c r="B756" s="850"/>
      <c r="C756" s="850"/>
      <c r="D756" s="850"/>
      <c r="E756" s="1107"/>
      <c r="F756" s="1109" t="s">
        <v>315</v>
      </c>
      <c r="G756" s="852"/>
      <c r="H756" s="839" t="s">
        <v>46</v>
      </c>
      <c r="I756" s="829"/>
      <c r="J756" s="1105">
        <v>0</v>
      </c>
      <c r="K756" s="830"/>
      <c r="L756" s="1106"/>
      <c r="M756" s="830"/>
      <c r="N756" s="830"/>
      <c r="O756" s="830"/>
      <c r="P756" s="830"/>
      <c r="Q756" s="830"/>
      <c r="R756" s="830"/>
      <c r="S756" s="830"/>
      <c r="T756" s="830"/>
      <c r="U756" s="830"/>
    </row>
    <row r="757" spans="1:21" ht="18.75" x14ac:dyDescent="0.25">
      <c r="A757" s="1110"/>
      <c r="B757" s="1110"/>
      <c r="C757" s="1110"/>
      <c r="D757" s="1110"/>
      <c r="E757" s="1111" t="s">
        <v>284</v>
      </c>
      <c r="F757" s="1112"/>
      <c r="G757" s="1113"/>
      <c r="H757" s="1114" t="s">
        <v>35</v>
      </c>
      <c r="I757" s="1115"/>
      <c r="J757" s="861">
        <v>0</v>
      </c>
      <c r="K757" s="1116"/>
      <c r="L757" s="1116"/>
      <c r="M757" s="1116"/>
      <c r="N757" s="1116"/>
      <c r="O757" s="1116"/>
      <c r="P757" s="1116"/>
      <c r="Q757" s="1116"/>
      <c r="R757" s="1116"/>
      <c r="S757" s="1116"/>
      <c r="T757" s="1116"/>
      <c r="U757" s="1116"/>
    </row>
    <row r="758" spans="1:21" ht="19.5" x14ac:dyDescent="0.3">
      <c r="A758" s="1061"/>
      <c r="B758" s="1062" t="s">
        <v>285</v>
      </c>
      <c r="C758" s="1061"/>
      <c r="D758" s="1063"/>
      <c r="E758" s="1063"/>
      <c r="F758" s="1063"/>
      <c r="G758" s="1064"/>
      <c r="H758" s="1092" t="s">
        <v>35</v>
      </c>
      <c r="I758" s="1093">
        <f t="shared" ref="I758:J758" ca="1" si="451">I772</f>
        <v>70</v>
      </c>
      <c r="J758" s="1093">
        <f t="shared" si="451"/>
        <v>70</v>
      </c>
      <c r="K758" s="1094">
        <f t="shared" ref="K758:K759" ca="1" si="452">IF(I758&gt;0,J758*100/I758,0)</f>
        <v>100</v>
      </c>
      <c r="L758" s="1068"/>
      <c r="M758" s="1067"/>
      <c r="N758" s="1067"/>
      <c r="O758" s="1067"/>
      <c r="P758" s="1067"/>
      <c r="Q758" s="1067"/>
      <c r="R758" s="1067"/>
      <c r="S758" s="1067"/>
      <c r="T758" s="1067"/>
      <c r="U758" s="1067"/>
    </row>
    <row r="759" spans="1:21" ht="19.5" x14ac:dyDescent="0.3">
      <c r="A759" s="1102"/>
      <c r="B759" s="1061"/>
      <c r="C759" s="1061"/>
      <c r="D759" s="1063"/>
      <c r="E759" s="1063"/>
      <c r="F759" s="1063"/>
      <c r="G759" s="1064"/>
      <c r="H759" s="1092" t="s">
        <v>46</v>
      </c>
      <c r="I759" s="1093">
        <f t="shared" ref="I759:J759" ca="1" si="453">I774</f>
        <v>140</v>
      </c>
      <c r="J759" s="1093">
        <f t="shared" si="453"/>
        <v>140</v>
      </c>
      <c r="K759" s="1094">
        <f t="shared" ca="1" si="452"/>
        <v>100</v>
      </c>
      <c r="L759" s="1068"/>
      <c r="M759" s="1067"/>
      <c r="N759" s="1067"/>
      <c r="O759" s="1067"/>
      <c r="P759" s="1067"/>
      <c r="Q759" s="1067"/>
      <c r="R759" s="1067"/>
      <c r="S759" s="1067"/>
      <c r="T759" s="1067"/>
      <c r="U759" s="1067"/>
    </row>
    <row r="760" spans="1:21" ht="19.5" x14ac:dyDescent="0.3">
      <c r="A760" s="674"/>
      <c r="B760" s="718"/>
      <c r="C760" s="724" t="s">
        <v>18</v>
      </c>
      <c r="D760" s="1310" t="s">
        <v>19</v>
      </c>
      <c r="E760" s="1311"/>
      <c r="F760" s="1311"/>
      <c r="G760" s="1312"/>
      <c r="H760" s="780" t="s">
        <v>14</v>
      </c>
      <c r="I760" s="565"/>
      <c r="J760" s="565"/>
      <c r="K760" s="566"/>
      <c r="L760" s="678">
        <f t="shared" ref="L760:N760" si="454">L761+L762</f>
        <v>0</v>
      </c>
      <c r="M760" s="679">
        <f t="shared" si="454"/>
        <v>0</v>
      </c>
      <c r="N760" s="679">
        <f t="shared" si="454"/>
        <v>0</v>
      </c>
      <c r="O760" s="679">
        <f t="shared" ref="O760:O768" si="455">IF(L760&gt;0,N760*100/L760,0)</f>
        <v>0</v>
      </c>
      <c r="P760" s="679">
        <f t="shared" ref="P760:P768" si="456">IF(M760&gt;0,N760*100/M760,0)</f>
        <v>0</v>
      </c>
      <c r="Q760" s="679">
        <f t="shared" ref="Q760:S760" ca="1" si="457">Q761+Q762</f>
        <v>470400</v>
      </c>
      <c r="R760" s="679">
        <f t="shared" ca="1" si="457"/>
        <v>470400</v>
      </c>
      <c r="S760" s="679">
        <f t="shared" ca="1" si="457"/>
        <v>156209</v>
      </c>
      <c r="T760" s="679">
        <f t="shared" ref="T760:T768" ca="1" si="458">IF(Q760&gt;0,S760*100/Q760,0)</f>
        <v>33.207695578231295</v>
      </c>
      <c r="U760" s="679">
        <f t="shared" ref="U760:U768" ca="1" si="459">IF(R760&gt;0,S760*100/R760,0)</f>
        <v>33.207695578231295</v>
      </c>
    </row>
    <row r="761" spans="1:21" ht="18.75" x14ac:dyDescent="0.25">
      <c r="A761" s="674"/>
      <c r="B761" s="718"/>
      <c r="C761" s="718"/>
      <c r="D761" s="695"/>
      <c r="E761" s="569" t="s">
        <v>158</v>
      </c>
      <c r="F761" s="561"/>
      <c r="G761" s="563"/>
      <c r="H761" s="685" t="s">
        <v>14</v>
      </c>
      <c r="I761" s="565"/>
      <c r="J761" s="565"/>
      <c r="K761" s="566"/>
      <c r="L761" s="571">
        <f t="shared" ref="L761:N762" si="460">L764+L767</f>
        <v>0</v>
      </c>
      <c r="M761" s="572">
        <f t="shared" si="460"/>
        <v>0</v>
      </c>
      <c r="N761" s="572">
        <f t="shared" si="460"/>
        <v>0</v>
      </c>
      <c r="O761" s="572">
        <f t="shared" si="455"/>
        <v>0</v>
      </c>
      <c r="P761" s="572">
        <f t="shared" si="456"/>
        <v>0</v>
      </c>
      <c r="Q761" s="572">
        <f t="shared" ref="Q761:S762" si="461">Q764+Q767</f>
        <v>0</v>
      </c>
      <c r="R761" s="572">
        <f t="shared" si="461"/>
        <v>0</v>
      </c>
      <c r="S761" s="572">
        <f t="shared" si="461"/>
        <v>0</v>
      </c>
      <c r="T761" s="572">
        <f t="shared" si="458"/>
        <v>0</v>
      </c>
      <c r="U761" s="572">
        <f t="shared" si="459"/>
        <v>0</v>
      </c>
    </row>
    <row r="762" spans="1:21" ht="18.75" x14ac:dyDescent="0.25">
      <c r="A762" s="674"/>
      <c r="B762" s="718"/>
      <c r="C762" s="720"/>
      <c r="D762" s="695"/>
      <c r="E762" s="573" t="s">
        <v>159</v>
      </c>
      <c r="F762" s="561"/>
      <c r="G762" s="563"/>
      <c r="H762" s="682" t="s">
        <v>14</v>
      </c>
      <c r="I762" s="565"/>
      <c r="J762" s="565"/>
      <c r="K762" s="566"/>
      <c r="L762" s="567">
        <f t="shared" si="460"/>
        <v>0</v>
      </c>
      <c r="M762" s="568">
        <f t="shared" si="460"/>
        <v>0</v>
      </c>
      <c r="N762" s="568">
        <f t="shared" si="460"/>
        <v>0</v>
      </c>
      <c r="O762" s="568">
        <f t="shared" si="455"/>
        <v>0</v>
      </c>
      <c r="P762" s="568">
        <f t="shared" si="456"/>
        <v>0</v>
      </c>
      <c r="Q762" s="568">
        <f t="shared" ca="1" si="461"/>
        <v>470400</v>
      </c>
      <c r="R762" s="568">
        <f t="shared" ca="1" si="461"/>
        <v>470400</v>
      </c>
      <c r="S762" s="568">
        <f t="shared" ca="1" si="461"/>
        <v>156209</v>
      </c>
      <c r="T762" s="568">
        <f t="shared" ca="1" si="458"/>
        <v>33.207695578231295</v>
      </c>
      <c r="U762" s="568">
        <f t="shared" ca="1" si="459"/>
        <v>33.207695578231295</v>
      </c>
    </row>
    <row r="763" spans="1:21" ht="18.75" x14ac:dyDescent="0.25">
      <c r="A763" s="674"/>
      <c r="B763" s="718"/>
      <c r="C763" s="720"/>
      <c r="D763" s="562" t="s">
        <v>22</v>
      </c>
      <c r="E763" s="561"/>
      <c r="F763" s="561"/>
      <c r="G763" s="563"/>
      <c r="H763" s="682" t="s">
        <v>14</v>
      </c>
      <c r="I763" s="683"/>
      <c r="J763" s="683"/>
      <c r="K763" s="684"/>
      <c r="L763" s="567">
        <f t="shared" ref="L763:N763" si="462">L764+L765</f>
        <v>0</v>
      </c>
      <c r="M763" s="568">
        <f t="shared" si="462"/>
        <v>0</v>
      </c>
      <c r="N763" s="568">
        <f t="shared" si="462"/>
        <v>0</v>
      </c>
      <c r="O763" s="568">
        <f t="shared" si="455"/>
        <v>0</v>
      </c>
      <c r="P763" s="568">
        <f t="shared" si="456"/>
        <v>0</v>
      </c>
      <c r="Q763" s="568">
        <f t="shared" ref="Q763:S763" ca="1" si="463">Q764+Q765</f>
        <v>470400</v>
      </c>
      <c r="R763" s="568">
        <f t="shared" ca="1" si="463"/>
        <v>470400</v>
      </c>
      <c r="S763" s="568">
        <f t="shared" ca="1" si="463"/>
        <v>156209</v>
      </c>
      <c r="T763" s="568">
        <f t="shared" ca="1" si="458"/>
        <v>33.207695578231295</v>
      </c>
      <c r="U763" s="568">
        <f t="shared" ca="1" si="459"/>
        <v>33.207695578231295</v>
      </c>
    </row>
    <row r="764" spans="1:21" ht="18.75" x14ac:dyDescent="0.25">
      <c r="A764" s="674"/>
      <c r="B764" s="718"/>
      <c r="C764" s="720"/>
      <c r="D764" s="695"/>
      <c r="E764" s="569" t="s">
        <v>158</v>
      </c>
      <c r="F764" s="561"/>
      <c r="G764" s="563"/>
      <c r="H764" s="685" t="s">
        <v>14</v>
      </c>
      <c r="I764" s="565"/>
      <c r="J764" s="565"/>
      <c r="K764" s="566"/>
      <c r="L764" s="571">
        <v>0</v>
      </c>
      <c r="M764" s="572">
        <v>0</v>
      </c>
      <c r="N764" s="572">
        <v>0</v>
      </c>
      <c r="O764" s="572">
        <f t="shared" si="455"/>
        <v>0</v>
      </c>
      <c r="P764" s="572">
        <f t="shared" si="456"/>
        <v>0</v>
      </c>
      <c r="Q764" s="572">
        <v>0</v>
      </c>
      <c r="R764" s="572">
        <v>0</v>
      </c>
      <c r="S764" s="572">
        <v>0</v>
      </c>
      <c r="T764" s="572">
        <f t="shared" si="458"/>
        <v>0</v>
      </c>
      <c r="U764" s="572">
        <f t="shared" si="459"/>
        <v>0</v>
      </c>
    </row>
    <row r="765" spans="1:21" ht="18.75" x14ac:dyDescent="0.25">
      <c r="A765" s="674"/>
      <c r="B765" s="718"/>
      <c r="C765" s="720"/>
      <c r="D765" s="695"/>
      <c r="E765" s="573" t="s">
        <v>159</v>
      </c>
      <c r="F765" s="561"/>
      <c r="G765" s="563"/>
      <c r="H765" s="682" t="s">
        <v>14</v>
      </c>
      <c r="I765" s="565"/>
      <c r="J765" s="565"/>
      <c r="K765" s="566"/>
      <c r="L765" s="567">
        <v>0</v>
      </c>
      <c r="M765" s="568">
        <v>0</v>
      </c>
      <c r="N765" s="568">
        <v>0</v>
      </c>
      <c r="O765" s="568">
        <f t="shared" si="455"/>
        <v>0</v>
      </c>
      <c r="P765" s="568">
        <f t="shared" si="456"/>
        <v>0</v>
      </c>
      <c r="Q765" s="568">
        <f ca="1">IFERROR(__xludf.DUMMYFUNCTION("IMPORTRANGE(""https://docs.google.com/spreadsheets/d/1ItG2mGa2ceCfYo0BwxsXqNm01IGEUdYcSSLTEv9YCik/edit?usp=sharing"",""เบิกจ่ายกองทุน!AA18"")"),470400)</f>
        <v>470400</v>
      </c>
      <c r="R765" s="568">
        <f ca="1">IFERROR(__xludf.DUMMYFUNCTION("IMPORTRANGE(""https://docs.google.com/spreadsheets/d/1ItG2mGa2ceCfYo0BwxsXqNm01IGEUdYcSSLTEv9YCik/edit?usp=sharing"",""เบิกจ่ายกองทุน!AB18"")"),470400)</f>
        <v>470400</v>
      </c>
      <c r="S765" s="568">
        <f ca="1">IFERROR(__xludf.DUMMYFUNCTION("IMPORTRANGE(""https://docs.google.com/spreadsheets/d/1ItG2mGa2ceCfYo0BwxsXqNm01IGEUdYcSSLTEv9YCik/edit?usp=sharing"",""เบิกจ่ายกองทุน!AC18"")"),156209)</f>
        <v>156209</v>
      </c>
      <c r="T765" s="568">
        <f t="shared" ca="1" si="458"/>
        <v>33.207695578231295</v>
      </c>
      <c r="U765" s="568">
        <f t="shared" ca="1" si="459"/>
        <v>33.207695578231295</v>
      </c>
    </row>
    <row r="766" spans="1:21" ht="18.75" x14ac:dyDescent="0.25">
      <c r="A766" s="674"/>
      <c r="B766" s="718"/>
      <c r="C766" s="718"/>
      <c r="D766" s="562" t="s">
        <v>23</v>
      </c>
      <c r="E766" s="718"/>
      <c r="F766" s="561"/>
      <c r="G766" s="563"/>
      <c r="H766" s="686" t="s">
        <v>14</v>
      </c>
      <c r="I766" s="683"/>
      <c r="J766" s="683"/>
      <c r="K766" s="684"/>
      <c r="L766" s="567">
        <f t="shared" ref="L766:N766" si="464">L767+L768</f>
        <v>0</v>
      </c>
      <c r="M766" s="568">
        <f t="shared" si="464"/>
        <v>0</v>
      </c>
      <c r="N766" s="568">
        <f t="shared" si="464"/>
        <v>0</v>
      </c>
      <c r="O766" s="568">
        <f t="shared" si="455"/>
        <v>0</v>
      </c>
      <c r="P766" s="568">
        <f t="shared" si="456"/>
        <v>0</v>
      </c>
      <c r="Q766" s="568">
        <f t="shared" ref="Q766:S766" si="465">Q767+Q768</f>
        <v>0</v>
      </c>
      <c r="R766" s="568">
        <f t="shared" si="465"/>
        <v>0</v>
      </c>
      <c r="S766" s="568">
        <f t="shared" si="465"/>
        <v>0</v>
      </c>
      <c r="T766" s="568">
        <f t="shared" si="458"/>
        <v>0</v>
      </c>
      <c r="U766" s="568">
        <f t="shared" si="459"/>
        <v>0</v>
      </c>
    </row>
    <row r="767" spans="1:21" ht="18.75" x14ac:dyDescent="0.25">
      <c r="A767" s="674"/>
      <c r="B767" s="718"/>
      <c r="C767" s="718"/>
      <c r="D767" s="718"/>
      <c r="E767" s="767" t="s">
        <v>20</v>
      </c>
      <c r="F767" s="561"/>
      <c r="G767" s="563"/>
      <c r="H767" s="685" t="s">
        <v>14</v>
      </c>
      <c r="I767" s="683"/>
      <c r="J767" s="683"/>
      <c r="K767" s="684"/>
      <c r="L767" s="571">
        <v>0</v>
      </c>
      <c r="M767" s="572">
        <v>0</v>
      </c>
      <c r="N767" s="572">
        <v>0</v>
      </c>
      <c r="O767" s="572">
        <f t="shared" si="455"/>
        <v>0</v>
      </c>
      <c r="P767" s="572">
        <f t="shared" si="456"/>
        <v>0</v>
      </c>
      <c r="Q767" s="572">
        <v>0</v>
      </c>
      <c r="R767" s="572">
        <v>0</v>
      </c>
      <c r="S767" s="572">
        <v>0</v>
      </c>
      <c r="T767" s="572">
        <f t="shared" si="458"/>
        <v>0</v>
      </c>
      <c r="U767" s="572">
        <f t="shared" si="459"/>
        <v>0</v>
      </c>
    </row>
    <row r="768" spans="1:21" ht="18.75" x14ac:dyDescent="0.25">
      <c r="A768" s="674"/>
      <c r="B768" s="718"/>
      <c r="C768" s="718"/>
      <c r="D768" s="718"/>
      <c r="E768" s="765" t="s">
        <v>21</v>
      </c>
      <c r="F768" s="561"/>
      <c r="G768" s="563"/>
      <c r="H768" s="686" t="s">
        <v>14</v>
      </c>
      <c r="I768" s="683"/>
      <c r="J768" s="683"/>
      <c r="K768" s="684"/>
      <c r="L768" s="567">
        <v>0</v>
      </c>
      <c r="M768" s="568">
        <v>0</v>
      </c>
      <c r="N768" s="568">
        <v>0</v>
      </c>
      <c r="O768" s="568">
        <f t="shared" si="455"/>
        <v>0</v>
      </c>
      <c r="P768" s="568">
        <f t="shared" si="456"/>
        <v>0</v>
      </c>
      <c r="Q768" s="568">
        <v>0</v>
      </c>
      <c r="R768" s="568">
        <v>0</v>
      </c>
      <c r="S768" s="568">
        <v>0</v>
      </c>
      <c r="T768" s="568">
        <f t="shared" si="458"/>
        <v>0</v>
      </c>
      <c r="U768" s="568">
        <f t="shared" si="459"/>
        <v>0</v>
      </c>
    </row>
    <row r="769" spans="1:21" ht="19.5" x14ac:dyDescent="0.3">
      <c r="A769" s="687"/>
      <c r="B769" s="688"/>
      <c r="C769" s="1117" t="s">
        <v>18</v>
      </c>
      <c r="D769" s="1078" t="s">
        <v>38</v>
      </c>
      <c r="E769" s="758"/>
      <c r="F769" s="690"/>
      <c r="G769" s="691"/>
      <c r="H769" s="725"/>
      <c r="I769" s="565"/>
      <c r="J769" s="565"/>
      <c r="K769" s="566"/>
      <c r="L769" s="574"/>
      <c r="M769" s="566"/>
      <c r="N769" s="566"/>
      <c r="O769" s="566"/>
      <c r="P769" s="566"/>
      <c r="Q769" s="566"/>
      <c r="R769" s="566"/>
      <c r="S769" s="566"/>
      <c r="T769" s="566"/>
      <c r="U769" s="566"/>
    </row>
    <row r="770" spans="1:21" ht="18.75" x14ac:dyDescent="0.25">
      <c r="A770" s="687"/>
      <c r="B770" s="688"/>
      <c r="C770" s="688"/>
      <c r="D770" s="1042" t="s">
        <v>286</v>
      </c>
      <c r="E770" s="688"/>
      <c r="F770" s="695"/>
      <c r="G770" s="692"/>
      <c r="H770" s="734" t="s">
        <v>35</v>
      </c>
      <c r="I770" s="735">
        <f ca="1">IFERROR(__xludf.DUMMYFUNCTION("IMPORTRANGE(""https://docs.google.com/spreadsheets/d/1eHaY18a8A9IcSdp1K8H6x8fbOy06t2VsZHhMHf-1x7Y/edit?usp=sharing"",""แผน!FI18"")"),0)</f>
        <v>0</v>
      </c>
      <c r="J770" s="735">
        <v>0</v>
      </c>
      <c r="K770" s="572">
        <f ca="1">IF(I770&gt;0,J770*100/I770,0)</f>
        <v>0</v>
      </c>
      <c r="L770" s="574"/>
      <c r="M770" s="566"/>
      <c r="N770" s="566"/>
      <c r="O770" s="566"/>
      <c r="P770" s="566"/>
      <c r="Q770" s="566"/>
      <c r="R770" s="566"/>
      <c r="S770" s="566"/>
      <c r="T770" s="566"/>
      <c r="U770" s="566"/>
    </row>
    <row r="771" spans="1:21" ht="18.75" x14ac:dyDescent="0.25">
      <c r="A771" s="687"/>
      <c r="B771" s="688"/>
      <c r="C771" s="688"/>
      <c r="D771" s="1042" t="s">
        <v>287</v>
      </c>
      <c r="E771" s="688"/>
      <c r="F771" s="695"/>
      <c r="G771" s="692"/>
      <c r="H771" s="725"/>
      <c r="I771" s="565"/>
      <c r="J771" s="565"/>
      <c r="K771" s="566"/>
      <c r="L771" s="574"/>
      <c r="M771" s="566"/>
      <c r="N771" s="566"/>
      <c r="O771" s="566"/>
      <c r="P771" s="566"/>
      <c r="Q771" s="566"/>
      <c r="R771" s="566"/>
      <c r="S771" s="566"/>
      <c r="T771" s="566"/>
      <c r="U771" s="566"/>
    </row>
    <row r="772" spans="1:21" ht="18.75" x14ac:dyDescent="0.25">
      <c r="A772" s="687"/>
      <c r="B772" s="688"/>
      <c r="C772" s="688"/>
      <c r="D772" s="1079" t="s">
        <v>288</v>
      </c>
      <c r="E772" s="688"/>
      <c r="F772" s="695"/>
      <c r="G772" s="692"/>
      <c r="H772" s="686" t="s">
        <v>35</v>
      </c>
      <c r="I772" s="708">
        <f ca="1">IFERROR(__xludf.DUMMYFUNCTION("IMPORTRANGE(""https://docs.google.com/spreadsheets/d/1eHaY18a8A9IcSdp1K8H6x8fbOy06t2VsZHhMHf-1x7Y/edit?usp=sharing"",""แผน!FQ18"")"),70)</f>
        <v>70</v>
      </c>
      <c r="J772" s="702">
        <v>70</v>
      </c>
      <c r="K772" s="568">
        <f ca="1">IF(I772&gt;0,J772*100/I772,0)</f>
        <v>100</v>
      </c>
      <c r="L772" s="574"/>
      <c r="M772" s="566"/>
      <c r="N772" s="566"/>
      <c r="O772" s="566"/>
      <c r="P772" s="566"/>
      <c r="Q772" s="566"/>
      <c r="R772" s="566"/>
      <c r="S772" s="566"/>
      <c r="T772" s="566"/>
      <c r="U772" s="566"/>
    </row>
    <row r="773" spans="1:21" ht="18.75" x14ac:dyDescent="0.25">
      <c r="A773" s="687"/>
      <c r="B773" s="688"/>
      <c r="C773" s="688"/>
      <c r="D773" s="1079" t="s">
        <v>289</v>
      </c>
      <c r="E773" s="688"/>
      <c r="F773" s="695"/>
      <c r="G773" s="692"/>
      <c r="H773" s="725"/>
      <c r="I773" s="565"/>
      <c r="J773" s="565"/>
      <c r="K773" s="566"/>
      <c r="L773" s="574"/>
      <c r="M773" s="566"/>
      <c r="N773" s="566"/>
      <c r="O773" s="566"/>
      <c r="P773" s="566"/>
      <c r="Q773" s="566"/>
      <c r="R773" s="566"/>
      <c r="S773" s="566"/>
      <c r="T773" s="566"/>
      <c r="U773" s="566"/>
    </row>
    <row r="774" spans="1:21" ht="18.75" x14ac:dyDescent="0.25">
      <c r="A774" s="687"/>
      <c r="B774" s="688"/>
      <c r="C774" s="688"/>
      <c r="D774" s="1079" t="s">
        <v>290</v>
      </c>
      <c r="E774" s="688"/>
      <c r="F774" s="695"/>
      <c r="G774" s="692"/>
      <c r="H774" s="686" t="s">
        <v>46</v>
      </c>
      <c r="I774" s="708">
        <f ca="1">IFERROR(__xludf.DUMMYFUNCTION("IMPORTRANGE(""https://docs.google.com/spreadsheets/d/1eHaY18a8A9IcSdp1K8H6x8fbOy06t2VsZHhMHf-1x7Y/edit?usp=sharing"",""แผน!FR18"")"),140)</f>
        <v>140</v>
      </c>
      <c r="J774" s="702">
        <v>140</v>
      </c>
      <c r="K774" s="568">
        <f ca="1">IF(I774&gt;0,J774*100/I774,0)</f>
        <v>100</v>
      </c>
      <c r="L774" s="574"/>
      <c r="M774" s="566"/>
      <c r="N774" s="566"/>
      <c r="O774" s="566"/>
      <c r="P774" s="566"/>
      <c r="Q774" s="566"/>
      <c r="R774" s="566"/>
      <c r="S774" s="566"/>
      <c r="T774" s="566"/>
      <c r="U774" s="566"/>
    </row>
    <row r="775" spans="1:21" ht="18.75" x14ac:dyDescent="0.25">
      <c r="A775" s="687"/>
      <c r="B775" s="688"/>
      <c r="C775" s="688"/>
      <c r="D775" s="1079" t="s">
        <v>50</v>
      </c>
      <c r="E775" s="695"/>
      <c r="F775" s="561"/>
      <c r="G775" s="563"/>
      <c r="H775" s="686" t="s">
        <v>46</v>
      </c>
      <c r="I775" s="708">
        <f ca="1">IFERROR(__xludf.DUMMYFUNCTION("IMPORTRANGE(""https://docs.google.com/spreadsheets/d/1eHaY18a8A9IcSdp1K8H6x8fbOy06t2VsZHhMHf-1x7Y/edit?usp=sharing"",""แผน!FS18"")"),140)</f>
        <v>140</v>
      </c>
      <c r="J775" s="702">
        <v>0</v>
      </c>
      <c r="K775" s="566"/>
      <c r="L775" s="574"/>
      <c r="M775" s="566"/>
      <c r="N775" s="566"/>
      <c r="O775" s="566"/>
      <c r="P775" s="566"/>
      <c r="Q775" s="566"/>
      <c r="R775" s="566"/>
      <c r="S775" s="566"/>
      <c r="T775" s="566"/>
      <c r="U775" s="566"/>
    </row>
    <row r="776" spans="1:21" ht="18.75" x14ac:dyDescent="0.25">
      <c r="A776" s="863"/>
      <c r="B776" s="864"/>
      <c r="C776" s="864"/>
      <c r="D776" s="864"/>
      <c r="E776" s="512"/>
      <c r="F776" s="512"/>
      <c r="G776" s="577"/>
      <c r="H776" s="1089" t="s">
        <v>35</v>
      </c>
      <c r="I776" s="989">
        <f ca="1">IFERROR(__xludf.DUMMYFUNCTION("IMPORTRANGE(""https://docs.google.com/spreadsheets/d/1eHaY18a8A9IcSdp1K8H6x8fbOy06t2VsZHhMHf-1x7Y/edit?usp=sharing"",""แผน!FT18"")"),70)</f>
        <v>70</v>
      </c>
      <c r="J776" s="990">
        <v>0</v>
      </c>
      <c r="K776" s="580"/>
      <c r="L776" s="581"/>
      <c r="M776" s="580"/>
      <c r="N776" s="580"/>
      <c r="O776" s="580"/>
      <c r="P776" s="580"/>
      <c r="Q776" s="580"/>
      <c r="R776" s="580"/>
      <c r="S776" s="580"/>
      <c r="T776" s="580"/>
      <c r="U776" s="580"/>
    </row>
    <row r="777" spans="1:21" ht="19.5" x14ac:dyDescent="0.3">
      <c r="A777" s="1118" t="s">
        <v>291</v>
      </c>
      <c r="B777" s="1119"/>
      <c r="C777" s="1119"/>
      <c r="D777" s="1120"/>
      <c r="E777" s="1119"/>
      <c r="F777" s="1119"/>
      <c r="G777" s="1121"/>
      <c r="H777" s="112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1123"/>
      <c r="J777" s="1124"/>
      <c r="K777" s="1125"/>
      <c r="L777" s="1125"/>
      <c r="M777" s="1125"/>
      <c r="N777" s="1125"/>
      <c r="O777" s="1125"/>
      <c r="P777" s="1125"/>
      <c r="Q777" s="1125"/>
      <c r="R777" s="1125"/>
      <c r="S777" s="1125"/>
      <c r="T777" s="1125"/>
      <c r="U777" s="1125"/>
    </row>
    <row r="778" spans="1:21" ht="18.75" x14ac:dyDescent="0.25">
      <c r="A778" s="560"/>
      <c r="B778" s="573" t="s">
        <v>292</v>
      </c>
      <c r="C778" s="561"/>
      <c r="D778" s="718"/>
      <c r="E778" s="561"/>
      <c r="F778" s="561"/>
      <c r="G778" s="563"/>
      <c r="H778" s="564" t="s">
        <v>14</v>
      </c>
      <c r="I778" s="708">
        <f ca="1">IFERROR(__xludf.DUMMYFUNCTION("IMPORTRANGE(""https://docs.google.com/spreadsheets/d/10OvvATaaLtwErnr3qtWFcTmtbfpFEt5Bsqel9sXx0uE/edit?usp=sharing"",""งานกองทุน!D18"")"),1930000)</f>
        <v>1930000</v>
      </c>
      <c r="J778" s="708">
        <f ca="1">IFERROR(__xludf.DUMMYFUNCTION("IMPORTRANGE(""https://docs.google.com/spreadsheets/d/10OvvATaaLtwErnr3qtWFcTmtbfpFEt5Bsqel9sXx0uE/edit?usp=sharing"",""งานกองทุน!F18"")"),1239453.98)</f>
        <v>1239453.98</v>
      </c>
      <c r="K778" s="568">
        <f t="shared" ref="K778:K785" ca="1" si="466">IF(I778&gt;0,J778*100/I778,0)</f>
        <v>64.220413471502596</v>
      </c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</row>
    <row r="779" spans="1:21" ht="18.75" x14ac:dyDescent="0.25">
      <c r="A779" s="560"/>
      <c r="B779" s="561"/>
      <c r="C779" s="561"/>
      <c r="D779" s="718"/>
      <c r="E779" s="561"/>
      <c r="F779" s="561"/>
      <c r="G779" s="563"/>
      <c r="H779" s="564" t="s">
        <v>35</v>
      </c>
      <c r="I779" s="708">
        <f ca="1">IFERROR(__xludf.DUMMYFUNCTION("IMPORTRANGE(""https://docs.google.com/spreadsheets/d/10OvvATaaLtwErnr3qtWFcTmtbfpFEt5Bsqel9sXx0uE/edit?usp=sharing"",""งานกองทุน!C18"")"),98)</f>
        <v>98</v>
      </c>
      <c r="J779" s="708">
        <f ca="1">IFERROR(__xludf.DUMMYFUNCTION("IMPORTRANGE(""https://docs.google.com/spreadsheets/d/10OvvATaaLtwErnr3qtWFcTmtbfpFEt5Bsqel9sXx0uE/edit?usp=sharing"",""งานกองทุน!E18"")"),82)</f>
        <v>82</v>
      </c>
      <c r="K779" s="568">
        <f t="shared" ca="1" si="466"/>
        <v>83.673469387755105</v>
      </c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</row>
    <row r="780" spans="1:21" ht="18.75" x14ac:dyDescent="0.25">
      <c r="A780" s="560"/>
      <c r="B780" s="573" t="s">
        <v>293</v>
      </c>
      <c r="C780" s="561"/>
      <c r="D780" s="718"/>
      <c r="E780" s="561"/>
      <c r="F780" s="561"/>
      <c r="G780" s="563"/>
      <c r="H780" s="564" t="s">
        <v>14</v>
      </c>
      <c r="I780" s="708">
        <f ca="1">IFERROR(__xludf.DUMMYFUNCTION("IMPORTRANGE(""https://docs.google.com/spreadsheets/d/10OvvATaaLtwErnr3qtWFcTmtbfpFEt5Bsqel9sXx0uE/edit?usp=sharing"",""งานกองทุน!I18"")"),4660392.4)</f>
        <v>4660392.4000000004</v>
      </c>
      <c r="J780" s="708">
        <f ca="1">IFERROR(__xludf.DUMMYFUNCTION("IMPORTRANGE(""https://docs.google.com/spreadsheets/d/10OvvATaaLtwErnr3qtWFcTmtbfpFEt5Bsqel9sXx0uE/edit?usp=sharing"",""งานกองทุน!K18"")"),167191.07)</f>
        <v>167191.07</v>
      </c>
      <c r="K780" s="568">
        <f t="shared" ca="1" si="466"/>
        <v>3.5874891135776461</v>
      </c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</row>
    <row r="781" spans="1:21" ht="18.75" x14ac:dyDescent="0.25">
      <c r="A781" s="560"/>
      <c r="B781" s="561"/>
      <c r="C781" s="561"/>
      <c r="D781" s="718"/>
      <c r="E781" s="561"/>
      <c r="F781" s="561"/>
      <c r="G781" s="563"/>
      <c r="H781" s="564" t="s">
        <v>35</v>
      </c>
      <c r="I781" s="708">
        <f ca="1">IFERROR(__xludf.DUMMYFUNCTION("IMPORTRANGE(""https://docs.google.com/spreadsheets/d/10OvvATaaLtwErnr3qtWFcTmtbfpFEt5Bsqel9sXx0uE/edit?usp=sharing"",""งานกองทุน!H18"")"),254)</f>
        <v>254</v>
      </c>
      <c r="J781" s="708">
        <f ca="1">IFERROR(__xludf.DUMMYFUNCTION("IMPORTRANGE(""https://docs.google.com/spreadsheets/d/10OvvATaaLtwErnr3qtWFcTmtbfpFEt5Bsqel9sXx0uE/edit?usp=sharing"",""งานกองทุน!J18"")"),26)</f>
        <v>26</v>
      </c>
      <c r="K781" s="568">
        <f t="shared" ca="1" si="466"/>
        <v>10.236220472440944</v>
      </c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</row>
    <row r="782" spans="1:21" ht="18.75" x14ac:dyDescent="0.25">
      <c r="A782" s="560"/>
      <c r="B782" s="573" t="s">
        <v>294</v>
      </c>
      <c r="C782" s="561"/>
      <c r="D782" s="718"/>
      <c r="E782" s="561"/>
      <c r="F782" s="561"/>
      <c r="G782" s="563"/>
      <c r="H782" s="564" t="s">
        <v>14</v>
      </c>
      <c r="I782" s="708">
        <f ca="1">IFERROR(__xludf.DUMMYFUNCTION("IMPORTRANGE(""https://docs.google.com/spreadsheets/d/10OvvATaaLtwErnr3qtWFcTmtbfpFEt5Bsqel9sXx0uE/edit?usp=sharing"",""งานกองทุน!N18"")"),35457216.19)</f>
        <v>35457216.189999998</v>
      </c>
      <c r="J782" s="708">
        <f ca="1">IFERROR(__xludf.DUMMYFUNCTION("IMPORTRANGE(""https://docs.google.com/spreadsheets/d/10OvvATaaLtwErnr3qtWFcTmtbfpFEt5Bsqel9sXx0uE/edit?usp=sharing"",""งานกองทุน!P18"")"),9704196.42)</f>
        <v>9704196.4199999999</v>
      </c>
      <c r="K782" s="568">
        <f t="shared" ca="1" si="466"/>
        <v>27.368748770347278</v>
      </c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</row>
    <row r="783" spans="1:21" ht="18.75" x14ac:dyDescent="0.25">
      <c r="A783" s="560"/>
      <c r="B783" s="561"/>
      <c r="C783" s="561"/>
      <c r="D783" s="718"/>
      <c r="E783" s="561"/>
      <c r="F783" s="561"/>
      <c r="G783" s="563"/>
      <c r="H783" s="564" t="s">
        <v>35</v>
      </c>
      <c r="I783" s="708">
        <f ca="1">IFERROR(__xludf.DUMMYFUNCTION("IMPORTRANGE(""https://docs.google.com/spreadsheets/d/10OvvATaaLtwErnr3qtWFcTmtbfpFEt5Bsqel9sXx0uE/edit?usp=sharing"",""งานกองทุน!M18"")"),2710)</f>
        <v>2710</v>
      </c>
      <c r="J783" s="708">
        <f ca="1">IFERROR(__xludf.DUMMYFUNCTION("IMPORTRANGE(""https://docs.google.com/spreadsheets/d/10OvvATaaLtwErnr3qtWFcTmtbfpFEt5Bsqel9sXx0uE/edit?usp=sharing"",""งานกองทุน!O18"")"),1746)</f>
        <v>1746</v>
      </c>
      <c r="K783" s="568">
        <f t="shared" ca="1" si="466"/>
        <v>64.428044280442805</v>
      </c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</row>
    <row r="784" spans="1:21" ht="18.75" x14ac:dyDescent="0.25">
      <c r="A784" s="560"/>
      <c r="B784" s="573" t="s">
        <v>295</v>
      </c>
      <c r="C784" s="561"/>
      <c r="D784" s="718"/>
      <c r="E784" s="561"/>
      <c r="F784" s="561"/>
      <c r="G784" s="563"/>
      <c r="H784" s="564" t="s">
        <v>14</v>
      </c>
      <c r="I784" s="708">
        <f ca="1">IFERROR(__xludf.DUMMYFUNCTION("IMPORTRANGE(""https://docs.google.com/spreadsheets/d/10OvvATaaLtwErnr3qtWFcTmtbfpFEt5Bsqel9sXx0uE/edit?usp=sharing"",""งานกองทุน!S18"")"),3724000)</f>
        <v>3724000</v>
      </c>
      <c r="J784" s="708">
        <f ca="1">IFERROR(__xludf.DUMMYFUNCTION("IMPORTRANGE(""https://docs.google.com/spreadsheets/d/10OvvATaaLtwErnr3qtWFcTmtbfpFEt5Bsqel9sXx0uE/edit?usp=sharing"",""งานกองทุน!U18"")"),1200000)</f>
        <v>1200000</v>
      </c>
      <c r="K784" s="568">
        <f t="shared" ca="1" si="466"/>
        <v>32.223415682062296</v>
      </c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</row>
    <row r="785" spans="1:21" ht="18.75" x14ac:dyDescent="0.25">
      <c r="A785" s="575"/>
      <c r="B785" s="513"/>
      <c r="C785" s="513"/>
      <c r="D785" s="514"/>
      <c r="E785" s="513"/>
      <c r="F785" s="513"/>
      <c r="G785" s="577"/>
      <c r="H785" s="578" t="s">
        <v>35</v>
      </c>
      <c r="I785" s="989">
        <f ca="1">IFERROR(__xludf.DUMMYFUNCTION("IMPORTRANGE(""https://docs.google.com/spreadsheets/d/10OvvATaaLtwErnr3qtWFcTmtbfpFEt5Bsqel9sXx0uE/edit?usp=sharing"",""งานกองทุน!R18"")"),133)</f>
        <v>133</v>
      </c>
      <c r="J785" s="989">
        <f ca="1">IFERROR(__xludf.DUMMYFUNCTION("IMPORTRANGE(""https://docs.google.com/spreadsheets/d/10OvvATaaLtwErnr3qtWFcTmtbfpFEt5Bsqel9sXx0uE/edit?usp=sharing"",""งานกองทุน!T18"")"),60)</f>
        <v>60</v>
      </c>
      <c r="K785" s="655">
        <f t="shared" ca="1" si="466"/>
        <v>45.112781954887218</v>
      </c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</row>
    <row r="786" spans="1:21" ht="12.75" x14ac:dyDescent="0.2">
      <c r="A786" s="510"/>
      <c r="B786" s="510"/>
      <c r="C786" s="510"/>
      <c r="D786" s="510"/>
      <c r="E786" s="510"/>
      <c r="F786" s="510"/>
      <c r="G786" s="510"/>
      <c r="H786" s="510"/>
      <c r="I786" s="510"/>
      <c r="J786" s="510"/>
      <c r="K786" s="510"/>
      <c r="L786" s="510"/>
      <c r="M786" s="510"/>
      <c r="N786" s="510"/>
      <c r="O786" s="510"/>
      <c r="P786" s="510"/>
      <c r="Q786" s="510"/>
      <c r="R786" s="510"/>
      <c r="S786" s="510"/>
      <c r="T786" s="510"/>
      <c r="U786" s="510"/>
    </row>
    <row r="787" spans="1:21" ht="16.5" x14ac:dyDescent="0.25">
      <c r="A787" s="1126" t="s">
        <v>296</v>
      </c>
      <c r="B787" s="510"/>
      <c r="C787" s="510"/>
      <c r="D787" s="510"/>
      <c r="E787" s="510"/>
      <c r="F787" s="510"/>
      <c r="G787" s="510"/>
      <c r="H787" s="510"/>
      <c r="I787" s="510"/>
      <c r="J787" s="510"/>
      <c r="K787" s="510"/>
      <c r="L787" s="510"/>
      <c r="M787" s="510"/>
      <c r="N787" s="510"/>
      <c r="O787" s="510"/>
      <c r="P787" s="510"/>
      <c r="Q787" s="510"/>
      <c r="R787" s="510"/>
      <c r="S787" s="510"/>
      <c r="T787" s="510"/>
      <c r="U787" s="510"/>
    </row>
    <row r="788" spans="1:21" ht="16.5" x14ac:dyDescent="0.25">
      <c r="A788" s="112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510"/>
      <c r="C788" s="510"/>
      <c r="D788" s="510"/>
      <c r="E788" s="510"/>
      <c r="F788" s="510"/>
      <c r="G788" s="510"/>
      <c r="H788" s="510"/>
      <c r="I788" s="510"/>
      <c r="J788" s="510"/>
      <c r="K788" s="510"/>
      <c r="L788" s="510"/>
      <c r="M788" s="510"/>
      <c r="N788" s="510"/>
      <c r="O788" s="510"/>
      <c r="P788" s="510"/>
      <c r="Q788" s="510"/>
      <c r="R788" s="510"/>
      <c r="S788" s="510"/>
      <c r="T788" s="510"/>
      <c r="U788" s="510"/>
    </row>
    <row r="789" spans="1:21" ht="16.5" x14ac:dyDescent="0.25">
      <c r="A789" s="112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510"/>
      <c r="C789" s="510"/>
      <c r="D789" s="510"/>
      <c r="E789" s="510"/>
      <c r="F789" s="510"/>
      <c r="G789" s="510"/>
      <c r="H789" s="510"/>
      <c r="I789" s="510"/>
      <c r="J789" s="510"/>
      <c r="K789" s="510"/>
      <c r="L789" s="510"/>
      <c r="M789" s="510"/>
      <c r="N789" s="510"/>
      <c r="O789" s="510"/>
      <c r="P789" s="510"/>
      <c r="Q789" s="510"/>
      <c r="R789" s="510"/>
      <c r="S789" s="510"/>
      <c r="T789" s="510"/>
      <c r="U789" s="510"/>
    </row>
  </sheetData>
  <mergeCells count="25">
    <mergeCell ref="Q4:U4"/>
    <mergeCell ref="A5:G6"/>
    <mergeCell ref="I5:K5"/>
    <mergeCell ref="L5:M5"/>
    <mergeCell ref="N5:P5"/>
    <mergeCell ref="Q5:R5"/>
    <mergeCell ref="B57:G57"/>
    <mergeCell ref="L4:P4"/>
    <mergeCell ref="A1:U1"/>
    <mergeCell ref="A2:U2"/>
    <mergeCell ref="A3:U3"/>
    <mergeCell ref="S5:U5"/>
    <mergeCell ref="A7:G7"/>
    <mergeCell ref="A17:G17"/>
    <mergeCell ref="A30:G30"/>
    <mergeCell ref="A56:G56"/>
    <mergeCell ref="D714:G714"/>
    <mergeCell ref="D728:G728"/>
    <mergeCell ref="D760:G760"/>
    <mergeCell ref="D413:G413"/>
    <mergeCell ref="D493:F493"/>
    <mergeCell ref="D599:G599"/>
    <mergeCell ref="D616:G616"/>
    <mergeCell ref="D642:G642"/>
    <mergeCell ref="D690:G690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7171-C0AF-407C-95E3-3E47EE3C08FC}">
  <sheetPr>
    <outlinePr summaryBelow="0" summaryRight="0"/>
  </sheetPr>
  <dimension ref="A1:U789"/>
  <sheetViews>
    <sheetView view="pageBreakPreview" zoomScale="60" zoomScaleNormal="100" workbookViewId="0">
      <pane xSplit="8" ySplit="6" topLeftCell="I42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style="511" customWidth="1"/>
    <col min="7" max="7" width="61.42578125" style="511" customWidth="1"/>
    <col min="8" max="8" width="9.42578125" style="511" customWidth="1"/>
    <col min="9" max="11" width="15.140625" style="511" customWidth="1"/>
    <col min="12" max="13" width="23" style="511" bestFit="1" customWidth="1"/>
    <col min="14" max="14" width="21.28515625" style="511" bestFit="1" customWidth="1"/>
    <col min="15" max="15" width="19.28515625" style="511" bestFit="1" customWidth="1"/>
    <col min="16" max="16" width="20.85546875" style="511" bestFit="1" customWidth="1"/>
    <col min="17" max="18" width="21.28515625" style="511" bestFit="1" customWidth="1"/>
    <col min="19" max="19" width="18.7109375" style="511" bestFit="1" customWidth="1"/>
    <col min="20" max="20" width="19.28515625" style="511" bestFit="1" customWidth="1"/>
    <col min="21" max="21" width="20.85546875" style="511" bestFit="1" customWidth="1"/>
    <col min="22" max="16384" width="12.5703125" style="511"/>
  </cols>
  <sheetData>
    <row r="1" spans="1:21" ht="15.75" customHeight="1" x14ac:dyDescent="0.3">
      <c r="A1" s="1321" t="s">
        <v>0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  <c r="R1" s="1321"/>
      <c r="S1" s="1321"/>
      <c r="T1" s="1321"/>
      <c r="U1" s="1321"/>
    </row>
    <row r="2" spans="1:21" ht="15.75" customHeight="1" x14ac:dyDescent="0.3">
      <c r="A2" s="1321" t="s">
        <v>322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</row>
    <row r="3" spans="1:21" ht="15.75" customHeight="1" x14ac:dyDescent="0.3">
      <c r="A3" s="1321" t="s">
        <v>350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</row>
    <row r="4" spans="1:21" ht="15.75" customHeight="1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4"/>
      <c r="K4" s="515"/>
      <c r="L4" s="1323" t="s">
        <v>2</v>
      </c>
      <c r="M4" s="1314"/>
      <c r="N4" s="1314"/>
      <c r="O4" s="1314"/>
      <c r="P4" s="1317"/>
      <c r="Q4" s="1324" t="s">
        <v>3</v>
      </c>
      <c r="R4" s="1314"/>
      <c r="S4" s="1314"/>
      <c r="T4" s="1314"/>
      <c r="U4" s="1317"/>
    </row>
    <row r="5" spans="1:21" ht="15.75" customHeight="1" x14ac:dyDescent="0.3">
      <c r="A5" s="1325" t="s">
        <v>4</v>
      </c>
      <c r="B5" s="1322"/>
      <c r="C5" s="1322"/>
      <c r="D5" s="1322"/>
      <c r="E5" s="1322"/>
      <c r="F5" s="1322"/>
      <c r="G5" s="1326"/>
      <c r="H5" s="516" t="s">
        <v>5</v>
      </c>
      <c r="I5" s="1328" t="s">
        <v>6</v>
      </c>
      <c r="J5" s="1314"/>
      <c r="K5" s="1317"/>
      <c r="L5" s="1329" t="s">
        <v>7</v>
      </c>
      <c r="M5" s="1317"/>
      <c r="N5" s="1330" t="s">
        <v>8</v>
      </c>
      <c r="O5" s="1314"/>
      <c r="P5" s="1317"/>
      <c r="Q5" s="1331" t="s">
        <v>7</v>
      </c>
      <c r="R5" s="1317"/>
      <c r="S5" s="1330" t="s">
        <v>8</v>
      </c>
      <c r="T5" s="1314"/>
      <c r="U5" s="1317"/>
    </row>
    <row r="6" spans="1:21" ht="15.75" customHeight="1" x14ac:dyDescent="0.3">
      <c r="A6" s="1327"/>
      <c r="B6" s="1314"/>
      <c r="C6" s="1314"/>
      <c r="D6" s="1314"/>
      <c r="E6" s="1314"/>
      <c r="F6" s="1314"/>
      <c r="G6" s="1317"/>
      <c r="H6" s="517"/>
      <c r="I6" s="518" t="s">
        <v>9</v>
      </c>
      <c r="J6" s="519" t="s">
        <v>10</v>
      </c>
      <c r="K6" s="518" t="s">
        <v>11</v>
      </c>
      <c r="L6" s="520" t="s">
        <v>12</v>
      </c>
      <c r="M6" s="521" t="s">
        <v>13</v>
      </c>
      <c r="N6" s="522" t="s">
        <v>14</v>
      </c>
      <c r="O6" s="523" t="s">
        <v>15</v>
      </c>
      <c r="P6" s="524" t="s">
        <v>16</v>
      </c>
      <c r="Q6" s="525" t="s">
        <v>12</v>
      </c>
      <c r="R6" s="521" t="s">
        <v>13</v>
      </c>
      <c r="S6" s="522" t="s">
        <v>14</v>
      </c>
      <c r="T6" s="523" t="s">
        <v>15</v>
      </c>
      <c r="U6" s="524" t="s">
        <v>16</v>
      </c>
    </row>
    <row r="7" spans="1:21" ht="12.75" hidden="1" x14ac:dyDescent="0.2">
      <c r="A7" s="1316"/>
      <c r="B7" s="1314"/>
      <c r="C7" s="1314"/>
      <c r="D7" s="1314"/>
      <c r="E7" s="1314"/>
      <c r="F7" s="1314"/>
      <c r="G7" s="1317"/>
      <c r="H7" s="526"/>
      <c r="I7" s="527"/>
      <c r="J7" s="527"/>
      <c r="K7" s="528"/>
      <c r="L7" s="529"/>
      <c r="M7" s="528"/>
      <c r="N7" s="528"/>
      <c r="O7" s="528"/>
      <c r="P7" s="528"/>
      <c r="Q7" s="528"/>
      <c r="R7" s="528"/>
      <c r="S7" s="528"/>
      <c r="T7" s="528"/>
      <c r="U7" s="528"/>
    </row>
    <row r="8" spans="1:21" ht="12.75" hidden="1" x14ac:dyDescent="0.2">
      <c r="A8" s="530"/>
      <c r="B8" s="531"/>
      <c r="C8" s="531"/>
      <c r="D8" s="531"/>
      <c r="E8" s="531"/>
      <c r="F8" s="531"/>
      <c r="G8" s="532"/>
      <c r="H8" s="532"/>
      <c r="I8" s="533"/>
      <c r="J8" s="533"/>
      <c r="K8" s="534"/>
      <c r="L8" s="535"/>
      <c r="M8" s="534"/>
      <c r="N8" s="534"/>
      <c r="O8" s="534"/>
      <c r="P8" s="534"/>
      <c r="Q8" s="534"/>
      <c r="R8" s="534"/>
      <c r="S8" s="534"/>
      <c r="T8" s="534"/>
      <c r="U8" s="534"/>
    </row>
    <row r="9" spans="1:21" ht="12.75" hidden="1" x14ac:dyDescent="0.2">
      <c r="A9" s="530"/>
      <c r="B9" s="531"/>
      <c r="C9" s="531"/>
      <c r="D9" s="531"/>
      <c r="E9" s="531"/>
      <c r="F9" s="531"/>
      <c r="G9" s="532"/>
      <c r="H9" s="532"/>
      <c r="I9" s="533"/>
      <c r="J9" s="533"/>
      <c r="K9" s="534"/>
      <c r="L9" s="535"/>
      <c r="M9" s="534"/>
      <c r="N9" s="534"/>
      <c r="O9" s="534"/>
      <c r="P9" s="534"/>
      <c r="Q9" s="534"/>
      <c r="R9" s="534"/>
      <c r="S9" s="534"/>
      <c r="T9" s="534"/>
      <c r="U9" s="534"/>
    </row>
    <row r="10" spans="1:21" ht="12.75" hidden="1" x14ac:dyDescent="0.2">
      <c r="A10" s="530"/>
      <c r="B10" s="531"/>
      <c r="C10" s="531"/>
      <c r="D10" s="531"/>
      <c r="E10" s="531"/>
      <c r="F10" s="531"/>
      <c r="G10" s="532"/>
      <c r="H10" s="532"/>
      <c r="I10" s="533"/>
      <c r="J10" s="533"/>
      <c r="K10" s="534"/>
      <c r="L10" s="535"/>
      <c r="M10" s="534"/>
      <c r="N10" s="534"/>
      <c r="O10" s="534"/>
      <c r="P10" s="534"/>
      <c r="Q10" s="534"/>
      <c r="R10" s="534"/>
      <c r="S10" s="534"/>
      <c r="T10" s="534"/>
      <c r="U10" s="534"/>
    </row>
    <row r="11" spans="1:21" ht="12.75" hidden="1" x14ac:dyDescent="0.2">
      <c r="A11" s="530"/>
      <c r="B11" s="531"/>
      <c r="C11" s="531"/>
      <c r="D11" s="531"/>
      <c r="E11" s="531"/>
      <c r="F11" s="531"/>
      <c r="G11" s="532"/>
      <c r="H11" s="532"/>
      <c r="I11" s="533"/>
      <c r="J11" s="533"/>
      <c r="K11" s="534"/>
      <c r="L11" s="535"/>
      <c r="M11" s="534"/>
      <c r="N11" s="534"/>
      <c r="O11" s="534"/>
      <c r="P11" s="534"/>
      <c r="Q11" s="534"/>
      <c r="R11" s="534"/>
      <c r="S11" s="534"/>
      <c r="T11" s="534"/>
      <c r="U11" s="534"/>
    </row>
    <row r="12" spans="1:21" ht="12.75" hidden="1" x14ac:dyDescent="0.2">
      <c r="A12" s="530"/>
      <c r="B12" s="531"/>
      <c r="C12" s="531"/>
      <c r="D12" s="531"/>
      <c r="E12" s="531"/>
      <c r="F12" s="531"/>
      <c r="G12" s="532"/>
      <c r="H12" s="532"/>
      <c r="I12" s="533"/>
      <c r="J12" s="533"/>
      <c r="K12" s="534"/>
      <c r="L12" s="535"/>
      <c r="M12" s="534"/>
      <c r="N12" s="534"/>
      <c r="O12" s="534"/>
      <c r="P12" s="534"/>
      <c r="Q12" s="534"/>
      <c r="R12" s="534"/>
      <c r="S12" s="534"/>
      <c r="T12" s="534"/>
      <c r="U12" s="534"/>
    </row>
    <row r="13" spans="1:21" ht="12.75" hidden="1" x14ac:dyDescent="0.2">
      <c r="A13" s="530"/>
      <c r="B13" s="531"/>
      <c r="C13" s="531"/>
      <c r="D13" s="531"/>
      <c r="E13" s="531"/>
      <c r="F13" s="531"/>
      <c r="G13" s="532"/>
      <c r="H13" s="532"/>
      <c r="I13" s="533"/>
      <c r="J13" s="533"/>
      <c r="K13" s="534"/>
      <c r="L13" s="535"/>
      <c r="M13" s="534"/>
      <c r="N13" s="534"/>
      <c r="O13" s="534"/>
      <c r="P13" s="534"/>
      <c r="Q13" s="534"/>
      <c r="R13" s="534"/>
      <c r="S13" s="534"/>
      <c r="T13" s="534"/>
      <c r="U13" s="534"/>
    </row>
    <row r="14" spans="1:21" ht="12.75" hidden="1" x14ac:dyDescent="0.2">
      <c r="A14" s="530"/>
      <c r="B14" s="531"/>
      <c r="C14" s="531"/>
      <c r="D14" s="531"/>
      <c r="E14" s="531"/>
      <c r="F14" s="531"/>
      <c r="G14" s="532"/>
      <c r="H14" s="532"/>
      <c r="I14" s="533"/>
      <c r="J14" s="533"/>
      <c r="K14" s="534"/>
      <c r="L14" s="535"/>
      <c r="M14" s="534"/>
      <c r="N14" s="534"/>
      <c r="O14" s="534"/>
      <c r="P14" s="534"/>
      <c r="Q14" s="534"/>
      <c r="R14" s="534"/>
      <c r="S14" s="534"/>
      <c r="T14" s="534"/>
      <c r="U14" s="534"/>
    </row>
    <row r="15" spans="1:21" ht="12.75" hidden="1" x14ac:dyDescent="0.2">
      <c r="A15" s="530"/>
      <c r="B15" s="531"/>
      <c r="C15" s="531"/>
      <c r="D15" s="531"/>
      <c r="E15" s="531"/>
      <c r="F15" s="531"/>
      <c r="G15" s="532"/>
      <c r="H15" s="532"/>
      <c r="I15" s="533"/>
      <c r="J15" s="533"/>
      <c r="K15" s="534"/>
      <c r="L15" s="535"/>
      <c r="M15" s="534"/>
      <c r="N15" s="534"/>
      <c r="O15" s="534"/>
      <c r="P15" s="534"/>
      <c r="Q15" s="534"/>
      <c r="R15" s="534"/>
      <c r="S15" s="534"/>
      <c r="T15" s="534"/>
      <c r="U15" s="534"/>
    </row>
    <row r="16" spans="1:21" ht="12.75" hidden="1" x14ac:dyDescent="0.2">
      <c r="A16" s="536"/>
      <c r="B16" s="537"/>
      <c r="C16" s="537"/>
      <c r="D16" s="537"/>
      <c r="E16" s="537"/>
      <c r="F16" s="537"/>
      <c r="G16" s="526"/>
      <c r="H16" s="526"/>
      <c r="I16" s="527"/>
      <c r="J16" s="527"/>
      <c r="K16" s="528"/>
      <c r="L16" s="529"/>
      <c r="M16" s="528"/>
      <c r="N16" s="528"/>
      <c r="O16" s="528"/>
      <c r="P16" s="528"/>
      <c r="Q16" s="528"/>
      <c r="R16" s="528"/>
      <c r="S16" s="528"/>
      <c r="T16" s="528"/>
      <c r="U16" s="528"/>
    </row>
    <row r="17" spans="1:21" ht="15.75" customHeight="1" x14ac:dyDescent="0.3">
      <c r="A17" s="1318" t="s">
        <v>298</v>
      </c>
      <c r="B17" s="1314"/>
      <c r="C17" s="1314"/>
      <c r="D17" s="1314"/>
      <c r="E17" s="1314"/>
      <c r="F17" s="1314"/>
      <c r="G17" s="1317"/>
      <c r="H17" s="538"/>
      <c r="I17" s="539"/>
      <c r="J17" s="539"/>
      <c r="K17" s="540"/>
      <c r="L17" s="541"/>
      <c r="M17" s="540"/>
      <c r="N17" s="540"/>
      <c r="O17" s="540"/>
      <c r="P17" s="540"/>
      <c r="Q17" s="540"/>
      <c r="R17" s="540"/>
      <c r="S17" s="540"/>
      <c r="T17" s="540"/>
      <c r="U17" s="540"/>
    </row>
    <row r="18" spans="1:21" ht="15.75" customHeight="1" x14ac:dyDescent="0.3">
      <c r="A18" s="542"/>
      <c r="B18" s="543"/>
      <c r="C18" s="544" t="s">
        <v>18</v>
      </c>
      <c r="D18" s="545" t="s">
        <v>19</v>
      </c>
      <c r="E18" s="543"/>
      <c r="F18" s="543"/>
      <c r="G18" s="546"/>
      <c r="H18" s="547" t="s">
        <v>14</v>
      </c>
      <c r="I18" s="548"/>
      <c r="J18" s="548"/>
      <c r="K18" s="549"/>
      <c r="L18" s="550">
        <f t="shared" ref="L18:N18" ca="1" si="0">L19+L20</f>
        <v>17724600</v>
      </c>
      <c r="M18" s="551">
        <f t="shared" ca="1" si="0"/>
        <v>18058568</v>
      </c>
      <c r="N18" s="551">
        <f t="shared" ca="1" si="0"/>
        <v>2012817.42</v>
      </c>
      <c r="O18" s="551">
        <f t="shared" ref="O18:O26" ca="1" si="1">IF(L18&gt;0,N18*100/L18,0)</f>
        <v>11.356066822382452</v>
      </c>
      <c r="P18" s="551">
        <f t="shared" ref="P18:P26" ca="1" si="2">IF(M18&gt;0,N18*100/M18,0)</f>
        <v>11.14605222296696</v>
      </c>
      <c r="Q18" s="551">
        <f t="shared" ref="Q18:S18" ca="1" si="3">Q19+Q20</f>
        <v>5815913.3900000006</v>
      </c>
      <c r="R18" s="551">
        <f t="shared" ca="1" si="3"/>
        <v>5506053</v>
      </c>
      <c r="S18" s="551">
        <f t="shared" ca="1" si="3"/>
        <v>685365</v>
      </c>
      <c r="T18" s="551">
        <f t="shared" ref="T18:T26" ca="1" si="4">IF(Q18&gt;0,S18*100/Q18,0)</f>
        <v>11.784305474328942</v>
      </c>
      <c r="U18" s="551">
        <f t="shared" ref="U18:U26" ca="1" si="5">IF(R18&gt;0,S18*100/R18,0)</f>
        <v>12.447482797568421</v>
      </c>
    </row>
    <row r="19" spans="1:21" ht="15.75" customHeight="1" x14ac:dyDescent="0.25">
      <c r="A19" s="542"/>
      <c r="B19" s="543"/>
      <c r="C19" s="543"/>
      <c r="D19" s="543"/>
      <c r="E19" s="552" t="s">
        <v>20</v>
      </c>
      <c r="F19" s="543"/>
      <c r="G19" s="546"/>
      <c r="H19" s="553" t="s">
        <v>14</v>
      </c>
      <c r="I19" s="548"/>
      <c r="J19" s="548"/>
      <c r="K19" s="549"/>
      <c r="L19" s="554">
        <f t="shared" ref="L19:N20" si="6">L22+L25</f>
        <v>0</v>
      </c>
      <c r="M19" s="555">
        <f t="shared" si="6"/>
        <v>0</v>
      </c>
      <c r="N19" s="555">
        <f t="shared" si="6"/>
        <v>0</v>
      </c>
      <c r="O19" s="555">
        <f t="shared" si="1"/>
        <v>0</v>
      </c>
      <c r="P19" s="555">
        <f t="shared" si="2"/>
        <v>0</v>
      </c>
      <c r="Q19" s="555">
        <f t="shared" ref="Q19:S20" si="7">Q22+Q25</f>
        <v>0</v>
      </c>
      <c r="R19" s="555">
        <f t="shared" si="7"/>
        <v>0</v>
      </c>
      <c r="S19" s="555">
        <f t="shared" si="7"/>
        <v>0</v>
      </c>
      <c r="T19" s="555">
        <f t="shared" si="4"/>
        <v>0</v>
      </c>
      <c r="U19" s="555">
        <f t="shared" si="5"/>
        <v>0</v>
      </c>
    </row>
    <row r="20" spans="1:21" ht="15.75" customHeight="1" x14ac:dyDescent="0.25">
      <c r="A20" s="542"/>
      <c r="B20" s="543"/>
      <c r="C20" s="543"/>
      <c r="D20" s="543"/>
      <c r="E20" s="556" t="s">
        <v>21</v>
      </c>
      <c r="F20" s="543"/>
      <c r="G20" s="546"/>
      <c r="H20" s="557" t="s">
        <v>14</v>
      </c>
      <c r="I20" s="548"/>
      <c r="J20" s="548"/>
      <c r="K20" s="549"/>
      <c r="L20" s="558">
        <f t="shared" ca="1" si="6"/>
        <v>17724600</v>
      </c>
      <c r="M20" s="559">
        <f t="shared" ca="1" si="6"/>
        <v>18058568</v>
      </c>
      <c r="N20" s="559">
        <f t="shared" ca="1" si="6"/>
        <v>2012817.42</v>
      </c>
      <c r="O20" s="559">
        <f t="shared" ca="1" si="1"/>
        <v>11.356066822382452</v>
      </c>
      <c r="P20" s="559">
        <f t="shared" ca="1" si="2"/>
        <v>11.14605222296696</v>
      </c>
      <c r="Q20" s="559">
        <f t="shared" ca="1" si="7"/>
        <v>5815913.3900000006</v>
      </c>
      <c r="R20" s="559">
        <f t="shared" ca="1" si="7"/>
        <v>5506053</v>
      </c>
      <c r="S20" s="559">
        <f t="shared" ca="1" si="7"/>
        <v>685365</v>
      </c>
      <c r="T20" s="559">
        <f t="shared" ca="1" si="4"/>
        <v>11.784305474328942</v>
      </c>
      <c r="U20" s="559">
        <f t="shared" ca="1" si="5"/>
        <v>12.447482797568421</v>
      </c>
    </row>
    <row r="21" spans="1:21" ht="15.75" customHeight="1" x14ac:dyDescent="0.25">
      <c r="A21" s="560"/>
      <c r="B21" s="561"/>
      <c r="C21" s="561"/>
      <c r="D21" s="562" t="s">
        <v>22</v>
      </c>
      <c r="E21" s="561"/>
      <c r="F21" s="561"/>
      <c r="G21" s="563"/>
      <c r="H21" s="564" t="s">
        <v>14</v>
      </c>
      <c r="I21" s="565"/>
      <c r="J21" s="565"/>
      <c r="K21" s="566"/>
      <c r="L21" s="567">
        <f t="shared" ref="L21:N21" ca="1" si="8">L22+L23</f>
        <v>3471900</v>
      </c>
      <c r="M21" s="568">
        <f t="shared" ca="1" si="8"/>
        <v>3805868</v>
      </c>
      <c r="N21" s="568">
        <f t="shared" ca="1" si="8"/>
        <v>2012817.42</v>
      </c>
      <c r="O21" s="568">
        <f t="shared" ca="1" si="1"/>
        <v>57.974521731616697</v>
      </c>
      <c r="P21" s="568">
        <f t="shared" ca="1" si="2"/>
        <v>52.88721048654341</v>
      </c>
      <c r="Q21" s="568">
        <f t="shared" ref="Q21:S21" ca="1" si="9">Q22+Q23</f>
        <v>3494913.39</v>
      </c>
      <c r="R21" s="568">
        <f t="shared" ca="1" si="9"/>
        <v>3185053</v>
      </c>
      <c r="S21" s="568">
        <f t="shared" ca="1" si="9"/>
        <v>685365</v>
      </c>
      <c r="T21" s="568">
        <f t="shared" ca="1" si="4"/>
        <v>19.610357211169688</v>
      </c>
      <c r="U21" s="568">
        <f t="shared" ca="1" si="5"/>
        <v>21.51816625971373</v>
      </c>
    </row>
    <row r="22" spans="1:21" ht="15.75" customHeight="1" x14ac:dyDescent="0.25">
      <c r="A22" s="560"/>
      <c r="B22" s="561"/>
      <c r="C22" s="561"/>
      <c r="D22" s="561"/>
      <c r="E22" s="569" t="s">
        <v>20</v>
      </c>
      <c r="F22" s="561"/>
      <c r="G22" s="563"/>
      <c r="H22" s="570" t="s">
        <v>14</v>
      </c>
      <c r="I22" s="565"/>
      <c r="J22" s="565"/>
      <c r="K22" s="566"/>
      <c r="L22" s="571">
        <f t="shared" ref="L22:N23" si="10">L48+L63+L76+L98+L129+L143+L161+L190+L177+L270+L286+L307+L324+L337+L360+L517</f>
        <v>0</v>
      </c>
      <c r="M22" s="572">
        <f t="shared" si="10"/>
        <v>0</v>
      </c>
      <c r="N22" s="572">
        <f t="shared" si="10"/>
        <v>0</v>
      </c>
      <c r="O22" s="572">
        <f t="shared" si="1"/>
        <v>0</v>
      </c>
      <c r="P22" s="572">
        <f t="shared" si="2"/>
        <v>0</v>
      </c>
      <c r="Q22" s="572">
        <f t="shared" ref="Q22:S23" si="11">Q76+Q98+Q121+Q143+Q161+Q177+Q190+Q270+Q286+Q307+Q337+Q379+Q396+Q417+Q497+Q603+Q620+Q646+Q694+Q718+Q732+Q764</f>
        <v>0</v>
      </c>
      <c r="R22" s="572">
        <f t="shared" si="11"/>
        <v>0</v>
      </c>
      <c r="S22" s="572">
        <f t="shared" si="11"/>
        <v>0</v>
      </c>
      <c r="T22" s="572">
        <f t="shared" si="4"/>
        <v>0</v>
      </c>
      <c r="U22" s="572">
        <f t="shared" si="5"/>
        <v>0</v>
      </c>
    </row>
    <row r="23" spans="1:21" ht="15.75" customHeight="1" x14ac:dyDescent="0.25">
      <c r="A23" s="560"/>
      <c r="B23" s="561"/>
      <c r="C23" s="561"/>
      <c r="D23" s="561"/>
      <c r="E23" s="573" t="s">
        <v>21</v>
      </c>
      <c r="F23" s="561"/>
      <c r="G23" s="563"/>
      <c r="H23" s="564" t="s">
        <v>14</v>
      </c>
      <c r="I23" s="565"/>
      <c r="J23" s="565"/>
      <c r="K23" s="566"/>
      <c r="L23" s="567">
        <f t="shared" ca="1" si="10"/>
        <v>3471900</v>
      </c>
      <c r="M23" s="568">
        <f t="shared" ca="1" si="10"/>
        <v>3805868</v>
      </c>
      <c r="N23" s="568">
        <f t="shared" ca="1" si="10"/>
        <v>2012817.42</v>
      </c>
      <c r="O23" s="568">
        <f t="shared" ca="1" si="1"/>
        <v>57.974521731616697</v>
      </c>
      <c r="P23" s="568">
        <f t="shared" ca="1" si="2"/>
        <v>52.88721048654341</v>
      </c>
      <c r="Q23" s="568">
        <f t="shared" ca="1" si="11"/>
        <v>3494913.39</v>
      </c>
      <c r="R23" s="568">
        <f t="shared" ca="1" si="11"/>
        <v>3185053</v>
      </c>
      <c r="S23" s="568">
        <f t="shared" ca="1" si="11"/>
        <v>685365</v>
      </c>
      <c r="T23" s="568">
        <f t="shared" ca="1" si="4"/>
        <v>19.610357211169688</v>
      </c>
      <c r="U23" s="568">
        <f t="shared" ca="1" si="5"/>
        <v>21.51816625971373</v>
      </c>
    </row>
    <row r="24" spans="1:21" ht="15.75" customHeight="1" x14ac:dyDescent="0.25">
      <c r="A24" s="560"/>
      <c r="B24" s="561"/>
      <c r="C24" s="561"/>
      <c r="D24" s="562" t="s">
        <v>23</v>
      </c>
      <c r="E24" s="561"/>
      <c r="F24" s="561"/>
      <c r="G24" s="563"/>
      <c r="H24" s="564" t="s">
        <v>14</v>
      </c>
      <c r="I24" s="565"/>
      <c r="J24" s="565"/>
      <c r="K24" s="566"/>
      <c r="L24" s="567">
        <f t="shared" ref="L24:N24" ca="1" si="12">L25+L26</f>
        <v>14252700</v>
      </c>
      <c r="M24" s="568">
        <f t="shared" ca="1" si="12"/>
        <v>14252700</v>
      </c>
      <c r="N24" s="568">
        <f t="shared" ca="1" si="12"/>
        <v>0</v>
      </c>
      <c r="O24" s="568">
        <f t="shared" ca="1" si="1"/>
        <v>0</v>
      </c>
      <c r="P24" s="568">
        <f t="shared" ca="1" si="2"/>
        <v>0</v>
      </c>
      <c r="Q24" s="568">
        <f t="shared" ref="Q24:S24" ca="1" si="13">Q25+Q26</f>
        <v>2321000</v>
      </c>
      <c r="R24" s="568">
        <f t="shared" ca="1" si="13"/>
        <v>2321000</v>
      </c>
      <c r="S24" s="568">
        <f t="shared" ca="1" si="13"/>
        <v>0</v>
      </c>
      <c r="T24" s="568">
        <f t="shared" ca="1" si="4"/>
        <v>0</v>
      </c>
      <c r="U24" s="568">
        <f t="shared" ca="1" si="5"/>
        <v>0</v>
      </c>
    </row>
    <row r="25" spans="1:21" ht="15.75" customHeight="1" x14ac:dyDescent="0.25">
      <c r="A25" s="560"/>
      <c r="B25" s="561"/>
      <c r="C25" s="561"/>
      <c r="D25" s="561"/>
      <c r="E25" s="569" t="s">
        <v>20</v>
      </c>
      <c r="F25" s="561"/>
      <c r="G25" s="563"/>
      <c r="H25" s="570" t="s">
        <v>14</v>
      </c>
      <c r="I25" s="565"/>
      <c r="J25" s="565"/>
      <c r="K25" s="566"/>
      <c r="L25" s="571">
        <f t="shared" ref="L25:N26" si="14">L51+L66+L79+L101+L132+L146+L164+L193+L180+L273+L289+L310+L327+L340+L363+L520</f>
        <v>0</v>
      </c>
      <c r="M25" s="572">
        <f t="shared" si="14"/>
        <v>0</v>
      </c>
      <c r="N25" s="572">
        <f t="shared" si="14"/>
        <v>0</v>
      </c>
      <c r="O25" s="572">
        <f t="shared" si="1"/>
        <v>0</v>
      </c>
      <c r="P25" s="572">
        <f t="shared" si="2"/>
        <v>0</v>
      </c>
      <c r="Q25" s="572">
        <f t="shared" ref="Q25:S26" si="15">Q79+Q101+Q124+Q146+Q164+Q180+Q193+Q273+Q289+Q310+Q340+Q382+Q399+Q420+Q500+Q606+Q623+Q649+Q697+Q721+Q735+Q767</f>
        <v>0</v>
      </c>
      <c r="R25" s="572">
        <f t="shared" si="15"/>
        <v>0</v>
      </c>
      <c r="S25" s="572">
        <f t="shared" si="15"/>
        <v>0</v>
      </c>
      <c r="T25" s="572">
        <f t="shared" si="4"/>
        <v>0</v>
      </c>
      <c r="U25" s="572">
        <f t="shared" si="5"/>
        <v>0</v>
      </c>
    </row>
    <row r="26" spans="1:21" ht="15.75" customHeight="1" x14ac:dyDescent="0.25">
      <c r="A26" s="560"/>
      <c r="B26" s="561"/>
      <c r="C26" s="561"/>
      <c r="D26" s="561"/>
      <c r="E26" s="573" t="s">
        <v>21</v>
      </c>
      <c r="F26" s="561"/>
      <c r="G26" s="563"/>
      <c r="H26" s="564" t="s">
        <v>14</v>
      </c>
      <c r="I26" s="565"/>
      <c r="J26" s="565"/>
      <c r="K26" s="566"/>
      <c r="L26" s="567">
        <f t="shared" ca="1" si="14"/>
        <v>14252700</v>
      </c>
      <c r="M26" s="568">
        <f t="shared" ca="1" si="14"/>
        <v>14252700</v>
      </c>
      <c r="N26" s="568">
        <f t="shared" ca="1" si="14"/>
        <v>0</v>
      </c>
      <c r="O26" s="568">
        <f t="shared" ca="1" si="1"/>
        <v>0</v>
      </c>
      <c r="P26" s="568">
        <f t="shared" ca="1" si="2"/>
        <v>0</v>
      </c>
      <c r="Q26" s="572">
        <f t="shared" ca="1" si="15"/>
        <v>2321000</v>
      </c>
      <c r="R26" s="572">
        <f t="shared" ca="1" si="15"/>
        <v>2321000</v>
      </c>
      <c r="S26" s="572">
        <f t="shared" ca="1" si="15"/>
        <v>0</v>
      </c>
      <c r="T26" s="568">
        <f t="shared" ca="1" si="4"/>
        <v>0</v>
      </c>
      <c r="U26" s="568">
        <f t="shared" ca="1" si="5"/>
        <v>0</v>
      </c>
    </row>
    <row r="27" spans="1:21" ht="15.75" customHeight="1" x14ac:dyDescent="0.25">
      <c r="A27" s="560"/>
      <c r="B27" s="561"/>
      <c r="C27" s="561"/>
      <c r="D27" s="562" t="s">
        <v>24</v>
      </c>
      <c r="E27" s="561"/>
      <c r="F27" s="561"/>
      <c r="G27" s="563"/>
      <c r="H27" s="564" t="s">
        <v>14</v>
      </c>
      <c r="I27" s="565"/>
      <c r="J27" s="565"/>
      <c r="K27" s="566"/>
      <c r="L27" s="574"/>
      <c r="M27" s="566"/>
      <c r="N27" s="566"/>
      <c r="O27" s="566"/>
      <c r="P27" s="566"/>
      <c r="Q27" s="566"/>
      <c r="R27" s="566"/>
      <c r="S27" s="566"/>
      <c r="T27" s="566"/>
      <c r="U27" s="566"/>
    </row>
    <row r="28" spans="1:21" ht="15.75" customHeight="1" x14ac:dyDescent="0.25">
      <c r="A28" s="560"/>
      <c r="B28" s="561"/>
      <c r="C28" s="561"/>
      <c r="D28" s="561"/>
      <c r="E28" s="569" t="s">
        <v>20</v>
      </c>
      <c r="F28" s="561"/>
      <c r="G28" s="563"/>
      <c r="H28" s="570" t="s">
        <v>14</v>
      </c>
      <c r="I28" s="565"/>
      <c r="J28" s="565"/>
      <c r="K28" s="566"/>
      <c r="L28" s="574"/>
      <c r="M28" s="566"/>
      <c r="N28" s="566"/>
      <c r="O28" s="566"/>
      <c r="P28" s="566"/>
      <c r="Q28" s="566"/>
      <c r="R28" s="566"/>
      <c r="S28" s="566"/>
      <c r="T28" s="566"/>
      <c r="U28" s="566"/>
    </row>
    <row r="29" spans="1:21" ht="15.75" customHeight="1" x14ac:dyDescent="0.25">
      <c r="A29" s="575"/>
      <c r="B29" s="513"/>
      <c r="C29" s="513"/>
      <c r="D29" s="513"/>
      <c r="E29" s="576" t="s">
        <v>21</v>
      </c>
      <c r="F29" s="513"/>
      <c r="G29" s="577"/>
      <c r="H29" s="578" t="s">
        <v>14</v>
      </c>
      <c r="I29" s="579"/>
      <c r="J29" s="579"/>
      <c r="K29" s="580"/>
      <c r="L29" s="581"/>
      <c r="M29" s="580"/>
      <c r="N29" s="580"/>
      <c r="O29" s="580"/>
      <c r="P29" s="580"/>
      <c r="Q29" s="580"/>
      <c r="R29" s="580"/>
      <c r="S29" s="580"/>
      <c r="T29" s="580"/>
      <c r="U29" s="580"/>
    </row>
    <row r="30" spans="1:21" ht="12.75" hidden="1" x14ac:dyDescent="0.2">
      <c r="A30" s="1316"/>
      <c r="B30" s="1314"/>
      <c r="C30" s="1314"/>
      <c r="D30" s="1314"/>
      <c r="E30" s="1314"/>
      <c r="F30" s="1314"/>
      <c r="G30" s="1317"/>
      <c r="H30" s="526"/>
      <c r="I30" s="527"/>
      <c r="J30" s="527"/>
      <c r="K30" s="528"/>
      <c r="L30" s="529"/>
      <c r="M30" s="528"/>
      <c r="N30" s="528"/>
      <c r="O30" s="528"/>
      <c r="P30" s="528"/>
      <c r="Q30" s="528"/>
      <c r="R30" s="528"/>
      <c r="S30" s="528"/>
      <c r="T30" s="528"/>
      <c r="U30" s="528"/>
    </row>
    <row r="31" spans="1:21" ht="12.75" hidden="1" x14ac:dyDescent="0.2">
      <c r="A31" s="530"/>
      <c r="B31" s="531"/>
      <c r="C31" s="531"/>
      <c r="D31" s="531"/>
      <c r="E31" s="531"/>
      <c r="F31" s="531"/>
      <c r="G31" s="532"/>
      <c r="H31" s="532"/>
      <c r="I31" s="533"/>
      <c r="J31" s="533"/>
      <c r="K31" s="534"/>
      <c r="L31" s="535"/>
      <c r="M31" s="534"/>
      <c r="N31" s="534"/>
      <c r="O31" s="534"/>
      <c r="P31" s="534"/>
      <c r="Q31" s="534"/>
      <c r="R31" s="534"/>
      <c r="S31" s="534"/>
      <c r="T31" s="534"/>
      <c r="U31" s="534"/>
    </row>
    <row r="32" spans="1:21" ht="12.75" hidden="1" x14ac:dyDescent="0.2">
      <c r="A32" s="530"/>
      <c r="B32" s="531"/>
      <c r="C32" s="531"/>
      <c r="D32" s="531"/>
      <c r="E32" s="531"/>
      <c r="F32" s="531"/>
      <c r="G32" s="532"/>
      <c r="H32" s="532"/>
      <c r="I32" s="533"/>
      <c r="J32" s="533"/>
      <c r="K32" s="534"/>
      <c r="L32" s="535"/>
      <c r="M32" s="534"/>
      <c r="N32" s="534"/>
      <c r="O32" s="534"/>
      <c r="P32" s="534"/>
      <c r="Q32" s="534"/>
      <c r="R32" s="534"/>
      <c r="S32" s="534"/>
      <c r="T32" s="534"/>
      <c r="U32" s="534"/>
    </row>
    <row r="33" spans="1:21" ht="12.75" hidden="1" x14ac:dyDescent="0.2">
      <c r="A33" s="530"/>
      <c r="B33" s="531"/>
      <c r="C33" s="531"/>
      <c r="D33" s="531"/>
      <c r="E33" s="531"/>
      <c r="F33" s="531"/>
      <c r="G33" s="532"/>
      <c r="H33" s="532"/>
      <c r="I33" s="533"/>
      <c r="J33" s="533"/>
      <c r="K33" s="534"/>
      <c r="L33" s="535"/>
      <c r="M33" s="534"/>
      <c r="N33" s="534"/>
      <c r="O33" s="534"/>
      <c r="P33" s="534"/>
      <c r="Q33" s="534"/>
      <c r="R33" s="534"/>
      <c r="S33" s="534"/>
      <c r="T33" s="534"/>
      <c r="U33" s="534"/>
    </row>
    <row r="34" spans="1:21" ht="12.75" hidden="1" x14ac:dyDescent="0.2">
      <c r="A34" s="530"/>
      <c r="B34" s="531"/>
      <c r="C34" s="531"/>
      <c r="D34" s="531"/>
      <c r="E34" s="531"/>
      <c r="F34" s="531"/>
      <c r="G34" s="532"/>
      <c r="H34" s="532"/>
      <c r="I34" s="533"/>
      <c r="J34" s="533"/>
      <c r="K34" s="534"/>
      <c r="L34" s="535"/>
      <c r="M34" s="534"/>
      <c r="N34" s="534"/>
      <c r="O34" s="534"/>
      <c r="P34" s="534"/>
      <c r="Q34" s="534"/>
      <c r="R34" s="534"/>
      <c r="S34" s="534"/>
      <c r="T34" s="534"/>
      <c r="U34" s="534"/>
    </row>
    <row r="35" spans="1:21" ht="12.75" hidden="1" x14ac:dyDescent="0.2">
      <c r="A35" s="530"/>
      <c r="B35" s="531"/>
      <c r="C35" s="531"/>
      <c r="D35" s="531"/>
      <c r="E35" s="531"/>
      <c r="F35" s="531"/>
      <c r="G35" s="532"/>
      <c r="H35" s="532"/>
      <c r="I35" s="533"/>
      <c r="J35" s="533"/>
      <c r="K35" s="534"/>
      <c r="L35" s="535"/>
      <c r="M35" s="534"/>
      <c r="N35" s="534"/>
      <c r="O35" s="534"/>
      <c r="P35" s="534"/>
      <c r="Q35" s="534"/>
      <c r="R35" s="534"/>
      <c r="S35" s="534"/>
      <c r="T35" s="534"/>
      <c r="U35" s="534"/>
    </row>
    <row r="36" spans="1:21" ht="12.75" hidden="1" x14ac:dyDescent="0.2">
      <c r="A36" s="530"/>
      <c r="B36" s="531"/>
      <c r="C36" s="531"/>
      <c r="D36" s="531"/>
      <c r="E36" s="531"/>
      <c r="F36" s="531"/>
      <c r="G36" s="532"/>
      <c r="H36" s="532"/>
      <c r="I36" s="533"/>
      <c r="J36" s="533"/>
      <c r="K36" s="534"/>
      <c r="L36" s="535"/>
      <c r="M36" s="534"/>
      <c r="N36" s="534"/>
      <c r="O36" s="534"/>
      <c r="P36" s="534"/>
      <c r="Q36" s="534"/>
      <c r="R36" s="534"/>
      <c r="S36" s="534"/>
      <c r="T36" s="534"/>
      <c r="U36" s="534"/>
    </row>
    <row r="37" spans="1:21" ht="12.75" hidden="1" x14ac:dyDescent="0.2">
      <c r="A37" s="530"/>
      <c r="B37" s="531"/>
      <c r="C37" s="531"/>
      <c r="D37" s="531"/>
      <c r="E37" s="531"/>
      <c r="F37" s="531"/>
      <c r="G37" s="532"/>
      <c r="H37" s="532"/>
      <c r="I37" s="533"/>
      <c r="J37" s="533"/>
      <c r="K37" s="534"/>
      <c r="L37" s="535"/>
      <c r="M37" s="534"/>
      <c r="N37" s="534"/>
      <c r="O37" s="534"/>
      <c r="P37" s="534"/>
      <c r="Q37" s="534"/>
      <c r="R37" s="534"/>
      <c r="S37" s="534"/>
      <c r="T37" s="534"/>
      <c r="U37" s="534"/>
    </row>
    <row r="38" spans="1:21" ht="12.75" hidden="1" x14ac:dyDescent="0.2">
      <c r="A38" s="530"/>
      <c r="B38" s="531"/>
      <c r="C38" s="531"/>
      <c r="D38" s="531"/>
      <c r="E38" s="531"/>
      <c r="F38" s="531"/>
      <c r="G38" s="532"/>
      <c r="H38" s="532"/>
      <c r="I38" s="533"/>
      <c r="J38" s="533"/>
      <c r="K38" s="534"/>
      <c r="L38" s="535"/>
      <c r="M38" s="534"/>
      <c r="N38" s="534"/>
      <c r="O38" s="534"/>
      <c r="P38" s="534"/>
      <c r="Q38" s="534"/>
      <c r="R38" s="534"/>
      <c r="S38" s="534"/>
      <c r="T38" s="534"/>
      <c r="U38" s="534"/>
    </row>
    <row r="39" spans="1:21" ht="12.75" hidden="1" x14ac:dyDescent="0.2">
      <c r="A39" s="536"/>
      <c r="B39" s="537"/>
      <c r="C39" s="537"/>
      <c r="D39" s="537"/>
      <c r="E39" s="537"/>
      <c r="F39" s="537"/>
      <c r="G39" s="526"/>
      <c r="H39" s="526"/>
      <c r="I39" s="527"/>
      <c r="J39" s="527"/>
      <c r="K39" s="528"/>
      <c r="L39" s="529"/>
      <c r="M39" s="528"/>
      <c r="N39" s="528"/>
      <c r="O39" s="528"/>
      <c r="P39" s="528"/>
      <c r="Q39" s="528"/>
      <c r="R39" s="528"/>
      <c r="S39" s="528"/>
      <c r="T39" s="528"/>
      <c r="U39" s="528"/>
    </row>
    <row r="40" spans="1:21" ht="19.5" x14ac:dyDescent="0.3">
      <c r="A40" s="582" t="s">
        <v>25</v>
      </c>
      <c r="B40" s="583"/>
      <c r="C40" s="583"/>
      <c r="D40" s="583"/>
      <c r="E40" s="583"/>
      <c r="F40" s="583"/>
      <c r="G40" s="584"/>
      <c r="H40" s="584"/>
      <c r="I40" s="585"/>
      <c r="J40" s="585"/>
      <c r="K40" s="586"/>
      <c r="L40" s="587">
        <f t="shared" ref="L40:N40" ca="1" si="16">L44+L59+L72+L94+L125+L139+L157+L173+L186+L266+L282+L303+L320+L333+L356</f>
        <v>17724600</v>
      </c>
      <c r="M40" s="588">
        <f t="shared" ca="1" si="16"/>
        <v>18058568</v>
      </c>
      <c r="N40" s="588">
        <f t="shared" ca="1" si="16"/>
        <v>2012817.42</v>
      </c>
      <c r="O40" s="588">
        <f ca="1">IF(L40&gt;0,N40*100/L40,0)</f>
        <v>11.356066822382452</v>
      </c>
      <c r="P40" s="588">
        <f ca="1">IF(M40&gt;0,N40*100/M40,0)</f>
        <v>11.14605222296696</v>
      </c>
      <c r="Q40" s="586"/>
      <c r="R40" s="586"/>
      <c r="S40" s="586"/>
      <c r="T40" s="586"/>
      <c r="U40" s="586"/>
    </row>
    <row r="41" spans="1:21" ht="19.5" x14ac:dyDescent="0.3">
      <c r="A41" s="589" t="s">
        <v>26</v>
      </c>
      <c r="B41" s="590"/>
      <c r="C41" s="590"/>
      <c r="D41" s="590"/>
      <c r="E41" s="590"/>
      <c r="F41" s="590"/>
      <c r="G41" s="590"/>
      <c r="H41" s="590"/>
      <c r="I41" s="591"/>
      <c r="J41" s="591"/>
      <c r="K41" s="592"/>
      <c r="L41" s="592"/>
      <c r="M41" s="592"/>
      <c r="N41" s="592"/>
      <c r="O41" s="592"/>
      <c r="P41" s="593"/>
      <c r="Q41" s="592"/>
      <c r="R41" s="592"/>
      <c r="S41" s="592"/>
      <c r="T41" s="592"/>
      <c r="U41" s="593"/>
    </row>
    <row r="42" spans="1:21" ht="19.5" x14ac:dyDescent="0.3">
      <c r="A42" s="594"/>
      <c r="B42" s="595" t="s">
        <v>27</v>
      </c>
      <c r="C42" s="594"/>
      <c r="D42" s="594"/>
      <c r="E42" s="594"/>
      <c r="F42" s="594"/>
      <c r="G42" s="596"/>
      <c r="H42" s="596"/>
      <c r="I42" s="597"/>
      <c r="J42" s="597"/>
      <c r="K42" s="598"/>
      <c r="L42" s="599"/>
      <c r="M42" s="598"/>
      <c r="N42" s="598"/>
      <c r="O42" s="598"/>
      <c r="P42" s="598"/>
      <c r="Q42" s="598"/>
      <c r="R42" s="598"/>
      <c r="S42" s="598"/>
      <c r="T42" s="598"/>
      <c r="U42" s="598"/>
    </row>
    <row r="43" spans="1:21" ht="12.75" hidden="1" x14ac:dyDescent="0.2">
      <c r="A43" s="530"/>
      <c r="B43" s="531"/>
      <c r="C43" s="531"/>
      <c r="D43" s="531"/>
      <c r="E43" s="531"/>
      <c r="F43" s="531"/>
      <c r="G43" s="532"/>
      <c r="H43" s="532"/>
      <c r="I43" s="533"/>
      <c r="J43" s="533"/>
      <c r="K43" s="534"/>
      <c r="L43" s="535"/>
      <c r="M43" s="534"/>
      <c r="N43" s="534"/>
      <c r="O43" s="534"/>
      <c r="P43" s="534"/>
      <c r="Q43" s="534"/>
      <c r="R43" s="534"/>
      <c r="S43" s="534"/>
      <c r="T43" s="534"/>
      <c r="U43" s="534"/>
    </row>
    <row r="44" spans="1:21" ht="19.5" x14ac:dyDescent="0.3">
      <c r="A44" s="600"/>
      <c r="B44" s="601"/>
      <c r="C44" s="602" t="s">
        <v>18</v>
      </c>
      <c r="D44" s="603" t="s">
        <v>19</v>
      </c>
      <c r="E44" s="601"/>
      <c r="F44" s="601"/>
      <c r="G44" s="604"/>
      <c r="H44" s="605" t="s">
        <v>14</v>
      </c>
      <c r="I44" s="606"/>
      <c r="J44" s="606"/>
      <c r="K44" s="607"/>
      <c r="L44" s="608">
        <f t="shared" ref="L44:N44" ca="1" si="17">L45+L46</f>
        <v>595700</v>
      </c>
      <c r="M44" s="609">
        <f t="shared" ca="1" si="17"/>
        <v>766698</v>
      </c>
      <c r="N44" s="609">
        <f t="shared" ca="1" si="17"/>
        <v>477298</v>
      </c>
      <c r="O44" s="609">
        <f t="shared" ref="O44:O52" ca="1" si="18">IF(L44&gt;0,N44*100/L44,0)</f>
        <v>80.123887863018297</v>
      </c>
      <c r="P44" s="609">
        <f t="shared" ref="P44:P52" ca="1" si="19">IF(M44&gt;0,N44*100/M44,0)</f>
        <v>62.253716587235132</v>
      </c>
      <c r="Q44" s="609">
        <f t="shared" ref="Q44:S44" si="20">Q45+Q46</f>
        <v>0</v>
      </c>
      <c r="R44" s="609">
        <f t="shared" si="20"/>
        <v>0</v>
      </c>
      <c r="S44" s="609">
        <f t="shared" si="20"/>
        <v>0</v>
      </c>
      <c r="T44" s="609">
        <f t="shared" ref="T44:T52" si="21">IF(Q44&gt;0,S44*100/Q44,0)</f>
        <v>0</v>
      </c>
      <c r="U44" s="609">
        <f t="shared" ref="U44:U52" si="22">IF(R44&gt;0,S44*100/R44,0)</f>
        <v>0</v>
      </c>
    </row>
    <row r="45" spans="1:21" ht="18.75" x14ac:dyDescent="0.25">
      <c r="A45" s="600"/>
      <c r="B45" s="601"/>
      <c r="C45" s="601"/>
      <c r="D45" s="601"/>
      <c r="E45" s="610" t="s">
        <v>20</v>
      </c>
      <c r="F45" s="601"/>
      <c r="G45" s="604"/>
      <c r="H45" s="611" t="s">
        <v>14</v>
      </c>
      <c r="I45" s="606"/>
      <c r="J45" s="606"/>
      <c r="K45" s="607"/>
      <c r="L45" s="612">
        <f t="shared" ref="L45:N46" si="23">L48+L51</f>
        <v>0</v>
      </c>
      <c r="M45" s="613">
        <f t="shared" si="23"/>
        <v>0</v>
      </c>
      <c r="N45" s="613">
        <f t="shared" si="23"/>
        <v>0</v>
      </c>
      <c r="O45" s="613">
        <f t="shared" si="18"/>
        <v>0</v>
      </c>
      <c r="P45" s="613">
        <f t="shared" si="19"/>
        <v>0</v>
      </c>
      <c r="Q45" s="613">
        <f t="shared" ref="Q45:S46" si="24">Q48+Q51</f>
        <v>0</v>
      </c>
      <c r="R45" s="613">
        <f t="shared" si="24"/>
        <v>0</v>
      </c>
      <c r="S45" s="613">
        <f t="shared" si="24"/>
        <v>0</v>
      </c>
      <c r="T45" s="613">
        <f t="shared" si="21"/>
        <v>0</v>
      </c>
      <c r="U45" s="613">
        <f t="shared" si="22"/>
        <v>0</v>
      </c>
    </row>
    <row r="46" spans="1:21" ht="18.75" x14ac:dyDescent="0.25">
      <c r="A46" s="600"/>
      <c r="B46" s="601"/>
      <c r="C46" s="601"/>
      <c r="D46" s="601"/>
      <c r="E46" s="614" t="s">
        <v>21</v>
      </c>
      <c r="F46" s="601"/>
      <c r="G46" s="604"/>
      <c r="H46" s="615" t="s">
        <v>14</v>
      </c>
      <c r="I46" s="606"/>
      <c r="J46" s="606"/>
      <c r="K46" s="607"/>
      <c r="L46" s="616">
        <f t="shared" ca="1" si="23"/>
        <v>595700</v>
      </c>
      <c r="M46" s="617">
        <f t="shared" ca="1" si="23"/>
        <v>766698</v>
      </c>
      <c r="N46" s="617">
        <f t="shared" ca="1" si="23"/>
        <v>477298</v>
      </c>
      <c r="O46" s="617">
        <f t="shared" ca="1" si="18"/>
        <v>80.123887863018297</v>
      </c>
      <c r="P46" s="617">
        <f t="shared" ca="1" si="19"/>
        <v>62.253716587235132</v>
      </c>
      <c r="Q46" s="617">
        <f t="shared" si="24"/>
        <v>0</v>
      </c>
      <c r="R46" s="617">
        <f t="shared" si="24"/>
        <v>0</v>
      </c>
      <c r="S46" s="617">
        <f t="shared" si="24"/>
        <v>0</v>
      </c>
      <c r="T46" s="617">
        <f t="shared" si="21"/>
        <v>0</v>
      </c>
      <c r="U46" s="617">
        <f t="shared" si="22"/>
        <v>0</v>
      </c>
    </row>
    <row r="47" spans="1:21" ht="18.75" x14ac:dyDescent="0.25">
      <c r="A47" s="560"/>
      <c r="B47" s="561"/>
      <c r="C47" s="561"/>
      <c r="D47" s="562" t="s">
        <v>22</v>
      </c>
      <c r="E47" s="561"/>
      <c r="F47" s="561"/>
      <c r="G47" s="563"/>
      <c r="H47" s="564" t="s">
        <v>14</v>
      </c>
      <c r="I47" s="565"/>
      <c r="J47" s="565"/>
      <c r="K47" s="566"/>
      <c r="L47" s="567">
        <f t="shared" ref="L47:N47" ca="1" si="25">L48+L49</f>
        <v>595700</v>
      </c>
      <c r="M47" s="568">
        <f t="shared" ca="1" si="25"/>
        <v>766698</v>
      </c>
      <c r="N47" s="568">
        <f t="shared" ca="1" si="25"/>
        <v>477298</v>
      </c>
      <c r="O47" s="568">
        <f t="shared" ca="1" si="18"/>
        <v>80.123887863018297</v>
      </c>
      <c r="P47" s="568">
        <f t="shared" ca="1" si="19"/>
        <v>62.253716587235132</v>
      </c>
      <c r="Q47" s="568">
        <f t="shared" ref="Q47:S47" si="26">Q48+Q49</f>
        <v>0</v>
      </c>
      <c r="R47" s="568">
        <f t="shared" si="26"/>
        <v>0</v>
      </c>
      <c r="S47" s="568">
        <f t="shared" si="26"/>
        <v>0</v>
      </c>
      <c r="T47" s="568">
        <f t="shared" si="21"/>
        <v>0</v>
      </c>
      <c r="U47" s="568">
        <f t="shared" si="22"/>
        <v>0</v>
      </c>
    </row>
    <row r="48" spans="1:21" ht="18.75" x14ac:dyDescent="0.25">
      <c r="A48" s="560"/>
      <c r="B48" s="561"/>
      <c r="C48" s="561"/>
      <c r="D48" s="561"/>
      <c r="E48" s="569" t="s">
        <v>20</v>
      </c>
      <c r="F48" s="561"/>
      <c r="G48" s="563"/>
      <c r="H48" s="570" t="s">
        <v>14</v>
      </c>
      <c r="I48" s="565"/>
      <c r="J48" s="565"/>
      <c r="K48" s="566"/>
      <c r="L48" s="571">
        <v>0</v>
      </c>
      <c r="M48" s="572">
        <v>0</v>
      </c>
      <c r="N48" s="572">
        <v>0</v>
      </c>
      <c r="O48" s="572">
        <f t="shared" si="18"/>
        <v>0</v>
      </c>
      <c r="P48" s="572">
        <f t="shared" si="19"/>
        <v>0</v>
      </c>
      <c r="Q48" s="572">
        <v>0</v>
      </c>
      <c r="R48" s="572">
        <v>0</v>
      </c>
      <c r="S48" s="572">
        <v>0</v>
      </c>
      <c r="T48" s="572">
        <f t="shared" si="21"/>
        <v>0</v>
      </c>
      <c r="U48" s="572">
        <f t="shared" si="22"/>
        <v>0</v>
      </c>
    </row>
    <row r="49" spans="1:21" ht="18.75" x14ac:dyDescent="0.25">
      <c r="A49" s="560"/>
      <c r="B49" s="561"/>
      <c r="C49" s="561"/>
      <c r="D49" s="561"/>
      <c r="E49" s="573" t="s">
        <v>21</v>
      </c>
      <c r="F49" s="561"/>
      <c r="G49" s="563"/>
      <c r="H49" s="564" t="s">
        <v>14</v>
      </c>
      <c r="I49" s="565"/>
      <c r="J49" s="565"/>
      <c r="K49" s="566"/>
      <c r="L49" s="567">
        <f ca="1">IFERROR(__xludf.DUMMYFUNCTION("IMPORTRANGE(""https://docs.google.com/spreadsheets/d/1-uDff_7J0KD5mKrp0Vvzr7lt3OU09vwQwhkpOPPYv2Y/edit?usp=sharing"",""งบพรบ!P19"")"),595700)</f>
        <v>595700</v>
      </c>
      <c r="M49" s="568">
        <f ca="1">IFERROR(__xludf.DUMMYFUNCTION("IMPORTRANGE(""https://docs.google.com/spreadsheets/d/1-uDff_7J0KD5mKrp0Vvzr7lt3OU09vwQwhkpOPPYv2Y/edit?usp=sharing"",""งบพรบ!V19"")"),766698)</f>
        <v>766698</v>
      </c>
      <c r="N49" s="568">
        <f ca="1">IFERROR(__xludf.DUMMYFUNCTION("IMPORTRANGE(""https://docs.google.com/spreadsheets/d/1-uDff_7J0KD5mKrp0Vvzr7lt3OU09vwQwhkpOPPYv2Y/edit?usp=sharing"",""งบพรบ!Y19"")"),477298)</f>
        <v>477298</v>
      </c>
      <c r="O49" s="568">
        <f t="shared" ca="1" si="18"/>
        <v>80.123887863018297</v>
      </c>
      <c r="P49" s="568">
        <f t="shared" ca="1" si="19"/>
        <v>62.253716587235132</v>
      </c>
      <c r="Q49" s="568">
        <v>0</v>
      </c>
      <c r="R49" s="568">
        <v>0</v>
      </c>
      <c r="S49" s="568">
        <v>0</v>
      </c>
      <c r="T49" s="568">
        <f t="shared" si="21"/>
        <v>0</v>
      </c>
      <c r="U49" s="568">
        <f t="shared" si="22"/>
        <v>0</v>
      </c>
    </row>
    <row r="50" spans="1:21" ht="18.75" x14ac:dyDescent="0.25">
      <c r="A50" s="560"/>
      <c r="B50" s="561"/>
      <c r="C50" s="561"/>
      <c r="D50" s="562" t="s">
        <v>23</v>
      </c>
      <c r="E50" s="561"/>
      <c r="F50" s="561"/>
      <c r="G50" s="563"/>
      <c r="H50" s="564" t="s">
        <v>14</v>
      </c>
      <c r="I50" s="565"/>
      <c r="J50" s="565"/>
      <c r="K50" s="566"/>
      <c r="L50" s="567">
        <f t="shared" ref="L50:N50" ca="1" si="27">L51+L52</f>
        <v>0</v>
      </c>
      <c r="M50" s="568">
        <f t="shared" ca="1" si="27"/>
        <v>0</v>
      </c>
      <c r="N50" s="568">
        <f t="shared" ca="1" si="27"/>
        <v>0</v>
      </c>
      <c r="O50" s="568">
        <f t="shared" ca="1" si="18"/>
        <v>0</v>
      </c>
      <c r="P50" s="568">
        <f t="shared" ca="1" si="19"/>
        <v>0</v>
      </c>
      <c r="Q50" s="568">
        <f t="shared" ref="Q50:S50" si="28">Q51+Q52</f>
        <v>0</v>
      </c>
      <c r="R50" s="568">
        <f t="shared" si="28"/>
        <v>0</v>
      </c>
      <c r="S50" s="568">
        <f t="shared" si="28"/>
        <v>0</v>
      </c>
      <c r="T50" s="568">
        <f t="shared" si="21"/>
        <v>0</v>
      </c>
      <c r="U50" s="568">
        <f t="shared" si="22"/>
        <v>0</v>
      </c>
    </row>
    <row r="51" spans="1:21" ht="18.75" x14ac:dyDescent="0.25">
      <c r="A51" s="560"/>
      <c r="B51" s="561"/>
      <c r="C51" s="561"/>
      <c r="D51" s="561"/>
      <c r="E51" s="569" t="s">
        <v>20</v>
      </c>
      <c r="F51" s="561"/>
      <c r="G51" s="563"/>
      <c r="H51" s="570" t="s">
        <v>14</v>
      </c>
      <c r="I51" s="565"/>
      <c r="J51" s="565"/>
      <c r="K51" s="566"/>
      <c r="L51" s="571">
        <v>0</v>
      </c>
      <c r="M51" s="572">
        <v>0</v>
      </c>
      <c r="N51" s="572">
        <v>0</v>
      </c>
      <c r="O51" s="572">
        <f t="shared" si="18"/>
        <v>0</v>
      </c>
      <c r="P51" s="572">
        <f t="shared" si="19"/>
        <v>0</v>
      </c>
      <c r="Q51" s="572">
        <v>0</v>
      </c>
      <c r="R51" s="572">
        <v>0</v>
      </c>
      <c r="S51" s="572">
        <v>0</v>
      </c>
      <c r="T51" s="572">
        <f t="shared" si="21"/>
        <v>0</v>
      </c>
      <c r="U51" s="572">
        <f t="shared" si="22"/>
        <v>0</v>
      </c>
    </row>
    <row r="52" spans="1:21" ht="18.75" x14ac:dyDescent="0.25">
      <c r="A52" s="560"/>
      <c r="B52" s="561"/>
      <c r="C52" s="561"/>
      <c r="D52" s="561"/>
      <c r="E52" s="573" t="s">
        <v>21</v>
      </c>
      <c r="F52" s="561"/>
      <c r="G52" s="563"/>
      <c r="H52" s="564" t="s">
        <v>14</v>
      </c>
      <c r="I52" s="565"/>
      <c r="J52" s="565"/>
      <c r="K52" s="566"/>
      <c r="L52" s="567">
        <f ca="1">IFERROR(__xludf.DUMMYFUNCTION("IMPORTRANGE(""https://docs.google.com/spreadsheets/d/1-uDff_7J0KD5mKrp0Vvzr7lt3OU09vwQwhkpOPPYv2Y/edit?usp=sharing"",""งบพรบ!S19"")"),0)</f>
        <v>0</v>
      </c>
      <c r="M52" s="568">
        <f ca="1">IFERROR(__xludf.DUMMYFUNCTION("IMPORTRANGE(""https://docs.google.com/spreadsheets/d/1-uDff_7J0KD5mKrp0Vvzr7lt3OU09vwQwhkpOPPYv2Y/edit?usp=sharing"",""งบพรบ!W19"")"),0)</f>
        <v>0</v>
      </c>
      <c r="N52" s="568">
        <f ca="1">IFERROR(__xludf.DUMMYFUNCTION("IMPORTRANGE(""https://docs.google.com/spreadsheets/d/1-uDff_7J0KD5mKrp0Vvzr7lt3OU09vwQwhkpOPPYv2Y/edit?usp=sharing"",""งบพรบ!Z19"")"),0)</f>
        <v>0</v>
      </c>
      <c r="O52" s="568">
        <f t="shared" ca="1" si="18"/>
        <v>0</v>
      </c>
      <c r="P52" s="568">
        <f t="shared" ca="1" si="19"/>
        <v>0</v>
      </c>
      <c r="Q52" s="568">
        <v>0</v>
      </c>
      <c r="R52" s="568">
        <v>0</v>
      </c>
      <c r="S52" s="568">
        <v>0</v>
      </c>
      <c r="T52" s="568">
        <f t="shared" si="21"/>
        <v>0</v>
      </c>
      <c r="U52" s="568">
        <f t="shared" si="22"/>
        <v>0</v>
      </c>
    </row>
    <row r="53" spans="1:21" ht="18.75" x14ac:dyDescent="0.25">
      <c r="A53" s="560"/>
      <c r="B53" s="561"/>
      <c r="C53" s="561"/>
      <c r="D53" s="562" t="s">
        <v>24</v>
      </c>
      <c r="E53" s="561"/>
      <c r="F53" s="561"/>
      <c r="G53" s="563"/>
      <c r="H53" s="564" t="s">
        <v>14</v>
      </c>
      <c r="I53" s="565"/>
      <c r="J53" s="565"/>
      <c r="K53" s="566"/>
      <c r="L53" s="574"/>
      <c r="M53" s="566"/>
      <c r="N53" s="566"/>
      <c r="O53" s="566"/>
      <c r="P53" s="566"/>
      <c r="Q53" s="566"/>
      <c r="R53" s="566"/>
      <c r="S53" s="566"/>
      <c r="T53" s="566"/>
      <c r="U53" s="566"/>
    </row>
    <row r="54" spans="1:21" ht="18.75" x14ac:dyDescent="0.25">
      <c r="A54" s="560"/>
      <c r="B54" s="561"/>
      <c r="C54" s="561"/>
      <c r="D54" s="561"/>
      <c r="E54" s="569" t="s">
        <v>20</v>
      </c>
      <c r="F54" s="561"/>
      <c r="G54" s="563"/>
      <c r="H54" s="570" t="s">
        <v>14</v>
      </c>
      <c r="I54" s="565"/>
      <c r="J54" s="565"/>
      <c r="K54" s="566"/>
      <c r="L54" s="574"/>
      <c r="M54" s="566"/>
      <c r="N54" s="566"/>
      <c r="O54" s="566"/>
      <c r="P54" s="566"/>
      <c r="Q54" s="566"/>
      <c r="R54" s="566"/>
      <c r="S54" s="566"/>
      <c r="T54" s="566"/>
      <c r="U54" s="566"/>
    </row>
    <row r="55" spans="1:21" ht="18.75" x14ac:dyDescent="0.25">
      <c r="A55" s="575"/>
      <c r="B55" s="513"/>
      <c r="C55" s="513"/>
      <c r="D55" s="513"/>
      <c r="E55" s="576" t="s">
        <v>21</v>
      </c>
      <c r="F55" s="513"/>
      <c r="G55" s="577"/>
      <c r="H55" s="578" t="s">
        <v>14</v>
      </c>
      <c r="I55" s="579"/>
      <c r="J55" s="579"/>
      <c r="K55" s="580"/>
      <c r="L55" s="581"/>
      <c r="M55" s="580"/>
      <c r="N55" s="580"/>
      <c r="O55" s="580"/>
      <c r="P55" s="580"/>
      <c r="Q55" s="580"/>
      <c r="R55" s="580"/>
      <c r="S55" s="580"/>
      <c r="T55" s="580"/>
      <c r="U55" s="580"/>
    </row>
    <row r="56" spans="1:21" ht="19.5" x14ac:dyDescent="0.3">
      <c r="A56" s="1319" t="s">
        <v>28</v>
      </c>
      <c r="B56" s="1314"/>
      <c r="C56" s="1314"/>
      <c r="D56" s="1314"/>
      <c r="E56" s="1314"/>
      <c r="F56" s="1314"/>
      <c r="G56" s="1317"/>
      <c r="H56" s="618"/>
      <c r="I56" s="619"/>
      <c r="J56" s="619"/>
      <c r="K56" s="620"/>
      <c r="L56" s="620"/>
      <c r="M56" s="620"/>
      <c r="N56" s="620"/>
      <c r="O56" s="620"/>
      <c r="P56" s="621"/>
      <c r="Q56" s="620"/>
      <c r="R56" s="620"/>
      <c r="S56" s="620"/>
      <c r="T56" s="620"/>
      <c r="U56" s="621"/>
    </row>
    <row r="57" spans="1:21" ht="19.5" x14ac:dyDescent="0.3">
      <c r="A57" s="622"/>
      <c r="B57" s="1320" t="s">
        <v>29</v>
      </c>
      <c r="C57" s="1311"/>
      <c r="D57" s="1311"/>
      <c r="E57" s="1311"/>
      <c r="F57" s="1311"/>
      <c r="G57" s="1312"/>
      <c r="H57" s="625"/>
      <c r="I57" s="626"/>
      <c r="J57" s="626"/>
      <c r="K57" s="627"/>
      <c r="L57" s="628"/>
      <c r="M57" s="627"/>
      <c r="N57" s="627"/>
      <c r="O57" s="627"/>
      <c r="P57" s="627"/>
      <c r="Q57" s="627"/>
      <c r="R57" s="627"/>
      <c r="S57" s="627"/>
      <c r="T57" s="627"/>
      <c r="U57" s="627"/>
    </row>
    <row r="58" spans="1:21" ht="19.5" x14ac:dyDescent="0.3">
      <c r="A58" s="629"/>
      <c r="B58" s="630" t="s">
        <v>30</v>
      </c>
      <c r="C58" s="631"/>
      <c r="D58" s="631"/>
      <c r="E58" s="631"/>
      <c r="F58" s="631"/>
      <c r="G58" s="632"/>
      <c r="H58" s="632"/>
      <c r="I58" s="633"/>
      <c r="J58" s="633"/>
      <c r="K58" s="634"/>
      <c r="L58" s="635"/>
      <c r="M58" s="634"/>
      <c r="N58" s="634"/>
      <c r="O58" s="634"/>
      <c r="P58" s="634"/>
      <c r="Q58" s="634"/>
      <c r="R58" s="634"/>
      <c r="S58" s="634"/>
      <c r="T58" s="634"/>
      <c r="U58" s="634"/>
    </row>
    <row r="59" spans="1:21" ht="19.5" x14ac:dyDescent="0.3">
      <c r="A59" s="636"/>
      <c r="B59" s="637"/>
      <c r="C59" s="638" t="s">
        <v>18</v>
      </c>
      <c r="D59" s="639" t="s">
        <v>19</v>
      </c>
      <c r="E59" s="637"/>
      <c r="F59" s="637"/>
      <c r="G59" s="640"/>
      <c r="H59" s="641" t="s">
        <v>14</v>
      </c>
      <c r="I59" s="642"/>
      <c r="J59" s="642"/>
      <c r="K59" s="643"/>
      <c r="L59" s="644">
        <f t="shared" ref="L59:N59" ca="1" si="29">L60+L61</f>
        <v>15003500</v>
      </c>
      <c r="M59" s="645">
        <f t="shared" ca="1" si="29"/>
        <v>15003500</v>
      </c>
      <c r="N59" s="645">
        <f t="shared" ca="1" si="29"/>
        <v>414505.52</v>
      </c>
      <c r="O59" s="645">
        <f t="shared" ref="O59:O67" ca="1" si="30">IF(L59&gt;0,N59*100/L59,0)</f>
        <v>2.7627254973839439</v>
      </c>
      <c r="P59" s="645">
        <f t="shared" ref="P59:P67" ca="1" si="31">IF(M59&gt;0,N59*100/M59,0)</f>
        <v>2.7627254973839439</v>
      </c>
      <c r="Q59" s="645">
        <f t="shared" ref="Q59:S59" si="32">Q60+Q61</f>
        <v>0</v>
      </c>
      <c r="R59" s="645">
        <f t="shared" si="32"/>
        <v>0</v>
      </c>
      <c r="S59" s="645">
        <f t="shared" si="32"/>
        <v>0</v>
      </c>
      <c r="T59" s="645">
        <f t="shared" ref="T59:T67" si="33">IF(Q59&gt;0,S59*100/Q59,0)</f>
        <v>0</v>
      </c>
      <c r="U59" s="645">
        <f t="shared" ref="U59:U67" si="34">IF(R59&gt;0,S59*100/R59,0)</f>
        <v>0</v>
      </c>
    </row>
    <row r="60" spans="1:21" ht="18.75" x14ac:dyDescent="0.25">
      <c r="A60" s="636"/>
      <c r="B60" s="637"/>
      <c r="C60" s="637"/>
      <c r="D60" s="637"/>
      <c r="E60" s="646" t="s">
        <v>20</v>
      </c>
      <c r="F60" s="637"/>
      <c r="G60" s="640"/>
      <c r="H60" s="647" t="s">
        <v>14</v>
      </c>
      <c r="I60" s="642"/>
      <c r="J60" s="642"/>
      <c r="K60" s="643"/>
      <c r="L60" s="648">
        <f t="shared" ref="L60:N61" si="35">L63+L66</f>
        <v>0</v>
      </c>
      <c r="M60" s="649">
        <f t="shared" si="35"/>
        <v>0</v>
      </c>
      <c r="N60" s="649">
        <f t="shared" si="35"/>
        <v>0</v>
      </c>
      <c r="O60" s="649">
        <f t="shared" si="30"/>
        <v>0</v>
      </c>
      <c r="P60" s="649">
        <f t="shared" si="31"/>
        <v>0</v>
      </c>
      <c r="Q60" s="649">
        <f t="shared" ref="Q60:S61" si="36">Q63+Q66</f>
        <v>0</v>
      </c>
      <c r="R60" s="649">
        <f t="shared" si="36"/>
        <v>0</v>
      </c>
      <c r="S60" s="649">
        <f t="shared" si="36"/>
        <v>0</v>
      </c>
      <c r="T60" s="649">
        <f t="shared" si="33"/>
        <v>0</v>
      </c>
      <c r="U60" s="649">
        <f t="shared" si="34"/>
        <v>0</v>
      </c>
    </row>
    <row r="61" spans="1:21" ht="18.75" x14ac:dyDescent="0.25">
      <c r="A61" s="636"/>
      <c r="B61" s="637"/>
      <c r="C61" s="637"/>
      <c r="D61" s="637"/>
      <c r="E61" s="650" t="s">
        <v>21</v>
      </c>
      <c r="F61" s="637"/>
      <c r="G61" s="640"/>
      <c r="H61" s="651" t="s">
        <v>14</v>
      </c>
      <c r="I61" s="642"/>
      <c r="J61" s="642"/>
      <c r="K61" s="643"/>
      <c r="L61" s="652">
        <f t="shared" ca="1" si="35"/>
        <v>15003500</v>
      </c>
      <c r="M61" s="653">
        <f t="shared" ca="1" si="35"/>
        <v>15003500</v>
      </c>
      <c r="N61" s="653">
        <f t="shared" ca="1" si="35"/>
        <v>414505.52</v>
      </c>
      <c r="O61" s="653">
        <f t="shared" ca="1" si="30"/>
        <v>2.7627254973839439</v>
      </c>
      <c r="P61" s="653">
        <f t="shared" ca="1" si="31"/>
        <v>2.7627254973839439</v>
      </c>
      <c r="Q61" s="653">
        <f t="shared" si="36"/>
        <v>0</v>
      </c>
      <c r="R61" s="653">
        <f t="shared" si="36"/>
        <v>0</v>
      </c>
      <c r="S61" s="653">
        <f t="shared" si="36"/>
        <v>0</v>
      </c>
      <c r="T61" s="653">
        <f t="shared" si="33"/>
        <v>0</v>
      </c>
      <c r="U61" s="653">
        <f t="shared" si="34"/>
        <v>0</v>
      </c>
    </row>
    <row r="62" spans="1:21" ht="18.75" x14ac:dyDescent="0.25">
      <c r="A62" s="560"/>
      <c r="B62" s="561"/>
      <c r="C62" s="561"/>
      <c r="D62" s="562" t="s">
        <v>22</v>
      </c>
      <c r="E62" s="561"/>
      <c r="F62" s="561"/>
      <c r="G62" s="563"/>
      <c r="H62" s="564" t="s">
        <v>14</v>
      </c>
      <c r="I62" s="565"/>
      <c r="J62" s="565"/>
      <c r="K62" s="566"/>
      <c r="L62" s="567">
        <f t="shared" ref="L62:N62" ca="1" si="37">L63+L64</f>
        <v>750800</v>
      </c>
      <c r="M62" s="568">
        <f t="shared" ca="1" si="37"/>
        <v>750800</v>
      </c>
      <c r="N62" s="568">
        <f t="shared" ca="1" si="37"/>
        <v>414505.52</v>
      </c>
      <c r="O62" s="568">
        <f t="shared" ca="1" si="30"/>
        <v>55.20851358550879</v>
      </c>
      <c r="P62" s="568">
        <f t="shared" ca="1" si="31"/>
        <v>55.20851358550879</v>
      </c>
      <c r="Q62" s="568">
        <f t="shared" ref="Q62:S62" si="38">Q63+Q64</f>
        <v>0</v>
      </c>
      <c r="R62" s="568">
        <f t="shared" si="38"/>
        <v>0</v>
      </c>
      <c r="S62" s="568">
        <f t="shared" si="38"/>
        <v>0</v>
      </c>
      <c r="T62" s="568">
        <f t="shared" si="33"/>
        <v>0</v>
      </c>
      <c r="U62" s="568">
        <f t="shared" si="34"/>
        <v>0</v>
      </c>
    </row>
    <row r="63" spans="1:21" ht="18.75" x14ac:dyDescent="0.25">
      <c r="A63" s="560"/>
      <c r="B63" s="561"/>
      <c r="C63" s="561"/>
      <c r="D63" s="561"/>
      <c r="E63" s="569" t="s">
        <v>20</v>
      </c>
      <c r="F63" s="561"/>
      <c r="G63" s="563"/>
      <c r="H63" s="570" t="s">
        <v>14</v>
      </c>
      <c r="I63" s="565"/>
      <c r="J63" s="565"/>
      <c r="K63" s="566"/>
      <c r="L63" s="571">
        <v>0</v>
      </c>
      <c r="M63" s="572">
        <v>0</v>
      </c>
      <c r="N63" s="572">
        <v>0</v>
      </c>
      <c r="O63" s="572">
        <f t="shared" si="30"/>
        <v>0</v>
      </c>
      <c r="P63" s="572">
        <f t="shared" si="31"/>
        <v>0</v>
      </c>
      <c r="Q63" s="572">
        <v>0</v>
      </c>
      <c r="R63" s="572">
        <v>0</v>
      </c>
      <c r="S63" s="572">
        <v>0</v>
      </c>
      <c r="T63" s="572">
        <f t="shared" si="33"/>
        <v>0</v>
      </c>
      <c r="U63" s="572">
        <f t="shared" si="34"/>
        <v>0</v>
      </c>
    </row>
    <row r="64" spans="1:21" ht="18.75" x14ac:dyDescent="0.25">
      <c r="A64" s="560"/>
      <c r="B64" s="561"/>
      <c r="C64" s="561"/>
      <c r="D64" s="561"/>
      <c r="E64" s="573" t="s">
        <v>21</v>
      </c>
      <c r="F64" s="561"/>
      <c r="G64" s="563"/>
      <c r="H64" s="564" t="s">
        <v>14</v>
      </c>
      <c r="I64" s="565"/>
      <c r="J64" s="565"/>
      <c r="K64" s="566"/>
      <c r="L64" s="567">
        <f ca="1">IFERROR(__xludf.DUMMYFUNCTION("IMPORTRANGE(""https://docs.google.com/spreadsheets/d/1-uDff_7J0KD5mKrp0Vvzr7lt3OU09vwQwhkpOPPYv2Y/edit?usp=sharing"",""งบพรบ!AC19"")"),750800)</f>
        <v>750800</v>
      </c>
      <c r="M64" s="568">
        <f ca="1">IFERROR(__xludf.DUMMYFUNCTION("IMPORTRANGE(""https://docs.google.com/spreadsheets/d/1-uDff_7J0KD5mKrp0Vvzr7lt3OU09vwQwhkpOPPYv2Y/edit?usp=sharing"",""งบพรบ!AH19"")"),750800)</f>
        <v>750800</v>
      </c>
      <c r="N64" s="568">
        <f ca="1">IFERROR(__xludf.DUMMYFUNCTION("IMPORTRANGE(""https://docs.google.com/spreadsheets/d/1-uDff_7J0KD5mKrp0Vvzr7lt3OU09vwQwhkpOPPYv2Y/edit?usp=sharing"",""งบพรบ!AJ19"")"),414505.52)</f>
        <v>414505.52</v>
      </c>
      <c r="O64" s="568">
        <f t="shared" ca="1" si="30"/>
        <v>55.20851358550879</v>
      </c>
      <c r="P64" s="568">
        <f t="shared" ca="1" si="31"/>
        <v>55.20851358550879</v>
      </c>
      <c r="Q64" s="568">
        <v>0</v>
      </c>
      <c r="R64" s="568">
        <v>0</v>
      </c>
      <c r="S64" s="568">
        <v>0</v>
      </c>
      <c r="T64" s="568">
        <f t="shared" si="33"/>
        <v>0</v>
      </c>
      <c r="U64" s="568">
        <f t="shared" si="34"/>
        <v>0</v>
      </c>
    </row>
    <row r="65" spans="1:21" ht="18.75" x14ac:dyDescent="0.25">
      <c r="A65" s="560"/>
      <c r="B65" s="561"/>
      <c r="C65" s="561"/>
      <c r="D65" s="562" t="s">
        <v>23</v>
      </c>
      <c r="E65" s="561"/>
      <c r="F65" s="561"/>
      <c r="G65" s="563"/>
      <c r="H65" s="564" t="s">
        <v>14</v>
      </c>
      <c r="I65" s="565"/>
      <c r="J65" s="565"/>
      <c r="K65" s="566"/>
      <c r="L65" s="567">
        <f t="shared" ref="L65:N65" ca="1" si="39">L66+L67</f>
        <v>14252700</v>
      </c>
      <c r="M65" s="568">
        <f t="shared" ca="1" si="39"/>
        <v>14252700</v>
      </c>
      <c r="N65" s="568">
        <f t="shared" ca="1" si="39"/>
        <v>0</v>
      </c>
      <c r="O65" s="568">
        <f t="shared" ca="1" si="30"/>
        <v>0</v>
      </c>
      <c r="P65" s="568">
        <f t="shared" ca="1" si="31"/>
        <v>0</v>
      </c>
      <c r="Q65" s="568">
        <f t="shared" ref="Q65:S65" si="40">Q66+Q67</f>
        <v>0</v>
      </c>
      <c r="R65" s="568">
        <f t="shared" si="40"/>
        <v>0</v>
      </c>
      <c r="S65" s="568">
        <f t="shared" si="40"/>
        <v>0</v>
      </c>
      <c r="T65" s="568">
        <f t="shared" si="33"/>
        <v>0</v>
      </c>
      <c r="U65" s="568">
        <f t="shared" si="34"/>
        <v>0</v>
      </c>
    </row>
    <row r="66" spans="1:21" ht="18.75" x14ac:dyDescent="0.25">
      <c r="A66" s="560"/>
      <c r="B66" s="561"/>
      <c r="C66" s="561"/>
      <c r="D66" s="561"/>
      <c r="E66" s="569" t="s">
        <v>20</v>
      </c>
      <c r="F66" s="561"/>
      <c r="G66" s="563"/>
      <c r="H66" s="570" t="s">
        <v>14</v>
      </c>
      <c r="I66" s="565"/>
      <c r="J66" s="565"/>
      <c r="K66" s="566"/>
      <c r="L66" s="571">
        <v>0</v>
      </c>
      <c r="M66" s="572">
        <v>0</v>
      </c>
      <c r="N66" s="572">
        <v>0</v>
      </c>
      <c r="O66" s="572">
        <f t="shared" si="30"/>
        <v>0</v>
      </c>
      <c r="P66" s="572">
        <f t="shared" si="31"/>
        <v>0</v>
      </c>
      <c r="Q66" s="572">
        <v>0</v>
      </c>
      <c r="R66" s="572">
        <v>0</v>
      </c>
      <c r="S66" s="572">
        <v>0</v>
      </c>
      <c r="T66" s="572">
        <f t="shared" si="33"/>
        <v>0</v>
      </c>
      <c r="U66" s="572">
        <f t="shared" si="34"/>
        <v>0</v>
      </c>
    </row>
    <row r="67" spans="1:21" ht="18.75" x14ac:dyDescent="0.25">
      <c r="A67" s="575"/>
      <c r="B67" s="513"/>
      <c r="C67" s="513"/>
      <c r="D67" s="513"/>
      <c r="E67" s="576" t="s">
        <v>21</v>
      </c>
      <c r="F67" s="513"/>
      <c r="G67" s="577"/>
      <c r="H67" s="578" t="s">
        <v>14</v>
      </c>
      <c r="I67" s="579"/>
      <c r="J67" s="579"/>
      <c r="K67" s="580"/>
      <c r="L67" s="654">
        <f ca="1">IFERROR(__xludf.DUMMYFUNCTION("IMPORTRANGE(""https://docs.google.com/spreadsheets/d/1-uDff_7J0KD5mKrp0Vvzr7lt3OU09vwQwhkpOPPYv2Y/edit?usp=sharing"",""งบพรบ!AF19"")"),14252700)</f>
        <v>14252700</v>
      </c>
      <c r="M67" s="655">
        <f ca="1">IFERROR(__xludf.DUMMYFUNCTION("IMPORTRANGE(""https://docs.google.com/spreadsheets/d/1-uDff_7J0KD5mKrp0Vvzr7lt3OU09vwQwhkpOPPYv2Y/edit?usp=sharing"",""งบพรบ!AI19"")"),14252700)</f>
        <v>14252700</v>
      </c>
      <c r="N67" s="655">
        <f ca="1">IFERROR(__xludf.DUMMYFUNCTION("IMPORTRANGE(""https://docs.google.com/spreadsheets/d/1-uDff_7J0KD5mKrp0Vvzr7lt3OU09vwQwhkpOPPYv2Y/edit?usp=sharing"",""งบพรบ!AK19"")"),0)</f>
        <v>0</v>
      </c>
      <c r="O67" s="655">
        <f t="shared" ca="1" si="30"/>
        <v>0</v>
      </c>
      <c r="P67" s="655">
        <f t="shared" ca="1" si="31"/>
        <v>0</v>
      </c>
      <c r="Q67" s="655">
        <v>0</v>
      </c>
      <c r="R67" s="655">
        <v>0</v>
      </c>
      <c r="S67" s="655">
        <v>0</v>
      </c>
      <c r="T67" s="655">
        <f t="shared" si="33"/>
        <v>0</v>
      </c>
      <c r="U67" s="655">
        <f t="shared" si="34"/>
        <v>0</v>
      </c>
    </row>
    <row r="68" spans="1:21" ht="19.5" x14ac:dyDescent="0.3">
      <c r="A68" s="656" t="s">
        <v>31</v>
      </c>
      <c r="B68" s="657"/>
      <c r="C68" s="657"/>
      <c r="D68" s="657"/>
      <c r="E68" s="658"/>
      <c r="F68" s="658"/>
      <c r="G68" s="658"/>
      <c r="H68" s="658"/>
      <c r="I68" s="659"/>
      <c r="J68" s="659"/>
      <c r="K68" s="660"/>
      <c r="L68" s="660"/>
      <c r="M68" s="660"/>
      <c r="N68" s="660"/>
      <c r="O68" s="660"/>
      <c r="P68" s="661"/>
      <c r="Q68" s="660"/>
      <c r="R68" s="660"/>
      <c r="S68" s="660"/>
      <c r="T68" s="660"/>
      <c r="U68" s="661"/>
    </row>
    <row r="69" spans="1:21" ht="19.5" x14ac:dyDescent="0.3">
      <c r="A69" s="662" t="s">
        <v>32</v>
      </c>
      <c r="B69" s="663"/>
      <c r="C69" s="664"/>
      <c r="D69" s="663"/>
      <c r="E69" s="663"/>
      <c r="F69" s="663"/>
      <c r="G69" s="665"/>
      <c r="H69" s="665"/>
      <c r="I69" s="666"/>
      <c r="J69" s="666"/>
      <c r="K69" s="667"/>
      <c r="L69" s="668"/>
      <c r="M69" s="667"/>
      <c r="N69" s="667"/>
      <c r="O69" s="667"/>
      <c r="P69" s="667"/>
      <c r="Q69" s="667"/>
      <c r="R69" s="667"/>
      <c r="S69" s="667"/>
      <c r="T69" s="667"/>
      <c r="U69" s="667"/>
    </row>
    <row r="70" spans="1:21" ht="19.5" x14ac:dyDescent="0.3">
      <c r="A70" s="669"/>
      <c r="B70" s="544" t="s">
        <v>33</v>
      </c>
      <c r="C70" s="543"/>
      <c r="D70" s="670"/>
      <c r="E70" s="543"/>
      <c r="F70" s="543"/>
      <c r="G70" s="546"/>
      <c r="H70" s="671" t="s">
        <v>34</v>
      </c>
      <c r="I70" s="672">
        <f t="shared" ref="I70:J71" ca="1" si="41">I82</f>
        <v>1</v>
      </c>
      <c r="J70" s="672">
        <f t="shared" si="41"/>
        <v>1</v>
      </c>
      <c r="K70" s="551">
        <f t="shared" ref="K70:K71" ca="1" si="42">IF(I70&gt;0,J70*100/I70,0)</f>
        <v>100</v>
      </c>
      <c r="L70" s="673"/>
      <c r="M70" s="549"/>
      <c r="N70" s="549"/>
      <c r="O70" s="549"/>
      <c r="P70" s="549"/>
      <c r="Q70" s="549"/>
      <c r="R70" s="549"/>
      <c r="S70" s="549"/>
      <c r="T70" s="549"/>
      <c r="U70" s="549"/>
    </row>
    <row r="71" spans="1:21" ht="19.5" x14ac:dyDescent="0.3">
      <c r="A71" s="669"/>
      <c r="B71" s="543"/>
      <c r="C71" s="543"/>
      <c r="D71" s="670"/>
      <c r="E71" s="543"/>
      <c r="F71" s="543"/>
      <c r="G71" s="546"/>
      <c r="H71" s="671" t="s">
        <v>35</v>
      </c>
      <c r="I71" s="672">
        <f t="shared" ca="1" si="41"/>
        <v>40</v>
      </c>
      <c r="J71" s="672">
        <f t="shared" si="41"/>
        <v>40</v>
      </c>
      <c r="K71" s="551">
        <f t="shared" ca="1" si="42"/>
        <v>100</v>
      </c>
      <c r="L71" s="673"/>
      <c r="M71" s="549"/>
      <c r="N71" s="549"/>
      <c r="O71" s="549"/>
      <c r="P71" s="549"/>
      <c r="Q71" s="549"/>
      <c r="R71" s="549"/>
      <c r="S71" s="549"/>
      <c r="T71" s="549"/>
      <c r="U71" s="549"/>
    </row>
    <row r="72" spans="1:21" ht="19.5" x14ac:dyDescent="0.3">
      <c r="A72" s="674"/>
      <c r="B72" s="561"/>
      <c r="C72" s="675" t="s">
        <v>18</v>
      </c>
      <c r="D72" s="676" t="s">
        <v>19</v>
      </c>
      <c r="E72" s="561"/>
      <c r="F72" s="561"/>
      <c r="G72" s="563"/>
      <c r="H72" s="677" t="s">
        <v>14</v>
      </c>
      <c r="I72" s="565"/>
      <c r="J72" s="565"/>
      <c r="K72" s="566"/>
      <c r="L72" s="678">
        <f t="shared" ref="L72:N72" ca="1" si="43">L73+L74</f>
        <v>90000</v>
      </c>
      <c r="M72" s="679">
        <f t="shared" ca="1" si="43"/>
        <v>90000</v>
      </c>
      <c r="N72" s="679">
        <f t="shared" ca="1" si="43"/>
        <v>26000</v>
      </c>
      <c r="O72" s="679">
        <f t="shared" ref="O72:O80" ca="1" si="44">IF(L72&gt;0,N72*100/L72,0)</f>
        <v>28.888888888888889</v>
      </c>
      <c r="P72" s="679">
        <f t="shared" ref="P72:P80" ca="1" si="45">IF(M72&gt;0,N72*100/M72,0)</f>
        <v>28.888888888888889</v>
      </c>
      <c r="Q72" s="679">
        <f t="shared" ref="Q72:S72" ca="1" si="46">Q73+Q74</f>
        <v>447900</v>
      </c>
      <c r="R72" s="679">
        <f t="shared" ca="1" si="46"/>
        <v>447900</v>
      </c>
      <c r="S72" s="679">
        <f t="shared" ca="1" si="46"/>
        <v>66140</v>
      </c>
      <c r="T72" s="679">
        <f t="shared" ref="T72:T80" ca="1" si="47">IF(Q72&gt;0,S72*100/Q72,0)</f>
        <v>14.766688993078812</v>
      </c>
      <c r="U72" s="679">
        <f t="shared" ref="U72:U80" ca="1" si="48">IF(R72&gt;0,S72*100/R72,0)</f>
        <v>14.766688993078812</v>
      </c>
    </row>
    <row r="73" spans="1:21" ht="18.75" x14ac:dyDescent="0.25">
      <c r="A73" s="674"/>
      <c r="B73" s="561"/>
      <c r="C73" s="561"/>
      <c r="D73" s="561"/>
      <c r="E73" s="569" t="s">
        <v>20</v>
      </c>
      <c r="F73" s="561"/>
      <c r="G73" s="563"/>
      <c r="H73" s="680" t="s">
        <v>14</v>
      </c>
      <c r="I73" s="565"/>
      <c r="J73" s="565"/>
      <c r="K73" s="566"/>
      <c r="L73" s="571">
        <f t="shared" ref="L73:N74" si="49">L76+L79</f>
        <v>0</v>
      </c>
      <c r="M73" s="572">
        <f t="shared" si="49"/>
        <v>0</v>
      </c>
      <c r="N73" s="572">
        <f t="shared" si="49"/>
        <v>0</v>
      </c>
      <c r="O73" s="572">
        <f t="shared" si="44"/>
        <v>0</v>
      </c>
      <c r="P73" s="572">
        <f t="shared" si="45"/>
        <v>0</v>
      </c>
      <c r="Q73" s="572">
        <f t="shared" ref="Q73:S74" si="50">Q76+Q79</f>
        <v>0</v>
      </c>
      <c r="R73" s="572">
        <f t="shared" si="50"/>
        <v>0</v>
      </c>
      <c r="S73" s="572">
        <f t="shared" si="50"/>
        <v>0</v>
      </c>
      <c r="T73" s="572">
        <f t="shared" si="47"/>
        <v>0</v>
      </c>
      <c r="U73" s="572">
        <f t="shared" si="48"/>
        <v>0</v>
      </c>
    </row>
    <row r="74" spans="1:21" ht="18.75" x14ac:dyDescent="0.25">
      <c r="A74" s="674"/>
      <c r="B74" s="561"/>
      <c r="C74" s="561"/>
      <c r="D74" s="561"/>
      <c r="E74" s="573" t="s">
        <v>21</v>
      </c>
      <c r="F74" s="561"/>
      <c r="G74" s="563"/>
      <c r="H74" s="681" t="s">
        <v>14</v>
      </c>
      <c r="I74" s="565"/>
      <c r="J74" s="565"/>
      <c r="K74" s="566"/>
      <c r="L74" s="567">
        <f t="shared" ca="1" si="49"/>
        <v>90000</v>
      </c>
      <c r="M74" s="568">
        <f t="shared" ca="1" si="49"/>
        <v>90000</v>
      </c>
      <c r="N74" s="568">
        <f t="shared" ca="1" si="49"/>
        <v>26000</v>
      </c>
      <c r="O74" s="568">
        <f t="shared" ca="1" si="44"/>
        <v>28.888888888888889</v>
      </c>
      <c r="P74" s="568">
        <f t="shared" ca="1" si="45"/>
        <v>28.888888888888889</v>
      </c>
      <c r="Q74" s="568">
        <f t="shared" ca="1" si="50"/>
        <v>447900</v>
      </c>
      <c r="R74" s="568">
        <f t="shared" ca="1" si="50"/>
        <v>447900</v>
      </c>
      <c r="S74" s="568">
        <f t="shared" ca="1" si="50"/>
        <v>66140</v>
      </c>
      <c r="T74" s="568">
        <f t="shared" ca="1" si="47"/>
        <v>14.766688993078812</v>
      </c>
      <c r="U74" s="568">
        <f t="shared" ca="1" si="48"/>
        <v>14.766688993078812</v>
      </c>
    </row>
    <row r="75" spans="1:21" ht="18.75" x14ac:dyDescent="0.25">
      <c r="A75" s="674"/>
      <c r="B75" s="561"/>
      <c r="C75" s="561"/>
      <c r="D75" s="562" t="s">
        <v>22</v>
      </c>
      <c r="E75" s="561"/>
      <c r="F75" s="561"/>
      <c r="G75" s="563"/>
      <c r="H75" s="682" t="s">
        <v>14</v>
      </c>
      <c r="I75" s="683"/>
      <c r="J75" s="683"/>
      <c r="K75" s="684"/>
      <c r="L75" s="567">
        <f t="shared" ref="L75:N75" ca="1" si="51">L76+L77</f>
        <v>90000</v>
      </c>
      <c r="M75" s="568">
        <f t="shared" ca="1" si="51"/>
        <v>90000</v>
      </c>
      <c r="N75" s="568">
        <f t="shared" ca="1" si="51"/>
        <v>26000</v>
      </c>
      <c r="O75" s="568">
        <f t="shared" ca="1" si="44"/>
        <v>28.888888888888889</v>
      </c>
      <c r="P75" s="568">
        <f t="shared" ca="1" si="45"/>
        <v>28.888888888888889</v>
      </c>
      <c r="Q75" s="568">
        <f t="shared" ref="Q75:S75" ca="1" si="52">Q76+Q77</f>
        <v>447900</v>
      </c>
      <c r="R75" s="568">
        <f t="shared" ca="1" si="52"/>
        <v>447900</v>
      </c>
      <c r="S75" s="568">
        <f t="shared" ca="1" si="52"/>
        <v>66140</v>
      </c>
      <c r="T75" s="568">
        <f t="shared" ca="1" si="47"/>
        <v>14.766688993078812</v>
      </c>
      <c r="U75" s="568">
        <f t="shared" ca="1" si="48"/>
        <v>14.766688993078812</v>
      </c>
    </row>
    <row r="76" spans="1:21" ht="18.75" x14ac:dyDescent="0.25">
      <c r="A76" s="674"/>
      <c r="B76" s="561"/>
      <c r="C76" s="561"/>
      <c r="D76" s="561"/>
      <c r="E76" s="569" t="s">
        <v>36</v>
      </c>
      <c r="F76" s="561"/>
      <c r="G76" s="563"/>
      <c r="H76" s="685" t="s">
        <v>14</v>
      </c>
      <c r="I76" s="683"/>
      <c r="J76" s="683"/>
      <c r="K76" s="684"/>
      <c r="L76" s="571">
        <v>0</v>
      </c>
      <c r="M76" s="572">
        <v>0</v>
      </c>
      <c r="N76" s="572">
        <v>0</v>
      </c>
      <c r="O76" s="572">
        <f t="shared" si="44"/>
        <v>0</v>
      </c>
      <c r="P76" s="572">
        <f t="shared" si="45"/>
        <v>0</v>
      </c>
      <c r="Q76" s="572">
        <v>0</v>
      </c>
      <c r="R76" s="572">
        <v>0</v>
      </c>
      <c r="S76" s="572">
        <v>0</v>
      </c>
      <c r="T76" s="572">
        <f t="shared" si="47"/>
        <v>0</v>
      </c>
      <c r="U76" s="572">
        <f t="shared" si="48"/>
        <v>0</v>
      </c>
    </row>
    <row r="77" spans="1:21" ht="18.75" x14ac:dyDescent="0.25">
      <c r="A77" s="674"/>
      <c r="B77" s="561"/>
      <c r="C77" s="561"/>
      <c r="D77" s="561"/>
      <c r="E77" s="573" t="s">
        <v>37</v>
      </c>
      <c r="F77" s="561"/>
      <c r="G77" s="563"/>
      <c r="H77" s="682" t="s">
        <v>14</v>
      </c>
      <c r="I77" s="683"/>
      <c r="J77" s="683"/>
      <c r="K77" s="684"/>
      <c r="L77" s="567">
        <f ca="1">IFERROR(__xludf.DUMMYFUNCTION("IMPORTRANGE(""https://docs.google.com/spreadsheets/d/1-uDff_7J0KD5mKrp0Vvzr7lt3OU09vwQwhkpOPPYv2Y/edit?usp=sharing"",""งบพรบ!AM19"")"),90000)</f>
        <v>90000</v>
      </c>
      <c r="M77" s="568">
        <f ca="1">IFERROR(__xludf.DUMMYFUNCTION("IMPORTRANGE(""https://docs.google.com/spreadsheets/d/1-uDff_7J0KD5mKrp0Vvzr7lt3OU09vwQwhkpOPPYv2Y/edit?usp=sharing"",""งบพรบ!AR19"")"),90000)</f>
        <v>90000</v>
      </c>
      <c r="N77" s="568">
        <f ca="1">IFERROR(__xludf.DUMMYFUNCTION("IMPORTRANGE(""https://docs.google.com/spreadsheets/d/1-uDff_7J0KD5mKrp0Vvzr7lt3OU09vwQwhkpOPPYv2Y/edit?usp=sharing"",""งบพรบ!AT19"")"),26000)</f>
        <v>26000</v>
      </c>
      <c r="O77" s="568">
        <f t="shared" ca="1" si="44"/>
        <v>28.888888888888889</v>
      </c>
      <c r="P77" s="568">
        <f t="shared" ca="1" si="45"/>
        <v>28.888888888888889</v>
      </c>
      <c r="Q77" s="568">
        <f ca="1">IFERROR(__xludf.DUMMYFUNCTION("IMPORTRANGE(""https://docs.google.com/spreadsheets/d/1ItG2mGa2ceCfYo0BwxsXqNm01IGEUdYcSSLTEv9YCik/edit?usp=sharing"",""เบิกจ่ายกองทุน!BH19"")"),447900)</f>
        <v>447900</v>
      </c>
      <c r="R77" s="568">
        <f ca="1">IFERROR(__xludf.DUMMYFUNCTION("IMPORTRANGE(""https://docs.google.com/spreadsheets/d/1ItG2mGa2ceCfYo0BwxsXqNm01IGEUdYcSSLTEv9YCik/edit?usp=sharing"",""เบิกจ่ายกองทุน!BI19"")"),447900)</f>
        <v>447900</v>
      </c>
      <c r="S77" s="568">
        <f ca="1">IFERROR(__xludf.DUMMYFUNCTION("IMPORTRANGE(""https://docs.google.com/spreadsheets/d/1ItG2mGa2ceCfYo0BwxsXqNm01IGEUdYcSSLTEv9YCik/edit?usp=sharing"",""เบิกจ่ายกองทุน!BJ19"")"),66140)</f>
        <v>66140</v>
      </c>
      <c r="T77" s="568">
        <f t="shared" ca="1" si="47"/>
        <v>14.766688993078812</v>
      </c>
      <c r="U77" s="568">
        <f t="shared" ca="1" si="48"/>
        <v>14.766688993078812</v>
      </c>
    </row>
    <row r="78" spans="1:21" ht="18.75" x14ac:dyDescent="0.25">
      <c r="A78" s="674"/>
      <c r="B78" s="561"/>
      <c r="C78" s="561"/>
      <c r="D78" s="562" t="s">
        <v>23</v>
      </c>
      <c r="E78" s="561"/>
      <c r="F78" s="561"/>
      <c r="G78" s="563"/>
      <c r="H78" s="686" t="s">
        <v>14</v>
      </c>
      <c r="I78" s="683"/>
      <c r="J78" s="683"/>
      <c r="K78" s="684"/>
      <c r="L78" s="567">
        <f t="shared" ref="L78:N78" ca="1" si="53">L79+L80</f>
        <v>0</v>
      </c>
      <c r="M78" s="568">
        <f t="shared" ca="1" si="53"/>
        <v>0</v>
      </c>
      <c r="N78" s="568">
        <f t="shared" ca="1" si="53"/>
        <v>0</v>
      </c>
      <c r="O78" s="568">
        <f t="shared" ca="1" si="44"/>
        <v>0</v>
      </c>
      <c r="P78" s="568">
        <f t="shared" ca="1" si="45"/>
        <v>0</v>
      </c>
      <c r="Q78" s="568">
        <f t="shared" ref="Q78:S78" ca="1" si="54">Q79+Q80</f>
        <v>0</v>
      </c>
      <c r="R78" s="568">
        <f t="shared" ca="1" si="54"/>
        <v>0</v>
      </c>
      <c r="S78" s="568">
        <f t="shared" ca="1" si="54"/>
        <v>0</v>
      </c>
      <c r="T78" s="568">
        <f t="shared" ca="1" si="47"/>
        <v>0</v>
      </c>
      <c r="U78" s="568">
        <f t="shared" ca="1" si="48"/>
        <v>0</v>
      </c>
    </row>
    <row r="79" spans="1:21" ht="18.75" x14ac:dyDescent="0.25">
      <c r="A79" s="674"/>
      <c r="B79" s="561"/>
      <c r="C79" s="561"/>
      <c r="D79" s="561"/>
      <c r="E79" s="569" t="s">
        <v>20</v>
      </c>
      <c r="F79" s="561"/>
      <c r="G79" s="563"/>
      <c r="H79" s="685" t="s">
        <v>14</v>
      </c>
      <c r="I79" s="683"/>
      <c r="J79" s="683"/>
      <c r="K79" s="684"/>
      <c r="L79" s="571">
        <v>0</v>
      </c>
      <c r="M79" s="568">
        <v>0</v>
      </c>
      <c r="N79" s="568">
        <v>0</v>
      </c>
      <c r="O79" s="572">
        <f t="shared" si="44"/>
        <v>0</v>
      </c>
      <c r="P79" s="572">
        <f t="shared" si="45"/>
        <v>0</v>
      </c>
      <c r="Q79" s="572">
        <v>0</v>
      </c>
      <c r="R79" s="568">
        <v>0</v>
      </c>
      <c r="S79" s="568">
        <v>0</v>
      </c>
      <c r="T79" s="572">
        <f t="shared" si="47"/>
        <v>0</v>
      </c>
      <c r="U79" s="572">
        <f t="shared" si="48"/>
        <v>0</v>
      </c>
    </row>
    <row r="80" spans="1:21" ht="18.75" x14ac:dyDescent="0.25">
      <c r="A80" s="674"/>
      <c r="B80" s="561"/>
      <c r="C80" s="561"/>
      <c r="D80" s="561"/>
      <c r="E80" s="573" t="s">
        <v>21</v>
      </c>
      <c r="F80" s="561"/>
      <c r="G80" s="563"/>
      <c r="H80" s="686" t="s">
        <v>14</v>
      </c>
      <c r="I80" s="683"/>
      <c r="J80" s="683"/>
      <c r="K80" s="684"/>
      <c r="L80" s="567">
        <f ca="1">IFERROR(__xludf.DUMMYFUNCTION("IMPORTRANGE(""https://docs.google.com/spreadsheets/d/1-uDff_7J0KD5mKrp0Vvzr7lt3OU09vwQwhkpOPPYv2Y/edit?usp=sharing"",""งบพรบ!AP19"")"),0)</f>
        <v>0</v>
      </c>
      <c r="M80" s="568">
        <f ca="1">IFERROR(__xludf.DUMMYFUNCTION("IMPORTRANGE(""https://docs.google.com/spreadsheets/d/1-uDff_7J0KD5mKrp0Vvzr7lt3OU09vwQwhkpOPPYv2Y/edit?usp=sharing"",""งบพรบ!AS19"")"),0)</f>
        <v>0</v>
      </c>
      <c r="N80" s="568">
        <f ca="1">IFERROR(__xludf.DUMMYFUNCTION("IMPORTRANGE(""https://docs.google.com/spreadsheets/d/1-uDff_7J0KD5mKrp0Vvzr7lt3OU09vwQwhkpOPPYv2Y/edit?usp=sharing"",""งบพรบ!AU19"")"),0)</f>
        <v>0</v>
      </c>
      <c r="O80" s="568">
        <f t="shared" ca="1" si="44"/>
        <v>0</v>
      </c>
      <c r="P80" s="568">
        <f t="shared" ca="1" si="45"/>
        <v>0</v>
      </c>
      <c r="Q80" s="568">
        <f ca="1">IFERROR(__xludf.DUMMYFUNCTION("IMPORTRANGE(""https://docs.google.com/spreadsheets/d/1ItG2mGa2ceCfYo0BwxsXqNm01IGEUdYcSSLTEv9YCik/edit?usp=sharing"",""เบิกจ่ายกองทุน!BK19"")"),0)</f>
        <v>0</v>
      </c>
      <c r="R80" s="568">
        <f ca="1">IFERROR(__xludf.DUMMYFUNCTION("IMPORTRANGE(""https://docs.google.com/spreadsheets/d/1ItG2mGa2ceCfYo0BwxsXqNm01IGEUdYcSSLTEv9YCik/edit?usp=sharing"",""เบิกจ่ายกองทุน!BL19"")"),0)</f>
        <v>0</v>
      </c>
      <c r="S80" s="568">
        <f ca="1">IFERROR(__xludf.DUMMYFUNCTION("IMPORTRANGE(""https://docs.google.com/spreadsheets/d/1ItG2mGa2ceCfYo0BwxsXqNm01IGEUdYcSSLTEv9YCik/edit?usp=sharing"",""เบิกจ่ายกองทุน!BM19"")"),0)</f>
        <v>0</v>
      </c>
      <c r="T80" s="568">
        <f t="shared" ca="1" si="47"/>
        <v>0</v>
      </c>
      <c r="U80" s="568">
        <f t="shared" ca="1" si="48"/>
        <v>0</v>
      </c>
    </row>
    <row r="81" spans="1:21" ht="19.5" x14ac:dyDescent="0.3">
      <c r="A81" s="687"/>
      <c r="B81" s="688"/>
      <c r="C81" s="675" t="s">
        <v>18</v>
      </c>
      <c r="D81" s="689" t="s">
        <v>38</v>
      </c>
      <c r="E81" s="690"/>
      <c r="F81" s="690"/>
      <c r="G81" s="691"/>
      <c r="H81" s="692"/>
      <c r="I81" s="683"/>
      <c r="J81" s="683"/>
      <c r="K81" s="684"/>
      <c r="L81" s="693"/>
      <c r="M81" s="684"/>
      <c r="N81" s="684"/>
      <c r="O81" s="684"/>
      <c r="P81" s="684"/>
      <c r="Q81" s="684"/>
      <c r="R81" s="684"/>
      <c r="S81" s="684"/>
      <c r="T81" s="684"/>
      <c r="U81" s="684"/>
    </row>
    <row r="82" spans="1:21" ht="19.5" x14ac:dyDescent="0.3">
      <c r="A82" s="687"/>
      <c r="B82" s="688"/>
      <c r="C82" s="688"/>
      <c r="D82" s="694" t="s">
        <v>39</v>
      </c>
      <c r="E82" s="695"/>
      <c r="F82" s="695"/>
      <c r="G82" s="692"/>
      <c r="H82" s="696" t="s">
        <v>34</v>
      </c>
      <c r="I82" s="697">
        <f t="shared" ref="I82:J83" ca="1" si="55">I84+I86+I88</f>
        <v>1</v>
      </c>
      <c r="J82" s="697">
        <f t="shared" si="55"/>
        <v>1</v>
      </c>
      <c r="K82" s="698">
        <f t="shared" ref="K82:K90" ca="1" si="56">IF(I82&gt;0,J82*100/I82,0)</f>
        <v>100</v>
      </c>
      <c r="L82" s="693"/>
      <c r="M82" s="684"/>
      <c r="N82" s="684"/>
      <c r="O82" s="684"/>
      <c r="P82" s="684"/>
      <c r="Q82" s="684"/>
      <c r="R82" s="684"/>
      <c r="S82" s="684"/>
      <c r="T82" s="684"/>
      <c r="U82" s="684"/>
    </row>
    <row r="83" spans="1:21" ht="19.5" x14ac:dyDescent="0.3">
      <c r="A83" s="687"/>
      <c r="B83" s="688"/>
      <c r="C83" s="688"/>
      <c r="D83" s="688"/>
      <c r="E83" s="695"/>
      <c r="F83" s="695"/>
      <c r="G83" s="692"/>
      <c r="H83" s="696" t="s">
        <v>35</v>
      </c>
      <c r="I83" s="697">
        <f t="shared" ca="1" si="55"/>
        <v>40</v>
      </c>
      <c r="J83" s="697">
        <f t="shared" si="55"/>
        <v>40</v>
      </c>
      <c r="K83" s="698">
        <f t="shared" ca="1" si="56"/>
        <v>100</v>
      </c>
      <c r="L83" s="693"/>
      <c r="M83" s="684"/>
      <c r="N83" s="684"/>
      <c r="O83" s="684"/>
      <c r="P83" s="684"/>
      <c r="Q83" s="684"/>
      <c r="R83" s="684"/>
      <c r="S83" s="684"/>
      <c r="T83" s="684"/>
      <c r="U83" s="684"/>
    </row>
    <row r="84" spans="1:21" ht="18.75" x14ac:dyDescent="0.25">
      <c r="A84" s="687"/>
      <c r="B84" s="688"/>
      <c r="C84" s="688"/>
      <c r="D84" s="688"/>
      <c r="E84" s="699" t="s">
        <v>40</v>
      </c>
      <c r="F84" s="695"/>
      <c r="G84" s="692"/>
      <c r="H84" s="700" t="s">
        <v>34</v>
      </c>
      <c r="I84" s="701">
        <f ca="1">IFERROR(__xludf.DUMMYFUNCTION("IMPORTRANGE(""https://docs.google.com/spreadsheets/d/1eHaY18a8A9IcSdp1K8H6x8fbOy06t2VsZHhMHf-1x7Y/edit?usp=sharing"",""แผน!H19"")"),0)</f>
        <v>0</v>
      </c>
      <c r="J84" s="702">
        <v>0</v>
      </c>
      <c r="K84" s="703">
        <f t="shared" ca="1" si="56"/>
        <v>0</v>
      </c>
      <c r="L84" s="693"/>
      <c r="M84" s="684"/>
      <c r="N84" s="684"/>
      <c r="O84" s="684"/>
      <c r="P84" s="684"/>
      <c r="Q84" s="684"/>
      <c r="R84" s="684"/>
      <c r="S84" s="684"/>
      <c r="T84" s="684"/>
      <c r="U84" s="684"/>
    </row>
    <row r="85" spans="1:21" ht="18.75" x14ac:dyDescent="0.25">
      <c r="A85" s="687"/>
      <c r="B85" s="688"/>
      <c r="C85" s="688"/>
      <c r="D85" s="688"/>
      <c r="E85" s="695"/>
      <c r="F85" s="695"/>
      <c r="G85" s="692"/>
      <c r="H85" s="700" t="s">
        <v>35</v>
      </c>
      <c r="I85" s="701">
        <f ca="1">IFERROR(__xludf.DUMMYFUNCTION("IMPORTRANGE(""https://docs.google.com/spreadsheets/d/1eHaY18a8A9IcSdp1K8H6x8fbOy06t2VsZHhMHf-1x7Y/edit?usp=sharing"",""แผน!I19"")"),0)</f>
        <v>0</v>
      </c>
      <c r="J85" s="702">
        <v>0</v>
      </c>
      <c r="K85" s="703">
        <f t="shared" ca="1" si="56"/>
        <v>0</v>
      </c>
      <c r="L85" s="693"/>
      <c r="M85" s="684"/>
      <c r="N85" s="684"/>
      <c r="O85" s="684"/>
      <c r="P85" s="684"/>
      <c r="Q85" s="684"/>
      <c r="R85" s="684"/>
      <c r="S85" s="684"/>
      <c r="T85" s="684"/>
      <c r="U85" s="684"/>
    </row>
    <row r="86" spans="1:21" ht="18.75" x14ac:dyDescent="0.25">
      <c r="A86" s="687"/>
      <c r="B86" s="688"/>
      <c r="C86" s="688"/>
      <c r="D86" s="688"/>
      <c r="E86" s="699" t="s">
        <v>41</v>
      </c>
      <c r="F86" s="695"/>
      <c r="G86" s="692"/>
      <c r="H86" s="700" t="s">
        <v>34</v>
      </c>
      <c r="I86" s="701">
        <f ca="1">IFERROR(__xludf.DUMMYFUNCTION("IMPORTRANGE(""https://docs.google.com/spreadsheets/d/1eHaY18a8A9IcSdp1K8H6x8fbOy06t2VsZHhMHf-1x7Y/edit?usp=sharing"",""แผน!F19"")"),1)</f>
        <v>1</v>
      </c>
      <c r="J86" s="702">
        <v>1</v>
      </c>
      <c r="K86" s="703">
        <f t="shared" ca="1" si="56"/>
        <v>100</v>
      </c>
      <c r="L86" s="693"/>
      <c r="M86" s="684"/>
      <c r="N86" s="684"/>
      <c r="O86" s="684"/>
      <c r="P86" s="684"/>
      <c r="Q86" s="684"/>
      <c r="R86" s="684"/>
      <c r="S86" s="684"/>
      <c r="T86" s="684"/>
      <c r="U86" s="684"/>
    </row>
    <row r="87" spans="1:21" ht="18.75" x14ac:dyDescent="0.25">
      <c r="A87" s="687"/>
      <c r="B87" s="688"/>
      <c r="C87" s="688"/>
      <c r="D87" s="688"/>
      <c r="E87" s="695"/>
      <c r="F87" s="695"/>
      <c r="G87" s="692"/>
      <c r="H87" s="700" t="s">
        <v>35</v>
      </c>
      <c r="I87" s="701">
        <f ca="1">IFERROR(__xludf.DUMMYFUNCTION("IMPORTRANGE(""https://docs.google.com/spreadsheets/d/1eHaY18a8A9IcSdp1K8H6x8fbOy06t2VsZHhMHf-1x7Y/edit?usp=sharing"",""แผน!G19"")"),40)</f>
        <v>40</v>
      </c>
      <c r="J87" s="702">
        <v>40</v>
      </c>
      <c r="K87" s="703">
        <f t="shared" ca="1" si="56"/>
        <v>100</v>
      </c>
      <c r="L87" s="693"/>
      <c r="M87" s="684"/>
      <c r="N87" s="684"/>
      <c r="O87" s="684"/>
      <c r="P87" s="684"/>
      <c r="Q87" s="684"/>
      <c r="R87" s="684"/>
      <c r="S87" s="684"/>
      <c r="T87" s="684"/>
      <c r="U87" s="684"/>
    </row>
    <row r="88" spans="1:21" ht="18.75" x14ac:dyDescent="0.25">
      <c r="A88" s="687"/>
      <c r="B88" s="688"/>
      <c r="C88" s="688"/>
      <c r="D88" s="688"/>
      <c r="E88" s="699" t="s">
        <v>42</v>
      </c>
      <c r="F88" s="695"/>
      <c r="G88" s="692"/>
      <c r="H88" s="700" t="s">
        <v>34</v>
      </c>
      <c r="I88" s="701">
        <f ca="1">IFERROR(__xludf.DUMMYFUNCTION("IMPORTRANGE(""https://docs.google.com/spreadsheets/d/1eHaY18a8A9IcSdp1K8H6x8fbOy06t2VsZHhMHf-1x7Y/edit?usp=sharing"",""แผน!D19"")"),0)</f>
        <v>0</v>
      </c>
      <c r="J88" s="702">
        <v>0</v>
      </c>
      <c r="K88" s="703">
        <f t="shared" ca="1" si="56"/>
        <v>0</v>
      </c>
      <c r="L88" s="693"/>
      <c r="M88" s="684"/>
      <c r="N88" s="684"/>
      <c r="O88" s="684"/>
      <c r="P88" s="684"/>
      <c r="Q88" s="684"/>
      <c r="R88" s="684"/>
      <c r="S88" s="684"/>
      <c r="T88" s="684"/>
      <c r="U88" s="684"/>
    </row>
    <row r="89" spans="1:21" ht="18.75" x14ac:dyDescent="0.25">
      <c r="A89" s="687"/>
      <c r="B89" s="688"/>
      <c r="C89" s="688"/>
      <c r="D89" s="688"/>
      <c r="E89" s="695"/>
      <c r="F89" s="695"/>
      <c r="G89" s="692"/>
      <c r="H89" s="700" t="s">
        <v>35</v>
      </c>
      <c r="I89" s="701">
        <f ca="1">IFERROR(__xludf.DUMMYFUNCTION("IMPORTRANGE(""https://docs.google.com/spreadsheets/d/1eHaY18a8A9IcSdp1K8H6x8fbOy06t2VsZHhMHf-1x7Y/edit?usp=sharing"",""แผน!E19"")"),0)</f>
        <v>0</v>
      </c>
      <c r="J89" s="702">
        <v>0</v>
      </c>
      <c r="K89" s="703">
        <f t="shared" ca="1" si="56"/>
        <v>0</v>
      </c>
      <c r="L89" s="693"/>
      <c r="M89" s="684"/>
      <c r="N89" s="684"/>
      <c r="O89" s="684"/>
      <c r="P89" s="684"/>
      <c r="Q89" s="684"/>
      <c r="R89" s="684"/>
      <c r="S89" s="684"/>
      <c r="T89" s="684"/>
      <c r="U89" s="684"/>
    </row>
    <row r="90" spans="1:21" ht="18.75" x14ac:dyDescent="0.25">
      <c r="A90" s="687"/>
      <c r="B90" s="688"/>
      <c r="C90" s="688"/>
      <c r="D90" s="694" t="s">
        <v>43</v>
      </c>
      <c r="E90" s="695"/>
      <c r="F90" s="695"/>
      <c r="G90" s="692"/>
      <c r="H90" s="704" t="s">
        <v>34</v>
      </c>
      <c r="I90" s="701">
        <f ca="1">IFERROR(__xludf.DUMMYFUNCTION("IMPORTRANGE(""https://docs.google.com/spreadsheets/d/1eHaY18a8A9IcSdp1K8H6x8fbOy06t2VsZHhMHf-1x7Y/edit?usp=sharing"",""แผน!J19"")"),1)</f>
        <v>1</v>
      </c>
      <c r="J90" s="702">
        <v>0</v>
      </c>
      <c r="K90" s="703">
        <f t="shared" ca="1" si="56"/>
        <v>0</v>
      </c>
      <c r="L90" s="693"/>
      <c r="M90" s="684"/>
      <c r="N90" s="684"/>
      <c r="O90" s="684"/>
      <c r="P90" s="684"/>
      <c r="Q90" s="684"/>
      <c r="R90" s="684"/>
      <c r="S90" s="684"/>
      <c r="T90" s="684"/>
      <c r="U90" s="684"/>
    </row>
    <row r="91" spans="1:21" ht="19.5" x14ac:dyDescent="0.3">
      <c r="A91" s="662" t="s">
        <v>44</v>
      </c>
      <c r="B91" s="663"/>
      <c r="C91" s="664"/>
      <c r="D91" s="663"/>
      <c r="E91" s="663"/>
      <c r="F91" s="663"/>
      <c r="G91" s="665"/>
      <c r="H91" s="665"/>
      <c r="I91" s="666"/>
      <c r="J91" s="666"/>
      <c r="K91" s="667"/>
      <c r="L91" s="668"/>
      <c r="M91" s="667"/>
      <c r="N91" s="667"/>
      <c r="O91" s="667"/>
      <c r="P91" s="667"/>
      <c r="Q91" s="667"/>
      <c r="R91" s="667"/>
      <c r="S91" s="667"/>
      <c r="T91" s="667"/>
      <c r="U91" s="667"/>
    </row>
    <row r="92" spans="1:21" ht="19.5" x14ac:dyDescent="0.3">
      <c r="A92" s="669"/>
      <c r="B92" s="544" t="s">
        <v>45</v>
      </c>
      <c r="C92" s="543"/>
      <c r="D92" s="670"/>
      <c r="E92" s="543"/>
      <c r="F92" s="543"/>
      <c r="G92" s="546"/>
      <c r="H92" s="671" t="s">
        <v>46</v>
      </c>
      <c r="I92" s="672">
        <f t="shared" ref="I92:J93" ca="1" si="57">I108</f>
        <v>60</v>
      </c>
      <c r="J92" s="672">
        <f t="shared" si="57"/>
        <v>0</v>
      </c>
      <c r="K92" s="551">
        <f t="shared" ref="K92:K93" ca="1" si="58">IF(I92&gt;0,J92*100/I92,0)</f>
        <v>0</v>
      </c>
      <c r="L92" s="673"/>
      <c r="M92" s="549"/>
      <c r="N92" s="549"/>
      <c r="O92" s="549"/>
      <c r="P92" s="549"/>
      <c r="Q92" s="549"/>
      <c r="R92" s="549"/>
      <c r="S92" s="549"/>
      <c r="T92" s="549"/>
      <c r="U92" s="549"/>
    </row>
    <row r="93" spans="1:21" ht="19.5" x14ac:dyDescent="0.3">
      <c r="A93" s="669"/>
      <c r="B93" s="543"/>
      <c r="C93" s="543"/>
      <c r="D93" s="670"/>
      <c r="E93" s="543"/>
      <c r="F93" s="543"/>
      <c r="G93" s="546"/>
      <c r="H93" s="671" t="s">
        <v>35</v>
      </c>
      <c r="I93" s="672">
        <f t="shared" ca="1" si="57"/>
        <v>20</v>
      </c>
      <c r="J93" s="672">
        <f t="shared" si="57"/>
        <v>20</v>
      </c>
      <c r="K93" s="551">
        <f t="shared" ca="1" si="58"/>
        <v>100</v>
      </c>
      <c r="L93" s="673"/>
      <c r="M93" s="549"/>
      <c r="N93" s="549"/>
      <c r="O93" s="549"/>
      <c r="P93" s="549"/>
      <c r="Q93" s="549"/>
      <c r="R93" s="549"/>
      <c r="S93" s="549"/>
      <c r="T93" s="549"/>
      <c r="U93" s="549"/>
    </row>
    <row r="94" spans="1:21" ht="19.5" x14ac:dyDescent="0.3">
      <c r="A94" s="674"/>
      <c r="B94" s="561"/>
      <c r="C94" s="675" t="s">
        <v>18</v>
      </c>
      <c r="D94" s="676" t="s">
        <v>19</v>
      </c>
      <c r="E94" s="561"/>
      <c r="F94" s="561"/>
      <c r="G94" s="563"/>
      <c r="H94" s="677" t="s">
        <v>14</v>
      </c>
      <c r="I94" s="565"/>
      <c r="J94" s="565"/>
      <c r="K94" s="566"/>
      <c r="L94" s="678">
        <f t="shared" ref="L94:N94" ca="1" si="59">L95+L96</f>
        <v>0</v>
      </c>
      <c r="M94" s="679">
        <f t="shared" ca="1" si="59"/>
        <v>39000</v>
      </c>
      <c r="N94" s="679">
        <f t="shared" ca="1" si="59"/>
        <v>0</v>
      </c>
      <c r="O94" s="679">
        <f t="shared" ref="O94:O102" ca="1" si="60">IF(L94&gt;0,N94*100/L94,0)</f>
        <v>0</v>
      </c>
      <c r="P94" s="679">
        <f t="shared" ref="P94:P102" ca="1" si="61">IF(M94&gt;0,N94*100/M94,0)</f>
        <v>0</v>
      </c>
      <c r="Q94" s="679">
        <f t="shared" ref="Q94:S94" ca="1" si="62">Q95+Q96</f>
        <v>129840</v>
      </c>
      <c r="R94" s="679">
        <f t="shared" ca="1" si="62"/>
        <v>129840</v>
      </c>
      <c r="S94" s="679">
        <f t="shared" ca="1" si="62"/>
        <v>45320</v>
      </c>
      <c r="T94" s="679">
        <f t="shared" ref="T94:T102" ca="1" si="63">IF(Q94&gt;0,S94*100/Q94,0)</f>
        <v>34.904497843499691</v>
      </c>
      <c r="U94" s="679">
        <f t="shared" ref="U94:U102" ca="1" si="64">IF(R94&gt;0,S94*100/R94,0)</f>
        <v>34.904497843499691</v>
      </c>
    </row>
    <row r="95" spans="1:21" ht="18.75" x14ac:dyDescent="0.25">
      <c r="A95" s="674"/>
      <c r="B95" s="561"/>
      <c r="C95" s="561"/>
      <c r="D95" s="561"/>
      <c r="E95" s="569" t="s">
        <v>20</v>
      </c>
      <c r="F95" s="561"/>
      <c r="G95" s="563"/>
      <c r="H95" s="680" t="s">
        <v>14</v>
      </c>
      <c r="I95" s="565"/>
      <c r="J95" s="565"/>
      <c r="K95" s="566"/>
      <c r="L95" s="571">
        <f t="shared" ref="L95:N96" si="65">L98+L101</f>
        <v>0</v>
      </c>
      <c r="M95" s="572">
        <f t="shared" si="65"/>
        <v>0</v>
      </c>
      <c r="N95" s="572">
        <f t="shared" si="65"/>
        <v>0</v>
      </c>
      <c r="O95" s="572">
        <f t="shared" si="60"/>
        <v>0</v>
      </c>
      <c r="P95" s="572">
        <f t="shared" si="61"/>
        <v>0</v>
      </c>
      <c r="Q95" s="572">
        <f t="shared" ref="Q95:S96" si="66">Q98+Q101</f>
        <v>0</v>
      </c>
      <c r="R95" s="572">
        <f t="shared" si="66"/>
        <v>0</v>
      </c>
      <c r="S95" s="572">
        <f t="shared" si="66"/>
        <v>0</v>
      </c>
      <c r="T95" s="572">
        <f t="shared" si="63"/>
        <v>0</v>
      </c>
      <c r="U95" s="572">
        <f t="shared" si="64"/>
        <v>0</v>
      </c>
    </row>
    <row r="96" spans="1:21" ht="18.75" x14ac:dyDescent="0.25">
      <c r="A96" s="674"/>
      <c r="B96" s="561"/>
      <c r="C96" s="561"/>
      <c r="D96" s="561"/>
      <c r="E96" s="573" t="s">
        <v>21</v>
      </c>
      <c r="F96" s="561"/>
      <c r="G96" s="563"/>
      <c r="H96" s="681" t="s">
        <v>14</v>
      </c>
      <c r="I96" s="565"/>
      <c r="J96" s="565"/>
      <c r="K96" s="566"/>
      <c r="L96" s="567">
        <f t="shared" ca="1" si="65"/>
        <v>0</v>
      </c>
      <c r="M96" s="568">
        <f t="shared" ca="1" si="65"/>
        <v>39000</v>
      </c>
      <c r="N96" s="568">
        <f t="shared" ca="1" si="65"/>
        <v>0</v>
      </c>
      <c r="O96" s="568">
        <f t="shared" ca="1" si="60"/>
        <v>0</v>
      </c>
      <c r="P96" s="568">
        <f t="shared" ca="1" si="61"/>
        <v>0</v>
      </c>
      <c r="Q96" s="568">
        <f t="shared" ca="1" si="66"/>
        <v>129840</v>
      </c>
      <c r="R96" s="568">
        <f t="shared" ca="1" si="66"/>
        <v>129840</v>
      </c>
      <c r="S96" s="568">
        <f t="shared" ca="1" si="66"/>
        <v>45320</v>
      </c>
      <c r="T96" s="568">
        <f t="shared" ca="1" si="63"/>
        <v>34.904497843499691</v>
      </c>
      <c r="U96" s="568">
        <f t="shared" ca="1" si="64"/>
        <v>34.904497843499691</v>
      </c>
    </row>
    <row r="97" spans="1:21" ht="18.75" x14ac:dyDescent="0.25">
      <c r="A97" s="674"/>
      <c r="B97" s="561"/>
      <c r="C97" s="561"/>
      <c r="D97" s="562" t="s">
        <v>22</v>
      </c>
      <c r="E97" s="561"/>
      <c r="F97" s="561"/>
      <c r="G97" s="563"/>
      <c r="H97" s="682" t="s">
        <v>14</v>
      </c>
      <c r="I97" s="683"/>
      <c r="J97" s="683"/>
      <c r="K97" s="684"/>
      <c r="L97" s="567">
        <f t="shared" ref="L97:N97" ca="1" si="67">L98+L99</f>
        <v>0</v>
      </c>
      <c r="M97" s="568">
        <f t="shared" ca="1" si="67"/>
        <v>39000</v>
      </c>
      <c r="N97" s="568">
        <f t="shared" ca="1" si="67"/>
        <v>0</v>
      </c>
      <c r="O97" s="568">
        <f t="shared" ca="1" si="60"/>
        <v>0</v>
      </c>
      <c r="P97" s="568">
        <f t="shared" ca="1" si="61"/>
        <v>0</v>
      </c>
      <c r="Q97" s="568">
        <f t="shared" ref="Q97:S97" ca="1" si="68">Q98+Q99</f>
        <v>129840</v>
      </c>
      <c r="R97" s="568">
        <f t="shared" ca="1" si="68"/>
        <v>129840</v>
      </c>
      <c r="S97" s="568">
        <f t="shared" ca="1" si="68"/>
        <v>45320</v>
      </c>
      <c r="T97" s="568">
        <f t="shared" ca="1" si="63"/>
        <v>34.904497843499691</v>
      </c>
      <c r="U97" s="568">
        <f t="shared" ca="1" si="64"/>
        <v>34.904497843499691</v>
      </c>
    </row>
    <row r="98" spans="1:21" ht="18.75" x14ac:dyDescent="0.25">
      <c r="A98" s="674"/>
      <c r="B98" s="561"/>
      <c r="C98" s="561"/>
      <c r="D98" s="561"/>
      <c r="E98" s="569" t="s">
        <v>36</v>
      </c>
      <c r="F98" s="561"/>
      <c r="G98" s="563"/>
      <c r="H98" s="685" t="s">
        <v>14</v>
      </c>
      <c r="I98" s="683"/>
      <c r="J98" s="683"/>
      <c r="K98" s="684"/>
      <c r="L98" s="571">
        <v>0</v>
      </c>
      <c r="M98" s="572">
        <v>0</v>
      </c>
      <c r="N98" s="572">
        <v>0</v>
      </c>
      <c r="O98" s="572">
        <f t="shared" si="60"/>
        <v>0</v>
      </c>
      <c r="P98" s="572">
        <f t="shared" si="61"/>
        <v>0</v>
      </c>
      <c r="Q98" s="572">
        <v>0</v>
      </c>
      <c r="R98" s="572">
        <v>0</v>
      </c>
      <c r="S98" s="572">
        <v>0</v>
      </c>
      <c r="T98" s="572">
        <f t="shared" si="63"/>
        <v>0</v>
      </c>
      <c r="U98" s="572">
        <f t="shared" si="64"/>
        <v>0</v>
      </c>
    </row>
    <row r="99" spans="1:21" ht="18.75" x14ac:dyDescent="0.25">
      <c r="A99" s="674"/>
      <c r="B99" s="561"/>
      <c r="C99" s="561"/>
      <c r="D99" s="561"/>
      <c r="E99" s="573" t="s">
        <v>37</v>
      </c>
      <c r="F99" s="561"/>
      <c r="G99" s="563"/>
      <c r="H99" s="682" t="s">
        <v>14</v>
      </c>
      <c r="I99" s="683"/>
      <c r="J99" s="683"/>
      <c r="K99" s="684"/>
      <c r="L99" s="567">
        <f ca="1">IFERROR(__xludf.DUMMYFUNCTION("IMPORTRANGE(""https://docs.google.com/spreadsheets/d/1-uDff_7J0KD5mKrp0Vvzr7lt3OU09vwQwhkpOPPYv2Y/edit?usp=sharing"",""งบพรบ!AW19"")"),0)</f>
        <v>0</v>
      </c>
      <c r="M99" s="568">
        <f ca="1">IFERROR(__xludf.DUMMYFUNCTION("IMPORTRANGE(""https://docs.google.com/spreadsheets/d/1-uDff_7J0KD5mKrp0Vvzr7lt3OU09vwQwhkpOPPYv2Y/edit?usp=sharing"",""งบพรบ!BB19"")"),39000)</f>
        <v>39000</v>
      </c>
      <c r="N99" s="568">
        <f ca="1">IFERROR(__xludf.DUMMYFUNCTION("IMPORTRANGE(""https://docs.google.com/spreadsheets/d/1-uDff_7J0KD5mKrp0Vvzr7lt3OU09vwQwhkpOPPYv2Y/edit?usp=sharing"",""งบพรบ!BD19"")"),0)</f>
        <v>0</v>
      </c>
      <c r="O99" s="568">
        <f t="shared" ca="1" si="60"/>
        <v>0</v>
      </c>
      <c r="P99" s="568">
        <f t="shared" ca="1" si="61"/>
        <v>0</v>
      </c>
      <c r="Q99" s="568">
        <f ca="1">IFERROR(__xludf.DUMMYFUNCTION("IMPORTRANGE(""https://docs.google.com/spreadsheets/d/1ItG2mGa2ceCfYo0BwxsXqNm01IGEUdYcSSLTEv9YCik/edit?usp=sharing"",""เบิกจ่ายกองทุน!AJ19"")"),129840)</f>
        <v>129840</v>
      </c>
      <c r="R99" s="568">
        <f ca="1">IFERROR(__xludf.DUMMYFUNCTION("IMPORTRANGE(""https://docs.google.com/spreadsheets/d/1ItG2mGa2ceCfYo0BwxsXqNm01IGEUdYcSSLTEv9YCik/edit?usp=sharing"",""เบิกจ่ายกองทุน!AK19"")"),129840)</f>
        <v>129840</v>
      </c>
      <c r="S99" s="568">
        <f ca="1">IFERROR(__xludf.DUMMYFUNCTION("IMPORTRANGE(""https://docs.google.com/spreadsheets/d/1ItG2mGa2ceCfYo0BwxsXqNm01IGEUdYcSSLTEv9YCik/edit?usp=sharing"",""เบิกจ่ายกองทุน!AL19"")"),45320)</f>
        <v>45320</v>
      </c>
      <c r="T99" s="568">
        <f t="shared" ca="1" si="63"/>
        <v>34.904497843499691</v>
      </c>
      <c r="U99" s="568">
        <f t="shared" ca="1" si="64"/>
        <v>34.904497843499691</v>
      </c>
    </row>
    <row r="100" spans="1:21" ht="18.75" x14ac:dyDescent="0.25">
      <c r="A100" s="674"/>
      <c r="B100" s="561"/>
      <c r="C100" s="561"/>
      <c r="D100" s="562" t="s">
        <v>23</v>
      </c>
      <c r="E100" s="561"/>
      <c r="F100" s="561"/>
      <c r="G100" s="563"/>
      <c r="H100" s="686" t="s">
        <v>14</v>
      </c>
      <c r="I100" s="683"/>
      <c r="J100" s="683"/>
      <c r="K100" s="684"/>
      <c r="L100" s="567">
        <f t="shared" ref="L100:N100" ca="1" si="69">L101+L102</f>
        <v>0</v>
      </c>
      <c r="M100" s="568">
        <f t="shared" ca="1" si="69"/>
        <v>0</v>
      </c>
      <c r="N100" s="568">
        <f t="shared" ca="1" si="69"/>
        <v>0</v>
      </c>
      <c r="O100" s="568">
        <f t="shared" ca="1" si="60"/>
        <v>0</v>
      </c>
      <c r="P100" s="568">
        <f t="shared" ca="1" si="61"/>
        <v>0</v>
      </c>
      <c r="Q100" s="568">
        <f t="shared" ref="Q100:S100" si="70">Q101+Q102</f>
        <v>0</v>
      </c>
      <c r="R100" s="568">
        <f t="shared" si="70"/>
        <v>0</v>
      </c>
      <c r="S100" s="568">
        <f t="shared" si="70"/>
        <v>0</v>
      </c>
      <c r="T100" s="568">
        <f t="shared" si="63"/>
        <v>0</v>
      </c>
      <c r="U100" s="568">
        <f t="shared" si="64"/>
        <v>0</v>
      </c>
    </row>
    <row r="101" spans="1:21" ht="18.75" x14ac:dyDescent="0.25">
      <c r="A101" s="674"/>
      <c r="B101" s="561"/>
      <c r="C101" s="561"/>
      <c r="D101" s="561"/>
      <c r="E101" s="569" t="s">
        <v>20</v>
      </c>
      <c r="F101" s="561"/>
      <c r="G101" s="563"/>
      <c r="H101" s="685" t="s">
        <v>14</v>
      </c>
      <c r="I101" s="683"/>
      <c r="J101" s="683"/>
      <c r="K101" s="684"/>
      <c r="L101" s="571">
        <v>0</v>
      </c>
      <c r="M101" s="572">
        <v>0</v>
      </c>
      <c r="N101" s="572">
        <v>0</v>
      </c>
      <c r="O101" s="572">
        <f t="shared" si="60"/>
        <v>0</v>
      </c>
      <c r="P101" s="572">
        <f t="shared" si="61"/>
        <v>0</v>
      </c>
      <c r="Q101" s="572">
        <v>0</v>
      </c>
      <c r="R101" s="572">
        <v>0</v>
      </c>
      <c r="S101" s="572">
        <v>0</v>
      </c>
      <c r="T101" s="572">
        <f t="shared" si="63"/>
        <v>0</v>
      </c>
      <c r="U101" s="572">
        <f t="shared" si="64"/>
        <v>0</v>
      </c>
    </row>
    <row r="102" spans="1:21" ht="18.75" x14ac:dyDescent="0.25">
      <c r="A102" s="674"/>
      <c r="B102" s="561"/>
      <c r="C102" s="561"/>
      <c r="D102" s="561"/>
      <c r="E102" s="573" t="s">
        <v>21</v>
      </c>
      <c r="F102" s="561"/>
      <c r="G102" s="563"/>
      <c r="H102" s="686" t="s">
        <v>14</v>
      </c>
      <c r="I102" s="683"/>
      <c r="J102" s="683"/>
      <c r="K102" s="684"/>
      <c r="L102" s="567">
        <f ca="1">IFERROR(__xludf.DUMMYFUNCTION("IMPORTRANGE(""https://docs.google.com/spreadsheets/d/1-uDff_7J0KD5mKrp0Vvzr7lt3OU09vwQwhkpOPPYv2Y/edit?usp=sharing"",""งบพรบ!AZ19"")"),0)</f>
        <v>0</v>
      </c>
      <c r="M102" s="568">
        <f ca="1">IFERROR(__xludf.DUMMYFUNCTION("IMPORTRANGE(""https://docs.google.com/spreadsheets/d/1-uDff_7J0KD5mKrp0Vvzr7lt3OU09vwQwhkpOPPYv2Y/edit?usp=sharing"",""งบพรบ!BC19"")"),0)</f>
        <v>0</v>
      </c>
      <c r="N102" s="568">
        <f ca="1">IFERROR(__xludf.DUMMYFUNCTION("IMPORTRANGE(""https://docs.google.com/spreadsheets/d/1-uDff_7J0KD5mKrp0Vvzr7lt3OU09vwQwhkpOPPYv2Y/edit?usp=sharing"",""งบพรบ!BE19"")"),0)</f>
        <v>0</v>
      </c>
      <c r="O102" s="568">
        <f t="shared" ca="1" si="60"/>
        <v>0</v>
      </c>
      <c r="P102" s="568">
        <f t="shared" ca="1" si="61"/>
        <v>0</v>
      </c>
      <c r="Q102" s="568">
        <v>0</v>
      </c>
      <c r="R102" s="568">
        <v>0</v>
      </c>
      <c r="S102" s="568">
        <v>0</v>
      </c>
      <c r="T102" s="568">
        <f t="shared" si="63"/>
        <v>0</v>
      </c>
      <c r="U102" s="568">
        <f t="shared" si="64"/>
        <v>0</v>
      </c>
    </row>
    <row r="103" spans="1:21" ht="19.5" x14ac:dyDescent="0.3">
      <c r="A103" s="687"/>
      <c r="B103" s="688"/>
      <c r="C103" s="675" t="s">
        <v>18</v>
      </c>
      <c r="D103" s="689" t="s">
        <v>38</v>
      </c>
      <c r="E103" s="690"/>
      <c r="F103" s="690"/>
      <c r="G103" s="691"/>
      <c r="H103" s="692"/>
      <c r="I103" s="683"/>
      <c r="J103" s="565"/>
      <c r="K103" s="566"/>
      <c r="L103" s="574"/>
      <c r="M103" s="566"/>
      <c r="N103" s="566"/>
      <c r="O103" s="684"/>
      <c r="P103" s="684"/>
      <c r="Q103" s="566"/>
      <c r="R103" s="566"/>
      <c r="S103" s="566"/>
      <c r="T103" s="684"/>
      <c r="U103" s="684"/>
    </row>
    <row r="104" spans="1:21" ht="12.75" hidden="1" x14ac:dyDescent="0.2">
      <c r="A104" s="705"/>
      <c r="B104" s="706"/>
      <c r="C104" s="706"/>
      <c r="D104" s="531"/>
      <c r="E104" s="531"/>
      <c r="F104" s="531"/>
      <c r="G104" s="532"/>
      <c r="H104" s="532"/>
      <c r="I104" s="533"/>
      <c r="J104" s="533"/>
      <c r="K104" s="534"/>
      <c r="L104" s="535"/>
      <c r="M104" s="534"/>
      <c r="N104" s="534"/>
      <c r="O104" s="534"/>
      <c r="P104" s="534"/>
      <c r="Q104" s="534"/>
      <c r="R104" s="534"/>
      <c r="S104" s="534"/>
      <c r="T104" s="534"/>
      <c r="U104" s="534"/>
    </row>
    <row r="105" spans="1:21" ht="12.75" hidden="1" x14ac:dyDescent="0.2">
      <c r="A105" s="705"/>
      <c r="B105" s="706"/>
      <c r="C105" s="706"/>
      <c r="D105" s="531"/>
      <c r="E105" s="531"/>
      <c r="F105" s="531"/>
      <c r="G105" s="532"/>
      <c r="H105" s="532"/>
      <c r="I105" s="533"/>
      <c r="J105" s="533"/>
      <c r="K105" s="534"/>
      <c r="L105" s="535"/>
      <c r="M105" s="534"/>
      <c r="N105" s="534"/>
      <c r="O105" s="534"/>
      <c r="P105" s="534"/>
      <c r="Q105" s="534"/>
      <c r="R105" s="534"/>
      <c r="S105" s="534"/>
      <c r="T105" s="534"/>
      <c r="U105" s="534"/>
    </row>
    <row r="106" spans="1:21" ht="12.75" hidden="1" x14ac:dyDescent="0.2">
      <c r="A106" s="705"/>
      <c r="B106" s="706"/>
      <c r="C106" s="706"/>
      <c r="D106" s="706"/>
      <c r="E106" s="531"/>
      <c r="F106" s="531"/>
      <c r="G106" s="532"/>
      <c r="H106" s="532"/>
      <c r="I106" s="533"/>
      <c r="J106" s="533"/>
      <c r="K106" s="534"/>
      <c r="L106" s="535"/>
      <c r="M106" s="534"/>
      <c r="N106" s="534"/>
      <c r="O106" s="534"/>
      <c r="P106" s="534"/>
      <c r="Q106" s="534"/>
      <c r="R106" s="534"/>
      <c r="S106" s="534"/>
      <c r="T106" s="534"/>
      <c r="U106" s="534"/>
    </row>
    <row r="107" spans="1:21" ht="19.5" x14ac:dyDescent="0.3">
      <c r="A107" s="687"/>
      <c r="B107" s="688"/>
      <c r="C107" s="688"/>
      <c r="D107" s="707" t="s">
        <v>47</v>
      </c>
      <c r="E107" s="510"/>
      <c r="F107" s="695"/>
      <c r="G107" s="692"/>
      <c r="H107" s="563"/>
      <c r="I107" s="565"/>
      <c r="J107" s="565"/>
      <c r="K107" s="566"/>
      <c r="L107" s="574"/>
      <c r="M107" s="566"/>
      <c r="N107" s="566"/>
      <c r="O107" s="684"/>
      <c r="P107" s="684"/>
      <c r="Q107" s="566"/>
      <c r="R107" s="566"/>
      <c r="S107" s="566"/>
      <c r="T107" s="684"/>
      <c r="U107" s="684"/>
    </row>
    <row r="108" spans="1:21" ht="18.75" x14ac:dyDescent="0.25">
      <c r="A108" s="687"/>
      <c r="B108" s="688"/>
      <c r="C108" s="688"/>
      <c r="D108" s="699" t="s">
        <v>48</v>
      </c>
      <c r="E108" s="695"/>
      <c r="F108" s="695"/>
      <c r="G108" s="692"/>
      <c r="H108" s="564" t="s">
        <v>46</v>
      </c>
      <c r="I108" s="708">
        <f ca="1">IFERROR(__xludf.DUMMYFUNCTION("IMPORTRANGE(""https://docs.google.com/spreadsheets/d/1eHaY18a8A9IcSdp1K8H6x8fbOy06t2VsZHhMHf-1x7Y/edit?usp=sharing"",""แผน!N19"")"),60)</f>
        <v>60</v>
      </c>
      <c r="J108" s="702">
        <v>0</v>
      </c>
      <c r="K108" s="568">
        <f t="shared" ref="K108:K109" ca="1" si="71">IF(I108&gt;0,J108*100/I108,0)</f>
        <v>0</v>
      </c>
      <c r="L108" s="574"/>
      <c r="M108" s="566"/>
      <c r="N108" s="566"/>
      <c r="O108" s="684"/>
      <c r="P108" s="684"/>
      <c r="Q108" s="566"/>
      <c r="R108" s="566"/>
      <c r="S108" s="566"/>
      <c r="T108" s="684"/>
      <c r="U108" s="684"/>
    </row>
    <row r="109" spans="1:21" ht="18.75" x14ac:dyDescent="0.25">
      <c r="A109" s="687"/>
      <c r="B109" s="688"/>
      <c r="C109" s="688"/>
      <c r="D109" s="699" t="s">
        <v>49</v>
      </c>
      <c r="E109" s="695"/>
      <c r="F109" s="695"/>
      <c r="G109" s="692"/>
      <c r="H109" s="564" t="s">
        <v>35</v>
      </c>
      <c r="I109" s="708">
        <f ca="1">IFERROR(__xludf.DUMMYFUNCTION("IMPORTRANGE(""https://docs.google.com/spreadsheets/d/1eHaY18a8A9IcSdp1K8H6x8fbOy06t2VsZHhMHf-1x7Y/edit?usp=sharing"",""แผน!O19"")"),20)</f>
        <v>20</v>
      </c>
      <c r="J109" s="702">
        <v>20</v>
      </c>
      <c r="K109" s="568">
        <f t="shared" ca="1" si="71"/>
        <v>100</v>
      </c>
      <c r="L109" s="574"/>
      <c r="M109" s="566"/>
      <c r="N109" s="566"/>
      <c r="O109" s="684"/>
      <c r="P109" s="684"/>
      <c r="Q109" s="566"/>
      <c r="R109" s="566"/>
      <c r="S109" s="566"/>
      <c r="T109" s="684"/>
      <c r="U109" s="684"/>
    </row>
    <row r="110" spans="1:21" ht="12.75" hidden="1" x14ac:dyDescent="0.2">
      <c r="A110" s="705"/>
      <c r="B110" s="706"/>
      <c r="C110" s="706"/>
      <c r="D110" s="531"/>
      <c r="E110" s="531"/>
      <c r="F110" s="531"/>
      <c r="G110" s="532"/>
      <c r="H110" s="532"/>
      <c r="I110" s="533"/>
      <c r="J110" s="533"/>
      <c r="K110" s="534"/>
      <c r="L110" s="535"/>
      <c r="M110" s="534"/>
      <c r="N110" s="534"/>
      <c r="O110" s="534"/>
      <c r="P110" s="534"/>
      <c r="Q110" s="534"/>
      <c r="R110" s="534"/>
      <c r="S110" s="534"/>
      <c r="T110" s="534"/>
      <c r="U110" s="534"/>
    </row>
    <row r="111" spans="1:21" ht="12.75" hidden="1" x14ac:dyDescent="0.2">
      <c r="A111" s="705"/>
      <c r="B111" s="706"/>
      <c r="C111" s="706"/>
      <c r="D111" s="531"/>
      <c r="E111" s="531"/>
      <c r="F111" s="531"/>
      <c r="G111" s="532"/>
      <c r="H111" s="532"/>
      <c r="I111" s="533"/>
      <c r="J111" s="533"/>
      <c r="K111" s="534"/>
      <c r="L111" s="535"/>
      <c r="M111" s="534"/>
      <c r="N111" s="534"/>
      <c r="O111" s="534"/>
      <c r="P111" s="534"/>
      <c r="Q111" s="534"/>
      <c r="R111" s="534"/>
      <c r="S111" s="534"/>
      <c r="T111" s="534"/>
      <c r="U111" s="534"/>
    </row>
    <row r="112" spans="1:21" ht="12.75" hidden="1" x14ac:dyDescent="0.2">
      <c r="A112" s="705"/>
      <c r="B112" s="706"/>
      <c r="C112" s="706"/>
      <c r="D112" s="531"/>
      <c r="E112" s="531"/>
      <c r="F112" s="531"/>
      <c r="G112" s="532"/>
      <c r="H112" s="532"/>
      <c r="I112" s="533"/>
      <c r="J112" s="533"/>
      <c r="K112" s="534"/>
      <c r="L112" s="535"/>
      <c r="M112" s="534"/>
      <c r="N112" s="534"/>
      <c r="O112" s="534"/>
      <c r="P112" s="534"/>
      <c r="Q112" s="534"/>
      <c r="R112" s="534"/>
      <c r="S112" s="534"/>
      <c r="T112" s="534"/>
      <c r="U112" s="534"/>
    </row>
    <row r="113" spans="1:21" ht="18.75" x14ac:dyDescent="0.25">
      <c r="A113" s="1131"/>
      <c r="B113" s="1110"/>
      <c r="C113" s="1110"/>
      <c r="D113" s="1132" t="s">
        <v>50</v>
      </c>
      <c r="E113" s="1112"/>
      <c r="F113" s="1112"/>
      <c r="G113" s="1113"/>
      <c r="H113" s="1133" t="s">
        <v>46</v>
      </c>
      <c r="I113" s="1134">
        <f ca="1">IFERROR(__xludf.DUMMYFUNCTION("IMPORTRANGE(""https://docs.google.com/spreadsheets/d/1eHaY18a8A9IcSdp1K8H6x8fbOy06t2VsZHhMHf-1x7Y/edit?usp=sharing"",""แผน!N19"")"),60)</f>
        <v>60</v>
      </c>
      <c r="J113" s="861">
        <v>0</v>
      </c>
      <c r="K113" s="862">
        <f t="shared" ref="K113:K114" ca="1" si="72">IF(I113&gt;0,J113*100/I113,0)</f>
        <v>0</v>
      </c>
      <c r="L113" s="784"/>
      <c r="M113" s="784"/>
      <c r="N113" s="784"/>
      <c r="O113" s="1116"/>
      <c r="P113" s="1116"/>
      <c r="Q113" s="784"/>
      <c r="R113" s="784"/>
      <c r="S113" s="784"/>
      <c r="T113" s="1116"/>
      <c r="U113" s="1116"/>
    </row>
    <row r="114" spans="1:21" ht="18.75" x14ac:dyDescent="0.25">
      <c r="A114" s="687"/>
      <c r="B114" s="688"/>
      <c r="C114" s="688"/>
      <c r="D114" s="695"/>
      <c r="E114" s="695"/>
      <c r="F114" s="695"/>
      <c r="G114" s="692"/>
      <c r="H114" s="700" t="s">
        <v>35</v>
      </c>
      <c r="I114" s="701">
        <f ca="1">IFERROR(__xludf.DUMMYFUNCTION("IMPORTRANGE(""https://docs.google.com/spreadsheets/d/1eHaY18a8A9IcSdp1K8H6x8fbOy06t2VsZHhMHf-1x7Y/edit?usp=sharing"",""แผน!O19"")"),20)</f>
        <v>20</v>
      </c>
      <c r="J114" s="702">
        <v>0</v>
      </c>
      <c r="K114" s="568">
        <f t="shared" ca="1" si="72"/>
        <v>0</v>
      </c>
      <c r="L114" s="566"/>
      <c r="M114" s="566"/>
      <c r="N114" s="566"/>
      <c r="O114" s="684"/>
      <c r="P114" s="684"/>
      <c r="Q114" s="566"/>
      <c r="R114" s="566"/>
      <c r="S114" s="566"/>
      <c r="T114" s="684"/>
      <c r="U114" s="684"/>
    </row>
    <row r="115" spans="1:21" ht="19.5" x14ac:dyDescent="0.3">
      <c r="A115" s="709" t="s">
        <v>51</v>
      </c>
      <c r="B115" s="710"/>
      <c r="C115" s="711"/>
      <c r="D115" s="712"/>
      <c r="E115" s="712"/>
      <c r="F115" s="712"/>
      <c r="G115" s="712"/>
      <c r="H115" s="710"/>
      <c r="I115" s="713"/>
      <c r="J115" s="713"/>
      <c r="K115" s="714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</row>
    <row r="116" spans="1:21" ht="19.5" x14ac:dyDescent="0.3">
      <c r="A116" s="669"/>
      <c r="B116" s="715" t="s">
        <v>52</v>
      </c>
      <c r="C116" s="716"/>
      <c r="D116" s="670"/>
      <c r="E116" s="543"/>
      <c r="F116" s="543"/>
      <c r="G116" s="546"/>
      <c r="H116" s="717" t="s">
        <v>35</v>
      </c>
      <c r="I116" s="672">
        <f t="shared" ref="I116:J116" ca="1" si="73">I127</f>
        <v>50</v>
      </c>
      <c r="J116" s="672">
        <f t="shared" si="73"/>
        <v>50</v>
      </c>
      <c r="K116" s="551">
        <f ca="1">IF(I116&gt;0,J116*100/I116,0)</f>
        <v>100</v>
      </c>
      <c r="L116" s="673"/>
      <c r="M116" s="549"/>
      <c r="N116" s="549"/>
      <c r="O116" s="549"/>
      <c r="P116" s="549"/>
      <c r="Q116" s="549"/>
      <c r="R116" s="549"/>
      <c r="S116" s="549"/>
      <c r="T116" s="549"/>
      <c r="U116" s="549"/>
    </row>
    <row r="117" spans="1:21" ht="19.5" x14ac:dyDescent="0.3">
      <c r="A117" s="674"/>
      <c r="B117" s="718"/>
      <c r="C117" s="719" t="s">
        <v>18</v>
      </c>
      <c r="D117" s="676" t="s">
        <v>19</v>
      </c>
      <c r="E117" s="561"/>
      <c r="F117" s="561"/>
      <c r="G117" s="563"/>
      <c r="H117" s="677" t="s">
        <v>14</v>
      </c>
      <c r="I117" s="565"/>
      <c r="J117" s="565"/>
      <c r="K117" s="566"/>
      <c r="L117" s="678">
        <f t="shared" ref="L117:N117" ca="1" si="74">L118+L119</f>
        <v>0</v>
      </c>
      <c r="M117" s="679">
        <f t="shared" ca="1" si="74"/>
        <v>0</v>
      </c>
      <c r="N117" s="679">
        <f t="shared" ca="1" si="74"/>
        <v>0</v>
      </c>
      <c r="O117" s="679">
        <f t="shared" ref="O117:O125" ca="1" si="75">IF(L117&gt;0,N117*100/L117,0)</f>
        <v>0</v>
      </c>
      <c r="P117" s="679">
        <f t="shared" ref="P117:P125" ca="1" si="76">IF(M117&gt;0,N117*100/M117,0)</f>
        <v>0</v>
      </c>
      <c r="Q117" s="679">
        <f t="shared" ref="Q117:S117" ca="1" si="77">Q118+Q119</f>
        <v>2605520</v>
      </c>
      <c r="R117" s="679">
        <f t="shared" ca="1" si="77"/>
        <v>2605520</v>
      </c>
      <c r="S117" s="679">
        <f t="shared" ca="1" si="77"/>
        <v>129550</v>
      </c>
      <c r="T117" s="679">
        <f t="shared" ref="T117:T125" ca="1" si="78">IF(Q117&gt;0,S117*100/Q117,0)</f>
        <v>4.9721360803217785</v>
      </c>
      <c r="U117" s="679">
        <f t="shared" ref="U117:U125" ca="1" si="79">IF(R117&gt;0,S117*100/R117,0)</f>
        <v>4.9721360803217785</v>
      </c>
    </row>
    <row r="118" spans="1:21" ht="18.75" x14ac:dyDescent="0.25">
      <c r="A118" s="674"/>
      <c r="B118" s="718"/>
      <c r="C118" s="718"/>
      <c r="D118" s="718"/>
      <c r="E118" s="569" t="s">
        <v>20</v>
      </c>
      <c r="F118" s="561"/>
      <c r="G118" s="563"/>
      <c r="H118" s="680" t="s">
        <v>14</v>
      </c>
      <c r="I118" s="565"/>
      <c r="J118" s="565"/>
      <c r="K118" s="566"/>
      <c r="L118" s="571">
        <f t="shared" ref="L118:N119" si="80">L121+L124</f>
        <v>0</v>
      </c>
      <c r="M118" s="572">
        <f t="shared" si="80"/>
        <v>0</v>
      </c>
      <c r="N118" s="572">
        <f t="shared" si="80"/>
        <v>0</v>
      </c>
      <c r="O118" s="572">
        <f t="shared" si="75"/>
        <v>0</v>
      </c>
      <c r="P118" s="572">
        <f t="shared" si="76"/>
        <v>0</v>
      </c>
      <c r="Q118" s="572">
        <f t="shared" ref="Q118:S119" si="81">Q121+Q124</f>
        <v>0</v>
      </c>
      <c r="R118" s="572">
        <f t="shared" si="81"/>
        <v>0</v>
      </c>
      <c r="S118" s="572">
        <f t="shared" si="81"/>
        <v>0</v>
      </c>
      <c r="T118" s="572">
        <f t="shared" si="78"/>
        <v>0</v>
      </c>
      <c r="U118" s="572">
        <f t="shared" si="79"/>
        <v>0</v>
      </c>
    </row>
    <row r="119" spans="1:21" ht="18.75" x14ac:dyDescent="0.25">
      <c r="A119" s="674"/>
      <c r="B119" s="718"/>
      <c r="C119" s="718"/>
      <c r="D119" s="718"/>
      <c r="E119" s="573" t="s">
        <v>21</v>
      </c>
      <c r="F119" s="561"/>
      <c r="G119" s="563"/>
      <c r="H119" s="681" t="s">
        <v>14</v>
      </c>
      <c r="I119" s="565"/>
      <c r="J119" s="565"/>
      <c r="K119" s="566"/>
      <c r="L119" s="567">
        <f t="shared" ca="1" si="80"/>
        <v>0</v>
      </c>
      <c r="M119" s="568">
        <f t="shared" ca="1" si="80"/>
        <v>0</v>
      </c>
      <c r="N119" s="568">
        <f t="shared" ca="1" si="80"/>
        <v>0</v>
      </c>
      <c r="O119" s="568">
        <f t="shared" ca="1" si="75"/>
        <v>0</v>
      </c>
      <c r="P119" s="568">
        <f t="shared" ca="1" si="76"/>
        <v>0</v>
      </c>
      <c r="Q119" s="568">
        <f t="shared" ca="1" si="81"/>
        <v>2605520</v>
      </c>
      <c r="R119" s="568">
        <f t="shared" ca="1" si="81"/>
        <v>2605520</v>
      </c>
      <c r="S119" s="568">
        <f t="shared" ca="1" si="81"/>
        <v>129550</v>
      </c>
      <c r="T119" s="568">
        <f t="shared" ca="1" si="78"/>
        <v>4.9721360803217785</v>
      </c>
      <c r="U119" s="568">
        <f t="shared" ca="1" si="79"/>
        <v>4.9721360803217785</v>
      </c>
    </row>
    <row r="120" spans="1:21" ht="18.75" x14ac:dyDescent="0.25">
      <c r="A120" s="674"/>
      <c r="B120" s="718"/>
      <c r="C120" s="720"/>
      <c r="D120" s="721" t="s">
        <v>22</v>
      </c>
      <c r="E120" s="561"/>
      <c r="F120" s="561"/>
      <c r="G120" s="563"/>
      <c r="H120" s="722" t="s">
        <v>14</v>
      </c>
      <c r="I120" s="565"/>
      <c r="J120" s="565"/>
      <c r="K120" s="566"/>
      <c r="L120" s="567">
        <f t="shared" ref="L120:N120" ca="1" si="82">L121+L122</f>
        <v>0</v>
      </c>
      <c r="M120" s="568">
        <f t="shared" ca="1" si="82"/>
        <v>0</v>
      </c>
      <c r="N120" s="568">
        <f t="shared" ca="1" si="82"/>
        <v>0</v>
      </c>
      <c r="O120" s="568">
        <f t="shared" ca="1" si="75"/>
        <v>0</v>
      </c>
      <c r="P120" s="568">
        <f t="shared" ca="1" si="76"/>
        <v>0</v>
      </c>
      <c r="Q120" s="568">
        <f t="shared" ref="Q120:S120" ca="1" si="83">Q121+Q122</f>
        <v>284520</v>
      </c>
      <c r="R120" s="568">
        <f t="shared" ca="1" si="83"/>
        <v>284520</v>
      </c>
      <c r="S120" s="568">
        <f t="shared" ca="1" si="83"/>
        <v>129550</v>
      </c>
      <c r="T120" s="568">
        <f t="shared" ca="1" si="78"/>
        <v>45.532827217770283</v>
      </c>
      <c r="U120" s="568">
        <f t="shared" ca="1" si="79"/>
        <v>45.532827217770283</v>
      </c>
    </row>
    <row r="121" spans="1:21" ht="18.75" x14ac:dyDescent="0.25">
      <c r="A121" s="674"/>
      <c r="B121" s="718"/>
      <c r="C121" s="720"/>
      <c r="D121" s="718"/>
      <c r="E121" s="569" t="s">
        <v>36</v>
      </c>
      <c r="F121" s="561"/>
      <c r="G121" s="563"/>
      <c r="H121" s="723" t="s">
        <v>14</v>
      </c>
      <c r="I121" s="565"/>
      <c r="J121" s="565"/>
      <c r="K121" s="566"/>
      <c r="L121" s="571">
        <v>0</v>
      </c>
      <c r="M121" s="572">
        <v>0</v>
      </c>
      <c r="N121" s="572">
        <v>0</v>
      </c>
      <c r="O121" s="572">
        <f t="shared" si="75"/>
        <v>0</v>
      </c>
      <c r="P121" s="572">
        <f t="shared" si="76"/>
        <v>0</v>
      </c>
      <c r="Q121" s="572">
        <v>0</v>
      </c>
      <c r="R121" s="572">
        <v>0</v>
      </c>
      <c r="S121" s="572">
        <v>0</v>
      </c>
      <c r="T121" s="572">
        <f t="shared" si="78"/>
        <v>0</v>
      </c>
      <c r="U121" s="572">
        <f t="shared" si="79"/>
        <v>0</v>
      </c>
    </row>
    <row r="122" spans="1:21" ht="18.75" x14ac:dyDescent="0.25">
      <c r="A122" s="674"/>
      <c r="B122" s="718"/>
      <c r="C122" s="720"/>
      <c r="D122" s="718"/>
      <c r="E122" s="573" t="s">
        <v>37</v>
      </c>
      <c r="F122" s="561"/>
      <c r="G122" s="563"/>
      <c r="H122" s="722" t="s">
        <v>14</v>
      </c>
      <c r="I122" s="565"/>
      <c r="J122" s="565"/>
      <c r="K122" s="566"/>
      <c r="L122" s="567">
        <f ca="1">IFERROR(__xludf.DUMMYFUNCTION("IMPORTRANGE(""https://docs.google.com/spreadsheets/d/1-uDff_7J0KD5mKrp0Vvzr7lt3OU09vwQwhkpOPPYv2Y/edit?usp=sharing"",""งบพรบ!BG19"")"),0)</f>
        <v>0</v>
      </c>
      <c r="M122" s="568">
        <f ca="1">IFERROR(__xludf.DUMMYFUNCTION("IMPORTRANGE(""https://docs.google.com/spreadsheets/d/1-uDff_7J0KD5mKrp0Vvzr7lt3OU09vwQwhkpOPPYv2Y/edit?usp=sharing"",""งบพรบ!BL19"")"),0)</f>
        <v>0</v>
      </c>
      <c r="N122" s="568">
        <f ca="1">IFERROR(__xludf.DUMMYFUNCTION("IMPORTRANGE(""https://docs.google.com/spreadsheets/d/1-uDff_7J0KD5mKrp0Vvzr7lt3OU09vwQwhkpOPPYv2Y/edit?usp=sharing"",""งบพรบ!BN19"")"),0)</f>
        <v>0</v>
      </c>
      <c r="O122" s="568">
        <f t="shared" ca="1" si="75"/>
        <v>0</v>
      </c>
      <c r="P122" s="568">
        <f t="shared" ca="1" si="76"/>
        <v>0</v>
      </c>
      <c r="Q122" s="568">
        <f ca="1">IFERROR(__xludf.DUMMYFUNCTION("IMPORTRANGE(""https://docs.google.com/spreadsheets/d/1ItG2mGa2ceCfYo0BwxsXqNm01IGEUdYcSSLTEv9YCik/edit?usp=sharing"",""เบิกจ่ายกองทุน!U19"")"),284520)</f>
        <v>284520</v>
      </c>
      <c r="R122" s="568">
        <f ca="1">IFERROR(__xludf.DUMMYFUNCTION("IMPORTRANGE(""https://docs.google.com/spreadsheets/d/1ItG2mGa2ceCfYo0BwxsXqNm01IGEUdYcSSLTEv9YCik/edit?usp=sharing"",""เบิกจ่ายกองทุน!V19"")"),284520)</f>
        <v>284520</v>
      </c>
      <c r="S122" s="568">
        <f ca="1">IFERROR(__xludf.DUMMYFUNCTION("IMPORTRANGE(""https://docs.google.com/spreadsheets/d/1ItG2mGa2ceCfYo0BwxsXqNm01IGEUdYcSSLTEv9YCik/edit?usp=sharing"",""เบิกจ่ายกองทุน!W19"")"),129550)</f>
        <v>129550</v>
      </c>
      <c r="T122" s="568">
        <f t="shared" ca="1" si="78"/>
        <v>45.532827217770283</v>
      </c>
      <c r="U122" s="568">
        <f t="shared" ca="1" si="79"/>
        <v>45.532827217770283</v>
      </c>
    </row>
    <row r="123" spans="1:21" ht="18.75" x14ac:dyDescent="0.25">
      <c r="A123" s="674"/>
      <c r="B123" s="561"/>
      <c r="C123" s="720"/>
      <c r="D123" s="721" t="s">
        <v>23</v>
      </c>
      <c r="E123" s="561"/>
      <c r="F123" s="561"/>
      <c r="G123" s="563"/>
      <c r="H123" s="681" t="s">
        <v>14</v>
      </c>
      <c r="I123" s="565"/>
      <c r="J123" s="565"/>
      <c r="K123" s="566"/>
      <c r="L123" s="567">
        <f t="shared" ref="L123:N123" ca="1" si="84">L124+L125</f>
        <v>0</v>
      </c>
      <c r="M123" s="568">
        <f t="shared" ca="1" si="84"/>
        <v>0</v>
      </c>
      <c r="N123" s="568">
        <f t="shared" ca="1" si="84"/>
        <v>0</v>
      </c>
      <c r="O123" s="568">
        <f t="shared" ca="1" si="75"/>
        <v>0</v>
      </c>
      <c r="P123" s="568">
        <f t="shared" ca="1" si="76"/>
        <v>0</v>
      </c>
      <c r="Q123" s="568">
        <f t="shared" ref="Q123:S123" ca="1" si="85">Q124+Q125</f>
        <v>2321000</v>
      </c>
      <c r="R123" s="568">
        <f t="shared" ca="1" si="85"/>
        <v>2321000</v>
      </c>
      <c r="S123" s="568">
        <f t="shared" ca="1" si="85"/>
        <v>0</v>
      </c>
      <c r="T123" s="568">
        <f t="shared" ca="1" si="78"/>
        <v>0</v>
      </c>
      <c r="U123" s="568">
        <f t="shared" ca="1" si="79"/>
        <v>0</v>
      </c>
    </row>
    <row r="124" spans="1:21" ht="18.75" x14ac:dyDescent="0.25">
      <c r="A124" s="674"/>
      <c r="B124" s="561"/>
      <c r="C124" s="720"/>
      <c r="D124" s="718"/>
      <c r="E124" s="569" t="s">
        <v>20</v>
      </c>
      <c r="F124" s="561"/>
      <c r="G124" s="563"/>
      <c r="H124" s="723" t="s">
        <v>14</v>
      </c>
      <c r="I124" s="565"/>
      <c r="J124" s="565"/>
      <c r="K124" s="566"/>
      <c r="L124" s="571">
        <v>0</v>
      </c>
      <c r="M124" s="572">
        <v>0</v>
      </c>
      <c r="N124" s="572">
        <v>0</v>
      </c>
      <c r="O124" s="572">
        <f t="shared" si="75"/>
        <v>0</v>
      </c>
      <c r="P124" s="572">
        <f t="shared" si="76"/>
        <v>0</v>
      </c>
      <c r="Q124" s="572">
        <v>0</v>
      </c>
      <c r="R124" s="572">
        <v>0</v>
      </c>
      <c r="S124" s="572">
        <v>0</v>
      </c>
      <c r="T124" s="572">
        <f t="shared" si="78"/>
        <v>0</v>
      </c>
      <c r="U124" s="572">
        <f t="shared" si="79"/>
        <v>0</v>
      </c>
    </row>
    <row r="125" spans="1:21" ht="18.75" x14ac:dyDescent="0.25">
      <c r="A125" s="674"/>
      <c r="B125" s="561"/>
      <c r="C125" s="561"/>
      <c r="D125" s="561"/>
      <c r="E125" s="573" t="s">
        <v>21</v>
      </c>
      <c r="F125" s="561"/>
      <c r="G125" s="563"/>
      <c r="H125" s="681" t="s">
        <v>14</v>
      </c>
      <c r="I125" s="565"/>
      <c r="J125" s="565"/>
      <c r="K125" s="566"/>
      <c r="L125" s="567">
        <f ca="1">IFERROR(__xludf.DUMMYFUNCTION("IMPORTRANGE(""https://docs.google.com/spreadsheets/d/1-uDff_7J0KD5mKrp0Vvzr7lt3OU09vwQwhkpOPPYv2Y/edit?usp=sharing"",""งบพรบ!BJ19"")"),0)</f>
        <v>0</v>
      </c>
      <c r="M125" s="568">
        <f ca="1">IFERROR(__xludf.DUMMYFUNCTION("IMPORTRANGE(""https://docs.google.com/spreadsheets/d/1-uDff_7J0KD5mKrp0Vvzr7lt3OU09vwQwhkpOPPYv2Y/edit?usp=sharing"",""งบพรบ!BM19"")"),0)</f>
        <v>0</v>
      </c>
      <c r="N125" s="568">
        <f ca="1">IFERROR(__xludf.DUMMYFUNCTION("IMPORTRANGE(""https://docs.google.com/spreadsheets/d/1-uDff_7J0KD5mKrp0Vvzr7lt3OU09vwQwhkpOPPYv2Y/edit?usp=sharing"",""งบพรบ!BO19"")"),0)</f>
        <v>0</v>
      </c>
      <c r="O125" s="568">
        <f t="shared" ca="1" si="75"/>
        <v>0</v>
      </c>
      <c r="P125" s="568">
        <f t="shared" ca="1" si="76"/>
        <v>0</v>
      </c>
      <c r="Q125" s="568">
        <f ca="1">IFERROR(__xludf.DUMMYFUNCTION("IMPORTRANGE(""https://docs.google.com/spreadsheets/d/1ItG2mGa2ceCfYo0BwxsXqNm01IGEUdYcSSLTEv9YCik/edit?usp=sharing"",""เบิกจ่ายกองทุน!X19"")"),2321000)</f>
        <v>2321000</v>
      </c>
      <c r="R125" s="568">
        <f ca="1">IFERROR(__xludf.DUMMYFUNCTION("IMPORTRANGE(""https://docs.google.com/spreadsheets/d/1ItG2mGa2ceCfYo0BwxsXqNm01IGEUdYcSSLTEv9YCik/edit?usp=sharing"",""เบิกจ่ายกองทุน!Y19"")"),2321000)</f>
        <v>2321000</v>
      </c>
      <c r="S125" s="568">
        <f ca="1">IFERROR(__xludf.DUMMYFUNCTION("IMPORTRANGE(""https://docs.google.com/spreadsheets/d/1ItG2mGa2ceCfYo0BwxsXqNm01IGEUdYcSSLTEv9YCik/edit?usp=sharing"",""เบิกจ่ายกองทุน!Z19"")"),0)</f>
        <v>0</v>
      </c>
      <c r="T125" s="568">
        <f t="shared" ca="1" si="78"/>
        <v>0</v>
      </c>
      <c r="U125" s="568">
        <f t="shared" ca="1" si="79"/>
        <v>0</v>
      </c>
    </row>
    <row r="126" spans="1:21" ht="19.5" x14ac:dyDescent="0.3">
      <c r="A126" s="687"/>
      <c r="B126" s="688"/>
      <c r="C126" s="724" t="s">
        <v>18</v>
      </c>
      <c r="D126" s="689" t="s">
        <v>38</v>
      </c>
      <c r="E126" s="690"/>
      <c r="F126" s="690"/>
      <c r="G126" s="691"/>
      <c r="H126" s="725"/>
      <c r="I126" s="565"/>
      <c r="J126" s="565"/>
      <c r="K126" s="566"/>
      <c r="L126" s="574"/>
      <c r="M126" s="566"/>
      <c r="N126" s="566"/>
      <c r="O126" s="566"/>
      <c r="P126" s="566"/>
      <c r="Q126" s="566"/>
      <c r="R126" s="566"/>
      <c r="S126" s="566"/>
      <c r="T126" s="566"/>
      <c r="U126" s="566"/>
    </row>
    <row r="127" spans="1:21" ht="18.75" x14ac:dyDescent="0.25">
      <c r="A127" s="687"/>
      <c r="B127" s="688"/>
      <c r="C127" s="688"/>
      <c r="D127" s="699" t="s">
        <v>53</v>
      </c>
      <c r="E127" s="695"/>
      <c r="F127" s="695"/>
      <c r="G127" s="692"/>
      <c r="H127" s="681" t="s">
        <v>35</v>
      </c>
      <c r="I127" s="708">
        <f ca="1">IFERROR(__xludf.DUMMYFUNCTION("IMPORTRANGE(""https://docs.google.com/spreadsheets/d/1eHaY18a8A9IcSdp1K8H6x8fbOy06t2VsZHhMHf-1x7Y/edit?usp=sharing"",""แผน!FF19"")"),50)</f>
        <v>50</v>
      </c>
      <c r="J127" s="702">
        <v>50</v>
      </c>
      <c r="K127" s="568">
        <f t="shared" ref="K127:K130" ca="1" si="86">IF(I127&gt;0,J127*100/I127,0)</f>
        <v>100</v>
      </c>
      <c r="L127" s="574"/>
      <c r="M127" s="566"/>
      <c r="N127" s="566"/>
      <c r="O127" s="566"/>
      <c r="P127" s="566"/>
      <c r="Q127" s="566"/>
      <c r="R127" s="566"/>
      <c r="S127" s="566"/>
      <c r="T127" s="566"/>
      <c r="U127" s="566"/>
    </row>
    <row r="128" spans="1:21" ht="18.75" x14ac:dyDescent="0.25">
      <c r="A128" s="687"/>
      <c r="B128" s="688"/>
      <c r="C128" s="688"/>
      <c r="D128" s="695"/>
      <c r="E128" s="695"/>
      <c r="F128" s="695"/>
      <c r="G128" s="692"/>
      <c r="H128" s="681" t="s">
        <v>54</v>
      </c>
      <c r="I128" s="708">
        <f ca="1">IFERROR(__xludf.DUMMYFUNCTION("IMPORTRANGE(""https://docs.google.com/spreadsheets/d/1eHaY18a8A9IcSdp1K8H6x8fbOy06t2VsZHhMHf-1x7Y/edit?usp=sharing"",""แผน!FG19"")"),0)</f>
        <v>0</v>
      </c>
      <c r="J128" s="702">
        <v>0</v>
      </c>
      <c r="K128" s="568">
        <f t="shared" ca="1" si="86"/>
        <v>0</v>
      </c>
      <c r="L128" s="574"/>
      <c r="M128" s="566"/>
      <c r="N128" s="566"/>
      <c r="O128" s="566"/>
      <c r="P128" s="566"/>
      <c r="Q128" s="566"/>
      <c r="R128" s="566"/>
      <c r="S128" s="566"/>
      <c r="T128" s="566"/>
      <c r="U128" s="566"/>
    </row>
    <row r="129" spans="1:21" ht="18.75" x14ac:dyDescent="0.25">
      <c r="A129" s="687"/>
      <c r="B129" s="688"/>
      <c r="C129" s="688"/>
      <c r="D129" s="699" t="s">
        <v>55</v>
      </c>
      <c r="E129" s="695"/>
      <c r="F129" s="695"/>
      <c r="G129" s="692"/>
      <c r="H129" s="681" t="s">
        <v>35</v>
      </c>
      <c r="I129" s="708">
        <f ca="1">IFERROR(__xludf.DUMMYFUNCTION("IMPORTRANGE(""https://docs.google.com/spreadsheets/d/1eHaY18a8A9IcSdp1K8H6x8fbOy06t2VsZHhMHf-1x7Y/edit?usp=sharing"",""แผน!FH19"")"),20)</f>
        <v>20</v>
      </c>
      <c r="J129" s="702">
        <v>0</v>
      </c>
      <c r="K129" s="568">
        <f t="shared" ca="1" si="86"/>
        <v>0</v>
      </c>
      <c r="L129" s="574"/>
      <c r="M129" s="566"/>
      <c r="N129" s="566"/>
      <c r="O129" s="566"/>
      <c r="P129" s="566"/>
      <c r="Q129" s="566"/>
      <c r="R129" s="566"/>
      <c r="S129" s="566"/>
      <c r="T129" s="566"/>
      <c r="U129" s="566"/>
    </row>
    <row r="130" spans="1:21" ht="18.75" x14ac:dyDescent="0.25">
      <c r="A130" s="687"/>
      <c r="B130" s="688"/>
      <c r="C130" s="688"/>
      <c r="D130" s="695"/>
      <c r="E130" s="695"/>
      <c r="F130" s="695"/>
      <c r="G130" s="692"/>
      <c r="H130" s="681" t="s">
        <v>54</v>
      </c>
      <c r="I130" s="708">
        <f ca="1">IFERROR(__xludf.DUMMYFUNCTION("IMPORTRANGE(""https://docs.google.com/spreadsheets/d/1eHaY18a8A9IcSdp1K8H6x8fbOy06t2VsZHhMHf-1x7Y/edit?usp=sharing"",""แผน!FI19"")"),0)</f>
        <v>0</v>
      </c>
      <c r="J130" s="702">
        <v>0</v>
      </c>
      <c r="K130" s="568">
        <f t="shared" ca="1" si="86"/>
        <v>0</v>
      </c>
      <c r="L130" s="574"/>
      <c r="M130" s="566"/>
      <c r="N130" s="566"/>
      <c r="O130" s="566"/>
      <c r="P130" s="566"/>
      <c r="Q130" s="566"/>
      <c r="R130" s="566"/>
      <c r="S130" s="566"/>
      <c r="T130" s="566"/>
      <c r="U130" s="566"/>
    </row>
    <row r="131" spans="1:21" ht="18.75" hidden="1" x14ac:dyDescent="0.25">
      <c r="A131" s="687"/>
      <c r="B131" s="688"/>
      <c r="C131" s="688"/>
      <c r="D131" s="726" t="s">
        <v>56</v>
      </c>
      <c r="E131" s="695"/>
      <c r="F131" s="695"/>
      <c r="G131" s="692"/>
      <c r="H131" s="680" t="s">
        <v>35</v>
      </c>
      <c r="I131" s="565"/>
      <c r="J131" s="565"/>
      <c r="K131" s="566"/>
      <c r="L131" s="574"/>
      <c r="M131" s="566"/>
      <c r="N131" s="566"/>
      <c r="O131" s="566"/>
      <c r="P131" s="566"/>
      <c r="Q131" s="566"/>
      <c r="R131" s="566"/>
      <c r="S131" s="566"/>
      <c r="T131" s="566"/>
      <c r="U131" s="566"/>
    </row>
    <row r="132" spans="1:21" ht="18.75" hidden="1" x14ac:dyDescent="0.25">
      <c r="A132" s="687"/>
      <c r="B132" s="688"/>
      <c r="C132" s="688"/>
      <c r="D132" s="726" t="s">
        <v>57</v>
      </c>
      <c r="E132" s="695"/>
      <c r="F132" s="695"/>
      <c r="G132" s="692"/>
      <c r="H132" s="727"/>
      <c r="I132" s="565"/>
      <c r="J132" s="565"/>
      <c r="K132" s="566"/>
      <c r="L132" s="574"/>
      <c r="M132" s="566"/>
      <c r="N132" s="566"/>
      <c r="O132" s="566"/>
      <c r="P132" s="566"/>
      <c r="Q132" s="566"/>
      <c r="R132" s="566"/>
      <c r="S132" s="566"/>
      <c r="T132" s="566"/>
      <c r="U132" s="566"/>
    </row>
    <row r="133" spans="1:21" ht="12.75" hidden="1" x14ac:dyDescent="0.2">
      <c r="A133" s="705"/>
      <c r="B133" s="706"/>
      <c r="C133" s="706"/>
      <c r="D133" s="531"/>
      <c r="E133" s="531"/>
      <c r="F133" s="531"/>
      <c r="G133" s="532"/>
      <c r="H133" s="728"/>
      <c r="I133" s="533"/>
      <c r="J133" s="533"/>
      <c r="K133" s="534"/>
      <c r="L133" s="535"/>
      <c r="M133" s="534"/>
      <c r="N133" s="534"/>
      <c r="O133" s="534"/>
      <c r="P133" s="534"/>
      <c r="Q133" s="534"/>
      <c r="R133" s="534"/>
      <c r="S133" s="534"/>
      <c r="T133" s="534"/>
      <c r="U133" s="534"/>
    </row>
    <row r="134" spans="1:21" ht="19.5" x14ac:dyDescent="0.3">
      <c r="A134" s="662" t="s">
        <v>58</v>
      </c>
      <c r="B134" s="663"/>
      <c r="C134" s="729"/>
      <c r="D134" s="663"/>
      <c r="E134" s="663"/>
      <c r="F134" s="663"/>
      <c r="G134" s="663"/>
      <c r="H134" s="663"/>
      <c r="I134" s="730"/>
      <c r="J134" s="730"/>
      <c r="K134" s="731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</row>
    <row r="135" spans="1:21" ht="19.5" x14ac:dyDescent="0.3">
      <c r="A135" s="669"/>
      <c r="B135" s="544" t="s">
        <v>59</v>
      </c>
      <c r="C135" s="716"/>
      <c r="D135" s="670"/>
      <c r="E135" s="543"/>
      <c r="F135" s="543"/>
      <c r="G135" s="543"/>
      <c r="H135" s="543"/>
      <c r="I135" s="732"/>
      <c r="J135" s="548"/>
      <c r="K135" s="549"/>
      <c r="L135" s="673"/>
      <c r="M135" s="549"/>
      <c r="N135" s="549"/>
      <c r="O135" s="549"/>
      <c r="P135" s="549"/>
      <c r="Q135" s="549"/>
      <c r="R135" s="549"/>
      <c r="S135" s="549"/>
      <c r="T135" s="549"/>
      <c r="U135" s="549"/>
    </row>
    <row r="136" spans="1:21" ht="19.5" x14ac:dyDescent="0.3">
      <c r="A136" s="669"/>
      <c r="B136" s="543"/>
      <c r="C136" s="733" t="s">
        <v>60</v>
      </c>
      <c r="D136" s="670"/>
      <c r="E136" s="543"/>
      <c r="F136" s="543"/>
      <c r="G136" s="546"/>
      <c r="H136" s="671" t="s">
        <v>61</v>
      </c>
      <c r="I136" s="672">
        <f t="shared" ref="I136:J136" ca="1" si="87">I154</f>
        <v>2</v>
      </c>
      <c r="J136" s="672">
        <f t="shared" si="87"/>
        <v>0</v>
      </c>
      <c r="K136" s="551">
        <f t="shared" ref="K136:K138" ca="1" si="88">IF(I136&gt;0,J136*100/I136,0)</f>
        <v>0</v>
      </c>
      <c r="L136" s="673"/>
      <c r="M136" s="549"/>
      <c r="N136" s="549"/>
      <c r="O136" s="549"/>
      <c r="P136" s="549"/>
      <c r="Q136" s="549"/>
      <c r="R136" s="549"/>
      <c r="S136" s="549"/>
      <c r="T136" s="549"/>
      <c r="U136" s="549"/>
    </row>
    <row r="137" spans="1:21" ht="19.5" x14ac:dyDescent="0.3">
      <c r="A137" s="669"/>
      <c r="B137" s="543"/>
      <c r="C137" s="733" t="s">
        <v>62</v>
      </c>
      <c r="D137" s="670"/>
      <c r="E137" s="543"/>
      <c r="F137" s="543"/>
      <c r="G137" s="546"/>
      <c r="H137" s="671" t="s">
        <v>35</v>
      </c>
      <c r="I137" s="672">
        <f t="shared" ref="I137:J138" ca="1" si="89">I152</f>
        <v>50</v>
      </c>
      <c r="J137" s="672">
        <f t="shared" si="89"/>
        <v>0</v>
      </c>
      <c r="K137" s="551">
        <f t="shared" ca="1" si="88"/>
        <v>0</v>
      </c>
      <c r="L137" s="673"/>
      <c r="M137" s="549"/>
      <c r="N137" s="549"/>
      <c r="O137" s="549"/>
      <c r="P137" s="549"/>
      <c r="Q137" s="549"/>
      <c r="R137" s="549"/>
      <c r="S137" s="549"/>
      <c r="T137" s="549"/>
      <c r="U137" s="549"/>
    </row>
    <row r="138" spans="1:21" ht="19.5" x14ac:dyDescent="0.3">
      <c r="A138" s="669"/>
      <c r="B138" s="543"/>
      <c r="C138" s="716"/>
      <c r="D138" s="670"/>
      <c r="E138" s="543"/>
      <c r="F138" s="543"/>
      <c r="G138" s="546"/>
      <c r="H138" s="671" t="s">
        <v>54</v>
      </c>
      <c r="I138" s="672">
        <f t="shared" ca="1" si="89"/>
        <v>5</v>
      </c>
      <c r="J138" s="672">
        <f t="shared" si="89"/>
        <v>0</v>
      </c>
      <c r="K138" s="551">
        <f t="shared" ca="1" si="88"/>
        <v>0</v>
      </c>
      <c r="L138" s="673"/>
      <c r="M138" s="549"/>
      <c r="N138" s="549"/>
      <c r="O138" s="549"/>
      <c r="P138" s="549"/>
      <c r="Q138" s="549"/>
      <c r="R138" s="549"/>
      <c r="S138" s="549"/>
      <c r="T138" s="549"/>
      <c r="U138" s="549"/>
    </row>
    <row r="139" spans="1:21" ht="19.5" x14ac:dyDescent="0.3">
      <c r="A139" s="674"/>
      <c r="B139" s="561"/>
      <c r="C139" s="675" t="s">
        <v>18</v>
      </c>
      <c r="D139" s="676" t="s">
        <v>19</v>
      </c>
      <c r="E139" s="561"/>
      <c r="F139" s="561"/>
      <c r="G139" s="563"/>
      <c r="H139" s="677" t="s">
        <v>14</v>
      </c>
      <c r="I139" s="565"/>
      <c r="J139" s="565"/>
      <c r="K139" s="566"/>
      <c r="L139" s="678">
        <f t="shared" ref="L139:N139" ca="1" si="90">L140+L141</f>
        <v>83100</v>
      </c>
      <c r="M139" s="679">
        <f t="shared" ca="1" si="90"/>
        <v>78100</v>
      </c>
      <c r="N139" s="679">
        <f t="shared" ca="1" si="90"/>
        <v>1830</v>
      </c>
      <c r="O139" s="679">
        <f t="shared" ref="O139:O147" ca="1" si="91">IF(L139&gt;0,N139*100/L139,0)</f>
        <v>2.2021660649819497</v>
      </c>
      <c r="P139" s="679">
        <f t="shared" ref="P139:P147" ca="1" si="92">IF(M139&gt;0,N139*100/M139,0)</f>
        <v>2.3431498079385404</v>
      </c>
      <c r="Q139" s="679">
        <f t="shared" ref="Q139:S139" ca="1" si="93">Q140+Q141</f>
        <v>309860</v>
      </c>
      <c r="R139" s="679">
        <f t="shared" ca="1" si="93"/>
        <v>0</v>
      </c>
      <c r="S139" s="679">
        <f t="shared" ca="1" si="93"/>
        <v>0</v>
      </c>
      <c r="T139" s="679">
        <f t="shared" ref="T139:T147" ca="1" si="94">IF(Q139&gt;0,S139*100/Q139,0)</f>
        <v>0</v>
      </c>
      <c r="U139" s="679">
        <f t="shared" ref="U139:U147" ca="1" si="95">IF(R139&gt;0,S139*100/R139,0)</f>
        <v>0</v>
      </c>
    </row>
    <row r="140" spans="1:21" ht="18.75" x14ac:dyDescent="0.25">
      <c r="A140" s="674"/>
      <c r="B140" s="561"/>
      <c r="C140" s="561"/>
      <c r="D140" s="561"/>
      <c r="E140" s="569" t="s">
        <v>20</v>
      </c>
      <c r="F140" s="561"/>
      <c r="G140" s="563"/>
      <c r="H140" s="680" t="s">
        <v>14</v>
      </c>
      <c r="I140" s="565"/>
      <c r="J140" s="565"/>
      <c r="K140" s="566"/>
      <c r="L140" s="571">
        <f t="shared" ref="L140:N141" si="96">L143+L146</f>
        <v>0</v>
      </c>
      <c r="M140" s="572">
        <f t="shared" si="96"/>
        <v>0</v>
      </c>
      <c r="N140" s="572">
        <f t="shared" si="96"/>
        <v>0</v>
      </c>
      <c r="O140" s="572">
        <f t="shared" si="91"/>
        <v>0</v>
      </c>
      <c r="P140" s="572">
        <f t="shared" si="92"/>
        <v>0</v>
      </c>
      <c r="Q140" s="572">
        <f t="shared" ref="Q140:S141" si="97">Q143+Q146</f>
        <v>0</v>
      </c>
      <c r="R140" s="572">
        <f t="shared" si="97"/>
        <v>0</v>
      </c>
      <c r="S140" s="572">
        <f t="shared" si="97"/>
        <v>0</v>
      </c>
      <c r="T140" s="572">
        <f t="shared" si="94"/>
        <v>0</v>
      </c>
      <c r="U140" s="572">
        <f t="shared" si="95"/>
        <v>0</v>
      </c>
    </row>
    <row r="141" spans="1:21" ht="18.75" x14ac:dyDescent="0.25">
      <c r="A141" s="674"/>
      <c r="B141" s="561"/>
      <c r="C141" s="561"/>
      <c r="D141" s="561"/>
      <c r="E141" s="573" t="s">
        <v>21</v>
      </c>
      <c r="F141" s="561"/>
      <c r="G141" s="563"/>
      <c r="H141" s="681" t="s">
        <v>14</v>
      </c>
      <c r="I141" s="565"/>
      <c r="J141" s="565"/>
      <c r="K141" s="566"/>
      <c r="L141" s="567">
        <f t="shared" ca="1" si="96"/>
        <v>83100</v>
      </c>
      <c r="M141" s="568">
        <f t="shared" ca="1" si="96"/>
        <v>78100</v>
      </c>
      <c r="N141" s="568">
        <f t="shared" ca="1" si="96"/>
        <v>1830</v>
      </c>
      <c r="O141" s="568">
        <f t="shared" ca="1" si="91"/>
        <v>2.2021660649819497</v>
      </c>
      <c r="P141" s="568">
        <f t="shared" ca="1" si="92"/>
        <v>2.3431498079385404</v>
      </c>
      <c r="Q141" s="568">
        <f t="shared" ca="1" si="97"/>
        <v>309860</v>
      </c>
      <c r="R141" s="568">
        <f t="shared" ca="1" si="97"/>
        <v>0</v>
      </c>
      <c r="S141" s="568">
        <f t="shared" ca="1" si="97"/>
        <v>0</v>
      </c>
      <c r="T141" s="568">
        <f t="shared" ca="1" si="94"/>
        <v>0</v>
      </c>
      <c r="U141" s="568">
        <f t="shared" ca="1" si="95"/>
        <v>0</v>
      </c>
    </row>
    <row r="142" spans="1:21" ht="18.75" x14ac:dyDescent="0.25">
      <c r="A142" s="674"/>
      <c r="B142" s="561"/>
      <c r="C142" s="561"/>
      <c r="D142" s="562" t="s">
        <v>22</v>
      </c>
      <c r="E142" s="561"/>
      <c r="F142" s="561"/>
      <c r="G142" s="563"/>
      <c r="H142" s="682" t="s">
        <v>14</v>
      </c>
      <c r="I142" s="683"/>
      <c r="J142" s="683"/>
      <c r="K142" s="684"/>
      <c r="L142" s="567">
        <f t="shared" ref="L142:N142" ca="1" si="98">L143+L144</f>
        <v>83100</v>
      </c>
      <c r="M142" s="568">
        <f t="shared" ca="1" si="98"/>
        <v>78100</v>
      </c>
      <c r="N142" s="568">
        <f t="shared" ca="1" si="98"/>
        <v>1830</v>
      </c>
      <c r="O142" s="568">
        <f t="shared" ca="1" si="91"/>
        <v>2.2021660649819497</v>
      </c>
      <c r="P142" s="568">
        <f t="shared" ca="1" si="92"/>
        <v>2.3431498079385404</v>
      </c>
      <c r="Q142" s="568">
        <f t="shared" ref="Q142:S142" ca="1" si="99">Q143+Q144</f>
        <v>309860</v>
      </c>
      <c r="R142" s="568">
        <f t="shared" ca="1" si="99"/>
        <v>0</v>
      </c>
      <c r="S142" s="568">
        <f t="shared" ca="1" si="99"/>
        <v>0</v>
      </c>
      <c r="T142" s="568">
        <f t="shared" ca="1" si="94"/>
        <v>0</v>
      </c>
      <c r="U142" s="568">
        <f t="shared" ca="1" si="95"/>
        <v>0</v>
      </c>
    </row>
    <row r="143" spans="1:21" ht="18.75" x14ac:dyDescent="0.25">
      <c r="A143" s="674"/>
      <c r="B143" s="561"/>
      <c r="C143" s="561"/>
      <c r="D143" s="561"/>
      <c r="E143" s="569" t="s">
        <v>36</v>
      </c>
      <c r="F143" s="561"/>
      <c r="G143" s="563"/>
      <c r="H143" s="685" t="s">
        <v>14</v>
      </c>
      <c r="I143" s="683"/>
      <c r="J143" s="683"/>
      <c r="K143" s="684"/>
      <c r="L143" s="571">
        <v>0</v>
      </c>
      <c r="M143" s="572">
        <v>0</v>
      </c>
      <c r="N143" s="572">
        <v>0</v>
      </c>
      <c r="O143" s="572">
        <f t="shared" si="91"/>
        <v>0</v>
      </c>
      <c r="P143" s="572">
        <f t="shared" si="92"/>
        <v>0</v>
      </c>
      <c r="Q143" s="572">
        <v>0</v>
      </c>
      <c r="R143" s="572">
        <v>0</v>
      </c>
      <c r="S143" s="572">
        <v>0</v>
      </c>
      <c r="T143" s="572">
        <f t="shared" si="94"/>
        <v>0</v>
      </c>
      <c r="U143" s="572">
        <f t="shared" si="95"/>
        <v>0</v>
      </c>
    </row>
    <row r="144" spans="1:21" ht="18.75" x14ac:dyDescent="0.25">
      <c r="A144" s="674"/>
      <c r="B144" s="561"/>
      <c r="C144" s="561"/>
      <c r="D144" s="561"/>
      <c r="E144" s="573" t="s">
        <v>37</v>
      </c>
      <c r="F144" s="561"/>
      <c r="G144" s="563"/>
      <c r="H144" s="682" t="s">
        <v>14</v>
      </c>
      <c r="I144" s="683"/>
      <c r="J144" s="683"/>
      <c r="K144" s="684"/>
      <c r="L144" s="567">
        <f ca="1">IFERROR(__xludf.DUMMYFUNCTION("IMPORTRANGE(""https://docs.google.com/spreadsheets/d/1-uDff_7J0KD5mKrp0Vvzr7lt3OU09vwQwhkpOPPYv2Y/edit?usp=sharing"",""งบพรบ!BQ19"")"),83100)</f>
        <v>83100</v>
      </c>
      <c r="M144" s="568">
        <f ca="1">IFERROR(__xludf.DUMMYFUNCTION("IMPORTRANGE(""https://docs.google.com/spreadsheets/d/1-uDff_7J0KD5mKrp0Vvzr7lt3OU09vwQwhkpOPPYv2Y/edit?usp=sharing"",""งบพรบ!BV19"")"),78100)</f>
        <v>78100</v>
      </c>
      <c r="N144" s="568">
        <f ca="1">IFERROR(__xludf.DUMMYFUNCTION("IMPORTRANGE(""https://docs.google.com/spreadsheets/d/1-uDff_7J0KD5mKrp0Vvzr7lt3OU09vwQwhkpOPPYv2Y/edit?usp=sharing"",""งบพรบ!BX19"")"),1830)</f>
        <v>1830</v>
      </c>
      <c r="O144" s="568">
        <f t="shared" ca="1" si="91"/>
        <v>2.2021660649819497</v>
      </c>
      <c r="P144" s="568">
        <f t="shared" ca="1" si="92"/>
        <v>2.3431498079385404</v>
      </c>
      <c r="Q144" s="568">
        <f ca="1">IFERROR(__xludf.DUMMYFUNCTION("IMPORTRANGE(""https://docs.google.com/spreadsheets/d/1ItG2mGa2ceCfYo0BwxsXqNm01IGEUdYcSSLTEv9YCik/edit?usp=sharing"",""เบิกจ่ายกองทุน!CF19"")"),309860)</f>
        <v>309860</v>
      </c>
      <c r="R144" s="568">
        <f ca="1">IFERROR(__xludf.DUMMYFUNCTION("IMPORTRANGE(""https://docs.google.com/spreadsheets/d/1ItG2mGa2ceCfYo0BwxsXqNm01IGEUdYcSSLTEv9YCik/edit?usp=sharing"",""เบิกจ่ายกองทุน!CG19"")"),0)</f>
        <v>0</v>
      </c>
      <c r="S144" s="568">
        <f ca="1">IFERROR(__xludf.DUMMYFUNCTION("IMPORTRANGE(""https://docs.google.com/spreadsheets/d/1ItG2mGa2ceCfYo0BwxsXqNm01IGEUdYcSSLTEv9YCik/edit?usp=sharing"",""เบิกจ่ายกองทุน!CH19"")"),0)</f>
        <v>0</v>
      </c>
      <c r="T144" s="568">
        <f t="shared" ca="1" si="94"/>
        <v>0</v>
      </c>
      <c r="U144" s="568">
        <f t="shared" ca="1" si="95"/>
        <v>0</v>
      </c>
    </row>
    <row r="145" spans="1:21" ht="18.75" x14ac:dyDescent="0.25">
      <c r="A145" s="674"/>
      <c r="B145" s="561"/>
      <c r="C145" s="561"/>
      <c r="D145" s="562" t="s">
        <v>23</v>
      </c>
      <c r="E145" s="561"/>
      <c r="F145" s="561"/>
      <c r="G145" s="563"/>
      <c r="H145" s="686" t="s">
        <v>14</v>
      </c>
      <c r="I145" s="683"/>
      <c r="J145" s="683"/>
      <c r="K145" s="684"/>
      <c r="L145" s="567">
        <f t="shared" ref="L145:N145" ca="1" si="100">L146+L147</f>
        <v>0</v>
      </c>
      <c r="M145" s="568">
        <f t="shared" ca="1" si="100"/>
        <v>0</v>
      </c>
      <c r="N145" s="568">
        <f t="shared" ca="1" si="100"/>
        <v>0</v>
      </c>
      <c r="O145" s="568">
        <f t="shared" ca="1" si="91"/>
        <v>0</v>
      </c>
      <c r="P145" s="568">
        <f t="shared" ca="1" si="92"/>
        <v>0</v>
      </c>
      <c r="Q145" s="568">
        <f t="shared" ref="Q145:S145" ca="1" si="101">Q146+Q147</f>
        <v>0</v>
      </c>
      <c r="R145" s="568">
        <f t="shared" ca="1" si="101"/>
        <v>0</v>
      </c>
      <c r="S145" s="568">
        <f t="shared" ca="1" si="101"/>
        <v>0</v>
      </c>
      <c r="T145" s="568">
        <f t="shared" ca="1" si="94"/>
        <v>0</v>
      </c>
      <c r="U145" s="568">
        <f t="shared" ca="1" si="95"/>
        <v>0</v>
      </c>
    </row>
    <row r="146" spans="1:21" ht="18.75" x14ac:dyDescent="0.25">
      <c r="A146" s="674"/>
      <c r="B146" s="561"/>
      <c r="C146" s="561"/>
      <c r="D146" s="561"/>
      <c r="E146" s="569" t="s">
        <v>20</v>
      </c>
      <c r="F146" s="561"/>
      <c r="G146" s="563"/>
      <c r="H146" s="685" t="s">
        <v>14</v>
      </c>
      <c r="I146" s="683"/>
      <c r="J146" s="683"/>
      <c r="K146" s="684"/>
      <c r="L146" s="571">
        <v>0</v>
      </c>
      <c r="M146" s="572">
        <v>0</v>
      </c>
      <c r="N146" s="572">
        <v>0</v>
      </c>
      <c r="O146" s="572">
        <f t="shared" si="91"/>
        <v>0</v>
      </c>
      <c r="P146" s="572">
        <f t="shared" si="92"/>
        <v>0</v>
      </c>
      <c r="Q146" s="572">
        <v>0</v>
      </c>
      <c r="R146" s="572">
        <v>0</v>
      </c>
      <c r="S146" s="572">
        <v>0</v>
      </c>
      <c r="T146" s="572">
        <f t="shared" si="94"/>
        <v>0</v>
      </c>
      <c r="U146" s="572">
        <f t="shared" si="95"/>
        <v>0</v>
      </c>
    </row>
    <row r="147" spans="1:21" ht="18.75" x14ac:dyDescent="0.25">
      <c r="A147" s="674"/>
      <c r="B147" s="561"/>
      <c r="C147" s="561"/>
      <c r="D147" s="561"/>
      <c r="E147" s="573" t="s">
        <v>21</v>
      </c>
      <c r="F147" s="561"/>
      <c r="G147" s="563"/>
      <c r="H147" s="686" t="s">
        <v>14</v>
      </c>
      <c r="I147" s="683"/>
      <c r="J147" s="683"/>
      <c r="K147" s="684"/>
      <c r="L147" s="567">
        <f ca="1">IFERROR(__xludf.DUMMYFUNCTION("IMPORTRANGE(""https://docs.google.com/spreadsheets/d/1-uDff_7J0KD5mKrp0Vvzr7lt3OU09vwQwhkpOPPYv2Y/edit?usp=sharing"",""งบพรบ!BT19"")"),0)</f>
        <v>0</v>
      </c>
      <c r="M147" s="568">
        <f ca="1">IFERROR(__xludf.DUMMYFUNCTION("IMPORTRANGE(""https://docs.google.com/spreadsheets/d/1-uDff_7J0KD5mKrp0Vvzr7lt3OU09vwQwhkpOPPYv2Y/edit?usp=sharing"",""งบพรบ!BW19"")"),0)</f>
        <v>0</v>
      </c>
      <c r="N147" s="568">
        <f ca="1">IFERROR(__xludf.DUMMYFUNCTION("IMPORTRANGE(""https://docs.google.com/spreadsheets/d/1-uDff_7J0KD5mKrp0Vvzr7lt3OU09vwQwhkpOPPYv2Y/edit?usp=sharing"",""งบพรบ!BY19"")"),0)</f>
        <v>0</v>
      </c>
      <c r="O147" s="568">
        <f t="shared" ca="1" si="91"/>
        <v>0</v>
      </c>
      <c r="P147" s="568">
        <f t="shared" ca="1" si="92"/>
        <v>0</v>
      </c>
      <c r="Q147" s="568">
        <f ca="1">IFERROR(__xludf.DUMMYFUNCTION("IMPORTRANGE(""https://docs.google.com/spreadsheets/d/1ItG2mGa2ceCfYo0BwxsXqNm01IGEUdYcSSLTEv9YCik/edit?usp=sharing"",""เบิกจ่ายกองทุน!CI19"")"),0)</f>
        <v>0</v>
      </c>
      <c r="R147" s="568">
        <f ca="1">IFERROR(__xludf.DUMMYFUNCTION("IMPORTRANGE(""https://docs.google.com/spreadsheets/d/1ItG2mGa2ceCfYo0BwxsXqNm01IGEUdYcSSLTEv9YCik/edit?usp=sharing"",""เบิกจ่ายกองทุน!CJ19"")"),0)</f>
        <v>0</v>
      </c>
      <c r="S147" s="568">
        <f ca="1">IFERROR(__xludf.DUMMYFUNCTION("IMPORTRANGE(""https://docs.google.com/spreadsheets/d/1ItG2mGa2ceCfYo0BwxsXqNm01IGEUdYcSSLTEv9YCik/edit?usp=sharing"",""เบิกจ่ายกองทุน!CK19"")"),0)</f>
        <v>0</v>
      </c>
      <c r="T147" s="568">
        <f t="shared" ca="1" si="94"/>
        <v>0</v>
      </c>
      <c r="U147" s="568">
        <f t="shared" ca="1" si="95"/>
        <v>0</v>
      </c>
    </row>
    <row r="148" spans="1:21" ht="19.5" x14ac:dyDescent="0.3">
      <c r="A148" s="687"/>
      <c r="B148" s="688"/>
      <c r="C148" s="675" t="s">
        <v>18</v>
      </c>
      <c r="D148" s="689" t="s">
        <v>38</v>
      </c>
      <c r="E148" s="690"/>
      <c r="F148" s="690"/>
      <c r="G148" s="691"/>
      <c r="H148" s="725"/>
      <c r="I148" s="565"/>
      <c r="J148" s="565"/>
      <c r="K148" s="566"/>
      <c r="L148" s="574"/>
      <c r="M148" s="566"/>
      <c r="N148" s="566"/>
      <c r="O148" s="566"/>
      <c r="P148" s="566"/>
      <c r="Q148" s="566"/>
      <c r="R148" s="566"/>
      <c r="S148" s="566"/>
      <c r="T148" s="566"/>
      <c r="U148" s="566"/>
    </row>
    <row r="149" spans="1:21" ht="18.75" x14ac:dyDescent="0.25">
      <c r="A149" s="674"/>
      <c r="B149" s="561"/>
      <c r="C149" s="561"/>
      <c r="D149" s="573" t="s">
        <v>63</v>
      </c>
      <c r="E149" s="561"/>
      <c r="F149" s="561"/>
      <c r="G149" s="563"/>
      <c r="H149" s="725"/>
      <c r="I149" s="565"/>
      <c r="J149" s="702">
        <v>0</v>
      </c>
      <c r="K149" s="566"/>
      <c r="L149" s="574"/>
      <c r="M149" s="566"/>
      <c r="N149" s="566"/>
      <c r="O149" s="566"/>
      <c r="P149" s="566"/>
      <c r="Q149" s="566"/>
      <c r="R149" s="566"/>
      <c r="S149" s="566"/>
      <c r="T149" s="566"/>
      <c r="U149" s="566"/>
    </row>
    <row r="150" spans="1:21" ht="19.5" x14ac:dyDescent="0.3">
      <c r="A150" s="674"/>
      <c r="B150" s="561"/>
      <c r="C150" s="561"/>
      <c r="D150" s="695"/>
      <c r="E150" s="675" t="s">
        <v>299</v>
      </c>
      <c r="F150" s="561"/>
      <c r="G150" s="563"/>
      <c r="H150" s="686" t="s">
        <v>35</v>
      </c>
      <c r="I150" s="708">
        <f ca="1">IFERROR(__xludf.DUMMYFUNCTION("IMPORTRANGE(""https://docs.google.com/spreadsheets/d/1eHaY18a8A9IcSdp1K8H6x8fbOy06t2VsZHhMHf-1x7Y/edit?usp=sharing"",""แผน!U19"")"),20)</f>
        <v>20</v>
      </c>
      <c r="J150" s="702">
        <v>0</v>
      </c>
      <c r="K150" s="568">
        <f t="shared" ref="K150:K154" ca="1" si="102">IF(I150&gt;0,J150*100/I150,0)</f>
        <v>0</v>
      </c>
      <c r="L150" s="574"/>
      <c r="M150" s="566"/>
      <c r="N150" s="566"/>
      <c r="O150" s="566"/>
      <c r="P150" s="566"/>
      <c r="Q150" s="566"/>
      <c r="R150" s="566"/>
      <c r="S150" s="566"/>
      <c r="T150" s="566"/>
      <c r="U150" s="566"/>
    </row>
    <row r="151" spans="1:21" ht="18.75" x14ac:dyDescent="0.25">
      <c r="A151" s="674"/>
      <c r="B151" s="561"/>
      <c r="C151" s="561"/>
      <c r="D151" s="695"/>
      <c r="E151" s="561"/>
      <c r="F151" s="561"/>
      <c r="G151" s="563"/>
      <c r="H151" s="686" t="s">
        <v>54</v>
      </c>
      <c r="I151" s="708">
        <f ca="1">IFERROR(__xludf.DUMMYFUNCTION("IMPORTRANGE(""https://docs.google.com/spreadsheets/d/1eHaY18a8A9IcSdp1K8H6x8fbOy06t2VsZHhMHf-1x7Y/edit?usp=sharing"",""แผน!V19"")"),2)</f>
        <v>2</v>
      </c>
      <c r="J151" s="702">
        <v>0</v>
      </c>
      <c r="K151" s="568">
        <f t="shared" ca="1" si="102"/>
        <v>0</v>
      </c>
      <c r="L151" s="574"/>
      <c r="M151" s="566"/>
      <c r="N151" s="566"/>
      <c r="O151" s="566"/>
      <c r="P151" s="566"/>
      <c r="Q151" s="566"/>
      <c r="R151" s="566"/>
      <c r="S151" s="566"/>
      <c r="T151" s="566"/>
      <c r="U151" s="566"/>
    </row>
    <row r="152" spans="1:21" ht="19.5" x14ac:dyDescent="0.3">
      <c r="A152" s="674"/>
      <c r="B152" s="561"/>
      <c r="C152" s="561"/>
      <c r="D152" s="695"/>
      <c r="E152" s="675" t="s">
        <v>300</v>
      </c>
      <c r="F152" s="561"/>
      <c r="G152" s="563"/>
      <c r="H152" s="686" t="s">
        <v>35</v>
      </c>
      <c r="I152" s="708">
        <f ca="1">IFERROR(__xludf.DUMMYFUNCTION("IMPORTRANGE(""https://docs.google.com/spreadsheets/d/1eHaY18a8A9IcSdp1K8H6x8fbOy06t2VsZHhMHf-1x7Y/edit?usp=sharing"",""แผน!W19"")"),50)</f>
        <v>50</v>
      </c>
      <c r="J152" s="702">
        <v>0</v>
      </c>
      <c r="K152" s="568">
        <f t="shared" ca="1" si="102"/>
        <v>0</v>
      </c>
      <c r="L152" s="574"/>
      <c r="M152" s="566"/>
      <c r="N152" s="566"/>
      <c r="O152" s="566"/>
      <c r="P152" s="566"/>
      <c r="Q152" s="566"/>
      <c r="R152" s="566"/>
      <c r="S152" s="566"/>
      <c r="T152" s="566"/>
      <c r="U152" s="566"/>
    </row>
    <row r="153" spans="1:21" ht="18.75" x14ac:dyDescent="0.25">
      <c r="A153" s="674"/>
      <c r="B153" s="561"/>
      <c r="C153" s="561"/>
      <c r="D153" s="561"/>
      <c r="E153" s="561"/>
      <c r="F153" s="561"/>
      <c r="G153" s="563"/>
      <c r="H153" s="686" t="s">
        <v>54</v>
      </c>
      <c r="I153" s="708">
        <f ca="1">IFERROR(__xludf.DUMMYFUNCTION("IMPORTRANGE(""https://docs.google.com/spreadsheets/d/1eHaY18a8A9IcSdp1K8H6x8fbOy06t2VsZHhMHf-1x7Y/edit?usp=sharing"",""แผน!X19"")"),5)</f>
        <v>5</v>
      </c>
      <c r="J153" s="702">
        <v>0</v>
      </c>
      <c r="K153" s="568">
        <f t="shared" ca="1" si="102"/>
        <v>0</v>
      </c>
      <c r="L153" s="574"/>
      <c r="M153" s="566"/>
      <c r="N153" s="566"/>
      <c r="O153" s="566"/>
      <c r="P153" s="566"/>
      <c r="Q153" s="566"/>
      <c r="R153" s="566"/>
      <c r="S153" s="566"/>
      <c r="T153" s="566"/>
      <c r="U153" s="566"/>
    </row>
    <row r="154" spans="1:21" ht="18.75" x14ac:dyDescent="0.25">
      <c r="A154" s="674"/>
      <c r="B154" s="561"/>
      <c r="C154" s="561"/>
      <c r="D154" s="573" t="s">
        <v>66</v>
      </c>
      <c r="E154" s="561"/>
      <c r="F154" s="561"/>
      <c r="G154" s="563"/>
      <c r="H154" s="686" t="s">
        <v>61</v>
      </c>
      <c r="I154" s="708">
        <f ca="1">IFERROR(__xludf.DUMMYFUNCTION("IMPORTRANGE(""https://docs.google.com/spreadsheets/d/1eHaY18a8A9IcSdp1K8H6x8fbOy06t2VsZHhMHf-1x7Y/edit?usp=sharing"",""แผน!Y19"")"),2)</f>
        <v>2</v>
      </c>
      <c r="J154" s="702">
        <v>0</v>
      </c>
      <c r="K154" s="568">
        <f t="shared" ca="1" si="102"/>
        <v>0</v>
      </c>
      <c r="L154" s="574"/>
      <c r="M154" s="566"/>
      <c r="N154" s="566"/>
      <c r="O154" s="566"/>
      <c r="P154" s="566"/>
      <c r="Q154" s="566"/>
      <c r="R154" s="566"/>
      <c r="S154" s="566"/>
      <c r="T154" s="566"/>
      <c r="U154" s="566"/>
    </row>
    <row r="155" spans="1:21" ht="19.5" x14ac:dyDescent="0.3">
      <c r="A155" s="662" t="s">
        <v>67</v>
      </c>
      <c r="B155" s="663"/>
      <c r="C155" s="729"/>
      <c r="D155" s="663"/>
      <c r="E155" s="663"/>
      <c r="F155" s="663"/>
      <c r="G155" s="663"/>
      <c r="H155" s="663"/>
      <c r="I155" s="730"/>
      <c r="J155" s="730"/>
      <c r="K155" s="731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</row>
    <row r="156" spans="1:21" ht="19.5" x14ac:dyDescent="0.3">
      <c r="A156" s="669"/>
      <c r="B156" s="544" t="s">
        <v>68</v>
      </c>
      <c r="C156" s="543"/>
      <c r="D156" s="543"/>
      <c r="E156" s="543"/>
      <c r="F156" s="543"/>
      <c r="G156" s="546"/>
      <c r="H156" s="717" t="s">
        <v>35</v>
      </c>
      <c r="I156" s="672">
        <f t="shared" ref="I156:J156" ca="1" si="103">I169</f>
        <v>0</v>
      </c>
      <c r="J156" s="672">
        <f t="shared" si="103"/>
        <v>0</v>
      </c>
      <c r="K156" s="551">
        <f ca="1">IF(I156&gt;0,J156*100/I156,0)</f>
        <v>0</v>
      </c>
      <c r="L156" s="673"/>
      <c r="M156" s="549"/>
      <c r="N156" s="549"/>
      <c r="O156" s="549"/>
      <c r="P156" s="549"/>
      <c r="Q156" s="549"/>
      <c r="R156" s="549"/>
      <c r="S156" s="549"/>
      <c r="T156" s="549"/>
      <c r="U156" s="549"/>
    </row>
    <row r="157" spans="1:21" ht="19.5" x14ac:dyDescent="0.3">
      <c r="A157" s="674"/>
      <c r="B157" s="561"/>
      <c r="C157" s="675" t="s">
        <v>18</v>
      </c>
      <c r="D157" s="676" t="s">
        <v>19</v>
      </c>
      <c r="E157" s="561"/>
      <c r="F157" s="561"/>
      <c r="G157" s="563"/>
      <c r="H157" s="677" t="s">
        <v>14</v>
      </c>
      <c r="I157" s="565"/>
      <c r="J157" s="565"/>
      <c r="K157" s="566"/>
      <c r="L157" s="678">
        <f t="shared" ref="L157:N157" ca="1" si="104">L158+L159</f>
        <v>0</v>
      </c>
      <c r="M157" s="679">
        <f t="shared" ca="1" si="104"/>
        <v>2080</v>
      </c>
      <c r="N157" s="679">
        <f t="shared" ca="1" si="104"/>
        <v>0</v>
      </c>
      <c r="O157" s="679">
        <f t="shared" ref="O157:O165" ca="1" si="105">IF(L157&gt;0,N157*100/L157,0)</f>
        <v>0</v>
      </c>
      <c r="P157" s="679">
        <f t="shared" ref="P157:P165" ca="1" si="106">IF(M157&gt;0,N157*100/M157,0)</f>
        <v>0</v>
      </c>
      <c r="Q157" s="679">
        <f t="shared" ref="Q157:S157" ca="1" si="107">Q158+Q159</f>
        <v>0</v>
      </c>
      <c r="R157" s="679">
        <f t="shared" ca="1" si="107"/>
        <v>0</v>
      </c>
      <c r="S157" s="679">
        <f t="shared" ca="1" si="107"/>
        <v>0</v>
      </c>
      <c r="T157" s="679">
        <f t="shared" ref="T157:T165" ca="1" si="108">IF(Q157&gt;0,S157*100/Q157,0)</f>
        <v>0</v>
      </c>
      <c r="U157" s="679">
        <f t="shared" ref="U157:U165" ca="1" si="109">IF(R157&gt;0,S157*100/R157,0)</f>
        <v>0</v>
      </c>
    </row>
    <row r="158" spans="1:21" ht="18.75" x14ac:dyDescent="0.25">
      <c r="A158" s="674"/>
      <c r="B158" s="561"/>
      <c r="C158" s="561"/>
      <c r="D158" s="561"/>
      <c r="E158" s="569" t="s">
        <v>20</v>
      </c>
      <c r="F158" s="561"/>
      <c r="G158" s="563"/>
      <c r="H158" s="680" t="s">
        <v>14</v>
      </c>
      <c r="I158" s="565"/>
      <c r="J158" s="565"/>
      <c r="K158" s="566"/>
      <c r="L158" s="571">
        <f t="shared" ref="L158:N159" si="110">L161+L164</f>
        <v>0</v>
      </c>
      <c r="M158" s="572">
        <f t="shared" si="110"/>
        <v>0</v>
      </c>
      <c r="N158" s="572">
        <f t="shared" si="110"/>
        <v>0</v>
      </c>
      <c r="O158" s="572">
        <f t="shared" si="105"/>
        <v>0</v>
      </c>
      <c r="P158" s="572">
        <f t="shared" si="106"/>
        <v>0</v>
      </c>
      <c r="Q158" s="572">
        <f t="shared" ref="Q158:S159" si="111">Q161+Q164</f>
        <v>0</v>
      </c>
      <c r="R158" s="572">
        <f t="shared" si="111"/>
        <v>0</v>
      </c>
      <c r="S158" s="572">
        <f t="shared" si="111"/>
        <v>0</v>
      </c>
      <c r="T158" s="572">
        <f t="shared" si="108"/>
        <v>0</v>
      </c>
      <c r="U158" s="572">
        <f t="shared" si="109"/>
        <v>0</v>
      </c>
    </row>
    <row r="159" spans="1:21" ht="18.75" x14ac:dyDescent="0.25">
      <c r="A159" s="674"/>
      <c r="B159" s="561"/>
      <c r="C159" s="561"/>
      <c r="D159" s="561"/>
      <c r="E159" s="573" t="s">
        <v>21</v>
      </c>
      <c r="F159" s="561"/>
      <c r="G159" s="563"/>
      <c r="H159" s="681" t="s">
        <v>14</v>
      </c>
      <c r="I159" s="565"/>
      <c r="J159" s="565"/>
      <c r="K159" s="566"/>
      <c r="L159" s="567">
        <f t="shared" ca="1" si="110"/>
        <v>0</v>
      </c>
      <c r="M159" s="568">
        <f t="shared" ca="1" si="110"/>
        <v>2080</v>
      </c>
      <c r="N159" s="568">
        <f t="shared" ca="1" si="110"/>
        <v>0</v>
      </c>
      <c r="O159" s="568">
        <f t="shared" ca="1" si="105"/>
        <v>0</v>
      </c>
      <c r="P159" s="568">
        <f t="shared" ca="1" si="106"/>
        <v>0</v>
      </c>
      <c r="Q159" s="568">
        <f t="shared" ca="1" si="111"/>
        <v>0</v>
      </c>
      <c r="R159" s="568">
        <f t="shared" ca="1" si="111"/>
        <v>0</v>
      </c>
      <c r="S159" s="568">
        <f t="shared" ca="1" si="111"/>
        <v>0</v>
      </c>
      <c r="T159" s="568">
        <f t="shared" ca="1" si="108"/>
        <v>0</v>
      </c>
      <c r="U159" s="568">
        <f t="shared" ca="1" si="109"/>
        <v>0</v>
      </c>
    </row>
    <row r="160" spans="1:21" ht="18.75" x14ac:dyDescent="0.25">
      <c r="A160" s="674"/>
      <c r="B160" s="561"/>
      <c r="C160" s="561"/>
      <c r="D160" s="562" t="s">
        <v>22</v>
      </c>
      <c r="E160" s="561"/>
      <c r="F160" s="561"/>
      <c r="G160" s="563"/>
      <c r="H160" s="682" t="s">
        <v>14</v>
      </c>
      <c r="I160" s="683"/>
      <c r="J160" s="683"/>
      <c r="K160" s="684"/>
      <c r="L160" s="567">
        <f t="shared" ref="L160:N160" ca="1" si="112">L161+L162</f>
        <v>0</v>
      </c>
      <c r="M160" s="568">
        <f t="shared" ca="1" si="112"/>
        <v>2080</v>
      </c>
      <c r="N160" s="568">
        <f t="shared" ca="1" si="112"/>
        <v>0</v>
      </c>
      <c r="O160" s="568">
        <f t="shared" ca="1" si="105"/>
        <v>0</v>
      </c>
      <c r="P160" s="568">
        <f t="shared" ca="1" si="106"/>
        <v>0</v>
      </c>
      <c r="Q160" s="568">
        <f t="shared" ref="Q160:S160" ca="1" si="113">Q161+Q162</f>
        <v>0</v>
      </c>
      <c r="R160" s="568">
        <f t="shared" ca="1" si="113"/>
        <v>0</v>
      </c>
      <c r="S160" s="568">
        <f t="shared" ca="1" si="113"/>
        <v>0</v>
      </c>
      <c r="T160" s="568">
        <f t="shared" ca="1" si="108"/>
        <v>0</v>
      </c>
      <c r="U160" s="568">
        <f t="shared" ca="1" si="109"/>
        <v>0</v>
      </c>
    </row>
    <row r="161" spans="1:21" ht="18.75" x14ac:dyDescent="0.25">
      <c r="A161" s="674"/>
      <c r="B161" s="561"/>
      <c r="C161" s="561"/>
      <c r="D161" s="561"/>
      <c r="E161" s="569" t="s">
        <v>36</v>
      </c>
      <c r="F161" s="561"/>
      <c r="G161" s="563"/>
      <c r="H161" s="685" t="s">
        <v>14</v>
      </c>
      <c r="I161" s="683"/>
      <c r="J161" s="683"/>
      <c r="K161" s="684"/>
      <c r="L161" s="571">
        <v>0</v>
      </c>
      <c r="M161" s="572">
        <v>0</v>
      </c>
      <c r="N161" s="572">
        <v>0</v>
      </c>
      <c r="O161" s="572">
        <f t="shared" si="105"/>
        <v>0</v>
      </c>
      <c r="P161" s="572">
        <f t="shared" si="106"/>
        <v>0</v>
      </c>
      <c r="Q161" s="572">
        <v>0</v>
      </c>
      <c r="R161" s="572">
        <v>0</v>
      </c>
      <c r="S161" s="572">
        <v>0</v>
      </c>
      <c r="T161" s="572">
        <f t="shared" si="108"/>
        <v>0</v>
      </c>
      <c r="U161" s="572">
        <f t="shared" si="109"/>
        <v>0</v>
      </c>
    </row>
    <row r="162" spans="1:21" ht="18.75" x14ac:dyDescent="0.25">
      <c r="A162" s="674"/>
      <c r="B162" s="561"/>
      <c r="C162" s="561"/>
      <c r="D162" s="561"/>
      <c r="E162" s="573" t="s">
        <v>37</v>
      </c>
      <c r="F162" s="561"/>
      <c r="G162" s="563"/>
      <c r="H162" s="682" t="s">
        <v>14</v>
      </c>
      <c r="I162" s="683"/>
      <c r="J162" s="683"/>
      <c r="K162" s="684"/>
      <c r="L162" s="567">
        <f ca="1">IFERROR(__xludf.DUMMYFUNCTION("IMPORTRANGE(""https://docs.google.com/spreadsheets/d/1-uDff_7J0KD5mKrp0Vvzr7lt3OU09vwQwhkpOPPYv2Y/edit?usp=sharing"",""งบพรบ!CA19"")"),0)</f>
        <v>0</v>
      </c>
      <c r="M162" s="568">
        <f ca="1">IFERROR(__xludf.DUMMYFUNCTION("IMPORTRANGE(""https://docs.google.com/spreadsheets/d/1-uDff_7J0KD5mKrp0Vvzr7lt3OU09vwQwhkpOPPYv2Y/edit?usp=sharing"",""งบพรบ!CF19"")"),2080)</f>
        <v>2080</v>
      </c>
      <c r="N162" s="568">
        <f ca="1">IFERROR(__xludf.DUMMYFUNCTION("IMPORTRANGE(""https://docs.google.com/spreadsheets/d/1-uDff_7J0KD5mKrp0Vvzr7lt3OU09vwQwhkpOPPYv2Y/edit?usp=sharing"",""งบพรบ!CH19"")"),0)</f>
        <v>0</v>
      </c>
      <c r="O162" s="568">
        <f t="shared" ca="1" si="105"/>
        <v>0</v>
      </c>
      <c r="P162" s="568">
        <f t="shared" ca="1" si="106"/>
        <v>0</v>
      </c>
      <c r="Q162" s="568">
        <f ca="1">IFERROR(__xludf.DUMMYFUNCTION("IMPORTRANGE(""https://docs.google.com/spreadsheets/d/1ItG2mGa2ceCfYo0BwxsXqNm01IGEUdYcSSLTEv9YCik/edit?usp=sharing"",""เบิกจ่ายกองทุน!AM19"")"),0)</f>
        <v>0</v>
      </c>
      <c r="R162" s="568">
        <f ca="1">IFERROR(__xludf.DUMMYFUNCTION("IMPORTRANGE(""https://docs.google.com/spreadsheets/d/1ItG2mGa2ceCfYo0BwxsXqNm01IGEUdYcSSLTEv9YCik/edit?usp=sharing"",""เบิกจ่ายกองทุน!AN19"")"),0)</f>
        <v>0</v>
      </c>
      <c r="S162" s="568">
        <f ca="1">IFERROR(__xludf.DUMMYFUNCTION("IMPORTRANGE(""https://docs.google.com/spreadsheets/d/1ItG2mGa2ceCfYo0BwxsXqNm01IGEUdYcSSLTEv9YCik/edit?usp=sharing"",""เบิกจ่ายกองทุน!AO19"")"),0)</f>
        <v>0</v>
      </c>
      <c r="T162" s="568">
        <f t="shared" ca="1" si="108"/>
        <v>0</v>
      </c>
      <c r="U162" s="568">
        <f t="shared" ca="1" si="109"/>
        <v>0</v>
      </c>
    </row>
    <row r="163" spans="1:21" ht="18.75" x14ac:dyDescent="0.25">
      <c r="A163" s="674"/>
      <c r="B163" s="561"/>
      <c r="C163" s="561"/>
      <c r="D163" s="562" t="s">
        <v>23</v>
      </c>
      <c r="E163" s="561"/>
      <c r="F163" s="561"/>
      <c r="G163" s="563"/>
      <c r="H163" s="686" t="s">
        <v>14</v>
      </c>
      <c r="I163" s="683"/>
      <c r="J163" s="683"/>
      <c r="K163" s="684"/>
      <c r="L163" s="567">
        <f t="shared" ref="L163:N163" ca="1" si="114">L164+L165</f>
        <v>0</v>
      </c>
      <c r="M163" s="568">
        <f t="shared" ca="1" si="114"/>
        <v>0</v>
      </c>
      <c r="N163" s="568">
        <f t="shared" ca="1" si="114"/>
        <v>0</v>
      </c>
      <c r="O163" s="568">
        <f t="shared" ca="1" si="105"/>
        <v>0</v>
      </c>
      <c r="P163" s="568">
        <f t="shared" ca="1" si="106"/>
        <v>0</v>
      </c>
      <c r="Q163" s="568">
        <f t="shared" ref="Q163:S163" si="115">Q164+Q165</f>
        <v>0</v>
      </c>
      <c r="R163" s="568">
        <f t="shared" si="115"/>
        <v>0</v>
      </c>
      <c r="S163" s="568">
        <f t="shared" si="115"/>
        <v>0</v>
      </c>
      <c r="T163" s="568">
        <f t="shared" si="108"/>
        <v>0</v>
      </c>
      <c r="U163" s="568">
        <f t="shared" si="109"/>
        <v>0</v>
      </c>
    </row>
    <row r="164" spans="1:21" ht="18.75" x14ac:dyDescent="0.25">
      <c r="A164" s="674"/>
      <c r="B164" s="561"/>
      <c r="C164" s="561"/>
      <c r="D164" s="561"/>
      <c r="E164" s="569" t="s">
        <v>20</v>
      </c>
      <c r="F164" s="561"/>
      <c r="G164" s="563"/>
      <c r="H164" s="685" t="s">
        <v>14</v>
      </c>
      <c r="I164" s="683"/>
      <c r="J164" s="683"/>
      <c r="K164" s="684"/>
      <c r="L164" s="571">
        <v>0</v>
      </c>
      <c r="M164" s="572">
        <v>0</v>
      </c>
      <c r="N164" s="572">
        <v>0</v>
      </c>
      <c r="O164" s="572">
        <f t="shared" si="105"/>
        <v>0</v>
      </c>
      <c r="P164" s="572">
        <f t="shared" si="106"/>
        <v>0</v>
      </c>
      <c r="Q164" s="572">
        <v>0</v>
      </c>
      <c r="R164" s="572">
        <v>0</v>
      </c>
      <c r="S164" s="572">
        <v>0</v>
      </c>
      <c r="T164" s="572">
        <f t="shared" si="108"/>
        <v>0</v>
      </c>
      <c r="U164" s="572">
        <f t="shared" si="109"/>
        <v>0</v>
      </c>
    </row>
    <row r="165" spans="1:21" ht="18.75" x14ac:dyDescent="0.25">
      <c r="A165" s="674"/>
      <c r="B165" s="561"/>
      <c r="C165" s="561"/>
      <c r="D165" s="561"/>
      <c r="E165" s="573" t="s">
        <v>21</v>
      </c>
      <c r="F165" s="561"/>
      <c r="G165" s="563"/>
      <c r="H165" s="686" t="s">
        <v>14</v>
      </c>
      <c r="I165" s="683"/>
      <c r="J165" s="683"/>
      <c r="K165" s="684"/>
      <c r="L165" s="567">
        <f ca="1">IFERROR(__xludf.DUMMYFUNCTION("IMPORTRANGE(""https://docs.google.com/spreadsheets/d/1-uDff_7J0KD5mKrp0Vvzr7lt3OU09vwQwhkpOPPYv2Y/edit?usp=sharing"",""งบพรบ!CD19"")"),0)</f>
        <v>0</v>
      </c>
      <c r="M165" s="568">
        <f ca="1">IFERROR(__xludf.DUMMYFUNCTION("IMPORTRANGE(""https://docs.google.com/spreadsheets/d/1-uDff_7J0KD5mKrp0Vvzr7lt3OU09vwQwhkpOPPYv2Y/edit?usp=sharing"",""งบพรบ!CG19"")"),0)</f>
        <v>0</v>
      </c>
      <c r="N165" s="568">
        <f ca="1">IFERROR(__xludf.DUMMYFUNCTION("IMPORTRANGE(""https://docs.google.com/spreadsheets/d/1-uDff_7J0KD5mKrp0Vvzr7lt3OU09vwQwhkpOPPYv2Y/edit?usp=sharing"",""งบพรบ!CI19"")"),0)</f>
        <v>0</v>
      </c>
      <c r="O165" s="568">
        <f t="shared" ca="1" si="105"/>
        <v>0</v>
      </c>
      <c r="P165" s="568">
        <f t="shared" ca="1" si="106"/>
        <v>0</v>
      </c>
      <c r="Q165" s="568">
        <v>0</v>
      </c>
      <c r="R165" s="568">
        <v>0</v>
      </c>
      <c r="S165" s="568">
        <v>0</v>
      </c>
      <c r="T165" s="568">
        <f t="shared" si="108"/>
        <v>0</v>
      </c>
      <c r="U165" s="568">
        <f t="shared" si="109"/>
        <v>0</v>
      </c>
    </row>
    <row r="166" spans="1:21" ht="19.5" x14ac:dyDescent="0.3">
      <c r="A166" s="687"/>
      <c r="B166" s="688"/>
      <c r="C166" s="675" t="s">
        <v>18</v>
      </c>
      <c r="D166" s="689" t="s">
        <v>38</v>
      </c>
      <c r="E166" s="690"/>
      <c r="F166" s="690"/>
      <c r="G166" s="691"/>
      <c r="H166" s="725"/>
      <c r="I166" s="565"/>
      <c r="J166" s="565"/>
      <c r="K166" s="566"/>
      <c r="L166" s="574"/>
      <c r="M166" s="566"/>
      <c r="N166" s="566"/>
      <c r="O166" s="566"/>
      <c r="P166" s="566"/>
      <c r="Q166" s="566"/>
      <c r="R166" s="566"/>
      <c r="S166" s="566"/>
      <c r="T166" s="566"/>
      <c r="U166" s="566"/>
    </row>
    <row r="167" spans="1:21" ht="18.75" x14ac:dyDescent="0.25">
      <c r="A167" s="674"/>
      <c r="B167" s="561"/>
      <c r="C167" s="561"/>
      <c r="D167" s="573" t="s">
        <v>69</v>
      </c>
      <c r="E167" s="561"/>
      <c r="F167" s="561"/>
      <c r="G167" s="563"/>
      <c r="H167" s="686" t="s">
        <v>35</v>
      </c>
      <c r="I167" s="708">
        <f ca="1">IFERROR(__xludf.DUMMYFUNCTION("IMPORTRANGE(""https://docs.google.com/spreadsheets/d/1eHaY18a8A9IcSdp1K8H6x8fbOy06t2VsZHhMHf-1x7Y/edit?usp=sharing"",""แผน!Z19"")"),0)</f>
        <v>0</v>
      </c>
      <c r="J167" s="702">
        <v>0</v>
      </c>
      <c r="K167" s="568">
        <f t="shared" ref="K167:K169" ca="1" si="116">IF(I167&gt;0,J167*100/I167,0)</f>
        <v>0</v>
      </c>
      <c r="L167" s="574"/>
      <c r="M167" s="566"/>
      <c r="N167" s="566"/>
      <c r="O167" s="566"/>
      <c r="P167" s="566"/>
      <c r="Q167" s="566"/>
      <c r="R167" s="566"/>
      <c r="S167" s="566"/>
      <c r="T167" s="566"/>
      <c r="U167" s="566"/>
    </row>
    <row r="168" spans="1:21" ht="18.75" x14ac:dyDescent="0.25">
      <c r="A168" s="674"/>
      <c r="B168" s="561"/>
      <c r="C168" s="561"/>
      <c r="D168" s="569" t="s">
        <v>70</v>
      </c>
      <c r="E168" s="561"/>
      <c r="F168" s="561"/>
      <c r="G168" s="563"/>
      <c r="H168" s="734" t="s">
        <v>35</v>
      </c>
      <c r="I168" s="735">
        <f ca="1">IFERROR(__xludf.DUMMYFUNCTION("IMPORTRANGE(""https://docs.google.com/spreadsheets/d/1eHaY18a8A9IcSdp1K8H6x8fbOy06t2VsZHhMHf-1x7Y/edit?usp=sharing"",""แผน!Z19"")"),0)</f>
        <v>0</v>
      </c>
      <c r="J168" s="736">
        <v>0</v>
      </c>
      <c r="K168" s="572">
        <f t="shared" ca="1" si="116"/>
        <v>0</v>
      </c>
      <c r="L168" s="574"/>
      <c r="M168" s="566"/>
      <c r="N168" s="566"/>
      <c r="O168" s="566"/>
      <c r="P168" s="566"/>
      <c r="Q168" s="566"/>
      <c r="R168" s="566"/>
      <c r="S168" s="566"/>
      <c r="T168" s="566"/>
      <c r="U168" s="566"/>
    </row>
    <row r="169" spans="1:21" ht="18.75" x14ac:dyDescent="0.25">
      <c r="A169" s="737"/>
      <c r="B169" s="513"/>
      <c r="C169" s="513"/>
      <c r="D169" s="738" t="s">
        <v>71</v>
      </c>
      <c r="E169" s="513"/>
      <c r="F169" s="513"/>
      <c r="G169" s="577"/>
      <c r="H169" s="739" t="s">
        <v>35</v>
      </c>
      <c r="I169" s="740">
        <f ca="1">IFERROR(__xludf.DUMMYFUNCTION("IMPORTRANGE(""https://docs.google.com/spreadsheets/d/1eHaY18a8A9IcSdp1K8H6x8fbOy06t2VsZHhMHf-1x7Y/edit?usp=sharing"",""แผน!Z19"")"),0)</f>
        <v>0</v>
      </c>
      <c r="J169" s="741">
        <v>0</v>
      </c>
      <c r="K169" s="742">
        <f t="shared" ca="1" si="116"/>
        <v>0</v>
      </c>
      <c r="L169" s="581"/>
      <c r="M169" s="580"/>
      <c r="N169" s="580"/>
      <c r="O169" s="580"/>
      <c r="P169" s="580"/>
      <c r="Q169" s="580"/>
      <c r="R169" s="580"/>
      <c r="S169" s="580"/>
      <c r="T169" s="580"/>
      <c r="U169" s="580"/>
    </row>
    <row r="170" spans="1:21" ht="19.5" x14ac:dyDescent="0.3">
      <c r="A170" s="743" t="s">
        <v>72</v>
      </c>
      <c r="B170" s="744"/>
      <c r="C170" s="744"/>
      <c r="D170" s="744"/>
      <c r="E170" s="745"/>
      <c r="F170" s="745"/>
      <c r="G170" s="745"/>
      <c r="H170" s="745"/>
      <c r="I170" s="746"/>
      <c r="J170" s="746"/>
      <c r="K170" s="747"/>
      <c r="L170" s="747"/>
      <c r="M170" s="747"/>
      <c r="N170" s="747"/>
      <c r="O170" s="747"/>
      <c r="P170" s="748"/>
      <c r="Q170" s="747"/>
      <c r="R170" s="747"/>
      <c r="S170" s="747"/>
      <c r="T170" s="747"/>
      <c r="U170" s="748"/>
    </row>
    <row r="171" spans="1:21" ht="19.5" x14ac:dyDescent="0.3">
      <c r="A171" s="749" t="s">
        <v>73</v>
      </c>
      <c r="B171" s="750"/>
      <c r="C171" s="750"/>
      <c r="D171" s="751"/>
      <c r="E171" s="751"/>
      <c r="F171" s="751"/>
      <c r="G171" s="751"/>
      <c r="H171" s="752"/>
      <c r="I171" s="753"/>
      <c r="J171" s="753"/>
      <c r="K171" s="754"/>
      <c r="L171" s="755"/>
      <c r="M171" s="754"/>
      <c r="N171" s="754"/>
      <c r="O171" s="754"/>
      <c r="P171" s="754"/>
      <c r="Q171" s="754"/>
      <c r="R171" s="754"/>
      <c r="S171" s="754"/>
      <c r="T171" s="754"/>
      <c r="U171" s="754"/>
    </row>
    <row r="172" spans="1:21" ht="19.5" x14ac:dyDescent="0.3">
      <c r="A172" s="756"/>
      <c r="B172" s="757" t="s">
        <v>74</v>
      </c>
      <c r="C172" s="758"/>
      <c r="D172" s="690"/>
      <c r="E172" s="690"/>
      <c r="F172" s="690"/>
      <c r="G172" s="691"/>
      <c r="H172" s="759" t="s">
        <v>35</v>
      </c>
      <c r="I172" s="760">
        <f t="shared" ref="I172:J172" ca="1" si="117">I183+I184</f>
        <v>17</v>
      </c>
      <c r="J172" s="760">
        <f t="shared" si="117"/>
        <v>7</v>
      </c>
      <c r="K172" s="761">
        <f ca="1">IF(I172&gt;0,J172*100/I172,0)</f>
        <v>41.176470588235297</v>
      </c>
      <c r="L172" s="762"/>
      <c r="M172" s="763"/>
      <c r="N172" s="763"/>
      <c r="O172" s="763"/>
      <c r="P172" s="763"/>
      <c r="Q172" s="763"/>
      <c r="R172" s="763"/>
      <c r="S172" s="763"/>
      <c r="T172" s="763"/>
      <c r="U172" s="763"/>
    </row>
    <row r="173" spans="1:21" ht="19.5" x14ac:dyDescent="0.3">
      <c r="A173" s="674"/>
      <c r="B173" s="561"/>
      <c r="C173" s="675" t="s">
        <v>18</v>
      </c>
      <c r="D173" s="676" t="s">
        <v>19</v>
      </c>
      <c r="E173" s="561"/>
      <c r="F173" s="561"/>
      <c r="G173" s="563"/>
      <c r="H173" s="677" t="s">
        <v>14</v>
      </c>
      <c r="I173" s="565"/>
      <c r="J173" s="565"/>
      <c r="K173" s="566"/>
      <c r="L173" s="678">
        <f t="shared" ref="L173:N173" ca="1" si="118">L174+L175</f>
        <v>19590</v>
      </c>
      <c r="M173" s="679">
        <f t="shared" ca="1" si="118"/>
        <v>228195</v>
      </c>
      <c r="N173" s="679">
        <f t="shared" ca="1" si="118"/>
        <v>202565</v>
      </c>
      <c r="O173" s="679">
        <f t="shared" ref="O173:O181" ca="1" si="119">IF(L173&gt;0,N173*100/L173,0)</f>
        <v>1034.0224604389996</v>
      </c>
      <c r="P173" s="679">
        <f t="shared" ref="P173:P181" ca="1" si="120">IF(M173&gt;0,N173*100/M173,0)</f>
        <v>88.76837792239094</v>
      </c>
      <c r="Q173" s="679">
        <f t="shared" ref="Q173:S173" ca="1" si="121">Q174+Q175</f>
        <v>0</v>
      </c>
      <c r="R173" s="679">
        <f t="shared" ca="1" si="121"/>
        <v>0</v>
      </c>
      <c r="S173" s="679">
        <f t="shared" ca="1" si="121"/>
        <v>0</v>
      </c>
      <c r="T173" s="679">
        <f t="shared" ref="T173:T181" ca="1" si="122">IF(Q173&gt;0,S173*100/Q173,0)</f>
        <v>0</v>
      </c>
      <c r="U173" s="679">
        <f t="shared" ref="U173:U181" ca="1" si="123">IF(R173&gt;0,S173*100/R173,0)</f>
        <v>0</v>
      </c>
    </row>
    <row r="174" spans="1:21" ht="18.75" x14ac:dyDescent="0.25">
      <c r="A174" s="674"/>
      <c r="B174" s="561"/>
      <c r="C174" s="561"/>
      <c r="D174" s="561"/>
      <c r="E174" s="569" t="s">
        <v>20</v>
      </c>
      <c r="F174" s="561"/>
      <c r="G174" s="563"/>
      <c r="H174" s="680" t="s">
        <v>14</v>
      </c>
      <c r="I174" s="565"/>
      <c r="J174" s="565"/>
      <c r="K174" s="566"/>
      <c r="L174" s="571">
        <f t="shared" ref="L174:N175" si="124">L177+L180</f>
        <v>0</v>
      </c>
      <c r="M174" s="572">
        <f t="shared" si="124"/>
        <v>0</v>
      </c>
      <c r="N174" s="572">
        <f t="shared" si="124"/>
        <v>0</v>
      </c>
      <c r="O174" s="572">
        <f t="shared" si="119"/>
        <v>0</v>
      </c>
      <c r="P174" s="572">
        <f t="shared" si="120"/>
        <v>0</v>
      </c>
      <c r="Q174" s="572">
        <f t="shared" ref="Q174:S175" si="125">Q177+Q180</f>
        <v>0</v>
      </c>
      <c r="R174" s="572">
        <f t="shared" si="125"/>
        <v>0</v>
      </c>
      <c r="S174" s="572">
        <f t="shared" si="125"/>
        <v>0</v>
      </c>
      <c r="T174" s="572">
        <f t="shared" si="122"/>
        <v>0</v>
      </c>
      <c r="U174" s="572">
        <f t="shared" si="123"/>
        <v>0</v>
      </c>
    </row>
    <row r="175" spans="1:21" ht="18.75" x14ac:dyDescent="0.25">
      <c r="A175" s="674"/>
      <c r="B175" s="561"/>
      <c r="C175" s="561"/>
      <c r="D175" s="561"/>
      <c r="E175" s="573" t="s">
        <v>21</v>
      </c>
      <c r="F175" s="561"/>
      <c r="G175" s="563"/>
      <c r="H175" s="681" t="s">
        <v>14</v>
      </c>
      <c r="I175" s="565"/>
      <c r="J175" s="565"/>
      <c r="K175" s="566"/>
      <c r="L175" s="567">
        <f t="shared" ca="1" si="124"/>
        <v>19590</v>
      </c>
      <c r="M175" s="568">
        <f t="shared" ca="1" si="124"/>
        <v>228195</v>
      </c>
      <c r="N175" s="568">
        <f t="shared" ca="1" si="124"/>
        <v>202565</v>
      </c>
      <c r="O175" s="568">
        <f t="shared" ca="1" si="119"/>
        <v>1034.0224604389996</v>
      </c>
      <c r="P175" s="568">
        <f t="shared" ca="1" si="120"/>
        <v>88.76837792239094</v>
      </c>
      <c r="Q175" s="568">
        <f t="shared" ca="1" si="125"/>
        <v>0</v>
      </c>
      <c r="R175" s="568">
        <f t="shared" ca="1" si="125"/>
        <v>0</v>
      </c>
      <c r="S175" s="568">
        <f t="shared" ca="1" si="125"/>
        <v>0</v>
      </c>
      <c r="T175" s="568">
        <f t="shared" ca="1" si="122"/>
        <v>0</v>
      </c>
      <c r="U175" s="568">
        <f t="shared" ca="1" si="123"/>
        <v>0</v>
      </c>
    </row>
    <row r="176" spans="1:21" ht="18.75" x14ac:dyDescent="0.25">
      <c r="A176" s="674"/>
      <c r="B176" s="561"/>
      <c r="C176" s="561"/>
      <c r="D176" s="562" t="s">
        <v>22</v>
      </c>
      <c r="E176" s="561"/>
      <c r="F176" s="561"/>
      <c r="G176" s="563"/>
      <c r="H176" s="682" t="s">
        <v>14</v>
      </c>
      <c r="I176" s="683"/>
      <c r="J176" s="683"/>
      <c r="K176" s="684"/>
      <c r="L176" s="567">
        <f t="shared" ref="L176:N176" ca="1" si="126">L177+L178</f>
        <v>19590</v>
      </c>
      <c r="M176" s="568">
        <f t="shared" ca="1" si="126"/>
        <v>228195</v>
      </c>
      <c r="N176" s="568">
        <f t="shared" ca="1" si="126"/>
        <v>202565</v>
      </c>
      <c r="O176" s="568">
        <f t="shared" ca="1" si="119"/>
        <v>1034.0224604389996</v>
      </c>
      <c r="P176" s="568">
        <f t="shared" ca="1" si="120"/>
        <v>88.76837792239094</v>
      </c>
      <c r="Q176" s="568">
        <f t="shared" ref="Q176:S176" ca="1" si="127">Q177+Q178</f>
        <v>0</v>
      </c>
      <c r="R176" s="568">
        <f t="shared" ca="1" si="127"/>
        <v>0</v>
      </c>
      <c r="S176" s="568">
        <f t="shared" ca="1" si="127"/>
        <v>0</v>
      </c>
      <c r="T176" s="568">
        <f t="shared" ca="1" si="122"/>
        <v>0</v>
      </c>
      <c r="U176" s="568">
        <f t="shared" ca="1" si="123"/>
        <v>0</v>
      </c>
    </row>
    <row r="177" spans="1:21" ht="18.75" x14ac:dyDescent="0.25">
      <c r="A177" s="674"/>
      <c r="B177" s="561"/>
      <c r="C177" s="561"/>
      <c r="D177" s="561"/>
      <c r="E177" s="569" t="s">
        <v>36</v>
      </c>
      <c r="F177" s="561"/>
      <c r="G177" s="563"/>
      <c r="H177" s="685" t="s">
        <v>14</v>
      </c>
      <c r="I177" s="683"/>
      <c r="J177" s="683"/>
      <c r="K177" s="684"/>
      <c r="L177" s="571">
        <v>0</v>
      </c>
      <c r="M177" s="572">
        <v>0</v>
      </c>
      <c r="N177" s="572">
        <v>0</v>
      </c>
      <c r="O177" s="572">
        <f t="shared" si="119"/>
        <v>0</v>
      </c>
      <c r="P177" s="572">
        <f t="shared" si="120"/>
        <v>0</v>
      </c>
      <c r="Q177" s="572">
        <v>0</v>
      </c>
      <c r="R177" s="572">
        <v>0</v>
      </c>
      <c r="S177" s="572">
        <v>0</v>
      </c>
      <c r="T177" s="572">
        <f t="shared" si="122"/>
        <v>0</v>
      </c>
      <c r="U177" s="572">
        <f t="shared" si="123"/>
        <v>0</v>
      </c>
    </row>
    <row r="178" spans="1:21" ht="18.75" x14ac:dyDescent="0.25">
      <c r="A178" s="674"/>
      <c r="B178" s="561"/>
      <c r="C178" s="561"/>
      <c r="D178" s="561"/>
      <c r="E178" s="573" t="s">
        <v>37</v>
      </c>
      <c r="F178" s="561"/>
      <c r="G178" s="563"/>
      <c r="H178" s="682" t="s">
        <v>14</v>
      </c>
      <c r="I178" s="683"/>
      <c r="J178" s="683"/>
      <c r="K178" s="684"/>
      <c r="L178" s="567">
        <f ca="1">IFERROR(__xludf.DUMMYFUNCTION("IMPORTRANGE(""https://docs.google.com/spreadsheets/d/1-uDff_7J0KD5mKrp0Vvzr7lt3OU09vwQwhkpOPPYv2Y/edit?usp=sharing"",""งบพรบ!CK19"")"),19590)</f>
        <v>19590</v>
      </c>
      <c r="M178" s="568">
        <f ca="1">IFERROR(__xludf.DUMMYFUNCTION("IMPORTRANGE(""https://docs.google.com/spreadsheets/d/1-uDff_7J0KD5mKrp0Vvzr7lt3OU09vwQwhkpOPPYv2Y/edit?usp=sharing"",""งบพรบ!CP19"")"),228195)</f>
        <v>228195</v>
      </c>
      <c r="N178" s="568">
        <f ca="1">IFERROR(__xludf.DUMMYFUNCTION("IMPORTRANGE(""https://docs.google.com/spreadsheets/d/1-uDff_7J0KD5mKrp0Vvzr7lt3OU09vwQwhkpOPPYv2Y/edit?usp=sharing"",""งบพรบ!CR19"")"),202565)</f>
        <v>202565</v>
      </c>
      <c r="O178" s="568">
        <f t="shared" ca="1" si="119"/>
        <v>1034.0224604389996</v>
      </c>
      <c r="P178" s="568">
        <f t="shared" ca="1" si="120"/>
        <v>88.76837792239094</v>
      </c>
      <c r="Q178" s="568">
        <f ca="1">IFERROR(__xludf.DUMMYFUNCTION("IMPORTRANGE(""https://docs.google.com/spreadsheets/d/1ItG2mGa2ceCfYo0BwxsXqNm01IGEUdYcSSLTEv9YCik/edit?usp=sharing"",""เบิกจ่ายกองทุน!DG19"")"),0)</f>
        <v>0</v>
      </c>
      <c r="R178" s="568">
        <f ca="1">IFERROR(__xludf.DUMMYFUNCTION("IMPORTRANGE(""https://docs.google.com/spreadsheets/d/1ItG2mGa2ceCfYo0BwxsXqNm01IGEUdYcSSLTEv9YCik/edit?usp=sharing"",""เบิกจ่ายกองทุน!DH19"")"),0)</f>
        <v>0</v>
      </c>
      <c r="S178" s="568">
        <f ca="1">IFERROR(__xludf.DUMMYFUNCTION("IMPORTRANGE(""https://docs.google.com/spreadsheets/d/1ItG2mGa2ceCfYo0BwxsXqNm01IGEUdYcSSLTEv9YCik/edit?usp=sharing"",""เบิกจ่ายกองทุน!DI19"")"),0)</f>
        <v>0</v>
      </c>
      <c r="T178" s="568">
        <f t="shared" ca="1" si="122"/>
        <v>0</v>
      </c>
      <c r="U178" s="568">
        <f t="shared" ca="1" si="123"/>
        <v>0</v>
      </c>
    </row>
    <row r="179" spans="1:21" ht="18.75" x14ac:dyDescent="0.25">
      <c r="A179" s="674"/>
      <c r="B179" s="561"/>
      <c r="C179" s="561"/>
      <c r="D179" s="562" t="s">
        <v>23</v>
      </c>
      <c r="E179" s="561"/>
      <c r="F179" s="561"/>
      <c r="G179" s="563"/>
      <c r="H179" s="686" t="s">
        <v>14</v>
      </c>
      <c r="I179" s="683"/>
      <c r="J179" s="683"/>
      <c r="K179" s="684"/>
      <c r="L179" s="567">
        <f t="shared" ref="L179:N179" ca="1" si="128">L180+L181</f>
        <v>0</v>
      </c>
      <c r="M179" s="568">
        <f t="shared" ca="1" si="128"/>
        <v>0</v>
      </c>
      <c r="N179" s="568">
        <f t="shared" ca="1" si="128"/>
        <v>0</v>
      </c>
      <c r="O179" s="568">
        <f t="shared" ca="1" si="119"/>
        <v>0</v>
      </c>
      <c r="P179" s="568">
        <f t="shared" ca="1" si="120"/>
        <v>0</v>
      </c>
      <c r="Q179" s="568">
        <f t="shared" ref="Q179:S179" si="129">Q180+Q181</f>
        <v>0</v>
      </c>
      <c r="R179" s="568">
        <f t="shared" si="129"/>
        <v>0</v>
      </c>
      <c r="S179" s="568">
        <f t="shared" si="129"/>
        <v>0</v>
      </c>
      <c r="T179" s="568">
        <f t="shared" si="122"/>
        <v>0</v>
      </c>
      <c r="U179" s="568">
        <f t="shared" si="123"/>
        <v>0</v>
      </c>
    </row>
    <row r="180" spans="1:21" ht="18.75" x14ac:dyDescent="0.25">
      <c r="A180" s="674"/>
      <c r="B180" s="561"/>
      <c r="C180" s="561"/>
      <c r="D180" s="561"/>
      <c r="E180" s="569" t="s">
        <v>20</v>
      </c>
      <c r="F180" s="561"/>
      <c r="G180" s="563"/>
      <c r="H180" s="685" t="s">
        <v>14</v>
      </c>
      <c r="I180" s="683"/>
      <c r="J180" s="683"/>
      <c r="K180" s="684"/>
      <c r="L180" s="571">
        <v>0</v>
      </c>
      <c r="M180" s="572">
        <v>0</v>
      </c>
      <c r="N180" s="572">
        <v>0</v>
      </c>
      <c r="O180" s="572">
        <f t="shared" si="119"/>
        <v>0</v>
      </c>
      <c r="P180" s="572">
        <f t="shared" si="120"/>
        <v>0</v>
      </c>
      <c r="Q180" s="572">
        <v>0</v>
      </c>
      <c r="R180" s="572">
        <v>0</v>
      </c>
      <c r="S180" s="572">
        <v>0</v>
      </c>
      <c r="T180" s="572">
        <f t="shared" si="122"/>
        <v>0</v>
      </c>
      <c r="U180" s="572">
        <f t="shared" si="123"/>
        <v>0</v>
      </c>
    </row>
    <row r="181" spans="1:21" ht="18.75" x14ac:dyDescent="0.25">
      <c r="A181" s="674"/>
      <c r="B181" s="561"/>
      <c r="C181" s="561"/>
      <c r="D181" s="561"/>
      <c r="E181" s="573" t="s">
        <v>21</v>
      </c>
      <c r="F181" s="561"/>
      <c r="G181" s="563"/>
      <c r="H181" s="686" t="s">
        <v>14</v>
      </c>
      <c r="I181" s="683"/>
      <c r="J181" s="683"/>
      <c r="K181" s="684"/>
      <c r="L181" s="567">
        <f ca="1">IFERROR(__xludf.DUMMYFUNCTION("IMPORTRANGE(""https://docs.google.com/spreadsheets/d/1-uDff_7J0KD5mKrp0Vvzr7lt3OU09vwQwhkpOPPYv2Y/edit?usp=sharing"",""งบพรบ!CN19"")"),0)</f>
        <v>0</v>
      </c>
      <c r="M181" s="568">
        <f ca="1">IFERROR(__xludf.DUMMYFUNCTION("IMPORTRANGE(""https://docs.google.com/spreadsheets/d/1-uDff_7J0KD5mKrp0Vvzr7lt3OU09vwQwhkpOPPYv2Y/edit?usp=sharing"",""งบพรบ!CQ19"")"),0)</f>
        <v>0</v>
      </c>
      <c r="N181" s="568">
        <f ca="1">IFERROR(__xludf.DUMMYFUNCTION("IMPORTRANGE(""https://docs.google.com/spreadsheets/d/1-uDff_7J0KD5mKrp0Vvzr7lt3OU09vwQwhkpOPPYv2Y/edit?usp=sharing"",""งบพรบ!CS19"")"),0)</f>
        <v>0</v>
      </c>
      <c r="O181" s="568">
        <f t="shared" ca="1" si="119"/>
        <v>0</v>
      </c>
      <c r="P181" s="568">
        <f t="shared" ca="1" si="120"/>
        <v>0</v>
      </c>
      <c r="Q181" s="568">
        <v>0</v>
      </c>
      <c r="R181" s="568">
        <v>0</v>
      </c>
      <c r="S181" s="568">
        <v>0</v>
      </c>
      <c r="T181" s="568">
        <f t="shared" si="122"/>
        <v>0</v>
      </c>
      <c r="U181" s="568">
        <f t="shared" si="123"/>
        <v>0</v>
      </c>
    </row>
    <row r="182" spans="1:21" ht="19.5" x14ac:dyDescent="0.3">
      <c r="A182" s="687"/>
      <c r="B182" s="688"/>
      <c r="C182" s="675" t="s">
        <v>18</v>
      </c>
      <c r="D182" s="689" t="s">
        <v>38</v>
      </c>
      <c r="E182" s="690"/>
      <c r="F182" s="690"/>
      <c r="G182" s="691"/>
      <c r="H182" s="725"/>
      <c r="I182" s="565"/>
      <c r="J182" s="565"/>
      <c r="K182" s="566"/>
      <c r="L182" s="574"/>
      <c r="M182" s="566"/>
      <c r="N182" s="566"/>
      <c r="O182" s="566"/>
      <c r="P182" s="566"/>
      <c r="Q182" s="566"/>
      <c r="R182" s="566"/>
      <c r="S182" s="566"/>
      <c r="T182" s="566"/>
      <c r="U182" s="566"/>
    </row>
    <row r="183" spans="1:21" ht="18.75" x14ac:dyDescent="0.25">
      <c r="A183" s="764"/>
      <c r="B183" s="561"/>
      <c r="C183" s="718"/>
      <c r="D183" s="765" t="s">
        <v>75</v>
      </c>
      <c r="E183" s="561"/>
      <c r="F183" s="561"/>
      <c r="G183" s="563"/>
      <c r="H183" s="766" t="s">
        <v>35</v>
      </c>
      <c r="I183" s="708">
        <f ca="1">IFERROR(__xludf.DUMMYFUNCTION("IMPORTRANGE(""https://docs.google.com/spreadsheets/d/1eHaY18a8A9IcSdp1K8H6x8fbOy06t2VsZHhMHf-1x7Y/edit?usp=sharing"",""แผน!AA19"")"),17)</f>
        <v>17</v>
      </c>
      <c r="J183" s="702">
        <v>7</v>
      </c>
      <c r="K183" s="568">
        <f t="shared" ref="K183:K185" ca="1" si="130">IF(I183&gt;0,J183*100/I183,0)</f>
        <v>41.176470588235297</v>
      </c>
      <c r="L183" s="574"/>
      <c r="M183" s="566"/>
      <c r="N183" s="566"/>
      <c r="O183" s="566"/>
      <c r="P183" s="566"/>
      <c r="Q183" s="566"/>
      <c r="R183" s="566"/>
      <c r="S183" s="566"/>
      <c r="T183" s="566"/>
      <c r="U183" s="566"/>
    </row>
    <row r="184" spans="1:21" ht="18.75" x14ac:dyDescent="0.25">
      <c r="A184" s="764"/>
      <c r="B184" s="718"/>
      <c r="C184" s="718"/>
      <c r="D184" s="767" t="s">
        <v>76</v>
      </c>
      <c r="E184" s="561"/>
      <c r="F184" s="561"/>
      <c r="G184" s="563"/>
      <c r="H184" s="768" t="s">
        <v>35</v>
      </c>
      <c r="I184" s="735">
        <v>0</v>
      </c>
      <c r="J184" s="735">
        <v>0</v>
      </c>
      <c r="K184" s="572">
        <f t="shared" si="130"/>
        <v>0</v>
      </c>
      <c r="L184" s="574"/>
      <c r="M184" s="566"/>
      <c r="N184" s="566"/>
      <c r="O184" s="566"/>
      <c r="P184" s="566"/>
      <c r="Q184" s="566"/>
      <c r="R184" s="566"/>
      <c r="S184" s="566"/>
      <c r="T184" s="566"/>
      <c r="U184" s="566"/>
    </row>
    <row r="185" spans="1:21" ht="19.5" x14ac:dyDescent="0.3">
      <c r="A185" s="756"/>
      <c r="B185" s="757" t="s">
        <v>77</v>
      </c>
      <c r="C185" s="758"/>
      <c r="D185" s="690"/>
      <c r="E185" s="690"/>
      <c r="F185" s="690"/>
      <c r="G185" s="691"/>
      <c r="H185" s="759" t="s">
        <v>35</v>
      </c>
      <c r="I185" s="760">
        <f t="shared" ref="I185:J185" ca="1" si="131">I230+I231</f>
        <v>160</v>
      </c>
      <c r="J185" s="760">
        <f t="shared" si="131"/>
        <v>120</v>
      </c>
      <c r="K185" s="761">
        <f t="shared" ca="1" si="130"/>
        <v>75</v>
      </c>
      <c r="L185" s="762"/>
      <c r="M185" s="763"/>
      <c r="N185" s="763"/>
      <c r="O185" s="763"/>
      <c r="P185" s="763"/>
      <c r="Q185" s="763"/>
      <c r="R185" s="763"/>
      <c r="S185" s="763"/>
      <c r="T185" s="763"/>
      <c r="U185" s="763"/>
    </row>
    <row r="186" spans="1:21" ht="19.5" x14ac:dyDescent="0.3">
      <c r="A186" s="674"/>
      <c r="B186" s="561"/>
      <c r="C186" s="675" t="s">
        <v>18</v>
      </c>
      <c r="D186" s="676" t="s">
        <v>19</v>
      </c>
      <c r="E186" s="561"/>
      <c r="F186" s="561"/>
      <c r="G186" s="563"/>
      <c r="H186" s="677" t="s">
        <v>14</v>
      </c>
      <c r="I186" s="565"/>
      <c r="J186" s="565"/>
      <c r="K186" s="566"/>
      <c r="L186" s="678">
        <f t="shared" ref="L186:N186" ca="1" si="132">L187+L188</f>
        <v>530900</v>
      </c>
      <c r="M186" s="679">
        <f t="shared" ca="1" si="132"/>
        <v>539100</v>
      </c>
      <c r="N186" s="679">
        <f t="shared" ca="1" si="132"/>
        <v>191963</v>
      </c>
      <c r="O186" s="679">
        <f t="shared" ref="O186:O194" ca="1" si="133">IF(L186&gt;0,N186*100/L186,0)</f>
        <v>36.158033527971369</v>
      </c>
      <c r="P186" s="679">
        <f t="shared" ref="P186:P194" ca="1" si="134">IF(M186&gt;0,N186*100/M186,0)</f>
        <v>35.608050454461136</v>
      </c>
      <c r="Q186" s="679">
        <f t="shared" ref="Q186:S186" ca="1" si="135">Q187+Q188</f>
        <v>212000</v>
      </c>
      <c r="R186" s="679">
        <f t="shared" ca="1" si="135"/>
        <v>212000</v>
      </c>
      <c r="S186" s="679">
        <f t="shared" ca="1" si="135"/>
        <v>103280</v>
      </c>
      <c r="T186" s="679">
        <f t="shared" ref="T186:T194" ca="1" si="136">IF(Q186&gt;0,S186*100/Q186,0)</f>
        <v>48.716981132075475</v>
      </c>
      <c r="U186" s="679">
        <f t="shared" ref="U186:U194" ca="1" si="137">IF(R186&gt;0,S186*100/R186,0)</f>
        <v>48.716981132075475</v>
      </c>
    </row>
    <row r="187" spans="1:21" ht="18.75" x14ac:dyDescent="0.25">
      <c r="A187" s="674"/>
      <c r="B187" s="561"/>
      <c r="C187" s="561"/>
      <c r="D187" s="561"/>
      <c r="E187" s="569" t="s">
        <v>20</v>
      </c>
      <c r="F187" s="561"/>
      <c r="G187" s="563"/>
      <c r="H187" s="680" t="s">
        <v>14</v>
      </c>
      <c r="I187" s="565"/>
      <c r="J187" s="565"/>
      <c r="K187" s="566"/>
      <c r="L187" s="571">
        <f t="shared" ref="L187:N188" si="138">L190+L193</f>
        <v>0</v>
      </c>
      <c r="M187" s="572">
        <f t="shared" si="138"/>
        <v>0</v>
      </c>
      <c r="N187" s="572">
        <f t="shared" si="138"/>
        <v>0</v>
      </c>
      <c r="O187" s="572">
        <f t="shared" si="133"/>
        <v>0</v>
      </c>
      <c r="P187" s="572">
        <f t="shared" si="134"/>
        <v>0</v>
      </c>
      <c r="Q187" s="572">
        <f t="shared" ref="Q187:S188" si="139">Q190+Q193</f>
        <v>0</v>
      </c>
      <c r="R187" s="572">
        <f t="shared" si="139"/>
        <v>0</v>
      </c>
      <c r="S187" s="572">
        <f t="shared" si="139"/>
        <v>0</v>
      </c>
      <c r="T187" s="572">
        <f t="shared" si="136"/>
        <v>0</v>
      </c>
      <c r="U187" s="572">
        <f t="shared" si="137"/>
        <v>0</v>
      </c>
    </row>
    <row r="188" spans="1:21" ht="18.75" x14ac:dyDescent="0.25">
      <c r="A188" s="674"/>
      <c r="B188" s="561"/>
      <c r="C188" s="561"/>
      <c r="D188" s="561"/>
      <c r="E188" s="573" t="s">
        <v>21</v>
      </c>
      <c r="F188" s="561"/>
      <c r="G188" s="563"/>
      <c r="H188" s="681" t="s">
        <v>14</v>
      </c>
      <c r="I188" s="565"/>
      <c r="J188" s="565"/>
      <c r="K188" s="566"/>
      <c r="L188" s="567">
        <f t="shared" ca="1" si="138"/>
        <v>530900</v>
      </c>
      <c r="M188" s="568">
        <f t="shared" ca="1" si="138"/>
        <v>539100</v>
      </c>
      <c r="N188" s="568">
        <f t="shared" ca="1" si="138"/>
        <v>191963</v>
      </c>
      <c r="O188" s="568">
        <f t="shared" ca="1" si="133"/>
        <v>36.158033527971369</v>
      </c>
      <c r="P188" s="568">
        <f t="shared" ca="1" si="134"/>
        <v>35.608050454461136</v>
      </c>
      <c r="Q188" s="568">
        <f t="shared" ca="1" si="139"/>
        <v>212000</v>
      </c>
      <c r="R188" s="568">
        <f t="shared" ca="1" si="139"/>
        <v>212000</v>
      </c>
      <c r="S188" s="568">
        <f t="shared" ca="1" si="139"/>
        <v>103280</v>
      </c>
      <c r="T188" s="568">
        <f t="shared" ca="1" si="136"/>
        <v>48.716981132075475</v>
      </c>
      <c r="U188" s="568">
        <f t="shared" ca="1" si="137"/>
        <v>48.716981132075475</v>
      </c>
    </row>
    <row r="189" spans="1:21" ht="18.75" x14ac:dyDescent="0.25">
      <c r="A189" s="674"/>
      <c r="B189" s="561"/>
      <c r="C189" s="561"/>
      <c r="D189" s="562" t="s">
        <v>22</v>
      </c>
      <c r="E189" s="561"/>
      <c r="F189" s="561"/>
      <c r="G189" s="563"/>
      <c r="H189" s="682" t="s">
        <v>14</v>
      </c>
      <c r="I189" s="683"/>
      <c r="J189" s="683"/>
      <c r="K189" s="684"/>
      <c r="L189" s="567">
        <f t="shared" ref="L189:N189" ca="1" si="140">L190+L191</f>
        <v>530900</v>
      </c>
      <c r="M189" s="568">
        <f t="shared" ca="1" si="140"/>
        <v>539100</v>
      </c>
      <c r="N189" s="568">
        <f t="shared" ca="1" si="140"/>
        <v>191963</v>
      </c>
      <c r="O189" s="568">
        <f t="shared" ca="1" si="133"/>
        <v>36.158033527971369</v>
      </c>
      <c r="P189" s="568">
        <f t="shared" ca="1" si="134"/>
        <v>35.608050454461136</v>
      </c>
      <c r="Q189" s="568">
        <f t="shared" ref="Q189:S189" ca="1" si="141">Q190+Q191</f>
        <v>212000</v>
      </c>
      <c r="R189" s="568">
        <f t="shared" ca="1" si="141"/>
        <v>212000</v>
      </c>
      <c r="S189" s="568">
        <f t="shared" ca="1" si="141"/>
        <v>103280</v>
      </c>
      <c r="T189" s="568">
        <f t="shared" ca="1" si="136"/>
        <v>48.716981132075475</v>
      </c>
      <c r="U189" s="568">
        <f t="shared" ca="1" si="137"/>
        <v>48.716981132075475</v>
      </c>
    </row>
    <row r="190" spans="1:21" ht="18.75" x14ac:dyDescent="0.25">
      <c r="A190" s="674"/>
      <c r="B190" s="561"/>
      <c r="C190" s="561"/>
      <c r="D190" s="561"/>
      <c r="E190" s="569" t="s">
        <v>36</v>
      </c>
      <c r="F190" s="561"/>
      <c r="G190" s="563"/>
      <c r="H190" s="685" t="s">
        <v>14</v>
      </c>
      <c r="I190" s="683"/>
      <c r="J190" s="683"/>
      <c r="K190" s="684"/>
      <c r="L190" s="571">
        <v>0</v>
      </c>
      <c r="M190" s="572">
        <v>0</v>
      </c>
      <c r="N190" s="572">
        <v>0</v>
      </c>
      <c r="O190" s="572">
        <f t="shared" si="133"/>
        <v>0</v>
      </c>
      <c r="P190" s="572">
        <f t="shared" si="134"/>
        <v>0</v>
      </c>
      <c r="Q190" s="572">
        <v>0</v>
      </c>
      <c r="R190" s="572">
        <v>0</v>
      </c>
      <c r="S190" s="572">
        <v>0</v>
      </c>
      <c r="T190" s="572">
        <f t="shared" si="136"/>
        <v>0</v>
      </c>
      <c r="U190" s="572">
        <f t="shared" si="137"/>
        <v>0</v>
      </c>
    </row>
    <row r="191" spans="1:21" ht="18.75" x14ac:dyDescent="0.25">
      <c r="A191" s="674"/>
      <c r="B191" s="561"/>
      <c r="C191" s="561"/>
      <c r="D191" s="561"/>
      <c r="E191" s="573" t="s">
        <v>37</v>
      </c>
      <c r="F191" s="561"/>
      <c r="G191" s="563"/>
      <c r="H191" s="682" t="s">
        <v>14</v>
      </c>
      <c r="I191" s="683"/>
      <c r="J191" s="683"/>
      <c r="K191" s="684"/>
      <c r="L191" s="567">
        <f ca="1">IFERROR(__xludf.DUMMYFUNCTION("IMPORTRANGE(""https://docs.google.com/spreadsheets/d/1-uDff_7J0KD5mKrp0Vvzr7lt3OU09vwQwhkpOPPYv2Y/edit?usp=sharing"",""งบพรบ!CU19"")"),530900)</f>
        <v>530900</v>
      </c>
      <c r="M191" s="568">
        <f ca="1">IFERROR(__xludf.DUMMYFUNCTION("IMPORTRANGE(""https://docs.google.com/spreadsheets/d/1-uDff_7J0KD5mKrp0Vvzr7lt3OU09vwQwhkpOPPYv2Y/edit?usp=sharing"",""งบพรบ!CZ19"")"),539100)</f>
        <v>539100</v>
      </c>
      <c r="N191" s="568">
        <f ca="1">IFERROR(__xludf.DUMMYFUNCTION("IMPORTRANGE(""https://docs.google.com/spreadsheets/d/1-uDff_7J0KD5mKrp0Vvzr7lt3OU09vwQwhkpOPPYv2Y/edit?usp=sharing"",""งบพรบ!DB19"")"),191963)</f>
        <v>191963</v>
      </c>
      <c r="O191" s="568">
        <f t="shared" ca="1" si="133"/>
        <v>36.158033527971369</v>
      </c>
      <c r="P191" s="568">
        <f t="shared" ca="1" si="134"/>
        <v>35.608050454461136</v>
      </c>
      <c r="Q191" s="568">
        <f ca="1">IFERROR(__xludf.DUMMYFUNCTION("IMPORTRANGE(""https://docs.google.com/spreadsheets/d/1ItG2mGa2ceCfYo0BwxsXqNm01IGEUdYcSSLTEv9YCik/edit?usp=sharing"",""เบิกจ่ายกองทุน!BQ19"")"),212000)</f>
        <v>212000</v>
      </c>
      <c r="R191" s="568">
        <f ca="1">IFERROR(__xludf.DUMMYFUNCTION("IMPORTRANGE(""https://docs.google.com/spreadsheets/d/1ItG2mGa2ceCfYo0BwxsXqNm01IGEUdYcSSLTEv9YCik/edit?usp=sharing"",""เบิกจ่ายกองทุน!BR19"")"),212000)</f>
        <v>212000</v>
      </c>
      <c r="S191" s="568">
        <f ca="1">IFERROR(__xludf.DUMMYFUNCTION("IMPORTRANGE(""https://docs.google.com/spreadsheets/d/1ItG2mGa2ceCfYo0BwxsXqNm01IGEUdYcSSLTEv9YCik/edit?usp=sharing"",""เบิกจ่ายกองทุน!BS19"")"),103280)</f>
        <v>103280</v>
      </c>
      <c r="T191" s="568">
        <f t="shared" ca="1" si="136"/>
        <v>48.716981132075475</v>
      </c>
      <c r="U191" s="568">
        <f t="shared" ca="1" si="137"/>
        <v>48.716981132075475</v>
      </c>
    </row>
    <row r="192" spans="1:21" ht="18.75" x14ac:dyDescent="0.25">
      <c r="A192" s="674"/>
      <c r="B192" s="561"/>
      <c r="C192" s="561"/>
      <c r="D192" s="562" t="s">
        <v>23</v>
      </c>
      <c r="E192" s="561"/>
      <c r="F192" s="561"/>
      <c r="G192" s="563"/>
      <c r="H192" s="686" t="s">
        <v>14</v>
      </c>
      <c r="I192" s="683"/>
      <c r="J192" s="683"/>
      <c r="K192" s="684"/>
      <c r="L192" s="567">
        <f t="shared" ref="L192:N192" ca="1" si="142">L193+L194</f>
        <v>0</v>
      </c>
      <c r="M192" s="568">
        <f t="shared" ca="1" si="142"/>
        <v>0</v>
      </c>
      <c r="N192" s="568">
        <f t="shared" ca="1" si="142"/>
        <v>0</v>
      </c>
      <c r="O192" s="568">
        <f t="shared" ca="1" si="133"/>
        <v>0</v>
      </c>
      <c r="P192" s="568">
        <f t="shared" ca="1" si="134"/>
        <v>0</v>
      </c>
      <c r="Q192" s="568">
        <f t="shared" ref="Q192:S192" ca="1" si="143">Q193+Q194</f>
        <v>0</v>
      </c>
      <c r="R192" s="568">
        <f t="shared" ca="1" si="143"/>
        <v>0</v>
      </c>
      <c r="S192" s="568">
        <f t="shared" ca="1" si="143"/>
        <v>0</v>
      </c>
      <c r="T192" s="568">
        <f t="shared" ca="1" si="136"/>
        <v>0</v>
      </c>
      <c r="U192" s="568">
        <f t="shared" ca="1" si="137"/>
        <v>0</v>
      </c>
    </row>
    <row r="193" spans="1:21" ht="18.75" x14ac:dyDescent="0.25">
      <c r="A193" s="674"/>
      <c r="B193" s="561"/>
      <c r="C193" s="561"/>
      <c r="D193" s="561"/>
      <c r="E193" s="569" t="s">
        <v>20</v>
      </c>
      <c r="F193" s="561"/>
      <c r="G193" s="563"/>
      <c r="H193" s="685" t="s">
        <v>14</v>
      </c>
      <c r="I193" s="683"/>
      <c r="J193" s="683"/>
      <c r="K193" s="684"/>
      <c r="L193" s="571">
        <v>0</v>
      </c>
      <c r="M193" s="572">
        <v>0</v>
      </c>
      <c r="N193" s="572">
        <v>0</v>
      </c>
      <c r="O193" s="572">
        <f t="shared" si="133"/>
        <v>0</v>
      </c>
      <c r="P193" s="572">
        <f t="shared" si="134"/>
        <v>0</v>
      </c>
      <c r="Q193" s="572">
        <v>0</v>
      </c>
      <c r="R193" s="572">
        <v>0</v>
      </c>
      <c r="S193" s="572">
        <v>0</v>
      </c>
      <c r="T193" s="572">
        <f t="shared" si="136"/>
        <v>0</v>
      </c>
      <c r="U193" s="572">
        <f t="shared" si="137"/>
        <v>0</v>
      </c>
    </row>
    <row r="194" spans="1:21" ht="18.75" x14ac:dyDescent="0.25">
      <c r="A194" s="674"/>
      <c r="B194" s="561"/>
      <c r="C194" s="561"/>
      <c r="D194" s="561"/>
      <c r="E194" s="573" t="s">
        <v>21</v>
      </c>
      <c r="F194" s="561"/>
      <c r="G194" s="563"/>
      <c r="H194" s="686" t="s">
        <v>14</v>
      </c>
      <c r="I194" s="683"/>
      <c r="J194" s="683"/>
      <c r="K194" s="684"/>
      <c r="L194" s="567">
        <f ca="1">IFERROR(__xludf.DUMMYFUNCTION("IMPORTRANGE(""https://docs.google.com/spreadsheets/d/1-uDff_7J0KD5mKrp0Vvzr7lt3OU09vwQwhkpOPPYv2Y/edit?usp=sharing"",""งบพรบ!CX19"")"),0)</f>
        <v>0</v>
      </c>
      <c r="M194" s="568">
        <f ca="1">IFERROR(__xludf.DUMMYFUNCTION("IMPORTRANGE(""https://docs.google.com/spreadsheets/d/1-uDff_7J0KD5mKrp0Vvzr7lt3OU09vwQwhkpOPPYv2Y/edit?usp=sharing"",""งบพรบ!DA19"")"),0)</f>
        <v>0</v>
      </c>
      <c r="N194" s="568">
        <f ca="1">IFERROR(__xludf.DUMMYFUNCTION("IMPORTRANGE(""https://docs.google.com/spreadsheets/d/1-uDff_7J0KD5mKrp0Vvzr7lt3OU09vwQwhkpOPPYv2Y/edit?usp=sharing"",""งบพรบ!DC19"")"),0)</f>
        <v>0</v>
      </c>
      <c r="O194" s="568">
        <f t="shared" ca="1" si="133"/>
        <v>0</v>
      </c>
      <c r="P194" s="568">
        <f t="shared" ca="1" si="134"/>
        <v>0</v>
      </c>
      <c r="Q194" s="568">
        <f ca="1">IFERROR(__xludf.DUMMYFUNCTION("IMPORTRANGE(""https://docs.google.com/spreadsheets/d/1ItG2mGa2ceCfYo0BwxsXqNm01IGEUdYcSSLTEv9YCik/edit?usp=sharing"",""เบิกจ่ายกองทุน!BT19"")"),0)</f>
        <v>0</v>
      </c>
      <c r="R194" s="568">
        <f ca="1">IFERROR(__xludf.DUMMYFUNCTION("IMPORTRANGE(""https://docs.google.com/spreadsheets/d/1ItG2mGa2ceCfYo0BwxsXqNm01IGEUdYcSSLTEv9YCik/edit?usp=sharing"",""เบิกจ่ายกองทุน!BU19"")"),0)</f>
        <v>0</v>
      </c>
      <c r="S194" s="568">
        <f ca="1">IFERROR(__xludf.DUMMYFUNCTION("IMPORTRANGE(""https://docs.google.com/spreadsheets/d/1ItG2mGa2ceCfYo0BwxsXqNm01IGEUdYcSSLTEv9YCik/edit?usp=sharing"",""เบิกจ่ายกองทุน!BV19"")"),0)</f>
        <v>0</v>
      </c>
      <c r="T194" s="568">
        <f t="shared" ca="1" si="136"/>
        <v>0</v>
      </c>
      <c r="U194" s="568">
        <f t="shared" ca="1" si="137"/>
        <v>0</v>
      </c>
    </row>
    <row r="195" spans="1:21" ht="19.5" x14ac:dyDescent="0.3">
      <c r="A195" s="769"/>
      <c r="B195" s="770"/>
      <c r="C195" s="771" t="s">
        <v>78</v>
      </c>
      <c r="D195" s="772"/>
      <c r="E195" s="772"/>
      <c r="F195" s="772"/>
      <c r="G195" s="773"/>
      <c r="H195" s="774" t="s">
        <v>79</v>
      </c>
      <c r="I195" s="775">
        <f t="shared" ref="I195:J195" ca="1" si="144">I198</f>
        <v>4</v>
      </c>
      <c r="J195" s="775">
        <f t="shared" si="144"/>
        <v>3</v>
      </c>
      <c r="K195" s="776">
        <f ca="1">IF(I195&gt;0,J195*100/I195,0)</f>
        <v>75</v>
      </c>
      <c r="L195" s="777"/>
      <c r="M195" s="778"/>
      <c r="N195" s="778"/>
      <c r="O195" s="778"/>
      <c r="P195" s="778"/>
      <c r="Q195" s="778"/>
      <c r="R195" s="778"/>
      <c r="S195" s="778"/>
      <c r="T195" s="778"/>
      <c r="U195" s="778"/>
    </row>
    <row r="196" spans="1:21" ht="19.5" x14ac:dyDescent="0.3">
      <c r="A196" s="674"/>
      <c r="B196" s="561"/>
      <c r="C196" s="675" t="s">
        <v>18</v>
      </c>
      <c r="D196" s="779" t="s">
        <v>19</v>
      </c>
      <c r="E196" s="561"/>
      <c r="F196" s="561"/>
      <c r="G196" s="563"/>
      <c r="H196" s="780" t="s">
        <v>14</v>
      </c>
      <c r="I196" s="565"/>
      <c r="J196" s="565"/>
      <c r="K196" s="566"/>
      <c r="L196" s="678">
        <f ca="1">IFERROR(__xludf.DUMMYFUNCTION("IMPORTRANGE(""https://docs.google.com/spreadsheets/d/1eHaY18a8A9IcSdp1K8H6x8fbOy06t2VsZHhMHf-1x7Y/edit?usp=sharing"",""แผน!AB19"")"),6000)</f>
        <v>6000</v>
      </c>
      <c r="M196" s="566"/>
      <c r="N196" s="781">
        <v>3380</v>
      </c>
      <c r="O196" s="679">
        <f ca="1">IF(L196&gt;0,N196*100/L196,0)</f>
        <v>56.333333333333336</v>
      </c>
      <c r="P196" s="679">
        <f>IF(M196&gt;0,N196*100/M196,0)</f>
        <v>0</v>
      </c>
      <c r="Q196" s="566"/>
      <c r="R196" s="566"/>
      <c r="S196" s="566"/>
      <c r="T196" s="566"/>
      <c r="U196" s="566"/>
    </row>
    <row r="197" spans="1:21" ht="19.5" x14ac:dyDescent="0.3">
      <c r="A197" s="687"/>
      <c r="B197" s="688"/>
      <c r="C197" s="675" t="s">
        <v>18</v>
      </c>
      <c r="D197" s="689" t="s">
        <v>38</v>
      </c>
      <c r="E197" s="690"/>
      <c r="F197" s="690"/>
      <c r="G197" s="691"/>
      <c r="H197" s="692"/>
      <c r="I197" s="565"/>
      <c r="J197" s="565"/>
      <c r="K197" s="566"/>
      <c r="L197" s="574"/>
      <c r="M197" s="566"/>
      <c r="N197" s="566"/>
      <c r="O197" s="566"/>
      <c r="P197" s="566"/>
      <c r="Q197" s="566"/>
      <c r="R197" s="566"/>
      <c r="S197" s="566"/>
      <c r="T197" s="566"/>
      <c r="U197" s="566"/>
    </row>
    <row r="198" spans="1:21" ht="18.75" x14ac:dyDescent="0.25">
      <c r="A198" s="687"/>
      <c r="B198" s="688"/>
      <c r="C198" s="688"/>
      <c r="D198" s="699" t="s">
        <v>80</v>
      </c>
      <c r="E198" s="695"/>
      <c r="F198" s="695"/>
      <c r="G198" s="692"/>
      <c r="H198" s="700" t="s">
        <v>79</v>
      </c>
      <c r="I198" s="708">
        <f ca="1">IFERROR(__xludf.DUMMYFUNCTION("IMPORTRANGE(""https://docs.google.com/spreadsheets/d/1eHaY18a8A9IcSdp1K8H6x8fbOy06t2VsZHhMHf-1x7Y/edit?usp=sharing"",""แผน!AE19"")"),4)</f>
        <v>4</v>
      </c>
      <c r="J198" s="702">
        <v>3</v>
      </c>
      <c r="K198" s="568">
        <f ca="1">IF(I198&gt;0,J198*100/I198,0)</f>
        <v>75</v>
      </c>
      <c r="L198" s="574"/>
      <c r="M198" s="566"/>
      <c r="N198" s="566"/>
      <c r="O198" s="566"/>
      <c r="P198" s="566"/>
      <c r="Q198" s="566"/>
      <c r="R198" s="566"/>
      <c r="S198" s="566"/>
      <c r="T198" s="566"/>
      <c r="U198" s="566"/>
    </row>
    <row r="199" spans="1:21" ht="18.75" x14ac:dyDescent="0.25">
      <c r="A199" s="687"/>
      <c r="B199" s="688"/>
      <c r="C199" s="688"/>
      <c r="D199" s="699" t="s">
        <v>81</v>
      </c>
      <c r="E199" s="695"/>
      <c r="F199" s="695"/>
      <c r="G199" s="692"/>
      <c r="H199" s="766" t="s">
        <v>35</v>
      </c>
      <c r="I199" s="565"/>
      <c r="J199" s="708">
        <f>J200+J201</f>
        <v>184</v>
      </c>
      <c r="K199" s="566"/>
      <c r="L199" s="574"/>
      <c r="M199" s="566"/>
      <c r="N199" s="566"/>
      <c r="O199" s="566"/>
      <c r="P199" s="566"/>
      <c r="Q199" s="566"/>
      <c r="R199" s="566"/>
      <c r="S199" s="566"/>
      <c r="T199" s="566"/>
      <c r="U199" s="566"/>
    </row>
    <row r="200" spans="1:21" ht="18.75" x14ac:dyDescent="0.25">
      <c r="A200" s="687"/>
      <c r="B200" s="688"/>
      <c r="C200" s="688"/>
      <c r="D200" s="688"/>
      <c r="E200" s="699" t="s">
        <v>82</v>
      </c>
      <c r="F200" s="695"/>
      <c r="G200" s="692"/>
      <c r="H200" s="766" t="s">
        <v>35</v>
      </c>
      <c r="I200" s="565"/>
      <c r="J200" s="702">
        <v>184</v>
      </c>
      <c r="K200" s="566"/>
      <c r="L200" s="574"/>
      <c r="M200" s="566"/>
      <c r="N200" s="566"/>
      <c r="O200" s="566"/>
      <c r="P200" s="566"/>
      <c r="Q200" s="566"/>
      <c r="R200" s="566"/>
      <c r="S200" s="566"/>
      <c r="T200" s="566"/>
      <c r="U200" s="566"/>
    </row>
    <row r="201" spans="1:21" ht="18.75" x14ac:dyDescent="0.25">
      <c r="A201" s="687"/>
      <c r="B201" s="688"/>
      <c r="C201" s="688"/>
      <c r="D201" s="688"/>
      <c r="E201" s="699" t="s">
        <v>83</v>
      </c>
      <c r="F201" s="695"/>
      <c r="G201" s="692"/>
      <c r="H201" s="766" t="s">
        <v>35</v>
      </c>
      <c r="I201" s="565"/>
      <c r="J201" s="702">
        <v>0</v>
      </c>
      <c r="K201" s="566"/>
      <c r="L201" s="574"/>
      <c r="M201" s="566"/>
      <c r="N201" s="566"/>
      <c r="O201" s="566"/>
      <c r="P201" s="566"/>
      <c r="Q201" s="566"/>
      <c r="R201" s="566"/>
      <c r="S201" s="566"/>
      <c r="T201" s="566"/>
      <c r="U201" s="566"/>
    </row>
    <row r="202" spans="1:21" ht="19.5" x14ac:dyDescent="0.3">
      <c r="A202" s="769"/>
      <c r="B202" s="770"/>
      <c r="C202" s="771" t="s">
        <v>84</v>
      </c>
      <c r="D202" s="772"/>
      <c r="E202" s="772"/>
      <c r="F202" s="772"/>
      <c r="G202" s="773"/>
      <c r="H202" s="782" t="s">
        <v>85</v>
      </c>
      <c r="I202" s="775">
        <f t="shared" ref="I202:J202" ca="1" si="145">I209</f>
        <v>4</v>
      </c>
      <c r="J202" s="775">
        <f t="shared" si="145"/>
        <v>0</v>
      </c>
      <c r="K202" s="776">
        <f ca="1">IF(I202&gt;0,J202*100/I202,0)</f>
        <v>0</v>
      </c>
      <c r="L202" s="777"/>
      <c r="M202" s="778"/>
      <c r="N202" s="778"/>
      <c r="O202" s="778"/>
      <c r="P202" s="778"/>
      <c r="Q202" s="778"/>
      <c r="R202" s="778"/>
      <c r="S202" s="778"/>
      <c r="T202" s="778"/>
      <c r="U202" s="778"/>
    </row>
    <row r="203" spans="1:21" ht="19.5" x14ac:dyDescent="0.3">
      <c r="A203" s="674"/>
      <c r="B203" s="561"/>
      <c r="C203" s="675" t="s">
        <v>18</v>
      </c>
      <c r="D203" s="779" t="s">
        <v>19</v>
      </c>
      <c r="E203" s="561"/>
      <c r="F203" s="561"/>
      <c r="G203" s="563"/>
      <c r="H203" s="780" t="s">
        <v>14</v>
      </c>
      <c r="I203" s="683"/>
      <c r="J203" s="683"/>
      <c r="K203" s="684"/>
      <c r="L203" s="678">
        <f ca="1">L204+L205+L206+L207</f>
        <v>18000</v>
      </c>
      <c r="M203" s="566"/>
      <c r="N203" s="679">
        <f>N204+N205+N206+N207</f>
        <v>0</v>
      </c>
      <c r="O203" s="679">
        <f ca="1">IF(L203&gt;0,N203*100/L203,0)</f>
        <v>0</v>
      </c>
      <c r="P203" s="679">
        <f>IF(M203&gt;0,N203*100/M203,0)</f>
        <v>0</v>
      </c>
      <c r="Q203" s="783">
        <f ca="1">Q204+Q205+Q206+Q207</f>
        <v>56000</v>
      </c>
      <c r="R203" s="784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 x14ac:dyDescent="0.25">
      <c r="A204" s="674"/>
      <c r="B204" s="718"/>
      <c r="C204" s="561"/>
      <c r="D204" s="788" t="s">
        <v>317</v>
      </c>
      <c r="E204" s="561"/>
      <c r="F204" s="561"/>
      <c r="G204" s="563"/>
      <c r="H204" s="682" t="s">
        <v>14</v>
      </c>
      <c r="I204" s="683"/>
      <c r="J204" s="683"/>
      <c r="K204" s="684"/>
      <c r="L204" s="567">
        <f ca="1">IFERROR(__xludf.DUMMYFUNCTION("IMPORTRANGE(""https://docs.google.com/spreadsheets/d/1eHaY18a8A9IcSdp1K8H6x8fbOy06t2VsZHhMHf-1x7Y/edit?usp=sharing"",""แผน!AG19"")"),3000)</f>
        <v>3000</v>
      </c>
      <c r="M204" s="566"/>
      <c r="N204" s="786">
        <v>0</v>
      </c>
      <c r="O204" s="684"/>
      <c r="P204" s="566"/>
      <c r="Q204" s="567">
        <v>0</v>
      </c>
      <c r="R204" s="566"/>
      <c r="S204" s="568">
        <v>0</v>
      </c>
      <c r="T204" s="684"/>
      <c r="U204" s="566"/>
    </row>
    <row r="205" spans="1:21" ht="18.75" x14ac:dyDescent="0.25">
      <c r="A205" s="764"/>
      <c r="B205" s="718"/>
      <c r="C205" s="561"/>
      <c r="D205" s="573" t="s">
        <v>301</v>
      </c>
      <c r="E205" s="561"/>
      <c r="F205" s="561"/>
      <c r="G205" s="563"/>
      <c r="H205" s="564" t="s">
        <v>14</v>
      </c>
      <c r="I205" s="565"/>
      <c r="J205" s="565"/>
      <c r="K205" s="566"/>
      <c r="L205" s="567">
        <f ca="1">IFERROR(__xludf.DUMMYFUNCTION("IMPORTRANGE(""https://docs.google.com/spreadsheets/d/1eHaY18a8A9IcSdp1K8H6x8fbOy06t2VsZHhMHf-1x7Y/edit?usp=sharing"",""แผน!AH19"")"),0)</f>
        <v>0</v>
      </c>
      <c r="M205" s="566"/>
      <c r="N205" s="786">
        <v>0</v>
      </c>
      <c r="O205" s="684"/>
      <c r="P205" s="566"/>
      <c r="Q205" s="567">
        <v>0</v>
      </c>
      <c r="R205" s="566"/>
      <c r="S205" s="568">
        <v>0</v>
      </c>
      <c r="T205" s="684"/>
      <c r="U205" s="566"/>
    </row>
    <row r="206" spans="1:21" ht="18.75" x14ac:dyDescent="0.25">
      <c r="A206" s="764"/>
      <c r="B206" s="718"/>
      <c r="C206" s="561"/>
      <c r="D206" s="573" t="s">
        <v>88</v>
      </c>
      <c r="E206" s="561"/>
      <c r="F206" s="561"/>
      <c r="G206" s="563"/>
      <c r="H206" s="564" t="s">
        <v>14</v>
      </c>
      <c r="I206" s="565"/>
      <c r="J206" s="565"/>
      <c r="K206" s="566"/>
      <c r="L206" s="567">
        <f ca="1">IFERROR(__xludf.DUMMYFUNCTION("IMPORTRANGE(""https://docs.google.com/spreadsheets/d/1eHaY18a8A9IcSdp1K8H6x8fbOy06t2VsZHhMHf-1x7Y/edit?usp=sharing"",""แผน!AI19"")"),0)</f>
        <v>0</v>
      </c>
      <c r="M206" s="566"/>
      <c r="N206" s="786">
        <v>0</v>
      </c>
      <c r="O206" s="684"/>
      <c r="P206" s="566"/>
      <c r="Q206" s="567">
        <f ca="1">IFERROR(__xludf.DUMMYFUNCTION("IMPORTRANGE(""https://docs.google.com/spreadsheets/d/1eHaY18a8A9IcSdp1K8H6x8fbOy06t2VsZHhMHf-1x7Y/edit?usp=sharing"",""แผน!LV19"")"),56000)</f>
        <v>56000</v>
      </c>
      <c r="R206" s="566"/>
      <c r="S206" s="786">
        <v>0</v>
      </c>
      <c r="T206" s="684"/>
      <c r="U206" s="566"/>
    </row>
    <row r="207" spans="1:21" ht="18.75" x14ac:dyDescent="0.25">
      <c r="A207" s="764"/>
      <c r="B207" s="718"/>
      <c r="C207" s="561"/>
      <c r="D207" s="573" t="s">
        <v>89</v>
      </c>
      <c r="E207" s="561"/>
      <c r="F207" s="561"/>
      <c r="G207" s="563"/>
      <c r="H207" s="564" t="s">
        <v>14</v>
      </c>
      <c r="I207" s="565"/>
      <c r="J207" s="565"/>
      <c r="K207" s="566"/>
      <c r="L207" s="567">
        <f ca="1">IFERROR(__xludf.DUMMYFUNCTION("IMPORTRANGE(""https://docs.google.com/spreadsheets/d/1eHaY18a8A9IcSdp1K8H6x8fbOy06t2VsZHhMHf-1x7Y/edit?usp=sharing"",""แผน!AJ19"")"),15000)</f>
        <v>15000</v>
      </c>
      <c r="M207" s="566"/>
      <c r="N207" s="786">
        <v>0</v>
      </c>
      <c r="O207" s="684"/>
      <c r="P207" s="566"/>
      <c r="Q207" s="567">
        <v>0</v>
      </c>
      <c r="R207" s="566"/>
      <c r="S207" s="568">
        <v>0</v>
      </c>
      <c r="T207" s="684"/>
      <c r="U207" s="566"/>
    </row>
    <row r="208" spans="1:21" ht="19.5" x14ac:dyDescent="0.3">
      <c r="A208" s="687"/>
      <c r="B208" s="688"/>
      <c r="C208" s="675" t="s">
        <v>18</v>
      </c>
      <c r="D208" s="689" t="s">
        <v>38</v>
      </c>
      <c r="E208" s="690"/>
      <c r="F208" s="690"/>
      <c r="G208" s="691"/>
      <c r="H208" s="692"/>
      <c r="I208" s="683"/>
      <c r="J208" s="683"/>
      <c r="K208" s="684"/>
      <c r="L208" s="693"/>
      <c r="M208" s="684"/>
      <c r="N208" s="684"/>
      <c r="O208" s="684"/>
      <c r="P208" s="684"/>
      <c r="Q208" s="693"/>
      <c r="R208" s="684"/>
      <c r="S208" s="684"/>
      <c r="T208" s="684"/>
      <c r="U208" s="684"/>
    </row>
    <row r="209" spans="1:21" ht="18.75" x14ac:dyDescent="0.25">
      <c r="A209" s="687"/>
      <c r="B209" s="688"/>
      <c r="C209" s="688"/>
      <c r="D209" s="694" t="s">
        <v>90</v>
      </c>
      <c r="E209" s="695"/>
      <c r="F209" s="695"/>
      <c r="G209" s="692"/>
      <c r="H209" s="787" t="s">
        <v>85</v>
      </c>
      <c r="I209" s="708">
        <f ca="1">IFERROR(__xludf.DUMMYFUNCTION("IMPORTRANGE(""https://docs.google.com/spreadsheets/d/1eHaY18a8A9IcSdp1K8H6x8fbOy06t2VsZHhMHf-1x7Y/edit?usp=sharing"",""แผน!AK19"")"),4)</f>
        <v>4</v>
      </c>
      <c r="J209" s="702">
        <v>0</v>
      </c>
      <c r="K209" s="703">
        <f ca="1">IF(I209&gt;0,J209*100/I209,0)</f>
        <v>0</v>
      </c>
      <c r="L209" s="574"/>
      <c r="M209" s="566"/>
      <c r="N209" s="566"/>
      <c r="O209" s="566"/>
      <c r="P209" s="566"/>
      <c r="Q209" s="574"/>
      <c r="R209" s="566"/>
      <c r="S209" s="566"/>
      <c r="T209" s="566"/>
      <c r="U209" s="566"/>
    </row>
    <row r="210" spans="1:21" ht="18.75" x14ac:dyDescent="0.25">
      <c r="A210" s="687"/>
      <c r="B210" s="688"/>
      <c r="C210" s="688"/>
      <c r="D210" s="699" t="s">
        <v>50</v>
      </c>
      <c r="E210" s="695"/>
      <c r="F210" s="695"/>
      <c r="G210" s="692"/>
      <c r="H210" s="692"/>
      <c r="I210" s="565"/>
      <c r="J210" s="565"/>
      <c r="K210" s="684"/>
      <c r="L210" s="574"/>
      <c r="M210" s="566"/>
      <c r="N210" s="566"/>
      <c r="O210" s="566"/>
      <c r="P210" s="566"/>
      <c r="Q210" s="574"/>
      <c r="R210" s="566"/>
      <c r="S210" s="566"/>
      <c r="T210" s="566"/>
      <c r="U210" s="566"/>
    </row>
    <row r="211" spans="1:21" ht="18.75" x14ac:dyDescent="0.25">
      <c r="A211" s="687"/>
      <c r="B211" s="688"/>
      <c r="C211" s="688"/>
      <c r="D211" s="695"/>
      <c r="E211" s="699" t="s">
        <v>91</v>
      </c>
      <c r="F211" s="695"/>
      <c r="G211" s="692"/>
      <c r="H211" s="787" t="s">
        <v>85</v>
      </c>
      <c r="I211" s="708">
        <f ca="1">IFERROR(__xludf.DUMMYFUNCTION("IMPORTRANGE(""https://docs.google.com/spreadsheets/d/1eHaY18a8A9IcSdp1K8H6x8fbOy06t2VsZHhMHf-1x7Y/edit?usp=sharing"",""แผน!JX19"")"),3)</f>
        <v>3</v>
      </c>
      <c r="J211" s="702">
        <v>0</v>
      </c>
      <c r="K211" s="703">
        <f t="shared" ref="K211:K213" ca="1" si="146">IF(I211&gt;0,J211*100/I211,0)</f>
        <v>0</v>
      </c>
      <c r="L211" s="574"/>
      <c r="M211" s="566"/>
      <c r="N211" s="566"/>
      <c r="O211" s="566"/>
      <c r="P211" s="566"/>
      <c r="Q211" s="574"/>
      <c r="R211" s="566"/>
      <c r="S211" s="566"/>
      <c r="T211" s="566"/>
      <c r="U211" s="566"/>
    </row>
    <row r="212" spans="1:21" ht="18.75" x14ac:dyDescent="0.25">
      <c r="A212" s="687"/>
      <c r="B212" s="688"/>
      <c r="C212" s="688"/>
      <c r="D212" s="695"/>
      <c r="E212" s="699" t="s">
        <v>92</v>
      </c>
      <c r="F212" s="695"/>
      <c r="G212" s="695"/>
      <c r="H212" s="700" t="s">
        <v>93</v>
      </c>
      <c r="I212" s="708">
        <f ca="1">IFERROR(__xludf.DUMMYFUNCTION("IMPORTRANGE(""https://docs.google.com/spreadsheets/d/1eHaY18a8A9IcSdp1K8H6x8fbOy06t2VsZHhMHf-1x7Y/edit?usp=sharing"",""แผน!JY19"")"),1)</f>
        <v>1</v>
      </c>
      <c r="J212" s="702">
        <v>0</v>
      </c>
      <c r="K212" s="703">
        <f t="shared" ca="1" si="146"/>
        <v>0</v>
      </c>
      <c r="L212" s="574"/>
      <c r="M212" s="566"/>
      <c r="N212" s="566"/>
      <c r="O212" s="566"/>
      <c r="P212" s="566"/>
      <c r="Q212" s="574"/>
      <c r="R212" s="566"/>
      <c r="S212" s="566"/>
      <c r="T212" s="566"/>
      <c r="U212" s="566"/>
    </row>
    <row r="213" spans="1:21" ht="19.5" x14ac:dyDescent="0.3">
      <c r="A213" s="769"/>
      <c r="B213" s="770"/>
      <c r="C213" s="771" t="s">
        <v>94</v>
      </c>
      <c r="D213" s="772"/>
      <c r="E213" s="772"/>
      <c r="F213" s="772"/>
      <c r="G213" s="773"/>
      <c r="H213" s="782" t="s">
        <v>85</v>
      </c>
      <c r="I213" s="775">
        <f t="shared" ref="I213:J213" ca="1" si="147">I220</f>
        <v>0</v>
      </c>
      <c r="J213" s="775">
        <f t="shared" si="147"/>
        <v>0</v>
      </c>
      <c r="K213" s="776">
        <f t="shared" ca="1" si="146"/>
        <v>0</v>
      </c>
      <c r="L213" s="777"/>
      <c r="M213" s="778"/>
      <c r="N213" s="778"/>
      <c r="O213" s="778"/>
      <c r="P213" s="778"/>
      <c r="Q213" s="777"/>
      <c r="R213" s="778"/>
      <c r="S213" s="778"/>
      <c r="T213" s="778"/>
      <c r="U213" s="778"/>
    </row>
    <row r="214" spans="1:21" ht="19.5" x14ac:dyDescent="0.3">
      <c r="A214" s="674"/>
      <c r="B214" s="561"/>
      <c r="C214" s="675" t="s">
        <v>18</v>
      </c>
      <c r="D214" s="779" t="s">
        <v>19</v>
      </c>
      <c r="E214" s="561"/>
      <c r="F214" s="561"/>
      <c r="G214" s="563"/>
      <c r="H214" s="780" t="s">
        <v>14</v>
      </c>
      <c r="I214" s="683"/>
      <c r="J214" s="683"/>
      <c r="K214" s="684"/>
      <c r="L214" s="678">
        <f ca="1">L215+L216+L217</f>
        <v>0</v>
      </c>
      <c r="M214" s="566"/>
      <c r="N214" s="679">
        <f>N215+N216+N217</f>
        <v>0</v>
      </c>
      <c r="O214" s="679">
        <f ca="1">IF(L214&gt;0,N214*100/L214,0)</f>
        <v>0</v>
      </c>
      <c r="P214" s="679">
        <f>IF(M214&gt;0,N214*100/M214,0)</f>
        <v>0</v>
      </c>
      <c r="Q214" s="678">
        <f ca="1">Q215+Q216+Q217</f>
        <v>0</v>
      </c>
      <c r="R214" s="566"/>
      <c r="S214" s="679">
        <f>S215+S216+S217</f>
        <v>229220</v>
      </c>
      <c r="T214" s="679">
        <f ca="1">IF(Q214&gt;0,S214*100/Q214,0)</f>
        <v>0</v>
      </c>
      <c r="U214" s="679">
        <f>IF(R214&gt;0,S214*100/R214,0)</f>
        <v>0</v>
      </c>
    </row>
    <row r="215" spans="1:21" ht="18.75" x14ac:dyDescent="0.25">
      <c r="A215" s="674"/>
      <c r="B215" s="718"/>
      <c r="C215" s="561"/>
      <c r="D215" s="573" t="s">
        <v>86</v>
      </c>
      <c r="E215" s="561"/>
      <c r="F215" s="561"/>
      <c r="G215" s="563"/>
      <c r="H215" s="682" t="s">
        <v>14</v>
      </c>
      <c r="I215" s="683"/>
      <c r="J215" s="683"/>
      <c r="K215" s="684"/>
      <c r="L215" s="567">
        <f ca="1">IFERROR(__xludf.DUMMYFUNCTION("IMPORTRANGE(""https://docs.google.com/spreadsheets/d/1eHaY18a8A9IcSdp1K8H6x8fbOy06t2VsZHhMHf-1x7Y/edit?usp=sharing"",""แผน!AM19"")"),0)</f>
        <v>0</v>
      </c>
      <c r="M215" s="566"/>
      <c r="N215" s="786">
        <v>0</v>
      </c>
      <c r="O215" s="684"/>
      <c r="P215" s="566"/>
      <c r="Q215" s="567">
        <v>0</v>
      </c>
      <c r="R215" s="566"/>
      <c r="S215" s="568">
        <v>0</v>
      </c>
      <c r="T215" s="684"/>
      <c r="U215" s="566"/>
    </row>
    <row r="216" spans="1:21" ht="18.75" x14ac:dyDescent="0.25">
      <c r="A216" s="764"/>
      <c r="B216" s="718"/>
      <c r="C216" s="718"/>
      <c r="D216" s="573" t="s">
        <v>95</v>
      </c>
      <c r="E216" s="561"/>
      <c r="F216" s="561"/>
      <c r="G216" s="563"/>
      <c r="H216" s="682" t="s">
        <v>14</v>
      </c>
      <c r="I216" s="565"/>
      <c r="J216" s="565"/>
      <c r="K216" s="566"/>
      <c r="L216" s="567">
        <f ca="1">IFERROR(__xludf.DUMMYFUNCTION("IMPORTRANGE(""https://docs.google.com/spreadsheets/d/1eHaY18a8A9IcSdp1K8H6x8fbOy06t2VsZHhMHf-1x7Y/edit?usp=sharing"",""แผน!AN19"")"),0)</f>
        <v>0</v>
      </c>
      <c r="M216" s="566"/>
      <c r="N216" s="786">
        <v>0</v>
      </c>
      <c r="O216" s="684"/>
      <c r="P216" s="566"/>
      <c r="Q216" s="567">
        <v>0</v>
      </c>
      <c r="R216" s="566"/>
      <c r="S216" s="568">
        <v>0</v>
      </c>
      <c r="T216" s="684"/>
      <c r="U216" s="566"/>
    </row>
    <row r="217" spans="1:21" ht="18.75" x14ac:dyDescent="0.25">
      <c r="A217" s="764"/>
      <c r="B217" s="718"/>
      <c r="C217" s="718"/>
      <c r="D217" s="573" t="s">
        <v>88</v>
      </c>
      <c r="E217" s="561"/>
      <c r="F217" s="561"/>
      <c r="G217" s="563"/>
      <c r="H217" s="682" t="s">
        <v>14</v>
      </c>
      <c r="I217" s="565"/>
      <c r="J217" s="565"/>
      <c r="K217" s="566"/>
      <c r="L217" s="567">
        <f ca="1">IFERROR(__xludf.DUMMYFUNCTION("IMPORTRANGE(""https://docs.google.com/spreadsheets/d/1eHaY18a8A9IcSdp1K8H6x8fbOy06t2VsZHhMHf-1x7Y/edit?usp=sharing"",""แผน!AO19"")"),0)</f>
        <v>0</v>
      </c>
      <c r="M217" s="566"/>
      <c r="N217" s="786">
        <v>0</v>
      </c>
      <c r="O217" s="684"/>
      <c r="P217" s="566"/>
      <c r="Q217" s="567">
        <f ca="1">IFERROR(__xludf.DUMMYFUNCTION("IMPORTRANGE(""https://docs.google.com/spreadsheets/d/1eHaY18a8A9IcSdp1K8H6x8fbOy06t2VsZHhMHf-1x7Y/edit?usp=sharing"",""แผน!LY19"")"),0)</f>
        <v>0</v>
      </c>
      <c r="R217" s="566"/>
      <c r="S217" s="786">
        <v>229220</v>
      </c>
      <c r="T217" s="684"/>
      <c r="U217" s="566"/>
    </row>
    <row r="218" spans="1:21" ht="19.5" x14ac:dyDescent="0.3">
      <c r="A218" s="687"/>
      <c r="B218" s="688"/>
      <c r="C218" s="719" t="s">
        <v>18</v>
      </c>
      <c r="D218" s="689" t="s">
        <v>38</v>
      </c>
      <c r="E218" s="690"/>
      <c r="F218" s="690"/>
      <c r="G218" s="691"/>
      <c r="H218" s="692"/>
      <c r="I218" s="683"/>
      <c r="J218" s="565"/>
      <c r="K218" s="566"/>
      <c r="L218" s="574"/>
      <c r="M218" s="566"/>
      <c r="N218" s="566"/>
      <c r="O218" s="684"/>
      <c r="P218" s="684"/>
      <c r="Q218" s="574"/>
      <c r="R218" s="566"/>
      <c r="S218" s="566"/>
      <c r="T218" s="684"/>
      <c r="U218" s="684"/>
    </row>
    <row r="219" spans="1:21" ht="18.75" x14ac:dyDescent="0.25">
      <c r="A219" s="687"/>
      <c r="B219" s="688"/>
      <c r="C219" s="688"/>
      <c r="D219" s="694" t="s">
        <v>96</v>
      </c>
      <c r="E219" s="695"/>
      <c r="F219" s="695"/>
      <c r="G219" s="692"/>
      <c r="H219" s="787" t="s">
        <v>85</v>
      </c>
      <c r="I219" s="708">
        <f ca="1">IFERROR(__xludf.DUMMYFUNCTION("IMPORTRANGE(""https://docs.google.com/spreadsheets/d/1eHaY18a8A9IcSdp1K8H6x8fbOy06t2VsZHhMHf-1x7Y/edit?usp=sharing"",""แผน!AP19"")"),0)</f>
        <v>0</v>
      </c>
      <c r="J219" s="702">
        <v>0</v>
      </c>
      <c r="K219" s="568">
        <f t="shared" ref="K219:K221" ca="1" si="148">IF(I219&gt;0,J219*100/I219,0)</f>
        <v>0</v>
      </c>
      <c r="L219" s="574"/>
      <c r="M219" s="566"/>
      <c r="N219" s="566"/>
      <c r="O219" s="566"/>
      <c r="P219" s="566"/>
      <c r="Q219" s="574"/>
      <c r="R219" s="566"/>
      <c r="S219" s="566"/>
      <c r="T219" s="566"/>
      <c r="U219" s="566"/>
    </row>
    <row r="220" spans="1:21" ht="18.75" x14ac:dyDescent="0.25">
      <c r="A220" s="687"/>
      <c r="B220" s="688"/>
      <c r="C220" s="688"/>
      <c r="D220" s="694" t="s">
        <v>97</v>
      </c>
      <c r="E220" s="695"/>
      <c r="F220" s="695"/>
      <c r="G220" s="692"/>
      <c r="H220" s="787" t="s">
        <v>85</v>
      </c>
      <c r="I220" s="708">
        <f ca="1">IFERROR(__xludf.DUMMYFUNCTION("IMPORTRANGE(""https://docs.google.com/spreadsheets/d/1eHaY18a8A9IcSdp1K8H6x8fbOy06t2VsZHhMHf-1x7Y/edit?usp=sharing"",""แผน!AP19"")"),0)</f>
        <v>0</v>
      </c>
      <c r="J220" s="702">
        <v>0</v>
      </c>
      <c r="K220" s="568">
        <f t="shared" ca="1" si="148"/>
        <v>0</v>
      </c>
      <c r="L220" s="574"/>
      <c r="M220" s="566"/>
      <c r="N220" s="566"/>
      <c r="O220" s="566"/>
      <c r="P220" s="566"/>
      <c r="Q220" s="574"/>
      <c r="R220" s="566"/>
      <c r="S220" s="566"/>
      <c r="T220" s="566"/>
      <c r="U220" s="566"/>
    </row>
    <row r="221" spans="1:21" ht="19.5" x14ac:dyDescent="0.3">
      <c r="A221" s="769"/>
      <c r="B221" s="770"/>
      <c r="C221" s="771" t="s">
        <v>98</v>
      </c>
      <c r="D221" s="772"/>
      <c r="E221" s="772"/>
      <c r="F221" s="772"/>
      <c r="G221" s="773"/>
      <c r="H221" s="774" t="s">
        <v>99</v>
      </c>
      <c r="I221" s="775">
        <f t="shared" ref="I221:J221" ca="1" si="149">I229</f>
        <v>50000</v>
      </c>
      <c r="J221" s="775">
        <f t="shared" si="149"/>
        <v>0</v>
      </c>
      <c r="K221" s="776">
        <f t="shared" ca="1" si="148"/>
        <v>0</v>
      </c>
      <c r="L221" s="777"/>
      <c r="M221" s="778"/>
      <c r="N221" s="778"/>
      <c r="O221" s="778"/>
      <c r="P221" s="778"/>
      <c r="Q221" s="778"/>
      <c r="R221" s="778"/>
      <c r="S221" s="778"/>
      <c r="T221" s="778"/>
      <c r="U221" s="778"/>
    </row>
    <row r="222" spans="1:21" ht="19.5" x14ac:dyDescent="0.3">
      <c r="A222" s="674"/>
      <c r="B222" s="561"/>
      <c r="C222" s="675" t="s">
        <v>18</v>
      </c>
      <c r="D222" s="779" t="s">
        <v>19</v>
      </c>
      <c r="E222" s="561"/>
      <c r="F222" s="561"/>
      <c r="G222" s="563"/>
      <c r="H222" s="780" t="s">
        <v>14</v>
      </c>
      <c r="I222" s="683"/>
      <c r="J222" s="683"/>
      <c r="K222" s="684"/>
      <c r="L222" s="678">
        <f ca="1">L223+L224+L225</f>
        <v>8500</v>
      </c>
      <c r="M222" s="566"/>
      <c r="N222" s="679">
        <f>N223+N224+N225</f>
        <v>0</v>
      </c>
      <c r="O222" s="679">
        <f ca="1">IF(L222&gt;0,N222*100/L222,0)</f>
        <v>0</v>
      </c>
      <c r="P222" s="679">
        <f>IF(M222&gt;0,N222*100/M222,0)</f>
        <v>0</v>
      </c>
      <c r="Q222" s="566"/>
      <c r="R222" s="566"/>
      <c r="S222" s="566"/>
      <c r="T222" s="566"/>
      <c r="U222" s="566"/>
    </row>
    <row r="223" spans="1:21" ht="18.75" x14ac:dyDescent="0.25">
      <c r="A223" s="674"/>
      <c r="B223" s="718"/>
      <c r="C223" s="561"/>
      <c r="D223" s="788" t="s">
        <v>302</v>
      </c>
      <c r="E223" s="561"/>
      <c r="F223" s="561"/>
      <c r="G223" s="563"/>
      <c r="H223" s="682" t="s">
        <v>14</v>
      </c>
      <c r="I223" s="683"/>
      <c r="J223" s="683"/>
      <c r="K223" s="684"/>
      <c r="L223" s="567">
        <f ca="1">IFERROR(__xludf.DUMMYFUNCTION("IMPORTRANGE(""https://docs.google.com/spreadsheets/d/1eHaY18a8A9IcSdp1K8H6x8fbOy06t2VsZHhMHf-1x7Y/edit?usp=sharing"",""แผน!AR19"")"),2500)</f>
        <v>2500</v>
      </c>
      <c r="M223" s="566"/>
      <c r="N223" s="786">
        <v>0</v>
      </c>
      <c r="O223" s="684"/>
      <c r="P223" s="566"/>
      <c r="Q223" s="566"/>
      <c r="R223" s="566"/>
      <c r="S223" s="566"/>
      <c r="T223" s="684"/>
      <c r="U223" s="566"/>
    </row>
    <row r="224" spans="1:21" ht="18.75" x14ac:dyDescent="0.25">
      <c r="A224" s="764"/>
      <c r="B224" s="718"/>
      <c r="C224" s="718"/>
      <c r="D224" s="573" t="s">
        <v>301</v>
      </c>
      <c r="E224" s="561"/>
      <c r="F224" s="561"/>
      <c r="G224" s="563"/>
      <c r="H224" s="682" t="s">
        <v>14</v>
      </c>
      <c r="I224" s="565"/>
      <c r="J224" s="565"/>
      <c r="K224" s="566"/>
      <c r="L224" s="567">
        <f ca="1">IFERROR(__xludf.DUMMYFUNCTION("IMPORTRANGE(""https://docs.google.com/spreadsheets/d/1eHaY18a8A9IcSdp1K8H6x8fbOy06t2VsZHhMHf-1x7Y/edit?usp=sharing"",""แผน!AS19"")"),6000)</f>
        <v>6000</v>
      </c>
      <c r="M224" s="566"/>
      <c r="N224" s="786">
        <v>0</v>
      </c>
      <c r="O224" s="684"/>
      <c r="P224" s="566"/>
      <c r="Q224" s="566"/>
      <c r="R224" s="566"/>
      <c r="S224" s="566"/>
      <c r="T224" s="684"/>
      <c r="U224" s="566"/>
    </row>
    <row r="225" spans="1:21" ht="18.75" x14ac:dyDescent="0.25">
      <c r="A225" s="764"/>
      <c r="B225" s="718"/>
      <c r="C225" s="718"/>
      <c r="D225" s="573" t="s">
        <v>88</v>
      </c>
      <c r="E225" s="561"/>
      <c r="F225" s="561"/>
      <c r="G225" s="563"/>
      <c r="H225" s="682" t="s">
        <v>14</v>
      </c>
      <c r="I225" s="565"/>
      <c r="J225" s="565"/>
      <c r="K225" s="566"/>
      <c r="L225" s="567">
        <f ca="1">IFERROR(__xludf.DUMMYFUNCTION("IMPORTRANGE(""https://docs.google.com/spreadsheets/d/1eHaY18a8A9IcSdp1K8H6x8fbOy06t2VsZHhMHf-1x7Y/edit?usp=sharing"",""แผน!AT19"")"),0)</f>
        <v>0</v>
      </c>
      <c r="M225" s="566"/>
      <c r="N225" s="786">
        <v>0</v>
      </c>
      <c r="O225" s="684"/>
      <c r="P225" s="566"/>
      <c r="Q225" s="566"/>
      <c r="R225" s="566"/>
      <c r="S225" s="566"/>
      <c r="T225" s="684"/>
      <c r="U225" s="566"/>
    </row>
    <row r="226" spans="1:21" ht="19.5" x14ac:dyDescent="0.3">
      <c r="A226" s="687"/>
      <c r="B226" s="688"/>
      <c r="C226" s="719" t="s">
        <v>18</v>
      </c>
      <c r="D226" s="689" t="s">
        <v>38</v>
      </c>
      <c r="E226" s="690"/>
      <c r="F226" s="690"/>
      <c r="G226" s="691"/>
      <c r="H226" s="692"/>
      <c r="I226" s="683"/>
      <c r="J226" s="683"/>
      <c r="K226" s="684"/>
      <c r="L226" s="693"/>
      <c r="M226" s="684"/>
      <c r="N226" s="684"/>
      <c r="O226" s="684"/>
      <c r="P226" s="684"/>
      <c r="Q226" s="684"/>
      <c r="R226" s="684"/>
      <c r="S226" s="684"/>
      <c r="T226" s="684"/>
      <c r="U226" s="684"/>
    </row>
    <row r="227" spans="1:21" ht="18.75" x14ac:dyDescent="0.25">
      <c r="A227" s="687"/>
      <c r="B227" s="688"/>
      <c r="C227" s="688"/>
      <c r="D227" s="573" t="s">
        <v>101</v>
      </c>
      <c r="E227" s="695"/>
      <c r="F227" s="695"/>
      <c r="G227" s="692"/>
      <c r="H227" s="692"/>
      <c r="I227" s="565"/>
      <c r="J227" s="565"/>
      <c r="K227" s="684"/>
      <c r="L227" s="693"/>
      <c r="M227" s="684"/>
      <c r="N227" s="684"/>
      <c r="O227" s="684"/>
      <c r="P227" s="684"/>
      <c r="Q227" s="684"/>
      <c r="R227" s="684"/>
      <c r="S227" s="684"/>
      <c r="T227" s="684"/>
      <c r="U227" s="684"/>
    </row>
    <row r="228" spans="1:21" ht="18.75" x14ac:dyDescent="0.25">
      <c r="A228" s="687"/>
      <c r="B228" s="688"/>
      <c r="C228" s="688"/>
      <c r="D228" s="688"/>
      <c r="E228" s="694" t="s">
        <v>102</v>
      </c>
      <c r="F228" s="695"/>
      <c r="G228" s="692"/>
      <c r="H228" s="700" t="s">
        <v>99</v>
      </c>
      <c r="I228" s="708">
        <f ca="1">IFERROR(__xludf.DUMMYFUNCTION("IMPORTRANGE(""https://docs.google.com/spreadsheets/d/1eHaY18a8A9IcSdp1K8H6x8fbOy06t2VsZHhMHf-1x7Y/edit?usp=sharing"",""แผน!AV19"")"),50000)</f>
        <v>50000</v>
      </c>
      <c r="J228" s="702">
        <v>0</v>
      </c>
      <c r="K228" s="703">
        <f t="shared" ref="K228:K231" ca="1" si="150">IF(I228&gt;0,J228*100/I228,0)</f>
        <v>0</v>
      </c>
      <c r="L228" s="693"/>
      <c r="M228" s="684"/>
      <c r="N228" s="684"/>
      <c r="O228" s="684"/>
      <c r="P228" s="684"/>
      <c r="Q228" s="684"/>
      <c r="R228" s="684"/>
      <c r="S228" s="684"/>
      <c r="T228" s="684"/>
      <c r="U228" s="684"/>
    </row>
    <row r="229" spans="1:21" ht="18.75" x14ac:dyDescent="0.25">
      <c r="A229" s="687"/>
      <c r="B229" s="688"/>
      <c r="C229" s="688"/>
      <c r="D229" s="688"/>
      <c r="E229" s="694" t="s">
        <v>103</v>
      </c>
      <c r="F229" s="695"/>
      <c r="G229" s="692"/>
      <c r="H229" s="700" t="s">
        <v>99</v>
      </c>
      <c r="I229" s="708">
        <f ca="1">IFERROR(__xludf.DUMMYFUNCTION("IMPORTRANGE(""https://docs.google.com/spreadsheets/d/1eHaY18a8A9IcSdp1K8H6x8fbOy06t2VsZHhMHf-1x7Y/edit?usp=sharing"",""แผน!AV19"")"),50000)</f>
        <v>50000</v>
      </c>
      <c r="J229" s="702">
        <v>0</v>
      </c>
      <c r="K229" s="703">
        <f t="shared" ca="1" si="150"/>
        <v>0</v>
      </c>
      <c r="L229" s="574"/>
      <c r="M229" s="566"/>
      <c r="N229" s="566"/>
      <c r="O229" s="566"/>
      <c r="P229" s="566"/>
      <c r="Q229" s="566"/>
      <c r="R229" s="566"/>
      <c r="S229" s="566"/>
      <c r="T229" s="566"/>
      <c r="U229" s="566"/>
    </row>
    <row r="230" spans="1:21" ht="18.75" x14ac:dyDescent="0.25">
      <c r="A230" s="687"/>
      <c r="B230" s="688"/>
      <c r="C230" s="688"/>
      <c r="D230" s="573" t="s">
        <v>104</v>
      </c>
      <c r="E230" s="695"/>
      <c r="F230" s="695"/>
      <c r="G230" s="692"/>
      <c r="H230" s="700" t="s">
        <v>35</v>
      </c>
      <c r="I230" s="708">
        <f ca="1">IFERROR(__xludf.DUMMYFUNCTION("IMPORTRANGE(""https://docs.google.com/spreadsheets/d/1eHaY18a8A9IcSdp1K8H6x8fbOy06t2VsZHhMHf-1x7Y/edit?usp=sharing"",""แผน!AU19"")"),0)</f>
        <v>0</v>
      </c>
      <c r="J230" s="702">
        <v>0</v>
      </c>
      <c r="K230" s="703">
        <f t="shared" ca="1" si="150"/>
        <v>0</v>
      </c>
      <c r="L230" s="574"/>
      <c r="M230" s="566"/>
      <c r="N230" s="566"/>
      <c r="O230" s="566"/>
      <c r="P230" s="566"/>
      <c r="Q230" s="566"/>
      <c r="R230" s="566"/>
      <c r="S230" s="566"/>
      <c r="T230" s="566"/>
      <c r="U230" s="566"/>
    </row>
    <row r="231" spans="1:21" s="1201" customFormat="1" ht="19.5" x14ac:dyDescent="0.3">
      <c r="A231" s="1240"/>
      <c r="B231" s="1158"/>
      <c r="C231" s="1159" t="s">
        <v>105</v>
      </c>
      <c r="D231" s="1160"/>
      <c r="E231" s="1160"/>
      <c r="F231" s="1160"/>
      <c r="G231" s="1161"/>
      <c r="H231" s="1162" t="s">
        <v>35</v>
      </c>
      <c r="I231" s="1163">
        <f t="shared" ref="I231:J231" ca="1" si="151">I242+I253</f>
        <v>160</v>
      </c>
      <c r="J231" s="1163">
        <f t="shared" si="151"/>
        <v>120</v>
      </c>
      <c r="K231" s="1164">
        <f t="shared" ca="1" si="150"/>
        <v>75</v>
      </c>
      <c r="L231" s="1165"/>
      <c r="M231" s="1166"/>
      <c r="N231" s="1166"/>
      <c r="O231" s="1166"/>
      <c r="P231" s="1166"/>
      <c r="Q231" s="1166"/>
      <c r="R231" s="1166"/>
      <c r="S231" s="1166"/>
      <c r="T231" s="1166"/>
      <c r="U231" s="1166"/>
    </row>
    <row r="232" spans="1:21" s="1201" customFormat="1" ht="19.5" x14ac:dyDescent="0.3">
      <c r="A232" s="1216"/>
      <c r="B232" s="1167"/>
      <c r="C232" s="1168" t="s">
        <v>18</v>
      </c>
      <c r="D232" s="1169" t="s">
        <v>19</v>
      </c>
      <c r="E232" s="1167"/>
      <c r="F232" s="1167"/>
      <c r="G232" s="1170"/>
      <c r="H232" s="1171" t="s">
        <v>14</v>
      </c>
      <c r="I232" s="1172"/>
      <c r="J232" s="1172"/>
      <c r="K232" s="1173"/>
      <c r="L232" s="1174">
        <f t="shared" ref="L232:L236" ca="1" si="152">L243+L254</f>
        <v>210300</v>
      </c>
      <c r="M232" s="1175"/>
      <c r="N232" s="1176">
        <f t="shared" ref="N232:N236" si="153">N243+N254</f>
        <v>103450</v>
      </c>
      <c r="O232" s="1175"/>
      <c r="P232" s="1175"/>
      <c r="Q232" s="1174"/>
      <c r="R232" s="1175"/>
      <c r="S232" s="1176"/>
      <c r="T232" s="1175"/>
      <c r="U232" s="1175"/>
    </row>
    <row r="233" spans="1:21" s="1201" customFormat="1" ht="18.75" x14ac:dyDescent="0.25">
      <c r="A233" s="1216"/>
      <c r="B233" s="1177"/>
      <c r="C233" s="1167"/>
      <c r="D233" s="1241" t="s">
        <v>317</v>
      </c>
      <c r="E233" s="1167"/>
      <c r="F233" s="1167"/>
      <c r="G233" s="1170"/>
      <c r="H233" s="1179" t="s">
        <v>14</v>
      </c>
      <c r="I233" s="1172"/>
      <c r="J233" s="1172"/>
      <c r="K233" s="1173"/>
      <c r="L233" s="1180">
        <f t="shared" ca="1" si="152"/>
        <v>20000</v>
      </c>
      <c r="M233" s="1175"/>
      <c r="N233" s="1181">
        <f t="shared" si="153"/>
        <v>12450</v>
      </c>
      <c r="O233" s="1175"/>
      <c r="P233" s="1175"/>
      <c r="Q233" s="1180">
        <v>0</v>
      </c>
      <c r="R233" s="1175">
        <v>0</v>
      </c>
      <c r="S233" s="1181">
        <v>0</v>
      </c>
      <c r="T233" s="1175"/>
      <c r="U233" s="1175"/>
    </row>
    <row r="234" spans="1:21" s="1201" customFormat="1" ht="18.75" x14ac:dyDescent="0.25">
      <c r="A234" s="1242"/>
      <c r="B234" s="1177"/>
      <c r="C234" s="1177"/>
      <c r="D234" s="1178" t="s">
        <v>87</v>
      </c>
      <c r="E234" s="1167"/>
      <c r="F234" s="1167"/>
      <c r="G234" s="1170"/>
      <c r="H234" s="1179" t="s">
        <v>14</v>
      </c>
      <c r="I234" s="1182"/>
      <c r="J234" s="1182"/>
      <c r="K234" s="1175"/>
      <c r="L234" s="1180">
        <f t="shared" ca="1" si="152"/>
        <v>91000</v>
      </c>
      <c r="M234" s="1175"/>
      <c r="N234" s="1181">
        <f t="shared" si="153"/>
        <v>91000</v>
      </c>
      <c r="O234" s="1175"/>
      <c r="P234" s="1175"/>
      <c r="Q234" s="1180">
        <v>0</v>
      </c>
      <c r="R234" s="1175">
        <v>0</v>
      </c>
      <c r="S234" s="1181">
        <v>0</v>
      </c>
      <c r="T234" s="1175"/>
      <c r="U234" s="1175"/>
    </row>
    <row r="235" spans="1:21" s="1201" customFormat="1" ht="18.75" x14ac:dyDescent="0.25">
      <c r="A235" s="1242"/>
      <c r="B235" s="1177"/>
      <c r="C235" s="1177"/>
      <c r="D235" s="1178" t="s">
        <v>88</v>
      </c>
      <c r="E235" s="1167"/>
      <c r="F235" s="1167"/>
      <c r="G235" s="1170"/>
      <c r="H235" s="1179" t="s">
        <v>14</v>
      </c>
      <c r="I235" s="1182"/>
      <c r="J235" s="1182"/>
      <c r="K235" s="1175"/>
      <c r="L235" s="1180">
        <f t="shared" ca="1" si="152"/>
        <v>15300</v>
      </c>
      <c r="M235" s="1175"/>
      <c r="N235" s="1181">
        <f t="shared" si="153"/>
        <v>0</v>
      </c>
      <c r="O235" s="1175"/>
      <c r="P235" s="1175"/>
      <c r="Q235" s="1180">
        <v>0</v>
      </c>
      <c r="R235" s="1175">
        <v>0</v>
      </c>
      <c r="S235" s="1181">
        <v>0</v>
      </c>
      <c r="T235" s="1175"/>
      <c r="U235" s="1175"/>
    </row>
    <row r="236" spans="1:21" s="1201" customFormat="1" ht="18.75" x14ac:dyDescent="0.25">
      <c r="A236" s="1242"/>
      <c r="B236" s="1177"/>
      <c r="C236" s="1177"/>
      <c r="D236" s="1178" t="s">
        <v>89</v>
      </c>
      <c r="E236" s="1167"/>
      <c r="F236" s="1167"/>
      <c r="G236" s="1170"/>
      <c r="H236" s="1179" t="s">
        <v>14</v>
      </c>
      <c r="I236" s="1182"/>
      <c r="J236" s="1182"/>
      <c r="K236" s="1175"/>
      <c r="L236" s="1180">
        <f t="shared" ca="1" si="152"/>
        <v>84000</v>
      </c>
      <c r="M236" s="1175"/>
      <c r="N236" s="1181">
        <f t="shared" si="153"/>
        <v>0</v>
      </c>
      <c r="O236" s="1175"/>
      <c r="P236" s="1175"/>
      <c r="Q236" s="1180">
        <v>0</v>
      </c>
      <c r="R236" s="1175">
        <v>0</v>
      </c>
      <c r="S236" s="1181">
        <v>0</v>
      </c>
      <c r="T236" s="1175"/>
      <c r="U236" s="1175"/>
    </row>
    <row r="237" spans="1:21" s="1201" customFormat="1" ht="19.5" x14ac:dyDescent="0.3">
      <c r="A237" s="1221"/>
      <c r="B237" s="1183"/>
      <c r="C237" s="1184" t="s">
        <v>18</v>
      </c>
      <c r="D237" s="1185" t="s">
        <v>38</v>
      </c>
      <c r="E237" s="1186"/>
      <c r="F237" s="1186"/>
      <c r="G237" s="1187"/>
      <c r="H237" s="624"/>
      <c r="I237" s="1172"/>
      <c r="J237" s="1182"/>
      <c r="K237" s="1175"/>
      <c r="L237" s="1188"/>
      <c r="M237" s="1175"/>
      <c r="N237" s="1175"/>
      <c r="O237" s="1173"/>
      <c r="P237" s="1173"/>
      <c r="Q237" s="1175"/>
      <c r="R237" s="1175"/>
      <c r="S237" s="1175"/>
      <c r="T237" s="1173"/>
      <c r="U237" s="1173"/>
    </row>
    <row r="238" spans="1:21" s="1201" customFormat="1" ht="18.75" x14ac:dyDescent="0.25">
      <c r="A238" s="1221"/>
      <c r="B238" s="1183"/>
      <c r="C238" s="1183"/>
      <c r="D238" s="1189" t="s">
        <v>108</v>
      </c>
      <c r="E238" s="623"/>
      <c r="F238" s="623"/>
      <c r="G238" s="624"/>
      <c r="H238" s="1190" t="s">
        <v>35</v>
      </c>
      <c r="I238" s="1191">
        <f t="shared" ref="I238:J238" ca="1" si="154">I249+I260</f>
        <v>160</v>
      </c>
      <c r="J238" s="1191">
        <f t="shared" si="154"/>
        <v>120</v>
      </c>
      <c r="K238" s="1181">
        <f ca="1">IF(I238&gt;0,J238*100/I238,0)</f>
        <v>75</v>
      </c>
      <c r="L238" s="1188"/>
      <c r="M238" s="1175"/>
      <c r="N238" s="1175"/>
      <c r="O238" s="1175"/>
      <c r="P238" s="1175"/>
      <c r="Q238" s="1175"/>
      <c r="R238" s="1175"/>
      <c r="S238" s="1175"/>
      <c r="T238" s="1175"/>
      <c r="U238" s="1175"/>
    </row>
    <row r="239" spans="1:21" s="1201" customFormat="1" ht="18.75" x14ac:dyDescent="0.25">
      <c r="A239" s="1221"/>
      <c r="B239" s="1183"/>
      <c r="C239" s="1183"/>
      <c r="D239" s="1192" t="s">
        <v>43</v>
      </c>
      <c r="E239" s="623"/>
      <c r="F239" s="623"/>
      <c r="G239" s="624"/>
      <c r="H239" s="624"/>
      <c r="I239" s="1182"/>
      <c r="J239" s="1182"/>
      <c r="K239" s="1175"/>
      <c r="L239" s="1188"/>
      <c r="M239" s="1175"/>
      <c r="N239" s="1175"/>
      <c r="O239" s="1173"/>
      <c r="P239" s="1173"/>
      <c r="Q239" s="1175"/>
      <c r="R239" s="1175"/>
      <c r="S239" s="1175"/>
      <c r="T239" s="1173"/>
      <c r="U239" s="1173"/>
    </row>
    <row r="240" spans="1:21" s="1201" customFormat="1" ht="18.75" x14ac:dyDescent="0.25">
      <c r="A240" s="1221"/>
      <c r="B240" s="1183"/>
      <c r="C240" s="1183"/>
      <c r="D240" s="1183"/>
      <c r="E240" s="1193" t="s">
        <v>109</v>
      </c>
      <c r="F240" s="623"/>
      <c r="G240" s="624"/>
      <c r="H240" s="1190" t="s">
        <v>35</v>
      </c>
      <c r="I240" s="1191">
        <f t="shared" ref="I240:J241" ca="1" si="155">I251+I262</f>
        <v>160</v>
      </c>
      <c r="J240" s="1191">
        <f t="shared" si="155"/>
        <v>0</v>
      </c>
      <c r="K240" s="1181">
        <f t="shared" ref="K240:K242" ca="1" si="156">IF(I240&gt;0,J240*100/I240,0)</f>
        <v>0</v>
      </c>
      <c r="L240" s="1188"/>
      <c r="M240" s="1175"/>
      <c r="N240" s="1175"/>
      <c r="O240" s="1175"/>
      <c r="P240" s="1175"/>
      <c r="Q240" s="1175"/>
      <c r="R240" s="1175"/>
      <c r="S240" s="1175"/>
      <c r="T240" s="1175"/>
      <c r="U240" s="1175"/>
    </row>
    <row r="241" spans="1:21" s="1201" customFormat="1" ht="18.75" x14ac:dyDescent="0.25">
      <c r="A241" s="1221"/>
      <c r="B241" s="1183"/>
      <c r="C241" s="1183"/>
      <c r="D241" s="1183"/>
      <c r="E241" s="1193" t="s">
        <v>110</v>
      </c>
      <c r="F241" s="623"/>
      <c r="G241" s="624"/>
      <c r="H241" s="1190" t="s">
        <v>61</v>
      </c>
      <c r="I241" s="1191">
        <f t="shared" ca="1" si="155"/>
        <v>2</v>
      </c>
      <c r="J241" s="1191">
        <f t="shared" si="155"/>
        <v>0</v>
      </c>
      <c r="K241" s="1181">
        <f t="shared" ca="1" si="156"/>
        <v>0</v>
      </c>
      <c r="L241" s="1188"/>
      <c r="M241" s="1175"/>
      <c r="N241" s="1175"/>
      <c r="O241" s="1175"/>
      <c r="P241" s="1175"/>
      <c r="Q241" s="1175"/>
      <c r="R241" s="1175"/>
      <c r="S241" s="1175"/>
      <c r="T241" s="1175"/>
      <c r="U241" s="1175"/>
    </row>
    <row r="242" spans="1:21" ht="19.5" x14ac:dyDescent="0.3">
      <c r="A242" s="1138"/>
      <c r="B242" s="1139"/>
      <c r="C242" s="1140" t="s">
        <v>323</v>
      </c>
      <c r="D242" s="1141"/>
      <c r="E242" s="1141"/>
      <c r="F242" s="1141"/>
      <c r="G242" s="1142"/>
      <c r="H242" s="1143" t="s">
        <v>35</v>
      </c>
      <c r="I242" s="1144">
        <f t="shared" ref="I242:J242" ca="1" si="157">I249</f>
        <v>40</v>
      </c>
      <c r="J242" s="1144">
        <f t="shared" si="157"/>
        <v>0</v>
      </c>
      <c r="K242" s="1145">
        <f t="shared" ca="1" si="156"/>
        <v>0</v>
      </c>
      <c r="L242" s="777"/>
      <c r="M242" s="778"/>
      <c r="N242" s="778"/>
      <c r="O242" s="778"/>
      <c r="P242" s="778"/>
      <c r="Q242" s="778"/>
      <c r="R242" s="778"/>
      <c r="S242" s="778"/>
      <c r="T242" s="778"/>
      <c r="U242" s="778"/>
    </row>
    <row r="243" spans="1:21" ht="19.5" x14ac:dyDescent="0.3">
      <c r="A243" s="823"/>
      <c r="B243" s="824"/>
      <c r="C243" s="825" t="s">
        <v>18</v>
      </c>
      <c r="D243" s="826" t="s">
        <v>19</v>
      </c>
      <c r="E243" s="824"/>
      <c r="F243" s="824"/>
      <c r="G243" s="827"/>
      <c r="H243" s="1146" t="s">
        <v>14</v>
      </c>
      <c r="I243" s="844"/>
      <c r="J243" s="844"/>
      <c r="K243" s="845"/>
      <c r="L243" s="678">
        <f ca="1">L244+L245+L246+L247</f>
        <v>56300</v>
      </c>
      <c r="M243" s="566"/>
      <c r="N243" s="679">
        <f>N244+N245+N246+N247</f>
        <v>8420</v>
      </c>
      <c r="O243" s="679">
        <f ca="1">IF(L243&gt;0,N243*100/L243,0)</f>
        <v>14.955595026642984</v>
      </c>
      <c r="P243" s="679">
        <f>IF(M243&gt;0,N243*100/M243,0)</f>
        <v>0</v>
      </c>
      <c r="Q243" s="566"/>
      <c r="R243" s="566"/>
      <c r="S243" s="566"/>
      <c r="T243" s="566"/>
      <c r="U243" s="566"/>
    </row>
    <row r="244" spans="1:21" ht="18.75" x14ac:dyDescent="0.25">
      <c r="A244" s="823"/>
      <c r="B244" s="957"/>
      <c r="C244" s="824"/>
      <c r="D244" s="788" t="s">
        <v>317</v>
      </c>
      <c r="E244" s="824"/>
      <c r="F244" s="824"/>
      <c r="G244" s="827"/>
      <c r="H244" s="843" t="s">
        <v>14</v>
      </c>
      <c r="I244" s="844"/>
      <c r="J244" s="844"/>
      <c r="K244" s="845"/>
      <c r="L244" s="567">
        <f ca="1">IFERROR(__xludf.DUMMYFUNCTION("IMPORTRANGE(""https://docs.google.com/spreadsheets/d/1eHaY18a8A9IcSdp1K8H6x8fbOy06t2VsZHhMHf-1x7Y/edit?usp=sharing"",""แผน!AX19"")"),10000)</f>
        <v>10000</v>
      </c>
      <c r="M244" s="566"/>
      <c r="N244" s="786">
        <v>8420</v>
      </c>
      <c r="O244" s="566"/>
      <c r="P244" s="566"/>
      <c r="Q244" s="566"/>
      <c r="R244" s="566"/>
      <c r="S244" s="566"/>
      <c r="T244" s="566"/>
      <c r="U244" s="566"/>
    </row>
    <row r="245" spans="1:21" ht="18.75" x14ac:dyDescent="0.25">
      <c r="A245" s="1147"/>
      <c r="B245" s="957"/>
      <c r="C245" s="957"/>
      <c r="D245" s="573" t="s">
        <v>301</v>
      </c>
      <c r="E245" s="824"/>
      <c r="F245" s="824"/>
      <c r="G245" s="827"/>
      <c r="H245" s="843" t="s">
        <v>14</v>
      </c>
      <c r="I245" s="829"/>
      <c r="J245" s="829"/>
      <c r="K245" s="830"/>
      <c r="L245" s="567">
        <f ca="1">IFERROR(__xludf.DUMMYFUNCTION("IMPORTRANGE(""https://docs.google.com/spreadsheets/d/1eHaY18a8A9IcSdp1K8H6x8fbOy06t2VsZHhMHf-1x7Y/edit?usp=sharing"",""แผน!AY19"")"),0)</f>
        <v>0</v>
      </c>
      <c r="M245" s="566"/>
      <c r="N245" s="786">
        <v>0</v>
      </c>
      <c r="O245" s="566"/>
      <c r="P245" s="566"/>
      <c r="Q245" s="566"/>
      <c r="R245" s="566"/>
      <c r="S245" s="566"/>
      <c r="T245" s="566"/>
      <c r="U245" s="566"/>
    </row>
    <row r="246" spans="1:21" ht="18.75" x14ac:dyDescent="0.25">
      <c r="A246" s="1147"/>
      <c r="B246" s="957"/>
      <c r="C246" s="957"/>
      <c r="D246" s="573" t="s">
        <v>88</v>
      </c>
      <c r="E246" s="824"/>
      <c r="F246" s="824"/>
      <c r="G246" s="827"/>
      <c r="H246" s="843" t="s">
        <v>14</v>
      </c>
      <c r="I246" s="829"/>
      <c r="J246" s="829"/>
      <c r="K246" s="830"/>
      <c r="L246" s="567">
        <f ca="1">IFERROR(__xludf.DUMMYFUNCTION("IMPORTRANGE(""https://docs.google.com/spreadsheets/d/1eHaY18a8A9IcSdp1K8H6x8fbOy06t2VsZHhMHf-1x7Y/edit?usp=sharing"",""แผน!AZ19"")"),15300)</f>
        <v>15300</v>
      </c>
      <c r="M246" s="566"/>
      <c r="N246" s="786">
        <v>0</v>
      </c>
      <c r="O246" s="566"/>
      <c r="P246" s="566"/>
      <c r="Q246" s="566"/>
      <c r="R246" s="566"/>
      <c r="S246" s="566"/>
      <c r="T246" s="566"/>
      <c r="U246" s="566"/>
    </row>
    <row r="247" spans="1:21" ht="18.75" x14ac:dyDescent="0.25">
      <c r="A247" s="1147"/>
      <c r="B247" s="957"/>
      <c r="C247" s="957"/>
      <c r="D247" s="573" t="s">
        <v>89</v>
      </c>
      <c r="E247" s="824"/>
      <c r="F247" s="824"/>
      <c r="G247" s="827"/>
      <c r="H247" s="843" t="s">
        <v>14</v>
      </c>
      <c r="I247" s="829"/>
      <c r="J247" s="829"/>
      <c r="K247" s="830"/>
      <c r="L247" s="567">
        <f ca="1">IFERROR(__xludf.DUMMYFUNCTION("IMPORTRANGE(""https://docs.google.com/spreadsheets/d/1eHaY18a8A9IcSdp1K8H6x8fbOy06t2VsZHhMHf-1x7Y/edit?usp=sharing"",""แผน!BA19"")"),31000)</f>
        <v>31000</v>
      </c>
      <c r="M247" s="566"/>
      <c r="N247" s="786">
        <v>0</v>
      </c>
      <c r="O247" s="566"/>
      <c r="P247" s="566"/>
      <c r="Q247" s="566"/>
      <c r="R247" s="566"/>
      <c r="S247" s="566"/>
      <c r="T247" s="566"/>
      <c r="U247" s="566"/>
    </row>
    <row r="248" spans="1:21" ht="19.5" x14ac:dyDescent="0.3">
      <c r="A248" s="849"/>
      <c r="B248" s="850"/>
      <c r="C248" s="1148" t="s">
        <v>18</v>
      </c>
      <c r="D248" s="851" t="s">
        <v>38</v>
      </c>
      <c r="E248" s="816"/>
      <c r="F248" s="816"/>
      <c r="G248" s="817"/>
      <c r="H248" s="852"/>
      <c r="I248" s="844"/>
      <c r="J248" s="829"/>
      <c r="K248" s="830"/>
      <c r="L248" s="574"/>
      <c r="M248" s="566"/>
      <c r="N248" s="566"/>
      <c r="O248" s="684"/>
      <c r="P248" s="684"/>
      <c r="Q248" s="566"/>
      <c r="R248" s="566"/>
      <c r="S248" s="566"/>
      <c r="T248" s="684"/>
      <c r="U248" s="684"/>
    </row>
    <row r="249" spans="1:21" ht="18.75" x14ac:dyDescent="0.25">
      <c r="A249" s="849"/>
      <c r="B249" s="850"/>
      <c r="C249" s="850"/>
      <c r="D249" s="1109" t="s">
        <v>108</v>
      </c>
      <c r="E249" s="1107"/>
      <c r="F249" s="1107"/>
      <c r="G249" s="852"/>
      <c r="H249" s="1149" t="s">
        <v>35</v>
      </c>
      <c r="I249" s="960">
        <f ca="1">IFERROR(__xludf.DUMMYFUNCTION("IMPORTRANGE(""https://docs.google.com/spreadsheets/d/1eHaY18a8A9IcSdp1K8H6x8fbOy06t2VsZHhMHf-1x7Y/edit?usp=sharing"",""แผน!BG19"")"),40)</f>
        <v>40</v>
      </c>
      <c r="J249" s="1105">
        <v>0</v>
      </c>
      <c r="K249" s="841">
        <f ca="1">IF(I249&gt;0,J249*100/I249,0)</f>
        <v>0</v>
      </c>
      <c r="L249" s="574"/>
      <c r="M249" s="566"/>
      <c r="N249" s="566"/>
      <c r="O249" s="566"/>
      <c r="P249" s="566"/>
      <c r="Q249" s="566"/>
      <c r="R249" s="566"/>
      <c r="S249" s="566"/>
      <c r="T249" s="566"/>
      <c r="U249" s="566"/>
    </row>
    <row r="250" spans="1:21" ht="18.75" x14ac:dyDescent="0.25">
      <c r="A250" s="849"/>
      <c r="B250" s="850"/>
      <c r="C250" s="850"/>
      <c r="D250" s="1150" t="s">
        <v>43</v>
      </c>
      <c r="E250" s="1107"/>
      <c r="F250" s="1107"/>
      <c r="G250" s="852"/>
      <c r="H250" s="852"/>
      <c r="I250" s="829"/>
      <c r="J250" s="829"/>
      <c r="K250" s="830"/>
      <c r="L250" s="574"/>
      <c r="M250" s="566"/>
      <c r="N250" s="566"/>
      <c r="O250" s="684"/>
      <c r="P250" s="684"/>
      <c r="Q250" s="566"/>
      <c r="R250" s="566"/>
      <c r="S250" s="566"/>
      <c r="T250" s="684"/>
      <c r="U250" s="684"/>
    </row>
    <row r="251" spans="1:21" ht="18.75" x14ac:dyDescent="0.25">
      <c r="A251" s="849"/>
      <c r="B251" s="850"/>
      <c r="C251" s="850"/>
      <c r="D251" s="850"/>
      <c r="E251" s="944" t="s">
        <v>109</v>
      </c>
      <c r="F251" s="1107"/>
      <c r="G251" s="852"/>
      <c r="H251" s="1149" t="s">
        <v>35</v>
      </c>
      <c r="I251" s="960">
        <f ca="1">IFERROR(__xludf.DUMMYFUNCTION("IMPORTRANGE(""https://docs.google.com/spreadsheets/d/1eHaY18a8A9IcSdp1K8H6x8fbOy06t2VsZHhMHf-1x7Y/edit?usp=sharing"",""แผน!kv19"")"),40)</f>
        <v>40</v>
      </c>
      <c r="J251" s="1105">
        <v>0</v>
      </c>
      <c r="K251" s="841">
        <f t="shared" ref="K251:K253" ca="1" si="158">IF(I251&gt;0,J251*100/I251,0)</f>
        <v>0</v>
      </c>
      <c r="L251" s="574"/>
      <c r="M251" s="566"/>
      <c r="N251" s="566"/>
      <c r="O251" s="566"/>
      <c r="P251" s="566"/>
      <c r="Q251" s="566"/>
      <c r="R251" s="566"/>
      <c r="S251" s="566"/>
      <c r="T251" s="566"/>
      <c r="U251" s="566"/>
    </row>
    <row r="252" spans="1:21" ht="18.75" x14ac:dyDescent="0.25">
      <c r="A252" s="849"/>
      <c r="B252" s="850"/>
      <c r="C252" s="850"/>
      <c r="D252" s="850"/>
      <c r="E252" s="944" t="s">
        <v>110</v>
      </c>
      <c r="F252" s="1107"/>
      <c r="G252" s="852"/>
      <c r="H252" s="1149" t="s">
        <v>35</v>
      </c>
      <c r="I252" s="960">
        <f ca="1">IFERROR(__xludf.DUMMYFUNCTION("IMPORTRANGE(""https://docs.google.com/spreadsheets/d/1eHaY18a8A9IcSdp1K8H6x8fbOy06t2VsZHhMHf-1x7Y/edit?usp=sharing"",""แผน!kw19"")"),1)</f>
        <v>1</v>
      </c>
      <c r="J252" s="1105">
        <v>0</v>
      </c>
      <c r="K252" s="841">
        <f t="shared" ca="1" si="158"/>
        <v>0</v>
      </c>
      <c r="L252" s="574"/>
      <c r="M252" s="566"/>
      <c r="N252" s="566"/>
      <c r="O252" s="566"/>
      <c r="P252" s="566"/>
      <c r="Q252" s="566"/>
      <c r="R252" s="566"/>
      <c r="S252" s="566"/>
      <c r="T252" s="566"/>
      <c r="U252" s="566"/>
    </row>
    <row r="253" spans="1:21" ht="19.5" x14ac:dyDescent="0.3">
      <c r="A253" s="1138"/>
      <c r="B253" s="1139"/>
      <c r="C253" s="1140" t="s">
        <v>324</v>
      </c>
      <c r="D253" s="1141"/>
      <c r="E253" s="1141"/>
      <c r="F253" s="1141"/>
      <c r="G253" s="1142"/>
      <c r="H253" s="1143" t="s">
        <v>35</v>
      </c>
      <c r="I253" s="1144">
        <f t="shared" ref="I253:J253" ca="1" si="159">I260</f>
        <v>120</v>
      </c>
      <c r="J253" s="1144">
        <f t="shared" si="159"/>
        <v>120</v>
      </c>
      <c r="K253" s="1145">
        <f t="shared" ca="1" si="158"/>
        <v>100</v>
      </c>
      <c r="L253" s="777"/>
      <c r="M253" s="778"/>
      <c r="N253" s="778"/>
      <c r="O253" s="778"/>
      <c r="P253" s="778"/>
      <c r="Q253" s="778"/>
      <c r="R253" s="778"/>
      <c r="S253" s="778"/>
      <c r="T253" s="778"/>
      <c r="U253" s="778"/>
    </row>
    <row r="254" spans="1:21" ht="19.5" x14ac:dyDescent="0.3">
      <c r="A254" s="823"/>
      <c r="B254" s="824"/>
      <c r="C254" s="825" t="s">
        <v>18</v>
      </c>
      <c r="D254" s="1234" t="s">
        <v>19</v>
      </c>
      <c r="E254" s="824"/>
      <c r="F254" s="824"/>
      <c r="G254" s="827"/>
      <c r="H254" s="1146" t="s">
        <v>14</v>
      </c>
      <c r="I254" s="844"/>
      <c r="J254" s="844"/>
      <c r="K254" s="845"/>
      <c r="L254" s="678">
        <f ca="1">L255+L256+L257+L258</f>
        <v>154000</v>
      </c>
      <c r="M254" s="566"/>
      <c r="N254" s="679">
        <f>N255+N256+N257+N258</f>
        <v>95030</v>
      </c>
      <c r="O254" s="679">
        <f ca="1">IF(L254&gt;0,N254*100/L254,0)</f>
        <v>61.70779220779221</v>
      </c>
      <c r="P254" s="679">
        <f>IF(M254&gt;0,N254*100/M254,0)</f>
        <v>0</v>
      </c>
      <c r="Q254" s="783"/>
      <c r="R254" s="784"/>
      <c r="S254" s="785"/>
      <c r="T254" s="785"/>
      <c r="U254" s="785"/>
    </row>
    <row r="255" spans="1:21" ht="18.75" x14ac:dyDescent="0.25">
      <c r="A255" s="823"/>
      <c r="B255" s="957"/>
      <c r="C255" s="824"/>
      <c r="D255" s="788" t="s">
        <v>317</v>
      </c>
      <c r="E255" s="824"/>
      <c r="F255" s="824"/>
      <c r="G255" s="827"/>
      <c r="H255" s="843" t="s">
        <v>14</v>
      </c>
      <c r="I255" s="844"/>
      <c r="J255" s="844"/>
      <c r="K255" s="845"/>
      <c r="L255" s="567">
        <f ca="1">IFERROR(__xludf.DUMMYFUNCTION("IMPORTRANGE(""https://docs.google.com/spreadsheets/d/1eHaY18a8A9IcSdp1K8H6x8fbOy06t2VsZHhMHf-1x7Y/edit?usp=sharing"",""แผน!BB19"")"),10000)</f>
        <v>10000</v>
      </c>
      <c r="M255" s="566"/>
      <c r="N255" s="786">
        <v>4030</v>
      </c>
      <c r="O255" s="566"/>
      <c r="P255" s="566"/>
      <c r="Q255" s="567"/>
      <c r="R255" s="566"/>
      <c r="S255" s="568"/>
      <c r="T255" s="684"/>
      <c r="U255" s="566"/>
    </row>
    <row r="256" spans="1:21" ht="18.75" x14ac:dyDescent="0.25">
      <c r="A256" s="1147"/>
      <c r="B256" s="957"/>
      <c r="C256" s="957"/>
      <c r="D256" s="573" t="s">
        <v>301</v>
      </c>
      <c r="E256" s="824"/>
      <c r="F256" s="824"/>
      <c r="G256" s="827"/>
      <c r="H256" s="843" t="s">
        <v>14</v>
      </c>
      <c r="I256" s="829"/>
      <c r="J256" s="829"/>
      <c r="K256" s="830"/>
      <c r="L256" s="567">
        <f ca="1">IFERROR(__xludf.DUMMYFUNCTION("IMPORTRANGE(""https://docs.google.com/spreadsheets/d/1eHaY18a8A9IcSdp1K8H6x8fbOy06t2VsZHhMHf-1x7Y/edit?usp=sharing"",""แผน!BC19"")"),91000)</f>
        <v>91000</v>
      </c>
      <c r="M256" s="566"/>
      <c r="N256" s="786">
        <v>91000</v>
      </c>
      <c r="O256" s="566"/>
      <c r="P256" s="566"/>
      <c r="Q256" s="567"/>
      <c r="R256" s="566"/>
      <c r="S256" s="568"/>
      <c r="T256" s="684"/>
      <c r="U256" s="566"/>
    </row>
    <row r="257" spans="1:21" ht="18.75" x14ac:dyDescent="0.25">
      <c r="A257" s="1147"/>
      <c r="B257" s="957"/>
      <c r="C257" s="957"/>
      <c r="D257" s="573" t="s">
        <v>88</v>
      </c>
      <c r="E257" s="824"/>
      <c r="F257" s="824"/>
      <c r="G257" s="827"/>
      <c r="H257" s="843" t="s">
        <v>14</v>
      </c>
      <c r="I257" s="829"/>
      <c r="J257" s="829"/>
      <c r="K257" s="830"/>
      <c r="L257" s="567">
        <f ca="1">IFERROR(__xludf.DUMMYFUNCTION("IMPORTRANGE(""https://docs.google.com/spreadsheets/d/1eHaY18a8A9IcSdp1K8H6x8fbOy06t2VsZHhMHf-1x7Y/edit?usp=sharing"",""แผน!BD19"")"),0)</f>
        <v>0</v>
      </c>
      <c r="M257" s="566"/>
      <c r="N257" s="786">
        <v>0</v>
      </c>
      <c r="O257" s="566"/>
      <c r="P257" s="566"/>
      <c r="Q257" s="567"/>
      <c r="R257" s="566"/>
      <c r="S257" s="786"/>
      <c r="T257" s="684"/>
      <c r="U257" s="566"/>
    </row>
    <row r="258" spans="1:21" ht="18.75" x14ac:dyDescent="0.25">
      <c r="A258" s="1147"/>
      <c r="B258" s="957"/>
      <c r="C258" s="957"/>
      <c r="D258" s="573" t="s">
        <v>89</v>
      </c>
      <c r="E258" s="824"/>
      <c r="F258" s="824"/>
      <c r="G258" s="827"/>
      <c r="H258" s="843" t="s">
        <v>14</v>
      </c>
      <c r="I258" s="829"/>
      <c r="J258" s="829"/>
      <c r="K258" s="830"/>
      <c r="L258" s="567">
        <f ca="1">IFERROR(__xludf.DUMMYFUNCTION("IMPORTRANGE(""https://docs.google.com/spreadsheets/d/1eHaY18a8A9IcSdp1K8H6x8fbOy06t2VsZHhMHf-1x7Y/edit?usp=sharing"",""แผน!BE19"")"),53000)</f>
        <v>53000</v>
      </c>
      <c r="M258" s="566"/>
      <c r="N258" s="786">
        <v>0</v>
      </c>
      <c r="O258" s="566"/>
      <c r="P258" s="566"/>
      <c r="Q258" s="567"/>
      <c r="R258" s="566"/>
      <c r="S258" s="568"/>
      <c r="T258" s="684"/>
      <c r="U258" s="566"/>
    </row>
    <row r="259" spans="1:21" ht="19.5" x14ac:dyDescent="0.3">
      <c r="A259" s="849"/>
      <c r="B259" s="850"/>
      <c r="C259" s="1148" t="s">
        <v>18</v>
      </c>
      <c r="D259" s="851" t="s">
        <v>38</v>
      </c>
      <c r="E259" s="816"/>
      <c r="F259" s="816"/>
      <c r="G259" s="817"/>
      <c r="H259" s="852"/>
      <c r="I259" s="844"/>
      <c r="J259" s="829"/>
      <c r="K259" s="830"/>
      <c r="L259" s="574"/>
      <c r="M259" s="566"/>
      <c r="N259" s="566"/>
      <c r="O259" s="684"/>
      <c r="P259" s="684"/>
      <c r="Q259" s="566"/>
      <c r="R259" s="566"/>
      <c r="S259" s="566"/>
      <c r="T259" s="684"/>
      <c r="U259" s="684"/>
    </row>
    <row r="260" spans="1:21" ht="18.75" x14ac:dyDescent="0.25">
      <c r="A260" s="849"/>
      <c r="B260" s="850"/>
      <c r="C260" s="850"/>
      <c r="D260" s="1109" t="s">
        <v>108</v>
      </c>
      <c r="E260" s="1107"/>
      <c r="F260" s="1107"/>
      <c r="G260" s="852"/>
      <c r="H260" s="1149" t="s">
        <v>35</v>
      </c>
      <c r="I260" s="960">
        <f ca="1">IFERROR(__xludf.DUMMYFUNCTION("IMPORTRANGE(""https://docs.google.com/spreadsheets/d/1eHaY18a8A9IcSdp1K8H6x8fbOy06t2VsZHhMHf-1x7Y/edit?usp=sharing"",""แผน!BH19"")"),120)</f>
        <v>120</v>
      </c>
      <c r="J260" s="1105">
        <v>120</v>
      </c>
      <c r="K260" s="841">
        <f ca="1">IF(I260&gt;0,J260*100/I260,0)</f>
        <v>100</v>
      </c>
      <c r="L260" s="574"/>
      <c r="M260" s="566"/>
      <c r="N260" s="566"/>
      <c r="O260" s="566"/>
      <c r="P260" s="566"/>
      <c r="Q260" s="566"/>
      <c r="R260" s="566"/>
      <c r="S260" s="566"/>
      <c r="T260" s="566"/>
      <c r="U260" s="566"/>
    </row>
    <row r="261" spans="1:21" ht="18.75" x14ac:dyDescent="0.25">
      <c r="A261" s="849"/>
      <c r="B261" s="850"/>
      <c r="C261" s="850"/>
      <c r="D261" s="1150" t="s">
        <v>43</v>
      </c>
      <c r="E261" s="1107"/>
      <c r="F261" s="1107"/>
      <c r="G261" s="852"/>
      <c r="H261" s="852"/>
      <c r="I261" s="829"/>
      <c r="J261" s="829"/>
      <c r="K261" s="830"/>
      <c r="L261" s="574"/>
      <c r="M261" s="566"/>
      <c r="N261" s="566"/>
      <c r="O261" s="684"/>
      <c r="P261" s="684"/>
      <c r="Q261" s="566"/>
      <c r="R261" s="566"/>
      <c r="S261" s="566"/>
      <c r="T261" s="684"/>
      <c r="U261" s="684"/>
    </row>
    <row r="262" spans="1:21" ht="18.75" x14ac:dyDescent="0.25">
      <c r="A262" s="849"/>
      <c r="B262" s="850"/>
      <c r="C262" s="850"/>
      <c r="D262" s="850"/>
      <c r="E262" s="944" t="s">
        <v>109</v>
      </c>
      <c r="F262" s="1107"/>
      <c r="G262" s="852"/>
      <c r="H262" s="1149" t="s">
        <v>35</v>
      </c>
      <c r="I262" s="960">
        <f ca="1">IFERROR(__xludf.DUMMYFUNCTION("IMPORTRANGE(""https://docs.google.com/spreadsheets/d/1eHaY18a8A9IcSdp1K8H6x8fbOy06t2VsZHhMHf-1x7Y/edit?usp=sharing"",""แผน!KT19"")"),120)</f>
        <v>120</v>
      </c>
      <c r="J262" s="1105">
        <v>0</v>
      </c>
      <c r="K262" s="841">
        <f t="shared" ref="K262:K263" ca="1" si="160">IF(I262&gt;0,J262*100/I262,0)</f>
        <v>0</v>
      </c>
      <c r="L262" s="574"/>
      <c r="M262" s="566"/>
      <c r="N262" s="566"/>
      <c r="O262" s="566"/>
      <c r="P262" s="566"/>
      <c r="Q262" s="566"/>
      <c r="R262" s="566"/>
      <c r="S262" s="566"/>
      <c r="T262" s="566"/>
      <c r="U262" s="566"/>
    </row>
    <row r="263" spans="1:21" ht="18.75" x14ac:dyDescent="0.25">
      <c r="A263" s="849"/>
      <c r="B263" s="850"/>
      <c r="C263" s="850"/>
      <c r="D263" s="850"/>
      <c r="E263" s="944" t="s">
        <v>110</v>
      </c>
      <c r="F263" s="1107"/>
      <c r="G263" s="852"/>
      <c r="H263" s="1149" t="s">
        <v>35</v>
      </c>
      <c r="I263" s="960">
        <f ca="1">IFERROR(__xludf.DUMMYFUNCTION("IMPORTRANGE(""https://docs.google.com/spreadsheets/d/1eHaY18a8A9IcSdp1K8H6x8fbOy06t2VsZHhMHf-1x7Y/edit?usp=sharing"",""แผน!KU19"")"),1)</f>
        <v>1</v>
      </c>
      <c r="J263" s="1105">
        <v>0</v>
      </c>
      <c r="K263" s="841">
        <f t="shared" ca="1" si="160"/>
        <v>0</v>
      </c>
      <c r="L263" s="574"/>
      <c r="M263" s="566"/>
      <c r="N263" s="566"/>
      <c r="O263" s="566"/>
      <c r="P263" s="566"/>
      <c r="Q263" s="566"/>
      <c r="R263" s="566"/>
      <c r="S263" s="566"/>
      <c r="T263" s="566"/>
      <c r="U263" s="566"/>
    </row>
    <row r="264" spans="1:21" ht="19.5" x14ac:dyDescent="0.3">
      <c r="A264" s="806" t="s">
        <v>113</v>
      </c>
      <c r="B264" s="807"/>
      <c r="C264" s="807"/>
      <c r="D264" s="808"/>
      <c r="E264" s="808"/>
      <c r="F264" s="808"/>
      <c r="G264" s="809"/>
      <c r="H264" s="809"/>
      <c r="I264" s="810"/>
      <c r="J264" s="810"/>
      <c r="K264" s="811"/>
      <c r="L264" s="812"/>
      <c r="M264" s="811"/>
      <c r="N264" s="811"/>
      <c r="O264" s="811"/>
      <c r="P264" s="811"/>
      <c r="Q264" s="811"/>
      <c r="R264" s="811"/>
      <c r="S264" s="811"/>
      <c r="T264" s="811"/>
      <c r="U264" s="811"/>
    </row>
    <row r="265" spans="1:21" ht="19.5" x14ac:dyDescent="0.3">
      <c r="A265" s="813"/>
      <c r="B265" s="814" t="s">
        <v>114</v>
      </c>
      <c r="C265" s="815"/>
      <c r="D265" s="816"/>
      <c r="E265" s="816"/>
      <c r="F265" s="816"/>
      <c r="G265" s="817"/>
      <c r="H265" s="818" t="s">
        <v>35</v>
      </c>
      <c r="I265" s="819">
        <f t="shared" ref="I265:J265" ca="1" si="161">I276</f>
        <v>22</v>
      </c>
      <c r="J265" s="819">
        <f t="shared" si="161"/>
        <v>0</v>
      </c>
      <c r="K265" s="820">
        <f ca="1">IF(I265&gt;0,J265*100/I265,0)</f>
        <v>0</v>
      </c>
      <c r="L265" s="821"/>
      <c r="M265" s="822"/>
      <c r="N265" s="822"/>
      <c r="O265" s="822"/>
      <c r="P265" s="822"/>
      <c r="Q265" s="822"/>
      <c r="R265" s="822"/>
      <c r="S265" s="822"/>
      <c r="T265" s="822"/>
      <c r="U265" s="822"/>
    </row>
    <row r="266" spans="1:21" ht="19.5" x14ac:dyDescent="0.3">
      <c r="A266" s="823"/>
      <c r="B266" s="824"/>
      <c r="C266" s="825" t="s">
        <v>18</v>
      </c>
      <c r="D266" s="826" t="s">
        <v>19</v>
      </c>
      <c r="E266" s="824"/>
      <c r="F266" s="824"/>
      <c r="G266" s="827"/>
      <c r="H266" s="828" t="s">
        <v>14</v>
      </c>
      <c r="I266" s="829"/>
      <c r="J266" s="829"/>
      <c r="K266" s="830"/>
      <c r="L266" s="831">
        <f t="shared" ref="L266:N266" ca="1" si="162">L267+L268</f>
        <v>5000</v>
      </c>
      <c r="M266" s="832">
        <f t="shared" ca="1" si="162"/>
        <v>5000</v>
      </c>
      <c r="N266" s="832">
        <f t="shared" ca="1" si="162"/>
        <v>0</v>
      </c>
      <c r="O266" s="832">
        <f t="shared" ref="O266:O274" ca="1" si="163">IF(L266&gt;0,N266*100/L266,0)</f>
        <v>0</v>
      </c>
      <c r="P266" s="832">
        <f t="shared" ref="P266:P274" ca="1" si="164">IF(M266&gt;0,N266*100/M266,0)</f>
        <v>0</v>
      </c>
      <c r="Q266" s="832">
        <f t="shared" ref="Q266:S266" ca="1" si="165">Q267+Q268</f>
        <v>50660</v>
      </c>
      <c r="R266" s="832">
        <f t="shared" ca="1" si="165"/>
        <v>50660</v>
      </c>
      <c r="S266" s="832">
        <f t="shared" ca="1" si="165"/>
        <v>26730</v>
      </c>
      <c r="T266" s="832">
        <f t="shared" ref="T266:T274" ca="1" si="166">IF(Q266&gt;0,S266*100/Q266,0)</f>
        <v>52.763521515988948</v>
      </c>
      <c r="U266" s="832">
        <f t="shared" ref="U266:U274" ca="1" si="167">IF(R266&gt;0,S266*100/R266,0)</f>
        <v>52.763521515988948</v>
      </c>
    </row>
    <row r="267" spans="1:21" ht="18.75" x14ac:dyDescent="0.25">
      <c r="A267" s="833"/>
      <c r="B267" s="834"/>
      <c r="C267" s="834"/>
      <c r="D267" s="834"/>
      <c r="E267" s="569" t="s">
        <v>20</v>
      </c>
      <c r="F267" s="834"/>
      <c r="G267" s="835"/>
      <c r="H267" s="680" t="s">
        <v>14</v>
      </c>
      <c r="I267" s="836"/>
      <c r="J267" s="836"/>
      <c r="K267" s="837"/>
      <c r="L267" s="571">
        <f t="shared" ref="L267:N268" si="168">L270+L273</f>
        <v>0</v>
      </c>
      <c r="M267" s="572">
        <f t="shared" si="168"/>
        <v>0</v>
      </c>
      <c r="N267" s="572">
        <f t="shared" si="168"/>
        <v>0</v>
      </c>
      <c r="O267" s="572">
        <f t="shared" si="163"/>
        <v>0</v>
      </c>
      <c r="P267" s="572">
        <f t="shared" si="164"/>
        <v>0</v>
      </c>
      <c r="Q267" s="572">
        <f t="shared" ref="Q267:S268" si="169">Q270+Q273</f>
        <v>0</v>
      </c>
      <c r="R267" s="572">
        <f t="shared" si="169"/>
        <v>0</v>
      </c>
      <c r="S267" s="572">
        <f t="shared" si="169"/>
        <v>0</v>
      </c>
      <c r="T267" s="572">
        <f t="shared" si="166"/>
        <v>0</v>
      </c>
      <c r="U267" s="572">
        <f t="shared" si="167"/>
        <v>0</v>
      </c>
    </row>
    <row r="268" spans="1:21" ht="18.75" x14ac:dyDescent="0.25">
      <c r="A268" s="823"/>
      <c r="B268" s="824"/>
      <c r="C268" s="824"/>
      <c r="D268" s="824"/>
      <c r="E268" s="838" t="s">
        <v>21</v>
      </c>
      <c r="F268" s="824"/>
      <c r="G268" s="827"/>
      <c r="H268" s="839" t="s">
        <v>14</v>
      </c>
      <c r="I268" s="829"/>
      <c r="J268" s="829"/>
      <c r="K268" s="830"/>
      <c r="L268" s="840">
        <f t="shared" ca="1" si="168"/>
        <v>5000</v>
      </c>
      <c r="M268" s="841">
        <f t="shared" ca="1" si="168"/>
        <v>5000</v>
      </c>
      <c r="N268" s="841">
        <f t="shared" ca="1" si="168"/>
        <v>0</v>
      </c>
      <c r="O268" s="841">
        <f t="shared" ca="1" si="163"/>
        <v>0</v>
      </c>
      <c r="P268" s="841">
        <f t="shared" ca="1" si="164"/>
        <v>0</v>
      </c>
      <c r="Q268" s="841">
        <f t="shared" ca="1" si="169"/>
        <v>50660</v>
      </c>
      <c r="R268" s="841">
        <f t="shared" ca="1" si="169"/>
        <v>50660</v>
      </c>
      <c r="S268" s="841">
        <f t="shared" ca="1" si="169"/>
        <v>26730</v>
      </c>
      <c r="T268" s="841">
        <f t="shared" ca="1" si="166"/>
        <v>52.763521515988948</v>
      </c>
      <c r="U268" s="841">
        <f t="shared" ca="1" si="167"/>
        <v>52.763521515988948</v>
      </c>
    </row>
    <row r="269" spans="1:21" ht="18.75" x14ac:dyDescent="0.25">
      <c r="A269" s="823"/>
      <c r="B269" s="824"/>
      <c r="C269" s="824"/>
      <c r="D269" s="842" t="s">
        <v>22</v>
      </c>
      <c r="E269" s="824"/>
      <c r="F269" s="824"/>
      <c r="G269" s="827"/>
      <c r="H269" s="843" t="s">
        <v>14</v>
      </c>
      <c r="I269" s="844"/>
      <c r="J269" s="844"/>
      <c r="K269" s="845"/>
      <c r="L269" s="840">
        <f t="shared" ref="L269:N269" ca="1" si="170">L270+L271</f>
        <v>5000</v>
      </c>
      <c r="M269" s="841">
        <f t="shared" ca="1" si="170"/>
        <v>5000</v>
      </c>
      <c r="N269" s="841">
        <f t="shared" ca="1" si="170"/>
        <v>0</v>
      </c>
      <c r="O269" s="841">
        <f t="shared" ca="1" si="163"/>
        <v>0</v>
      </c>
      <c r="P269" s="841">
        <f t="shared" ca="1" si="164"/>
        <v>0</v>
      </c>
      <c r="Q269" s="841">
        <f t="shared" ref="Q269:S269" ca="1" si="171">Q270+Q271</f>
        <v>50660</v>
      </c>
      <c r="R269" s="841">
        <f t="shared" ca="1" si="171"/>
        <v>50660</v>
      </c>
      <c r="S269" s="841">
        <f t="shared" ca="1" si="171"/>
        <v>26730</v>
      </c>
      <c r="T269" s="841">
        <f t="shared" ca="1" si="166"/>
        <v>52.763521515988948</v>
      </c>
      <c r="U269" s="841">
        <f t="shared" ca="1" si="167"/>
        <v>52.763521515988948</v>
      </c>
    </row>
    <row r="270" spans="1:21" ht="18.75" x14ac:dyDescent="0.25">
      <c r="A270" s="833"/>
      <c r="B270" s="834"/>
      <c r="C270" s="834"/>
      <c r="D270" s="834"/>
      <c r="E270" s="569" t="s">
        <v>36</v>
      </c>
      <c r="F270" s="834"/>
      <c r="G270" s="835"/>
      <c r="H270" s="685" t="s">
        <v>14</v>
      </c>
      <c r="I270" s="846"/>
      <c r="J270" s="846"/>
      <c r="K270" s="847"/>
      <c r="L270" s="571">
        <v>0</v>
      </c>
      <c r="M270" s="572">
        <v>0</v>
      </c>
      <c r="N270" s="572">
        <v>0</v>
      </c>
      <c r="O270" s="572">
        <f t="shared" si="163"/>
        <v>0</v>
      </c>
      <c r="P270" s="572">
        <f t="shared" si="164"/>
        <v>0</v>
      </c>
      <c r="Q270" s="572">
        <v>0</v>
      </c>
      <c r="R270" s="572">
        <v>0</v>
      </c>
      <c r="S270" s="572">
        <v>0</v>
      </c>
      <c r="T270" s="572">
        <f t="shared" si="166"/>
        <v>0</v>
      </c>
      <c r="U270" s="572">
        <f t="shared" si="167"/>
        <v>0</v>
      </c>
    </row>
    <row r="271" spans="1:21" ht="18.75" x14ac:dyDescent="0.25">
      <c r="A271" s="823"/>
      <c r="B271" s="824"/>
      <c r="C271" s="824"/>
      <c r="D271" s="824"/>
      <c r="E271" s="838" t="s">
        <v>37</v>
      </c>
      <c r="F271" s="824"/>
      <c r="G271" s="827"/>
      <c r="H271" s="843" t="s">
        <v>14</v>
      </c>
      <c r="I271" s="844"/>
      <c r="J271" s="844"/>
      <c r="K271" s="845"/>
      <c r="L271" s="840">
        <f ca="1">IFERROR(__xludf.DUMMYFUNCTION("IMPORTRANGE(""https://docs.google.com/spreadsheets/d/1-uDff_7J0KD5mKrp0Vvzr7lt3OU09vwQwhkpOPPYv2Y/edit?usp=sharing"",""งบพรบ!DE19"")"),5000)</f>
        <v>5000</v>
      </c>
      <c r="M271" s="841">
        <f ca="1">IFERROR(__xludf.DUMMYFUNCTION("IMPORTRANGE(""https://docs.google.com/spreadsheets/d/1-uDff_7J0KD5mKrp0Vvzr7lt3OU09vwQwhkpOPPYv2Y/edit?usp=sharing"",""งบพรบ!DJ19"")"),5000)</f>
        <v>5000</v>
      </c>
      <c r="N271" s="841">
        <f ca="1">IFERROR(__xludf.DUMMYFUNCTION("IMPORTRANGE(""https://docs.google.com/spreadsheets/d/1-uDff_7J0KD5mKrp0Vvzr7lt3OU09vwQwhkpOPPYv2Y/edit?usp=sharing"",""งบพรบ!DL19"")"),0)</f>
        <v>0</v>
      </c>
      <c r="O271" s="841">
        <f t="shared" ca="1" si="163"/>
        <v>0</v>
      </c>
      <c r="P271" s="841">
        <f t="shared" ca="1" si="164"/>
        <v>0</v>
      </c>
      <c r="Q271" s="841">
        <f ca="1">IFERROR(__xludf.DUMMYFUNCTION("IMPORTRANGE(""https://docs.google.com/spreadsheets/d/1ItG2mGa2ceCfYo0BwxsXqNm01IGEUdYcSSLTEv9YCik/edit?usp=sharing"",""เบิกจ่ายกองทุน!AP19"")"),50660)</f>
        <v>50660</v>
      </c>
      <c r="R271" s="841">
        <f ca="1">IFERROR(__xludf.DUMMYFUNCTION("IMPORTRANGE(""https://docs.google.com/spreadsheets/d/1ItG2mGa2ceCfYo0BwxsXqNm01IGEUdYcSSLTEv9YCik/edit?usp=sharing"",""เบิกจ่ายกองทุน!AQ19"")"),50660)</f>
        <v>50660</v>
      </c>
      <c r="S271" s="841">
        <f ca="1">IFERROR(__xludf.DUMMYFUNCTION("IMPORTRANGE(""https://docs.google.com/spreadsheets/d/1ItG2mGa2ceCfYo0BwxsXqNm01IGEUdYcSSLTEv9YCik/edit?usp=sharing"",""เบิกจ่ายกองทุน!AR19"")"),26730)</f>
        <v>26730</v>
      </c>
      <c r="T271" s="841">
        <f t="shared" ca="1" si="166"/>
        <v>52.763521515988948</v>
      </c>
      <c r="U271" s="841">
        <f t="shared" ca="1" si="167"/>
        <v>52.763521515988948</v>
      </c>
    </row>
    <row r="272" spans="1:21" ht="18.75" x14ac:dyDescent="0.25">
      <c r="A272" s="823"/>
      <c r="B272" s="824"/>
      <c r="C272" s="824"/>
      <c r="D272" s="842" t="s">
        <v>23</v>
      </c>
      <c r="E272" s="824"/>
      <c r="F272" s="824"/>
      <c r="G272" s="827"/>
      <c r="H272" s="848" t="s">
        <v>14</v>
      </c>
      <c r="I272" s="844"/>
      <c r="J272" s="844"/>
      <c r="K272" s="845"/>
      <c r="L272" s="840">
        <f t="shared" ref="L272:N272" ca="1" si="172">L273+L274</f>
        <v>0</v>
      </c>
      <c r="M272" s="841">
        <f t="shared" ca="1" si="172"/>
        <v>0</v>
      </c>
      <c r="N272" s="841">
        <f t="shared" ca="1" si="172"/>
        <v>0</v>
      </c>
      <c r="O272" s="841">
        <f t="shared" ca="1" si="163"/>
        <v>0</v>
      </c>
      <c r="P272" s="841">
        <f t="shared" ca="1" si="164"/>
        <v>0</v>
      </c>
      <c r="Q272" s="841">
        <f t="shared" ref="Q272:S272" si="173">Q273+Q274</f>
        <v>0</v>
      </c>
      <c r="R272" s="841">
        <f t="shared" si="173"/>
        <v>0</v>
      </c>
      <c r="S272" s="841">
        <f t="shared" si="173"/>
        <v>0</v>
      </c>
      <c r="T272" s="841">
        <f t="shared" si="166"/>
        <v>0</v>
      </c>
      <c r="U272" s="841">
        <f t="shared" si="167"/>
        <v>0</v>
      </c>
    </row>
    <row r="273" spans="1:21" ht="18.75" x14ac:dyDescent="0.25">
      <c r="A273" s="833"/>
      <c r="B273" s="834"/>
      <c r="C273" s="834"/>
      <c r="D273" s="834"/>
      <c r="E273" s="569" t="s">
        <v>20</v>
      </c>
      <c r="F273" s="834"/>
      <c r="G273" s="835"/>
      <c r="H273" s="685" t="s">
        <v>14</v>
      </c>
      <c r="I273" s="846"/>
      <c r="J273" s="846"/>
      <c r="K273" s="847"/>
      <c r="L273" s="571">
        <v>0</v>
      </c>
      <c r="M273" s="572">
        <v>0</v>
      </c>
      <c r="N273" s="572">
        <v>0</v>
      </c>
      <c r="O273" s="572">
        <f t="shared" si="163"/>
        <v>0</v>
      </c>
      <c r="P273" s="572">
        <f t="shared" si="164"/>
        <v>0</v>
      </c>
      <c r="Q273" s="572">
        <v>0</v>
      </c>
      <c r="R273" s="572">
        <v>0</v>
      </c>
      <c r="S273" s="572">
        <v>0</v>
      </c>
      <c r="T273" s="572">
        <f t="shared" si="166"/>
        <v>0</v>
      </c>
      <c r="U273" s="572">
        <f t="shared" si="167"/>
        <v>0</v>
      </c>
    </row>
    <row r="274" spans="1:21" ht="18.75" x14ac:dyDescent="0.25">
      <c r="A274" s="823"/>
      <c r="B274" s="824"/>
      <c r="C274" s="824"/>
      <c r="D274" s="824"/>
      <c r="E274" s="838" t="s">
        <v>21</v>
      </c>
      <c r="F274" s="824"/>
      <c r="G274" s="827"/>
      <c r="H274" s="848" t="s">
        <v>14</v>
      </c>
      <c r="I274" s="844"/>
      <c r="J274" s="844"/>
      <c r="K274" s="845"/>
      <c r="L274" s="840">
        <f ca="1">IFERROR(__xludf.DUMMYFUNCTION("IMPORTRANGE(""https://docs.google.com/spreadsheets/d/1-uDff_7J0KD5mKrp0Vvzr7lt3OU09vwQwhkpOPPYv2Y/edit?usp=sharing"",""งบพรบ!DH19"")"),0)</f>
        <v>0</v>
      </c>
      <c r="M274" s="841">
        <f ca="1">IFERROR(__xludf.DUMMYFUNCTION("IMPORTRANGE(""https://docs.google.com/spreadsheets/d/1-uDff_7J0KD5mKrp0Vvzr7lt3OU09vwQwhkpOPPYv2Y/edit?usp=sharing"",""งบพรบ!DK19"")"),0)</f>
        <v>0</v>
      </c>
      <c r="N274" s="841">
        <f ca="1">IFERROR(__xludf.DUMMYFUNCTION("IMPORTRANGE(""https://docs.google.com/spreadsheets/d/1-uDff_7J0KD5mKrp0Vvzr7lt3OU09vwQwhkpOPPYv2Y/edit?usp=sharing"",""งบพรบ!DM19"")"),0)</f>
        <v>0</v>
      </c>
      <c r="O274" s="841">
        <f t="shared" ca="1" si="163"/>
        <v>0</v>
      </c>
      <c r="P274" s="841">
        <f t="shared" ca="1" si="164"/>
        <v>0</v>
      </c>
      <c r="Q274" s="841">
        <v>0</v>
      </c>
      <c r="R274" s="841">
        <v>0</v>
      </c>
      <c r="S274" s="841">
        <v>0</v>
      </c>
      <c r="T274" s="841">
        <f t="shared" si="166"/>
        <v>0</v>
      </c>
      <c r="U274" s="841">
        <f t="shared" si="167"/>
        <v>0</v>
      </c>
    </row>
    <row r="275" spans="1:21" ht="19.5" x14ac:dyDescent="0.3">
      <c r="A275" s="849"/>
      <c r="B275" s="850"/>
      <c r="C275" s="838" t="s">
        <v>18</v>
      </c>
      <c r="D275" s="851" t="s">
        <v>38</v>
      </c>
      <c r="E275" s="816"/>
      <c r="F275" s="816"/>
      <c r="G275" s="817"/>
      <c r="H275" s="852"/>
      <c r="I275" s="844"/>
      <c r="J275" s="844"/>
      <c r="K275" s="845"/>
      <c r="L275" s="853"/>
      <c r="M275" s="845"/>
      <c r="N275" s="845"/>
      <c r="O275" s="845"/>
      <c r="P275" s="845"/>
      <c r="Q275" s="845"/>
      <c r="R275" s="845"/>
      <c r="S275" s="845"/>
      <c r="T275" s="845"/>
      <c r="U275" s="845"/>
    </row>
    <row r="276" spans="1:21" ht="18.75" x14ac:dyDescent="0.25">
      <c r="A276" s="854"/>
      <c r="B276" s="855"/>
      <c r="C276" s="855"/>
      <c r="D276" s="856" t="s">
        <v>115</v>
      </c>
      <c r="E276" s="857"/>
      <c r="F276" s="857"/>
      <c r="G276" s="858"/>
      <c r="H276" s="859" t="s">
        <v>35</v>
      </c>
      <c r="I276" s="860">
        <f ca="1">IFERROR(__xludf.DUMMYFUNCTION("IMPORTRANGE(""https://docs.google.com/spreadsheets/d/1eHaY18a8A9IcSdp1K8H6x8fbOy06t2VsZHhMHf-1x7Y/edit?usp=sharing"",""แผน!EC19"")"),22)</f>
        <v>22</v>
      </c>
      <c r="J276" s="861">
        <v>0</v>
      </c>
      <c r="K276" s="862">
        <f ca="1">IF(I276&gt;0,J276*100/I276,0)</f>
        <v>0</v>
      </c>
      <c r="L276" s="574"/>
      <c r="M276" s="566"/>
      <c r="N276" s="566"/>
      <c r="O276" s="566"/>
      <c r="P276" s="566"/>
      <c r="Q276" s="566"/>
      <c r="R276" s="566"/>
      <c r="S276" s="566"/>
      <c r="T276" s="566"/>
      <c r="U276" s="566"/>
    </row>
    <row r="277" spans="1:21" ht="18.75" x14ac:dyDescent="0.25">
      <c r="A277" s="863"/>
      <c r="B277" s="864"/>
      <c r="C277" s="864"/>
      <c r="D277" s="865" t="s">
        <v>116</v>
      </c>
      <c r="E277" s="512"/>
      <c r="F277" s="512"/>
      <c r="G277" s="866"/>
      <c r="H277" s="867" t="s">
        <v>35</v>
      </c>
      <c r="I277" s="740">
        <v>0</v>
      </c>
      <c r="J277" s="740">
        <v>0</v>
      </c>
      <c r="K277" s="868">
        <v>0</v>
      </c>
      <c r="L277" s="869"/>
      <c r="M277" s="870"/>
      <c r="N277" s="870"/>
      <c r="O277" s="870"/>
      <c r="P277" s="870"/>
      <c r="Q277" s="870"/>
      <c r="R277" s="870"/>
      <c r="S277" s="870"/>
      <c r="T277" s="870"/>
      <c r="U277" s="870"/>
    </row>
    <row r="278" spans="1:21" ht="19.5" x14ac:dyDescent="0.3">
      <c r="A278" s="871" t="s">
        <v>117</v>
      </c>
      <c r="B278" s="872"/>
      <c r="C278" s="872"/>
      <c r="D278" s="872"/>
      <c r="E278" s="873"/>
      <c r="F278" s="873"/>
      <c r="G278" s="873"/>
      <c r="H278" s="873"/>
      <c r="I278" s="874"/>
      <c r="J278" s="874"/>
      <c r="K278" s="875"/>
      <c r="L278" s="875"/>
      <c r="M278" s="875"/>
      <c r="N278" s="875"/>
      <c r="O278" s="875"/>
      <c r="P278" s="876"/>
      <c r="Q278" s="875"/>
      <c r="R278" s="875"/>
      <c r="S278" s="875"/>
      <c r="T278" s="875"/>
      <c r="U278" s="876"/>
    </row>
    <row r="279" spans="1:21" ht="19.5" x14ac:dyDescent="0.3">
      <c r="A279" s="877" t="s">
        <v>118</v>
      </c>
      <c r="B279" s="878"/>
      <c r="C279" s="879"/>
      <c r="D279" s="878"/>
      <c r="E279" s="878"/>
      <c r="F279" s="878"/>
      <c r="G279" s="878"/>
      <c r="H279" s="878"/>
      <c r="I279" s="880"/>
      <c r="J279" s="881"/>
      <c r="K279" s="882"/>
      <c r="L279" s="883"/>
      <c r="M279" s="882"/>
      <c r="N279" s="882"/>
      <c r="O279" s="882"/>
      <c r="P279" s="882"/>
      <c r="Q279" s="882"/>
      <c r="R279" s="882"/>
      <c r="S279" s="882"/>
      <c r="T279" s="882"/>
      <c r="U279" s="882"/>
    </row>
    <row r="280" spans="1:21" ht="19.5" x14ac:dyDescent="0.3">
      <c r="A280" s="884"/>
      <c r="B280" s="885" t="s">
        <v>119</v>
      </c>
      <c r="C280" s="886"/>
      <c r="D280" s="887"/>
      <c r="E280" s="886"/>
      <c r="F280" s="886"/>
      <c r="G280" s="888"/>
      <c r="H280" s="889" t="s">
        <v>35</v>
      </c>
      <c r="I280" s="890">
        <f t="shared" ref="I280:J280" ca="1" si="174">I293</f>
        <v>10</v>
      </c>
      <c r="J280" s="890">
        <f t="shared" si="174"/>
        <v>10</v>
      </c>
      <c r="K280" s="891">
        <f t="shared" ref="K280:K281" ca="1" si="175">IF(I280&gt;0,J280*100/I280,0)</f>
        <v>100</v>
      </c>
      <c r="L280" s="892"/>
      <c r="M280" s="893"/>
      <c r="N280" s="893"/>
      <c r="O280" s="893"/>
      <c r="P280" s="893"/>
      <c r="Q280" s="893"/>
      <c r="R280" s="893"/>
      <c r="S280" s="893"/>
      <c r="T280" s="893"/>
      <c r="U280" s="893"/>
    </row>
    <row r="281" spans="1:21" ht="19.5" x14ac:dyDescent="0.3">
      <c r="A281" s="884"/>
      <c r="B281" s="886"/>
      <c r="C281" s="886"/>
      <c r="D281" s="887"/>
      <c r="E281" s="886"/>
      <c r="F281" s="886"/>
      <c r="G281" s="888"/>
      <c r="H281" s="889" t="s">
        <v>46</v>
      </c>
      <c r="I281" s="890">
        <f t="shared" ref="I281:J281" ca="1" si="176">I292</f>
        <v>100</v>
      </c>
      <c r="J281" s="890">
        <f t="shared" si="176"/>
        <v>100</v>
      </c>
      <c r="K281" s="891">
        <f t="shared" ca="1" si="175"/>
        <v>100</v>
      </c>
      <c r="L281" s="892"/>
      <c r="M281" s="893"/>
      <c r="N281" s="893"/>
      <c r="O281" s="893"/>
      <c r="P281" s="893"/>
      <c r="Q281" s="893"/>
      <c r="R281" s="893"/>
      <c r="S281" s="893"/>
      <c r="T281" s="893"/>
      <c r="U281" s="893"/>
    </row>
    <row r="282" spans="1:21" ht="19.5" x14ac:dyDescent="0.3">
      <c r="A282" s="674"/>
      <c r="B282" s="561"/>
      <c r="C282" s="675" t="s">
        <v>18</v>
      </c>
      <c r="D282" s="676" t="s">
        <v>19</v>
      </c>
      <c r="E282" s="561"/>
      <c r="F282" s="561"/>
      <c r="G282" s="563"/>
      <c r="H282" s="677" t="s">
        <v>14</v>
      </c>
      <c r="I282" s="565"/>
      <c r="J282" s="565"/>
      <c r="K282" s="566"/>
      <c r="L282" s="678">
        <f t="shared" ref="L282:N282" ca="1" si="177">L283+L284</f>
        <v>181820</v>
      </c>
      <c r="M282" s="679">
        <f t="shared" ca="1" si="177"/>
        <v>181820</v>
      </c>
      <c r="N282" s="679">
        <f t="shared" ca="1" si="177"/>
        <v>95649.9</v>
      </c>
      <c r="O282" s="679">
        <f t="shared" ref="O282:O290" ca="1" si="178">IF(L282&gt;0,N282*100/L282,0)</f>
        <v>52.606918930810693</v>
      </c>
      <c r="P282" s="679">
        <f t="shared" ref="P282:P290" ca="1" si="179">IF(M282&gt;0,N282*100/M282,0)</f>
        <v>52.606918930810693</v>
      </c>
      <c r="Q282" s="679">
        <f t="shared" ref="Q282:S282" si="180">Q283+Q284</f>
        <v>0</v>
      </c>
      <c r="R282" s="679">
        <f t="shared" si="180"/>
        <v>0</v>
      </c>
      <c r="S282" s="679">
        <f t="shared" si="180"/>
        <v>0</v>
      </c>
      <c r="T282" s="679">
        <f t="shared" ref="T282:T290" si="181">IF(Q282&gt;0,S282*100/Q282,0)</f>
        <v>0</v>
      </c>
      <c r="U282" s="679">
        <f t="shared" ref="U282:U290" si="182">IF(R282&gt;0,S282*100/R282,0)</f>
        <v>0</v>
      </c>
    </row>
    <row r="283" spans="1:21" ht="18.75" x14ac:dyDescent="0.25">
      <c r="A283" s="674"/>
      <c r="B283" s="561"/>
      <c r="C283" s="561"/>
      <c r="D283" s="561"/>
      <c r="E283" s="569" t="s">
        <v>20</v>
      </c>
      <c r="F283" s="561"/>
      <c r="G283" s="563"/>
      <c r="H283" s="680" t="s">
        <v>14</v>
      </c>
      <c r="I283" s="565"/>
      <c r="J283" s="565"/>
      <c r="K283" s="566"/>
      <c r="L283" s="571">
        <f t="shared" ref="L283:N284" si="183">L286+L289</f>
        <v>0</v>
      </c>
      <c r="M283" s="572">
        <f t="shared" si="183"/>
        <v>0</v>
      </c>
      <c r="N283" s="572">
        <f t="shared" si="183"/>
        <v>0</v>
      </c>
      <c r="O283" s="572">
        <f t="shared" si="178"/>
        <v>0</v>
      </c>
      <c r="P283" s="572">
        <f t="shared" si="179"/>
        <v>0</v>
      </c>
      <c r="Q283" s="572">
        <f t="shared" ref="Q283:S284" si="184">Q286+Q289</f>
        <v>0</v>
      </c>
      <c r="R283" s="572">
        <f t="shared" si="184"/>
        <v>0</v>
      </c>
      <c r="S283" s="572">
        <f t="shared" si="184"/>
        <v>0</v>
      </c>
      <c r="T283" s="572">
        <f t="shared" si="181"/>
        <v>0</v>
      </c>
      <c r="U283" s="572">
        <f t="shared" si="182"/>
        <v>0</v>
      </c>
    </row>
    <row r="284" spans="1:21" ht="18.75" x14ac:dyDescent="0.25">
      <c r="A284" s="674"/>
      <c r="B284" s="561"/>
      <c r="C284" s="561"/>
      <c r="D284" s="561"/>
      <c r="E284" s="573" t="s">
        <v>21</v>
      </c>
      <c r="F284" s="561"/>
      <c r="G284" s="563"/>
      <c r="H284" s="681" t="s">
        <v>14</v>
      </c>
      <c r="I284" s="565"/>
      <c r="J284" s="565"/>
      <c r="K284" s="566"/>
      <c r="L284" s="567">
        <f t="shared" ca="1" si="183"/>
        <v>181820</v>
      </c>
      <c r="M284" s="568">
        <f t="shared" ca="1" si="183"/>
        <v>181820</v>
      </c>
      <c r="N284" s="568">
        <f t="shared" ca="1" si="183"/>
        <v>95649.9</v>
      </c>
      <c r="O284" s="568">
        <f t="shared" ca="1" si="178"/>
        <v>52.606918930810693</v>
      </c>
      <c r="P284" s="568">
        <f t="shared" ca="1" si="179"/>
        <v>52.606918930810693</v>
      </c>
      <c r="Q284" s="568">
        <f t="shared" si="184"/>
        <v>0</v>
      </c>
      <c r="R284" s="568">
        <f t="shared" si="184"/>
        <v>0</v>
      </c>
      <c r="S284" s="568">
        <f t="shared" si="184"/>
        <v>0</v>
      </c>
      <c r="T284" s="568">
        <f t="shared" si="181"/>
        <v>0</v>
      </c>
      <c r="U284" s="568">
        <f t="shared" si="182"/>
        <v>0</v>
      </c>
    </row>
    <row r="285" spans="1:21" ht="18.75" x14ac:dyDescent="0.25">
      <c r="A285" s="674"/>
      <c r="B285" s="561"/>
      <c r="C285" s="561"/>
      <c r="D285" s="562" t="s">
        <v>22</v>
      </c>
      <c r="E285" s="561"/>
      <c r="F285" s="561"/>
      <c r="G285" s="563"/>
      <c r="H285" s="682" t="s">
        <v>14</v>
      </c>
      <c r="I285" s="683"/>
      <c r="J285" s="683"/>
      <c r="K285" s="684"/>
      <c r="L285" s="567">
        <f t="shared" ref="L285:N285" ca="1" si="185">L286+L287</f>
        <v>181820</v>
      </c>
      <c r="M285" s="568">
        <f t="shared" ca="1" si="185"/>
        <v>181820</v>
      </c>
      <c r="N285" s="568">
        <f t="shared" ca="1" si="185"/>
        <v>95649.9</v>
      </c>
      <c r="O285" s="568">
        <f t="shared" ca="1" si="178"/>
        <v>52.606918930810693</v>
      </c>
      <c r="P285" s="568">
        <f t="shared" ca="1" si="179"/>
        <v>52.606918930810693</v>
      </c>
      <c r="Q285" s="568">
        <f t="shared" ref="Q285:S285" si="186">Q286+Q287</f>
        <v>0</v>
      </c>
      <c r="R285" s="568">
        <f t="shared" si="186"/>
        <v>0</v>
      </c>
      <c r="S285" s="568">
        <f t="shared" si="186"/>
        <v>0</v>
      </c>
      <c r="T285" s="568">
        <f t="shared" si="181"/>
        <v>0</v>
      </c>
      <c r="U285" s="568">
        <f t="shared" si="182"/>
        <v>0</v>
      </c>
    </row>
    <row r="286" spans="1:21" ht="18.75" x14ac:dyDescent="0.25">
      <c r="A286" s="674"/>
      <c r="B286" s="561"/>
      <c r="C286" s="561"/>
      <c r="D286" s="561"/>
      <c r="E286" s="569" t="s">
        <v>36</v>
      </c>
      <c r="F286" s="561"/>
      <c r="G286" s="563"/>
      <c r="H286" s="685" t="s">
        <v>14</v>
      </c>
      <c r="I286" s="683"/>
      <c r="J286" s="683"/>
      <c r="K286" s="684"/>
      <c r="L286" s="571">
        <v>0</v>
      </c>
      <c r="M286" s="572">
        <v>0</v>
      </c>
      <c r="N286" s="572">
        <v>0</v>
      </c>
      <c r="O286" s="572">
        <f t="shared" si="178"/>
        <v>0</v>
      </c>
      <c r="P286" s="572">
        <f t="shared" si="179"/>
        <v>0</v>
      </c>
      <c r="Q286" s="572">
        <v>0</v>
      </c>
      <c r="R286" s="572">
        <v>0</v>
      </c>
      <c r="S286" s="572">
        <v>0</v>
      </c>
      <c r="T286" s="572">
        <f t="shared" si="181"/>
        <v>0</v>
      </c>
      <c r="U286" s="572">
        <f t="shared" si="182"/>
        <v>0</v>
      </c>
    </row>
    <row r="287" spans="1:21" ht="18.75" x14ac:dyDescent="0.25">
      <c r="A287" s="674"/>
      <c r="B287" s="561"/>
      <c r="C287" s="561"/>
      <c r="D287" s="561"/>
      <c r="E287" s="573" t="s">
        <v>37</v>
      </c>
      <c r="F287" s="561"/>
      <c r="G287" s="563"/>
      <c r="H287" s="682" t="s">
        <v>14</v>
      </c>
      <c r="I287" s="683"/>
      <c r="J287" s="683"/>
      <c r="K287" s="684"/>
      <c r="L287" s="567">
        <f ca="1">IFERROR(__xludf.DUMMYFUNCTION("IMPORTRANGE(""https://docs.google.com/spreadsheets/d/1-uDff_7J0KD5mKrp0Vvzr7lt3OU09vwQwhkpOPPYv2Y/edit?usp=sharing"",""งบพรบ!DO19"")"),181820)</f>
        <v>181820</v>
      </c>
      <c r="M287" s="568">
        <f ca="1">IFERROR(__xludf.DUMMYFUNCTION("IMPORTRANGE(""https://docs.google.com/spreadsheets/d/1-uDff_7J0KD5mKrp0Vvzr7lt3OU09vwQwhkpOPPYv2Y/edit?usp=sharing"",""งบพรบ!DT19"")"),181820)</f>
        <v>181820</v>
      </c>
      <c r="N287" s="568">
        <f ca="1">IFERROR(__xludf.DUMMYFUNCTION("IMPORTRANGE(""https://docs.google.com/spreadsheets/d/1-uDff_7J0KD5mKrp0Vvzr7lt3OU09vwQwhkpOPPYv2Y/edit?usp=sharing"",""งบพรบ!DV19"")"),95649.9)</f>
        <v>95649.9</v>
      </c>
      <c r="O287" s="568">
        <f t="shared" ca="1" si="178"/>
        <v>52.606918930810693</v>
      </c>
      <c r="P287" s="568">
        <f t="shared" ca="1" si="179"/>
        <v>52.606918930810693</v>
      </c>
      <c r="Q287" s="568">
        <v>0</v>
      </c>
      <c r="R287" s="568">
        <v>0</v>
      </c>
      <c r="S287" s="568">
        <v>0</v>
      </c>
      <c r="T287" s="572">
        <f t="shared" si="181"/>
        <v>0</v>
      </c>
      <c r="U287" s="572">
        <f t="shared" si="182"/>
        <v>0</v>
      </c>
    </row>
    <row r="288" spans="1:21" ht="18.75" x14ac:dyDescent="0.25">
      <c r="A288" s="674"/>
      <c r="B288" s="561"/>
      <c r="C288" s="561"/>
      <c r="D288" s="562" t="s">
        <v>23</v>
      </c>
      <c r="E288" s="561"/>
      <c r="F288" s="561"/>
      <c r="G288" s="563"/>
      <c r="H288" s="686" t="s">
        <v>14</v>
      </c>
      <c r="I288" s="683"/>
      <c r="J288" s="683"/>
      <c r="K288" s="684"/>
      <c r="L288" s="567">
        <f t="shared" ref="L288:N288" ca="1" si="187">L289+L290</f>
        <v>0</v>
      </c>
      <c r="M288" s="568">
        <f t="shared" ca="1" si="187"/>
        <v>0</v>
      </c>
      <c r="N288" s="568">
        <f t="shared" ca="1" si="187"/>
        <v>0</v>
      </c>
      <c r="O288" s="568">
        <f t="shared" ca="1" si="178"/>
        <v>0</v>
      </c>
      <c r="P288" s="568">
        <f t="shared" ca="1" si="179"/>
        <v>0</v>
      </c>
      <c r="Q288" s="568">
        <f t="shared" ref="Q288:S288" si="188">Q289+Q290</f>
        <v>0</v>
      </c>
      <c r="R288" s="568">
        <f t="shared" si="188"/>
        <v>0</v>
      </c>
      <c r="S288" s="568">
        <f t="shared" si="188"/>
        <v>0</v>
      </c>
      <c r="T288" s="568">
        <f t="shared" si="181"/>
        <v>0</v>
      </c>
      <c r="U288" s="568">
        <f t="shared" si="182"/>
        <v>0</v>
      </c>
    </row>
    <row r="289" spans="1:21" ht="18.75" x14ac:dyDescent="0.25">
      <c r="A289" s="674"/>
      <c r="B289" s="561"/>
      <c r="C289" s="561"/>
      <c r="D289" s="561"/>
      <c r="E289" s="569" t="s">
        <v>20</v>
      </c>
      <c r="F289" s="561"/>
      <c r="G289" s="563"/>
      <c r="H289" s="685" t="s">
        <v>14</v>
      </c>
      <c r="I289" s="683"/>
      <c r="J289" s="683"/>
      <c r="K289" s="684"/>
      <c r="L289" s="571">
        <v>0</v>
      </c>
      <c r="M289" s="572">
        <v>0</v>
      </c>
      <c r="N289" s="572">
        <v>0</v>
      </c>
      <c r="O289" s="572">
        <f t="shared" si="178"/>
        <v>0</v>
      </c>
      <c r="P289" s="572">
        <f t="shared" si="179"/>
        <v>0</v>
      </c>
      <c r="Q289" s="572">
        <v>0</v>
      </c>
      <c r="R289" s="572">
        <v>0</v>
      </c>
      <c r="S289" s="572">
        <v>0</v>
      </c>
      <c r="T289" s="572">
        <f t="shared" si="181"/>
        <v>0</v>
      </c>
      <c r="U289" s="572">
        <f t="shared" si="182"/>
        <v>0</v>
      </c>
    </row>
    <row r="290" spans="1:21" ht="18.75" x14ac:dyDescent="0.25">
      <c r="A290" s="674"/>
      <c r="B290" s="561"/>
      <c r="C290" s="561"/>
      <c r="D290" s="561"/>
      <c r="E290" s="573" t="s">
        <v>21</v>
      </c>
      <c r="F290" s="561"/>
      <c r="G290" s="563"/>
      <c r="H290" s="686" t="s">
        <v>14</v>
      </c>
      <c r="I290" s="683"/>
      <c r="J290" s="683"/>
      <c r="K290" s="684"/>
      <c r="L290" s="567">
        <f ca="1">IFERROR(__xludf.DUMMYFUNCTION("IMPORTRANGE(""https://docs.google.com/spreadsheets/d/1-uDff_7J0KD5mKrp0Vvzr7lt3OU09vwQwhkpOPPYv2Y/edit?usp=sharing"",""งบพรบ!DR19"")"),0)</f>
        <v>0</v>
      </c>
      <c r="M290" s="568">
        <f ca="1">IFERROR(__xludf.DUMMYFUNCTION("IMPORTRANGE(""https://docs.google.com/spreadsheets/d/1-uDff_7J0KD5mKrp0Vvzr7lt3OU09vwQwhkpOPPYv2Y/edit?usp=sharing"",""งบพรบ!DU19"")"),0)</f>
        <v>0</v>
      </c>
      <c r="N290" s="568">
        <f ca="1">IFERROR(__xludf.DUMMYFUNCTION("IMPORTRANGE(""https://docs.google.com/spreadsheets/d/1-uDff_7J0KD5mKrp0Vvzr7lt3OU09vwQwhkpOPPYv2Y/edit?usp=sharing"",""งบพรบ!DW19"")"),0)</f>
        <v>0</v>
      </c>
      <c r="O290" s="568">
        <f t="shared" ca="1" si="178"/>
        <v>0</v>
      </c>
      <c r="P290" s="568">
        <f t="shared" ca="1" si="179"/>
        <v>0</v>
      </c>
      <c r="Q290" s="568">
        <v>0</v>
      </c>
      <c r="R290" s="568">
        <v>0</v>
      </c>
      <c r="S290" s="568">
        <v>0</v>
      </c>
      <c r="T290" s="568">
        <f t="shared" si="181"/>
        <v>0</v>
      </c>
      <c r="U290" s="568">
        <f t="shared" si="182"/>
        <v>0</v>
      </c>
    </row>
    <row r="291" spans="1:21" ht="19.5" x14ac:dyDescent="0.3">
      <c r="A291" s="687"/>
      <c r="B291" s="688"/>
      <c r="C291" s="675" t="s">
        <v>18</v>
      </c>
      <c r="D291" s="689" t="s">
        <v>38</v>
      </c>
      <c r="E291" s="690"/>
      <c r="F291" s="690"/>
      <c r="G291" s="691"/>
      <c r="H291" s="692"/>
      <c r="I291" s="683"/>
      <c r="J291" s="683"/>
      <c r="K291" s="684"/>
      <c r="L291" s="693"/>
      <c r="M291" s="684"/>
      <c r="N291" s="684"/>
      <c r="O291" s="684"/>
      <c r="P291" s="684"/>
      <c r="Q291" s="684"/>
      <c r="R291" s="684"/>
      <c r="S291" s="684"/>
      <c r="T291" s="684"/>
      <c r="U291" s="684"/>
    </row>
    <row r="292" spans="1:21" ht="18.75" x14ac:dyDescent="0.25">
      <c r="A292" s="687"/>
      <c r="B292" s="688"/>
      <c r="C292" s="688"/>
      <c r="D292" s="699" t="s">
        <v>120</v>
      </c>
      <c r="E292" s="688"/>
      <c r="F292" s="695"/>
      <c r="G292" s="692"/>
      <c r="H292" s="704" t="s">
        <v>46</v>
      </c>
      <c r="I292" s="708">
        <f ca="1">IFERROR(__xludf.DUMMYFUNCTION("IMPORTRANGE(""https://docs.google.com/spreadsheets/d/1eHaY18a8A9IcSdp1K8H6x8fbOy06t2VsZHhMHf-1x7Y/edit?usp=sharing"",""แผน!EE19"")"),100)</f>
        <v>100</v>
      </c>
      <c r="J292" s="702">
        <v>100</v>
      </c>
      <c r="K292" s="703">
        <f t="shared" ref="K292:K293" ca="1" si="189">IF(I292&gt;0,J292*100/I292,0)</f>
        <v>100</v>
      </c>
      <c r="L292" s="693"/>
      <c r="M292" s="684"/>
      <c r="N292" s="684"/>
      <c r="O292" s="684"/>
      <c r="P292" s="684"/>
      <c r="Q292" s="684"/>
      <c r="R292" s="684"/>
      <c r="S292" s="684"/>
      <c r="T292" s="684"/>
      <c r="U292" s="684"/>
    </row>
    <row r="293" spans="1:21" ht="19.5" x14ac:dyDescent="0.3">
      <c r="A293" s="687"/>
      <c r="B293" s="688"/>
      <c r="C293" s="688"/>
      <c r="D293" s="699" t="s">
        <v>121</v>
      </c>
      <c r="E293" s="688"/>
      <c r="F293" s="695"/>
      <c r="G293" s="692"/>
      <c r="H293" s="696" t="s">
        <v>35</v>
      </c>
      <c r="I293" s="697">
        <f ca="1">IFERROR(__xludf.DUMMYFUNCTION("IMPORTRANGE(""https://docs.google.com/spreadsheets/d/1eHaY18a8A9IcSdp1K8H6x8fbOy06t2VsZHhMHf-1x7Y/edit?usp=sharing"",""แผน!ED19"")"),10)</f>
        <v>10</v>
      </c>
      <c r="J293" s="697">
        <f>J296</f>
        <v>10</v>
      </c>
      <c r="K293" s="698">
        <f t="shared" ca="1" si="189"/>
        <v>100</v>
      </c>
      <c r="L293" s="693"/>
      <c r="M293" s="684"/>
      <c r="N293" s="684"/>
      <c r="O293" s="684"/>
      <c r="P293" s="684"/>
      <c r="Q293" s="684"/>
      <c r="R293" s="684"/>
      <c r="S293" s="684"/>
      <c r="T293" s="684"/>
      <c r="U293" s="684"/>
    </row>
    <row r="294" spans="1:21" ht="19.5" x14ac:dyDescent="0.3">
      <c r="A294" s="687"/>
      <c r="B294" s="688"/>
      <c r="C294" s="688"/>
      <c r="D294" s="695"/>
      <c r="E294" s="707" t="s">
        <v>303</v>
      </c>
      <c r="F294" s="695"/>
      <c r="G294" s="692"/>
      <c r="H294" s="692"/>
      <c r="I294" s="683"/>
      <c r="J294" s="565"/>
      <c r="K294" s="684"/>
      <c r="L294" s="693"/>
      <c r="M294" s="684"/>
      <c r="N294" s="684"/>
      <c r="O294" s="684"/>
      <c r="P294" s="684"/>
      <c r="Q294" s="684"/>
      <c r="R294" s="684"/>
      <c r="S294" s="684"/>
      <c r="T294" s="684"/>
      <c r="U294" s="684"/>
    </row>
    <row r="295" spans="1:21" ht="19.5" x14ac:dyDescent="0.3">
      <c r="A295" s="687"/>
      <c r="B295" s="688"/>
      <c r="C295" s="688"/>
      <c r="D295" s="695"/>
      <c r="E295" s="699" t="s">
        <v>304</v>
      </c>
      <c r="F295" s="695"/>
      <c r="G295" s="692"/>
      <c r="H295" s="700" t="s">
        <v>35</v>
      </c>
      <c r="I295" s="701">
        <f ca="1">IFERROR(__xludf.DUMMYFUNCTION("IMPORTRANGE(""https://docs.google.com/spreadsheets/d/1eHaY18a8A9IcSdp1K8H6x8fbOy06t2VsZHhMHf-1x7Y/edit?usp=sharing"",""แผน!ED19"")"),10)</f>
        <v>10</v>
      </c>
      <c r="J295" s="702">
        <v>10</v>
      </c>
      <c r="K295" s="703">
        <f t="shared" ref="K295:K296" ca="1" si="190">IF(I295&gt;0,J295*100/I295,0)</f>
        <v>100</v>
      </c>
      <c r="L295" s="693"/>
      <c r="M295" s="684"/>
      <c r="N295" s="684"/>
      <c r="O295" s="684"/>
      <c r="P295" s="684"/>
      <c r="Q295" s="684"/>
      <c r="R295" s="684"/>
      <c r="S295" s="684"/>
      <c r="T295" s="684"/>
      <c r="U295" s="684"/>
    </row>
    <row r="296" spans="1:21" ht="19.5" x14ac:dyDescent="0.3">
      <c r="A296" s="687"/>
      <c r="B296" s="688"/>
      <c r="C296" s="688"/>
      <c r="D296" s="695"/>
      <c r="E296" s="699" t="s">
        <v>305</v>
      </c>
      <c r="F296" s="695"/>
      <c r="G296" s="692"/>
      <c r="H296" s="700" t="s">
        <v>35</v>
      </c>
      <c r="I296" s="701">
        <f ca="1">IFERROR(__xludf.DUMMYFUNCTION("IMPORTRANGE(""https://docs.google.com/spreadsheets/d/1eHaY18a8A9IcSdp1K8H6x8fbOy06t2VsZHhMHf-1x7Y/edit?usp=sharing"",""แผน!ED19"")"),10)</f>
        <v>10</v>
      </c>
      <c r="J296" s="702">
        <v>10</v>
      </c>
      <c r="K296" s="703">
        <f t="shared" ca="1" si="190"/>
        <v>100</v>
      </c>
      <c r="L296" s="693"/>
      <c r="M296" s="684"/>
      <c r="N296" s="684"/>
      <c r="O296" s="684"/>
      <c r="P296" s="684"/>
      <c r="Q296" s="684"/>
      <c r="R296" s="684"/>
      <c r="S296" s="684"/>
      <c r="T296" s="684"/>
      <c r="U296" s="684"/>
    </row>
    <row r="297" spans="1:21" ht="12.75" hidden="1" x14ac:dyDescent="0.2">
      <c r="A297" s="705"/>
      <c r="B297" s="706"/>
      <c r="C297" s="706"/>
      <c r="D297" s="531"/>
      <c r="E297" s="531"/>
      <c r="F297" s="531"/>
      <c r="G297" s="532"/>
      <c r="H297" s="532"/>
      <c r="I297" s="533"/>
      <c r="J297" s="533"/>
      <c r="K297" s="534"/>
      <c r="L297" s="535"/>
      <c r="M297" s="534"/>
      <c r="N297" s="534"/>
      <c r="O297" s="534"/>
      <c r="P297" s="534"/>
      <c r="Q297" s="534"/>
      <c r="R297" s="534"/>
      <c r="S297" s="534"/>
      <c r="T297" s="534"/>
      <c r="U297" s="534"/>
    </row>
    <row r="298" spans="1:21" ht="12.75" hidden="1" x14ac:dyDescent="0.2">
      <c r="A298" s="705"/>
      <c r="B298" s="706"/>
      <c r="C298" s="706"/>
      <c r="D298" s="531"/>
      <c r="E298" s="531"/>
      <c r="F298" s="531"/>
      <c r="G298" s="532"/>
      <c r="H298" s="532"/>
      <c r="I298" s="533"/>
      <c r="J298" s="533"/>
      <c r="K298" s="534"/>
      <c r="L298" s="535"/>
      <c r="M298" s="534"/>
      <c r="N298" s="534"/>
      <c r="O298" s="534"/>
      <c r="P298" s="534"/>
      <c r="Q298" s="534"/>
      <c r="R298" s="534"/>
      <c r="S298" s="534"/>
      <c r="T298" s="534"/>
      <c r="U298" s="534"/>
    </row>
    <row r="299" spans="1:21" ht="12.75" hidden="1" x14ac:dyDescent="0.2">
      <c r="A299" s="894"/>
      <c r="B299" s="895"/>
      <c r="C299" s="895"/>
      <c r="D299" s="537"/>
      <c r="E299" s="537"/>
      <c r="F299" s="537"/>
      <c r="G299" s="526"/>
      <c r="H299" s="526"/>
      <c r="I299" s="527"/>
      <c r="J299" s="527"/>
      <c r="K299" s="528"/>
      <c r="L299" s="529"/>
      <c r="M299" s="528"/>
      <c r="N299" s="528"/>
      <c r="O299" s="528"/>
      <c r="P299" s="528"/>
      <c r="Q299" s="528"/>
      <c r="R299" s="528"/>
      <c r="S299" s="528"/>
      <c r="T299" s="528"/>
      <c r="U299" s="528"/>
    </row>
    <row r="300" spans="1:21" ht="19.5" x14ac:dyDescent="0.3">
      <c r="A300" s="896" t="s">
        <v>125</v>
      </c>
      <c r="B300" s="897"/>
      <c r="C300" s="897"/>
      <c r="D300" s="897"/>
      <c r="E300" s="898"/>
      <c r="F300" s="898"/>
      <c r="G300" s="898"/>
      <c r="H300" s="898"/>
      <c r="I300" s="899"/>
      <c r="J300" s="899"/>
      <c r="K300" s="900"/>
      <c r="L300" s="900"/>
      <c r="M300" s="900"/>
      <c r="N300" s="900"/>
      <c r="O300" s="900"/>
      <c r="P300" s="901"/>
      <c r="Q300" s="900"/>
      <c r="R300" s="900"/>
      <c r="S300" s="900"/>
      <c r="T300" s="900"/>
      <c r="U300" s="901"/>
    </row>
    <row r="301" spans="1:21" ht="19.5" x14ac:dyDescent="0.3">
      <c r="A301" s="902" t="s">
        <v>126</v>
      </c>
      <c r="B301" s="903"/>
      <c r="C301" s="903"/>
      <c r="D301" s="904"/>
      <c r="E301" s="904"/>
      <c r="F301" s="904"/>
      <c r="G301" s="905"/>
      <c r="H301" s="905"/>
      <c r="I301" s="906"/>
      <c r="J301" s="906"/>
      <c r="K301" s="907"/>
      <c r="L301" s="908"/>
      <c r="M301" s="907"/>
      <c r="N301" s="907"/>
      <c r="O301" s="907"/>
      <c r="P301" s="907"/>
      <c r="Q301" s="907"/>
      <c r="R301" s="907"/>
      <c r="S301" s="907"/>
      <c r="T301" s="907"/>
      <c r="U301" s="907"/>
    </row>
    <row r="302" spans="1:21" ht="19.5" x14ac:dyDescent="0.3">
      <c r="A302" s="909"/>
      <c r="B302" s="910" t="s">
        <v>127</v>
      </c>
      <c r="C302" s="911"/>
      <c r="D302" s="911"/>
      <c r="E302" s="911"/>
      <c r="F302" s="911"/>
      <c r="G302" s="912"/>
      <c r="H302" s="913" t="s">
        <v>35</v>
      </c>
      <c r="I302" s="914">
        <f t="shared" ref="I302:J302" ca="1" si="191">I314</f>
        <v>30</v>
      </c>
      <c r="J302" s="914">
        <f t="shared" si="191"/>
        <v>30</v>
      </c>
      <c r="K302" s="915">
        <f ca="1">IF(I302&gt;0,J302*100/I302,0)</f>
        <v>100</v>
      </c>
      <c r="L302" s="916"/>
      <c r="M302" s="917"/>
      <c r="N302" s="917"/>
      <c r="O302" s="917"/>
      <c r="P302" s="917"/>
      <c r="Q302" s="917"/>
      <c r="R302" s="917"/>
      <c r="S302" s="917"/>
      <c r="T302" s="917"/>
      <c r="U302" s="917"/>
    </row>
    <row r="303" spans="1:21" ht="19.5" x14ac:dyDescent="0.3">
      <c r="A303" s="674"/>
      <c r="B303" s="561"/>
      <c r="C303" s="675" t="s">
        <v>18</v>
      </c>
      <c r="D303" s="676" t="s">
        <v>19</v>
      </c>
      <c r="E303" s="561"/>
      <c r="F303" s="561"/>
      <c r="G303" s="563"/>
      <c r="H303" s="677" t="s">
        <v>14</v>
      </c>
      <c r="I303" s="565"/>
      <c r="J303" s="565"/>
      <c r="K303" s="566"/>
      <c r="L303" s="678">
        <f t="shared" ref="L303:N303" ca="1" si="192">L304+L305</f>
        <v>0</v>
      </c>
      <c r="M303" s="679">
        <f t="shared" ca="1" si="192"/>
        <v>0</v>
      </c>
      <c r="N303" s="679">
        <f t="shared" ca="1" si="192"/>
        <v>0</v>
      </c>
      <c r="O303" s="679">
        <f t="shared" ref="O303:O311" ca="1" si="193">IF(L303&gt;0,N303*100/L303,0)</f>
        <v>0</v>
      </c>
      <c r="P303" s="679">
        <f t="shared" ref="P303:P311" ca="1" si="194">IF(M303&gt;0,N303*100/M303,0)</f>
        <v>0</v>
      </c>
      <c r="Q303" s="679">
        <f t="shared" ref="Q303:S303" ca="1" si="195">Q304+Q305</f>
        <v>260958.39</v>
      </c>
      <c r="R303" s="679">
        <f t="shared" ca="1" si="195"/>
        <v>260958</v>
      </c>
      <c r="S303" s="679">
        <f t="shared" ca="1" si="195"/>
        <v>38345</v>
      </c>
      <c r="T303" s="679">
        <f t="shared" ref="T303:T311" ca="1" si="196">IF(Q303&gt;0,S303*100/Q303,0)</f>
        <v>14.693913462602216</v>
      </c>
      <c r="U303" s="679">
        <f t="shared" ref="U303:U311" ca="1" si="197">IF(R303&gt;0,S303*100/R303,0)</f>
        <v>14.69393542255842</v>
      </c>
    </row>
    <row r="304" spans="1:21" ht="18.75" x14ac:dyDescent="0.25">
      <c r="A304" s="674"/>
      <c r="B304" s="561"/>
      <c r="C304" s="561"/>
      <c r="D304" s="561"/>
      <c r="E304" s="569" t="s">
        <v>20</v>
      </c>
      <c r="F304" s="561"/>
      <c r="G304" s="563"/>
      <c r="H304" s="680" t="s">
        <v>14</v>
      </c>
      <c r="I304" s="565"/>
      <c r="J304" s="565"/>
      <c r="K304" s="566"/>
      <c r="L304" s="571">
        <f t="shared" ref="L304:N305" si="198">L307+L310</f>
        <v>0</v>
      </c>
      <c r="M304" s="572">
        <f t="shared" si="198"/>
        <v>0</v>
      </c>
      <c r="N304" s="572">
        <f t="shared" si="198"/>
        <v>0</v>
      </c>
      <c r="O304" s="572">
        <f t="shared" si="193"/>
        <v>0</v>
      </c>
      <c r="P304" s="572">
        <f t="shared" si="194"/>
        <v>0</v>
      </c>
      <c r="Q304" s="572">
        <f t="shared" ref="Q304:S305" si="199">Q307+Q310</f>
        <v>0</v>
      </c>
      <c r="R304" s="572">
        <f t="shared" si="199"/>
        <v>0</v>
      </c>
      <c r="S304" s="572">
        <f t="shared" si="199"/>
        <v>0</v>
      </c>
      <c r="T304" s="572">
        <f t="shared" si="196"/>
        <v>0</v>
      </c>
      <c r="U304" s="572">
        <f t="shared" si="197"/>
        <v>0</v>
      </c>
    </row>
    <row r="305" spans="1:21" ht="18.75" x14ac:dyDescent="0.25">
      <c r="A305" s="674"/>
      <c r="B305" s="561"/>
      <c r="C305" s="561"/>
      <c r="D305" s="561"/>
      <c r="E305" s="573" t="s">
        <v>21</v>
      </c>
      <c r="F305" s="561"/>
      <c r="G305" s="563"/>
      <c r="H305" s="681" t="s">
        <v>14</v>
      </c>
      <c r="I305" s="565"/>
      <c r="J305" s="565"/>
      <c r="K305" s="566"/>
      <c r="L305" s="567">
        <f t="shared" ca="1" si="198"/>
        <v>0</v>
      </c>
      <c r="M305" s="568">
        <f t="shared" ca="1" si="198"/>
        <v>0</v>
      </c>
      <c r="N305" s="568">
        <f t="shared" ca="1" si="198"/>
        <v>0</v>
      </c>
      <c r="O305" s="568">
        <f t="shared" ca="1" si="193"/>
        <v>0</v>
      </c>
      <c r="P305" s="568">
        <f t="shared" ca="1" si="194"/>
        <v>0</v>
      </c>
      <c r="Q305" s="568">
        <f t="shared" ca="1" si="199"/>
        <v>260958.39</v>
      </c>
      <c r="R305" s="568">
        <f t="shared" ca="1" si="199"/>
        <v>260958</v>
      </c>
      <c r="S305" s="568">
        <f t="shared" ca="1" si="199"/>
        <v>38345</v>
      </c>
      <c r="T305" s="568">
        <f t="shared" ca="1" si="196"/>
        <v>14.693913462602216</v>
      </c>
      <c r="U305" s="568">
        <f t="shared" ca="1" si="197"/>
        <v>14.69393542255842</v>
      </c>
    </row>
    <row r="306" spans="1:21" ht="18.75" x14ac:dyDescent="0.25">
      <c r="A306" s="674"/>
      <c r="B306" s="561"/>
      <c r="C306" s="561"/>
      <c r="D306" s="562" t="s">
        <v>22</v>
      </c>
      <c r="E306" s="561"/>
      <c r="F306" s="561"/>
      <c r="G306" s="563"/>
      <c r="H306" s="682" t="s">
        <v>14</v>
      </c>
      <c r="I306" s="683"/>
      <c r="J306" s="683"/>
      <c r="K306" s="684"/>
      <c r="L306" s="567">
        <f t="shared" ref="L306:N306" ca="1" si="200">L307+L308</f>
        <v>0</v>
      </c>
      <c r="M306" s="568">
        <f t="shared" ca="1" si="200"/>
        <v>0</v>
      </c>
      <c r="N306" s="568">
        <f t="shared" ca="1" si="200"/>
        <v>0</v>
      </c>
      <c r="O306" s="568">
        <f t="shared" ca="1" si="193"/>
        <v>0</v>
      </c>
      <c r="P306" s="568">
        <f t="shared" ca="1" si="194"/>
        <v>0</v>
      </c>
      <c r="Q306" s="568">
        <f t="shared" ref="Q306:S306" ca="1" si="201">Q307+Q308</f>
        <v>260958.39</v>
      </c>
      <c r="R306" s="568">
        <f t="shared" ca="1" si="201"/>
        <v>260958</v>
      </c>
      <c r="S306" s="568">
        <f t="shared" ca="1" si="201"/>
        <v>38345</v>
      </c>
      <c r="T306" s="568">
        <f t="shared" ca="1" si="196"/>
        <v>14.693913462602216</v>
      </c>
      <c r="U306" s="568">
        <f t="shared" ca="1" si="197"/>
        <v>14.69393542255842</v>
      </c>
    </row>
    <row r="307" spans="1:21" ht="18.75" x14ac:dyDescent="0.25">
      <c r="A307" s="674"/>
      <c r="B307" s="561"/>
      <c r="C307" s="561"/>
      <c r="D307" s="561"/>
      <c r="E307" s="569" t="s">
        <v>36</v>
      </c>
      <c r="F307" s="561"/>
      <c r="G307" s="563"/>
      <c r="H307" s="685" t="s">
        <v>14</v>
      </c>
      <c r="I307" s="683"/>
      <c r="J307" s="683"/>
      <c r="K307" s="684"/>
      <c r="L307" s="571">
        <v>0</v>
      </c>
      <c r="M307" s="572">
        <v>0</v>
      </c>
      <c r="N307" s="572">
        <v>0</v>
      </c>
      <c r="O307" s="572">
        <f t="shared" si="193"/>
        <v>0</v>
      </c>
      <c r="P307" s="572">
        <f t="shared" si="194"/>
        <v>0</v>
      </c>
      <c r="Q307" s="572">
        <v>0</v>
      </c>
      <c r="R307" s="572">
        <v>0</v>
      </c>
      <c r="S307" s="572">
        <v>0</v>
      </c>
      <c r="T307" s="572">
        <f t="shared" si="196"/>
        <v>0</v>
      </c>
      <c r="U307" s="572">
        <f t="shared" si="197"/>
        <v>0</v>
      </c>
    </row>
    <row r="308" spans="1:21" ht="18.75" x14ac:dyDescent="0.25">
      <c r="A308" s="674"/>
      <c r="B308" s="561"/>
      <c r="C308" s="561"/>
      <c r="D308" s="561"/>
      <c r="E308" s="573" t="s">
        <v>37</v>
      </c>
      <c r="F308" s="561"/>
      <c r="G308" s="563"/>
      <c r="H308" s="682" t="s">
        <v>14</v>
      </c>
      <c r="I308" s="683"/>
      <c r="J308" s="683"/>
      <c r="K308" s="684"/>
      <c r="L308" s="567">
        <f ca="1">IFERROR(__xludf.DUMMYFUNCTION("IMPORTRANGE(""https://docs.google.com/spreadsheets/d/1-uDff_7J0KD5mKrp0Vvzr7lt3OU09vwQwhkpOPPYv2Y/edit?usp=sharing"",""งบพรบ!DY19"")"),0)</f>
        <v>0</v>
      </c>
      <c r="M308" s="568">
        <f ca="1">IFERROR(__xludf.DUMMYFUNCTION("IMPORTRANGE(""https://docs.google.com/spreadsheets/d/1-uDff_7J0KD5mKrp0Vvzr7lt3OU09vwQwhkpOPPYv2Y/edit?usp=sharing"",""งบพรบ!ED19"")"),0)</f>
        <v>0</v>
      </c>
      <c r="N308" s="568">
        <f ca="1">IFERROR(__xludf.DUMMYFUNCTION("IMPORTRANGE(""https://docs.google.com/spreadsheets/d/1-uDff_7J0KD5mKrp0Vvzr7lt3OU09vwQwhkpOPPYv2Y/edit?usp=sharing"",""งบพรบ!EF19"")"),0)</f>
        <v>0</v>
      </c>
      <c r="O308" s="568">
        <f t="shared" ca="1" si="193"/>
        <v>0</v>
      </c>
      <c r="P308" s="568">
        <f t="shared" ca="1" si="194"/>
        <v>0</v>
      </c>
      <c r="Q308" s="568">
        <f ca="1">IFERROR(__xludf.DUMMYFUNCTION("IMPORTRANGE(""https://docs.google.com/spreadsheets/d/1ItG2mGa2ceCfYo0BwxsXqNm01IGEUdYcSSLTEv9YCik/edit?usp=sharing"",""เบิกจ่ายกองทุน!BB19"")"),260958.39)</f>
        <v>260958.39</v>
      </c>
      <c r="R308" s="568">
        <f ca="1">IFERROR(__xludf.DUMMYFUNCTION("IMPORTRANGE(""https://docs.google.com/spreadsheets/d/1ItG2mGa2ceCfYo0BwxsXqNm01IGEUdYcSSLTEv9YCik/edit?usp=sharing"",""เบิกจ่ายกองทุน!BC19"")"),260958)</f>
        <v>260958</v>
      </c>
      <c r="S308" s="568">
        <f ca="1">IFERROR(__xludf.DUMMYFUNCTION("IMPORTRANGE(""https://docs.google.com/spreadsheets/d/1ItG2mGa2ceCfYo0BwxsXqNm01IGEUdYcSSLTEv9YCik/edit?usp=sharing"",""เบิกจ่ายกองทุน!BD19"")"),38345)</f>
        <v>38345</v>
      </c>
      <c r="T308" s="568">
        <f t="shared" ca="1" si="196"/>
        <v>14.693913462602216</v>
      </c>
      <c r="U308" s="568">
        <f t="shared" ca="1" si="197"/>
        <v>14.69393542255842</v>
      </c>
    </row>
    <row r="309" spans="1:21" ht="18.75" x14ac:dyDescent="0.25">
      <c r="A309" s="674"/>
      <c r="B309" s="561"/>
      <c r="C309" s="561"/>
      <c r="D309" s="562" t="s">
        <v>23</v>
      </c>
      <c r="E309" s="561"/>
      <c r="F309" s="561"/>
      <c r="G309" s="563"/>
      <c r="H309" s="686" t="s">
        <v>14</v>
      </c>
      <c r="I309" s="683"/>
      <c r="J309" s="683"/>
      <c r="K309" s="684"/>
      <c r="L309" s="567">
        <f t="shared" ref="L309:N309" ca="1" si="202">L310+L311</f>
        <v>0</v>
      </c>
      <c r="M309" s="568">
        <f t="shared" ca="1" si="202"/>
        <v>0</v>
      </c>
      <c r="N309" s="568">
        <f t="shared" ca="1" si="202"/>
        <v>0</v>
      </c>
      <c r="O309" s="568">
        <f t="shared" ca="1" si="193"/>
        <v>0</v>
      </c>
      <c r="P309" s="568">
        <f t="shared" ca="1" si="194"/>
        <v>0</v>
      </c>
      <c r="Q309" s="568">
        <f t="shared" ref="Q309:S309" si="203">Q310+Q311</f>
        <v>0</v>
      </c>
      <c r="R309" s="568">
        <f t="shared" si="203"/>
        <v>0</v>
      </c>
      <c r="S309" s="568">
        <f t="shared" si="203"/>
        <v>0</v>
      </c>
      <c r="T309" s="568">
        <f t="shared" si="196"/>
        <v>0</v>
      </c>
      <c r="U309" s="568">
        <f t="shared" si="197"/>
        <v>0</v>
      </c>
    </row>
    <row r="310" spans="1:21" ht="18.75" x14ac:dyDescent="0.25">
      <c r="A310" s="674"/>
      <c r="B310" s="561"/>
      <c r="C310" s="561"/>
      <c r="D310" s="561"/>
      <c r="E310" s="569" t="s">
        <v>20</v>
      </c>
      <c r="F310" s="561"/>
      <c r="G310" s="563"/>
      <c r="H310" s="685" t="s">
        <v>14</v>
      </c>
      <c r="I310" s="683"/>
      <c r="J310" s="683"/>
      <c r="K310" s="684"/>
      <c r="L310" s="571">
        <v>0</v>
      </c>
      <c r="M310" s="572">
        <v>0</v>
      </c>
      <c r="N310" s="572">
        <v>0</v>
      </c>
      <c r="O310" s="572">
        <f t="shared" si="193"/>
        <v>0</v>
      </c>
      <c r="P310" s="572">
        <f t="shared" si="194"/>
        <v>0</v>
      </c>
      <c r="Q310" s="572">
        <v>0</v>
      </c>
      <c r="R310" s="572">
        <v>0</v>
      </c>
      <c r="S310" s="572">
        <v>0</v>
      </c>
      <c r="T310" s="572">
        <f t="shared" si="196"/>
        <v>0</v>
      </c>
      <c r="U310" s="572">
        <f t="shared" si="197"/>
        <v>0</v>
      </c>
    </row>
    <row r="311" spans="1:21" ht="18.75" x14ac:dyDescent="0.25">
      <c r="A311" s="674"/>
      <c r="B311" s="561"/>
      <c r="C311" s="561"/>
      <c r="D311" s="561"/>
      <c r="E311" s="573" t="s">
        <v>21</v>
      </c>
      <c r="F311" s="561"/>
      <c r="G311" s="563"/>
      <c r="H311" s="686" t="s">
        <v>14</v>
      </c>
      <c r="I311" s="683"/>
      <c r="J311" s="683"/>
      <c r="K311" s="684"/>
      <c r="L311" s="567">
        <f ca="1">IFERROR(__xludf.DUMMYFUNCTION("IMPORTRANGE(""https://docs.google.com/spreadsheets/d/1-uDff_7J0KD5mKrp0Vvzr7lt3OU09vwQwhkpOPPYv2Y/edit?usp=sharing"",""งบพรบ!EB19"")"),0)</f>
        <v>0</v>
      </c>
      <c r="M311" s="568">
        <f ca="1">IFERROR(__xludf.DUMMYFUNCTION("IMPORTRANGE(""https://docs.google.com/spreadsheets/d/1-uDff_7J0KD5mKrp0Vvzr7lt3OU09vwQwhkpOPPYv2Y/edit?usp=sharing"",""งบพรบ!EE19"")"),0)</f>
        <v>0</v>
      </c>
      <c r="N311" s="568">
        <f ca="1">IFERROR(__xludf.DUMMYFUNCTION("IMPORTRANGE(""https://docs.google.com/spreadsheets/d/1-uDff_7J0KD5mKrp0Vvzr7lt3OU09vwQwhkpOPPYv2Y/edit?usp=sharing"",""งบพรบ!EG19"")"),0)</f>
        <v>0</v>
      </c>
      <c r="O311" s="568">
        <f t="shared" ca="1" si="193"/>
        <v>0</v>
      </c>
      <c r="P311" s="568">
        <f t="shared" ca="1" si="194"/>
        <v>0</v>
      </c>
      <c r="Q311" s="568">
        <v>0</v>
      </c>
      <c r="R311" s="568">
        <v>0</v>
      </c>
      <c r="S311" s="568">
        <v>0</v>
      </c>
      <c r="T311" s="568">
        <f t="shared" si="196"/>
        <v>0</v>
      </c>
      <c r="U311" s="568">
        <f t="shared" si="197"/>
        <v>0</v>
      </c>
    </row>
    <row r="312" spans="1:21" ht="19.5" x14ac:dyDescent="0.3">
      <c r="A312" s="687"/>
      <c r="B312" s="688"/>
      <c r="C312" s="675" t="s">
        <v>18</v>
      </c>
      <c r="D312" s="689" t="s">
        <v>38</v>
      </c>
      <c r="E312" s="690"/>
      <c r="F312" s="690"/>
      <c r="G312" s="691"/>
      <c r="H312" s="692"/>
      <c r="I312" s="565"/>
      <c r="J312" s="565"/>
      <c r="K312" s="566"/>
      <c r="L312" s="574"/>
      <c r="M312" s="566"/>
      <c r="N312" s="566"/>
      <c r="O312" s="566"/>
      <c r="P312" s="566"/>
      <c r="Q312" s="566"/>
      <c r="R312" s="566"/>
      <c r="S312" s="566"/>
      <c r="T312" s="566"/>
      <c r="U312" s="566"/>
    </row>
    <row r="313" spans="1:21" ht="18.75" hidden="1" x14ac:dyDescent="0.25">
      <c r="A313" s="705"/>
      <c r="B313" s="706"/>
      <c r="C313" s="706"/>
      <c r="D313" s="918"/>
      <c r="E313" s="531"/>
      <c r="F313" s="531"/>
      <c r="G313" s="532"/>
      <c r="H313" s="532"/>
      <c r="I313" s="533"/>
      <c r="J313" s="919"/>
      <c r="K313" s="534"/>
      <c r="L313" s="535"/>
      <c r="M313" s="534"/>
      <c r="N313" s="534"/>
      <c r="O313" s="534"/>
      <c r="P313" s="534"/>
      <c r="Q313" s="534"/>
      <c r="R313" s="534"/>
      <c r="S313" s="534"/>
      <c r="T313" s="534"/>
      <c r="U313" s="534"/>
    </row>
    <row r="314" spans="1:21" ht="18.75" x14ac:dyDescent="0.25">
      <c r="A314" s="687"/>
      <c r="B314" s="688"/>
      <c r="C314" s="688"/>
      <c r="D314" s="699" t="s">
        <v>121</v>
      </c>
      <c r="E314" s="695"/>
      <c r="F314" s="695"/>
      <c r="G314" s="692"/>
      <c r="H314" s="700" t="s">
        <v>35</v>
      </c>
      <c r="I314" s="708">
        <f ca="1">IFERROR(__xludf.DUMMYFUNCTION("IMPORTRANGE(""https://docs.google.com/spreadsheets/d/1eHaY18a8A9IcSdp1K8H6x8fbOy06t2VsZHhMHf-1x7Y/edit?usp=sharing"",""แผน!EF19"")"),30)</f>
        <v>30</v>
      </c>
      <c r="J314" s="702">
        <v>30</v>
      </c>
      <c r="K314" s="568">
        <f ca="1">IF(I314&gt;0,J314*100/I314,0)</f>
        <v>100</v>
      </c>
      <c r="L314" s="574"/>
      <c r="M314" s="566"/>
      <c r="N314" s="566"/>
      <c r="O314" s="566"/>
      <c r="P314" s="566"/>
      <c r="Q314" s="566"/>
      <c r="R314" s="566"/>
      <c r="S314" s="566"/>
      <c r="T314" s="566"/>
      <c r="U314" s="566"/>
    </row>
    <row r="315" spans="1:21" ht="18.75" hidden="1" x14ac:dyDescent="0.25">
      <c r="A315" s="705"/>
      <c r="B315" s="706"/>
      <c r="C315" s="706"/>
      <c r="D315" s="918"/>
      <c r="E315" s="531"/>
      <c r="F315" s="531"/>
      <c r="G315" s="532"/>
      <c r="H315" s="920"/>
      <c r="I315" s="919"/>
      <c r="J315" s="919"/>
      <c r="K315" s="921"/>
      <c r="L315" s="535"/>
      <c r="M315" s="534"/>
      <c r="N315" s="534"/>
      <c r="O315" s="534"/>
      <c r="P315" s="534"/>
      <c r="Q315" s="534"/>
      <c r="R315" s="534"/>
      <c r="S315" s="534"/>
      <c r="T315" s="534"/>
      <c r="U315" s="534"/>
    </row>
    <row r="316" spans="1:21" ht="18.75" hidden="1" x14ac:dyDescent="0.25">
      <c r="A316" s="705"/>
      <c r="B316" s="706"/>
      <c r="C316" s="706"/>
      <c r="D316" s="918"/>
      <c r="E316" s="531"/>
      <c r="F316" s="531"/>
      <c r="G316" s="532"/>
      <c r="H316" s="920"/>
      <c r="I316" s="919"/>
      <c r="J316" s="919"/>
      <c r="K316" s="921"/>
      <c r="L316" s="535"/>
      <c r="M316" s="534"/>
      <c r="N316" s="534"/>
      <c r="O316" s="534"/>
      <c r="P316" s="534"/>
      <c r="Q316" s="534"/>
      <c r="R316" s="534"/>
      <c r="S316" s="534"/>
      <c r="T316" s="534"/>
      <c r="U316" s="534"/>
    </row>
    <row r="317" spans="1:21" ht="18.75" hidden="1" x14ac:dyDescent="0.25">
      <c r="A317" s="705"/>
      <c r="B317" s="706"/>
      <c r="C317" s="706"/>
      <c r="D317" s="922"/>
      <c r="E317" s="531"/>
      <c r="F317" s="531"/>
      <c r="G317" s="532"/>
      <c r="H317" s="923"/>
      <c r="I317" s="924"/>
      <c r="J317" s="924"/>
      <c r="K317" s="925"/>
      <c r="L317" s="535"/>
      <c r="M317" s="534"/>
      <c r="N317" s="534"/>
      <c r="O317" s="534"/>
      <c r="P317" s="534"/>
      <c r="Q317" s="534"/>
      <c r="R317" s="534"/>
      <c r="S317" s="534"/>
      <c r="T317" s="534"/>
      <c r="U317" s="534"/>
    </row>
    <row r="318" spans="1:21" ht="19.5" x14ac:dyDescent="0.3">
      <c r="A318" s="902" t="s">
        <v>131</v>
      </c>
      <c r="B318" s="903"/>
      <c r="C318" s="903"/>
      <c r="D318" s="904"/>
      <c r="E318" s="903"/>
      <c r="F318" s="903"/>
      <c r="G318" s="903"/>
      <c r="H318" s="904"/>
      <c r="I318" s="906"/>
      <c r="J318" s="906"/>
      <c r="K318" s="907"/>
      <c r="L318" s="908"/>
      <c r="M318" s="907"/>
      <c r="N318" s="907"/>
      <c r="O318" s="907"/>
      <c r="P318" s="907"/>
      <c r="Q318" s="907"/>
      <c r="R318" s="907"/>
      <c r="S318" s="907"/>
      <c r="T318" s="907"/>
      <c r="U318" s="907"/>
    </row>
    <row r="319" spans="1:21" ht="19.5" x14ac:dyDescent="0.3">
      <c r="A319" s="926"/>
      <c r="B319" s="910" t="s">
        <v>132</v>
      </c>
      <c r="C319" s="927"/>
      <c r="D319" s="928"/>
      <c r="E319" s="911"/>
      <c r="F319" s="911"/>
      <c r="G319" s="912"/>
      <c r="H319" s="913" t="s">
        <v>133</v>
      </c>
      <c r="I319" s="914">
        <f t="shared" ref="I319:J319" ca="1" si="204">I330</f>
        <v>0</v>
      </c>
      <c r="J319" s="914">
        <f t="shared" si="204"/>
        <v>0</v>
      </c>
      <c r="K319" s="915">
        <f ca="1">IF(I319&gt;0,J319*100/I319,0)</f>
        <v>0</v>
      </c>
      <c r="L319" s="916"/>
      <c r="M319" s="917"/>
      <c r="N319" s="917"/>
      <c r="O319" s="917"/>
      <c r="P319" s="917"/>
      <c r="Q319" s="917"/>
      <c r="R319" s="917"/>
      <c r="S319" s="917"/>
      <c r="T319" s="917"/>
      <c r="U319" s="917"/>
    </row>
    <row r="320" spans="1:21" ht="19.5" x14ac:dyDescent="0.3">
      <c r="A320" s="674"/>
      <c r="B320" s="561"/>
      <c r="C320" s="675" t="s">
        <v>18</v>
      </c>
      <c r="D320" s="676" t="s">
        <v>19</v>
      </c>
      <c r="E320" s="561"/>
      <c r="F320" s="561"/>
      <c r="G320" s="563"/>
      <c r="H320" s="677" t="s">
        <v>14</v>
      </c>
      <c r="I320" s="565"/>
      <c r="J320" s="565"/>
      <c r="K320" s="566"/>
      <c r="L320" s="678">
        <f t="shared" ref="L320:N320" ca="1" si="205">L321+L322</f>
        <v>0</v>
      </c>
      <c r="M320" s="679">
        <f t="shared" ca="1" si="205"/>
        <v>0</v>
      </c>
      <c r="N320" s="679">
        <f t="shared" ca="1" si="205"/>
        <v>0</v>
      </c>
      <c r="O320" s="679">
        <f t="shared" ref="O320:O328" ca="1" si="206">IF(L320&gt;0,N320*100/L320,0)</f>
        <v>0</v>
      </c>
      <c r="P320" s="679">
        <f t="shared" ref="P320:P328" ca="1" si="207">IF(M320&gt;0,N320*100/M320,0)</f>
        <v>0</v>
      </c>
      <c r="Q320" s="679">
        <f t="shared" ref="Q320:S320" si="208">Q321+Q322</f>
        <v>0</v>
      </c>
      <c r="R320" s="679">
        <f t="shared" si="208"/>
        <v>0</v>
      </c>
      <c r="S320" s="679">
        <f t="shared" si="208"/>
        <v>0</v>
      </c>
      <c r="T320" s="679">
        <f t="shared" ref="T320:T328" si="209">IF(Q320&gt;0,S320*100/Q320,0)</f>
        <v>0</v>
      </c>
      <c r="U320" s="679">
        <f t="shared" ref="U320:U328" si="210">IF(R320&gt;0,S320*100/R320,0)</f>
        <v>0</v>
      </c>
    </row>
    <row r="321" spans="1:21" ht="18.75" x14ac:dyDescent="0.25">
      <c r="A321" s="674"/>
      <c r="B321" s="561"/>
      <c r="C321" s="561"/>
      <c r="D321" s="561"/>
      <c r="E321" s="569" t="s">
        <v>20</v>
      </c>
      <c r="F321" s="561"/>
      <c r="G321" s="563"/>
      <c r="H321" s="680" t="s">
        <v>14</v>
      </c>
      <c r="I321" s="565"/>
      <c r="J321" s="565"/>
      <c r="K321" s="566"/>
      <c r="L321" s="571">
        <f t="shared" ref="L321:N322" si="211">L324+L327</f>
        <v>0</v>
      </c>
      <c r="M321" s="572">
        <f t="shared" si="211"/>
        <v>0</v>
      </c>
      <c r="N321" s="572">
        <f t="shared" si="211"/>
        <v>0</v>
      </c>
      <c r="O321" s="572">
        <f t="shared" si="206"/>
        <v>0</v>
      </c>
      <c r="P321" s="572">
        <f t="shared" si="207"/>
        <v>0</v>
      </c>
      <c r="Q321" s="572">
        <f t="shared" ref="Q321:S322" si="212">Q324+Q327</f>
        <v>0</v>
      </c>
      <c r="R321" s="572">
        <f t="shared" si="212"/>
        <v>0</v>
      </c>
      <c r="S321" s="572">
        <f t="shared" si="212"/>
        <v>0</v>
      </c>
      <c r="T321" s="572">
        <f t="shared" si="209"/>
        <v>0</v>
      </c>
      <c r="U321" s="572">
        <f t="shared" si="210"/>
        <v>0</v>
      </c>
    </row>
    <row r="322" spans="1:21" ht="18.75" x14ac:dyDescent="0.25">
      <c r="A322" s="674"/>
      <c r="B322" s="561"/>
      <c r="C322" s="561"/>
      <c r="D322" s="561"/>
      <c r="E322" s="573" t="s">
        <v>21</v>
      </c>
      <c r="F322" s="561"/>
      <c r="G322" s="563"/>
      <c r="H322" s="681" t="s">
        <v>14</v>
      </c>
      <c r="I322" s="565"/>
      <c r="J322" s="565"/>
      <c r="K322" s="566"/>
      <c r="L322" s="567">
        <f t="shared" ca="1" si="211"/>
        <v>0</v>
      </c>
      <c r="M322" s="568">
        <f t="shared" ca="1" si="211"/>
        <v>0</v>
      </c>
      <c r="N322" s="568">
        <f t="shared" ca="1" si="211"/>
        <v>0</v>
      </c>
      <c r="O322" s="568">
        <f t="shared" ca="1" si="206"/>
        <v>0</v>
      </c>
      <c r="P322" s="568">
        <f t="shared" ca="1" si="207"/>
        <v>0</v>
      </c>
      <c r="Q322" s="568">
        <f t="shared" si="212"/>
        <v>0</v>
      </c>
      <c r="R322" s="568">
        <f t="shared" si="212"/>
        <v>0</v>
      </c>
      <c r="S322" s="568">
        <f t="shared" si="212"/>
        <v>0</v>
      </c>
      <c r="T322" s="568">
        <f t="shared" si="209"/>
        <v>0</v>
      </c>
      <c r="U322" s="568">
        <f t="shared" si="210"/>
        <v>0</v>
      </c>
    </row>
    <row r="323" spans="1:21" ht="18.75" x14ac:dyDescent="0.25">
      <c r="A323" s="674"/>
      <c r="B323" s="561"/>
      <c r="C323" s="561"/>
      <c r="D323" s="562" t="s">
        <v>22</v>
      </c>
      <c r="E323" s="561"/>
      <c r="F323" s="561"/>
      <c r="G323" s="563"/>
      <c r="H323" s="682" t="s">
        <v>14</v>
      </c>
      <c r="I323" s="683"/>
      <c r="J323" s="683"/>
      <c r="K323" s="684"/>
      <c r="L323" s="567">
        <f t="shared" ref="L323:N323" ca="1" si="213">L324+L325</f>
        <v>0</v>
      </c>
      <c r="M323" s="568">
        <f t="shared" ca="1" si="213"/>
        <v>0</v>
      </c>
      <c r="N323" s="568">
        <f t="shared" ca="1" si="213"/>
        <v>0</v>
      </c>
      <c r="O323" s="568">
        <f t="shared" ca="1" si="206"/>
        <v>0</v>
      </c>
      <c r="P323" s="568">
        <f t="shared" ca="1" si="207"/>
        <v>0</v>
      </c>
      <c r="Q323" s="568">
        <f t="shared" ref="Q323:S323" si="214">Q324+Q325</f>
        <v>0</v>
      </c>
      <c r="R323" s="568">
        <f t="shared" si="214"/>
        <v>0</v>
      </c>
      <c r="S323" s="568">
        <f t="shared" si="214"/>
        <v>0</v>
      </c>
      <c r="T323" s="568">
        <f t="shared" si="209"/>
        <v>0</v>
      </c>
      <c r="U323" s="568">
        <f t="shared" si="210"/>
        <v>0</v>
      </c>
    </row>
    <row r="324" spans="1:21" ht="18.75" x14ac:dyDescent="0.25">
      <c r="A324" s="674"/>
      <c r="B324" s="561"/>
      <c r="C324" s="561"/>
      <c r="D324" s="561"/>
      <c r="E324" s="569" t="s">
        <v>36</v>
      </c>
      <c r="F324" s="561"/>
      <c r="G324" s="563"/>
      <c r="H324" s="685" t="s">
        <v>14</v>
      </c>
      <c r="I324" s="683"/>
      <c r="J324" s="683"/>
      <c r="K324" s="684"/>
      <c r="L324" s="571">
        <v>0</v>
      </c>
      <c r="M324" s="572">
        <v>0</v>
      </c>
      <c r="N324" s="572">
        <v>0</v>
      </c>
      <c r="O324" s="572">
        <f t="shared" si="206"/>
        <v>0</v>
      </c>
      <c r="P324" s="572">
        <f t="shared" si="207"/>
        <v>0</v>
      </c>
      <c r="Q324" s="572">
        <v>0</v>
      </c>
      <c r="R324" s="572">
        <v>0</v>
      </c>
      <c r="S324" s="572">
        <v>0</v>
      </c>
      <c r="T324" s="572">
        <f t="shared" si="209"/>
        <v>0</v>
      </c>
      <c r="U324" s="572">
        <f t="shared" si="210"/>
        <v>0</v>
      </c>
    </row>
    <row r="325" spans="1:21" ht="18.75" x14ac:dyDescent="0.25">
      <c r="A325" s="674"/>
      <c r="B325" s="561"/>
      <c r="C325" s="561"/>
      <c r="D325" s="561"/>
      <c r="E325" s="573" t="s">
        <v>37</v>
      </c>
      <c r="F325" s="561"/>
      <c r="G325" s="563"/>
      <c r="H325" s="682" t="s">
        <v>14</v>
      </c>
      <c r="I325" s="683"/>
      <c r="J325" s="683"/>
      <c r="K325" s="684"/>
      <c r="L325" s="567">
        <f ca="1">IFERROR(__xludf.DUMMYFUNCTION("IMPORTRANGE(""https://docs.google.com/spreadsheets/d/1-uDff_7J0KD5mKrp0Vvzr7lt3OU09vwQwhkpOPPYv2Y/edit?usp=sharing"",""งบพรบ!EI19"")"),0)</f>
        <v>0</v>
      </c>
      <c r="M325" s="568">
        <f ca="1">IFERROR(__xludf.DUMMYFUNCTION("IMPORTRANGE(""https://docs.google.com/spreadsheets/d/1-uDff_7J0KD5mKrp0Vvzr7lt3OU09vwQwhkpOPPYv2Y/edit?usp=sharing"",""งบพรบ!EN19"")"),0)</f>
        <v>0</v>
      </c>
      <c r="N325" s="568">
        <f ca="1">IFERROR(__xludf.DUMMYFUNCTION("IMPORTRANGE(""https://docs.google.com/spreadsheets/d/1-uDff_7J0KD5mKrp0Vvzr7lt3OU09vwQwhkpOPPYv2Y/edit?usp=sharing"",""งบพรบ!EP19"")"),0)</f>
        <v>0</v>
      </c>
      <c r="O325" s="568">
        <f t="shared" ca="1" si="206"/>
        <v>0</v>
      </c>
      <c r="P325" s="568">
        <f t="shared" ca="1" si="207"/>
        <v>0</v>
      </c>
      <c r="Q325" s="568">
        <v>0</v>
      </c>
      <c r="R325" s="568">
        <v>0</v>
      </c>
      <c r="S325" s="568">
        <v>0</v>
      </c>
      <c r="T325" s="568">
        <f t="shared" si="209"/>
        <v>0</v>
      </c>
      <c r="U325" s="568">
        <f t="shared" si="210"/>
        <v>0</v>
      </c>
    </row>
    <row r="326" spans="1:21" ht="18.75" x14ac:dyDescent="0.25">
      <c r="A326" s="674"/>
      <c r="B326" s="561"/>
      <c r="C326" s="561"/>
      <c r="D326" s="562" t="s">
        <v>23</v>
      </c>
      <c r="E326" s="561"/>
      <c r="F326" s="561"/>
      <c r="G326" s="563"/>
      <c r="H326" s="686" t="s">
        <v>14</v>
      </c>
      <c r="I326" s="683"/>
      <c r="J326" s="683"/>
      <c r="K326" s="684"/>
      <c r="L326" s="567">
        <f t="shared" ref="L326:N326" ca="1" si="215">L327+L328</f>
        <v>0</v>
      </c>
      <c r="M326" s="568">
        <f t="shared" ca="1" si="215"/>
        <v>0</v>
      </c>
      <c r="N326" s="568">
        <f t="shared" ca="1" si="215"/>
        <v>0</v>
      </c>
      <c r="O326" s="568">
        <f t="shared" ca="1" si="206"/>
        <v>0</v>
      </c>
      <c r="P326" s="568">
        <f t="shared" ca="1" si="207"/>
        <v>0</v>
      </c>
      <c r="Q326" s="568">
        <f t="shared" ref="Q326:S326" si="216">Q327+Q328</f>
        <v>0</v>
      </c>
      <c r="R326" s="568">
        <f t="shared" si="216"/>
        <v>0</v>
      </c>
      <c r="S326" s="568">
        <f t="shared" si="216"/>
        <v>0</v>
      </c>
      <c r="T326" s="568">
        <f t="shared" si="209"/>
        <v>0</v>
      </c>
      <c r="U326" s="568">
        <f t="shared" si="210"/>
        <v>0</v>
      </c>
    </row>
    <row r="327" spans="1:21" ht="18.75" x14ac:dyDescent="0.25">
      <c r="A327" s="674"/>
      <c r="B327" s="561"/>
      <c r="C327" s="561"/>
      <c r="D327" s="561"/>
      <c r="E327" s="569" t="s">
        <v>20</v>
      </c>
      <c r="F327" s="561"/>
      <c r="G327" s="563"/>
      <c r="H327" s="685" t="s">
        <v>14</v>
      </c>
      <c r="I327" s="683"/>
      <c r="J327" s="683"/>
      <c r="K327" s="684"/>
      <c r="L327" s="571">
        <v>0</v>
      </c>
      <c r="M327" s="572">
        <v>0</v>
      </c>
      <c r="N327" s="572">
        <v>0</v>
      </c>
      <c r="O327" s="572">
        <f t="shared" si="206"/>
        <v>0</v>
      </c>
      <c r="P327" s="572">
        <f t="shared" si="207"/>
        <v>0</v>
      </c>
      <c r="Q327" s="572">
        <v>0</v>
      </c>
      <c r="R327" s="572">
        <v>0</v>
      </c>
      <c r="S327" s="572">
        <v>0</v>
      </c>
      <c r="T327" s="572">
        <f t="shared" si="209"/>
        <v>0</v>
      </c>
      <c r="U327" s="572">
        <f t="shared" si="210"/>
        <v>0</v>
      </c>
    </row>
    <row r="328" spans="1:21" ht="18.75" x14ac:dyDescent="0.25">
      <c r="A328" s="674"/>
      <c r="B328" s="561"/>
      <c r="C328" s="561"/>
      <c r="D328" s="561"/>
      <c r="E328" s="573" t="s">
        <v>21</v>
      </c>
      <c r="F328" s="561"/>
      <c r="G328" s="563"/>
      <c r="H328" s="686" t="s">
        <v>14</v>
      </c>
      <c r="I328" s="683"/>
      <c r="J328" s="683"/>
      <c r="K328" s="684"/>
      <c r="L328" s="567">
        <f ca="1">IFERROR(__xludf.DUMMYFUNCTION("IMPORTRANGE(""https://docs.google.com/spreadsheets/d/1-uDff_7J0KD5mKrp0Vvzr7lt3OU09vwQwhkpOPPYv2Y/edit?usp=sharing"",""งบพรบ!EL19"")"),0)</f>
        <v>0</v>
      </c>
      <c r="M328" s="568">
        <f ca="1">IFERROR(__xludf.DUMMYFUNCTION("IMPORTRANGE(""https://docs.google.com/spreadsheets/d/1-uDff_7J0KD5mKrp0Vvzr7lt3OU09vwQwhkpOPPYv2Y/edit?usp=sharing"",""งบพรบ!EO19"")"),0)</f>
        <v>0</v>
      </c>
      <c r="N328" s="568">
        <f ca="1">IFERROR(__xludf.DUMMYFUNCTION("IMPORTRANGE(""https://docs.google.com/spreadsheets/d/1-uDff_7J0KD5mKrp0Vvzr7lt3OU09vwQwhkpOPPYv2Y/edit?usp=sharing"",""งบพรบ!EQ19"")"),0)</f>
        <v>0</v>
      </c>
      <c r="O328" s="568">
        <f t="shared" ca="1" si="206"/>
        <v>0</v>
      </c>
      <c r="P328" s="568">
        <f t="shared" ca="1" si="207"/>
        <v>0</v>
      </c>
      <c r="Q328" s="568">
        <v>0</v>
      </c>
      <c r="R328" s="568">
        <v>0</v>
      </c>
      <c r="S328" s="568">
        <v>0</v>
      </c>
      <c r="T328" s="568">
        <f t="shared" si="209"/>
        <v>0</v>
      </c>
      <c r="U328" s="568">
        <f t="shared" si="210"/>
        <v>0</v>
      </c>
    </row>
    <row r="329" spans="1:21" ht="19.5" x14ac:dyDescent="0.3">
      <c r="A329" s="687"/>
      <c r="B329" s="688"/>
      <c r="C329" s="675" t="s">
        <v>18</v>
      </c>
      <c r="D329" s="689" t="s">
        <v>38</v>
      </c>
      <c r="E329" s="690"/>
      <c r="F329" s="690"/>
      <c r="G329" s="691"/>
      <c r="H329" s="692"/>
      <c r="I329" s="683"/>
      <c r="J329" s="565"/>
      <c r="K329" s="566"/>
      <c r="L329" s="574"/>
      <c r="M329" s="566"/>
      <c r="N329" s="566"/>
      <c r="O329" s="684"/>
      <c r="P329" s="684"/>
      <c r="Q329" s="566"/>
      <c r="R329" s="566"/>
      <c r="S329" s="566"/>
      <c r="T329" s="684"/>
      <c r="U329" s="684"/>
    </row>
    <row r="330" spans="1:21" ht="18.75" x14ac:dyDescent="0.25">
      <c r="A330" s="687"/>
      <c r="B330" s="688"/>
      <c r="C330" s="688"/>
      <c r="D330" s="694" t="s">
        <v>134</v>
      </c>
      <c r="E330" s="695"/>
      <c r="F330" s="695"/>
      <c r="G330" s="692"/>
      <c r="H330" s="564" t="s">
        <v>133</v>
      </c>
      <c r="I330" s="708">
        <f ca="1">IFERROR(__xludf.DUMMYFUNCTION("IMPORTRANGE(""https://docs.google.com/spreadsheets/d/1eHaY18a8A9IcSdp1K8H6x8fbOy06t2VsZHhMHf-1x7Y/edit?usp=sharing"",""แผน!EJ19"")"),0)</f>
        <v>0</v>
      </c>
      <c r="J330" s="702">
        <v>0</v>
      </c>
      <c r="K330" s="568">
        <f ca="1">IF(I330&gt;0,J330*100/I330,0)</f>
        <v>0</v>
      </c>
      <c r="L330" s="574"/>
      <c r="M330" s="566"/>
      <c r="N330" s="566"/>
      <c r="O330" s="684"/>
      <c r="P330" s="684"/>
      <c r="Q330" s="566"/>
      <c r="R330" s="566"/>
      <c r="S330" s="566"/>
      <c r="T330" s="684"/>
      <c r="U330" s="684"/>
    </row>
    <row r="331" spans="1:21" ht="19.5" x14ac:dyDescent="0.3">
      <c r="A331" s="902" t="s">
        <v>135</v>
      </c>
      <c r="B331" s="903"/>
      <c r="C331" s="903"/>
      <c r="D331" s="904"/>
      <c r="E331" s="903"/>
      <c r="F331" s="903"/>
      <c r="G331" s="903"/>
      <c r="H331" s="904"/>
      <c r="I331" s="906"/>
      <c r="J331" s="906"/>
      <c r="K331" s="907"/>
      <c r="L331" s="908"/>
      <c r="M331" s="907"/>
      <c r="N331" s="907"/>
      <c r="O331" s="907"/>
      <c r="P331" s="907"/>
      <c r="Q331" s="907"/>
      <c r="R331" s="907"/>
      <c r="S331" s="907"/>
      <c r="T331" s="907"/>
      <c r="U331" s="907"/>
    </row>
    <row r="332" spans="1:21" ht="19.5" x14ac:dyDescent="0.3">
      <c r="A332" s="909"/>
      <c r="B332" s="910" t="s">
        <v>136</v>
      </c>
      <c r="C332" s="928"/>
      <c r="D332" s="911"/>
      <c r="E332" s="911"/>
      <c r="F332" s="911"/>
      <c r="G332" s="912"/>
      <c r="H332" s="913" t="s">
        <v>35</v>
      </c>
      <c r="I332" s="929">
        <f ca="1">I344</f>
        <v>1060</v>
      </c>
      <c r="J332" s="930">
        <f ca="1">J344+J347+J348+J349+J353</f>
        <v>9547</v>
      </c>
      <c r="K332" s="931">
        <f ca="1">IF(I332&gt;0,J332*100/I332,0)</f>
        <v>900.66037735849056</v>
      </c>
      <c r="L332" s="916"/>
      <c r="M332" s="917"/>
      <c r="N332" s="917"/>
      <c r="O332" s="917"/>
      <c r="P332" s="917"/>
      <c r="Q332" s="917"/>
      <c r="R332" s="917"/>
      <c r="S332" s="917"/>
      <c r="T332" s="917"/>
      <c r="U332" s="917"/>
    </row>
    <row r="333" spans="1:21" ht="19.5" x14ac:dyDescent="0.3">
      <c r="A333" s="674"/>
      <c r="B333" s="561"/>
      <c r="C333" s="675" t="s">
        <v>18</v>
      </c>
      <c r="D333" s="676" t="s">
        <v>19</v>
      </c>
      <c r="E333" s="561"/>
      <c r="F333" s="561"/>
      <c r="G333" s="563"/>
      <c r="H333" s="677" t="s">
        <v>14</v>
      </c>
      <c r="I333" s="565"/>
      <c r="J333" s="565"/>
      <c r="K333" s="566"/>
      <c r="L333" s="678">
        <f t="shared" ref="L333:N333" ca="1" si="217">L334+L335</f>
        <v>187000</v>
      </c>
      <c r="M333" s="679">
        <f t="shared" ca="1" si="217"/>
        <v>115000</v>
      </c>
      <c r="N333" s="679">
        <f t="shared" ca="1" si="217"/>
        <v>79560</v>
      </c>
      <c r="O333" s="679">
        <f t="shared" ref="O333:O341" ca="1" si="218">IF(L333&gt;0,N333*100/L333,0)</f>
        <v>42.545454545454547</v>
      </c>
      <c r="P333" s="679">
        <f t="shared" ref="P333:P341" ca="1" si="219">IF(M333&gt;0,N333*100/M333,0)</f>
        <v>69.182608695652178</v>
      </c>
      <c r="Q333" s="679">
        <f t="shared" ref="Q333:S333" si="220">Q334+Q335</f>
        <v>0</v>
      </c>
      <c r="R333" s="679">
        <f t="shared" si="220"/>
        <v>0</v>
      </c>
      <c r="S333" s="679">
        <f t="shared" si="220"/>
        <v>0</v>
      </c>
      <c r="T333" s="679">
        <f t="shared" ref="T333:T341" si="221">IF(Q333&gt;0,S333*100/Q333,0)</f>
        <v>0</v>
      </c>
      <c r="U333" s="679">
        <f t="shared" ref="U333:U341" si="222">IF(R333&gt;0,S333*100/R333,0)</f>
        <v>0</v>
      </c>
    </row>
    <row r="334" spans="1:21" ht="18.75" x14ac:dyDescent="0.25">
      <c r="A334" s="674"/>
      <c r="B334" s="561"/>
      <c r="C334" s="561"/>
      <c r="D334" s="561"/>
      <c r="E334" s="569" t="s">
        <v>20</v>
      </c>
      <c r="F334" s="561"/>
      <c r="G334" s="563"/>
      <c r="H334" s="680" t="s">
        <v>14</v>
      </c>
      <c r="I334" s="565"/>
      <c r="J334" s="565"/>
      <c r="K334" s="566"/>
      <c r="L334" s="571">
        <f t="shared" ref="L334:N335" si="223">L337+L340</f>
        <v>0</v>
      </c>
      <c r="M334" s="572">
        <f t="shared" si="223"/>
        <v>0</v>
      </c>
      <c r="N334" s="572">
        <f t="shared" si="223"/>
        <v>0</v>
      </c>
      <c r="O334" s="572">
        <f t="shared" si="218"/>
        <v>0</v>
      </c>
      <c r="P334" s="572">
        <f t="shared" si="219"/>
        <v>0</v>
      </c>
      <c r="Q334" s="572">
        <f t="shared" ref="Q334:S335" si="224">Q337+Q340</f>
        <v>0</v>
      </c>
      <c r="R334" s="572">
        <f t="shared" si="224"/>
        <v>0</v>
      </c>
      <c r="S334" s="572">
        <f t="shared" si="224"/>
        <v>0</v>
      </c>
      <c r="T334" s="572">
        <f t="shared" si="221"/>
        <v>0</v>
      </c>
      <c r="U334" s="572">
        <f t="shared" si="222"/>
        <v>0</v>
      </c>
    </row>
    <row r="335" spans="1:21" ht="18.75" x14ac:dyDescent="0.25">
      <c r="A335" s="674"/>
      <c r="B335" s="561"/>
      <c r="C335" s="561"/>
      <c r="D335" s="561"/>
      <c r="E335" s="573" t="s">
        <v>21</v>
      </c>
      <c r="F335" s="561"/>
      <c r="G335" s="563"/>
      <c r="H335" s="681" t="s">
        <v>14</v>
      </c>
      <c r="I335" s="565"/>
      <c r="J335" s="565"/>
      <c r="K335" s="566"/>
      <c r="L335" s="567">
        <f t="shared" ca="1" si="223"/>
        <v>187000</v>
      </c>
      <c r="M335" s="568">
        <f t="shared" ca="1" si="223"/>
        <v>115000</v>
      </c>
      <c r="N335" s="568">
        <f t="shared" ca="1" si="223"/>
        <v>79560</v>
      </c>
      <c r="O335" s="568">
        <f t="shared" ca="1" si="218"/>
        <v>42.545454545454547</v>
      </c>
      <c r="P335" s="568">
        <f t="shared" ca="1" si="219"/>
        <v>69.182608695652178</v>
      </c>
      <c r="Q335" s="568">
        <f t="shared" si="224"/>
        <v>0</v>
      </c>
      <c r="R335" s="568">
        <f t="shared" si="224"/>
        <v>0</v>
      </c>
      <c r="S335" s="568">
        <f t="shared" si="224"/>
        <v>0</v>
      </c>
      <c r="T335" s="568">
        <f t="shared" si="221"/>
        <v>0</v>
      </c>
      <c r="U335" s="568">
        <f t="shared" si="222"/>
        <v>0</v>
      </c>
    </row>
    <row r="336" spans="1:21" ht="18.75" x14ac:dyDescent="0.25">
      <c r="A336" s="674"/>
      <c r="B336" s="561"/>
      <c r="C336" s="561"/>
      <c r="D336" s="562" t="s">
        <v>22</v>
      </c>
      <c r="E336" s="561"/>
      <c r="F336" s="561"/>
      <c r="G336" s="563"/>
      <c r="H336" s="682" t="s">
        <v>14</v>
      </c>
      <c r="I336" s="683"/>
      <c r="J336" s="683"/>
      <c r="K336" s="684"/>
      <c r="L336" s="567">
        <f t="shared" ref="L336:N336" ca="1" si="225">L337+L338</f>
        <v>187000</v>
      </c>
      <c r="M336" s="568">
        <f t="shared" ca="1" si="225"/>
        <v>115000</v>
      </c>
      <c r="N336" s="568">
        <f t="shared" ca="1" si="225"/>
        <v>79560</v>
      </c>
      <c r="O336" s="568">
        <f t="shared" ca="1" si="218"/>
        <v>42.545454545454547</v>
      </c>
      <c r="P336" s="568">
        <f t="shared" ca="1" si="219"/>
        <v>69.182608695652178</v>
      </c>
      <c r="Q336" s="568">
        <f t="shared" ref="Q336:S336" si="226">Q337+Q338</f>
        <v>0</v>
      </c>
      <c r="R336" s="568">
        <f t="shared" si="226"/>
        <v>0</v>
      </c>
      <c r="S336" s="568">
        <f t="shared" si="226"/>
        <v>0</v>
      </c>
      <c r="T336" s="568">
        <f t="shared" si="221"/>
        <v>0</v>
      </c>
      <c r="U336" s="568">
        <f t="shared" si="222"/>
        <v>0</v>
      </c>
    </row>
    <row r="337" spans="1:21" ht="18.75" x14ac:dyDescent="0.25">
      <c r="A337" s="674"/>
      <c r="B337" s="561"/>
      <c r="C337" s="561"/>
      <c r="D337" s="561"/>
      <c r="E337" s="569" t="s">
        <v>36</v>
      </c>
      <c r="F337" s="561"/>
      <c r="G337" s="563"/>
      <c r="H337" s="685" t="s">
        <v>14</v>
      </c>
      <c r="I337" s="683"/>
      <c r="J337" s="683"/>
      <c r="K337" s="684"/>
      <c r="L337" s="571">
        <v>0</v>
      </c>
      <c r="M337" s="572">
        <v>0</v>
      </c>
      <c r="N337" s="572">
        <v>0</v>
      </c>
      <c r="O337" s="572">
        <f t="shared" si="218"/>
        <v>0</v>
      </c>
      <c r="P337" s="572">
        <f t="shared" si="219"/>
        <v>0</v>
      </c>
      <c r="Q337" s="572">
        <v>0</v>
      </c>
      <c r="R337" s="572">
        <v>0</v>
      </c>
      <c r="S337" s="572">
        <v>0</v>
      </c>
      <c r="T337" s="572">
        <f t="shared" si="221"/>
        <v>0</v>
      </c>
      <c r="U337" s="572">
        <f t="shared" si="222"/>
        <v>0</v>
      </c>
    </row>
    <row r="338" spans="1:21" ht="18.75" x14ac:dyDescent="0.25">
      <c r="A338" s="674"/>
      <c r="B338" s="561"/>
      <c r="C338" s="561"/>
      <c r="D338" s="561"/>
      <c r="E338" s="573" t="s">
        <v>37</v>
      </c>
      <c r="F338" s="561"/>
      <c r="G338" s="563"/>
      <c r="H338" s="682" t="s">
        <v>14</v>
      </c>
      <c r="I338" s="683"/>
      <c r="J338" s="683"/>
      <c r="K338" s="684"/>
      <c r="L338" s="567">
        <f ca="1">IFERROR(__xludf.DUMMYFUNCTION("IMPORTRANGE(""https://docs.google.com/spreadsheets/d/1-uDff_7J0KD5mKrp0Vvzr7lt3OU09vwQwhkpOPPYv2Y/edit?usp=sharing"",""งบพรบ!ES19"")"),187000)</f>
        <v>187000</v>
      </c>
      <c r="M338" s="568">
        <f ca="1">IFERROR(__xludf.DUMMYFUNCTION("IMPORTRANGE(""https://docs.google.com/spreadsheets/d/1-uDff_7J0KD5mKrp0Vvzr7lt3OU09vwQwhkpOPPYv2Y/edit?usp=sharing"",""งบพรบ!EX19"")"),115000)</f>
        <v>115000</v>
      </c>
      <c r="N338" s="568">
        <f ca="1">IFERROR(__xludf.DUMMYFUNCTION("IMPORTRANGE(""https://docs.google.com/spreadsheets/d/1-uDff_7J0KD5mKrp0Vvzr7lt3OU09vwQwhkpOPPYv2Y/edit?usp=sharing"",""งบพรบ!EZ19"")"),79560)</f>
        <v>79560</v>
      </c>
      <c r="O338" s="568">
        <f t="shared" ca="1" si="218"/>
        <v>42.545454545454547</v>
      </c>
      <c r="P338" s="568">
        <f t="shared" ca="1" si="219"/>
        <v>69.182608695652178</v>
      </c>
      <c r="Q338" s="568">
        <v>0</v>
      </c>
      <c r="R338" s="568">
        <v>0</v>
      </c>
      <c r="S338" s="568">
        <v>0</v>
      </c>
      <c r="T338" s="568">
        <f t="shared" si="221"/>
        <v>0</v>
      </c>
      <c r="U338" s="568">
        <f t="shared" si="222"/>
        <v>0</v>
      </c>
    </row>
    <row r="339" spans="1:21" ht="18.75" x14ac:dyDescent="0.25">
      <c r="A339" s="674"/>
      <c r="B339" s="561"/>
      <c r="C339" s="561"/>
      <c r="D339" s="562" t="s">
        <v>23</v>
      </c>
      <c r="E339" s="561"/>
      <c r="F339" s="561"/>
      <c r="G339" s="563"/>
      <c r="H339" s="686" t="s">
        <v>14</v>
      </c>
      <c r="I339" s="683"/>
      <c r="J339" s="683"/>
      <c r="K339" s="684"/>
      <c r="L339" s="567">
        <f t="shared" ref="L339:N339" ca="1" si="227">L340+L341</f>
        <v>0</v>
      </c>
      <c r="M339" s="568">
        <f t="shared" ca="1" si="227"/>
        <v>0</v>
      </c>
      <c r="N339" s="568">
        <f t="shared" ca="1" si="227"/>
        <v>0</v>
      </c>
      <c r="O339" s="568">
        <f t="shared" ca="1" si="218"/>
        <v>0</v>
      </c>
      <c r="P339" s="568">
        <f t="shared" ca="1" si="219"/>
        <v>0</v>
      </c>
      <c r="Q339" s="568">
        <f t="shared" ref="Q339:S339" si="228">Q340+Q341</f>
        <v>0</v>
      </c>
      <c r="R339" s="568">
        <f t="shared" si="228"/>
        <v>0</v>
      </c>
      <c r="S339" s="568">
        <f t="shared" si="228"/>
        <v>0</v>
      </c>
      <c r="T339" s="568">
        <f t="shared" si="221"/>
        <v>0</v>
      </c>
      <c r="U339" s="568">
        <f t="shared" si="222"/>
        <v>0</v>
      </c>
    </row>
    <row r="340" spans="1:21" ht="18.75" x14ac:dyDescent="0.25">
      <c r="A340" s="674"/>
      <c r="B340" s="561"/>
      <c r="C340" s="561"/>
      <c r="D340" s="561"/>
      <c r="E340" s="569" t="s">
        <v>20</v>
      </c>
      <c r="F340" s="561"/>
      <c r="G340" s="563"/>
      <c r="H340" s="685" t="s">
        <v>14</v>
      </c>
      <c r="I340" s="683"/>
      <c r="J340" s="683"/>
      <c r="K340" s="684"/>
      <c r="L340" s="571">
        <v>0</v>
      </c>
      <c r="M340" s="572">
        <v>0</v>
      </c>
      <c r="N340" s="572">
        <v>0</v>
      </c>
      <c r="O340" s="572">
        <f t="shared" si="218"/>
        <v>0</v>
      </c>
      <c r="P340" s="572">
        <f t="shared" si="219"/>
        <v>0</v>
      </c>
      <c r="Q340" s="572">
        <v>0</v>
      </c>
      <c r="R340" s="572">
        <v>0</v>
      </c>
      <c r="S340" s="572">
        <v>0</v>
      </c>
      <c r="T340" s="572">
        <f t="shared" si="221"/>
        <v>0</v>
      </c>
      <c r="U340" s="572">
        <f t="shared" si="222"/>
        <v>0</v>
      </c>
    </row>
    <row r="341" spans="1:21" ht="18.75" x14ac:dyDescent="0.25">
      <c r="A341" s="674"/>
      <c r="B341" s="561"/>
      <c r="C341" s="561"/>
      <c r="D341" s="561"/>
      <c r="E341" s="573" t="s">
        <v>21</v>
      </c>
      <c r="F341" s="561"/>
      <c r="G341" s="563"/>
      <c r="H341" s="686" t="s">
        <v>14</v>
      </c>
      <c r="I341" s="683"/>
      <c r="J341" s="683"/>
      <c r="K341" s="684"/>
      <c r="L341" s="567">
        <f ca="1">IFERROR(__xludf.DUMMYFUNCTION("IMPORTRANGE(""https://docs.google.com/spreadsheets/d/1-uDff_7J0KD5mKrp0Vvzr7lt3OU09vwQwhkpOPPYv2Y/edit?usp=sharing"",""งบพรบ!EV19"")"),0)</f>
        <v>0</v>
      </c>
      <c r="M341" s="568">
        <f ca="1">IFERROR(__xludf.DUMMYFUNCTION("IMPORTRANGE(""https://docs.google.com/spreadsheets/d/1-uDff_7J0KD5mKrp0Vvzr7lt3OU09vwQwhkpOPPYv2Y/edit?usp=sharing"",""งบพรบ!EY19"")"),0)</f>
        <v>0</v>
      </c>
      <c r="N341" s="568">
        <f ca="1">IFERROR(__xludf.DUMMYFUNCTION("IMPORTRANGE(""https://docs.google.com/spreadsheets/d/1-uDff_7J0KD5mKrp0Vvzr7lt3OU09vwQwhkpOPPYv2Y/edit?usp=sharing"",""งบพรบ!FA19"")"),0)</f>
        <v>0</v>
      </c>
      <c r="O341" s="568">
        <f t="shared" ca="1" si="218"/>
        <v>0</v>
      </c>
      <c r="P341" s="568">
        <f t="shared" ca="1" si="219"/>
        <v>0</v>
      </c>
      <c r="Q341" s="568">
        <v>0</v>
      </c>
      <c r="R341" s="568">
        <v>0</v>
      </c>
      <c r="S341" s="568">
        <v>0</v>
      </c>
      <c r="T341" s="568">
        <f t="shared" si="221"/>
        <v>0</v>
      </c>
      <c r="U341" s="568">
        <f t="shared" si="222"/>
        <v>0</v>
      </c>
    </row>
    <row r="342" spans="1:21" ht="19.5" x14ac:dyDescent="0.3">
      <c r="A342" s="687"/>
      <c r="B342" s="688"/>
      <c r="C342" s="675" t="s">
        <v>18</v>
      </c>
      <c r="D342" s="757" t="s">
        <v>38</v>
      </c>
      <c r="E342" s="690"/>
      <c r="F342" s="690"/>
      <c r="G342" s="691"/>
      <c r="H342" s="563"/>
      <c r="I342" s="565"/>
      <c r="J342" s="565"/>
      <c r="K342" s="566"/>
      <c r="L342" s="574"/>
      <c r="M342" s="566"/>
      <c r="N342" s="566"/>
      <c r="O342" s="684"/>
      <c r="P342" s="684"/>
      <c r="Q342" s="566"/>
      <c r="R342" s="566"/>
      <c r="S342" s="566"/>
      <c r="T342" s="684"/>
      <c r="U342" s="684"/>
    </row>
    <row r="343" spans="1:21" ht="19.5" x14ac:dyDescent="0.3">
      <c r="A343" s="932"/>
      <c r="B343" s="933"/>
      <c r="C343" s="934"/>
      <c r="D343" s="933"/>
      <c r="E343" s="935" t="s">
        <v>137</v>
      </c>
      <c r="F343" s="933"/>
      <c r="G343" s="936"/>
      <c r="H343" s="937" t="s">
        <v>35</v>
      </c>
      <c r="I343" s="938">
        <v>0</v>
      </c>
      <c r="J343" s="938">
        <f ca="1">J344+J347+J348+J349</f>
        <v>2069</v>
      </c>
      <c r="K343" s="939">
        <v>0</v>
      </c>
      <c r="L343" s="777"/>
      <c r="M343" s="778"/>
      <c r="N343" s="778"/>
      <c r="O343" s="778"/>
      <c r="P343" s="778"/>
      <c r="Q343" s="778"/>
      <c r="R343" s="778"/>
      <c r="S343" s="778"/>
      <c r="T343" s="778"/>
      <c r="U343" s="778"/>
    </row>
    <row r="344" spans="1:21" ht="18.75" x14ac:dyDescent="0.25">
      <c r="A344" s="764"/>
      <c r="B344" s="561"/>
      <c r="C344" s="718"/>
      <c r="D344" s="695"/>
      <c r="E344" s="699" t="s">
        <v>138</v>
      </c>
      <c r="F344" s="561"/>
      <c r="G344" s="563"/>
      <c r="H344" s="766" t="s">
        <v>35</v>
      </c>
      <c r="I344" s="708">
        <f ca="1">IFERROR(__xludf.DUMMYFUNCTION("IMPORTRANGE(""https://docs.google.com/spreadsheets/d/1eHaY18a8A9IcSdp1K8H6x8fbOy06t2VsZHhMHf-1x7Y/edit?usp=sharing"",""แผน!EK19"")"),1060)</f>
        <v>1060</v>
      </c>
      <c r="J344" s="708">
        <f ca="1">IFERROR(__xludf.DUMMYFUNCTION("IMPORTRANGE(""https://docs.google.com/spreadsheets/d/1awYsYK3VOup2i3Pq_Yjnu8DRu_mYwSBnCR2QPthd0rU/edit?usp=sharing"",""ศูนย์ยกเว้นโฉนด!D19"")"),2069)</f>
        <v>2069</v>
      </c>
      <c r="K344" s="568">
        <f ca="1">IF(I344&gt;0,J344*100/I344,0)</f>
        <v>195.18867924528303</v>
      </c>
      <c r="L344" s="574"/>
      <c r="M344" s="566"/>
      <c r="N344" s="566"/>
      <c r="O344" s="566"/>
      <c r="P344" s="566"/>
      <c r="Q344" s="566"/>
      <c r="R344" s="566"/>
      <c r="S344" s="566"/>
      <c r="T344" s="566"/>
      <c r="U344" s="566"/>
    </row>
    <row r="345" spans="1:21" ht="18.75" x14ac:dyDescent="0.25">
      <c r="A345" s="764"/>
      <c r="B345" s="561"/>
      <c r="C345" s="718"/>
      <c r="D345" s="695"/>
      <c r="E345" s="699" t="s">
        <v>139</v>
      </c>
      <c r="F345" s="561"/>
      <c r="G345" s="563"/>
      <c r="H345" s="727"/>
      <c r="I345" s="565"/>
      <c r="J345" s="565"/>
      <c r="K345" s="566"/>
      <c r="L345" s="574"/>
      <c r="M345" s="566"/>
      <c r="N345" s="566"/>
      <c r="O345" s="566"/>
      <c r="P345" s="566"/>
      <c r="Q345" s="566"/>
      <c r="R345" s="566"/>
      <c r="S345" s="566"/>
      <c r="T345" s="566"/>
      <c r="U345" s="566"/>
    </row>
    <row r="346" spans="1:21" ht="18.75" x14ac:dyDescent="0.25">
      <c r="A346" s="764"/>
      <c r="B346" s="561"/>
      <c r="C346" s="718"/>
      <c r="D346" s="695"/>
      <c r="E346" s="695"/>
      <c r="F346" s="699" t="s">
        <v>140</v>
      </c>
      <c r="G346" s="563"/>
      <c r="H346" s="722" t="s">
        <v>141</v>
      </c>
      <c r="I346" s="708">
        <f ca="1">IFERROR(__xludf.DUMMYFUNCTION("IMPORTRANGE(""https://docs.google.com/spreadsheets/d/1eHaY18a8A9IcSdp1K8H6x8fbOy06t2VsZHhMHf-1x7Y/edit?usp=sharing"",""แผน!EL19"")"),5)</f>
        <v>5</v>
      </c>
      <c r="J346" s="708">
        <f ca="1">IFERROR(__xludf.DUMMYFUNCTION("IMPORTRANGE(""https://docs.google.com/spreadsheets/d/1awYsYK3VOup2i3Pq_Yjnu8DRu_mYwSBnCR2QPthd0rU/edit?usp=sharing"",""ศูนย์รวม!E19"")"),2)</f>
        <v>2</v>
      </c>
      <c r="K346" s="568">
        <f ca="1">IF(I346&gt;0,J346*100/I346,0)</f>
        <v>40</v>
      </c>
      <c r="L346" s="574"/>
      <c r="M346" s="566"/>
      <c r="N346" s="566"/>
      <c r="O346" s="566"/>
      <c r="P346" s="566"/>
      <c r="Q346" s="566"/>
      <c r="R346" s="566"/>
      <c r="S346" s="566"/>
      <c r="T346" s="566"/>
      <c r="U346" s="566"/>
    </row>
    <row r="347" spans="1:21" ht="18.75" x14ac:dyDescent="0.25">
      <c r="A347" s="764"/>
      <c r="B347" s="561"/>
      <c r="C347" s="718"/>
      <c r="D347" s="695"/>
      <c r="E347" s="695"/>
      <c r="F347" s="699" t="s">
        <v>142</v>
      </c>
      <c r="G347" s="563"/>
      <c r="H347" s="722" t="s">
        <v>35</v>
      </c>
      <c r="I347" s="565"/>
      <c r="J347" s="708">
        <f ca="1">IFERROR(__xludf.DUMMYFUNCTION("IMPORTRANGE(""https://docs.google.com/spreadsheets/d/1awYsYK3VOup2i3Pq_Yjnu8DRu_mYwSBnCR2QPthd0rU/edit?usp=sharing"",""ศูนย์ยกเว้นโฉนด!F19"")"),0)</f>
        <v>0</v>
      </c>
      <c r="K347" s="566"/>
      <c r="L347" s="574"/>
      <c r="M347" s="566"/>
      <c r="N347" s="566"/>
      <c r="O347" s="566"/>
      <c r="P347" s="566"/>
      <c r="Q347" s="566"/>
      <c r="R347" s="566"/>
      <c r="S347" s="566"/>
      <c r="T347" s="566"/>
      <c r="U347" s="566"/>
    </row>
    <row r="348" spans="1:21" ht="18.75" x14ac:dyDescent="0.25">
      <c r="A348" s="764"/>
      <c r="B348" s="561"/>
      <c r="C348" s="718"/>
      <c r="D348" s="695"/>
      <c r="E348" s="699" t="s">
        <v>143</v>
      </c>
      <c r="F348" s="695"/>
      <c r="G348" s="563"/>
      <c r="H348" s="722" t="s">
        <v>35</v>
      </c>
      <c r="I348" s="565"/>
      <c r="J348" s="708">
        <f ca="1">IFERROR(__xludf.DUMMYFUNCTION("IMPORTRANGE(""https://docs.google.com/spreadsheets/d/1awYsYK3VOup2i3Pq_Yjnu8DRu_mYwSBnCR2QPthd0rU/edit?usp=sharing"",""ศูนย์ยกเว้นโฉนด!G19"")"),0)</f>
        <v>0</v>
      </c>
      <c r="K348" s="566"/>
      <c r="L348" s="574"/>
      <c r="M348" s="566"/>
      <c r="N348" s="566"/>
      <c r="O348" s="566"/>
      <c r="P348" s="566"/>
      <c r="Q348" s="566"/>
      <c r="R348" s="566"/>
      <c r="S348" s="566"/>
      <c r="T348" s="566"/>
      <c r="U348" s="566"/>
    </row>
    <row r="349" spans="1:21" ht="18.75" x14ac:dyDescent="0.25">
      <c r="A349" s="764"/>
      <c r="B349" s="561"/>
      <c r="C349" s="718"/>
      <c r="D349" s="688"/>
      <c r="E349" s="699" t="s">
        <v>144</v>
      </c>
      <c r="F349" s="695"/>
      <c r="G349" s="563"/>
      <c r="H349" s="722" t="s">
        <v>35</v>
      </c>
      <c r="I349" s="565"/>
      <c r="J349" s="708">
        <f ca="1">IFERROR(__xludf.DUMMYFUNCTION("IMPORTRANGE(""https://docs.google.com/spreadsheets/d/1awYsYK3VOup2i3Pq_Yjnu8DRu_mYwSBnCR2QPthd0rU/edit?usp=sharing"",""ศูนย์ยกเว้นโฉนด!H19"")"),0)</f>
        <v>0</v>
      </c>
      <c r="K349" s="566"/>
      <c r="L349" s="574"/>
      <c r="M349" s="566"/>
      <c r="N349" s="566"/>
      <c r="O349" s="566"/>
      <c r="P349" s="566"/>
      <c r="Q349" s="566"/>
      <c r="R349" s="566"/>
      <c r="S349" s="566"/>
      <c r="T349" s="566"/>
      <c r="U349" s="566"/>
    </row>
    <row r="350" spans="1:21" ht="16.5" x14ac:dyDescent="0.25">
      <c r="A350" s="718"/>
      <c r="B350" s="561"/>
      <c r="C350" s="718"/>
      <c r="D350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61"/>
      <c r="F350" s="561"/>
      <c r="G350" s="563"/>
      <c r="H350" s="727"/>
      <c r="I350" s="565"/>
      <c r="J350" s="565"/>
      <c r="K350" s="566"/>
      <c r="L350" s="574"/>
      <c r="M350" s="566"/>
      <c r="N350" s="566"/>
      <c r="O350" s="566"/>
      <c r="P350" s="566"/>
      <c r="Q350" s="566"/>
      <c r="R350" s="566"/>
      <c r="S350" s="566"/>
      <c r="T350" s="566"/>
      <c r="U350" s="566"/>
    </row>
    <row r="351" spans="1:21" ht="19.5" x14ac:dyDescent="0.3">
      <c r="A351" s="769"/>
      <c r="B351" s="772"/>
      <c r="C351" s="770"/>
      <c r="D351" s="772"/>
      <c r="E351" s="941" t="s">
        <v>145</v>
      </c>
      <c r="F351" s="772"/>
      <c r="G351" s="773"/>
      <c r="H351" s="774" t="s">
        <v>35</v>
      </c>
      <c r="I351" s="775">
        <v>0</v>
      </c>
      <c r="J351" s="775">
        <f ca="1">J352+J353</f>
        <v>8498</v>
      </c>
      <c r="K351" s="776">
        <v>0</v>
      </c>
      <c r="L351" s="777"/>
      <c r="M351" s="778"/>
      <c r="N351" s="778"/>
      <c r="O351" s="778"/>
      <c r="P351" s="778"/>
      <c r="Q351" s="778"/>
      <c r="R351" s="778"/>
      <c r="S351" s="778"/>
      <c r="T351" s="778"/>
      <c r="U351" s="778"/>
    </row>
    <row r="352" spans="1:21" ht="18.75" x14ac:dyDescent="0.25">
      <c r="A352" s="718"/>
      <c r="B352" s="561"/>
      <c r="C352" s="718"/>
      <c r="D352" s="695"/>
      <c r="E352" s="699" t="s">
        <v>146</v>
      </c>
      <c r="F352" s="561"/>
      <c r="G352" s="563"/>
      <c r="H352" s="681" t="s">
        <v>35</v>
      </c>
      <c r="I352" s="565"/>
      <c r="J352" s="708">
        <f ca="1">IFERROR(__xludf.DUMMYFUNCTION("IMPORTRANGE(""https://docs.google.com/spreadsheets/d/1awYsYK3VOup2i3Pq_Yjnu8DRu_mYwSBnCR2QPthd0rU/edit?usp=sharing"",""โฉนดM3!G19"")"),1020)</f>
        <v>1020</v>
      </c>
      <c r="K352" s="566"/>
      <c r="L352" s="574"/>
      <c r="M352" s="566"/>
      <c r="N352" s="566"/>
      <c r="O352" s="566"/>
      <c r="P352" s="566"/>
      <c r="Q352" s="566"/>
      <c r="R352" s="566"/>
      <c r="S352" s="566"/>
      <c r="T352" s="566"/>
      <c r="U352" s="566"/>
    </row>
    <row r="353" spans="1:21" ht="18.75" x14ac:dyDescent="0.25">
      <c r="A353" s="718"/>
      <c r="B353" s="561"/>
      <c r="C353" s="718"/>
      <c r="D353" s="695"/>
      <c r="E353" s="699" t="s">
        <v>147</v>
      </c>
      <c r="F353" s="561"/>
      <c r="G353" s="563"/>
      <c r="H353" s="681" t="s">
        <v>35</v>
      </c>
      <c r="I353" s="565"/>
      <c r="J353" s="708">
        <f ca="1">IFERROR(__xludf.DUMMYFUNCTION("IMPORTRANGE(""https://docs.google.com/spreadsheets/d/1awYsYK3VOup2i3Pq_Yjnu8DRu_mYwSBnCR2QPthd0rU/edit?usp=sharing"",""โฉนดM3!H19"")"),7478)</f>
        <v>7478</v>
      </c>
      <c r="K353" s="566"/>
      <c r="L353" s="574"/>
      <c r="M353" s="566"/>
      <c r="N353" s="566"/>
      <c r="O353" s="566"/>
      <c r="P353" s="566"/>
      <c r="Q353" s="566"/>
      <c r="R353" s="566"/>
      <c r="S353" s="566"/>
      <c r="T353" s="566"/>
      <c r="U353" s="566"/>
    </row>
    <row r="354" spans="1:21" ht="16.5" x14ac:dyDescent="0.25">
      <c r="A354" s="718"/>
      <c r="B354" s="561"/>
      <c r="C354" s="718"/>
      <c r="D354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61"/>
      <c r="F354" s="561"/>
      <c r="G354" s="563"/>
      <c r="H354" s="727"/>
      <c r="I354" s="565"/>
      <c r="J354" s="565"/>
      <c r="K354" s="566"/>
      <c r="L354" s="574"/>
      <c r="M354" s="566"/>
      <c r="N354" s="566"/>
      <c r="O354" s="566"/>
      <c r="P354" s="566"/>
      <c r="Q354" s="566"/>
      <c r="R354" s="566"/>
      <c r="S354" s="566"/>
      <c r="T354" s="566"/>
      <c r="U354" s="566"/>
    </row>
    <row r="355" spans="1:21" ht="19.5" x14ac:dyDescent="0.3">
      <c r="A355" s="909"/>
      <c r="B355" s="910" t="s">
        <v>148</v>
      </c>
      <c r="C355" s="928"/>
      <c r="D355" s="911"/>
      <c r="E355" s="911"/>
      <c r="F355" s="911"/>
      <c r="G355" s="912"/>
      <c r="H355" s="912"/>
      <c r="I355" s="942"/>
      <c r="J355" s="942"/>
      <c r="K355" s="917"/>
      <c r="L355" s="916"/>
      <c r="M355" s="917"/>
      <c r="N355" s="917"/>
      <c r="O355" s="917"/>
      <c r="P355" s="917"/>
      <c r="Q355" s="917"/>
      <c r="R355" s="917"/>
      <c r="S355" s="917"/>
      <c r="T355" s="917"/>
      <c r="U355" s="917"/>
    </row>
    <row r="356" spans="1:21" ht="19.5" x14ac:dyDescent="0.3">
      <c r="A356" s="674"/>
      <c r="B356" s="561"/>
      <c r="C356" s="675" t="s">
        <v>18</v>
      </c>
      <c r="D356" s="676" t="s">
        <v>19</v>
      </c>
      <c r="E356" s="561"/>
      <c r="F356" s="561"/>
      <c r="G356" s="563"/>
      <c r="H356" s="677" t="s">
        <v>14</v>
      </c>
      <c r="I356" s="565"/>
      <c r="J356" s="565"/>
      <c r="K356" s="566"/>
      <c r="L356" s="678">
        <f t="shared" ref="L356:N356" ca="1" si="229">L357+L358</f>
        <v>1027990</v>
      </c>
      <c r="M356" s="679">
        <f t="shared" ca="1" si="229"/>
        <v>1010075</v>
      </c>
      <c r="N356" s="679">
        <f t="shared" ca="1" si="229"/>
        <v>523446</v>
      </c>
      <c r="O356" s="679">
        <f t="shared" ref="O356:O364" ca="1" si="230">IF(L356&gt;0,N356*100/L356,0)</f>
        <v>50.919366919911674</v>
      </c>
      <c r="P356" s="679">
        <f t="shared" ref="P356:P364" ca="1" si="231">IF(M356&gt;0,N356*100/M356,0)</f>
        <v>51.822488429077048</v>
      </c>
      <c r="Q356" s="679">
        <f t="shared" ref="Q356:S356" si="232">Q357+Q358</f>
        <v>0</v>
      </c>
      <c r="R356" s="679">
        <f t="shared" si="232"/>
        <v>0</v>
      </c>
      <c r="S356" s="679">
        <f t="shared" si="232"/>
        <v>0</v>
      </c>
      <c r="T356" s="679">
        <f t="shared" ref="T356:T364" si="233">IF(Q356&gt;0,S356*100/Q356,0)</f>
        <v>0</v>
      </c>
      <c r="U356" s="679">
        <f t="shared" ref="U356:U364" si="234">IF(R356&gt;0,S356*100/R356,0)</f>
        <v>0</v>
      </c>
    </row>
    <row r="357" spans="1:21" ht="18.75" x14ac:dyDescent="0.25">
      <c r="A357" s="674"/>
      <c r="B357" s="561"/>
      <c r="C357" s="561"/>
      <c r="D357" s="561"/>
      <c r="E357" s="569" t="s">
        <v>20</v>
      </c>
      <c r="F357" s="561"/>
      <c r="G357" s="563"/>
      <c r="H357" s="680" t="s">
        <v>14</v>
      </c>
      <c r="I357" s="565"/>
      <c r="J357" s="565"/>
      <c r="K357" s="566"/>
      <c r="L357" s="571">
        <f t="shared" ref="L357:N358" si="235">L360+L363</f>
        <v>0</v>
      </c>
      <c r="M357" s="572">
        <f t="shared" si="235"/>
        <v>0</v>
      </c>
      <c r="N357" s="572">
        <f t="shared" si="235"/>
        <v>0</v>
      </c>
      <c r="O357" s="572">
        <f t="shared" si="230"/>
        <v>0</v>
      </c>
      <c r="P357" s="572">
        <f t="shared" si="231"/>
        <v>0</v>
      </c>
      <c r="Q357" s="572">
        <f t="shared" ref="Q357:S358" si="236">Q360+Q363</f>
        <v>0</v>
      </c>
      <c r="R357" s="572">
        <f t="shared" si="236"/>
        <v>0</v>
      </c>
      <c r="S357" s="572">
        <f t="shared" si="236"/>
        <v>0</v>
      </c>
      <c r="T357" s="572">
        <f t="shared" si="233"/>
        <v>0</v>
      </c>
      <c r="U357" s="572">
        <f t="shared" si="234"/>
        <v>0</v>
      </c>
    </row>
    <row r="358" spans="1:21" ht="18.75" x14ac:dyDescent="0.25">
      <c r="A358" s="674"/>
      <c r="B358" s="561"/>
      <c r="C358" s="561"/>
      <c r="D358" s="561"/>
      <c r="E358" s="573" t="s">
        <v>21</v>
      </c>
      <c r="F358" s="561"/>
      <c r="G358" s="563"/>
      <c r="H358" s="681" t="s">
        <v>14</v>
      </c>
      <c r="I358" s="565"/>
      <c r="J358" s="565"/>
      <c r="K358" s="566"/>
      <c r="L358" s="567">
        <f t="shared" ca="1" si="235"/>
        <v>1027990</v>
      </c>
      <c r="M358" s="568">
        <f t="shared" ca="1" si="235"/>
        <v>1010075</v>
      </c>
      <c r="N358" s="568">
        <f t="shared" ca="1" si="235"/>
        <v>523446</v>
      </c>
      <c r="O358" s="568">
        <f t="shared" ca="1" si="230"/>
        <v>50.919366919911674</v>
      </c>
      <c r="P358" s="568">
        <f t="shared" ca="1" si="231"/>
        <v>51.822488429077048</v>
      </c>
      <c r="Q358" s="568">
        <f t="shared" si="236"/>
        <v>0</v>
      </c>
      <c r="R358" s="568">
        <f t="shared" si="236"/>
        <v>0</v>
      </c>
      <c r="S358" s="568">
        <f t="shared" si="236"/>
        <v>0</v>
      </c>
      <c r="T358" s="568">
        <f t="shared" si="233"/>
        <v>0</v>
      </c>
      <c r="U358" s="568">
        <f t="shared" si="234"/>
        <v>0</v>
      </c>
    </row>
    <row r="359" spans="1:21" ht="18.75" x14ac:dyDescent="0.25">
      <c r="A359" s="674"/>
      <c r="B359" s="561"/>
      <c r="C359" s="561"/>
      <c r="D359" s="562" t="s">
        <v>22</v>
      </c>
      <c r="E359" s="561"/>
      <c r="F359" s="561"/>
      <c r="G359" s="563"/>
      <c r="H359" s="682" t="s">
        <v>14</v>
      </c>
      <c r="I359" s="683"/>
      <c r="J359" s="683"/>
      <c r="K359" s="684"/>
      <c r="L359" s="567">
        <f t="shared" ref="L359:N359" ca="1" si="237">L360+L361</f>
        <v>1027990</v>
      </c>
      <c r="M359" s="568">
        <f t="shared" ca="1" si="237"/>
        <v>1010075</v>
      </c>
      <c r="N359" s="568">
        <f t="shared" ca="1" si="237"/>
        <v>523446</v>
      </c>
      <c r="O359" s="568">
        <f t="shared" ca="1" si="230"/>
        <v>50.919366919911674</v>
      </c>
      <c r="P359" s="568">
        <f t="shared" ca="1" si="231"/>
        <v>51.822488429077048</v>
      </c>
      <c r="Q359" s="568">
        <f t="shared" ref="Q359:S359" si="238">Q360+Q361</f>
        <v>0</v>
      </c>
      <c r="R359" s="568">
        <f t="shared" si="238"/>
        <v>0</v>
      </c>
      <c r="S359" s="568">
        <f t="shared" si="238"/>
        <v>0</v>
      </c>
      <c r="T359" s="568">
        <f t="shared" si="233"/>
        <v>0</v>
      </c>
      <c r="U359" s="568">
        <f t="shared" si="234"/>
        <v>0</v>
      </c>
    </row>
    <row r="360" spans="1:21" ht="18.75" x14ac:dyDescent="0.25">
      <c r="A360" s="674"/>
      <c r="B360" s="561"/>
      <c r="C360" s="561"/>
      <c r="D360" s="561"/>
      <c r="E360" s="569" t="s">
        <v>36</v>
      </c>
      <c r="F360" s="561"/>
      <c r="G360" s="563"/>
      <c r="H360" s="685" t="s">
        <v>14</v>
      </c>
      <c r="I360" s="683"/>
      <c r="J360" s="683"/>
      <c r="K360" s="684"/>
      <c r="L360" s="571">
        <v>0</v>
      </c>
      <c r="M360" s="572">
        <v>0</v>
      </c>
      <c r="N360" s="572">
        <v>0</v>
      </c>
      <c r="O360" s="572">
        <f t="shared" si="230"/>
        <v>0</v>
      </c>
      <c r="P360" s="572">
        <f t="shared" si="231"/>
        <v>0</v>
      </c>
      <c r="Q360" s="572">
        <v>0</v>
      </c>
      <c r="R360" s="572">
        <v>0</v>
      </c>
      <c r="S360" s="572">
        <v>0</v>
      </c>
      <c r="T360" s="572">
        <f t="shared" si="233"/>
        <v>0</v>
      </c>
      <c r="U360" s="572">
        <f t="shared" si="234"/>
        <v>0</v>
      </c>
    </row>
    <row r="361" spans="1:21" ht="18.75" x14ac:dyDescent="0.25">
      <c r="A361" s="674"/>
      <c r="B361" s="561"/>
      <c r="C361" s="561"/>
      <c r="D361" s="561"/>
      <c r="E361" s="573" t="s">
        <v>37</v>
      </c>
      <c r="F361" s="561"/>
      <c r="G361" s="563"/>
      <c r="H361" s="682" t="s">
        <v>14</v>
      </c>
      <c r="I361" s="683"/>
      <c r="J361" s="683"/>
      <c r="K361" s="684"/>
      <c r="L361" s="567">
        <f ca="1">IFERROR(__xludf.DUMMYFUNCTION("IMPORTRANGE(""https://docs.google.com/spreadsheets/d/1-uDff_7J0KD5mKrp0Vvzr7lt3OU09vwQwhkpOPPYv2Y/edit?usp=sharing"",""งบพรบ!FC19"")"),1027990)</f>
        <v>1027990</v>
      </c>
      <c r="M361" s="568">
        <f ca="1">IFERROR(__xludf.DUMMYFUNCTION("IMPORTRANGE(""https://docs.google.com/spreadsheets/d/1-uDff_7J0KD5mKrp0Vvzr7lt3OU09vwQwhkpOPPYv2Y/edit?usp=sharing"",""งบพรบ!FH19"")"),1010075)</f>
        <v>1010075</v>
      </c>
      <c r="N361" s="568">
        <f ca="1">IFERROR(__xludf.DUMMYFUNCTION("IMPORTRANGE(""https://docs.google.com/spreadsheets/d/1-uDff_7J0KD5mKrp0Vvzr7lt3OU09vwQwhkpOPPYv2Y/edit?usp=sharing"",""งบพรบ!FJ19"")"),523446)</f>
        <v>523446</v>
      </c>
      <c r="O361" s="568">
        <f t="shared" ca="1" si="230"/>
        <v>50.919366919911674</v>
      </c>
      <c r="P361" s="568">
        <f t="shared" ca="1" si="231"/>
        <v>51.822488429077048</v>
      </c>
      <c r="Q361" s="568">
        <v>0</v>
      </c>
      <c r="R361" s="568">
        <v>0</v>
      </c>
      <c r="S361" s="568">
        <v>0</v>
      </c>
      <c r="T361" s="568">
        <f t="shared" si="233"/>
        <v>0</v>
      </c>
      <c r="U361" s="568">
        <f t="shared" si="234"/>
        <v>0</v>
      </c>
    </row>
    <row r="362" spans="1:21" ht="18.75" x14ac:dyDescent="0.25">
      <c r="A362" s="674"/>
      <c r="B362" s="561"/>
      <c r="C362" s="561"/>
      <c r="D362" s="562" t="s">
        <v>23</v>
      </c>
      <c r="E362" s="561"/>
      <c r="F362" s="561"/>
      <c r="G362" s="563"/>
      <c r="H362" s="686" t="s">
        <v>14</v>
      </c>
      <c r="I362" s="683"/>
      <c r="J362" s="683"/>
      <c r="K362" s="684"/>
      <c r="L362" s="567">
        <f t="shared" ref="L362:N362" ca="1" si="239">L363+L364</f>
        <v>0</v>
      </c>
      <c r="M362" s="568">
        <f t="shared" ca="1" si="239"/>
        <v>0</v>
      </c>
      <c r="N362" s="568">
        <f t="shared" ca="1" si="239"/>
        <v>0</v>
      </c>
      <c r="O362" s="568">
        <f t="shared" ca="1" si="230"/>
        <v>0</v>
      </c>
      <c r="P362" s="568">
        <f t="shared" ca="1" si="231"/>
        <v>0</v>
      </c>
      <c r="Q362" s="568">
        <f t="shared" ref="Q362:S362" si="240">Q363+Q364</f>
        <v>0</v>
      </c>
      <c r="R362" s="568">
        <f t="shared" si="240"/>
        <v>0</v>
      </c>
      <c r="S362" s="568">
        <f t="shared" si="240"/>
        <v>0</v>
      </c>
      <c r="T362" s="568">
        <f t="shared" si="233"/>
        <v>0</v>
      </c>
      <c r="U362" s="568">
        <f t="shared" si="234"/>
        <v>0</v>
      </c>
    </row>
    <row r="363" spans="1:21" ht="18.75" x14ac:dyDescent="0.25">
      <c r="A363" s="674"/>
      <c r="B363" s="561"/>
      <c r="C363" s="561"/>
      <c r="D363" s="561"/>
      <c r="E363" s="569" t="s">
        <v>20</v>
      </c>
      <c r="F363" s="561"/>
      <c r="G363" s="563"/>
      <c r="H363" s="685" t="s">
        <v>14</v>
      </c>
      <c r="I363" s="683"/>
      <c r="J363" s="683"/>
      <c r="K363" s="684"/>
      <c r="L363" s="571">
        <v>0</v>
      </c>
      <c r="M363" s="572">
        <v>0</v>
      </c>
      <c r="N363" s="572">
        <v>0</v>
      </c>
      <c r="O363" s="572">
        <f t="shared" si="230"/>
        <v>0</v>
      </c>
      <c r="P363" s="572">
        <f t="shared" si="231"/>
        <v>0</v>
      </c>
      <c r="Q363" s="572">
        <v>0</v>
      </c>
      <c r="R363" s="572">
        <v>0</v>
      </c>
      <c r="S363" s="572">
        <v>0</v>
      </c>
      <c r="T363" s="572">
        <f t="shared" si="233"/>
        <v>0</v>
      </c>
      <c r="U363" s="572">
        <f t="shared" si="234"/>
        <v>0</v>
      </c>
    </row>
    <row r="364" spans="1:21" ht="18.75" x14ac:dyDescent="0.25">
      <c r="A364" s="674"/>
      <c r="B364" s="561"/>
      <c r="C364" s="561"/>
      <c r="D364" s="561"/>
      <c r="E364" s="573" t="s">
        <v>21</v>
      </c>
      <c r="F364" s="561"/>
      <c r="G364" s="563"/>
      <c r="H364" s="686" t="s">
        <v>14</v>
      </c>
      <c r="I364" s="683"/>
      <c r="J364" s="683"/>
      <c r="K364" s="684"/>
      <c r="L364" s="567">
        <f ca="1">IFERROR(__xludf.DUMMYFUNCTION("IMPORTRANGE(""https://docs.google.com/spreadsheets/d/1-uDff_7J0KD5mKrp0Vvzr7lt3OU09vwQwhkpOPPYv2Y/edit?usp=sharing"",""งบพรบ!FF19"")"),0)</f>
        <v>0</v>
      </c>
      <c r="M364" s="568">
        <f ca="1">IFERROR(__xludf.DUMMYFUNCTION("IMPORTRANGE(""https://docs.google.com/spreadsheets/d/1-uDff_7J0KD5mKrp0Vvzr7lt3OU09vwQwhkpOPPYv2Y/edit?usp=sharing"",""งบพรบ!FI19"")"),0)</f>
        <v>0</v>
      </c>
      <c r="N364" s="568">
        <f ca="1">IFERROR(__xludf.DUMMYFUNCTION("IMPORTRANGE(""https://docs.google.com/spreadsheets/d/1-uDff_7J0KD5mKrp0Vvzr7lt3OU09vwQwhkpOPPYv2Y/edit?usp=sharing"",""งบพรบ!FK19"")"),0)</f>
        <v>0</v>
      </c>
      <c r="O364" s="568">
        <f t="shared" ca="1" si="230"/>
        <v>0</v>
      </c>
      <c r="P364" s="568">
        <f t="shared" ca="1" si="231"/>
        <v>0</v>
      </c>
      <c r="Q364" s="568">
        <v>0</v>
      </c>
      <c r="R364" s="568">
        <v>0</v>
      </c>
      <c r="S364" s="568">
        <v>0</v>
      </c>
      <c r="T364" s="568">
        <f t="shared" si="233"/>
        <v>0</v>
      </c>
      <c r="U364" s="568">
        <f t="shared" si="234"/>
        <v>0</v>
      </c>
    </row>
    <row r="365" spans="1:21" ht="19.5" x14ac:dyDescent="0.3">
      <c r="A365" s="769"/>
      <c r="B365" s="770"/>
      <c r="C365" s="772"/>
      <c r="D365" s="941" t="s">
        <v>149</v>
      </c>
      <c r="E365" s="772"/>
      <c r="F365" s="772"/>
      <c r="G365" s="773"/>
      <c r="H365" s="782" t="s">
        <v>35</v>
      </c>
      <c r="I365" s="775">
        <f t="shared" ref="I365:J365" ca="1" si="241">I371</f>
        <v>820</v>
      </c>
      <c r="J365" s="775">
        <f t="shared" ca="1" si="241"/>
        <v>911</v>
      </c>
      <c r="K365" s="776">
        <f ca="1">IF(I365&gt;0,J365*100/I365,0)</f>
        <v>111.09756097560975</v>
      </c>
      <c r="L365" s="777"/>
      <c r="M365" s="778"/>
      <c r="N365" s="778"/>
      <c r="O365" s="778"/>
      <c r="P365" s="778"/>
      <c r="Q365" s="778"/>
      <c r="R365" s="778"/>
      <c r="S365" s="778"/>
      <c r="T365" s="778"/>
      <c r="U365" s="778"/>
    </row>
    <row r="366" spans="1:21" ht="19.5" x14ac:dyDescent="0.3">
      <c r="A366" s="687"/>
      <c r="B366" s="688"/>
      <c r="C366" s="675" t="s">
        <v>18</v>
      </c>
      <c r="D366" s="689" t="s">
        <v>38</v>
      </c>
      <c r="E366" s="690"/>
      <c r="F366" s="690"/>
      <c r="G366" s="691"/>
      <c r="H366" s="692"/>
      <c r="I366" s="565"/>
      <c r="J366" s="565"/>
      <c r="K366" s="566"/>
      <c r="L366" s="693"/>
      <c r="M366" s="684"/>
      <c r="N366" s="684"/>
      <c r="O366" s="684"/>
      <c r="P366" s="684"/>
      <c r="Q366" s="684"/>
      <c r="R366" s="684"/>
      <c r="S366" s="684"/>
      <c r="T366" s="684"/>
      <c r="U366" s="684"/>
    </row>
    <row r="367" spans="1:21" ht="18.75" x14ac:dyDescent="0.25">
      <c r="A367" s="687"/>
      <c r="B367" s="695"/>
      <c r="C367" s="688"/>
      <c r="D367" s="695"/>
      <c r="E367" s="694" t="s">
        <v>150</v>
      </c>
      <c r="F367" s="695"/>
      <c r="G367" s="692"/>
      <c r="H367" s="704" t="s">
        <v>35</v>
      </c>
      <c r="I367" s="708">
        <v>0</v>
      </c>
      <c r="J367" s="708">
        <f ca="1">IFERROR(__xludf.DUMMYFUNCTION("IMPORTRANGE(""https://docs.google.com/spreadsheets/d/1tdoBKaGub7dwA3U6UFTqxio9LNnvDCQjHKmttSEBsFQ/edit?usp=sharing"",""จัดที่ดิน!AB19"")"),299)</f>
        <v>299</v>
      </c>
      <c r="K367" s="568">
        <f t="shared" ref="K367:K372" si="242">IF(I367&gt;0,J367*100/I367,0)</f>
        <v>0</v>
      </c>
      <c r="L367" s="693"/>
      <c r="M367" s="684"/>
      <c r="N367" s="684"/>
      <c r="O367" s="684"/>
      <c r="P367" s="684"/>
      <c r="Q367" s="684"/>
      <c r="R367" s="684"/>
      <c r="S367" s="684"/>
      <c r="T367" s="684"/>
      <c r="U367" s="684"/>
    </row>
    <row r="368" spans="1:21" ht="18.75" x14ac:dyDescent="0.25">
      <c r="A368" s="687"/>
      <c r="B368" s="695"/>
      <c r="C368" s="688"/>
      <c r="D368" s="695"/>
      <c r="E368" s="695"/>
      <c r="F368" s="695"/>
      <c r="G368" s="692"/>
      <c r="H368" s="704" t="s">
        <v>46</v>
      </c>
      <c r="I368" s="708">
        <f ca="1">IFERROR(__xludf.DUMMYFUNCTION("IMPORTRANGE(""https://docs.google.com/spreadsheets/d/1eHaY18a8A9IcSdp1K8H6x8fbOy06t2VsZHhMHf-1x7Y/edit?usp=sharing"",""แผน!EW19"")"),570)</f>
        <v>570</v>
      </c>
      <c r="J368" s="943">
        <f ca="1">IFERROR(__xludf.DUMMYFUNCTION("IMPORTRANGE(""https://docs.google.com/spreadsheets/d/1tdoBKaGub7dwA3U6UFTqxio9LNnvDCQjHKmttSEBsFQ/edit?usp=sharing"",""จัดที่ดิน!AC19"")"),1340.73)</f>
        <v>1340.73</v>
      </c>
      <c r="K368" s="568">
        <f t="shared" ca="1" si="242"/>
        <v>235.2157894736842</v>
      </c>
      <c r="L368" s="693"/>
      <c r="M368" s="684"/>
      <c r="N368" s="684"/>
      <c r="O368" s="684"/>
      <c r="P368" s="684"/>
      <c r="Q368" s="684"/>
      <c r="R368" s="684"/>
      <c r="S368" s="684"/>
      <c r="T368" s="684"/>
      <c r="U368" s="684"/>
    </row>
    <row r="369" spans="1:21" ht="18.75" x14ac:dyDescent="0.25">
      <c r="A369" s="687"/>
      <c r="B369" s="695"/>
      <c r="C369" s="688"/>
      <c r="D369" s="695"/>
      <c r="E369" s="694" t="s">
        <v>151</v>
      </c>
      <c r="F369" s="695"/>
      <c r="G369" s="692"/>
      <c r="H369" s="700" t="s">
        <v>35</v>
      </c>
      <c r="I369" s="708">
        <f ca="1">IFERROR(__xludf.DUMMYFUNCTION("IMPORTRANGE(""https://docs.google.com/spreadsheets/d/1eHaY18a8A9IcSdp1K8H6x8fbOy06t2VsZHhMHf-1x7Y/edit?usp=sharing"",""แผน!EX19"")"),820)</f>
        <v>820</v>
      </c>
      <c r="J369" s="708">
        <f ca="1">IFERROR(__xludf.DUMMYFUNCTION("IMPORTRANGE(""https://docs.google.com/spreadsheets/d/1tdoBKaGub7dwA3U6UFTqxio9LNnvDCQjHKmttSEBsFQ/edit?usp=sharing"",""จัดที่ดิน!AD19"")"),941)</f>
        <v>941</v>
      </c>
      <c r="K369" s="568">
        <f t="shared" ca="1" si="242"/>
        <v>114.7560975609756</v>
      </c>
      <c r="L369" s="693"/>
      <c r="M369" s="684"/>
      <c r="N369" s="684"/>
      <c r="O369" s="684"/>
      <c r="P369" s="684"/>
      <c r="Q369" s="684"/>
      <c r="R369" s="684"/>
      <c r="S369" s="684"/>
      <c r="T369" s="684"/>
      <c r="U369" s="684"/>
    </row>
    <row r="370" spans="1:21" ht="18.75" x14ac:dyDescent="0.25">
      <c r="A370" s="687"/>
      <c r="B370" s="695"/>
      <c r="C370" s="688"/>
      <c r="D370" s="695"/>
      <c r="E370" s="695"/>
      <c r="F370" s="695"/>
      <c r="G370" s="692"/>
      <c r="H370" s="700" t="s">
        <v>46</v>
      </c>
      <c r="I370" s="708">
        <v>0</v>
      </c>
      <c r="J370" s="943">
        <f ca="1">IFERROR(__xludf.DUMMYFUNCTION("IMPORTRANGE(""https://docs.google.com/spreadsheets/d/1tdoBKaGub7dwA3U6UFTqxio9LNnvDCQjHKmttSEBsFQ/edit?usp=sharing"",""จัดที่ดิน!AE19"")"),6125.65)</f>
        <v>6125.65</v>
      </c>
      <c r="K370" s="568">
        <f t="shared" si="242"/>
        <v>0</v>
      </c>
      <c r="L370" s="693"/>
      <c r="M370" s="684"/>
      <c r="N370" s="684"/>
      <c r="O370" s="684"/>
      <c r="P370" s="684"/>
      <c r="Q370" s="684"/>
      <c r="R370" s="684"/>
      <c r="S370" s="684"/>
      <c r="T370" s="684"/>
      <c r="U370" s="684"/>
    </row>
    <row r="371" spans="1:21" ht="18.75" x14ac:dyDescent="0.25">
      <c r="A371" s="687"/>
      <c r="B371" s="695"/>
      <c r="C371" s="688"/>
      <c r="D371" s="695"/>
      <c r="E371" s="944" t="s">
        <v>152</v>
      </c>
      <c r="F371" s="695"/>
      <c r="G371" s="692"/>
      <c r="H371" s="700" t="s">
        <v>35</v>
      </c>
      <c r="I371" s="708">
        <f ca="1">IFERROR(__xludf.DUMMYFUNCTION("IMPORTRANGE(""https://docs.google.com/spreadsheets/d/1eHaY18a8A9IcSdp1K8H6x8fbOy06t2VsZHhMHf-1x7Y/edit?usp=sharing"",""แผน!EY19"")"),820)</f>
        <v>820</v>
      </c>
      <c r="J371" s="708">
        <f ca="1">IFERROR(__xludf.DUMMYFUNCTION("IMPORTRANGE(""https://docs.google.com/spreadsheets/d/1tdoBKaGub7dwA3U6UFTqxio9LNnvDCQjHKmttSEBsFQ/edit?usp=sharing"",""จัดที่ดิน!AF19"")"),911)</f>
        <v>911</v>
      </c>
      <c r="K371" s="568">
        <f t="shared" ca="1" si="242"/>
        <v>111.09756097560975</v>
      </c>
      <c r="L371" s="693"/>
      <c r="M371" s="684"/>
      <c r="N371" s="684"/>
      <c r="O371" s="684"/>
      <c r="P371" s="684"/>
      <c r="Q371" s="684"/>
      <c r="R371" s="684"/>
      <c r="S371" s="684"/>
      <c r="T371" s="684"/>
      <c r="U371" s="684"/>
    </row>
    <row r="372" spans="1:21" ht="18.75" x14ac:dyDescent="0.25">
      <c r="A372" s="687"/>
      <c r="B372" s="695"/>
      <c r="C372" s="688"/>
      <c r="D372" s="695"/>
      <c r="E372" s="695"/>
      <c r="F372" s="695"/>
      <c r="G372" s="692"/>
      <c r="H372" s="700" t="s">
        <v>46</v>
      </c>
      <c r="I372" s="708">
        <v>0</v>
      </c>
      <c r="J372" s="943">
        <f ca="1">IFERROR(__xludf.DUMMYFUNCTION("IMPORTRANGE(""https://docs.google.com/spreadsheets/d/1tdoBKaGub7dwA3U6UFTqxio9LNnvDCQjHKmttSEBsFQ/edit?usp=sharing"",""จัดที่ดิน!AG19"")"),6001.25)</f>
        <v>6001.25</v>
      </c>
      <c r="K372" s="568">
        <f t="shared" si="242"/>
        <v>0</v>
      </c>
      <c r="L372" s="693"/>
      <c r="M372" s="684"/>
      <c r="N372" s="684"/>
      <c r="O372" s="684"/>
      <c r="P372" s="684"/>
      <c r="Q372" s="684"/>
      <c r="R372" s="684"/>
      <c r="S372" s="684"/>
      <c r="T372" s="684"/>
      <c r="U372" s="684"/>
    </row>
    <row r="373" spans="1:21" ht="16.5" x14ac:dyDescent="0.25">
      <c r="A373" s="514"/>
      <c r="B373" s="513"/>
      <c r="C373" s="514"/>
      <c r="D373" s="9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513"/>
      <c r="F373" s="513"/>
      <c r="G373" s="577"/>
      <c r="H373" s="577"/>
      <c r="I373" s="579"/>
      <c r="J373" s="579"/>
      <c r="K373" s="580"/>
      <c r="L373" s="581"/>
      <c r="M373" s="580"/>
      <c r="N373" s="580"/>
      <c r="O373" s="580"/>
      <c r="P373" s="580"/>
      <c r="Q373" s="580"/>
      <c r="R373" s="580"/>
      <c r="S373" s="580"/>
      <c r="T373" s="580"/>
      <c r="U373" s="580"/>
    </row>
    <row r="374" spans="1:21" ht="19.5" x14ac:dyDescent="0.3">
      <c r="A374" s="946"/>
      <c r="B374" s="947" t="s">
        <v>153</v>
      </c>
      <c r="C374" s="948"/>
      <c r="D374" s="949"/>
      <c r="E374" s="950"/>
      <c r="F374" s="950"/>
      <c r="G374" s="951"/>
      <c r="H374" s="952" t="s">
        <v>46</v>
      </c>
      <c r="I374" s="953">
        <f t="shared" ref="I374:J374" ca="1" si="243">I386+I388</f>
        <v>1000</v>
      </c>
      <c r="J374" s="953">
        <f t="shared" ca="1" si="243"/>
        <v>0</v>
      </c>
      <c r="K374" s="954">
        <f ca="1">IF(I374&gt;0,J374*100/I374,0)</f>
        <v>0</v>
      </c>
      <c r="L374" s="916"/>
      <c r="M374" s="917"/>
      <c r="N374" s="917"/>
      <c r="O374" s="917"/>
      <c r="P374" s="917"/>
      <c r="Q374" s="917"/>
      <c r="R374" s="917"/>
      <c r="S374" s="917"/>
      <c r="T374" s="917"/>
      <c r="U374" s="917"/>
    </row>
    <row r="375" spans="1:21" ht="19.5" x14ac:dyDescent="0.3">
      <c r="A375" s="674"/>
      <c r="B375" s="718"/>
      <c r="C375" s="719" t="s">
        <v>18</v>
      </c>
      <c r="D375" s="955" t="s">
        <v>19</v>
      </c>
      <c r="E375" s="561"/>
      <c r="F375" s="561"/>
      <c r="G375" s="563"/>
      <c r="H375" s="677" t="s">
        <v>14</v>
      </c>
      <c r="I375" s="565"/>
      <c r="J375" s="565"/>
      <c r="K375" s="566"/>
      <c r="L375" s="678">
        <f t="shared" ref="L375:N375" ca="1" si="244">L376+L377</f>
        <v>0</v>
      </c>
      <c r="M375" s="679">
        <f t="shared" ca="1" si="244"/>
        <v>0</v>
      </c>
      <c r="N375" s="679">
        <f t="shared" ca="1" si="244"/>
        <v>0</v>
      </c>
      <c r="O375" s="679">
        <f t="shared" ref="O375:O383" ca="1" si="245">IF(L375&gt;0,N375*100/L375,0)</f>
        <v>0</v>
      </c>
      <c r="P375" s="679">
        <f t="shared" ref="P375:P383" ca="1" si="246">IF(M375&gt;0,N375*100/M375,0)</f>
        <v>0</v>
      </c>
      <c r="Q375" s="679">
        <f t="shared" ref="Q375:S375" ca="1" si="247">Q376+Q377</f>
        <v>62500</v>
      </c>
      <c r="R375" s="679">
        <f t="shared" ca="1" si="247"/>
        <v>62500</v>
      </c>
      <c r="S375" s="679">
        <f t="shared" ca="1" si="247"/>
        <v>0</v>
      </c>
      <c r="T375" s="679">
        <f t="shared" ref="T375:T383" ca="1" si="248">IF(Q375&gt;0,S375*100/Q375,0)</f>
        <v>0</v>
      </c>
      <c r="U375" s="679">
        <f t="shared" ref="U375:U383" ca="1" si="249">IF(R375&gt;0,S375*100/R375,0)</f>
        <v>0</v>
      </c>
    </row>
    <row r="376" spans="1:21" ht="18.75" x14ac:dyDescent="0.25">
      <c r="A376" s="674"/>
      <c r="B376" s="718"/>
      <c r="C376" s="718"/>
      <c r="D376" s="718"/>
      <c r="E376" s="569" t="s">
        <v>20</v>
      </c>
      <c r="F376" s="561"/>
      <c r="G376" s="563"/>
      <c r="H376" s="680" t="s">
        <v>14</v>
      </c>
      <c r="I376" s="565"/>
      <c r="J376" s="565"/>
      <c r="K376" s="566"/>
      <c r="L376" s="571">
        <f t="shared" ref="L376:N377" si="250">L379+L382</f>
        <v>0</v>
      </c>
      <c r="M376" s="572">
        <f t="shared" si="250"/>
        <v>0</v>
      </c>
      <c r="N376" s="572">
        <f t="shared" si="250"/>
        <v>0</v>
      </c>
      <c r="O376" s="572">
        <f t="shared" si="245"/>
        <v>0</v>
      </c>
      <c r="P376" s="572">
        <f t="shared" si="246"/>
        <v>0</v>
      </c>
      <c r="Q376" s="572">
        <f t="shared" ref="Q376:S377" si="251">Q379+Q382</f>
        <v>0</v>
      </c>
      <c r="R376" s="572">
        <f t="shared" si="251"/>
        <v>0</v>
      </c>
      <c r="S376" s="572">
        <f t="shared" si="251"/>
        <v>0</v>
      </c>
      <c r="T376" s="572">
        <f t="shared" si="248"/>
        <v>0</v>
      </c>
      <c r="U376" s="572">
        <f t="shared" si="249"/>
        <v>0</v>
      </c>
    </row>
    <row r="377" spans="1:21" ht="18.75" x14ac:dyDescent="0.25">
      <c r="A377" s="674"/>
      <c r="B377" s="718"/>
      <c r="C377" s="718"/>
      <c r="D377" s="718"/>
      <c r="E377" s="573" t="s">
        <v>21</v>
      </c>
      <c r="F377" s="561"/>
      <c r="G377" s="563"/>
      <c r="H377" s="681" t="s">
        <v>14</v>
      </c>
      <c r="I377" s="565"/>
      <c r="J377" s="565"/>
      <c r="K377" s="566"/>
      <c r="L377" s="567">
        <f t="shared" ca="1" si="250"/>
        <v>0</v>
      </c>
      <c r="M377" s="568">
        <f t="shared" ca="1" si="250"/>
        <v>0</v>
      </c>
      <c r="N377" s="568">
        <f t="shared" ca="1" si="250"/>
        <v>0</v>
      </c>
      <c r="O377" s="568">
        <f t="shared" ca="1" si="245"/>
        <v>0</v>
      </c>
      <c r="P377" s="568">
        <f t="shared" ca="1" si="246"/>
        <v>0</v>
      </c>
      <c r="Q377" s="568">
        <f t="shared" ca="1" si="251"/>
        <v>62500</v>
      </c>
      <c r="R377" s="568">
        <f t="shared" ca="1" si="251"/>
        <v>62500</v>
      </c>
      <c r="S377" s="568">
        <f t="shared" ca="1" si="251"/>
        <v>0</v>
      </c>
      <c r="T377" s="568">
        <f t="shared" ca="1" si="248"/>
        <v>0</v>
      </c>
      <c r="U377" s="568">
        <f t="shared" ca="1" si="249"/>
        <v>0</v>
      </c>
    </row>
    <row r="378" spans="1:21" ht="18.75" x14ac:dyDescent="0.25">
      <c r="A378" s="674"/>
      <c r="B378" s="718"/>
      <c r="C378" s="718"/>
      <c r="D378" s="721" t="s">
        <v>22</v>
      </c>
      <c r="E378" s="561"/>
      <c r="F378" s="561"/>
      <c r="G378" s="563"/>
      <c r="H378" s="682" t="s">
        <v>14</v>
      </c>
      <c r="I378" s="683"/>
      <c r="J378" s="683"/>
      <c r="K378" s="684"/>
      <c r="L378" s="567">
        <f t="shared" ref="L378:N378" ca="1" si="252">L379+L380</f>
        <v>0</v>
      </c>
      <c r="M378" s="568">
        <f t="shared" ca="1" si="252"/>
        <v>0</v>
      </c>
      <c r="N378" s="568">
        <f t="shared" ca="1" si="252"/>
        <v>0</v>
      </c>
      <c r="O378" s="568">
        <f t="shared" ca="1" si="245"/>
        <v>0</v>
      </c>
      <c r="P378" s="568">
        <f t="shared" ca="1" si="246"/>
        <v>0</v>
      </c>
      <c r="Q378" s="568">
        <f t="shared" ref="Q378:S378" ca="1" si="253">Q379+Q380</f>
        <v>62500</v>
      </c>
      <c r="R378" s="568">
        <f t="shared" ca="1" si="253"/>
        <v>62500</v>
      </c>
      <c r="S378" s="568">
        <f t="shared" ca="1" si="253"/>
        <v>0</v>
      </c>
      <c r="T378" s="568">
        <f t="shared" ca="1" si="248"/>
        <v>0</v>
      </c>
      <c r="U378" s="568">
        <f t="shared" ca="1" si="249"/>
        <v>0</v>
      </c>
    </row>
    <row r="379" spans="1:21" ht="18.75" x14ac:dyDescent="0.25">
      <c r="A379" s="674"/>
      <c r="B379" s="718"/>
      <c r="C379" s="718"/>
      <c r="D379" s="718"/>
      <c r="E379" s="569" t="s">
        <v>36</v>
      </c>
      <c r="F379" s="561"/>
      <c r="G379" s="563"/>
      <c r="H379" s="685" t="s">
        <v>14</v>
      </c>
      <c r="I379" s="683"/>
      <c r="J379" s="683"/>
      <c r="K379" s="684"/>
      <c r="L379" s="571">
        <v>0</v>
      </c>
      <c r="M379" s="572">
        <v>0</v>
      </c>
      <c r="N379" s="572">
        <v>0</v>
      </c>
      <c r="O379" s="572">
        <f t="shared" si="245"/>
        <v>0</v>
      </c>
      <c r="P379" s="572">
        <f t="shared" si="246"/>
        <v>0</v>
      </c>
      <c r="Q379" s="572">
        <v>0</v>
      </c>
      <c r="R379" s="572">
        <v>0</v>
      </c>
      <c r="S379" s="572">
        <v>0</v>
      </c>
      <c r="T379" s="572">
        <f t="shared" si="248"/>
        <v>0</v>
      </c>
      <c r="U379" s="572">
        <f t="shared" si="249"/>
        <v>0</v>
      </c>
    </row>
    <row r="380" spans="1:21" ht="18.75" x14ac:dyDescent="0.25">
      <c r="A380" s="674"/>
      <c r="B380" s="718"/>
      <c r="C380" s="718"/>
      <c r="D380" s="718"/>
      <c r="E380" s="765" t="s">
        <v>37</v>
      </c>
      <c r="F380" s="718"/>
      <c r="G380" s="727"/>
      <c r="H380" s="682" t="s">
        <v>14</v>
      </c>
      <c r="I380" s="683"/>
      <c r="J380" s="683"/>
      <c r="K380" s="684"/>
      <c r="L380" s="567">
        <f ca="1">IFERROR(__xludf.DUMMYFUNCTION("IMPORTRANGE(""https://docs.google.com/spreadsheets/d/1-uDff_7J0KD5mKrp0Vvzr7lt3OU09vwQwhkpOPPYv2Y/edit?usp=sharing"",""งบพรบ!IE19"")"),0)</f>
        <v>0</v>
      </c>
      <c r="M380" s="568">
        <f ca="1">IFERROR(__xludf.DUMMYFUNCTION("IMPORTRANGE(""https://docs.google.com/spreadsheets/d/1-uDff_7J0KD5mKrp0Vvzr7lt3OU09vwQwhkpOPPYv2Y/edit?usp=sharing"",""งบพรบ!IJ19"")"),0)</f>
        <v>0</v>
      </c>
      <c r="N380" s="568">
        <f ca="1">IFERROR(__xludf.DUMMYFUNCTION("IMPORTRANGE(""https://docs.google.com/spreadsheets/d/1-uDff_7J0KD5mKrp0Vvzr7lt3OU09vwQwhkpOPPYv2Y/edit?usp=sharing"",""งบพรบ!IL19"")"),0)</f>
        <v>0</v>
      </c>
      <c r="O380" s="568">
        <f t="shared" ca="1" si="245"/>
        <v>0</v>
      </c>
      <c r="P380" s="568">
        <f t="shared" ca="1" si="246"/>
        <v>0</v>
      </c>
      <c r="Q380" s="568">
        <f ca="1">IFERROR(__xludf.DUMMYFUNCTION("IMPORTRANGE(""https://docs.google.com/spreadsheets/d/1ItG2mGa2ceCfYo0BwxsXqNm01IGEUdYcSSLTEv9YCik/edit?usp=sharing"",""เบิกจ่ายกองทุน!BW19"")"),62500)</f>
        <v>62500</v>
      </c>
      <c r="R380" s="568">
        <f ca="1">IFERROR(__xludf.DUMMYFUNCTION("IMPORTRANGE(""https://docs.google.com/spreadsheets/d/1ItG2mGa2ceCfYo0BwxsXqNm01IGEUdYcSSLTEv9YCik/edit?usp=sharing"",""เบิกจ่ายกองทุน!BX19"")"),62500)</f>
        <v>62500</v>
      </c>
      <c r="S380" s="568">
        <f ca="1">IFERROR(__xludf.DUMMYFUNCTION("IMPORTRANGE(""https://docs.google.com/spreadsheets/d/1ItG2mGa2ceCfYo0BwxsXqNm01IGEUdYcSSLTEv9YCik/edit?usp=sharing"",""เบิกจ่ายกองทุน!BY19"")"),0)</f>
        <v>0</v>
      </c>
      <c r="T380" s="568">
        <f t="shared" ca="1" si="248"/>
        <v>0</v>
      </c>
      <c r="U380" s="568">
        <f t="shared" ca="1" si="249"/>
        <v>0</v>
      </c>
    </row>
    <row r="381" spans="1:21" ht="18.75" x14ac:dyDescent="0.25">
      <c r="A381" s="674"/>
      <c r="B381" s="718"/>
      <c r="C381" s="718"/>
      <c r="D381" s="721" t="s">
        <v>23</v>
      </c>
      <c r="E381" s="561"/>
      <c r="F381" s="561"/>
      <c r="G381" s="563"/>
      <c r="H381" s="686" t="s">
        <v>14</v>
      </c>
      <c r="I381" s="683"/>
      <c r="J381" s="683"/>
      <c r="K381" s="684"/>
      <c r="L381" s="567">
        <f t="shared" ref="L381:N381" ca="1" si="254">L382+L383</f>
        <v>0</v>
      </c>
      <c r="M381" s="568">
        <f t="shared" ca="1" si="254"/>
        <v>0</v>
      </c>
      <c r="N381" s="568">
        <f t="shared" ca="1" si="254"/>
        <v>0</v>
      </c>
      <c r="O381" s="568">
        <f t="shared" ca="1" si="245"/>
        <v>0</v>
      </c>
      <c r="P381" s="568">
        <f t="shared" ca="1" si="246"/>
        <v>0</v>
      </c>
      <c r="Q381" s="568">
        <f t="shared" ref="Q381:S381" si="255">Q382+Q383</f>
        <v>0</v>
      </c>
      <c r="R381" s="568">
        <f t="shared" si="255"/>
        <v>0</v>
      </c>
      <c r="S381" s="568">
        <f t="shared" si="255"/>
        <v>0</v>
      </c>
      <c r="T381" s="568">
        <f t="shared" si="248"/>
        <v>0</v>
      </c>
      <c r="U381" s="568">
        <f t="shared" si="249"/>
        <v>0</v>
      </c>
    </row>
    <row r="382" spans="1:21" ht="18.75" x14ac:dyDescent="0.25">
      <c r="A382" s="674"/>
      <c r="B382" s="718"/>
      <c r="C382" s="718"/>
      <c r="D382" s="718"/>
      <c r="E382" s="569" t="s">
        <v>20</v>
      </c>
      <c r="F382" s="561"/>
      <c r="G382" s="563"/>
      <c r="H382" s="685" t="s">
        <v>14</v>
      </c>
      <c r="I382" s="683"/>
      <c r="J382" s="683"/>
      <c r="K382" s="684"/>
      <c r="L382" s="571">
        <v>0</v>
      </c>
      <c r="M382" s="572">
        <v>0</v>
      </c>
      <c r="N382" s="572">
        <v>0</v>
      </c>
      <c r="O382" s="572">
        <f t="shared" si="245"/>
        <v>0</v>
      </c>
      <c r="P382" s="572">
        <f t="shared" si="246"/>
        <v>0</v>
      </c>
      <c r="Q382" s="572">
        <v>0</v>
      </c>
      <c r="R382" s="572">
        <v>0</v>
      </c>
      <c r="S382" s="572">
        <v>0</v>
      </c>
      <c r="T382" s="572">
        <f t="shared" si="248"/>
        <v>0</v>
      </c>
      <c r="U382" s="572">
        <f t="shared" si="249"/>
        <v>0</v>
      </c>
    </row>
    <row r="383" spans="1:21" ht="18.75" x14ac:dyDescent="0.25">
      <c r="A383" s="674"/>
      <c r="B383" s="718"/>
      <c r="C383" s="718"/>
      <c r="D383" s="718"/>
      <c r="E383" s="573" t="s">
        <v>21</v>
      </c>
      <c r="F383" s="561"/>
      <c r="G383" s="563"/>
      <c r="H383" s="686" t="s">
        <v>14</v>
      </c>
      <c r="I383" s="683"/>
      <c r="J383" s="683"/>
      <c r="K383" s="684"/>
      <c r="L383" s="567">
        <f ca="1">IFERROR(__xludf.DUMMYFUNCTION("IMPORTRANGE(""https://docs.google.com/spreadsheets/d/1-uDff_7J0KD5mKrp0Vvzr7lt3OU09vwQwhkpOPPYv2Y/edit?usp=sharing"",""งบพรบ!IH19"")"),0)</f>
        <v>0</v>
      </c>
      <c r="M383" s="568">
        <f ca="1">IFERROR(__xludf.DUMMYFUNCTION("IMPORTRANGE(""https://docs.google.com/spreadsheets/d/1-uDff_7J0KD5mKrp0Vvzr7lt3OU09vwQwhkpOPPYv2Y/edit?usp=sharing"",""งบพรบ!IK19"")"),0)</f>
        <v>0</v>
      </c>
      <c r="N383" s="568">
        <f ca="1">IFERROR(__xludf.DUMMYFUNCTION("IMPORTRANGE(""https://docs.google.com/spreadsheets/d/1-uDff_7J0KD5mKrp0Vvzr7lt3OU09vwQwhkpOPPYv2Y/edit?usp=sharing"",""งบพรบ!IM19"")"),0)</f>
        <v>0</v>
      </c>
      <c r="O383" s="568">
        <f t="shared" ca="1" si="245"/>
        <v>0</v>
      </c>
      <c r="P383" s="568">
        <f t="shared" ca="1" si="246"/>
        <v>0</v>
      </c>
      <c r="Q383" s="568">
        <v>0</v>
      </c>
      <c r="R383" s="568">
        <v>0</v>
      </c>
      <c r="S383" s="568">
        <v>0</v>
      </c>
      <c r="T383" s="568">
        <f t="shared" si="248"/>
        <v>0</v>
      </c>
      <c r="U383" s="568">
        <f t="shared" si="249"/>
        <v>0</v>
      </c>
    </row>
    <row r="384" spans="1:21" ht="19.5" x14ac:dyDescent="0.3">
      <c r="A384" s="687"/>
      <c r="B384" s="688"/>
      <c r="C384" s="719" t="s">
        <v>18</v>
      </c>
      <c r="D384" s="956" t="s">
        <v>38</v>
      </c>
      <c r="E384" s="690"/>
      <c r="F384" s="690"/>
      <c r="G384" s="691"/>
      <c r="H384" s="725"/>
      <c r="I384" s="683"/>
      <c r="J384" s="565"/>
      <c r="K384" s="566"/>
      <c r="L384" s="574"/>
      <c r="M384" s="566"/>
      <c r="N384" s="566"/>
      <c r="O384" s="684"/>
      <c r="P384" s="684"/>
      <c r="Q384" s="566"/>
      <c r="R384" s="566"/>
      <c r="S384" s="566"/>
      <c r="T384" s="684"/>
      <c r="U384" s="684"/>
    </row>
    <row r="385" spans="1:21" ht="18.75" x14ac:dyDescent="0.25">
      <c r="A385" s="764"/>
      <c r="B385" s="718"/>
      <c r="C385" s="718"/>
      <c r="D385" s="718"/>
      <c r="E385" s="573" t="s">
        <v>154</v>
      </c>
      <c r="F385" s="561"/>
      <c r="G385" s="563"/>
      <c r="H385" s="681" t="s">
        <v>34</v>
      </c>
      <c r="I385" s="708">
        <v>0</v>
      </c>
      <c r="J385" s="708">
        <f ca="1">IFERROR(__xludf.DUMMYFUNCTION("IMPORTRANGE(""https://docs.google.com/spreadsheets/d/1w5rwWK1o49a35cNtocGL0gxDwhFSTZUQu90BiH9_zqM/edit?usp=sharing"",""RTK!H19"")"),0)</f>
        <v>0</v>
      </c>
      <c r="K385" s="568">
        <f t="shared" ref="K385:K388" si="256">IF(I385&gt;0,J385*100/I385,0)</f>
        <v>0</v>
      </c>
      <c r="L385" s="574"/>
      <c r="M385" s="566"/>
      <c r="N385" s="566"/>
      <c r="O385" s="566"/>
      <c r="P385" s="566"/>
      <c r="Q385" s="566"/>
      <c r="R385" s="566"/>
      <c r="S385" s="566"/>
      <c r="T385" s="566"/>
      <c r="U385" s="566"/>
    </row>
    <row r="386" spans="1:21" ht="18.75" x14ac:dyDescent="0.25">
      <c r="A386" s="718"/>
      <c r="B386" s="718"/>
      <c r="C386" s="718"/>
      <c r="D386" s="718"/>
      <c r="E386" s="718"/>
      <c r="F386" s="718"/>
      <c r="G386" s="727"/>
      <c r="H386" s="681" t="s">
        <v>46</v>
      </c>
      <c r="I386" s="708">
        <f ca="1">IFERROR(__xludf.DUMMYFUNCTION("IMPORTRANGE(""https://docs.google.com/spreadsheets/d/1w5rwWK1o49a35cNtocGL0gxDwhFSTZUQu90BiH9_zqM/edit?usp=sharing"",""RTK!G19"")"),1000)</f>
        <v>1000</v>
      </c>
      <c r="J386" s="708">
        <f ca="1">IFERROR(__xludf.DUMMYFUNCTION("IMPORTRANGE(""https://docs.google.com/spreadsheets/d/1w5rwWK1o49a35cNtocGL0gxDwhFSTZUQu90BiH9_zqM/edit?usp=sharing"",""RTK!I19"")"),0)</f>
        <v>0</v>
      </c>
      <c r="K386" s="568">
        <f t="shared" ca="1" si="256"/>
        <v>0</v>
      </c>
      <c r="L386" s="574"/>
      <c r="M386" s="566"/>
      <c r="N386" s="566"/>
      <c r="O386" s="566"/>
      <c r="P386" s="566"/>
      <c r="Q386" s="566"/>
      <c r="R386" s="566"/>
      <c r="S386" s="566"/>
      <c r="T386" s="566"/>
      <c r="U386" s="566"/>
    </row>
    <row r="387" spans="1:21" ht="18.75" x14ac:dyDescent="0.25">
      <c r="A387" s="957"/>
      <c r="B387" s="957"/>
      <c r="C387" s="957"/>
      <c r="D387" s="957"/>
      <c r="E387" s="958" t="s">
        <v>155</v>
      </c>
      <c r="F387" s="957"/>
      <c r="G387" s="959"/>
      <c r="H387" s="839" t="s">
        <v>34</v>
      </c>
      <c r="I387" s="960">
        <v>0</v>
      </c>
      <c r="J387" s="960">
        <f ca="1">IFERROR(__xludf.DUMMYFUNCTION("IMPORTRANGE(""https://docs.google.com/spreadsheets/d/1w5rwWK1o49a35cNtocGL0gxDwhFSTZUQu90BiH9_zqM/edit?usp=sharing"",""RTK!L19"")"),0)</f>
        <v>0</v>
      </c>
      <c r="K387" s="841">
        <f t="shared" si="256"/>
        <v>0</v>
      </c>
      <c r="L387" s="574"/>
      <c r="M387" s="566"/>
      <c r="N387" s="566"/>
      <c r="O387" s="566"/>
      <c r="P387" s="566"/>
      <c r="Q387" s="566"/>
      <c r="R387" s="566"/>
      <c r="S387" s="566"/>
      <c r="T387" s="566"/>
      <c r="U387" s="566"/>
    </row>
    <row r="388" spans="1:21" ht="18.75" x14ac:dyDescent="0.25">
      <c r="A388" s="957"/>
      <c r="B388" s="957"/>
      <c r="C388" s="957"/>
      <c r="D388" s="957"/>
      <c r="E388" s="957"/>
      <c r="F388" s="957"/>
      <c r="G388" s="959"/>
      <c r="H388" s="839" t="s">
        <v>46</v>
      </c>
      <c r="I388" s="960">
        <f ca="1">IFERROR(__xludf.DUMMYFUNCTION("IMPORTRANGE(""https://docs.google.com/spreadsheets/d/1w5rwWK1o49a35cNtocGL0gxDwhFSTZUQu90BiH9_zqM/edit?usp=sharing"",""RTK!K19"")"),0)</f>
        <v>0</v>
      </c>
      <c r="J388" s="960">
        <f ca="1">IFERROR(__xludf.DUMMYFUNCTION("IMPORTRANGE(""https://docs.google.com/spreadsheets/d/1w5rwWK1o49a35cNtocGL0gxDwhFSTZUQu90BiH9_zqM/edit?usp=sharing"",""RTK!M19"")"),0)</f>
        <v>0</v>
      </c>
      <c r="K388" s="841">
        <f t="shared" ca="1" si="256"/>
        <v>0</v>
      </c>
      <c r="L388" s="574"/>
      <c r="M388" s="566"/>
      <c r="N388" s="566"/>
      <c r="O388" s="566"/>
      <c r="P388" s="566"/>
      <c r="Q388" s="566"/>
      <c r="R388" s="566"/>
      <c r="S388" s="566"/>
      <c r="T388" s="566"/>
      <c r="U388" s="566"/>
    </row>
    <row r="389" spans="1:21" ht="12.75" hidden="1" x14ac:dyDescent="0.2">
      <c r="A389" s="961"/>
      <c r="B389" s="961"/>
      <c r="C389" s="961"/>
      <c r="D389" s="961"/>
      <c r="E389" s="961"/>
      <c r="F389" s="961"/>
      <c r="G389" s="962"/>
      <c r="H389" s="962"/>
      <c r="I389" s="963"/>
      <c r="J389" s="963"/>
      <c r="K389" s="964"/>
      <c r="L389" s="965"/>
      <c r="M389" s="964"/>
      <c r="N389" s="964"/>
      <c r="O389" s="964"/>
      <c r="P389" s="964"/>
      <c r="Q389" s="964"/>
      <c r="R389" s="964"/>
      <c r="S389" s="964"/>
      <c r="T389" s="964"/>
      <c r="U389" s="964"/>
    </row>
    <row r="390" spans="1:21" ht="12.75" hidden="1" x14ac:dyDescent="0.2">
      <c r="A390" s="966"/>
      <c r="B390" s="966"/>
      <c r="C390" s="966"/>
      <c r="D390" s="966"/>
      <c r="E390" s="966"/>
      <c r="F390" s="966"/>
      <c r="G390" s="967"/>
      <c r="H390" s="967"/>
      <c r="I390" s="968"/>
      <c r="J390" s="968"/>
      <c r="K390" s="969"/>
      <c r="L390" s="970"/>
      <c r="M390" s="969"/>
      <c r="N390" s="969"/>
      <c r="O390" s="969"/>
      <c r="P390" s="969"/>
      <c r="Q390" s="969"/>
      <c r="R390" s="969"/>
      <c r="S390" s="969"/>
      <c r="T390" s="969"/>
      <c r="U390" s="969"/>
    </row>
    <row r="391" spans="1:21" ht="19.5" hidden="1" x14ac:dyDescent="0.3">
      <c r="A391" s="926"/>
      <c r="B391" s="971" t="s">
        <v>156</v>
      </c>
      <c r="C391" s="927"/>
      <c r="D391" s="928"/>
      <c r="E391" s="911"/>
      <c r="F391" s="911"/>
      <c r="G391" s="912"/>
      <c r="H391" s="972" t="s">
        <v>61</v>
      </c>
      <c r="I391" s="942">
        <f t="shared" ref="I391:J391" si="257">I402</f>
        <v>0</v>
      </c>
      <c r="J391" s="942">
        <f t="shared" si="257"/>
        <v>0</v>
      </c>
      <c r="K391" s="915">
        <f>IF(I391&gt;0,J391*100/I391,0)</f>
        <v>0</v>
      </c>
      <c r="L391" s="916"/>
      <c r="M391" s="917"/>
      <c r="N391" s="917"/>
      <c r="O391" s="917"/>
      <c r="P391" s="917"/>
      <c r="Q391" s="917"/>
      <c r="R391" s="917"/>
      <c r="S391" s="917"/>
      <c r="T391" s="917"/>
      <c r="U391" s="917"/>
    </row>
    <row r="392" spans="1:21" ht="19.5" hidden="1" x14ac:dyDescent="0.3">
      <c r="A392" s="674"/>
      <c r="B392" s="718"/>
      <c r="C392" s="719" t="s">
        <v>18</v>
      </c>
      <c r="D392" s="955" t="s">
        <v>19</v>
      </c>
      <c r="E392" s="561"/>
      <c r="F392" s="561"/>
      <c r="G392" s="563"/>
      <c r="H392" s="677" t="s">
        <v>14</v>
      </c>
      <c r="I392" s="565"/>
      <c r="J392" s="565"/>
      <c r="K392" s="566"/>
      <c r="L392" s="678">
        <f t="shared" ref="L392:N392" si="258">L393+L394</f>
        <v>0</v>
      </c>
      <c r="M392" s="679">
        <f t="shared" si="258"/>
        <v>0</v>
      </c>
      <c r="N392" s="679">
        <f t="shared" si="258"/>
        <v>0</v>
      </c>
      <c r="O392" s="679">
        <f t="shared" ref="O392:O400" si="259">IF(L392&gt;0,N392*100/L392,0)</f>
        <v>0</v>
      </c>
      <c r="P392" s="679">
        <f t="shared" ref="P392:P400" si="260">IF(M392&gt;0,N392*100/M392,0)</f>
        <v>0</v>
      </c>
      <c r="Q392" s="679">
        <f t="shared" ref="Q392:S392" ca="1" si="261">Q393+Q394</f>
        <v>0</v>
      </c>
      <c r="R392" s="679">
        <f t="shared" ca="1" si="261"/>
        <v>0</v>
      </c>
      <c r="S392" s="679">
        <f t="shared" ca="1" si="261"/>
        <v>0</v>
      </c>
      <c r="T392" s="679">
        <f t="shared" ref="T392:T400" ca="1" si="262">IF(Q392&gt;0,S392*100/Q392,0)</f>
        <v>0</v>
      </c>
      <c r="U392" s="679">
        <f t="shared" ref="U392:U400" ca="1" si="263">IF(R392&gt;0,S392*100/R392,0)</f>
        <v>0</v>
      </c>
    </row>
    <row r="393" spans="1:21" ht="18.75" hidden="1" x14ac:dyDescent="0.25">
      <c r="A393" s="674"/>
      <c r="B393" s="718"/>
      <c r="C393" s="718"/>
      <c r="D393" s="718"/>
      <c r="E393" s="569" t="s">
        <v>20</v>
      </c>
      <c r="F393" s="561"/>
      <c r="G393" s="563"/>
      <c r="H393" s="680" t="s">
        <v>14</v>
      </c>
      <c r="I393" s="565"/>
      <c r="J393" s="565"/>
      <c r="K393" s="566"/>
      <c r="L393" s="571">
        <f t="shared" ref="L393:N394" si="264">L396+L399</f>
        <v>0</v>
      </c>
      <c r="M393" s="572">
        <f t="shared" si="264"/>
        <v>0</v>
      </c>
      <c r="N393" s="572">
        <f t="shared" si="264"/>
        <v>0</v>
      </c>
      <c r="O393" s="572">
        <f t="shared" si="259"/>
        <v>0</v>
      </c>
      <c r="P393" s="572">
        <f t="shared" si="260"/>
        <v>0</v>
      </c>
      <c r="Q393" s="572">
        <f t="shared" ref="Q393:S394" si="265">Q396+Q399</f>
        <v>0</v>
      </c>
      <c r="R393" s="572">
        <f t="shared" si="265"/>
        <v>0</v>
      </c>
      <c r="S393" s="572">
        <f t="shared" si="265"/>
        <v>0</v>
      </c>
      <c r="T393" s="572">
        <f t="shared" si="262"/>
        <v>0</v>
      </c>
      <c r="U393" s="572">
        <f t="shared" si="263"/>
        <v>0</v>
      </c>
    </row>
    <row r="394" spans="1:21" ht="18.75" hidden="1" x14ac:dyDescent="0.25">
      <c r="A394" s="674"/>
      <c r="B394" s="718"/>
      <c r="C394" s="718"/>
      <c r="D394" s="718"/>
      <c r="E394" s="573" t="s">
        <v>21</v>
      </c>
      <c r="F394" s="561"/>
      <c r="G394" s="563"/>
      <c r="H394" s="681" t="s">
        <v>14</v>
      </c>
      <c r="I394" s="565"/>
      <c r="J394" s="565"/>
      <c r="K394" s="566"/>
      <c r="L394" s="567">
        <f t="shared" si="264"/>
        <v>0</v>
      </c>
      <c r="M394" s="568">
        <f t="shared" si="264"/>
        <v>0</v>
      </c>
      <c r="N394" s="568">
        <f t="shared" si="264"/>
        <v>0</v>
      </c>
      <c r="O394" s="568">
        <f t="shared" si="259"/>
        <v>0</v>
      </c>
      <c r="P394" s="568">
        <f t="shared" si="260"/>
        <v>0</v>
      </c>
      <c r="Q394" s="568">
        <f t="shared" ca="1" si="265"/>
        <v>0</v>
      </c>
      <c r="R394" s="568">
        <f t="shared" ca="1" si="265"/>
        <v>0</v>
      </c>
      <c r="S394" s="568">
        <f t="shared" ca="1" si="265"/>
        <v>0</v>
      </c>
      <c r="T394" s="568">
        <f t="shared" ca="1" si="262"/>
        <v>0</v>
      </c>
      <c r="U394" s="568">
        <f t="shared" ca="1" si="263"/>
        <v>0</v>
      </c>
    </row>
    <row r="395" spans="1:21" ht="18.75" hidden="1" x14ac:dyDescent="0.25">
      <c r="A395" s="674"/>
      <c r="B395" s="718"/>
      <c r="C395" s="718"/>
      <c r="D395" s="721" t="s">
        <v>22</v>
      </c>
      <c r="E395" s="561"/>
      <c r="F395" s="561"/>
      <c r="G395" s="563"/>
      <c r="H395" s="682" t="s">
        <v>14</v>
      </c>
      <c r="I395" s="683"/>
      <c r="J395" s="683"/>
      <c r="K395" s="684"/>
      <c r="L395" s="567">
        <f t="shared" ref="L395:N395" si="266">L396+L397</f>
        <v>0</v>
      </c>
      <c r="M395" s="568">
        <f t="shared" si="266"/>
        <v>0</v>
      </c>
      <c r="N395" s="568">
        <f t="shared" si="266"/>
        <v>0</v>
      </c>
      <c r="O395" s="568">
        <f t="shared" si="259"/>
        <v>0</v>
      </c>
      <c r="P395" s="568">
        <f t="shared" si="260"/>
        <v>0</v>
      </c>
      <c r="Q395" s="568">
        <f t="shared" ref="Q395:S395" ca="1" si="267">Q396+Q397</f>
        <v>0</v>
      </c>
      <c r="R395" s="568">
        <f t="shared" ca="1" si="267"/>
        <v>0</v>
      </c>
      <c r="S395" s="568">
        <f t="shared" ca="1" si="267"/>
        <v>0</v>
      </c>
      <c r="T395" s="568">
        <f t="shared" ca="1" si="262"/>
        <v>0</v>
      </c>
      <c r="U395" s="568">
        <f t="shared" ca="1" si="263"/>
        <v>0</v>
      </c>
    </row>
    <row r="396" spans="1:21" ht="18.75" hidden="1" x14ac:dyDescent="0.25">
      <c r="A396" s="674"/>
      <c r="B396" s="718"/>
      <c r="C396" s="718"/>
      <c r="D396" s="718"/>
      <c r="E396" s="569" t="s">
        <v>36</v>
      </c>
      <c r="F396" s="561"/>
      <c r="G396" s="563"/>
      <c r="H396" s="685" t="s">
        <v>14</v>
      </c>
      <c r="I396" s="683"/>
      <c r="J396" s="683"/>
      <c r="K396" s="684"/>
      <c r="L396" s="571">
        <v>0</v>
      </c>
      <c r="M396" s="572">
        <v>0</v>
      </c>
      <c r="N396" s="572">
        <v>0</v>
      </c>
      <c r="O396" s="572">
        <f t="shared" si="259"/>
        <v>0</v>
      </c>
      <c r="P396" s="572">
        <f t="shared" si="260"/>
        <v>0</v>
      </c>
      <c r="Q396" s="572">
        <v>0</v>
      </c>
      <c r="R396" s="572">
        <v>0</v>
      </c>
      <c r="S396" s="572">
        <v>0</v>
      </c>
      <c r="T396" s="572">
        <f t="shared" si="262"/>
        <v>0</v>
      </c>
      <c r="U396" s="572">
        <f t="shared" si="263"/>
        <v>0</v>
      </c>
    </row>
    <row r="397" spans="1:21" ht="18.75" hidden="1" x14ac:dyDescent="0.25">
      <c r="A397" s="674"/>
      <c r="B397" s="718"/>
      <c r="C397" s="718"/>
      <c r="D397" s="718"/>
      <c r="E397" s="765" t="s">
        <v>37</v>
      </c>
      <c r="F397" s="718"/>
      <c r="G397" s="727"/>
      <c r="H397" s="682" t="s">
        <v>14</v>
      </c>
      <c r="I397" s="683"/>
      <c r="J397" s="683"/>
      <c r="K397" s="684"/>
      <c r="L397" s="567">
        <v>0</v>
      </c>
      <c r="M397" s="568">
        <v>0</v>
      </c>
      <c r="N397" s="568">
        <v>0</v>
      </c>
      <c r="O397" s="568">
        <f t="shared" si="259"/>
        <v>0</v>
      </c>
      <c r="P397" s="568">
        <f t="shared" si="260"/>
        <v>0</v>
      </c>
      <c r="Q397" s="568">
        <f ca="1">IFERROR(__xludf.DUMMYFUNCTION("IMPORTRANGE(""https://docs.google.com/spreadsheets/d/1ItG2mGa2ceCfYo0BwxsXqNm01IGEUdYcSSLTEv9YCik/edit?usp=sharing"",""เบิกจ่ายกองทุน!CL19"")"),0)</f>
        <v>0</v>
      </c>
      <c r="R397" s="568">
        <f ca="1">IFERROR(__xludf.DUMMYFUNCTION("IMPORTRANGE(""https://docs.google.com/spreadsheets/d/1ItG2mGa2ceCfYo0BwxsXqNm01IGEUdYcSSLTEv9YCik/edit?usp=sharing"",""เบิกจ่ายกองทุน!CM19"")"),0)</f>
        <v>0</v>
      </c>
      <c r="S397" s="568">
        <f ca="1">IFERROR(__xludf.DUMMYFUNCTION("IMPORTRANGE(""https://docs.google.com/spreadsheets/d/1ItG2mGa2ceCfYo0BwxsXqNm01IGEUdYcSSLTEv9YCik/edit?usp=sharing"",""เบิกจ่ายกองทุน!CN19"")"),0)</f>
        <v>0</v>
      </c>
      <c r="T397" s="568">
        <f t="shared" ca="1" si="262"/>
        <v>0</v>
      </c>
      <c r="U397" s="568">
        <f t="shared" ca="1" si="263"/>
        <v>0</v>
      </c>
    </row>
    <row r="398" spans="1:21" ht="18.75" hidden="1" x14ac:dyDescent="0.25">
      <c r="A398" s="674"/>
      <c r="B398" s="718"/>
      <c r="C398" s="718"/>
      <c r="D398" s="721" t="s">
        <v>23</v>
      </c>
      <c r="E398" s="561"/>
      <c r="F398" s="561"/>
      <c r="G398" s="563"/>
      <c r="H398" s="686" t="s">
        <v>14</v>
      </c>
      <c r="I398" s="683"/>
      <c r="J398" s="683"/>
      <c r="K398" s="684"/>
      <c r="L398" s="567">
        <f t="shared" ref="L398:N398" si="268">L399+L400</f>
        <v>0</v>
      </c>
      <c r="M398" s="568">
        <f t="shared" si="268"/>
        <v>0</v>
      </c>
      <c r="N398" s="568">
        <f t="shared" si="268"/>
        <v>0</v>
      </c>
      <c r="O398" s="568">
        <f t="shared" si="259"/>
        <v>0</v>
      </c>
      <c r="P398" s="568">
        <f t="shared" si="260"/>
        <v>0</v>
      </c>
      <c r="Q398" s="568">
        <f t="shared" ref="Q398:S398" si="269">Q399+Q400</f>
        <v>0</v>
      </c>
      <c r="R398" s="568">
        <f t="shared" si="269"/>
        <v>0</v>
      </c>
      <c r="S398" s="568">
        <f t="shared" si="269"/>
        <v>0</v>
      </c>
      <c r="T398" s="568">
        <f t="shared" si="262"/>
        <v>0</v>
      </c>
      <c r="U398" s="568">
        <f t="shared" si="263"/>
        <v>0</v>
      </c>
    </row>
    <row r="399" spans="1:21" ht="18.75" hidden="1" x14ac:dyDescent="0.25">
      <c r="A399" s="674"/>
      <c r="B399" s="718"/>
      <c r="C399" s="718"/>
      <c r="D399" s="718"/>
      <c r="E399" s="569" t="s">
        <v>20</v>
      </c>
      <c r="F399" s="561"/>
      <c r="G399" s="563"/>
      <c r="H399" s="685" t="s">
        <v>14</v>
      </c>
      <c r="I399" s="683"/>
      <c r="J399" s="683"/>
      <c r="K399" s="684"/>
      <c r="L399" s="571">
        <v>0</v>
      </c>
      <c r="M399" s="572">
        <v>0</v>
      </c>
      <c r="N399" s="572">
        <v>0</v>
      </c>
      <c r="O399" s="572">
        <f t="shared" si="259"/>
        <v>0</v>
      </c>
      <c r="P399" s="572">
        <f t="shared" si="260"/>
        <v>0</v>
      </c>
      <c r="Q399" s="572">
        <v>0</v>
      </c>
      <c r="R399" s="572">
        <v>0</v>
      </c>
      <c r="S399" s="572">
        <v>0</v>
      </c>
      <c r="T399" s="572">
        <f t="shared" si="262"/>
        <v>0</v>
      </c>
      <c r="U399" s="572">
        <f t="shared" si="263"/>
        <v>0</v>
      </c>
    </row>
    <row r="400" spans="1:21" ht="18.75" hidden="1" x14ac:dyDescent="0.25">
      <c r="A400" s="674"/>
      <c r="B400" s="718"/>
      <c r="C400" s="718"/>
      <c r="D400" s="718"/>
      <c r="E400" s="573" t="s">
        <v>21</v>
      </c>
      <c r="F400" s="561"/>
      <c r="G400" s="563"/>
      <c r="H400" s="686" t="s">
        <v>14</v>
      </c>
      <c r="I400" s="683"/>
      <c r="J400" s="683"/>
      <c r="K400" s="684"/>
      <c r="L400" s="567">
        <v>0</v>
      </c>
      <c r="M400" s="568">
        <v>0</v>
      </c>
      <c r="N400" s="568">
        <v>0</v>
      </c>
      <c r="O400" s="568">
        <f t="shared" si="259"/>
        <v>0</v>
      </c>
      <c r="P400" s="568">
        <f t="shared" si="260"/>
        <v>0</v>
      </c>
      <c r="Q400" s="568">
        <v>0</v>
      </c>
      <c r="R400" s="568">
        <v>0</v>
      </c>
      <c r="S400" s="568">
        <v>0</v>
      </c>
      <c r="T400" s="568">
        <f t="shared" si="262"/>
        <v>0</v>
      </c>
      <c r="U400" s="568">
        <f t="shared" si="263"/>
        <v>0</v>
      </c>
    </row>
    <row r="401" spans="1:21" ht="19.5" hidden="1" x14ac:dyDescent="0.3">
      <c r="A401" s="687"/>
      <c r="B401" s="688"/>
      <c r="C401" s="719" t="s">
        <v>18</v>
      </c>
      <c r="D401" s="956" t="s">
        <v>38</v>
      </c>
      <c r="E401" s="690"/>
      <c r="F401" s="690"/>
      <c r="G401" s="691"/>
      <c r="H401" s="725"/>
      <c r="I401" s="683"/>
      <c r="J401" s="565"/>
      <c r="K401" s="566"/>
      <c r="L401" s="574"/>
      <c r="M401" s="566"/>
      <c r="N401" s="566"/>
      <c r="O401" s="684"/>
      <c r="P401" s="684"/>
      <c r="Q401" s="566"/>
      <c r="R401" s="566"/>
      <c r="S401" s="566"/>
      <c r="T401" s="684"/>
      <c r="U401" s="684"/>
    </row>
    <row r="402" spans="1:21" ht="12.75" hidden="1" x14ac:dyDescent="0.2">
      <c r="A402" s="973"/>
      <c r="B402" s="961"/>
      <c r="C402" s="961"/>
      <c r="D402" s="961"/>
      <c r="E402" s="974"/>
      <c r="F402" s="974"/>
      <c r="G402" s="975"/>
      <c r="H402" s="962"/>
      <c r="I402" s="963"/>
      <c r="J402" s="963"/>
      <c r="K402" s="964"/>
      <c r="L402" s="965"/>
      <c r="M402" s="964"/>
      <c r="N402" s="964"/>
      <c r="O402" s="964"/>
      <c r="P402" s="964"/>
      <c r="Q402" s="964"/>
      <c r="R402" s="964"/>
      <c r="S402" s="964"/>
      <c r="T402" s="964"/>
      <c r="U402" s="964"/>
    </row>
    <row r="403" spans="1:21" ht="12.75" hidden="1" x14ac:dyDescent="0.2">
      <c r="A403" s="961"/>
      <c r="B403" s="961"/>
      <c r="C403" s="961"/>
      <c r="D403" s="961"/>
      <c r="E403" s="961"/>
      <c r="F403" s="961"/>
      <c r="G403" s="962"/>
      <c r="H403" s="962"/>
      <c r="I403" s="963"/>
      <c r="J403" s="963"/>
      <c r="K403" s="964"/>
      <c r="L403" s="965"/>
      <c r="M403" s="964"/>
      <c r="N403" s="964"/>
      <c r="O403" s="964"/>
      <c r="P403" s="964"/>
      <c r="Q403" s="964"/>
      <c r="R403" s="964"/>
      <c r="S403" s="964"/>
      <c r="T403" s="964"/>
      <c r="U403" s="964"/>
    </row>
    <row r="404" spans="1:21" ht="12.75" hidden="1" x14ac:dyDescent="0.2">
      <c r="A404" s="961"/>
      <c r="B404" s="961"/>
      <c r="C404" s="961"/>
      <c r="D404" s="961"/>
      <c r="E404" s="961"/>
      <c r="F404" s="961"/>
      <c r="G404" s="962"/>
      <c r="H404" s="962"/>
      <c r="I404" s="963"/>
      <c r="J404" s="963"/>
      <c r="K404" s="964"/>
      <c r="L404" s="965"/>
      <c r="M404" s="964"/>
      <c r="N404" s="964"/>
      <c r="O404" s="964"/>
      <c r="P404" s="964"/>
      <c r="Q404" s="964"/>
      <c r="R404" s="964"/>
      <c r="S404" s="964"/>
      <c r="T404" s="964"/>
      <c r="U404" s="964"/>
    </row>
    <row r="405" spans="1:21" ht="12.75" hidden="1" x14ac:dyDescent="0.2">
      <c r="A405" s="961"/>
      <c r="B405" s="961"/>
      <c r="C405" s="961"/>
      <c r="D405" s="961"/>
      <c r="E405" s="961"/>
      <c r="F405" s="961"/>
      <c r="G405" s="962"/>
      <c r="H405" s="962"/>
      <c r="I405" s="963"/>
      <c r="J405" s="963"/>
      <c r="K405" s="964"/>
      <c r="L405" s="965"/>
      <c r="M405" s="964"/>
      <c r="N405" s="964"/>
      <c r="O405" s="964"/>
      <c r="P405" s="964"/>
      <c r="Q405" s="964"/>
      <c r="R405" s="964"/>
      <c r="S405" s="964"/>
      <c r="T405" s="964"/>
      <c r="U405" s="964"/>
    </row>
    <row r="406" spans="1:21" ht="12.75" hidden="1" x14ac:dyDescent="0.2">
      <c r="A406" s="961"/>
      <c r="B406" s="961"/>
      <c r="C406" s="961"/>
      <c r="D406" s="961"/>
      <c r="E406" s="961"/>
      <c r="F406" s="961"/>
      <c r="G406" s="962"/>
      <c r="H406" s="962"/>
      <c r="I406" s="963"/>
      <c r="J406" s="963"/>
      <c r="K406" s="964"/>
      <c r="L406" s="965"/>
      <c r="M406" s="964"/>
      <c r="N406" s="964"/>
      <c r="O406" s="964"/>
      <c r="P406" s="964"/>
      <c r="Q406" s="964"/>
      <c r="R406" s="964"/>
      <c r="S406" s="964"/>
      <c r="T406" s="964"/>
      <c r="U406" s="964"/>
    </row>
    <row r="407" spans="1:21" ht="12.75" hidden="1" x14ac:dyDescent="0.2">
      <c r="A407" s="961"/>
      <c r="B407" s="961"/>
      <c r="C407" s="961"/>
      <c r="D407" s="961"/>
      <c r="E407" s="961"/>
      <c r="F407" s="961"/>
      <c r="G407" s="962"/>
      <c r="H407" s="962"/>
      <c r="I407" s="963"/>
      <c r="J407" s="963"/>
      <c r="K407" s="964"/>
      <c r="L407" s="965"/>
      <c r="M407" s="964"/>
      <c r="N407" s="964"/>
      <c r="O407" s="964"/>
      <c r="P407" s="964"/>
      <c r="Q407" s="964"/>
      <c r="R407" s="964"/>
      <c r="S407" s="964"/>
      <c r="T407" s="964"/>
      <c r="U407" s="964"/>
    </row>
    <row r="408" spans="1:21" ht="12.75" hidden="1" x14ac:dyDescent="0.2">
      <c r="A408" s="961"/>
      <c r="B408" s="961"/>
      <c r="C408" s="961"/>
      <c r="D408" s="961"/>
      <c r="E408" s="961"/>
      <c r="F408" s="961"/>
      <c r="G408" s="962"/>
      <c r="H408" s="962"/>
      <c r="I408" s="963"/>
      <c r="J408" s="963"/>
      <c r="K408" s="964"/>
      <c r="L408" s="965"/>
      <c r="M408" s="964"/>
      <c r="N408" s="964"/>
      <c r="O408" s="964"/>
      <c r="P408" s="964"/>
      <c r="Q408" s="964"/>
      <c r="R408" s="964"/>
      <c r="S408" s="964"/>
      <c r="T408" s="964"/>
      <c r="U408" s="964"/>
    </row>
    <row r="409" spans="1:21" ht="12.75" hidden="1" x14ac:dyDescent="0.2">
      <c r="A409" s="961"/>
      <c r="B409" s="961"/>
      <c r="C409" s="961"/>
      <c r="D409" s="961"/>
      <c r="E409" s="961"/>
      <c r="F409" s="961"/>
      <c r="G409" s="962"/>
      <c r="H409" s="962"/>
      <c r="I409" s="963"/>
      <c r="J409" s="963"/>
      <c r="K409" s="964"/>
      <c r="L409" s="965"/>
      <c r="M409" s="964"/>
      <c r="N409" s="964"/>
      <c r="O409" s="964"/>
      <c r="P409" s="964"/>
      <c r="Q409" s="964"/>
      <c r="R409" s="964"/>
      <c r="S409" s="964"/>
      <c r="T409" s="964"/>
      <c r="U409" s="964"/>
    </row>
    <row r="410" spans="1:21" ht="12.75" hidden="1" x14ac:dyDescent="0.2">
      <c r="A410" s="961"/>
      <c r="B410" s="961"/>
      <c r="C410" s="961"/>
      <c r="D410" s="961"/>
      <c r="E410" s="961"/>
      <c r="F410" s="961"/>
      <c r="G410" s="962"/>
      <c r="H410" s="962"/>
      <c r="I410" s="963"/>
      <c r="J410" s="963"/>
      <c r="K410" s="964"/>
      <c r="L410" s="965"/>
      <c r="M410" s="964"/>
      <c r="N410" s="964"/>
      <c r="O410" s="964"/>
      <c r="P410" s="964"/>
      <c r="Q410" s="964"/>
      <c r="R410" s="964"/>
      <c r="S410" s="964"/>
      <c r="T410" s="964"/>
      <c r="U410" s="964"/>
    </row>
    <row r="411" spans="1:21" ht="12.75" hidden="1" x14ac:dyDescent="0.2">
      <c r="A411" s="966"/>
      <c r="B411" s="966"/>
      <c r="C411" s="966"/>
      <c r="D411" s="966"/>
      <c r="E411" s="966"/>
      <c r="F411" s="966"/>
      <c r="G411" s="967"/>
      <c r="H411" s="967"/>
      <c r="I411" s="968"/>
      <c r="J411" s="968"/>
      <c r="K411" s="969"/>
      <c r="L411" s="970"/>
      <c r="M411" s="969"/>
      <c r="N411" s="969"/>
      <c r="O411" s="969"/>
      <c r="P411" s="969"/>
      <c r="Q411" s="969"/>
      <c r="R411" s="969"/>
      <c r="S411" s="969"/>
      <c r="T411" s="969"/>
      <c r="U411" s="969"/>
    </row>
    <row r="412" spans="1:21" ht="19.5" x14ac:dyDescent="0.3">
      <c r="A412" s="928"/>
      <c r="B412" s="971" t="s">
        <v>157</v>
      </c>
      <c r="C412" s="928"/>
      <c r="D412" s="928"/>
      <c r="E412" s="928"/>
      <c r="F412" s="928"/>
      <c r="G412" s="976"/>
      <c r="H412" s="977" t="s">
        <v>46</v>
      </c>
      <c r="I412" s="914">
        <f t="shared" ref="I412:J412" ca="1" si="270">I423</f>
        <v>0</v>
      </c>
      <c r="J412" s="914">
        <f t="shared" si="270"/>
        <v>0</v>
      </c>
      <c r="K412" s="915">
        <f ca="1">IF(I412&gt;0,J412*100/I412,0)</f>
        <v>0</v>
      </c>
      <c r="L412" s="916"/>
      <c r="M412" s="917"/>
      <c r="N412" s="917"/>
      <c r="O412" s="917"/>
      <c r="P412" s="917"/>
      <c r="Q412" s="917"/>
      <c r="R412" s="917"/>
      <c r="S412" s="917"/>
      <c r="T412" s="917"/>
      <c r="U412" s="917"/>
    </row>
    <row r="413" spans="1:21" ht="19.5" x14ac:dyDescent="0.3">
      <c r="A413" s="674"/>
      <c r="B413" s="718"/>
      <c r="C413" s="978" t="s">
        <v>18</v>
      </c>
      <c r="D413" s="1313" t="s">
        <v>19</v>
      </c>
      <c r="E413" s="1314"/>
      <c r="F413" s="1314"/>
      <c r="G413" s="1317"/>
      <c r="H413" s="979" t="s">
        <v>14</v>
      </c>
      <c r="I413" s="565"/>
      <c r="J413" s="565"/>
      <c r="K413" s="566"/>
      <c r="L413" s="678">
        <f t="shared" ref="L413:N413" ca="1" si="271">L414+L415</f>
        <v>211550</v>
      </c>
      <c r="M413" s="679">
        <f t="shared" ca="1" si="271"/>
        <v>0</v>
      </c>
      <c r="N413" s="679">
        <f t="shared" ca="1" si="271"/>
        <v>0</v>
      </c>
      <c r="O413" s="679">
        <f t="shared" ref="O413:O421" ca="1" si="272">IF(L413&gt;0,N413*100/L413,0)</f>
        <v>0</v>
      </c>
      <c r="P413" s="679">
        <f t="shared" ref="P413:P421" ca="1" si="273">IF(M413&gt;0,N413*100/M413,0)</f>
        <v>0</v>
      </c>
      <c r="Q413" s="679">
        <f t="shared" ref="Q413:S413" ca="1" si="274">Q414+Q415</f>
        <v>29160</v>
      </c>
      <c r="R413" s="679">
        <f t="shared" ca="1" si="274"/>
        <v>29160</v>
      </c>
      <c r="S413" s="679">
        <f t="shared" ca="1" si="274"/>
        <v>0</v>
      </c>
      <c r="T413" s="679">
        <f t="shared" ref="T413:T421" ca="1" si="275">IF(Q413&gt;0,S413*100/Q413,0)</f>
        <v>0</v>
      </c>
      <c r="U413" s="679">
        <f t="shared" ref="U413:U421" ca="1" si="276">IF(R413&gt;0,S413*100/R413,0)</f>
        <v>0</v>
      </c>
    </row>
    <row r="414" spans="1:21" ht="18.75" x14ac:dyDescent="0.25">
      <c r="A414" s="674"/>
      <c r="B414" s="718"/>
      <c r="C414" s="718"/>
      <c r="D414" s="718"/>
      <c r="E414" s="767" t="s">
        <v>158</v>
      </c>
      <c r="F414" s="718"/>
      <c r="G414" s="727"/>
      <c r="H414" s="723" t="s">
        <v>14</v>
      </c>
      <c r="I414" s="565"/>
      <c r="J414" s="565"/>
      <c r="K414" s="566"/>
      <c r="L414" s="571">
        <f t="shared" ref="L414:N415" si="277">L417+L420</f>
        <v>0</v>
      </c>
      <c r="M414" s="572">
        <f t="shared" si="277"/>
        <v>0</v>
      </c>
      <c r="N414" s="572">
        <f t="shared" si="277"/>
        <v>0</v>
      </c>
      <c r="O414" s="572">
        <f t="shared" si="272"/>
        <v>0</v>
      </c>
      <c r="P414" s="572">
        <f t="shared" si="273"/>
        <v>0</v>
      </c>
      <c r="Q414" s="572">
        <f t="shared" ref="Q414:S415" si="278">Q417+Q420</f>
        <v>0</v>
      </c>
      <c r="R414" s="572">
        <f t="shared" si="278"/>
        <v>0</v>
      </c>
      <c r="S414" s="572">
        <f t="shared" si="278"/>
        <v>0</v>
      </c>
      <c r="T414" s="572">
        <f t="shared" si="275"/>
        <v>0</v>
      </c>
      <c r="U414" s="572">
        <f t="shared" si="276"/>
        <v>0</v>
      </c>
    </row>
    <row r="415" spans="1:21" ht="18.75" x14ac:dyDescent="0.25">
      <c r="A415" s="674"/>
      <c r="B415" s="718"/>
      <c r="C415" s="718"/>
      <c r="D415" s="718"/>
      <c r="E415" s="765" t="s">
        <v>159</v>
      </c>
      <c r="F415" s="718"/>
      <c r="G415" s="727"/>
      <c r="H415" s="722" t="s">
        <v>14</v>
      </c>
      <c r="I415" s="565"/>
      <c r="J415" s="565"/>
      <c r="K415" s="566"/>
      <c r="L415" s="567">
        <f t="shared" ca="1" si="277"/>
        <v>211550</v>
      </c>
      <c r="M415" s="568">
        <f t="shared" ca="1" si="277"/>
        <v>0</v>
      </c>
      <c r="N415" s="568">
        <f t="shared" ca="1" si="277"/>
        <v>0</v>
      </c>
      <c r="O415" s="568">
        <f t="shared" ca="1" si="272"/>
        <v>0</v>
      </c>
      <c r="P415" s="568">
        <f t="shared" ca="1" si="273"/>
        <v>0</v>
      </c>
      <c r="Q415" s="568">
        <f t="shared" ca="1" si="278"/>
        <v>29160</v>
      </c>
      <c r="R415" s="568">
        <f t="shared" ca="1" si="278"/>
        <v>29160</v>
      </c>
      <c r="S415" s="568">
        <f t="shared" ca="1" si="278"/>
        <v>0</v>
      </c>
      <c r="T415" s="568">
        <f t="shared" ca="1" si="275"/>
        <v>0</v>
      </c>
      <c r="U415" s="568">
        <f t="shared" ca="1" si="276"/>
        <v>0</v>
      </c>
    </row>
    <row r="416" spans="1:21" ht="19.5" x14ac:dyDescent="0.3">
      <c r="A416" s="674"/>
      <c r="B416" s="718"/>
      <c r="C416" s="718"/>
      <c r="D416" s="955" t="s">
        <v>22</v>
      </c>
      <c r="E416" s="718"/>
      <c r="F416" s="718"/>
      <c r="G416" s="727"/>
      <c r="H416" s="979" t="s">
        <v>14</v>
      </c>
      <c r="I416" s="565"/>
      <c r="J416" s="565"/>
      <c r="K416" s="566"/>
      <c r="L416" s="567">
        <f t="shared" ref="L416:N416" ca="1" si="279">L417+L418</f>
        <v>211550</v>
      </c>
      <c r="M416" s="568">
        <f t="shared" ca="1" si="279"/>
        <v>0</v>
      </c>
      <c r="N416" s="568">
        <f t="shared" ca="1" si="279"/>
        <v>0</v>
      </c>
      <c r="O416" s="568">
        <f t="shared" ca="1" si="272"/>
        <v>0</v>
      </c>
      <c r="P416" s="568">
        <f t="shared" ca="1" si="273"/>
        <v>0</v>
      </c>
      <c r="Q416" s="568">
        <f t="shared" ref="Q416:S416" ca="1" si="280">Q417+Q418</f>
        <v>29160</v>
      </c>
      <c r="R416" s="568">
        <f t="shared" ca="1" si="280"/>
        <v>29160</v>
      </c>
      <c r="S416" s="568">
        <f t="shared" ca="1" si="280"/>
        <v>0</v>
      </c>
      <c r="T416" s="568">
        <f t="shared" ca="1" si="275"/>
        <v>0</v>
      </c>
      <c r="U416" s="568">
        <f t="shared" ca="1" si="276"/>
        <v>0</v>
      </c>
    </row>
    <row r="417" spans="1:21" ht="18.75" x14ac:dyDescent="0.25">
      <c r="A417" s="674"/>
      <c r="B417" s="718"/>
      <c r="C417" s="718"/>
      <c r="D417" s="718"/>
      <c r="E417" s="767" t="s">
        <v>158</v>
      </c>
      <c r="F417" s="718"/>
      <c r="G417" s="727"/>
      <c r="H417" s="723" t="s">
        <v>14</v>
      </c>
      <c r="I417" s="565"/>
      <c r="J417" s="565"/>
      <c r="K417" s="566"/>
      <c r="L417" s="571">
        <v>0</v>
      </c>
      <c r="M417" s="572">
        <v>0</v>
      </c>
      <c r="N417" s="572">
        <v>0</v>
      </c>
      <c r="O417" s="572">
        <f t="shared" si="272"/>
        <v>0</v>
      </c>
      <c r="P417" s="572">
        <f t="shared" si="273"/>
        <v>0</v>
      </c>
      <c r="Q417" s="572">
        <v>0</v>
      </c>
      <c r="R417" s="572">
        <v>0</v>
      </c>
      <c r="S417" s="572">
        <v>0</v>
      </c>
      <c r="T417" s="572">
        <f t="shared" si="275"/>
        <v>0</v>
      </c>
      <c r="U417" s="572">
        <f t="shared" si="276"/>
        <v>0</v>
      </c>
    </row>
    <row r="418" spans="1:21" ht="18.75" x14ac:dyDescent="0.25">
      <c r="A418" s="674"/>
      <c r="B418" s="718"/>
      <c r="C418" s="718"/>
      <c r="D418" s="718"/>
      <c r="E418" s="765" t="s">
        <v>159</v>
      </c>
      <c r="F418" s="718"/>
      <c r="G418" s="727"/>
      <c r="H418" s="722" t="s">
        <v>14</v>
      </c>
      <c r="I418" s="565"/>
      <c r="J418" s="565"/>
      <c r="K418" s="566"/>
      <c r="L418" s="567">
        <f ca="1">IFERROR(__xludf.DUMMYFUNCTION("IMPORTRANGE(""https://docs.google.com/spreadsheets/d/1-uDff_7J0KD5mKrp0Vvzr7lt3OU09vwQwhkpOPPYv2Y/edit?usp=sharing"",""งบพรบ!IO19"")"),211550)</f>
        <v>211550</v>
      </c>
      <c r="M418" s="568">
        <f ca="1">IFERROR(__xludf.DUMMYFUNCTION("IMPORTRANGE(""https://docs.google.com/spreadsheets/d/1-uDff_7J0KD5mKrp0Vvzr7lt3OU09vwQwhkpOPPYv2Y/edit?usp=sharing"",""งบพรบ!IT19"")"),0)</f>
        <v>0</v>
      </c>
      <c r="N418" s="568">
        <f ca="1">IFERROR(__xludf.DUMMYFUNCTION("IMPORTRANGE(""https://docs.google.com/spreadsheets/d/1-uDff_7J0KD5mKrp0Vvzr7lt3OU09vwQwhkpOPPYv2Y/edit?usp=sharing"",""งบพรบ!IV19"")"),0)</f>
        <v>0</v>
      </c>
      <c r="O418" s="568">
        <f t="shared" ca="1" si="272"/>
        <v>0</v>
      </c>
      <c r="P418" s="568">
        <f t="shared" ca="1" si="273"/>
        <v>0</v>
      </c>
      <c r="Q418" s="568">
        <f ca="1">IFERROR(__xludf.DUMMYFUNCTION("IMPORTRANGE(""https://docs.google.com/spreadsheets/d/1ItG2mGa2ceCfYo0BwxsXqNm01IGEUdYcSSLTEv9YCik/edit?usp=sharing"",""เบิกจ่ายกองทุน!BZ19"")"),29160)</f>
        <v>29160</v>
      </c>
      <c r="R418" s="568">
        <f ca="1">IFERROR(__xludf.DUMMYFUNCTION("IMPORTRANGE(""https://docs.google.com/spreadsheets/d/1ItG2mGa2ceCfYo0BwxsXqNm01IGEUdYcSSLTEv9YCik/edit?usp=sharing"",""เบิกจ่ายกองทุน!CA19"")"),29160)</f>
        <v>29160</v>
      </c>
      <c r="S418" s="568">
        <f ca="1">IFERROR(__xludf.DUMMYFUNCTION("IMPORTRANGE(""https://docs.google.com/spreadsheets/d/1ItG2mGa2ceCfYo0BwxsXqNm01IGEUdYcSSLTEv9YCik/edit?usp=sharing"",""เบิกจ่ายกองทุน!CB19"")"),0)</f>
        <v>0</v>
      </c>
      <c r="T418" s="568">
        <f t="shared" ca="1" si="275"/>
        <v>0</v>
      </c>
      <c r="U418" s="568">
        <f t="shared" ca="1" si="276"/>
        <v>0</v>
      </c>
    </row>
    <row r="419" spans="1:21" ht="19.5" x14ac:dyDescent="0.3">
      <c r="A419" s="674"/>
      <c r="B419" s="718"/>
      <c r="C419" s="718"/>
      <c r="D419" s="955" t="s">
        <v>23</v>
      </c>
      <c r="E419" s="718"/>
      <c r="F419" s="718"/>
      <c r="G419" s="727"/>
      <c r="H419" s="677" t="s">
        <v>14</v>
      </c>
      <c r="I419" s="565"/>
      <c r="J419" s="565"/>
      <c r="K419" s="566"/>
      <c r="L419" s="567">
        <f t="shared" ref="L419:N419" ca="1" si="281">L420+L421</f>
        <v>0</v>
      </c>
      <c r="M419" s="568">
        <f t="shared" ca="1" si="281"/>
        <v>0</v>
      </c>
      <c r="N419" s="568">
        <f t="shared" ca="1" si="281"/>
        <v>0</v>
      </c>
      <c r="O419" s="568">
        <f t="shared" ca="1" si="272"/>
        <v>0</v>
      </c>
      <c r="P419" s="568">
        <f t="shared" ca="1" si="273"/>
        <v>0</v>
      </c>
      <c r="Q419" s="568">
        <f t="shared" ref="Q419:S419" si="282">Q420+Q421</f>
        <v>0</v>
      </c>
      <c r="R419" s="568">
        <f t="shared" si="282"/>
        <v>0</v>
      </c>
      <c r="S419" s="568">
        <f t="shared" si="282"/>
        <v>0</v>
      </c>
      <c r="T419" s="568">
        <f t="shared" si="275"/>
        <v>0</v>
      </c>
      <c r="U419" s="568">
        <f t="shared" si="276"/>
        <v>0</v>
      </c>
    </row>
    <row r="420" spans="1:21" ht="18.75" x14ac:dyDescent="0.25">
      <c r="A420" s="674"/>
      <c r="B420" s="718"/>
      <c r="C420" s="718"/>
      <c r="D420" s="718"/>
      <c r="E420" s="767" t="s">
        <v>20</v>
      </c>
      <c r="F420" s="718"/>
      <c r="G420" s="727"/>
      <c r="H420" s="723" t="s">
        <v>14</v>
      </c>
      <c r="I420" s="565"/>
      <c r="J420" s="565"/>
      <c r="K420" s="566"/>
      <c r="L420" s="571">
        <v>0</v>
      </c>
      <c r="M420" s="572">
        <v>0</v>
      </c>
      <c r="N420" s="572">
        <v>0</v>
      </c>
      <c r="O420" s="572">
        <f t="shared" si="272"/>
        <v>0</v>
      </c>
      <c r="P420" s="572">
        <f t="shared" si="273"/>
        <v>0</v>
      </c>
      <c r="Q420" s="572">
        <v>0</v>
      </c>
      <c r="R420" s="572">
        <v>0</v>
      </c>
      <c r="S420" s="572">
        <v>0</v>
      </c>
      <c r="T420" s="572">
        <f t="shared" si="275"/>
        <v>0</v>
      </c>
      <c r="U420" s="572">
        <f t="shared" si="276"/>
        <v>0</v>
      </c>
    </row>
    <row r="421" spans="1:21" ht="18.75" x14ac:dyDescent="0.25">
      <c r="A421" s="674"/>
      <c r="B421" s="718"/>
      <c r="C421" s="718"/>
      <c r="D421" s="718"/>
      <c r="E421" s="765" t="s">
        <v>21</v>
      </c>
      <c r="F421" s="718"/>
      <c r="G421" s="727"/>
      <c r="H421" s="681" t="s">
        <v>14</v>
      </c>
      <c r="I421" s="565"/>
      <c r="J421" s="565"/>
      <c r="K421" s="566"/>
      <c r="L421" s="567">
        <f ca="1">IFERROR(__xludf.DUMMYFUNCTION("IMPORTRANGE(""https://docs.google.com/spreadsheets/d/1-uDff_7J0KD5mKrp0Vvzr7lt3OU09vwQwhkpOPPYv2Y/edit?usp=sharing"",""งบพรบ!IR19"")"),0)</f>
        <v>0</v>
      </c>
      <c r="M421" s="568">
        <f ca="1">IFERROR(__xludf.DUMMYFUNCTION("IMPORTRANGE(""https://docs.google.com/spreadsheets/d/1-uDff_7J0KD5mKrp0Vvzr7lt3OU09vwQwhkpOPPYv2Y/edit?usp=sharing"",""งบพรบ!IU19"")"),0)</f>
        <v>0</v>
      </c>
      <c r="N421" s="568">
        <f ca="1">IFERROR(__xludf.DUMMYFUNCTION("IMPORTRANGE(""https://docs.google.com/spreadsheets/d/1-uDff_7J0KD5mKrp0Vvzr7lt3OU09vwQwhkpOPPYv2Y/edit?usp=sharing"",""งบพรบ!IW19"")"),0)</f>
        <v>0</v>
      </c>
      <c r="O421" s="568">
        <f t="shared" ca="1" si="272"/>
        <v>0</v>
      </c>
      <c r="P421" s="568">
        <f t="shared" ca="1" si="273"/>
        <v>0</v>
      </c>
      <c r="Q421" s="568">
        <v>0</v>
      </c>
      <c r="R421" s="568">
        <v>0</v>
      </c>
      <c r="S421" s="568">
        <v>0</v>
      </c>
      <c r="T421" s="568">
        <f t="shared" si="275"/>
        <v>0</v>
      </c>
      <c r="U421" s="568">
        <f t="shared" si="276"/>
        <v>0</v>
      </c>
    </row>
    <row r="422" spans="1:21" ht="19.5" x14ac:dyDescent="0.3">
      <c r="A422" s="764"/>
      <c r="B422" s="718"/>
      <c r="C422" s="978" t="s">
        <v>18</v>
      </c>
      <c r="D422" s="980" t="s">
        <v>38</v>
      </c>
      <c r="E422" s="718"/>
      <c r="F422" s="718"/>
      <c r="G422" s="727"/>
      <c r="H422" s="727"/>
      <c r="I422" s="565"/>
      <c r="J422" s="565"/>
      <c r="K422" s="566"/>
      <c r="L422" s="574"/>
      <c r="M422" s="566"/>
      <c r="N422" s="566"/>
      <c r="O422" s="566"/>
      <c r="P422" s="566"/>
      <c r="Q422" s="566"/>
      <c r="R422" s="566"/>
      <c r="S422" s="566"/>
      <c r="T422" s="566"/>
      <c r="U422" s="566"/>
    </row>
    <row r="423" spans="1:21" ht="19.5" x14ac:dyDescent="0.3">
      <c r="A423" s="764"/>
      <c r="B423" s="719" t="s">
        <v>160</v>
      </c>
      <c r="C423" s="718"/>
      <c r="D423" s="718"/>
      <c r="E423" s="718"/>
      <c r="F423" s="718"/>
      <c r="G423" s="727"/>
      <c r="H423" s="979" t="s">
        <v>46</v>
      </c>
      <c r="I423" s="697">
        <f t="shared" ref="I423:J423" ca="1" si="283">I440</f>
        <v>0</v>
      </c>
      <c r="J423" s="697">
        <f t="shared" si="283"/>
        <v>0</v>
      </c>
      <c r="K423" s="679">
        <f t="shared" ref="K423:K425" ca="1" si="284">IF(I423&gt;0,J423*100/I423,0)</f>
        <v>0</v>
      </c>
      <c r="L423" s="574"/>
      <c r="M423" s="566"/>
      <c r="N423" s="566"/>
      <c r="O423" s="566"/>
      <c r="P423" s="566"/>
      <c r="Q423" s="566"/>
      <c r="R423" s="566"/>
      <c r="S423" s="566"/>
      <c r="T423" s="566"/>
      <c r="U423" s="566"/>
    </row>
    <row r="424" spans="1:21" ht="19.5" x14ac:dyDescent="0.3">
      <c r="A424" s="764"/>
      <c r="B424" s="718"/>
      <c r="C424" s="719" t="s">
        <v>161</v>
      </c>
      <c r="D424" s="718"/>
      <c r="E424" s="718"/>
      <c r="F424" s="718"/>
      <c r="G424" s="727"/>
      <c r="H424" s="677" t="s">
        <v>46</v>
      </c>
      <c r="I424" s="697">
        <f ca="1">IFERROR(__xludf.DUMMYFUNCTION("IMPORTRANGE(""https://docs.google.com/spreadsheets/d/1eHaY18a8A9IcSdp1K8H6x8fbOy06t2VsZHhMHf-1x7Y/edit?usp=sharing"",""แผน!HJ19"")"),0)</f>
        <v>0</v>
      </c>
      <c r="J424" s="697">
        <f t="shared" ref="J424:J425" si="285">J426+J428+J430</f>
        <v>0</v>
      </c>
      <c r="K424" s="679">
        <f t="shared" ca="1" si="284"/>
        <v>0</v>
      </c>
      <c r="L424" s="574"/>
      <c r="M424" s="566"/>
      <c r="N424" s="566"/>
      <c r="O424" s="566"/>
      <c r="P424" s="566"/>
      <c r="Q424" s="566"/>
      <c r="R424" s="566"/>
      <c r="S424" s="566"/>
      <c r="T424" s="566"/>
      <c r="U424" s="566"/>
    </row>
    <row r="425" spans="1:21" ht="19.5" x14ac:dyDescent="0.3">
      <c r="A425" s="764"/>
      <c r="B425" s="718"/>
      <c r="C425" s="718"/>
      <c r="D425" s="718"/>
      <c r="E425" s="718"/>
      <c r="F425" s="718"/>
      <c r="G425" s="727"/>
      <c r="H425" s="677" t="s">
        <v>34</v>
      </c>
      <c r="I425" s="697">
        <f ca="1">IFERROR(__xludf.DUMMYFUNCTION("IMPORTRANGE(""https://docs.google.com/spreadsheets/d/1eHaY18a8A9IcSdp1K8H6x8fbOy06t2VsZHhMHf-1x7Y/edit?usp=sharing"",""แผน!HK19"")"),0)</f>
        <v>0</v>
      </c>
      <c r="J425" s="697">
        <f t="shared" si="285"/>
        <v>0</v>
      </c>
      <c r="K425" s="679">
        <f t="shared" ca="1" si="284"/>
        <v>0</v>
      </c>
      <c r="L425" s="574"/>
      <c r="M425" s="566"/>
      <c r="N425" s="566"/>
      <c r="O425" s="566"/>
      <c r="P425" s="566"/>
      <c r="Q425" s="566"/>
      <c r="R425" s="566"/>
      <c r="S425" s="566"/>
      <c r="T425" s="566"/>
      <c r="U425" s="566"/>
    </row>
    <row r="426" spans="1:21" ht="18.75" x14ac:dyDescent="0.25">
      <c r="A426" s="764"/>
      <c r="B426" s="718"/>
      <c r="C426" s="718"/>
      <c r="D426" s="765" t="s">
        <v>162</v>
      </c>
      <c r="E426" s="718"/>
      <c r="F426" s="718"/>
      <c r="G426" s="727"/>
      <c r="H426" s="681" t="s">
        <v>46</v>
      </c>
      <c r="I426" s="565"/>
      <c r="J426" s="565"/>
      <c r="K426" s="566"/>
      <c r="L426" s="574"/>
      <c r="M426" s="566"/>
      <c r="N426" s="566"/>
      <c r="O426" s="566"/>
      <c r="P426" s="566"/>
      <c r="Q426" s="566"/>
      <c r="R426" s="566"/>
      <c r="S426" s="566"/>
      <c r="T426" s="566"/>
      <c r="U426" s="566"/>
    </row>
    <row r="427" spans="1:21" ht="18.75" x14ac:dyDescent="0.25">
      <c r="A427" s="764"/>
      <c r="B427" s="718"/>
      <c r="C427" s="718"/>
      <c r="D427" s="718"/>
      <c r="E427" s="718"/>
      <c r="F427" s="718"/>
      <c r="G427" s="727"/>
      <c r="H427" s="681" t="s">
        <v>34</v>
      </c>
      <c r="I427" s="565"/>
      <c r="J427" s="565"/>
      <c r="K427" s="566"/>
      <c r="L427" s="574"/>
      <c r="M427" s="566"/>
      <c r="N427" s="566"/>
      <c r="O427" s="566"/>
      <c r="P427" s="566"/>
      <c r="Q427" s="566"/>
      <c r="R427" s="566"/>
      <c r="S427" s="566"/>
      <c r="T427" s="566"/>
      <c r="U427" s="566"/>
    </row>
    <row r="428" spans="1:21" ht="18.75" x14ac:dyDescent="0.25">
      <c r="A428" s="764"/>
      <c r="B428" s="718"/>
      <c r="C428" s="718"/>
      <c r="D428" s="765" t="s">
        <v>163</v>
      </c>
      <c r="E428" s="718"/>
      <c r="F428" s="718"/>
      <c r="G428" s="727"/>
      <c r="H428" s="681" t="s">
        <v>46</v>
      </c>
      <c r="I428" s="565"/>
      <c r="J428" s="565"/>
      <c r="K428" s="566"/>
      <c r="L428" s="574"/>
      <c r="M428" s="566"/>
      <c r="N428" s="566"/>
      <c r="O428" s="566"/>
      <c r="P428" s="566"/>
      <c r="Q428" s="566"/>
      <c r="R428" s="566"/>
      <c r="S428" s="566"/>
      <c r="T428" s="566"/>
      <c r="U428" s="566"/>
    </row>
    <row r="429" spans="1:21" ht="18.75" x14ac:dyDescent="0.25">
      <c r="A429" s="764"/>
      <c r="B429" s="718"/>
      <c r="C429" s="718"/>
      <c r="D429" s="718"/>
      <c r="E429" s="718"/>
      <c r="F429" s="718"/>
      <c r="G429" s="727"/>
      <c r="H429" s="681" t="s">
        <v>34</v>
      </c>
      <c r="I429" s="565"/>
      <c r="J429" s="565"/>
      <c r="K429" s="566"/>
      <c r="L429" s="574"/>
      <c r="M429" s="566"/>
      <c r="N429" s="566"/>
      <c r="O429" s="566"/>
      <c r="P429" s="566"/>
      <c r="Q429" s="566"/>
      <c r="R429" s="566"/>
      <c r="S429" s="566"/>
      <c r="T429" s="566"/>
      <c r="U429" s="566"/>
    </row>
    <row r="430" spans="1:21" ht="18.75" x14ac:dyDescent="0.25">
      <c r="A430" s="764"/>
      <c r="B430" s="718"/>
      <c r="C430" s="718"/>
      <c r="D430" s="765" t="s">
        <v>164</v>
      </c>
      <c r="E430" s="718"/>
      <c r="F430" s="718"/>
      <c r="G430" s="727"/>
      <c r="H430" s="681" t="s">
        <v>46</v>
      </c>
      <c r="I430" s="565"/>
      <c r="J430" s="565"/>
      <c r="K430" s="566"/>
      <c r="L430" s="574"/>
      <c r="M430" s="566"/>
      <c r="N430" s="566"/>
      <c r="O430" s="566"/>
      <c r="P430" s="566"/>
      <c r="Q430" s="566"/>
      <c r="R430" s="566"/>
      <c r="S430" s="566"/>
      <c r="T430" s="566"/>
      <c r="U430" s="566"/>
    </row>
    <row r="431" spans="1:21" ht="18.75" x14ac:dyDescent="0.25">
      <c r="A431" s="764"/>
      <c r="B431" s="718"/>
      <c r="C431" s="718"/>
      <c r="D431" s="718"/>
      <c r="E431" s="718"/>
      <c r="F431" s="718"/>
      <c r="G431" s="727"/>
      <c r="H431" s="681" t="s">
        <v>34</v>
      </c>
      <c r="I431" s="565"/>
      <c r="J431" s="565"/>
      <c r="K431" s="566"/>
      <c r="L431" s="574"/>
      <c r="M431" s="566"/>
      <c r="N431" s="566"/>
      <c r="O431" s="566"/>
      <c r="P431" s="566"/>
      <c r="Q431" s="566"/>
      <c r="R431" s="566"/>
      <c r="S431" s="566"/>
      <c r="T431" s="566"/>
      <c r="U431" s="566"/>
    </row>
    <row r="432" spans="1:21" ht="19.5" x14ac:dyDescent="0.3">
      <c r="A432" s="764"/>
      <c r="B432" s="718"/>
      <c r="C432" s="719" t="s">
        <v>165</v>
      </c>
      <c r="D432" s="718"/>
      <c r="E432" s="718"/>
      <c r="F432" s="718"/>
      <c r="G432" s="727"/>
      <c r="H432" s="677" t="s">
        <v>46</v>
      </c>
      <c r="I432" s="697">
        <f ca="1">IFERROR(__xludf.DUMMYFUNCTION("IMPORTRANGE(""https://docs.google.com/spreadsheets/d/1eHaY18a8A9IcSdp1K8H6x8fbOy06t2VsZHhMHf-1x7Y/edit?usp=sharing"",""แผน!HJ19"")"),0)</f>
        <v>0</v>
      </c>
      <c r="J432" s="697">
        <f t="shared" ref="J432:J433" si="286">J434+J436+J438</f>
        <v>0</v>
      </c>
      <c r="K432" s="679">
        <f t="shared" ref="K432:K433" ca="1" si="287">IF(I432&gt;0,J432*100/I432,0)</f>
        <v>0</v>
      </c>
      <c r="L432" s="574"/>
      <c r="M432" s="566"/>
      <c r="N432" s="566"/>
      <c r="O432" s="566"/>
      <c r="P432" s="566"/>
      <c r="Q432" s="566"/>
      <c r="R432" s="566"/>
      <c r="S432" s="566"/>
      <c r="T432" s="566"/>
      <c r="U432" s="566"/>
    </row>
    <row r="433" spans="1:21" ht="19.5" x14ac:dyDescent="0.3">
      <c r="A433" s="764"/>
      <c r="B433" s="718"/>
      <c r="C433" s="718"/>
      <c r="D433" s="718"/>
      <c r="E433" s="718"/>
      <c r="F433" s="718"/>
      <c r="G433" s="727"/>
      <c r="H433" s="677" t="s">
        <v>34</v>
      </c>
      <c r="I433" s="697">
        <f ca="1">IFERROR(__xludf.DUMMYFUNCTION("IMPORTRANGE(""https://docs.google.com/spreadsheets/d/1eHaY18a8A9IcSdp1K8H6x8fbOy06t2VsZHhMHf-1x7Y/edit?usp=sharing"",""แผน!HK19"")"),0)</f>
        <v>0</v>
      </c>
      <c r="J433" s="697">
        <f t="shared" si="286"/>
        <v>0</v>
      </c>
      <c r="K433" s="679">
        <f t="shared" ca="1" si="287"/>
        <v>0</v>
      </c>
      <c r="L433" s="574"/>
      <c r="M433" s="566"/>
      <c r="N433" s="566"/>
      <c r="O433" s="566"/>
      <c r="P433" s="566"/>
      <c r="Q433" s="566"/>
      <c r="R433" s="566"/>
      <c r="S433" s="566"/>
      <c r="T433" s="566"/>
      <c r="U433" s="566"/>
    </row>
    <row r="434" spans="1:21" ht="18.75" x14ac:dyDescent="0.25">
      <c r="A434" s="764"/>
      <c r="B434" s="718"/>
      <c r="C434" s="718"/>
      <c r="D434" s="765" t="s">
        <v>166</v>
      </c>
      <c r="E434" s="718"/>
      <c r="F434" s="718"/>
      <c r="G434" s="727"/>
      <c r="H434" s="681" t="s">
        <v>46</v>
      </c>
      <c r="I434" s="565"/>
      <c r="J434" s="565"/>
      <c r="K434" s="566"/>
      <c r="L434" s="574"/>
      <c r="M434" s="566"/>
      <c r="N434" s="566"/>
      <c r="O434" s="566"/>
      <c r="P434" s="566"/>
      <c r="Q434" s="566"/>
      <c r="R434" s="566"/>
      <c r="S434" s="566"/>
      <c r="T434" s="566"/>
      <c r="U434" s="566"/>
    </row>
    <row r="435" spans="1:21" ht="18.75" x14ac:dyDescent="0.25">
      <c r="A435" s="764"/>
      <c r="B435" s="718"/>
      <c r="C435" s="718"/>
      <c r="D435" s="718"/>
      <c r="E435" s="718"/>
      <c r="F435" s="718"/>
      <c r="G435" s="727"/>
      <c r="H435" s="681" t="s">
        <v>34</v>
      </c>
      <c r="I435" s="565"/>
      <c r="J435" s="565"/>
      <c r="K435" s="566"/>
      <c r="L435" s="574"/>
      <c r="M435" s="566"/>
      <c r="N435" s="566"/>
      <c r="O435" s="566"/>
      <c r="P435" s="566"/>
      <c r="Q435" s="566"/>
      <c r="R435" s="566"/>
      <c r="S435" s="566"/>
      <c r="T435" s="566"/>
      <c r="U435" s="566"/>
    </row>
    <row r="436" spans="1:21" ht="18.75" x14ac:dyDescent="0.25">
      <c r="A436" s="764"/>
      <c r="B436" s="718"/>
      <c r="C436" s="718"/>
      <c r="D436" s="765" t="s">
        <v>167</v>
      </c>
      <c r="E436" s="718"/>
      <c r="F436" s="718"/>
      <c r="G436" s="727"/>
      <c r="H436" s="681" t="s">
        <v>46</v>
      </c>
      <c r="I436" s="565"/>
      <c r="J436" s="565"/>
      <c r="K436" s="566"/>
      <c r="L436" s="574"/>
      <c r="M436" s="566"/>
      <c r="N436" s="566"/>
      <c r="O436" s="566"/>
      <c r="P436" s="566"/>
      <c r="Q436" s="566"/>
      <c r="R436" s="566"/>
      <c r="S436" s="566"/>
      <c r="T436" s="566"/>
      <c r="U436" s="566"/>
    </row>
    <row r="437" spans="1:21" ht="18.75" x14ac:dyDescent="0.25">
      <c r="A437" s="764"/>
      <c r="B437" s="718"/>
      <c r="C437" s="718"/>
      <c r="D437" s="718"/>
      <c r="E437" s="718"/>
      <c r="F437" s="718"/>
      <c r="G437" s="727"/>
      <c r="H437" s="681" t="s">
        <v>34</v>
      </c>
      <c r="I437" s="565"/>
      <c r="J437" s="565"/>
      <c r="K437" s="566"/>
      <c r="L437" s="574"/>
      <c r="M437" s="566"/>
      <c r="N437" s="566"/>
      <c r="O437" s="566"/>
      <c r="P437" s="566"/>
      <c r="Q437" s="566"/>
      <c r="R437" s="566"/>
      <c r="S437" s="566"/>
      <c r="T437" s="566"/>
      <c r="U437" s="566"/>
    </row>
    <row r="438" spans="1:21" ht="18.75" x14ac:dyDescent="0.25">
      <c r="A438" s="764"/>
      <c r="B438" s="718"/>
      <c r="C438" s="718"/>
      <c r="D438" s="765" t="s">
        <v>168</v>
      </c>
      <c r="E438" s="718"/>
      <c r="F438" s="718"/>
      <c r="G438" s="727"/>
      <c r="H438" s="681" t="s">
        <v>46</v>
      </c>
      <c r="I438" s="565"/>
      <c r="J438" s="565"/>
      <c r="K438" s="566"/>
      <c r="L438" s="574"/>
      <c r="M438" s="566"/>
      <c r="N438" s="566"/>
      <c r="O438" s="566"/>
      <c r="P438" s="566"/>
      <c r="Q438" s="566"/>
      <c r="R438" s="566"/>
      <c r="S438" s="566"/>
      <c r="T438" s="566"/>
      <c r="U438" s="566"/>
    </row>
    <row r="439" spans="1:21" ht="18.75" x14ac:dyDescent="0.25">
      <c r="A439" s="764"/>
      <c r="B439" s="718"/>
      <c r="C439" s="718"/>
      <c r="D439" s="718"/>
      <c r="E439" s="718"/>
      <c r="F439" s="718"/>
      <c r="G439" s="727"/>
      <c r="H439" s="681" t="s">
        <v>34</v>
      </c>
      <c r="I439" s="565"/>
      <c r="J439" s="565"/>
      <c r="K439" s="566"/>
      <c r="L439" s="574"/>
      <c r="M439" s="566"/>
      <c r="N439" s="566"/>
      <c r="O439" s="566"/>
      <c r="P439" s="566"/>
      <c r="Q439" s="566"/>
      <c r="R439" s="566"/>
      <c r="S439" s="566"/>
      <c r="T439" s="566"/>
      <c r="U439" s="566"/>
    </row>
    <row r="440" spans="1:21" ht="19.5" x14ac:dyDescent="0.3">
      <c r="A440" s="764"/>
      <c r="B440" s="718"/>
      <c r="C440" s="719" t="s">
        <v>169</v>
      </c>
      <c r="D440" s="718"/>
      <c r="E440" s="718"/>
      <c r="F440" s="718"/>
      <c r="G440" s="727"/>
      <c r="H440" s="677" t="s">
        <v>46</v>
      </c>
      <c r="I440" s="697">
        <f ca="1">IFERROR(__xludf.DUMMYFUNCTION("IMPORTRANGE(""https://docs.google.com/spreadsheets/d/1eHaY18a8A9IcSdp1K8H6x8fbOy06t2VsZHhMHf-1x7Y/edit?usp=sharing"",""แผน!HJ19"")"),0)</f>
        <v>0</v>
      </c>
      <c r="J440" s="697">
        <f t="shared" ref="J440:J441" si="288">J442+J444+J446+J452+J454</f>
        <v>0</v>
      </c>
      <c r="K440" s="679">
        <f t="shared" ref="K440:K441" ca="1" si="289">IF(I440&gt;0,J440*100/I440,0)</f>
        <v>0</v>
      </c>
      <c r="L440" s="574"/>
      <c r="M440" s="566"/>
      <c r="N440" s="566"/>
      <c r="O440" s="566"/>
      <c r="P440" s="566"/>
      <c r="Q440" s="566"/>
      <c r="R440" s="566"/>
      <c r="S440" s="566"/>
      <c r="T440" s="566"/>
      <c r="U440" s="566"/>
    </row>
    <row r="441" spans="1:21" ht="19.5" x14ac:dyDescent="0.3">
      <c r="A441" s="764"/>
      <c r="B441" s="718"/>
      <c r="C441" s="718"/>
      <c r="D441" s="718"/>
      <c r="E441" s="718"/>
      <c r="F441" s="718"/>
      <c r="G441" s="727"/>
      <c r="H441" s="677" t="s">
        <v>34</v>
      </c>
      <c r="I441" s="697">
        <f ca="1">IFERROR(__xludf.DUMMYFUNCTION("IMPORTRANGE(""https://docs.google.com/spreadsheets/d/1eHaY18a8A9IcSdp1K8H6x8fbOy06t2VsZHhMHf-1x7Y/edit?usp=sharing"",""แผน!HK19"")"),0)</f>
        <v>0</v>
      </c>
      <c r="J441" s="697">
        <f t="shared" si="288"/>
        <v>0</v>
      </c>
      <c r="K441" s="679">
        <f t="shared" ca="1" si="289"/>
        <v>0</v>
      </c>
      <c r="L441" s="574"/>
      <c r="M441" s="566"/>
      <c r="N441" s="566"/>
      <c r="O441" s="566"/>
      <c r="P441" s="566"/>
      <c r="Q441" s="566"/>
      <c r="R441" s="566"/>
      <c r="S441" s="566"/>
      <c r="T441" s="566"/>
      <c r="U441" s="566"/>
    </row>
    <row r="442" spans="1:21" ht="18.75" x14ac:dyDescent="0.25">
      <c r="A442" s="764"/>
      <c r="B442" s="718"/>
      <c r="C442" s="718"/>
      <c r="D442" s="765" t="s">
        <v>170</v>
      </c>
      <c r="E442" s="718"/>
      <c r="F442" s="718"/>
      <c r="G442" s="727"/>
      <c r="H442" s="681" t="s">
        <v>46</v>
      </c>
      <c r="I442" s="565"/>
      <c r="J442" s="565"/>
      <c r="K442" s="566"/>
      <c r="L442" s="574"/>
      <c r="M442" s="566"/>
      <c r="N442" s="566"/>
      <c r="O442" s="566"/>
      <c r="P442" s="566"/>
      <c r="Q442" s="566"/>
      <c r="R442" s="566"/>
      <c r="S442" s="566"/>
      <c r="T442" s="566"/>
      <c r="U442" s="566"/>
    </row>
    <row r="443" spans="1:21" ht="18.75" x14ac:dyDescent="0.25">
      <c r="A443" s="764"/>
      <c r="B443" s="718"/>
      <c r="C443" s="718"/>
      <c r="D443" s="718"/>
      <c r="E443" s="718"/>
      <c r="F443" s="718"/>
      <c r="G443" s="727"/>
      <c r="H443" s="681" t="s">
        <v>34</v>
      </c>
      <c r="I443" s="565"/>
      <c r="J443" s="565"/>
      <c r="K443" s="566"/>
      <c r="L443" s="574"/>
      <c r="M443" s="566"/>
      <c r="N443" s="566"/>
      <c r="O443" s="566"/>
      <c r="P443" s="566"/>
      <c r="Q443" s="566"/>
      <c r="R443" s="566"/>
      <c r="S443" s="566"/>
      <c r="T443" s="566"/>
      <c r="U443" s="566"/>
    </row>
    <row r="444" spans="1:21" ht="18.75" x14ac:dyDescent="0.25">
      <c r="A444" s="764"/>
      <c r="B444" s="718"/>
      <c r="C444" s="718"/>
      <c r="D444" s="765" t="s">
        <v>171</v>
      </c>
      <c r="E444" s="718"/>
      <c r="F444" s="718"/>
      <c r="G444" s="727"/>
      <c r="H444" s="681" t="s">
        <v>46</v>
      </c>
      <c r="I444" s="565"/>
      <c r="J444" s="565"/>
      <c r="K444" s="566"/>
      <c r="L444" s="574"/>
      <c r="M444" s="566"/>
      <c r="N444" s="566"/>
      <c r="O444" s="566"/>
      <c r="P444" s="566"/>
      <c r="Q444" s="566"/>
      <c r="R444" s="566"/>
      <c r="S444" s="566"/>
      <c r="T444" s="566"/>
      <c r="U444" s="566"/>
    </row>
    <row r="445" spans="1:21" ht="18.75" x14ac:dyDescent="0.25">
      <c r="A445" s="764"/>
      <c r="B445" s="718"/>
      <c r="C445" s="718"/>
      <c r="D445" s="718"/>
      <c r="E445" s="718"/>
      <c r="F445" s="718"/>
      <c r="G445" s="727"/>
      <c r="H445" s="681" t="s">
        <v>34</v>
      </c>
      <c r="I445" s="565"/>
      <c r="J445" s="565"/>
      <c r="K445" s="566"/>
      <c r="L445" s="574"/>
      <c r="M445" s="566"/>
      <c r="N445" s="566"/>
      <c r="O445" s="566"/>
      <c r="P445" s="566"/>
      <c r="Q445" s="566"/>
      <c r="R445" s="566"/>
      <c r="S445" s="566"/>
      <c r="T445" s="566"/>
      <c r="U445" s="566"/>
    </row>
    <row r="446" spans="1:21" ht="19.5" x14ac:dyDescent="0.3">
      <c r="A446" s="764"/>
      <c r="B446" s="718"/>
      <c r="C446" s="718"/>
      <c r="D446" s="765" t="s">
        <v>172</v>
      </c>
      <c r="E446" s="718"/>
      <c r="F446" s="718"/>
      <c r="G446" s="727"/>
      <c r="H446" s="681" t="s">
        <v>46</v>
      </c>
      <c r="I446" s="565"/>
      <c r="J446" s="697">
        <f t="shared" ref="J446:J447" si="290">J448+J450</f>
        <v>0</v>
      </c>
      <c r="K446" s="566"/>
      <c r="L446" s="574"/>
      <c r="M446" s="566"/>
      <c r="N446" s="566"/>
      <c r="O446" s="566"/>
      <c r="P446" s="566"/>
      <c r="Q446" s="566"/>
      <c r="R446" s="566"/>
      <c r="S446" s="566"/>
      <c r="T446" s="566"/>
      <c r="U446" s="566"/>
    </row>
    <row r="447" spans="1:21" ht="19.5" x14ac:dyDescent="0.3">
      <c r="A447" s="764"/>
      <c r="B447" s="718"/>
      <c r="C447" s="718"/>
      <c r="D447" s="718"/>
      <c r="E447" s="718"/>
      <c r="F447" s="718"/>
      <c r="G447" s="727"/>
      <c r="H447" s="681" t="s">
        <v>34</v>
      </c>
      <c r="I447" s="565"/>
      <c r="J447" s="697">
        <f t="shared" si="290"/>
        <v>0</v>
      </c>
      <c r="K447" s="566"/>
      <c r="L447" s="574"/>
      <c r="M447" s="566"/>
      <c r="N447" s="566"/>
      <c r="O447" s="566"/>
      <c r="P447" s="566"/>
      <c r="Q447" s="566"/>
      <c r="R447" s="566"/>
      <c r="S447" s="566"/>
      <c r="T447" s="566"/>
      <c r="U447" s="566"/>
    </row>
    <row r="448" spans="1:21" ht="18.75" x14ac:dyDescent="0.25">
      <c r="A448" s="764"/>
      <c r="B448" s="718"/>
      <c r="C448" s="718"/>
      <c r="D448" s="718"/>
      <c r="E448" s="765" t="s">
        <v>173</v>
      </c>
      <c r="F448" s="718"/>
      <c r="G448" s="727"/>
      <c r="H448" s="681" t="s">
        <v>46</v>
      </c>
      <c r="I448" s="565"/>
      <c r="J448" s="565"/>
      <c r="K448" s="566"/>
      <c r="L448" s="574"/>
      <c r="M448" s="566"/>
      <c r="N448" s="566"/>
      <c r="O448" s="566"/>
      <c r="P448" s="566"/>
      <c r="Q448" s="566"/>
      <c r="R448" s="566"/>
      <c r="S448" s="566"/>
      <c r="T448" s="566"/>
      <c r="U448" s="566"/>
    </row>
    <row r="449" spans="1:21" ht="18.75" x14ac:dyDescent="0.25">
      <c r="A449" s="764"/>
      <c r="B449" s="718"/>
      <c r="C449" s="718"/>
      <c r="D449" s="718"/>
      <c r="E449" s="718"/>
      <c r="F449" s="718"/>
      <c r="G449" s="727"/>
      <c r="H449" s="681" t="s">
        <v>34</v>
      </c>
      <c r="I449" s="565"/>
      <c r="J449" s="565"/>
      <c r="K449" s="566"/>
      <c r="L449" s="574"/>
      <c r="M449" s="566"/>
      <c r="N449" s="566"/>
      <c r="O449" s="566"/>
      <c r="P449" s="566"/>
      <c r="Q449" s="566"/>
      <c r="R449" s="566"/>
      <c r="S449" s="566"/>
      <c r="T449" s="566"/>
      <c r="U449" s="566"/>
    </row>
    <row r="450" spans="1:21" ht="18.75" x14ac:dyDescent="0.25">
      <c r="A450" s="764"/>
      <c r="B450" s="718"/>
      <c r="C450" s="718"/>
      <c r="D450" s="718"/>
      <c r="E450" s="765" t="s">
        <v>174</v>
      </c>
      <c r="F450" s="718"/>
      <c r="G450" s="727"/>
      <c r="H450" s="681" t="s">
        <v>46</v>
      </c>
      <c r="I450" s="565"/>
      <c r="J450" s="565"/>
      <c r="K450" s="566"/>
      <c r="L450" s="574"/>
      <c r="M450" s="566"/>
      <c r="N450" s="566"/>
      <c r="O450" s="566"/>
      <c r="P450" s="566"/>
      <c r="Q450" s="566"/>
      <c r="R450" s="566"/>
      <c r="S450" s="566"/>
      <c r="T450" s="566"/>
      <c r="U450" s="566"/>
    </row>
    <row r="451" spans="1:21" ht="18.75" x14ac:dyDescent="0.25">
      <c r="A451" s="764"/>
      <c r="B451" s="718"/>
      <c r="C451" s="718"/>
      <c r="D451" s="718"/>
      <c r="E451" s="718"/>
      <c r="F451" s="718"/>
      <c r="G451" s="727"/>
      <c r="H451" s="681" t="s">
        <v>34</v>
      </c>
      <c r="I451" s="565"/>
      <c r="J451" s="565"/>
      <c r="K451" s="566"/>
      <c r="L451" s="574"/>
      <c r="M451" s="566"/>
      <c r="N451" s="566"/>
      <c r="O451" s="566"/>
      <c r="P451" s="566"/>
      <c r="Q451" s="566"/>
      <c r="R451" s="566"/>
      <c r="S451" s="566"/>
      <c r="T451" s="566"/>
      <c r="U451" s="566"/>
    </row>
    <row r="452" spans="1:21" ht="18.75" x14ac:dyDescent="0.25">
      <c r="A452" s="764"/>
      <c r="B452" s="718"/>
      <c r="C452" s="718"/>
      <c r="D452" s="765" t="s">
        <v>175</v>
      </c>
      <c r="E452" s="718"/>
      <c r="F452" s="718"/>
      <c r="G452" s="727"/>
      <c r="H452" s="681" t="s">
        <v>46</v>
      </c>
      <c r="I452" s="565"/>
      <c r="J452" s="565"/>
      <c r="K452" s="566"/>
      <c r="L452" s="574"/>
      <c r="M452" s="566"/>
      <c r="N452" s="566"/>
      <c r="O452" s="566"/>
      <c r="P452" s="566"/>
      <c r="Q452" s="566"/>
      <c r="R452" s="566"/>
      <c r="S452" s="566"/>
      <c r="T452" s="566"/>
      <c r="U452" s="566"/>
    </row>
    <row r="453" spans="1:21" ht="18.75" x14ac:dyDescent="0.25">
      <c r="A453" s="764"/>
      <c r="B453" s="718"/>
      <c r="C453" s="718"/>
      <c r="D453" s="718"/>
      <c r="E453" s="718"/>
      <c r="F453" s="718"/>
      <c r="G453" s="727"/>
      <c r="H453" s="681" t="s">
        <v>34</v>
      </c>
      <c r="I453" s="565"/>
      <c r="J453" s="565"/>
      <c r="K453" s="566"/>
      <c r="L453" s="574"/>
      <c r="M453" s="566"/>
      <c r="N453" s="566"/>
      <c r="O453" s="566"/>
      <c r="P453" s="566"/>
      <c r="Q453" s="566"/>
      <c r="R453" s="566"/>
      <c r="S453" s="566"/>
      <c r="T453" s="566"/>
      <c r="U453" s="566"/>
    </row>
    <row r="454" spans="1:21" ht="18.75" x14ac:dyDescent="0.25">
      <c r="A454" s="764"/>
      <c r="B454" s="718"/>
      <c r="C454" s="718"/>
      <c r="D454" s="765" t="s">
        <v>176</v>
      </c>
      <c r="E454" s="718"/>
      <c r="F454" s="718"/>
      <c r="G454" s="727"/>
      <c r="H454" s="681" t="s">
        <v>46</v>
      </c>
      <c r="I454" s="565"/>
      <c r="J454" s="981"/>
      <c r="K454" s="566"/>
      <c r="L454" s="574"/>
      <c r="M454" s="566"/>
      <c r="N454" s="566"/>
      <c r="O454" s="566"/>
      <c r="P454" s="566"/>
      <c r="Q454" s="566"/>
      <c r="R454" s="566"/>
      <c r="S454" s="566"/>
      <c r="T454" s="566"/>
      <c r="U454" s="566"/>
    </row>
    <row r="455" spans="1:21" ht="18.75" x14ac:dyDescent="0.25">
      <c r="A455" s="764"/>
      <c r="B455" s="718"/>
      <c r="C455" s="718"/>
      <c r="D455" s="718"/>
      <c r="E455" s="718"/>
      <c r="F455" s="718"/>
      <c r="G455" s="727"/>
      <c r="H455" s="681" t="s">
        <v>34</v>
      </c>
      <c r="I455" s="565"/>
      <c r="J455" s="565"/>
      <c r="K455" s="566"/>
      <c r="L455" s="574"/>
      <c r="M455" s="566"/>
      <c r="N455" s="566"/>
      <c r="O455" s="566"/>
      <c r="P455" s="566"/>
      <c r="Q455" s="566"/>
      <c r="R455" s="566"/>
      <c r="S455" s="566"/>
      <c r="T455" s="566"/>
      <c r="U455" s="566"/>
    </row>
    <row r="456" spans="1:21" ht="19.5" x14ac:dyDescent="0.3">
      <c r="A456" s="764"/>
      <c r="B456" s="719" t="s">
        <v>177</v>
      </c>
      <c r="C456" s="718"/>
      <c r="D456" s="718"/>
      <c r="E456" s="718"/>
      <c r="F456" s="718"/>
      <c r="G456" s="727"/>
      <c r="H456" s="979" t="s">
        <v>46</v>
      </c>
      <c r="I456" s="697">
        <f t="shared" ref="I456:J456" ca="1" si="291">I457</f>
        <v>575</v>
      </c>
      <c r="J456" s="697">
        <f t="shared" si="291"/>
        <v>0</v>
      </c>
      <c r="K456" s="679">
        <f t="shared" ref="K456:K458" ca="1" si="292">IF(I456&gt;0,J456*100/I456,0)</f>
        <v>0</v>
      </c>
      <c r="L456" s="574"/>
      <c r="M456" s="566"/>
      <c r="N456" s="566"/>
      <c r="O456" s="566"/>
      <c r="P456" s="566"/>
      <c r="Q456" s="566"/>
      <c r="R456" s="566"/>
      <c r="S456" s="566"/>
      <c r="T456" s="566"/>
      <c r="U456" s="566"/>
    </row>
    <row r="457" spans="1:21" ht="19.5" x14ac:dyDescent="0.3">
      <c r="A457" s="764"/>
      <c r="B457" s="718"/>
      <c r="C457" s="719" t="s">
        <v>178</v>
      </c>
      <c r="D457" s="718"/>
      <c r="E457" s="718"/>
      <c r="F457" s="718"/>
      <c r="G457" s="727"/>
      <c r="H457" s="677" t="s">
        <v>46</v>
      </c>
      <c r="I457" s="697">
        <f ca="1">IFERROR(__xludf.DUMMYFUNCTION("IMPORTRANGE(""https://docs.google.com/spreadsheets/d/1eHaY18a8A9IcSdp1K8H6x8fbOy06t2VsZHhMHf-1x7Y/edit?usp=sharing"",""แผน!HL19"")"),575)</f>
        <v>575</v>
      </c>
      <c r="J457" s="697">
        <f t="shared" ref="J457:J458" si="293">J459+J467+J473</f>
        <v>0</v>
      </c>
      <c r="K457" s="679">
        <f t="shared" ca="1" si="292"/>
        <v>0</v>
      </c>
      <c r="L457" s="574"/>
      <c r="M457" s="566"/>
      <c r="N457" s="566"/>
      <c r="O457" s="566"/>
      <c r="P457" s="566"/>
      <c r="Q457" s="566"/>
      <c r="R457" s="566"/>
      <c r="S457" s="566"/>
      <c r="T457" s="566"/>
      <c r="U457" s="566"/>
    </row>
    <row r="458" spans="1:21" ht="19.5" x14ac:dyDescent="0.3">
      <c r="A458" s="764"/>
      <c r="B458" s="718"/>
      <c r="C458" s="718"/>
      <c r="D458" s="718"/>
      <c r="E458" s="718"/>
      <c r="F458" s="718"/>
      <c r="G458" s="727"/>
      <c r="H458" s="677" t="s">
        <v>34</v>
      </c>
      <c r="I458" s="697">
        <f ca="1">IFERROR(__xludf.DUMMYFUNCTION("IMPORTRANGE(""https://docs.google.com/spreadsheets/d/1eHaY18a8A9IcSdp1K8H6x8fbOy06t2VsZHhMHf-1x7Y/edit?usp=sharing"",""แผน!HM19"")"),0)</f>
        <v>0</v>
      </c>
      <c r="J458" s="697">
        <f t="shared" si="293"/>
        <v>0</v>
      </c>
      <c r="K458" s="679">
        <f t="shared" ca="1" si="292"/>
        <v>0</v>
      </c>
      <c r="L458" s="574"/>
      <c r="M458" s="566"/>
      <c r="N458" s="566"/>
      <c r="O458" s="566"/>
      <c r="P458" s="566"/>
      <c r="Q458" s="566"/>
      <c r="R458" s="566"/>
      <c r="S458" s="566"/>
      <c r="T458" s="566"/>
      <c r="U458" s="566"/>
    </row>
    <row r="459" spans="1:21" ht="18.75" x14ac:dyDescent="0.25">
      <c r="A459" s="764"/>
      <c r="B459" s="718"/>
      <c r="C459" s="765" t="s">
        <v>179</v>
      </c>
      <c r="D459" s="718"/>
      <c r="E459" s="718"/>
      <c r="F459" s="718"/>
      <c r="G459" s="727"/>
      <c r="H459" s="681" t="s">
        <v>46</v>
      </c>
      <c r="I459" s="565"/>
      <c r="J459" s="708">
        <f t="shared" ref="J459:J460" si="294">J461+J463</f>
        <v>0</v>
      </c>
      <c r="K459" s="566"/>
      <c r="L459" s="574"/>
      <c r="M459" s="566"/>
      <c r="N459" s="566"/>
      <c r="O459" s="566"/>
      <c r="P459" s="566"/>
      <c r="Q459" s="566"/>
      <c r="R459" s="566"/>
      <c r="S459" s="566"/>
      <c r="T459" s="566"/>
      <c r="U459" s="566"/>
    </row>
    <row r="460" spans="1:21" ht="18.75" x14ac:dyDescent="0.25">
      <c r="A460" s="764"/>
      <c r="B460" s="718"/>
      <c r="C460" s="718"/>
      <c r="D460" s="718"/>
      <c r="E460" s="718"/>
      <c r="F460" s="718"/>
      <c r="G460" s="727"/>
      <c r="H460" s="681" t="s">
        <v>34</v>
      </c>
      <c r="I460" s="565"/>
      <c r="J460" s="708">
        <f t="shared" si="294"/>
        <v>0</v>
      </c>
      <c r="K460" s="566"/>
      <c r="L460" s="574"/>
      <c r="M460" s="566"/>
      <c r="N460" s="566"/>
      <c r="O460" s="566"/>
      <c r="P460" s="566"/>
      <c r="Q460" s="566"/>
      <c r="R460" s="566"/>
      <c r="S460" s="566"/>
      <c r="T460" s="566"/>
      <c r="U460" s="566"/>
    </row>
    <row r="461" spans="1:21" ht="18.75" x14ac:dyDescent="0.25">
      <c r="A461" s="764"/>
      <c r="B461" s="718"/>
      <c r="C461" s="718"/>
      <c r="D461" s="982" t="s">
        <v>180</v>
      </c>
      <c r="E461" s="718"/>
      <c r="F461" s="718"/>
      <c r="G461" s="727"/>
      <c r="H461" s="681" t="s">
        <v>46</v>
      </c>
      <c r="I461" s="565"/>
      <c r="J461" s="565"/>
      <c r="K461" s="566"/>
      <c r="L461" s="574"/>
      <c r="M461" s="566"/>
      <c r="N461" s="566"/>
      <c r="O461" s="566"/>
      <c r="P461" s="566"/>
      <c r="Q461" s="566"/>
      <c r="R461" s="566"/>
      <c r="S461" s="566"/>
      <c r="T461" s="566"/>
      <c r="U461" s="566"/>
    </row>
    <row r="462" spans="1:21" ht="18.75" x14ac:dyDescent="0.25">
      <c r="A462" s="764"/>
      <c r="B462" s="718"/>
      <c r="C462" s="718"/>
      <c r="D462" s="718"/>
      <c r="E462" s="718"/>
      <c r="F462" s="718"/>
      <c r="G462" s="727"/>
      <c r="H462" s="681" t="s">
        <v>34</v>
      </c>
      <c r="I462" s="565"/>
      <c r="J462" s="565"/>
      <c r="K462" s="566"/>
      <c r="L462" s="574"/>
      <c r="M462" s="566"/>
      <c r="N462" s="566"/>
      <c r="O462" s="566"/>
      <c r="P462" s="566"/>
      <c r="Q462" s="566"/>
      <c r="R462" s="566"/>
      <c r="S462" s="566"/>
      <c r="T462" s="566"/>
      <c r="U462" s="566"/>
    </row>
    <row r="463" spans="1:21" ht="18.75" x14ac:dyDescent="0.25">
      <c r="A463" s="764"/>
      <c r="B463" s="718"/>
      <c r="C463" s="718"/>
      <c r="D463" s="982" t="s">
        <v>181</v>
      </c>
      <c r="E463" s="718"/>
      <c r="F463" s="718"/>
      <c r="G463" s="727"/>
      <c r="H463" s="681" t="s">
        <v>46</v>
      </c>
      <c r="I463" s="565"/>
      <c r="J463" s="565"/>
      <c r="K463" s="566"/>
      <c r="L463" s="574"/>
      <c r="M463" s="566"/>
      <c r="N463" s="566"/>
      <c r="O463" s="566"/>
      <c r="P463" s="566"/>
      <c r="Q463" s="566"/>
      <c r="R463" s="566"/>
      <c r="S463" s="566"/>
      <c r="T463" s="566"/>
      <c r="U463" s="566"/>
    </row>
    <row r="464" spans="1:21" ht="18.75" x14ac:dyDescent="0.25">
      <c r="A464" s="764"/>
      <c r="B464" s="718"/>
      <c r="C464" s="718"/>
      <c r="D464" s="718"/>
      <c r="E464" s="718"/>
      <c r="F464" s="718"/>
      <c r="G464" s="727"/>
      <c r="H464" s="681" t="s">
        <v>34</v>
      </c>
      <c r="I464" s="565"/>
      <c r="J464" s="565"/>
      <c r="K464" s="566"/>
      <c r="L464" s="574"/>
      <c r="M464" s="566"/>
      <c r="N464" s="566"/>
      <c r="O464" s="566"/>
      <c r="P464" s="566"/>
      <c r="Q464" s="566"/>
      <c r="R464" s="566"/>
      <c r="S464" s="566"/>
      <c r="T464" s="566"/>
      <c r="U464" s="566"/>
    </row>
    <row r="465" spans="1:21" ht="18.75" x14ac:dyDescent="0.25">
      <c r="A465" s="764"/>
      <c r="B465" s="718"/>
      <c r="C465" s="718"/>
      <c r="D465" s="982" t="s">
        <v>182</v>
      </c>
      <c r="E465" s="718"/>
      <c r="F465" s="718"/>
      <c r="G465" s="727"/>
      <c r="H465" s="681" t="s">
        <v>46</v>
      </c>
      <c r="I465" s="565"/>
      <c r="J465" s="565"/>
      <c r="K465" s="566"/>
      <c r="L465" s="574"/>
      <c r="M465" s="566"/>
      <c r="N465" s="566"/>
      <c r="O465" s="566"/>
      <c r="P465" s="566"/>
      <c r="Q465" s="566"/>
      <c r="R465" s="566"/>
      <c r="S465" s="566"/>
      <c r="T465" s="566"/>
      <c r="U465" s="566"/>
    </row>
    <row r="466" spans="1:21" ht="18.75" x14ac:dyDescent="0.25">
      <c r="A466" s="764"/>
      <c r="B466" s="718"/>
      <c r="C466" s="718"/>
      <c r="D466" s="718"/>
      <c r="E466" s="718"/>
      <c r="F466" s="718"/>
      <c r="G466" s="727"/>
      <c r="H466" s="681" t="s">
        <v>34</v>
      </c>
      <c r="I466" s="565"/>
      <c r="J466" s="565"/>
      <c r="K466" s="566"/>
      <c r="L466" s="574"/>
      <c r="M466" s="566"/>
      <c r="N466" s="566"/>
      <c r="O466" s="566"/>
      <c r="P466" s="566"/>
      <c r="Q466" s="566"/>
      <c r="R466" s="566"/>
      <c r="S466" s="566"/>
      <c r="T466" s="566"/>
      <c r="U466" s="566"/>
    </row>
    <row r="467" spans="1:21" ht="18.75" x14ac:dyDescent="0.25">
      <c r="A467" s="764"/>
      <c r="B467" s="718"/>
      <c r="C467" s="982" t="s">
        <v>183</v>
      </c>
      <c r="D467" s="718"/>
      <c r="E467" s="718"/>
      <c r="F467" s="718"/>
      <c r="G467" s="727"/>
      <c r="H467" s="681" t="s">
        <v>46</v>
      </c>
      <c r="I467" s="565"/>
      <c r="J467" s="708">
        <f t="shared" ref="J467:J468" si="295">J469+J471</f>
        <v>0</v>
      </c>
      <c r="K467" s="566"/>
      <c r="L467" s="574"/>
      <c r="M467" s="566"/>
      <c r="N467" s="566"/>
      <c r="O467" s="566"/>
      <c r="P467" s="566"/>
      <c r="Q467" s="566"/>
      <c r="R467" s="566"/>
      <c r="S467" s="566"/>
      <c r="T467" s="566"/>
      <c r="U467" s="566"/>
    </row>
    <row r="468" spans="1:21" ht="18.75" x14ac:dyDescent="0.25">
      <c r="A468" s="764"/>
      <c r="B468" s="718"/>
      <c r="C468" s="718"/>
      <c r="D468" s="718"/>
      <c r="E468" s="718"/>
      <c r="F468" s="718"/>
      <c r="G468" s="727"/>
      <c r="H468" s="681" t="s">
        <v>34</v>
      </c>
      <c r="I468" s="565"/>
      <c r="J468" s="708">
        <f t="shared" si="295"/>
        <v>0</v>
      </c>
      <c r="K468" s="566"/>
      <c r="L468" s="574"/>
      <c r="M468" s="566"/>
      <c r="N468" s="566"/>
      <c r="O468" s="566"/>
      <c r="P468" s="566"/>
      <c r="Q468" s="566"/>
      <c r="R468" s="566"/>
      <c r="S468" s="566"/>
      <c r="T468" s="566"/>
      <c r="U468" s="566"/>
    </row>
    <row r="469" spans="1:21" ht="18.75" x14ac:dyDescent="0.25">
      <c r="A469" s="764"/>
      <c r="B469" s="718"/>
      <c r="C469" s="718"/>
      <c r="D469" s="982" t="s">
        <v>184</v>
      </c>
      <c r="E469" s="718"/>
      <c r="F469" s="718"/>
      <c r="G469" s="727"/>
      <c r="H469" s="681" t="s">
        <v>46</v>
      </c>
      <c r="I469" s="565"/>
      <c r="J469" s="565"/>
      <c r="K469" s="566"/>
      <c r="L469" s="574"/>
      <c r="M469" s="566"/>
      <c r="N469" s="566"/>
      <c r="O469" s="566"/>
      <c r="P469" s="566"/>
      <c r="Q469" s="566"/>
      <c r="R469" s="566"/>
      <c r="S469" s="566"/>
      <c r="T469" s="566"/>
      <c r="U469" s="566"/>
    </row>
    <row r="470" spans="1:21" ht="18.75" x14ac:dyDescent="0.25">
      <c r="A470" s="764"/>
      <c r="B470" s="718"/>
      <c r="C470" s="718"/>
      <c r="D470" s="718"/>
      <c r="E470" s="718"/>
      <c r="F470" s="718"/>
      <c r="G470" s="727"/>
      <c r="H470" s="681" t="s">
        <v>34</v>
      </c>
      <c r="I470" s="565"/>
      <c r="J470" s="565"/>
      <c r="K470" s="566"/>
      <c r="L470" s="574"/>
      <c r="M470" s="566"/>
      <c r="N470" s="566"/>
      <c r="O470" s="566"/>
      <c r="P470" s="566"/>
      <c r="Q470" s="566"/>
      <c r="R470" s="566"/>
      <c r="S470" s="566"/>
      <c r="T470" s="566"/>
      <c r="U470" s="566"/>
    </row>
    <row r="471" spans="1:21" ht="18.75" x14ac:dyDescent="0.25">
      <c r="A471" s="764"/>
      <c r="B471" s="718"/>
      <c r="C471" s="718"/>
      <c r="D471" s="982" t="s">
        <v>185</v>
      </c>
      <c r="E471" s="718"/>
      <c r="F471" s="718"/>
      <c r="G471" s="727"/>
      <c r="H471" s="681" t="s">
        <v>46</v>
      </c>
      <c r="I471" s="565"/>
      <c r="J471" s="565"/>
      <c r="K471" s="566"/>
      <c r="L471" s="574"/>
      <c r="M471" s="566"/>
      <c r="N471" s="566"/>
      <c r="O471" s="566"/>
      <c r="P471" s="566"/>
      <c r="Q471" s="566"/>
      <c r="R471" s="566"/>
      <c r="S471" s="566"/>
      <c r="T471" s="566"/>
      <c r="U471" s="566"/>
    </row>
    <row r="472" spans="1:21" ht="18.75" x14ac:dyDescent="0.25">
      <c r="A472" s="764"/>
      <c r="B472" s="718"/>
      <c r="C472" s="718"/>
      <c r="D472" s="718"/>
      <c r="E472" s="718"/>
      <c r="F472" s="718"/>
      <c r="G472" s="727"/>
      <c r="H472" s="681" t="s">
        <v>34</v>
      </c>
      <c r="I472" s="565"/>
      <c r="J472" s="565"/>
      <c r="K472" s="566"/>
      <c r="L472" s="574"/>
      <c r="M472" s="566"/>
      <c r="N472" s="566"/>
      <c r="O472" s="566"/>
      <c r="P472" s="566"/>
      <c r="Q472" s="566"/>
      <c r="R472" s="566"/>
      <c r="S472" s="566"/>
      <c r="T472" s="566"/>
      <c r="U472" s="566"/>
    </row>
    <row r="473" spans="1:21" ht="18.75" x14ac:dyDescent="0.25">
      <c r="A473" s="764"/>
      <c r="B473" s="718"/>
      <c r="C473" s="765" t="s">
        <v>186</v>
      </c>
      <c r="D473" s="718"/>
      <c r="E473" s="718"/>
      <c r="F473" s="718"/>
      <c r="G473" s="727"/>
      <c r="H473" s="681" t="s">
        <v>46</v>
      </c>
      <c r="I473" s="565"/>
      <c r="J473" s="565"/>
      <c r="K473" s="566"/>
      <c r="L473" s="574"/>
      <c r="M473" s="566"/>
      <c r="N473" s="566"/>
      <c r="O473" s="566"/>
      <c r="P473" s="566"/>
      <c r="Q473" s="566"/>
      <c r="R473" s="566"/>
      <c r="S473" s="566"/>
      <c r="T473" s="566"/>
      <c r="U473" s="566"/>
    </row>
    <row r="474" spans="1:21" ht="18.75" x14ac:dyDescent="0.25">
      <c r="A474" s="764"/>
      <c r="B474" s="718"/>
      <c r="C474" s="718"/>
      <c r="D474" s="718"/>
      <c r="E474" s="718"/>
      <c r="F474" s="718"/>
      <c r="G474" s="727"/>
      <c r="H474" s="681" t="s">
        <v>34</v>
      </c>
      <c r="I474" s="565"/>
      <c r="J474" s="565"/>
      <c r="K474" s="566"/>
      <c r="L474" s="574"/>
      <c r="M474" s="566"/>
      <c r="N474" s="566"/>
      <c r="O474" s="566"/>
      <c r="P474" s="566"/>
      <c r="Q474" s="566"/>
      <c r="R474" s="566"/>
      <c r="S474" s="566"/>
      <c r="T474" s="566"/>
      <c r="U474" s="566"/>
    </row>
    <row r="475" spans="1:21" ht="19.5" x14ac:dyDescent="0.3">
      <c r="A475" s="764"/>
      <c r="B475" s="983" t="s">
        <v>187</v>
      </c>
      <c r="C475" s="718"/>
      <c r="D475" s="718"/>
      <c r="E475" s="718"/>
      <c r="F475" s="718"/>
      <c r="G475" s="727"/>
      <c r="H475" s="677" t="s">
        <v>46</v>
      </c>
      <c r="I475" s="697">
        <v>0</v>
      </c>
      <c r="J475" s="697">
        <f>J478+J480</f>
        <v>0</v>
      </c>
      <c r="K475" s="679">
        <f t="shared" ref="K475:K477" si="296">IF(I475&gt;0,J475*100/I475,0)</f>
        <v>0</v>
      </c>
      <c r="L475" s="574"/>
      <c r="M475" s="566"/>
      <c r="N475" s="566"/>
      <c r="O475" s="566"/>
      <c r="P475" s="566"/>
      <c r="Q475" s="566"/>
      <c r="R475" s="566"/>
      <c r="S475" s="566"/>
      <c r="T475" s="566"/>
      <c r="U475" s="566"/>
    </row>
    <row r="476" spans="1:21" ht="19.5" x14ac:dyDescent="0.3">
      <c r="A476" s="764"/>
      <c r="B476" s="718"/>
      <c r="C476" s="719" t="s">
        <v>188</v>
      </c>
      <c r="D476" s="718"/>
      <c r="E476" s="718"/>
      <c r="F476" s="718"/>
      <c r="G476" s="727"/>
      <c r="H476" s="677" t="s">
        <v>46</v>
      </c>
      <c r="I476" s="697">
        <v>0</v>
      </c>
      <c r="J476" s="697">
        <f t="shared" ref="J476:J477" si="297">J478+J480</f>
        <v>0</v>
      </c>
      <c r="K476" s="679">
        <f t="shared" si="296"/>
        <v>0</v>
      </c>
      <c r="L476" s="574"/>
      <c r="M476" s="566"/>
      <c r="N476" s="566"/>
      <c r="O476" s="566"/>
      <c r="P476" s="566"/>
      <c r="Q476" s="566"/>
      <c r="R476" s="566"/>
      <c r="S476" s="566"/>
      <c r="T476" s="566"/>
      <c r="U476" s="566"/>
    </row>
    <row r="477" spans="1:21" ht="19.5" x14ac:dyDescent="0.3">
      <c r="A477" s="764"/>
      <c r="B477" s="718"/>
      <c r="C477" s="765" t="s">
        <v>189</v>
      </c>
      <c r="D477" s="718"/>
      <c r="E477" s="718"/>
      <c r="F477" s="718"/>
      <c r="G477" s="727"/>
      <c r="H477" s="677" t="s">
        <v>34</v>
      </c>
      <c r="I477" s="697">
        <v>0</v>
      </c>
      <c r="J477" s="697">
        <f t="shared" si="297"/>
        <v>0</v>
      </c>
      <c r="K477" s="679">
        <f t="shared" si="296"/>
        <v>0</v>
      </c>
      <c r="L477" s="574"/>
      <c r="M477" s="566"/>
      <c r="N477" s="566"/>
      <c r="O477" s="566"/>
      <c r="P477" s="566"/>
      <c r="Q477" s="566"/>
      <c r="R477" s="566"/>
      <c r="S477" s="566"/>
      <c r="T477" s="566"/>
      <c r="U477" s="566"/>
    </row>
    <row r="478" spans="1:21" ht="18.75" x14ac:dyDescent="0.25">
      <c r="A478" s="764"/>
      <c r="B478" s="718"/>
      <c r="C478" s="718"/>
      <c r="D478" s="765" t="s">
        <v>190</v>
      </c>
      <c r="E478" s="718"/>
      <c r="F478" s="718"/>
      <c r="G478" s="727"/>
      <c r="H478" s="681" t="s">
        <v>46</v>
      </c>
      <c r="I478" s="565"/>
      <c r="J478" s="565"/>
      <c r="K478" s="566"/>
      <c r="L478" s="574"/>
      <c r="M478" s="566"/>
      <c r="N478" s="566"/>
      <c r="O478" s="566"/>
      <c r="P478" s="566"/>
      <c r="Q478" s="566"/>
      <c r="R478" s="566"/>
      <c r="S478" s="566"/>
      <c r="T478" s="566"/>
      <c r="U478" s="566"/>
    </row>
    <row r="479" spans="1:21" ht="18.75" x14ac:dyDescent="0.25">
      <c r="A479" s="764"/>
      <c r="B479" s="718"/>
      <c r="C479" s="718"/>
      <c r="D479" s="718"/>
      <c r="E479" s="718"/>
      <c r="F479" s="718"/>
      <c r="G479" s="727"/>
      <c r="H479" s="681" t="s">
        <v>34</v>
      </c>
      <c r="I479" s="565"/>
      <c r="J479" s="565"/>
      <c r="K479" s="566"/>
      <c r="L479" s="574"/>
      <c r="M479" s="566"/>
      <c r="N479" s="566"/>
      <c r="O479" s="566"/>
      <c r="P479" s="566"/>
      <c r="Q479" s="566"/>
      <c r="R479" s="566"/>
      <c r="S479" s="566"/>
      <c r="T479" s="566"/>
      <c r="U479" s="566"/>
    </row>
    <row r="480" spans="1:21" ht="18.75" x14ac:dyDescent="0.25">
      <c r="A480" s="764"/>
      <c r="B480" s="718"/>
      <c r="C480" s="718"/>
      <c r="D480" s="982" t="s">
        <v>191</v>
      </c>
      <c r="E480" s="718"/>
      <c r="F480" s="718"/>
      <c r="G480" s="727"/>
      <c r="H480" s="681" t="s">
        <v>46</v>
      </c>
      <c r="I480" s="565"/>
      <c r="J480" s="565"/>
      <c r="K480" s="566"/>
      <c r="L480" s="574"/>
      <c r="M480" s="566"/>
      <c r="N480" s="566"/>
      <c r="O480" s="566"/>
      <c r="P480" s="566"/>
      <c r="Q480" s="566"/>
      <c r="R480" s="566"/>
      <c r="S480" s="566"/>
      <c r="T480" s="566"/>
      <c r="U480" s="566"/>
    </row>
    <row r="481" spans="1:21" ht="18.75" x14ac:dyDescent="0.25">
      <c r="A481" s="764"/>
      <c r="B481" s="718"/>
      <c r="C481" s="718"/>
      <c r="D481" s="718"/>
      <c r="E481" s="718"/>
      <c r="F481" s="718"/>
      <c r="G481" s="727"/>
      <c r="H481" s="681" t="s">
        <v>34</v>
      </c>
      <c r="I481" s="565"/>
      <c r="J481" s="565"/>
      <c r="K481" s="566"/>
      <c r="L481" s="574"/>
      <c r="M481" s="566"/>
      <c r="N481" s="566"/>
      <c r="O481" s="566"/>
      <c r="P481" s="566"/>
      <c r="Q481" s="566"/>
      <c r="R481" s="566"/>
      <c r="S481" s="566"/>
      <c r="T481" s="566"/>
      <c r="U481" s="566"/>
    </row>
    <row r="482" spans="1:21" ht="18.75" x14ac:dyDescent="0.25">
      <c r="A482" s="764"/>
      <c r="B482" s="718"/>
      <c r="C482" s="718"/>
      <c r="D482" s="982" t="s">
        <v>192</v>
      </c>
      <c r="E482" s="718"/>
      <c r="F482" s="718"/>
      <c r="G482" s="727"/>
      <c r="H482" s="681" t="s">
        <v>46</v>
      </c>
      <c r="I482" s="565"/>
      <c r="J482" s="708">
        <f ca="1">IFERROR(__xludf.DUMMYFUNCTION("IMPORTRANGE(""https://docs.google.com/spreadsheets/d/1eHaY18a8A9IcSdp1K8H6x8fbOy06t2VsZHhMHf-1x7Y/edit?usp=sharing"",""แผน!HN19"")"),0)</f>
        <v>0</v>
      </c>
      <c r="K482" s="566"/>
      <c r="L482" s="574"/>
      <c r="M482" s="566"/>
      <c r="N482" s="566"/>
      <c r="O482" s="566"/>
      <c r="P482" s="566"/>
      <c r="Q482" s="566"/>
      <c r="R482" s="566"/>
      <c r="S482" s="566"/>
      <c r="T482" s="566"/>
      <c r="U482" s="566"/>
    </row>
    <row r="483" spans="1:21" ht="18.75" x14ac:dyDescent="0.25">
      <c r="A483" s="764"/>
      <c r="B483" s="718"/>
      <c r="C483" s="718"/>
      <c r="D483" s="718"/>
      <c r="E483" s="718"/>
      <c r="F483" s="718"/>
      <c r="G483" s="727"/>
      <c r="H483" s="681" t="s">
        <v>34</v>
      </c>
      <c r="I483" s="565"/>
      <c r="J483" s="708">
        <f ca="1">IFERROR(__xludf.DUMMYFUNCTION("IMPORTRANGE(""https://docs.google.com/spreadsheets/d/1eHaY18a8A9IcSdp1K8H6x8fbOy06t2VsZHhMHf-1x7Y/edit?usp=sharing"",""แผน!HO19"")"),0)</f>
        <v>0</v>
      </c>
      <c r="K483" s="566"/>
      <c r="L483" s="574"/>
      <c r="M483" s="566"/>
      <c r="N483" s="566"/>
      <c r="O483" s="566"/>
      <c r="P483" s="566"/>
      <c r="Q483" s="566"/>
      <c r="R483" s="566"/>
      <c r="S483" s="566"/>
      <c r="T483" s="566"/>
      <c r="U483" s="566"/>
    </row>
    <row r="484" spans="1:21" ht="19.5" x14ac:dyDescent="0.3">
      <c r="A484" s="764"/>
      <c r="B484" s="718"/>
      <c r="C484" s="719" t="s">
        <v>193</v>
      </c>
      <c r="D484" s="718"/>
      <c r="E484" s="718"/>
      <c r="F484" s="718"/>
      <c r="G484" s="727"/>
      <c r="H484" s="677" t="s">
        <v>46</v>
      </c>
      <c r="I484" s="565">
        <f t="shared" ref="I484:I485" si="298">J480</f>
        <v>0</v>
      </c>
      <c r="J484" s="697">
        <f t="shared" ref="J484:J485" si="299">J486+J488+J490</f>
        <v>0</v>
      </c>
      <c r="K484" s="679">
        <f t="shared" ref="K484:K485" si="300">IF(I484&gt;0,J484*100/I484,0)</f>
        <v>0</v>
      </c>
      <c r="L484" s="574"/>
      <c r="M484" s="566"/>
      <c r="N484" s="566"/>
      <c r="O484" s="566"/>
      <c r="P484" s="566"/>
      <c r="Q484" s="566"/>
      <c r="R484" s="566"/>
      <c r="S484" s="566"/>
      <c r="T484" s="566"/>
      <c r="U484" s="566"/>
    </row>
    <row r="485" spans="1:21" ht="19.5" x14ac:dyDescent="0.3">
      <c r="A485" s="764"/>
      <c r="B485" s="718"/>
      <c r="C485" s="765" t="s">
        <v>194</v>
      </c>
      <c r="D485" s="718"/>
      <c r="E485" s="718"/>
      <c r="F485" s="718"/>
      <c r="G485" s="727"/>
      <c r="H485" s="677" t="s">
        <v>34</v>
      </c>
      <c r="I485" s="565">
        <f t="shared" si="298"/>
        <v>0</v>
      </c>
      <c r="J485" s="697">
        <f t="shared" si="299"/>
        <v>0</v>
      </c>
      <c r="K485" s="679">
        <f t="shared" si="300"/>
        <v>0</v>
      </c>
      <c r="L485" s="574"/>
      <c r="M485" s="566"/>
      <c r="N485" s="566"/>
      <c r="O485" s="566"/>
      <c r="P485" s="566"/>
      <c r="Q485" s="566"/>
      <c r="R485" s="566"/>
      <c r="S485" s="566"/>
      <c r="T485" s="566"/>
      <c r="U485" s="566"/>
    </row>
    <row r="486" spans="1:21" ht="18.75" x14ac:dyDescent="0.25">
      <c r="A486" s="764"/>
      <c r="B486" s="718"/>
      <c r="C486" s="718"/>
      <c r="D486" s="982" t="s">
        <v>195</v>
      </c>
      <c r="E486" s="718"/>
      <c r="F486" s="718"/>
      <c r="G486" s="727"/>
      <c r="H486" s="681" t="s">
        <v>46</v>
      </c>
      <c r="I486" s="565"/>
      <c r="J486" s="565"/>
      <c r="K486" s="566"/>
      <c r="L486" s="574"/>
      <c r="M486" s="566"/>
      <c r="N486" s="566"/>
      <c r="O486" s="566"/>
      <c r="P486" s="566"/>
      <c r="Q486" s="566"/>
      <c r="R486" s="566"/>
      <c r="S486" s="566"/>
      <c r="T486" s="566"/>
      <c r="U486" s="566"/>
    </row>
    <row r="487" spans="1:21" ht="18.75" x14ac:dyDescent="0.25">
      <c r="A487" s="764"/>
      <c r="B487" s="718"/>
      <c r="C487" s="718"/>
      <c r="D487" s="718"/>
      <c r="E487" s="718"/>
      <c r="F487" s="718"/>
      <c r="G487" s="727"/>
      <c r="H487" s="681" t="s">
        <v>34</v>
      </c>
      <c r="I487" s="565"/>
      <c r="J487" s="565"/>
      <c r="K487" s="566"/>
      <c r="L487" s="574"/>
      <c r="M487" s="566"/>
      <c r="N487" s="566"/>
      <c r="O487" s="566"/>
      <c r="P487" s="566"/>
      <c r="Q487" s="566"/>
      <c r="R487" s="566"/>
      <c r="S487" s="566"/>
      <c r="T487" s="566"/>
      <c r="U487" s="566"/>
    </row>
    <row r="488" spans="1:21" ht="18.75" x14ac:dyDescent="0.25">
      <c r="A488" s="764"/>
      <c r="B488" s="718"/>
      <c r="C488" s="718"/>
      <c r="D488" s="982" t="s">
        <v>196</v>
      </c>
      <c r="E488" s="718"/>
      <c r="F488" s="718"/>
      <c r="G488" s="727"/>
      <c r="H488" s="681" t="s">
        <v>46</v>
      </c>
      <c r="I488" s="565"/>
      <c r="J488" s="565"/>
      <c r="K488" s="566"/>
      <c r="L488" s="574"/>
      <c r="M488" s="566"/>
      <c r="N488" s="566"/>
      <c r="O488" s="566"/>
      <c r="P488" s="566"/>
      <c r="Q488" s="566"/>
      <c r="R488" s="566"/>
      <c r="S488" s="566"/>
      <c r="T488" s="566"/>
      <c r="U488" s="566"/>
    </row>
    <row r="489" spans="1:21" ht="18.75" x14ac:dyDescent="0.25">
      <c r="A489" s="764"/>
      <c r="B489" s="718"/>
      <c r="C489" s="718"/>
      <c r="D489" s="718"/>
      <c r="E489" s="718"/>
      <c r="F489" s="718"/>
      <c r="G489" s="727"/>
      <c r="H489" s="681" t="s">
        <v>34</v>
      </c>
      <c r="I489" s="565"/>
      <c r="J489" s="565"/>
      <c r="K489" s="566"/>
      <c r="L489" s="574"/>
      <c r="M489" s="566"/>
      <c r="N489" s="566"/>
      <c r="O489" s="566"/>
      <c r="P489" s="566"/>
      <c r="Q489" s="566"/>
      <c r="R489" s="566"/>
      <c r="S489" s="566"/>
      <c r="T489" s="566"/>
      <c r="U489" s="566"/>
    </row>
    <row r="490" spans="1:21" ht="18.75" x14ac:dyDescent="0.25">
      <c r="A490" s="764"/>
      <c r="B490" s="718"/>
      <c r="C490" s="718"/>
      <c r="D490" s="982" t="s">
        <v>197</v>
      </c>
      <c r="E490" s="718"/>
      <c r="F490" s="718"/>
      <c r="G490" s="727"/>
      <c r="H490" s="681" t="s">
        <v>46</v>
      </c>
      <c r="I490" s="565"/>
      <c r="J490" s="565"/>
      <c r="K490" s="566"/>
      <c r="L490" s="574"/>
      <c r="M490" s="566"/>
      <c r="N490" s="566"/>
      <c r="O490" s="566"/>
      <c r="P490" s="566"/>
      <c r="Q490" s="566"/>
      <c r="R490" s="566"/>
      <c r="S490" s="566"/>
      <c r="T490" s="566"/>
      <c r="U490" s="566"/>
    </row>
    <row r="491" spans="1:21" ht="18.75" x14ac:dyDescent="0.25">
      <c r="A491" s="984"/>
      <c r="B491" s="514"/>
      <c r="C491" s="514"/>
      <c r="D491" s="514"/>
      <c r="E491" s="514"/>
      <c r="F491" s="514"/>
      <c r="G491" s="985"/>
      <c r="H491" s="986" t="s">
        <v>34</v>
      </c>
      <c r="I491" s="579"/>
      <c r="J491" s="579"/>
      <c r="K491" s="580"/>
      <c r="L491" s="581"/>
      <c r="M491" s="580"/>
      <c r="N491" s="580"/>
      <c r="O491" s="580"/>
      <c r="P491" s="580"/>
      <c r="Q491" s="580"/>
      <c r="R491" s="580"/>
      <c r="S491" s="580"/>
      <c r="T491" s="580"/>
      <c r="U491" s="580"/>
    </row>
    <row r="492" spans="1:21" ht="19.5" hidden="1" x14ac:dyDescent="0.3">
      <c r="A492" s="926"/>
      <c r="B492" s="971" t="s">
        <v>198</v>
      </c>
      <c r="C492" s="928"/>
      <c r="D492" s="928"/>
      <c r="E492" s="911"/>
      <c r="F492" s="911"/>
      <c r="G492" s="912"/>
      <c r="H492" s="977" t="s">
        <v>35</v>
      </c>
      <c r="I492" s="914">
        <f t="shared" ref="I492:J492" ca="1" si="301">I503</f>
        <v>0</v>
      </c>
      <c r="J492" s="914">
        <f t="shared" ca="1" si="301"/>
        <v>0</v>
      </c>
      <c r="K492" s="915">
        <f ca="1">IF(I492&gt;0,J492*100/I492,0)</f>
        <v>0</v>
      </c>
      <c r="L492" s="916"/>
      <c r="M492" s="917"/>
      <c r="N492" s="917"/>
      <c r="O492" s="917"/>
      <c r="P492" s="917"/>
      <c r="Q492" s="917"/>
      <c r="R492" s="917"/>
      <c r="S492" s="917"/>
      <c r="T492" s="917"/>
      <c r="U492" s="917"/>
    </row>
    <row r="493" spans="1:21" ht="19.5" hidden="1" x14ac:dyDescent="0.3">
      <c r="A493" s="674"/>
      <c r="B493" s="718"/>
      <c r="C493" s="724" t="s">
        <v>18</v>
      </c>
      <c r="D493" s="1313" t="s">
        <v>19</v>
      </c>
      <c r="E493" s="1314"/>
      <c r="F493" s="1314"/>
      <c r="G493" s="563"/>
      <c r="H493" s="780" t="s">
        <v>14</v>
      </c>
      <c r="I493" s="565"/>
      <c r="J493" s="565"/>
      <c r="K493" s="566"/>
      <c r="L493" s="678">
        <f t="shared" ref="L493:N493" ca="1" si="302">L494+L495</f>
        <v>0</v>
      </c>
      <c r="M493" s="679">
        <f t="shared" ca="1" si="302"/>
        <v>0</v>
      </c>
      <c r="N493" s="679">
        <f t="shared" ca="1" si="302"/>
        <v>0</v>
      </c>
      <c r="O493" s="679">
        <f t="shared" ref="O493:O501" ca="1" si="303">IF(L493&gt;0,N493*100/L493,0)</f>
        <v>0</v>
      </c>
      <c r="P493" s="679">
        <f t="shared" ref="P493:P501" ca="1" si="304">IF(M493&gt;0,N493*100/M493,0)</f>
        <v>0</v>
      </c>
      <c r="Q493" s="679">
        <f t="shared" ref="Q493:S493" ca="1" si="305">Q494+Q495</f>
        <v>0</v>
      </c>
      <c r="R493" s="679">
        <f t="shared" ca="1" si="305"/>
        <v>0</v>
      </c>
      <c r="S493" s="679">
        <f t="shared" ca="1" si="305"/>
        <v>0</v>
      </c>
      <c r="T493" s="679">
        <f t="shared" ref="T493:T501" ca="1" si="306">IF(Q493&gt;0,S493*100/Q493,0)</f>
        <v>0</v>
      </c>
      <c r="U493" s="679">
        <f t="shared" ref="U493:U501" ca="1" si="307">IF(R493&gt;0,S493*100/R493,0)</f>
        <v>0</v>
      </c>
    </row>
    <row r="494" spans="1:21" ht="18.75" hidden="1" x14ac:dyDescent="0.25">
      <c r="A494" s="674"/>
      <c r="B494" s="718"/>
      <c r="C494" s="718"/>
      <c r="D494" s="688"/>
      <c r="E494" s="569" t="s">
        <v>158</v>
      </c>
      <c r="F494" s="561"/>
      <c r="G494" s="563"/>
      <c r="H494" s="685" t="s">
        <v>14</v>
      </c>
      <c r="I494" s="565"/>
      <c r="J494" s="565"/>
      <c r="K494" s="566"/>
      <c r="L494" s="571">
        <f t="shared" ref="L494:N495" si="308">L497+L500</f>
        <v>0</v>
      </c>
      <c r="M494" s="572">
        <f t="shared" si="308"/>
        <v>0</v>
      </c>
      <c r="N494" s="572">
        <f t="shared" si="308"/>
        <v>0</v>
      </c>
      <c r="O494" s="572">
        <f t="shared" si="303"/>
        <v>0</v>
      </c>
      <c r="P494" s="572">
        <f t="shared" si="304"/>
        <v>0</v>
      </c>
      <c r="Q494" s="572">
        <f t="shared" ref="Q494:S495" si="309">Q497+Q500</f>
        <v>0</v>
      </c>
      <c r="R494" s="572">
        <f t="shared" si="309"/>
        <v>0</v>
      </c>
      <c r="S494" s="572">
        <f t="shared" si="309"/>
        <v>0</v>
      </c>
      <c r="T494" s="572">
        <f t="shared" si="306"/>
        <v>0</v>
      </c>
      <c r="U494" s="572">
        <f t="shared" si="307"/>
        <v>0</v>
      </c>
    </row>
    <row r="495" spans="1:21" ht="18.75" hidden="1" x14ac:dyDescent="0.25">
      <c r="A495" s="674"/>
      <c r="B495" s="718"/>
      <c r="C495" s="718"/>
      <c r="D495" s="688"/>
      <c r="E495" s="573" t="s">
        <v>159</v>
      </c>
      <c r="F495" s="561"/>
      <c r="G495" s="563"/>
      <c r="H495" s="682" t="s">
        <v>14</v>
      </c>
      <c r="I495" s="565"/>
      <c r="J495" s="565"/>
      <c r="K495" s="566"/>
      <c r="L495" s="567">
        <f t="shared" ca="1" si="308"/>
        <v>0</v>
      </c>
      <c r="M495" s="568">
        <f t="shared" ca="1" si="308"/>
        <v>0</v>
      </c>
      <c r="N495" s="568">
        <f t="shared" ca="1" si="308"/>
        <v>0</v>
      </c>
      <c r="O495" s="568">
        <f t="shared" ca="1" si="303"/>
        <v>0</v>
      </c>
      <c r="P495" s="568">
        <f t="shared" ca="1" si="304"/>
        <v>0</v>
      </c>
      <c r="Q495" s="568">
        <f t="shared" ca="1" si="309"/>
        <v>0</v>
      </c>
      <c r="R495" s="568">
        <f t="shared" ca="1" si="309"/>
        <v>0</v>
      </c>
      <c r="S495" s="568">
        <f t="shared" ca="1" si="309"/>
        <v>0</v>
      </c>
      <c r="T495" s="568">
        <f t="shared" ca="1" si="306"/>
        <v>0</v>
      </c>
      <c r="U495" s="568">
        <f t="shared" ca="1" si="307"/>
        <v>0</v>
      </c>
    </row>
    <row r="496" spans="1:21" ht="18.75" hidden="1" x14ac:dyDescent="0.25">
      <c r="A496" s="674"/>
      <c r="B496" s="718"/>
      <c r="C496" s="718"/>
      <c r="D496" s="721" t="s">
        <v>22</v>
      </c>
      <c r="E496" s="561"/>
      <c r="F496" s="561"/>
      <c r="G496" s="563"/>
      <c r="H496" s="682" t="s">
        <v>14</v>
      </c>
      <c r="I496" s="683"/>
      <c r="J496" s="683"/>
      <c r="K496" s="684"/>
      <c r="L496" s="567">
        <f t="shared" ref="L496:N496" ca="1" si="310">L497+L498</f>
        <v>0</v>
      </c>
      <c r="M496" s="568">
        <f t="shared" ca="1" si="310"/>
        <v>0</v>
      </c>
      <c r="N496" s="568">
        <f t="shared" ca="1" si="310"/>
        <v>0</v>
      </c>
      <c r="O496" s="568">
        <f t="shared" ca="1" si="303"/>
        <v>0</v>
      </c>
      <c r="P496" s="568">
        <f t="shared" ca="1" si="304"/>
        <v>0</v>
      </c>
      <c r="Q496" s="568">
        <f t="shared" ref="Q496:S496" ca="1" si="311">Q497+Q498</f>
        <v>0</v>
      </c>
      <c r="R496" s="568">
        <f t="shared" ca="1" si="311"/>
        <v>0</v>
      </c>
      <c r="S496" s="568">
        <f t="shared" ca="1" si="311"/>
        <v>0</v>
      </c>
      <c r="T496" s="568">
        <f t="shared" ca="1" si="306"/>
        <v>0</v>
      </c>
      <c r="U496" s="568">
        <f t="shared" ca="1" si="307"/>
        <v>0</v>
      </c>
    </row>
    <row r="497" spans="1:21" ht="18.75" hidden="1" x14ac:dyDescent="0.25">
      <c r="A497" s="674"/>
      <c r="B497" s="718"/>
      <c r="C497" s="718"/>
      <c r="D497" s="688"/>
      <c r="E497" s="569" t="s">
        <v>158</v>
      </c>
      <c r="F497" s="561"/>
      <c r="G497" s="563"/>
      <c r="H497" s="685" t="s">
        <v>14</v>
      </c>
      <c r="I497" s="565"/>
      <c r="J497" s="565"/>
      <c r="K497" s="566"/>
      <c r="L497" s="571">
        <v>0</v>
      </c>
      <c r="M497" s="572">
        <v>0</v>
      </c>
      <c r="N497" s="572">
        <v>0</v>
      </c>
      <c r="O497" s="572">
        <f t="shared" si="303"/>
        <v>0</v>
      </c>
      <c r="P497" s="572">
        <f t="shared" si="304"/>
        <v>0</v>
      </c>
      <c r="Q497" s="572">
        <v>0</v>
      </c>
      <c r="R497" s="572">
        <v>0</v>
      </c>
      <c r="S497" s="572">
        <v>0</v>
      </c>
      <c r="T497" s="572">
        <f t="shared" si="306"/>
        <v>0</v>
      </c>
      <c r="U497" s="572">
        <f t="shared" si="307"/>
        <v>0</v>
      </c>
    </row>
    <row r="498" spans="1:21" ht="18.75" hidden="1" x14ac:dyDescent="0.25">
      <c r="A498" s="674"/>
      <c r="B498" s="718"/>
      <c r="C498" s="718"/>
      <c r="D498" s="688"/>
      <c r="E498" s="573" t="s">
        <v>159</v>
      </c>
      <c r="F498" s="561"/>
      <c r="G498" s="563"/>
      <c r="H498" s="682" t="s">
        <v>14</v>
      </c>
      <c r="I498" s="565"/>
      <c r="J498" s="565"/>
      <c r="K498" s="566"/>
      <c r="L498" s="567">
        <f ca="1">IFERROR(__xludf.DUMMYFUNCTION("IMPORTRANGE(""https://docs.google.com/spreadsheets/d/1-uDff_7J0KD5mKrp0Vvzr7lt3OU09vwQwhkpOPPYv2Y/edit?usp=sharing"",""งบพรบ!HU19"")"),0)</f>
        <v>0</v>
      </c>
      <c r="M498" s="568">
        <f ca="1">IFERROR(__xludf.DUMMYFUNCTION("IMPORTRANGE(""https://docs.google.com/spreadsheets/d/1-uDff_7J0KD5mKrp0Vvzr7lt3OU09vwQwhkpOPPYv2Y/edit?usp=sharing"",""งบพรบ!HZ19"")"),0)</f>
        <v>0</v>
      </c>
      <c r="N498" s="568">
        <f ca="1">IFERROR(__xludf.DUMMYFUNCTION("IMPORTRANGE(""https://docs.google.com/spreadsheets/d/1-uDff_7J0KD5mKrp0Vvzr7lt3OU09vwQwhkpOPPYv2Y/edit?usp=sharing"",""งบพรบ!IB19"")"),0)</f>
        <v>0</v>
      </c>
      <c r="O498" s="568">
        <f t="shared" ca="1" si="303"/>
        <v>0</v>
      </c>
      <c r="P498" s="568">
        <f t="shared" ca="1" si="304"/>
        <v>0</v>
      </c>
      <c r="Q498" s="568">
        <f ca="1">IFERROR(__xludf.DUMMYFUNCTION("IMPORTRANGE(""https://docs.google.com/spreadsheets/d/1ItG2mGa2ceCfYo0BwxsXqNm01IGEUdYcSSLTEv9YCik/edit?usp=sharing"",""เบิกจ่ายกองทุน!AD19"")"),0)</f>
        <v>0</v>
      </c>
      <c r="R498" s="568">
        <f ca="1">IFERROR(__xludf.DUMMYFUNCTION("IMPORTRANGE(""https://docs.google.com/spreadsheets/d/1ItG2mGa2ceCfYo0BwxsXqNm01IGEUdYcSSLTEv9YCik/edit?usp=sharing"",""เบิกจ่ายกองทุน!AE19"")"),0)</f>
        <v>0</v>
      </c>
      <c r="S498" s="568">
        <f ca="1">IFERROR(__xludf.DUMMYFUNCTION("IMPORTRANGE(""https://docs.google.com/spreadsheets/d/1ItG2mGa2ceCfYo0BwxsXqNm01IGEUdYcSSLTEv9YCik/edit?usp=sharing"",""เบิกจ่ายกองทุน!AF19"")"),0)</f>
        <v>0</v>
      </c>
      <c r="T498" s="568">
        <f t="shared" ca="1" si="306"/>
        <v>0</v>
      </c>
      <c r="U498" s="568">
        <f t="shared" ca="1" si="307"/>
        <v>0</v>
      </c>
    </row>
    <row r="499" spans="1:21" ht="18.75" hidden="1" x14ac:dyDescent="0.25">
      <c r="A499" s="674"/>
      <c r="B499" s="718"/>
      <c r="C499" s="718"/>
      <c r="D499" s="721" t="s">
        <v>23</v>
      </c>
      <c r="E499" s="561"/>
      <c r="F499" s="561"/>
      <c r="G499" s="563"/>
      <c r="H499" s="686" t="s">
        <v>14</v>
      </c>
      <c r="I499" s="683"/>
      <c r="J499" s="683"/>
      <c r="K499" s="684"/>
      <c r="L499" s="567">
        <f t="shared" ref="L499:N499" ca="1" si="312">L500+L501</f>
        <v>0</v>
      </c>
      <c r="M499" s="568">
        <f t="shared" ca="1" si="312"/>
        <v>0</v>
      </c>
      <c r="N499" s="568">
        <f t="shared" ca="1" si="312"/>
        <v>0</v>
      </c>
      <c r="O499" s="568">
        <f t="shared" ca="1" si="303"/>
        <v>0</v>
      </c>
      <c r="P499" s="568">
        <f t="shared" ca="1" si="304"/>
        <v>0</v>
      </c>
      <c r="Q499" s="568">
        <f t="shared" ref="Q499:S499" si="313">Q500+Q501</f>
        <v>0</v>
      </c>
      <c r="R499" s="568">
        <f t="shared" si="313"/>
        <v>0</v>
      </c>
      <c r="S499" s="568">
        <f t="shared" si="313"/>
        <v>0</v>
      </c>
      <c r="T499" s="568">
        <f t="shared" si="306"/>
        <v>0</v>
      </c>
      <c r="U499" s="568">
        <f t="shared" si="307"/>
        <v>0</v>
      </c>
    </row>
    <row r="500" spans="1:21" ht="18.75" hidden="1" x14ac:dyDescent="0.25">
      <c r="A500" s="674"/>
      <c r="B500" s="718"/>
      <c r="C500" s="718"/>
      <c r="D500" s="718"/>
      <c r="E500" s="569" t="s">
        <v>20</v>
      </c>
      <c r="F500" s="561"/>
      <c r="G500" s="563"/>
      <c r="H500" s="685" t="s">
        <v>14</v>
      </c>
      <c r="I500" s="683"/>
      <c r="J500" s="683"/>
      <c r="K500" s="684"/>
      <c r="L500" s="571">
        <v>0</v>
      </c>
      <c r="M500" s="572">
        <v>0</v>
      </c>
      <c r="N500" s="572">
        <v>0</v>
      </c>
      <c r="O500" s="572">
        <f t="shared" si="303"/>
        <v>0</v>
      </c>
      <c r="P500" s="572">
        <f t="shared" si="304"/>
        <v>0</v>
      </c>
      <c r="Q500" s="572">
        <v>0</v>
      </c>
      <c r="R500" s="572">
        <v>0</v>
      </c>
      <c r="S500" s="572">
        <v>0</v>
      </c>
      <c r="T500" s="572">
        <f t="shared" si="306"/>
        <v>0</v>
      </c>
      <c r="U500" s="572">
        <f t="shared" si="307"/>
        <v>0</v>
      </c>
    </row>
    <row r="501" spans="1:21" ht="18.75" hidden="1" x14ac:dyDescent="0.25">
      <c r="A501" s="674"/>
      <c r="B501" s="718"/>
      <c r="C501" s="718"/>
      <c r="D501" s="718"/>
      <c r="E501" s="573" t="s">
        <v>21</v>
      </c>
      <c r="F501" s="561"/>
      <c r="G501" s="563"/>
      <c r="H501" s="686" t="s">
        <v>14</v>
      </c>
      <c r="I501" s="683"/>
      <c r="J501" s="683"/>
      <c r="K501" s="684"/>
      <c r="L501" s="567">
        <f ca="1">IFERROR(__xludf.DUMMYFUNCTION("IMPORTRANGE(""https://docs.google.com/spreadsheets/d/1-uDff_7J0KD5mKrp0Vvzr7lt3OU09vwQwhkpOPPYv2Y/edit?usp=sharing"",""งบพรบ!HX19"")"),0)</f>
        <v>0</v>
      </c>
      <c r="M501" s="568">
        <f ca="1">IFERROR(__xludf.DUMMYFUNCTION("IMPORTRANGE(""https://docs.google.com/spreadsheets/d/1-uDff_7J0KD5mKrp0Vvzr7lt3OU09vwQwhkpOPPYv2Y/edit?usp=sharing"",""งบพรบ!IA19"")"),0)</f>
        <v>0</v>
      </c>
      <c r="N501" s="568">
        <f ca="1">IFERROR(__xludf.DUMMYFUNCTION("IMPORTRANGE(""https://docs.google.com/spreadsheets/d/1-uDff_7J0KD5mKrp0Vvzr7lt3OU09vwQwhkpOPPYv2Y/edit?usp=sharing"",""งบพรบ!IC19"")"),0)</f>
        <v>0</v>
      </c>
      <c r="O501" s="568">
        <f t="shared" ca="1" si="303"/>
        <v>0</v>
      </c>
      <c r="P501" s="568">
        <f t="shared" ca="1" si="304"/>
        <v>0</v>
      </c>
      <c r="Q501" s="568">
        <v>0</v>
      </c>
      <c r="R501" s="568">
        <v>0</v>
      </c>
      <c r="S501" s="568">
        <v>0</v>
      </c>
      <c r="T501" s="568">
        <f t="shared" si="306"/>
        <v>0</v>
      </c>
      <c r="U501" s="568">
        <f t="shared" si="307"/>
        <v>0</v>
      </c>
    </row>
    <row r="502" spans="1:21" ht="19.5" hidden="1" x14ac:dyDescent="0.3">
      <c r="A502" s="687"/>
      <c r="B502" s="688"/>
      <c r="C502" s="724" t="s">
        <v>18</v>
      </c>
      <c r="D502" s="956" t="s">
        <v>38</v>
      </c>
      <c r="E502" s="690"/>
      <c r="F502" s="690"/>
      <c r="G502" s="691"/>
      <c r="H502" s="725"/>
      <c r="I502" s="683"/>
      <c r="J502" s="683"/>
      <c r="K502" s="684"/>
      <c r="L502" s="693"/>
      <c r="M502" s="684"/>
      <c r="N502" s="684"/>
      <c r="O502" s="684"/>
      <c r="P502" s="684"/>
      <c r="Q502" s="684"/>
      <c r="R502" s="684"/>
      <c r="S502" s="684"/>
      <c r="T502" s="684"/>
      <c r="U502" s="684"/>
    </row>
    <row r="503" spans="1:21" ht="19.5" hidden="1" x14ac:dyDescent="0.3">
      <c r="A503" s="764"/>
      <c r="B503" s="718"/>
      <c r="C503" s="718"/>
      <c r="D503" s="719" t="s">
        <v>199</v>
      </c>
      <c r="E503" s="561"/>
      <c r="F503" s="561"/>
      <c r="G503" s="563"/>
      <c r="H503" s="681" t="s">
        <v>35</v>
      </c>
      <c r="I503" s="697">
        <f ca="1">IFERROR(__xludf.DUMMYFUNCTION("IMPORTRANGE(""https://docs.google.com/spreadsheets/d/1eHaY18a8A9IcSdp1K8H6x8fbOy06t2VsZHhMHf-1x7Y/edit?usp=sharing"",""แผน!GX19"")"),0)</f>
        <v>0</v>
      </c>
      <c r="J503" s="697">
        <f ca="1">IF(AND(J504=I504,J505=I505,J506=I506,J507=I507),I503,0)</f>
        <v>0</v>
      </c>
      <c r="K503" s="679">
        <f t="shared" ref="K503:K509" ca="1" si="314">IF(I503&gt;0,J503*100/I503,0)</f>
        <v>0</v>
      </c>
      <c r="L503" s="574"/>
      <c r="M503" s="566"/>
      <c r="N503" s="566"/>
      <c r="O503" s="566"/>
      <c r="P503" s="566"/>
      <c r="Q503" s="566"/>
      <c r="R503" s="566"/>
      <c r="S503" s="566"/>
      <c r="T503" s="566"/>
      <c r="U503" s="566"/>
    </row>
    <row r="504" spans="1:21" ht="18.75" hidden="1" x14ac:dyDescent="0.25">
      <c r="A504" s="764"/>
      <c r="B504" s="718"/>
      <c r="C504" s="718"/>
      <c r="D504" s="718"/>
      <c r="E504" s="573" t="s">
        <v>200</v>
      </c>
      <c r="F504" s="561"/>
      <c r="G504" s="563"/>
      <c r="H504" s="681" t="s">
        <v>35</v>
      </c>
      <c r="I504" s="708">
        <f ca="1">IFERROR(__xludf.DUMMYFUNCTION("IMPORTRANGE(""https://docs.google.com/spreadsheets/d/1eHaY18a8A9IcSdp1K8H6x8fbOy06t2VsZHhMHf-1x7Y/edit?usp=sharing"",""แผน!GY19"")"),0)</f>
        <v>0</v>
      </c>
      <c r="J504" s="702">
        <v>0</v>
      </c>
      <c r="K504" s="568">
        <f t="shared" ca="1" si="314"/>
        <v>0</v>
      </c>
      <c r="L504" s="574"/>
      <c r="M504" s="566"/>
      <c r="N504" s="566"/>
      <c r="O504" s="566"/>
      <c r="P504" s="566"/>
      <c r="Q504" s="566"/>
      <c r="R504" s="566"/>
      <c r="S504" s="566"/>
      <c r="T504" s="566"/>
      <c r="U504" s="566"/>
    </row>
    <row r="505" spans="1:21" ht="18.75" hidden="1" x14ac:dyDescent="0.25">
      <c r="A505" s="764"/>
      <c r="B505" s="718"/>
      <c r="C505" s="718"/>
      <c r="D505" s="718"/>
      <c r="E505" s="573" t="s">
        <v>201</v>
      </c>
      <c r="F505" s="561"/>
      <c r="G505" s="563"/>
      <c r="H505" s="681" t="s">
        <v>35</v>
      </c>
      <c r="I505" s="708">
        <f ca="1">IFERROR(__xludf.DUMMYFUNCTION("IMPORTRANGE(""https://docs.google.com/spreadsheets/d/1eHaY18a8A9IcSdp1K8H6x8fbOy06t2VsZHhMHf-1x7Y/edit?usp=sharing"",""แผน!GZ19"")"),0)</f>
        <v>0</v>
      </c>
      <c r="J505" s="702">
        <v>0</v>
      </c>
      <c r="K505" s="568">
        <f t="shared" ca="1" si="314"/>
        <v>0</v>
      </c>
      <c r="L505" s="574"/>
      <c r="M505" s="566"/>
      <c r="N505" s="566"/>
      <c r="O505" s="566"/>
      <c r="P505" s="566"/>
      <c r="Q505" s="566"/>
      <c r="R505" s="566"/>
      <c r="S505" s="566"/>
      <c r="T505" s="566"/>
      <c r="U505" s="566"/>
    </row>
    <row r="506" spans="1:21" ht="18.75" hidden="1" x14ac:dyDescent="0.25">
      <c r="A506" s="764"/>
      <c r="B506" s="718"/>
      <c r="C506" s="718"/>
      <c r="D506" s="718"/>
      <c r="E506" s="573" t="s">
        <v>202</v>
      </c>
      <c r="F506" s="561"/>
      <c r="G506" s="563"/>
      <c r="H506" s="681" t="s">
        <v>35</v>
      </c>
      <c r="I506" s="708">
        <f ca="1">IFERROR(__xludf.DUMMYFUNCTION("IMPORTRANGE(""https://docs.google.com/spreadsheets/d/1eHaY18a8A9IcSdp1K8H6x8fbOy06t2VsZHhMHf-1x7Y/edit?usp=sharing"",""แผน!HA19"")"),0)</f>
        <v>0</v>
      </c>
      <c r="J506" s="702">
        <v>0</v>
      </c>
      <c r="K506" s="568">
        <f t="shared" ca="1" si="314"/>
        <v>0</v>
      </c>
      <c r="L506" s="574"/>
      <c r="M506" s="566"/>
      <c r="N506" s="566"/>
      <c r="O506" s="566"/>
      <c r="P506" s="566"/>
      <c r="Q506" s="566"/>
      <c r="R506" s="566"/>
      <c r="S506" s="566"/>
      <c r="T506" s="566"/>
      <c r="U506" s="566"/>
    </row>
    <row r="507" spans="1:21" ht="18.75" hidden="1" x14ac:dyDescent="0.25">
      <c r="A507" s="764"/>
      <c r="B507" s="718"/>
      <c r="C507" s="718"/>
      <c r="D507" s="718"/>
      <c r="E507" s="987" t="s">
        <v>203</v>
      </c>
      <c r="F507" s="561"/>
      <c r="G507" s="563"/>
      <c r="H507" s="681" t="s">
        <v>35</v>
      </c>
      <c r="I507" s="708">
        <f ca="1">IFERROR(__xludf.DUMMYFUNCTION("IMPORTRANGE(""https://docs.google.com/spreadsheets/d/1eHaY18a8A9IcSdp1K8H6x8fbOy06t2VsZHhMHf-1x7Y/edit?usp=sharing"",""แผน!HB19"")"),0)</f>
        <v>0</v>
      </c>
      <c r="J507" s="702">
        <v>0</v>
      </c>
      <c r="K507" s="568">
        <f t="shared" ca="1" si="314"/>
        <v>0</v>
      </c>
      <c r="L507" s="574"/>
      <c r="M507" s="566"/>
      <c r="N507" s="566"/>
      <c r="O507" s="566"/>
      <c r="P507" s="566"/>
      <c r="Q507" s="566"/>
      <c r="R507" s="566"/>
      <c r="S507" s="566"/>
      <c r="T507" s="566"/>
      <c r="U507" s="566"/>
    </row>
    <row r="508" spans="1:21" ht="18.75" hidden="1" x14ac:dyDescent="0.25">
      <c r="A508" s="764"/>
      <c r="B508" s="718"/>
      <c r="C508" s="718"/>
      <c r="D508" s="718"/>
      <c r="E508" s="573" t="s">
        <v>204</v>
      </c>
      <c r="F508" s="561"/>
      <c r="G508" s="563"/>
      <c r="H508" s="681" t="s">
        <v>35</v>
      </c>
      <c r="I508" s="708">
        <v>0</v>
      </c>
      <c r="J508" s="708">
        <v>0</v>
      </c>
      <c r="K508" s="568">
        <f t="shared" si="314"/>
        <v>0</v>
      </c>
      <c r="L508" s="574"/>
      <c r="M508" s="566"/>
      <c r="N508" s="566"/>
      <c r="O508" s="566"/>
      <c r="P508" s="566"/>
      <c r="Q508" s="566"/>
      <c r="R508" s="566"/>
      <c r="S508" s="566"/>
      <c r="T508" s="566"/>
      <c r="U508" s="566"/>
    </row>
    <row r="509" spans="1:21" ht="19.5" hidden="1" x14ac:dyDescent="0.3">
      <c r="A509" s="984"/>
      <c r="B509" s="514"/>
      <c r="C509" s="514"/>
      <c r="D509" s="988" t="s">
        <v>50</v>
      </c>
      <c r="E509" s="513"/>
      <c r="F509" s="513"/>
      <c r="G509" s="577"/>
      <c r="H509" s="986" t="s">
        <v>35</v>
      </c>
      <c r="I509" s="989">
        <f ca="1">IFERROR(__xludf.DUMMYFUNCTION("IMPORTRANGE(""https://docs.google.com/spreadsheets/d/1eHaY18a8A9IcSdp1K8H6x8fbOy06t2VsZHhMHf-1x7Y/edit?usp=sharing"",""แผน!HC19"")"),0)</f>
        <v>0</v>
      </c>
      <c r="J509" s="990">
        <v>0</v>
      </c>
      <c r="K509" s="655">
        <f t="shared" ca="1" si="314"/>
        <v>0</v>
      </c>
      <c r="L509" s="581"/>
      <c r="M509" s="580"/>
      <c r="N509" s="580"/>
      <c r="O509" s="580"/>
      <c r="P509" s="580"/>
      <c r="Q509" s="580"/>
      <c r="R509" s="580"/>
      <c r="S509" s="580"/>
      <c r="T509" s="580"/>
      <c r="U509" s="580"/>
    </row>
    <row r="510" spans="1:21" ht="19.5" hidden="1" x14ac:dyDescent="0.3">
      <c r="A510" s="991" t="s">
        <v>205</v>
      </c>
      <c r="B510" s="992"/>
      <c r="C510" s="992"/>
      <c r="D510" s="992"/>
      <c r="E510" s="993"/>
      <c r="F510" s="993"/>
      <c r="G510" s="993"/>
      <c r="H510" s="993"/>
      <c r="I510" s="994"/>
      <c r="J510" s="994"/>
      <c r="K510" s="995"/>
      <c r="L510" s="996"/>
      <c r="M510" s="997"/>
      <c r="N510" s="997"/>
      <c r="O510" s="997"/>
      <c r="P510" s="997"/>
      <c r="Q510" s="997"/>
      <c r="R510" s="997"/>
      <c r="S510" s="997"/>
      <c r="T510" s="997"/>
      <c r="U510" s="997"/>
    </row>
    <row r="511" spans="1:21" ht="19.5" hidden="1" x14ac:dyDescent="0.3">
      <c r="A511" s="998" t="s">
        <v>206</v>
      </c>
      <c r="B511" s="999"/>
      <c r="C511" s="999"/>
      <c r="D511" s="1000"/>
      <c r="E511" s="999"/>
      <c r="F511" s="999"/>
      <c r="G511" s="999"/>
      <c r="H511" s="1001"/>
      <c r="I511" s="1002"/>
      <c r="J511" s="1002"/>
      <c r="K511" s="1003"/>
      <c r="L511" s="1004"/>
      <c r="M511" s="1005"/>
      <c r="N511" s="1005"/>
      <c r="O511" s="1005"/>
      <c r="P511" s="1005"/>
      <c r="Q511" s="1005"/>
      <c r="R511" s="1005"/>
      <c r="S511" s="1005"/>
      <c r="T511" s="1005"/>
      <c r="U511" s="1005"/>
    </row>
    <row r="512" spans="1:21" ht="19.5" hidden="1" x14ac:dyDescent="0.3">
      <c r="A512" s="1006"/>
      <c r="B512" s="1007" t="s">
        <v>207</v>
      </c>
      <c r="C512" s="1008"/>
      <c r="D512" s="1009"/>
      <c r="E512" s="1009"/>
      <c r="F512" s="1009"/>
      <c r="G512" s="1010"/>
      <c r="H512" s="1011" t="s">
        <v>61</v>
      </c>
      <c r="I512" s="1012">
        <f t="shared" ref="I512:J512" si="315">I524</f>
        <v>0</v>
      </c>
      <c r="J512" s="1012">
        <f t="shared" si="315"/>
        <v>0</v>
      </c>
      <c r="K512" s="1013">
        <f>IF(I512&gt;0,J512*100/I512,0)</f>
        <v>0</v>
      </c>
      <c r="L512" s="1014"/>
      <c r="M512" s="1015"/>
      <c r="N512" s="1015"/>
      <c r="O512" s="1015"/>
      <c r="P512" s="1015"/>
      <c r="Q512" s="1015"/>
      <c r="R512" s="1015"/>
      <c r="S512" s="1015"/>
      <c r="T512" s="1015"/>
      <c r="U512" s="1015"/>
    </row>
    <row r="513" spans="1:21" ht="19.5" hidden="1" x14ac:dyDescent="0.3">
      <c r="A513" s="674"/>
      <c r="B513" s="561"/>
      <c r="C513" s="797" t="s">
        <v>18</v>
      </c>
      <c r="D513" s="798" t="s">
        <v>19</v>
      </c>
      <c r="E513" s="561"/>
      <c r="F513" s="561"/>
      <c r="G513" s="563"/>
      <c r="H513" s="1016" t="s">
        <v>14</v>
      </c>
      <c r="I513" s="565"/>
      <c r="J513" s="565"/>
      <c r="K513" s="566"/>
      <c r="L513" s="678">
        <f t="shared" ref="L513:N513" ca="1" si="316">L514+L515</f>
        <v>0</v>
      </c>
      <c r="M513" s="679">
        <f t="shared" ca="1" si="316"/>
        <v>0</v>
      </c>
      <c r="N513" s="679">
        <f t="shared" ca="1" si="316"/>
        <v>0</v>
      </c>
      <c r="O513" s="679">
        <f t="shared" ref="O513:O521" ca="1" si="317">IF(L513&gt;0,N513*100/L513,0)</f>
        <v>0</v>
      </c>
      <c r="P513" s="679">
        <f t="shared" ref="P513:P521" ca="1" si="318">IF(M513&gt;0,N513*100/M513,0)</f>
        <v>0</v>
      </c>
      <c r="Q513" s="679">
        <f t="shared" ref="Q513:S513" si="319">Q514+Q515</f>
        <v>0</v>
      </c>
      <c r="R513" s="679">
        <f t="shared" si="319"/>
        <v>0</v>
      </c>
      <c r="S513" s="679">
        <f t="shared" si="319"/>
        <v>0</v>
      </c>
      <c r="T513" s="679">
        <f t="shared" ref="T513:T521" si="320">IF(Q513&gt;0,S513*100/Q513,0)</f>
        <v>0</v>
      </c>
      <c r="U513" s="679">
        <f t="shared" ref="U513:U521" si="321">IF(R513&gt;0,S513*100/R513,0)</f>
        <v>0</v>
      </c>
    </row>
    <row r="514" spans="1:21" ht="18.75" hidden="1" x14ac:dyDescent="0.25">
      <c r="A514" s="674"/>
      <c r="B514" s="561"/>
      <c r="C514" s="561"/>
      <c r="D514" s="561"/>
      <c r="E514" s="569" t="s">
        <v>20</v>
      </c>
      <c r="F514" s="561"/>
      <c r="G514" s="563"/>
      <c r="H514" s="680" t="s">
        <v>14</v>
      </c>
      <c r="I514" s="565"/>
      <c r="J514" s="565"/>
      <c r="K514" s="566"/>
      <c r="L514" s="571">
        <f t="shared" ref="L514:N515" si="322">L517+L520</f>
        <v>0</v>
      </c>
      <c r="M514" s="572">
        <f t="shared" si="322"/>
        <v>0</v>
      </c>
      <c r="N514" s="572">
        <f t="shared" si="322"/>
        <v>0</v>
      </c>
      <c r="O514" s="572">
        <f t="shared" si="317"/>
        <v>0</v>
      </c>
      <c r="P514" s="572">
        <f t="shared" si="318"/>
        <v>0</v>
      </c>
      <c r="Q514" s="572">
        <f t="shared" ref="Q514:S515" si="323">Q517+Q520</f>
        <v>0</v>
      </c>
      <c r="R514" s="572">
        <f t="shared" si="323"/>
        <v>0</v>
      </c>
      <c r="S514" s="572">
        <f t="shared" si="323"/>
        <v>0</v>
      </c>
      <c r="T514" s="572">
        <f t="shared" si="320"/>
        <v>0</v>
      </c>
      <c r="U514" s="572">
        <f t="shared" si="321"/>
        <v>0</v>
      </c>
    </row>
    <row r="515" spans="1:21" ht="18.75" hidden="1" x14ac:dyDescent="0.25">
      <c r="A515" s="674"/>
      <c r="B515" s="561"/>
      <c r="C515" s="561"/>
      <c r="D515" s="561"/>
      <c r="E515" s="569" t="s">
        <v>21</v>
      </c>
      <c r="F515" s="561"/>
      <c r="G515" s="563"/>
      <c r="H515" s="680" t="s">
        <v>14</v>
      </c>
      <c r="I515" s="565"/>
      <c r="J515" s="565"/>
      <c r="K515" s="566"/>
      <c r="L515" s="567">
        <f t="shared" ca="1" si="322"/>
        <v>0</v>
      </c>
      <c r="M515" s="568">
        <f t="shared" ca="1" si="322"/>
        <v>0</v>
      </c>
      <c r="N515" s="568">
        <f t="shared" ca="1" si="322"/>
        <v>0</v>
      </c>
      <c r="O515" s="568">
        <f t="shared" ca="1" si="317"/>
        <v>0</v>
      </c>
      <c r="P515" s="568">
        <f t="shared" ca="1" si="318"/>
        <v>0</v>
      </c>
      <c r="Q515" s="568">
        <f t="shared" si="323"/>
        <v>0</v>
      </c>
      <c r="R515" s="568">
        <f t="shared" si="323"/>
        <v>0</v>
      </c>
      <c r="S515" s="568">
        <f t="shared" si="323"/>
        <v>0</v>
      </c>
      <c r="T515" s="568">
        <f t="shared" si="320"/>
        <v>0</v>
      </c>
      <c r="U515" s="568">
        <f t="shared" si="321"/>
        <v>0</v>
      </c>
    </row>
    <row r="516" spans="1:21" ht="18.75" hidden="1" x14ac:dyDescent="0.25">
      <c r="A516" s="674"/>
      <c r="B516" s="561"/>
      <c r="C516" s="561"/>
      <c r="D516" s="1017" t="s">
        <v>22</v>
      </c>
      <c r="E516" s="561"/>
      <c r="F516" s="561"/>
      <c r="G516" s="563"/>
      <c r="H516" s="685" t="s">
        <v>14</v>
      </c>
      <c r="I516" s="683"/>
      <c r="J516" s="683"/>
      <c r="K516" s="684"/>
      <c r="L516" s="567">
        <f t="shared" ref="L516:N516" ca="1" si="324">L517+L518</f>
        <v>0</v>
      </c>
      <c r="M516" s="568">
        <f t="shared" ca="1" si="324"/>
        <v>0</v>
      </c>
      <c r="N516" s="568">
        <f t="shared" ca="1" si="324"/>
        <v>0</v>
      </c>
      <c r="O516" s="568">
        <f t="shared" ca="1" si="317"/>
        <v>0</v>
      </c>
      <c r="P516" s="568">
        <f t="shared" ca="1" si="318"/>
        <v>0</v>
      </c>
      <c r="Q516" s="568">
        <f t="shared" ref="Q516:S516" si="325">Q517+Q518</f>
        <v>0</v>
      </c>
      <c r="R516" s="568">
        <f t="shared" si="325"/>
        <v>0</v>
      </c>
      <c r="S516" s="568">
        <f t="shared" si="325"/>
        <v>0</v>
      </c>
      <c r="T516" s="568">
        <f t="shared" si="320"/>
        <v>0</v>
      </c>
      <c r="U516" s="568">
        <f t="shared" si="321"/>
        <v>0</v>
      </c>
    </row>
    <row r="517" spans="1:21" ht="18.75" hidden="1" x14ac:dyDescent="0.25">
      <c r="A517" s="674"/>
      <c r="B517" s="561"/>
      <c r="C517" s="561"/>
      <c r="D517" s="561"/>
      <c r="E517" s="569" t="s">
        <v>36</v>
      </c>
      <c r="F517" s="561"/>
      <c r="G517" s="563"/>
      <c r="H517" s="685" t="s">
        <v>14</v>
      </c>
      <c r="I517" s="683"/>
      <c r="J517" s="683"/>
      <c r="K517" s="684"/>
      <c r="L517" s="571">
        <v>0</v>
      </c>
      <c r="M517" s="572">
        <v>0</v>
      </c>
      <c r="N517" s="572">
        <v>0</v>
      </c>
      <c r="O517" s="572">
        <f t="shared" si="317"/>
        <v>0</v>
      </c>
      <c r="P517" s="572">
        <f t="shared" si="318"/>
        <v>0</v>
      </c>
      <c r="Q517" s="572">
        <v>0</v>
      </c>
      <c r="R517" s="572">
        <v>0</v>
      </c>
      <c r="S517" s="572">
        <v>0</v>
      </c>
      <c r="T517" s="572">
        <f t="shared" si="320"/>
        <v>0</v>
      </c>
      <c r="U517" s="572">
        <f t="shared" si="321"/>
        <v>0</v>
      </c>
    </row>
    <row r="518" spans="1:21" ht="18.75" hidden="1" x14ac:dyDescent="0.25">
      <c r="A518" s="674"/>
      <c r="B518" s="561"/>
      <c r="C518" s="561"/>
      <c r="D518" s="561"/>
      <c r="E518" s="569" t="s">
        <v>37</v>
      </c>
      <c r="F518" s="561"/>
      <c r="G518" s="563"/>
      <c r="H518" s="685" t="s">
        <v>14</v>
      </c>
      <c r="I518" s="683"/>
      <c r="J518" s="683"/>
      <c r="K518" s="684"/>
      <c r="L518" s="567">
        <f ca="1">IFERROR(__xludf.DUMMYFUNCTION("IMPORTRANGE(""https://docs.google.com/spreadsheets/d/1-uDff_7J0KD5mKrp0Vvzr7lt3OU09vwQwhkpOPPYv2Y/edit?usp=sharing"",""งบพรบ!FM19"")"),0)</f>
        <v>0</v>
      </c>
      <c r="M518" s="568">
        <f ca="1">IFERROR(__xludf.DUMMYFUNCTION("IMPORTRANGE(""https://docs.google.com/spreadsheets/d/1-uDff_7J0KD5mKrp0Vvzr7lt3OU09vwQwhkpOPPYv2Y/edit?usp=sharing"",""งบพรบ!FR19"")"),0)</f>
        <v>0</v>
      </c>
      <c r="N518" s="568">
        <f ca="1">IFERROR(__xludf.DUMMYFUNCTION("IMPORTRANGE(""https://docs.google.com/spreadsheets/d/1-uDff_7J0KD5mKrp0Vvzr7lt3OU09vwQwhkpOPPYv2Y/edit?usp=sharing"",""งบพรบ!FT19"")"),0)</f>
        <v>0</v>
      </c>
      <c r="O518" s="568">
        <f t="shared" ca="1" si="317"/>
        <v>0</v>
      </c>
      <c r="P518" s="568">
        <f t="shared" ca="1" si="318"/>
        <v>0</v>
      </c>
      <c r="Q518" s="568">
        <v>0</v>
      </c>
      <c r="R518" s="568">
        <v>0</v>
      </c>
      <c r="S518" s="568">
        <v>0</v>
      </c>
      <c r="T518" s="568">
        <f t="shared" si="320"/>
        <v>0</v>
      </c>
      <c r="U518" s="568">
        <f t="shared" si="321"/>
        <v>0</v>
      </c>
    </row>
    <row r="519" spans="1:21" ht="18.75" hidden="1" x14ac:dyDescent="0.25">
      <c r="A519" s="674"/>
      <c r="B519" s="561"/>
      <c r="C519" s="561"/>
      <c r="D519" s="1017" t="s">
        <v>23</v>
      </c>
      <c r="E519" s="561"/>
      <c r="F519" s="561"/>
      <c r="G519" s="563"/>
      <c r="H519" s="734" t="s">
        <v>14</v>
      </c>
      <c r="I519" s="683"/>
      <c r="J519" s="683"/>
      <c r="K519" s="684"/>
      <c r="L519" s="567">
        <f t="shared" ref="L519:N519" ca="1" si="326">L520+L521</f>
        <v>0</v>
      </c>
      <c r="M519" s="568">
        <f t="shared" ca="1" si="326"/>
        <v>0</v>
      </c>
      <c r="N519" s="568">
        <f t="shared" ca="1" si="326"/>
        <v>0</v>
      </c>
      <c r="O519" s="568">
        <f t="shared" ca="1" si="317"/>
        <v>0</v>
      </c>
      <c r="P519" s="568">
        <f t="shared" ca="1" si="318"/>
        <v>0</v>
      </c>
      <c r="Q519" s="568">
        <f t="shared" ref="Q519:S519" si="327">Q520+Q521</f>
        <v>0</v>
      </c>
      <c r="R519" s="568">
        <f t="shared" si="327"/>
        <v>0</v>
      </c>
      <c r="S519" s="568">
        <f t="shared" si="327"/>
        <v>0</v>
      </c>
      <c r="T519" s="568">
        <f t="shared" si="320"/>
        <v>0</v>
      </c>
      <c r="U519" s="568">
        <f t="shared" si="321"/>
        <v>0</v>
      </c>
    </row>
    <row r="520" spans="1:21" ht="18.75" hidden="1" x14ac:dyDescent="0.25">
      <c r="A520" s="674"/>
      <c r="B520" s="561"/>
      <c r="C520" s="561"/>
      <c r="D520" s="561"/>
      <c r="E520" s="569" t="s">
        <v>20</v>
      </c>
      <c r="F520" s="561"/>
      <c r="G520" s="563"/>
      <c r="H520" s="685" t="s">
        <v>14</v>
      </c>
      <c r="I520" s="683"/>
      <c r="J520" s="683"/>
      <c r="K520" s="684"/>
      <c r="L520" s="571">
        <v>0</v>
      </c>
      <c r="M520" s="572">
        <v>0</v>
      </c>
      <c r="N520" s="572">
        <v>0</v>
      </c>
      <c r="O520" s="572">
        <f t="shared" si="317"/>
        <v>0</v>
      </c>
      <c r="P520" s="572">
        <f t="shared" si="318"/>
        <v>0</v>
      </c>
      <c r="Q520" s="572">
        <v>0</v>
      </c>
      <c r="R520" s="572">
        <v>0</v>
      </c>
      <c r="S520" s="572">
        <v>0</v>
      </c>
      <c r="T520" s="572">
        <f t="shared" si="320"/>
        <v>0</v>
      </c>
      <c r="U520" s="572">
        <f t="shared" si="321"/>
        <v>0</v>
      </c>
    </row>
    <row r="521" spans="1:21" ht="18.75" hidden="1" x14ac:dyDescent="0.25">
      <c r="A521" s="674"/>
      <c r="B521" s="561"/>
      <c r="C521" s="561"/>
      <c r="D521" s="561"/>
      <c r="E521" s="569" t="s">
        <v>21</v>
      </c>
      <c r="F521" s="561"/>
      <c r="G521" s="563"/>
      <c r="H521" s="734" t="s">
        <v>14</v>
      </c>
      <c r="I521" s="683"/>
      <c r="J521" s="683"/>
      <c r="K521" s="684"/>
      <c r="L521" s="567">
        <f ca="1">IFERROR(__xludf.DUMMYFUNCTION("IMPORTRANGE(""https://docs.google.com/spreadsheets/d/1-uDff_7J0KD5mKrp0Vvzr7lt3OU09vwQwhkpOPPYv2Y/edit?usp=sharing"",""งบพรบ!FP19"")"),0)</f>
        <v>0</v>
      </c>
      <c r="M521" s="568">
        <f ca="1">IFERROR(__xludf.DUMMYFUNCTION("IMPORTRANGE(""https://docs.google.com/spreadsheets/d/1-uDff_7J0KD5mKrp0Vvzr7lt3OU09vwQwhkpOPPYv2Y/edit?usp=sharing"",""งบพรบ!FS19"")"),0)</f>
        <v>0</v>
      </c>
      <c r="N521" s="568">
        <f ca="1">IFERROR(__xludf.DUMMYFUNCTION("IMPORTRANGE(""https://docs.google.com/spreadsheets/d/1-uDff_7J0KD5mKrp0Vvzr7lt3OU09vwQwhkpOPPYv2Y/edit?usp=sharing"",""งบพรบ!FU19"")"),0)</f>
        <v>0</v>
      </c>
      <c r="O521" s="568">
        <f t="shared" ca="1" si="317"/>
        <v>0</v>
      </c>
      <c r="P521" s="568">
        <f t="shared" ca="1" si="318"/>
        <v>0</v>
      </c>
      <c r="Q521" s="568">
        <v>0</v>
      </c>
      <c r="R521" s="568">
        <v>0</v>
      </c>
      <c r="S521" s="568">
        <v>0</v>
      </c>
      <c r="T521" s="568">
        <f t="shared" si="320"/>
        <v>0</v>
      </c>
      <c r="U521" s="568">
        <f t="shared" si="321"/>
        <v>0</v>
      </c>
    </row>
    <row r="522" spans="1:21" ht="19.5" hidden="1" x14ac:dyDescent="0.3">
      <c r="A522" s="687"/>
      <c r="B522" s="688"/>
      <c r="C522" s="797" t="s">
        <v>18</v>
      </c>
      <c r="D522" s="801" t="s">
        <v>38</v>
      </c>
      <c r="E522" s="690"/>
      <c r="F522" s="690"/>
      <c r="G522" s="691"/>
      <c r="H522" s="692"/>
      <c r="I522" s="683"/>
      <c r="J522" s="565"/>
      <c r="K522" s="566"/>
      <c r="L522" s="574"/>
      <c r="M522" s="566"/>
      <c r="N522" s="566"/>
      <c r="O522" s="684"/>
      <c r="P522" s="684"/>
      <c r="Q522" s="566"/>
      <c r="R522" s="566"/>
      <c r="S522" s="566"/>
      <c r="T522" s="684"/>
      <c r="U522" s="684"/>
    </row>
    <row r="523" spans="1:21" ht="18.75" hidden="1" x14ac:dyDescent="0.25">
      <c r="A523" s="764"/>
      <c r="B523" s="561"/>
      <c r="C523" s="718"/>
      <c r="D523" s="726" t="s">
        <v>208</v>
      </c>
      <c r="E523" s="688"/>
      <c r="F523" s="561"/>
      <c r="G523" s="563"/>
      <c r="H523" s="768" t="s">
        <v>11</v>
      </c>
      <c r="I523" s="735">
        <v>0</v>
      </c>
      <c r="J523" s="736">
        <v>0</v>
      </c>
      <c r="K523" s="572">
        <f t="shared" ref="K523:K524" si="328">IF(I523&gt;0,J523*100/I523,0)</f>
        <v>0</v>
      </c>
      <c r="L523" s="574"/>
      <c r="M523" s="566"/>
      <c r="N523" s="566"/>
      <c r="O523" s="566"/>
      <c r="P523" s="566"/>
      <c r="Q523" s="566"/>
      <c r="R523" s="566"/>
      <c r="S523" s="566"/>
      <c r="T523" s="566"/>
      <c r="U523" s="566"/>
    </row>
    <row r="524" spans="1:21" ht="18.75" hidden="1" x14ac:dyDescent="0.25">
      <c r="A524" s="984"/>
      <c r="B524" s="513"/>
      <c r="C524" s="514"/>
      <c r="D524" s="1018" t="s">
        <v>209</v>
      </c>
      <c r="E524" s="864"/>
      <c r="F524" s="513"/>
      <c r="G524" s="577"/>
      <c r="H524" s="1019" t="s">
        <v>61</v>
      </c>
      <c r="I524" s="740">
        <v>0</v>
      </c>
      <c r="J524" s="741">
        <v>0</v>
      </c>
      <c r="K524" s="742">
        <f t="shared" si="328"/>
        <v>0</v>
      </c>
      <c r="L524" s="574"/>
      <c r="M524" s="566"/>
      <c r="N524" s="566"/>
      <c r="O524" s="566"/>
      <c r="P524" s="566"/>
      <c r="Q524" s="566"/>
      <c r="R524" s="566"/>
      <c r="S524" s="566"/>
      <c r="T524" s="566"/>
      <c r="U524" s="566"/>
    </row>
    <row r="525" spans="1:21" ht="12.75" hidden="1" x14ac:dyDescent="0.2">
      <c r="A525" s="1020"/>
      <c r="B525" s="1021"/>
      <c r="C525" s="1021"/>
      <c r="D525" s="1022"/>
      <c r="E525" s="1022"/>
      <c r="F525" s="1022"/>
      <c r="G525" s="1023"/>
      <c r="H525" s="1024"/>
      <c r="I525" s="1025"/>
      <c r="J525" s="1025"/>
      <c r="K525" s="1026"/>
      <c r="L525" s="965"/>
      <c r="M525" s="964"/>
      <c r="N525" s="964"/>
      <c r="O525" s="964"/>
      <c r="P525" s="964"/>
      <c r="Q525" s="964"/>
      <c r="R525" s="964"/>
      <c r="S525" s="964"/>
      <c r="T525" s="964"/>
      <c r="U525" s="964"/>
    </row>
    <row r="526" spans="1:21" ht="12.75" hidden="1" x14ac:dyDescent="0.2">
      <c r="A526" s="973"/>
      <c r="B526" s="961"/>
      <c r="C526" s="961"/>
      <c r="D526" s="974"/>
      <c r="E526" s="974"/>
      <c r="F526" s="974"/>
      <c r="G526" s="975"/>
      <c r="H526" s="962"/>
      <c r="I526" s="963"/>
      <c r="J526" s="963"/>
      <c r="K526" s="964"/>
      <c r="L526" s="965"/>
      <c r="M526" s="964"/>
      <c r="N526" s="964"/>
      <c r="O526" s="964"/>
      <c r="P526" s="964"/>
      <c r="Q526" s="964"/>
      <c r="R526" s="964"/>
      <c r="S526" s="964"/>
      <c r="T526" s="964"/>
      <c r="U526" s="964"/>
    </row>
    <row r="527" spans="1:21" ht="12.75" hidden="1" x14ac:dyDescent="0.2">
      <c r="A527" s="973"/>
      <c r="B527" s="961"/>
      <c r="C527" s="961"/>
      <c r="D527" s="974"/>
      <c r="E527" s="974"/>
      <c r="F527" s="974"/>
      <c r="G527" s="975"/>
      <c r="H527" s="962"/>
      <c r="I527" s="963"/>
      <c r="J527" s="963"/>
      <c r="K527" s="964"/>
      <c r="L527" s="965"/>
      <c r="M527" s="964"/>
      <c r="N527" s="964"/>
      <c r="O527" s="964"/>
      <c r="P527" s="964"/>
      <c r="Q527" s="964"/>
      <c r="R527" s="964"/>
      <c r="S527" s="964"/>
      <c r="T527" s="964"/>
      <c r="U527" s="964"/>
    </row>
    <row r="528" spans="1:21" ht="12.75" hidden="1" x14ac:dyDescent="0.2">
      <c r="A528" s="973"/>
      <c r="B528" s="961"/>
      <c r="C528" s="961"/>
      <c r="D528" s="974"/>
      <c r="E528" s="974"/>
      <c r="F528" s="974"/>
      <c r="G528" s="975"/>
      <c r="H528" s="962"/>
      <c r="I528" s="963"/>
      <c r="J528" s="963"/>
      <c r="K528" s="964"/>
      <c r="L528" s="965"/>
      <c r="M528" s="964"/>
      <c r="N528" s="964"/>
      <c r="O528" s="964"/>
      <c r="P528" s="964"/>
      <c r="Q528" s="964"/>
      <c r="R528" s="964"/>
      <c r="S528" s="964"/>
      <c r="T528" s="964"/>
      <c r="U528" s="964"/>
    </row>
    <row r="529" spans="1:21" ht="12.75" hidden="1" x14ac:dyDescent="0.2">
      <c r="A529" s="973"/>
      <c r="B529" s="961"/>
      <c r="C529" s="961"/>
      <c r="D529" s="974"/>
      <c r="E529" s="974"/>
      <c r="F529" s="974"/>
      <c r="G529" s="975"/>
      <c r="H529" s="962"/>
      <c r="I529" s="963"/>
      <c r="J529" s="963"/>
      <c r="K529" s="964"/>
      <c r="L529" s="965"/>
      <c r="M529" s="964"/>
      <c r="N529" s="964"/>
      <c r="O529" s="964"/>
      <c r="P529" s="964"/>
      <c r="Q529" s="964"/>
      <c r="R529" s="964"/>
      <c r="S529" s="964"/>
      <c r="T529" s="964"/>
      <c r="U529" s="964"/>
    </row>
    <row r="530" spans="1:21" ht="12.75" hidden="1" x14ac:dyDescent="0.2">
      <c r="A530" s="973"/>
      <c r="B530" s="961"/>
      <c r="C530" s="961"/>
      <c r="D530" s="974"/>
      <c r="E530" s="974"/>
      <c r="F530" s="974"/>
      <c r="G530" s="975"/>
      <c r="H530" s="962"/>
      <c r="I530" s="963"/>
      <c r="J530" s="963"/>
      <c r="K530" s="964"/>
      <c r="L530" s="965"/>
      <c r="M530" s="964"/>
      <c r="N530" s="964"/>
      <c r="O530" s="964"/>
      <c r="P530" s="964"/>
      <c r="Q530" s="964"/>
      <c r="R530" s="964"/>
      <c r="S530" s="964"/>
      <c r="T530" s="964"/>
      <c r="U530" s="964"/>
    </row>
    <row r="531" spans="1:21" ht="12.75" hidden="1" x14ac:dyDescent="0.2">
      <c r="A531" s="973"/>
      <c r="B531" s="961"/>
      <c r="C531" s="961"/>
      <c r="D531" s="974"/>
      <c r="E531" s="974"/>
      <c r="F531" s="974"/>
      <c r="G531" s="975"/>
      <c r="H531" s="962"/>
      <c r="I531" s="963"/>
      <c r="J531" s="963"/>
      <c r="K531" s="964"/>
      <c r="L531" s="965"/>
      <c r="M531" s="964"/>
      <c r="N531" s="964"/>
      <c r="O531" s="964"/>
      <c r="P531" s="964"/>
      <c r="Q531" s="964"/>
      <c r="R531" s="964"/>
      <c r="S531" s="964"/>
      <c r="T531" s="964"/>
      <c r="U531" s="964"/>
    </row>
    <row r="532" spans="1:21" ht="12.75" hidden="1" x14ac:dyDescent="0.2">
      <c r="A532" s="1027"/>
      <c r="B532" s="966"/>
      <c r="C532" s="966"/>
      <c r="D532" s="1028"/>
      <c r="E532" s="1028"/>
      <c r="F532" s="1028"/>
      <c r="G532" s="1029"/>
      <c r="H532" s="967"/>
      <c r="I532" s="968"/>
      <c r="J532" s="968"/>
      <c r="K532" s="969"/>
      <c r="L532" s="970"/>
      <c r="M532" s="969"/>
      <c r="N532" s="969"/>
      <c r="O532" s="969"/>
      <c r="P532" s="969"/>
      <c r="Q532" s="969"/>
      <c r="R532" s="969"/>
      <c r="S532" s="969"/>
      <c r="T532" s="969"/>
      <c r="U532" s="969"/>
    </row>
    <row r="533" spans="1:21" ht="19.5" x14ac:dyDescent="0.3">
      <c r="A533" s="1006"/>
      <c r="B533" s="1030" t="s">
        <v>210</v>
      </c>
      <c r="C533" s="1008"/>
      <c r="D533" s="1009"/>
      <c r="E533" s="1009"/>
      <c r="F533" s="1009"/>
      <c r="G533" s="1010"/>
      <c r="H533" s="1031" t="s">
        <v>61</v>
      </c>
      <c r="I533" s="1235">
        <f t="shared" ref="I533:J533" si="329">I544</f>
        <v>1</v>
      </c>
      <c r="J533" s="1235">
        <f t="shared" si="329"/>
        <v>0</v>
      </c>
      <c r="K533" s="1033">
        <f>IF(I533&gt;0,J533*100/I533,0)</f>
        <v>0</v>
      </c>
      <c r="L533" s="1014"/>
      <c r="M533" s="1015"/>
      <c r="N533" s="1015"/>
      <c r="O533" s="1015"/>
      <c r="P533" s="1015"/>
      <c r="Q533" s="1015"/>
      <c r="R533" s="1015"/>
      <c r="S533" s="1015"/>
      <c r="T533" s="1015"/>
      <c r="U533" s="1015"/>
    </row>
    <row r="534" spans="1:21" ht="19.5" x14ac:dyDescent="0.3">
      <c r="A534" s="674"/>
      <c r="B534" s="561"/>
      <c r="C534" s="675" t="s">
        <v>18</v>
      </c>
      <c r="D534" s="676" t="s">
        <v>19</v>
      </c>
      <c r="E534" s="561"/>
      <c r="F534" s="561"/>
      <c r="G534" s="563"/>
      <c r="H534" s="677" t="s">
        <v>14</v>
      </c>
      <c r="I534" s="565"/>
      <c r="J534" s="565"/>
      <c r="K534" s="566"/>
      <c r="L534" s="678">
        <f t="shared" ref="L534:N534" ca="1" si="330">L535+L536</f>
        <v>1934000</v>
      </c>
      <c r="M534" s="679">
        <f t="shared" ca="1" si="330"/>
        <v>1934000</v>
      </c>
      <c r="N534" s="679">
        <f t="shared" ca="1" si="330"/>
        <v>0</v>
      </c>
      <c r="O534" s="679">
        <f t="shared" ref="O534:O542" ca="1" si="331">IF(L534&gt;0,N534*100/L534,0)</f>
        <v>0</v>
      </c>
      <c r="P534" s="679">
        <f t="shared" ref="P534:P542" ca="1" si="332">IF(M534&gt;0,N534*100/M534,0)</f>
        <v>0</v>
      </c>
      <c r="Q534" s="679">
        <f t="shared" ref="Q534:S534" si="333">Q535+Q536</f>
        <v>0</v>
      </c>
      <c r="R534" s="679">
        <f t="shared" si="333"/>
        <v>0</v>
      </c>
      <c r="S534" s="679">
        <f t="shared" si="333"/>
        <v>0</v>
      </c>
      <c r="T534" s="679">
        <f t="shared" ref="T534:T542" si="334">IF(Q534&gt;0,S534*100/Q534,0)</f>
        <v>0</v>
      </c>
      <c r="U534" s="679">
        <f t="shared" ref="U534:U542" si="335">IF(R534&gt;0,S534*100/R534,0)</f>
        <v>0</v>
      </c>
    </row>
    <row r="535" spans="1:21" ht="18.75" x14ac:dyDescent="0.25">
      <c r="A535" s="674"/>
      <c r="B535" s="718"/>
      <c r="C535" s="561"/>
      <c r="D535" s="561"/>
      <c r="E535" s="569" t="s">
        <v>20</v>
      </c>
      <c r="F535" s="561"/>
      <c r="G535" s="563"/>
      <c r="H535" s="680" t="s">
        <v>14</v>
      </c>
      <c r="I535" s="565"/>
      <c r="J535" s="565"/>
      <c r="K535" s="566"/>
      <c r="L535" s="571">
        <f t="shared" ref="L535:N536" si="336">L538+L541</f>
        <v>0</v>
      </c>
      <c r="M535" s="572">
        <f t="shared" si="336"/>
        <v>0</v>
      </c>
      <c r="N535" s="572">
        <f t="shared" si="336"/>
        <v>0</v>
      </c>
      <c r="O535" s="572">
        <f t="shared" si="331"/>
        <v>0</v>
      </c>
      <c r="P535" s="572">
        <f t="shared" si="332"/>
        <v>0</v>
      </c>
      <c r="Q535" s="572">
        <f t="shared" ref="Q535:S536" si="337">Q538+Q541</f>
        <v>0</v>
      </c>
      <c r="R535" s="572">
        <f t="shared" si="337"/>
        <v>0</v>
      </c>
      <c r="S535" s="572">
        <f t="shared" si="337"/>
        <v>0</v>
      </c>
      <c r="T535" s="572">
        <f t="shared" si="334"/>
        <v>0</v>
      </c>
      <c r="U535" s="572">
        <f t="shared" si="335"/>
        <v>0</v>
      </c>
    </row>
    <row r="536" spans="1:21" ht="18.75" x14ac:dyDescent="0.25">
      <c r="A536" s="674"/>
      <c r="B536" s="561"/>
      <c r="C536" s="718"/>
      <c r="D536" s="561"/>
      <c r="E536" s="765" t="s">
        <v>21</v>
      </c>
      <c r="F536" s="561"/>
      <c r="G536" s="563"/>
      <c r="H536" s="681" t="s">
        <v>14</v>
      </c>
      <c r="I536" s="565"/>
      <c r="J536" s="565"/>
      <c r="K536" s="566"/>
      <c r="L536" s="567">
        <f t="shared" ca="1" si="336"/>
        <v>1934000</v>
      </c>
      <c r="M536" s="568">
        <f t="shared" ca="1" si="336"/>
        <v>1934000</v>
      </c>
      <c r="N536" s="568">
        <f t="shared" ca="1" si="336"/>
        <v>0</v>
      </c>
      <c r="O536" s="568">
        <f t="shared" ca="1" si="331"/>
        <v>0</v>
      </c>
      <c r="P536" s="568">
        <f t="shared" ca="1" si="332"/>
        <v>0</v>
      </c>
      <c r="Q536" s="568">
        <f t="shared" si="337"/>
        <v>0</v>
      </c>
      <c r="R536" s="568">
        <f t="shared" si="337"/>
        <v>0</v>
      </c>
      <c r="S536" s="568">
        <f t="shared" si="337"/>
        <v>0</v>
      </c>
      <c r="T536" s="568">
        <f t="shared" si="334"/>
        <v>0</v>
      </c>
      <c r="U536" s="568">
        <f t="shared" si="335"/>
        <v>0</v>
      </c>
    </row>
    <row r="537" spans="1:21" ht="18.75" x14ac:dyDescent="0.25">
      <c r="A537" s="674"/>
      <c r="B537" s="561"/>
      <c r="C537" s="718"/>
      <c r="D537" s="562" t="s">
        <v>22</v>
      </c>
      <c r="E537" s="718"/>
      <c r="F537" s="561"/>
      <c r="G537" s="563"/>
      <c r="H537" s="682" t="s">
        <v>14</v>
      </c>
      <c r="I537" s="683"/>
      <c r="J537" s="683"/>
      <c r="K537" s="684"/>
      <c r="L537" s="567">
        <f t="shared" ref="L537:N537" ca="1" si="338">L538+L539</f>
        <v>0</v>
      </c>
      <c r="M537" s="568">
        <f t="shared" ca="1" si="338"/>
        <v>0</v>
      </c>
      <c r="N537" s="568">
        <f t="shared" ca="1" si="338"/>
        <v>0</v>
      </c>
      <c r="O537" s="568">
        <f t="shared" ca="1" si="331"/>
        <v>0</v>
      </c>
      <c r="P537" s="568">
        <f t="shared" ca="1" si="332"/>
        <v>0</v>
      </c>
      <c r="Q537" s="568">
        <f t="shared" ref="Q537:S537" si="339">Q538+Q539</f>
        <v>0</v>
      </c>
      <c r="R537" s="568">
        <f t="shared" si="339"/>
        <v>0</v>
      </c>
      <c r="S537" s="568">
        <f t="shared" si="339"/>
        <v>0</v>
      </c>
      <c r="T537" s="568">
        <f t="shared" si="334"/>
        <v>0</v>
      </c>
      <c r="U537" s="568">
        <f t="shared" si="335"/>
        <v>0</v>
      </c>
    </row>
    <row r="538" spans="1:21" ht="18.75" x14ac:dyDescent="0.25">
      <c r="A538" s="674"/>
      <c r="B538" s="561"/>
      <c r="C538" s="561"/>
      <c r="D538" s="561"/>
      <c r="E538" s="569" t="s">
        <v>36</v>
      </c>
      <c r="F538" s="561"/>
      <c r="G538" s="563"/>
      <c r="H538" s="685" t="s">
        <v>14</v>
      </c>
      <c r="I538" s="683"/>
      <c r="J538" s="683"/>
      <c r="K538" s="684"/>
      <c r="L538" s="571">
        <v>0</v>
      </c>
      <c r="M538" s="572">
        <v>0</v>
      </c>
      <c r="N538" s="572">
        <v>0</v>
      </c>
      <c r="O538" s="572">
        <f t="shared" si="331"/>
        <v>0</v>
      </c>
      <c r="P538" s="572">
        <f t="shared" si="332"/>
        <v>0</v>
      </c>
      <c r="Q538" s="572">
        <v>0</v>
      </c>
      <c r="R538" s="572">
        <v>0</v>
      </c>
      <c r="S538" s="572">
        <v>0</v>
      </c>
      <c r="T538" s="572">
        <f t="shared" si="334"/>
        <v>0</v>
      </c>
      <c r="U538" s="572">
        <f t="shared" si="335"/>
        <v>0</v>
      </c>
    </row>
    <row r="539" spans="1:21" ht="18.75" x14ac:dyDescent="0.25">
      <c r="A539" s="674"/>
      <c r="B539" s="561"/>
      <c r="C539" s="561"/>
      <c r="D539" s="561"/>
      <c r="E539" s="573" t="s">
        <v>37</v>
      </c>
      <c r="F539" s="561"/>
      <c r="G539" s="563"/>
      <c r="H539" s="682" t="s">
        <v>14</v>
      </c>
      <c r="I539" s="683"/>
      <c r="J539" s="683"/>
      <c r="K539" s="684"/>
      <c r="L539" s="567">
        <f ca="1">IFERROR(__xludf.DUMMYFUNCTION("IMPORTRANGE(""https://docs.google.com/spreadsheets/d/1-uDff_7J0KD5mKrp0Vvzr7lt3OU09vwQwhkpOPPYv2Y/edit?usp=sharing"",""งบพรบ!FW19"")"),0)</f>
        <v>0</v>
      </c>
      <c r="M539" s="568">
        <f ca="1">IFERROR(__xludf.DUMMYFUNCTION("IMPORTRANGE(""https://docs.google.com/spreadsheets/d/1-uDff_7J0KD5mKrp0Vvzr7lt3OU09vwQwhkpOPPYv2Y/edit?usp=sharing"",""งบพรบ!GB19"")"),0)</f>
        <v>0</v>
      </c>
      <c r="N539" s="568">
        <f ca="1">IFERROR(__xludf.DUMMYFUNCTION("IMPORTRANGE(""https://docs.google.com/spreadsheets/d/1-uDff_7J0KD5mKrp0Vvzr7lt3OU09vwQwhkpOPPYv2Y/edit?usp=sharing"",""งบพรบ!GD19"")"),0)</f>
        <v>0</v>
      </c>
      <c r="O539" s="568">
        <f t="shared" ca="1" si="331"/>
        <v>0</v>
      </c>
      <c r="P539" s="568">
        <f t="shared" ca="1" si="332"/>
        <v>0</v>
      </c>
      <c r="Q539" s="568">
        <v>0</v>
      </c>
      <c r="R539" s="568">
        <v>0</v>
      </c>
      <c r="S539" s="568">
        <v>0</v>
      </c>
      <c r="T539" s="568">
        <f t="shared" si="334"/>
        <v>0</v>
      </c>
      <c r="U539" s="568">
        <f t="shared" si="335"/>
        <v>0</v>
      </c>
    </row>
    <row r="540" spans="1:21" ht="18.75" x14ac:dyDescent="0.25">
      <c r="A540" s="674"/>
      <c r="B540" s="561"/>
      <c r="C540" s="561"/>
      <c r="D540" s="562" t="s">
        <v>23</v>
      </c>
      <c r="E540" s="561"/>
      <c r="F540" s="561"/>
      <c r="G540" s="563"/>
      <c r="H540" s="686" t="s">
        <v>14</v>
      </c>
      <c r="I540" s="683"/>
      <c r="J540" s="683"/>
      <c r="K540" s="684"/>
      <c r="L540" s="567">
        <f t="shared" ref="L540:N540" ca="1" si="340">L541+L542</f>
        <v>1934000</v>
      </c>
      <c r="M540" s="568">
        <f t="shared" ca="1" si="340"/>
        <v>1934000</v>
      </c>
      <c r="N540" s="568">
        <f t="shared" ca="1" si="340"/>
        <v>0</v>
      </c>
      <c r="O540" s="568">
        <f t="shared" ca="1" si="331"/>
        <v>0</v>
      </c>
      <c r="P540" s="568">
        <f t="shared" ca="1" si="332"/>
        <v>0</v>
      </c>
      <c r="Q540" s="568">
        <f t="shared" ref="Q540:S540" si="341">Q541+Q542</f>
        <v>0</v>
      </c>
      <c r="R540" s="568">
        <f t="shared" si="341"/>
        <v>0</v>
      </c>
      <c r="S540" s="568">
        <f t="shared" si="341"/>
        <v>0</v>
      </c>
      <c r="T540" s="568">
        <f t="shared" si="334"/>
        <v>0</v>
      </c>
      <c r="U540" s="568">
        <f t="shared" si="335"/>
        <v>0</v>
      </c>
    </row>
    <row r="541" spans="1:21" ht="18.75" x14ac:dyDescent="0.25">
      <c r="A541" s="674"/>
      <c r="B541" s="561"/>
      <c r="C541" s="561"/>
      <c r="D541" s="561"/>
      <c r="E541" s="569" t="s">
        <v>20</v>
      </c>
      <c r="F541" s="561"/>
      <c r="G541" s="563"/>
      <c r="H541" s="685" t="s">
        <v>14</v>
      </c>
      <c r="I541" s="683"/>
      <c r="J541" s="683"/>
      <c r="K541" s="684"/>
      <c r="L541" s="571">
        <v>0</v>
      </c>
      <c r="M541" s="572">
        <v>0</v>
      </c>
      <c r="N541" s="572">
        <v>0</v>
      </c>
      <c r="O541" s="572">
        <f t="shared" si="331"/>
        <v>0</v>
      </c>
      <c r="P541" s="572">
        <f t="shared" si="332"/>
        <v>0</v>
      </c>
      <c r="Q541" s="572">
        <v>0</v>
      </c>
      <c r="R541" s="572">
        <v>0</v>
      </c>
      <c r="S541" s="572">
        <v>0</v>
      </c>
      <c r="T541" s="572">
        <f t="shared" si="334"/>
        <v>0</v>
      </c>
      <c r="U541" s="572">
        <f t="shared" si="335"/>
        <v>0</v>
      </c>
    </row>
    <row r="542" spans="1:21" ht="18.75" x14ac:dyDescent="0.25">
      <c r="A542" s="674"/>
      <c r="B542" s="561"/>
      <c r="C542" s="561"/>
      <c r="D542" s="561"/>
      <c r="E542" s="573" t="s">
        <v>21</v>
      </c>
      <c r="F542" s="561"/>
      <c r="G542" s="563"/>
      <c r="H542" s="686" t="s">
        <v>14</v>
      </c>
      <c r="I542" s="683"/>
      <c r="J542" s="683"/>
      <c r="K542" s="684"/>
      <c r="L542" s="567">
        <f ca="1">IFERROR(__xludf.DUMMYFUNCTION("IMPORTRANGE(""https://docs.google.com/spreadsheets/d/1-uDff_7J0KD5mKrp0Vvzr7lt3OU09vwQwhkpOPPYv2Y/edit?usp=sharing"",""งบพรบ!FZ19"")"),1934000)</f>
        <v>1934000</v>
      </c>
      <c r="M542" s="568">
        <f ca="1">IFERROR(__xludf.DUMMYFUNCTION("IMPORTRANGE(""https://docs.google.com/spreadsheets/d/1-uDff_7J0KD5mKrp0Vvzr7lt3OU09vwQwhkpOPPYv2Y/edit?usp=sharing"",""งบพรบ!GC19"")"),1934000)</f>
        <v>1934000</v>
      </c>
      <c r="N542" s="568">
        <f ca="1">IFERROR(__xludf.DUMMYFUNCTION("IMPORTRANGE(""https://docs.google.com/spreadsheets/d/1-uDff_7J0KD5mKrp0Vvzr7lt3OU09vwQwhkpOPPYv2Y/edit?usp=sharing"",""งบพรบ!GE19"")"),0)</f>
        <v>0</v>
      </c>
      <c r="O542" s="568">
        <f t="shared" ca="1" si="331"/>
        <v>0</v>
      </c>
      <c r="P542" s="568">
        <f t="shared" ca="1" si="332"/>
        <v>0</v>
      </c>
      <c r="Q542" s="568">
        <v>0</v>
      </c>
      <c r="R542" s="568">
        <v>0</v>
      </c>
      <c r="S542" s="568">
        <v>0</v>
      </c>
      <c r="T542" s="568">
        <f t="shared" si="334"/>
        <v>0</v>
      </c>
      <c r="U542" s="568">
        <f t="shared" si="335"/>
        <v>0</v>
      </c>
    </row>
    <row r="543" spans="1:21" ht="19.5" x14ac:dyDescent="0.3">
      <c r="A543" s="687"/>
      <c r="B543" s="688"/>
      <c r="C543" s="1034" t="s">
        <v>18</v>
      </c>
      <c r="D543" s="689" t="s">
        <v>38</v>
      </c>
      <c r="E543" s="690"/>
      <c r="F543" s="690"/>
      <c r="G543" s="691"/>
      <c r="H543" s="692"/>
      <c r="I543" s="683"/>
      <c r="J543" s="565"/>
      <c r="K543" s="566"/>
      <c r="L543" s="574"/>
      <c r="M543" s="566"/>
      <c r="N543" s="566"/>
      <c r="O543" s="684"/>
      <c r="P543" s="684"/>
      <c r="Q543" s="566"/>
      <c r="R543" s="566"/>
      <c r="S543" s="566"/>
      <c r="T543" s="684"/>
      <c r="U543" s="684"/>
    </row>
    <row r="544" spans="1:21" ht="18.75" x14ac:dyDescent="0.25">
      <c r="A544" s="764"/>
      <c r="B544" s="561"/>
      <c r="C544" s="718"/>
      <c r="D544" s="1109" t="s">
        <v>209</v>
      </c>
      <c r="E544" s="718"/>
      <c r="F544" s="561"/>
      <c r="G544" s="563"/>
      <c r="H544" s="722" t="s">
        <v>61</v>
      </c>
      <c r="I544" s="1236">
        <v>1</v>
      </c>
      <c r="J544" s="1236">
        <v>0</v>
      </c>
      <c r="K544" s="1237">
        <f>IF(I544&gt;0,J544*100/I544,0)</f>
        <v>0</v>
      </c>
      <c r="L544" s="574"/>
      <c r="M544" s="566"/>
      <c r="N544" s="566"/>
      <c r="O544" s="566"/>
      <c r="P544" s="566"/>
      <c r="Q544" s="566"/>
      <c r="R544" s="566"/>
      <c r="S544" s="566"/>
      <c r="T544" s="566"/>
      <c r="U544" s="566"/>
    </row>
    <row r="545" spans="1:21" ht="12.75" hidden="1" x14ac:dyDescent="0.2">
      <c r="A545" s="973"/>
      <c r="B545" s="974"/>
      <c r="C545" s="961"/>
      <c r="D545" s="974"/>
      <c r="E545" s="961"/>
      <c r="F545" s="974"/>
      <c r="G545" s="975"/>
      <c r="H545" s="975"/>
      <c r="I545" s="963"/>
      <c r="J545" s="963"/>
      <c r="K545" s="964"/>
      <c r="L545" s="965"/>
      <c r="M545" s="964"/>
      <c r="N545" s="964"/>
      <c r="O545" s="964"/>
      <c r="P545" s="964"/>
      <c r="Q545" s="964"/>
      <c r="R545" s="964"/>
      <c r="S545" s="964"/>
      <c r="T545" s="964"/>
      <c r="U545" s="964"/>
    </row>
    <row r="546" spans="1:21" ht="12.75" hidden="1" x14ac:dyDescent="0.2">
      <c r="A546" s="973"/>
      <c r="B546" s="961"/>
      <c r="C546" s="961"/>
      <c r="D546" s="974"/>
      <c r="E546" s="974"/>
      <c r="F546" s="974"/>
      <c r="G546" s="975"/>
      <c r="H546" s="962"/>
      <c r="I546" s="963"/>
      <c r="J546" s="963"/>
      <c r="K546" s="964"/>
      <c r="L546" s="965"/>
      <c r="M546" s="964"/>
      <c r="N546" s="964"/>
      <c r="O546" s="964"/>
      <c r="P546" s="964"/>
      <c r="Q546" s="964"/>
      <c r="R546" s="964"/>
      <c r="S546" s="964"/>
      <c r="T546" s="964"/>
      <c r="U546" s="964"/>
    </row>
    <row r="547" spans="1:21" ht="12.75" hidden="1" x14ac:dyDescent="0.2">
      <c r="A547" s="973"/>
      <c r="B547" s="961"/>
      <c r="C547" s="961"/>
      <c r="D547" s="974"/>
      <c r="E547" s="974"/>
      <c r="F547" s="974"/>
      <c r="G547" s="975"/>
      <c r="H547" s="962"/>
      <c r="I547" s="963"/>
      <c r="J547" s="963"/>
      <c r="K547" s="964"/>
      <c r="L547" s="965"/>
      <c r="M547" s="964"/>
      <c r="N547" s="964"/>
      <c r="O547" s="964"/>
      <c r="P547" s="964"/>
      <c r="Q547" s="964"/>
      <c r="R547" s="964"/>
      <c r="S547" s="964"/>
      <c r="T547" s="964"/>
      <c r="U547" s="964"/>
    </row>
    <row r="548" spans="1:21" ht="12.75" hidden="1" x14ac:dyDescent="0.2">
      <c r="A548" s="973"/>
      <c r="B548" s="961"/>
      <c r="C548" s="961"/>
      <c r="D548" s="974"/>
      <c r="E548" s="974"/>
      <c r="F548" s="974"/>
      <c r="G548" s="975"/>
      <c r="H548" s="962"/>
      <c r="I548" s="963"/>
      <c r="J548" s="963"/>
      <c r="K548" s="964"/>
      <c r="L548" s="965"/>
      <c r="M548" s="964"/>
      <c r="N548" s="964"/>
      <c r="O548" s="964"/>
      <c r="P548" s="964"/>
      <c r="Q548" s="964"/>
      <c r="R548" s="964"/>
      <c r="S548" s="964"/>
      <c r="T548" s="964"/>
      <c r="U548" s="964"/>
    </row>
    <row r="549" spans="1:21" ht="12.75" hidden="1" x14ac:dyDescent="0.2">
      <c r="A549" s="973"/>
      <c r="B549" s="961"/>
      <c r="C549" s="961"/>
      <c r="D549" s="974"/>
      <c r="E549" s="974"/>
      <c r="F549" s="974"/>
      <c r="G549" s="975"/>
      <c r="H549" s="962"/>
      <c r="I549" s="963"/>
      <c r="J549" s="963"/>
      <c r="K549" s="964"/>
      <c r="L549" s="965"/>
      <c r="M549" s="964"/>
      <c r="N549" s="964"/>
      <c r="O549" s="964"/>
      <c r="P549" s="964"/>
      <c r="Q549" s="964"/>
      <c r="R549" s="964"/>
      <c r="S549" s="964"/>
      <c r="T549" s="964"/>
      <c r="U549" s="964"/>
    </row>
    <row r="550" spans="1:21" ht="12.75" hidden="1" x14ac:dyDescent="0.2">
      <c r="A550" s="973"/>
      <c r="B550" s="961"/>
      <c r="C550" s="961"/>
      <c r="D550" s="974"/>
      <c r="E550" s="974"/>
      <c r="F550" s="974"/>
      <c r="G550" s="975"/>
      <c r="H550" s="962"/>
      <c r="I550" s="963"/>
      <c r="J550" s="963"/>
      <c r="K550" s="964"/>
      <c r="L550" s="965"/>
      <c r="M550" s="964"/>
      <c r="N550" s="964"/>
      <c r="O550" s="964"/>
      <c r="P550" s="964"/>
      <c r="Q550" s="964"/>
      <c r="R550" s="964"/>
      <c r="S550" s="964"/>
      <c r="T550" s="964"/>
      <c r="U550" s="964"/>
    </row>
    <row r="551" spans="1:21" ht="12.75" hidden="1" x14ac:dyDescent="0.2">
      <c r="A551" s="973"/>
      <c r="B551" s="961"/>
      <c r="C551" s="961"/>
      <c r="D551" s="974"/>
      <c r="E551" s="974"/>
      <c r="F551" s="974"/>
      <c r="G551" s="975"/>
      <c r="H551" s="962"/>
      <c r="I551" s="963"/>
      <c r="J551" s="963"/>
      <c r="K551" s="964"/>
      <c r="L551" s="965"/>
      <c r="M551" s="964"/>
      <c r="N551" s="964"/>
      <c r="O551" s="964"/>
      <c r="P551" s="964"/>
      <c r="Q551" s="964"/>
      <c r="R551" s="964"/>
      <c r="S551" s="964"/>
      <c r="T551" s="964"/>
      <c r="U551" s="964"/>
    </row>
    <row r="552" spans="1:21" ht="12.75" hidden="1" x14ac:dyDescent="0.2">
      <c r="A552" s="973"/>
      <c r="B552" s="961"/>
      <c r="C552" s="961"/>
      <c r="D552" s="974"/>
      <c r="E552" s="974"/>
      <c r="F552" s="974"/>
      <c r="G552" s="975"/>
      <c r="H552" s="962"/>
      <c r="I552" s="963"/>
      <c r="J552" s="963"/>
      <c r="K552" s="964"/>
      <c r="L552" s="965"/>
      <c r="M552" s="964"/>
      <c r="N552" s="964"/>
      <c r="O552" s="964"/>
      <c r="P552" s="964"/>
      <c r="Q552" s="964"/>
      <c r="R552" s="964"/>
      <c r="S552" s="964"/>
      <c r="T552" s="964"/>
      <c r="U552" s="964"/>
    </row>
    <row r="553" spans="1:21" ht="12.75" hidden="1" x14ac:dyDescent="0.2">
      <c r="A553" s="1027"/>
      <c r="B553" s="966"/>
      <c r="C553" s="966"/>
      <c r="D553" s="1028"/>
      <c r="E553" s="1028"/>
      <c r="F553" s="1028"/>
      <c r="G553" s="1029"/>
      <c r="H553" s="967"/>
      <c r="I553" s="968"/>
      <c r="J553" s="968"/>
      <c r="K553" s="969"/>
      <c r="L553" s="970"/>
      <c r="M553" s="969"/>
      <c r="N553" s="969"/>
      <c r="O553" s="969"/>
      <c r="P553" s="969"/>
      <c r="Q553" s="969"/>
      <c r="R553" s="969"/>
      <c r="S553" s="969"/>
      <c r="T553" s="969"/>
      <c r="U553" s="969"/>
    </row>
    <row r="554" spans="1:21" ht="19.5" x14ac:dyDescent="0.3">
      <c r="A554" s="1006"/>
      <c r="B554" s="1030" t="s">
        <v>211</v>
      </c>
      <c r="C554" s="1008"/>
      <c r="D554" s="1009"/>
      <c r="E554" s="1009"/>
      <c r="F554" s="1009"/>
      <c r="G554" s="1010"/>
      <c r="H554" s="1031" t="s">
        <v>61</v>
      </c>
      <c r="I554" s="1032">
        <f t="shared" ref="I554:J554" si="342">I566</f>
        <v>0</v>
      </c>
      <c r="J554" s="1032">
        <f t="shared" si="342"/>
        <v>0</v>
      </c>
      <c r="K554" s="1033">
        <f>IF(I554&gt;0,J554*100/I554,0)</f>
        <v>0</v>
      </c>
      <c r="L554" s="1014"/>
      <c r="M554" s="1015"/>
      <c r="N554" s="1015"/>
      <c r="O554" s="1015"/>
      <c r="P554" s="1015"/>
      <c r="Q554" s="1015"/>
      <c r="R554" s="1015"/>
      <c r="S554" s="1015"/>
      <c r="T554" s="1015"/>
      <c r="U554" s="1015"/>
    </row>
    <row r="555" spans="1:21" ht="19.5" x14ac:dyDescent="0.3">
      <c r="A555" s="674"/>
      <c r="B555" s="561"/>
      <c r="C555" s="675" t="s">
        <v>18</v>
      </c>
      <c r="D555" s="676" t="s">
        <v>19</v>
      </c>
      <c r="E555" s="561"/>
      <c r="F555" s="561"/>
      <c r="G555" s="563"/>
      <c r="H555" s="677" t="s">
        <v>14</v>
      </c>
      <c r="I555" s="565"/>
      <c r="J555" s="565"/>
      <c r="K555" s="566"/>
      <c r="L555" s="678">
        <f t="shared" ref="L555:N555" ca="1" si="343">L556+L557</f>
        <v>4870000</v>
      </c>
      <c r="M555" s="679">
        <f t="shared" ca="1" si="343"/>
        <v>4870000</v>
      </c>
      <c r="N555" s="679">
        <f t="shared" ca="1" si="343"/>
        <v>0</v>
      </c>
      <c r="O555" s="679">
        <f t="shared" ref="O555:O563" ca="1" si="344">IF(L555&gt;0,N555*100/L555,0)</f>
        <v>0</v>
      </c>
      <c r="P555" s="679">
        <f t="shared" ref="P555:P563" ca="1" si="345">IF(M555&gt;0,N555*100/M555,0)</f>
        <v>0</v>
      </c>
      <c r="Q555" s="679">
        <f t="shared" ref="Q555:S555" si="346">Q556+Q557</f>
        <v>0</v>
      </c>
      <c r="R555" s="679">
        <f t="shared" si="346"/>
        <v>0</v>
      </c>
      <c r="S555" s="679">
        <f t="shared" si="346"/>
        <v>0</v>
      </c>
      <c r="T555" s="679">
        <f t="shared" ref="T555:T563" si="347">IF(Q555&gt;0,S555*100/Q555,0)</f>
        <v>0</v>
      </c>
      <c r="U555" s="679">
        <f t="shared" ref="U555:U563" si="348">IF(R555&gt;0,S555*100/R555,0)</f>
        <v>0</v>
      </c>
    </row>
    <row r="556" spans="1:21" ht="18.75" x14ac:dyDescent="0.25">
      <c r="A556" s="674"/>
      <c r="B556" s="718"/>
      <c r="C556" s="561"/>
      <c r="D556" s="561"/>
      <c r="E556" s="569" t="s">
        <v>20</v>
      </c>
      <c r="F556" s="561"/>
      <c r="G556" s="563"/>
      <c r="H556" s="680" t="s">
        <v>14</v>
      </c>
      <c r="I556" s="565"/>
      <c r="J556" s="565"/>
      <c r="K556" s="566"/>
      <c r="L556" s="571">
        <f t="shared" ref="L556:N557" si="349">L559+L562</f>
        <v>0</v>
      </c>
      <c r="M556" s="572">
        <f t="shared" si="349"/>
        <v>0</v>
      </c>
      <c r="N556" s="572">
        <f t="shared" si="349"/>
        <v>0</v>
      </c>
      <c r="O556" s="572">
        <f t="shared" si="344"/>
        <v>0</v>
      </c>
      <c r="P556" s="572">
        <f t="shared" si="345"/>
        <v>0</v>
      </c>
      <c r="Q556" s="572">
        <f t="shared" ref="Q556:S557" si="350">Q559+Q562</f>
        <v>0</v>
      </c>
      <c r="R556" s="572">
        <f t="shared" si="350"/>
        <v>0</v>
      </c>
      <c r="S556" s="572">
        <f t="shared" si="350"/>
        <v>0</v>
      </c>
      <c r="T556" s="572">
        <f t="shared" si="347"/>
        <v>0</v>
      </c>
      <c r="U556" s="572">
        <f t="shared" si="348"/>
        <v>0</v>
      </c>
    </row>
    <row r="557" spans="1:21" ht="18.75" x14ac:dyDescent="0.25">
      <c r="A557" s="674"/>
      <c r="B557" s="561"/>
      <c r="C557" s="718"/>
      <c r="D557" s="561"/>
      <c r="E557" s="765" t="s">
        <v>21</v>
      </c>
      <c r="F557" s="561"/>
      <c r="G557" s="563"/>
      <c r="H557" s="681" t="s">
        <v>14</v>
      </c>
      <c r="I557" s="565"/>
      <c r="J557" s="565"/>
      <c r="K557" s="566"/>
      <c r="L557" s="567">
        <f t="shared" ca="1" si="349"/>
        <v>4870000</v>
      </c>
      <c r="M557" s="568">
        <f t="shared" ca="1" si="349"/>
        <v>4870000</v>
      </c>
      <c r="N557" s="568">
        <f t="shared" ca="1" si="349"/>
        <v>0</v>
      </c>
      <c r="O557" s="568">
        <f t="shared" ca="1" si="344"/>
        <v>0</v>
      </c>
      <c r="P557" s="568">
        <f t="shared" ca="1" si="345"/>
        <v>0</v>
      </c>
      <c r="Q557" s="568">
        <f t="shared" si="350"/>
        <v>0</v>
      </c>
      <c r="R557" s="568">
        <f t="shared" si="350"/>
        <v>0</v>
      </c>
      <c r="S557" s="568">
        <f t="shared" si="350"/>
        <v>0</v>
      </c>
      <c r="T557" s="568">
        <f t="shared" si="347"/>
        <v>0</v>
      </c>
      <c r="U557" s="568">
        <f t="shared" si="348"/>
        <v>0</v>
      </c>
    </row>
    <row r="558" spans="1:21" ht="18.75" x14ac:dyDescent="0.25">
      <c r="A558" s="674"/>
      <c r="B558" s="561"/>
      <c r="C558" s="718"/>
      <c r="D558" s="562" t="s">
        <v>22</v>
      </c>
      <c r="E558" s="718"/>
      <c r="F558" s="561"/>
      <c r="G558" s="563"/>
      <c r="H558" s="682" t="s">
        <v>14</v>
      </c>
      <c r="I558" s="683"/>
      <c r="J558" s="683"/>
      <c r="K558" s="684"/>
      <c r="L558" s="567">
        <f t="shared" ref="L558:N558" ca="1" si="351">L559+L560</f>
        <v>0</v>
      </c>
      <c r="M558" s="568">
        <f t="shared" ca="1" si="351"/>
        <v>0</v>
      </c>
      <c r="N558" s="568">
        <f t="shared" ca="1" si="351"/>
        <v>0</v>
      </c>
      <c r="O558" s="568">
        <f t="shared" ca="1" si="344"/>
        <v>0</v>
      </c>
      <c r="P558" s="568">
        <f t="shared" ca="1" si="345"/>
        <v>0</v>
      </c>
      <c r="Q558" s="568">
        <f t="shared" ref="Q558:S558" si="352">Q559+Q560</f>
        <v>0</v>
      </c>
      <c r="R558" s="568">
        <f t="shared" si="352"/>
        <v>0</v>
      </c>
      <c r="S558" s="568">
        <f t="shared" si="352"/>
        <v>0</v>
      </c>
      <c r="T558" s="568">
        <f t="shared" si="347"/>
        <v>0</v>
      </c>
      <c r="U558" s="568">
        <f t="shared" si="348"/>
        <v>0</v>
      </c>
    </row>
    <row r="559" spans="1:21" ht="18.75" x14ac:dyDescent="0.25">
      <c r="A559" s="674"/>
      <c r="B559" s="561"/>
      <c r="C559" s="561"/>
      <c r="D559" s="561"/>
      <c r="E559" s="569" t="s">
        <v>36</v>
      </c>
      <c r="F559" s="561"/>
      <c r="G559" s="563"/>
      <c r="H559" s="685" t="s">
        <v>14</v>
      </c>
      <c r="I559" s="683"/>
      <c r="J559" s="683"/>
      <c r="K559" s="684"/>
      <c r="L559" s="571">
        <v>0</v>
      </c>
      <c r="M559" s="572">
        <v>0</v>
      </c>
      <c r="N559" s="572">
        <v>0</v>
      </c>
      <c r="O559" s="572">
        <f t="shared" si="344"/>
        <v>0</v>
      </c>
      <c r="P559" s="572">
        <f t="shared" si="345"/>
        <v>0</v>
      </c>
      <c r="Q559" s="572">
        <v>0</v>
      </c>
      <c r="R559" s="572">
        <v>0</v>
      </c>
      <c r="S559" s="572">
        <v>0</v>
      </c>
      <c r="T559" s="572">
        <f t="shared" si="347"/>
        <v>0</v>
      </c>
      <c r="U559" s="572">
        <f t="shared" si="348"/>
        <v>0</v>
      </c>
    </row>
    <row r="560" spans="1:21" ht="18.75" x14ac:dyDescent="0.25">
      <c r="A560" s="674"/>
      <c r="B560" s="561"/>
      <c r="C560" s="561"/>
      <c r="D560" s="561"/>
      <c r="E560" s="573" t="s">
        <v>37</v>
      </c>
      <c r="F560" s="561"/>
      <c r="G560" s="563"/>
      <c r="H560" s="682" t="s">
        <v>14</v>
      </c>
      <c r="I560" s="683"/>
      <c r="J560" s="683"/>
      <c r="K560" s="684"/>
      <c r="L560" s="567">
        <f ca="1">IFERROR(__xludf.DUMMYFUNCTION("IMPORTRANGE(""https://docs.google.com/spreadsheets/d/1-uDff_7J0KD5mKrp0Vvzr7lt3OU09vwQwhkpOPPYv2Y/edit?usp=sharing"",""งบพรบ!GG19"")"),0)</f>
        <v>0</v>
      </c>
      <c r="M560" s="568">
        <f ca="1">IFERROR(__xludf.DUMMYFUNCTION("IMPORTRANGE(""https://docs.google.com/spreadsheets/d/1-uDff_7J0KD5mKrp0Vvzr7lt3OU09vwQwhkpOPPYv2Y/edit?usp=sharing"",""งบพรบ!GL19"")"),0)</f>
        <v>0</v>
      </c>
      <c r="N560" s="568">
        <f ca="1">IFERROR(__xludf.DUMMYFUNCTION("IMPORTRANGE(""https://docs.google.com/spreadsheets/d/1-uDff_7J0KD5mKrp0Vvzr7lt3OU09vwQwhkpOPPYv2Y/edit?usp=sharing"",""งบพรบ!GN19"")"),0)</f>
        <v>0</v>
      </c>
      <c r="O560" s="568">
        <f t="shared" ca="1" si="344"/>
        <v>0</v>
      </c>
      <c r="P560" s="568">
        <f t="shared" ca="1" si="345"/>
        <v>0</v>
      </c>
      <c r="Q560" s="568">
        <v>0</v>
      </c>
      <c r="R560" s="568">
        <v>0</v>
      </c>
      <c r="S560" s="568">
        <v>0</v>
      </c>
      <c r="T560" s="568">
        <f t="shared" si="347"/>
        <v>0</v>
      </c>
      <c r="U560" s="568">
        <f t="shared" si="348"/>
        <v>0</v>
      </c>
    </row>
    <row r="561" spans="1:21" ht="18.75" x14ac:dyDescent="0.25">
      <c r="A561" s="674"/>
      <c r="B561" s="561"/>
      <c r="C561" s="561"/>
      <c r="D561" s="562" t="s">
        <v>23</v>
      </c>
      <c r="E561" s="561"/>
      <c r="F561" s="561"/>
      <c r="G561" s="563"/>
      <c r="H561" s="686" t="s">
        <v>14</v>
      </c>
      <c r="I561" s="683"/>
      <c r="J561" s="683"/>
      <c r="K561" s="684"/>
      <c r="L561" s="567">
        <f t="shared" ref="L561:N561" ca="1" si="353">L562+L563</f>
        <v>4870000</v>
      </c>
      <c r="M561" s="568">
        <f t="shared" ca="1" si="353"/>
        <v>4870000</v>
      </c>
      <c r="N561" s="568">
        <f t="shared" ca="1" si="353"/>
        <v>0</v>
      </c>
      <c r="O561" s="568">
        <f t="shared" ca="1" si="344"/>
        <v>0</v>
      </c>
      <c r="P561" s="568">
        <f t="shared" ca="1" si="345"/>
        <v>0</v>
      </c>
      <c r="Q561" s="568">
        <f t="shared" ref="Q561:S561" si="354">Q562+Q563</f>
        <v>0</v>
      </c>
      <c r="R561" s="568">
        <f t="shared" si="354"/>
        <v>0</v>
      </c>
      <c r="S561" s="568">
        <f t="shared" si="354"/>
        <v>0</v>
      </c>
      <c r="T561" s="568">
        <f t="shared" si="347"/>
        <v>0</v>
      </c>
      <c r="U561" s="568">
        <f t="shared" si="348"/>
        <v>0</v>
      </c>
    </row>
    <row r="562" spans="1:21" ht="18.75" x14ac:dyDescent="0.25">
      <c r="A562" s="674"/>
      <c r="B562" s="561"/>
      <c r="C562" s="561"/>
      <c r="D562" s="561"/>
      <c r="E562" s="569" t="s">
        <v>20</v>
      </c>
      <c r="F562" s="561"/>
      <c r="G562" s="563"/>
      <c r="H562" s="685" t="s">
        <v>14</v>
      </c>
      <c r="I562" s="683"/>
      <c r="J562" s="683"/>
      <c r="K562" s="684"/>
      <c r="L562" s="571">
        <v>0</v>
      </c>
      <c r="M562" s="572">
        <v>0</v>
      </c>
      <c r="N562" s="572">
        <v>0</v>
      </c>
      <c r="O562" s="572">
        <f t="shared" si="344"/>
        <v>0</v>
      </c>
      <c r="P562" s="572">
        <f t="shared" si="345"/>
        <v>0</v>
      </c>
      <c r="Q562" s="572">
        <v>0</v>
      </c>
      <c r="R562" s="572">
        <v>0</v>
      </c>
      <c r="S562" s="572">
        <v>0</v>
      </c>
      <c r="T562" s="572">
        <f t="shared" si="347"/>
        <v>0</v>
      </c>
      <c r="U562" s="572">
        <f t="shared" si="348"/>
        <v>0</v>
      </c>
    </row>
    <row r="563" spans="1:21" ht="18.75" x14ac:dyDescent="0.25">
      <c r="A563" s="674"/>
      <c r="B563" s="561"/>
      <c r="C563" s="561"/>
      <c r="D563" s="561"/>
      <c r="E563" s="573" t="s">
        <v>21</v>
      </c>
      <c r="F563" s="561"/>
      <c r="G563" s="563"/>
      <c r="H563" s="686" t="s">
        <v>14</v>
      </c>
      <c r="I563" s="683"/>
      <c r="J563" s="683"/>
      <c r="K563" s="684"/>
      <c r="L563" s="567">
        <f ca="1">IFERROR(__xludf.DUMMYFUNCTION("IMPORTRANGE(""https://docs.google.com/spreadsheets/d/1-uDff_7J0KD5mKrp0Vvzr7lt3OU09vwQwhkpOPPYv2Y/edit?usp=sharing"",""งบพรบ!GJ19"")"),4870000)</f>
        <v>4870000</v>
      </c>
      <c r="M563" s="568">
        <f ca="1">IFERROR(__xludf.DUMMYFUNCTION("IMPORTRANGE(""https://docs.google.com/spreadsheets/d/1-uDff_7J0KD5mKrp0Vvzr7lt3OU09vwQwhkpOPPYv2Y/edit?usp=sharing"",""งบพรบ!GM19"")"),4870000)</f>
        <v>4870000</v>
      </c>
      <c r="N563" s="568">
        <f ca="1">IFERROR(__xludf.DUMMYFUNCTION("IMPORTRANGE(""https://docs.google.com/spreadsheets/d/1-uDff_7J0KD5mKrp0Vvzr7lt3OU09vwQwhkpOPPYv2Y/edit?usp=sharing"",""งบพรบ!GO19"")"),0)</f>
        <v>0</v>
      </c>
      <c r="O563" s="568">
        <f t="shared" ca="1" si="344"/>
        <v>0</v>
      </c>
      <c r="P563" s="568">
        <f t="shared" ca="1" si="345"/>
        <v>0</v>
      </c>
      <c r="Q563" s="568">
        <v>0</v>
      </c>
      <c r="R563" s="568">
        <v>0</v>
      </c>
      <c r="S563" s="568">
        <v>0</v>
      </c>
      <c r="T563" s="568">
        <f t="shared" si="347"/>
        <v>0</v>
      </c>
      <c r="U563" s="568">
        <f t="shared" si="348"/>
        <v>0</v>
      </c>
    </row>
    <row r="564" spans="1:21" ht="19.5" hidden="1" x14ac:dyDescent="0.3">
      <c r="A564" s="687"/>
      <c r="B564" s="688"/>
      <c r="C564" s="1034" t="s">
        <v>18</v>
      </c>
      <c r="D564" s="689" t="s">
        <v>38</v>
      </c>
      <c r="E564" s="690"/>
      <c r="F564" s="690"/>
      <c r="G564" s="691"/>
      <c r="H564" s="692"/>
      <c r="I564" s="683"/>
      <c r="J564" s="565"/>
      <c r="K564" s="566"/>
      <c r="L564" s="574"/>
      <c r="M564" s="566"/>
      <c r="N564" s="566"/>
      <c r="O564" s="684"/>
      <c r="P564" s="684"/>
      <c r="Q564" s="566"/>
      <c r="R564" s="566"/>
      <c r="S564" s="566"/>
      <c r="T564" s="684"/>
      <c r="U564" s="684"/>
    </row>
    <row r="565" spans="1:21" ht="12.75" hidden="1" x14ac:dyDescent="0.2">
      <c r="A565" s="973"/>
      <c r="B565" s="974"/>
      <c r="C565" s="961"/>
      <c r="D565" s="974"/>
      <c r="E565" s="961"/>
      <c r="F565" s="974"/>
      <c r="G565" s="975"/>
      <c r="H565" s="975"/>
      <c r="I565" s="963"/>
      <c r="J565" s="963"/>
      <c r="K565" s="964"/>
      <c r="L565" s="965"/>
      <c r="M565" s="964"/>
      <c r="N565" s="964"/>
      <c r="O565" s="964"/>
      <c r="P565" s="964"/>
      <c r="Q565" s="964"/>
      <c r="R565" s="964"/>
      <c r="S565" s="964"/>
      <c r="T565" s="964"/>
      <c r="U565" s="964"/>
    </row>
    <row r="566" spans="1:21" ht="12.75" hidden="1" x14ac:dyDescent="0.2">
      <c r="A566" s="973"/>
      <c r="B566" s="974"/>
      <c r="C566" s="961"/>
      <c r="D566" s="974"/>
      <c r="E566" s="961"/>
      <c r="F566" s="974"/>
      <c r="G566" s="975"/>
      <c r="H566" s="975"/>
      <c r="I566" s="963"/>
      <c r="J566" s="963"/>
      <c r="K566" s="964"/>
      <c r="L566" s="965"/>
      <c r="M566" s="964"/>
      <c r="N566" s="964"/>
      <c r="O566" s="964"/>
      <c r="P566" s="964"/>
      <c r="Q566" s="964"/>
      <c r="R566" s="964"/>
      <c r="S566" s="964"/>
      <c r="T566" s="964"/>
      <c r="U566" s="964"/>
    </row>
    <row r="567" spans="1:21" ht="12.75" hidden="1" x14ac:dyDescent="0.2">
      <c r="A567" s="973"/>
      <c r="B567" s="961"/>
      <c r="C567" s="961"/>
      <c r="D567" s="974"/>
      <c r="E567" s="974"/>
      <c r="F567" s="974"/>
      <c r="G567" s="975"/>
      <c r="H567" s="962"/>
      <c r="I567" s="963"/>
      <c r="J567" s="963"/>
      <c r="K567" s="964"/>
      <c r="L567" s="965"/>
      <c r="M567" s="964"/>
      <c r="N567" s="964"/>
      <c r="O567" s="964"/>
      <c r="P567" s="964"/>
      <c r="Q567" s="964"/>
      <c r="R567" s="964"/>
      <c r="S567" s="964"/>
      <c r="T567" s="964"/>
      <c r="U567" s="964"/>
    </row>
    <row r="568" spans="1:21" ht="12.75" hidden="1" x14ac:dyDescent="0.2">
      <c r="A568" s="973"/>
      <c r="B568" s="961"/>
      <c r="C568" s="961"/>
      <c r="D568" s="974"/>
      <c r="E568" s="974"/>
      <c r="F568" s="974"/>
      <c r="G568" s="975"/>
      <c r="H568" s="962"/>
      <c r="I568" s="963"/>
      <c r="J568" s="963"/>
      <c r="K568" s="964"/>
      <c r="L568" s="965"/>
      <c r="M568" s="964"/>
      <c r="N568" s="964"/>
      <c r="O568" s="964"/>
      <c r="P568" s="964"/>
      <c r="Q568" s="964"/>
      <c r="R568" s="964"/>
      <c r="S568" s="964"/>
      <c r="T568" s="964"/>
      <c r="U568" s="964"/>
    </row>
    <row r="569" spans="1:21" ht="12.75" hidden="1" x14ac:dyDescent="0.2">
      <c r="A569" s="973"/>
      <c r="B569" s="961"/>
      <c r="C569" s="961"/>
      <c r="D569" s="974"/>
      <c r="E569" s="974"/>
      <c r="F569" s="974"/>
      <c r="G569" s="975"/>
      <c r="H569" s="962"/>
      <c r="I569" s="963"/>
      <c r="J569" s="963"/>
      <c r="K569" s="964"/>
      <c r="L569" s="965"/>
      <c r="M569" s="964"/>
      <c r="N569" s="964"/>
      <c r="O569" s="964"/>
      <c r="P569" s="964"/>
      <c r="Q569" s="964"/>
      <c r="R569" s="964"/>
      <c r="S569" s="964"/>
      <c r="T569" s="964"/>
      <c r="U569" s="964"/>
    </row>
    <row r="570" spans="1:21" ht="12.75" hidden="1" x14ac:dyDescent="0.2">
      <c r="A570" s="973"/>
      <c r="B570" s="961"/>
      <c r="C570" s="961"/>
      <c r="D570" s="974"/>
      <c r="E570" s="974"/>
      <c r="F570" s="974"/>
      <c r="G570" s="975"/>
      <c r="H570" s="962"/>
      <c r="I570" s="963"/>
      <c r="J570" s="963"/>
      <c r="K570" s="964"/>
      <c r="L570" s="965"/>
      <c r="M570" s="964"/>
      <c r="N570" s="964"/>
      <c r="O570" s="964"/>
      <c r="P570" s="964"/>
      <c r="Q570" s="964"/>
      <c r="R570" s="964"/>
      <c r="S570" s="964"/>
      <c r="T570" s="964"/>
      <c r="U570" s="964"/>
    </row>
    <row r="571" spans="1:21" ht="12.75" hidden="1" x14ac:dyDescent="0.2">
      <c r="A571" s="973"/>
      <c r="B571" s="961"/>
      <c r="C571" s="961"/>
      <c r="D571" s="974"/>
      <c r="E571" s="974"/>
      <c r="F571" s="974"/>
      <c r="G571" s="975"/>
      <c r="H571" s="962"/>
      <c r="I571" s="963"/>
      <c r="J571" s="963"/>
      <c r="K571" s="964"/>
      <c r="L571" s="965"/>
      <c r="M571" s="964"/>
      <c r="N571" s="964"/>
      <c r="O571" s="964"/>
      <c r="P571" s="964"/>
      <c r="Q571" s="964"/>
      <c r="R571" s="964"/>
      <c r="S571" s="964"/>
      <c r="T571" s="964"/>
      <c r="U571" s="964"/>
    </row>
    <row r="572" spans="1:21" ht="12.75" hidden="1" x14ac:dyDescent="0.2">
      <c r="A572" s="973"/>
      <c r="B572" s="961"/>
      <c r="C572" s="961"/>
      <c r="D572" s="974"/>
      <c r="E572" s="974"/>
      <c r="F572" s="974"/>
      <c r="G572" s="975"/>
      <c r="H572" s="962"/>
      <c r="I572" s="963"/>
      <c r="J572" s="963"/>
      <c r="K572" s="964"/>
      <c r="L572" s="965"/>
      <c r="M572" s="964"/>
      <c r="N572" s="964"/>
      <c r="O572" s="964"/>
      <c r="P572" s="964"/>
      <c r="Q572" s="964"/>
      <c r="R572" s="964"/>
      <c r="S572" s="964"/>
      <c r="T572" s="964"/>
      <c r="U572" s="964"/>
    </row>
    <row r="573" spans="1:21" ht="12.75" hidden="1" x14ac:dyDescent="0.2">
      <c r="A573" s="973"/>
      <c r="B573" s="961"/>
      <c r="C573" s="961"/>
      <c r="D573" s="974"/>
      <c r="E573" s="974"/>
      <c r="F573" s="974"/>
      <c r="G573" s="975"/>
      <c r="H573" s="962"/>
      <c r="I573" s="963"/>
      <c r="J573" s="963"/>
      <c r="K573" s="964"/>
      <c r="L573" s="965"/>
      <c r="M573" s="964"/>
      <c r="N573" s="964"/>
      <c r="O573" s="964"/>
      <c r="P573" s="964"/>
      <c r="Q573" s="964"/>
      <c r="R573" s="964"/>
      <c r="S573" s="964"/>
      <c r="T573" s="964"/>
      <c r="U573" s="964"/>
    </row>
    <row r="574" spans="1:21" ht="12.75" hidden="1" x14ac:dyDescent="0.2">
      <c r="A574" s="1027"/>
      <c r="B574" s="966"/>
      <c r="C574" s="966"/>
      <c r="D574" s="1028"/>
      <c r="E574" s="1028"/>
      <c r="F574" s="1028"/>
      <c r="G574" s="1029"/>
      <c r="H574" s="967"/>
      <c r="I574" s="968"/>
      <c r="J574" s="968"/>
      <c r="K574" s="969"/>
      <c r="L574" s="970"/>
      <c r="M574" s="969"/>
      <c r="N574" s="969"/>
      <c r="O574" s="969"/>
      <c r="P574" s="969"/>
      <c r="Q574" s="969"/>
      <c r="R574" s="969"/>
      <c r="S574" s="969"/>
      <c r="T574" s="969"/>
      <c r="U574" s="969"/>
    </row>
    <row r="575" spans="1:21" ht="19.5" x14ac:dyDescent="0.3">
      <c r="A575" s="1006"/>
      <c r="B575" s="1030" t="s">
        <v>212</v>
      </c>
      <c r="C575" s="1008"/>
      <c r="D575" s="1009"/>
      <c r="E575" s="1009"/>
      <c r="F575" s="1009"/>
      <c r="G575" s="1010"/>
      <c r="H575" s="1031" t="s">
        <v>61</v>
      </c>
      <c r="I575" s="1032">
        <f t="shared" ref="I575:J575" si="355">I587</f>
        <v>0</v>
      </c>
      <c r="J575" s="1032">
        <f t="shared" si="355"/>
        <v>0</v>
      </c>
      <c r="K575" s="1033">
        <f>IF(I575&gt;0,J575*100/I575,0)</f>
        <v>0</v>
      </c>
      <c r="L575" s="1014"/>
      <c r="M575" s="1015"/>
      <c r="N575" s="1015"/>
      <c r="O575" s="1015"/>
      <c r="P575" s="1015"/>
      <c r="Q575" s="1015"/>
      <c r="R575" s="1015"/>
      <c r="S575" s="1015"/>
      <c r="T575" s="1015"/>
      <c r="U575" s="1015"/>
    </row>
    <row r="576" spans="1:21" ht="19.5" x14ac:dyDescent="0.3">
      <c r="A576" s="674"/>
      <c r="B576" s="561"/>
      <c r="C576" s="675" t="s">
        <v>18</v>
      </c>
      <c r="D576" s="676" t="s">
        <v>19</v>
      </c>
      <c r="E576" s="561"/>
      <c r="F576" s="561"/>
      <c r="G576" s="563"/>
      <c r="H576" s="677" t="s">
        <v>14</v>
      </c>
      <c r="I576" s="565"/>
      <c r="J576" s="565"/>
      <c r="K576" s="566"/>
      <c r="L576" s="678">
        <f t="shared" ref="L576:N576" ca="1" si="356">L577+L578</f>
        <v>907760</v>
      </c>
      <c r="M576" s="679">
        <f t="shared" ca="1" si="356"/>
        <v>0</v>
      </c>
      <c r="N576" s="679">
        <f t="shared" ca="1" si="356"/>
        <v>0</v>
      </c>
      <c r="O576" s="679">
        <f t="shared" ref="O576:O584" ca="1" si="357">IF(L576&gt;0,N576*100/L576,0)</f>
        <v>0</v>
      </c>
      <c r="P576" s="679">
        <f t="shared" ref="P576:P584" ca="1" si="358">IF(M576&gt;0,N576*100/M576,0)</f>
        <v>0</v>
      </c>
      <c r="Q576" s="679">
        <f t="shared" ref="Q576:S576" si="359">Q577+Q578</f>
        <v>0</v>
      </c>
      <c r="R576" s="679">
        <f t="shared" si="359"/>
        <v>0</v>
      </c>
      <c r="S576" s="679">
        <f t="shared" si="359"/>
        <v>0</v>
      </c>
      <c r="T576" s="679">
        <f t="shared" ref="T576:T584" si="360">IF(Q576&gt;0,S576*100/Q576,0)</f>
        <v>0</v>
      </c>
      <c r="U576" s="679">
        <f t="shared" ref="U576:U584" si="361">IF(R576&gt;0,S576*100/R576,0)</f>
        <v>0</v>
      </c>
    </row>
    <row r="577" spans="1:21" ht="18.75" x14ac:dyDescent="0.25">
      <c r="A577" s="674"/>
      <c r="B577" s="718"/>
      <c r="C577" s="561"/>
      <c r="D577" s="561"/>
      <c r="E577" s="569" t="s">
        <v>20</v>
      </c>
      <c r="F577" s="561"/>
      <c r="G577" s="563"/>
      <c r="H577" s="680" t="s">
        <v>14</v>
      </c>
      <c r="I577" s="565"/>
      <c r="J577" s="565"/>
      <c r="K577" s="566"/>
      <c r="L577" s="571">
        <f t="shared" ref="L577:N578" si="362">L580+L583</f>
        <v>0</v>
      </c>
      <c r="M577" s="572">
        <f t="shared" si="362"/>
        <v>0</v>
      </c>
      <c r="N577" s="572">
        <f t="shared" si="362"/>
        <v>0</v>
      </c>
      <c r="O577" s="572">
        <f t="shared" si="357"/>
        <v>0</v>
      </c>
      <c r="P577" s="572">
        <f t="shared" si="358"/>
        <v>0</v>
      </c>
      <c r="Q577" s="572">
        <f t="shared" ref="Q577:S578" si="363">Q580+Q583</f>
        <v>0</v>
      </c>
      <c r="R577" s="572">
        <f t="shared" si="363"/>
        <v>0</v>
      </c>
      <c r="S577" s="572">
        <f t="shared" si="363"/>
        <v>0</v>
      </c>
      <c r="T577" s="572">
        <f t="shared" si="360"/>
        <v>0</v>
      </c>
      <c r="U577" s="572">
        <f t="shared" si="361"/>
        <v>0</v>
      </c>
    </row>
    <row r="578" spans="1:21" ht="18.75" x14ac:dyDescent="0.25">
      <c r="A578" s="674"/>
      <c r="B578" s="561"/>
      <c r="C578" s="718"/>
      <c r="D578" s="561"/>
      <c r="E578" s="765" t="s">
        <v>21</v>
      </c>
      <c r="F578" s="561"/>
      <c r="G578" s="563"/>
      <c r="H578" s="681" t="s">
        <v>14</v>
      </c>
      <c r="I578" s="565"/>
      <c r="J578" s="565"/>
      <c r="K578" s="566"/>
      <c r="L578" s="567">
        <f t="shared" ca="1" si="362"/>
        <v>907760</v>
      </c>
      <c r="M578" s="568">
        <f t="shared" ca="1" si="362"/>
        <v>0</v>
      </c>
      <c r="N578" s="568">
        <f t="shared" ca="1" si="362"/>
        <v>0</v>
      </c>
      <c r="O578" s="568">
        <f t="shared" ca="1" si="357"/>
        <v>0</v>
      </c>
      <c r="P578" s="568">
        <f t="shared" ca="1" si="358"/>
        <v>0</v>
      </c>
      <c r="Q578" s="568">
        <f t="shared" si="363"/>
        <v>0</v>
      </c>
      <c r="R578" s="568">
        <f t="shared" si="363"/>
        <v>0</v>
      </c>
      <c r="S578" s="568">
        <f t="shared" si="363"/>
        <v>0</v>
      </c>
      <c r="T578" s="568">
        <f t="shared" si="360"/>
        <v>0</v>
      </c>
      <c r="U578" s="568">
        <f t="shared" si="361"/>
        <v>0</v>
      </c>
    </row>
    <row r="579" spans="1:21" ht="18.75" x14ac:dyDescent="0.25">
      <c r="A579" s="674"/>
      <c r="B579" s="561"/>
      <c r="C579" s="718"/>
      <c r="D579" s="562" t="s">
        <v>22</v>
      </c>
      <c r="E579" s="718"/>
      <c r="F579" s="561"/>
      <c r="G579" s="563"/>
      <c r="H579" s="682" t="s">
        <v>14</v>
      </c>
      <c r="I579" s="683"/>
      <c r="J579" s="683"/>
      <c r="K579" s="684"/>
      <c r="L579" s="567">
        <f t="shared" ref="L579:N579" ca="1" si="364">L580+L581</f>
        <v>907760</v>
      </c>
      <c r="M579" s="568">
        <f t="shared" ca="1" si="364"/>
        <v>0</v>
      </c>
      <c r="N579" s="568">
        <f t="shared" ca="1" si="364"/>
        <v>0</v>
      </c>
      <c r="O579" s="568">
        <f t="shared" ca="1" si="357"/>
        <v>0</v>
      </c>
      <c r="P579" s="568">
        <f t="shared" ca="1" si="358"/>
        <v>0</v>
      </c>
      <c r="Q579" s="568">
        <f t="shared" ref="Q579:S579" si="365">Q580+Q581</f>
        <v>0</v>
      </c>
      <c r="R579" s="568">
        <f t="shared" si="365"/>
        <v>0</v>
      </c>
      <c r="S579" s="568">
        <f t="shared" si="365"/>
        <v>0</v>
      </c>
      <c r="T579" s="568">
        <f t="shared" si="360"/>
        <v>0</v>
      </c>
      <c r="U579" s="568">
        <f t="shared" si="361"/>
        <v>0</v>
      </c>
    </row>
    <row r="580" spans="1:21" ht="18.75" x14ac:dyDescent="0.25">
      <c r="A580" s="674"/>
      <c r="B580" s="561"/>
      <c r="C580" s="561"/>
      <c r="D580" s="561"/>
      <c r="E580" s="569" t="s">
        <v>36</v>
      </c>
      <c r="F580" s="561"/>
      <c r="G580" s="563"/>
      <c r="H580" s="685" t="s">
        <v>14</v>
      </c>
      <c r="I580" s="683"/>
      <c r="J580" s="683"/>
      <c r="K580" s="684"/>
      <c r="L580" s="571">
        <v>0</v>
      </c>
      <c r="M580" s="572">
        <v>0</v>
      </c>
      <c r="N580" s="572">
        <v>0</v>
      </c>
      <c r="O580" s="572">
        <f t="shared" si="357"/>
        <v>0</v>
      </c>
      <c r="P580" s="572">
        <f t="shared" si="358"/>
        <v>0</v>
      </c>
      <c r="Q580" s="572">
        <v>0</v>
      </c>
      <c r="R580" s="572">
        <v>0</v>
      </c>
      <c r="S580" s="572">
        <v>0</v>
      </c>
      <c r="T580" s="572">
        <f t="shared" si="360"/>
        <v>0</v>
      </c>
      <c r="U580" s="572">
        <f t="shared" si="361"/>
        <v>0</v>
      </c>
    </row>
    <row r="581" spans="1:21" ht="18.75" x14ac:dyDescent="0.25">
      <c r="A581" s="674"/>
      <c r="B581" s="561"/>
      <c r="C581" s="561"/>
      <c r="D581" s="561"/>
      <c r="E581" s="573" t="s">
        <v>37</v>
      </c>
      <c r="F581" s="561"/>
      <c r="G581" s="563"/>
      <c r="H581" s="682" t="s">
        <v>14</v>
      </c>
      <c r="I581" s="683"/>
      <c r="J581" s="683"/>
      <c r="K581" s="684"/>
      <c r="L581" s="567">
        <f ca="1">IFERROR(__xludf.DUMMYFUNCTION("IMPORTRANGE(""https://docs.google.com/spreadsheets/d/1-uDff_7J0KD5mKrp0Vvzr7lt3OU09vwQwhkpOPPYv2Y/edit?usp=sharing"",""งบพรบ!GQ19"")"),907760)</f>
        <v>907760</v>
      </c>
      <c r="M581" s="568">
        <f ca="1">IFERROR(__xludf.DUMMYFUNCTION("IMPORTRANGE(""https://docs.google.com/spreadsheets/d/1-uDff_7J0KD5mKrp0Vvzr7lt3OU09vwQwhkpOPPYv2Y/edit?usp=sharing"",""งบพรบ!GV19"")"),0)</f>
        <v>0</v>
      </c>
      <c r="N581" s="568">
        <f ca="1">IFERROR(__xludf.DUMMYFUNCTION("IMPORTRANGE(""https://docs.google.com/spreadsheets/d/1-uDff_7J0KD5mKrp0Vvzr7lt3OU09vwQwhkpOPPYv2Y/edit?usp=sharing"",""งบพรบ!GX19"")"),0)</f>
        <v>0</v>
      </c>
      <c r="O581" s="568">
        <f t="shared" ca="1" si="357"/>
        <v>0</v>
      </c>
      <c r="P581" s="568">
        <f t="shared" ca="1" si="358"/>
        <v>0</v>
      </c>
      <c r="Q581" s="568">
        <v>0</v>
      </c>
      <c r="R581" s="568">
        <v>0</v>
      </c>
      <c r="S581" s="568">
        <v>0</v>
      </c>
      <c r="T581" s="568">
        <f t="shared" si="360"/>
        <v>0</v>
      </c>
      <c r="U581" s="568">
        <f t="shared" si="361"/>
        <v>0</v>
      </c>
    </row>
    <row r="582" spans="1:21" ht="18.75" x14ac:dyDescent="0.25">
      <c r="A582" s="674"/>
      <c r="B582" s="561"/>
      <c r="C582" s="561"/>
      <c r="D582" s="562" t="s">
        <v>23</v>
      </c>
      <c r="E582" s="561"/>
      <c r="F582" s="561"/>
      <c r="G582" s="563"/>
      <c r="H582" s="686" t="s">
        <v>14</v>
      </c>
      <c r="I582" s="683"/>
      <c r="J582" s="683"/>
      <c r="K582" s="684"/>
      <c r="L582" s="567">
        <f t="shared" ref="L582:N582" ca="1" si="366">L583+L584</f>
        <v>0</v>
      </c>
      <c r="M582" s="568">
        <f t="shared" ca="1" si="366"/>
        <v>0</v>
      </c>
      <c r="N582" s="568">
        <f t="shared" ca="1" si="366"/>
        <v>0</v>
      </c>
      <c r="O582" s="568">
        <f t="shared" ca="1" si="357"/>
        <v>0</v>
      </c>
      <c r="P582" s="568">
        <f t="shared" ca="1" si="358"/>
        <v>0</v>
      </c>
      <c r="Q582" s="568">
        <f t="shared" ref="Q582:S582" si="367">Q583+Q584</f>
        <v>0</v>
      </c>
      <c r="R582" s="568">
        <f t="shared" si="367"/>
        <v>0</v>
      </c>
      <c r="S582" s="568">
        <f t="shared" si="367"/>
        <v>0</v>
      </c>
      <c r="T582" s="568">
        <f t="shared" si="360"/>
        <v>0</v>
      </c>
      <c r="U582" s="568">
        <f t="shared" si="361"/>
        <v>0</v>
      </c>
    </row>
    <row r="583" spans="1:21" ht="18.75" x14ac:dyDescent="0.25">
      <c r="A583" s="674"/>
      <c r="B583" s="561"/>
      <c r="C583" s="561"/>
      <c r="D583" s="561"/>
      <c r="E583" s="569" t="s">
        <v>20</v>
      </c>
      <c r="F583" s="561"/>
      <c r="G583" s="563"/>
      <c r="H583" s="685" t="s">
        <v>14</v>
      </c>
      <c r="I583" s="683"/>
      <c r="J583" s="683"/>
      <c r="K583" s="684"/>
      <c r="L583" s="571">
        <v>0</v>
      </c>
      <c r="M583" s="572">
        <v>0</v>
      </c>
      <c r="N583" s="572">
        <v>0</v>
      </c>
      <c r="O583" s="572">
        <f t="shared" si="357"/>
        <v>0</v>
      </c>
      <c r="P583" s="572">
        <f t="shared" si="358"/>
        <v>0</v>
      </c>
      <c r="Q583" s="572">
        <v>0</v>
      </c>
      <c r="R583" s="572">
        <v>0</v>
      </c>
      <c r="S583" s="572">
        <v>0</v>
      </c>
      <c r="T583" s="572">
        <f t="shared" si="360"/>
        <v>0</v>
      </c>
      <c r="U583" s="572">
        <f t="shared" si="361"/>
        <v>0</v>
      </c>
    </row>
    <row r="584" spans="1:21" ht="18.75" x14ac:dyDescent="0.25">
      <c r="A584" s="674"/>
      <c r="B584" s="561"/>
      <c r="C584" s="561"/>
      <c r="D584" s="561"/>
      <c r="E584" s="573" t="s">
        <v>21</v>
      </c>
      <c r="F584" s="561"/>
      <c r="G584" s="563"/>
      <c r="H584" s="686" t="s">
        <v>14</v>
      </c>
      <c r="I584" s="683"/>
      <c r="J584" s="683"/>
      <c r="K584" s="684"/>
      <c r="L584" s="567">
        <f ca="1">IFERROR(__xludf.DUMMYFUNCTION("IMPORTRANGE(""https://docs.google.com/spreadsheets/d/1-uDff_7J0KD5mKrp0Vvzr7lt3OU09vwQwhkpOPPYv2Y/edit?usp=sharing"",""งบพรบ!GT19"")"),0)</f>
        <v>0</v>
      </c>
      <c r="M584" s="568">
        <f ca="1">IFERROR(__xludf.DUMMYFUNCTION("IMPORTRANGE(""https://docs.google.com/spreadsheets/d/1-uDff_7J0KD5mKrp0Vvzr7lt3OU09vwQwhkpOPPYv2Y/edit?usp=sharing"",""งบพรบ!GW19"")"),0)</f>
        <v>0</v>
      </c>
      <c r="N584" s="568">
        <f ca="1">IFERROR(__xludf.DUMMYFUNCTION("IMPORTRANGE(""https://docs.google.com/spreadsheets/d/1-uDff_7J0KD5mKrp0Vvzr7lt3OU09vwQwhkpOPPYv2Y/edit?usp=sharing"",""งบพรบ!GY19"")"),0)</f>
        <v>0</v>
      </c>
      <c r="O584" s="568">
        <f t="shared" ca="1" si="357"/>
        <v>0</v>
      </c>
      <c r="P584" s="568">
        <f t="shared" ca="1" si="358"/>
        <v>0</v>
      </c>
      <c r="Q584" s="568">
        <v>0</v>
      </c>
      <c r="R584" s="568">
        <v>0</v>
      </c>
      <c r="S584" s="568">
        <v>0</v>
      </c>
      <c r="T584" s="568">
        <f t="shared" si="360"/>
        <v>0</v>
      </c>
      <c r="U584" s="568">
        <f t="shared" si="361"/>
        <v>0</v>
      </c>
    </row>
    <row r="585" spans="1:21" ht="19.5" hidden="1" x14ac:dyDescent="0.3">
      <c r="A585" s="687"/>
      <c r="B585" s="688"/>
      <c r="C585" s="1034" t="s">
        <v>18</v>
      </c>
      <c r="D585" s="689" t="s">
        <v>38</v>
      </c>
      <c r="E585" s="690"/>
      <c r="F585" s="690"/>
      <c r="G585" s="691"/>
      <c r="H585" s="692"/>
      <c r="I585" s="683"/>
      <c r="J585" s="565"/>
      <c r="K585" s="566"/>
      <c r="L585" s="574"/>
      <c r="M585" s="566"/>
      <c r="N585" s="566"/>
      <c r="O585" s="684"/>
      <c r="P585" s="684"/>
      <c r="Q585" s="566"/>
      <c r="R585" s="566"/>
      <c r="S585" s="566"/>
      <c r="T585" s="684"/>
      <c r="U585" s="684"/>
    </row>
    <row r="586" spans="1:21" ht="12.75" hidden="1" x14ac:dyDescent="0.2">
      <c r="A586" s="973"/>
      <c r="B586" s="974"/>
      <c r="C586" s="961"/>
      <c r="D586" s="974"/>
      <c r="E586" s="961"/>
      <c r="F586" s="974"/>
      <c r="G586" s="975"/>
      <c r="H586" s="975"/>
      <c r="I586" s="963"/>
      <c r="J586" s="963"/>
      <c r="K586" s="964"/>
      <c r="L586" s="965"/>
      <c r="M586" s="964"/>
      <c r="N586" s="964"/>
      <c r="O586" s="964"/>
      <c r="P586" s="964"/>
      <c r="Q586" s="964"/>
      <c r="R586" s="964"/>
      <c r="S586" s="964"/>
      <c r="T586" s="964"/>
      <c r="U586" s="964"/>
    </row>
    <row r="587" spans="1:21" ht="12.75" hidden="1" x14ac:dyDescent="0.2">
      <c r="A587" s="973"/>
      <c r="B587" s="974"/>
      <c r="C587" s="961"/>
      <c r="D587" s="974"/>
      <c r="E587" s="961"/>
      <c r="F587" s="974"/>
      <c r="G587" s="975"/>
      <c r="H587" s="975"/>
      <c r="I587" s="963"/>
      <c r="J587" s="963"/>
      <c r="K587" s="964"/>
      <c r="L587" s="965"/>
      <c r="M587" s="964"/>
      <c r="N587" s="964"/>
      <c r="O587" s="964"/>
      <c r="P587" s="964"/>
      <c r="Q587" s="964"/>
      <c r="R587" s="964"/>
      <c r="S587" s="964"/>
      <c r="T587" s="964"/>
      <c r="U587" s="964"/>
    </row>
    <row r="588" spans="1:21" ht="12.75" hidden="1" x14ac:dyDescent="0.2">
      <c r="A588" s="973"/>
      <c r="B588" s="961"/>
      <c r="C588" s="961"/>
      <c r="D588" s="974"/>
      <c r="E588" s="974"/>
      <c r="F588" s="974"/>
      <c r="G588" s="975"/>
      <c r="H588" s="962"/>
      <c r="I588" s="963"/>
      <c r="J588" s="963"/>
      <c r="K588" s="964"/>
      <c r="L588" s="965"/>
      <c r="M588" s="964"/>
      <c r="N588" s="964"/>
      <c r="O588" s="964"/>
      <c r="P588" s="964"/>
      <c r="Q588" s="964"/>
      <c r="R588" s="964"/>
      <c r="S588" s="964"/>
      <c r="T588" s="964"/>
      <c r="U588" s="964"/>
    </row>
    <row r="589" spans="1:21" ht="12.75" hidden="1" x14ac:dyDescent="0.2">
      <c r="A589" s="973"/>
      <c r="B589" s="961"/>
      <c r="C589" s="961"/>
      <c r="D589" s="974"/>
      <c r="E589" s="974"/>
      <c r="F589" s="974"/>
      <c r="G589" s="975"/>
      <c r="H589" s="962"/>
      <c r="I589" s="963"/>
      <c r="J589" s="963"/>
      <c r="K589" s="964"/>
      <c r="L589" s="965"/>
      <c r="M589" s="964"/>
      <c r="N589" s="964"/>
      <c r="O589" s="964"/>
      <c r="P589" s="964"/>
      <c r="Q589" s="964"/>
      <c r="R589" s="964"/>
      <c r="S589" s="964"/>
      <c r="T589" s="964"/>
      <c r="U589" s="964"/>
    </row>
    <row r="590" spans="1:21" ht="12.75" hidden="1" x14ac:dyDescent="0.2">
      <c r="A590" s="973"/>
      <c r="B590" s="961"/>
      <c r="C590" s="961"/>
      <c r="D590" s="974"/>
      <c r="E590" s="974"/>
      <c r="F590" s="974"/>
      <c r="G590" s="975"/>
      <c r="H590" s="962"/>
      <c r="I590" s="963"/>
      <c r="J590" s="963"/>
      <c r="K590" s="964"/>
      <c r="L590" s="965"/>
      <c r="M590" s="964"/>
      <c r="N590" s="964"/>
      <c r="O590" s="964"/>
      <c r="P590" s="964"/>
      <c r="Q590" s="964"/>
      <c r="R590" s="964"/>
      <c r="S590" s="964"/>
      <c r="T590" s="964"/>
      <c r="U590" s="964"/>
    </row>
    <row r="591" spans="1:21" ht="12.75" hidden="1" x14ac:dyDescent="0.2">
      <c r="A591" s="973"/>
      <c r="B591" s="961"/>
      <c r="C591" s="961"/>
      <c r="D591" s="974"/>
      <c r="E591" s="974"/>
      <c r="F591" s="974"/>
      <c r="G591" s="975"/>
      <c r="H591" s="962"/>
      <c r="I591" s="963"/>
      <c r="J591" s="963"/>
      <c r="K591" s="964"/>
      <c r="L591" s="965"/>
      <c r="M591" s="964"/>
      <c r="N591" s="964"/>
      <c r="O591" s="964"/>
      <c r="P591" s="964"/>
      <c r="Q591" s="964"/>
      <c r="R591" s="964"/>
      <c r="S591" s="964"/>
      <c r="T591" s="964"/>
      <c r="U591" s="964"/>
    </row>
    <row r="592" spans="1:21" ht="12.75" hidden="1" x14ac:dyDescent="0.2">
      <c r="A592" s="973"/>
      <c r="B592" s="961"/>
      <c r="C592" s="961"/>
      <c r="D592" s="974"/>
      <c r="E592" s="974"/>
      <c r="F592" s="974"/>
      <c r="G592" s="975"/>
      <c r="H592" s="962"/>
      <c r="I592" s="963"/>
      <c r="J592" s="963"/>
      <c r="K592" s="964"/>
      <c r="L592" s="965"/>
      <c r="M592" s="964"/>
      <c r="N592" s="964"/>
      <c r="O592" s="964"/>
      <c r="P592" s="964"/>
      <c r="Q592" s="964"/>
      <c r="R592" s="964"/>
      <c r="S592" s="964"/>
      <c r="T592" s="964"/>
      <c r="U592" s="964"/>
    </row>
    <row r="593" spans="1:21" ht="12.75" hidden="1" x14ac:dyDescent="0.2">
      <c r="A593" s="973"/>
      <c r="B593" s="961"/>
      <c r="C593" s="961"/>
      <c r="D593" s="974"/>
      <c r="E593" s="974"/>
      <c r="F593" s="974"/>
      <c r="G593" s="975"/>
      <c r="H593" s="962"/>
      <c r="I593" s="963"/>
      <c r="J593" s="963"/>
      <c r="K593" s="964"/>
      <c r="L593" s="965"/>
      <c r="M593" s="964"/>
      <c r="N593" s="964"/>
      <c r="O593" s="964"/>
      <c r="P593" s="964"/>
      <c r="Q593" s="964"/>
      <c r="R593" s="964"/>
      <c r="S593" s="964"/>
      <c r="T593" s="964"/>
      <c r="U593" s="964"/>
    </row>
    <row r="594" spans="1:21" ht="12.75" hidden="1" x14ac:dyDescent="0.2">
      <c r="A594" s="973"/>
      <c r="B594" s="961"/>
      <c r="C594" s="961"/>
      <c r="D594" s="974"/>
      <c r="E594" s="974"/>
      <c r="F594" s="974"/>
      <c r="G594" s="975"/>
      <c r="H594" s="962"/>
      <c r="I594" s="963"/>
      <c r="J594" s="963"/>
      <c r="K594" s="964"/>
      <c r="L594" s="965"/>
      <c r="M594" s="964"/>
      <c r="N594" s="964"/>
      <c r="O594" s="964"/>
      <c r="P594" s="964"/>
      <c r="Q594" s="964"/>
      <c r="R594" s="964"/>
      <c r="S594" s="964"/>
      <c r="T594" s="964"/>
      <c r="U594" s="964"/>
    </row>
    <row r="595" spans="1:21" ht="12.75" hidden="1" x14ac:dyDescent="0.2">
      <c r="A595" s="1027"/>
      <c r="B595" s="966"/>
      <c r="C595" s="966"/>
      <c r="D595" s="1028"/>
      <c r="E595" s="1028"/>
      <c r="F595" s="1028"/>
      <c r="G595" s="1029"/>
      <c r="H595" s="967"/>
      <c r="I595" s="968"/>
      <c r="J595" s="968"/>
      <c r="K595" s="969"/>
      <c r="L595" s="970"/>
      <c r="M595" s="969"/>
      <c r="N595" s="969"/>
      <c r="O595" s="969"/>
      <c r="P595" s="969"/>
      <c r="Q595" s="969"/>
      <c r="R595" s="969"/>
      <c r="S595" s="969"/>
      <c r="T595" s="969"/>
      <c r="U595" s="969"/>
    </row>
    <row r="596" spans="1:21" s="1201" customFormat="1" ht="19.5" x14ac:dyDescent="0.3">
      <c r="A596" s="1194" t="s">
        <v>213</v>
      </c>
      <c r="B596" s="1195"/>
      <c r="C596" s="1196"/>
      <c r="D596" s="1195"/>
      <c r="E596" s="1195"/>
      <c r="F596" s="1195"/>
      <c r="G596" s="1195"/>
      <c r="H596" s="1197"/>
      <c r="I596" s="1198"/>
      <c r="J596" s="1198"/>
      <c r="K596" s="1199"/>
      <c r="L596" s="1200"/>
      <c r="M596" s="1200"/>
      <c r="N596" s="1200"/>
      <c r="O596" s="1200"/>
      <c r="P596" s="1200"/>
      <c r="Q596" s="1200"/>
      <c r="R596" s="1200"/>
      <c r="S596" s="1200"/>
      <c r="T596" s="1200"/>
      <c r="U596" s="1200"/>
    </row>
    <row r="597" spans="1:21" s="1201" customFormat="1" ht="19.5" x14ac:dyDescent="0.3">
      <c r="A597" s="1202"/>
      <c r="B597" s="1203" t="s">
        <v>214</v>
      </c>
      <c r="C597" s="1204"/>
      <c r="D597" s="1205"/>
      <c r="E597" s="1206"/>
      <c r="F597" s="1206"/>
      <c r="G597" s="1206"/>
      <c r="H597" s="1207" t="s">
        <v>99</v>
      </c>
      <c r="I597" s="1208"/>
      <c r="J597" s="1209"/>
      <c r="K597" s="1210"/>
      <c r="L597" s="1211"/>
      <c r="M597" s="1210"/>
      <c r="N597" s="1210"/>
      <c r="O597" s="1210"/>
      <c r="P597" s="1210"/>
      <c r="Q597" s="1210"/>
      <c r="R597" s="1210"/>
      <c r="S597" s="1210"/>
      <c r="T597" s="1210"/>
      <c r="U597" s="1210"/>
    </row>
    <row r="598" spans="1:21" s="1201" customFormat="1" ht="19.5" x14ac:dyDescent="0.3">
      <c r="A598" s="1212"/>
      <c r="B598" s="1213" t="s">
        <v>215</v>
      </c>
      <c r="C598" s="1205"/>
      <c r="D598" s="1206"/>
      <c r="E598" s="1206"/>
      <c r="F598" s="1206"/>
      <c r="G598" s="1214"/>
      <c r="H598" s="1215" t="s">
        <v>35</v>
      </c>
      <c r="I598" s="1209"/>
      <c r="J598" s="1209"/>
      <c r="K598" s="1210"/>
      <c r="L598" s="1211"/>
      <c r="M598" s="1210"/>
      <c r="N598" s="1210"/>
      <c r="O598" s="1210"/>
      <c r="P598" s="1210"/>
      <c r="Q598" s="1210"/>
      <c r="R598" s="1210"/>
      <c r="S598" s="1210"/>
      <c r="T598" s="1210"/>
      <c r="U598" s="1210"/>
    </row>
    <row r="599" spans="1:21" s="1201" customFormat="1" ht="19.5" x14ac:dyDescent="0.3">
      <c r="A599" s="1216"/>
      <c r="B599" s="1177"/>
      <c r="C599" s="1217" t="s">
        <v>18</v>
      </c>
      <c r="D599" s="1334" t="s">
        <v>19</v>
      </c>
      <c r="E599" s="1311"/>
      <c r="F599" s="1311"/>
      <c r="G599" s="1312"/>
      <c r="H599" s="1171" t="s">
        <v>14</v>
      </c>
      <c r="I599" s="1182"/>
      <c r="J599" s="1182"/>
      <c r="K599" s="1175"/>
      <c r="L599" s="1174">
        <f t="shared" ref="L599:N599" ca="1" si="368">L600+L601</f>
        <v>10566</v>
      </c>
      <c r="M599" s="1176">
        <f t="shared" ca="1" si="368"/>
        <v>0</v>
      </c>
      <c r="N599" s="1176">
        <f t="shared" ca="1" si="368"/>
        <v>0</v>
      </c>
      <c r="O599" s="1176">
        <f t="shared" ref="O599:O607" ca="1" si="369">IF(L599&gt;0,N599*100/L599,0)</f>
        <v>0</v>
      </c>
      <c r="P599" s="1176">
        <f t="shared" ref="P599:P607" ca="1" si="370">IF(M599&gt;0,N599*100/M599,0)</f>
        <v>0</v>
      </c>
      <c r="Q599" s="1176">
        <f t="shared" ref="Q599:S599" ca="1" si="371">Q600+Q601</f>
        <v>0</v>
      </c>
      <c r="R599" s="1176">
        <f t="shared" ca="1" si="371"/>
        <v>0</v>
      </c>
      <c r="S599" s="1176">
        <f t="shared" ca="1" si="371"/>
        <v>0</v>
      </c>
      <c r="T599" s="1176">
        <f t="shared" ref="T599:T607" ca="1" si="372">IF(Q599&gt;0,S599*100/Q599,0)</f>
        <v>0</v>
      </c>
      <c r="U599" s="1176">
        <f t="shared" ref="U599:U607" ca="1" si="373">IF(R599&gt;0,S599*100/R599,0)</f>
        <v>0</v>
      </c>
    </row>
    <row r="600" spans="1:21" s="1201" customFormat="1" ht="18.75" x14ac:dyDescent="0.25">
      <c r="A600" s="1216"/>
      <c r="B600" s="1177"/>
      <c r="C600" s="1177"/>
      <c r="D600" s="623"/>
      <c r="E600" s="1178" t="s">
        <v>158</v>
      </c>
      <c r="F600" s="1167"/>
      <c r="G600" s="1170"/>
      <c r="H600" s="1179" t="s">
        <v>14</v>
      </c>
      <c r="I600" s="1182"/>
      <c r="J600" s="1182"/>
      <c r="K600" s="1175"/>
      <c r="L600" s="1180">
        <f t="shared" ref="L600:N601" si="374">L603+L606</f>
        <v>0</v>
      </c>
      <c r="M600" s="1181">
        <f t="shared" si="374"/>
        <v>0</v>
      </c>
      <c r="N600" s="1181">
        <f t="shared" si="374"/>
        <v>0</v>
      </c>
      <c r="O600" s="1181">
        <f t="shared" si="369"/>
        <v>0</v>
      </c>
      <c r="P600" s="1181">
        <f t="shared" si="370"/>
        <v>0</v>
      </c>
      <c r="Q600" s="1181">
        <f t="shared" ref="Q600:S601" si="375">Q603+Q606</f>
        <v>0</v>
      </c>
      <c r="R600" s="1181">
        <f t="shared" si="375"/>
        <v>0</v>
      </c>
      <c r="S600" s="1181">
        <f t="shared" si="375"/>
        <v>0</v>
      </c>
      <c r="T600" s="1181">
        <f t="shared" si="372"/>
        <v>0</v>
      </c>
      <c r="U600" s="1181">
        <f t="shared" si="373"/>
        <v>0</v>
      </c>
    </row>
    <row r="601" spans="1:21" s="1201" customFormat="1" ht="18.75" x14ac:dyDescent="0.25">
      <c r="A601" s="1216"/>
      <c r="B601" s="1177"/>
      <c r="C601" s="1177"/>
      <c r="D601" s="623"/>
      <c r="E601" s="1178" t="s">
        <v>159</v>
      </c>
      <c r="F601" s="1167"/>
      <c r="G601" s="1170"/>
      <c r="H601" s="1179" t="s">
        <v>14</v>
      </c>
      <c r="I601" s="1182"/>
      <c r="J601" s="1182"/>
      <c r="K601" s="1175"/>
      <c r="L601" s="1180">
        <f t="shared" ca="1" si="374"/>
        <v>10566</v>
      </c>
      <c r="M601" s="1181">
        <f t="shared" ca="1" si="374"/>
        <v>0</v>
      </c>
      <c r="N601" s="1181">
        <f t="shared" ca="1" si="374"/>
        <v>0</v>
      </c>
      <c r="O601" s="1181">
        <f t="shared" ca="1" si="369"/>
        <v>0</v>
      </c>
      <c r="P601" s="1181">
        <f t="shared" ca="1" si="370"/>
        <v>0</v>
      </c>
      <c r="Q601" s="1181">
        <f t="shared" ca="1" si="375"/>
        <v>0</v>
      </c>
      <c r="R601" s="1181">
        <f t="shared" ca="1" si="375"/>
        <v>0</v>
      </c>
      <c r="S601" s="1181">
        <f t="shared" ca="1" si="375"/>
        <v>0</v>
      </c>
      <c r="T601" s="1181">
        <f t="shared" ca="1" si="372"/>
        <v>0</v>
      </c>
      <c r="U601" s="1181">
        <f t="shared" ca="1" si="373"/>
        <v>0</v>
      </c>
    </row>
    <row r="602" spans="1:21" s="1201" customFormat="1" ht="19.5" x14ac:dyDescent="0.3">
      <c r="A602" s="1216"/>
      <c r="B602" s="1177"/>
      <c r="C602" s="1177"/>
      <c r="D602" s="1169" t="s">
        <v>22</v>
      </c>
      <c r="E602" s="1167"/>
      <c r="F602" s="1167"/>
      <c r="G602" s="1170"/>
      <c r="H602" s="1171" t="s">
        <v>14</v>
      </c>
      <c r="I602" s="1172"/>
      <c r="J602" s="1172"/>
      <c r="K602" s="1173"/>
      <c r="L602" s="1180">
        <f t="shared" ref="L602:N602" ca="1" si="376">L603+L604</f>
        <v>10566</v>
      </c>
      <c r="M602" s="1181">
        <f t="shared" ca="1" si="376"/>
        <v>0</v>
      </c>
      <c r="N602" s="1181">
        <f t="shared" ca="1" si="376"/>
        <v>0</v>
      </c>
      <c r="O602" s="1181">
        <f t="shared" ca="1" si="369"/>
        <v>0</v>
      </c>
      <c r="P602" s="1181">
        <f t="shared" ca="1" si="370"/>
        <v>0</v>
      </c>
      <c r="Q602" s="1181">
        <f t="shared" ref="Q602:S602" ca="1" si="377">Q603+Q604</f>
        <v>0</v>
      </c>
      <c r="R602" s="1181">
        <f t="shared" ca="1" si="377"/>
        <v>0</v>
      </c>
      <c r="S602" s="1181">
        <f t="shared" ca="1" si="377"/>
        <v>0</v>
      </c>
      <c r="T602" s="1181">
        <f t="shared" ca="1" si="372"/>
        <v>0</v>
      </c>
      <c r="U602" s="1181">
        <f t="shared" ca="1" si="373"/>
        <v>0</v>
      </c>
    </row>
    <row r="603" spans="1:21" s="1201" customFormat="1" ht="18.75" x14ac:dyDescent="0.25">
      <c r="A603" s="1216"/>
      <c r="B603" s="1177"/>
      <c r="C603" s="1177"/>
      <c r="D603" s="623"/>
      <c r="E603" s="1178" t="s">
        <v>158</v>
      </c>
      <c r="F603" s="1167"/>
      <c r="G603" s="1170"/>
      <c r="H603" s="1179" t="s">
        <v>14</v>
      </c>
      <c r="I603" s="1182"/>
      <c r="J603" s="1182"/>
      <c r="K603" s="1175"/>
      <c r="L603" s="1180">
        <v>0</v>
      </c>
      <c r="M603" s="1181">
        <v>0</v>
      </c>
      <c r="N603" s="1181">
        <v>0</v>
      </c>
      <c r="O603" s="1181">
        <f t="shared" si="369"/>
        <v>0</v>
      </c>
      <c r="P603" s="1181">
        <f t="shared" si="370"/>
        <v>0</v>
      </c>
      <c r="Q603" s="1181">
        <v>0</v>
      </c>
      <c r="R603" s="1181">
        <v>0</v>
      </c>
      <c r="S603" s="1181">
        <v>0</v>
      </c>
      <c r="T603" s="1181">
        <f t="shared" si="372"/>
        <v>0</v>
      </c>
      <c r="U603" s="1181">
        <f t="shared" si="373"/>
        <v>0</v>
      </c>
    </row>
    <row r="604" spans="1:21" s="1201" customFormat="1" ht="18.75" x14ac:dyDescent="0.25">
      <c r="A604" s="1216"/>
      <c r="B604" s="1177"/>
      <c r="C604" s="1177"/>
      <c r="D604" s="623"/>
      <c r="E604" s="1178" t="s">
        <v>159</v>
      </c>
      <c r="F604" s="1167"/>
      <c r="G604" s="1170"/>
      <c r="H604" s="1179" t="s">
        <v>14</v>
      </c>
      <c r="I604" s="1182"/>
      <c r="J604" s="1182"/>
      <c r="K604" s="1175"/>
      <c r="L604" s="1180">
        <f ca="1">IFERROR(__xludf.DUMMYFUNCTION("IMPORTRANGE(""https://docs.google.com/spreadsheets/d/1-uDff_7J0KD5mKrp0Vvzr7lt3OU09vwQwhkpOPPYv2Y/edit?usp=sharing"",""งบพรบ!HK19"")"),10566)</f>
        <v>10566</v>
      </c>
      <c r="M604" s="1181">
        <f ca="1">IFERROR(__xludf.DUMMYFUNCTION("IMPORTRANGE(""https://docs.google.com/spreadsheets/d/1-uDff_7J0KD5mKrp0Vvzr7lt3OU09vwQwhkpOPPYv2Y/edit?usp=sharing"",""งบพรบ!HP19"")"),0)</f>
        <v>0</v>
      </c>
      <c r="N604" s="1181">
        <f ca="1">IFERROR(__xludf.DUMMYFUNCTION("IMPORTRANGE(""https://docs.google.com/spreadsheets/d/1-uDff_7J0KD5mKrp0Vvzr7lt3OU09vwQwhkpOPPYv2Y/edit?usp=sharing"",""งบพรบ!HR19"")"),0)</f>
        <v>0</v>
      </c>
      <c r="O604" s="1181">
        <f t="shared" ca="1" si="369"/>
        <v>0</v>
      </c>
      <c r="P604" s="1181">
        <f t="shared" ca="1" si="370"/>
        <v>0</v>
      </c>
      <c r="Q604" s="1181">
        <f ca="1">IFERROR(__xludf.DUMMYFUNCTION("IMPORTRANGE(""https://docs.google.com/spreadsheets/d/1ItG2mGa2ceCfYo0BwxsXqNm01IGEUdYcSSLTEv9YCik/edit?usp=sharing"",""เบิกจ่ายกองทุน!AV19"")"),0)</f>
        <v>0</v>
      </c>
      <c r="R604" s="1181">
        <f ca="1">IFERROR(__xludf.DUMMYFUNCTION("IMPORTRANGE(""https://docs.google.com/spreadsheets/d/1ItG2mGa2ceCfYo0BwxsXqNm01IGEUdYcSSLTEv9YCik/edit?usp=sharing"",""เบิกจ่ายกองทุน!AW19"")"),0)</f>
        <v>0</v>
      </c>
      <c r="S604" s="1181">
        <f ca="1">IFERROR(__xludf.DUMMYFUNCTION("IMPORTRANGE(""https://docs.google.com/spreadsheets/d/1ItG2mGa2ceCfYo0BwxsXqNm01IGEUdYcSSLTEv9YCik/edit?usp=sharing"",""เบิกจ่ายกองทุน!AX19"")"),0)</f>
        <v>0</v>
      </c>
      <c r="T604" s="1181">
        <f t="shared" ca="1" si="372"/>
        <v>0</v>
      </c>
      <c r="U604" s="1181">
        <f t="shared" ca="1" si="373"/>
        <v>0</v>
      </c>
    </row>
    <row r="605" spans="1:21" s="1201" customFormat="1" ht="19.5" x14ac:dyDescent="0.3">
      <c r="A605" s="1216"/>
      <c r="B605" s="1177"/>
      <c r="C605" s="1177"/>
      <c r="D605" s="1169" t="s">
        <v>23</v>
      </c>
      <c r="E605" s="1177"/>
      <c r="F605" s="1167"/>
      <c r="G605" s="1170"/>
      <c r="H605" s="1218" t="s">
        <v>14</v>
      </c>
      <c r="I605" s="1172"/>
      <c r="J605" s="1172"/>
      <c r="K605" s="1173"/>
      <c r="L605" s="1180">
        <f t="shared" ref="L605:N605" ca="1" si="378">L606+L607</f>
        <v>0</v>
      </c>
      <c r="M605" s="1181">
        <f t="shared" ca="1" si="378"/>
        <v>0</v>
      </c>
      <c r="N605" s="1181">
        <f t="shared" ca="1" si="378"/>
        <v>0</v>
      </c>
      <c r="O605" s="1181">
        <f t="shared" ca="1" si="369"/>
        <v>0</v>
      </c>
      <c r="P605" s="1181">
        <f t="shared" ca="1" si="370"/>
        <v>0</v>
      </c>
      <c r="Q605" s="1181">
        <f t="shared" ref="Q605:S605" ca="1" si="379">Q606+Q607</f>
        <v>0</v>
      </c>
      <c r="R605" s="1181">
        <f t="shared" ca="1" si="379"/>
        <v>0</v>
      </c>
      <c r="S605" s="1181">
        <f t="shared" ca="1" si="379"/>
        <v>0</v>
      </c>
      <c r="T605" s="1181">
        <f t="shared" ca="1" si="372"/>
        <v>0</v>
      </c>
      <c r="U605" s="1181">
        <f t="shared" ca="1" si="373"/>
        <v>0</v>
      </c>
    </row>
    <row r="606" spans="1:21" s="1201" customFormat="1" ht="18.75" x14ac:dyDescent="0.25">
      <c r="A606" s="1216"/>
      <c r="B606" s="1177"/>
      <c r="C606" s="1177"/>
      <c r="D606" s="1177"/>
      <c r="E606" s="1219" t="s">
        <v>20</v>
      </c>
      <c r="F606" s="1167"/>
      <c r="G606" s="1170"/>
      <c r="H606" s="1179" t="s">
        <v>14</v>
      </c>
      <c r="I606" s="1172"/>
      <c r="J606" s="1172"/>
      <c r="K606" s="1173"/>
      <c r="L606" s="1180">
        <v>0</v>
      </c>
      <c r="M606" s="1181">
        <v>0</v>
      </c>
      <c r="N606" s="1181">
        <v>0</v>
      </c>
      <c r="O606" s="1181">
        <f t="shared" si="369"/>
        <v>0</v>
      </c>
      <c r="P606" s="1181">
        <f t="shared" si="370"/>
        <v>0</v>
      </c>
      <c r="Q606" s="1181">
        <v>0</v>
      </c>
      <c r="R606" s="1181">
        <v>0</v>
      </c>
      <c r="S606" s="1181">
        <v>0</v>
      </c>
      <c r="T606" s="1181">
        <f t="shared" si="372"/>
        <v>0</v>
      </c>
      <c r="U606" s="1181">
        <f t="shared" si="373"/>
        <v>0</v>
      </c>
    </row>
    <row r="607" spans="1:21" s="1201" customFormat="1" ht="18.75" x14ac:dyDescent="0.25">
      <c r="A607" s="1216"/>
      <c r="B607" s="1177"/>
      <c r="C607" s="1177"/>
      <c r="D607" s="1167"/>
      <c r="E607" s="1219" t="s">
        <v>21</v>
      </c>
      <c r="F607" s="1167"/>
      <c r="G607" s="1170"/>
      <c r="H607" s="1220" t="s">
        <v>14</v>
      </c>
      <c r="I607" s="1172"/>
      <c r="J607" s="1172"/>
      <c r="K607" s="1173"/>
      <c r="L607" s="1180">
        <f ca="1">IFERROR(__xludf.DUMMYFUNCTION("IMPORTRANGE(""https://docs.google.com/spreadsheets/d/1-uDff_7J0KD5mKrp0Vvzr7lt3OU09vwQwhkpOPPYv2Y/edit?usp=sharing"",""งบพรบ!HN19"")"),0)</f>
        <v>0</v>
      </c>
      <c r="M607" s="1181">
        <f ca="1">IFERROR(__xludf.DUMMYFUNCTION("IMPORTRANGE(""https://docs.google.com/spreadsheets/d/1-uDff_7J0KD5mKrp0Vvzr7lt3OU09vwQwhkpOPPYv2Y/edit?usp=sharing"",""งบพรบ!HQ19"")"),0)</f>
        <v>0</v>
      </c>
      <c r="N607" s="1181">
        <f ca="1">IFERROR(__xludf.DUMMYFUNCTION("IMPORTRANGE(""https://docs.google.com/spreadsheets/d/1-uDff_7J0KD5mKrp0Vvzr7lt3OU09vwQwhkpOPPYv2Y/edit?usp=sharing"",""งบพรบ!HS19"")"),0)</f>
        <v>0</v>
      </c>
      <c r="O607" s="1181">
        <f t="shared" ca="1" si="369"/>
        <v>0</v>
      </c>
      <c r="P607" s="1181">
        <f t="shared" ca="1" si="370"/>
        <v>0</v>
      </c>
      <c r="Q607" s="1181">
        <f ca="1">IFERROR(__xludf.DUMMYFUNCTION("IMPORTRANGE(""https://docs.google.com/spreadsheets/d/1ItG2mGa2ceCfYo0BwxsXqNm01IGEUdYcSSLTEv9YCik/edit?usp=sharing"",""เบิกจ่ายกองทุน!AY19"")"),0)</f>
        <v>0</v>
      </c>
      <c r="R607" s="1181">
        <f ca="1">IFERROR(__xludf.DUMMYFUNCTION("IMPORTRANGE(""https://docs.google.com/spreadsheets/d/1ItG2mGa2ceCfYo0BwxsXqNm01IGEUdYcSSLTEv9YCik/edit?usp=sharing"",""เบิกจ่ายกองทุน!AZ19"")"),0)</f>
        <v>0</v>
      </c>
      <c r="S607" s="1181">
        <f ca="1">IFERROR(__xludf.DUMMYFUNCTION("IMPORTRANGE(""https://docs.google.com/spreadsheets/d/1ItG2mGa2ceCfYo0BwxsXqNm01IGEUdYcSSLTEv9YCik/edit?usp=sharing"",""เบิกจ่ายกองทุน!BA19"")"),0)</f>
        <v>0</v>
      </c>
      <c r="T607" s="1181">
        <f t="shared" ca="1" si="372"/>
        <v>0</v>
      </c>
      <c r="U607" s="1181">
        <f t="shared" ca="1" si="373"/>
        <v>0</v>
      </c>
    </row>
    <row r="608" spans="1:21" s="1201" customFormat="1" ht="19.5" x14ac:dyDescent="0.3">
      <c r="A608" s="1221"/>
      <c r="B608" s="1183"/>
      <c r="C608" s="1217" t="s">
        <v>18</v>
      </c>
      <c r="D608" s="1185" t="s">
        <v>38</v>
      </c>
      <c r="E608" s="1186"/>
      <c r="F608" s="1186"/>
      <c r="G608" s="1187"/>
      <c r="H608" s="1222"/>
      <c r="I608" s="1172"/>
      <c r="J608" s="1172"/>
      <c r="K608" s="1173"/>
      <c r="L608" s="1188"/>
      <c r="M608" s="1175"/>
      <c r="N608" s="1175"/>
      <c r="O608" s="1175"/>
      <c r="P608" s="1175"/>
      <c r="Q608" s="1175"/>
      <c r="R608" s="1175"/>
      <c r="S608" s="1175"/>
      <c r="T608" s="1175"/>
      <c r="U608" s="1175"/>
    </row>
    <row r="609" spans="1:21" s="1201" customFormat="1" ht="18.75" x14ac:dyDescent="0.25">
      <c r="A609" s="1221"/>
      <c r="B609" s="1183"/>
      <c r="C609" s="1183"/>
      <c r="D609" s="1223" t="s">
        <v>216</v>
      </c>
      <c r="E609" s="623"/>
      <c r="F609" s="623"/>
      <c r="G609" s="624"/>
      <c r="H609" s="1179" t="s">
        <v>99</v>
      </c>
      <c r="I609" s="1182"/>
      <c r="J609" s="1182"/>
      <c r="K609" s="1173"/>
      <c r="L609" s="1188"/>
      <c r="M609" s="1175"/>
      <c r="N609" s="1175"/>
      <c r="O609" s="1175"/>
      <c r="P609" s="1175"/>
      <c r="Q609" s="1175"/>
      <c r="R609" s="1175"/>
      <c r="S609" s="1175"/>
      <c r="T609" s="1175"/>
      <c r="U609" s="1175"/>
    </row>
    <row r="610" spans="1:21" s="1201" customFormat="1" ht="19.5" x14ac:dyDescent="0.3">
      <c r="A610" s="1221"/>
      <c r="B610" s="1183"/>
      <c r="C610" s="1183"/>
      <c r="D610" s="1223" t="s">
        <v>217</v>
      </c>
      <c r="E610" s="623"/>
      <c r="F610" s="623"/>
      <c r="G610" s="624"/>
      <c r="H610" s="1171" t="s">
        <v>35</v>
      </c>
      <c r="I610" s="1182"/>
      <c r="J610" s="1182"/>
      <c r="K610" s="1173"/>
      <c r="L610" s="1188"/>
      <c r="M610" s="1175"/>
      <c r="N610" s="1175"/>
      <c r="O610" s="1175"/>
      <c r="P610" s="1175"/>
      <c r="Q610" s="1175"/>
      <c r="R610" s="1175"/>
      <c r="S610" s="1175"/>
      <c r="T610" s="1175"/>
      <c r="U610" s="1175"/>
    </row>
    <row r="611" spans="1:21" s="1201" customFormat="1" ht="18.75" x14ac:dyDescent="0.25">
      <c r="A611" s="1221"/>
      <c r="B611" s="1183"/>
      <c r="C611" s="1183"/>
      <c r="D611" s="1183"/>
      <c r="E611" s="1223" t="s">
        <v>218</v>
      </c>
      <c r="F611" s="623"/>
      <c r="G611" s="624"/>
      <c r="H611" s="1220" t="s">
        <v>35</v>
      </c>
      <c r="I611" s="1182"/>
      <c r="J611" s="1182"/>
      <c r="K611" s="1173"/>
      <c r="L611" s="1188"/>
      <c r="M611" s="1175"/>
      <c r="N611" s="1175"/>
      <c r="O611" s="1175"/>
      <c r="P611" s="1175"/>
      <c r="Q611" s="1175"/>
      <c r="R611" s="1175"/>
      <c r="S611" s="1175"/>
      <c r="T611" s="1175"/>
      <c r="U611" s="1175"/>
    </row>
    <row r="612" spans="1:21" s="1201" customFormat="1" ht="19.5" thickBot="1" x14ac:dyDescent="0.3">
      <c r="A612" s="1224"/>
      <c r="B612" s="1225"/>
      <c r="C612" s="1225"/>
      <c r="D612" s="1225"/>
      <c r="E612" s="1226" t="s">
        <v>219</v>
      </c>
      <c r="F612" s="1227"/>
      <c r="G612" s="1228"/>
      <c r="H612" s="1229" t="s">
        <v>35</v>
      </c>
      <c r="I612" s="1230"/>
      <c r="J612" s="1230"/>
      <c r="K612" s="1231"/>
      <c r="L612" s="1232"/>
      <c r="M612" s="1233"/>
      <c r="N612" s="1233"/>
      <c r="O612" s="1233"/>
      <c r="P612" s="1233"/>
      <c r="Q612" s="1233"/>
      <c r="R612" s="1233"/>
      <c r="S612" s="1233"/>
      <c r="T612" s="1233"/>
      <c r="U612" s="1233"/>
    </row>
    <row r="613" spans="1:21" ht="19.5" x14ac:dyDescent="0.3">
      <c r="A613" s="1053" t="s">
        <v>220</v>
      </c>
      <c r="B613" s="1054"/>
      <c r="C613" s="1054"/>
      <c r="D613" s="1055"/>
      <c r="E613" s="1055"/>
      <c r="F613" s="1055"/>
      <c r="G613" s="1056"/>
      <c r="H613" s="1057"/>
      <c r="I613" s="1058"/>
      <c r="J613" s="1058"/>
      <c r="K613" s="1059"/>
      <c r="L613" s="1060"/>
      <c r="M613" s="1059"/>
      <c r="N613" s="1059"/>
      <c r="O613" s="1059"/>
      <c r="P613" s="1059"/>
      <c r="Q613" s="1059"/>
      <c r="R613" s="1059"/>
      <c r="S613" s="1059"/>
      <c r="T613" s="1059"/>
      <c r="U613" s="1059"/>
    </row>
    <row r="614" spans="1:21" ht="19.5" x14ac:dyDescent="0.3">
      <c r="A614" s="1061"/>
      <c r="B614" s="1062" t="s">
        <v>221</v>
      </c>
      <c r="C614" s="1061"/>
      <c r="D614" s="1063"/>
      <c r="E614" s="1063"/>
      <c r="F614" s="1063"/>
      <c r="G614" s="1064"/>
      <c r="H614" s="1065"/>
      <c r="I614" s="1066"/>
      <c r="J614" s="1066"/>
      <c r="K614" s="1067"/>
      <c r="L614" s="1068"/>
      <c r="M614" s="1067"/>
      <c r="N614" s="1067"/>
      <c r="O614" s="1067"/>
      <c r="P614" s="1067"/>
      <c r="Q614" s="1067"/>
      <c r="R614" s="1067"/>
      <c r="S614" s="1067"/>
      <c r="T614" s="1067"/>
      <c r="U614" s="1067"/>
    </row>
    <row r="615" spans="1:21" ht="19.5" x14ac:dyDescent="0.3">
      <c r="A615" s="1069"/>
      <c r="B615" s="1070" t="s">
        <v>222</v>
      </c>
      <c r="C615" s="1069"/>
      <c r="D615" s="1071"/>
      <c r="E615" s="1071"/>
      <c r="F615" s="1071"/>
      <c r="G615" s="1072"/>
      <c r="H615" s="1073" t="s">
        <v>46</v>
      </c>
      <c r="I615" s="1074">
        <f t="shared" ref="I615:J615" ca="1" si="380">I626</f>
        <v>0</v>
      </c>
      <c r="J615" s="1074">
        <f t="shared" si="380"/>
        <v>0</v>
      </c>
      <c r="K615" s="1075">
        <f ca="1">IF(I615&gt;0,J615*100/I615,0)</f>
        <v>0</v>
      </c>
      <c r="L615" s="1076"/>
      <c r="M615" s="1077"/>
      <c r="N615" s="1077"/>
      <c r="O615" s="1077"/>
      <c r="P615" s="1077"/>
      <c r="Q615" s="1077"/>
      <c r="R615" s="1077"/>
      <c r="S615" s="1077"/>
      <c r="T615" s="1077"/>
      <c r="U615" s="1077"/>
    </row>
    <row r="616" spans="1:21" ht="19.5" x14ac:dyDescent="0.3">
      <c r="A616" s="674"/>
      <c r="B616" s="718"/>
      <c r="C616" s="724" t="s">
        <v>18</v>
      </c>
      <c r="D616" s="1310" t="s">
        <v>19</v>
      </c>
      <c r="E616" s="1311"/>
      <c r="F616" s="1311"/>
      <c r="G616" s="1312"/>
      <c r="H616" s="780" t="s">
        <v>14</v>
      </c>
      <c r="I616" s="565"/>
      <c r="J616" s="565"/>
      <c r="K616" s="566"/>
      <c r="L616" s="678">
        <f t="shared" ref="L616:N616" si="381">L617+L618</f>
        <v>0</v>
      </c>
      <c r="M616" s="679">
        <f t="shared" si="381"/>
        <v>0</v>
      </c>
      <c r="N616" s="679">
        <f t="shared" si="381"/>
        <v>0</v>
      </c>
      <c r="O616" s="679">
        <f t="shared" ref="O616:O624" si="382">IF(L616&gt;0,N616*100/L616,0)</f>
        <v>0</v>
      </c>
      <c r="P616" s="679">
        <f t="shared" ref="P616:P624" si="383">IF(M616&gt;0,N616*100/M616,0)</f>
        <v>0</v>
      </c>
      <c r="Q616" s="679">
        <f t="shared" ref="Q616:S616" ca="1" si="384">Q617+Q618</f>
        <v>1975</v>
      </c>
      <c r="R616" s="679">
        <f t="shared" ca="1" si="384"/>
        <v>1975</v>
      </c>
      <c r="S616" s="679">
        <f t="shared" ca="1" si="384"/>
        <v>0</v>
      </c>
      <c r="T616" s="679">
        <f t="shared" ref="T616:T624" ca="1" si="385">IF(Q616&gt;0,S616*100/Q616,0)</f>
        <v>0</v>
      </c>
      <c r="U616" s="679">
        <f t="shared" ref="U616:U624" ca="1" si="386">IF(R616&gt;0,S616*100/R616,0)</f>
        <v>0</v>
      </c>
    </row>
    <row r="617" spans="1:21" ht="18.75" x14ac:dyDescent="0.25">
      <c r="A617" s="674"/>
      <c r="B617" s="718"/>
      <c r="C617" s="718"/>
      <c r="D617" s="695"/>
      <c r="E617" s="569" t="s">
        <v>158</v>
      </c>
      <c r="F617" s="561"/>
      <c r="G617" s="563"/>
      <c r="H617" s="685" t="s">
        <v>14</v>
      </c>
      <c r="I617" s="565"/>
      <c r="J617" s="565"/>
      <c r="K617" s="566"/>
      <c r="L617" s="571">
        <f t="shared" ref="L617:N618" si="387">L620+L623</f>
        <v>0</v>
      </c>
      <c r="M617" s="572">
        <f t="shared" si="387"/>
        <v>0</v>
      </c>
      <c r="N617" s="572">
        <f t="shared" si="387"/>
        <v>0</v>
      </c>
      <c r="O617" s="572">
        <f t="shared" si="382"/>
        <v>0</v>
      </c>
      <c r="P617" s="572">
        <f t="shared" si="383"/>
        <v>0</v>
      </c>
      <c r="Q617" s="572">
        <f t="shared" ref="Q617:S618" si="388">Q620+Q623</f>
        <v>0</v>
      </c>
      <c r="R617" s="572">
        <f t="shared" si="388"/>
        <v>0</v>
      </c>
      <c r="S617" s="572">
        <f t="shared" si="388"/>
        <v>0</v>
      </c>
      <c r="T617" s="572">
        <f t="shared" si="385"/>
        <v>0</v>
      </c>
      <c r="U617" s="572">
        <f t="shared" si="386"/>
        <v>0</v>
      </c>
    </row>
    <row r="618" spans="1:21" ht="18.75" x14ac:dyDescent="0.25">
      <c r="A618" s="674"/>
      <c r="B618" s="718"/>
      <c r="C618" s="718"/>
      <c r="D618" s="695"/>
      <c r="E618" s="573" t="s">
        <v>159</v>
      </c>
      <c r="F618" s="561"/>
      <c r="G618" s="563"/>
      <c r="H618" s="682" t="s">
        <v>14</v>
      </c>
      <c r="I618" s="565"/>
      <c r="J618" s="565"/>
      <c r="K618" s="566"/>
      <c r="L618" s="567">
        <f t="shared" si="387"/>
        <v>0</v>
      </c>
      <c r="M618" s="568">
        <f t="shared" si="387"/>
        <v>0</v>
      </c>
      <c r="N618" s="568">
        <f t="shared" si="387"/>
        <v>0</v>
      </c>
      <c r="O618" s="568">
        <f t="shared" si="382"/>
        <v>0</v>
      </c>
      <c r="P618" s="568">
        <f t="shared" si="383"/>
        <v>0</v>
      </c>
      <c r="Q618" s="568">
        <f t="shared" ca="1" si="388"/>
        <v>1975</v>
      </c>
      <c r="R618" s="568">
        <f t="shared" ca="1" si="388"/>
        <v>1975</v>
      </c>
      <c r="S618" s="568">
        <f t="shared" ca="1" si="388"/>
        <v>0</v>
      </c>
      <c r="T618" s="568">
        <f t="shared" ca="1" si="385"/>
        <v>0</v>
      </c>
      <c r="U618" s="568">
        <f t="shared" ca="1" si="386"/>
        <v>0</v>
      </c>
    </row>
    <row r="619" spans="1:21" ht="18.75" x14ac:dyDescent="0.25">
      <c r="A619" s="674"/>
      <c r="B619" s="718"/>
      <c r="C619" s="718"/>
      <c r="D619" s="562" t="s">
        <v>22</v>
      </c>
      <c r="E619" s="561"/>
      <c r="F619" s="561"/>
      <c r="G619" s="563"/>
      <c r="H619" s="682" t="s">
        <v>14</v>
      </c>
      <c r="I619" s="683"/>
      <c r="J619" s="683"/>
      <c r="K619" s="684"/>
      <c r="L619" s="567">
        <f t="shared" ref="L619:N619" si="389">L620+L621</f>
        <v>0</v>
      </c>
      <c r="M619" s="568">
        <f t="shared" si="389"/>
        <v>0</v>
      </c>
      <c r="N619" s="568">
        <f t="shared" si="389"/>
        <v>0</v>
      </c>
      <c r="O619" s="568">
        <f t="shared" si="382"/>
        <v>0</v>
      </c>
      <c r="P619" s="568">
        <f t="shared" si="383"/>
        <v>0</v>
      </c>
      <c r="Q619" s="568">
        <f t="shared" ref="Q619:S619" ca="1" si="390">Q620+Q621</f>
        <v>1975</v>
      </c>
      <c r="R619" s="568">
        <f t="shared" ca="1" si="390"/>
        <v>1975</v>
      </c>
      <c r="S619" s="568">
        <f t="shared" ca="1" si="390"/>
        <v>0</v>
      </c>
      <c r="T619" s="568">
        <f t="shared" ca="1" si="385"/>
        <v>0</v>
      </c>
      <c r="U619" s="568">
        <f t="shared" ca="1" si="386"/>
        <v>0</v>
      </c>
    </row>
    <row r="620" spans="1:21" ht="18.75" x14ac:dyDescent="0.25">
      <c r="A620" s="674"/>
      <c r="B620" s="718"/>
      <c r="C620" s="718"/>
      <c r="D620" s="695"/>
      <c r="E620" s="569" t="s">
        <v>158</v>
      </c>
      <c r="F620" s="561"/>
      <c r="G620" s="563"/>
      <c r="H620" s="685" t="s">
        <v>14</v>
      </c>
      <c r="I620" s="565"/>
      <c r="J620" s="565"/>
      <c r="K620" s="566"/>
      <c r="L620" s="571">
        <v>0</v>
      </c>
      <c r="M620" s="572">
        <v>0</v>
      </c>
      <c r="N620" s="572">
        <v>0</v>
      </c>
      <c r="O620" s="572">
        <f t="shared" si="382"/>
        <v>0</v>
      </c>
      <c r="P620" s="572">
        <f t="shared" si="383"/>
        <v>0</v>
      </c>
      <c r="Q620" s="572">
        <v>0</v>
      </c>
      <c r="R620" s="572">
        <v>0</v>
      </c>
      <c r="S620" s="572">
        <v>0</v>
      </c>
      <c r="T620" s="572">
        <f t="shared" si="385"/>
        <v>0</v>
      </c>
      <c r="U620" s="572">
        <f t="shared" si="386"/>
        <v>0</v>
      </c>
    </row>
    <row r="621" spans="1:21" ht="18.75" x14ac:dyDescent="0.25">
      <c r="A621" s="674"/>
      <c r="B621" s="718"/>
      <c r="C621" s="718"/>
      <c r="D621" s="695"/>
      <c r="E621" s="573" t="s">
        <v>159</v>
      </c>
      <c r="F621" s="561"/>
      <c r="G621" s="563"/>
      <c r="H621" s="682" t="s">
        <v>14</v>
      </c>
      <c r="I621" s="565"/>
      <c r="J621" s="565"/>
      <c r="K621" s="566"/>
      <c r="L621" s="567">
        <v>0</v>
      </c>
      <c r="M621" s="568">
        <v>0</v>
      </c>
      <c r="N621" s="568">
        <v>0</v>
      </c>
      <c r="O621" s="568">
        <f t="shared" si="382"/>
        <v>0</v>
      </c>
      <c r="P621" s="568">
        <f t="shared" si="383"/>
        <v>0</v>
      </c>
      <c r="Q621" s="568">
        <f ca="1">IFERROR(__xludf.DUMMYFUNCTION("IMPORTRANGE(""https://docs.google.com/spreadsheets/d/1ItG2mGa2ceCfYo0BwxsXqNm01IGEUdYcSSLTEv9YCik/edit?usp=sharing"",""เบิกจ่ายกองทุน!F19"")"),1975)</f>
        <v>1975</v>
      </c>
      <c r="R621" s="568">
        <f ca="1">IFERROR(__xludf.DUMMYFUNCTION("IMPORTRANGE(""https://docs.google.com/spreadsheets/d/1ItG2mGa2ceCfYo0BwxsXqNm01IGEUdYcSSLTEv9YCik/edit?usp=sharing"",""เบิกจ่ายกองทุน!G19"")"),1975)</f>
        <v>1975</v>
      </c>
      <c r="S621" s="568">
        <f ca="1">IFERROR(__xludf.DUMMYFUNCTION("IMPORTRANGE(""https://docs.google.com/spreadsheets/d/1ItG2mGa2ceCfYo0BwxsXqNm01IGEUdYcSSLTEv9YCik/edit?usp=sharing"",""เบิกจ่ายกองทุน!H19"")"),0)</f>
        <v>0</v>
      </c>
      <c r="T621" s="568">
        <f t="shared" ca="1" si="385"/>
        <v>0</v>
      </c>
      <c r="U621" s="568">
        <f t="shared" ca="1" si="386"/>
        <v>0</v>
      </c>
    </row>
    <row r="622" spans="1:21" ht="18.75" x14ac:dyDescent="0.25">
      <c r="A622" s="674"/>
      <c r="B622" s="718"/>
      <c r="C622" s="718"/>
      <c r="D622" s="562" t="s">
        <v>23</v>
      </c>
      <c r="E622" s="561"/>
      <c r="F622" s="561"/>
      <c r="G622" s="563"/>
      <c r="H622" s="686" t="s">
        <v>14</v>
      </c>
      <c r="I622" s="683"/>
      <c r="J622" s="683"/>
      <c r="K622" s="684"/>
      <c r="L622" s="567">
        <f t="shared" ref="L622:N622" si="391">L623+L624</f>
        <v>0</v>
      </c>
      <c r="M622" s="568">
        <f t="shared" si="391"/>
        <v>0</v>
      </c>
      <c r="N622" s="568">
        <f t="shared" si="391"/>
        <v>0</v>
      </c>
      <c r="O622" s="568">
        <f t="shared" si="382"/>
        <v>0</v>
      </c>
      <c r="P622" s="568">
        <f t="shared" si="383"/>
        <v>0</v>
      </c>
      <c r="Q622" s="568">
        <f t="shared" ref="Q622:S622" si="392">Q623+Q624</f>
        <v>0</v>
      </c>
      <c r="R622" s="568">
        <f t="shared" si="392"/>
        <v>0</v>
      </c>
      <c r="S622" s="568">
        <f t="shared" si="392"/>
        <v>0</v>
      </c>
      <c r="T622" s="568">
        <f t="shared" si="385"/>
        <v>0</v>
      </c>
      <c r="U622" s="568">
        <f t="shared" si="386"/>
        <v>0</v>
      </c>
    </row>
    <row r="623" spans="1:21" ht="18.75" x14ac:dyDescent="0.25">
      <c r="A623" s="674"/>
      <c r="B623" s="718"/>
      <c r="C623" s="718"/>
      <c r="D623" s="718"/>
      <c r="E623" s="569" t="s">
        <v>20</v>
      </c>
      <c r="F623" s="561"/>
      <c r="G623" s="563"/>
      <c r="H623" s="685" t="s">
        <v>14</v>
      </c>
      <c r="I623" s="683"/>
      <c r="J623" s="683"/>
      <c r="K623" s="684"/>
      <c r="L623" s="571">
        <v>0</v>
      </c>
      <c r="M623" s="572">
        <v>0</v>
      </c>
      <c r="N623" s="572">
        <v>0</v>
      </c>
      <c r="O623" s="572">
        <f t="shared" si="382"/>
        <v>0</v>
      </c>
      <c r="P623" s="572">
        <f t="shared" si="383"/>
        <v>0</v>
      </c>
      <c r="Q623" s="572">
        <v>0</v>
      </c>
      <c r="R623" s="572">
        <v>0</v>
      </c>
      <c r="S623" s="572">
        <v>0</v>
      </c>
      <c r="T623" s="572">
        <f t="shared" si="385"/>
        <v>0</v>
      </c>
      <c r="U623" s="572">
        <f t="shared" si="386"/>
        <v>0</v>
      </c>
    </row>
    <row r="624" spans="1:21" ht="18.75" x14ac:dyDescent="0.25">
      <c r="A624" s="674"/>
      <c r="B624" s="718"/>
      <c r="C624" s="718"/>
      <c r="D624" s="718"/>
      <c r="E624" s="573" t="s">
        <v>21</v>
      </c>
      <c r="F624" s="561"/>
      <c r="G624" s="563"/>
      <c r="H624" s="686" t="s">
        <v>14</v>
      </c>
      <c r="I624" s="683"/>
      <c r="J624" s="683"/>
      <c r="K624" s="684"/>
      <c r="L624" s="567">
        <v>0</v>
      </c>
      <c r="M624" s="568">
        <v>0</v>
      </c>
      <c r="N624" s="568">
        <v>0</v>
      </c>
      <c r="O624" s="568">
        <f t="shared" si="382"/>
        <v>0</v>
      </c>
      <c r="P624" s="568">
        <f t="shared" si="383"/>
        <v>0</v>
      </c>
      <c r="Q624" s="568">
        <v>0</v>
      </c>
      <c r="R624" s="568">
        <v>0</v>
      </c>
      <c r="S624" s="568">
        <v>0</v>
      </c>
      <c r="T624" s="568">
        <f t="shared" si="385"/>
        <v>0</v>
      </c>
      <c r="U624" s="568">
        <f t="shared" si="386"/>
        <v>0</v>
      </c>
    </row>
    <row r="625" spans="1:21" ht="19.5" x14ac:dyDescent="0.3">
      <c r="A625" s="687"/>
      <c r="B625" s="688"/>
      <c r="C625" s="724" t="s">
        <v>18</v>
      </c>
      <c r="D625" s="1078" t="s">
        <v>38</v>
      </c>
      <c r="E625" s="690"/>
      <c r="F625" s="690"/>
      <c r="G625" s="691"/>
      <c r="H625" s="725"/>
      <c r="I625" s="683"/>
      <c r="J625" s="683"/>
      <c r="K625" s="684"/>
      <c r="L625" s="693"/>
      <c r="M625" s="684"/>
      <c r="N625" s="684"/>
      <c r="O625" s="684"/>
      <c r="P625" s="684"/>
      <c r="Q625" s="684"/>
      <c r="R625" s="684"/>
      <c r="S625" s="684"/>
      <c r="T625" s="684"/>
      <c r="U625" s="684"/>
    </row>
    <row r="626" spans="1:21" ht="19.5" x14ac:dyDescent="0.3">
      <c r="A626" s="687"/>
      <c r="B626" s="688"/>
      <c r="C626" s="688"/>
      <c r="D626" s="1079" t="s">
        <v>223</v>
      </c>
      <c r="E626" s="695"/>
      <c r="F626" s="695"/>
      <c r="G626" s="692"/>
      <c r="H626" s="1080" t="s">
        <v>46</v>
      </c>
      <c r="I626" s="697">
        <f ca="1">IFERROR(__xludf.DUMMYFUNCTION("IMPORTRANGE(""https://docs.google.com/spreadsheets/d/1eHaY18a8A9IcSdp1K8H6x8fbOy06t2VsZHhMHf-1x7Y/edit?usp=sharing"",""แผน!ID19"")"),0)</f>
        <v>0</v>
      </c>
      <c r="J626" s="697">
        <f>J632</f>
        <v>0</v>
      </c>
      <c r="K626" s="679">
        <f ca="1">IF(I626&gt;0,J626*100/I626,0)</f>
        <v>0</v>
      </c>
      <c r="L626" s="693"/>
      <c r="M626" s="684"/>
      <c r="N626" s="684"/>
      <c r="O626" s="684"/>
      <c r="P626" s="684"/>
      <c r="Q626" s="684"/>
      <c r="R626" s="684"/>
      <c r="S626" s="684"/>
      <c r="T626" s="684"/>
      <c r="U626" s="684"/>
    </row>
    <row r="627" spans="1:21" ht="18.75" x14ac:dyDescent="0.25">
      <c r="A627" s="687"/>
      <c r="B627" s="688"/>
      <c r="C627" s="688"/>
      <c r="D627" s="688"/>
      <c r="E627" s="699" t="s">
        <v>224</v>
      </c>
      <c r="F627" s="695"/>
      <c r="G627" s="692"/>
      <c r="H627" s="686" t="s">
        <v>61</v>
      </c>
      <c r="I627" s="708">
        <f ca="1">IFERROR(__xludf.DUMMYFUNCTION("IMPORTRANGE(""https://docs.google.com/spreadsheets/d/1eHaY18a8A9IcSdp1K8H6x8fbOy06t2VsZHhMHf-1x7Y/edit?usp=sharing"",""แผน!IC19"")"),1)</f>
        <v>1</v>
      </c>
      <c r="J627" s="702">
        <v>0</v>
      </c>
      <c r="K627" s="568">
        <f t="shared" ref="K627:K628" ca="1" si="393">IF(I627&gt;0,(J627*100)/I627,0)</f>
        <v>0</v>
      </c>
      <c r="L627" s="693"/>
      <c r="M627" s="684"/>
      <c r="N627" s="684"/>
      <c r="O627" s="684"/>
      <c r="P627" s="684"/>
      <c r="Q627" s="684"/>
      <c r="R627" s="684"/>
      <c r="S627" s="684"/>
      <c r="T627" s="684"/>
      <c r="U627" s="684"/>
    </row>
    <row r="628" spans="1:21" ht="18.75" x14ac:dyDescent="0.25">
      <c r="A628" s="687"/>
      <c r="B628" s="688"/>
      <c r="C628" s="688"/>
      <c r="D628" s="688"/>
      <c r="E628" s="699" t="s">
        <v>225</v>
      </c>
      <c r="F628" s="695"/>
      <c r="G628" s="692"/>
      <c r="H628" s="686" t="s">
        <v>61</v>
      </c>
      <c r="I628" s="708">
        <f ca="1">IFERROR(__xludf.DUMMYFUNCTION("IMPORTRANGE(""https://docs.google.com/spreadsheets/d/1eHaY18a8A9IcSdp1K8H6x8fbOy06t2VsZHhMHf-1x7Y/edit?usp=sharing"",""แผน!IC19"")"),1)</f>
        <v>1</v>
      </c>
      <c r="J628" s="702">
        <v>0</v>
      </c>
      <c r="K628" s="568">
        <f t="shared" ca="1" si="393"/>
        <v>0</v>
      </c>
      <c r="L628" s="693"/>
      <c r="M628" s="684"/>
      <c r="N628" s="684"/>
      <c r="O628" s="684"/>
      <c r="P628" s="684"/>
      <c r="Q628" s="684"/>
      <c r="R628" s="684"/>
      <c r="S628" s="684"/>
      <c r="T628" s="684"/>
      <c r="U628" s="684"/>
    </row>
    <row r="629" spans="1:21" ht="18.75" x14ac:dyDescent="0.25">
      <c r="A629" s="687"/>
      <c r="B629" s="688"/>
      <c r="C629" s="688"/>
      <c r="D629" s="688"/>
      <c r="E629" s="699" t="s">
        <v>226</v>
      </c>
      <c r="F629" s="695"/>
      <c r="G629" s="692"/>
      <c r="H629" s="686" t="s">
        <v>46</v>
      </c>
      <c r="I629" s="565"/>
      <c r="J629" s="702">
        <v>0</v>
      </c>
      <c r="K629" s="568">
        <f t="shared" ref="K629:K631" ca="1" si="394">IF(I$626&gt;0,J629*100/I$626,0)</f>
        <v>0</v>
      </c>
      <c r="L629" s="693"/>
      <c r="M629" s="684"/>
      <c r="N629" s="684"/>
      <c r="O629" s="684"/>
      <c r="P629" s="684"/>
      <c r="Q629" s="684"/>
      <c r="R629" s="684"/>
      <c r="S629" s="684"/>
      <c r="T629" s="684"/>
      <c r="U629" s="684"/>
    </row>
    <row r="630" spans="1:21" ht="18.75" x14ac:dyDescent="0.25">
      <c r="A630" s="687"/>
      <c r="B630" s="688"/>
      <c r="C630" s="688"/>
      <c r="D630" s="688"/>
      <c r="E630" s="699" t="s">
        <v>227</v>
      </c>
      <c r="F630" s="695"/>
      <c r="G630" s="692"/>
      <c r="H630" s="686" t="s">
        <v>46</v>
      </c>
      <c r="I630" s="565"/>
      <c r="J630" s="702">
        <v>0</v>
      </c>
      <c r="K630" s="568">
        <f t="shared" ca="1" si="394"/>
        <v>0</v>
      </c>
      <c r="L630" s="693"/>
      <c r="M630" s="684"/>
      <c r="N630" s="684"/>
      <c r="O630" s="684"/>
      <c r="P630" s="684"/>
      <c r="Q630" s="684"/>
      <c r="R630" s="684"/>
      <c r="S630" s="684"/>
      <c r="T630" s="684"/>
      <c r="U630" s="684"/>
    </row>
    <row r="631" spans="1:21" ht="18.75" x14ac:dyDescent="0.25">
      <c r="A631" s="687"/>
      <c r="B631" s="688"/>
      <c r="C631" s="688"/>
      <c r="D631" s="688"/>
      <c r="E631" s="699" t="s">
        <v>228</v>
      </c>
      <c r="F631" s="695"/>
      <c r="G631" s="692"/>
      <c r="H631" s="686" t="s">
        <v>46</v>
      </c>
      <c r="I631" s="565"/>
      <c r="J631" s="702">
        <v>0</v>
      </c>
      <c r="K631" s="568">
        <f t="shared" ca="1" si="394"/>
        <v>0</v>
      </c>
      <c r="L631" s="693"/>
      <c r="M631" s="684"/>
      <c r="N631" s="684"/>
      <c r="O631" s="684"/>
      <c r="P631" s="684"/>
      <c r="Q631" s="684"/>
      <c r="R631" s="684"/>
      <c r="S631" s="684"/>
      <c r="T631" s="684"/>
      <c r="U631" s="684"/>
    </row>
    <row r="632" spans="1:21" ht="19.5" x14ac:dyDescent="0.3">
      <c r="A632" s="687"/>
      <c r="B632" s="688"/>
      <c r="C632" s="688"/>
      <c r="D632" s="688"/>
      <c r="E632" s="699" t="s">
        <v>229</v>
      </c>
      <c r="F632" s="695"/>
      <c r="G632" s="692"/>
      <c r="H632" s="686" t="s">
        <v>46</v>
      </c>
      <c r="I632" s="565"/>
      <c r="J632" s="697">
        <f>J633+J634</f>
        <v>0</v>
      </c>
      <c r="K632" s="679">
        <f ca="1">IF(I626&gt;0,J632*100/I626,0)</f>
        <v>0</v>
      </c>
      <c r="L632" s="693"/>
      <c r="M632" s="684"/>
      <c r="N632" s="684"/>
      <c r="O632" s="684"/>
      <c r="P632" s="684"/>
      <c r="Q632" s="684"/>
      <c r="R632" s="684"/>
      <c r="S632" s="684"/>
      <c r="T632" s="684"/>
      <c r="U632" s="684"/>
    </row>
    <row r="633" spans="1:21" ht="18.75" x14ac:dyDescent="0.25">
      <c r="A633" s="687"/>
      <c r="B633" s="688"/>
      <c r="C633" s="688"/>
      <c r="D633" s="688"/>
      <c r="E633" s="695"/>
      <c r="F633" s="699" t="s">
        <v>230</v>
      </c>
      <c r="G633" s="692"/>
      <c r="H633" s="686" t="s">
        <v>46</v>
      </c>
      <c r="I633" s="565"/>
      <c r="J633" s="702">
        <v>0</v>
      </c>
      <c r="K633" s="566"/>
      <c r="L633" s="693"/>
      <c r="M633" s="684"/>
      <c r="N633" s="684"/>
      <c r="O633" s="684"/>
      <c r="P633" s="684"/>
      <c r="Q633" s="684"/>
      <c r="R633" s="684"/>
      <c r="S633" s="684"/>
      <c r="T633" s="684"/>
      <c r="U633" s="684"/>
    </row>
    <row r="634" spans="1:21" ht="18.75" x14ac:dyDescent="0.25">
      <c r="A634" s="687"/>
      <c r="B634" s="688"/>
      <c r="C634" s="688"/>
      <c r="D634" s="688"/>
      <c r="E634" s="695"/>
      <c r="F634" s="699" t="s">
        <v>231</v>
      </c>
      <c r="G634" s="692"/>
      <c r="H634" s="686" t="s">
        <v>46</v>
      </c>
      <c r="I634" s="565"/>
      <c r="J634" s="702">
        <v>0</v>
      </c>
      <c r="K634" s="566"/>
      <c r="L634" s="693"/>
      <c r="M634" s="684"/>
      <c r="N634" s="684"/>
      <c r="O634" s="684"/>
      <c r="P634" s="684"/>
      <c r="Q634" s="684"/>
      <c r="R634" s="684"/>
      <c r="S634" s="684"/>
      <c r="T634" s="684"/>
      <c r="U634" s="684"/>
    </row>
    <row r="635" spans="1:21" ht="19.5" x14ac:dyDescent="0.3">
      <c r="A635" s="687"/>
      <c r="B635" s="688"/>
      <c r="C635" s="688"/>
      <c r="D635" s="1079" t="s">
        <v>232</v>
      </c>
      <c r="E635" s="695"/>
      <c r="F635" s="695"/>
      <c r="G635" s="692"/>
      <c r="H635" s="686" t="s">
        <v>46</v>
      </c>
      <c r="I635" s="697">
        <f ca="1">IFERROR(__xludf.DUMMYFUNCTION("IMPORTRANGE(""https://docs.google.com/spreadsheets/d/1eHaY18a8A9IcSdp1K8H6x8fbOy06t2VsZHhMHf-1x7Y/edit?usp=sharing"",""แผน!IE19"")"),0)</f>
        <v>0</v>
      </c>
      <c r="J635" s="697">
        <f>J636</f>
        <v>0</v>
      </c>
      <c r="K635" s="679">
        <f ca="1">IF(I635&gt;0,J635*100/I635,0)</f>
        <v>0</v>
      </c>
      <c r="L635" s="693"/>
      <c r="M635" s="684"/>
      <c r="N635" s="684"/>
      <c r="O635" s="684"/>
      <c r="P635" s="684"/>
      <c r="Q635" s="684"/>
      <c r="R635" s="684"/>
      <c r="S635" s="684"/>
      <c r="T635" s="684"/>
      <c r="U635" s="684"/>
    </row>
    <row r="636" spans="1:21" ht="18.75" x14ac:dyDescent="0.25">
      <c r="A636" s="687"/>
      <c r="B636" s="688"/>
      <c r="C636" s="688"/>
      <c r="D636" s="688"/>
      <c r="E636" s="699" t="s">
        <v>233</v>
      </c>
      <c r="F636" s="695"/>
      <c r="G636" s="692"/>
      <c r="H636" s="686" t="s">
        <v>46</v>
      </c>
      <c r="I636" s="565"/>
      <c r="J636" s="708">
        <f>J637+J638</f>
        <v>0</v>
      </c>
      <c r="K636" s="566"/>
      <c r="L636" s="693"/>
      <c r="M636" s="684"/>
      <c r="N636" s="684"/>
      <c r="O636" s="684"/>
      <c r="P636" s="684"/>
      <c r="Q636" s="684"/>
      <c r="R636" s="684"/>
      <c r="S636" s="684"/>
      <c r="T636" s="684"/>
      <c r="U636" s="684"/>
    </row>
    <row r="637" spans="1:21" ht="18.75" x14ac:dyDescent="0.25">
      <c r="A637" s="687"/>
      <c r="B637" s="688"/>
      <c r="C637" s="688"/>
      <c r="D637" s="688"/>
      <c r="E637" s="695"/>
      <c r="F637" s="699" t="s">
        <v>230</v>
      </c>
      <c r="G637" s="692"/>
      <c r="H637" s="686" t="s">
        <v>46</v>
      </c>
      <c r="I637" s="565"/>
      <c r="J637" s="702">
        <v>0</v>
      </c>
      <c r="K637" s="566"/>
      <c r="L637" s="693"/>
      <c r="M637" s="684"/>
      <c r="N637" s="684"/>
      <c r="O637" s="684"/>
      <c r="P637" s="684"/>
      <c r="Q637" s="684"/>
      <c r="R637" s="684"/>
      <c r="S637" s="684"/>
      <c r="T637" s="684"/>
      <c r="U637" s="684"/>
    </row>
    <row r="638" spans="1:21" ht="18.75" x14ac:dyDescent="0.25">
      <c r="A638" s="687"/>
      <c r="B638" s="688"/>
      <c r="C638" s="688"/>
      <c r="D638" s="688"/>
      <c r="E638" s="695"/>
      <c r="F638" s="699" t="s">
        <v>231</v>
      </c>
      <c r="G638" s="692"/>
      <c r="H638" s="686" t="s">
        <v>46</v>
      </c>
      <c r="I638" s="565"/>
      <c r="J638" s="702">
        <v>0</v>
      </c>
      <c r="K638" s="566"/>
      <c r="L638" s="693"/>
      <c r="M638" s="684"/>
      <c r="N638" s="684"/>
      <c r="O638" s="684"/>
      <c r="P638" s="684"/>
      <c r="Q638" s="684"/>
      <c r="R638" s="684"/>
      <c r="S638" s="684"/>
      <c r="T638" s="684"/>
      <c r="U638" s="684"/>
    </row>
    <row r="639" spans="1:21" ht="18.75" x14ac:dyDescent="0.25">
      <c r="A639" s="687"/>
      <c r="B639" s="688"/>
      <c r="C639" s="688"/>
      <c r="D639" s="688"/>
      <c r="E639" s="699" t="s">
        <v>234</v>
      </c>
      <c r="F639" s="695"/>
      <c r="G639" s="692"/>
      <c r="H639" s="686" t="s">
        <v>46</v>
      </c>
      <c r="I639" s="565"/>
      <c r="J639" s="702">
        <v>0</v>
      </c>
      <c r="K639" s="566"/>
      <c r="L639" s="693"/>
      <c r="M639" s="684"/>
      <c r="N639" s="684"/>
      <c r="O639" s="684"/>
      <c r="P639" s="684"/>
      <c r="Q639" s="684"/>
      <c r="R639" s="684"/>
      <c r="S639" s="684"/>
      <c r="T639" s="684"/>
      <c r="U639" s="684"/>
    </row>
    <row r="640" spans="1:21" ht="18.75" x14ac:dyDescent="0.25">
      <c r="A640" s="687"/>
      <c r="B640" s="688"/>
      <c r="C640" s="688"/>
      <c r="D640" s="688"/>
      <c r="E640" s="695"/>
      <c r="F640" s="699" t="s">
        <v>235</v>
      </c>
      <c r="G640" s="692"/>
      <c r="H640" s="686" t="s">
        <v>46</v>
      </c>
      <c r="I640" s="565"/>
      <c r="J640" s="702">
        <v>0</v>
      </c>
      <c r="K640" s="566"/>
      <c r="L640" s="693"/>
      <c r="M640" s="684"/>
      <c r="N640" s="684"/>
      <c r="O640" s="684"/>
      <c r="P640" s="684"/>
      <c r="Q640" s="684"/>
      <c r="R640" s="684"/>
      <c r="S640" s="684"/>
      <c r="T640" s="684"/>
      <c r="U640" s="684"/>
    </row>
    <row r="641" spans="1:21" ht="19.5" hidden="1" x14ac:dyDescent="0.3">
      <c r="A641" s="1069"/>
      <c r="B641" s="1070" t="s">
        <v>236</v>
      </c>
      <c r="C641" s="1069"/>
      <c r="D641" s="1071"/>
      <c r="E641" s="1071"/>
      <c r="F641" s="1071"/>
      <c r="G641" s="1072"/>
      <c r="H641" s="1081"/>
      <c r="I641" s="1082"/>
      <c r="J641" s="1082"/>
      <c r="K641" s="1077"/>
      <c r="L641" s="1076"/>
      <c r="M641" s="1077"/>
      <c r="N641" s="1077"/>
      <c r="O641" s="1077"/>
      <c r="P641" s="1077"/>
      <c r="Q641" s="1077"/>
      <c r="R641" s="1077"/>
      <c r="S641" s="1077"/>
      <c r="T641" s="1077"/>
      <c r="U641" s="1077"/>
    </row>
    <row r="642" spans="1:21" ht="19.5" hidden="1" x14ac:dyDescent="0.3">
      <c r="A642" s="674"/>
      <c r="B642" s="718"/>
      <c r="C642" s="765" t="s">
        <v>18</v>
      </c>
      <c r="D642" s="1310" t="s">
        <v>19</v>
      </c>
      <c r="E642" s="1311"/>
      <c r="F642" s="1311"/>
      <c r="G642" s="1312"/>
      <c r="H642" s="780" t="s">
        <v>14</v>
      </c>
      <c r="I642" s="565"/>
      <c r="J642" s="565"/>
      <c r="K642" s="566"/>
      <c r="L642" s="678">
        <f t="shared" ref="L642:N642" si="395">L643+L644</f>
        <v>0</v>
      </c>
      <c r="M642" s="679">
        <f t="shared" si="395"/>
        <v>0</v>
      </c>
      <c r="N642" s="679">
        <f t="shared" si="395"/>
        <v>0</v>
      </c>
      <c r="O642" s="679">
        <f t="shared" ref="O642:O650" si="396">IF(L642&gt;0,N642*100/L642,0)</f>
        <v>0</v>
      </c>
      <c r="P642" s="679">
        <f t="shared" ref="P642:P650" si="397">IF(M642&gt;0,N642*100/M642,0)</f>
        <v>0</v>
      </c>
      <c r="Q642" s="679">
        <f t="shared" ref="Q642:S642" ca="1" si="398">Q643+Q644</f>
        <v>0</v>
      </c>
      <c r="R642" s="679">
        <f t="shared" ca="1" si="398"/>
        <v>0</v>
      </c>
      <c r="S642" s="679">
        <f t="shared" ca="1" si="398"/>
        <v>0</v>
      </c>
      <c r="T642" s="679">
        <f t="shared" ref="T642:T650" ca="1" si="399">IF(Q642&gt;0,S642*100/Q642,0)</f>
        <v>0</v>
      </c>
      <c r="U642" s="679">
        <f t="shared" ref="U642:U650" ca="1" si="400">IF(R642&gt;0,S642*100/R642,0)</f>
        <v>0</v>
      </c>
    </row>
    <row r="643" spans="1:21" ht="18.75" hidden="1" x14ac:dyDescent="0.25">
      <c r="A643" s="674"/>
      <c r="B643" s="718"/>
      <c r="C643" s="718"/>
      <c r="D643" s="695"/>
      <c r="E643" s="569" t="s">
        <v>158</v>
      </c>
      <c r="F643" s="561"/>
      <c r="G643" s="563"/>
      <c r="H643" s="685" t="s">
        <v>14</v>
      </c>
      <c r="I643" s="565"/>
      <c r="J643" s="565"/>
      <c r="K643" s="566"/>
      <c r="L643" s="571">
        <f t="shared" ref="L643:N644" si="401">L646+L649</f>
        <v>0</v>
      </c>
      <c r="M643" s="572">
        <f t="shared" si="401"/>
        <v>0</v>
      </c>
      <c r="N643" s="572">
        <f t="shared" si="401"/>
        <v>0</v>
      </c>
      <c r="O643" s="572">
        <f t="shared" si="396"/>
        <v>0</v>
      </c>
      <c r="P643" s="572">
        <f t="shared" si="397"/>
        <v>0</v>
      </c>
      <c r="Q643" s="572">
        <f t="shared" ref="Q643:S644" si="402">Q646+Q649</f>
        <v>0</v>
      </c>
      <c r="R643" s="572">
        <f t="shared" si="402"/>
        <v>0</v>
      </c>
      <c r="S643" s="572">
        <f t="shared" si="402"/>
        <v>0</v>
      </c>
      <c r="T643" s="572">
        <f t="shared" si="399"/>
        <v>0</v>
      </c>
      <c r="U643" s="572">
        <f t="shared" si="400"/>
        <v>0</v>
      </c>
    </row>
    <row r="644" spans="1:21" ht="18.75" hidden="1" x14ac:dyDescent="0.25">
      <c r="A644" s="674"/>
      <c r="B644" s="718"/>
      <c r="C644" s="718"/>
      <c r="D644" s="695"/>
      <c r="E644" s="573" t="s">
        <v>159</v>
      </c>
      <c r="F644" s="561"/>
      <c r="G644" s="563"/>
      <c r="H644" s="682" t="s">
        <v>14</v>
      </c>
      <c r="I644" s="565"/>
      <c r="J644" s="565"/>
      <c r="K644" s="566"/>
      <c r="L644" s="567">
        <f t="shared" si="401"/>
        <v>0</v>
      </c>
      <c r="M644" s="568">
        <f t="shared" si="401"/>
        <v>0</v>
      </c>
      <c r="N644" s="568">
        <f t="shared" si="401"/>
        <v>0</v>
      </c>
      <c r="O644" s="568">
        <f t="shared" si="396"/>
        <v>0</v>
      </c>
      <c r="P644" s="568">
        <f t="shared" si="397"/>
        <v>0</v>
      </c>
      <c r="Q644" s="568">
        <f t="shared" ca="1" si="402"/>
        <v>0</v>
      </c>
      <c r="R644" s="568">
        <f t="shared" ca="1" si="402"/>
        <v>0</v>
      </c>
      <c r="S644" s="568">
        <f t="shared" ca="1" si="402"/>
        <v>0</v>
      </c>
      <c r="T644" s="568">
        <f t="shared" ca="1" si="399"/>
        <v>0</v>
      </c>
      <c r="U644" s="568">
        <f t="shared" ca="1" si="400"/>
        <v>0</v>
      </c>
    </row>
    <row r="645" spans="1:21" ht="18.75" hidden="1" x14ac:dyDescent="0.25">
      <c r="A645" s="674"/>
      <c r="B645" s="718"/>
      <c r="C645" s="718"/>
      <c r="D645" s="562" t="s">
        <v>22</v>
      </c>
      <c r="E645" s="561"/>
      <c r="F645" s="561"/>
      <c r="G645" s="563"/>
      <c r="H645" s="682" t="s">
        <v>14</v>
      </c>
      <c r="I645" s="683"/>
      <c r="J645" s="683"/>
      <c r="K645" s="684"/>
      <c r="L645" s="567">
        <f t="shared" ref="L645:N645" si="403">L646+L647</f>
        <v>0</v>
      </c>
      <c r="M645" s="568">
        <f t="shared" si="403"/>
        <v>0</v>
      </c>
      <c r="N645" s="568">
        <f t="shared" si="403"/>
        <v>0</v>
      </c>
      <c r="O645" s="568">
        <f t="shared" si="396"/>
        <v>0</v>
      </c>
      <c r="P645" s="568">
        <f t="shared" si="397"/>
        <v>0</v>
      </c>
      <c r="Q645" s="568">
        <f t="shared" ref="Q645:S645" ca="1" si="404">Q646+Q647</f>
        <v>0</v>
      </c>
      <c r="R645" s="568">
        <f t="shared" ca="1" si="404"/>
        <v>0</v>
      </c>
      <c r="S645" s="568">
        <f t="shared" ca="1" si="404"/>
        <v>0</v>
      </c>
      <c r="T645" s="568">
        <f t="shared" ca="1" si="399"/>
        <v>0</v>
      </c>
      <c r="U645" s="568">
        <f t="shared" ca="1" si="400"/>
        <v>0</v>
      </c>
    </row>
    <row r="646" spans="1:21" ht="18.75" hidden="1" x14ac:dyDescent="0.25">
      <c r="A646" s="674"/>
      <c r="B646" s="718"/>
      <c r="C646" s="718"/>
      <c r="D646" s="695"/>
      <c r="E646" s="569" t="s">
        <v>158</v>
      </c>
      <c r="F646" s="561"/>
      <c r="G646" s="563"/>
      <c r="H646" s="685" t="s">
        <v>14</v>
      </c>
      <c r="I646" s="565"/>
      <c r="J646" s="565"/>
      <c r="K646" s="566"/>
      <c r="L646" s="571">
        <v>0</v>
      </c>
      <c r="M646" s="572">
        <v>0</v>
      </c>
      <c r="N646" s="572">
        <v>0</v>
      </c>
      <c r="O646" s="572">
        <f t="shared" si="396"/>
        <v>0</v>
      </c>
      <c r="P646" s="572">
        <f t="shared" si="397"/>
        <v>0</v>
      </c>
      <c r="Q646" s="572">
        <v>0</v>
      </c>
      <c r="R646" s="572">
        <v>0</v>
      </c>
      <c r="S646" s="572">
        <v>0</v>
      </c>
      <c r="T646" s="572">
        <f t="shared" si="399"/>
        <v>0</v>
      </c>
      <c r="U646" s="572">
        <f t="shared" si="400"/>
        <v>0</v>
      </c>
    </row>
    <row r="647" spans="1:21" ht="18.75" hidden="1" x14ac:dyDescent="0.25">
      <c r="A647" s="674"/>
      <c r="B647" s="718"/>
      <c r="C647" s="718"/>
      <c r="D647" s="695"/>
      <c r="E647" s="573" t="s">
        <v>159</v>
      </c>
      <c r="F647" s="561"/>
      <c r="G647" s="563"/>
      <c r="H647" s="682" t="s">
        <v>14</v>
      </c>
      <c r="I647" s="565"/>
      <c r="J647" s="565"/>
      <c r="K647" s="566"/>
      <c r="L647" s="567">
        <v>0</v>
      </c>
      <c r="M647" s="568">
        <v>0</v>
      </c>
      <c r="N647" s="568">
        <v>0</v>
      </c>
      <c r="O647" s="568">
        <f t="shared" si="396"/>
        <v>0</v>
      </c>
      <c r="P647" s="568">
        <f t="shared" si="397"/>
        <v>0</v>
      </c>
      <c r="Q647" s="568">
        <f ca="1">IFERROR(__xludf.DUMMYFUNCTION("IMPORTRANGE(""https://docs.google.com/spreadsheets/d/1ItG2mGa2ceCfYo0BwxsXqNm01IGEUdYcSSLTEv9YCik/edit?usp=sharing"",""เบิกจ่ายกองทุน!I19"")"),0)</f>
        <v>0</v>
      </c>
      <c r="R647" s="568">
        <f ca="1">IFERROR(__xludf.DUMMYFUNCTION("IMPORTRANGE(""https://docs.google.com/spreadsheets/d/1ItG2mGa2ceCfYo0BwxsXqNm01IGEUdYcSSLTEv9YCik/edit?usp=sharing"",""เบิกจ่ายกองทุน!J19"")"),0)</f>
        <v>0</v>
      </c>
      <c r="S647" s="568">
        <f ca="1">IFERROR(__xludf.DUMMYFUNCTION("IMPORTRANGE(""https://docs.google.com/spreadsheets/d/1ItG2mGa2ceCfYo0BwxsXqNm01IGEUdYcSSLTEv9YCik/edit?usp=sharing"",""เบิกจ่ายกองทุน!K19"")"),0)</f>
        <v>0</v>
      </c>
      <c r="T647" s="568">
        <f t="shared" ca="1" si="399"/>
        <v>0</v>
      </c>
      <c r="U647" s="568">
        <f t="shared" ca="1" si="400"/>
        <v>0</v>
      </c>
    </row>
    <row r="648" spans="1:21" ht="18.75" hidden="1" x14ac:dyDescent="0.25">
      <c r="A648" s="674"/>
      <c r="B648" s="718"/>
      <c r="C648" s="718"/>
      <c r="D648" s="562" t="s">
        <v>23</v>
      </c>
      <c r="E648" s="561"/>
      <c r="F648" s="561"/>
      <c r="G648" s="563"/>
      <c r="H648" s="686" t="s">
        <v>14</v>
      </c>
      <c r="I648" s="683"/>
      <c r="J648" s="683"/>
      <c r="K648" s="684"/>
      <c r="L648" s="567">
        <f t="shared" ref="L648:N648" si="405">L649+L650</f>
        <v>0</v>
      </c>
      <c r="M648" s="568">
        <f t="shared" si="405"/>
        <v>0</v>
      </c>
      <c r="N648" s="568">
        <f t="shared" si="405"/>
        <v>0</v>
      </c>
      <c r="O648" s="568">
        <f t="shared" si="396"/>
        <v>0</v>
      </c>
      <c r="P648" s="568">
        <f t="shared" si="397"/>
        <v>0</v>
      </c>
      <c r="Q648" s="568">
        <f t="shared" ref="Q648:S648" si="406">Q649+Q650</f>
        <v>0</v>
      </c>
      <c r="R648" s="568">
        <f t="shared" si="406"/>
        <v>0</v>
      </c>
      <c r="S648" s="568">
        <f t="shared" si="406"/>
        <v>0</v>
      </c>
      <c r="T648" s="568">
        <f t="shared" si="399"/>
        <v>0</v>
      </c>
      <c r="U648" s="568">
        <f t="shared" si="400"/>
        <v>0</v>
      </c>
    </row>
    <row r="649" spans="1:21" ht="18.75" hidden="1" x14ac:dyDescent="0.25">
      <c r="A649" s="674"/>
      <c r="B649" s="718"/>
      <c r="C649" s="718"/>
      <c r="D649" s="561"/>
      <c r="E649" s="569" t="s">
        <v>20</v>
      </c>
      <c r="F649" s="561"/>
      <c r="G649" s="563"/>
      <c r="H649" s="685" t="s">
        <v>14</v>
      </c>
      <c r="I649" s="683"/>
      <c r="J649" s="683"/>
      <c r="K649" s="684"/>
      <c r="L649" s="571">
        <v>0</v>
      </c>
      <c r="M649" s="572">
        <v>0</v>
      </c>
      <c r="N649" s="572">
        <v>0</v>
      </c>
      <c r="O649" s="572">
        <f t="shared" si="396"/>
        <v>0</v>
      </c>
      <c r="P649" s="572">
        <f t="shared" si="397"/>
        <v>0</v>
      </c>
      <c r="Q649" s="572">
        <v>0</v>
      </c>
      <c r="R649" s="572">
        <v>0</v>
      </c>
      <c r="S649" s="572">
        <v>0</v>
      </c>
      <c r="T649" s="572">
        <f t="shared" si="399"/>
        <v>0</v>
      </c>
      <c r="U649" s="572">
        <f t="shared" si="400"/>
        <v>0</v>
      </c>
    </row>
    <row r="650" spans="1:21" ht="18.75" hidden="1" x14ac:dyDescent="0.25">
      <c r="A650" s="674"/>
      <c r="B650" s="718"/>
      <c r="C650" s="718"/>
      <c r="D650" s="561"/>
      <c r="E650" s="573" t="s">
        <v>21</v>
      </c>
      <c r="F650" s="561"/>
      <c r="G650" s="563"/>
      <c r="H650" s="686" t="s">
        <v>14</v>
      </c>
      <c r="I650" s="683"/>
      <c r="J650" s="683"/>
      <c r="K650" s="684"/>
      <c r="L650" s="567">
        <v>0</v>
      </c>
      <c r="M650" s="568">
        <v>0</v>
      </c>
      <c r="N650" s="568">
        <v>0</v>
      </c>
      <c r="O650" s="568">
        <f t="shared" si="396"/>
        <v>0</v>
      </c>
      <c r="P650" s="568">
        <f t="shared" si="397"/>
        <v>0</v>
      </c>
      <c r="Q650" s="568">
        <v>0</v>
      </c>
      <c r="R650" s="568">
        <v>0</v>
      </c>
      <c r="S650" s="568">
        <v>0</v>
      </c>
      <c r="T650" s="568">
        <f t="shared" si="399"/>
        <v>0</v>
      </c>
      <c r="U650" s="568">
        <f t="shared" si="400"/>
        <v>0</v>
      </c>
    </row>
    <row r="651" spans="1:21" ht="19.5" hidden="1" x14ac:dyDescent="0.3">
      <c r="A651" s="687"/>
      <c r="B651" s="688"/>
      <c r="C651" s="765" t="s">
        <v>18</v>
      </c>
      <c r="D651" s="1083" t="s">
        <v>38</v>
      </c>
      <c r="E651" s="690"/>
      <c r="F651" s="690"/>
      <c r="G651" s="691"/>
      <c r="H651" s="725"/>
      <c r="I651" s="683"/>
      <c r="J651" s="683"/>
      <c r="K651" s="684"/>
      <c r="L651" s="693"/>
      <c r="M651" s="684"/>
      <c r="N651" s="684"/>
      <c r="O651" s="684"/>
      <c r="P651" s="684"/>
      <c r="Q651" s="566"/>
      <c r="R651" s="566"/>
      <c r="S651" s="566"/>
      <c r="T651" s="684"/>
      <c r="U651" s="684"/>
    </row>
    <row r="652" spans="1:21" ht="18.75" hidden="1" x14ac:dyDescent="0.25">
      <c r="A652" s="764"/>
      <c r="B652" s="718"/>
      <c r="C652" s="718"/>
      <c r="D652" s="573" t="s">
        <v>237</v>
      </c>
      <c r="E652" s="561"/>
      <c r="F652" s="561"/>
      <c r="G652" s="563"/>
      <c r="H652" s="686" t="s">
        <v>46</v>
      </c>
      <c r="I652" s="1084">
        <f ca="1">IFERROR(__xludf.DUMMYFUNCTION("IMPORTRANGE(""https://docs.google.com/spreadsheets/d/1eHaY18a8A9IcSdp1K8H6x8fbOy06t2VsZHhMHf-1x7Y/edit?usp=sharing"",""แผน!IF19"")"),0)</f>
        <v>0</v>
      </c>
      <c r="J652" s="708">
        <f ca="1">IFERROR(__xludf.DUMMYFUNCTION("IMPORTRANGE(""https://docs.google.com/spreadsheets/d/1tdoBKaGub7dwA3U6UFTqxio9LNnvDCQjHKmttSEBsFQ/edit?usp=sharing"",""จัดที่ดิน!AU19"")"),0)</f>
        <v>0</v>
      </c>
      <c r="K652" s="568">
        <f t="shared" ref="K652:K654" ca="1" si="407">IF(I652&gt;0,J652*100/I652,0)</f>
        <v>0</v>
      </c>
      <c r="L652" s="574"/>
      <c r="M652" s="566"/>
      <c r="N652" s="1085"/>
      <c r="O652" s="566"/>
      <c r="P652" s="566"/>
      <c r="Q652" s="566"/>
      <c r="R652" s="566"/>
      <c r="S652" s="1085"/>
      <c r="T652" s="566"/>
      <c r="U652" s="566"/>
    </row>
    <row r="653" spans="1:21" ht="18.75" hidden="1" x14ac:dyDescent="0.25">
      <c r="A653" s="764"/>
      <c r="B653" s="718"/>
      <c r="C653" s="718"/>
      <c r="D653" s="573" t="s">
        <v>238</v>
      </c>
      <c r="E653" s="561"/>
      <c r="F653" s="561"/>
      <c r="G653" s="563"/>
      <c r="H653" s="686" t="s">
        <v>35</v>
      </c>
      <c r="I653" s="1084">
        <f ca="1">IFERROR(__xludf.DUMMYFUNCTION("IMPORTRANGE(""https://docs.google.com/spreadsheets/d/1eHaY18a8A9IcSdp1K8H6x8fbOy06t2VsZHhMHf-1x7Y/edit?usp=sharing"",""แผน!IG19"")"),0)</f>
        <v>0</v>
      </c>
      <c r="J653" s="708">
        <f ca="1">IFERROR(__xludf.DUMMYFUNCTION("IMPORTRANGE(""https://docs.google.com/spreadsheets/d/1tdoBKaGub7dwA3U6UFTqxio9LNnvDCQjHKmttSEBsFQ/edit?usp=sharing"",""จัดที่ดิน!AW19"")"),0)</f>
        <v>0</v>
      </c>
      <c r="K653" s="568">
        <f t="shared" ca="1" si="407"/>
        <v>0</v>
      </c>
      <c r="L653" s="574"/>
      <c r="M653" s="566"/>
      <c r="N653" s="1085"/>
      <c r="O653" s="566"/>
      <c r="P653" s="566"/>
      <c r="Q653" s="566"/>
      <c r="R653" s="566"/>
      <c r="S653" s="1085"/>
      <c r="T653" s="566"/>
      <c r="U653" s="566"/>
    </row>
    <row r="654" spans="1:21" ht="19.5" hidden="1" x14ac:dyDescent="0.3">
      <c r="A654" s="764"/>
      <c r="B654" s="718"/>
      <c r="C654" s="718"/>
      <c r="D654" s="573" t="s">
        <v>239</v>
      </c>
      <c r="E654" s="561"/>
      <c r="F654" s="561"/>
      <c r="G654" s="563"/>
      <c r="H654" s="1080" t="s">
        <v>46</v>
      </c>
      <c r="I654" s="1086">
        <f ca="1">IFERROR(__xludf.DUMMYFUNCTION("IMPORTRANGE(""https://docs.google.com/spreadsheets/d/1eHaY18a8A9IcSdp1K8H6x8fbOy06t2VsZHhMHf-1x7Y/edit?usp=sharing"",""แผน!IH19"")"),0)</f>
        <v>0</v>
      </c>
      <c r="J654" s="697">
        <f>J657+J660</f>
        <v>0</v>
      </c>
      <c r="K654" s="679">
        <f t="shared" ca="1" si="407"/>
        <v>0</v>
      </c>
      <c r="L654" s="574"/>
      <c r="M654" s="566"/>
      <c r="N654" s="1085"/>
      <c r="O654" s="566"/>
      <c r="P654" s="566"/>
      <c r="Q654" s="566"/>
      <c r="R654" s="566"/>
      <c r="S654" s="1085"/>
      <c r="T654" s="566"/>
      <c r="U654" s="566"/>
    </row>
    <row r="655" spans="1:21" ht="18.75" hidden="1" x14ac:dyDescent="0.25">
      <c r="A655" s="764"/>
      <c r="B655" s="718"/>
      <c r="C655" s="718"/>
      <c r="D655" s="561"/>
      <c r="E655" s="573" t="s">
        <v>240</v>
      </c>
      <c r="F655" s="561"/>
      <c r="G655" s="563"/>
      <c r="H655" s="686" t="s">
        <v>35</v>
      </c>
      <c r="I655" s="727"/>
      <c r="J655" s="702">
        <v>0</v>
      </c>
      <c r="K655" s="566"/>
      <c r="L655" s="574"/>
      <c r="M655" s="566"/>
      <c r="N655" s="1085"/>
      <c r="O655" s="566"/>
      <c r="P655" s="566"/>
      <c r="Q655" s="566"/>
      <c r="R655" s="566"/>
      <c r="S655" s="1085"/>
      <c r="T655" s="566"/>
      <c r="U655" s="566"/>
    </row>
    <row r="656" spans="1:21" ht="18.75" hidden="1" x14ac:dyDescent="0.25">
      <c r="A656" s="764"/>
      <c r="B656" s="718"/>
      <c r="C656" s="718"/>
      <c r="D656" s="561"/>
      <c r="E656" s="561"/>
      <c r="F656" s="561"/>
      <c r="G656" s="563"/>
      <c r="H656" s="686" t="s">
        <v>34</v>
      </c>
      <c r="I656" s="727"/>
      <c r="J656" s="702">
        <v>0</v>
      </c>
      <c r="K656" s="566"/>
      <c r="L656" s="574"/>
      <c r="M656" s="566"/>
      <c r="N656" s="1085"/>
      <c r="O656" s="566"/>
      <c r="P656" s="566"/>
      <c r="Q656" s="566"/>
      <c r="R656" s="566"/>
      <c r="S656" s="1085"/>
      <c r="T656" s="566"/>
      <c r="U656" s="566"/>
    </row>
    <row r="657" spans="1:21" ht="18.75" hidden="1" x14ac:dyDescent="0.25">
      <c r="A657" s="764"/>
      <c r="B657" s="718"/>
      <c r="C657" s="718"/>
      <c r="D657" s="561"/>
      <c r="E657" s="561"/>
      <c r="F657" s="561"/>
      <c r="G657" s="563"/>
      <c r="H657" s="686" t="s">
        <v>46</v>
      </c>
      <c r="I657" s="1084">
        <f ca="1">IFERROR(__xludf.DUMMYFUNCTION("IMPORTRANGE(""https://docs.google.com/spreadsheets/d/1eHaY18a8A9IcSdp1K8H6x8fbOy06t2VsZHhMHf-1x7Y/edit?usp=sharing"",""แผน!II19"")"),0)</f>
        <v>0</v>
      </c>
      <c r="J657" s="702">
        <v>0</v>
      </c>
      <c r="K657" s="566"/>
      <c r="L657" s="574"/>
      <c r="M657" s="566"/>
      <c r="N657" s="1085"/>
      <c r="O657" s="566"/>
      <c r="P657" s="566"/>
      <c r="Q657" s="566"/>
      <c r="R657" s="566"/>
      <c r="S657" s="1085"/>
      <c r="T657" s="566"/>
      <c r="U657" s="566"/>
    </row>
    <row r="658" spans="1:21" ht="18.75" hidden="1" x14ac:dyDescent="0.25">
      <c r="A658" s="764"/>
      <c r="B658" s="718"/>
      <c r="C658" s="718"/>
      <c r="D658" s="561"/>
      <c r="E658" s="573" t="s">
        <v>241</v>
      </c>
      <c r="F658" s="561"/>
      <c r="G658" s="563"/>
      <c r="H658" s="686" t="s">
        <v>35</v>
      </c>
      <c r="I658" s="727"/>
      <c r="J658" s="702">
        <v>0</v>
      </c>
      <c r="K658" s="566"/>
      <c r="L658" s="574"/>
      <c r="M658" s="566"/>
      <c r="N658" s="1085"/>
      <c r="O658" s="566"/>
      <c r="P658" s="566"/>
      <c r="Q658" s="566"/>
      <c r="R658" s="566"/>
      <c r="S658" s="1085"/>
      <c r="T658" s="566"/>
      <c r="U658" s="566"/>
    </row>
    <row r="659" spans="1:21" ht="18.75" hidden="1" x14ac:dyDescent="0.25">
      <c r="A659" s="764"/>
      <c r="B659" s="718"/>
      <c r="C659" s="718"/>
      <c r="D659" s="561"/>
      <c r="E659" s="561"/>
      <c r="F659" s="561"/>
      <c r="G659" s="563"/>
      <c r="H659" s="686" t="s">
        <v>34</v>
      </c>
      <c r="I659" s="727"/>
      <c r="J659" s="702">
        <v>0</v>
      </c>
      <c r="K659" s="566"/>
      <c r="L659" s="574"/>
      <c r="M659" s="566"/>
      <c r="N659" s="1085"/>
      <c r="O659" s="566"/>
      <c r="P659" s="566"/>
      <c r="Q659" s="566"/>
      <c r="R659" s="566"/>
      <c r="S659" s="1085"/>
      <c r="T659" s="566"/>
      <c r="U659" s="566"/>
    </row>
    <row r="660" spans="1:21" ht="18.75" hidden="1" x14ac:dyDescent="0.25">
      <c r="A660" s="764"/>
      <c r="B660" s="718"/>
      <c r="C660" s="718"/>
      <c r="D660" s="561"/>
      <c r="E660" s="561"/>
      <c r="F660" s="561"/>
      <c r="G660" s="563"/>
      <c r="H660" s="686" t="s">
        <v>46</v>
      </c>
      <c r="I660" s="1084">
        <f ca="1">IFERROR(__xludf.DUMMYFUNCTION("IMPORTRANGE(""https://docs.google.com/spreadsheets/d/1eHaY18a8A9IcSdp1K8H6x8fbOy06t2VsZHhMHf-1x7Y/edit?usp=sharing"",""แผน!IJ19"")"),0)</f>
        <v>0</v>
      </c>
      <c r="J660" s="702">
        <v>0</v>
      </c>
      <c r="K660" s="566"/>
      <c r="L660" s="574"/>
      <c r="M660" s="566"/>
      <c r="N660" s="1085"/>
      <c r="O660" s="566"/>
      <c r="P660" s="566"/>
      <c r="Q660" s="566"/>
      <c r="R660" s="566"/>
      <c r="S660" s="1085"/>
      <c r="T660" s="566"/>
      <c r="U660" s="566"/>
    </row>
    <row r="661" spans="1:21" ht="19.5" hidden="1" x14ac:dyDescent="0.3">
      <c r="A661" s="764"/>
      <c r="B661" s="718"/>
      <c r="C661" s="718"/>
      <c r="D661" s="987" t="s">
        <v>242</v>
      </c>
      <c r="E661" s="561"/>
      <c r="F661" s="561"/>
      <c r="G661" s="563"/>
      <c r="H661" s="1080" t="s">
        <v>46</v>
      </c>
      <c r="I661" s="1086">
        <f ca="1">IFERROR(__xludf.DUMMYFUNCTION("IMPORTRANGE(""https://docs.google.com/spreadsheets/d/1eHaY18a8A9IcSdp1K8H6x8fbOy06t2VsZHhMHf-1x7Y/edit?usp=sharing"",""แผน!IK19"")"),0)</f>
        <v>0</v>
      </c>
      <c r="J661" s="697">
        <f>J667+J670</f>
        <v>0</v>
      </c>
      <c r="K661" s="679">
        <f ca="1">IF(I661&gt;0,J661*100/I661,0)</f>
        <v>0</v>
      </c>
      <c r="L661" s="574"/>
      <c r="M661" s="566"/>
      <c r="N661" s="1085"/>
      <c r="O661" s="566"/>
      <c r="P661" s="566"/>
      <c r="Q661" s="566"/>
      <c r="R661" s="566"/>
      <c r="S661" s="1085"/>
      <c r="T661" s="566"/>
      <c r="U661" s="566"/>
    </row>
    <row r="662" spans="1:21" ht="18.75" hidden="1" x14ac:dyDescent="0.25">
      <c r="A662" s="764"/>
      <c r="B662" s="718"/>
      <c r="C662" s="718"/>
      <c r="D662" s="561"/>
      <c r="E662" s="573" t="s">
        <v>243</v>
      </c>
      <c r="F662" s="561"/>
      <c r="G662" s="563"/>
      <c r="H662" s="686" t="s">
        <v>34</v>
      </c>
      <c r="I662" s="727"/>
      <c r="J662" s="702">
        <v>0</v>
      </c>
      <c r="K662" s="566"/>
      <c r="L662" s="1087"/>
      <c r="M662" s="566"/>
      <c r="N662" s="1085"/>
      <c r="O662" s="566"/>
      <c r="P662" s="566"/>
      <c r="Q662" s="1085"/>
      <c r="R662" s="566"/>
      <c r="S662" s="1085"/>
      <c r="T662" s="566"/>
      <c r="U662" s="566"/>
    </row>
    <row r="663" spans="1:21" ht="18.75" hidden="1" x14ac:dyDescent="0.25">
      <c r="A663" s="764"/>
      <c r="B663" s="718"/>
      <c r="C663" s="718"/>
      <c r="D663" s="561"/>
      <c r="E663" s="561"/>
      <c r="F663" s="561"/>
      <c r="G663" s="563"/>
      <c r="H663" s="686" t="s">
        <v>46</v>
      </c>
      <c r="I663" s="727"/>
      <c r="J663" s="702">
        <v>0</v>
      </c>
      <c r="K663" s="566"/>
      <c r="L663" s="1087"/>
      <c r="M663" s="566"/>
      <c r="N663" s="1085"/>
      <c r="O663" s="566"/>
      <c r="P663" s="566"/>
      <c r="Q663" s="1085"/>
      <c r="R663" s="566"/>
      <c r="S663" s="1085"/>
      <c r="T663" s="566"/>
      <c r="U663" s="566"/>
    </row>
    <row r="664" spans="1:21" ht="18.75" hidden="1" x14ac:dyDescent="0.25">
      <c r="A664" s="764"/>
      <c r="B664" s="718"/>
      <c r="C664" s="718"/>
      <c r="D664" s="561"/>
      <c r="E664" s="573" t="s">
        <v>244</v>
      </c>
      <c r="F664" s="561"/>
      <c r="G664" s="563"/>
      <c r="H664" s="725"/>
      <c r="I664" s="727"/>
      <c r="J664" s="565"/>
      <c r="K664" s="566"/>
      <c r="L664" s="1087"/>
      <c r="M664" s="566"/>
      <c r="N664" s="1085"/>
      <c r="O664" s="566"/>
      <c r="P664" s="566"/>
      <c r="Q664" s="1085"/>
      <c r="R664" s="566"/>
      <c r="S664" s="1085"/>
      <c r="T664" s="566"/>
      <c r="U664" s="566"/>
    </row>
    <row r="665" spans="1:21" ht="18.75" hidden="1" x14ac:dyDescent="0.25">
      <c r="A665" s="764"/>
      <c r="B665" s="718"/>
      <c r="C665" s="718"/>
      <c r="D665" s="561"/>
      <c r="E665" s="561"/>
      <c r="F665" s="573" t="s">
        <v>245</v>
      </c>
      <c r="G665" s="563"/>
      <c r="H665" s="686" t="s">
        <v>35</v>
      </c>
      <c r="I665" s="727"/>
      <c r="J665" s="702">
        <v>0</v>
      </c>
      <c r="K665" s="566"/>
      <c r="L665" s="1087"/>
      <c r="M665" s="566"/>
      <c r="N665" s="1085"/>
      <c r="O665" s="566"/>
      <c r="P665" s="566"/>
      <c r="Q665" s="1085"/>
      <c r="R665" s="566"/>
      <c r="S665" s="1085"/>
      <c r="T665" s="566"/>
      <c r="U665" s="566"/>
    </row>
    <row r="666" spans="1:21" ht="18.75" hidden="1" x14ac:dyDescent="0.25">
      <c r="A666" s="764"/>
      <c r="B666" s="718"/>
      <c r="C666" s="718"/>
      <c r="D666" s="561"/>
      <c r="E666" s="561"/>
      <c r="F666" s="561"/>
      <c r="G666" s="563"/>
      <c r="H666" s="686" t="s">
        <v>34</v>
      </c>
      <c r="I666" s="727"/>
      <c r="J666" s="702">
        <v>0</v>
      </c>
      <c r="K666" s="566"/>
      <c r="L666" s="1087"/>
      <c r="M666" s="566"/>
      <c r="N666" s="1085"/>
      <c r="O666" s="566"/>
      <c r="P666" s="566"/>
      <c r="Q666" s="1085"/>
      <c r="R666" s="566"/>
      <c r="S666" s="1085"/>
      <c r="T666" s="566"/>
      <c r="U666" s="566"/>
    </row>
    <row r="667" spans="1:21" ht="18.75" hidden="1" x14ac:dyDescent="0.25">
      <c r="A667" s="764"/>
      <c r="B667" s="718"/>
      <c r="C667" s="718"/>
      <c r="D667" s="561"/>
      <c r="E667" s="561"/>
      <c r="F667" s="561"/>
      <c r="G667" s="563"/>
      <c r="H667" s="686" t="s">
        <v>46</v>
      </c>
      <c r="I667" s="727"/>
      <c r="J667" s="702">
        <v>0</v>
      </c>
      <c r="K667" s="566"/>
      <c r="L667" s="1087"/>
      <c r="M667" s="566"/>
      <c r="N667" s="1085"/>
      <c r="O667" s="566"/>
      <c r="P667" s="566"/>
      <c r="Q667" s="1085"/>
      <c r="R667" s="566"/>
      <c r="S667" s="1085"/>
      <c r="T667" s="566"/>
      <c r="U667" s="566"/>
    </row>
    <row r="668" spans="1:21" ht="18.75" hidden="1" x14ac:dyDescent="0.25">
      <c r="A668" s="764"/>
      <c r="B668" s="718"/>
      <c r="C668" s="718"/>
      <c r="D668" s="561"/>
      <c r="E668" s="561"/>
      <c r="F668" s="573" t="s">
        <v>246</v>
      </c>
      <c r="G668" s="563"/>
      <c r="H668" s="686" t="s">
        <v>35</v>
      </c>
      <c r="I668" s="727"/>
      <c r="J668" s="702">
        <v>0</v>
      </c>
      <c r="K668" s="566"/>
      <c r="L668" s="1087"/>
      <c r="M668" s="566"/>
      <c r="N668" s="1085"/>
      <c r="O668" s="566"/>
      <c r="P668" s="566"/>
      <c r="Q668" s="1085"/>
      <c r="R668" s="566"/>
      <c r="S668" s="1085"/>
      <c r="T668" s="566"/>
      <c r="U668" s="566"/>
    </row>
    <row r="669" spans="1:21" ht="18.75" hidden="1" x14ac:dyDescent="0.25">
      <c r="A669" s="764"/>
      <c r="B669" s="718"/>
      <c r="C669" s="718"/>
      <c r="D669" s="561"/>
      <c r="E669" s="561"/>
      <c r="F669" s="561"/>
      <c r="G669" s="563"/>
      <c r="H669" s="686" t="s">
        <v>34</v>
      </c>
      <c r="I669" s="727"/>
      <c r="J669" s="702">
        <v>0</v>
      </c>
      <c r="K669" s="566"/>
      <c r="L669" s="1087"/>
      <c r="M669" s="566"/>
      <c r="N669" s="1085"/>
      <c r="O669" s="566"/>
      <c r="P669" s="566"/>
      <c r="Q669" s="1085"/>
      <c r="R669" s="566"/>
      <c r="S669" s="1085"/>
      <c r="T669" s="566"/>
      <c r="U669" s="566"/>
    </row>
    <row r="670" spans="1:21" ht="18.75" hidden="1" x14ac:dyDescent="0.25">
      <c r="A670" s="764"/>
      <c r="B670" s="718"/>
      <c r="C670" s="718"/>
      <c r="D670" s="561"/>
      <c r="E670" s="561"/>
      <c r="F670" s="561"/>
      <c r="G670" s="563"/>
      <c r="H670" s="686" t="s">
        <v>46</v>
      </c>
      <c r="I670" s="727"/>
      <c r="J670" s="702">
        <v>0</v>
      </c>
      <c r="K670" s="566"/>
      <c r="L670" s="1087"/>
      <c r="M670" s="566"/>
      <c r="N670" s="1085"/>
      <c r="O670" s="566"/>
      <c r="P670" s="566"/>
      <c r="Q670" s="1085"/>
      <c r="R670" s="566"/>
      <c r="S670" s="1085"/>
      <c r="T670" s="566"/>
      <c r="U670" s="566"/>
    </row>
    <row r="671" spans="1:21" ht="18.75" hidden="1" x14ac:dyDescent="0.25">
      <c r="A671" s="764"/>
      <c r="B671" s="718"/>
      <c r="C671" s="718"/>
      <c r="D671" s="573" t="s">
        <v>247</v>
      </c>
      <c r="E671" s="561"/>
      <c r="F671" s="561"/>
      <c r="G671" s="563"/>
      <c r="H671" s="686" t="s">
        <v>35</v>
      </c>
      <c r="I671" s="727"/>
      <c r="J671" s="708">
        <f ca="1">IFERROR(__xludf.DUMMYFUNCTION("IMPORTRANGE(""https://docs.google.com/spreadsheets/d/1tdoBKaGub7dwA3U6UFTqxio9LNnvDCQjHKmttSEBsFQ/edit?usp=sharing"",""จัดที่ดิน!AY19"")"),0)</f>
        <v>0</v>
      </c>
      <c r="K671" s="566"/>
      <c r="L671" s="574"/>
      <c r="M671" s="566"/>
      <c r="N671" s="1085"/>
      <c r="O671" s="566"/>
      <c r="P671" s="566"/>
      <c r="Q671" s="566"/>
      <c r="R671" s="566"/>
      <c r="S671" s="1085"/>
      <c r="T671" s="566"/>
      <c r="U671" s="566"/>
    </row>
    <row r="672" spans="1:21" ht="18.75" hidden="1" x14ac:dyDescent="0.25">
      <c r="A672" s="764"/>
      <c r="B672" s="718"/>
      <c r="C672" s="718"/>
      <c r="D672" s="561"/>
      <c r="E672" s="561"/>
      <c r="F672" s="561"/>
      <c r="G672" s="563"/>
      <c r="H672" s="686" t="s">
        <v>34</v>
      </c>
      <c r="I672" s="727"/>
      <c r="J672" s="708">
        <f ca="1">IFERROR(__xludf.DUMMYFUNCTION("IMPORTRANGE(""https://docs.google.com/spreadsheets/d/1tdoBKaGub7dwA3U6UFTqxio9LNnvDCQjHKmttSEBsFQ/edit?usp=sharing"",""จัดที่ดิน!AZ19"")"),0)</f>
        <v>0</v>
      </c>
      <c r="K672" s="566"/>
      <c r="L672" s="1087"/>
      <c r="M672" s="566"/>
      <c r="N672" s="1085"/>
      <c r="O672" s="566"/>
      <c r="P672" s="566"/>
      <c r="Q672" s="1085"/>
      <c r="R672" s="566"/>
      <c r="S672" s="1085"/>
      <c r="T672" s="566"/>
      <c r="U672" s="566"/>
    </row>
    <row r="673" spans="1:21" ht="18.75" hidden="1" x14ac:dyDescent="0.25">
      <c r="A673" s="764"/>
      <c r="B673" s="718"/>
      <c r="C673" s="718"/>
      <c r="D673" s="561"/>
      <c r="E673" s="561"/>
      <c r="F673" s="561"/>
      <c r="G673" s="563"/>
      <c r="H673" s="686" t="s">
        <v>46</v>
      </c>
      <c r="I673" s="1084">
        <f ca="1">IFERROR(__xludf.DUMMYFUNCTION("IMPORTRANGE(""https://docs.google.com/spreadsheets/d/1eHaY18a8A9IcSdp1K8H6x8fbOy06t2VsZHhMHf-1x7Y/edit?usp=sharing"",""แผน!IL19"")"),0)</f>
        <v>0</v>
      </c>
      <c r="J673" s="708">
        <f ca="1">IFERROR(__xludf.DUMMYFUNCTION("IMPORTRANGE(""https://docs.google.com/spreadsheets/d/1tdoBKaGub7dwA3U6UFTqxio9LNnvDCQjHKmttSEBsFQ/edit?usp=sharing"",""จัดที่ดิน!BA19"")"),0)</f>
        <v>0</v>
      </c>
      <c r="K673" s="568">
        <f t="shared" ref="K673:K676" ca="1" si="408">IF(I673&gt;0,J673*100/I673,0)</f>
        <v>0</v>
      </c>
      <c r="L673" s="1087"/>
      <c r="M673" s="566"/>
      <c r="N673" s="1085"/>
      <c r="O673" s="566"/>
      <c r="P673" s="566"/>
      <c r="Q673" s="1085"/>
      <c r="R673" s="566"/>
      <c r="S673" s="1085"/>
      <c r="T673" s="566"/>
      <c r="U673" s="566"/>
    </row>
    <row r="674" spans="1:21" ht="19.5" hidden="1" x14ac:dyDescent="0.3">
      <c r="A674" s="764"/>
      <c r="B674" s="718"/>
      <c r="C674" s="718"/>
      <c r="D674" s="573" t="s">
        <v>248</v>
      </c>
      <c r="E674" s="561"/>
      <c r="F674" s="561"/>
      <c r="G674" s="563"/>
      <c r="H674" s="1080" t="s">
        <v>35</v>
      </c>
      <c r="I674" s="1086">
        <f ca="1">IFERROR(__xludf.DUMMYFUNCTION("IMPORTRANGE(""https://docs.google.com/spreadsheets/d/1eHaY18a8A9IcSdp1K8H6x8fbOy06t2VsZHhMHf-1x7Y/edit?usp=sharing"",""แผน!IM19"")"),0)</f>
        <v>0</v>
      </c>
      <c r="J674" s="697">
        <f ca="1">J676+J679</f>
        <v>0</v>
      </c>
      <c r="K674" s="679">
        <f t="shared" ca="1" si="408"/>
        <v>0</v>
      </c>
      <c r="L674" s="1087"/>
      <c r="M674" s="566"/>
      <c r="N674" s="1085"/>
      <c r="O674" s="566"/>
      <c r="P674" s="566"/>
      <c r="Q674" s="1085"/>
      <c r="R674" s="566"/>
      <c r="S674" s="1085"/>
      <c r="T674" s="566"/>
      <c r="U674" s="566"/>
    </row>
    <row r="675" spans="1:21" ht="19.5" hidden="1" x14ac:dyDescent="0.3">
      <c r="A675" s="764"/>
      <c r="B675" s="718"/>
      <c r="C675" s="718"/>
      <c r="D675" s="561"/>
      <c r="E675" s="561"/>
      <c r="F675" s="561"/>
      <c r="G675" s="563"/>
      <c r="H675" s="1080" t="s">
        <v>46</v>
      </c>
      <c r="I675" s="1086">
        <f ca="1">IFERROR(__xludf.DUMMYFUNCTION("IMPORTRANGE(""https://docs.google.com/spreadsheets/d/1eHaY18a8A9IcSdp1K8H6x8fbOy06t2VsZHhMHf-1x7Y/edit?usp=sharing"",""แผน!IN19"")"),0)</f>
        <v>0</v>
      </c>
      <c r="J675" s="697">
        <f ca="1">J678+J681</f>
        <v>0</v>
      </c>
      <c r="K675" s="679">
        <f t="shared" ca="1" si="408"/>
        <v>0</v>
      </c>
      <c r="L675" s="574"/>
      <c r="M675" s="566"/>
      <c r="N675" s="1085"/>
      <c r="O675" s="566"/>
      <c r="P675" s="566"/>
      <c r="Q675" s="566"/>
      <c r="R675" s="566"/>
      <c r="S675" s="1085"/>
      <c r="T675" s="566"/>
      <c r="U675" s="566"/>
    </row>
    <row r="676" spans="1:21" ht="18.75" hidden="1" x14ac:dyDescent="0.25">
      <c r="A676" s="764"/>
      <c r="B676" s="718"/>
      <c r="C676" s="718"/>
      <c r="D676" s="561"/>
      <c r="E676" s="573" t="s">
        <v>249</v>
      </c>
      <c r="F676" s="561"/>
      <c r="G676" s="563"/>
      <c r="H676" s="686" t="s">
        <v>35</v>
      </c>
      <c r="I676" s="1084">
        <f ca="1">IFERROR(__xludf.DUMMYFUNCTION("IMPORTRANGE(""https://docs.google.com/spreadsheets/d/1eHaY18a8A9IcSdp1K8H6x8fbOy06t2VsZHhMHf-1x7Y/edit?usp=sharing"",""แผน!IO19"")"),0)</f>
        <v>0</v>
      </c>
      <c r="J676" s="708">
        <f ca="1">IFERROR(__xludf.DUMMYFUNCTION("IMPORTRANGE(""https://docs.google.com/spreadsheets/d/1tdoBKaGub7dwA3U6UFTqxio9LNnvDCQjHKmttSEBsFQ/edit?usp=sharing"",""จัดที่ดิน!BF19"")"),0)</f>
        <v>0</v>
      </c>
      <c r="K676" s="568">
        <f t="shared" ca="1" si="408"/>
        <v>0</v>
      </c>
      <c r="L676" s="574"/>
      <c r="M676" s="566"/>
      <c r="N676" s="1085"/>
      <c r="O676" s="566"/>
      <c r="P676" s="566"/>
      <c r="Q676" s="566"/>
      <c r="R676" s="566"/>
      <c r="S676" s="1085"/>
      <c r="T676" s="566"/>
      <c r="U676" s="566"/>
    </row>
    <row r="677" spans="1:21" ht="18.75" hidden="1" x14ac:dyDescent="0.25">
      <c r="A677" s="764"/>
      <c r="B677" s="718"/>
      <c r="C677" s="718"/>
      <c r="D677" s="561"/>
      <c r="E677" s="561"/>
      <c r="F677" s="561"/>
      <c r="G677" s="563"/>
      <c r="H677" s="686" t="s">
        <v>34</v>
      </c>
      <c r="I677" s="727"/>
      <c r="J677" s="708">
        <f ca="1">IFERROR(__xludf.DUMMYFUNCTION("IMPORTRANGE(""https://docs.google.com/spreadsheets/d/1tdoBKaGub7dwA3U6UFTqxio9LNnvDCQjHKmttSEBsFQ/edit?usp=sharing"",""จัดที่ดิน!BG19"")"),0)</f>
        <v>0</v>
      </c>
      <c r="K677" s="566"/>
      <c r="L677" s="1087"/>
      <c r="M677" s="566"/>
      <c r="N677" s="1085"/>
      <c r="O677" s="566"/>
      <c r="P677" s="566"/>
      <c r="Q677" s="1085"/>
      <c r="R677" s="566"/>
      <c r="S677" s="1085"/>
      <c r="T677" s="566"/>
      <c r="U677" s="566"/>
    </row>
    <row r="678" spans="1:21" ht="18.75" hidden="1" x14ac:dyDescent="0.25">
      <c r="A678" s="764"/>
      <c r="B678" s="718"/>
      <c r="C678" s="718"/>
      <c r="D678" s="561"/>
      <c r="E678" s="561"/>
      <c r="F678" s="561"/>
      <c r="G678" s="563"/>
      <c r="H678" s="686" t="s">
        <v>46</v>
      </c>
      <c r="I678" s="1084">
        <f ca="1">IFERROR(__xludf.DUMMYFUNCTION("IMPORTRANGE(""https://docs.google.com/spreadsheets/d/1eHaY18a8A9IcSdp1K8H6x8fbOy06t2VsZHhMHf-1x7Y/edit?usp=sharing"",""แผน!IP19"")"),0)</f>
        <v>0</v>
      </c>
      <c r="J678" s="708">
        <f ca="1">IFERROR(__xludf.DUMMYFUNCTION("IMPORTRANGE(""https://docs.google.com/spreadsheets/d/1tdoBKaGub7dwA3U6UFTqxio9LNnvDCQjHKmttSEBsFQ/edit?usp=sharing"",""จัดที่ดิน!BH19"")"),0)</f>
        <v>0</v>
      </c>
      <c r="K678" s="568">
        <f t="shared" ref="K678:K679" ca="1" si="409">IF(I678&gt;0,J678*100/I678,0)</f>
        <v>0</v>
      </c>
      <c r="L678" s="1087"/>
      <c r="M678" s="566"/>
      <c r="N678" s="1085"/>
      <c r="O678" s="566"/>
      <c r="P678" s="566"/>
      <c r="Q678" s="1085"/>
      <c r="R678" s="566"/>
      <c r="S678" s="1085"/>
      <c r="T678" s="566"/>
      <c r="U678" s="566"/>
    </row>
    <row r="679" spans="1:21" ht="18.75" hidden="1" x14ac:dyDescent="0.25">
      <c r="A679" s="764"/>
      <c r="B679" s="718"/>
      <c r="C679" s="718"/>
      <c r="D679" s="561"/>
      <c r="E679" s="573" t="s">
        <v>250</v>
      </c>
      <c r="F679" s="561"/>
      <c r="G679" s="563"/>
      <c r="H679" s="686" t="s">
        <v>35</v>
      </c>
      <c r="I679" s="1084">
        <f ca="1">IFERROR(__xludf.DUMMYFUNCTION("IMPORTRANGE(""https://docs.google.com/spreadsheets/d/1eHaY18a8A9IcSdp1K8H6x8fbOy06t2VsZHhMHf-1x7Y/edit?usp=sharing"",""แผน!IQ19"")"),0)</f>
        <v>0</v>
      </c>
      <c r="J679" s="708">
        <f ca="1">IFERROR(__xludf.DUMMYFUNCTION("IMPORTRANGE(""https://docs.google.com/spreadsheets/d/1tdoBKaGub7dwA3U6UFTqxio9LNnvDCQjHKmttSEBsFQ/edit?usp=sharing"",""จัดที่ดิน!BK19"")"),0)</f>
        <v>0</v>
      </c>
      <c r="K679" s="568">
        <f t="shared" ca="1" si="409"/>
        <v>0</v>
      </c>
      <c r="L679" s="574"/>
      <c r="M679" s="566"/>
      <c r="N679" s="1085"/>
      <c r="O679" s="566"/>
      <c r="P679" s="566"/>
      <c r="Q679" s="566"/>
      <c r="R679" s="566"/>
      <c r="S679" s="1085"/>
      <c r="T679" s="566"/>
      <c r="U679" s="566"/>
    </row>
    <row r="680" spans="1:21" ht="18.75" hidden="1" x14ac:dyDescent="0.25">
      <c r="A680" s="764"/>
      <c r="B680" s="718"/>
      <c r="C680" s="718"/>
      <c r="D680" s="561"/>
      <c r="E680" s="561"/>
      <c r="F680" s="561"/>
      <c r="G680" s="563"/>
      <c r="H680" s="686" t="s">
        <v>34</v>
      </c>
      <c r="I680" s="727"/>
      <c r="J680" s="708">
        <f ca="1">IFERROR(__xludf.DUMMYFUNCTION("IMPORTRANGE(""https://docs.google.com/spreadsheets/d/1tdoBKaGub7dwA3U6UFTqxio9LNnvDCQjHKmttSEBsFQ/edit?usp=sharing"",""จัดที่ดิน!BL19"")"),0)</f>
        <v>0</v>
      </c>
      <c r="K680" s="566"/>
      <c r="L680" s="1087"/>
      <c r="M680" s="566"/>
      <c r="N680" s="1085"/>
      <c r="O680" s="566"/>
      <c r="P680" s="566"/>
      <c r="Q680" s="1085"/>
      <c r="R680" s="566"/>
      <c r="S680" s="1085"/>
      <c r="T680" s="566"/>
      <c r="U680" s="566"/>
    </row>
    <row r="681" spans="1:21" ht="18.75" hidden="1" x14ac:dyDescent="0.25">
      <c r="A681" s="764"/>
      <c r="B681" s="718"/>
      <c r="C681" s="718"/>
      <c r="D681" s="561"/>
      <c r="E681" s="561"/>
      <c r="F681" s="561"/>
      <c r="G681" s="563"/>
      <c r="H681" s="686" t="s">
        <v>46</v>
      </c>
      <c r="I681" s="1084">
        <f ca="1">IFERROR(__xludf.DUMMYFUNCTION("IMPORTRANGE(""https://docs.google.com/spreadsheets/d/1eHaY18a8A9IcSdp1K8H6x8fbOy06t2VsZHhMHf-1x7Y/edit?usp=sharing"",""แผน!IR19"")"),0)</f>
        <v>0</v>
      </c>
      <c r="J681" s="708">
        <f ca="1">IFERROR(__xludf.DUMMYFUNCTION("IMPORTRANGE(""https://docs.google.com/spreadsheets/d/1tdoBKaGub7dwA3U6UFTqxio9LNnvDCQjHKmttSEBsFQ/edit?usp=sharing"",""จัดที่ดิน!BM19"")"),0)</f>
        <v>0</v>
      </c>
      <c r="K681" s="568">
        <f t="shared" ref="K681:K682" ca="1" si="410">IF(I681&gt;0,J681*100/I681,0)</f>
        <v>0</v>
      </c>
      <c r="L681" s="1087"/>
      <c r="M681" s="566"/>
      <c r="N681" s="1085"/>
      <c r="O681" s="566"/>
      <c r="P681" s="566"/>
      <c r="Q681" s="1085"/>
      <c r="R681" s="566"/>
      <c r="S681" s="1085"/>
      <c r="T681" s="566"/>
      <c r="U681" s="566"/>
    </row>
    <row r="682" spans="1:21" ht="19.5" hidden="1" x14ac:dyDescent="0.3">
      <c r="A682" s="764"/>
      <c r="B682" s="718"/>
      <c r="C682" s="718"/>
      <c r="D682" s="573" t="s">
        <v>251</v>
      </c>
      <c r="E682" s="561"/>
      <c r="F682" s="561"/>
      <c r="G682" s="563"/>
      <c r="H682" s="1080" t="s">
        <v>46</v>
      </c>
      <c r="I682" s="1086">
        <f ca="1">IFERROR(__xludf.DUMMYFUNCTION("IMPORTRANGE(""https://docs.google.com/spreadsheets/d/1eHaY18a8A9IcSdp1K8H6x8fbOy06t2VsZHhMHf-1x7Y/edit?usp=sharing"",""แผน!IS19"")"),0)</f>
        <v>0</v>
      </c>
      <c r="J682" s="697">
        <f>J685+J688</f>
        <v>0</v>
      </c>
      <c r="K682" s="679">
        <f t="shared" ca="1" si="410"/>
        <v>0</v>
      </c>
      <c r="L682" s="574"/>
      <c r="M682" s="566"/>
      <c r="N682" s="1085"/>
      <c r="O682" s="566"/>
      <c r="P682" s="566"/>
      <c r="Q682" s="566"/>
      <c r="R682" s="566"/>
      <c r="S682" s="1085"/>
      <c r="T682" s="566"/>
      <c r="U682" s="566"/>
    </row>
    <row r="683" spans="1:21" ht="18.75" hidden="1" x14ac:dyDescent="0.25">
      <c r="A683" s="764"/>
      <c r="B683" s="718"/>
      <c r="C683" s="718"/>
      <c r="D683" s="561"/>
      <c r="E683" s="573" t="s">
        <v>252</v>
      </c>
      <c r="F683" s="561"/>
      <c r="G683" s="563"/>
      <c r="H683" s="686" t="s">
        <v>35</v>
      </c>
      <c r="I683" s="727"/>
      <c r="J683" s="702">
        <v>0</v>
      </c>
      <c r="K683" s="566"/>
      <c r="L683" s="1087"/>
      <c r="M683" s="566"/>
      <c r="N683" s="1085"/>
      <c r="O683" s="566"/>
      <c r="P683" s="566"/>
      <c r="Q683" s="1085"/>
      <c r="R683" s="566"/>
      <c r="S683" s="1085"/>
      <c r="T683" s="566"/>
      <c r="U683" s="566"/>
    </row>
    <row r="684" spans="1:21" ht="18.75" hidden="1" x14ac:dyDescent="0.25">
      <c r="A684" s="764"/>
      <c r="B684" s="718"/>
      <c r="C684" s="718"/>
      <c r="D684" s="561"/>
      <c r="E684" s="561"/>
      <c r="F684" s="561"/>
      <c r="G684" s="563"/>
      <c r="H684" s="686" t="s">
        <v>34</v>
      </c>
      <c r="I684" s="727"/>
      <c r="J684" s="702">
        <v>0</v>
      </c>
      <c r="K684" s="566"/>
      <c r="L684" s="1087"/>
      <c r="M684" s="566"/>
      <c r="N684" s="1085"/>
      <c r="O684" s="566"/>
      <c r="P684" s="566"/>
      <c r="Q684" s="1085"/>
      <c r="R684" s="566"/>
      <c r="S684" s="1085"/>
      <c r="T684" s="566"/>
      <c r="U684" s="566"/>
    </row>
    <row r="685" spans="1:21" ht="18.75" hidden="1" x14ac:dyDescent="0.25">
      <c r="A685" s="764"/>
      <c r="B685" s="718"/>
      <c r="C685" s="718"/>
      <c r="D685" s="561"/>
      <c r="E685" s="561"/>
      <c r="F685" s="561"/>
      <c r="G685" s="563"/>
      <c r="H685" s="686" t="s">
        <v>46</v>
      </c>
      <c r="I685" s="727"/>
      <c r="J685" s="702">
        <v>0</v>
      </c>
      <c r="K685" s="566"/>
      <c r="L685" s="1087"/>
      <c r="M685" s="566"/>
      <c r="N685" s="1085"/>
      <c r="O685" s="566"/>
      <c r="P685" s="566"/>
      <c r="Q685" s="1085"/>
      <c r="R685" s="566"/>
      <c r="S685" s="1085"/>
      <c r="T685" s="566"/>
      <c r="U685" s="566"/>
    </row>
    <row r="686" spans="1:21" ht="18.75" hidden="1" x14ac:dyDescent="0.25">
      <c r="A686" s="764"/>
      <c r="B686" s="718"/>
      <c r="C686" s="718"/>
      <c r="D686" s="561"/>
      <c r="E686" s="573" t="s">
        <v>253</v>
      </c>
      <c r="F686" s="561"/>
      <c r="G686" s="563"/>
      <c r="H686" s="686" t="s">
        <v>35</v>
      </c>
      <c r="I686" s="727"/>
      <c r="J686" s="702">
        <v>0</v>
      </c>
      <c r="K686" s="566"/>
      <c r="L686" s="1087"/>
      <c r="M686" s="566"/>
      <c r="N686" s="1085"/>
      <c r="O686" s="566"/>
      <c r="P686" s="566"/>
      <c r="Q686" s="1085"/>
      <c r="R686" s="566"/>
      <c r="S686" s="1085"/>
      <c r="T686" s="566"/>
      <c r="U686" s="566"/>
    </row>
    <row r="687" spans="1:21" ht="18.75" hidden="1" x14ac:dyDescent="0.25">
      <c r="A687" s="764"/>
      <c r="B687" s="718"/>
      <c r="C687" s="718"/>
      <c r="D687" s="561"/>
      <c r="E687" s="561"/>
      <c r="F687" s="561"/>
      <c r="G687" s="563"/>
      <c r="H687" s="686" t="s">
        <v>34</v>
      </c>
      <c r="I687" s="727"/>
      <c r="J687" s="702">
        <v>0</v>
      </c>
      <c r="K687" s="566"/>
      <c r="L687" s="1087"/>
      <c r="M687" s="566"/>
      <c r="N687" s="1085"/>
      <c r="O687" s="566"/>
      <c r="P687" s="566"/>
      <c r="Q687" s="1085"/>
      <c r="R687" s="566"/>
      <c r="S687" s="1085"/>
      <c r="T687" s="566"/>
      <c r="U687" s="566"/>
    </row>
    <row r="688" spans="1:21" ht="19.5" hidden="1" x14ac:dyDescent="0.3">
      <c r="A688" s="863"/>
      <c r="B688" s="1088" t="s">
        <v>254</v>
      </c>
      <c r="C688" s="864"/>
      <c r="D688" s="512"/>
      <c r="E688" s="512"/>
      <c r="F688" s="512"/>
      <c r="G688" s="866"/>
      <c r="H688" s="1089" t="s">
        <v>46</v>
      </c>
      <c r="I688" s="985"/>
      <c r="J688" s="990">
        <v>0</v>
      </c>
      <c r="K688" s="580"/>
      <c r="L688" s="1090"/>
      <c r="M688" s="580"/>
      <c r="N688" s="1091"/>
      <c r="O688" s="580"/>
      <c r="P688" s="580"/>
      <c r="Q688" s="1091"/>
      <c r="R688" s="580"/>
      <c r="S688" s="1091"/>
      <c r="T688" s="580"/>
      <c r="U688" s="580"/>
    </row>
    <row r="689" spans="1:21" ht="19.5" x14ac:dyDescent="0.3">
      <c r="A689" s="1061"/>
      <c r="B689" s="1062" t="s">
        <v>255</v>
      </c>
      <c r="C689" s="1061"/>
      <c r="D689" s="1063"/>
      <c r="E689" s="1063"/>
      <c r="F689" s="1063"/>
      <c r="G689" s="1064"/>
      <c r="H689" s="1238" t="s">
        <v>35</v>
      </c>
      <c r="I689" s="1239">
        <f t="shared" ref="I689:J689" ca="1" si="411">I707</f>
        <v>70</v>
      </c>
      <c r="J689" s="1239">
        <f t="shared" ca="1" si="411"/>
        <v>0</v>
      </c>
      <c r="K689" s="1094">
        <f ca="1">IF(I689&gt;0,J689*100/I689,0)</f>
        <v>0</v>
      </c>
      <c r="L689" s="1068"/>
      <c r="M689" s="1067"/>
      <c r="N689" s="1067"/>
      <c r="O689" s="1067"/>
      <c r="P689" s="1067"/>
      <c r="Q689" s="1067"/>
      <c r="R689" s="1067"/>
      <c r="S689" s="1067"/>
      <c r="T689" s="1067"/>
      <c r="U689" s="1067"/>
    </row>
    <row r="690" spans="1:21" ht="19.5" x14ac:dyDescent="0.3">
      <c r="A690" s="674"/>
      <c r="B690" s="718"/>
      <c r="C690" s="724" t="s">
        <v>18</v>
      </c>
      <c r="D690" s="1310" t="s">
        <v>19</v>
      </c>
      <c r="E690" s="1311"/>
      <c r="F690" s="1311"/>
      <c r="G690" s="1312"/>
      <c r="H690" s="780" t="s">
        <v>14</v>
      </c>
      <c r="I690" s="565"/>
      <c r="J690" s="565"/>
      <c r="K690" s="566"/>
      <c r="L690" s="678">
        <f t="shared" ref="L690:N690" si="412">L691+L692</f>
        <v>0</v>
      </c>
      <c r="M690" s="679">
        <f t="shared" si="412"/>
        <v>0</v>
      </c>
      <c r="N690" s="679">
        <f t="shared" si="412"/>
        <v>0</v>
      </c>
      <c r="O690" s="679">
        <f t="shared" ref="O690:O698" si="413">IF(L690&gt;0,N690*100/L690,0)</f>
        <v>0</v>
      </c>
      <c r="P690" s="679">
        <f t="shared" ref="P690:P698" si="414">IF(M690&gt;0,N690*100/M690,0)</f>
        <v>0</v>
      </c>
      <c r="Q690" s="679">
        <f t="shared" ref="Q690:S690" ca="1" si="415">Q691+Q692</f>
        <v>205820</v>
      </c>
      <c r="R690" s="679">
        <f t="shared" ca="1" si="415"/>
        <v>205820</v>
      </c>
      <c r="S690" s="679">
        <f t="shared" ca="1" si="415"/>
        <v>28220</v>
      </c>
      <c r="T690" s="679">
        <f t="shared" ref="T690:T698" ca="1" si="416">IF(Q690&gt;0,S690*100/Q690,0)</f>
        <v>13.711009620056361</v>
      </c>
      <c r="U690" s="679">
        <f t="shared" ref="U690:U698" ca="1" si="417">IF(R690&gt;0,S690*100/R690,0)</f>
        <v>13.711009620056361</v>
      </c>
    </row>
    <row r="691" spans="1:21" ht="18.75" x14ac:dyDescent="0.25">
      <c r="A691" s="674"/>
      <c r="B691" s="718"/>
      <c r="C691" s="718"/>
      <c r="D691" s="695"/>
      <c r="E691" s="569" t="s">
        <v>158</v>
      </c>
      <c r="F691" s="561"/>
      <c r="G691" s="563"/>
      <c r="H691" s="685" t="s">
        <v>14</v>
      </c>
      <c r="I691" s="565"/>
      <c r="J691" s="565"/>
      <c r="K691" s="566"/>
      <c r="L691" s="571">
        <f t="shared" ref="L691:N692" si="418">L694+L697</f>
        <v>0</v>
      </c>
      <c r="M691" s="572">
        <f t="shared" si="418"/>
        <v>0</v>
      </c>
      <c r="N691" s="572">
        <f t="shared" si="418"/>
        <v>0</v>
      </c>
      <c r="O691" s="572">
        <f t="shared" si="413"/>
        <v>0</v>
      </c>
      <c r="P691" s="572">
        <f t="shared" si="414"/>
        <v>0</v>
      </c>
      <c r="Q691" s="572">
        <f t="shared" ref="Q691:S692" si="419">Q694+Q697</f>
        <v>0</v>
      </c>
      <c r="R691" s="572">
        <f t="shared" si="419"/>
        <v>0</v>
      </c>
      <c r="S691" s="572">
        <f t="shared" si="419"/>
        <v>0</v>
      </c>
      <c r="T691" s="572">
        <f t="shared" si="416"/>
        <v>0</v>
      </c>
      <c r="U691" s="572">
        <f t="shared" si="417"/>
        <v>0</v>
      </c>
    </row>
    <row r="692" spans="1:21" ht="18.75" x14ac:dyDescent="0.25">
      <c r="A692" s="674"/>
      <c r="B692" s="718"/>
      <c r="C692" s="718"/>
      <c r="D692" s="695"/>
      <c r="E692" s="573" t="s">
        <v>159</v>
      </c>
      <c r="F692" s="561"/>
      <c r="G692" s="563"/>
      <c r="H692" s="682" t="s">
        <v>14</v>
      </c>
      <c r="I692" s="565"/>
      <c r="J692" s="565"/>
      <c r="K692" s="566"/>
      <c r="L692" s="567">
        <f t="shared" si="418"/>
        <v>0</v>
      </c>
      <c r="M692" s="568">
        <f t="shared" si="418"/>
        <v>0</v>
      </c>
      <c r="N692" s="568">
        <f t="shared" si="418"/>
        <v>0</v>
      </c>
      <c r="O692" s="568">
        <f t="shared" si="413"/>
        <v>0</v>
      </c>
      <c r="P692" s="568">
        <f t="shared" si="414"/>
        <v>0</v>
      </c>
      <c r="Q692" s="568">
        <f t="shared" ca="1" si="419"/>
        <v>205820</v>
      </c>
      <c r="R692" s="568">
        <f t="shared" ca="1" si="419"/>
        <v>205820</v>
      </c>
      <c r="S692" s="568">
        <f t="shared" ca="1" si="419"/>
        <v>28220</v>
      </c>
      <c r="T692" s="568">
        <f t="shared" ca="1" si="416"/>
        <v>13.711009620056361</v>
      </c>
      <c r="U692" s="568">
        <f t="shared" ca="1" si="417"/>
        <v>13.711009620056361</v>
      </c>
    </row>
    <row r="693" spans="1:21" ht="18.75" x14ac:dyDescent="0.25">
      <c r="A693" s="674"/>
      <c r="B693" s="718"/>
      <c r="C693" s="718"/>
      <c r="D693" s="562" t="s">
        <v>22</v>
      </c>
      <c r="E693" s="561"/>
      <c r="F693" s="561"/>
      <c r="G693" s="563"/>
      <c r="H693" s="682" t="s">
        <v>14</v>
      </c>
      <c r="I693" s="683"/>
      <c r="J693" s="683"/>
      <c r="K693" s="684"/>
      <c r="L693" s="567">
        <f t="shared" ref="L693:N693" si="420">L694+L695</f>
        <v>0</v>
      </c>
      <c r="M693" s="568">
        <f t="shared" si="420"/>
        <v>0</v>
      </c>
      <c r="N693" s="568">
        <f t="shared" si="420"/>
        <v>0</v>
      </c>
      <c r="O693" s="568">
        <f t="shared" si="413"/>
        <v>0</v>
      </c>
      <c r="P693" s="568">
        <f t="shared" si="414"/>
        <v>0</v>
      </c>
      <c r="Q693" s="568">
        <f t="shared" ref="Q693:S693" ca="1" si="421">Q694+Q695</f>
        <v>205820</v>
      </c>
      <c r="R693" s="568">
        <f t="shared" ca="1" si="421"/>
        <v>205820</v>
      </c>
      <c r="S693" s="568">
        <f t="shared" ca="1" si="421"/>
        <v>28220</v>
      </c>
      <c r="T693" s="568">
        <f t="shared" ca="1" si="416"/>
        <v>13.711009620056361</v>
      </c>
      <c r="U693" s="568">
        <f t="shared" ca="1" si="417"/>
        <v>13.711009620056361</v>
      </c>
    </row>
    <row r="694" spans="1:21" ht="18.75" x14ac:dyDescent="0.25">
      <c r="A694" s="674"/>
      <c r="B694" s="718"/>
      <c r="C694" s="718"/>
      <c r="D694" s="695"/>
      <c r="E694" s="569" t="s">
        <v>158</v>
      </c>
      <c r="F694" s="561"/>
      <c r="G694" s="563"/>
      <c r="H694" s="685" t="s">
        <v>14</v>
      </c>
      <c r="I694" s="565"/>
      <c r="J694" s="565"/>
      <c r="K694" s="566"/>
      <c r="L694" s="571">
        <v>0</v>
      </c>
      <c r="M694" s="572">
        <v>0</v>
      </c>
      <c r="N694" s="572">
        <v>0</v>
      </c>
      <c r="O694" s="572">
        <f t="shared" si="413"/>
        <v>0</v>
      </c>
      <c r="P694" s="572">
        <f t="shared" si="414"/>
        <v>0</v>
      </c>
      <c r="Q694" s="572">
        <v>0</v>
      </c>
      <c r="R694" s="572">
        <v>0</v>
      </c>
      <c r="S694" s="572">
        <v>0</v>
      </c>
      <c r="T694" s="572">
        <f t="shared" si="416"/>
        <v>0</v>
      </c>
      <c r="U694" s="572">
        <f t="shared" si="417"/>
        <v>0</v>
      </c>
    </row>
    <row r="695" spans="1:21" ht="18.75" x14ac:dyDescent="0.25">
      <c r="A695" s="674"/>
      <c r="B695" s="718"/>
      <c r="C695" s="718"/>
      <c r="D695" s="695"/>
      <c r="E695" s="573" t="s">
        <v>159</v>
      </c>
      <c r="F695" s="561"/>
      <c r="G695" s="563"/>
      <c r="H695" s="682" t="s">
        <v>14</v>
      </c>
      <c r="I695" s="565"/>
      <c r="J695" s="565"/>
      <c r="K695" s="566"/>
      <c r="L695" s="567">
        <v>0</v>
      </c>
      <c r="M695" s="568">
        <v>0</v>
      </c>
      <c r="N695" s="568">
        <v>0</v>
      </c>
      <c r="O695" s="568">
        <f t="shared" si="413"/>
        <v>0</v>
      </c>
      <c r="P695" s="568">
        <f t="shared" si="414"/>
        <v>0</v>
      </c>
      <c r="Q695" s="568">
        <f ca="1">IFERROR(__xludf.DUMMYFUNCTION("IMPORTRANGE(""https://docs.google.com/spreadsheets/d/1ItG2mGa2ceCfYo0BwxsXqNm01IGEUdYcSSLTEv9YCik/edit?usp=sharing"",""เบิกจ่ายกองทุน!L19"")"),205820)</f>
        <v>205820</v>
      </c>
      <c r="R695" s="568">
        <f ca="1">IFERROR(__xludf.DUMMYFUNCTION("IMPORTRANGE(""https://docs.google.com/spreadsheets/d/1ItG2mGa2ceCfYo0BwxsXqNm01IGEUdYcSSLTEv9YCik/edit?usp=sharing"",""เบิกจ่ายกองทุน!M19"")"),205820)</f>
        <v>205820</v>
      </c>
      <c r="S695" s="568">
        <f ca="1">IFERROR(__xludf.DUMMYFUNCTION("IMPORTRANGE(""https://docs.google.com/spreadsheets/d/1ItG2mGa2ceCfYo0BwxsXqNm01IGEUdYcSSLTEv9YCik/edit?usp=sharing"",""เบิกจ่ายกองทุน!N19"")"),28220)</f>
        <v>28220</v>
      </c>
      <c r="T695" s="568">
        <f t="shared" ca="1" si="416"/>
        <v>13.711009620056361</v>
      </c>
      <c r="U695" s="568">
        <f t="shared" ca="1" si="417"/>
        <v>13.711009620056361</v>
      </c>
    </row>
    <row r="696" spans="1:21" ht="18.75" x14ac:dyDescent="0.25">
      <c r="A696" s="674"/>
      <c r="B696" s="718"/>
      <c r="C696" s="718"/>
      <c r="D696" s="562" t="s">
        <v>23</v>
      </c>
      <c r="E696" s="561"/>
      <c r="F696" s="561"/>
      <c r="G696" s="563"/>
      <c r="H696" s="686" t="s">
        <v>14</v>
      </c>
      <c r="I696" s="683"/>
      <c r="J696" s="683"/>
      <c r="K696" s="684"/>
      <c r="L696" s="567">
        <f t="shared" ref="L696:N696" si="422">L697+L698</f>
        <v>0</v>
      </c>
      <c r="M696" s="568">
        <f t="shared" si="422"/>
        <v>0</v>
      </c>
      <c r="N696" s="568">
        <f t="shared" si="422"/>
        <v>0</v>
      </c>
      <c r="O696" s="568">
        <f t="shared" si="413"/>
        <v>0</v>
      </c>
      <c r="P696" s="568">
        <f t="shared" si="414"/>
        <v>0</v>
      </c>
      <c r="Q696" s="568">
        <f t="shared" ref="Q696:S696" si="423">Q697+Q698</f>
        <v>0</v>
      </c>
      <c r="R696" s="568">
        <f t="shared" si="423"/>
        <v>0</v>
      </c>
      <c r="S696" s="568">
        <f t="shared" si="423"/>
        <v>0</v>
      </c>
      <c r="T696" s="568">
        <f t="shared" si="416"/>
        <v>0</v>
      </c>
      <c r="U696" s="568">
        <f t="shared" si="417"/>
        <v>0</v>
      </c>
    </row>
    <row r="697" spans="1:21" ht="18.75" x14ac:dyDescent="0.25">
      <c r="A697" s="674"/>
      <c r="B697" s="718"/>
      <c r="C697" s="718"/>
      <c r="D697" s="561"/>
      <c r="E697" s="569" t="s">
        <v>20</v>
      </c>
      <c r="F697" s="561"/>
      <c r="G697" s="563"/>
      <c r="H697" s="685" t="s">
        <v>14</v>
      </c>
      <c r="I697" s="683"/>
      <c r="J697" s="683"/>
      <c r="K697" s="684"/>
      <c r="L697" s="571">
        <v>0</v>
      </c>
      <c r="M697" s="572">
        <v>0</v>
      </c>
      <c r="N697" s="572">
        <v>0</v>
      </c>
      <c r="O697" s="572">
        <f t="shared" si="413"/>
        <v>0</v>
      </c>
      <c r="P697" s="572">
        <f t="shared" si="414"/>
        <v>0</v>
      </c>
      <c r="Q697" s="572">
        <v>0</v>
      </c>
      <c r="R697" s="572">
        <v>0</v>
      </c>
      <c r="S697" s="572">
        <v>0</v>
      </c>
      <c r="T697" s="572">
        <f t="shared" si="416"/>
        <v>0</v>
      </c>
      <c r="U697" s="572">
        <f t="shared" si="417"/>
        <v>0</v>
      </c>
    </row>
    <row r="698" spans="1:21" ht="18.75" x14ac:dyDescent="0.25">
      <c r="A698" s="674"/>
      <c r="B698" s="718"/>
      <c r="C698" s="718"/>
      <c r="D698" s="561"/>
      <c r="E698" s="573" t="s">
        <v>21</v>
      </c>
      <c r="F698" s="561"/>
      <c r="G698" s="563"/>
      <c r="H698" s="686" t="s">
        <v>14</v>
      </c>
      <c r="I698" s="683"/>
      <c r="J698" s="683"/>
      <c r="K698" s="684"/>
      <c r="L698" s="567">
        <v>0</v>
      </c>
      <c r="M698" s="568">
        <v>0</v>
      </c>
      <c r="N698" s="568">
        <v>0</v>
      </c>
      <c r="O698" s="568">
        <f t="shared" si="413"/>
        <v>0</v>
      </c>
      <c r="P698" s="568">
        <f t="shared" si="414"/>
        <v>0</v>
      </c>
      <c r="Q698" s="568">
        <v>0</v>
      </c>
      <c r="R698" s="568">
        <v>0</v>
      </c>
      <c r="S698" s="568">
        <v>0</v>
      </c>
      <c r="T698" s="568">
        <f t="shared" si="416"/>
        <v>0</v>
      </c>
      <c r="U698" s="568">
        <f t="shared" si="417"/>
        <v>0</v>
      </c>
    </row>
    <row r="699" spans="1:21" ht="19.5" x14ac:dyDescent="0.3">
      <c r="A699" s="687"/>
      <c r="B699" s="688"/>
      <c r="C699" s="724" t="s">
        <v>18</v>
      </c>
      <c r="D699" s="689" t="s">
        <v>38</v>
      </c>
      <c r="E699" s="690"/>
      <c r="F699" s="690"/>
      <c r="G699" s="690"/>
      <c r="H699" s="725"/>
      <c r="I699" s="683"/>
      <c r="J699" s="683"/>
      <c r="K699" s="684"/>
      <c r="L699" s="574"/>
      <c r="M699" s="566"/>
      <c r="N699" s="566"/>
      <c r="O699" s="566"/>
      <c r="P699" s="566"/>
      <c r="Q699" s="566"/>
      <c r="R699" s="566"/>
      <c r="S699" s="566"/>
      <c r="T699" s="566"/>
      <c r="U699" s="566"/>
    </row>
    <row r="700" spans="1:21" ht="18.75" x14ac:dyDescent="0.25">
      <c r="A700" s="764"/>
      <c r="B700" s="718"/>
      <c r="C700" s="718"/>
      <c r="D700" s="695"/>
      <c r="E700" s="694" t="s">
        <v>256</v>
      </c>
      <c r="F700" s="695"/>
      <c r="G700" s="692"/>
      <c r="H700" s="686" t="s">
        <v>257</v>
      </c>
      <c r="I700" s="708">
        <f ca="1">IFERROR(__xludf.DUMMYFUNCTION("IMPORTRANGE(""https://docs.google.com/spreadsheets/d/1eHaY18a8A9IcSdp1K8H6x8fbOy06t2VsZHhMHf-1x7Y/edit?usp=sharing"",""แผน!LC19"")"),1)</f>
        <v>1</v>
      </c>
      <c r="J700" s="702">
        <v>0</v>
      </c>
      <c r="K700" s="703">
        <f t="shared" ref="K700:K710" ca="1" si="424">IF(I700&gt;0,J700*100/I700,0)</f>
        <v>0</v>
      </c>
      <c r="L700" s="693"/>
      <c r="M700" s="684"/>
      <c r="N700" s="566"/>
      <c r="O700" s="684"/>
      <c r="P700" s="684"/>
      <c r="Q700" s="684"/>
      <c r="R700" s="684"/>
      <c r="S700" s="566"/>
      <c r="T700" s="684"/>
      <c r="U700" s="684"/>
    </row>
    <row r="701" spans="1:21" ht="19.5" x14ac:dyDescent="0.3">
      <c r="A701" s="764"/>
      <c r="B701" s="718"/>
      <c r="C701" s="718"/>
      <c r="D701" s="695"/>
      <c r="E701" s="1095" t="s">
        <v>258</v>
      </c>
      <c r="F701" s="695"/>
      <c r="G701" s="692"/>
      <c r="H701" s="677" t="s">
        <v>35</v>
      </c>
      <c r="I701" s="697">
        <f t="shared" ref="I701:J701" ca="1" si="425">I703+I705</f>
        <v>74</v>
      </c>
      <c r="J701" s="697">
        <f t="shared" ca="1" si="425"/>
        <v>1</v>
      </c>
      <c r="K701" s="679">
        <f t="shared" ca="1" si="424"/>
        <v>1.3513513513513513</v>
      </c>
      <c r="L701" s="693"/>
      <c r="M701" s="684"/>
      <c r="N701" s="684"/>
      <c r="O701" s="684"/>
      <c r="P701" s="684"/>
      <c r="Q701" s="684"/>
      <c r="R701" s="684"/>
      <c r="S701" s="684"/>
      <c r="T701" s="684"/>
      <c r="U701" s="684"/>
    </row>
    <row r="702" spans="1:21" ht="19.5" x14ac:dyDescent="0.3">
      <c r="A702" s="764"/>
      <c r="B702" s="718"/>
      <c r="C702" s="718"/>
      <c r="D702" s="695"/>
      <c r="E702" s="695"/>
      <c r="F702" s="695"/>
      <c r="G702" s="692"/>
      <c r="H702" s="677" t="s">
        <v>46</v>
      </c>
      <c r="I702" s="697">
        <v>0</v>
      </c>
      <c r="J702" s="697">
        <f ca="1">J704+J706</f>
        <v>0.3</v>
      </c>
      <c r="K702" s="679">
        <f t="shared" si="424"/>
        <v>0</v>
      </c>
      <c r="L702" s="693"/>
      <c r="M702" s="684"/>
      <c r="N702" s="684"/>
      <c r="O702" s="684"/>
      <c r="P702" s="684"/>
      <c r="Q702" s="684"/>
      <c r="R702" s="684"/>
      <c r="S702" s="684"/>
      <c r="T702" s="684"/>
      <c r="U702" s="684"/>
    </row>
    <row r="703" spans="1:21" ht="18.75" x14ac:dyDescent="0.25">
      <c r="A703" s="764"/>
      <c r="B703" s="718"/>
      <c r="C703" s="718"/>
      <c r="D703" s="695"/>
      <c r="E703" s="695"/>
      <c r="F703" s="694" t="s">
        <v>259</v>
      </c>
      <c r="G703" s="692"/>
      <c r="H703" s="686" t="s">
        <v>35</v>
      </c>
      <c r="I703" s="708">
        <f ca="1">IFERROR(__xludf.DUMMYFUNCTION("IMPORTRANGE(""https://docs.google.com/spreadsheets/d/1eHaY18a8A9IcSdp1K8H6x8fbOy06t2VsZHhMHf-1x7Y/edit?usp=sharing"",""แผน!LJ19"")"),70)</f>
        <v>70</v>
      </c>
      <c r="J703" s="708">
        <f ca="1">IFERROR(__xludf.DUMMYFUNCTION("IMPORTRANGE(""https://docs.google.com/spreadsheets/d/1tdoBKaGub7dwA3U6UFTqxio9LNnvDCQjHKmttSEBsFQ/edit?usp=sharing"",""จัดที่ดิน!AP19"")"),1)</f>
        <v>1</v>
      </c>
      <c r="K703" s="568">
        <f t="shared" ca="1" si="424"/>
        <v>1.4285714285714286</v>
      </c>
      <c r="L703" s="693"/>
      <c r="M703" s="684"/>
      <c r="N703" s="684"/>
      <c r="O703" s="684"/>
      <c r="P703" s="684"/>
      <c r="Q703" s="684"/>
      <c r="R703" s="684"/>
      <c r="S703" s="684"/>
      <c r="T703" s="684"/>
      <c r="U703" s="684"/>
    </row>
    <row r="704" spans="1:21" ht="18.75" x14ac:dyDescent="0.25">
      <c r="A704" s="764"/>
      <c r="B704" s="718"/>
      <c r="C704" s="718"/>
      <c r="D704" s="695"/>
      <c r="E704" s="695"/>
      <c r="F704" s="695"/>
      <c r="G704" s="692"/>
      <c r="H704" s="686" t="s">
        <v>46</v>
      </c>
      <c r="I704" s="708">
        <v>0</v>
      </c>
      <c r="J704" s="708">
        <f ca="1">IFERROR(__xludf.DUMMYFUNCTION("IMPORTRANGE(""https://docs.google.com/spreadsheets/d/1tdoBKaGub7dwA3U6UFTqxio9LNnvDCQjHKmttSEBsFQ/edit?usp=sharing"",""จัดที่ดิน!AQ19"")"),0.3)</f>
        <v>0.3</v>
      </c>
      <c r="K704" s="568">
        <f t="shared" si="424"/>
        <v>0</v>
      </c>
      <c r="L704" s="693"/>
      <c r="M704" s="684"/>
      <c r="N704" s="684"/>
      <c r="O704" s="684"/>
      <c r="P704" s="684"/>
      <c r="Q704" s="684"/>
      <c r="R704" s="684"/>
      <c r="S704" s="684"/>
      <c r="T704" s="684"/>
      <c r="U704" s="684"/>
    </row>
    <row r="705" spans="1:21" ht="18.75" x14ac:dyDescent="0.25">
      <c r="A705" s="764"/>
      <c r="B705" s="718"/>
      <c r="C705" s="718"/>
      <c r="D705" s="695"/>
      <c r="E705" s="695"/>
      <c r="F705" s="694" t="s">
        <v>260</v>
      </c>
      <c r="G705" s="692"/>
      <c r="H705" s="686" t="s">
        <v>35</v>
      </c>
      <c r="I705" s="708">
        <f ca="1">IFERROR(__xludf.DUMMYFUNCTION("IMPORTRANGE(""https://docs.google.com/spreadsheets/d/1eHaY18a8A9IcSdp1K8H6x8fbOy06t2VsZHhMHf-1x7Y/edit?usp=sharing"",""แผน!LK19"")"),4)</f>
        <v>4</v>
      </c>
      <c r="J705" s="708">
        <f ca="1">IFERROR(__xludf.DUMMYFUNCTION("IMPORTRANGE(""https://docs.google.com/spreadsheets/d/1tdoBKaGub7dwA3U6UFTqxio9LNnvDCQjHKmttSEBsFQ/edit?usp=sharing"",""จัดที่ดิน!AR19"")"),0)</f>
        <v>0</v>
      </c>
      <c r="K705" s="703">
        <f t="shared" ca="1" si="424"/>
        <v>0</v>
      </c>
      <c r="L705" s="693"/>
      <c r="M705" s="684"/>
      <c r="N705" s="684"/>
      <c r="O705" s="684"/>
      <c r="P705" s="684"/>
      <c r="Q705" s="684"/>
      <c r="R705" s="684"/>
      <c r="S705" s="684"/>
      <c r="T705" s="684"/>
      <c r="U705" s="684"/>
    </row>
    <row r="706" spans="1:21" ht="18.75" x14ac:dyDescent="0.25">
      <c r="A706" s="764"/>
      <c r="B706" s="718"/>
      <c r="C706" s="718"/>
      <c r="D706" s="695"/>
      <c r="E706" s="695"/>
      <c r="F706" s="695"/>
      <c r="G706" s="692"/>
      <c r="H706" s="686" t="s">
        <v>46</v>
      </c>
      <c r="I706" s="708">
        <v>0</v>
      </c>
      <c r="J706" s="708">
        <f ca="1">IFERROR(__xludf.DUMMYFUNCTION("IMPORTRANGE(""https://docs.google.com/spreadsheets/d/1tdoBKaGub7dwA3U6UFTqxio9LNnvDCQjHKmttSEBsFQ/edit?usp=sharing"",""จัดที่ดิน!AS19"")"),0)</f>
        <v>0</v>
      </c>
      <c r="K706" s="568">
        <f t="shared" si="424"/>
        <v>0</v>
      </c>
      <c r="L706" s="693"/>
      <c r="M706" s="684"/>
      <c r="N706" s="684"/>
      <c r="O706" s="684"/>
      <c r="P706" s="684"/>
      <c r="Q706" s="684"/>
      <c r="R706" s="684"/>
      <c r="S706" s="684"/>
      <c r="T706" s="684"/>
      <c r="U706" s="684"/>
    </row>
    <row r="707" spans="1:21" ht="18.75" x14ac:dyDescent="0.25">
      <c r="A707" s="764"/>
      <c r="B707" s="718"/>
      <c r="C707" s="718"/>
      <c r="D707" s="695"/>
      <c r="E707" s="694" t="s">
        <v>261</v>
      </c>
      <c r="F707" s="695"/>
      <c r="G707" s="692"/>
      <c r="H707" s="682" t="s">
        <v>35</v>
      </c>
      <c r="I707" s="708">
        <f ca="1">IFERROR(__xludf.DUMMYFUNCTION("IMPORTRANGE(""https://docs.google.com/spreadsheets/d/1eHaY18a8A9IcSdp1K8H6x8fbOy06t2VsZHhMHf-1x7Y/edit?usp=sharing"",""แผน!LJ19"")"),70)</f>
        <v>70</v>
      </c>
      <c r="J707" s="708">
        <f ca="1">IFERROR(__xludf.DUMMYFUNCTION("IMPORTRANGE(""https://docs.google.com/spreadsheets/d/1tdoBKaGub7dwA3U6UFTqxio9LNnvDCQjHKmttSEBsFQ/edit?usp=sharing"",""จัดที่ดิน!BN19"")"),0)</f>
        <v>0</v>
      </c>
      <c r="K707" s="568">
        <f t="shared" ca="1" si="424"/>
        <v>0</v>
      </c>
      <c r="L707" s="693"/>
      <c r="M707" s="684"/>
      <c r="N707" s="684"/>
      <c r="O707" s="684"/>
      <c r="P707" s="684"/>
      <c r="Q707" s="684"/>
      <c r="R707" s="684"/>
      <c r="S707" s="684"/>
      <c r="T707" s="684"/>
      <c r="U707" s="684"/>
    </row>
    <row r="708" spans="1:21" ht="18.75" x14ac:dyDescent="0.25">
      <c r="A708" s="764"/>
      <c r="B708" s="718"/>
      <c r="C708" s="718"/>
      <c r="D708" s="695"/>
      <c r="E708" s="1096" t="s">
        <v>262</v>
      </c>
      <c r="F708" s="695"/>
      <c r="G708" s="692"/>
      <c r="H708" s="682" t="s">
        <v>46</v>
      </c>
      <c r="I708" s="708">
        <v>0</v>
      </c>
      <c r="J708" s="708">
        <f ca="1">IFERROR(__xludf.DUMMYFUNCTION("IMPORTRANGE(""https://docs.google.com/spreadsheets/d/1tdoBKaGub7dwA3U6UFTqxio9LNnvDCQjHKmttSEBsFQ/edit?usp=sharing"",""จัดที่ดิน!BO19"")"),0)</f>
        <v>0</v>
      </c>
      <c r="K708" s="568">
        <f t="shared" si="424"/>
        <v>0</v>
      </c>
      <c r="L708" s="693"/>
      <c r="M708" s="684"/>
      <c r="N708" s="684"/>
      <c r="O708" s="684"/>
      <c r="P708" s="684"/>
      <c r="Q708" s="684"/>
      <c r="R708" s="684"/>
      <c r="S708" s="684"/>
      <c r="T708" s="684"/>
      <c r="U708" s="684"/>
    </row>
    <row r="709" spans="1:21" ht="18.75" x14ac:dyDescent="0.25">
      <c r="A709" s="764"/>
      <c r="B709" s="718"/>
      <c r="C709" s="718"/>
      <c r="D709" s="561"/>
      <c r="E709" s="573" t="s">
        <v>263</v>
      </c>
      <c r="F709" s="561"/>
      <c r="G709" s="563"/>
      <c r="H709" s="722" t="s">
        <v>35</v>
      </c>
      <c r="I709" s="708">
        <f ca="1">IFERROR(__xludf.DUMMYFUNCTION("IMPORTRANGE(""https://docs.google.com/spreadsheets/d/1eHaY18a8A9IcSdp1K8H6x8fbOy06t2VsZHhMHf-1x7Y/edit?usp=sharing"",""แผน!LK19"")"),4)</f>
        <v>4</v>
      </c>
      <c r="J709" s="708">
        <f ca="1">IFERROR(__xludf.DUMMYFUNCTION("IMPORTRANGE(""https://docs.google.com/spreadsheets/d/1tdoBKaGub7dwA3U6UFTqxio9LNnvDCQjHKmttSEBsFQ/edit?usp=sharing"",""จัดที่ดิน!BP19"")"),11)</f>
        <v>11</v>
      </c>
      <c r="K709" s="568">
        <f t="shared" ca="1" si="424"/>
        <v>275</v>
      </c>
      <c r="L709" s="574"/>
      <c r="M709" s="566"/>
      <c r="N709" s="566"/>
      <c r="O709" s="566"/>
      <c r="P709" s="566"/>
      <c r="Q709" s="566"/>
      <c r="R709" s="566"/>
      <c r="S709" s="566"/>
      <c r="T709" s="566"/>
      <c r="U709" s="566"/>
    </row>
    <row r="710" spans="1:21" ht="18.75" x14ac:dyDescent="0.25">
      <c r="A710" s="764"/>
      <c r="B710" s="718"/>
      <c r="C710" s="718"/>
      <c r="D710" s="561"/>
      <c r="E710" s="1096" t="s">
        <v>264</v>
      </c>
      <c r="F710" s="561"/>
      <c r="G710" s="563"/>
      <c r="H710" s="722" t="s">
        <v>46</v>
      </c>
      <c r="I710" s="708">
        <v>0</v>
      </c>
      <c r="J710" s="708">
        <f ca="1">IFERROR(__xludf.DUMMYFUNCTION("IMPORTRANGE(""https://docs.google.com/spreadsheets/d/1tdoBKaGub7dwA3U6UFTqxio9LNnvDCQjHKmttSEBsFQ/edit?usp=sharing"",""จัดที่ดิน!BQ19"")"),0)</f>
        <v>0</v>
      </c>
      <c r="K710" s="568">
        <f t="shared" si="424"/>
        <v>0</v>
      </c>
      <c r="L710" s="574"/>
      <c r="M710" s="566"/>
      <c r="N710" s="566"/>
      <c r="O710" s="566"/>
      <c r="P710" s="566"/>
      <c r="Q710" s="566"/>
      <c r="R710" s="566"/>
      <c r="S710" s="566"/>
      <c r="T710" s="566"/>
      <c r="U710" s="566"/>
    </row>
    <row r="711" spans="1:21" ht="12.75" hidden="1" x14ac:dyDescent="0.2">
      <c r="A711" s="1027"/>
      <c r="B711" s="966"/>
      <c r="C711" s="966"/>
      <c r="D711" s="1028"/>
      <c r="E711" s="1028"/>
      <c r="F711" s="1028"/>
      <c r="G711" s="1029"/>
      <c r="H711" s="967"/>
      <c r="I711" s="968"/>
      <c r="J711" s="968"/>
      <c r="K711" s="969"/>
      <c r="L711" s="970"/>
      <c r="M711" s="969"/>
      <c r="N711" s="969"/>
      <c r="O711" s="969"/>
      <c r="P711" s="969"/>
      <c r="Q711" s="969"/>
      <c r="R711" s="969"/>
      <c r="S711" s="969"/>
      <c r="T711" s="969"/>
      <c r="U711" s="969"/>
    </row>
    <row r="712" spans="1:21" ht="19.5" hidden="1" x14ac:dyDescent="0.3">
      <c r="A712" s="1061"/>
      <c r="B712" s="1097" t="s">
        <v>265</v>
      </c>
      <c r="C712" s="1061"/>
      <c r="D712" s="1063"/>
      <c r="E712" s="1063"/>
      <c r="F712" s="1063"/>
      <c r="G712" s="1064"/>
      <c r="H712" s="1098" t="s">
        <v>46</v>
      </c>
      <c r="I712" s="1066"/>
      <c r="J712" s="1066">
        <f>J724</f>
        <v>0</v>
      </c>
      <c r="K712" s="1099">
        <f>IF(I712&gt;0,J712*100/I712,0)</f>
        <v>0</v>
      </c>
      <c r="L712" s="1068"/>
      <c r="M712" s="1067"/>
      <c r="N712" s="1067"/>
      <c r="O712" s="1067"/>
      <c r="P712" s="1067"/>
      <c r="Q712" s="1067"/>
      <c r="R712" s="1067"/>
      <c r="S712" s="1067"/>
      <c r="T712" s="1067"/>
      <c r="U712" s="1067"/>
    </row>
    <row r="713" spans="1:21" ht="19.5" hidden="1" x14ac:dyDescent="0.3">
      <c r="A713" s="1061"/>
      <c r="B713" s="1097" t="s">
        <v>266</v>
      </c>
      <c r="C713" s="1061"/>
      <c r="D713" s="1063"/>
      <c r="E713" s="1063"/>
      <c r="F713" s="1063"/>
      <c r="G713" s="1064"/>
      <c r="H713" s="1065"/>
      <c r="I713" s="1066"/>
      <c r="J713" s="1066"/>
      <c r="K713" s="1067"/>
      <c r="L713" s="1068"/>
      <c r="M713" s="1067"/>
      <c r="N713" s="1067"/>
      <c r="O713" s="1067"/>
      <c r="P713" s="1067"/>
      <c r="Q713" s="1067"/>
      <c r="R713" s="1067"/>
      <c r="S713" s="1067"/>
      <c r="T713" s="1067"/>
      <c r="U713" s="1067"/>
    </row>
    <row r="714" spans="1:21" ht="19.5" hidden="1" x14ac:dyDescent="0.3">
      <c r="A714" s="674"/>
      <c r="B714" s="718"/>
      <c r="C714" s="767" t="s">
        <v>18</v>
      </c>
      <c r="D714" s="1315" t="s">
        <v>19</v>
      </c>
      <c r="E714" s="1311"/>
      <c r="F714" s="1311"/>
      <c r="G714" s="1312"/>
      <c r="H714" s="799" t="s">
        <v>14</v>
      </c>
      <c r="I714" s="565"/>
      <c r="J714" s="565"/>
      <c r="K714" s="566"/>
      <c r="L714" s="678">
        <f t="shared" ref="L714:N714" si="426">L715+L716</f>
        <v>0</v>
      </c>
      <c r="M714" s="679">
        <f t="shared" si="426"/>
        <v>0</v>
      </c>
      <c r="N714" s="679">
        <f t="shared" si="426"/>
        <v>0</v>
      </c>
      <c r="O714" s="679">
        <f t="shared" ref="O714:O722" si="427">IF(L714&gt;0,N714*100/L714,0)</f>
        <v>0</v>
      </c>
      <c r="P714" s="679">
        <f t="shared" ref="P714:P722" si="428">IF(M714&gt;0,N714*100/M714,0)</f>
        <v>0</v>
      </c>
      <c r="Q714" s="679">
        <f t="shared" ref="Q714:S714" si="429">Q715+Q716</f>
        <v>0</v>
      </c>
      <c r="R714" s="679">
        <f t="shared" si="429"/>
        <v>0</v>
      </c>
      <c r="S714" s="679">
        <f t="shared" si="429"/>
        <v>0</v>
      </c>
      <c r="T714" s="679">
        <f t="shared" ref="T714:T722" si="430">IF(Q714&gt;0,S714*100/Q714,0)</f>
        <v>0</v>
      </c>
      <c r="U714" s="679">
        <f t="shared" ref="U714:U722" si="431">IF(R714&gt;0,S714*100/R714,0)</f>
        <v>0</v>
      </c>
    </row>
    <row r="715" spans="1:21" ht="18.75" hidden="1" x14ac:dyDescent="0.25">
      <c r="A715" s="674"/>
      <c r="B715" s="718"/>
      <c r="C715" s="718"/>
      <c r="D715" s="695"/>
      <c r="E715" s="569" t="s">
        <v>158</v>
      </c>
      <c r="F715" s="561"/>
      <c r="G715" s="563"/>
      <c r="H715" s="685" t="s">
        <v>14</v>
      </c>
      <c r="I715" s="565"/>
      <c r="J715" s="565"/>
      <c r="K715" s="566"/>
      <c r="L715" s="571">
        <f t="shared" ref="L715:N716" si="432">L718+L721</f>
        <v>0</v>
      </c>
      <c r="M715" s="572">
        <f t="shared" si="432"/>
        <v>0</v>
      </c>
      <c r="N715" s="572">
        <f t="shared" si="432"/>
        <v>0</v>
      </c>
      <c r="O715" s="572">
        <f t="shared" si="427"/>
        <v>0</v>
      </c>
      <c r="P715" s="572">
        <f t="shared" si="428"/>
        <v>0</v>
      </c>
      <c r="Q715" s="572">
        <f t="shared" ref="Q715:S716" si="433">Q718+Q721</f>
        <v>0</v>
      </c>
      <c r="R715" s="572">
        <f t="shared" si="433"/>
        <v>0</v>
      </c>
      <c r="S715" s="572">
        <f t="shared" si="433"/>
        <v>0</v>
      </c>
      <c r="T715" s="572">
        <f t="shared" si="430"/>
        <v>0</v>
      </c>
      <c r="U715" s="572">
        <f t="shared" si="431"/>
        <v>0</v>
      </c>
    </row>
    <row r="716" spans="1:21" ht="18.75" hidden="1" x14ac:dyDescent="0.25">
      <c r="A716" s="674"/>
      <c r="B716" s="718"/>
      <c r="C716" s="718"/>
      <c r="D716" s="695"/>
      <c r="E716" s="569" t="s">
        <v>159</v>
      </c>
      <c r="F716" s="561"/>
      <c r="G716" s="563"/>
      <c r="H716" s="685" t="s">
        <v>14</v>
      </c>
      <c r="I716" s="565"/>
      <c r="J716" s="565"/>
      <c r="K716" s="566"/>
      <c r="L716" s="567">
        <f t="shared" si="432"/>
        <v>0</v>
      </c>
      <c r="M716" s="568">
        <f t="shared" si="432"/>
        <v>0</v>
      </c>
      <c r="N716" s="568">
        <f t="shared" si="432"/>
        <v>0</v>
      </c>
      <c r="O716" s="568">
        <f t="shared" si="427"/>
        <v>0</v>
      </c>
      <c r="P716" s="568">
        <f t="shared" si="428"/>
        <v>0</v>
      </c>
      <c r="Q716" s="568">
        <f t="shared" si="433"/>
        <v>0</v>
      </c>
      <c r="R716" s="568">
        <f t="shared" si="433"/>
        <v>0</v>
      </c>
      <c r="S716" s="568">
        <f t="shared" si="433"/>
        <v>0</v>
      </c>
      <c r="T716" s="568">
        <f t="shared" si="430"/>
        <v>0</v>
      </c>
      <c r="U716" s="568">
        <f t="shared" si="431"/>
        <v>0</v>
      </c>
    </row>
    <row r="717" spans="1:21" ht="19.5" hidden="1" x14ac:dyDescent="0.3">
      <c r="A717" s="674"/>
      <c r="B717" s="718"/>
      <c r="C717" s="718"/>
      <c r="D717" s="798" t="s">
        <v>22</v>
      </c>
      <c r="E717" s="561"/>
      <c r="F717" s="561"/>
      <c r="G717" s="563"/>
      <c r="H717" s="799" t="s">
        <v>14</v>
      </c>
      <c r="I717" s="683"/>
      <c r="J717" s="683"/>
      <c r="K717" s="684"/>
      <c r="L717" s="567">
        <f t="shared" ref="L717:N717" si="434">L718+L719</f>
        <v>0</v>
      </c>
      <c r="M717" s="568">
        <f t="shared" si="434"/>
        <v>0</v>
      </c>
      <c r="N717" s="568">
        <f t="shared" si="434"/>
        <v>0</v>
      </c>
      <c r="O717" s="568">
        <f t="shared" si="427"/>
        <v>0</v>
      </c>
      <c r="P717" s="568">
        <f t="shared" si="428"/>
        <v>0</v>
      </c>
      <c r="Q717" s="568">
        <f t="shared" ref="Q717:S717" si="435">Q718+Q719</f>
        <v>0</v>
      </c>
      <c r="R717" s="568">
        <f t="shared" si="435"/>
        <v>0</v>
      </c>
      <c r="S717" s="568">
        <f t="shared" si="435"/>
        <v>0</v>
      </c>
      <c r="T717" s="568">
        <f t="shared" si="430"/>
        <v>0</v>
      </c>
      <c r="U717" s="568">
        <f t="shared" si="431"/>
        <v>0</v>
      </c>
    </row>
    <row r="718" spans="1:21" ht="18.75" hidden="1" x14ac:dyDescent="0.25">
      <c r="A718" s="674"/>
      <c r="B718" s="718"/>
      <c r="C718" s="718"/>
      <c r="D718" s="695"/>
      <c r="E718" s="569" t="s">
        <v>158</v>
      </c>
      <c r="F718" s="561"/>
      <c r="G718" s="563"/>
      <c r="H718" s="685" t="s">
        <v>14</v>
      </c>
      <c r="I718" s="565"/>
      <c r="J718" s="565"/>
      <c r="K718" s="566"/>
      <c r="L718" s="571">
        <v>0</v>
      </c>
      <c r="M718" s="572">
        <v>0</v>
      </c>
      <c r="N718" s="572">
        <v>0</v>
      </c>
      <c r="O718" s="572">
        <f t="shared" si="427"/>
        <v>0</v>
      </c>
      <c r="P718" s="572">
        <f t="shared" si="428"/>
        <v>0</v>
      </c>
      <c r="Q718" s="572">
        <v>0</v>
      </c>
      <c r="R718" s="572">
        <v>0</v>
      </c>
      <c r="S718" s="572">
        <v>0</v>
      </c>
      <c r="T718" s="572">
        <f t="shared" si="430"/>
        <v>0</v>
      </c>
      <c r="U718" s="572">
        <f t="shared" si="431"/>
        <v>0</v>
      </c>
    </row>
    <row r="719" spans="1:21" ht="18.75" hidden="1" x14ac:dyDescent="0.25">
      <c r="A719" s="674"/>
      <c r="B719" s="718"/>
      <c r="C719" s="718"/>
      <c r="D719" s="695"/>
      <c r="E719" s="569" t="s">
        <v>159</v>
      </c>
      <c r="F719" s="561"/>
      <c r="G719" s="563"/>
      <c r="H719" s="685" t="s">
        <v>14</v>
      </c>
      <c r="I719" s="565"/>
      <c r="J719" s="565"/>
      <c r="K719" s="566"/>
      <c r="L719" s="567">
        <v>0</v>
      </c>
      <c r="M719" s="568">
        <v>0</v>
      </c>
      <c r="N719" s="568">
        <v>0</v>
      </c>
      <c r="O719" s="568">
        <f t="shared" si="427"/>
        <v>0</v>
      </c>
      <c r="P719" s="568">
        <f t="shared" si="428"/>
        <v>0</v>
      </c>
      <c r="Q719" s="568">
        <v>0</v>
      </c>
      <c r="R719" s="568">
        <v>0</v>
      </c>
      <c r="S719" s="568">
        <v>0</v>
      </c>
      <c r="T719" s="568">
        <f t="shared" si="430"/>
        <v>0</v>
      </c>
      <c r="U719" s="568">
        <f t="shared" si="431"/>
        <v>0</v>
      </c>
    </row>
    <row r="720" spans="1:21" ht="19.5" hidden="1" x14ac:dyDescent="0.3">
      <c r="A720" s="674"/>
      <c r="B720" s="718"/>
      <c r="C720" s="718"/>
      <c r="D720" s="798" t="s">
        <v>23</v>
      </c>
      <c r="E720" s="561"/>
      <c r="F720" s="561"/>
      <c r="G720" s="563"/>
      <c r="H720" s="1041" t="s">
        <v>14</v>
      </c>
      <c r="I720" s="683"/>
      <c r="J720" s="683"/>
      <c r="K720" s="684"/>
      <c r="L720" s="567">
        <f t="shared" ref="L720:N720" si="436">L721+L722</f>
        <v>0</v>
      </c>
      <c r="M720" s="568">
        <f t="shared" si="436"/>
        <v>0</v>
      </c>
      <c r="N720" s="568">
        <f t="shared" si="436"/>
        <v>0</v>
      </c>
      <c r="O720" s="568">
        <f t="shared" si="427"/>
        <v>0</v>
      </c>
      <c r="P720" s="568">
        <f t="shared" si="428"/>
        <v>0</v>
      </c>
      <c r="Q720" s="568">
        <f t="shared" ref="Q720:S720" si="437">Q721+Q722</f>
        <v>0</v>
      </c>
      <c r="R720" s="568">
        <f t="shared" si="437"/>
        <v>0</v>
      </c>
      <c r="S720" s="568">
        <f t="shared" si="437"/>
        <v>0</v>
      </c>
      <c r="T720" s="568">
        <f t="shared" si="430"/>
        <v>0</v>
      </c>
      <c r="U720" s="568">
        <f t="shared" si="431"/>
        <v>0</v>
      </c>
    </row>
    <row r="721" spans="1:21" ht="18.75" hidden="1" x14ac:dyDescent="0.25">
      <c r="A721" s="674"/>
      <c r="B721" s="718"/>
      <c r="C721" s="718"/>
      <c r="D721" s="561"/>
      <c r="E721" s="569" t="s">
        <v>20</v>
      </c>
      <c r="F721" s="561"/>
      <c r="G721" s="563"/>
      <c r="H721" s="685" t="s">
        <v>14</v>
      </c>
      <c r="I721" s="683"/>
      <c r="J721" s="683"/>
      <c r="K721" s="684"/>
      <c r="L721" s="571">
        <v>0</v>
      </c>
      <c r="M721" s="572">
        <v>0</v>
      </c>
      <c r="N721" s="572">
        <v>0</v>
      </c>
      <c r="O721" s="572">
        <f t="shared" si="427"/>
        <v>0</v>
      </c>
      <c r="P721" s="572">
        <f t="shared" si="428"/>
        <v>0</v>
      </c>
      <c r="Q721" s="572">
        <v>0</v>
      </c>
      <c r="R721" s="572">
        <v>0</v>
      </c>
      <c r="S721" s="572">
        <v>0</v>
      </c>
      <c r="T721" s="572">
        <f t="shared" si="430"/>
        <v>0</v>
      </c>
      <c r="U721" s="572">
        <f t="shared" si="431"/>
        <v>0</v>
      </c>
    </row>
    <row r="722" spans="1:21" ht="18.75" hidden="1" x14ac:dyDescent="0.25">
      <c r="A722" s="674"/>
      <c r="B722" s="718"/>
      <c r="C722" s="718"/>
      <c r="D722" s="561"/>
      <c r="E722" s="569" t="s">
        <v>21</v>
      </c>
      <c r="F722" s="561"/>
      <c r="G722" s="563"/>
      <c r="H722" s="734" t="s">
        <v>14</v>
      </c>
      <c r="I722" s="683"/>
      <c r="J722" s="683"/>
      <c r="K722" s="684"/>
      <c r="L722" s="567">
        <v>0</v>
      </c>
      <c r="M722" s="568">
        <v>0</v>
      </c>
      <c r="N722" s="568">
        <v>0</v>
      </c>
      <c r="O722" s="568">
        <f t="shared" si="427"/>
        <v>0</v>
      </c>
      <c r="P722" s="568">
        <f t="shared" si="428"/>
        <v>0</v>
      </c>
      <c r="Q722" s="568">
        <v>0</v>
      </c>
      <c r="R722" s="568">
        <v>0</v>
      </c>
      <c r="S722" s="568">
        <v>0</v>
      </c>
      <c r="T722" s="568">
        <f t="shared" si="430"/>
        <v>0</v>
      </c>
      <c r="U722" s="568">
        <f t="shared" si="431"/>
        <v>0</v>
      </c>
    </row>
    <row r="723" spans="1:21" ht="19.5" hidden="1" x14ac:dyDescent="0.3">
      <c r="A723" s="687"/>
      <c r="B723" s="688"/>
      <c r="C723" s="767" t="s">
        <v>18</v>
      </c>
      <c r="D723" s="1100" t="s">
        <v>38</v>
      </c>
      <c r="E723" s="690"/>
      <c r="F723" s="690"/>
      <c r="G723" s="691"/>
      <c r="H723" s="725"/>
      <c r="I723" s="683"/>
      <c r="J723" s="683"/>
      <c r="K723" s="684"/>
      <c r="L723" s="693"/>
      <c r="M723" s="684"/>
      <c r="N723" s="684"/>
      <c r="O723" s="684"/>
      <c r="P723" s="684"/>
      <c r="Q723" s="684"/>
      <c r="R723" s="684"/>
      <c r="S723" s="684"/>
      <c r="T723" s="684"/>
      <c r="U723" s="684"/>
    </row>
    <row r="724" spans="1:21" ht="18.75" hidden="1" x14ac:dyDescent="0.25">
      <c r="A724" s="764"/>
      <c r="B724" s="718"/>
      <c r="C724" s="718"/>
      <c r="D724" s="561"/>
      <c r="E724" s="569" t="s">
        <v>267</v>
      </c>
      <c r="F724" s="561"/>
      <c r="G724" s="563"/>
      <c r="H724" s="685" t="s">
        <v>46</v>
      </c>
      <c r="I724" s="735">
        <v>0</v>
      </c>
      <c r="J724" s="565"/>
      <c r="K724" s="566"/>
      <c r="L724" s="574"/>
      <c r="M724" s="566"/>
      <c r="N724" s="566"/>
      <c r="O724" s="566"/>
      <c r="P724" s="566"/>
      <c r="Q724" s="566"/>
      <c r="R724" s="566"/>
      <c r="S724" s="566"/>
      <c r="T724" s="566"/>
      <c r="U724" s="566"/>
    </row>
    <row r="725" spans="1:21" ht="18.75" hidden="1" x14ac:dyDescent="0.25">
      <c r="A725" s="984"/>
      <c r="B725" s="514"/>
      <c r="C725" s="514"/>
      <c r="D725" s="513"/>
      <c r="E725" s="738" t="s">
        <v>268</v>
      </c>
      <c r="F725" s="513"/>
      <c r="G725" s="577"/>
      <c r="H725" s="1101" t="s">
        <v>46</v>
      </c>
      <c r="I725" s="740">
        <v>0</v>
      </c>
      <c r="J725" s="579"/>
      <c r="K725" s="580"/>
      <c r="L725" s="581"/>
      <c r="M725" s="580"/>
      <c r="N725" s="580"/>
      <c r="O725" s="580"/>
      <c r="P725" s="580"/>
      <c r="Q725" s="580"/>
      <c r="R725" s="580"/>
      <c r="S725" s="580"/>
      <c r="T725" s="580"/>
      <c r="U725" s="580"/>
    </row>
    <row r="726" spans="1:21" ht="19.5" x14ac:dyDescent="0.3">
      <c r="A726" s="1061"/>
      <c r="B726" s="1062" t="s">
        <v>269</v>
      </c>
      <c r="C726" s="1061"/>
      <c r="D726" s="1063"/>
      <c r="E726" s="1063"/>
      <c r="F726" s="1063"/>
      <c r="G726" s="1064"/>
      <c r="H726" s="1092" t="s">
        <v>35</v>
      </c>
      <c r="I726" s="1093">
        <f ca="1">IFERROR(__xludf.DUMMYFUNCTION("IMPORTRANGE(""https://docs.google.com/spreadsheets/d/1eHaY18a8A9IcSdp1K8H6x8fbOy06t2VsZHhMHf-1x7Y/edit?usp=sharing"",""แผน!GA19"")"),128)</f>
        <v>128</v>
      </c>
      <c r="J726" s="1093">
        <f>J742+J746+J749</f>
        <v>125</v>
      </c>
      <c r="K726" s="1094">
        <f t="shared" ref="K726:K727" ca="1" si="438">IF(I726&gt;0,J726*100/I726,0)</f>
        <v>97.65625</v>
      </c>
      <c r="L726" s="1068"/>
      <c r="M726" s="1067"/>
      <c r="N726" s="1067"/>
      <c r="O726" s="1067"/>
      <c r="P726" s="1067"/>
      <c r="Q726" s="1067"/>
      <c r="R726" s="1067"/>
      <c r="S726" s="1067"/>
      <c r="T726" s="1067"/>
      <c r="U726" s="1067"/>
    </row>
    <row r="727" spans="1:21" ht="19.5" x14ac:dyDescent="0.3">
      <c r="A727" s="1102"/>
      <c r="B727" s="1061"/>
      <c r="C727" s="1061"/>
      <c r="D727" s="1063"/>
      <c r="E727" s="1063"/>
      <c r="F727" s="1063"/>
      <c r="G727" s="1064"/>
      <c r="H727" s="1092" t="s">
        <v>46</v>
      </c>
      <c r="I727" s="1093">
        <f ca="1">IFERROR(__xludf.DUMMYFUNCTION("IMPORTRANGE(""https://docs.google.com/spreadsheets/d/1eHaY18a8A9IcSdp1K8H6x8fbOy06t2VsZHhMHf-1x7Y/edit?usp=sharing"",""แผน!FZ19"")"),1250)</f>
        <v>1250</v>
      </c>
      <c r="J727" s="1093">
        <f>J752+J755</f>
        <v>0</v>
      </c>
      <c r="K727" s="1094">
        <f t="shared" ca="1" si="438"/>
        <v>0</v>
      </c>
      <c r="L727" s="1068"/>
      <c r="M727" s="1067"/>
      <c r="N727" s="1067"/>
      <c r="O727" s="1067"/>
      <c r="P727" s="1067"/>
      <c r="Q727" s="1067"/>
      <c r="R727" s="1067"/>
      <c r="S727" s="1067"/>
      <c r="T727" s="1067"/>
      <c r="U727" s="1067"/>
    </row>
    <row r="728" spans="1:21" ht="19.5" x14ac:dyDescent="0.3">
      <c r="A728" s="674"/>
      <c r="B728" s="718"/>
      <c r="C728" s="724" t="s">
        <v>18</v>
      </c>
      <c r="D728" s="1310" t="s">
        <v>19</v>
      </c>
      <c r="E728" s="1311"/>
      <c r="F728" s="1311"/>
      <c r="G728" s="1312"/>
      <c r="H728" s="780" t="s">
        <v>14</v>
      </c>
      <c r="I728" s="565"/>
      <c r="J728" s="565"/>
      <c r="K728" s="566"/>
      <c r="L728" s="678">
        <f t="shared" ref="L728:N728" si="439">L729+L730</f>
        <v>0</v>
      </c>
      <c r="M728" s="679">
        <f t="shared" si="439"/>
        <v>0</v>
      </c>
      <c r="N728" s="679">
        <f t="shared" si="439"/>
        <v>0</v>
      </c>
      <c r="O728" s="679">
        <f t="shared" ref="O728:O736" si="440">IF(L728&gt;0,N728*100/L728,0)</f>
        <v>0</v>
      </c>
      <c r="P728" s="679">
        <f t="shared" ref="P728:P736" si="441">IF(M728&gt;0,N728*100/M728,0)</f>
        <v>0</v>
      </c>
      <c r="Q728" s="679">
        <f t="shared" ref="Q728:S728" ca="1" si="442">Q729+Q730</f>
        <v>1008470</v>
      </c>
      <c r="R728" s="679">
        <f t="shared" ca="1" si="442"/>
        <v>1008470</v>
      </c>
      <c r="S728" s="679">
        <f t="shared" ca="1" si="442"/>
        <v>166790</v>
      </c>
      <c r="T728" s="679">
        <f t="shared" ref="T728:T736" ca="1" si="443">IF(Q728&gt;0,S728*100/Q728,0)</f>
        <v>16.538915386674862</v>
      </c>
      <c r="U728" s="679">
        <f t="shared" ref="U728:U736" ca="1" si="444">IF(R728&gt;0,S728*100/R728,0)</f>
        <v>16.538915386674862</v>
      </c>
    </row>
    <row r="729" spans="1:21" ht="18.75" x14ac:dyDescent="0.25">
      <c r="A729" s="674"/>
      <c r="B729" s="718"/>
      <c r="C729" s="718"/>
      <c r="D729" s="695"/>
      <c r="E729" s="569" t="s">
        <v>158</v>
      </c>
      <c r="F729" s="561"/>
      <c r="G729" s="563"/>
      <c r="H729" s="685" t="s">
        <v>14</v>
      </c>
      <c r="I729" s="565"/>
      <c r="J729" s="565"/>
      <c r="K729" s="566"/>
      <c r="L729" s="571">
        <f t="shared" ref="L729:N730" si="445">L732+L735</f>
        <v>0</v>
      </c>
      <c r="M729" s="572">
        <f t="shared" si="445"/>
        <v>0</v>
      </c>
      <c r="N729" s="572">
        <f t="shared" si="445"/>
        <v>0</v>
      </c>
      <c r="O729" s="572">
        <f t="shared" si="440"/>
        <v>0</v>
      </c>
      <c r="P729" s="572">
        <f t="shared" si="441"/>
        <v>0</v>
      </c>
      <c r="Q729" s="572">
        <f t="shared" ref="Q729:S730" si="446">Q732+Q735</f>
        <v>0</v>
      </c>
      <c r="R729" s="572">
        <f t="shared" si="446"/>
        <v>0</v>
      </c>
      <c r="S729" s="572">
        <f t="shared" si="446"/>
        <v>0</v>
      </c>
      <c r="T729" s="572">
        <f t="shared" si="443"/>
        <v>0</v>
      </c>
      <c r="U729" s="572">
        <f t="shared" si="444"/>
        <v>0</v>
      </c>
    </row>
    <row r="730" spans="1:21" ht="18.75" x14ac:dyDescent="0.25">
      <c r="A730" s="674"/>
      <c r="B730" s="718"/>
      <c r="C730" s="718"/>
      <c r="D730" s="695"/>
      <c r="E730" s="573" t="s">
        <v>159</v>
      </c>
      <c r="F730" s="561"/>
      <c r="G730" s="563"/>
      <c r="H730" s="682" t="s">
        <v>14</v>
      </c>
      <c r="I730" s="565"/>
      <c r="J730" s="565"/>
      <c r="K730" s="566"/>
      <c r="L730" s="567">
        <f t="shared" si="445"/>
        <v>0</v>
      </c>
      <c r="M730" s="568">
        <f t="shared" si="445"/>
        <v>0</v>
      </c>
      <c r="N730" s="568">
        <f t="shared" si="445"/>
        <v>0</v>
      </c>
      <c r="O730" s="568">
        <f t="shared" si="440"/>
        <v>0</v>
      </c>
      <c r="P730" s="568">
        <f t="shared" si="441"/>
        <v>0</v>
      </c>
      <c r="Q730" s="568">
        <f t="shared" ca="1" si="446"/>
        <v>1008470</v>
      </c>
      <c r="R730" s="568">
        <f t="shared" ca="1" si="446"/>
        <v>1008470</v>
      </c>
      <c r="S730" s="568">
        <f t="shared" ca="1" si="446"/>
        <v>166790</v>
      </c>
      <c r="T730" s="568">
        <f t="shared" ca="1" si="443"/>
        <v>16.538915386674862</v>
      </c>
      <c r="U730" s="568">
        <f t="shared" ca="1" si="444"/>
        <v>16.538915386674862</v>
      </c>
    </row>
    <row r="731" spans="1:21" ht="18.75" x14ac:dyDescent="0.25">
      <c r="A731" s="674"/>
      <c r="B731" s="718"/>
      <c r="C731" s="718"/>
      <c r="D731" s="562" t="s">
        <v>22</v>
      </c>
      <c r="E731" s="561"/>
      <c r="F731" s="561"/>
      <c r="G731" s="563"/>
      <c r="H731" s="682" t="s">
        <v>14</v>
      </c>
      <c r="I731" s="683"/>
      <c r="J731" s="683"/>
      <c r="K731" s="684"/>
      <c r="L731" s="567">
        <f t="shared" ref="L731:N731" si="447">L732+L733</f>
        <v>0</v>
      </c>
      <c r="M731" s="568">
        <f t="shared" si="447"/>
        <v>0</v>
      </c>
      <c r="N731" s="568">
        <f t="shared" si="447"/>
        <v>0</v>
      </c>
      <c r="O731" s="568">
        <f t="shared" si="440"/>
        <v>0</v>
      </c>
      <c r="P731" s="568">
        <f t="shared" si="441"/>
        <v>0</v>
      </c>
      <c r="Q731" s="568">
        <f t="shared" ref="Q731:S731" ca="1" si="448">Q732+Q733</f>
        <v>1008470</v>
      </c>
      <c r="R731" s="568">
        <f t="shared" ca="1" si="448"/>
        <v>1008470</v>
      </c>
      <c r="S731" s="568">
        <f t="shared" ca="1" si="448"/>
        <v>166790</v>
      </c>
      <c r="T731" s="568">
        <f t="shared" ca="1" si="443"/>
        <v>16.538915386674862</v>
      </c>
      <c r="U731" s="568">
        <f t="shared" ca="1" si="444"/>
        <v>16.538915386674862</v>
      </c>
    </row>
    <row r="732" spans="1:21" ht="18.75" x14ac:dyDescent="0.25">
      <c r="A732" s="674"/>
      <c r="B732" s="718"/>
      <c r="C732" s="718"/>
      <c r="D732" s="695"/>
      <c r="E732" s="569" t="s">
        <v>158</v>
      </c>
      <c r="F732" s="561"/>
      <c r="G732" s="563"/>
      <c r="H732" s="685" t="s">
        <v>14</v>
      </c>
      <c r="I732" s="565"/>
      <c r="J732" s="565"/>
      <c r="K732" s="566"/>
      <c r="L732" s="571">
        <v>0</v>
      </c>
      <c r="M732" s="572">
        <v>0</v>
      </c>
      <c r="N732" s="572">
        <v>0</v>
      </c>
      <c r="O732" s="572">
        <f t="shared" si="440"/>
        <v>0</v>
      </c>
      <c r="P732" s="572">
        <f t="shared" si="441"/>
        <v>0</v>
      </c>
      <c r="Q732" s="572">
        <v>0</v>
      </c>
      <c r="R732" s="572">
        <v>0</v>
      </c>
      <c r="S732" s="572">
        <v>0</v>
      </c>
      <c r="T732" s="572">
        <f t="shared" si="443"/>
        <v>0</v>
      </c>
      <c r="U732" s="572">
        <f t="shared" si="444"/>
        <v>0</v>
      </c>
    </row>
    <row r="733" spans="1:21" ht="18.75" x14ac:dyDescent="0.25">
      <c r="A733" s="674"/>
      <c r="B733" s="718"/>
      <c r="C733" s="718"/>
      <c r="D733" s="695"/>
      <c r="E733" s="573" t="s">
        <v>159</v>
      </c>
      <c r="F733" s="561"/>
      <c r="G733" s="563"/>
      <c r="H733" s="682" t="s">
        <v>14</v>
      </c>
      <c r="I733" s="565"/>
      <c r="J733" s="565"/>
      <c r="K733" s="566"/>
      <c r="L733" s="567">
        <v>0</v>
      </c>
      <c r="M733" s="568">
        <v>0</v>
      </c>
      <c r="N733" s="568">
        <v>0</v>
      </c>
      <c r="O733" s="568">
        <f t="shared" si="440"/>
        <v>0</v>
      </c>
      <c r="P733" s="568">
        <f t="shared" si="441"/>
        <v>0</v>
      </c>
      <c r="Q733" s="568">
        <f ca="1">IFERROR(__xludf.DUMMYFUNCTION("IMPORTRANGE(""https://docs.google.com/spreadsheets/d/1ItG2mGa2ceCfYo0BwxsXqNm01IGEUdYcSSLTEv9YCik/edit?usp=sharing"",""เบิกจ่ายกองทุน!O19"")"),1008470)</f>
        <v>1008470</v>
      </c>
      <c r="R733" s="568">
        <f ca="1">IFERROR(__xludf.DUMMYFUNCTION("IMPORTRANGE(""https://docs.google.com/spreadsheets/d/1ItG2mGa2ceCfYo0BwxsXqNm01IGEUdYcSSLTEv9YCik/edit?usp=sharing"",""เบิกจ่ายกองทุน!P19"")"),1008470)</f>
        <v>1008470</v>
      </c>
      <c r="S733" s="568">
        <f ca="1">IFERROR(__xludf.DUMMYFUNCTION("IMPORTRANGE(""https://docs.google.com/spreadsheets/d/1ItG2mGa2ceCfYo0BwxsXqNm01IGEUdYcSSLTEv9YCik/edit?usp=sharing"",""เบิกจ่ายกองทุน!Q19"")"),166790)</f>
        <v>166790</v>
      </c>
      <c r="T733" s="568">
        <f t="shared" ca="1" si="443"/>
        <v>16.538915386674862</v>
      </c>
      <c r="U733" s="568">
        <f t="shared" ca="1" si="444"/>
        <v>16.538915386674862</v>
      </c>
    </row>
    <row r="734" spans="1:21" ht="18.75" x14ac:dyDescent="0.25">
      <c r="A734" s="674"/>
      <c r="B734" s="718"/>
      <c r="C734" s="718"/>
      <c r="D734" s="562" t="s">
        <v>23</v>
      </c>
      <c r="E734" s="718"/>
      <c r="F734" s="718"/>
      <c r="G734" s="563"/>
      <c r="H734" s="686" t="s">
        <v>14</v>
      </c>
      <c r="I734" s="683"/>
      <c r="J734" s="683"/>
      <c r="K734" s="684"/>
      <c r="L734" s="567">
        <f t="shared" ref="L734:N734" si="449">L735+L736</f>
        <v>0</v>
      </c>
      <c r="M734" s="568">
        <f t="shared" si="449"/>
        <v>0</v>
      </c>
      <c r="N734" s="568">
        <f t="shared" si="449"/>
        <v>0</v>
      </c>
      <c r="O734" s="568">
        <f t="shared" si="440"/>
        <v>0</v>
      </c>
      <c r="P734" s="568">
        <f t="shared" si="441"/>
        <v>0</v>
      </c>
      <c r="Q734" s="568">
        <f t="shared" ref="Q734:S734" si="450">Q735+Q736</f>
        <v>0</v>
      </c>
      <c r="R734" s="568">
        <f t="shared" si="450"/>
        <v>0</v>
      </c>
      <c r="S734" s="568">
        <f t="shared" si="450"/>
        <v>0</v>
      </c>
      <c r="T734" s="568">
        <f t="shared" si="443"/>
        <v>0</v>
      </c>
      <c r="U734" s="568">
        <f t="shared" si="444"/>
        <v>0</v>
      </c>
    </row>
    <row r="735" spans="1:21" ht="18.75" x14ac:dyDescent="0.25">
      <c r="A735" s="674"/>
      <c r="B735" s="718"/>
      <c r="C735" s="718"/>
      <c r="D735" s="718"/>
      <c r="E735" s="767" t="s">
        <v>20</v>
      </c>
      <c r="F735" s="718"/>
      <c r="G735" s="563"/>
      <c r="H735" s="685" t="s">
        <v>14</v>
      </c>
      <c r="I735" s="683"/>
      <c r="J735" s="683"/>
      <c r="K735" s="684"/>
      <c r="L735" s="571">
        <v>0</v>
      </c>
      <c r="M735" s="572">
        <v>0</v>
      </c>
      <c r="N735" s="572">
        <v>0</v>
      </c>
      <c r="O735" s="572">
        <f t="shared" si="440"/>
        <v>0</v>
      </c>
      <c r="P735" s="572">
        <f t="shared" si="441"/>
        <v>0</v>
      </c>
      <c r="Q735" s="572">
        <v>0</v>
      </c>
      <c r="R735" s="572">
        <v>0</v>
      </c>
      <c r="S735" s="572">
        <v>0</v>
      </c>
      <c r="T735" s="572">
        <f t="shared" si="443"/>
        <v>0</v>
      </c>
      <c r="U735" s="572">
        <f t="shared" si="444"/>
        <v>0</v>
      </c>
    </row>
    <row r="736" spans="1:21" ht="18.75" x14ac:dyDescent="0.25">
      <c r="A736" s="674"/>
      <c r="B736" s="718"/>
      <c r="C736" s="718"/>
      <c r="D736" s="718"/>
      <c r="E736" s="765" t="s">
        <v>21</v>
      </c>
      <c r="F736" s="718"/>
      <c r="G736" s="563"/>
      <c r="H736" s="686" t="s">
        <v>14</v>
      </c>
      <c r="I736" s="683"/>
      <c r="J736" s="683"/>
      <c r="K736" s="684"/>
      <c r="L736" s="567">
        <v>0</v>
      </c>
      <c r="M736" s="568">
        <v>0</v>
      </c>
      <c r="N736" s="568">
        <v>0</v>
      </c>
      <c r="O736" s="568">
        <f t="shared" si="440"/>
        <v>0</v>
      </c>
      <c r="P736" s="568">
        <f t="shared" si="441"/>
        <v>0</v>
      </c>
      <c r="Q736" s="568">
        <v>0</v>
      </c>
      <c r="R736" s="568">
        <v>0</v>
      </c>
      <c r="S736" s="568">
        <v>0</v>
      </c>
      <c r="T736" s="568">
        <f t="shared" si="443"/>
        <v>0</v>
      </c>
      <c r="U736" s="568">
        <f t="shared" si="444"/>
        <v>0</v>
      </c>
    </row>
    <row r="737" spans="1:21" ht="19.5" x14ac:dyDescent="0.3">
      <c r="A737" s="687"/>
      <c r="B737" s="688"/>
      <c r="C737" s="724" t="s">
        <v>18</v>
      </c>
      <c r="D737" s="956" t="s">
        <v>38</v>
      </c>
      <c r="E737" s="758"/>
      <c r="F737" s="690"/>
      <c r="G737" s="691"/>
      <c r="H737" s="725"/>
      <c r="I737" s="565"/>
      <c r="J737" s="565"/>
      <c r="K737" s="566"/>
      <c r="L737" s="574"/>
      <c r="M737" s="566"/>
      <c r="N737" s="566"/>
      <c r="O737" s="566"/>
      <c r="P737" s="566"/>
      <c r="Q737" s="566"/>
      <c r="R737" s="566"/>
      <c r="S737" s="566"/>
      <c r="T737" s="566"/>
      <c r="U737" s="566"/>
    </row>
    <row r="738" spans="1:21" ht="19.5" x14ac:dyDescent="0.3">
      <c r="A738" s="687"/>
      <c r="B738" s="688"/>
      <c r="C738" s="688"/>
      <c r="D738" s="1103" t="s">
        <v>121</v>
      </c>
      <c r="E738" s="688"/>
      <c r="F738" s="688"/>
      <c r="G738" s="692"/>
      <c r="H738" s="727"/>
      <c r="I738" s="565"/>
      <c r="J738" s="565"/>
      <c r="K738" s="566"/>
      <c r="L738" s="574"/>
      <c r="M738" s="566"/>
      <c r="N738" s="566"/>
      <c r="O738" s="566"/>
      <c r="P738" s="566"/>
      <c r="Q738" s="566"/>
      <c r="R738" s="566"/>
      <c r="S738" s="566"/>
      <c r="T738" s="566"/>
      <c r="U738" s="566"/>
    </row>
    <row r="739" spans="1:21" ht="18.75" x14ac:dyDescent="0.25">
      <c r="A739" s="687"/>
      <c r="B739" s="688"/>
      <c r="C739" s="688"/>
      <c r="D739" s="688"/>
      <c r="E739" s="1079" t="s">
        <v>270</v>
      </c>
      <c r="F739" s="688"/>
      <c r="G739" s="692"/>
      <c r="H739" s="727"/>
      <c r="I739" s="565"/>
      <c r="J739" s="565"/>
      <c r="K739" s="566"/>
      <c r="L739" s="574"/>
      <c r="M739" s="566"/>
      <c r="N739" s="566"/>
      <c r="O739" s="566"/>
      <c r="P739" s="566"/>
      <c r="Q739" s="566"/>
      <c r="R739" s="566"/>
      <c r="S739" s="566"/>
      <c r="T739" s="566"/>
      <c r="U739" s="566"/>
    </row>
    <row r="740" spans="1:21" ht="18.75" x14ac:dyDescent="0.25">
      <c r="A740" s="687"/>
      <c r="B740" s="688"/>
      <c r="C740" s="688"/>
      <c r="D740" s="688"/>
      <c r="E740" s="688"/>
      <c r="F740" s="1079" t="s">
        <v>271</v>
      </c>
      <c r="G740" s="692"/>
      <c r="H740" s="681" t="s">
        <v>46</v>
      </c>
      <c r="I740" s="708">
        <f ca="1">IFERROR(__xludf.DUMMYFUNCTION("IMPORTRANGE(""https://docs.google.com/spreadsheets/d/1eHaY18a8A9IcSdp1K8H6x8fbOy06t2VsZHhMHf-1x7Y/edit?usp=sharing"",""แผน!GB19"")"),1000)</f>
        <v>1000</v>
      </c>
      <c r="J740" s="702">
        <v>0</v>
      </c>
      <c r="K740" s="568">
        <f ca="1">IF(I740&gt;0,J740*100/I740,0)</f>
        <v>0</v>
      </c>
      <c r="L740" s="574"/>
      <c r="M740" s="566"/>
      <c r="N740" s="566"/>
      <c r="O740" s="566"/>
      <c r="P740" s="566"/>
      <c r="Q740" s="566"/>
      <c r="R740" s="566"/>
      <c r="S740" s="566"/>
      <c r="T740" s="566"/>
      <c r="U740" s="566"/>
    </row>
    <row r="741" spans="1:21" ht="18.75" x14ac:dyDescent="0.25">
      <c r="A741" s="849"/>
      <c r="B741" s="850"/>
      <c r="C741" s="850"/>
      <c r="D741" s="850"/>
      <c r="E741" s="850"/>
      <c r="F741" s="1104" t="s">
        <v>306</v>
      </c>
      <c r="G741" s="852"/>
      <c r="H741" s="839" t="s">
        <v>35</v>
      </c>
      <c r="I741" s="829"/>
      <c r="J741" s="1105">
        <v>0</v>
      </c>
      <c r="K741" s="830"/>
      <c r="L741" s="1106"/>
      <c r="M741" s="830"/>
      <c r="N741" s="830"/>
      <c r="O741" s="830"/>
      <c r="P741" s="830"/>
      <c r="Q741" s="830"/>
      <c r="R741" s="830"/>
      <c r="S741" s="830"/>
      <c r="T741" s="830"/>
      <c r="U741" s="830"/>
    </row>
    <row r="742" spans="1:21" ht="18.75" x14ac:dyDescent="0.25">
      <c r="A742" s="849"/>
      <c r="B742" s="850"/>
      <c r="C742" s="850"/>
      <c r="D742" s="850"/>
      <c r="E742" s="850"/>
      <c r="F742" s="1104" t="s">
        <v>307</v>
      </c>
      <c r="G742" s="852"/>
      <c r="H742" s="839" t="s">
        <v>35</v>
      </c>
      <c r="I742" s="960">
        <f ca="1">IFERROR(__xludf.DUMMYFUNCTION("IMPORTRANGE(""https://docs.google.com/spreadsheets/d/1eHaY18a8A9IcSdp1K8H6x8fbOy06t2VsZHhMHf-1x7Y/edit?usp=sharing"",""แผน!GC19"")"),100)</f>
        <v>100</v>
      </c>
      <c r="J742" s="1105">
        <v>100</v>
      </c>
      <c r="K742" s="841">
        <f ca="1">IF(I742&gt;0,J742*100/I742,0)</f>
        <v>100</v>
      </c>
      <c r="L742" s="1106"/>
      <c r="M742" s="830"/>
      <c r="N742" s="830"/>
      <c r="O742" s="830"/>
      <c r="P742" s="830"/>
      <c r="Q742" s="830"/>
      <c r="R742" s="830"/>
      <c r="S742" s="830"/>
      <c r="T742" s="830"/>
      <c r="U742" s="830"/>
    </row>
    <row r="743" spans="1:21" ht="18.75" x14ac:dyDescent="0.25">
      <c r="A743" s="849"/>
      <c r="B743" s="850"/>
      <c r="C743" s="850"/>
      <c r="D743" s="850"/>
      <c r="E743" s="1104" t="s">
        <v>274</v>
      </c>
      <c r="F743" s="850"/>
      <c r="G743" s="852"/>
      <c r="H743" s="959"/>
      <c r="I743" s="829"/>
      <c r="J743" s="829"/>
      <c r="K743" s="830"/>
      <c r="L743" s="1106"/>
      <c r="M743" s="830"/>
      <c r="N743" s="830"/>
      <c r="O743" s="830"/>
      <c r="P743" s="830"/>
      <c r="Q743" s="830"/>
      <c r="R743" s="830"/>
      <c r="S743" s="830"/>
      <c r="T743" s="830"/>
      <c r="U743" s="830"/>
    </row>
    <row r="744" spans="1:21" ht="18.75" x14ac:dyDescent="0.25">
      <c r="A744" s="849"/>
      <c r="B744" s="850"/>
      <c r="C744" s="850"/>
      <c r="D744" s="850"/>
      <c r="E744" s="850"/>
      <c r="F744" s="1104" t="s">
        <v>271</v>
      </c>
      <c r="G744" s="852"/>
      <c r="H744" s="839" t="s">
        <v>46</v>
      </c>
      <c r="I744" s="960">
        <f ca="1">IFERROR(__xludf.DUMMYFUNCTION("IMPORTRANGE(""https://docs.google.com/spreadsheets/d/1eHaY18a8A9IcSdp1K8H6x8fbOy06t2VsZHhMHf-1x7Y/edit?usp=sharing"",""แผน!GD19"")"),250)</f>
        <v>250</v>
      </c>
      <c r="J744" s="1105">
        <v>0</v>
      </c>
      <c r="K744" s="841">
        <f ca="1">IF(I744&gt;0,J744*100/I744,0)</f>
        <v>0</v>
      </c>
      <c r="L744" s="1106"/>
      <c r="M744" s="830"/>
      <c r="N744" s="830"/>
      <c r="O744" s="830"/>
      <c r="P744" s="830"/>
      <c r="Q744" s="830"/>
      <c r="R744" s="830"/>
      <c r="S744" s="830"/>
      <c r="T744" s="830"/>
      <c r="U744" s="830"/>
    </row>
    <row r="745" spans="1:21" ht="18.75" x14ac:dyDescent="0.25">
      <c r="A745" s="849"/>
      <c r="B745" s="850"/>
      <c r="C745" s="850"/>
      <c r="D745" s="850"/>
      <c r="E745" s="850"/>
      <c r="F745" s="1104" t="s">
        <v>308</v>
      </c>
      <c r="G745" s="852"/>
      <c r="H745" s="839" t="s">
        <v>35</v>
      </c>
      <c r="I745" s="829"/>
      <c r="J745" s="1105">
        <v>0</v>
      </c>
      <c r="K745" s="830"/>
      <c r="L745" s="1106"/>
      <c r="M745" s="830"/>
      <c r="N745" s="830"/>
      <c r="O745" s="830"/>
      <c r="P745" s="830"/>
      <c r="Q745" s="830"/>
      <c r="R745" s="830"/>
      <c r="S745" s="830"/>
      <c r="T745" s="830"/>
      <c r="U745" s="830"/>
    </row>
    <row r="746" spans="1:21" ht="18.75" x14ac:dyDescent="0.25">
      <c r="A746" s="849"/>
      <c r="B746" s="850"/>
      <c r="C746" s="850"/>
      <c r="D746" s="850"/>
      <c r="E746" s="850"/>
      <c r="F746" s="1104" t="s">
        <v>309</v>
      </c>
      <c r="G746" s="852"/>
      <c r="H746" s="839" t="s">
        <v>35</v>
      </c>
      <c r="I746" s="960">
        <f ca="1">IFERROR(__xludf.DUMMYFUNCTION("IMPORTRANGE(""https://docs.google.com/spreadsheets/d/1eHaY18a8A9IcSdp1K8H6x8fbOy06t2VsZHhMHf-1x7Y/edit?usp=sharing"",""แผน!GE19"")"),25)</f>
        <v>25</v>
      </c>
      <c r="J746" s="1105">
        <v>25</v>
      </c>
      <c r="K746" s="841">
        <f ca="1">IF(I746&gt;0,J746*100/I746,0)</f>
        <v>100</v>
      </c>
      <c r="L746" s="1106"/>
      <c r="M746" s="830"/>
      <c r="N746" s="830"/>
      <c r="O746" s="830"/>
      <c r="P746" s="830"/>
      <c r="Q746" s="830"/>
      <c r="R746" s="830"/>
      <c r="S746" s="830"/>
      <c r="T746" s="830"/>
      <c r="U746" s="830"/>
    </row>
    <row r="747" spans="1:21" ht="18.75" x14ac:dyDescent="0.25">
      <c r="A747" s="849"/>
      <c r="B747" s="850"/>
      <c r="C747" s="850"/>
      <c r="D747" s="850"/>
      <c r="E747" s="1104" t="s">
        <v>277</v>
      </c>
      <c r="F747" s="1107"/>
      <c r="G747" s="852"/>
      <c r="H747" s="959"/>
      <c r="I747" s="829"/>
      <c r="J747" s="829"/>
      <c r="K747" s="830"/>
      <c r="L747" s="1106"/>
      <c r="M747" s="830"/>
      <c r="N747" s="830"/>
      <c r="O747" s="830"/>
      <c r="P747" s="830"/>
      <c r="Q747" s="830"/>
      <c r="R747" s="830"/>
      <c r="S747" s="830"/>
      <c r="T747" s="830"/>
      <c r="U747" s="830"/>
    </row>
    <row r="748" spans="1:21" ht="18.75" x14ac:dyDescent="0.25">
      <c r="A748" s="849"/>
      <c r="B748" s="850"/>
      <c r="C748" s="850"/>
      <c r="D748" s="850"/>
      <c r="E748" s="850"/>
      <c r="F748" s="1104" t="s">
        <v>310</v>
      </c>
      <c r="G748" s="852"/>
      <c r="H748" s="839" t="s">
        <v>35</v>
      </c>
      <c r="I748" s="829"/>
      <c r="J748" s="1105">
        <v>0</v>
      </c>
      <c r="K748" s="830"/>
      <c r="L748" s="1106"/>
      <c r="M748" s="830"/>
      <c r="N748" s="830"/>
      <c r="O748" s="830"/>
      <c r="P748" s="830"/>
      <c r="Q748" s="830"/>
      <c r="R748" s="830"/>
      <c r="S748" s="830"/>
      <c r="T748" s="830"/>
      <c r="U748" s="830"/>
    </row>
    <row r="749" spans="1:21" ht="18.75" x14ac:dyDescent="0.25">
      <c r="A749" s="849"/>
      <c r="B749" s="850"/>
      <c r="C749" s="850"/>
      <c r="D749" s="850"/>
      <c r="E749" s="850"/>
      <c r="F749" s="1104" t="s">
        <v>311</v>
      </c>
      <c r="G749" s="852"/>
      <c r="H749" s="839" t="s">
        <v>35</v>
      </c>
      <c r="I749" s="960">
        <f ca="1">IFERROR(__xludf.DUMMYFUNCTION("IMPORTRANGE(""https://docs.google.com/spreadsheets/d/1eHaY18a8A9IcSdp1K8H6x8fbOy06t2VsZHhMHf-1x7Y/edit?usp=sharing"",""แผน!GF19"")"),3)</f>
        <v>3</v>
      </c>
      <c r="J749" s="1105">
        <v>0</v>
      </c>
      <c r="K749" s="841">
        <f ca="1">IF(I749&gt;0,J749*100/I749,0)</f>
        <v>0</v>
      </c>
      <c r="L749" s="1106"/>
      <c r="M749" s="830"/>
      <c r="N749" s="830"/>
      <c r="O749" s="830"/>
      <c r="P749" s="830"/>
      <c r="Q749" s="830"/>
      <c r="R749" s="830"/>
      <c r="S749" s="830"/>
      <c r="T749" s="830"/>
      <c r="U749" s="830"/>
    </row>
    <row r="750" spans="1:21" ht="19.5" x14ac:dyDescent="0.3">
      <c r="A750" s="849"/>
      <c r="B750" s="850"/>
      <c r="C750" s="850"/>
      <c r="D750" s="1108" t="s">
        <v>50</v>
      </c>
      <c r="E750" s="850"/>
      <c r="F750" s="1107"/>
      <c r="G750" s="852"/>
      <c r="H750" s="959"/>
      <c r="I750" s="829"/>
      <c r="J750" s="829"/>
      <c r="K750" s="830"/>
      <c r="L750" s="1106"/>
      <c r="M750" s="830"/>
      <c r="N750" s="830"/>
      <c r="O750" s="830"/>
      <c r="P750" s="830"/>
      <c r="Q750" s="830"/>
      <c r="R750" s="830"/>
      <c r="S750" s="830"/>
      <c r="T750" s="830"/>
      <c r="U750" s="830"/>
    </row>
    <row r="751" spans="1:21" ht="18.75" x14ac:dyDescent="0.25">
      <c r="A751" s="849"/>
      <c r="B751" s="850"/>
      <c r="C751" s="850"/>
      <c r="D751" s="850"/>
      <c r="E751" s="1104" t="s">
        <v>270</v>
      </c>
      <c r="F751" s="1107"/>
      <c r="G751" s="852"/>
      <c r="H751" s="959"/>
      <c r="I751" s="829"/>
      <c r="J751" s="829"/>
      <c r="K751" s="830"/>
      <c r="L751" s="1106"/>
      <c r="M751" s="830"/>
      <c r="N751" s="830"/>
      <c r="O751" s="830"/>
      <c r="P751" s="830"/>
      <c r="Q751" s="830"/>
      <c r="R751" s="830"/>
      <c r="S751" s="830"/>
      <c r="T751" s="830"/>
      <c r="U751" s="830"/>
    </row>
    <row r="752" spans="1:21" ht="18.75" x14ac:dyDescent="0.25">
      <c r="A752" s="849"/>
      <c r="B752" s="850"/>
      <c r="C752" s="850"/>
      <c r="D752" s="850"/>
      <c r="E752" s="850"/>
      <c r="F752" s="1109" t="s">
        <v>312</v>
      </c>
      <c r="G752" s="852"/>
      <c r="H752" s="839" t="s">
        <v>46</v>
      </c>
      <c r="I752" s="960">
        <f ca="1">IFERROR(__xludf.DUMMYFUNCTION("IMPORTRANGE(""https://docs.google.com/spreadsheets/d/1eHaY18a8A9IcSdp1K8H6x8fbOy06t2VsZHhMHf-1x7Y/edit?usp=sharing"",""แผน!GB19"")"),1000)</f>
        <v>1000</v>
      </c>
      <c r="J752" s="1105">
        <v>0</v>
      </c>
      <c r="K752" s="841">
        <f ca="1">IF(I752&gt;0,J752*100/I752,0)</f>
        <v>0</v>
      </c>
      <c r="L752" s="1106"/>
      <c r="M752" s="830"/>
      <c r="N752" s="830"/>
      <c r="O752" s="830"/>
      <c r="P752" s="830"/>
      <c r="Q752" s="830"/>
      <c r="R752" s="830"/>
      <c r="S752" s="830"/>
      <c r="T752" s="830"/>
      <c r="U752" s="830"/>
    </row>
    <row r="753" spans="1:21" ht="18.75" x14ac:dyDescent="0.25">
      <c r="A753" s="849"/>
      <c r="B753" s="850"/>
      <c r="C753" s="850"/>
      <c r="D753" s="850"/>
      <c r="E753" s="850"/>
      <c r="F753" s="1109" t="s">
        <v>313</v>
      </c>
      <c r="G753" s="852"/>
      <c r="H753" s="839" t="s">
        <v>46</v>
      </c>
      <c r="I753" s="829"/>
      <c r="J753" s="1105">
        <v>0</v>
      </c>
      <c r="K753" s="830"/>
      <c r="L753" s="1106"/>
      <c r="M753" s="830"/>
      <c r="N753" s="830"/>
      <c r="O753" s="830"/>
      <c r="P753" s="830"/>
      <c r="Q753" s="830"/>
      <c r="R753" s="830"/>
      <c r="S753" s="830"/>
      <c r="T753" s="830"/>
      <c r="U753" s="830"/>
    </row>
    <row r="754" spans="1:21" ht="18.75" x14ac:dyDescent="0.25">
      <c r="A754" s="849"/>
      <c r="B754" s="850"/>
      <c r="C754" s="850"/>
      <c r="D754" s="850"/>
      <c r="E754" s="1104" t="s">
        <v>274</v>
      </c>
      <c r="F754" s="1107"/>
      <c r="G754" s="852"/>
      <c r="H754" s="959"/>
      <c r="I754" s="829"/>
      <c r="J754" s="829"/>
      <c r="K754" s="830"/>
      <c r="L754" s="1106"/>
      <c r="M754" s="830"/>
      <c r="N754" s="830"/>
      <c r="O754" s="830"/>
      <c r="P754" s="830"/>
      <c r="Q754" s="830"/>
      <c r="R754" s="830"/>
      <c r="S754" s="830"/>
      <c r="T754" s="830"/>
      <c r="U754" s="830"/>
    </row>
    <row r="755" spans="1:21" ht="18.75" x14ac:dyDescent="0.25">
      <c r="A755" s="849"/>
      <c r="B755" s="850"/>
      <c r="C755" s="850"/>
      <c r="D755" s="850"/>
      <c r="E755" s="1107"/>
      <c r="F755" s="1109" t="s">
        <v>314</v>
      </c>
      <c r="G755" s="852"/>
      <c r="H755" s="839" t="s">
        <v>46</v>
      </c>
      <c r="I755" s="960">
        <f ca="1">IFERROR(__xludf.DUMMYFUNCTION("IMPORTRANGE(""https://docs.google.com/spreadsheets/d/1eHaY18a8A9IcSdp1K8H6x8fbOy06t2VsZHhMHf-1x7Y/edit?usp=sharing"",""แผน!GD19"")"),250)</f>
        <v>250</v>
      </c>
      <c r="J755" s="1105">
        <v>0</v>
      </c>
      <c r="K755" s="841">
        <f ca="1">IF(I755&gt;0,J755*100/I755,0)</f>
        <v>0</v>
      </c>
      <c r="L755" s="1106"/>
      <c r="M755" s="830"/>
      <c r="N755" s="830"/>
      <c r="O755" s="830"/>
      <c r="P755" s="830"/>
      <c r="Q755" s="830"/>
      <c r="R755" s="830"/>
      <c r="S755" s="830"/>
      <c r="T755" s="830"/>
      <c r="U755" s="830"/>
    </row>
    <row r="756" spans="1:21" ht="18.75" x14ac:dyDescent="0.25">
      <c r="A756" s="849"/>
      <c r="B756" s="850"/>
      <c r="C756" s="850"/>
      <c r="D756" s="850"/>
      <c r="E756" s="1107"/>
      <c r="F756" s="1109" t="s">
        <v>315</v>
      </c>
      <c r="G756" s="852"/>
      <c r="H756" s="839" t="s">
        <v>46</v>
      </c>
      <c r="I756" s="829"/>
      <c r="J756" s="1105">
        <v>0</v>
      </c>
      <c r="K756" s="830"/>
      <c r="L756" s="1106"/>
      <c r="M756" s="830"/>
      <c r="N756" s="830"/>
      <c r="O756" s="830"/>
      <c r="P756" s="830"/>
      <c r="Q756" s="830"/>
      <c r="R756" s="830"/>
      <c r="S756" s="830"/>
      <c r="T756" s="830"/>
      <c r="U756" s="830"/>
    </row>
    <row r="757" spans="1:21" ht="18.75" x14ac:dyDescent="0.25">
      <c r="A757" s="1110"/>
      <c r="B757" s="1110"/>
      <c r="C757" s="1110"/>
      <c r="D757" s="1110"/>
      <c r="E757" s="1111" t="s">
        <v>284</v>
      </c>
      <c r="F757" s="1112"/>
      <c r="G757" s="1113"/>
      <c r="H757" s="1114" t="s">
        <v>35</v>
      </c>
      <c r="I757" s="1115"/>
      <c r="J757" s="861">
        <v>0</v>
      </c>
      <c r="K757" s="1116"/>
      <c r="L757" s="1116"/>
      <c r="M757" s="1116"/>
      <c r="N757" s="1116"/>
      <c r="O757" s="1116"/>
      <c r="P757" s="1116"/>
      <c r="Q757" s="1116"/>
      <c r="R757" s="1116"/>
      <c r="S757" s="1116"/>
      <c r="T757" s="1116"/>
      <c r="U757" s="1116"/>
    </row>
    <row r="758" spans="1:21" ht="19.5" x14ac:dyDescent="0.3">
      <c r="A758" s="1061"/>
      <c r="B758" s="1062" t="s">
        <v>285</v>
      </c>
      <c r="C758" s="1061"/>
      <c r="D758" s="1063"/>
      <c r="E758" s="1063"/>
      <c r="F758" s="1063"/>
      <c r="G758" s="1064"/>
      <c r="H758" s="1092" t="s">
        <v>35</v>
      </c>
      <c r="I758" s="1093">
        <f t="shared" ref="I758:J758" ca="1" si="451">I772</f>
        <v>65</v>
      </c>
      <c r="J758" s="1093">
        <f t="shared" si="451"/>
        <v>0</v>
      </c>
      <c r="K758" s="1094">
        <f t="shared" ref="K758:K759" ca="1" si="452">IF(I758&gt;0,J758*100/I758,0)</f>
        <v>0</v>
      </c>
      <c r="L758" s="1068"/>
      <c r="M758" s="1067"/>
      <c r="N758" s="1067"/>
      <c r="O758" s="1067"/>
      <c r="P758" s="1067"/>
      <c r="Q758" s="1067"/>
      <c r="R758" s="1067"/>
      <c r="S758" s="1067"/>
      <c r="T758" s="1067"/>
      <c r="U758" s="1067"/>
    </row>
    <row r="759" spans="1:21" ht="19.5" x14ac:dyDescent="0.3">
      <c r="A759" s="1102"/>
      <c r="B759" s="1061"/>
      <c r="C759" s="1061"/>
      <c r="D759" s="1063"/>
      <c r="E759" s="1063"/>
      <c r="F759" s="1063"/>
      <c r="G759" s="1064"/>
      <c r="H759" s="1092" t="s">
        <v>46</v>
      </c>
      <c r="I759" s="1093">
        <f t="shared" ref="I759:J759" ca="1" si="453">I774</f>
        <v>170</v>
      </c>
      <c r="J759" s="1093">
        <f t="shared" si="453"/>
        <v>0</v>
      </c>
      <c r="K759" s="1094">
        <f t="shared" ca="1" si="452"/>
        <v>0</v>
      </c>
      <c r="L759" s="1068"/>
      <c r="M759" s="1067"/>
      <c r="N759" s="1067"/>
      <c r="O759" s="1067"/>
      <c r="P759" s="1067"/>
      <c r="Q759" s="1067"/>
      <c r="R759" s="1067"/>
      <c r="S759" s="1067"/>
      <c r="T759" s="1067"/>
      <c r="U759" s="1067"/>
    </row>
    <row r="760" spans="1:21" ht="19.5" x14ac:dyDescent="0.3">
      <c r="A760" s="674"/>
      <c r="B760" s="718"/>
      <c r="C760" s="724" t="s">
        <v>18</v>
      </c>
      <c r="D760" s="1310" t="s">
        <v>19</v>
      </c>
      <c r="E760" s="1311"/>
      <c r="F760" s="1311"/>
      <c r="G760" s="1312"/>
      <c r="H760" s="780" t="s">
        <v>14</v>
      </c>
      <c r="I760" s="565"/>
      <c r="J760" s="565"/>
      <c r="K760" s="566"/>
      <c r="L760" s="678">
        <f t="shared" ref="L760:N760" si="454">L761+L762</f>
        <v>0</v>
      </c>
      <c r="M760" s="679">
        <f t="shared" si="454"/>
        <v>0</v>
      </c>
      <c r="N760" s="679">
        <f t="shared" si="454"/>
        <v>0</v>
      </c>
      <c r="O760" s="679">
        <f t="shared" ref="O760:O768" si="455">IF(L760&gt;0,N760*100/L760,0)</f>
        <v>0</v>
      </c>
      <c r="P760" s="679">
        <f t="shared" ref="P760:P768" si="456">IF(M760&gt;0,N760*100/M760,0)</f>
        <v>0</v>
      </c>
      <c r="Q760" s="679">
        <f t="shared" ref="Q760:S760" ca="1" si="457">Q761+Q762</f>
        <v>491250</v>
      </c>
      <c r="R760" s="679">
        <f t="shared" ca="1" si="457"/>
        <v>491250</v>
      </c>
      <c r="S760" s="679">
        <f t="shared" ca="1" si="457"/>
        <v>80990</v>
      </c>
      <c r="T760" s="679">
        <f t="shared" ref="T760:T768" ca="1" si="458">IF(Q760&gt;0,S760*100/Q760,0)</f>
        <v>16.48651399491094</v>
      </c>
      <c r="U760" s="679">
        <f t="shared" ref="U760:U768" ca="1" si="459">IF(R760&gt;0,S760*100/R760,0)</f>
        <v>16.48651399491094</v>
      </c>
    </row>
    <row r="761" spans="1:21" ht="18.75" x14ac:dyDescent="0.25">
      <c r="A761" s="674"/>
      <c r="B761" s="718"/>
      <c r="C761" s="718"/>
      <c r="D761" s="695"/>
      <c r="E761" s="569" t="s">
        <v>158</v>
      </c>
      <c r="F761" s="561"/>
      <c r="G761" s="563"/>
      <c r="H761" s="685" t="s">
        <v>14</v>
      </c>
      <c r="I761" s="565"/>
      <c r="J761" s="565"/>
      <c r="K761" s="566"/>
      <c r="L761" s="571">
        <f t="shared" ref="L761:N762" si="460">L764+L767</f>
        <v>0</v>
      </c>
      <c r="M761" s="572">
        <f t="shared" si="460"/>
        <v>0</v>
      </c>
      <c r="N761" s="572">
        <f t="shared" si="460"/>
        <v>0</v>
      </c>
      <c r="O761" s="572">
        <f t="shared" si="455"/>
        <v>0</v>
      </c>
      <c r="P761" s="572">
        <f t="shared" si="456"/>
        <v>0</v>
      </c>
      <c r="Q761" s="572">
        <f t="shared" ref="Q761:S762" si="461">Q764+Q767</f>
        <v>0</v>
      </c>
      <c r="R761" s="572">
        <f t="shared" si="461"/>
        <v>0</v>
      </c>
      <c r="S761" s="572">
        <f t="shared" si="461"/>
        <v>0</v>
      </c>
      <c r="T761" s="572">
        <f t="shared" si="458"/>
        <v>0</v>
      </c>
      <c r="U761" s="572">
        <f t="shared" si="459"/>
        <v>0</v>
      </c>
    </row>
    <row r="762" spans="1:21" ht="18.75" x14ac:dyDescent="0.25">
      <c r="A762" s="674"/>
      <c r="B762" s="718"/>
      <c r="C762" s="720"/>
      <c r="D762" s="695"/>
      <c r="E762" s="573" t="s">
        <v>159</v>
      </c>
      <c r="F762" s="561"/>
      <c r="G762" s="563"/>
      <c r="H762" s="682" t="s">
        <v>14</v>
      </c>
      <c r="I762" s="565"/>
      <c r="J762" s="565"/>
      <c r="K762" s="566"/>
      <c r="L762" s="567">
        <f t="shared" si="460"/>
        <v>0</v>
      </c>
      <c r="M762" s="568">
        <f t="shared" si="460"/>
        <v>0</v>
      </c>
      <c r="N762" s="568">
        <f t="shared" si="460"/>
        <v>0</v>
      </c>
      <c r="O762" s="568">
        <f t="shared" si="455"/>
        <v>0</v>
      </c>
      <c r="P762" s="568">
        <f t="shared" si="456"/>
        <v>0</v>
      </c>
      <c r="Q762" s="568">
        <f t="shared" ca="1" si="461"/>
        <v>491250</v>
      </c>
      <c r="R762" s="568">
        <f t="shared" ca="1" si="461"/>
        <v>491250</v>
      </c>
      <c r="S762" s="568">
        <f t="shared" ca="1" si="461"/>
        <v>80990</v>
      </c>
      <c r="T762" s="568">
        <f t="shared" ca="1" si="458"/>
        <v>16.48651399491094</v>
      </c>
      <c r="U762" s="568">
        <f t="shared" ca="1" si="459"/>
        <v>16.48651399491094</v>
      </c>
    </row>
    <row r="763" spans="1:21" ht="18.75" x14ac:dyDescent="0.25">
      <c r="A763" s="674"/>
      <c r="B763" s="718"/>
      <c r="C763" s="720"/>
      <c r="D763" s="562" t="s">
        <v>22</v>
      </c>
      <c r="E763" s="561"/>
      <c r="F763" s="561"/>
      <c r="G763" s="563"/>
      <c r="H763" s="682" t="s">
        <v>14</v>
      </c>
      <c r="I763" s="683"/>
      <c r="J763" s="683"/>
      <c r="K763" s="684"/>
      <c r="L763" s="567">
        <f t="shared" ref="L763:N763" si="462">L764+L765</f>
        <v>0</v>
      </c>
      <c r="M763" s="568">
        <f t="shared" si="462"/>
        <v>0</v>
      </c>
      <c r="N763" s="568">
        <f t="shared" si="462"/>
        <v>0</v>
      </c>
      <c r="O763" s="568">
        <f t="shared" si="455"/>
        <v>0</v>
      </c>
      <c r="P763" s="568">
        <f t="shared" si="456"/>
        <v>0</v>
      </c>
      <c r="Q763" s="568">
        <f t="shared" ref="Q763:S763" ca="1" si="463">Q764+Q765</f>
        <v>491250</v>
      </c>
      <c r="R763" s="568">
        <f t="shared" ca="1" si="463"/>
        <v>491250</v>
      </c>
      <c r="S763" s="568">
        <f t="shared" ca="1" si="463"/>
        <v>80990</v>
      </c>
      <c r="T763" s="568">
        <f t="shared" ca="1" si="458"/>
        <v>16.48651399491094</v>
      </c>
      <c r="U763" s="568">
        <f t="shared" ca="1" si="459"/>
        <v>16.48651399491094</v>
      </c>
    </row>
    <row r="764" spans="1:21" ht="18.75" x14ac:dyDescent="0.25">
      <c r="A764" s="674"/>
      <c r="B764" s="718"/>
      <c r="C764" s="720"/>
      <c r="D764" s="695"/>
      <c r="E764" s="569" t="s">
        <v>158</v>
      </c>
      <c r="F764" s="561"/>
      <c r="G764" s="563"/>
      <c r="H764" s="685" t="s">
        <v>14</v>
      </c>
      <c r="I764" s="565"/>
      <c r="J764" s="565"/>
      <c r="K764" s="566"/>
      <c r="L764" s="571">
        <v>0</v>
      </c>
      <c r="M764" s="572">
        <v>0</v>
      </c>
      <c r="N764" s="572">
        <v>0</v>
      </c>
      <c r="O764" s="572">
        <f t="shared" si="455"/>
        <v>0</v>
      </c>
      <c r="P764" s="572">
        <f t="shared" si="456"/>
        <v>0</v>
      </c>
      <c r="Q764" s="572">
        <v>0</v>
      </c>
      <c r="R764" s="572">
        <v>0</v>
      </c>
      <c r="S764" s="572">
        <v>0</v>
      </c>
      <c r="T764" s="572">
        <f t="shared" si="458"/>
        <v>0</v>
      </c>
      <c r="U764" s="572">
        <f t="shared" si="459"/>
        <v>0</v>
      </c>
    </row>
    <row r="765" spans="1:21" ht="18.75" x14ac:dyDescent="0.25">
      <c r="A765" s="674"/>
      <c r="B765" s="718"/>
      <c r="C765" s="720"/>
      <c r="D765" s="695"/>
      <c r="E765" s="573" t="s">
        <v>159</v>
      </c>
      <c r="F765" s="561"/>
      <c r="G765" s="563"/>
      <c r="H765" s="682" t="s">
        <v>14</v>
      </c>
      <c r="I765" s="565"/>
      <c r="J765" s="565"/>
      <c r="K765" s="566"/>
      <c r="L765" s="567">
        <v>0</v>
      </c>
      <c r="M765" s="568">
        <v>0</v>
      </c>
      <c r="N765" s="568">
        <v>0</v>
      </c>
      <c r="O765" s="568">
        <f t="shared" si="455"/>
        <v>0</v>
      </c>
      <c r="P765" s="568">
        <f t="shared" si="456"/>
        <v>0</v>
      </c>
      <c r="Q765" s="568">
        <f ca="1">IFERROR(__xludf.DUMMYFUNCTION("IMPORTRANGE(""https://docs.google.com/spreadsheets/d/1ItG2mGa2ceCfYo0BwxsXqNm01IGEUdYcSSLTEv9YCik/edit?usp=sharing"",""เบิกจ่ายกองทุน!AA19"")"),491250)</f>
        <v>491250</v>
      </c>
      <c r="R765" s="568">
        <f ca="1">IFERROR(__xludf.DUMMYFUNCTION("IMPORTRANGE(""https://docs.google.com/spreadsheets/d/1ItG2mGa2ceCfYo0BwxsXqNm01IGEUdYcSSLTEv9YCik/edit?usp=sharing"",""เบิกจ่ายกองทุน!AB19"")"),491250)</f>
        <v>491250</v>
      </c>
      <c r="S765" s="568">
        <f ca="1">IFERROR(__xludf.DUMMYFUNCTION("IMPORTRANGE(""https://docs.google.com/spreadsheets/d/1ItG2mGa2ceCfYo0BwxsXqNm01IGEUdYcSSLTEv9YCik/edit?usp=sharing"",""เบิกจ่ายกองทุน!AC19"")"),80990)</f>
        <v>80990</v>
      </c>
      <c r="T765" s="568">
        <f t="shared" ca="1" si="458"/>
        <v>16.48651399491094</v>
      </c>
      <c r="U765" s="568">
        <f t="shared" ca="1" si="459"/>
        <v>16.48651399491094</v>
      </c>
    </row>
    <row r="766" spans="1:21" ht="18.75" x14ac:dyDescent="0.25">
      <c r="A766" s="674"/>
      <c r="B766" s="718"/>
      <c r="C766" s="718"/>
      <c r="D766" s="562" t="s">
        <v>23</v>
      </c>
      <c r="E766" s="718"/>
      <c r="F766" s="561"/>
      <c r="G766" s="563"/>
      <c r="H766" s="686" t="s">
        <v>14</v>
      </c>
      <c r="I766" s="683"/>
      <c r="J766" s="683"/>
      <c r="K766" s="684"/>
      <c r="L766" s="567">
        <f t="shared" ref="L766:N766" si="464">L767+L768</f>
        <v>0</v>
      </c>
      <c r="M766" s="568">
        <f t="shared" si="464"/>
        <v>0</v>
      </c>
      <c r="N766" s="568">
        <f t="shared" si="464"/>
        <v>0</v>
      </c>
      <c r="O766" s="568">
        <f t="shared" si="455"/>
        <v>0</v>
      </c>
      <c r="P766" s="568">
        <f t="shared" si="456"/>
        <v>0</v>
      </c>
      <c r="Q766" s="568">
        <f t="shared" ref="Q766:S766" si="465">Q767+Q768</f>
        <v>0</v>
      </c>
      <c r="R766" s="568">
        <f t="shared" si="465"/>
        <v>0</v>
      </c>
      <c r="S766" s="568">
        <f t="shared" si="465"/>
        <v>0</v>
      </c>
      <c r="T766" s="568">
        <f t="shared" si="458"/>
        <v>0</v>
      </c>
      <c r="U766" s="568">
        <f t="shared" si="459"/>
        <v>0</v>
      </c>
    </row>
    <row r="767" spans="1:21" ht="18.75" x14ac:dyDescent="0.25">
      <c r="A767" s="674"/>
      <c r="B767" s="718"/>
      <c r="C767" s="718"/>
      <c r="D767" s="718"/>
      <c r="E767" s="767" t="s">
        <v>20</v>
      </c>
      <c r="F767" s="561"/>
      <c r="G767" s="563"/>
      <c r="H767" s="685" t="s">
        <v>14</v>
      </c>
      <c r="I767" s="683"/>
      <c r="J767" s="683"/>
      <c r="K767" s="684"/>
      <c r="L767" s="571">
        <v>0</v>
      </c>
      <c r="M767" s="572">
        <v>0</v>
      </c>
      <c r="N767" s="572">
        <v>0</v>
      </c>
      <c r="O767" s="572">
        <f t="shared" si="455"/>
        <v>0</v>
      </c>
      <c r="P767" s="572">
        <f t="shared" si="456"/>
        <v>0</v>
      </c>
      <c r="Q767" s="572">
        <v>0</v>
      </c>
      <c r="R767" s="572">
        <v>0</v>
      </c>
      <c r="S767" s="572">
        <v>0</v>
      </c>
      <c r="T767" s="572">
        <f t="shared" si="458"/>
        <v>0</v>
      </c>
      <c r="U767" s="572">
        <f t="shared" si="459"/>
        <v>0</v>
      </c>
    </row>
    <row r="768" spans="1:21" ht="18.75" x14ac:dyDescent="0.25">
      <c r="A768" s="674"/>
      <c r="B768" s="718"/>
      <c r="C768" s="718"/>
      <c r="D768" s="718"/>
      <c r="E768" s="765" t="s">
        <v>21</v>
      </c>
      <c r="F768" s="561"/>
      <c r="G768" s="563"/>
      <c r="H768" s="686" t="s">
        <v>14</v>
      </c>
      <c r="I768" s="683"/>
      <c r="J768" s="683"/>
      <c r="K768" s="684"/>
      <c r="L768" s="567">
        <v>0</v>
      </c>
      <c r="M768" s="568">
        <v>0</v>
      </c>
      <c r="N768" s="568">
        <v>0</v>
      </c>
      <c r="O768" s="568">
        <f t="shared" si="455"/>
        <v>0</v>
      </c>
      <c r="P768" s="568">
        <f t="shared" si="456"/>
        <v>0</v>
      </c>
      <c r="Q768" s="568">
        <v>0</v>
      </c>
      <c r="R768" s="568">
        <v>0</v>
      </c>
      <c r="S768" s="568">
        <v>0</v>
      </c>
      <c r="T768" s="568">
        <f t="shared" si="458"/>
        <v>0</v>
      </c>
      <c r="U768" s="568">
        <f t="shared" si="459"/>
        <v>0</v>
      </c>
    </row>
    <row r="769" spans="1:21" ht="19.5" x14ac:dyDescent="0.3">
      <c r="A769" s="687"/>
      <c r="B769" s="688"/>
      <c r="C769" s="1117" t="s">
        <v>18</v>
      </c>
      <c r="D769" s="1078" t="s">
        <v>38</v>
      </c>
      <c r="E769" s="758"/>
      <c r="F769" s="690"/>
      <c r="G769" s="691"/>
      <c r="H769" s="725"/>
      <c r="I769" s="565"/>
      <c r="J769" s="565"/>
      <c r="K769" s="566"/>
      <c r="L769" s="574"/>
      <c r="M769" s="566"/>
      <c r="N769" s="566"/>
      <c r="O769" s="566"/>
      <c r="P769" s="566"/>
      <c r="Q769" s="566"/>
      <c r="R769" s="566"/>
      <c r="S769" s="566"/>
      <c r="T769" s="566"/>
      <c r="U769" s="566"/>
    </row>
    <row r="770" spans="1:21" ht="18.75" x14ac:dyDescent="0.25">
      <c r="A770" s="687"/>
      <c r="B770" s="688"/>
      <c r="C770" s="688"/>
      <c r="D770" s="1042" t="s">
        <v>286</v>
      </c>
      <c r="E770" s="688"/>
      <c r="F770" s="695"/>
      <c r="G770" s="692"/>
      <c r="H770" s="734" t="s">
        <v>35</v>
      </c>
      <c r="I770" s="735">
        <f ca="1">IFERROR(__xludf.DUMMYFUNCTION("IMPORTRANGE(""https://docs.google.com/spreadsheets/d/1eHaY18a8A9IcSdp1K8H6x8fbOy06t2VsZHhMHf-1x7Y/edit?usp=sharing"",""แผน!FI19"")"),0)</f>
        <v>0</v>
      </c>
      <c r="J770" s="735">
        <v>0</v>
      </c>
      <c r="K770" s="572">
        <f ca="1">IF(I770&gt;0,J770*100/I770,0)</f>
        <v>0</v>
      </c>
      <c r="L770" s="574"/>
      <c r="M770" s="566"/>
      <c r="N770" s="566"/>
      <c r="O770" s="566"/>
      <c r="P770" s="566"/>
      <c r="Q770" s="566"/>
      <c r="R770" s="566"/>
      <c r="S770" s="566"/>
      <c r="T770" s="566"/>
      <c r="U770" s="566"/>
    </row>
    <row r="771" spans="1:21" ht="18.75" x14ac:dyDescent="0.25">
      <c r="A771" s="687"/>
      <c r="B771" s="688"/>
      <c r="C771" s="688"/>
      <c r="D771" s="1042" t="s">
        <v>287</v>
      </c>
      <c r="E771" s="688"/>
      <c r="F771" s="695"/>
      <c r="G771" s="692"/>
      <c r="H771" s="725"/>
      <c r="I771" s="565"/>
      <c r="J771" s="565"/>
      <c r="K771" s="566"/>
      <c r="L771" s="574"/>
      <c r="M771" s="566"/>
      <c r="N771" s="566"/>
      <c r="O771" s="566"/>
      <c r="P771" s="566"/>
      <c r="Q771" s="566"/>
      <c r="R771" s="566"/>
      <c r="S771" s="566"/>
      <c r="T771" s="566"/>
      <c r="U771" s="566"/>
    </row>
    <row r="772" spans="1:21" ht="18.75" x14ac:dyDescent="0.25">
      <c r="A772" s="687"/>
      <c r="B772" s="688"/>
      <c r="C772" s="688"/>
      <c r="D772" s="1079" t="s">
        <v>288</v>
      </c>
      <c r="E772" s="688"/>
      <c r="F772" s="695"/>
      <c r="G772" s="692"/>
      <c r="H772" s="686" t="s">
        <v>35</v>
      </c>
      <c r="I772" s="708">
        <f ca="1">IFERROR(__xludf.DUMMYFUNCTION("IMPORTRANGE(""https://docs.google.com/spreadsheets/d/1eHaY18a8A9IcSdp1K8H6x8fbOy06t2VsZHhMHf-1x7Y/edit?usp=sharing"",""แผน!FQ19"")"),65)</f>
        <v>65</v>
      </c>
      <c r="J772" s="702">
        <v>0</v>
      </c>
      <c r="K772" s="568">
        <f ca="1">IF(I772&gt;0,J772*100/I772,0)</f>
        <v>0</v>
      </c>
      <c r="L772" s="574"/>
      <c r="M772" s="566"/>
      <c r="N772" s="566"/>
      <c r="O772" s="566"/>
      <c r="P772" s="566"/>
      <c r="Q772" s="566"/>
      <c r="R772" s="566"/>
      <c r="S772" s="566"/>
      <c r="T772" s="566"/>
      <c r="U772" s="566"/>
    </row>
    <row r="773" spans="1:21" ht="18.75" x14ac:dyDescent="0.25">
      <c r="A773" s="687"/>
      <c r="B773" s="688"/>
      <c r="C773" s="688"/>
      <c r="D773" s="1079" t="s">
        <v>289</v>
      </c>
      <c r="E773" s="688"/>
      <c r="F773" s="695"/>
      <c r="G773" s="692"/>
      <c r="H773" s="725"/>
      <c r="I773" s="565"/>
      <c r="J773" s="565"/>
      <c r="K773" s="566"/>
      <c r="L773" s="574"/>
      <c r="M773" s="566"/>
      <c r="N773" s="566"/>
      <c r="O773" s="566"/>
      <c r="P773" s="566"/>
      <c r="Q773" s="566"/>
      <c r="R773" s="566"/>
      <c r="S773" s="566"/>
      <c r="T773" s="566"/>
      <c r="U773" s="566"/>
    </row>
    <row r="774" spans="1:21" ht="18.75" x14ac:dyDescent="0.25">
      <c r="A774" s="687"/>
      <c r="B774" s="688"/>
      <c r="C774" s="688"/>
      <c r="D774" s="1079" t="s">
        <v>290</v>
      </c>
      <c r="E774" s="688"/>
      <c r="F774" s="695"/>
      <c r="G774" s="692"/>
      <c r="H774" s="686" t="s">
        <v>46</v>
      </c>
      <c r="I774" s="708">
        <f ca="1">IFERROR(__xludf.DUMMYFUNCTION("IMPORTRANGE(""https://docs.google.com/spreadsheets/d/1eHaY18a8A9IcSdp1K8H6x8fbOy06t2VsZHhMHf-1x7Y/edit?usp=sharing"",""แผน!FR19"")"),170)</f>
        <v>170</v>
      </c>
      <c r="J774" s="702">
        <v>0</v>
      </c>
      <c r="K774" s="568">
        <f ca="1">IF(I774&gt;0,J774*100/I774,0)</f>
        <v>0</v>
      </c>
      <c r="L774" s="574"/>
      <c r="M774" s="566"/>
      <c r="N774" s="566"/>
      <c r="O774" s="566"/>
      <c r="P774" s="566"/>
      <c r="Q774" s="566"/>
      <c r="R774" s="566"/>
      <c r="S774" s="566"/>
      <c r="T774" s="566"/>
      <c r="U774" s="566"/>
    </row>
    <row r="775" spans="1:21" ht="18.75" x14ac:dyDescent="0.25">
      <c r="A775" s="687"/>
      <c r="B775" s="688"/>
      <c r="C775" s="688"/>
      <c r="D775" s="1079" t="s">
        <v>50</v>
      </c>
      <c r="E775" s="695"/>
      <c r="F775" s="561"/>
      <c r="G775" s="563"/>
      <c r="H775" s="686" t="s">
        <v>46</v>
      </c>
      <c r="I775" s="708">
        <f ca="1">IFERROR(__xludf.DUMMYFUNCTION("IMPORTRANGE(""https://docs.google.com/spreadsheets/d/1eHaY18a8A9IcSdp1K8H6x8fbOy06t2VsZHhMHf-1x7Y/edit?usp=sharing"",""แผน!FS19"")"),170)</f>
        <v>170</v>
      </c>
      <c r="J775" s="702">
        <v>0</v>
      </c>
      <c r="K775" s="566"/>
      <c r="L775" s="574"/>
      <c r="M775" s="566"/>
      <c r="N775" s="566"/>
      <c r="O775" s="566"/>
      <c r="P775" s="566"/>
      <c r="Q775" s="566"/>
      <c r="R775" s="566"/>
      <c r="S775" s="566"/>
      <c r="T775" s="566"/>
      <c r="U775" s="566"/>
    </row>
    <row r="776" spans="1:21" ht="18.75" x14ac:dyDescent="0.25">
      <c r="A776" s="863"/>
      <c r="B776" s="864"/>
      <c r="C776" s="864"/>
      <c r="D776" s="864"/>
      <c r="E776" s="512"/>
      <c r="F776" s="512"/>
      <c r="G776" s="577"/>
      <c r="H776" s="1089" t="s">
        <v>35</v>
      </c>
      <c r="I776" s="989">
        <f ca="1">IFERROR(__xludf.DUMMYFUNCTION("IMPORTRANGE(""https://docs.google.com/spreadsheets/d/1eHaY18a8A9IcSdp1K8H6x8fbOy06t2VsZHhMHf-1x7Y/edit?usp=sharing"",""แผน!FT19"")"),65)</f>
        <v>65</v>
      </c>
      <c r="J776" s="990">
        <v>0</v>
      </c>
      <c r="K776" s="580"/>
      <c r="L776" s="581"/>
      <c r="M776" s="580"/>
      <c r="N776" s="580"/>
      <c r="O776" s="580"/>
      <c r="P776" s="580"/>
      <c r="Q776" s="580"/>
      <c r="R776" s="580"/>
      <c r="S776" s="580"/>
      <c r="T776" s="580"/>
      <c r="U776" s="580"/>
    </row>
    <row r="777" spans="1:21" ht="19.5" x14ac:dyDescent="0.3">
      <c r="A777" s="1118" t="s">
        <v>291</v>
      </c>
      <c r="B777" s="1119"/>
      <c r="C777" s="1119"/>
      <c r="D777" s="1120"/>
      <c r="E777" s="1119"/>
      <c r="F777" s="1119"/>
      <c r="G777" s="1121"/>
      <c r="H777" s="112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1123"/>
      <c r="J777" s="1124"/>
      <c r="K777" s="1125"/>
      <c r="L777" s="1125"/>
      <c r="M777" s="1125"/>
      <c r="N777" s="1125"/>
      <c r="O777" s="1125"/>
      <c r="P777" s="1125"/>
      <c r="Q777" s="1125"/>
      <c r="R777" s="1125"/>
      <c r="S777" s="1125"/>
      <c r="T777" s="1125"/>
      <c r="U777" s="1125"/>
    </row>
    <row r="778" spans="1:21" ht="18.75" x14ac:dyDescent="0.25">
      <c r="A778" s="560"/>
      <c r="B778" s="573" t="s">
        <v>292</v>
      </c>
      <c r="C778" s="561"/>
      <c r="D778" s="718"/>
      <c r="E778" s="561"/>
      <c r="F778" s="561"/>
      <c r="G778" s="563"/>
      <c r="H778" s="564" t="s">
        <v>14</v>
      </c>
      <c r="I778" s="708">
        <f ca="1">IFERROR(__xludf.DUMMYFUNCTION("IMPORTRANGE(""https://docs.google.com/spreadsheets/d/10OvvATaaLtwErnr3qtWFcTmtbfpFEt5Bsqel9sXx0uE/edit?usp=sharing"",""งานกองทุน!D19"")"),5316747.01)</f>
        <v>5316747.01</v>
      </c>
      <c r="J778" s="708">
        <f ca="1">IFERROR(__xludf.DUMMYFUNCTION("IMPORTRANGE(""https://docs.google.com/spreadsheets/d/10OvvATaaLtwErnr3qtWFcTmtbfpFEt5Bsqel9sXx0uE/edit?usp=sharing"",""งานกองทุน!F19"")"),1296825.5)</f>
        <v>1296825.5</v>
      </c>
      <c r="K778" s="568">
        <f t="shared" ref="K778:K785" ca="1" si="466">IF(I778&gt;0,J778*100/I778,0)</f>
        <v>24.391333602311089</v>
      </c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</row>
    <row r="779" spans="1:21" ht="18.75" x14ac:dyDescent="0.25">
      <c r="A779" s="560"/>
      <c r="B779" s="561"/>
      <c r="C779" s="561"/>
      <c r="D779" s="718"/>
      <c r="E779" s="561"/>
      <c r="F779" s="561"/>
      <c r="G779" s="563"/>
      <c r="H779" s="564" t="s">
        <v>35</v>
      </c>
      <c r="I779" s="708">
        <f ca="1">IFERROR(__xludf.DUMMYFUNCTION("IMPORTRANGE(""https://docs.google.com/spreadsheets/d/10OvvATaaLtwErnr3qtWFcTmtbfpFEt5Bsqel9sXx0uE/edit?usp=sharing"",""งานกองทุน!C19"")"),314)</f>
        <v>314</v>
      </c>
      <c r="J779" s="708">
        <f ca="1">IFERROR(__xludf.DUMMYFUNCTION("IMPORTRANGE(""https://docs.google.com/spreadsheets/d/10OvvATaaLtwErnr3qtWFcTmtbfpFEt5Bsqel9sXx0uE/edit?usp=sharing"",""งานกองทุน!E19"")"),90)</f>
        <v>90</v>
      </c>
      <c r="K779" s="568">
        <f t="shared" ca="1" si="466"/>
        <v>28.662420382165607</v>
      </c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</row>
    <row r="780" spans="1:21" ht="18.75" x14ac:dyDescent="0.25">
      <c r="A780" s="560"/>
      <c r="B780" s="573" t="s">
        <v>293</v>
      </c>
      <c r="C780" s="561"/>
      <c r="D780" s="718"/>
      <c r="E780" s="561"/>
      <c r="F780" s="561"/>
      <c r="G780" s="563"/>
      <c r="H780" s="564" t="s">
        <v>14</v>
      </c>
      <c r="I780" s="708">
        <f ca="1">IFERROR(__xludf.DUMMYFUNCTION("IMPORTRANGE(""https://docs.google.com/spreadsheets/d/10OvvATaaLtwErnr3qtWFcTmtbfpFEt5Bsqel9sXx0uE/edit?usp=sharing"",""งานกองทุน!I19"")"),1426271.02)</f>
        <v>1426271.02</v>
      </c>
      <c r="J780" s="708">
        <f ca="1">IFERROR(__xludf.DUMMYFUNCTION("IMPORTRANGE(""https://docs.google.com/spreadsheets/d/10OvvATaaLtwErnr3qtWFcTmtbfpFEt5Bsqel9sXx0uE/edit?usp=sharing"",""งานกองทุน!K19"")"),483861.48)</f>
        <v>483861.48</v>
      </c>
      <c r="K780" s="568">
        <f t="shared" ca="1" si="466"/>
        <v>33.924932443765144</v>
      </c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</row>
    <row r="781" spans="1:21" ht="18.75" x14ac:dyDescent="0.25">
      <c r="A781" s="560"/>
      <c r="B781" s="561"/>
      <c r="C781" s="561"/>
      <c r="D781" s="718"/>
      <c r="E781" s="561"/>
      <c r="F781" s="561"/>
      <c r="G781" s="563"/>
      <c r="H781" s="564" t="s">
        <v>35</v>
      </c>
      <c r="I781" s="708">
        <f ca="1">IFERROR(__xludf.DUMMYFUNCTION("IMPORTRANGE(""https://docs.google.com/spreadsheets/d/10OvvATaaLtwErnr3qtWFcTmtbfpFEt5Bsqel9sXx0uE/edit?usp=sharing"",""งานกองทุน!H19"")"),75)</f>
        <v>75</v>
      </c>
      <c r="J781" s="708">
        <f ca="1">IFERROR(__xludf.DUMMYFUNCTION("IMPORTRANGE(""https://docs.google.com/spreadsheets/d/10OvvATaaLtwErnr3qtWFcTmtbfpFEt5Bsqel9sXx0uE/edit?usp=sharing"",""งานกองทุน!J19"")"),51)</f>
        <v>51</v>
      </c>
      <c r="K781" s="568">
        <f t="shared" ca="1" si="466"/>
        <v>68</v>
      </c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</row>
    <row r="782" spans="1:21" ht="18.75" x14ac:dyDescent="0.25">
      <c r="A782" s="560"/>
      <c r="B782" s="573" t="s">
        <v>294</v>
      </c>
      <c r="C782" s="561"/>
      <c r="D782" s="718"/>
      <c r="E782" s="561"/>
      <c r="F782" s="561"/>
      <c r="G782" s="563"/>
      <c r="H782" s="564" t="s">
        <v>14</v>
      </c>
      <c r="I782" s="708">
        <f ca="1">IFERROR(__xludf.DUMMYFUNCTION("IMPORTRANGE(""https://docs.google.com/spreadsheets/d/10OvvATaaLtwErnr3qtWFcTmtbfpFEt5Bsqel9sXx0uE/edit?usp=sharing"",""งานกองทุน!N19"")"),0)</f>
        <v>0</v>
      </c>
      <c r="J782" s="708">
        <f ca="1">IFERROR(__xludf.DUMMYFUNCTION("IMPORTRANGE(""https://docs.google.com/spreadsheets/d/10OvvATaaLtwErnr3qtWFcTmtbfpFEt5Bsqel9sXx0uE/edit?usp=sharing"",""งานกองทุน!P19"")"),0)</f>
        <v>0</v>
      </c>
      <c r="K782" s="568">
        <f t="shared" ca="1" si="466"/>
        <v>0</v>
      </c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</row>
    <row r="783" spans="1:21" ht="18.75" x14ac:dyDescent="0.25">
      <c r="A783" s="560"/>
      <c r="B783" s="561"/>
      <c r="C783" s="561"/>
      <c r="D783" s="718"/>
      <c r="E783" s="561"/>
      <c r="F783" s="561"/>
      <c r="G783" s="563"/>
      <c r="H783" s="564" t="s">
        <v>35</v>
      </c>
      <c r="I783" s="708">
        <f ca="1">IFERROR(__xludf.DUMMYFUNCTION("IMPORTRANGE(""https://docs.google.com/spreadsheets/d/10OvvATaaLtwErnr3qtWFcTmtbfpFEt5Bsqel9sXx0uE/edit?usp=sharing"",""งานกองทุน!M19"")"),0)</f>
        <v>0</v>
      </c>
      <c r="J783" s="708">
        <f ca="1">IFERROR(__xludf.DUMMYFUNCTION("IMPORTRANGE(""https://docs.google.com/spreadsheets/d/10OvvATaaLtwErnr3qtWFcTmtbfpFEt5Bsqel9sXx0uE/edit?usp=sharing"",""งานกองทุน!O19"")"),0)</f>
        <v>0</v>
      </c>
      <c r="K783" s="568">
        <f t="shared" ca="1" si="466"/>
        <v>0</v>
      </c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</row>
    <row r="784" spans="1:21" ht="18.75" x14ac:dyDescent="0.25">
      <c r="A784" s="560"/>
      <c r="B784" s="573" t="s">
        <v>295</v>
      </c>
      <c r="C784" s="561"/>
      <c r="D784" s="718"/>
      <c r="E784" s="561"/>
      <c r="F784" s="561"/>
      <c r="G784" s="563"/>
      <c r="H784" s="564" t="s">
        <v>14</v>
      </c>
      <c r="I784" s="708">
        <f ca="1">IFERROR(__xludf.DUMMYFUNCTION("IMPORTRANGE(""https://docs.google.com/spreadsheets/d/10OvvATaaLtwErnr3qtWFcTmtbfpFEt5Bsqel9sXx0uE/edit?usp=sharing"",""งานกองทุน!S19"")"),7140000)</f>
        <v>7140000</v>
      </c>
      <c r="J784" s="708">
        <f ca="1">IFERROR(__xludf.DUMMYFUNCTION("IMPORTRANGE(""https://docs.google.com/spreadsheets/d/10OvvATaaLtwErnr3qtWFcTmtbfpFEt5Bsqel9sXx0uE/edit?usp=sharing"",""งานกองทุน!U19"")"),3870000)</f>
        <v>3870000</v>
      </c>
      <c r="K784" s="568">
        <f t="shared" ca="1" si="466"/>
        <v>54.201680672268907</v>
      </c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</row>
    <row r="785" spans="1:21" ht="18.75" x14ac:dyDescent="0.25">
      <c r="A785" s="575"/>
      <c r="B785" s="513"/>
      <c r="C785" s="513"/>
      <c r="D785" s="514"/>
      <c r="E785" s="513"/>
      <c r="F785" s="513"/>
      <c r="G785" s="577"/>
      <c r="H785" s="578" t="s">
        <v>35</v>
      </c>
      <c r="I785" s="989">
        <f ca="1">IFERROR(__xludf.DUMMYFUNCTION("IMPORTRANGE(""https://docs.google.com/spreadsheets/d/10OvvATaaLtwErnr3qtWFcTmtbfpFEt5Bsqel9sXx0uE/edit?usp=sharing"",""งานกองทุน!R19"")"),255)</f>
        <v>255</v>
      </c>
      <c r="J785" s="989">
        <f ca="1">IFERROR(__xludf.DUMMYFUNCTION("IMPORTRANGE(""https://docs.google.com/spreadsheets/d/10OvvATaaLtwErnr3qtWFcTmtbfpFEt5Bsqel9sXx0uE/edit?usp=sharing"",""งานกองทุน!T19"")"),88)</f>
        <v>88</v>
      </c>
      <c r="K785" s="655">
        <f t="shared" ca="1" si="466"/>
        <v>34.509803921568626</v>
      </c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</row>
    <row r="786" spans="1:21" ht="12.75" x14ac:dyDescent="0.2">
      <c r="A786" s="510"/>
      <c r="B786" s="510"/>
      <c r="C786" s="510"/>
      <c r="D786" s="510"/>
      <c r="E786" s="510"/>
      <c r="F786" s="510"/>
      <c r="G786" s="510"/>
      <c r="H786" s="510"/>
      <c r="I786" s="510"/>
      <c r="J786" s="510"/>
      <c r="K786" s="510"/>
      <c r="L786" s="510"/>
      <c r="M786" s="510"/>
      <c r="N786" s="510"/>
      <c r="O786" s="510"/>
      <c r="P786" s="510"/>
      <c r="Q786" s="510"/>
      <c r="R786" s="510"/>
      <c r="S786" s="510"/>
      <c r="T786" s="510"/>
      <c r="U786" s="510"/>
    </row>
    <row r="787" spans="1:21" ht="16.5" x14ac:dyDescent="0.25">
      <c r="A787" s="1126" t="s">
        <v>296</v>
      </c>
      <c r="B787" s="510"/>
      <c r="C787" s="510"/>
      <c r="D787" s="510"/>
      <c r="E787" s="510"/>
      <c r="F787" s="510"/>
      <c r="G787" s="510"/>
      <c r="H787" s="510"/>
      <c r="I787" s="510"/>
      <c r="J787" s="510"/>
      <c r="K787" s="510"/>
      <c r="L787" s="510"/>
      <c r="M787" s="510"/>
      <c r="N787" s="510"/>
      <c r="O787" s="510"/>
      <c r="P787" s="510"/>
      <c r="Q787" s="510"/>
      <c r="R787" s="510"/>
      <c r="S787" s="510"/>
      <c r="T787" s="510"/>
      <c r="U787" s="510"/>
    </row>
    <row r="788" spans="1:21" ht="16.5" x14ac:dyDescent="0.25">
      <c r="A788" s="112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510"/>
      <c r="C788" s="510"/>
      <c r="D788" s="510"/>
      <c r="E788" s="510"/>
      <c r="F788" s="510"/>
      <c r="G788" s="510"/>
      <c r="H788" s="510"/>
      <c r="I788" s="510"/>
      <c r="J788" s="510"/>
      <c r="K788" s="510"/>
      <c r="L788" s="510"/>
      <c r="M788" s="510"/>
      <c r="N788" s="510"/>
      <c r="O788" s="510"/>
      <c r="P788" s="510"/>
      <c r="Q788" s="510"/>
      <c r="R788" s="510"/>
      <c r="S788" s="510"/>
      <c r="T788" s="510"/>
      <c r="U788" s="510"/>
    </row>
    <row r="789" spans="1:21" ht="16.5" x14ac:dyDescent="0.25">
      <c r="A789" s="112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510"/>
      <c r="C789" s="510"/>
      <c r="D789" s="510"/>
      <c r="E789" s="510"/>
      <c r="F789" s="510"/>
      <c r="G789" s="510"/>
      <c r="H789" s="510"/>
      <c r="I789" s="510"/>
      <c r="J789" s="510"/>
      <c r="K789" s="510"/>
      <c r="L789" s="510"/>
      <c r="M789" s="510"/>
      <c r="N789" s="510"/>
      <c r="O789" s="510"/>
      <c r="P789" s="510"/>
      <c r="Q789" s="510"/>
      <c r="R789" s="510"/>
      <c r="S789" s="510"/>
      <c r="T789" s="510"/>
      <c r="U789" s="510"/>
    </row>
  </sheetData>
  <mergeCells count="25">
    <mergeCell ref="Q4:U4"/>
    <mergeCell ref="A5:G6"/>
    <mergeCell ref="I5:K5"/>
    <mergeCell ref="L5:M5"/>
    <mergeCell ref="N5:P5"/>
    <mergeCell ref="Q5:R5"/>
    <mergeCell ref="B57:G57"/>
    <mergeCell ref="L4:P4"/>
    <mergeCell ref="A1:U1"/>
    <mergeCell ref="A2:U2"/>
    <mergeCell ref="A3:U3"/>
    <mergeCell ref="S5:U5"/>
    <mergeCell ref="A7:G7"/>
    <mergeCell ref="A17:G17"/>
    <mergeCell ref="A30:G30"/>
    <mergeCell ref="A56:G56"/>
    <mergeCell ref="D714:G714"/>
    <mergeCell ref="D728:G728"/>
    <mergeCell ref="D760:G760"/>
    <mergeCell ref="D413:G413"/>
    <mergeCell ref="D493:F493"/>
    <mergeCell ref="D599:G599"/>
    <mergeCell ref="D616:G616"/>
    <mergeCell ref="D642:G642"/>
    <mergeCell ref="D690:G690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8E23-2DAD-4035-945B-E7102B0EFFA6}">
  <sheetPr>
    <outlinePr summaryBelow="0" summaryRight="0"/>
  </sheetPr>
  <dimension ref="A1:U789"/>
  <sheetViews>
    <sheetView view="pageBreakPreview" zoomScale="60" zoomScaleNormal="100" workbookViewId="0">
      <pane xSplit="8" ySplit="6" topLeftCell="I1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style="511" customWidth="1"/>
    <col min="7" max="7" width="61.42578125" style="511" customWidth="1"/>
    <col min="8" max="8" width="9.42578125" style="511" customWidth="1"/>
    <col min="9" max="11" width="15.140625" style="511" customWidth="1"/>
    <col min="12" max="14" width="21.28515625" style="511" bestFit="1" customWidth="1"/>
    <col min="15" max="15" width="19.28515625" style="511" bestFit="1" customWidth="1"/>
    <col min="16" max="16" width="20.85546875" style="511" bestFit="1" customWidth="1"/>
    <col min="17" max="18" width="21.28515625" style="511" bestFit="1" customWidth="1"/>
    <col min="19" max="19" width="18.7109375" style="511" bestFit="1" customWidth="1"/>
    <col min="20" max="20" width="19.28515625" style="511" bestFit="1" customWidth="1"/>
    <col min="21" max="21" width="20.85546875" style="511" bestFit="1" customWidth="1"/>
    <col min="22" max="16384" width="12.5703125" style="511"/>
  </cols>
  <sheetData>
    <row r="1" spans="1:21" ht="15.75" customHeight="1" x14ac:dyDescent="0.3">
      <c r="A1" s="1321" t="s">
        <v>0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  <c r="R1" s="1321"/>
      <c r="S1" s="1321"/>
      <c r="T1" s="1321"/>
      <c r="U1" s="1321"/>
    </row>
    <row r="2" spans="1:21" ht="15.75" customHeight="1" x14ac:dyDescent="0.3">
      <c r="A2" s="1321" t="s">
        <v>325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</row>
    <row r="3" spans="1:21" ht="15.75" customHeight="1" x14ac:dyDescent="0.3">
      <c r="A3" s="1321" t="s">
        <v>350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</row>
    <row r="4" spans="1:21" ht="15.75" customHeight="1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4"/>
      <c r="K4" s="515"/>
      <c r="L4" s="1323" t="s">
        <v>2</v>
      </c>
      <c r="M4" s="1314"/>
      <c r="N4" s="1314"/>
      <c r="O4" s="1314"/>
      <c r="P4" s="1317"/>
      <c r="Q4" s="1324" t="s">
        <v>3</v>
      </c>
      <c r="R4" s="1314"/>
      <c r="S4" s="1314"/>
      <c r="T4" s="1314"/>
      <c r="U4" s="1317"/>
    </row>
    <row r="5" spans="1:21" ht="15.75" customHeight="1" x14ac:dyDescent="0.3">
      <c r="A5" s="1325" t="s">
        <v>4</v>
      </c>
      <c r="B5" s="1322"/>
      <c r="C5" s="1322"/>
      <c r="D5" s="1322"/>
      <c r="E5" s="1322"/>
      <c r="F5" s="1322"/>
      <c r="G5" s="1326"/>
      <c r="H5" s="1243" t="s">
        <v>5</v>
      </c>
      <c r="I5" s="1328" t="s">
        <v>6</v>
      </c>
      <c r="J5" s="1314"/>
      <c r="K5" s="1317"/>
      <c r="L5" s="1329" t="s">
        <v>7</v>
      </c>
      <c r="M5" s="1317"/>
      <c r="N5" s="1330" t="s">
        <v>8</v>
      </c>
      <c r="O5" s="1314"/>
      <c r="P5" s="1317"/>
      <c r="Q5" s="1331" t="s">
        <v>7</v>
      </c>
      <c r="R5" s="1317"/>
      <c r="S5" s="1330" t="s">
        <v>8</v>
      </c>
      <c r="T5" s="1314"/>
      <c r="U5" s="1317"/>
    </row>
    <row r="6" spans="1:21" ht="15.75" customHeight="1" x14ac:dyDescent="0.3">
      <c r="A6" s="1327"/>
      <c r="B6" s="1314"/>
      <c r="C6" s="1314"/>
      <c r="D6" s="1314"/>
      <c r="E6" s="1314"/>
      <c r="F6" s="1314"/>
      <c r="G6" s="1317"/>
      <c r="H6" s="1244"/>
      <c r="I6" s="518" t="s">
        <v>9</v>
      </c>
      <c r="J6" s="519" t="s">
        <v>10</v>
      </c>
      <c r="K6" s="518" t="s">
        <v>11</v>
      </c>
      <c r="L6" s="520" t="s">
        <v>12</v>
      </c>
      <c r="M6" s="521" t="s">
        <v>13</v>
      </c>
      <c r="N6" s="522" t="s">
        <v>14</v>
      </c>
      <c r="O6" s="523" t="s">
        <v>15</v>
      </c>
      <c r="P6" s="524" t="s">
        <v>16</v>
      </c>
      <c r="Q6" s="525" t="s">
        <v>12</v>
      </c>
      <c r="R6" s="521" t="s">
        <v>13</v>
      </c>
      <c r="S6" s="522" t="s">
        <v>14</v>
      </c>
      <c r="T6" s="523" t="s">
        <v>15</v>
      </c>
      <c r="U6" s="524" t="s">
        <v>16</v>
      </c>
    </row>
    <row r="7" spans="1:21" ht="12.75" hidden="1" x14ac:dyDescent="0.2">
      <c r="A7" s="1316"/>
      <c r="B7" s="1314"/>
      <c r="C7" s="1314"/>
      <c r="D7" s="1314"/>
      <c r="E7" s="1314"/>
      <c r="F7" s="1314"/>
      <c r="G7" s="1317"/>
      <c r="H7" s="526"/>
      <c r="I7" s="527"/>
      <c r="J7" s="527"/>
      <c r="K7" s="528"/>
      <c r="L7" s="529"/>
      <c r="M7" s="528"/>
      <c r="N7" s="528"/>
      <c r="O7" s="528"/>
      <c r="P7" s="528"/>
      <c r="Q7" s="528"/>
      <c r="R7" s="528"/>
      <c r="S7" s="528"/>
      <c r="T7" s="528"/>
      <c r="U7" s="528"/>
    </row>
    <row r="8" spans="1:21" ht="12.75" hidden="1" x14ac:dyDescent="0.2">
      <c r="A8" s="530"/>
      <c r="B8" s="531"/>
      <c r="C8" s="531"/>
      <c r="D8" s="531"/>
      <c r="E8" s="531"/>
      <c r="F8" s="531"/>
      <c r="G8" s="532"/>
      <c r="H8" s="532"/>
      <c r="I8" s="533"/>
      <c r="J8" s="533"/>
      <c r="K8" s="534"/>
      <c r="L8" s="535"/>
      <c r="M8" s="534"/>
      <c r="N8" s="534"/>
      <c r="O8" s="534"/>
      <c r="P8" s="534"/>
      <c r="Q8" s="534"/>
      <c r="R8" s="534"/>
      <c r="S8" s="534"/>
      <c r="T8" s="534"/>
      <c r="U8" s="534"/>
    </row>
    <row r="9" spans="1:21" ht="12.75" hidden="1" x14ac:dyDescent="0.2">
      <c r="A9" s="530"/>
      <c r="B9" s="531"/>
      <c r="C9" s="531"/>
      <c r="D9" s="531"/>
      <c r="E9" s="531"/>
      <c r="F9" s="531"/>
      <c r="G9" s="532"/>
      <c r="H9" s="532"/>
      <c r="I9" s="533"/>
      <c r="J9" s="533"/>
      <c r="K9" s="534"/>
      <c r="L9" s="535"/>
      <c r="M9" s="534"/>
      <c r="N9" s="534"/>
      <c r="O9" s="534"/>
      <c r="P9" s="534"/>
      <c r="Q9" s="534"/>
      <c r="R9" s="534"/>
      <c r="S9" s="534"/>
      <c r="T9" s="534"/>
      <c r="U9" s="534"/>
    </row>
    <row r="10" spans="1:21" ht="12.75" hidden="1" x14ac:dyDescent="0.2">
      <c r="A10" s="530"/>
      <c r="B10" s="531"/>
      <c r="C10" s="531"/>
      <c r="D10" s="531"/>
      <c r="E10" s="531"/>
      <c r="F10" s="531"/>
      <c r="G10" s="532"/>
      <c r="H10" s="532"/>
      <c r="I10" s="533"/>
      <c r="J10" s="533"/>
      <c r="K10" s="534"/>
      <c r="L10" s="535"/>
      <c r="M10" s="534"/>
      <c r="N10" s="534"/>
      <c r="O10" s="534"/>
      <c r="P10" s="534"/>
      <c r="Q10" s="534"/>
      <c r="R10" s="534"/>
      <c r="S10" s="534"/>
      <c r="T10" s="534"/>
      <c r="U10" s="534"/>
    </row>
    <row r="11" spans="1:21" ht="12.75" hidden="1" x14ac:dyDescent="0.2">
      <c r="A11" s="530"/>
      <c r="B11" s="531"/>
      <c r="C11" s="531"/>
      <c r="D11" s="531"/>
      <c r="E11" s="531"/>
      <c r="F11" s="531"/>
      <c r="G11" s="532"/>
      <c r="H11" s="532"/>
      <c r="I11" s="533"/>
      <c r="J11" s="533"/>
      <c r="K11" s="534"/>
      <c r="L11" s="535"/>
      <c r="M11" s="534"/>
      <c r="N11" s="534"/>
      <c r="O11" s="534"/>
      <c r="P11" s="534"/>
      <c r="Q11" s="534"/>
      <c r="R11" s="534"/>
      <c r="S11" s="534"/>
      <c r="T11" s="534"/>
      <c r="U11" s="534"/>
    </row>
    <row r="12" spans="1:21" ht="12.75" hidden="1" x14ac:dyDescent="0.2">
      <c r="A12" s="530"/>
      <c r="B12" s="531"/>
      <c r="C12" s="531"/>
      <c r="D12" s="531"/>
      <c r="E12" s="531"/>
      <c r="F12" s="531"/>
      <c r="G12" s="532"/>
      <c r="H12" s="532"/>
      <c r="I12" s="533"/>
      <c r="J12" s="533"/>
      <c r="K12" s="534"/>
      <c r="L12" s="535"/>
      <c r="M12" s="534"/>
      <c r="N12" s="534"/>
      <c r="O12" s="534"/>
      <c r="P12" s="534"/>
      <c r="Q12" s="534"/>
      <c r="R12" s="534"/>
      <c r="S12" s="534"/>
      <c r="T12" s="534"/>
      <c r="U12" s="534"/>
    </row>
    <row r="13" spans="1:21" ht="12.75" hidden="1" x14ac:dyDescent="0.2">
      <c r="A13" s="530"/>
      <c r="B13" s="531"/>
      <c r="C13" s="531"/>
      <c r="D13" s="531"/>
      <c r="E13" s="531"/>
      <c r="F13" s="531"/>
      <c r="G13" s="532"/>
      <c r="H13" s="532"/>
      <c r="I13" s="533"/>
      <c r="J13" s="533"/>
      <c r="K13" s="534"/>
      <c r="L13" s="535"/>
      <c r="M13" s="534"/>
      <c r="N13" s="534"/>
      <c r="O13" s="534"/>
      <c r="P13" s="534"/>
      <c r="Q13" s="534"/>
      <c r="R13" s="534"/>
      <c r="S13" s="534"/>
      <c r="T13" s="534"/>
      <c r="U13" s="534"/>
    </row>
    <row r="14" spans="1:21" ht="12.75" hidden="1" x14ac:dyDescent="0.2">
      <c r="A14" s="530"/>
      <c r="B14" s="531"/>
      <c r="C14" s="531"/>
      <c r="D14" s="531"/>
      <c r="E14" s="531"/>
      <c r="F14" s="531"/>
      <c r="G14" s="532"/>
      <c r="H14" s="532"/>
      <c r="I14" s="533"/>
      <c r="J14" s="533"/>
      <c r="K14" s="534"/>
      <c r="L14" s="535"/>
      <c r="M14" s="534"/>
      <c r="N14" s="534"/>
      <c r="O14" s="534"/>
      <c r="P14" s="534"/>
      <c r="Q14" s="534"/>
      <c r="R14" s="534"/>
      <c r="S14" s="534"/>
      <c r="T14" s="534"/>
      <c r="U14" s="534"/>
    </row>
    <row r="15" spans="1:21" ht="12.75" hidden="1" x14ac:dyDescent="0.2">
      <c r="A15" s="530"/>
      <c r="B15" s="531"/>
      <c r="C15" s="531"/>
      <c r="D15" s="531"/>
      <c r="E15" s="531"/>
      <c r="F15" s="531"/>
      <c r="G15" s="532"/>
      <c r="H15" s="532"/>
      <c r="I15" s="533"/>
      <c r="J15" s="533"/>
      <c r="K15" s="534"/>
      <c r="L15" s="535"/>
      <c r="M15" s="534"/>
      <c r="N15" s="534"/>
      <c r="O15" s="534"/>
      <c r="P15" s="534"/>
      <c r="Q15" s="534"/>
      <c r="R15" s="534"/>
      <c r="S15" s="534"/>
      <c r="T15" s="534"/>
      <c r="U15" s="534"/>
    </row>
    <row r="16" spans="1:21" ht="12.75" hidden="1" x14ac:dyDescent="0.2">
      <c r="A16" s="536"/>
      <c r="B16" s="537"/>
      <c r="C16" s="537"/>
      <c r="D16" s="537"/>
      <c r="E16" s="537"/>
      <c r="F16" s="537"/>
      <c r="G16" s="526"/>
      <c r="H16" s="526"/>
      <c r="I16" s="527"/>
      <c r="J16" s="527"/>
      <c r="K16" s="528"/>
      <c r="L16" s="529"/>
      <c r="M16" s="528"/>
      <c r="N16" s="528"/>
      <c r="O16" s="528"/>
      <c r="P16" s="528"/>
      <c r="Q16" s="528"/>
      <c r="R16" s="528"/>
      <c r="S16" s="528"/>
      <c r="T16" s="528"/>
      <c r="U16" s="528"/>
    </row>
    <row r="17" spans="1:21" ht="15.75" customHeight="1" x14ac:dyDescent="0.3">
      <c r="A17" s="1318" t="s">
        <v>298</v>
      </c>
      <c r="B17" s="1314"/>
      <c r="C17" s="1314"/>
      <c r="D17" s="1314"/>
      <c r="E17" s="1314"/>
      <c r="F17" s="1314"/>
      <c r="G17" s="1317"/>
      <c r="H17" s="538"/>
      <c r="I17" s="539"/>
      <c r="J17" s="539"/>
      <c r="K17" s="540"/>
      <c r="L17" s="541"/>
      <c r="M17" s="540"/>
      <c r="N17" s="540"/>
      <c r="O17" s="540"/>
      <c r="P17" s="540"/>
      <c r="Q17" s="540"/>
      <c r="R17" s="540"/>
      <c r="S17" s="540"/>
      <c r="T17" s="540"/>
      <c r="U17" s="540"/>
    </row>
    <row r="18" spans="1:21" ht="15.75" customHeight="1" x14ac:dyDescent="0.3">
      <c r="A18" s="542"/>
      <c r="B18" s="543"/>
      <c r="C18" s="544" t="s">
        <v>18</v>
      </c>
      <c r="D18" s="545" t="s">
        <v>19</v>
      </c>
      <c r="E18" s="543"/>
      <c r="F18" s="543"/>
      <c r="G18" s="546"/>
      <c r="H18" s="547" t="s">
        <v>14</v>
      </c>
      <c r="I18" s="548"/>
      <c r="J18" s="548"/>
      <c r="K18" s="549"/>
      <c r="L18" s="550">
        <f t="shared" ref="L18:N18" ca="1" si="0">L19+L20</f>
        <v>6287630</v>
      </c>
      <c r="M18" s="551">
        <f t="shared" ca="1" si="0"/>
        <v>6437188</v>
      </c>
      <c r="N18" s="551">
        <f t="shared" ca="1" si="0"/>
        <v>1917256.0199999998</v>
      </c>
      <c r="O18" s="551">
        <f t="shared" ref="O18:O26" ca="1" si="1">IF(L18&gt;0,N18*100/L18,0)</f>
        <v>30.492507033651783</v>
      </c>
      <c r="P18" s="551">
        <f t="shared" ref="P18:P26" ca="1" si="2">IF(M18&gt;0,N18*100/M18,0)</f>
        <v>29.784061301301122</v>
      </c>
      <c r="Q18" s="551">
        <f t="shared" ref="Q18:S18" ca="1" si="3">Q19+Q20</f>
        <v>2978410.24</v>
      </c>
      <c r="R18" s="551">
        <f t="shared" ca="1" si="3"/>
        <v>2673550</v>
      </c>
      <c r="S18" s="551">
        <f t="shared" ca="1" si="3"/>
        <v>792778</v>
      </c>
      <c r="T18" s="551">
        <f t="shared" ref="T18:T26" ca="1" si="4">IF(Q18&gt;0,S18*100/Q18,0)</f>
        <v>26.617488395419965</v>
      </c>
      <c r="U18" s="551">
        <f t="shared" ref="U18:U26" ca="1" si="5">IF(R18&gt;0,S18*100/R18,0)</f>
        <v>29.652634138130949</v>
      </c>
    </row>
    <row r="19" spans="1:21" ht="15.75" customHeight="1" x14ac:dyDescent="0.25">
      <c r="A19" s="542"/>
      <c r="B19" s="543"/>
      <c r="C19" s="543"/>
      <c r="D19" s="543"/>
      <c r="E19" s="552" t="s">
        <v>20</v>
      </c>
      <c r="F19" s="543"/>
      <c r="G19" s="546"/>
      <c r="H19" s="553" t="s">
        <v>14</v>
      </c>
      <c r="I19" s="548"/>
      <c r="J19" s="548"/>
      <c r="K19" s="549"/>
      <c r="L19" s="554">
        <f t="shared" ref="L19:N20" si="6">L22+L25</f>
        <v>0</v>
      </c>
      <c r="M19" s="555">
        <f t="shared" si="6"/>
        <v>0</v>
      </c>
      <c r="N19" s="555">
        <f t="shared" si="6"/>
        <v>0</v>
      </c>
      <c r="O19" s="555">
        <f t="shared" si="1"/>
        <v>0</v>
      </c>
      <c r="P19" s="555">
        <f t="shared" si="2"/>
        <v>0</v>
      </c>
      <c r="Q19" s="555">
        <f t="shared" ref="Q19:S20" si="7">Q22+Q25</f>
        <v>0</v>
      </c>
      <c r="R19" s="555">
        <f t="shared" si="7"/>
        <v>0</v>
      </c>
      <c r="S19" s="555">
        <f t="shared" si="7"/>
        <v>0</v>
      </c>
      <c r="T19" s="555">
        <f t="shared" si="4"/>
        <v>0</v>
      </c>
      <c r="U19" s="555">
        <f t="shared" si="5"/>
        <v>0</v>
      </c>
    </row>
    <row r="20" spans="1:21" ht="15.75" customHeight="1" x14ac:dyDescent="0.25">
      <c r="A20" s="542"/>
      <c r="B20" s="543"/>
      <c r="C20" s="543"/>
      <c r="D20" s="543"/>
      <c r="E20" s="556" t="s">
        <v>21</v>
      </c>
      <c r="F20" s="543"/>
      <c r="G20" s="546"/>
      <c r="H20" s="557" t="s">
        <v>14</v>
      </c>
      <c r="I20" s="548"/>
      <c r="J20" s="548"/>
      <c r="K20" s="549"/>
      <c r="L20" s="558">
        <f t="shared" ca="1" si="6"/>
        <v>6287630</v>
      </c>
      <c r="M20" s="559">
        <f t="shared" ca="1" si="6"/>
        <v>6437188</v>
      </c>
      <c r="N20" s="559">
        <f t="shared" ca="1" si="6"/>
        <v>1917256.0199999998</v>
      </c>
      <c r="O20" s="559">
        <f t="shared" ca="1" si="1"/>
        <v>30.492507033651783</v>
      </c>
      <c r="P20" s="559">
        <f t="shared" ca="1" si="2"/>
        <v>29.784061301301122</v>
      </c>
      <c r="Q20" s="559">
        <f t="shared" ca="1" si="7"/>
        <v>2978410.24</v>
      </c>
      <c r="R20" s="559">
        <f t="shared" ca="1" si="7"/>
        <v>2673550</v>
      </c>
      <c r="S20" s="559">
        <f t="shared" ca="1" si="7"/>
        <v>792778</v>
      </c>
      <c r="T20" s="559">
        <f t="shared" ca="1" si="4"/>
        <v>26.617488395419965</v>
      </c>
      <c r="U20" s="559">
        <f t="shared" ca="1" si="5"/>
        <v>29.652634138130949</v>
      </c>
    </row>
    <row r="21" spans="1:21" ht="15.75" customHeight="1" x14ac:dyDescent="0.25">
      <c r="A21" s="560"/>
      <c r="B21" s="561"/>
      <c r="C21" s="561"/>
      <c r="D21" s="562" t="s">
        <v>22</v>
      </c>
      <c r="E21" s="561"/>
      <c r="F21" s="561"/>
      <c r="G21" s="563"/>
      <c r="H21" s="564" t="s">
        <v>14</v>
      </c>
      <c r="I21" s="565"/>
      <c r="J21" s="565"/>
      <c r="K21" s="566"/>
      <c r="L21" s="567">
        <f t="shared" ref="L21:N21" ca="1" si="8">L22+L23</f>
        <v>2667630</v>
      </c>
      <c r="M21" s="568">
        <f t="shared" ca="1" si="8"/>
        <v>2817188</v>
      </c>
      <c r="N21" s="568">
        <f t="shared" ca="1" si="8"/>
        <v>1917256.0199999998</v>
      </c>
      <c r="O21" s="568">
        <f t="shared" ca="1" si="1"/>
        <v>71.871137301649767</v>
      </c>
      <c r="P21" s="568">
        <f t="shared" ca="1" si="2"/>
        <v>68.055664726670699</v>
      </c>
      <c r="Q21" s="568">
        <f t="shared" ref="Q21:S21" ca="1" si="9">Q22+Q23</f>
        <v>2978410.24</v>
      </c>
      <c r="R21" s="568">
        <f t="shared" ca="1" si="9"/>
        <v>2673550</v>
      </c>
      <c r="S21" s="568">
        <f t="shared" ca="1" si="9"/>
        <v>792778</v>
      </c>
      <c r="T21" s="568">
        <f t="shared" ca="1" si="4"/>
        <v>26.617488395419965</v>
      </c>
      <c r="U21" s="568">
        <f t="shared" ca="1" si="5"/>
        <v>29.652634138130949</v>
      </c>
    </row>
    <row r="22" spans="1:21" ht="15.75" customHeight="1" x14ac:dyDescent="0.25">
      <c r="A22" s="560"/>
      <c r="B22" s="561"/>
      <c r="C22" s="561"/>
      <c r="D22" s="561"/>
      <c r="E22" s="569" t="s">
        <v>20</v>
      </c>
      <c r="F22" s="561"/>
      <c r="G22" s="563"/>
      <c r="H22" s="570" t="s">
        <v>14</v>
      </c>
      <c r="I22" s="565"/>
      <c r="J22" s="565"/>
      <c r="K22" s="566"/>
      <c r="L22" s="571">
        <f t="shared" ref="L22:N23" si="10">L48+L63+L76+L98+L129+L143+L161+L190+L177+L270+L286+L307+L324+L337+L360+L517</f>
        <v>0</v>
      </c>
      <c r="M22" s="572">
        <f t="shared" si="10"/>
        <v>0</v>
      </c>
      <c r="N22" s="572">
        <f t="shared" si="10"/>
        <v>0</v>
      </c>
      <c r="O22" s="572">
        <f t="shared" si="1"/>
        <v>0</v>
      </c>
      <c r="P22" s="572">
        <f t="shared" si="2"/>
        <v>0</v>
      </c>
      <c r="Q22" s="572">
        <f t="shared" ref="Q22:S23" si="11">Q76+Q98+Q121+Q143+Q161+Q177+Q190+Q270+Q286+Q307+Q337+Q379+Q396+Q417+Q497+Q603+Q620+Q646+Q694+Q718+Q732+Q764</f>
        <v>0</v>
      </c>
      <c r="R22" s="572">
        <f t="shared" si="11"/>
        <v>0</v>
      </c>
      <c r="S22" s="572">
        <f t="shared" si="11"/>
        <v>0</v>
      </c>
      <c r="T22" s="572">
        <f t="shared" si="4"/>
        <v>0</v>
      </c>
      <c r="U22" s="572">
        <f t="shared" si="5"/>
        <v>0</v>
      </c>
    </row>
    <row r="23" spans="1:21" ht="15.75" customHeight="1" x14ac:dyDescent="0.25">
      <c r="A23" s="560"/>
      <c r="B23" s="561"/>
      <c r="C23" s="561"/>
      <c r="D23" s="561"/>
      <c r="E23" s="573" t="s">
        <v>21</v>
      </c>
      <c r="F23" s="561"/>
      <c r="G23" s="563"/>
      <c r="H23" s="564" t="s">
        <v>14</v>
      </c>
      <c r="I23" s="565"/>
      <c r="J23" s="565"/>
      <c r="K23" s="566"/>
      <c r="L23" s="567">
        <f t="shared" ca="1" si="10"/>
        <v>2667630</v>
      </c>
      <c r="M23" s="568">
        <f t="shared" ca="1" si="10"/>
        <v>2817188</v>
      </c>
      <c r="N23" s="568">
        <f t="shared" ca="1" si="10"/>
        <v>1917256.0199999998</v>
      </c>
      <c r="O23" s="568">
        <f t="shared" ca="1" si="1"/>
        <v>71.871137301649767</v>
      </c>
      <c r="P23" s="568">
        <f t="shared" ca="1" si="2"/>
        <v>68.055664726670699</v>
      </c>
      <c r="Q23" s="568">
        <f t="shared" ca="1" si="11"/>
        <v>2978410.24</v>
      </c>
      <c r="R23" s="568">
        <f t="shared" ca="1" si="11"/>
        <v>2673550</v>
      </c>
      <c r="S23" s="568">
        <f t="shared" ca="1" si="11"/>
        <v>792778</v>
      </c>
      <c r="T23" s="568">
        <f t="shared" ca="1" si="4"/>
        <v>26.617488395419965</v>
      </c>
      <c r="U23" s="568">
        <f t="shared" ca="1" si="5"/>
        <v>29.652634138130949</v>
      </c>
    </row>
    <row r="24" spans="1:21" ht="15.75" customHeight="1" x14ac:dyDescent="0.25">
      <c r="A24" s="560"/>
      <c r="B24" s="561"/>
      <c r="C24" s="561"/>
      <c r="D24" s="562" t="s">
        <v>23</v>
      </c>
      <c r="E24" s="561"/>
      <c r="F24" s="561"/>
      <c r="G24" s="563"/>
      <c r="H24" s="564" t="s">
        <v>14</v>
      </c>
      <c r="I24" s="565"/>
      <c r="J24" s="565"/>
      <c r="K24" s="566"/>
      <c r="L24" s="567">
        <f t="shared" ref="L24:N24" ca="1" si="12">L25+L26</f>
        <v>3620000</v>
      </c>
      <c r="M24" s="568">
        <f t="shared" ca="1" si="12"/>
        <v>3620000</v>
      </c>
      <c r="N24" s="568">
        <f t="shared" ca="1" si="12"/>
        <v>0</v>
      </c>
      <c r="O24" s="568">
        <f t="shared" ca="1" si="1"/>
        <v>0</v>
      </c>
      <c r="P24" s="568">
        <f t="shared" ca="1" si="2"/>
        <v>0</v>
      </c>
      <c r="Q24" s="568">
        <f t="shared" ref="Q24:S24" ca="1" si="13">Q25+Q26</f>
        <v>0</v>
      </c>
      <c r="R24" s="568">
        <f t="shared" ca="1" si="13"/>
        <v>0</v>
      </c>
      <c r="S24" s="568">
        <f t="shared" ca="1" si="13"/>
        <v>0</v>
      </c>
      <c r="T24" s="568">
        <f t="shared" ca="1" si="4"/>
        <v>0</v>
      </c>
      <c r="U24" s="568">
        <f t="shared" ca="1" si="5"/>
        <v>0</v>
      </c>
    </row>
    <row r="25" spans="1:21" ht="15.75" customHeight="1" x14ac:dyDescent="0.25">
      <c r="A25" s="560"/>
      <c r="B25" s="561"/>
      <c r="C25" s="561"/>
      <c r="D25" s="561"/>
      <c r="E25" s="569" t="s">
        <v>20</v>
      </c>
      <c r="F25" s="561"/>
      <c r="G25" s="563"/>
      <c r="H25" s="570" t="s">
        <v>14</v>
      </c>
      <c r="I25" s="565"/>
      <c r="J25" s="565"/>
      <c r="K25" s="566"/>
      <c r="L25" s="571">
        <f t="shared" ref="L25:N26" si="14">L51+L66+L79+L101+L132+L146+L164+L193+L180+L273+L289+L310+L327+L340+L363+L520</f>
        <v>0</v>
      </c>
      <c r="M25" s="572">
        <f t="shared" si="14"/>
        <v>0</v>
      </c>
      <c r="N25" s="572">
        <f t="shared" si="14"/>
        <v>0</v>
      </c>
      <c r="O25" s="572">
        <f t="shared" si="1"/>
        <v>0</v>
      </c>
      <c r="P25" s="572">
        <f t="shared" si="2"/>
        <v>0</v>
      </c>
      <c r="Q25" s="572">
        <f t="shared" ref="Q25:S26" si="15">Q79+Q101+Q124+Q146+Q164+Q180+Q193+Q273+Q289+Q310+Q340+Q382+Q399+Q420+Q500+Q606+Q623+Q649+Q697+Q721+Q735+Q767</f>
        <v>0</v>
      </c>
      <c r="R25" s="572">
        <f t="shared" si="15"/>
        <v>0</v>
      </c>
      <c r="S25" s="572">
        <f t="shared" si="15"/>
        <v>0</v>
      </c>
      <c r="T25" s="572">
        <f t="shared" si="4"/>
        <v>0</v>
      </c>
      <c r="U25" s="572">
        <f t="shared" si="5"/>
        <v>0</v>
      </c>
    </row>
    <row r="26" spans="1:21" ht="15.75" customHeight="1" x14ac:dyDescent="0.25">
      <c r="A26" s="560"/>
      <c r="B26" s="561"/>
      <c r="C26" s="561"/>
      <c r="D26" s="561"/>
      <c r="E26" s="573" t="s">
        <v>21</v>
      </c>
      <c r="F26" s="561"/>
      <c r="G26" s="563"/>
      <c r="H26" s="564" t="s">
        <v>14</v>
      </c>
      <c r="I26" s="565"/>
      <c r="J26" s="565"/>
      <c r="K26" s="566"/>
      <c r="L26" s="567">
        <f t="shared" ca="1" si="14"/>
        <v>3620000</v>
      </c>
      <c r="M26" s="568">
        <f t="shared" ca="1" si="14"/>
        <v>3620000</v>
      </c>
      <c r="N26" s="568">
        <f t="shared" ca="1" si="14"/>
        <v>0</v>
      </c>
      <c r="O26" s="568">
        <f t="shared" ca="1" si="1"/>
        <v>0</v>
      </c>
      <c r="P26" s="568">
        <f t="shared" ca="1" si="2"/>
        <v>0</v>
      </c>
      <c r="Q26" s="572">
        <f t="shared" ca="1" si="15"/>
        <v>0</v>
      </c>
      <c r="R26" s="572">
        <f t="shared" ca="1" si="15"/>
        <v>0</v>
      </c>
      <c r="S26" s="572">
        <f t="shared" ca="1" si="15"/>
        <v>0</v>
      </c>
      <c r="T26" s="568">
        <f t="shared" ca="1" si="4"/>
        <v>0</v>
      </c>
      <c r="U26" s="568">
        <f t="shared" ca="1" si="5"/>
        <v>0</v>
      </c>
    </row>
    <row r="27" spans="1:21" ht="15.75" customHeight="1" x14ac:dyDescent="0.25">
      <c r="A27" s="560"/>
      <c r="B27" s="561"/>
      <c r="C27" s="561"/>
      <c r="D27" s="562" t="s">
        <v>24</v>
      </c>
      <c r="E27" s="561"/>
      <c r="F27" s="561"/>
      <c r="G27" s="563"/>
      <c r="H27" s="564" t="s">
        <v>14</v>
      </c>
      <c r="I27" s="565"/>
      <c r="J27" s="565"/>
      <c r="K27" s="566"/>
      <c r="L27" s="574"/>
      <c r="M27" s="566"/>
      <c r="N27" s="566"/>
      <c r="O27" s="566"/>
      <c r="P27" s="566"/>
      <c r="Q27" s="566"/>
      <c r="R27" s="566"/>
      <c r="S27" s="566"/>
      <c r="T27" s="566"/>
      <c r="U27" s="566"/>
    </row>
    <row r="28" spans="1:21" ht="15.75" customHeight="1" x14ac:dyDescent="0.25">
      <c r="A28" s="560"/>
      <c r="B28" s="561"/>
      <c r="C28" s="561"/>
      <c r="D28" s="561"/>
      <c r="E28" s="569" t="s">
        <v>20</v>
      </c>
      <c r="F28" s="561"/>
      <c r="G28" s="563"/>
      <c r="H28" s="570" t="s">
        <v>14</v>
      </c>
      <c r="I28" s="565"/>
      <c r="J28" s="565"/>
      <c r="K28" s="566"/>
      <c r="L28" s="574"/>
      <c r="M28" s="566"/>
      <c r="N28" s="566"/>
      <c r="O28" s="566"/>
      <c r="P28" s="566"/>
      <c r="Q28" s="566"/>
      <c r="R28" s="566"/>
      <c r="S28" s="566"/>
      <c r="T28" s="566"/>
      <c r="U28" s="566"/>
    </row>
    <row r="29" spans="1:21" ht="15.75" customHeight="1" x14ac:dyDescent="0.25">
      <c r="A29" s="575"/>
      <c r="B29" s="513"/>
      <c r="C29" s="513"/>
      <c r="D29" s="513"/>
      <c r="E29" s="576" t="s">
        <v>21</v>
      </c>
      <c r="F29" s="513"/>
      <c r="G29" s="577"/>
      <c r="H29" s="578" t="s">
        <v>14</v>
      </c>
      <c r="I29" s="579"/>
      <c r="J29" s="579"/>
      <c r="K29" s="580"/>
      <c r="L29" s="581"/>
      <c r="M29" s="580"/>
      <c r="N29" s="580"/>
      <c r="O29" s="580"/>
      <c r="P29" s="580"/>
      <c r="Q29" s="580"/>
      <c r="R29" s="580"/>
      <c r="S29" s="580"/>
      <c r="T29" s="580"/>
      <c r="U29" s="580"/>
    </row>
    <row r="30" spans="1:21" ht="12.75" hidden="1" x14ac:dyDescent="0.2">
      <c r="A30" s="1316"/>
      <c r="B30" s="1314"/>
      <c r="C30" s="1314"/>
      <c r="D30" s="1314"/>
      <c r="E30" s="1314"/>
      <c r="F30" s="1314"/>
      <c r="G30" s="1317"/>
      <c r="H30" s="526"/>
      <c r="I30" s="527"/>
      <c r="J30" s="527"/>
      <c r="K30" s="528"/>
      <c r="L30" s="529"/>
      <c r="M30" s="528"/>
      <c r="N30" s="528"/>
      <c r="O30" s="528"/>
      <c r="P30" s="528"/>
      <c r="Q30" s="528"/>
      <c r="R30" s="528"/>
      <c r="S30" s="528"/>
      <c r="T30" s="528"/>
      <c r="U30" s="528"/>
    </row>
    <row r="31" spans="1:21" ht="12.75" hidden="1" x14ac:dyDescent="0.2">
      <c r="A31" s="530"/>
      <c r="B31" s="531"/>
      <c r="C31" s="531"/>
      <c r="D31" s="531"/>
      <c r="E31" s="531"/>
      <c r="F31" s="531"/>
      <c r="G31" s="532"/>
      <c r="H31" s="532"/>
      <c r="I31" s="533"/>
      <c r="J31" s="533"/>
      <c r="K31" s="534"/>
      <c r="L31" s="535"/>
      <c r="M31" s="534"/>
      <c r="N31" s="534"/>
      <c r="O31" s="534"/>
      <c r="P31" s="534"/>
      <c r="Q31" s="534"/>
      <c r="R31" s="534"/>
      <c r="S31" s="534"/>
      <c r="T31" s="534"/>
      <c r="U31" s="534"/>
    </row>
    <row r="32" spans="1:21" ht="12.75" hidden="1" x14ac:dyDescent="0.2">
      <c r="A32" s="530"/>
      <c r="B32" s="531"/>
      <c r="C32" s="531"/>
      <c r="D32" s="531"/>
      <c r="E32" s="531"/>
      <c r="F32" s="531"/>
      <c r="G32" s="532"/>
      <c r="H32" s="532"/>
      <c r="I32" s="533"/>
      <c r="J32" s="533"/>
      <c r="K32" s="534"/>
      <c r="L32" s="535"/>
      <c r="M32" s="534"/>
      <c r="N32" s="534"/>
      <c r="O32" s="534"/>
      <c r="P32" s="534"/>
      <c r="Q32" s="534"/>
      <c r="R32" s="534"/>
      <c r="S32" s="534"/>
      <c r="T32" s="534"/>
      <c r="U32" s="534"/>
    </row>
    <row r="33" spans="1:21" ht="12.75" hidden="1" x14ac:dyDescent="0.2">
      <c r="A33" s="530"/>
      <c r="B33" s="531"/>
      <c r="C33" s="531"/>
      <c r="D33" s="531"/>
      <c r="E33" s="531"/>
      <c r="F33" s="531"/>
      <c r="G33" s="532"/>
      <c r="H33" s="532"/>
      <c r="I33" s="533"/>
      <c r="J33" s="533"/>
      <c r="K33" s="534"/>
      <c r="L33" s="535"/>
      <c r="M33" s="534"/>
      <c r="N33" s="534"/>
      <c r="O33" s="534"/>
      <c r="P33" s="534"/>
      <c r="Q33" s="534"/>
      <c r="R33" s="534"/>
      <c r="S33" s="534"/>
      <c r="T33" s="534"/>
      <c r="U33" s="534"/>
    </row>
    <row r="34" spans="1:21" ht="12.75" hidden="1" x14ac:dyDescent="0.2">
      <c r="A34" s="530"/>
      <c r="B34" s="531"/>
      <c r="C34" s="531"/>
      <c r="D34" s="531"/>
      <c r="E34" s="531"/>
      <c r="F34" s="531"/>
      <c r="G34" s="532"/>
      <c r="H34" s="532"/>
      <c r="I34" s="533"/>
      <c r="J34" s="533"/>
      <c r="K34" s="534"/>
      <c r="L34" s="535"/>
      <c r="M34" s="534"/>
      <c r="N34" s="534"/>
      <c r="O34" s="534"/>
      <c r="P34" s="534"/>
      <c r="Q34" s="534"/>
      <c r="R34" s="534"/>
      <c r="S34" s="534"/>
      <c r="T34" s="534"/>
      <c r="U34" s="534"/>
    </row>
    <row r="35" spans="1:21" ht="12.75" hidden="1" x14ac:dyDescent="0.2">
      <c r="A35" s="530"/>
      <c r="B35" s="531"/>
      <c r="C35" s="531"/>
      <c r="D35" s="531"/>
      <c r="E35" s="531"/>
      <c r="F35" s="531"/>
      <c r="G35" s="532"/>
      <c r="H35" s="532"/>
      <c r="I35" s="533"/>
      <c r="J35" s="533"/>
      <c r="K35" s="534"/>
      <c r="L35" s="535"/>
      <c r="M35" s="534"/>
      <c r="N35" s="534"/>
      <c r="O35" s="534"/>
      <c r="P35" s="534"/>
      <c r="Q35" s="534"/>
      <c r="R35" s="534"/>
      <c r="S35" s="534"/>
      <c r="T35" s="534"/>
      <c r="U35" s="534"/>
    </row>
    <row r="36" spans="1:21" ht="12.75" hidden="1" x14ac:dyDescent="0.2">
      <c r="A36" s="530"/>
      <c r="B36" s="531"/>
      <c r="C36" s="531"/>
      <c r="D36" s="531"/>
      <c r="E36" s="531"/>
      <c r="F36" s="531"/>
      <c r="G36" s="532"/>
      <c r="H36" s="532"/>
      <c r="I36" s="533"/>
      <c r="J36" s="533"/>
      <c r="K36" s="534"/>
      <c r="L36" s="535"/>
      <c r="M36" s="534"/>
      <c r="N36" s="534"/>
      <c r="O36" s="534"/>
      <c r="P36" s="534"/>
      <c r="Q36" s="534"/>
      <c r="R36" s="534"/>
      <c r="S36" s="534"/>
      <c r="T36" s="534"/>
      <c r="U36" s="534"/>
    </row>
    <row r="37" spans="1:21" ht="12.75" hidden="1" x14ac:dyDescent="0.2">
      <c r="A37" s="530"/>
      <c r="B37" s="531"/>
      <c r="C37" s="531"/>
      <c r="D37" s="531"/>
      <c r="E37" s="531"/>
      <c r="F37" s="531"/>
      <c r="G37" s="532"/>
      <c r="H37" s="532"/>
      <c r="I37" s="533"/>
      <c r="J37" s="533"/>
      <c r="K37" s="534"/>
      <c r="L37" s="535"/>
      <c r="M37" s="534"/>
      <c r="N37" s="534"/>
      <c r="O37" s="534"/>
      <c r="P37" s="534"/>
      <c r="Q37" s="534"/>
      <c r="R37" s="534"/>
      <c r="S37" s="534"/>
      <c r="T37" s="534"/>
      <c r="U37" s="534"/>
    </row>
    <row r="38" spans="1:21" ht="12.75" hidden="1" x14ac:dyDescent="0.2">
      <c r="A38" s="530"/>
      <c r="B38" s="531"/>
      <c r="C38" s="531"/>
      <c r="D38" s="531"/>
      <c r="E38" s="531"/>
      <c r="F38" s="531"/>
      <c r="G38" s="532"/>
      <c r="H38" s="532"/>
      <c r="I38" s="533"/>
      <c r="J38" s="533"/>
      <c r="K38" s="534"/>
      <c r="L38" s="535"/>
      <c r="M38" s="534"/>
      <c r="N38" s="534"/>
      <c r="O38" s="534"/>
      <c r="P38" s="534"/>
      <c r="Q38" s="534"/>
      <c r="R38" s="534"/>
      <c r="S38" s="534"/>
      <c r="T38" s="534"/>
      <c r="U38" s="534"/>
    </row>
    <row r="39" spans="1:21" ht="12.75" hidden="1" x14ac:dyDescent="0.2">
      <c r="A39" s="536"/>
      <c r="B39" s="537"/>
      <c r="C39" s="537"/>
      <c r="D39" s="537"/>
      <c r="E39" s="537"/>
      <c r="F39" s="537"/>
      <c r="G39" s="526"/>
      <c r="H39" s="526"/>
      <c r="I39" s="527"/>
      <c r="J39" s="527"/>
      <c r="K39" s="528"/>
      <c r="L39" s="529"/>
      <c r="M39" s="528"/>
      <c r="N39" s="528"/>
      <c r="O39" s="528"/>
      <c r="P39" s="528"/>
      <c r="Q39" s="528"/>
      <c r="R39" s="528"/>
      <c r="S39" s="528"/>
      <c r="T39" s="528"/>
      <c r="U39" s="528"/>
    </row>
    <row r="40" spans="1:21" ht="19.5" x14ac:dyDescent="0.3">
      <c r="A40" s="582" t="s">
        <v>25</v>
      </c>
      <c r="B40" s="583"/>
      <c r="C40" s="583"/>
      <c r="D40" s="583"/>
      <c r="E40" s="583"/>
      <c r="F40" s="583"/>
      <c r="G40" s="584"/>
      <c r="H40" s="584"/>
      <c r="I40" s="585"/>
      <c r="J40" s="585"/>
      <c r="K40" s="586"/>
      <c r="L40" s="587">
        <f t="shared" ref="L40:N40" ca="1" si="16">L44+L59+L72+L94+L125+L139+L157+L173+L186+L266+L282+L303+L320+L333+L356</f>
        <v>6287630</v>
      </c>
      <c r="M40" s="588">
        <f t="shared" ca="1" si="16"/>
        <v>6437188</v>
      </c>
      <c r="N40" s="588">
        <f t="shared" ca="1" si="16"/>
        <v>1917256.0199999998</v>
      </c>
      <c r="O40" s="588">
        <f ca="1">IF(L40&gt;0,N40*100/L40,0)</f>
        <v>30.492507033651783</v>
      </c>
      <c r="P40" s="588">
        <f ca="1">IF(M40&gt;0,N40*100/M40,0)</f>
        <v>29.784061301301122</v>
      </c>
      <c r="Q40" s="586"/>
      <c r="R40" s="586"/>
      <c r="S40" s="586"/>
      <c r="T40" s="586"/>
      <c r="U40" s="586"/>
    </row>
    <row r="41" spans="1:21" ht="19.5" x14ac:dyDescent="0.3">
      <c r="A41" s="589" t="s">
        <v>26</v>
      </c>
      <c r="B41" s="590"/>
      <c r="C41" s="590"/>
      <c r="D41" s="590"/>
      <c r="E41" s="590"/>
      <c r="F41" s="590"/>
      <c r="G41" s="590"/>
      <c r="H41" s="590"/>
      <c r="I41" s="591"/>
      <c r="J41" s="591"/>
      <c r="K41" s="592"/>
      <c r="L41" s="592"/>
      <c r="M41" s="592"/>
      <c r="N41" s="592"/>
      <c r="O41" s="592"/>
      <c r="P41" s="593"/>
      <c r="Q41" s="592"/>
      <c r="R41" s="592"/>
      <c r="S41" s="592"/>
      <c r="T41" s="592"/>
      <c r="U41" s="593"/>
    </row>
    <row r="42" spans="1:21" ht="19.5" x14ac:dyDescent="0.3">
      <c r="A42" s="594"/>
      <c r="B42" s="595" t="s">
        <v>27</v>
      </c>
      <c r="C42" s="594"/>
      <c r="D42" s="594"/>
      <c r="E42" s="594"/>
      <c r="F42" s="594"/>
      <c r="G42" s="596"/>
      <c r="H42" s="596"/>
      <c r="I42" s="597"/>
      <c r="J42" s="597"/>
      <c r="K42" s="598"/>
      <c r="L42" s="599"/>
      <c r="M42" s="598"/>
      <c r="N42" s="598"/>
      <c r="O42" s="598"/>
      <c r="P42" s="598"/>
      <c r="Q42" s="598"/>
      <c r="R42" s="598"/>
      <c r="S42" s="598"/>
      <c r="T42" s="598"/>
      <c r="U42" s="598"/>
    </row>
    <row r="43" spans="1:21" ht="12.75" hidden="1" x14ac:dyDescent="0.2">
      <c r="A43" s="530"/>
      <c r="B43" s="531"/>
      <c r="C43" s="531"/>
      <c r="D43" s="531"/>
      <c r="E43" s="531"/>
      <c r="F43" s="531"/>
      <c r="G43" s="532"/>
      <c r="H43" s="532"/>
      <c r="I43" s="533"/>
      <c r="J43" s="533"/>
      <c r="K43" s="534"/>
      <c r="L43" s="535"/>
      <c r="M43" s="534"/>
      <c r="N43" s="534"/>
      <c r="O43" s="534"/>
      <c r="P43" s="534"/>
      <c r="Q43" s="534"/>
      <c r="R43" s="534"/>
      <c r="S43" s="534"/>
      <c r="T43" s="534"/>
      <c r="U43" s="534"/>
    </row>
    <row r="44" spans="1:21" ht="19.5" x14ac:dyDescent="0.3">
      <c r="A44" s="600"/>
      <c r="B44" s="601"/>
      <c r="C44" s="602" t="s">
        <v>18</v>
      </c>
      <c r="D44" s="603" t="s">
        <v>19</v>
      </c>
      <c r="E44" s="601"/>
      <c r="F44" s="601"/>
      <c r="G44" s="604"/>
      <c r="H44" s="605" t="s">
        <v>14</v>
      </c>
      <c r="I44" s="606"/>
      <c r="J44" s="606"/>
      <c r="K44" s="607"/>
      <c r="L44" s="608">
        <f t="shared" ref="L44:N44" ca="1" si="17">L45+L46</f>
        <v>400300</v>
      </c>
      <c r="M44" s="609">
        <f t="shared" ca="1" si="17"/>
        <v>612376</v>
      </c>
      <c r="N44" s="609">
        <f t="shared" ca="1" si="17"/>
        <v>459476</v>
      </c>
      <c r="O44" s="609">
        <f t="shared" ref="O44:O52" ca="1" si="18">IF(L44&gt;0,N44*100/L44,0)</f>
        <v>114.78291281538846</v>
      </c>
      <c r="P44" s="609">
        <f t="shared" ref="P44:P52" ca="1" si="19">IF(M44&gt;0,N44*100/M44,0)</f>
        <v>75.031679882947728</v>
      </c>
      <c r="Q44" s="609">
        <f t="shared" ref="Q44:S44" si="20">Q45+Q46</f>
        <v>0</v>
      </c>
      <c r="R44" s="609">
        <f t="shared" si="20"/>
        <v>0</v>
      </c>
      <c r="S44" s="609">
        <f t="shared" si="20"/>
        <v>0</v>
      </c>
      <c r="T44" s="609">
        <f t="shared" ref="T44:T52" si="21">IF(Q44&gt;0,S44*100/Q44,0)</f>
        <v>0</v>
      </c>
      <c r="U44" s="609">
        <f t="shared" ref="U44:U52" si="22">IF(R44&gt;0,S44*100/R44,0)</f>
        <v>0</v>
      </c>
    </row>
    <row r="45" spans="1:21" ht="18.75" x14ac:dyDescent="0.25">
      <c r="A45" s="600"/>
      <c r="B45" s="601"/>
      <c r="C45" s="601"/>
      <c r="D45" s="601"/>
      <c r="E45" s="610" t="s">
        <v>20</v>
      </c>
      <c r="F45" s="601"/>
      <c r="G45" s="604"/>
      <c r="H45" s="611" t="s">
        <v>14</v>
      </c>
      <c r="I45" s="606"/>
      <c r="J45" s="606"/>
      <c r="K45" s="607"/>
      <c r="L45" s="612">
        <f t="shared" ref="L45:N46" si="23">L48+L51</f>
        <v>0</v>
      </c>
      <c r="M45" s="613">
        <f t="shared" si="23"/>
        <v>0</v>
      </c>
      <c r="N45" s="613">
        <f t="shared" si="23"/>
        <v>0</v>
      </c>
      <c r="O45" s="613">
        <f t="shared" si="18"/>
        <v>0</v>
      </c>
      <c r="P45" s="613">
        <f t="shared" si="19"/>
        <v>0</v>
      </c>
      <c r="Q45" s="613">
        <f t="shared" ref="Q45:S46" si="24">Q48+Q51</f>
        <v>0</v>
      </c>
      <c r="R45" s="613">
        <f t="shared" si="24"/>
        <v>0</v>
      </c>
      <c r="S45" s="613">
        <f t="shared" si="24"/>
        <v>0</v>
      </c>
      <c r="T45" s="613">
        <f t="shared" si="21"/>
        <v>0</v>
      </c>
      <c r="U45" s="613">
        <f t="shared" si="22"/>
        <v>0</v>
      </c>
    </row>
    <row r="46" spans="1:21" ht="18.75" x14ac:dyDescent="0.25">
      <c r="A46" s="600"/>
      <c r="B46" s="601"/>
      <c r="C46" s="601"/>
      <c r="D46" s="601"/>
      <c r="E46" s="614" t="s">
        <v>21</v>
      </c>
      <c r="F46" s="601"/>
      <c r="G46" s="604"/>
      <c r="H46" s="615" t="s">
        <v>14</v>
      </c>
      <c r="I46" s="606"/>
      <c r="J46" s="606"/>
      <c r="K46" s="607"/>
      <c r="L46" s="616">
        <f t="shared" ca="1" si="23"/>
        <v>400300</v>
      </c>
      <c r="M46" s="617">
        <f t="shared" ca="1" si="23"/>
        <v>612376</v>
      </c>
      <c r="N46" s="617">
        <f t="shared" ca="1" si="23"/>
        <v>459476</v>
      </c>
      <c r="O46" s="617">
        <f t="shared" ca="1" si="18"/>
        <v>114.78291281538846</v>
      </c>
      <c r="P46" s="617">
        <f t="shared" ca="1" si="19"/>
        <v>75.031679882947728</v>
      </c>
      <c r="Q46" s="617">
        <f t="shared" si="24"/>
        <v>0</v>
      </c>
      <c r="R46" s="617">
        <f t="shared" si="24"/>
        <v>0</v>
      </c>
      <c r="S46" s="617">
        <f t="shared" si="24"/>
        <v>0</v>
      </c>
      <c r="T46" s="617">
        <f t="shared" si="21"/>
        <v>0</v>
      </c>
      <c r="U46" s="617">
        <f t="shared" si="22"/>
        <v>0</v>
      </c>
    </row>
    <row r="47" spans="1:21" ht="18.75" x14ac:dyDescent="0.25">
      <c r="A47" s="560"/>
      <c r="B47" s="561"/>
      <c r="C47" s="561"/>
      <c r="D47" s="562" t="s">
        <v>22</v>
      </c>
      <c r="E47" s="561"/>
      <c r="F47" s="561"/>
      <c r="G47" s="563"/>
      <c r="H47" s="564" t="s">
        <v>14</v>
      </c>
      <c r="I47" s="565"/>
      <c r="J47" s="565"/>
      <c r="K47" s="566"/>
      <c r="L47" s="567">
        <f t="shared" ref="L47:N47" ca="1" si="25">L48+L49</f>
        <v>400300</v>
      </c>
      <c r="M47" s="568">
        <f t="shared" ca="1" si="25"/>
        <v>612376</v>
      </c>
      <c r="N47" s="568">
        <f t="shared" ca="1" si="25"/>
        <v>459476</v>
      </c>
      <c r="O47" s="568">
        <f t="shared" ca="1" si="18"/>
        <v>114.78291281538846</v>
      </c>
      <c r="P47" s="568">
        <f t="shared" ca="1" si="19"/>
        <v>75.031679882947728</v>
      </c>
      <c r="Q47" s="568">
        <f t="shared" ref="Q47:S47" si="26">Q48+Q49</f>
        <v>0</v>
      </c>
      <c r="R47" s="568">
        <f t="shared" si="26"/>
        <v>0</v>
      </c>
      <c r="S47" s="568">
        <f t="shared" si="26"/>
        <v>0</v>
      </c>
      <c r="T47" s="568">
        <f t="shared" si="21"/>
        <v>0</v>
      </c>
      <c r="U47" s="568">
        <f t="shared" si="22"/>
        <v>0</v>
      </c>
    </row>
    <row r="48" spans="1:21" ht="18.75" x14ac:dyDescent="0.25">
      <c r="A48" s="560"/>
      <c r="B48" s="561"/>
      <c r="C48" s="561"/>
      <c r="D48" s="561"/>
      <c r="E48" s="569" t="s">
        <v>20</v>
      </c>
      <c r="F48" s="561"/>
      <c r="G48" s="563"/>
      <c r="H48" s="570" t="s">
        <v>14</v>
      </c>
      <c r="I48" s="565"/>
      <c r="J48" s="565"/>
      <c r="K48" s="566"/>
      <c r="L48" s="571">
        <v>0</v>
      </c>
      <c r="M48" s="572">
        <v>0</v>
      </c>
      <c r="N48" s="572">
        <v>0</v>
      </c>
      <c r="O48" s="572">
        <f t="shared" si="18"/>
        <v>0</v>
      </c>
      <c r="P48" s="572">
        <f t="shared" si="19"/>
        <v>0</v>
      </c>
      <c r="Q48" s="572">
        <v>0</v>
      </c>
      <c r="R48" s="572">
        <v>0</v>
      </c>
      <c r="S48" s="572">
        <v>0</v>
      </c>
      <c r="T48" s="572">
        <f t="shared" si="21"/>
        <v>0</v>
      </c>
      <c r="U48" s="572">
        <f t="shared" si="22"/>
        <v>0</v>
      </c>
    </row>
    <row r="49" spans="1:21" ht="18.75" x14ac:dyDescent="0.25">
      <c r="A49" s="560"/>
      <c r="B49" s="561"/>
      <c r="C49" s="561"/>
      <c r="D49" s="561"/>
      <c r="E49" s="573" t="s">
        <v>21</v>
      </c>
      <c r="F49" s="561"/>
      <c r="G49" s="563"/>
      <c r="H49" s="564" t="s">
        <v>14</v>
      </c>
      <c r="I49" s="565"/>
      <c r="J49" s="565"/>
      <c r="K49" s="566"/>
      <c r="L49" s="567">
        <f ca="1">IFERROR(__xludf.DUMMYFUNCTION("IMPORTRANGE(""https://docs.google.com/spreadsheets/d/1-uDff_7J0KD5mKrp0Vvzr7lt3OU09vwQwhkpOPPYv2Y/edit?usp=sharing"",""งบพรบ!P20"")"),400300)</f>
        <v>400300</v>
      </c>
      <c r="M49" s="568">
        <f ca="1">IFERROR(__xludf.DUMMYFUNCTION("IMPORTRANGE(""https://docs.google.com/spreadsheets/d/1-uDff_7J0KD5mKrp0Vvzr7lt3OU09vwQwhkpOPPYv2Y/edit?usp=sharing"",""งบพรบ!V20"")"),612376)</f>
        <v>612376</v>
      </c>
      <c r="N49" s="568">
        <f ca="1">IFERROR(__xludf.DUMMYFUNCTION("IMPORTRANGE(""https://docs.google.com/spreadsheets/d/1-uDff_7J0KD5mKrp0Vvzr7lt3OU09vwQwhkpOPPYv2Y/edit?usp=sharing"",""งบพรบ!Y20"")"),459476)</f>
        <v>459476</v>
      </c>
      <c r="O49" s="568">
        <f t="shared" ca="1" si="18"/>
        <v>114.78291281538846</v>
      </c>
      <c r="P49" s="568">
        <f t="shared" ca="1" si="19"/>
        <v>75.031679882947728</v>
      </c>
      <c r="Q49" s="568">
        <v>0</v>
      </c>
      <c r="R49" s="568">
        <v>0</v>
      </c>
      <c r="S49" s="568">
        <v>0</v>
      </c>
      <c r="T49" s="568">
        <f t="shared" si="21"/>
        <v>0</v>
      </c>
      <c r="U49" s="568">
        <f t="shared" si="22"/>
        <v>0</v>
      </c>
    </row>
    <row r="50" spans="1:21" ht="18.75" x14ac:dyDescent="0.25">
      <c r="A50" s="560"/>
      <c r="B50" s="561"/>
      <c r="C50" s="561"/>
      <c r="D50" s="562" t="s">
        <v>23</v>
      </c>
      <c r="E50" s="561"/>
      <c r="F50" s="561"/>
      <c r="G50" s="563"/>
      <c r="H50" s="564" t="s">
        <v>14</v>
      </c>
      <c r="I50" s="565"/>
      <c r="J50" s="565"/>
      <c r="K50" s="566"/>
      <c r="L50" s="567">
        <f t="shared" ref="L50:N50" ca="1" si="27">L51+L52</f>
        <v>0</v>
      </c>
      <c r="M50" s="568">
        <f t="shared" ca="1" si="27"/>
        <v>0</v>
      </c>
      <c r="N50" s="568">
        <f t="shared" ca="1" si="27"/>
        <v>0</v>
      </c>
      <c r="O50" s="568">
        <f t="shared" ca="1" si="18"/>
        <v>0</v>
      </c>
      <c r="P50" s="568">
        <f t="shared" ca="1" si="19"/>
        <v>0</v>
      </c>
      <c r="Q50" s="568">
        <f t="shared" ref="Q50:S50" si="28">Q51+Q52</f>
        <v>0</v>
      </c>
      <c r="R50" s="568">
        <f t="shared" si="28"/>
        <v>0</v>
      </c>
      <c r="S50" s="568">
        <f t="shared" si="28"/>
        <v>0</v>
      </c>
      <c r="T50" s="568">
        <f t="shared" si="21"/>
        <v>0</v>
      </c>
      <c r="U50" s="568">
        <f t="shared" si="22"/>
        <v>0</v>
      </c>
    </row>
    <row r="51" spans="1:21" ht="18.75" x14ac:dyDescent="0.25">
      <c r="A51" s="560"/>
      <c r="B51" s="561"/>
      <c r="C51" s="561"/>
      <c r="D51" s="561"/>
      <c r="E51" s="569" t="s">
        <v>20</v>
      </c>
      <c r="F51" s="561"/>
      <c r="G51" s="563"/>
      <c r="H51" s="570" t="s">
        <v>14</v>
      </c>
      <c r="I51" s="565"/>
      <c r="J51" s="565"/>
      <c r="K51" s="566"/>
      <c r="L51" s="571">
        <v>0</v>
      </c>
      <c r="M51" s="572">
        <v>0</v>
      </c>
      <c r="N51" s="572">
        <v>0</v>
      </c>
      <c r="O51" s="572">
        <f t="shared" si="18"/>
        <v>0</v>
      </c>
      <c r="P51" s="572">
        <f t="shared" si="19"/>
        <v>0</v>
      </c>
      <c r="Q51" s="572">
        <v>0</v>
      </c>
      <c r="R51" s="572">
        <v>0</v>
      </c>
      <c r="S51" s="572">
        <v>0</v>
      </c>
      <c r="T51" s="572">
        <f t="shared" si="21"/>
        <v>0</v>
      </c>
      <c r="U51" s="572">
        <f t="shared" si="22"/>
        <v>0</v>
      </c>
    </row>
    <row r="52" spans="1:21" ht="18.75" x14ac:dyDescent="0.25">
      <c r="A52" s="560"/>
      <c r="B52" s="561"/>
      <c r="C52" s="561"/>
      <c r="D52" s="561"/>
      <c r="E52" s="573" t="s">
        <v>21</v>
      </c>
      <c r="F52" s="561"/>
      <c r="G52" s="563"/>
      <c r="H52" s="564" t="s">
        <v>14</v>
      </c>
      <c r="I52" s="565"/>
      <c r="J52" s="565"/>
      <c r="K52" s="566"/>
      <c r="L52" s="567">
        <f ca="1">IFERROR(__xludf.DUMMYFUNCTION("IMPORTRANGE(""https://docs.google.com/spreadsheets/d/1-uDff_7J0KD5mKrp0Vvzr7lt3OU09vwQwhkpOPPYv2Y/edit?usp=sharing"",""งบพรบ!S20"")"),0)</f>
        <v>0</v>
      </c>
      <c r="M52" s="568">
        <f ca="1">IFERROR(__xludf.DUMMYFUNCTION("IMPORTRANGE(""https://docs.google.com/spreadsheets/d/1-uDff_7J0KD5mKrp0Vvzr7lt3OU09vwQwhkpOPPYv2Y/edit?usp=sharing"",""งบพรบ!W20"")"),0)</f>
        <v>0</v>
      </c>
      <c r="N52" s="568">
        <f ca="1">IFERROR(__xludf.DUMMYFUNCTION("IMPORTRANGE(""https://docs.google.com/spreadsheets/d/1-uDff_7J0KD5mKrp0Vvzr7lt3OU09vwQwhkpOPPYv2Y/edit?usp=sharing"",""งบพรบ!Z20"")"),0)</f>
        <v>0</v>
      </c>
      <c r="O52" s="568">
        <f t="shared" ca="1" si="18"/>
        <v>0</v>
      </c>
      <c r="P52" s="568">
        <f t="shared" ca="1" si="19"/>
        <v>0</v>
      </c>
      <c r="Q52" s="568">
        <v>0</v>
      </c>
      <c r="R52" s="568">
        <v>0</v>
      </c>
      <c r="S52" s="568">
        <v>0</v>
      </c>
      <c r="T52" s="568">
        <f t="shared" si="21"/>
        <v>0</v>
      </c>
      <c r="U52" s="568">
        <f t="shared" si="22"/>
        <v>0</v>
      </c>
    </row>
    <row r="53" spans="1:21" ht="18.75" x14ac:dyDescent="0.25">
      <c r="A53" s="560"/>
      <c r="B53" s="561"/>
      <c r="C53" s="561"/>
      <c r="D53" s="562" t="s">
        <v>24</v>
      </c>
      <c r="E53" s="561"/>
      <c r="F53" s="561"/>
      <c r="G53" s="563"/>
      <c r="H53" s="564" t="s">
        <v>14</v>
      </c>
      <c r="I53" s="565"/>
      <c r="J53" s="565"/>
      <c r="K53" s="566"/>
      <c r="L53" s="574"/>
      <c r="M53" s="566"/>
      <c r="N53" s="566"/>
      <c r="O53" s="566"/>
      <c r="P53" s="566"/>
      <c r="Q53" s="566"/>
      <c r="R53" s="566"/>
      <c r="S53" s="566"/>
      <c r="T53" s="566"/>
      <c r="U53" s="566"/>
    </row>
    <row r="54" spans="1:21" ht="18.75" x14ac:dyDescent="0.25">
      <c r="A54" s="560"/>
      <c r="B54" s="561"/>
      <c r="C54" s="561"/>
      <c r="D54" s="561"/>
      <c r="E54" s="569" t="s">
        <v>20</v>
      </c>
      <c r="F54" s="561"/>
      <c r="G54" s="563"/>
      <c r="H54" s="570" t="s">
        <v>14</v>
      </c>
      <c r="I54" s="565"/>
      <c r="J54" s="565"/>
      <c r="K54" s="566"/>
      <c r="L54" s="574"/>
      <c r="M54" s="566"/>
      <c r="N54" s="566"/>
      <c r="O54" s="566"/>
      <c r="P54" s="566"/>
      <c r="Q54" s="566"/>
      <c r="R54" s="566"/>
      <c r="S54" s="566"/>
      <c r="T54" s="566"/>
      <c r="U54" s="566"/>
    </row>
    <row r="55" spans="1:21" ht="18.75" x14ac:dyDescent="0.25">
      <c r="A55" s="575"/>
      <c r="B55" s="513"/>
      <c r="C55" s="513"/>
      <c r="D55" s="513"/>
      <c r="E55" s="576" t="s">
        <v>21</v>
      </c>
      <c r="F55" s="513"/>
      <c r="G55" s="577"/>
      <c r="H55" s="578" t="s">
        <v>14</v>
      </c>
      <c r="I55" s="579"/>
      <c r="J55" s="579"/>
      <c r="K55" s="580"/>
      <c r="L55" s="581"/>
      <c r="M55" s="580"/>
      <c r="N55" s="580"/>
      <c r="O55" s="580"/>
      <c r="P55" s="580"/>
      <c r="Q55" s="580"/>
      <c r="R55" s="580"/>
      <c r="S55" s="580"/>
      <c r="T55" s="580"/>
      <c r="U55" s="580"/>
    </row>
    <row r="56" spans="1:21" ht="19.5" x14ac:dyDescent="0.3">
      <c r="A56" s="1319" t="s">
        <v>28</v>
      </c>
      <c r="B56" s="1314"/>
      <c r="C56" s="1314"/>
      <c r="D56" s="1314"/>
      <c r="E56" s="1314"/>
      <c r="F56" s="1314"/>
      <c r="G56" s="1317"/>
      <c r="H56" s="618"/>
      <c r="I56" s="619"/>
      <c r="J56" s="619"/>
      <c r="K56" s="620"/>
      <c r="L56" s="620"/>
      <c r="M56" s="620"/>
      <c r="N56" s="620"/>
      <c r="O56" s="620"/>
      <c r="P56" s="621"/>
      <c r="Q56" s="620"/>
      <c r="R56" s="620"/>
      <c r="S56" s="620"/>
      <c r="T56" s="620"/>
      <c r="U56" s="621"/>
    </row>
    <row r="57" spans="1:21" ht="19.5" x14ac:dyDescent="0.3">
      <c r="A57" s="622"/>
      <c r="B57" s="1320" t="s">
        <v>29</v>
      </c>
      <c r="C57" s="1311"/>
      <c r="D57" s="1311"/>
      <c r="E57" s="1311"/>
      <c r="F57" s="1311"/>
      <c r="G57" s="1312"/>
      <c r="H57" s="625"/>
      <c r="I57" s="626"/>
      <c r="J57" s="626"/>
      <c r="K57" s="627"/>
      <c r="L57" s="628"/>
      <c r="M57" s="627"/>
      <c r="N57" s="627"/>
      <c r="O57" s="627"/>
      <c r="P57" s="627"/>
      <c r="Q57" s="627"/>
      <c r="R57" s="627"/>
      <c r="S57" s="627"/>
      <c r="T57" s="627"/>
      <c r="U57" s="627"/>
    </row>
    <row r="58" spans="1:21" ht="19.5" x14ac:dyDescent="0.3">
      <c r="A58" s="629"/>
      <c r="B58" s="630" t="s">
        <v>30</v>
      </c>
      <c r="C58" s="631"/>
      <c r="D58" s="631"/>
      <c r="E58" s="631"/>
      <c r="F58" s="631"/>
      <c r="G58" s="632"/>
      <c r="H58" s="632"/>
      <c r="I58" s="633"/>
      <c r="J58" s="633"/>
      <c r="K58" s="634"/>
      <c r="L58" s="635"/>
      <c r="M58" s="634"/>
      <c r="N58" s="634"/>
      <c r="O58" s="634"/>
      <c r="P58" s="634"/>
      <c r="Q58" s="634"/>
      <c r="R58" s="634"/>
      <c r="S58" s="634"/>
      <c r="T58" s="634"/>
      <c r="U58" s="634"/>
    </row>
    <row r="59" spans="1:21" ht="19.5" x14ac:dyDescent="0.3">
      <c r="A59" s="636"/>
      <c r="B59" s="637"/>
      <c r="C59" s="638" t="s">
        <v>18</v>
      </c>
      <c r="D59" s="639" t="s">
        <v>19</v>
      </c>
      <c r="E59" s="637"/>
      <c r="F59" s="637"/>
      <c r="G59" s="640"/>
      <c r="H59" s="641" t="s">
        <v>14</v>
      </c>
      <c r="I59" s="642"/>
      <c r="J59" s="642"/>
      <c r="K59" s="643"/>
      <c r="L59" s="644">
        <f t="shared" ref="L59:N59" ca="1" si="29">L60+L61</f>
        <v>4251700</v>
      </c>
      <c r="M59" s="645">
        <f t="shared" ca="1" si="29"/>
        <v>4254200</v>
      </c>
      <c r="N59" s="645">
        <f t="shared" ca="1" si="29"/>
        <v>343791.62</v>
      </c>
      <c r="O59" s="645">
        <f t="shared" ref="O59:O67" ca="1" si="30">IF(L59&gt;0,N59*100/L59,0)</f>
        <v>8.0859801961568305</v>
      </c>
      <c r="P59" s="645">
        <f t="shared" ref="P59:P67" ca="1" si="31">IF(M59&gt;0,N59*100/M59,0)</f>
        <v>8.0812284330779001</v>
      </c>
      <c r="Q59" s="645">
        <f t="shared" ref="Q59:S59" si="32">Q60+Q61</f>
        <v>0</v>
      </c>
      <c r="R59" s="645">
        <f t="shared" si="32"/>
        <v>0</v>
      </c>
      <c r="S59" s="645">
        <f t="shared" si="32"/>
        <v>0</v>
      </c>
      <c r="T59" s="645">
        <f t="shared" ref="T59:T67" si="33">IF(Q59&gt;0,S59*100/Q59,0)</f>
        <v>0</v>
      </c>
      <c r="U59" s="645">
        <f t="shared" ref="U59:U67" si="34">IF(R59&gt;0,S59*100/R59,0)</f>
        <v>0</v>
      </c>
    </row>
    <row r="60" spans="1:21" ht="18.75" x14ac:dyDescent="0.25">
      <c r="A60" s="636"/>
      <c r="B60" s="637"/>
      <c r="C60" s="637"/>
      <c r="D60" s="637"/>
      <c r="E60" s="646" t="s">
        <v>20</v>
      </c>
      <c r="F60" s="637"/>
      <c r="G60" s="640"/>
      <c r="H60" s="647" t="s">
        <v>14</v>
      </c>
      <c r="I60" s="642"/>
      <c r="J60" s="642"/>
      <c r="K60" s="643"/>
      <c r="L60" s="648">
        <f t="shared" ref="L60:N61" si="35">L63+L66</f>
        <v>0</v>
      </c>
      <c r="M60" s="649">
        <f t="shared" si="35"/>
        <v>0</v>
      </c>
      <c r="N60" s="649">
        <f t="shared" si="35"/>
        <v>0</v>
      </c>
      <c r="O60" s="649">
        <f t="shared" si="30"/>
        <v>0</v>
      </c>
      <c r="P60" s="649">
        <f t="shared" si="31"/>
        <v>0</v>
      </c>
      <c r="Q60" s="649">
        <f t="shared" ref="Q60:S61" si="36">Q63+Q66</f>
        <v>0</v>
      </c>
      <c r="R60" s="649">
        <f t="shared" si="36"/>
        <v>0</v>
      </c>
      <c r="S60" s="649">
        <f t="shared" si="36"/>
        <v>0</v>
      </c>
      <c r="T60" s="649">
        <f t="shared" si="33"/>
        <v>0</v>
      </c>
      <c r="U60" s="649">
        <f t="shared" si="34"/>
        <v>0</v>
      </c>
    </row>
    <row r="61" spans="1:21" ht="18.75" x14ac:dyDescent="0.25">
      <c r="A61" s="636"/>
      <c r="B61" s="637"/>
      <c r="C61" s="637"/>
      <c r="D61" s="637"/>
      <c r="E61" s="650" t="s">
        <v>21</v>
      </c>
      <c r="F61" s="637"/>
      <c r="G61" s="640"/>
      <c r="H61" s="651" t="s">
        <v>14</v>
      </c>
      <c r="I61" s="642"/>
      <c r="J61" s="642"/>
      <c r="K61" s="643"/>
      <c r="L61" s="652">
        <f t="shared" ca="1" si="35"/>
        <v>4251700</v>
      </c>
      <c r="M61" s="653">
        <f t="shared" ca="1" si="35"/>
        <v>4254200</v>
      </c>
      <c r="N61" s="653">
        <f t="shared" ca="1" si="35"/>
        <v>343791.62</v>
      </c>
      <c r="O61" s="653">
        <f t="shared" ca="1" si="30"/>
        <v>8.0859801961568305</v>
      </c>
      <c r="P61" s="653">
        <f t="shared" ca="1" si="31"/>
        <v>8.0812284330779001</v>
      </c>
      <c r="Q61" s="653">
        <f t="shared" si="36"/>
        <v>0</v>
      </c>
      <c r="R61" s="653">
        <f t="shared" si="36"/>
        <v>0</v>
      </c>
      <c r="S61" s="653">
        <f t="shared" si="36"/>
        <v>0</v>
      </c>
      <c r="T61" s="653">
        <f t="shared" si="33"/>
        <v>0</v>
      </c>
      <c r="U61" s="653">
        <f t="shared" si="34"/>
        <v>0</v>
      </c>
    </row>
    <row r="62" spans="1:21" ht="18.75" x14ac:dyDescent="0.25">
      <c r="A62" s="560"/>
      <c r="B62" s="561"/>
      <c r="C62" s="561"/>
      <c r="D62" s="562" t="s">
        <v>22</v>
      </c>
      <c r="E62" s="561"/>
      <c r="F62" s="561"/>
      <c r="G62" s="563"/>
      <c r="H62" s="564" t="s">
        <v>14</v>
      </c>
      <c r="I62" s="565"/>
      <c r="J62" s="565"/>
      <c r="K62" s="566"/>
      <c r="L62" s="567">
        <f t="shared" ref="L62:N62" ca="1" si="37">L63+L64</f>
        <v>631700</v>
      </c>
      <c r="M62" s="568">
        <f t="shared" ca="1" si="37"/>
        <v>634200</v>
      </c>
      <c r="N62" s="568">
        <f t="shared" ca="1" si="37"/>
        <v>343791.62</v>
      </c>
      <c r="O62" s="568">
        <f t="shared" ca="1" si="30"/>
        <v>54.423242045274655</v>
      </c>
      <c r="P62" s="568">
        <f t="shared" ca="1" si="31"/>
        <v>54.208707032481868</v>
      </c>
      <c r="Q62" s="568">
        <f t="shared" ref="Q62:S62" si="38">Q63+Q64</f>
        <v>0</v>
      </c>
      <c r="R62" s="568">
        <f t="shared" si="38"/>
        <v>0</v>
      </c>
      <c r="S62" s="568">
        <f t="shared" si="38"/>
        <v>0</v>
      </c>
      <c r="T62" s="568">
        <f t="shared" si="33"/>
        <v>0</v>
      </c>
      <c r="U62" s="568">
        <f t="shared" si="34"/>
        <v>0</v>
      </c>
    </row>
    <row r="63" spans="1:21" ht="18.75" x14ac:dyDescent="0.25">
      <c r="A63" s="560"/>
      <c r="B63" s="561"/>
      <c r="C63" s="561"/>
      <c r="D63" s="561"/>
      <c r="E63" s="569" t="s">
        <v>20</v>
      </c>
      <c r="F63" s="561"/>
      <c r="G63" s="563"/>
      <c r="H63" s="570" t="s">
        <v>14</v>
      </c>
      <c r="I63" s="565"/>
      <c r="J63" s="565"/>
      <c r="K63" s="566"/>
      <c r="L63" s="571">
        <v>0</v>
      </c>
      <c r="M63" s="572">
        <v>0</v>
      </c>
      <c r="N63" s="572">
        <v>0</v>
      </c>
      <c r="O63" s="572">
        <f t="shared" si="30"/>
        <v>0</v>
      </c>
      <c r="P63" s="572">
        <f t="shared" si="31"/>
        <v>0</v>
      </c>
      <c r="Q63" s="572">
        <v>0</v>
      </c>
      <c r="R63" s="572">
        <v>0</v>
      </c>
      <c r="S63" s="572">
        <v>0</v>
      </c>
      <c r="T63" s="572">
        <f t="shared" si="33"/>
        <v>0</v>
      </c>
      <c r="U63" s="572">
        <f t="shared" si="34"/>
        <v>0</v>
      </c>
    </row>
    <row r="64" spans="1:21" ht="18.75" x14ac:dyDescent="0.25">
      <c r="A64" s="560"/>
      <c r="B64" s="561"/>
      <c r="C64" s="561"/>
      <c r="D64" s="561"/>
      <c r="E64" s="573" t="s">
        <v>21</v>
      </c>
      <c r="F64" s="561"/>
      <c r="G64" s="563"/>
      <c r="H64" s="564" t="s">
        <v>14</v>
      </c>
      <c r="I64" s="565"/>
      <c r="J64" s="565"/>
      <c r="K64" s="566"/>
      <c r="L64" s="567">
        <f ca="1">IFERROR(__xludf.DUMMYFUNCTION("IMPORTRANGE(""https://docs.google.com/spreadsheets/d/1-uDff_7J0KD5mKrp0Vvzr7lt3OU09vwQwhkpOPPYv2Y/edit?usp=sharing"",""งบพรบ!AC20"")"),631700)</f>
        <v>631700</v>
      </c>
      <c r="M64" s="568">
        <f ca="1">IFERROR(__xludf.DUMMYFUNCTION("IMPORTRANGE(""https://docs.google.com/spreadsheets/d/1-uDff_7J0KD5mKrp0Vvzr7lt3OU09vwQwhkpOPPYv2Y/edit?usp=sharing"",""งบพรบ!AH20"")"),634200)</f>
        <v>634200</v>
      </c>
      <c r="N64" s="568">
        <f ca="1">IFERROR(__xludf.DUMMYFUNCTION("IMPORTRANGE(""https://docs.google.com/spreadsheets/d/1-uDff_7J0KD5mKrp0Vvzr7lt3OU09vwQwhkpOPPYv2Y/edit?usp=sharing"",""งบพรบ!AJ20"")"),343791.62)</f>
        <v>343791.62</v>
      </c>
      <c r="O64" s="568">
        <f t="shared" ca="1" si="30"/>
        <v>54.423242045274655</v>
      </c>
      <c r="P64" s="568">
        <f t="shared" ca="1" si="31"/>
        <v>54.208707032481868</v>
      </c>
      <c r="Q64" s="568">
        <v>0</v>
      </c>
      <c r="R64" s="568">
        <v>0</v>
      </c>
      <c r="S64" s="568">
        <v>0</v>
      </c>
      <c r="T64" s="568">
        <f t="shared" si="33"/>
        <v>0</v>
      </c>
      <c r="U64" s="568">
        <f t="shared" si="34"/>
        <v>0</v>
      </c>
    </row>
    <row r="65" spans="1:21" ht="18.75" x14ac:dyDescent="0.25">
      <c r="A65" s="560"/>
      <c r="B65" s="561"/>
      <c r="C65" s="561"/>
      <c r="D65" s="562" t="s">
        <v>23</v>
      </c>
      <c r="E65" s="561"/>
      <c r="F65" s="561"/>
      <c r="G65" s="563"/>
      <c r="H65" s="564" t="s">
        <v>14</v>
      </c>
      <c r="I65" s="565"/>
      <c r="J65" s="565"/>
      <c r="K65" s="566"/>
      <c r="L65" s="567">
        <f t="shared" ref="L65:N65" ca="1" si="39">L66+L67</f>
        <v>3620000</v>
      </c>
      <c r="M65" s="568">
        <f t="shared" ca="1" si="39"/>
        <v>3620000</v>
      </c>
      <c r="N65" s="568">
        <f t="shared" ca="1" si="39"/>
        <v>0</v>
      </c>
      <c r="O65" s="568">
        <f t="shared" ca="1" si="30"/>
        <v>0</v>
      </c>
      <c r="P65" s="568">
        <f t="shared" ca="1" si="31"/>
        <v>0</v>
      </c>
      <c r="Q65" s="568">
        <f t="shared" ref="Q65:S65" si="40">Q66+Q67</f>
        <v>0</v>
      </c>
      <c r="R65" s="568">
        <f t="shared" si="40"/>
        <v>0</v>
      </c>
      <c r="S65" s="568">
        <f t="shared" si="40"/>
        <v>0</v>
      </c>
      <c r="T65" s="568">
        <f t="shared" si="33"/>
        <v>0</v>
      </c>
      <c r="U65" s="568">
        <f t="shared" si="34"/>
        <v>0</v>
      </c>
    </row>
    <row r="66" spans="1:21" ht="18.75" x14ac:dyDescent="0.25">
      <c r="A66" s="560"/>
      <c r="B66" s="561"/>
      <c r="C66" s="561"/>
      <c r="D66" s="561"/>
      <c r="E66" s="569" t="s">
        <v>20</v>
      </c>
      <c r="F66" s="561"/>
      <c r="G66" s="563"/>
      <c r="H66" s="570" t="s">
        <v>14</v>
      </c>
      <c r="I66" s="565"/>
      <c r="J66" s="565"/>
      <c r="K66" s="566"/>
      <c r="L66" s="571">
        <v>0</v>
      </c>
      <c r="M66" s="572">
        <v>0</v>
      </c>
      <c r="N66" s="572">
        <v>0</v>
      </c>
      <c r="O66" s="572">
        <f t="shared" si="30"/>
        <v>0</v>
      </c>
      <c r="P66" s="572">
        <f t="shared" si="31"/>
        <v>0</v>
      </c>
      <c r="Q66" s="572">
        <v>0</v>
      </c>
      <c r="R66" s="572">
        <v>0</v>
      </c>
      <c r="S66" s="572">
        <v>0</v>
      </c>
      <c r="T66" s="572">
        <f t="shared" si="33"/>
        <v>0</v>
      </c>
      <c r="U66" s="572">
        <f t="shared" si="34"/>
        <v>0</v>
      </c>
    </row>
    <row r="67" spans="1:21" ht="18.75" x14ac:dyDescent="0.25">
      <c r="A67" s="575"/>
      <c r="B67" s="513"/>
      <c r="C67" s="513"/>
      <c r="D67" s="513"/>
      <c r="E67" s="576" t="s">
        <v>21</v>
      </c>
      <c r="F67" s="513"/>
      <c r="G67" s="577"/>
      <c r="H67" s="578" t="s">
        <v>14</v>
      </c>
      <c r="I67" s="579"/>
      <c r="J67" s="579"/>
      <c r="K67" s="580"/>
      <c r="L67" s="654">
        <f ca="1">IFERROR(__xludf.DUMMYFUNCTION("IMPORTRANGE(""https://docs.google.com/spreadsheets/d/1-uDff_7J0KD5mKrp0Vvzr7lt3OU09vwQwhkpOPPYv2Y/edit?usp=sharing"",""งบพรบ!AF20"")"),3620000)</f>
        <v>3620000</v>
      </c>
      <c r="M67" s="655">
        <f ca="1">IFERROR(__xludf.DUMMYFUNCTION("IMPORTRANGE(""https://docs.google.com/spreadsheets/d/1-uDff_7J0KD5mKrp0Vvzr7lt3OU09vwQwhkpOPPYv2Y/edit?usp=sharing"",""งบพรบ!AI20"")"),3620000)</f>
        <v>3620000</v>
      </c>
      <c r="N67" s="655">
        <f ca="1">IFERROR(__xludf.DUMMYFUNCTION("IMPORTRANGE(""https://docs.google.com/spreadsheets/d/1-uDff_7J0KD5mKrp0Vvzr7lt3OU09vwQwhkpOPPYv2Y/edit?usp=sharing"",""งบพรบ!AK20"")"),0)</f>
        <v>0</v>
      </c>
      <c r="O67" s="655">
        <f t="shared" ca="1" si="30"/>
        <v>0</v>
      </c>
      <c r="P67" s="655">
        <f t="shared" ca="1" si="31"/>
        <v>0</v>
      </c>
      <c r="Q67" s="655">
        <v>0</v>
      </c>
      <c r="R67" s="655">
        <v>0</v>
      </c>
      <c r="S67" s="655">
        <v>0</v>
      </c>
      <c r="T67" s="655">
        <f t="shared" si="33"/>
        <v>0</v>
      </c>
      <c r="U67" s="655">
        <f t="shared" si="34"/>
        <v>0</v>
      </c>
    </row>
    <row r="68" spans="1:21" ht="19.5" x14ac:dyDescent="0.3">
      <c r="A68" s="656" t="s">
        <v>31</v>
      </c>
      <c r="B68" s="657"/>
      <c r="C68" s="657"/>
      <c r="D68" s="657"/>
      <c r="E68" s="658"/>
      <c r="F68" s="658"/>
      <c r="G68" s="658"/>
      <c r="H68" s="658"/>
      <c r="I68" s="659"/>
      <c r="J68" s="659"/>
      <c r="K68" s="660"/>
      <c r="L68" s="660"/>
      <c r="M68" s="660"/>
      <c r="N68" s="660"/>
      <c r="O68" s="660"/>
      <c r="P68" s="661"/>
      <c r="Q68" s="660"/>
      <c r="R68" s="660"/>
      <c r="S68" s="660"/>
      <c r="T68" s="660"/>
      <c r="U68" s="661"/>
    </row>
    <row r="69" spans="1:21" ht="19.5" x14ac:dyDescent="0.3">
      <c r="A69" s="662" t="s">
        <v>32</v>
      </c>
      <c r="B69" s="663"/>
      <c r="C69" s="664"/>
      <c r="D69" s="663"/>
      <c r="E69" s="663"/>
      <c r="F69" s="663"/>
      <c r="G69" s="665"/>
      <c r="H69" s="665"/>
      <c r="I69" s="666"/>
      <c r="J69" s="666"/>
      <c r="K69" s="667"/>
      <c r="L69" s="668"/>
      <c r="M69" s="667"/>
      <c r="N69" s="667"/>
      <c r="O69" s="667"/>
      <c r="P69" s="667"/>
      <c r="Q69" s="667"/>
      <c r="R69" s="667"/>
      <c r="S69" s="667"/>
      <c r="T69" s="667"/>
      <c r="U69" s="667"/>
    </row>
    <row r="70" spans="1:21" ht="19.5" x14ac:dyDescent="0.3">
      <c r="A70" s="669"/>
      <c r="B70" s="544" t="s">
        <v>33</v>
      </c>
      <c r="C70" s="543"/>
      <c r="D70" s="670"/>
      <c r="E70" s="543"/>
      <c r="F70" s="543"/>
      <c r="G70" s="546"/>
      <c r="H70" s="671" t="s">
        <v>34</v>
      </c>
      <c r="I70" s="672">
        <f t="shared" ref="I70:J71" ca="1" si="41">I82</f>
        <v>2</v>
      </c>
      <c r="J70" s="672">
        <f t="shared" si="41"/>
        <v>1</v>
      </c>
      <c r="K70" s="551">
        <f t="shared" ref="K70:K71" ca="1" si="42">IF(I70&gt;0,J70*100/I70,0)</f>
        <v>50</v>
      </c>
      <c r="L70" s="673"/>
      <c r="M70" s="549"/>
      <c r="N70" s="549"/>
      <c r="O70" s="549"/>
      <c r="P70" s="549"/>
      <c r="Q70" s="549"/>
      <c r="R70" s="549"/>
      <c r="S70" s="549"/>
      <c r="T70" s="549"/>
      <c r="U70" s="549"/>
    </row>
    <row r="71" spans="1:21" ht="19.5" x14ac:dyDescent="0.3">
      <c r="A71" s="669"/>
      <c r="B71" s="543"/>
      <c r="C71" s="543"/>
      <c r="D71" s="670"/>
      <c r="E71" s="543"/>
      <c r="F71" s="543"/>
      <c r="G71" s="546"/>
      <c r="H71" s="671" t="s">
        <v>35</v>
      </c>
      <c r="I71" s="672">
        <f t="shared" ca="1" si="41"/>
        <v>60</v>
      </c>
      <c r="J71" s="672">
        <f t="shared" si="41"/>
        <v>30</v>
      </c>
      <c r="K71" s="551">
        <f t="shared" ca="1" si="42"/>
        <v>50</v>
      </c>
      <c r="L71" s="673"/>
      <c r="M71" s="549"/>
      <c r="N71" s="549"/>
      <c r="O71" s="549"/>
      <c r="P71" s="549"/>
      <c r="Q71" s="549"/>
      <c r="R71" s="549"/>
      <c r="S71" s="549"/>
      <c r="T71" s="549"/>
      <c r="U71" s="549"/>
    </row>
    <row r="72" spans="1:21" ht="19.5" x14ac:dyDescent="0.3">
      <c r="A72" s="674"/>
      <c r="B72" s="561"/>
      <c r="C72" s="675" t="s">
        <v>18</v>
      </c>
      <c r="D72" s="676" t="s">
        <v>19</v>
      </c>
      <c r="E72" s="561"/>
      <c r="F72" s="561"/>
      <c r="G72" s="563"/>
      <c r="H72" s="677" t="s">
        <v>14</v>
      </c>
      <c r="I72" s="565"/>
      <c r="J72" s="565"/>
      <c r="K72" s="566"/>
      <c r="L72" s="678">
        <f t="shared" ref="L72:N72" ca="1" si="43">L73+L74</f>
        <v>560200</v>
      </c>
      <c r="M72" s="679">
        <f t="shared" ca="1" si="43"/>
        <v>559332</v>
      </c>
      <c r="N72" s="679">
        <f t="shared" ca="1" si="43"/>
        <v>467399.79</v>
      </c>
      <c r="O72" s="679">
        <f t="shared" ref="O72:O80" ca="1" si="44">IF(L72&gt;0,N72*100/L72,0)</f>
        <v>83.434450196358441</v>
      </c>
      <c r="P72" s="679">
        <f t="shared" ref="P72:P80" ca="1" si="45">IF(M72&gt;0,N72*100/M72,0)</f>
        <v>83.563928042736691</v>
      </c>
      <c r="Q72" s="679">
        <f t="shared" ref="Q72:S72" ca="1" si="46">Q73+Q74</f>
        <v>724430</v>
      </c>
      <c r="R72" s="679">
        <f t="shared" ca="1" si="46"/>
        <v>724430</v>
      </c>
      <c r="S72" s="679">
        <f t="shared" ca="1" si="46"/>
        <v>86775</v>
      </c>
      <c r="T72" s="679">
        <f t="shared" ref="T72:T80" ca="1" si="47">IF(Q72&gt;0,S72*100/Q72,0)</f>
        <v>11.978383004569109</v>
      </c>
      <c r="U72" s="679">
        <f t="shared" ref="U72:U80" ca="1" si="48">IF(R72&gt;0,S72*100/R72,0)</f>
        <v>11.978383004569109</v>
      </c>
    </row>
    <row r="73" spans="1:21" ht="18.75" x14ac:dyDescent="0.25">
      <c r="A73" s="674"/>
      <c r="B73" s="561"/>
      <c r="C73" s="561"/>
      <c r="D73" s="561"/>
      <c r="E73" s="569" t="s">
        <v>20</v>
      </c>
      <c r="F73" s="561"/>
      <c r="G73" s="563"/>
      <c r="H73" s="680" t="s">
        <v>14</v>
      </c>
      <c r="I73" s="565"/>
      <c r="J73" s="565"/>
      <c r="K73" s="566"/>
      <c r="L73" s="571">
        <f t="shared" ref="L73:N74" si="49">L76+L79</f>
        <v>0</v>
      </c>
      <c r="M73" s="572">
        <f t="shared" si="49"/>
        <v>0</v>
      </c>
      <c r="N73" s="572">
        <f t="shared" si="49"/>
        <v>0</v>
      </c>
      <c r="O73" s="572">
        <f t="shared" si="44"/>
        <v>0</v>
      </c>
      <c r="P73" s="572">
        <f t="shared" si="45"/>
        <v>0</v>
      </c>
      <c r="Q73" s="572">
        <f t="shared" ref="Q73:S74" si="50">Q76+Q79</f>
        <v>0</v>
      </c>
      <c r="R73" s="572">
        <f t="shared" si="50"/>
        <v>0</v>
      </c>
      <c r="S73" s="572">
        <f t="shared" si="50"/>
        <v>0</v>
      </c>
      <c r="T73" s="572">
        <f t="shared" si="47"/>
        <v>0</v>
      </c>
      <c r="U73" s="572">
        <f t="shared" si="48"/>
        <v>0</v>
      </c>
    </row>
    <row r="74" spans="1:21" ht="18.75" x14ac:dyDescent="0.25">
      <c r="A74" s="674"/>
      <c r="B74" s="561"/>
      <c r="C74" s="561"/>
      <c r="D74" s="561"/>
      <c r="E74" s="573" t="s">
        <v>21</v>
      </c>
      <c r="F74" s="561"/>
      <c r="G74" s="563"/>
      <c r="H74" s="681" t="s">
        <v>14</v>
      </c>
      <c r="I74" s="565"/>
      <c r="J74" s="565"/>
      <c r="K74" s="566"/>
      <c r="L74" s="567">
        <f t="shared" ca="1" si="49"/>
        <v>560200</v>
      </c>
      <c r="M74" s="568">
        <f t="shared" ca="1" si="49"/>
        <v>559332</v>
      </c>
      <c r="N74" s="568">
        <f t="shared" ca="1" si="49"/>
        <v>467399.79</v>
      </c>
      <c r="O74" s="568">
        <f t="shared" ca="1" si="44"/>
        <v>83.434450196358441</v>
      </c>
      <c r="P74" s="568">
        <f t="shared" ca="1" si="45"/>
        <v>83.563928042736691</v>
      </c>
      <c r="Q74" s="568">
        <f t="shared" ca="1" si="50"/>
        <v>724430</v>
      </c>
      <c r="R74" s="568">
        <f t="shared" ca="1" si="50"/>
        <v>724430</v>
      </c>
      <c r="S74" s="568">
        <f t="shared" ca="1" si="50"/>
        <v>86775</v>
      </c>
      <c r="T74" s="568">
        <f t="shared" ca="1" si="47"/>
        <v>11.978383004569109</v>
      </c>
      <c r="U74" s="568">
        <f t="shared" ca="1" si="48"/>
        <v>11.978383004569109</v>
      </c>
    </row>
    <row r="75" spans="1:21" ht="18.75" x14ac:dyDescent="0.25">
      <c r="A75" s="674"/>
      <c r="B75" s="561"/>
      <c r="C75" s="561"/>
      <c r="D75" s="562" t="s">
        <v>22</v>
      </c>
      <c r="E75" s="561"/>
      <c r="F75" s="561"/>
      <c r="G75" s="563"/>
      <c r="H75" s="682" t="s">
        <v>14</v>
      </c>
      <c r="I75" s="683"/>
      <c r="J75" s="683"/>
      <c r="K75" s="684"/>
      <c r="L75" s="567">
        <f t="shared" ref="L75:N75" ca="1" si="51">L76+L77</f>
        <v>560200</v>
      </c>
      <c r="M75" s="568">
        <f t="shared" ca="1" si="51"/>
        <v>559332</v>
      </c>
      <c r="N75" s="568">
        <f t="shared" ca="1" si="51"/>
        <v>467399.79</v>
      </c>
      <c r="O75" s="568">
        <f t="shared" ca="1" si="44"/>
        <v>83.434450196358441</v>
      </c>
      <c r="P75" s="568">
        <f t="shared" ca="1" si="45"/>
        <v>83.563928042736691</v>
      </c>
      <c r="Q75" s="568">
        <f t="shared" ref="Q75:S75" ca="1" si="52">Q76+Q77</f>
        <v>724430</v>
      </c>
      <c r="R75" s="568">
        <f t="shared" ca="1" si="52"/>
        <v>724430</v>
      </c>
      <c r="S75" s="568">
        <f t="shared" ca="1" si="52"/>
        <v>86775</v>
      </c>
      <c r="T75" s="568">
        <f t="shared" ca="1" si="47"/>
        <v>11.978383004569109</v>
      </c>
      <c r="U75" s="568">
        <f t="shared" ca="1" si="48"/>
        <v>11.978383004569109</v>
      </c>
    </row>
    <row r="76" spans="1:21" ht="18.75" x14ac:dyDescent="0.25">
      <c r="A76" s="674"/>
      <c r="B76" s="561"/>
      <c r="C76" s="561"/>
      <c r="D76" s="561"/>
      <c r="E76" s="569" t="s">
        <v>36</v>
      </c>
      <c r="F76" s="561"/>
      <c r="G76" s="563"/>
      <c r="H76" s="685" t="s">
        <v>14</v>
      </c>
      <c r="I76" s="683"/>
      <c r="J76" s="683"/>
      <c r="K76" s="684"/>
      <c r="L76" s="571">
        <v>0</v>
      </c>
      <c r="M76" s="572">
        <v>0</v>
      </c>
      <c r="N76" s="572">
        <v>0</v>
      </c>
      <c r="O76" s="572">
        <f t="shared" si="44"/>
        <v>0</v>
      </c>
      <c r="P76" s="572">
        <f t="shared" si="45"/>
        <v>0</v>
      </c>
      <c r="Q76" s="572">
        <v>0</v>
      </c>
      <c r="R76" s="572">
        <v>0</v>
      </c>
      <c r="S76" s="572">
        <v>0</v>
      </c>
      <c r="T76" s="572">
        <f t="shared" si="47"/>
        <v>0</v>
      </c>
      <c r="U76" s="572">
        <f t="shared" si="48"/>
        <v>0</v>
      </c>
    </row>
    <row r="77" spans="1:21" ht="18.75" x14ac:dyDescent="0.25">
      <c r="A77" s="674"/>
      <c r="B77" s="561"/>
      <c r="C77" s="561"/>
      <c r="D77" s="561"/>
      <c r="E77" s="573" t="s">
        <v>37</v>
      </c>
      <c r="F77" s="561"/>
      <c r="G77" s="563"/>
      <c r="H77" s="682" t="s">
        <v>14</v>
      </c>
      <c r="I77" s="683"/>
      <c r="J77" s="683"/>
      <c r="K77" s="684"/>
      <c r="L77" s="567">
        <f ca="1">IFERROR(__xludf.DUMMYFUNCTION("IMPORTRANGE(""https://docs.google.com/spreadsheets/d/1-uDff_7J0KD5mKrp0Vvzr7lt3OU09vwQwhkpOPPYv2Y/edit?usp=sharing"",""งบพรบ!AM20"")"),560200)</f>
        <v>560200</v>
      </c>
      <c r="M77" s="568">
        <f ca="1">IFERROR(__xludf.DUMMYFUNCTION("IMPORTRANGE(""https://docs.google.com/spreadsheets/d/1-uDff_7J0KD5mKrp0Vvzr7lt3OU09vwQwhkpOPPYv2Y/edit?usp=sharing"",""งบพรบ!AR20"")"),559332)</f>
        <v>559332</v>
      </c>
      <c r="N77" s="568">
        <f ca="1">IFERROR(__xludf.DUMMYFUNCTION("IMPORTRANGE(""https://docs.google.com/spreadsheets/d/1-uDff_7J0KD5mKrp0Vvzr7lt3OU09vwQwhkpOPPYv2Y/edit?usp=sharing"",""งบพรบ!AT20"")"),467399.79)</f>
        <v>467399.79</v>
      </c>
      <c r="O77" s="568">
        <f t="shared" ca="1" si="44"/>
        <v>83.434450196358441</v>
      </c>
      <c r="P77" s="568">
        <f t="shared" ca="1" si="45"/>
        <v>83.563928042736691</v>
      </c>
      <c r="Q77" s="568">
        <f ca="1">IFERROR(__xludf.DUMMYFUNCTION("IMPORTRANGE(""https://docs.google.com/spreadsheets/d/1ItG2mGa2ceCfYo0BwxsXqNm01IGEUdYcSSLTEv9YCik/edit?usp=sharing"",""เบิกจ่ายกองทุน!BH20"")"),724430)</f>
        <v>724430</v>
      </c>
      <c r="R77" s="568">
        <f ca="1">IFERROR(__xludf.DUMMYFUNCTION("IMPORTRANGE(""https://docs.google.com/spreadsheets/d/1ItG2mGa2ceCfYo0BwxsXqNm01IGEUdYcSSLTEv9YCik/edit?usp=sharing"",""เบิกจ่ายกองทุน!BI20"")"),724430)</f>
        <v>724430</v>
      </c>
      <c r="S77" s="568">
        <f ca="1">IFERROR(__xludf.DUMMYFUNCTION("IMPORTRANGE(""https://docs.google.com/spreadsheets/d/1ItG2mGa2ceCfYo0BwxsXqNm01IGEUdYcSSLTEv9YCik/edit?usp=sharing"",""เบิกจ่ายกองทุน!BJ20"")"),86775)</f>
        <v>86775</v>
      </c>
      <c r="T77" s="568">
        <f t="shared" ca="1" si="47"/>
        <v>11.978383004569109</v>
      </c>
      <c r="U77" s="568">
        <f t="shared" ca="1" si="48"/>
        <v>11.978383004569109</v>
      </c>
    </row>
    <row r="78" spans="1:21" ht="18.75" x14ac:dyDescent="0.25">
      <c r="A78" s="674"/>
      <c r="B78" s="561"/>
      <c r="C78" s="561"/>
      <c r="D78" s="562" t="s">
        <v>23</v>
      </c>
      <c r="E78" s="561"/>
      <c r="F78" s="561"/>
      <c r="G78" s="563"/>
      <c r="H78" s="686" t="s">
        <v>14</v>
      </c>
      <c r="I78" s="683"/>
      <c r="J78" s="683"/>
      <c r="K78" s="684"/>
      <c r="L78" s="567">
        <f t="shared" ref="L78:N78" ca="1" si="53">L79+L80</f>
        <v>0</v>
      </c>
      <c r="M78" s="568">
        <f t="shared" ca="1" si="53"/>
        <v>0</v>
      </c>
      <c r="N78" s="568">
        <f t="shared" ca="1" si="53"/>
        <v>0</v>
      </c>
      <c r="O78" s="568">
        <f t="shared" ca="1" si="44"/>
        <v>0</v>
      </c>
      <c r="P78" s="568">
        <f t="shared" ca="1" si="45"/>
        <v>0</v>
      </c>
      <c r="Q78" s="568">
        <f t="shared" ref="Q78:S78" ca="1" si="54">Q79+Q80</f>
        <v>0</v>
      </c>
      <c r="R78" s="568">
        <f t="shared" ca="1" si="54"/>
        <v>0</v>
      </c>
      <c r="S78" s="568">
        <f t="shared" ca="1" si="54"/>
        <v>0</v>
      </c>
      <c r="T78" s="568">
        <f t="shared" ca="1" si="47"/>
        <v>0</v>
      </c>
      <c r="U78" s="568">
        <f t="shared" ca="1" si="48"/>
        <v>0</v>
      </c>
    </row>
    <row r="79" spans="1:21" ht="18.75" x14ac:dyDescent="0.25">
      <c r="A79" s="674"/>
      <c r="B79" s="561"/>
      <c r="C79" s="561"/>
      <c r="D79" s="561"/>
      <c r="E79" s="569" t="s">
        <v>20</v>
      </c>
      <c r="F79" s="561"/>
      <c r="G79" s="563"/>
      <c r="H79" s="685" t="s">
        <v>14</v>
      </c>
      <c r="I79" s="683"/>
      <c r="J79" s="683"/>
      <c r="K79" s="684"/>
      <c r="L79" s="571">
        <v>0</v>
      </c>
      <c r="M79" s="568">
        <v>0</v>
      </c>
      <c r="N79" s="568">
        <v>0</v>
      </c>
      <c r="O79" s="572">
        <f t="shared" si="44"/>
        <v>0</v>
      </c>
      <c r="P79" s="572">
        <f t="shared" si="45"/>
        <v>0</v>
      </c>
      <c r="Q79" s="572">
        <v>0</v>
      </c>
      <c r="R79" s="568">
        <v>0</v>
      </c>
      <c r="S79" s="568">
        <v>0</v>
      </c>
      <c r="T79" s="572">
        <f t="shared" si="47"/>
        <v>0</v>
      </c>
      <c r="U79" s="572">
        <f t="shared" si="48"/>
        <v>0</v>
      </c>
    </row>
    <row r="80" spans="1:21" ht="18.75" x14ac:dyDescent="0.25">
      <c r="A80" s="674"/>
      <c r="B80" s="561"/>
      <c r="C80" s="561"/>
      <c r="D80" s="561"/>
      <c r="E80" s="573" t="s">
        <v>21</v>
      </c>
      <c r="F80" s="561"/>
      <c r="G80" s="563"/>
      <c r="H80" s="686" t="s">
        <v>14</v>
      </c>
      <c r="I80" s="683"/>
      <c r="J80" s="683"/>
      <c r="K80" s="684"/>
      <c r="L80" s="567">
        <f ca="1">IFERROR(__xludf.DUMMYFUNCTION("IMPORTRANGE(""https://docs.google.com/spreadsheets/d/1-uDff_7J0KD5mKrp0Vvzr7lt3OU09vwQwhkpOPPYv2Y/edit?usp=sharing"",""งบพรบ!AP20"")"),0)</f>
        <v>0</v>
      </c>
      <c r="M80" s="568">
        <f ca="1">IFERROR(__xludf.DUMMYFUNCTION("IMPORTRANGE(""https://docs.google.com/spreadsheets/d/1-uDff_7J0KD5mKrp0Vvzr7lt3OU09vwQwhkpOPPYv2Y/edit?usp=sharing"",""งบพรบ!AS20"")"),0)</f>
        <v>0</v>
      </c>
      <c r="N80" s="568">
        <f ca="1">IFERROR(__xludf.DUMMYFUNCTION("IMPORTRANGE(""https://docs.google.com/spreadsheets/d/1-uDff_7J0KD5mKrp0Vvzr7lt3OU09vwQwhkpOPPYv2Y/edit?usp=sharing"",""งบพรบ!AU20"")"),0)</f>
        <v>0</v>
      </c>
      <c r="O80" s="568">
        <f t="shared" ca="1" si="44"/>
        <v>0</v>
      </c>
      <c r="P80" s="568">
        <f t="shared" ca="1" si="45"/>
        <v>0</v>
      </c>
      <c r="Q80" s="568">
        <f ca="1">IFERROR(__xludf.DUMMYFUNCTION("IMPORTRANGE(""https://docs.google.com/spreadsheets/d/1ItG2mGa2ceCfYo0BwxsXqNm01IGEUdYcSSLTEv9YCik/edit?usp=sharing"",""เบิกจ่ายกองทุน!BK20"")"),0)</f>
        <v>0</v>
      </c>
      <c r="R80" s="568">
        <f ca="1">IFERROR(__xludf.DUMMYFUNCTION("IMPORTRANGE(""https://docs.google.com/spreadsheets/d/1ItG2mGa2ceCfYo0BwxsXqNm01IGEUdYcSSLTEv9YCik/edit?usp=sharing"",""เบิกจ่ายกองทุน!BL20"")"),0)</f>
        <v>0</v>
      </c>
      <c r="S80" s="568">
        <f ca="1">IFERROR(__xludf.DUMMYFUNCTION("IMPORTRANGE(""https://docs.google.com/spreadsheets/d/1ItG2mGa2ceCfYo0BwxsXqNm01IGEUdYcSSLTEv9YCik/edit?usp=sharing"",""เบิกจ่ายกองทุน!BM20"")"),0)</f>
        <v>0</v>
      </c>
      <c r="T80" s="568">
        <f t="shared" ca="1" si="47"/>
        <v>0</v>
      </c>
      <c r="U80" s="568">
        <f t="shared" ca="1" si="48"/>
        <v>0</v>
      </c>
    </row>
    <row r="81" spans="1:21" ht="19.5" x14ac:dyDescent="0.3">
      <c r="A81" s="687"/>
      <c r="B81" s="688"/>
      <c r="C81" s="675" t="s">
        <v>18</v>
      </c>
      <c r="D81" s="689" t="s">
        <v>38</v>
      </c>
      <c r="E81" s="690"/>
      <c r="F81" s="690"/>
      <c r="G81" s="691"/>
      <c r="H81" s="692"/>
      <c r="I81" s="683"/>
      <c r="J81" s="683"/>
      <c r="K81" s="684"/>
      <c r="L81" s="693"/>
      <c r="M81" s="684"/>
      <c r="N81" s="684"/>
      <c r="O81" s="684"/>
      <c r="P81" s="684"/>
      <c r="Q81" s="684"/>
      <c r="R81" s="684"/>
      <c r="S81" s="684"/>
      <c r="T81" s="684"/>
      <c r="U81" s="684"/>
    </row>
    <row r="82" spans="1:21" ht="19.5" x14ac:dyDescent="0.3">
      <c r="A82" s="687"/>
      <c r="B82" s="688"/>
      <c r="C82" s="688"/>
      <c r="D82" s="694" t="s">
        <v>39</v>
      </c>
      <c r="E82" s="695"/>
      <c r="F82" s="695"/>
      <c r="G82" s="692"/>
      <c r="H82" s="696" t="s">
        <v>34</v>
      </c>
      <c r="I82" s="697">
        <f t="shared" ref="I82:J83" ca="1" si="55">I84+I86+I88</f>
        <v>2</v>
      </c>
      <c r="J82" s="697">
        <f t="shared" si="55"/>
        <v>1</v>
      </c>
      <c r="K82" s="698">
        <f t="shared" ref="K82:K90" ca="1" si="56">IF(I82&gt;0,J82*100/I82,0)</f>
        <v>50</v>
      </c>
      <c r="L82" s="693"/>
      <c r="M82" s="684"/>
      <c r="N82" s="684"/>
      <c r="O82" s="684"/>
      <c r="P82" s="684"/>
      <c r="Q82" s="684"/>
      <c r="R82" s="684"/>
      <c r="S82" s="684"/>
      <c r="T82" s="684"/>
      <c r="U82" s="684"/>
    </row>
    <row r="83" spans="1:21" ht="19.5" x14ac:dyDescent="0.3">
      <c r="A83" s="687"/>
      <c r="B83" s="688"/>
      <c r="C83" s="688"/>
      <c r="D83" s="688"/>
      <c r="E83" s="695"/>
      <c r="F83" s="695"/>
      <c r="G83" s="692"/>
      <c r="H83" s="696" t="s">
        <v>35</v>
      </c>
      <c r="I83" s="697">
        <f t="shared" ca="1" si="55"/>
        <v>60</v>
      </c>
      <c r="J83" s="697">
        <f t="shared" si="55"/>
        <v>30</v>
      </c>
      <c r="K83" s="698">
        <f t="shared" ca="1" si="56"/>
        <v>50</v>
      </c>
      <c r="L83" s="693"/>
      <c r="M83" s="684"/>
      <c r="N83" s="684"/>
      <c r="O83" s="684"/>
      <c r="P83" s="684"/>
      <c r="Q83" s="684"/>
      <c r="R83" s="684"/>
      <c r="S83" s="684"/>
      <c r="T83" s="684"/>
      <c r="U83" s="684"/>
    </row>
    <row r="84" spans="1:21" ht="18.75" x14ac:dyDescent="0.25">
      <c r="A84" s="687"/>
      <c r="B84" s="688"/>
      <c r="C84" s="688"/>
      <c r="D84" s="688"/>
      <c r="E84" s="699" t="s">
        <v>40</v>
      </c>
      <c r="F84" s="695"/>
      <c r="G84" s="692"/>
      <c r="H84" s="700" t="s">
        <v>34</v>
      </c>
      <c r="I84" s="701">
        <f ca="1">IFERROR(__xludf.DUMMYFUNCTION("IMPORTRANGE(""https://docs.google.com/spreadsheets/d/1eHaY18a8A9IcSdp1K8H6x8fbOy06t2VsZHhMHf-1x7Y/edit?usp=sharing"",""แผน!H20"")"),1)</f>
        <v>1</v>
      </c>
      <c r="J84" s="702">
        <v>0</v>
      </c>
      <c r="K84" s="703">
        <f t="shared" ca="1" si="56"/>
        <v>0</v>
      </c>
      <c r="L84" s="693"/>
      <c r="M84" s="684"/>
      <c r="N84" s="684"/>
      <c r="O84" s="684"/>
      <c r="P84" s="684"/>
      <c r="Q84" s="684"/>
      <c r="R84" s="684"/>
      <c r="S84" s="684"/>
      <c r="T84" s="684"/>
      <c r="U84" s="684"/>
    </row>
    <row r="85" spans="1:21" ht="18.75" x14ac:dyDescent="0.25">
      <c r="A85" s="687"/>
      <c r="B85" s="688"/>
      <c r="C85" s="688"/>
      <c r="D85" s="688"/>
      <c r="E85" s="695"/>
      <c r="F85" s="695"/>
      <c r="G85" s="692"/>
      <c r="H85" s="700" t="s">
        <v>35</v>
      </c>
      <c r="I85" s="701">
        <f ca="1">IFERROR(__xludf.DUMMYFUNCTION("IMPORTRANGE(""https://docs.google.com/spreadsheets/d/1eHaY18a8A9IcSdp1K8H6x8fbOy06t2VsZHhMHf-1x7Y/edit?usp=sharing"",""แผน!I20"")"),30)</f>
        <v>30</v>
      </c>
      <c r="J85" s="702">
        <v>0</v>
      </c>
      <c r="K85" s="703">
        <f t="shared" ca="1" si="56"/>
        <v>0</v>
      </c>
      <c r="L85" s="693"/>
      <c r="M85" s="684"/>
      <c r="N85" s="684"/>
      <c r="O85" s="684"/>
      <c r="P85" s="684"/>
      <c r="Q85" s="684"/>
      <c r="R85" s="684"/>
      <c r="S85" s="684"/>
      <c r="T85" s="684"/>
      <c r="U85" s="684"/>
    </row>
    <row r="86" spans="1:21" ht="18.75" x14ac:dyDescent="0.25">
      <c r="A86" s="687"/>
      <c r="B86" s="688"/>
      <c r="C86" s="688"/>
      <c r="D86" s="688"/>
      <c r="E86" s="699" t="s">
        <v>41</v>
      </c>
      <c r="F86" s="695"/>
      <c r="G86" s="692"/>
      <c r="H86" s="700" t="s">
        <v>34</v>
      </c>
      <c r="I86" s="701">
        <f ca="1">IFERROR(__xludf.DUMMYFUNCTION("IMPORTRANGE(""https://docs.google.com/spreadsheets/d/1eHaY18a8A9IcSdp1K8H6x8fbOy06t2VsZHhMHf-1x7Y/edit?usp=sharing"",""แผน!F20"")"),0)</f>
        <v>0</v>
      </c>
      <c r="J86" s="702">
        <v>0</v>
      </c>
      <c r="K86" s="703">
        <f t="shared" ca="1" si="56"/>
        <v>0</v>
      </c>
      <c r="L86" s="693"/>
      <c r="M86" s="684"/>
      <c r="N86" s="684"/>
      <c r="O86" s="684"/>
      <c r="P86" s="684"/>
      <c r="Q86" s="684"/>
      <c r="R86" s="684"/>
      <c r="S86" s="684"/>
      <c r="T86" s="684"/>
      <c r="U86" s="684"/>
    </row>
    <row r="87" spans="1:21" ht="18.75" x14ac:dyDescent="0.25">
      <c r="A87" s="687"/>
      <c r="B87" s="688"/>
      <c r="C87" s="688"/>
      <c r="D87" s="688"/>
      <c r="E87" s="695"/>
      <c r="F87" s="695"/>
      <c r="G87" s="692"/>
      <c r="H87" s="700" t="s">
        <v>35</v>
      </c>
      <c r="I87" s="701">
        <f ca="1">IFERROR(__xludf.DUMMYFUNCTION("IMPORTRANGE(""https://docs.google.com/spreadsheets/d/1eHaY18a8A9IcSdp1K8H6x8fbOy06t2VsZHhMHf-1x7Y/edit?usp=sharing"",""แผน!G20"")"),0)</f>
        <v>0</v>
      </c>
      <c r="J87" s="702">
        <v>0</v>
      </c>
      <c r="K87" s="703">
        <f t="shared" ca="1" si="56"/>
        <v>0</v>
      </c>
      <c r="L87" s="693"/>
      <c r="M87" s="684"/>
      <c r="N87" s="684"/>
      <c r="O87" s="684"/>
      <c r="P87" s="684"/>
      <c r="Q87" s="684"/>
      <c r="R87" s="684"/>
      <c r="S87" s="684"/>
      <c r="T87" s="684"/>
      <c r="U87" s="684"/>
    </row>
    <row r="88" spans="1:21" ht="18.75" x14ac:dyDescent="0.25">
      <c r="A88" s="687"/>
      <c r="B88" s="688"/>
      <c r="C88" s="688"/>
      <c r="D88" s="688"/>
      <c r="E88" s="699" t="s">
        <v>42</v>
      </c>
      <c r="F88" s="695"/>
      <c r="G88" s="692"/>
      <c r="H88" s="700" t="s">
        <v>34</v>
      </c>
      <c r="I88" s="701">
        <f ca="1">IFERROR(__xludf.DUMMYFUNCTION("IMPORTRANGE(""https://docs.google.com/spreadsheets/d/1eHaY18a8A9IcSdp1K8H6x8fbOy06t2VsZHhMHf-1x7Y/edit?usp=sharing"",""แผน!D20"")"),1)</f>
        <v>1</v>
      </c>
      <c r="J88" s="702">
        <v>1</v>
      </c>
      <c r="K88" s="703">
        <f t="shared" ca="1" si="56"/>
        <v>100</v>
      </c>
      <c r="L88" s="693"/>
      <c r="M88" s="684"/>
      <c r="N88" s="684"/>
      <c r="O88" s="684"/>
      <c r="P88" s="684"/>
      <c r="Q88" s="684"/>
      <c r="R88" s="684"/>
      <c r="S88" s="684"/>
      <c r="T88" s="684"/>
      <c r="U88" s="684"/>
    </row>
    <row r="89" spans="1:21" ht="18.75" x14ac:dyDescent="0.25">
      <c r="A89" s="687"/>
      <c r="B89" s="688"/>
      <c r="C89" s="688"/>
      <c r="D89" s="688"/>
      <c r="E89" s="695"/>
      <c r="F89" s="695"/>
      <c r="G89" s="692"/>
      <c r="H89" s="700" t="s">
        <v>35</v>
      </c>
      <c r="I89" s="701">
        <f ca="1">IFERROR(__xludf.DUMMYFUNCTION("IMPORTRANGE(""https://docs.google.com/spreadsheets/d/1eHaY18a8A9IcSdp1K8H6x8fbOy06t2VsZHhMHf-1x7Y/edit?usp=sharing"",""แผน!E20"")"),30)</f>
        <v>30</v>
      </c>
      <c r="J89" s="702">
        <v>30</v>
      </c>
      <c r="K89" s="703">
        <f t="shared" ca="1" si="56"/>
        <v>100</v>
      </c>
      <c r="L89" s="693"/>
      <c r="M89" s="684"/>
      <c r="N89" s="684"/>
      <c r="O89" s="684"/>
      <c r="P89" s="684"/>
      <c r="Q89" s="684"/>
      <c r="R89" s="684"/>
      <c r="S89" s="684"/>
      <c r="T89" s="684"/>
      <c r="U89" s="684"/>
    </row>
    <row r="90" spans="1:21" ht="18.75" x14ac:dyDescent="0.25">
      <c r="A90" s="687"/>
      <c r="B90" s="688"/>
      <c r="C90" s="688"/>
      <c r="D90" s="694" t="s">
        <v>43</v>
      </c>
      <c r="E90" s="695"/>
      <c r="F90" s="695"/>
      <c r="G90" s="692"/>
      <c r="H90" s="704" t="s">
        <v>34</v>
      </c>
      <c r="I90" s="701">
        <f ca="1">IFERROR(__xludf.DUMMYFUNCTION("IMPORTRANGE(""https://docs.google.com/spreadsheets/d/1eHaY18a8A9IcSdp1K8H6x8fbOy06t2VsZHhMHf-1x7Y/edit?usp=sharing"",""แผน!J20"")"),2)</f>
        <v>2</v>
      </c>
      <c r="J90" s="702">
        <v>1</v>
      </c>
      <c r="K90" s="703">
        <f t="shared" ca="1" si="56"/>
        <v>50</v>
      </c>
      <c r="L90" s="693"/>
      <c r="M90" s="684"/>
      <c r="N90" s="684"/>
      <c r="O90" s="684"/>
      <c r="P90" s="684"/>
      <c r="Q90" s="684"/>
      <c r="R90" s="684"/>
      <c r="S90" s="684"/>
      <c r="T90" s="684"/>
      <c r="U90" s="684"/>
    </row>
    <row r="91" spans="1:21" ht="19.5" hidden="1" x14ac:dyDescent="0.3">
      <c r="A91" s="662" t="s">
        <v>44</v>
      </c>
      <c r="B91" s="663"/>
      <c r="C91" s="664"/>
      <c r="D91" s="663"/>
      <c r="E91" s="663"/>
      <c r="F91" s="663"/>
      <c r="G91" s="665"/>
      <c r="H91" s="665"/>
      <c r="I91" s="666"/>
      <c r="J91" s="666"/>
      <c r="K91" s="667"/>
      <c r="L91" s="668"/>
      <c r="M91" s="667"/>
      <c r="N91" s="667"/>
      <c r="O91" s="667"/>
      <c r="P91" s="667"/>
      <c r="Q91" s="667"/>
      <c r="R91" s="667"/>
      <c r="S91" s="667"/>
      <c r="T91" s="667"/>
      <c r="U91" s="667"/>
    </row>
    <row r="92" spans="1:21" ht="19.5" hidden="1" x14ac:dyDescent="0.3">
      <c r="A92" s="669"/>
      <c r="B92" s="544" t="s">
        <v>45</v>
      </c>
      <c r="C92" s="543"/>
      <c r="D92" s="670"/>
      <c r="E92" s="543"/>
      <c r="F92" s="543"/>
      <c r="G92" s="546"/>
      <c r="H92" s="671" t="s">
        <v>46</v>
      </c>
      <c r="I92" s="672">
        <f t="shared" ref="I92:J93" ca="1" si="57">I108</f>
        <v>0</v>
      </c>
      <c r="J92" s="672">
        <f t="shared" si="57"/>
        <v>0</v>
      </c>
      <c r="K92" s="551">
        <f t="shared" ref="K92:K93" ca="1" si="58">IF(I92&gt;0,J92*100/I92,0)</f>
        <v>0</v>
      </c>
      <c r="L92" s="673"/>
      <c r="M92" s="549"/>
      <c r="N92" s="549"/>
      <c r="O92" s="549"/>
      <c r="P92" s="549"/>
      <c r="Q92" s="549"/>
      <c r="R92" s="549"/>
      <c r="S92" s="549"/>
      <c r="T92" s="549"/>
      <c r="U92" s="549"/>
    </row>
    <row r="93" spans="1:21" ht="19.5" hidden="1" x14ac:dyDescent="0.3">
      <c r="A93" s="669"/>
      <c r="B93" s="543"/>
      <c r="C93" s="543"/>
      <c r="D93" s="670"/>
      <c r="E93" s="543"/>
      <c r="F93" s="543"/>
      <c r="G93" s="546"/>
      <c r="H93" s="671" t="s">
        <v>35</v>
      </c>
      <c r="I93" s="672">
        <f t="shared" ca="1" si="57"/>
        <v>0</v>
      </c>
      <c r="J93" s="672">
        <f t="shared" si="57"/>
        <v>0</v>
      </c>
      <c r="K93" s="551">
        <f t="shared" ca="1" si="58"/>
        <v>0</v>
      </c>
      <c r="L93" s="673"/>
      <c r="M93" s="549"/>
      <c r="N93" s="549"/>
      <c r="O93" s="549"/>
      <c r="P93" s="549"/>
      <c r="Q93" s="549"/>
      <c r="R93" s="549"/>
      <c r="S93" s="549"/>
      <c r="T93" s="549"/>
      <c r="U93" s="549"/>
    </row>
    <row r="94" spans="1:21" ht="19.5" hidden="1" x14ac:dyDescent="0.3">
      <c r="A94" s="674"/>
      <c r="B94" s="561"/>
      <c r="C94" s="675" t="s">
        <v>18</v>
      </c>
      <c r="D94" s="676" t="s">
        <v>19</v>
      </c>
      <c r="E94" s="561"/>
      <c r="F94" s="561"/>
      <c r="G94" s="563"/>
      <c r="H94" s="677" t="s">
        <v>14</v>
      </c>
      <c r="I94" s="565"/>
      <c r="J94" s="565"/>
      <c r="K94" s="566"/>
      <c r="L94" s="678">
        <f t="shared" ref="L94:N94" ca="1" si="59">L95+L96</f>
        <v>0</v>
      </c>
      <c r="M94" s="679">
        <f t="shared" ca="1" si="59"/>
        <v>0</v>
      </c>
      <c r="N94" s="679">
        <f t="shared" ca="1" si="59"/>
        <v>0</v>
      </c>
      <c r="O94" s="679">
        <f t="shared" ref="O94:O102" ca="1" si="60">IF(L94&gt;0,N94*100/L94,0)</f>
        <v>0</v>
      </c>
      <c r="P94" s="679">
        <f t="shared" ref="P94:P102" ca="1" si="61">IF(M94&gt;0,N94*100/M94,0)</f>
        <v>0</v>
      </c>
      <c r="Q94" s="679">
        <f t="shared" ref="Q94:S94" ca="1" si="62">Q95+Q96</f>
        <v>0</v>
      </c>
      <c r="R94" s="679">
        <f t="shared" ca="1" si="62"/>
        <v>0</v>
      </c>
      <c r="S94" s="679">
        <f t="shared" ca="1" si="62"/>
        <v>0</v>
      </c>
      <c r="T94" s="679">
        <f t="shared" ref="T94:T102" ca="1" si="63">IF(Q94&gt;0,S94*100/Q94,0)</f>
        <v>0</v>
      </c>
      <c r="U94" s="679">
        <f t="shared" ref="U94:U102" ca="1" si="64">IF(R94&gt;0,S94*100/R94,0)</f>
        <v>0</v>
      </c>
    </row>
    <row r="95" spans="1:21" ht="18.75" hidden="1" x14ac:dyDescent="0.25">
      <c r="A95" s="674"/>
      <c r="B95" s="561"/>
      <c r="C95" s="561"/>
      <c r="D95" s="561"/>
      <c r="E95" s="569" t="s">
        <v>20</v>
      </c>
      <c r="F95" s="561"/>
      <c r="G95" s="563"/>
      <c r="H95" s="680" t="s">
        <v>14</v>
      </c>
      <c r="I95" s="565"/>
      <c r="J95" s="565"/>
      <c r="K95" s="566"/>
      <c r="L95" s="571">
        <f t="shared" ref="L95:N96" si="65">L98+L101</f>
        <v>0</v>
      </c>
      <c r="M95" s="572">
        <f t="shared" si="65"/>
        <v>0</v>
      </c>
      <c r="N95" s="572">
        <f t="shared" si="65"/>
        <v>0</v>
      </c>
      <c r="O95" s="572">
        <f t="shared" si="60"/>
        <v>0</v>
      </c>
      <c r="P95" s="572">
        <f t="shared" si="61"/>
        <v>0</v>
      </c>
      <c r="Q95" s="572">
        <f t="shared" ref="Q95:S96" si="66">Q98+Q101</f>
        <v>0</v>
      </c>
      <c r="R95" s="572">
        <f t="shared" si="66"/>
        <v>0</v>
      </c>
      <c r="S95" s="572">
        <f t="shared" si="66"/>
        <v>0</v>
      </c>
      <c r="T95" s="572">
        <f t="shared" si="63"/>
        <v>0</v>
      </c>
      <c r="U95" s="572">
        <f t="shared" si="64"/>
        <v>0</v>
      </c>
    </row>
    <row r="96" spans="1:21" ht="18.75" hidden="1" x14ac:dyDescent="0.25">
      <c r="A96" s="674"/>
      <c r="B96" s="561"/>
      <c r="C96" s="561"/>
      <c r="D96" s="561"/>
      <c r="E96" s="573" t="s">
        <v>21</v>
      </c>
      <c r="F96" s="561"/>
      <c r="G96" s="563"/>
      <c r="H96" s="681" t="s">
        <v>14</v>
      </c>
      <c r="I96" s="565"/>
      <c r="J96" s="565"/>
      <c r="K96" s="566"/>
      <c r="L96" s="567">
        <f t="shared" ca="1" si="65"/>
        <v>0</v>
      </c>
      <c r="M96" s="568">
        <f t="shared" ca="1" si="65"/>
        <v>0</v>
      </c>
      <c r="N96" s="568">
        <f t="shared" ca="1" si="65"/>
        <v>0</v>
      </c>
      <c r="O96" s="568">
        <f t="shared" ca="1" si="60"/>
        <v>0</v>
      </c>
      <c r="P96" s="568">
        <f t="shared" ca="1" si="61"/>
        <v>0</v>
      </c>
      <c r="Q96" s="568">
        <f t="shared" ca="1" si="66"/>
        <v>0</v>
      </c>
      <c r="R96" s="568">
        <f t="shared" ca="1" si="66"/>
        <v>0</v>
      </c>
      <c r="S96" s="568">
        <f t="shared" ca="1" si="66"/>
        <v>0</v>
      </c>
      <c r="T96" s="568">
        <f t="shared" ca="1" si="63"/>
        <v>0</v>
      </c>
      <c r="U96" s="568">
        <f t="shared" ca="1" si="64"/>
        <v>0</v>
      </c>
    </row>
    <row r="97" spans="1:21" ht="18.75" hidden="1" x14ac:dyDescent="0.25">
      <c r="A97" s="674"/>
      <c r="B97" s="561"/>
      <c r="C97" s="561"/>
      <c r="D97" s="562" t="s">
        <v>22</v>
      </c>
      <c r="E97" s="561"/>
      <c r="F97" s="561"/>
      <c r="G97" s="563"/>
      <c r="H97" s="682" t="s">
        <v>14</v>
      </c>
      <c r="I97" s="683"/>
      <c r="J97" s="683"/>
      <c r="K97" s="684"/>
      <c r="L97" s="567">
        <f t="shared" ref="L97:N97" ca="1" si="67">L98+L99</f>
        <v>0</v>
      </c>
      <c r="M97" s="568">
        <f t="shared" ca="1" si="67"/>
        <v>0</v>
      </c>
      <c r="N97" s="568">
        <f t="shared" ca="1" si="67"/>
        <v>0</v>
      </c>
      <c r="O97" s="568">
        <f t="shared" ca="1" si="60"/>
        <v>0</v>
      </c>
      <c r="P97" s="568">
        <f t="shared" ca="1" si="61"/>
        <v>0</v>
      </c>
      <c r="Q97" s="568">
        <f t="shared" ref="Q97:S97" ca="1" si="68">Q98+Q99</f>
        <v>0</v>
      </c>
      <c r="R97" s="568">
        <f t="shared" ca="1" si="68"/>
        <v>0</v>
      </c>
      <c r="S97" s="568">
        <f t="shared" ca="1" si="68"/>
        <v>0</v>
      </c>
      <c r="T97" s="568">
        <f t="shared" ca="1" si="63"/>
        <v>0</v>
      </c>
      <c r="U97" s="568">
        <f t="shared" ca="1" si="64"/>
        <v>0</v>
      </c>
    </row>
    <row r="98" spans="1:21" ht="18.75" hidden="1" x14ac:dyDescent="0.25">
      <c r="A98" s="674"/>
      <c r="B98" s="561"/>
      <c r="C98" s="561"/>
      <c r="D98" s="561"/>
      <c r="E98" s="569" t="s">
        <v>36</v>
      </c>
      <c r="F98" s="561"/>
      <c r="G98" s="563"/>
      <c r="H98" s="685" t="s">
        <v>14</v>
      </c>
      <c r="I98" s="683"/>
      <c r="J98" s="683"/>
      <c r="K98" s="684"/>
      <c r="L98" s="571">
        <v>0</v>
      </c>
      <c r="M98" s="572">
        <v>0</v>
      </c>
      <c r="N98" s="572">
        <v>0</v>
      </c>
      <c r="O98" s="572">
        <f t="shared" si="60"/>
        <v>0</v>
      </c>
      <c r="P98" s="572">
        <f t="shared" si="61"/>
        <v>0</v>
      </c>
      <c r="Q98" s="572">
        <v>0</v>
      </c>
      <c r="R98" s="572">
        <v>0</v>
      </c>
      <c r="S98" s="572">
        <v>0</v>
      </c>
      <c r="T98" s="572">
        <f t="shared" si="63"/>
        <v>0</v>
      </c>
      <c r="U98" s="572">
        <f t="shared" si="64"/>
        <v>0</v>
      </c>
    </row>
    <row r="99" spans="1:21" ht="18.75" hidden="1" x14ac:dyDescent="0.25">
      <c r="A99" s="674"/>
      <c r="B99" s="561"/>
      <c r="C99" s="561"/>
      <c r="D99" s="561"/>
      <c r="E99" s="573" t="s">
        <v>37</v>
      </c>
      <c r="F99" s="561"/>
      <c r="G99" s="563"/>
      <c r="H99" s="682" t="s">
        <v>14</v>
      </c>
      <c r="I99" s="683"/>
      <c r="J99" s="683"/>
      <c r="K99" s="684"/>
      <c r="L99" s="567">
        <f ca="1">IFERROR(__xludf.DUMMYFUNCTION("IMPORTRANGE(""https://docs.google.com/spreadsheets/d/1-uDff_7J0KD5mKrp0Vvzr7lt3OU09vwQwhkpOPPYv2Y/edit?usp=sharing"",""งบพรบ!AW20"")"),0)</f>
        <v>0</v>
      </c>
      <c r="M99" s="568">
        <f ca="1">IFERROR(__xludf.DUMMYFUNCTION("IMPORTRANGE(""https://docs.google.com/spreadsheets/d/1-uDff_7J0KD5mKrp0Vvzr7lt3OU09vwQwhkpOPPYv2Y/edit?usp=sharing"",""งบพรบ!BB20"")"),0)</f>
        <v>0</v>
      </c>
      <c r="N99" s="568">
        <f ca="1">IFERROR(__xludf.DUMMYFUNCTION("IMPORTRANGE(""https://docs.google.com/spreadsheets/d/1-uDff_7J0KD5mKrp0Vvzr7lt3OU09vwQwhkpOPPYv2Y/edit?usp=sharing"",""งบพรบ!BD20"")"),0)</f>
        <v>0</v>
      </c>
      <c r="O99" s="568">
        <f t="shared" ca="1" si="60"/>
        <v>0</v>
      </c>
      <c r="P99" s="568">
        <f t="shared" ca="1" si="61"/>
        <v>0</v>
      </c>
      <c r="Q99" s="568">
        <f ca="1">IFERROR(__xludf.DUMMYFUNCTION("IMPORTRANGE(""https://docs.google.com/spreadsheets/d/1ItG2mGa2ceCfYo0BwxsXqNm01IGEUdYcSSLTEv9YCik/edit?usp=sharing"",""เบิกจ่ายกองทุน!AJ20"")"),0)</f>
        <v>0</v>
      </c>
      <c r="R99" s="568">
        <f ca="1">IFERROR(__xludf.DUMMYFUNCTION("IMPORTRANGE(""https://docs.google.com/spreadsheets/d/1ItG2mGa2ceCfYo0BwxsXqNm01IGEUdYcSSLTEv9YCik/edit?usp=sharing"",""เบิกจ่ายกองทุน!AK20"")"),0)</f>
        <v>0</v>
      </c>
      <c r="S99" s="568">
        <f ca="1">IFERROR(__xludf.DUMMYFUNCTION("IMPORTRANGE(""https://docs.google.com/spreadsheets/d/1ItG2mGa2ceCfYo0BwxsXqNm01IGEUdYcSSLTEv9YCik/edit?usp=sharing"",""เบิกจ่ายกองทุน!AL20"")"),0)</f>
        <v>0</v>
      </c>
      <c r="T99" s="568">
        <f t="shared" ca="1" si="63"/>
        <v>0</v>
      </c>
      <c r="U99" s="568">
        <f t="shared" ca="1" si="64"/>
        <v>0</v>
      </c>
    </row>
    <row r="100" spans="1:21" ht="18.75" hidden="1" x14ac:dyDescent="0.25">
      <c r="A100" s="674"/>
      <c r="B100" s="561"/>
      <c r="C100" s="561"/>
      <c r="D100" s="562" t="s">
        <v>23</v>
      </c>
      <c r="E100" s="561"/>
      <c r="F100" s="561"/>
      <c r="G100" s="563"/>
      <c r="H100" s="686" t="s">
        <v>14</v>
      </c>
      <c r="I100" s="683"/>
      <c r="J100" s="683"/>
      <c r="K100" s="684"/>
      <c r="L100" s="567">
        <f t="shared" ref="L100:N100" ca="1" si="69">L101+L102</f>
        <v>0</v>
      </c>
      <c r="M100" s="568">
        <f t="shared" ca="1" si="69"/>
        <v>0</v>
      </c>
      <c r="N100" s="568">
        <f t="shared" ca="1" si="69"/>
        <v>0</v>
      </c>
      <c r="O100" s="568">
        <f t="shared" ca="1" si="60"/>
        <v>0</v>
      </c>
      <c r="P100" s="568">
        <f t="shared" ca="1" si="61"/>
        <v>0</v>
      </c>
      <c r="Q100" s="568">
        <f t="shared" ref="Q100:S100" si="70">Q101+Q102</f>
        <v>0</v>
      </c>
      <c r="R100" s="568">
        <f t="shared" si="70"/>
        <v>0</v>
      </c>
      <c r="S100" s="568">
        <f t="shared" si="70"/>
        <v>0</v>
      </c>
      <c r="T100" s="568">
        <f t="shared" si="63"/>
        <v>0</v>
      </c>
      <c r="U100" s="568">
        <f t="shared" si="64"/>
        <v>0</v>
      </c>
    </row>
    <row r="101" spans="1:21" ht="18.75" hidden="1" x14ac:dyDescent="0.25">
      <c r="A101" s="674"/>
      <c r="B101" s="561"/>
      <c r="C101" s="561"/>
      <c r="D101" s="561"/>
      <c r="E101" s="569" t="s">
        <v>20</v>
      </c>
      <c r="F101" s="561"/>
      <c r="G101" s="563"/>
      <c r="H101" s="685" t="s">
        <v>14</v>
      </c>
      <c r="I101" s="683"/>
      <c r="J101" s="683"/>
      <c r="K101" s="684"/>
      <c r="L101" s="571">
        <v>0</v>
      </c>
      <c r="M101" s="572">
        <v>0</v>
      </c>
      <c r="N101" s="572">
        <v>0</v>
      </c>
      <c r="O101" s="572">
        <f t="shared" si="60"/>
        <v>0</v>
      </c>
      <c r="P101" s="572">
        <f t="shared" si="61"/>
        <v>0</v>
      </c>
      <c r="Q101" s="572">
        <v>0</v>
      </c>
      <c r="R101" s="572">
        <v>0</v>
      </c>
      <c r="S101" s="572">
        <v>0</v>
      </c>
      <c r="T101" s="572">
        <f t="shared" si="63"/>
        <v>0</v>
      </c>
      <c r="U101" s="572">
        <f t="shared" si="64"/>
        <v>0</v>
      </c>
    </row>
    <row r="102" spans="1:21" ht="18.75" hidden="1" x14ac:dyDescent="0.25">
      <c r="A102" s="674"/>
      <c r="B102" s="561"/>
      <c r="C102" s="561"/>
      <c r="D102" s="561"/>
      <c r="E102" s="573" t="s">
        <v>21</v>
      </c>
      <c r="F102" s="561"/>
      <c r="G102" s="563"/>
      <c r="H102" s="686" t="s">
        <v>14</v>
      </c>
      <c r="I102" s="683"/>
      <c r="J102" s="683"/>
      <c r="K102" s="684"/>
      <c r="L102" s="567">
        <f ca="1">IFERROR(__xludf.DUMMYFUNCTION("IMPORTRANGE(""https://docs.google.com/spreadsheets/d/1-uDff_7J0KD5mKrp0Vvzr7lt3OU09vwQwhkpOPPYv2Y/edit?usp=sharing"",""งบพรบ!AZ20"")"),0)</f>
        <v>0</v>
      </c>
      <c r="M102" s="568">
        <f ca="1">IFERROR(__xludf.DUMMYFUNCTION("IMPORTRANGE(""https://docs.google.com/spreadsheets/d/1-uDff_7J0KD5mKrp0Vvzr7lt3OU09vwQwhkpOPPYv2Y/edit?usp=sharing"",""งบพรบ!BC20"")"),0)</f>
        <v>0</v>
      </c>
      <c r="N102" s="568">
        <f ca="1">IFERROR(__xludf.DUMMYFUNCTION("IMPORTRANGE(""https://docs.google.com/spreadsheets/d/1-uDff_7J0KD5mKrp0Vvzr7lt3OU09vwQwhkpOPPYv2Y/edit?usp=sharing"",""งบพรบ!BE20"")"),0)</f>
        <v>0</v>
      </c>
      <c r="O102" s="568">
        <f t="shared" ca="1" si="60"/>
        <v>0</v>
      </c>
      <c r="P102" s="568">
        <f t="shared" ca="1" si="61"/>
        <v>0</v>
      </c>
      <c r="Q102" s="568">
        <v>0</v>
      </c>
      <c r="R102" s="568">
        <v>0</v>
      </c>
      <c r="S102" s="568">
        <v>0</v>
      </c>
      <c r="T102" s="568">
        <f t="shared" si="63"/>
        <v>0</v>
      </c>
      <c r="U102" s="568">
        <f t="shared" si="64"/>
        <v>0</v>
      </c>
    </row>
    <row r="103" spans="1:21" ht="19.5" hidden="1" x14ac:dyDescent="0.3">
      <c r="A103" s="687"/>
      <c r="B103" s="688"/>
      <c r="C103" s="675" t="s">
        <v>18</v>
      </c>
      <c r="D103" s="689" t="s">
        <v>38</v>
      </c>
      <c r="E103" s="690"/>
      <c r="F103" s="690"/>
      <c r="G103" s="691"/>
      <c r="H103" s="692"/>
      <c r="I103" s="683"/>
      <c r="J103" s="565"/>
      <c r="K103" s="566"/>
      <c r="L103" s="574"/>
      <c r="M103" s="566"/>
      <c r="N103" s="566"/>
      <c r="O103" s="684"/>
      <c r="P103" s="684"/>
      <c r="Q103" s="566"/>
      <c r="R103" s="566"/>
      <c r="S103" s="566"/>
      <c r="T103" s="684"/>
      <c r="U103" s="684"/>
    </row>
    <row r="104" spans="1:21" ht="12.75" hidden="1" x14ac:dyDescent="0.2">
      <c r="A104" s="705"/>
      <c r="B104" s="706"/>
      <c r="C104" s="706"/>
      <c r="D104" s="531"/>
      <c r="E104" s="531"/>
      <c r="F104" s="531"/>
      <c r="G104" s="532"/>
      <c r="H104" s="532"/>
      <c r="I104" s="533"/>
      <c r="J104" s="533"/>
      <c r="K104" s="534"/>
      <c r="L104" s="535"/>
      <c r="M104" s="534"/>
      <c r="N104" s="534"/>
      <c r="O104" s="534"/>
      <c r="P104" s="534"/>
      <c r="Q104" s="534"/>
      <c r="R104" s="534"/>
      <c r="S104" s="534"/>
      <c r="T104" s="534"/>
      <c r="U104" s="534"/>
    </row>
    <row r="105" spans="1:21" ht="12.75" hidden="1" x14ac:dyDescent="0.2">
      <c r="A105" s="705"/>
      <c r="B105" s="706"/>
      <c r="C105" s="706"/>
      <c r="D105" s="531"/>
      <c r="E105" s="531"/>
      <c r="F105" s="531"/>
      <c r="G105" s="532"/>
      <c r="H105" s="532"/>
      <c r="I105" s="533"/>
      <c r="J105" s="533"/>
      <c r="K105" s="534"/>
      <c r="L105" s="535"/>
      <c r="M105" s="534"/>
      <c r="N105" s="534"/>
      <c r="O105" s="534"/>
      <c r="P105" s="534"/>
      <c r="Q105" s="534"/>
      <c r="R105" s="534"/>
      <c r="S105" s="534"/>
      <c r="T105" s="534"/>
      <c r="U105" s="534"/>
    </row>
    <row r="106" spans="1:21" ht="12.75" hidden="1" x14ac:dyDescent="0.2">
      <c r="A106" s="705"/>
      <c r="B106" s="706"/>
      <c r="C106" s="706"/>
      <c r="D106" s="706"/>
      <c r="E106" s="531"/>
      <c r="F106" s="531"/>
      <c r="G106" s="532"/>
      <c r="H106" s="532"/>
      <c r="I106" s="533"/>
      <c r="J106" s="533"/>
      <c r="K106" s="534"/>
      <c r="L106" s="535"/>
      <c r="M106" s="534"/>
      <c r="N106" s="534"/>
      <c r="O106" s="534"/>
      <c r="P106" s="534"/>
      <c r="Q106" s="534"/>
      <c r="R106" s="534"/>
      <c r="S106" s="534"/>
      <c r="T106" s="534"/>
      <c r="U106" s="534"/>
    </row>
    <row r="107" spans="1:21" ht="19.5" hidden="1" x14ac:dyDescent="0.3">
      <c r="A107" s="687"/>
      <c r="B107" s="688"/>
      <c r="C107" s="688"/>
      <c r="D107" s="707" t="s">
        <v>47</v>
      </c>
      <c r="E107" s="510"/>
      <c r="F107" s="695"/>
      <c r="G107" s="692"/>
      <c r="H107" s="563"/>
      <c r="I107" s="565"/>
      <c r="J107" s="565"/>
      <c r="K107" s="566"/>
      <c r="L107" s="574"/>
      <c r="M107" s="566"/>
      <c r="N107" s="566"/>
      <c r="O107" s="684"/>
      <c r="P107" s="684"/>
      <c r="Q107" s="566"/>
      <c r="R107" s="566"/>
      <c r="S107" s="566"/>
      <c r="T107" s="684"/>
      <c r="U107" s="684"/>
    </row>
    <row r="108" spans="1:21" ht="18.75" hidden="1" x14ac:dyDescent="0.25">
      <c r="A108" s="687"/>
      <c r="B108" s="688"/>
      <c r="C108" s="688"/>
      <c r="D108" s="699" t="s">
        <v>48</v>
      </c>
      <c r="E108" s="695"/>
      <c r="F108" s="695"/>
      <c r="G108" s="692"/>
      <c r="H108" s="564" t="s">
        <v>46</v>
      </c>
      <c r="I108" s="708">
        <f ca="1">IFERROR(__xludf.DUMMYFUNCTION("IMPORTRANGE(""https://docs.google.com/spreadsheets/d/1eHaY18a8A9IcSdp1K8H6x8fbOy06t2VsZHhMHf-1x7Y/edit?usp=sharing"",""แผน!N20"")"),0)</f>
        <v>0</v>
      </c>
      <c r="J108" s="702">
        <v>0</v>
      </c>
      <c r="K108" s="568">
        <f t="shared" ref="K108:K109" ca="1" si="71">IF(I108&gt;0,J108*100/I108,0)</f>
        <v>0</v>
      </c>
      <c r="L108" s="574"/>
      <c r="M108" s="566"/>
      <c r="N108" s="566"/>
      <c r="O108" s="684"/>
      <c r="P108" s="684"/>
      <c r="Q108" s="566"/>
      <c r="R108" s="566"/>
      <c r="S108" s="566"/>
      <c r="T108" s="684"/>
      <c r="U108" s="684"/>
    </row>
    <row r="109" spans="1:21" ht="18.75" hidden="1" x14ac:dyDescent="0.25">
      <c r="A109" s="687"/>
      <c r="B109" s="688"/>
      <c r="C109" s="688"/>
      <c r="D109" s="699" t="s">
        <v>49</v>
      </c>
      <c r="E109" s="695"/>
      <c r="F109" s="695"/>
      <c r="G109" s="692"/>
      <c r="H109" s="564" t="s">
        <v>35</v>
      </c>
      <c r="I109" s="708">
        <f ca="1">IFERROR(__xludf.DUMMYFUNCTION("IMPORTRANGE(""https://docs.google.com/spreadsheets/d/1eHaY18a8A9IcSdp1K8H6x8fbOy06t2VsZHhMHf-1x7Y/edit?usp=sharing"",""แผน!O20"")"),0)</f>
        <v>0</v>
      </c>
      <c r="J109" s="702">
        <v>0</v>
      </c>
      <c r="K109" s="568">
        <f t="shared" ca="1" si="71"/>
        <v>0</v>
      </c>
      <c r="L109" s="574"/>
      <c r="M109" s="566"/>
      <c r="N109" s="566"/>
      <c r="O109" s="684"/>
      <c r="P109" s="684"/>
      <c r="Q109" s="566"/>
      <c r="R109" s="566"/>
      <c r="S109" s="566"/>
      <c r="T109" s="684"/>
      <c r="U109" s="684"/>
    </row>
    <row r="110" spans="1:21" ht="12.75" hidden="1" x14ac:dyDescent="0.2">
      <c r="A110" s="705"/>
      <c r="B110" s="706"/>
      <c r="C110" s="706"/>
      <c r="D110" s="531"/>
      <c r="E110" s="531"/>
      <c r="F110" s="531"/>
      <c r="G110" s="532"/>
      <c r="H110" s="532"/>
      <c r="I110" s="533"/>
      <c r="J110" s="533"/>
      <c r="K110" s="534"/>
      <c r="L110" s="535"/>
      <c r="M110" s="534"/>
      <c r="N110" s="534"/>
      <c r="O110" s="534"/>
      <c r="P110" s="534"/>
      <c r="Q110" s="534"/>
      <c r="R110" s="534"/>
      <c r="S110" s="534"/>
      <c r="T110" s="534"/>
      <c r="U110" s="534"/>
    </row>
    <row r="111" spans="1:21" ht="12.75" hidden="1" x14ac:dyDescent="0.2">
      <c r="A111" s="705"/>
      <c r="B111" s="706"/>
      <c r="C111" s="706"/>
      <c r="D111" s="531"/>
      <c r="E111" s="531"/>
      <c r="F111" s="531"/>
      <c r="G111" s="532"/>
      <c r="H111" s="532"/>
      <c r="I111" s="533"/>
      <c r="J111" s="533"/>
      <c r="K111" s="534"/>
      <c r="L111" s="535"/>
      <c r="M111" s="534"/>
      <c r="N111" s="534"/>
      <c r="O111" s="534"/>
      <c r="P111" s="534"/>
      <c r="Q111" s="534"/>
      <c r="R111" s="534"/>
      <c r="S111" s="534"/>
      <c r="T111" s="534"/>
      <c r="U111" s="534"/>
    </row>
    <row r="112" spans="1:21" ht="12.75" hidden="1" x14ac:dyDescent="0.2">
      <c r="A112" s="705"/>
      <c r="B112" s="706"/>
      <c r="C112" s="706"/>
      <c r="D112" s="531"/>
      <c r="E112" s="531"/>
      <c r="F112" s="531"/>
      <c r="G112" s="532"/>
      <c r="H112" s="532"/>
      <c r="I112" s="533"/>
      <c r="J112" s="533"/>
      <c r="K112" s="534"/>
      <c r="L112" s="535"/>
      <c r="M112" s="534"/>
      <c r="N112" s="534"/>
      <c r="O112" s="534"/>
      <c r="P112" s="534"/>
      <c r="Q112" s="534"/>
      <c r="R112" s="534"/>
      <c r="S112" s="534"/>
      <c r="T112" s="534"/>
      <c r="U112" s="534"/>
    </row>
    <row r="113" spans="1:21" ht="12.75" hidden="1" x14ac:dyDescent="0.2">
      <c r="A113" s="705"/>
      <c r="B113" s="706"/>
      <c r="C113" s="706"/>
      <c r="D113" s="531"/>
      <c r="E113" s="531"/>
      <c r="F113" s="531"/>
      <c r="G113" s="532"/>
      <c r="H113" s="532"/>
      <c r="I113" s="533">
        <v>0</v>
      </c>
      <c r="J113" s="533">
        <v>0</v>
      </c>
      <c r="K113" s="534"/>
      <c r="L113" s="535"/>
      <c r="M113" s="534"/>
      <c r="N113" s="534"/>
      <c r="O113" s="534"/>
      <c r="P113" s="534"/>
      <c r="Q113" s="534"/>
      <c r="R113" s="534"/>
      <c r="S113" s="534"/>
      <c r="T113" s="534"/>
      <c r="U113" s="534"/>
    </row>
    <row r="114" spans="1:21" ht="18.75" hidden="1" x14ac:dyDescent="0.25">
      <c r="A114" s="687"/>
      <c r="B114" s="688"/>
      <c r="C114" s="688"/>
      <c r="D114" s="699" t="s">
        <v>50</v>
      </c>
      <c r="E114" s="695"/>
      <c r="F114" s="695"/>
      <c r="G114" s="692"/>
      <c r="H114" s="700" t="s">
        <v>35</v>
      </c>
      <c r="I114" s="701">
        <f ca="1">IFERROR(__xludf.DUMMYFUNCTION("IMPORTRANGE(""https://docs.google.com/spreadsheets/d/1eHaY18a8A9IcSdp1K8H6x8fbOy06t2VsZHhMHf-1x7Y/edit?usp=sharing"",""แผน!R20"")"),0)</f>
        <v>0</v>
      </c>
      <c r="J114" s="702">
        <v>0</v>
      </c>
      <c r="K114" s="568">
        <f ca="1">IF(I114&gt;0,J114*100/I114,0)</f>
        <v>0</v>
      </c>
      <c r="L114" s="574"/>
      <c r="M114" s="566"/>
      <c r="N114" s="566"/>
      <c r="O114" s="684"/>
      <c r="P114" s="684"/>
      <c r="Q114" s="566"/>
      <c r="R114" s="566"/>
      <c r="S114" s="566"/>
      <c r="T114" s="684"/>
      <c r="U114" s="684"/>
    </row>
    <row r="115" spans="1:21" ht="19.5" x14ac:dyDescent="0.3">
      <c r="A115" s="709" t="s">
        <v>51</v>
      </c>
      <c r="B115" s="710"/>
      <c r="C115" s="711"/>
      <c r="D115" s="712"/>
      <c r="E115" s="712"/>
      <c r="F115" s="712"/>
      <c r="G115" s="712"/>
      <c r="H115" s="710"/>
      <c r="I115" s="713"/>
      <c r="J115" s="713"/>
      <c r="K115" s="714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</row>
    <row r="116" spans="1:21" ht="19.5" x14ac:dyDescent="0.3">
      <c r="A116" s="669"/>
      <c r="B116" s="715" t="s">
        <v>52</v>
      </c>
      <c r="C116" s="716"/>
      <c r="D116" s="670"/>
      <c r="E116" s="543"/>
      <c r="F116" s="543"/>
      <c r="G116" s="546"/>
      <c r="H116" s="717" t="s">
        <v>35</v>
      </c>
      <c r="I116" s="672">
        <f t="shared" ref="I116:J116" ca="1" si="72">I127</f>
        <v>60</v>
      </c>
      <c r="J116" s="672">
        <f t="shared" si="72"/>
        <v>60</v>
      </c>
      <c r="K116" s="551">
        <f ca="1">IF(I116&gt;0,J116*100/I116,0)</f>
        <v>100</v>
      </c>
      <c r="L116" s="673"/>
      <c r="M116" s="549"/>
      <c r="N116" s="549"/>
      <c r="O116" s="549"/>
      <c r="P116" s="549"/>
      <c r="Q116" s="549"/>
      <c r="R116" s="549"/>
      <c r="S116" s="549"/>
      <c r="T116" s="549"/>
      <c r="U116" s="549"/>
    </row>
    <row r="117" spans="1:21" ht="19.5" x14ac:dyDescent="0.3">
      <c r="A117" s="674"/>
      <c r="B117" s="718"/>
      <c r="C117" s="719" t="s">
        <v>18</v>
      </c>
      <c r="D117" s="676" t="s">
        <v>19</v>
      </c>
      <c r="E117" s="561"/>
      <c r="F117" s="561"/>
      <c r="G117" s="563"/>
      <c r="H117" s="677" t="s">
        <v>14</v>
      </c>
      <c r="I117" s="565"/>
      <c r="J117" s="565"/>
      <c r="K117" s="566"/>
      <c r="L117" s="678">
        <f t="shared" ref="L117:N117" ca="1" si="73">L118+L119</f>
        <v>0</v>
      </c>
      <c r="M117" s="679">
        <f t="shared" ca="1" si="73"/>
        <v>0</v>
      </c>
      <c r="N117" s="679">
        <f t="shared" ca="1" si="73"/>
        <v>0</v>
      </c>
      <c r="O117" s="679">
        <f t="shared" ref="O117:O125" ca="1" si="74">IF(L117&gt;0,N117*100/L117,0)</f>
        <v>0</v>
      </c>
      <c r="P117" s="679">
        <f t="shared" ref="P117:P125" ca="1" si="75">IF(M117&gt;0,N117*100/M117,0)</f>
        <v>0</v>
      </c>
      <c r="Q117" s="679">
        <f t="shared" ref="Q117:S117" ca="1" si="76">Q118+Q119</f>
        <v>322280</v>
      </c>
      <c r="R117" s="679">
        <f t="shared" ca="1" si="76"/>
        <v>322280</v>
      </c>
      <c r="S117" s="679">
        <f t="shared" ca="1" si="76"/>
        <v>151740</v>
      </c>
      <c r="T117" s="679">
        <f t="shared" ref="T117:T125" ca="1" si="77">IF(Q117&gt;0,S117*100/Q117,0)</f>
        <v>47.083281618468412</v>
      </c>
      <c r="U117" s="679">
        <f t="shared" ref="U117:U125" ca="1" si="78">IF(R117&gt;0,S117*100/R117,0)</f>
        <v>47.083281618468412</v>
      </c>
    </row>
    <row r="118" spans="1:21" ht="18.75" x14ac:dyDescent="0.25">
      <c r="A118" s="674"/>
      <c r="B118" s="718"/>
      <c r="C118" s="718"/>
      <c r="D118" s="718"/>
      <c r="E118" s="569" t="s">
        <v>20</v>
      </c>
      <c r="F118" s="561"/>
      <c r="G118" s="563"/>
      <c r="H118" s="680" t="s">
        <v>14</v>
      </c>
      <c r="I118" s="565"/>
      <c r="J118" s="565"/>
      <c r="K118" s="566"/>
      <c r="L118" s="571">
        <f t="shared" ref="L118:N119" si="79">L121+L124</f>
        <v>0</v>
      </c>
      <c r="M118" s="572">
        <f t="shared" si="79"/>
        <v>0</v>
      </c>
      <c r="N118" s="572">
        <f t="shared" si="79"/>
        <v>0</v>
      </c>
      <c r="O118" s="572">
        <f t="shared" si="74"/>
        <v>0</v>
      </c>
      <c r="P118" s="572">
        <f t="shared" si="75"/>
        <v>0</v>
      </c>
      <c r="Q118" s="572">
        <f t="shared" ref="Q118:S119" si="80">Q121+Q124</f>
        <v>0</v>
      </c>
      <c r="R118" s="572">
        <f t="shared" si="80"/>
        <v>0</v>
      </c>
      <c r="S118" s="572">
        <f t="shared" si="80"/>
        <v>0</v>
      </c>
      <c r="T118" s="572">
        <f t="shared" si="77"/>
        <v>0</v>
      </c>
      <c r="U118" s="572">
        <f t="shared" si="78"/>
        <v>0</v>
      </c>
    </row>
    <row r="119" spans="1:21" ht="18.75" x14ac:dyDescent="0.25">
      <c r="A119" s="674"/>
      <c r="B119" s="718"/>
      <c r="C119" s="718"/>
      <c r="D119" s="718"/>
      <c r="E119" s="573" t="s">
        <v>21</v>
      </c>
      <c r="F119" s="561"/>
      <c r="G119" s="563"/>
      <c r="H119" s="681" t="s">
        <v>14</v>
      </c>
      <c r="I119" s="565"/>
      <c r="J119" s="565"/>
      <c r="K119" s="566"/>
      <c r="L119" s="567">
        <f t="shared" ca="1" si="79"/>
        <v>0</v>
      </c>
      <c r="M119" s="568">
        <f t="shared" ca="1" si="79"/>
        <v>0</v>
      </c>
      <c r="N119" s="568">
        <f t="shared" ca="1" si="79"/>
        <v>0</v>
      </c>
      <c r="O119" s="568">
        <f t="shared" ca="1" si="74"/>
        <v>0</v>
      </c>
      <c r="P119" s="568">
        <f t="shared" ca="1" si="75"/>
        <v>0</v>
      </c>
      <c r="Q119" s="568">
        <f t="shared" ca="1" si="80"/>
        <v>322280</v>
      </c>
      <c r="R119" s="568">
        <f t="shared" ca="1" si="80"/>
        <v>322280</v>
      </c>
      <c r="S119" s="568">
        <f t="shared" ca="1" si="80"/>
        <v>151740</v>
      </c>
      <c r="T119" s="568">
        <f t="shared" ca="1" si="77"/>
        <v>47.083281618468412</v>
      </c>
      <c r="U119" s="568">
        <f t="shared" ca="1" si="78"/>
        <v>47.083281618468412</v>
      </c>
    </row>
    <row r="120" spans="1:21" ht="18.75" x14ac:dyDescent="0.25">
      <c r="A120" s="674"/>
      <c r="B120" s="718"/>
      <c r="C120" s="720"/>
      <c r="D120" s="721" t="s">
        <v>22</v>
      </c>
      <c r="E120" s="561"/>
      <c r="F120" s="561"/>
      <c r="G120" s="563"/>
      <c r="H120" s="722" t="s">
        <v>14</v>
      </c>
      <c r="I120" s="565"/>
      <c r="J120" s="565"/>
      <c r="K120" s="566"/>
      <c r="L120" s="567">
        <f t="shared" ref="L120:N120" ca="1" si="81">L121+L122</f>
        <v>0</v>
      </c>
      <c r="M120" s="568">
        <f t="shared" ca="1" si="81"/>
        <v>0</v>
      </c>
      <c r="N120" s="568">
        <f t="shared" ca="1" si="81"/>
        <v>0</v>
      </c>
      <c r="O120" s="568">
        <f t="shared" ca="1" si="74"/>
        <v>0</v>
      </c>
      <c r="P120" s="568">
        <f t="shared" ca="1" si="75"/>
        <v>0</v>
      </c>
      <c r="Q120" s="568">
        <f t="shared" ref="Q120:S120" ca="1" si="82">Q121+Q122</f>
        <v>322280</v>
      </c>
      <c r="R120" s="568">
        <f t="shared" ca="1" si="82"/>
        <v>322280</v>
      </c>
      <c r="S120" s="568">
        <f t="shared" ca="1" si="82"/>
        <v>151740</v>
      </c>
      <c r="T120" s="568">
        <f t="shared" ca="1" si="77"/>
        <v>47.083281618468412</v>
      </c>
      <c r="U120" s="568">
        <f t="shared" ca="1" si="78"/>
        <v>47.083281618468412</v>
      </c>
    </row>
    <row r="121" spans="1:21" ht="18.75" x14ac:dyDescent="0.25">
      <c r="A121" s="674"/>
      <c r="B121" s="718"/>
      <c r="C121" s="720"/>
      <c r="D121" s="718"/>
      <c r="E121" s="569" t="s">
        <v>36</v>
      </c>
      <c r="F121" s="561"/>
      <c r="G121" s="563"/>
      <c r="H121" s="723" t="s">
        <v>14</v>
      </c>
      <c r="I121" s="565"/>
      <c r="J121" s="565"/>
      <c r="K121" s="566"/>
      <c r="L121" s="571">
        <v>0</v>
      </c>
      <c r="M121" s="572">
        <v>0</v>
      </c>
      <c r="N121" s="572">
        <v>0</v>
      </c>
      <c r="O121" s="572">
        <f t="shared" si="74"/>
        <v>0</v>
      </c>
      <c r="P121" s="572">
        <f t="shared" si="75"/>
        <v>0</v>
      </c>
      <c r="Q121" s="572">
        <v>0</v>
      </c>
      <c r="R121" s="572">
        <v>0</v>
      </c>
      <c r="S121" s="572">
        <v>0</v>
      </c>
      <c r="T121" s="572">
        <f t="shared" si="77"/>
        <v>0</v>
      </c>
      <c r="U121" s="572">
        <f t="shared" si="78"/>
        <v>0</v>
      </c>
    </row>
    <row r="122" spans="1:21" ht="18.75" x14ac:dyDescent="0.25">
      <c r="A122" s="674"/>
      <c r="B122" s="718"/>
      <c r="C122" s="720"/>
      <c r="D122" s="718"/>
      <c r="E122" s="573" t="s">
        <v>37</v>
      </c>
      <c r="F122" s="561"/>
      <c r="G122" s="563"/>
      <c r="H122" s="722" t="s">
        <v>14</v>
      </c>
      <c r="I122" s="565"/>
      <c r="J122" s="565"/>
      <c r="K122" s="566"/>
      <c r="L122" s="567">
        <f ca="1">IFERROR(__xludf.DUMMYFUNCTION("IMPORTRANGE(""https://docs.google.com/spreadsheets/d/1-uDff_7J0KD5mKrp0Vvzr7lt3OU09vwQwhkpOPPYv2Y/edit?usp=sharing"",""งบพรบ!BG20"")"),0)</f>
        <v>0</v>
      </c>
      <c r="M122" s="568">
        <f ca="1">IFERROR(__xludf.DUMMYFUNCTION("IMPORTRANGE(""https://docs.google.com/spreadsheets/d/1-uDff_7J0KD5mKrp0Vvzr7lt3OU09vwQwhkpOPPYv2Y/edit?usp=sharing"",""งบพรบ!BL20"")"),0)</f>
        <v>0</v>
      </c>
      <c r="N122" s="568">
        <f ca="1">IFERROR(__xludf.DUMMYFUNCTION("IMPORTRANGE(""https://docs.google.com/spreadsheets/d/1-uDff_7J0KD5mKrp0Vvzr7lt3OU09vwQwhkpOPPYv2Y/edit?usp=sharing"",""งบพรบ!BN20"")"),0)</f>
        <v>0</v>
      </c>
      <c r="O122" s="568">
        <f t="shared" ca="1" si="74"/>
        <v>0</v>
      </c>
      <c r="P122" s="568">
        <f t="shared" ca="1" si="75"/>
        <v>0</v>
      </c>
      <c r="Q122" s="568">
        <f ca="1">IFERROR(__xludf.DUMMYFUNCTION("IMPORTRANGE(""https://docs.google.com/spreadsheets/d/1ItG2mGa2ceCfYo0BwxsXqNm01IGEUdYcSSLTEv9YCik/edit?usp=sharing"",""เบิกจ่ายกองทุน!U20"")"),322280)</f>
        <v>322280</v>
      </c>
      <c r="R122" s="568">
        <f ca="1">IFERROR(__xludf.DUMMYFUNCTION("IMPORTRANGE(""https://docs.google.com/spreadsheets/d/1ItG2mGa2ceCfYo0BwxsXqNm01IGEUdYcSSLTEv9YCik/edit?usp=sharing"",""เบิกจ่ายกองทุน!V20"")"),322280)</f>
        <v>322280</v>
      </c>
      <c r="S122" s="568">
        <f ca="1">IFERROR(__xludf.DUMMYFUNCTION("IMPORTRANGE(""https://docs.google.com/spreadsheets/d/1ItG2mGa2ceCfYo0BwxsXqNm01IGEUdYcSSLTEv9YCik/edit?usp=sharing"",""เบิกจ่ายกองทุน!W20"")"),151740)</f>
        <v>151740</v>
      </c>
      <c r="T122" s="568">
        <f t="shared" ca="1" si="77"/>
        <v>47.083281618468412</v>
      </c>
      <c r="U122" s="568">
        <f t="shared" ca="1" si="78"/>
        <v>47.083281618468412</v>
      </c>
    </row>
    <row r="123" spans="1:21" ht="18.75" x14ac:dyDescent="0.25">
      <c r="A123" s="674"/>
      <c r="B123" s="561"/>
      <c r="C123" s="720"/>
      <c r="D123" s="721" t="s">
        <v>23</v>
      </c>
      <c r="E123" s="561"/>
      <c r="F123" s="561"/>
      <c r="G123" s="563"/>
      <c r="H123" s="681" t="s">
        <v>14</v>
      </c>
      <c r="I123" s="565"/>
      <c r="J123" s="565"/>
      <c r="K123" s="566"/>
      <c r="L123" s="567">
        <f t="shared" ref="L123:N123" ca="1" si="83">L124+L125</f>
        <v>0</v>
      </c>
      <c r="M123" s="568">
        <f t="shared" ca="1" si="83"/>
        <v>0</v>
      </c>
      <c r="N123" s="568">
        <f t="shared" ca="1" si="83"/>
        <v>0</v>
      </c>
      <c r="O123" s="568">
        <f t="shared" ca="1" si="74"/>
        <v>0</v>
      </c>
      <c r="P123" s="568">
        <f t="shared" ca="1" si="75"/>
        <v>0</v>
      </c>
      <c r="Q123" s="568">
        <f t="shared" ref="Q123:S123" ca="1" si="84">Q124+Q125</f>
        <v>0</v>
      </c>
      <c r="R123" s="568">
        <f t="shared" ca="1" si="84"/>
        <v>0</v>
      </c>
      <c r="S123" s="568">
        <f t="shared" ca="1" si="84"/>
        <v>0</v>
      </c>
      <c r="T123" s="568">
        <f t="shared" ca="1" si="77"/>
        <v>0</v>
      </c>
      <c r="U123" s="568">
        <f t="shared" ca="1" si="78"/>
        <v>0</v>
      </c>
    </row>
    <row r="124" spans="1:21" ht="18.75" x14ac:dyDescent="0.25">
      <c r="A124" s="674"/>
      <c r="B124" s="561"/>
      <c r="C124" s="720"/>
      <c r="D124" s="718"/>
      <c r="E124" s="569" t="s">
        <v>20</v>
      </c>
      <c r="F124" s="561"/>
      <c r="G124" s="563"/>
      <c r="H124" s="723" t="s">
        <v>14</v>
      </c>
      <c r="I124" s="565"/>
      <c r="J124" s="565"/>
      <c r="K124" s="566"/>
      <c r="L124" s="571">
        <v>0</v>
      </c>
      <c r="M124" s="572">
        <v>0</v>
      </c>
      <c r="N124" s="572">
        <v>0</v>
      </c>
      <c r="O124" s="572">
        <f t="shared" si="74"/>
        <v>0</v>
      </c>
      <c r="P124" s="572">
        <f t="shared" si="75"/>
        <v>0</v>
      </c>
      <c r="Q124" s="572">
        <v>0</v>
      </c>
      <c r="R124" s="572">
        <v>0</v>
      </c>
      <c r="S124" s="572">
        <v>0</v>
      </c>
      <c r="T124" s="572">
        <f t="shared" si="77"/>
        <v>0</v>
      </c>
      <c r="U124" s="572">
        <f t="shared" si="78"/>
        <v>0</v>
      </c>
    </row>
    <row r="125" spans="1:21" ht="18.75" x14ac:dyDescent="0.25">
      <c r="A125" s="674"/>
      <c r="B125" s="561"/>
      <c r="C125" s="561"/>
      <c r="D125" s="561"/>
      <c r="E125" s="573" t="s">
        <v>21</v>
      </c>
      <c r="F125" s="561"/>
      <c r="G125" s="563"/>
      <c r="H125" s="681" t="s">
        <v>14</v>
      </c>
      <c r="I125" s="565"/>
      <c r="J125" s="565"/>
      <c r="K125" s="566"/>
      <c r="L125" s="567">
        <f ca="1">IFERROR(__xludf.DUMMYFUNCTION("IMPORTRANGE(""https://docs.google.com/spreadsheets/d/1-uDff_7J0KD5mKrp0Vvzr7lt3OU09vwQwhkpOPPYv2Y/edit?usp=sharing"",""งบพรบ!BJ20"")"),0)</f>
        <v>0</v>
      </c>
      <c r="M125" s="568">
        <f ca="1">IFERROR(__xludf.DUMMYFUNCTION("IMPORTRANGE(""https://docs.google.com/spreadsheets/d/1-uDff_7J0KD5mKrp0Vvzr7lt3OU09vwQwhkpOPPYv2Y/edit?usp=sharing"",""งบพรบ!BM20"")"),0)</f>
        <v>0</v>
      </c>
      <c r="N125" s="568">
        <f ca="1">IFERROR(__xludf.DUMMYFUNCTION("IMPORTRANGE(""https://docs.google.com/spreadsheets/d/1-uDff_7J0KD5mKrp0Vvzr7lt3OU09vwQwhkpOPPYv2Y/edit?usp=sharing"",""งบพรบ!BO20"")"),0)</f>
        <v>0</v>
      </c>
      <c r="O125" s="568">
        <f t="shared" ca="1" si="74"/>
        <v>0</v>
      </c>
      <c r="P125" s="568">
        <f t="shared" ca="1" si="75"/>
        <v>0</v>
      </c>
      <c r="Q125" s="568">
        <f ca="1">IFERROR(__xludf.DUMMYFUNCTION("IMPORTRANGE(""https://docs.google.com/spreadsheets/d/1ItG2mGa2ceCfYo0BwxsXqNm01IGEUdYcSSLTEv9YCik/edit?usp=sharing"",""เบิกจ่ายกองทุน!X20"")"),0)</f>
        <v>0</v>
      </c>
      <c r="R125" s="568">
        <f ca="1">IFERROR(__xludf.DUMMYFUNCTION("IMPORTRANGE(""https://docs.google.com/spreadsheets/d/1ItG2mGa2ceCfYo0BwxsXqNm01IGEUdYcSSLTEv9YCik/edit?usp=sharing"",""เบิกจ่ายกองทุน!Y20"")"),0)</f>
        <v>0</v>
      </c>
      <c r="S125" s="568">
        <f ca="1">IFERROR(__xludf.DUMMYFUNCTION("IMPORTRANGE(""https://docs.google.com/spreadsheets/d/1ItG2mGa2ceCfYo0BwxsXqNm01IGEUdYcSSLTEv9YCik/edit?usp=sharing"",""เบิกจ่ายกองทุน!Z20"")"),0)</f>
        <v>0</v>
      </c>
      <c r="T125" s="568">
        <f t="shared" ca="1" si="77"/>
        <v>0</v>
      </c>
      <c r="U125" s="568">
        <f t="shared" ca="1" si="78"/>
        <v>0</v>
      </c>
    </row>
    <row r="126" spans="1:21" ht="19.5" x14ac:dyDescent="0.3">
      <c r="A126" s="687"/>
      <c r="B126" s="688"/>
      <c r="C126" s="724" t="s">
        <v>18</v>
      </c>
      <c r="D126" s="689" t="s">
        <v>38</v>
      </c>
      <c r="E126" s="690"/>
      <c r="F126" s="690"/>
      <c r="G126" s="691"/>
      <c r="H126" s="725"/>
      <c r="I126" s="565"/>
      <c r="J126" s="565"/>
      <c r="K126" s="566"/>
      <c r="L126" s="574"/>
      <c r="M126" s="566"/>
      <c r="N126" s="566"/>
      <c r="O126" s="566"/>
      <c r="P126" s="566"/>
      <c r="Q126" s="566"/>
      <c r="R126" s="566"/>
      <c r="S126" s="566"/>
      <c r="T126" s="566"/>
      <c r="U126" s="566"/>
    </row>
    <row r="127" spans="1:21" ht="18.75" x14ac:dyDescent="0.25">
      <c r="A127" s="687"/>
      <c r="B127" s="688"/>
      <c r="C127" s="688"/>
      <c r="D127" s="699" t="s">
        <v>53</v>
      </c>
      <c r="E127" s="695"/>
      <c r="F127" s="695"/>
      <c r="G127" s="692"/>
      <c r="H127" s="681" t="s">
        <v>35</v>
      </c>
      <c r="I127" s="708">
        <f ca="1">IFERROR(__xludf.DUMMYFUNCTION("IMPORTRANGE(""https://docs.google.com/spreadsheets/d/1eHaY18a8A9IcSdp1K8H6x8fbOy06t2VsZHhMHf-1x7Y/edit?usp=sharing"",""แผน!FF20"")"),60)</f>
        <v>60</v>
      </c>
      <c r="J127" s="702">
        <v>60</v>
      </c>
      <c r="K127" s="568">
        <f t="shared" ref="K127:K130" ca="1" si="85">IF(I127&gt;0,J127*100/I127,0)</f>
        <v>100</v>
      </c>
      <c r="L127" s="574"/>
      <c r="M127" s="566"/>
      <c r="N127" s="566"/>
      <c r="O127" s="566"/>
      <c r="P127" s="566"/>
      <c r="Q127" s="566"/>
      <c r="R127" s="566"/>
      <c r="S127" s="566"/>
      <c r="T127" s="566"/>
      <c r="U127" s="566"/>
    </row>
    <row r="128" spans="1:21" ht="18.75" x14ac:dyDescent="0.25">
      <c r="A128" s="687"/>
      <c r="B128" s="688"/>
      <c r="C128" s="688"/>
      <c r="D128" s="695"/>
      <c r="E128" s="695"/>
      <c r="F128" s="695"/>
      <c r="G128" s="692"/>
      <c r="H128" s="681" t="s">
        <v>54</v>
      </c>
      <c r="I128" s="708">
        <f ca="1">IFERROR(__xludf.DUMMYFUNCTION("IMPORTRANGE(""https://docs.google.com/spreadsheets/d/1eHaY18a8A9IcSdp1K8H6x8fbOy06t2VsZHhMHf-1x7Y/edit?usp=sharing"",""แผน!FG20"")"),0)</f>
        <v>0</v>
      </c>
      <c r="J128" s="702">
        <v>2</v>
      </c>
      <c r="K128" s="568">
        <f t="shared" ca="1" si="85"/>
        <v>0</v>
      </c>
      <c r="L128" s="574"/>
      <c r="M128" s="566"/>
      <c r="N128" s="566"/>
      <c r="O128" s="566"/>
      <c r="P128" s="566"/>
      <c r="Q128" s="566"/>
      <c r="R128" s="566"/>
      <c r="S128" s="566"/>
      <c r="T128" s="566"/>
      <c r="U128" s="566"/>
    </row>
    <row r="129" spans="1:21" ht="18.75" x14ac:dyDescent="0.25">
      <c r="A129" s="687"/>
      <c r="B129" s="688"/>
      <c r="C129" s="688"/>
      <c r="D129" s="699" t="s">
        <v>55</v>
      </c>
      <c r="E129" s="695"/>
      <c r="F129" s="695"/>
      <c r="G129" s="692"/>
      <c r="H129" s="681" t="s">
        <v>35</v>
      </c>
      <c r="I129" s="708">
        <f ca="1">IFERROR(__xludf.DUMMYFUNCTION("IMPORTRANGE(""https://docs.google.com/spreadsheets/d/1eHaY18a8A9IcSdp1K8H6x8fbOy06t2VsZHhMHf-1x7Y/edit?usp=sharing"",""แผน!FH20"")"),30)</f>
        <v>30</v>
      </c>
      <c r="J129" s="702">
        <v>30</v>
      </c>
      <c r="K129" s="568">
        <f t="shared" ca="1" si="85"/>
        <v>100</v>
      </c>
      <c r="L129" s="574"/>
      <c r="M129" s="566"/>
      <c r="N129" s="566"/>
      <c r="O129" s="566"/>
      <c r="P129" s="566"/>
      <c r="Q129" s="566"/>
      <c r="R129" s="566"/>
      <c r="S129" s="566"/>
      <c r="T129" s="566"/>
      <c r="U129" s="566"/>
    </row>
    <row r="130" spans="1:21" ht="18.75" x14ac:dyDescent="0.25">
      <c r="A130" s="687"/>
      <c r="B130" s="688"/>
      <c r="C130" s="688"/>
      <c r="D130" s="695"/>
      <c r="E130" s="695"/>
      <c r="F130" s="695"/>
      <c r="G130" s="692"/>
      <c r="H130" s="681" t="s">
        <v>54</v>
      </c>
      <c r="I130" s="708">
        <f ca="1">IFERROR(__xludf.DUMMYFUNCTION("IMPORTRANGE(""https://docs.google.com/spreadsheets/d/1eHaY18a8A9IcSdp1K8H6x8fbOy06t2VsZHhMHf-1x7Y/edit?usp=sharing"",""แผน!FI20"")"),0)</f>
        <v>0</v>
      </c>
      <c r="J130" s="702">
        <v>2</v>
      </c>
      <c r="K130" s="568">
        <f t="shared" ca="1" si="85"/>
        <v>0</v>
      </c>
      <c r="L130" s="574"/>
      <c r="M130" s="566"/>
      <c r="N130" s="566"/>
      <c r="O130" s="566"/>
      <c r="P130" s="566"/>
      <c r="Q130" s="566"/>
      <c r="R130" s="566"/>
      <c r="S130" s="566"/>
      <c r="T130" s="566"/>
      <c r="U130" s="566"/>
    </row>
    <row r="131" spans="1:21" ht="18.75" hidden="1" x14ac:dyDescent="0.25">
      <c r="A131" s="687"/>
      <c r="B131" s="688"/>
      <c r="C131" s="688"/>
      <c r="D131" s="726" t="s">
        <v>56</v>
      </c>
      <c r="E131" s="695"/>
      <c r="F131" s="695"/>
      <c r="G131" s="692"/>
      <c r="H131" s="680" t="s">
        <v>35</v>
      </c>
      <c r="I131" s="565"/>
      <c r="J131" s="565"/>
      <c r="K131" s="566"/>
      <c r="L131" s="574"/>
      <c r="M131" s="566"/>
      <c r="N131" s="566"/>
      <c r="O131" s="566"/>
      <c r="P131" s="566"/>
      <c r="Q131" s="566"/>
      <c r="R131" s="566"/>
      <c r="S131" s="566"/>
      <c r="T131" s="566"/>
      <c r="U131" s="566"/>
    </row>
    <row r="132" spans="1:21" ht="18.75" hidden="1" x14ac:dyDescent="0.25">
      <c r="A132" s="687"/>
      <c r="B132" s="688"/>
      <c r="C132" s="688"/>
      <c r="D132" s="726" t="s">
        <v>57</v>
      </c>
      <c r="E132" s="695"/>
      <c r="F132" s="695"/>
      <c r="G132" s="692"/>
      <c r="H132" s="727"/>
      <c r="I132" s="565"/>
      <c r="J132" s="565"/>
      <c r="K132" s="566"/>
      <c r="L132" s="574"/>
      <c r="M132" s="566"/>
      <c r="N132" s="566"/>
      <c r="O132" s="566"/>
      <c r="P132" s="566"/>
      <c r="Q132" s="566"/>
      <c r="R132" s="566"/>
      <c r="S132" s="566"/>
      <c r="T132" s="566"/>
      <c r="U132" s="566"/>
    </row>
    <row r="133" spans="1:21" ht="12.75" hidden="1" x14ac:dyDescent="0.2">
      <c r="A133" s="705"/>
      <c r="B133" s="706"/>
      <c r="C133" s="706"/>
      <c r="D133" s="531"/>
      <c r="E133" s="531"/>
      <c r="F133" s="531"/>
      <c r="G133" s="532"/>
      <c r="H133" s="728"/>
      <c r="I133" s="533"/>
      <c r="J133" s="533"/>
      <c r="K133" s="534"/>
      <c r="L133" s="535"/>
      <c r="M133" s="534"/>
      <c r="N133" s="534"/>
      <c r="O133" s="534"/>
      <c r="P133" s="534"/>
      <c r="Q133" s="534"/>
      <c r="R133" s="534"/>
      <c r="S133" s="534"/>
      <c r="T133" s="534"/>
      <c r="U133" s="534"/>
    </row>
    <row r="134" spans="1:21" ht="19.5" x14ac:dyDescent="0.3">
      <c r="A134" s="662" t="s">
        <v>58</v>
      </c>
      <c r="B134" s="663"/>
      <c r="C134" s="729"/>
      <c r="D134" s="663"/>
      <c r="E134" s="663"/>
      <c r="F134" s="663"/>
      <c r="G134" s="663"/>
      <c r="H134" s="663"/>
      <c r="I134" s="730"/>
      <c r="J134" s="730"/>
      <c r="K134" s="731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</row>
    <row r="135" spans="1:21" ht="19.5" x14ac:dyDescent="0.3">
      <c r="A135" s="669"/>
      <c r="B135" s="544" t="s">
        <v>59</v>
      </c>
      <c r="C135" s="716"/>
      <c r="D135" s="670"/>
      <c r="E135" s="543"/>
      <c r="F135" s="543"/>
      <c r="G135" s="543"/>
      <c r="H135" s="543"/>
      <c r="I135" s="732"/>
      <c r="J135" s="548"/>
      <c r="K135" s="549"/>
      <c r="L135" s="673"/>
      <c r="M135" s="549"/>
      <c r="N135" s="549"/>
      <c r="O135" s="549"/>
      <c r="P135" s="549"/>
      <c r="Q135" s="549"/>
      <c r="R135" s="549"/>
      <c r="S135" s="549"/>
      <c r="T135" s="549"/>
      <c r="U135" s="549"/>
    </row>
    <row r="136" spans="1:21" ht="19.5" x14ac:dyDescent="0.3">
      <c r="A136" s="669"/>
      <c r="B136" s="543"/>
      <c r="C136" s="733" t="s">
        <v>60</v>
      </c>
      <c r="D136" s="670"/>
      <c r="E136" s="543"/>
      <c r="F136" s="543"/>
      <c r="G136" s="546"/>
      <c r="H136" s="671" t="s">
        <v>61</v>
      </c>
      <c r="I136" s="672">
        <f t="shared" ref="I136:J136" ca="1" si="86">I154</f>
        <v>2</v>
      </c>
      <c r="J136" s="672">
        <f t="shared" si="86"/>
        <v>0</v>
      </c>
      <c r="K136" s="551">
        <f t="shared" ref="K136:K138" ca="1" si="87">IF(I136&gt;0,J136*100/I136,0)</f>
        <v>0</v>
      </c>
      <c r="L136" s="673"/>
      <c r="M136" s="549"/>
      <c r="N136" s="549"/>
      <c r="O136" s="549"/>
      <c r="P136" s="549"/>
      <c r="Q136" s="549"/>
      <c r="R136" s="549"/>
      <c r="S136" s="549"/>
      <c r="T136" s="549"/>
      <c r="U136" s="549"/>
    </row>
    <row r="137" spans="1:21" ht="19.5" x14ac:dyDescent="0.3">
      <c r="A137" s="669"/>
      <c r="B137" s="543"/>
      <c r="C137" s="733" t="s">
        <v>62</v>
      </c>
      <c r="D137" s="670"/>
      <c r="E137" s="543"/>
      <c r="F137" s="543"/>
      <c r="G137" s="546"/>
      <c r="H137" s="671" t="s">
        <v>35</v>
      </c>
      <c r="I137" s="672">
        <f t="shared" ref="I137:J138" ca="1" si="88">I152</f>
        <v>40</v>
      </c>
      <c r="J137" s="672">
        <f t="shared" si="88"/>
        <v>24</v>
      </c>
      <c r="K137" s="551">
        <f t="shared" ca="1" si="87"/>
        <v>60</v>
      </c>
      <c r="L137" s="673"/>
      <c r="M137" s="549"/>
      <c r="N137" s="549"/>
      <c r="O137" s="549"/>
      <c r="P137" s="549"/>
      <c r="Q137" s="549"/>
      <c r="R137" s="549"/>
      <c r="S137" s="549"/>
      <c r="T137" s="549"/>
      <c r="U137" s="549"/>
    </row>
    <row r="138" spans="1:21" ht="19.5" x14ac:dyDescent="0.3">
      <c r="A138" s="669"/>
      <c r="B138" s="543"/>
      <c r="C138" s="716"/>
      <c r="D138" s="670"/>
      <c r="E138" s="543"/>
      <c r="F138" s="543"/>
      <c r="G138" s="546"/>
      <c r="H138" s="671" t="s">
        <v>54</v>
      </c>
      <c r="I138" s="672">
        <f t="shared" ca="1" si="88"/>
        <v>4</v>
      </c>
      <c r="J138" s="672">
        <f t="shared" si="88"/>
        <v>2</v>
      </c>
      <c r="K138" s="551">
        <f t="shared" ca="1" si="87"/>
        <v>50</v>
      </c>
      <c r="L138" s="673"/>
      <c r="M138" s="549"/>
      <c r="N138" s="549"/>
      <c r="O138" s="549"/>
      <c r="P138" s="549"/>
      <c r="Q138" s="549"/>
      <c r="R138" s="549"/>
      <c r="S138" s="549"/>
      <c r="T138" s="549"/>
      <c r="U138" s="549"/>
    </row>
    <row r="139" spans="1:21" ht="19.5" x14ac:dyDescent="0.3">
      <c r="A139" s="674"/>
      <c r="B139" s="561"/>
      <c r="C139" s="675" t="s">
        <v>18</v>
      </c>
      <c r="D139" s="676" t="s">
        <v>19</v>
      </c>
      <c r="E139" s="561"/>
      <c r="F139" s="561"/>
      <c r="G139" s="563"/>
      <c r="H139" s="677" t="s">
        <v>14</v>
      </c>
      <c r="I139" s="565"/>
      <c r="J139" s="565"/>
      <c r="K139" s="566"/>
      <c r="L139" s="678">
        <f t="shared" ref="L139:N139" ca="1" si="89">L140+L141</f>
        <v>74800</v>
      </c>
      <c r="M139" s="679">
        <f t="shared" ca="1" si="89"/>
        <v>69800</v>
      </c>
      <c r="N139" s="679">
        <f t="shared" ca="1" si="89"/>
        <v>52520</v>
      </c>
      <c r="O139" s="679">
        <f t="shared" ref="O139:O147" ca="1" si="90">IF(L139&gt;0,N139*100/L139,0)</f>
        <v>70.213903743315512</v>
      </c>
      <c r="P139" s="679">
        <f t="shared" ref="P139:P147" ca="1" si="91">IF(M139&gt;0,N139*100/M139,0)</f>
        <v>75.243553008595995</v>
      </c>
      <c r="Q139" s="679">
        <f t="shared" ref="Q139:S139" ca="1" si="92">Q140+Q141</f>
        <v>304860</v>
      </c>
      <c r="R139" s="679">
        <f t="shared" ca="1" si="92"/>
        <v>0</v>
      </c>
      <c r="S139" s="679">
        <f t="shared" ca="1" si="92"/>
        <v>0</v>
      </c>
      <c r="T139" s="679">
        <f t="shared" ref="T139:T147" ca="1" si="93">IF(Q139&gt;0,S139*100/Q139,0)</f>
        <v>0</v>
      </c>
      <c r="U139" s="679">
        <f t="shared" ref="U139:U147" ca="1" si="94">IF(R139&gt;0,S139*100/R139,0)</f>
        <v>0</v>
      </c>
    </row>
    <row r="140" spans="1:21" ht="18.75" x14ac:dyDescent="0.25">
      <c r="A140" s="674"/>
      <c r="B140" s="561"/>
      <c r="C140" s="561"/>
      <c r="D140" s="561"/>
      <c r="E140" s="569" t="s">
        <v>20</v>
      </c>
      <c r="F140" s="561"/>
      <c r="G140" s="563"/>
      <c r="H140" s="680" t="s">
        <v>14</v>
      </c>
      <c r="I140" s="565"/>
      <c r="J140" s="565"/>
      <c r="K140" s="566"/>
      <c r="L140" s="571">
        <f t="shared" ref="L140:N141" si="95">L143+L146</f>
        <v>0</v>
      </c>
      <c r="M140" s="572">
        <f t="shared" si="95"/>
        <v>0</v>
      </c>
      <c r="N140" s="572">
        <f t="shared" si="95"/>
        <v>0</v>
      </c>
      <c r="O140" s="572">
        <f t="shared" si="90"/>
        <v>0</v>
      </c>
      <c r="P140" s="572">
        <f t="shared" si="91"/>
        <v>0</v>
      </c>
      <c r="Q140" s="572">
        <f t="shared" ref="Q140:S141" si="96">Q143+Q146</f>
        <v>0</v>
      </c>
      <c r="R140" s="572">
        <f t="shared" si="96"/>
        <v>0</v>
      </c>
      <c r="S140" s="572">
        <f t="shared" si="96"/>
        <v>0</v>
      </c>
      <c r="T140" s="572">
        <f t="shared" si="93"/>
        <v>0</v>
      </c>
      <c r="U140" s="572">
        <f t="shared" si="94"/>
        <v>0</v>
      </c>
    </row>
    <row r="141" spans="1:21" ht="18.75" x14ac:dyDescent="0.25">
      <c r="A141" s="674"/>
      <c r="B141" s="561"/>
      <c r="C141" s="561"/>
      <c r="D141" s="561"/>
      <c r="E141" s="573" t="s">
        <v>21</v>
      </c>
      <c r="F141" s="561"/>
      <c r="G141" s="563"/>
      <c r="H141" s="681" t="s">
        <v>14</v>
      </c>
      <c r="I141" s="565"/>
      <c r="J141" s="565"/>
      <c r="K141" s="566"/>
      <c r="L141" s="567">
        <f t="shared" ca="1" si="95"/>
        <v>74800</v>
      </c>
      <c r="M141" s="568">
        <f t="shared" ca="1" si="95"/>
        <v>69800</v>
      </c>
      <c r="N141" s="568">
        <f t="shared" ca="1" si="95"/>
        <v>52520</v>
      </c>
      <c r="O141" s="568">
        <f t="shared" ca="1" si="90"/>
        <v>70.213903743315512</v>
      </c>
      <c r="P141" s="568">
        <f t="shared" ca="1" si="91"/>
        <v>75.243553008595995</v>
      </c>
      <c r="Q141" s="568">
        <f t="shared" ca="1" si="96"/>
        <v>304860</v>
      </c>
      <c r="R141" s="568">
        <f t="shared" ca="1" si="96"/>
        <v>0</v>
      </c>
      <c r="S141" s="568">
        <f t="shared" ca="1" si="96"/>
        <v>0</v>
      </c>
      <c r="T141" s="568">
        <f t="shared" ca="1" si="93"/>
        <v>0</v>
      </c>
      <c r="U141" s="568">
        <f t="shared" ca="1" si="94"/>
        <v>0</v>
      </c>
    </row>
    <row r="142" spans="1:21" ht="18.75" x14ac:dyDescent="0.25">
      <c r="A142" s="674"/>
      <c r="B142" s="561"/>
      <c r="C142" s="561"/>
      <c r="D142" s="562" t="s">
        <v>22</v>
      </c>
      <c r="E142" s="561"/>
      <c r="F142" s="561"/>
      <c r="G142" s="563"/>
      <c r="H142" s="682" t="s">
        <v>14</v>
      </c>
      <c r="I142" s="683"/>
      <c r="J142" s="683"/>
      <c r="K142" s="684"/>
      <c r="L142" s="567">
        <f t="shared" ref="L142:N142" ca="1" si="97">L143+L144</f>
        <v>74800</v>
      </c>
      <c r="M142" s="568">
        <f t="shared" ca="1" si="97"/>
        <v>69800</v>
      </c>
      <c r="N142" s="568">
        <f t="shared" ca="1" si="97"/>
        <v>52520</v>
      </c>
      <c r="O142" s="568">
        <f t="shared" ca="1" si="90"/>
        <v>70.213903743315512</v>
      </c>
      <c r="P142" s="568">
        <f t="shared" ca="1" si="91"/>
        <v>75.243553008595995</v>
      </c>
      <c r="Q142" s="568">
        <f t="shared" ref="Q142:S142" ca="1" si="98">Q143+Q144</f>
        <v>304860</v>
      </c>
      <c r="R142" s="568">
        <f t="shared" ca="1" si="98"/>
        <v>0</v>
      </c>
      <c r="S142" s="568">
        <f t="shared" ca="1" si="98"/>
        <v>0</v>
      </c>
      <c r="T142" s="568">
        <f t="shared" ca="1" si="93"/>
        <v>0</v>
      </c>
      <c r="U142" s="568">
        <f t="shared" ca="1" si="94"/>
        <v>0</v>
      </c>
    </row>
    <row r="143" spans="1:21" ht="18.75" x14ac:dyDescent="0.25">
      <c r="A143" s="674"/>
      <c r="B143" s="561"/>
      <c r="C143" s="561"/>
      <c r="D143" s="561"/>
      <c r="E143" s="569" t="s">
        <v>36</v>
      </c>
      <c r="F143" s="561"/>
      <c r="G143" s="563"/>
      <c r="H143" s="685" t="s">
        <v>14</v>
      </c>
      <c r="I143" s="683"/>
      <c r="J143" s="683"/>
      <c r="K143" s="684"/>
      <c r="L143" s="571">
        <v>0</v>
      </c>
      <c r="M143" s="572">
        <v>0</v>
      </c>
      <c r="N143" s="572">
        <v>0</v>
      </c>
      <c r="O143" s="572">
        <f t="shared" si="90"/>
        <v>0</v>
      </c>
      <c r="P143" s="572">
        <f t="shared" si="91"/>
        <v>0</v>
      </c>
      <c r="Q143" s="572">
        <v>0</v>
      </c>
      <c r="R143" s="572">
        <v>0</v>
      </c>
      <c r="S143" s="572">
        <v>0</v>
      </c>
      <c r="T143" s="572">
        <f t="shared" si="93"/>
        <v>0</v>
      </c>
      <c r="U143" s="572">
        <f t="shared" si="94"/>
        <v>0</v>
      </c>
    </row>
    <row r="144" spans="1:21" ht="18.75" x14ac:dyDescent="0.25">
      <c r="A144" s="674"/>
      <c r="B144" s="561"/>
      <c r="C144" s="561"/>
      <c r="D144" s="561"/>
      <c r="E144" s="573" t="s">
        <v>37</v>
      </c>
      <c r="F144" s="561"/>
      <c r="G144" s="563"/>
      <c r="H144" s="682" t="s">
        <v>14</v>
      </c>
      <c r="I144" s="683"/>
      <c r="J144" s="683"/>
      <c r="K144" s="684"/>
      <c r="L144" s="567">
        <f ca="1">IFERROR(__xludf.DUMMYFUNCTION("IMPORTRANGE(""https://docs.google.com/spreadsheets/d/1-uDff_7J0KD5mKrp0Vvzr7lt3OU09vwQwhkpOPPYv2Y/edit?usp=sharing"",""งบพรบ!BQ20"")"),74800)</f>
        <v>74800</v>
      </c>
      <c r="M144" s="568">
        <f ca="1">IFERROR(__xludf.DUMMYFUNCTION("IMPORTRANGE(""https://docs.google.com/spreadsheets/d/1-uDff_7J0KD5mKrp0Vvzr7lt3OU09vwQwhkpOPPYv2Y/edit?usp=sharing"",""งบพรบ!BV20"")"),69800)</f>
        <v>69800</v>
      </c>
      <c r="N144" s="568">
        <f ca="1">IFERROR(__xludf.DUMMYFUNCTION("IMPORTRANGE(""https://docs.google.com/spreadsheets/d/1-uDff_7J0KD5mKrp0Vvzr7lt3OU09vwQwhkpOPPYv2Y/edit?usp=sharing"",""งบพรบ!BX20"")"),52520)</f>
        <v>52520</v>
      </c>
      <c r="O144" s="568">
        <f t="shared" ca="1" si="90"/>
        <v>70.213903743315512</v>
      </c>
      <c r="P144" s="568">
        <f t="shared" ca="1" si="91"/>
        <v>75.243553008595995</v>
      </c>
      <c r="Q144" s="568">
        <f ca="1">IFERROR(__xludf.DUMMYFUNCTION("IMPORTRANGE(""https://docs.google.com/spreadsheets/d/1ItG2mGa2ceCfYo0BwxsXqNm01IGEUdYcSSLTEv9YCik/edit?usp=sharing"",""เบิกจ่ายกองทุน!CF20"")"),304860)</f>
        <v>304860</v>
      </c>
      <c r="R144" s="568">
        <f ca="1">IFERROR(__xludf.DUMMYFUNCTION("IMPORTRANGE(""https://docs.google.com/spreadsheets/d/1ItG2mGa2ceCfYo0BwxsXqNm01IGEUdYcSSLTEv9YCik/edit?usp=sharing"",""เบิกจ่ายกองทุน!CG20"")"),0)</f>
        <v>0</v>
      </c>
      <c r="S144" s="568">
        <f ca="1">IFERROR(__xludf.DUMMYFUNCTION("IMPORTRANGE(""https://docs.google.com/spreadsheets/d/1ItG2mGa2ceCfYo0BwxsXqNm01IGEUdYcSSLTEv9YCik/edit?usp=sharing"",""เบิกจ่ายกองทุน!CH20"")"),0)</f>
        <v>0</v>
      </c>
      <c r="T144" s="568">
        <f t="shared" ca="1" si="93"/>
        <v>0</v>
      </c>
      <c r="U144" s="568">
        <f t="shared" ca="1" si="94"/>
        <v>0</v>
      </c>
    </row>
    <row r="145" spans="1:21" ht="18.75" x14ac:dyDescent="0.25">
      <c r="A145" s="674"/>
      <c r="B145" s="561"/>
      <c r="C145" s="561"/>
      <c r="D145" s="562" t="s">
        <v>23</v>
      </c>
      <c r="E145" s="561"/>
      <c r="F145" s="561"/>
      <c r="G145" s="563"/>
      <c r="H145" s="686" t="s">
        <v>14</v>
      </c>
      <c r="I145" s="683"/>
      <c r="J145" s="683"/>
      <c r="K145" s="684"/>
      <c r="L145" s="567">
        <f t="shared" ref="L145:N145" ca="1" si="99">L146+L147</f>
        <v>0</v>
      </c>
      <c r="M145" s="568">
        <f t="shared" ca="1" si="99"/>
        <v>0</v>
      </c>
      <c r="N145" s="568">
        <f t="shared" ca="1" si="99"/>
        <v>0</v>
      </c>
      <c r="O145" s="568">
        <f t="shared" ca="1" si="90"/>
        <v>0</v>
      </c>
      <c r="P145" s="568">
        <f t="shared" ca="1" si="91"/>
        <v>0</v>
      </c>
      <c r="Q145" s="568">
        <f t="shared" ref="Q145:S145" ca="1" si="100">Q146+Q147</f>
        <v>0</v>
      </c>
      <c r="R145" s="568">
        <f t="shared" ca="1" si="100"/>
        <v>0</v>
      </c>
      <c r="S145" s="568">
        <f t="shared" ca="1" si="100"/>
        <v>0</v>
      </c>
      <c r="T145" s="568">
        <f t="shared" ca="1" si="93"/>
        <v>0</v>
      </c>
      <c r="U145" s="568">
        <f t="shared" ca="1" si="94"/>
        <v>0</v>
      </c>
    </row>
    <row r="146" spans="1:21" ht="18.75" x14ac:dyDescent="0.25">
      <c r="A146" s="674"/>
      <c r="B146" s="561"/>
      <c r="C146" s="561"/>
      <c r="D146" s="561"/>
      <c r="E146" s="569" t="s">
        <v>20</v>
      </c>
      <c r="F146" s="561"/>
      <c r="G146" s="563"/>
      <c r="H146" s="685" t="s">
        <v>14</v>
      </c>
      <c r="I146" s="683"/>
      <c r="J146" s="683"/>
      <c r="K146" s="684"/>
      <c r="L146" s="571">
        <v>0</v>
      </c>
      <c r="M146" s="572">
        <v>0</v>
      </c>
      <c r="N146" s="572">
        <v>0</v>
      </c>
      <c r="O146" s="572">
        <f t="shared" si="90"/>
        <v>0</v>
      </c>
      <c r="P146" s="572">
        <f t="shared" si="91"/>
        <v>0</v>
      </c>
      <c r="Q146" s="572">
        <v>0</v>
      </c>
      <c r="R146" s="572">
        <v>0</v>
      </c>
      <c r="S146" s="572">
        <v>0</v>
      </c>
      <c r="T146" s="572">
        <f t="shared" si="93"/>
        <v>0</v>
      </c>
      <c r="U146" s="572">
        <f t="shared" si="94"/>
        <v>0</v>
      </c>
    </row>
    <row r="147" spans="1:21" ht="18.75" x14ac:dyDescent="0.25">
      <c r="A147" s="674"/>
      <c r="B147" s="561"/>
      <c r="C147" s="561"/>
      <c r="D147" s="561"/>
      <c r="E147" s="573" t="s">
        <v>21</v>
      </c>
      <c r="F147" s="561"/>
      <c r="G147" s="563"/>
      <c r="H147" s="686" t="s">
        <v>14</v>
      </c>
      <c r="I147" s="683"/>
      <c r="J147" s="683"/>
      <c r="K147" s="684"/>
      <c r="L147" s="567">
        <f ca="1">IFERROR(__xludf.DUMMYFUNCTION("IMPORTRANGE(""https://docs.google.com/spreadsheets/d/1-uDff_7J0KD5mKrp0Vvzr7lt3OU09vwQwhkpOPPYv2Y/edit?usp=sharing"",""งบพรบ!BT20"")"),0)</f>
        <v>0</v>
      </c>
      <c r="M147" s="568">
        <f ca="1">IFERROR(__xludf.DUMMYFUNCTION("IMPORTRANGE(""https://docs.google.com/spreadsheets/d/1-uDff_7J0KD5mKrp0Vvzr7lt3OU09vwQwhkpOPPYv2Y/edit?usp=sharing"",""งบพรบ!BW20"")"),0)</f>
        <v>0</v>
      </c>
      <c r="N147" s="568">
        <f ca="1">IFERROR(__xludf.DUMMYFUNCTION("IMPORTRANGE(""https://docs.google.com/spreadsheets/d/1-uDff_7J0KD5mKrp0Vvzr7lt3OU09vwQwhkpOPPYv2Y/edit?usp=sharing"",""งบพรบ!BY20"")"),0)</f>
        <v>0</v>
      </c>
      <c r="O147" s="568">
        <f t="shared" ca="1" si="90"/>
        <v>0</v>
      </c>
      <c r="P147" s="568">
        <f t="shared" ca="1" si="91"/>
        <v>0</v>
      </c>
      <c r="Q147" s="568">
        <f ca="1">IFERROR(__xludf.DUMMYFUNCTION("IMPORTRANGE(""https://docs.google.com/spreadsheets/d/1ItG2mGa2ceCfYo0BwxsXqNm01IGEUdYcSSLTEv9YCik/edit?usp=sharing"",""เบิกจ่ายกองทุน!CI20"")"),0)</f>
        <v>0</v>
      </c>
      <c r="R147" s="568">
        <f ca="1">IFERROR(__xludf.DUMMYFUNCTION("IMPORTRANGE(""https://docs.google.com/spreadsheets/d/1ItG2mGa2ceCfYo0BwxsXqNm01IGEUdYcSSLTEv9YCik/edit?usp=sharing"",""เบิกจ่ายกองทุน!CJ20"")"),0)</f>
        <v>0</v>
      </c>
      <c r="S147" s="568">
        <f ca="1">IFERROR(__xludf.DUMMYFUNCTION("IMPORTRANGE(""https://docs.google.com/spreadsheets/d/1ItG2mGa2ceCfYo0BwxsXqNm01IGEUdYcSSLTEv9YCik/edit?usp=sharing"",""เบิกจ่ายกองทุน!CK20"")"),0)</f>
        <v>0</v>
      </c>
      <c r="T147" s="568">
        <f t="shared" ca="1" si="93"/>
        <v>0</v>
      </c>
      <c r="U147" s="568">
        <f t="shared" ca="1" si="94"/>
        <v>0</v>
      </c>
    </row>
    <row r="148" spans="1:21" ht="19.5" x14ac:dyDescent="0.3">
      <c r="A148" s="687"/>
      <c r="B148" s="688"/>
      <c r="C148" s="675" t="s">
        <v>18</v>
      </c>
      <c r="D148" s="689" t="s">
        <v>38</v>
      </c>
      <c r="E148" s="690"/>
      <c r="F148" s="690"/>
      <c r="G148" s="691"/>
      <c r="H148" s="725"/>
      <c r="I148" s="565"/>
      <c r="J148" s="565"/>
      <c r="K148" s="566"/>
      <c r="L148" s="574"/>
      <c r="M148" s="566"/>
      <c r="N148" s="566"/>
      <c r="O148" s="566"/>
      <c r="P148" s="566"/>
      <c r="Q148" s="566"/>
      <c r="R148" s="566"/>
      <c r="S148" s="566"/>
      <c r="T148" s="566"/>
      <c r="U148" s="566"/>
    </row>
    <row r="149" spans="1:21" ht="18.75" x14ac:dyDescent="0.25">
      <c r="A149" s="674"/>
      <c r="B149" s="561"/>
      <c r="C149" s="561"/>
      <c r="D149" s="573" t="s">
        <v>63</v>
      </c>
      <c r="E149" s="561"/>
      <c r="F149" s="561"/>
      <c r="G149" s="563"/>
      <c r="H149" s="725"/>
      <c r="I149" s="565"/>
      <c r="J149" s="702">
        <v>0</v>
      </c>
      <c r="K149" s="566"/>
      <c r="L149" s="574"/>
      <c r="M149" s="566"/>
      <c r="N149" s="566"/>
      <c r="O149" s="566"/>
      <c r="P149" s="566"/>
      <c r="Q149" s="566"/>
      <c r="R149" s="566"/>
      <c r="S149" s="566"/>
      <c r="T149" s="566"/>
      <c r="U149" s="566"/>
    </row>
    <row r="150" spans="1:21" ht="19.5" x14ac:dyDescent="0.3">
      <c r="A150" s="674"/>
      <c r="B150" s="561"/>
      <c r="C150" s="561"/>
      <c r="D150" s="695"/>
      <c r="E150" s="675" t="s">
        <v>299</v>
      </c>
      <c r="F150" s="561"/>
      <c r="G150" s="563"/>
      <c r="H150" s="686" t="s">
        <v>35</v>
      </c>
      <c r="I150" s="708">
        <f ca="1">IFERROR(__xludf.DUMMYFUNCTION("IMPORTRANGE(""https://docs.google.com/spreadsheets/d/1eHaY18a8A9IcSdp1K8H6x8fbOy06t2VsZHhMHf-1x7Y/edit?usp=sharing"",""แผน!U20"")"),20)</f>
        <v>20</v>
      </c>
      <c r="J150" s="702">
        <v>24</v>
      </c>
      <c r="K150" s="568">
        <f t="shared" ref="K150:K154" ca="1" si="101">IF(I150&gt;0,J150*100/I150,0)</f>
        <v>120</v>
      </c>
      <c r="L150" s="574"/>
      <c r="M150" s="566"/>
      <c r="N150" s="566"/>
      <c r="O150" s="566"/>
      <c r="P150" s="566"/>
      <c r="Q150" s="566"/>
      <c r="R150" s="566"/>
      <c r="S150" s="566"/>
      <c r="T150" s="566"/>
      <c r="U150" s="566"/>
    </row>
    <row r="151" spans="1:21" ht="18.75" x14ac:dyDescent="0.25">
      <c r="A151" s="674"/>
      <c r="B151" s="561"/>
      <c r="C151" s="561"/>
      <c r="D151" s="695"/>
      <c r="E151" s="561"/>
      <c r="F151" s="561"/>
      <c r="G151" s="563"/>
      <c r="H151" s="686" t="s">
        <v>54</v>
      </c>
      <c r="I151" s="708">
        <f ca="1">IFERROR(__xludf.DUMMYFUNCTION("IMPORTRANGE(""https://docs.google.com/spreadsheets/d/1eHaY18a8A9IcSdp1K8H6x8fbOy06t2VsZHhMHf-1x7Y/edit?usp=sharing"",""แผน!V20"")"),2)</f>
        <v>2</v>
      </c>
      <c r="J151" s="702">
        <v>2</v>
      </c>
      <c r="K151" s="568">
        <f t="shared" ca="1" si="101"/>
        <v>100</v>
      </c>
      <c r="L151" s="574"/>
      <c r="M151" s="566"/>
      <c r="N151" s="566"/>
      <c r="O151" s="566"/>
      <c r="P151" s="566"/>
      <c r="Q151" s="566"/>
      <c r="R151" s="566"/>
      <c r="S151" s="566"/>
      <c r="T151" s="566"/>
      <c r="U151" s="566"/>
    </row>
    <row r="152" spans="1:21" ht="19.5" x14ac:dyDescent="0.3">
      <c r="A152" s="674"/>
      <c r="B152" s="561"/>
      <c r="C152" s="561"/>
      <c r="D152" s="695"/>
      <c r="E152" s="675" t="s">
        <v>300</v>
      </c>
      <c r="F152" s="561"/>
      <c r="G152" s="563"/>
      <c r="H152" s="686" t="s">
        <v>35</v>
      </c>
      <c r="I152" s="708">
        <f ca="1">IFERROR(__xludf.DUMMYFUNCTION("IMPORTRANGE(""https://docs.google.com/spreadsheets/d/1eHaY18a8A9IcSdp1K8H6x8fbOy06t2VsZHhMHf-1x7Y/edit?usp=sharing"",""แผน!W20"")"),40)</f>
        <v>40</v>
      </c>
      <c r="J152" s="702">
        <v>24</v>
      </c>
      <c r="K152" s="568">
        <f t="shared" ca="1" si="101"/>
        <v>60</v>
      </c>
      <c r="L152" s="574"/>
      <c r="M152" s="566"/>
      <c r="N152" s="566"/>
      <c r="O152" s="566"/>
      <c r="P152" s="566"/>
      <c r="Q152" s="566"/>
      <c r="R152" s="566"/>
      <c r="S152" s="566"/>
      <c r="T152" s="566"/>
      <c r="U152" s="566"/>
    </row>
    <row r="153" spans="1:21" ht="18.75" x14ac:dyDescent="0.25">
      <c r="A153" s="674"/>
      <c r="B153" s="561"/>
      <c r="C153" s="561"/>
      <c r="D153" s="561"/>
      <c r="E153" s="561"/>
      <c r="F153" s="561"/>
      <c r="G153" s="563"/>
      <c r="H153" s="686" t="s">
        <v>54</v>
      </c>
      <c r="I153" s="708">
        <f ca="1">IFERROR(__xludf.DUMMYFUNCTION("IMPORTRANGE(""https://docs.google.com/spreadsheets/d/1eHaY18a8A9IcSdp1K8H6x8fbOy06t2VsZHhMHf-1x7Y/edit?usp=sharing"",""แผน!X20"")"),4)</f>
        <v>4</v>
      </c>
      <c r="J153" s="702">
        <v>2</v>
      </c>
      <c r="K153" s="568">
        <f t="shared" ca="1" si="101"/>
        <v>50</v>
      </c>
      <c r="L153" s="574"/>
      <c r="M153" s="566"/>
      <c r="N153" s="566"/>
      <c r="O153" s="566"/>
      <c r="P153" s="566"/>
      <c r="Q153" s="566"/>
      <c r="R153" s="566"/>
      <c r="S153" s="566"/>
      <c r="T153" s="566"/>
      <c r="U153" s="566"/>
    </row>
    <row r="154" spans="1:21" ht="18.75" x14ac:dyDescent="0.25">
      <c r="A154" s="674"/>
      <c r="B154" s="561"/>
      <c r="C154" s="561"/>
      <c r="D154" s="573" t="s">
        <v>66</v>
      </c>
      <c r="E154" s="561"/>
      <c r="F154" s="561"/>
      <c r="G154" s="563"/>
      <c r="H154" s="686" t="s">
        <v>61</v>
      </c>
      <c r="I154" s="708">
        <f ca="1">IFERROR(__xludf.DUMMYFUNCTION("IMPORTRANGE(""https://docs.google.com/spreadsheets/d/1eHaY18a8A9IcSdp1K8H6x8fbOy06t2VsZHhMHf-1x7Y/edit?usp=sharing"",""แผน!Y20"")"),2)</f>
        <v>2</v>
      </c>
      <c r="J154" s="702">
        <v>0</v>
      </c>
      <c r="K154" s="568">
        <f t="shared" ca="1" si="101"/>
        <v>0</v>
      </c>
      <c r="L154" s="574"/>
      <c r="M154" s="566"/>
      <c r="N154" s="566"/>
      <c r="O154" s="566"/>
      <c r="P154" s="566"/>
      <c r="Q154" s="566"/>
      <c r="R154" s="566"/>
      <c r="S154" s="566"/>
      <c r="T154" s="566"/>
      <c r="U154" s="566"/>
    </row>
    <row r="155" spans="1:21" ht="19.5" x14ac:dyDescent="0.3">
      <c r="A155" s="662" t="s">
        <v>67</v>
      </c>
      <c r="B155" s="663"/>
      <c r="C155" s="729"/>
      <c r="D155" s="663"/>
      <c r="E155" s="663"/>
      <c r="F155" s="663"/>
      <c r="G155" s="663"/>
      <c r="H155" s="663"/>
      <c r="I155" s="730"/>
      <c r="J155" s="730"/>
      <c r="K155" s="731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</row>
    <row r="156" spans="1:21" ht="19.5" x14ac:dyDescent="0.3">
      <c r="A156" s="669"/>
      <c r="B156" s="544" t="s">
        <v>68</v>
      </c>
      <c r="C156" s="543"/>
      <c r="D156" s="543"/>
      <c r="E156" s="543"/>
      <c r="F156" s="543"/>
      <c r="G156" s="546"/>
      <c r="H156" s="717" t="s">
        <v>35</v>
      </c>
      <c r="I156" s="672">
        <f t="shared" ref="I156:J156" ca="1" si="102">I167</f>
        <v>15</v>
      </c>
      <c r="J156" s="672">
        <f t="shared" si="102"/>
        <v>15</v>
      </c>
      <c r="K156" s="551">
        <f ca="1">IF(I156&gt;0,J156*100/I156,0)</f>
        <v>100</v>
      </c>
      <c r="L156" s="673"/>
      <c r="M156" s="549"/>
      <c r="N156" s="549"/>
      <c r="O156" s="549"/>
      <c r="P156" s="549"/>
      <c r="Q156" s="549"/>
      <c r="R156" s="549"/>
      <c r="S156" s="549"/>
      <c r="T156" s="549"/>
      <c r="U156" s="549"/>
    </row>
    <row r="157" spans="1:21" ht="19.5" x14ac:dyDescent="0.3">
      <c r="A157" s="674"/>
      <c r="B157" s="561"/>
      <c r="C157" s="675" t="s">
        <v>18</v>
      </c>
      <c r="D157" s="676" t="s">
        <v>19</v>
      </c>
      <c r="E157" s="561"/>
      <c r="F157" s="561"/>
      <c r="G157" s="563"/>
      <c r="H157" s="677" t="s">
        <v>14</v>
      </c>
      <c r="I157" s="565"/>
      <c r="J157" s="565"/>
      <c r="K157" s="566"/>
      <c r="L157" s="678">
        <f t="shared" ref="L157:N157" ca="1" si="103">L158+L159</f>
        <v>4500</v>
      </c>
      <c r="M157" s="679">
        <f t="shared" ca="1" si="103"/>
        <v>4410</v>
      </c>
      <c r="N157" s="679">
        <f t="shared" ca="1" si="103"/>
        <v>340</v>
      </c>
      <c r="O157" s="679">
        <f t="shared" ref="O157:O165" ca="1" si="104">IF(L157&gt;0,N157*100/L157,0)</f>
        <v>7.5555555555555554</v>
      </c>
      <c r="P157" s="679">
        <f t="shared" ref="P157:P165" ca="1" si="105">IF(M157&gt;0,N157*100/M157,0)</f>
        <v>7.7097505668934243</v>
      </c>
      <c r="Q157" s="679">
        <f t="shared" ref="Q157:S157" ca="1" si="106">Q158+Q159</f>
        <v>0</v>
      </c>
      <c r="R157" s="679">
        <f t="shared" ca="1" si="106"/>
        <v>0</v>
      </c>
      <c r="S157" s="679">
        <f t="shared" ca="1" si="106"/>
        <v>0</v>
      </c>
      <c r="T157" s="679">
        <f t="shared" ref="T157:T165" ca="1" si="107">IF(Q157&gt;0,S157*100/Q157,0)</f>
        <v>0</v>
      </c>
      <c r="U157" s="679">
        <f t="shared" ref="U157:U165" ca="1" si="108">IF(R157&gt;0,S157*100/R157,0)</f>
        <v>0</v>
      </c>
    </row>
    <row r="158" spans="1:21" ht="18.75" x14ac:dyDescent="0.25">
      <c r="A158" s="674"/>
      <c r="B158" s="561"/>
      <c r="C158" s="561"/>
      <c r="D158" s="561"/>
      <c r="E158" s="569" t="s">
        <v>20</v>
      </c>
      <c r="F158" s="561"/>
      <c r="G158" s="563"/>
      <c r="H158" s="680" t="s">
        <v>14</v>
      </c>
      <c r="I158" s="565"/>
      <c r="J158" s="565"/>
      <c r="K158" s="566"/>
      <c r="L158" s="571">
        <f t="shared" ref="L158:N159" si="109">L161+L164</f>
        <v>0</v>
      </c>
      <c r="M158" s="572">
        <f t="shared" si="109"/>
        <v>0</v>
      </c>
      <c r="N158" s="572">
        <f t="shared" si="109"/>
        <v>0</v>
      </c>
      <c r="O158" s="572">
        <f t="shared" si="104"/>
        <v>0</v>
      </c>
      <c r="P158" s="572">
        <f t="shared" si="105"/>
        <v>0</v>
      </c>
      <c r="Q158" s="572">
        <f t="shared" ref="Q158:S159" si="110">Q161+Q164</f>
        <v>0</v>
      </c>
      <c r="R158" s="572">
        <f t="shared" si="110"/>
        <v>0</v>
      </c>
      <c r="S158" s="572">
        <f t="shared" si="110"/>
        <v>0</v>
      </c>
      <c r="T158" s="572">
        <f t="shared" si="107"/>
        <v>0</v>
      </c>
      <c r="U158" s="572">
        <f t="shared" si="108"/>
        <v>0</v>
      </c>
    </row>
    <row r="159" spans="1:21" ht="18.75" x14ac:dyDescent="0.25">
      <c r="A159" s="674"/>
      <c r="B159" s="561"/>
      <c r="C159" s="561"/>
      <c r="D159" s="561"/>
      <c r="E159" s="573" t="s">
        <v>21</v>
      </c>
      <c r="F159" s="561"/>
      <c r="G159" s="563"/>
      <c r="H159" s="681" t="s">
        <v>14</v>
      </c>
      <c r="I159" s="565"/>
      <c r="J159" s="565"/>
      <c r="K159" s="566"/>
      <c r="L159" s="567">
        <f t="shared" ca="1" si="109"/>
        <v>4500</v>
      </c>
      <c r="M159" s="568">
        <f t="shared" ca="1" si="109"/>
        <v>4410</v>
      </c>
      <c r="N159" s="568">
        <f t="shared" ca="1" si="109"/>
        <v>340</v>
      </c>
      <c r="O159" s="568">
        <f t="shared" ca="1" si="104"/>
        <v>7.5555555555555554</v>
      </c>
      <c r="P159" s="568">
        <f t="shared" ca="1" si="105"/>
        <v>7.7097505668934243</v>
      </c>
      <c r="Q159" s="568">
        <f t="shared" ca="1" si="110"/>
        <v>0</v>
      </c>
      <c r="R159" s="568">
        <f t="shared" ca="1" si="110"/>
        <v>0</v>
      </c>
      <c r="S159" s="568">
        <f t="shared" ca="1" si="110"/>
        <v>0</v>
      </c>
      <c r="T159" s="568">
        <f t="shared" ca="1" si="107"/>
        <v>0</v>
      </c>
      <c r="U159" s="568">
        <f t="shared" ca="1" si="108"/>
        <v>0</v>
      </c>
    </row>
    <row r="160" spans="1:21" ht="18.75" x14ac:dyDescent="0.25">
      <c r="A160" s="674"/>
      <c r="B160" s="561"/>
      <c r="C160" s="561"/>
      <c r="D160" s="562" t="s">
        <v>22</v>
      </c>
      <c r="E160" s="561"/>
      <c r="F160" s="561"/>
      <c r="G160" s="563"/>
      <c r="H160" s="682" t="s">
        <v>14</v>
      </c>
      <c r="I160" s="683"/>
      <c r="J160" s="683"/>
      <c r="K160" s="684"/>
      <c r="L160" s="567">
        <f t="shared" ref="L160:N160" ca="1" si="111">L161+L162</f>
        <v>4500</v>
      </c>
      <c r="M160" s="568">
        <f t="shared" ca="1" si="111"/>
        <v>4410</v>
      </c>
      <c r="N160" s="568">
        <f t="shared" ca="1" si="111"/>
        <v>340</v>
      </c>
      <c r="O160" s="568">
        <f t="shared" ca="1" si="104"/>
        <v>7.5555555555555554</v>
      </c>
      <c r="P160" s="568">
        <f t="shared" ca="1" si="105"/>
        <v>7.7097505668934243</v>
      </c>
      <c r="Q160" s="568">
        <f t="shared" ref="Q160:S160" ca="1" si="112">Q161+Q162</f>
        <v>0</v>
      </c>
      <c r="R160" s="568">
        <f t="shared" ca="1" si="112"/>
        <v>0</v>
      </c>
      <c r="S160" s="568">
        <f t="shared" ca="1" si="112"/>
        <v>0</v>
      </c>
      <c r="T160" s="568">
        <f t="shared" ca="1" si="107"/>
        <v>0</v>
      </c>
      <c r="U160" s="568">
        <f t="shared" ca="1" si="108"/>
        <v>0</v>
      </c>
    </row>
    <row r="161" spans="1:21" ht="18.75" x14ac:dyDescent="0.25">
      <c r="A161" s="674"/>
      <c r="B161" s="561"/>
      <c r="C161" s="561"/>
      <c r="D161" s="561"/>
      <c r="E161" s="569" t="s">
        <v>36</v>
      </c>
      <c r="F161" s="561"/>
      <c r="G161" s="563"/>
      <c r="H161" s="685" t="s">
        <v>14</v>
      </c>
      <c r="I161" s="683"/>
      <c r="J161" s="683"/>
      <c r="K161" s="684"/>
      <c r="L161" s="571">
        <v>0</v>
      </c>
      <c r="M161" s="572">
        <v>0</v>
      </c>
      <c r="N161" s="572">
        <v>0</v>
      </c>
      <c r="O161" s="572">
        <f t="shared" si="104"/>
        <v>0</v>
      </c>
      <c r="P161" s="572">
        <f t="shared" si="105"/>
        <v>0</v>
      </c>
      <c r="Q161" s="572">
        <v>0</v>
      </c>
      <c r="R161" s="572">
        <v>0</v>
      </c>
      <c r="S161" s="572">
        <v>0</v>
      </c>
      <c r="T161" s="572">
        <f t="shared" si="107"/>
        <v>0</v>
      </c>
      <c r="U161" s="572">
        <f t="shared" si="108"/>
        <v>0</v>
      </c>
    </row>
    <row r="162" spans="1:21" ht="18.75" x14ac:dyDescent="0.25">
      <c r="A162" s="674"/>
      <c r="B162" s="561"/>
      <c r="C162" s="561"/>
      <c r="D162" s="561"/>
      <c r="E162" s="573" t="s">
        <v>37</v>
      </c>
      <c r="F162" s="561"/>
      <c r="G162" s="563"/>
      <c r="H162" s="682" t="s">
        <v>14</v>
      </c>
      <c r="I162" s="683"/>
      <c r="J162" s="683"/>
      <c r="K162" s="684"/>
      <c r="L162" s="567">
        <f ca="1">IFERROR(__xludf.DUMMYFUNCTION("IMPORTRANGE(""https://docs.google.com/spreadsheets/d/1-uDff_7J0KD5mKrp0Vvzr7lt3OU09vwQwhkpOPPYv2Y/edit?usp=sharing"",""งบพรบ!CA20"")"),4500)</f>
        <v>4500</v>
      </c>
      <c r="M162" s="568">
        <f ca="1">IFERROR(__xludf.DUMMYFUNCTION("IMPORTRANGE(""https://docs.google.com/spreadsheets/d/1-uDff_7J0KD5mKrp0Vvzr7lt3OU09vwQwhkpOPPYv2Y/edit?usp=sharing"",""งบพรบ!CF20"")"),4410)</f>
        <v>4410</v>
      </c>
      <c r="N162" s="568">
        <f ca="1">IFERROR(__xludf.DUMMYFUNCTION("IMPORTRANGE(""https://docs.google.com/spreadsheets/d/1-uDff_7J0KD5mKrp0Vvzr7lt3OU09vwQwhkpOPPYv2Y/edit?usp=sharing"",""งบพรบ!CH20"")"),340)</f>
        <v>340</v>
      </c>
      <c r="O162" s="568">
        <f t="shared" ca="1" si="104"/>
        <v>7.5555555555555554</v>
      </c>
      <c r="P162" s="568">
        <f t="shared" ca="1" si="105"/>
        <v>7.7097505668934243</v>
      </c>
      <c r="Q162" s="568">
        <f ca="1">IFERROR(__xludf.DUMMYFUNCTION("IMPORTRANGE(""https://docs.google.com/spreadsheets/d/1ItG2mGa2ceCfYo0BwxsXqNm01IGEUdYcSSLTEv9YCik/edit?usp=sharing"",""เบิกจ่ายกองทุน!AM20"")"),0)</f>
        <v>0</v>
      </c>
      <c r="R162" s="568">
        <f ca="1">IFERROR(__xludf.DUMMYFUNCTION("IMPORTRANGE(""https://docs.google.com/spreadsheets/d/1ItG2mGa2ceCfYo0BwxsXqNm01IGEUdYcSSLTEv9YCik/edit?usp=sharing"",""เบิกจ่ายกองทุน!AN20"")"),0)</f>
        <v>0</v>
      </c>
      <c r="S162" s="568">
        <f ca="1">IFERROR(__xludf.DUMMYFUNCTION("IMPORTRANGE(""https://docs.google.com/spreadsheets/d/1ItG2mGa2ceCfYo0BwxsXqNm01IGEUdYcSSLTEv9YCik/edit?usp=sharing"",""เบิกจ่ายกองทุน!AO20"")"),0)</f>
        <v>0</v>
      </c>
      <c r="T162" s="568">
        <f t="shared" ca="1" si="107"/>
        <v>0</v>
      </c>
      <c r="U162" s="568">
        <f t="shared" ca="1" si="108"/>
        <v>0</v>
      </c>
    </row>
    <row r="163" spans="1:21" ht="18.75" x14ac:dyDescent="0.25">
      <c r="A163" s="674"/>
      <c r="B163" s="561"/>
      <c r="C163" s="561"/>
      <c r="D163" s="562" t="s">
        <v>23</v>
      </c>
      <c r="E163" s="561"/>
      <c r="F163" s="561"/>
      <c r="G163" s="563"/>
      <c r="H163" s="686" t="s">
        <v>14</v>
      </c>
      <c r="I163" s="683"/>
      <c r="J163" s="683"/>
      <c r="K163" s="684"/>
      <c r="L163" s="567">
        <f t="shared" ref="L163:N163" ca="1" si="113">L164+L165</f>
        <v>0</v>
      </c>
      <c r="M163" s="568">
        <f t="shared" ca="1" si="113"/>
        <v>0</v>
      </c>
      <c r="N163" s="568">
        <f t="shared" ca="1" si="113"/>
        <v>0</v>
      </c>
      <c r="O163" s="568">
        <f t="shared" ca="1" si="104"/>
        <v>0</v>
      </c>
      <c r="P163" s="568">
        <f t="shared" ca="1" si="105"/>
        <v>0</v>
      </c>
      <c r="Q163" s="568">
        <f t="shared" ref="Q163:S163" si="114">Q164+Q165</f>
        <v>0</v>
      </c>
      <c r="R163" s="568">
        <f t="shared" si="114"/>
        <v>0</v>
      </c>
      <c r="S163" s="568">
        <f t="shared" si="114"/>
        <v>0</v>
      </c>
      <c r="T163" s="568">
        <f t="shared" si="107"/>
        <v>0</v>
      </c>
      <c r="U163" s="568">
        <f t="shared" si="108"/>
        <v>0</v>
      </c>
    </row>
    <row r="164" spans="1:21" ht="18.75" x14ac:dyDescent="0.25">
      <c r="A164" s="674"/>
      <c r="B164" s="561"/>
      <c r="C164" s="561"/>
      <c r="D164" s="561"/>
      <c r="E164" s="569" t="s">
        <v>20</v>
      </c>
      <c r="F164" s="561"/>
      <c r="G164" s="563"/>
      <c r="H164" s="685" t="s">
        <v>14</v>
      </c>
      <c r="I164" s="683"/>
      <c r="J164" s="683"/>
      <c r="K164" s="684"/>
      <c r="L164" s="571">
        <v>0</v>
      </c>
      <c r="M164" s="572">
        <v>0</v>
      </c>
      <c r="N164" s="572">
        <v>0</v>
      </c>
      <c r="O164" s="572">
        <f t="shared" si="104"/>
        <v>0</v>
      </c>
      <c r="P164" s="572">
        <f t="shared" si="105"/>
        <v>0</v>
      </c>
      <c r="Q164" s="572">
        <v>0</v>
      </c>
      <c r="R164" s="572">
        <v>0</v>
      </c>
      <c r="S164" s="572">
        <v>0</v>
      </c>
      <c r="T164" s="572">
        <f t="shared" si="107"/>
        <v>0</v>
      </c>
      <c r="U164" s="572">
        <f t="shared" si="108"/>
        <v>0</v>
      </c>
    </row>
    <row r="165" spans="1:21" ht="18.75" x14ac:dyDescent="0.25">
      <c r="A165" s="674"/>
      <c r="B165" s="561"/>
      <c r="C165" s="561"/>
      <c r="D165" s="561"/>
      <c r="E165" s="573" t="s">
        <v>21</v>
      </c>
      <c r="F165" s="561"/>
      <c r="G165" s="563"/>
      <c r="H165" s="686" t="s">
        <v>14</v>
      </c>
      <c r="I165" s="683"/>
      <c r="J165" s="683"/>
      <c r="K165" s="684"/>
      <c r="L165" s="567">
        <f ca="1">IFERROR(__xludf.DUMMYFUNCTION("IMPORTRANGE(""https://docs.google.com/spreadsheets/d/1-uDff_7J0KD5mKrp0Vvzr7lt3OU09vwQwhkpOPPYv2Y/edit?usp=sharing"",""งบพรบ!CD20"")"),0)</f>
        <v>0</v>
      </c>
      <c r="M165" s="568">
        <f ca="1">IFERROR(__xludf.DUMMYFUNCTION("IMPORTRANGE(""https://docs.google.com/spreadsheets/d/1-uDff_7J0KD5mKrp0Vvzr7lt3OU09vwQwhkpOPPYv2Y/edit?usp=sharing"",""งบพรบ!CG20"")"),0)</f>
        <v>0</v>
      </c>
      <c r="N165" s="568">
        <f ca="1">IFERROR(__xludf.DUMMYFUNCTION("IMPORTRANGE(""https://docs.google.com/spreadsheets/d/1-uDff_7J0KD5mKrp0Vvzr7lt3OU09vwQwhkpOPPYv2Y/edit?usp=sharing"",""งบพรบ!CI20"")"),0)</f>
        <v>0</v>
      </c>
      <c r="O165" s="568">
        <f t="shared" ca="1" si="104"/>
        <v>0</v>
      </c>
      <c r="P165" s="568">
        <f t="shared" ca="1" si="105"/>
        <v>0</v>
      </c>
      <c r="Q165" s="568">
        <v>0</v>
      </c>
      <c r="R165" s="568">
        <v>0</v>
      </c>
      <c r="S165" s="568">
        <v>0</v>
      </c>
      <c r="T165" s="568">
        <f t="shared" si="107"/>
        <v>0</v>
      </c>
      <c r="U165" s="568">
        <f t="shared" si="108"/>
        <v>0</v>
      </c>
    </row>
    <row r="166" spans="1:21" ht="19.5" x14ac:dyDescent="0.3">
      <c r="A166" s="687"/>
      <c r="B166" s="688"/>
      <c r="C166" s="675" t="s">
        <v>18</v>
      </c>
      <c r="D166" s="689" t="s">
        <v>38</v>
      </c>
      <c r="E166" s="690"/>
      <c r="F166" s="690"/>
      <c r="G166" s="691"/>
      <c r="H166" s="725"/>
      <c r="I166" s="565"/>
      <c r="J166" s="565"/>
      <c r="K166" s="566"/>
      <c r="L166" s="574"/>
      <c r="M166" s="566"/>
      <c r="N166" s="566"/>
      <c r="O166" s="566"/>
      <c r="P166" s="566"/>
      <c r="Q166" s="566"/>
      <c r="R166" s="566"/>
      <c r="S166" s="566"/>
      <c r="T166" s="566"/>
      <c r="U166" s="566"/>
    </row>
    <row r="167" spans="1:21" ht="18.75" x14ac:dyDescent="0.25">
      <c r="A167" s="674"/>
      <c r="B167" s="561"/>
      <c r="C167" s="561"/>
      <c r="D167" s="573" t="s">
        <v>69</v>
      </c>
      <c r="E167" s="561"/>
      <c r="F167" s="561"/>
      <c r="G167" s="563"/>
      <c r="H167" s="686" t="s">
        <v>35</v>
      </c>
      <c r="I167" s="708">
        <f ca="1">IFERROR(__xludf.DUMMYFUNCTION("IMPORTRANGE(""https://docs.google.com/spreadsheets/d/1eHaY18a8A9IcSdp1K8H6x8fbOy06t2VsZHhMHf-1x7Y/edit?usp=sharing"",""แผน!Z20"")"),15)</f>
        <v>15</v>
      </c>
      <c r="J167" s="702">
        <v>15</v>
      </c>
      <c r="K167" s="568">
        <f t="shared" ref="K167:K169" ca="1" si="115">IF(I167&gt;0,J167*100/I167,0)</f>
        <v>100</v>
      </c>
      <c r="L167" s="574"/>
      <c r="M167" s="566"/>
      <c r="N167" s="566"/>
      <c r="O167" s="566"/>
      <c r="P167" s="566"/>
      <c r="Q167" s="566"/>
      <c r="R167" s="566"/>
      <c r="S167" s="566"/>
      <c r="T167" s="566"/>
      <c r="U167" s="566"/>
    </row>
    <row r="168" spans="1:21" ht="18.75" x14ac:dyDescent="0.25">
      <c r="A168" s="674"/>
      <c r="B168" s="561"/>
      <c r="C168" s="561"/>
      <c r="D168" s="569" t="s">
        <v>70</v>
      </c>
      <c r="E168" s="561"/>
      <c r="F168" s="561"/>
      <c r="G168" s="563"/>
      <c r="H168" s="734" t="s">
        <v>35</v>
      </c>
      <c r="I168" s="735">
        <f ca="1">I167</f>
        <v>15</v>
      </c>
      <c r="J168" s="736">
        <v>0</v>
      </c>
      <c r="K168" s="572">
        <f t="shared" ca="1" si="115"/>
        <v>0</v>
      </c>
      <c r="L168" s="574"/>
      <c r="M168" s="566"/>
      <c r="N168" s="566"/>
      <c r="O168" s="566"/>
      <c r="P168" s="566"/>
      <c r="Q168" s="566"/>
      <c r="R168" s="566"/>
      <c r="S168" s="566"/>
      <c r="T168" s="566"/>
      <c r="U168" s="566"/>
    </row>
    <row r="169" spans="1:21" ht="18.75" x14ac:dyDescent="0.25">
      <c r="A169" s="737"/>
      <c r="B169" s="513"/>
      <c r="C169" s="513"/>
      <c r="D169" s="738" t="s">
        <v>71</v>
      </c>
      <c r="E169" s="513"/>
      <c r="F169" s="513"/>
      <c r="G169" s="577"/>
      <c r="H169" s="739" t="s">
        <v>35</v>
      </c>
      <c r="I169" s="740">
        <f ca="1">I167</f>
        <v>15</v>
      </c>
      <c r="J169" s="741">
        <v>0</v>
      </c>
      <c r="K169" s="742">
        <f t="shared" ca="1" si="115"/>
        <v>0</v>
      </c>
      <c r="L169" s="581"/>
      <c r="M169" s="580"/>
      <c r="N169" s="580"/>
      <c r="O169" s="580"/>
      <c r="P169" s="580"/>
      <c r="Q169" s="580"/>
      <c r="R169" s="580"/>
      <c r="S169" s="580"/>
      <c r="T169" s="580"/>
      <c r="U169" s="580"/>
    </row>
    <row r="170" spans="1:21" ht="19.5" x14ac:dyDescent="0.3">
      <c r="A170" s="743" t="s">
        <v>72</v>
      </c>
      <c r="B170" s="744"/>
      <c r="C170" s="744"/>
      <c r="D170" s="744"/>
      <c r="E170" s="745"/>
      <c r="F170" s="745"/>
      <c r="G170" s="745"/>
      <c r="H170" s="745"/>
      <c r="I170" s="746"/>
      <c r="J170" s="746"/>
      <c r="K170" s="747"/>
      <c r="L170" s="747"/>
      <c r="M170" s="747"/>
      <c r="N170" s="747"/>
      <c r="O170" s="747"/>
      <c r="P170" s="748"/>
      <c r="Q170" s="747"/>
      <c r="R170" s="747"/>
      <c r="S170" s="747"/>
      <c r="T170" s="747"/>
      <c r="U170" s="748"/>
    </row>
    <row r="171" spans="1:21" ht="19.5" x14ac:dyDescent="0.3">
      <c r="A171" s="749" t="s">
        <v>73</v>
      </c>
      <c r="B171" s="750"/>
      <c r="C171" s="750"/>
      <c r="D171" s="751"/>
      <c r="E171" s="751"/>
      <c r="F171" s="751"/>
      <c r="G171" s="751"/>
      <c r="H171" s="752"/>
      <c r="I171" s="753"/>
      <c r="J171" s="753"/>
      <c r="K171" s="754"/>
      <c r="L171" s="755"/>
      <c r="M171" s="754"/>
      <c r="N171" s="754"/>
      <c r="O171" s="754"/>
      <c r="P171" s="754"/>
      <c r="Q171" s="754"/>
      <c r="R171" s="754"/>
      <c r="S171" s="754"/>
      <c r="T171" s="754"/>
      <c r="U171" s="754"/>
    </row>
    <row r="172" spans="1:21" ht="19.5" x14ac:dyDescent="0.3">
      <c r="A172" s="756"/>
      <c r="B172" s="757" t="s">
        <v>74</v>
      </c>
      <c r="C172" s="758"/>
      <c r="D172" s="690"/>
      <c r="E172" s="690"/>
      <c r="F172" s="690"/>
      <c r="G172" s="691"/>
      <c r="H172" s="759" t="s">
        <v>35</v>
      </c>
      <c r="I172" s="760">
        <f t="shared" ref="I172:J172" ca="1" si="116">I183+I184</f>
        <v>15</v>
      </c>
      <c r="J172" s="760">
        <f t="shared" si="116"/>
        <v>7</v>
      </c>
      <c r="K172" s="761">
        <f ca="1">IF(I172&gt;0,J172*100/I172,0)</f>
        <v>46.666666666666664</v>
      </c>
      <c r="L172" s="762"/>
      <c r="M172" s="763"/>
      <c r="N172" s="763"/>
      <c r="O172" s="763"/>
      <c r="P172" s="763"/>
      <c r="Q172" s="763"/>
      <c r="R172" s="763"/>
      <c r="S172" s="763"/>
      <c r="T172" s="763"/>
      <c r="U172" s="763"/>
    </row>
    <row r="173" spans="1:21" ht="19.5" x14ac:dyDescent="0.3">
      <c r="A173" s="674"/>
      <c r="B173" s="561"/>
      <c r="C173" s="675" t="s">
        <v>18</v>
      </c>
      <c r="D173" s="676" t="s">
        <v>19</v>
      </c>
      <c r="E173" s="561"/>
      <c r="F173" s="561"/>
      <c r="G173" s="563"/>
      <c r="H173" s="677" t="s">
        <v>14</v>
      </c>
      <c r="I173" s="565"/>
      <c r="J173" s="565"/>
      <c r="K173" s="566"/>
      <c r="L173" s="678">
        <f t="shared" ref="L173:N173" ca="1" si="117">L174+L175</f>
        <v>19590</v>
      </c>
      <c r="M173" s="679">
        <f t="shared" ca="1" si="117"/>
        <v>86150</v>
      </c>
      <c r="N173" s="679">
        <f t="shared" ca="1" si="117"/>
        <v>65541</v>
      </c>
      <c r="O173" s="679">
        <f t="shared" ref="O173:O181" ca="1" si="118">IF(L173&gt;0,N173*100/L173,0)</f>
        <v>334.56355283307812</v>
      </c>
      <c r="P173" s="679">
        <f t="shared" ref="P173:P181" ca="1" si="119">IF(M173&gt;0,N173*100/M173,0)</f>
        <v>76.077771329077194</v>
      </c>
      <c r="Q173" s="679">
        <f t="shared" ref="Q173:S173" ca="1" si="120">Q174+Q175</f>
        <v>0</v>
      </c>
      <c r="R173" s="679">
        <f t="shared" ca="1" si="120"/>
        <v>0</v>
      </c>
      <c r="S173" s="679">
        <f t="shared" ca="1" si="120"/>
        <v>0</v>
      </c>
      <c r="T173" s="679">
        <f t="shared" ref="T173:T181" ca="1" si="121">IF(Q173&gt;0,S173*100/Q173,0)</f>
        <v>0</v>
      </c>
      <c r="U173" s="679">
        <f t="shared" ref="U173:U181" ca="1" si="122">IF(R173&gt;0,S173*100/R173,0)</f>
        <v>0</v>
      </c>
    </row>
    <row r="174" spans="1:21" ht="18.75" x14ac:dyDescent="0.25">
      <c r="A174" s="674"/>
      <c r="B174" s="561"/>
      <c r="C174" s="561"/>
      <c r="D174" s="561"/>
      <c r="E174" s="569" t="s">
        <v>20</v>
      </c>
      <c r="F174" s="561"/>
      <c r="G174" s="563"/>
      <c r="H174" s="680" t="s">
        <v>14</v>
      </c>
      <c r="I174" s="565"/>
      <c r="J174" s="565"/>
      <c r="K174" s="566"/>
      <c r="L174" s="571">
        <f t="shared" ref="L174:N175" si="123">L177+L180</f>
        <v>0</v>
      </c>
      <c r="M174" s="572">
        <f t="shared" si="123"/>
        <v>0</v>
      </c>
      <c r="N174" s="572">
        <f t="shared" si="123"/>
        <v>0</v>
      </c>
      <c r="O174" s="572">
        <f t="shared" si="118"/>
        <v>0</v>
      </c>
      <c r="P174" s="572">
        <f t="shared" si="119"/>
        <v>0</v>
      </c>
      <c r="Q174" s="572">
        <f t="shared" ref="Q174:S175" si="124">Q177+Q180</f>
        <v>0</v>
      </c>
      <c r="R174" s="572">
        <f t="shared" si="124"/>
        <v>0</v>
      </c>
      <c r="S174" s="572">
        <f t="shared" si="124"/>
        <v>0</v>
      </c>
      <c r="T174" s="572">
        <f t="shared" si="121"/>
        <v>0</v>
      </c>
      <c r="U174" s="572">
        <f t="shared" si="122"/>
        <v>0</v>
      </c>
    </row>
    <row r="175" spans="1:21" ht="18.75" x14ac:dyDescent="0.25">
      <c r="A175" s="674"/>
      <c r="B175" s="561"/>
      <c r="C175" s="561"/>
      <c r="D175" s="561"/>
      <c r="E175" s="573" t="s">
        <v>21</v>
      </c>
      <c r="F175" s="561"/>
      <c r="G175" s="563"/>
      <c r="H175" s="681" t="s">
        <v>14</v>
      </c>
      <c r="I175" s="565"/>
      <c r="J175" s="565"/>
      <c r="K175" s="566"/>
      <c r="L175" s="567">
        <f t="shared" ca="1" si="123"/>
        <v>19590</v>
      </c>
      <c r="M175" s="568">
        <f t="shared" ca="1" si="123"/>
        <v>86150</v>
      </c>
      <c r="N175" s="568">
        <f t="shared" ca="1" si="123"/>
        <v>65541</v>
      </c>
      <c r="O175" s="568">
        <f t="shared" ca="1" si="118"/>
        <v>334.56355283307812</v>
      </c>
      <c r="P175" s="568">
        <f t="shared" ca="1" si="119"/>
        <v>76.077771329077194</v>
      </c>
      <c r="Q175" s="568">
        <f t="shared" ca="1" si="124"/>
        <v>0</v>
      </c>
      <c r="R175" s="568">
        <f t="shared" ca="1" si="124"/>
        <v>0</v>
      </c>
      <c r="S175" s="568">
        <f t="shared" ca="1" si="124"/>
        <v>0</v>
      </c>
      <c r="T175" s="568">
        <f t="shared" ca="1" si="121"/>
        <v>0</v>
      </c>
      <c r="U175" s="568">
        <f t="shared" ca="1" si="122"/>
        <v>0</v>
      </c>
    </row>
    <row r="176" spans="1:21" ht="18.75" x14ac:dyDescent="0.25">
      <c r="A176" s="674"/>
      <c r="B176" s="561"/>
      <c r="C176" s="561"/>
      <c r="D176" s="562" t="s">
        <v>22</v>
      </c>
      <c r="E176" s="561"/>
      <c r="F176" s="561"/>
      <c r="G176" s="563"/>
      <c r="H176" s="682" t="s">
        <v>14</v>
      </c>
      <c r="I176" s="683"/>
      <c r="J176" s="683"/>
      <c r="K176" s="684"/>
      <c r="L176" s="567">
        <f t="shared" ref="L176:N176" ca="1" si="125">L177+L178</f>
        <v>19590</v>
      </c>
      <c r="M176" s="568">
        <f t="shared" ca="1" si="125"/>
        <v>86150</v>
      </c>
      <c r="N176" s="568">
        <f t="shared" ca="1" si="125"/>
        <v>65541</v>
      </c>
      <c r="O176" s="568">
        <f t="shared" ca="1" si="118"/>
        <v>334.56355283307812</v>
      </c>
      <c r="P176" s="568">
        <f t="shared" ca="1" si="119"/>
        <v>76.077771329077194</v>
      </c>
      <c r="Q176" s="568">
        <f t="shared" ref="Q176:S176" ca="1" si="126">Q177+Q178</f>
        <v>0</v>
      </c>
      <c r="R176" s="568">
        <f t="shared" ca="1" si="126"/>
        <v>0</v>
      </c>
      <c r="S176" s="568">
        <f t="shared" ca="1" si="126"/>
        <v>0</v>
      </c>
      <c r="T176" s="568">
        <f t="shared" ca="1" si="121"/>
        <v>0</v>
      </c>
      <c r="U176" s="568">
        <f t="shared" ca="1" si="122"/>
        <v>0</v>
      </c>
    </row>
    <row r="177" spans="1:21" ht="18.75" x14ac:dyDescent="0.25">
      <c r="A177" s="674"/>
      <c r="B177" s="561"/>
      <c r="C177" s="561"/>
      <c r="D177" s="561"/>
      <c r="E177" s="569" t="s">
        <v>36</v>
      </c>
      <c r="F177" s="561"/>
      <c r="G177" s="563"/>
      <c r="H177" s="685" t="s">
        <v>14</v>
      </c>
      <c r="I177" s="683"/>
      <c r="J177" s="683"/>
      <c r="K177" s="684"/>
      <c r="L177" s="571">
        <v>0</v>
      </c>
      <c r="M177" s="572">
        <v>0</v>
      </c>
      <c r="N177" s="572">
        <v>0</v>
      </c>
      <c r="O177" s="572">
        <f t="shared" si="118"/>
        <v>0</v>
      </c>
      <c r="P177" s="572">
        <f t="shared" si="119"/>
        <v>0</v>
      </c>
      <c r="Q177" s="572">
        <v>0</v>
      </c>
      <c r="R177" s="572">
        <v>0</v>
      </c>
      <c r="S177" s="572">
        <v>0</v>
      </c>
      <c r="T177" s="572">
        <f t="shared" si="121"/>
        <v>0</v>
      </c>
      <c r="U177" s="572">
        <f t="shared" si="122"/>
        <v>0</v>
      </c>
    </row>
    <row r="178" spans="1:21" ht="18.75" x14ac:dyDescent="0.25">
      <c r="A178" s="674"/>
      <c r="B178" s="561"/>
      <c r="C178" s="561"/>
      <c r="D178" s="561"/>
      <c r="E178" s="573" t="s">
        <v>37</v>
      </c>
      <c r="F178" s="561"/>
      <c r="G178" s="563"/>
      <c r="H178" s="682" t="s">
        <v>14</v>
      </c>
      <c r="I178" s="683"/>
      <c r="J178" s="683"/>
      <c r="K178" s="684"/>
      <c r="L178" s="567">
        <f ca="1">IFERROR(__xludf.DUMMYFUNCTION("IMPORTRANGE(""https://docs.google.com/spreadsheets/d/1-uDff_7J0KD5mKrp0Vvzr7lt3OU09vwQwhkpOPPYv2Y/edit?usp=sharing"",""งบพรบ!CK20"")"),19590)</f>
        <v>19590</v>
      </c>
      <c r="M178" s="568">
        <f ca="1">IFERROR(__xludf.DUMMYFUNCTION("IMPORTRANGE(""https://docs.google.com/spreadsheets/d/1-uDff_7J0KD5mKrp0Vvzr7lt3OU09vwQwhkpOPPYv2Y/edit?usp=sharing"",""งบพรบ!CP20"")"),86150)</f>
        <v>86150</v>
      </c>
      <c r="N178" s="568">
        <f ca="1">IFERROR(__xludf.DUMMYFUNCTION("IMPORTRANGE(""https://docs.google.com/spreadsheets/d/1-uDff_7J0KD5mKrp0Vvzr7lt3OU09vwQwhkpOPPYv2Y/edit?usp=sharing"",""งบพรบ!CR20"")"),65541)</f>
        <v>65541</v>
      </c>
      <c r="O178" s="568">
        <f t="shared" ca="1" si="118"/>
        <v>334.56355283307812</v>
      </c>
      <c r="P178" s="568">
        <f t="shared" ca="1" si="119"/>
        <v>76.077771329077194</v>
      </c>
      <c r="Q178" s="568">
        <f ca="1">IFERROR(__xludf.DUMMYFUNCTION("IMPORTRANGE(""https://docs.google.com/spreadsheets/d/1ItG2mGa2ceCfYo0BwxsXqNm01IGEUdYcSSLTEv9YCik/edit?usp=sharing"",""เบิกจ่ายกองทุน!DG20"")"),0)</f>
        <v>0</v>
      </c>
      <c r="R178" s="568">
        <f ca="1">IFERROR(__xludf.DUMMYFUNCTION("IMPORTRANGE(""https://docs.google.com/spreadsheets/d/1ItG2mGa2ceCfYo0BwxsXqNm01IGEUdYcSSLTEv9YCik/edit?usp=sharing"",""เบิกจ่ายกองทุน!DH20"")"),0)</f>
        <v>0</v>
      </c>
      <c r="S178" s="568">
        <f ca="1">IFERROR(__xludf.DUMMYFUNCTION("IMPORTRANGE(""https://docs.google.com/spreadsheets/d/1ItG2mGa2ceCfYo0BwxsXqNm01IGEUdYcSSLTEv9YCik/edit?usp=sharing"",""เบิกจ่ายกองทุน!DI20"")"),0)</f>
        <v>0</v>
      </c>
      <c r="T178" s="568">
        <f t="shared" ca="1" si="121"/>
        <v>0</v>
      </c>
      <c r="U178" s="568">
        <f t="shared" ca="1" si="122"/>
        <v>0</v>
      </c>
    </row>
    <row r="179" spans="1:21" ht="18.75" x14ac:dyDescent="0.25">
      <c r="A179" s="674"/>
      <c r="B179" s="561"/>
      <c r="C179" s="561"/>
      <c r="D179" s="562" t="s">
        <v>23</v>
      </c>
      <c r="E179" s="561"/>
      <c r="F179" s="561"/>
      <c r="G179" s="563"/>
      <c r="H179" s="686" t="s">
        <v>14</v>
      </c>
      <c r="I179" s="683"/>
      <c r="J179" s="683"/>
      <c r="K179" s="684"/>
      <c r="L179" s="567">
        <f t="shared" ref="L179:N179" ca="1" si="127">L180+L181</f>
        <v>0</v>
      </c>
      <c r="M179" s="568">
        <f t="shared" ca="1" si="127"/>
        <v>0</v>
      </c>
      <c r="N179" s="568">
        <f t="shared" ca="1" si="127"/>
        <v>0</v>
      </c>
      <c r="O179" s="568">
        <f t="shared" ca="1" si="118"/>
        <v>0</v>
      </c>
      <c r="P179" s="568">
        <f t="shared" ca="1" si="119"/>
        <v>0</v>
      </c>
      <c r="Q179" s="568">
        <f t="shared" ref="Q179:S179" si="128">Q180+Q181</f>
        <v>0</v>
      </c>
      <c r="R179" s="568">
        <f t="shared" si="128"/>
        <v>0</v>
      </c>
      <c r="S179" s="568">
        <f t="shared" si="128"/>
        <v>0</v>
      </c>
      <c r="T179" s="568">
        <f t="shared" si="121"/>
        <v>0</v>
      </c>
      <c r="U179" s="568">
        <f t="shared" si="122"/>
        <v>0</v>
      </c>
    </row>
    <row r="180" spans="1:21" ht="18.75" x14ac:dyDescent="0.25">
      <c r="A180" s="674"/>
      <c r="B180" s="561"/>
      <c r="C180" s="561"/>
      <c r="D180" s="561"/>
      <c r="E180" s="569" t="s">
        <v>20</v>
      </c>
      <c r="F180" s="561"/>
      <c r="G180" s="563"/>
      <c r="H180" s="685" t="s">
        <v>14</v>
      </c>
      <c r="I180" s="683"/>
      <c r="J180" s="683"/>
      <c r="K180" s="684"/>
      <c r="L180" s="571">
        <v>0</v>
      </c>
      <c r="M180" s="572">
        <v>0</v>
      </c>
      <c r="N180" s="572">
        <v>0</v>
      </c>
      <c r="O180" s="572">
        <f t="shared" si="118"/>
        <v>0</v>
      </c>
      <c r="P180" s="572">
        <f t="shared" si="119"/>
        <v>0</v>
      </c>
      <c r="Q180" s="572">
        <v>0</v>
      </c>
      <c r="R180" s="572">
        <v>0</v>
      </c>
      <c r="S180" s="572">
        <v>0</v>
      </c>
      <c r="T180" s="572">
        <f t="shared" si="121"/>
        <v>0</v>
      </c>
      <c r="U180" s="572">
        <f t="shared" si="122"/>
        <v>0</v>
      </c>
    </row>
    <row r="181" spans="1:21" ht="18.75" x14ac:dyDescent="0.25">
      <c r="A181" s="674"/>
      <c r="B181" s="561"/>
      <c r="C181" s="561"/>
      <c r="D181" s="561"/>
      <c r="E181" s="573" t="s">
        <v>21</v>
      </c>
      <c r="F181" s="561"/>
      <c r="G181" s="563"/>
      <c r="H181" s="686" t="s">
        <v>14</v>
      </c>
      <c r="I181" s="683"/>
      <c r="J181" s="683"/>
      <c r="K181" s="684"/>
      <c r="L181" s="567">
        <f ca="1">IFERROR(__xludf.DUMMYFUNCTION("IMPORTRANGE(""https://docs.google.com/spreadsheets/d/1-uDff_7J0KD5mKrp0Vvzr7lt3OU09vwQwhkpOPPYv2Y/edit?usp=sharing"",""งบพรบ!CN20"")"),0)</f>
        <v>0</v>
      </c>
      <c r="M181" s="568">
        <f ca="1">IFERROR(__xludf.DUMMYFUNCTION("IMPORTRANGE(""https://docs.google.com/spreadsheets/d/1-uDff_7J0KD5mKrp0Vvzr7lt3OU09vwQwhkpOPPYv2Y/edit?usp=sharing"",""งบพรบ!CQ20"")"),0)</f>
        <v>0</v>
      </c>
      <c r="N181" s="568">
        <f ca="1">IFERROR(__xludf.DUMMYFUNCTION("IMPORTRANGE(""https://docs.google.com/spreadsheets/d/1-uDff_7J0KD5mKrp0Vvzr7lt3OU09vwQwhkpOPPYv2Y/edit?usp=sharing"",""งบพรบ!CS20"")"),0)</f>
        <v>0</v>
      </c>
      <c r="O181" s="568">
        <f t="shared" ca="1" si="118"/>
        <v>0</v>
      </c>
      <c r="P181" s="568">
        <f t="shared" ca="1" si="119"/>
        <v>0</v>
      </c>
      <c r="Q181" s="568">
        <v>0</v>
      </c>
      <c r="R181" s="568">
        <v>0</v>
      </c>
      <c r="S181" s="568">
        <v>0</v>
      </c>
      <c r="T181" s="568">
        <f t="shared" si="121"/>
        <v>0</v>
      </c>
      <c r="U181" s="568">
        <f t="shared" si="122"/>
        <v>0</v>
      </c>
    </row>
    <row r="182" spans="1:21" ht="19.5" x14ac:dyDescent="0.3">
      <c r="A182" s="687"/>
      <c r="B182" s="688"/>
      <c r="C182" s="675" t="s">
        <v>18</v>
      </c>
      <c r="D182" s="689" t="s">
        <v>38</v>
      </c>
      <c r="E182" s="690"/>
      <c r="F182" s="690"/>
      <c r="G182" s="691"/>
      <c r="H182" s="725"/>
      <c r="I182" s="565"/>
      <c r="J182" s="565"/>
      <c r="K182" s="566"/>
      <c r="L182" s="574"/>
      <c r="M182" s="566"/>
      <c r="N182" s="566"/>
      <c r="O182" s="566"/>
      <c r="P182" s="566"/>
      <c r="Q182" s="566"/>
      <c r="R182" s="566"/>
      <c r="S182" s="566"/>
      <c r="T182" s="566"/>
      <c r="U182" s="566"/>
    </row>
    <row r="183" spans="1:21" ht="18.75" x14ac:dyDescent="0.25">
      <c r="A183" s="764"/>
      <c r="B183" s="561"/>
      <c r="C183" s="718"/>
      <c r="D183" s="765" t="s">
        <v>75</v>
      </c>
      <c r="E183" s="561"/>
      <c r="F183" s="561"/>
      <c r="G183" s="563"/>
      <c r="H183" s="766" t="s">
        <v>35</v>
      </c>
      <c r="I183" s="708">
        <f ca="1">IFERROR(__xludf.DUMMYFUNCTION("IMPORTRANGE(""https://docs.google.com/spreadsheets/d/1eHaY18a8A9IcSdp1K8H6x8fbOy06t2VsZHhMHf-1x7Y/edit?usp=sharing"",""แผน!AA20"")"),15)</f>
        <v>15</v>
      </c>
      <c r="J183" s="702">
        <v>7</v>
      </c>
      <c r="K183" s="568">
        <f t="shared" ref="K183:K185" ca="1" si="129">IF(I183&gt;0,J183*100/I183,0)</f>
        <v>46.666666666666664</v>
      </c>
      <c r="L183" s="574"/>
      <c r="M183" s="566"/>
      <c r="N183" s="566"/>
      <c r="O183" s="566"/>
      <c r="P183" s="566"/>
      <c r="Q183" s="566"/>
      <c r="R183" s="566"/>
      <c r="S183" s="566"/>
      <c r="T183" s="566"/>
      <c r="U183" s="566"/>
    </row>
    <row r="184" spans="1:21" ht="18.75" x14ac:dyDescent="0.25">
      <c r="A184" s="764"/>
      <c r="B184" s="718"/>
      <c r="C184" s="718"/>
      <c r="D184" s="767" t="s">
        <v>76</v>
      </c>
      <c r="E184" s="561"/>
      <c r="F184" s="561"/>
      <c r="G184" s="563"/>
      <c r="H184" s="768" t="s">
        <v>35</v>
      </c>
      <c r="I184" s="735">
        <v>0</v>
      </c>
      <c r="J184" s="735">
        <v>0</v>
      </c>
      <c r="K184" s="572">
        <f t="shared" si="129"/>
        <v>0</v>
      </c>
      <c r="L184" s="574"/>
      <c r="M184" s="566"/>
      <c r="N184" s="566"/>
      <c r="O184" s="566"/>
      <c r="P184" s="566"/>
      <c r="Q184" s="566"/>
      <c r="R184" s="566"/>
      <c r="S184" s="566"/>
      <c r="T184" s="566"/>
      <c r="U184" s="566"/>
    </row>
    <row r="185" spans="1:21" ht="19.5" x14ac:dyDescent="0.3">
      <c r="A185" s="756"/>
      <c r="B185" s="757" t="s">
        <v>77</v>
      </c>
      <c r="C185" s="758"/>
      <c r="D185" s="690"/>
      <c r="E185" s="690"/>
      <c r="F185" s="690"/>
      <c r="G185" s="691"/>
      <c r="H185" s="759" t="s">
        <v>35</v>
      </c>
      <c r="I185" s="760">
        <f t="shared" ref="I185:J185" ca="1" si="130">I230+I231</f>
        <v>40</v>
      </c>
      <c r="J185" s="760">
        <f t="shared" si="130"/>
        <v>40</v>
      </c>
      <c r="K185" s="761">
        <f t="shared" ca="1" si="129"/>
        <v>100</v>
      </c>
      <c r="L185" s="762"/>
      <c r="M185" s="763"/>
      <c r="N185" s="763"/>
      <c r="O185" s="763"/>
      <c r="P185" s="763"/>
      <c r="Q185" s="763"/>
      <c r="R185" s="763"/>
      <c r="S185" s="763"/>
      <c r="T185" s="763"/>
      <c r="U185" s="763"/>
    </row>
    <row r="186" spans="1:21" ht="19.5" x14ac:dyDescent="0.3">
      <c r="A186" s="674"/>
      <c r="B186" s="561"/>
      <c r="C186" s="675" t="s">
        <v>18</v>
      </c>
      <c r="D186" s="676" t="s">
        <v>19</v>
      </c>
      <c r="E186" s="561"/>
      <c r="F186" s="561"/>
      <c r="G186" s="563"/>
      <c r="H186" s="677" t="s">
        <v>14</v>
      </c>
      <c r="I186" s="565"/>
      <c r="J186" s="565"/>
      <c r="K186" s="566"/>
      <c r="L186" s="678">
        <f t="shared" ref="L186:N186" ca="1" si="131">L187+L188</f>
        <v>234500</v>
      </c>
      <c r="M186" s="679">
        <f t="shared" ca="1" si="131"/>
        <v>245900</v>
      </c>
      <c r="N186" s="679">
        <f t="shared" ca="1" si="131"/>
        <v>119220.4</v>
      </c>
      <c r="O186" s="679">
        <f t="shared" ref="O186:O194" ca="1" si="132">IF(L186&gt;0,N186*100/L186,0)</f>
        <v>50.840255863539447</v>
      </c>
      <c r="P186" s="679">
        <f t="shared" ref="P186:P194" ca="1" si="133">IF(M186&gt;0,N186*100/M186,0)</f>
        <v>48.483285888572588</v>
      </c>
      <c r="Q186" s="679">
        <f t="shared" ref="Q186:S186" ca="1" si="134">Q187+Q188</f>
        <v>250800</v>
      </c>
      <c r="R186" s="679">
        <f t="shared" ca="1" si="134"/>
        <v>250800</v>
      </c>
      <c r="S186" s="679">
        <f t="shared" ca="1" si="134"/>
        <v>255190</v>
      </c>
      <c r="T186" s="679">
        <f t="shared" ref="T186:T194" ca="1" si="135">IF(Q186&gt;0,S186*100/Q186,0)</f>
        <v>101.75039872408293</v>
      </c>
      <c r="U186" s="679">
        <f t="shared" ref="U186:U194" ca="1" si="136">IF(R186&gt;0,S186*100/R186,0)</f>
        <v>101.75039872408293</v>
      </c>
    </row>
    <row r="187" spans="1:21" ht="18.75" x14ac:dyDescent="0.25">
      <c r="A187" s="674"/>
      <c r="B187" s="561"/>
      <c r="C187" s="561"/>
      <c r="D187" s="561"/>
      <c r="E187" s="569" t="s">
        <v>20</v>
      </c>
      <c r="F187" s="561"/>
      <c r="G187" s="563"/>
      <c r="H187" s="680" t="s">
        <v>14</v>
      </c>
      <c r="I187" s="565"/>
      <c r="J187" s="565"/>
      <c r="K187" s="566"/>
      <c r="L187" s="571">
        <f t="shared" ref="L187:N188" si="137">L190+L193</f>
        <v>0</v>
      </c>
      <c r="M187" s="572">
        <f t="shared" si="137"/>
        <v>0</v>
      </c>
      <c r="N187" s="572">
        <f t="shared" si="137"/>
        <v>0</v>
      </c>
      <c r="O187" s="572">
        <f t="shared" si="132"/>
        <v>0</v>
      </c>
      <c r="P187" s="572">
        <f t="shared" si="133"/>
        <v>0</v>
      </c>
      <c r="Q187" s="572">
        <f t="shared" ref="Q187:S188" si="138">Q190+Q193</f>
        <v>0</v>
      </c>
      <c r="R187" s="572">
        <f t="shared" si="138"/>
        <v>0</v>
      </c>
      <c r="S187" s="572">
        <f t="shared" si="138"/>
        <v>0</v>
      </c>
      <c r="T187" s="572">
        <f t="shared" si="135"/>
        <v>0</v>
      </c>
      <c r="U187" s="572">
        <f t="shared" si="136"/>
        <v>0</v>
      </c>
    </row>
    <row r="188" spans="1:21" ht="18.75" x14ac:dyDescent="0.25">
      <c r="A188" s="674"/>
      <c r="B188" s="561"/>
      <c r="C188" s="561"/>
      <c r="D188" s="561"/>
      <c r="E188" s="573" t="s">
        <v>21</v>
      </c>
      <c r="F188" s="561"/>
      <c r="G188" s="563"/>
      <c r="H188" s="681" t="s">
        <v>14</v>
      </c>
      <c r="I188" s="565"/>
      <c r="J188" s="565"/>
      <c r="K188" s="566"/>
      <c r="L188" s="567">
        <f t="shared" ca="1" si="137"/>
        <v>234500</v>
      </c>
      <c r="M188" s="568">
        <f t="shared" ca="1" si="137"/>
        <v>245900</v>
      </c>
      <c r="N188" s="568">
        <f t="shared" ca="1" si="137"/>
        <v>119220.4</v>
      </c>
      <c r="O188" s="568">
        <f t="shared" ca="1" si="132"/>
        <v>50.840255863539447</v>
      </c>
      <c r="P188" s="568">
        <f t="shared" ca="1" si="133"/>
        <v>48.483285888572588</v>
      </c>
      <c r="Q188" s="568">
        <f t="shared" ca="1" si="138"/>
        <v>250800</v>
      </c>
      <c r="R188" s="568">
        <f t="shared" ca="1" si="138"/>
        <v>250800</v>
      </c>
      <c r="S188" s="568">
        <f t="shared" ca="1" si="138"/>
        <v>255190</v>
      </c>
      <c r="T188" s="568">
        <f t="shared" ca="1" si="135"/>
        <v>101.75039872408293</v>
      </c>
      <c r="U188" s="568">
        <f t="shared" ca="1" si="136"/>
        <v>101.75039872408293</v>
      </c>
    </row>
    <row r="189" spans="1:21" ht="18.75" x14ac:dyDescent="0.25">
      <c r="A189" s="674"/>
      <c r="B189" s="561"/>
      <c r="C189" s="561"/>
      <c r="D189" s="562" t="s">
        <v>22</v>
      </c>
      <c r="E189" s="561"/>
      <c r="F189" s="561"/>
      <c r="G189" s="563"/>
      <c r="H189" s="682" t="s">
        <v>14</v>
      </c>
      <c r="I189" s="683"/>
      <c r="J189" s="683"/>
      <c r="K189" s="684"/>
      <c r="L189" s="567">
        <f t="shared" ref="L189:N189" ca="1" si="139">L190+L191</f>
        <v>234500</v>
      </c>
      <c r="M189" s="568">
        <f t="shared" ca="1" si="139"/>
        <v>245900</v>
      </c>
      <c r="N189" s="568">
        <f t="shared" ca="1" si="139"/>
        <v>119220.4</v>
      </c>
      <c r="O189" s="568">
        <f t="shared" ca="1" si="132"/>
        <v>50.840255863539447</v>
      </c>
      <c r="P189" s="568">
        <f t="shared" ca="1" si="133"/>
        <v>48.483285888572588</v>
      </c>
      <c r="Q189" s="568">
        <f t="shared" ref="Q189:S189" ca="1" si="140">Q190+Q191</f>
        <v>250800</v>
      </c>
      <c r="R189" s="568">
        <f t="shared" ca="1" si="140"/>
        <v>250800</v>
      </c>
      <c r="S189" s="568">
        <f t="shared" ca="1" si="140"/>
        <v>255190</v>
      </c>
      <c r="T189" s="568">
        <f t="shared" ca="1" si="135"/>
        <v>101.75039872408293</v>
      </c>
      <c r="U189" s="568">
        <f t="shared" ca="1" si="136"/>
        <v>101.75039872408293</v>
      </c>
    </row>
    <row r="190" spans="1:21" ht="18.75" x14ac:dyDescent="0.25">
      <c r="A190" s="674"/>
      <c r="B190" s="561"/>
      <c r="C190" s="561"/>
      <c r="D190" s="561"/>
      <c r="E190" s="569" t="s">
        <v>36</v>
      </c>
      <c r="F190" s="561"/>
      <c r="G190" s="563"/>
      <c r="H190" s="685" t="s">
        <v>14</v>
      </c>
      <c r="I190" s="683"/>
      <c r="J190" s="683"/>
      <c r="K190" s="684"/>
      <c r="L190" s="571">
        <v>0</v>
      </c>
      <c r="M190" s="572">
        <v>0</v>
      </c>
      <c r="N190" s="572">
        <v>0</v>
      </c>
      <c r="O190" s="572">
        <f t="shared" si="132"/>
        <v>0</v>
      </c>
      <c r="P190" s="572">
        <f t="shared" si="133"/>
        <v>0</v>
      </c>
      <c r="Q190" s="572">
        <v>0</v>
      </c>
      <c r="R190" s="572">
        <v>0</v>
      </c>
      <c r="S190" s="572">
        <v>0</v>
      </c>
      <c r="T190" s="572">
        <f t="shared" si="135"/>
        <v>0</v>
      </c>
      <c r="U190" s="572">
        <f t="shared" si="136"/>
        <v>0</v>
      </c>
    </row>
    <row r="191" spans="1:21" ht="18.75" x14ac:dyDescent="0.25">
      <c r="A191" s="674"/>
      <c r="B191" s="561"/>
      <c r="C191" s="561"/>
      <c r="D191" s="561"/>
      <c r="E191" s="573" t="s">
        <v>37</v>
      </c>
      <c r="F191" s="561"/>
      <c r="G191" s="563"/>
      <c r="H191" s="682" t="s">
        <v>14</v>
      </c>
      <c r="I191" s="683"/>
      <c r="J191" s="683"/>
      <c r="K191" s="684"/>
      <c r="L191" s="567">
        <f ca="1">IFERROR(__xludf.DUMMYFUNCTION("IMPORTRANGE(""https://docs.google.com/spreadsheets/d/1-uDff_7J0KD5mKrp0Vvzr7lt3OU09vwQwhkpOPPYv2Y/edit?usp=sharing"",""งบพรบ!CU20"")"),234500)</f>
        <v>234500</v>
      </c>
      <c r="M191" s="568">
        <f ca="1">IFERROR(__xludf.DUMMYFUNCTION("IMPORTRANGE(""https://docs.google.com/spreadsheets/d/1-uDff_7J0KD5mKrp0Vvzr7lt3OU09vwQwhkpOPPYv2Y/edit?usp=sharing"",""งบพรบ!CZ20"")"),245900)</f>
        <v>245900</v>
      </c>
      <c r="N191" s="568">
        <f ca="1">IFERROR(__xludf.DUMMYFUNCTION("IMPORTRANGE(""https://docs.google.com/spreadsheets/d/1-uDff_7J0KD5mKrp0Vvzr7lt3OU09vwQwhkpOPPYv2Y/edit?usp=sharing"",""งบพรบ!DB20"")"),119220.4)</f>
        <v>119220.4</v>
      </c>
      <c r="O191" s="568">
        <f t="shared" ca="1" si="132"/>
        <v>50.840255863539447</v>
      </c>
      <c r="P191" s="568">
        <f t="shared" ca="1" si="133"/>
        <v>48.483285888572588</v>
      </c>
      <c r="Q191" s="568">
        <f ca="1">IFERROR(__xludf.DUMMYFUNCTION("IMPORTRANGE(""https://docs.google.com/spreadsheets/d/1ItG2mGa2ceCfYo0BwxsXqNm01IGEUdYcSSLTEv9YCik/edit?usp=sharing"",""เบิกจ่ายกองทุน!BQ20"")"),250800)</f>
        <v>250800</v>
      </c>
      <c r="R191" s="568">
        <f ca="1">IFERROR(__xludf.DUMMYFUNCTION("IMPORTRANGE(""https://docs.google.com/spreadsheets/d/1ItG2mGa2ceCfYo0BwxsXqNm01IGEUdYcSSLTEv9YCik/edit?usp=sharing"",""เบิกจ่ายกองทุน!BR20"")"),250800)</f>
        <v>250800</v>
      </c>
      <c r="S191" s="568">
        <f ca="1">IFERROR(__xludf.DUMMYFUNCTION("IMPORTRANGE(""https://docs.google.com/spreadsheets/d/1ItG2mGa2ceCfYo0BwxsXqNm01IGEUdYcSSLTEv9YCik/edit?usp=sharing"",""เบิกจ่ายกองทุน!BS20"")"),255190)</f>
        <v>255190</v>
      </c>
      <c r="T191" s="568">
        <f t="shared" ca="1" si="135"/>
        <v>101.75039872408293</v>
      </c>
      <c r="U191" s="568">
        <f t="shared" ca="1" si="136"/>
        <v>101.75039872408293</v>
      </c>
    </row>
    <row r="192" spans="1:21" ht="18.75" x14ac:dyDescent="0.25">
      <c r="A192" s="674"/>
      <c r="B192" s="561"/>
      <c r="C192" s="561"/>
      <c r="D192" s="562" t="s">
        <v>23</v>
      </c>
      <c r="E192" s="561"/>
      <c r="F192" s="561"/>
      <c r="G192" s="563"/>
      <c r="H192" s="686" t="s">
        <v>14</v>
      </c>
      <c r="I192" s="683"/>
      <c r="J192" s="683"/>
      <c r="K192" s="684"/>
      <c r="L192" s="567">
        <f t="shared" ref="L192:N192" ca="1" si="141">L193+L194</f>
        <v>0</v>
      </c>
      <c r="M192" s="568">
        <f t="shared" ca="1" si="141"/>
        <v>0</v>
      </c>
      <c r="N192" s="568">
        <f t="shared" ca="1" si="141"/>
        <v>0</v>
      </c>
      <c r="O192" s="568">
        <f t="shared" ca="1" si="132"/>
        <v>0</v>
      </c>
      <c r="P192" s="568">
        <f t="shared" ca="1" si="133"/>
        <v>0</v>
      </c>
      <c r="Q192" s="568">
        <f t="shared" ref="Q192:S192" ca="1" si="142">Q193+Q194</f>
        <v>0</v>
      </c>
      <c r="R192" s="568">
        <f t="shared" ca="1" si="142"/>
        <v>0</v>
      </c>
      <c r="S192" s="568">
        <f t="shared" ca="1" si="142"/>
        <v>0</v>
      </c>
      <c r="T192" s="568">
        <f t="shared" ca="1" si="135"/>
        <v>0</v>
      </c>
      <c r="U192" s="568">
        <f t="shared" ca="1" si="136"/>
        <v>0</v>
      </c>
    </row>
    <row r="193" spans="1:21" ht="18.75" x14ac:dyDescent="0.25">
      <c r="A193" s="674"/>
      <c r="B193" s="561"/>
      <c r="C193" s="561"/>
      <c r="D193" s="561"/>
      <c r="E193" s="569" t="s">
        <v>20</v>
      </c>
      <c r="F193" s="561"/>
      <c r="G193" s="563"/>
      <c r="H193" s="685" t="s">
        <v>14</v>
      </c>
      <c r="I193" s="683"/>
      <c r="J193" s="683"/>
      <c r="K193" s="684"/>
      <c r="L193" s="571">
        <v>0</v>
      </c>
      <c r="M193" s="572">
        <v>0</v>
      </c>
      <c r="N193" s="572">
        <v>0</v>
      </c>
      <c r="O193" s="572">
        <f t="shared" si="132"/>
        <v>0</v>
      </c>
      <c r="P193" s="572">
        <f t="shared" si="133"/>
        <v>0</v>
      </c>
      <c r="Q193" s="572">
        <v>0</v>
      </c>
      <c r="R193" s="572">
        <v>0</v>
      </c>
      <c r="S193" s="572">
        <v>0</v>
      </c>
      <c r="T193" s="572">
        <f t="shared" si="135"/>
        <v>0</v>
      </c>
      <c r="U193" s="572">
        <f t="shared" si="136"/>
        <v>0</v>
      </c>
    </row>
    <row r="194" spans="1:21" ht="18.75" x14ac:dyDescent="0.25">
      <c r="A194" s="674"/>
      <c r="B194" s="561"/>
      <c r="C194" s="561"/>
      <c r="D194" s="561"/>
      <c r="E194" s="573" t="s">
        <v>21</v>
      </c>
      <c r="F194" s="561"/>
      <c r="G194" s="563"/>
      <c r="H194" s="686" t="s">
        <v>14</v>
      </c>
      <c r="I194" s="683"/>
      <c r="J194" s="683"/>
      <c r="K194" s="684"/>
      <c r="L194" s="567">
        <f ca="1">IFERROR(__xludf.DUMMYFUNCTION("IMPORTRANGE(""https://docs.google.com/spreadsheets/d/1-uDff_7J0KD5mKrp0Vvzr7lt3OU09vwQwhkpOPPYv2Y/edit?usp=sharing"",""งบพรบ!CX20"")"),0)</f>
        <v>0</v>
      </c>
      <c r="M194" s="568">
        <f ca="1">IFERROR(__xludf.DUMMYFUNCTION("IMPORTRANGE(""https://docs.google.com/spreadsheets/d/1-uDff_7J0KD5mKrp0Vvzr7lt3OU09vwQwhkpOPPYv2Y/edit?usp=sharing"",""งบพรบ!DA20"")"),0)</f>
        <v>0</v>
      </c>
      <c r="N194" s="568">
        <f ca="1">IFERROR(__xludf.DUMMYFUNCTION("IMPORTRANGE(""https://docs.google.com/spreadsheets/d/1-uDff_7J0KD5mKrp0Vvzr7lt3OU09vwQwhkpOPPYv2Y/edit?usp=sharing"",""งบพรบ!DC20"")"),0)</f>
        <v>0</v>
      </c>
      <c r="O194" s="568">
        <f t="shared" ca="1" si="132"/>
        <v>0</v>
      </c>
      <c r="P194" s="568">
        <f t="shared" ca="1" si="133"/>
        <v>0</v>
      </c>
      <c r="Q194" s="568">
        <f ca="1">IFERROR(__xludf.DUMMYFUNCTION("IMPORTRANGE(""https://docs.google.com/spreadsheets/d/1ItG2mGa2ceCfYo0BwxsXqNm01IGEUdYcSSLTEv9YCik/edit?usp=sharing"",""เบิกจ่ายกองทุน!BT20"")"),0)</f>
        <v>0</v>
      </c>
      <c r="R194" s="568">
        <f ca="1">IFERROR(__xludf.DUMMYFUNCTION("IMPORTRANGE(""https://docs.google.com/spreadsheets/d/1ItG2mGa2ceCfYo0BwxsXqNm01IGEUdYcSSLTEv9YCik/edit?usp=sharing"",""เบิกจ่ายกองทุน!BU20"")"),0)</f>
        <v>0</v>
      </c>
      <c r="S194" s="568">
        <f ca="1">IFERROR(__xludf.DUMMYFUNCTION("IMPORTRANGE(""https://docs.google.com/spreadsheets/d/1ItG2mGa2ceCfYo0BwxsXqNm01IGEUdYcSSLTEv9YCik/edit?usp=sharing"",""เบิกจ่ายกองทุน!BV20"")"),0)</f>
        <v>0</v>
      </c>
      <c r="T194" s="568">
        <f t="shared" ca="1" si="135"/>
        <v>0</v>
      </c>
      <c r="U194" s="568">
        <f t="shared" ca="1" si="136"/>
        <v>0</v>
      </c>
    </row>
    <row r="195" spans="1:21" ht="19.5" x14ac:dyDescent="0.3">
      <c r="A195" s="769"/>
      <c r="B195" s="770"/>
      <c r="C195" s="771" t="s">
        <v>78</v>
      </c>
      <c r="D195" s="772"/>
      <c r="E195" s="772"/>
      <c r="F195" s="772"/>
      <c r="G195" s="773"/>
      <c r="H195" s="774" t="s">
        <v>79</v>
      </c>
      <c r="I195" s="775">
        <f t="shared" ref="I195:J195" ca="1" si="143">I198</f>
        <v>4</v>
      </c>
      <c r="J195" s="775">
        <f t="shared" si="143"/>
        <v>2</v>
      </c>
      <c r="K195" s="776">
        <f ca="1">IF(I195&gt;0,J195*100/I195,0)</f>
        <v>50</v>
      </c>
      <c r="L195" s="777"/>
      <c r="M195" s="778"/>
      <c r="N195" s="778"/>
      <c r="O195" s="778"/>
      <c r="P195" s="778"/>
      <c r="Q195" s="778"/>
      <c r="R195" s="778"/>
      <c r="S195" s="778"/>
      <c r="T195" s="778"/>
      <c r="U195" s="778"/>
    </row>
    <row r="196" spans="1:21" ht="19.5" x14ac:dyDescent="0.3">
      <c r="A196" s="674"/>
      <c r="B196" s="561"/>
      <c r="C196" s="675" t="s">
        <v>18</v>
      </c>
      <c r="D196" s="779" t="s">
        <v>19</v>
      </c>
      <c r="E196" s="561"/>
      <c r="F196" s="561"/>
      <c r="G196" s="563"/>
      <c r="H196" s="780" t="s">
        <v>14</v>
      </c>
      <c r="I196" s="565"/>
      <c r="J196" s="565"/>
      <c r="K196" s="566"/>
      <c r="L196" s="678">
        <f ca="1">IFERROR(__xludf.DUMMYFUNCTION("IMPORTRANGE(""https://docs.google.com/spreadsheets/d/1eHaY18a8A9IcSdp1K8H6x8fbOy06t2VsZHhMHf-1x7Y/edit?usp=sharing"",""แผน!AB20"")"),6000)</f>
        <v>6000</v>
      </c>
      <c r="M196" s="566"/>
      <c r="N196" s="781">
        <v>0</v>
      </c>
      <c r="O196" s="679">
        <f ca="1">IF(L196&gt;0,N196*100/L196,0)</f>
        <v>0</v>
      </c>
      <c r="P196" s="679">
        <f>IF(M196&gt;0,N196*100/M196,0)</f>
        <v>0</v>
      </c>
      <c r="Q196" s="566"/>
      <c r="R196" s="566"/>
      <c r="S196" s="566"/>
      <c r="T196" s="566"/>
      <c r="U196" s="566"/>
    </row>
    <row r="197" spans="1:21" ht="19.5" x14ac:dyDescent="0.3">
      <c r="A197" s="687"/>
      <c r="B197" s="688"/>
      <c r="C197" s="675" t="s">
        <v>18</v>
      </c>
      <c r="D197" s="689" t="s">
        <v>38</v>
      </c>
      <c r="E197" s="690"/>
      <c r="F197" s="690"/>
      <c r="G197" s="691"/>
      <c r="H197" s="692"/>
      <c r="I197" s="565"/>
      <c r="J197" s="565"/>
      <c r="K197" s="566"/>
      <c r="L197" s="574"/>
      <c r="M197" s="566"/>
      <c r="N197" s="566"/>
      <c r="O197" s="566"/>
      <c r="P197" s="566"/>
      <c r="Q197" s="566"/>
      <c r="R197" s="566"/>
      <c r="S197" s="566"/>
      <c r="T197" s="566"/>
      <c r="U197" s="566"/>
    </row>
    <row r="198" spans="1:21" ht="18.75" x14ac:dyDescent="0.25">
      <c r="A198" s="687"/>
      <c r="B198" s="688"/>
      <c r="C198" s="688"/>
      <c r="D198" s="699" t="s">
        <v>80</v>
      </c>
      <c r="E198" s="695"/>
      <c r="F198" s="695"/>
      <c r="G198" s="692"/>
      <c r="H198" s="700" t="s">
        <v>79</v>
      </c>
      <c r="I198" s="708">
        <f ca="1">IFERROR(__xludf.DUMMYFUNCTION("IMPORTRANGE(""https://docs.google.com/spreadsheets/d/1eHaY18a8A9IcSdp1K8H6x8fbOy06t2VsZHhMHf-1x7Y/edit?usp=sharing"",""แผน!AE20"")"),4)</f>
        <v>4</v>
      </c>
      <c r="J198" s="702">
        <v>2</v>
      </c>
      <c r="K198" s="568">
        <f ca="1">IF(I198&gt;0,J198*100/I198,0)</f>
        <v>50</v>
      </c>
      <c r="L198" s="574"/>
      <c r="M198" s="566"/>
      <c r="N198" s="566"/>
      <c r="O198" s="566"/>
      <c r="P198" s="566"/>
      <c r="Q198" s="566"/>
      <c r="R198" s="566"/>
      <c r="S198" s="566"/>
      <c r="T198" s="566"/>
      <c r="U198" s="566"/>
    </row>
    <row r="199" spans="1:21" ht="18.75" x14ac:dyDescent="0.25">
      <c r="A199" s="687"/>
      <c r="B199" s="688"/>
      <c r="C199" s="688"/>
      <c r="D199" s="699" t="s">
        <v>81</v>
      </c>
      <c r="E199" s="695"/>
      <c r="F199" s="695"/>
      <c r="G199" s="692"/>
      <c r="H199" s="766" t="s">
        <v>35</v>
      </c>
      <c r="I199" s="565"/>
      <c r="J199" s="708">
        <f>J200+J201</f>
        <v>50</v>
      </c>
      <c r="K199" s="566"/>
      <c r="L199" s="574"/>
      <c r="M199" s="566"/>
      <c r="N199" s="566"/>
      <c r="O199" s="566"/>
      <c r="P199" s="566"/>
      <c r="Q199" s="566"/>
      <c r="R199" s="566"/>
      <c r="S199" s="566"/>
      <c r="T199" s="566"/>
      <c r="U199" s="566"/>
    </row>
    <row r="200" spans="1:21" ht="18.75" x14ac:dyDescent="0.25">
      <c r="A200" s="687"/>
      <c r="B200" s="688"/>
      <c r="C200" s="688"/>
      <c r="D200" s="688"/>
      <c r="E200" s="699" t="s">
        <v>82</v>
      </c>
      <c r="F200" s="695"/>
      <c r="G200" s="692"/>
      <c r="H200" s="766" t="s">
        <v>35</v>
      </c>
      <c r="I200" s="565"/>
      <c r="J200" s="702">
        <v>50</v>
      </c>
      <c r="K200" s="566"/>
      <c r="L200" s="574"/>
      <c r="M200" s="566"/>
      <c r="N200" s="566"/>
      <c r="O200" s="566"/>
      <c r="P200" s="566"/>
      <c r="Q200" s="566"/>
      <c r="R200" s="566"/>
      <c r="S200" s="566"/>
      <c r="T200" s="566"/>
      <c r="U200" s="566"/>
    </row>
    <row r="201" spans="1:21" ht="18.75" x14ac:dyDescent="0.25">
      <c r="A201" s="687"/>
      <c r="B201" s="688"/>
      <c r="C201" s="688"/>
      <c r="D201" s="688"/>
      <c r="E201" s="699" t="s">
        <v>83</v>
      </c>
      <c r="F201" s="695"/>
      <c r="G201" s="692"/>
      <c r="H201" s="766" t="s">
        <v>35</v>
      </c>
      <c r="I201" s="565"/>
      <c r="J201" s="702">
        <v>0</v>
      </c>
      <c r="K201" s="566"/>
      <c r="L201" s="574"/>
      <c r="M201" s="566"/>
      <c r="N201" s="566"/>
      <c r="O201" s="566"/>
      <c r="P201" s="566"/>
      <c r="Q201" s="566"/>
      <c r="R201" s="566"/>
      <c r="S201" s="566"/>
      <c r="T201" s="566"/>
      <c r="U201" s="566"/>
    </row>
    <row r="202" spans="1:21" ht="19.5" x14ac:dyDescent="0.3">
      <c r="A202" s="769"/>
      <c r="B202" s="770"/>
      <c r="C202" s="771" t="s">
        <v>84</v>
      </c>
      <c r="D202" s="772"/>
      <c r="E202" s="772"/>
      <c r="F202" s="772"/>
      <c r="G202" s="773"/>
      <c r="H202" s="782" t="s">
        <v>85</v>
      </c>
      <c r="I202" s="775">
        <f t="shared" ref="I202:J202" ca="1" si="144">I209</f>
        <v>2</v>
      </c>
      <c r="J202" s="775">
        <f t="shared" si="144"/>
        <v>2</v>
      </c>
      <c r="K202" s="776">
        <f ca="1">IF(I202&gt;0,J202*100/I202,0)</f>
        <v>100</v>
      </c>
      <c r="L202" s="777"/>
      <c r="M202" s="778"/>
      <c r="N202" s="778"/>
      <c r="O202" s="778"/>
      <c r="P202" s="778"/>
      <c r="Q202" s="778"/>
      <c r="R202" s="778"/>
      <c r="S202" s="778"/>
      <c r="T202" s="778"/>
      <c r="U202" s="778"/>
    </row>
    <row r="203" spans="1:21" ht="19.5" x14ac:dyDescent="0.3">
      <c r="A203" s="674"/>
      <c r="B203" s="561"/>
      <c r="C203" s="675" t="s">
        <v>18</v>
      </c>
      <c r="D203" s="779" t="s">
        <v>19</v>
      </c>
      <c r="E203" s="561"/>
      <c r="F203" s="561"/>
      <c r="G203" s="563"/>
      <c r="H203" s="780" t="s">
        <v>14</v>
      </c>
      <c r="I203" s="683"/>
      <c r="J203" s="683"/>
      <c r="K203" s="684"/>
      <c r="L203" s="678">
        <f ca="1">L204+L205+L206+L207</f>
        <v>10000</v>
      </c>
      <c r="M203" s="566"/>
      <c r="N203" s="679">
        <f>N204+N205+N206+N207</f>
        <v>9260</v>
      </c>
      <c r="O203" s="679">
        <f ca="1">IF(L203&gt;0,N203*100/L203,0)</f>
        <v>92.6</v>
      </c>
      <c r="P203" s="679">
        <f>IF(M203&gt;0,N203*100/M203,0)</f>
        <v>0</v>
      </c>
      <c r="Q203" s="783">
        <f ca="1">Q204+Q205+Q206+Q207</f>
        <v>28000</v>
      </c>
      <c r="R203" s="784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 x14ac:dyDescent="0.25">
      <c r="A204" s="674"/>
      <c r="B204" s="718"/>
      <c r="C204" s="561"/>
      <c r="D204" s="788" t="s">
        <v>317</v>
      </c>
      <c r="E204" s="561"/>
      <c r="F204" s="561"/>
      <c r="G204" s="563"/>
      <c r="H204" s="682" t="s">
        <v>14</v>
      </c>
      <c r="I204" s="683"/>
      <c r="J204" s="683"/>
      <c r="K204" s="684"/>
      <c r="L204" s="567">
        <f ca="1">IFERROR(__xludf.DUMMYFUNCTION("IMPORTRANGE(""https://docs.google.com/spreadsheets/d/1eHaY18a8A9IcSdp1K8H6x8fbOy06t2VsZHhMHf-1x7Y/edit?usp=sharing"",""แผน!AG20"")"),2000)</f>
        <v>2000</v>
      </c>
      <c r="M204" s="566"/>
      <c r="N204" s="786">
        <v>1260</v>
      </c>
      <c r="O204" s="684"/>
      <c r="P204" s="566"/>
      <c r="Q204" s="567">
        <v>0</v>
      </c>
      <c r="R204" s="566"/>
      <c r="S204" s="568">
        <v>0</v>
      </c>
      <c r="T204" s="684"/>
      <c r="U204" s="566"/>
    </row>
    <row r="205" spans="1:21" ht="18.75" x14ac:dyDescent="0.25">
      <c r="A205" s="764"/>
      <c r="B205" s="718"/>
      <c r="C205" s="561"/>
      <c r="D205" s="573" t="s">
        <v>301</v>
      </c>
      <c r="E205" s="561"/>
      <c r="F205" s="561"/>
      <c r="G205" s="563"/>
      <c r="H205" s="564" t="s">
        <v>14</v>
      </c>
      <c r="I205" s="565"/>
      <c r="J205" s="565"/>
      <c r="K205" s="566"/>
      <c r="L205" s="567">
        <f ca="1">IFERROR(__xludf.DUMMYFUNCTION("IMPORTRANGE(""https://docs.google.com/spreadsheets/d/1eHaY18a8A9IcSdp1K8H6x8fbOy06t2VsZHhMHf-1x7Y/edit?usp=sharing"",""แผน!AH20"")"),0)</f>
        <v>0</v>
      </c>
      <c r="M205" s="566"/>
      <c r="N205" s="786">
        <v>0</v>
      </c>
      <c r="O205" s="684"/>
      <c r="P205" s="566"/>
      <c r="Q205" s="567">
        <v>0</v>
      </c>
      <c r="R205" s="566"/>
      <c r="S205" s="568">
        <v>0</v>
      </c>
      <c r="T205" s="684"/>
      <c r="U205" s="566"/>
    </row>
    <row r="206" spans="1:21" ht="18.75" x14ac:dyDescent="0.25">
      <c r="A206" s="764"/>
      <c r="B206" s="718"/>
      <c r="C206" s="561"/>
      <c r="D206" s="573" t="s">
        <v>88</v>
      </c>
      <c r="E206" s="561"/>
      <c r="F206" s="561"/>
      <c r="G206" s="563"/>
      <c r="H206" s="564" t="s">
        <v>14</v>
      </c>
      <c r="I206" s="565"/>
      <c r="J206" s="565"/>
      <c r="K206" s="566"/>
      <c r="L206" s="567">
        <f ca="1">IFERROR(__xludf.DUMMYFUNCTION("IMPORTRANGE(""https://docs.google.com/spreadsheets/d/1eHaY18a8A9IcSdp1K8H6x8fbOy06t2VsZHhMHf-1x7Y/edit?usp=sharing"",""แผน!AI20"")"),0)</f>
        <v>0</v>
      </c>
      <c r="M206" s="566"/>
      <c r="N206" s="786">
        <v>0</v>
      </c>
      <c r="O206" s="684"/>
      <c r="P206" s="566"/>
      <c r="Q206" s="567">
        <f ca="1">IFERROR(__xludf.DUMMYFUNCTION("IMPORTRANGE(""https://docs.google.com/spreadsheets/d/1eHaY18a8A9IcSdp1K8H6x8fbOy06t2VsZHhMHf-1x7Y/edit?usp=sharing"",""แผน!LV20"")"),28000)</f>
        <v>28000</v>
      </c>
      <c r="R206" s="566"/>
      <c r="S206" s="786">
        <v>0</v>
      </c>
      <c r="T206" s="684"/>
      <c r="U206" s="566"/>
    </row>
    <row r="207" spans="1:21" ht="18.75" x14ac:dyDescent="0.25">
      <c r="A207" s="764"/>
      <c r="B207" s="718"/>
      <c r="C207" s="561"/>
      <c r="D207" s="573" t="s">
        <v>89</v>
      </c>
      <c r="E207" s="561"/>
      <c r="F207" s="561"/>
      <c r="G207" s="563"/>
      <c r="H207" s="564" t="s">
        <v>14</v>
      </c>
      <c r="I207" s="565"/>
      <c r="J207" s="565"/>
      <c r="K207" s="566"/>
      <c r="L207" s="567">
        <f ca="1">IFERROR(__xludf.DUMMYFUNCTION("IMPORTRANGE(""https://docs.google.com/spreadsheets/d/1eHaY18a8A9IcSdp1K8H6x8fbOy06t2VsZHhMHf-1x7Y/edit?usp=sharing"",""แผน!AJ20"")"),8000)</f>
        <v>8000</v>
      </c>
      <c r="M207" s="566"/>
      <c r="N207" s="786">
        <v>8000</v>
      </c>
      <c r="O207" s="684"/>
      <c r="P207" s="566"/>
      <c r="Q207" s="567">
        <v>0</v>
      </c>
      <c r="R207" s="566"/>
      <c r="S207" s="568">
        <v>0</v>
      </c>
      <c r="T207" s="684"/>
      <c r="U207" s="566"/>
    </row>
    <row r="208" spans="1:21" ht="19.5" x14ac:dyDescent="0.3">
      <c r="A208" s="687"/>
      <c r="B208" s="688"/>
      <c r="C208" s="675" t="s">
        <v>18</v>
      </c>
      <c r="D208" s="689" t="s">
        <v>38</v>
      </c>
      <c r="E208" s="690"/>
      <c r="F208" s="690"/>
      <c r="G208" s="691"/>
      <c r="H208" s="692"/>
      <c r="I208" s="683"/>
      <c r="J208" s="683"/>
      <c r="K208" s="684"/>
      <c r="L208" s="693"/>
      <c r="M208" s="684"/>
      <c r="N208" s="684"/>
      <c r="O208" s="684"/>
      <c r="P208" s="684"/>
      <c r="Q208" s="693"/>
      <c r="R208" s="684"/>
      <c r="S208" s="684"/>
      <c r="T208" s="684"/>
      <c r="U208" s="684"/>
    </row>
    <row r="209" spans="1:21" ht="18.75" x14ac:dyDescent="0.25">
      <c r="A209" s="687"/>
      <c r="B209" s="688"/>
      <c r="C209" s="688"/>
      <c r="D209" s="694" t="s">
        <v>90</v>
      </c>
      <c r="E209" s="695"/>
      <c r="F209" s="695"/>
      <c r="G209" s="692"/>
      <c r="H209" s="787" t="s">
        <v>85</v>
      </c>
      <c r="I209" s="708">
        <f ca="1">IFERROR(__xludf.DUMMYFUNCTION("IMPORTRANGE(""https://docs.google.com/spreadsheets/d/1eHaY18a8A9IcSdp1K8H6x8fbOy06t2VsZHhMHf-1x7Y/edit?usp=sharing"",""แผน!AK20"")"),2)</f>
        <v>2</v>
      </c>
      <c r="J209" s="702">
        <v>2</v>
      </c>
      <c r="K209" s="703">
        <f ca="1">IF(I209&gt;0,J209*100/I209,0)</f>
        <v>100</v>
      </c>
      <c r="L209" s="574"/>
      <c r="M209" s="566"/>
      <c r="N209" s="566"/>
      <c r="O209" s="566"/>
      <c r="P209" s="566"/>
      <c r="Q209" s="574"/>
      <c r="R209" s="566"/>
      <c r="S209" s="566"/>
      <c r="T209" s="566"/>
      <c r="U209" s="566"/>
    </row>
    <row r="210" spans="1:21" ht="18.75" x14ac:dyDescent="0.25">
      <c r="A210" s="687"/>
      <c r="B210" s="688"/>
      <c r="C210" s="688"/>
      <c r="D210" s="699" t="s">
        <v>50</v>
      </c>
      <c r="E210" s="695"/>
      <c r="F210" s="695"/>
      <c r="G210" s="692"/>
      <c r="H210" s="692"/>
      <c r="I210" s="565"/>
      <c r="J210" s="565"/>
      <c r="K210" s="684"/>
      <c r="L210" s="574"/>
      <c r="M210" s="566"/>
      <c r="N210" s="566"/>
      <c r="O210" s="566"/>
      <c r="P210" s="566"/>
      <c r="Q210" s="574"/>
      <c r="R210" s="566"/>
      <c r="S210" s="566"/>
      <c r="T210" s="566"/>
      <c r="U210" s="566"/>
    </row>
    <row r="211" spans="1:21" ht="18.75" x14ac:dyDescent="0.25">
      <c r="A211" s="687"/>
      <c r="B211" s="688"/>
      <c r="C211" s="688"/>
      <c r="D211" s="695"/>
      <c r="E211" s="699" t="s">
        <v>91</v>
      </c>
      <c r="F211" s="695"/>
      <c r="G211" s="692"/>
      <c r="H211" s="787" t="s">
        <v>85</v>
      </c>
      <c r="I211" s="708">
        <f ca="1">IFERROR(__xludf.DUMMYFUNCTION("IMPORTRANGE(""https://docs.google.com/spreadsheets/d/1eHaY18a8A9IcSdp1K8H6x8fbOy06t2VsZHhMHf-1x7Y/edit?usp=sharing"",""แผน!JX20"")"),2)</f>
        <v>2</v>
      </c>
      <c r="J211" s="702">
        <v>2</v>
      </c>
      <c r="K211" s="703">
        <f t="shared" ref="K211:K213" ca="1" si="145">IF(I211&gt;0,J211*100/I211,0)</f>
        <v>100</v>
      </c>
      <c r="L211" s="574"/>
      <c r="M211" s="566"/>
      <c r="N211" s="566"/>
      <c r="O211" s="566"/>
      <c r="P211" s="566"/>
      <c r="Q211" s="574"/>
      <c r="R211" s="566"/>
      <c r="S211" s="566"/>
      <c r="T211" s="566"/>
      <c r="U211" s="566"/>
    </row>
    <row r="212" spans="1:21" ht="18.75" x14ac:dyDescent="0.25">
      <c r="A212" s="687"/>
      <c r="B212" s="688"/>
      <c r="C212" s="688"/>
      <c r="D212" s="695"/>
      <c r="E212" s="699" t="s">
        <v>92</v>
      </c>
      <c r="F212" s="695"/>
      <c r="G212" s="695"/>
      <c r="H212" s="700" t="s">
        <v>93</v>
      </c>
      <c r="I212" s="708">
        <f ca="1">IFERROR(__xludf.DUMMYFUNCTION("IMPORTRANGE(""https://docs.google.com/spreadsheets/d/1eHaY18a8A9IcSdp1K8H6x8fbOy06t2VsZHhMHf-1x7Y/edit?usp=sharing"",""แผน!JY20"")"),0)</f>
        <v>0</v>
      </c>
      <c r="J212" s="702">
        <v>0</v>
      </c>
      <c r="K212" s="703">
        <f t="shared" ca="1" si="145"/>
        <v>0</v>
      </c>
      <c r="L212" s="574"/>
      <c r="M212" s="566"/>
      <c r="N212" s="566"/>
      <c r="O212" s="566"/>
      <c r="P212" s="566"/>
      <c r="Q212" s="574"/>
      <c r="R212" s="566"/>
      <c r="S212" s="566"/>
      <c r="T212" s="566"/>
      <c r="U212" s="566"/>
    </row>
    <row r="213" spans="1:21" ht="19.5" x14ac:dyDescent="0.3">
      <c r="A213" s="769"/>
      <c r="B213" s="770"/>
      <c r="C213" s="771" t="s">
        <v>94</v>
      </c>
      <c r="D213" s="772"/>
      <c r="E213" s="772"/>
      <c r="F213" s="772"/>
      <c r="G213" s="773"/>
      <c r="H213" s="782" t="s">
        <v>85</v>
      </c>
      <c r="I213" s="775">
        <f t="shared" ref="I213:J213" ca="1" si="146">I220</f>
        <v>0</v>
      </c>
      <c r="J213" s="775">
        <f t="shared" si="146"/>
        <v>0</v>
      </c>
      <c r="K213" s="776">
        <f t="shared" ca="1" si="145"/>
        <v>0</v>
      </c>
      <c r="L213" s="777"/>
      <c r="M213" s="778"/>
      <c r="N213" s="778"/>
      <c r="O213" s="778"/>
      <c r="P213" s="778"/>
      <c r="Q213" s="777"/>
      <c r="R213" s="778"/>
      <c r="S213" s="778"/>
      <c r="T213" s="778"/>
      <c r="U213" s="778"/>
    </row>
    <row r="214" spans="1:21" ht="19.5" x14ac:dyDescent="0.3">
      <c r="A214" s="674"/>
      <c r="B214" s="561"/>
      <c r="C214" s="675" t="s">
        <v>18</v>
      </c>
      <c r="D214" s="779" t="s">
        <v>19</v>
      </c>
      <c r="E214" s="561"/>
      <c r="F214" s="561"/>
      <c r="G214" s="563"/>
      <c r="H214" s="780" t="s">
        <v>14</v>
      </c>
      <c r="I214" s="683"/>
      <c r="J214" s="683"/>
      <c r="K214" s="684"/>
      <c r="L214" s="678">
        <f ca="1">L215+L216+L217</f>
        <v>0</v>
      </c>
      <c r="M214" s="566"/>
      <c r="N214" s="679">
        <f>N215+N216+N217</f>
        <v>0</v>
      </c>
      <c r="O214" s="679">
        <f ca="1">IF(L214&gt;0,N214*100/L214,0)</f>
        <v>0</v>
      </c>
      <c r="P214" s="679">
        <f>IF(M214&gt;0,N214*100/M214,0)</f>
        <v>0</v>
      </c>
      <c r="Q214" s="678">
        <f ca="1">Q215+Q216+Q217</f>
        <v>0</v>
      </c>
      <c r="R214" s="566"/>
      <c r="S214" s="679">
        <f>S215+S216+S217</f>
        <v>229220</v>
      </c>
      <c r="T214" s="679">
        <f ca="1">IF(Q214&gt;0,S214*100/Q214,0)</f>
        <v>0</v>
      </c>
      <c r="U214" s="679">
        <f>IF(R214&gt;0,S214*100/R214,0)</f>
        <v>0</v>
      </c>
    </row>
    <row r="215" spans="1:21" ht="18.75" x14ac:dyDescent="0.25">
      <c r="A215" s="674"/>
      <c r="B215" s="718"/>
      <c r="C215" s="561"/>
      <c r="D215" s="573" t="s">
        <v>86</v>
      </c>
      <c r="E215" s="561"/>
      <c r="F215" s="561"/>
      <c r="G215" s="563"/>
      <c r="H215" s="682" t="s">
        <v>14</v>
      </c>
      <c r="I215" s="683"/>
      <c r="J215" s="683"/>
      <c r="K215" s="684"/>
      <c r="L215" s="567">
        <f ca="1">IFERROR(__xludf.DUMMYFUNCTION("IMPORTRANGE(""https://docs.google.com/spreadsheets/d/1eHaY18a8A9IcSdp1K8H6x8fbOy06t2VsZHhMHf-1x7Y/edit?usp=sharing"",""แผน!AM20"")"),0)</f>
        <v>0</v>
      </c>
      <c r="M215" s="566"/>
      <c r="N215" s="786">
        <v>0</v>
      </c>
      <c r="O215" s="684"/>
      <c r="P215" s="566"/>
      <c r="Q215" s="567">
        <v>0</v>
      </c>
      <c r="R215" s="566"/>
      <c r="S215" s="568">
        <v>0</v>
      </c>
      <c r="T215" s="684"/>
      <c r="U215" s="566"/>
    </row>
    <row r="216" spans="1:21" ht="18.75" x14ac:dyDescent="0.25">
      <c r="A216" s="764"/>
      <c r="B216" s="718"/>
      <c r="C216" s="718"/>
      <c r="D216" s="573" t="s">
        <v>95</v>
      </c>
      <c r="E216" s="561"/>
      <c r="F216" s="561"/>
      <c r="G216" s="563"/>
      <c r="H216" s="682" t="s">
        <v>14</v>
      </c>
      <c r="I216" s="565"/>
      <c r="J216" s="565"/>
      <c r="K216" s="566"/>
      <c r="L216" s="567">
        <f ca="1">IFERROR(__xludf.DUMMYFUNCTION("IMPORTRANGE(""https://docs.google.com/spreadsheets/d/1eHaY18a8A9IcSdp1K8H6x8fbOy06t2VsZHhMHf-1x7Y/edit?usp=sharing"",""แผน!AN20"")"),0)</f>
        <v>0</v>
      </c>
      <c r="M216" s="566"/>
      <c r="N216" s="786">
        <v>0</v>
      </c>
      <c r="O216" s="684"/>
      <c r="P216" s="566"/>
      <c r="Q216" s="567">
        <v>0</v>
      </c>
      <c r="R216" s="566"/>
      <c r="S216" s="568">
        <v>0</v>
      </c>
      <c r="T216" s="684"/>
      <c r="U216" s="566"/>
    </row>
    <row r="217" spans="1:21" ht="18.75" x14ac:dyDescent="0.25">
      <c r="A217" s="764"/>
      <c r="B217" s="718"/>
      <c r="C217" s="718"/>
      <c r="D217" s="573" t="s">
        <v>88</v>
      </c>
      <c r="E217" s="561"/>
      <c r="F217" s="561"/>
      <c r="G217" s="563"/>
      <c r="H217" s="682" t="s">
        <v>14</v>
      </c>
      <c r="I217" s="565"/>
      <c r="J217" s="565"/>
      <c r="K217" s="566"/>
      <c r="L217" s="567">
        <f ca="1">IFERROR(__xludf.DUMMYFUNCTION("IMPORTRANGE(""https://docs.google.com/spreadsheets/d/1eHaY18a8A9IcSdp1K8H6x8fbOy06t2VsZHhMHf-1x7Y/edit?usp=sharing"",""แผน!AO20"")"),0)</f>
        <v>0</v>
      </c>
      <c r="M217" s="566"/>
      <c r="N217" s="786">
        <v>0</v>
      </c>
      <c r="O217" s="684"/>
      <c r="P217" s="566"/>
      <c r="Q217" s="567">
        <f ca="1">IFERROR(__xludf.DUMMYFUNCTION("IMPORTRANGE(""https://docs.google.com/spreadsheets/d/1eHaY18a8A9IcSdp1K8H6x8fbOy06t2VsZHhMHf-1x7Y/edit?usp=sharing"",""แผน!LY20"")"),0)</f>
        <v>0</v>
      </c>
      <c r="R217" s="566"/>
      <c r="S217" s="786">
        <v>229220</v>
      </c>
      <c r="T217" s="684"/>
      <c r="U217" s="566"/>
    </row>
    <row r="218" spans="1:21" ht="19.5" x14ac:dyDescent="0.3">
      <c r="A218" s="687"/>
      <c r="B218" s="688"/>
      <c r="C218" s="719" t="s">
        <v>18</v>
      </c>
      <c r="D218" s="689" t="s">
        <v>38</v>
      </c>
      <c r="E218" s="690"/>
      <c r="F218" s="690"/>
      <c r="G218" s="691"/>
      <c r="H218" s="692"/>
      <c r="I218" s="683"/>
      <c r="J218" s="565"/>
      <c r="K218" s="566"/>
      <c r="L218" s="574"/>
      <c r="M218" s="566"/>
      <c r="N218" s="566"/>
      <c r="O218" s="684"/>
      <c r="P218" s="684"/>
      <c r="Q218" s="574"/>
      <c r="R218" s="566"/>
      <c r="S218" s="566"/>
      <c r="T218" s="684"/>
      <c r="U218" s="684"/>
    </row>
    <row r="219" spans="1:21" ht="18.75" x14ac:dyDescent="0.25">
      <c r="A219" s="687"/>
      <c r="B219" s="688"/>
      <c r="C219" s="688"/>
      <c r="D219" s="694" t="s">
        <v>96</v>
      </c>
      <c r="E219" s="695"/>
      <c r="F219" s="695"/>
      <c r="G219" s="692"/>
      <c r="H219" s="787" t="s">
        <v>85</v>
      </c>
      <c r="I219" s="708">
        <f ca="1">IFERROR(__xludf.DUMMYFUNCTION("IMPORTRANGE(""https://docs.google.com/spreadsheets/d/1eHaY18a8A9IcSdp1K8H6x8fbOy06t2VsZHhMHf-1x7Y/edit?usp=sharing"",""แผน!AP20"")"),0)</f>
        <v>0</v>
      </c>
      <c r="J219" s="702">
        <v>0</v>
      </c>
      <c r="K219" s="568">
        <f t="shared" ref="K219:K221" ca="1" si="147">IF(I219&gt;0,J219*100/I219,0)</f>
        <v>0</v>
      </c>
      <c r="L219" s="574"/>
      <c r="M219" s="566"/>
      <c r="N219" s="566"/>
      <c r="O219" s="566"/>
      <c r="P219" s="566"/>
      <c r="Q219" s="574"/>
      <c r="R219" s="566"/>
      <c r="S219" s="566"/>
      <c r="T219" s="566"/>
      <c r="U219" s="566"/>
    </row>
    <row r="220" spans="1:21" ht="18.75" x14ac:dyDescent="0.25">
      <c r="A220" s="687"/>
      <c r="B220" s="688"/>
      <c r="C220" s="688"/>
      <c r="D220" s="694" t="s">
        <v>97</v>
      </c>
      <c r="E220" s="695"/>
      <c r="F220" s="695"/>
      <c r="G220" s="692"/>
      <c r="H220" s="787" t="s">
        <v>85</v>
      </c>
      <c r="I220" s="708">
        <f ca="1">IFERROR(__xludf.DUMMYFUNCTION("IMPORTRANGE(""https://docs.google.com/spreadsheets/d/1eHaY18a8A9IcSdp1K8H6x8fbOy06t2VsZHhMHf-1x7Y/edit?usp=sharing"",""แผน!AP20"")"),0)</f>
        <v>0</v>
      </c>
      <c r="J220" s="702">
        <v>0</v>
      </c>
      <c r="K220" s="568">
        <f t="shared" ca="1" si="147"/>
        <v>0</v>
      </c>
      <c r="L220" s="574"/>
      <c r="M220" s="566"/>
      <c r="N220" s="566"/>
      <c r="O220" s="566"/>
      <c r="P220" s="566"/>
      <c r="Q220" s="574"/>
      <c r="R220" s="566"/>
      <c r="S220" s="566"/>
      <c r="T220" s="566"/>
      <c r="U220" s="566"/>
    </row>
    <row r="221" spans="1:21" ht="19.5" x14ac:dyDescent="0.3">
      <c r="A221" s="769"/>
      <c r="B221" s="770"/>
      <c r="C221" s="771" t="s">
        <v>98</v>
      </c>
      <c r="D221" s="772"/>
      <c r="E221" s="772"/>
      <c r="F221" s="772"/>
      <c r="G221" s="773"/>
      <c r="H221" s="774" t="s">
        <v>99</v>
      </c>
      <c r="I221" s="775">
        <f t="shared" ref="I221:J221" ca="1" si="148">I229</f>
        <v>20000</v>
      </c>
      <c r="J221" s="775">
        <f t="shared" si="148"/>
        <v>0</v>
      </c>
      <c r="K221" s="776">
        <f t="shared" ca="1" si="147"/>
        <v>0</v>
      </c>
      <c r="L221" s="777"/>
      <c r="M221" s="778"/>
      <c r="N221" s="778"/>
      <c r="O221" s="778"/>
      <c r="P221" s="778"/>
      <c r="Q221" s="778"/>
      <c r="R221" s="778"/>
      <c r="S221" s="778"/>
      <c r="T221" s="778"/>
      <c r="U221" s="778"/>
    </row>
    <row r="222" spans="1:21" ht="19.5" x14ac:dyDescent="0.3">
      <c r="A222" s="674"/>
      <c r="B222" s="561"/>
      <c r="C222" s="675" t="s">
        <v>18</v>
      </c>
      <c r="D222" s="779" t="s">
        <v>19</v>
      </c>
      <c r="E222" s="561"/>
      <c r="F222" s="561"/>
      <c r="G222" s="563"/>
      <c r="H222" s="780" t="s">
        <v>14</v>
      </c>
      <c r="I222" s="683"/>
      <c r="J222" s="683"/>
      <c r="K222" s="684"/>
      <c r="L222" s="678">
        <f ca="1">L223+L224+L225</f>
        <v>4500</v>
      </c>
      <c r="M222" s="566"/>
      <c r="N222" s="679">
        <f>N223+N224+N225</f>
        <v>0</v>
      </c>
      <c r="O222" s="679">
        <f ca="1">IF(L222&gt;0,N222*100/L222,0)</f>
        <v>0</v>
      </c>
      <c r="P222" s="679">
        <f>IF(M222&gt;0,N222*100/M222,0)</f>
        <v>0</v>
      </c>
      <c r="Q222" s="566"/>
      <c r="R222" s="566"/>
      <c r="S222" s="566"/>
      <c r="T222" s="566"/>
      <c r="U222" s="566"/>
    </row>
    <row r="223" spans="1:21" ht="18.75" x14ac:dyDescent="0.25">
      <c r="A223" s="674"/>
      <c r="B223" s="718"/>
      <c r="C223" s="561"/>
      <c r="D223" s="788" t="s">
        <v>302</v>
      </c>
      <c r="E223" s="561"/>
      <c r="F223" s="561"/>
      <c r="G223" s="563"/>
      <c r="H223" s="682" t="s">
        <v>14</v>
      </c>
      <c r="I223" s="683"/>
      <c r="J223" s="683"/>
      <c r="K223" s="684"/>
      <c r="L223" s="567">
        <f ca="1">IFERROR(__xludf.DUMMYFUNCTION("IMPORTRANGE(""https://docs.google.com/spreadsheets/d/1eHaY18a8A9IcSdp1K8H6x8fbOy06t2VsZHhMHf-1x7Y/edit?usp=sharing"",""แผน!AR20"")"),2500)</f>
        <v>2500</v>
      </c>
      <c r="M223" s="566"/>
      <c r="N223" s="786">
        <v>0</v>
      </c>
      <c r="O223" s="684"/>
      <c r="P223" s="566"/>
      <c r="Q223" s="566"/>
      <c r="R223" s="566"/>
      <c r="S223" s="566"/>
      <c r="T223" s="684"/>
      <c r="U223" s="566"/>
    </row>
    <row r="224" spans="1:21" ht="18.75" x14ac:dyDescent="0.25">
      <c r="A224" s="764"/>
      <c r="B224" s="718"/>
      <c r="C224" s="718"/>
      <c r="D224" s="573" t="s">
        <v>301</v>
      </c>
      <c r="E224" s="561"/>
      <c r="F224" s="561"/>
      <c r="G224" s="563"/>
      <c r="H224" s="682" t="s">
        <v>14</v>
      </c>
      <c r="I224" s="565"/>
      <c r="J224" s="565"/>
      <c r="K224" s="566"/>
      <c r="L224" s="567">
        <f ca="1">IFERROR(__xludf.DUMMYFUNCTION("IMPORTRANGE(""https://docs.google.com/spreadsheets/d/1eHaY18a8A9IcSdp1K8H6x8fbOy06t2VsZHhMHf-1x7Y/edit?usp=sharing"",""แผน!AS20"")"),2000)</f>
        <v>2000</v>
      </c>
      <c r="M224" s="566"/>
      <c r="N224" s="786">
        <v>0</v>
      </c>
      <c r="O224" s="684"/>
      <c r="P224" s="566"/>
      <c r="Q224" s="566"/>
      <c r="R224" s="566"/>
      <c r="S224" s="566"/>
      <c r="T224" s="684"/>
      <c r="U224" s="566"/>
    </row>
    <row r="225" spans="1:21" ht="18.75" x14ac:dyDescent="0.25">
      <c r="A225" s="764"/>
      <c r="B225" s="718"/>
      <c r="C225" s="718"/>
      <c r="D225" s="573" t="s">
        <v>88</v>
      </c>
      <c r="E225" s="561"/>
      <c r="F225" s="561"/>
      <c r="G225" s="563"/>
      <c r="H225" s="682" t="s">
        <v>14</v>
      </c>
      <c r="I225" s="565"/>
      <c r="J225" s="565"/>
      <c r="K225" s="566"/>
      <c r="L225" s="567">
        <f ca="1">IFERROR(__xludf.DUMMYFUNCTION("IMPORTRANGE(""https://docs.google.com/spreadsheets/d/1eHaY18a8A9IcSdp1K8H6x8fbOy06t2VsZHhMHf-1x7Y/edit?usp=sharing"",""แผน!AT20"")"),0)</f>
        <v>0</v>
      </c>
      <c r="M225" s="566"/>
      <c r="N225" s="786">
        <v>0</v>
      </c>
      <c r="O225" s="684"/>
      <c r="P225" s="566"/>
      <c r="Q225" s="566"/>
      <c r="R225" s="566"/>
      <c r="S225" s="566"/>
      <c r="T225" s="684"/>
      <c r="U225" s="566"/>
    </row>
    <row r="226" spans="1:21" ht="19.5" x14ac:dyDescent="0.3">
      <c r="A226" s="687"/>
      <c r="B226" s="688"/>
      <c r="C226" s="719" t="s">
        <v>18</v>
      </c>
      <c r="D226" s="689" t="s">
        <v>38</v>
      </c>
      <c r="E226" s="690"/>
      <c r="F226" s="690"/>
      <c r="G226" s="691"/>
      <c r="H226" s="692"/>
      <c r="I226" s="683"/>
      <c r="J226" s="683"/>
      <c r="K226" s="684"/>
      <c r="L226" s="693"/>
      <c r="M226" s="684"/>
      <c r="N226" s="684"/>
      <c r="O226" s="684"/>
      <c r="P226" s="684"/>
      <c r="Q226" s="684"/>
      <c r="R226" s="684"/>
      <c r="S226" s="684"/>
      <c r="T226" s="684"/>
      <c r="U226" s="684"/>
    </row>
    <row r="227" spans="1:21" ht="18.75" x14ac:dyDescent="0.25">
      <c r="A227" s="687"/>
      <c r="B227" s="688"/>
      <c r="C227" s="688"/>
      <c r="D227" s="573" t="s">
        <v>101</v>
      </c>
      <c r="E227" s="695"/>
      <c r="F227" s="695"/>
      <c r="G227" s="692"/>
      <c r="H227" s="692"/>
      <c r="I227" s="565"/>
      <c r="J227" s="565"/>
      <c r="K227" s="684"/>
      <c r="L227" s="693"/>
      <c r="M227" s="684"/>
      <c r="N227" s="684"/>
      <c r="O227" s="684"/>
      <c r="P227" s="684"/>
      <c r="Q227" s="684"/>
      <c r="R227" s="684"/>
      <c r="S227" s="684"/>
      <c r="T227" s="684"/>
      <c r="U227" s="684"/>
    </row>
    <row r="228" spans="1:21" ht="18.75" x14ac:dyDescent="0.25">
      <c r="A228" s="687"/>
      <c r="B228" s="688"/>
      <c r="C228" s="688"/>
      <c r="D228" s="688"/>
      <c r="E228" s="694" t="s">
        <v>102</v>
      </c>
      <c r="F228" s="695"/>
      <c r="G228" s="692"/>
      <c r="H228" s="700" t="s">
        <v>99</v>
      </c>
      <c r="I228" s="708">
        <f ca="1">IFERROR(__xludf.DUMMYFUNCTION("IMPORTRANGE(""https://docs.google.com/spreadsheets/d/1eHaY18a8A9IcSdp1K8H6x8fbOy06t2VsZHhMHf-1x7Y/edit?usp=sharing"",""แผน!AV20"")"),20000)</f>
        <v>20000</v>
      </c>
      <c r="J228" s="702">
        <v>0</v>
      </c>
      <c r="K228" s="703">
        <f t="shared" ref="K228:K231" ca="1" si="149">IF(I228&gt;0,J228*100/I228,0)</f>
        <v>0</v>
      </c>
      <c r="L228" s="693"/>
      <c r="M228" s="684"/>
      <c r="N228" s="684"/>
      <c r="O228" s="684"/>
      <c r="P228" s="684"/>
      <c r="Q228" s="684"/>
      <c r="R228" s="684"/>
      <c r="S228" s="684"/>
      <c r="T228" s="684"/>
      <c r="U228" s="684"/>
    </row>
    <row r="229" spans="1:21" ht="18.75" x14ac:dyDescent="0.25">
      <c r="A229" s="687"/>
      <c r="B229" s="688"/>
      <c r="C229" s="688"/>
      <c r="D229" s="688"/>
      <c r="E229" s="694" t="s">
        <v>103</v>
      </c>
      <c r="F229" s="695"/>
      <c r="G229" s="692"/>
      <c r="H229" s="700" t="s">
        <v>99</v>
      </c>
      <c r="I229" s="708">
        <f ca="1">IFERROR(__xludf.DUMMYFUNCTION("IMPORTRANGE(""https://docs.google.com/spreadsheets/d/1eHaY18a8A9IcSdp1K8H6x8fbOy06t2VsZHhMHf-1x7Y/edit?usp=sharing"",""แผน!AV20"")"),20000)</f>
        <v>20000</v>
      </c>
      <c r="J229" s="702">
        <v>0</v>
      </c>
      <c r="K229" s="703">
        <f t="shared" ca="1" si="149"/>
        <v>0</v>
      </c>
      <c r="L229" s="574"/>
      <c r="M229" s="566"/>
      <c r="N229" s="566"/>
      <c r="O229" s="566"/>
      <c r="P229" s="566"/>
      <c r="Q229" s="566"/>
      <c r="R229" s="566"/>
      <c r="S229" s="566"/>
      <c r="T229" s="566"/>
      <c r="U229" s="566"/>
    </row>
    <row r="230" spans="1:21" ht="18.75" x14ac:dyDescent="0.25">
      <c r="A230" s="687"/>
      <c r="B230" s="688"/>
      <c r="C230" s="688"/>
      <c r="D230" s="573" t="s">
        <v>104</v>
      </c>
      <c r="E230" s="695"/>
      <c r="F230" s="695"/>
      <c r="G230" s="692"/>
      <c r="H230" s="700" t="s">
        <v>35</v>
      </c>
      <c r="I230" s="708">
        <f ca="1">IFERROR(__xludf.DUMMYFUNCTION("IMPORTRANGE(""https://docs.google.com/spreadsheets/d/1eHaY18a8A9IcSdp1K8H6x8fbOy06t2VsZHhMHf-1x7Y/edit?usp=sharing"",""แผน!AU20"")"),0)</f>
        <v>0</v>
      </c>
      <c r="J230" s="702">
        <v>0</v>
      </c>
      <c r="K230" s="703">
        <f t="shared" ca="1" si="149"/>
        <v>0</v>
      </c>
      <c r="L230" s="574"/>
      <c r="M230" s="566"/>
      <c r="N230" s="566"/>
      <c r="O230" s="566"/>
      <c r="P230" s="566"/>
      <c r="Q230" s="566"/>
      <c r="R230" s="566"/>
      <c r="S230" s="566"/>
      <c r="T230" s="566"/>
      <c r="U230" s="566"/>
    </row>
    <row r="231" spans="1:21" s="1201" customFormat="1" ht="19.5" x14ac:dyDescent="0.3">
      <c r="A231" s="1240"/>
      <c r="B231" s="1158"/>
      <c r="C231" s="1159" t="s">
        <v>105</v>
      </c>
      <c r="D231" s="1160"/>
      <c r="E231" s="1160"/>
      <c r="F231" s="1160"/>
      <c r="G231" s="1161"/>
      <c r="H231" s="1162" t="s">
        <v>35</v>
      </c>
      <c r="I231" s="1163">
        <f t="shared" ref="I231:J231" ca="1" si="150">I242+I253</f>
        <v>40</v>
      </c>
      <c r="J231" s="1163">
        <f t="shared" si="150"/>
        <v>40</v>
      </c>
      <c r="K231" s="1164">
        <f t="shared" ca="1" si="149"/>
        <v>100</v>
      </c>
      <c r="L231" s="1165"/>
      <c r="M231" s="1166"/>
      <c r="N231" s="1166"/>
      <c r="O231" s="1166"/>
      <c r="P231" s="1166"/>
      <c r="Q231" s="1166"/>
      <c r="R231" s="1166"/>
      <c r="S231" s="1166"/>
      <c r="T231" s="1166"/>
      <c r="U231" s="1166"/>
    </row>
    <row r="232" spans="1:21" s="1201" customFormat="1" ht="19.5" x14ac:dyDescent="0.3">
      <c r="A232" s="1216"/>
      <c r="B232" s="1167"/>
      <c r="C232" s="1168" t="s">
        <v>18</v>
      </c>
      <c r="D232" s="1169" t="s">
        <v>19</v>
      </c>
      <c r="E232" s="1167"/>
      <c r="F232" s="1167"/>
      <c r="G232" s="1170"/>
      <c r="H232" s="1171" t="s">
        <v>14</v>
      </c>
      <c r="I232" s="1172"/>
      <c r="J232" s="1172"/>
      <c r="K232" s="1173"/>
      <c r="L232" s="1174">
        <f t="shared" ref="L232:L236" ca="1" si="151">L243+L254</f>
        <v>155000</v>
      </c>
      <c r="M232" s="1175"/>
      <c r="N232" s="1176">
        <f t="shared" ref="N232:N236" si="152">N243+N254</f>
        <v>94824.4</v>
      </c>
      <c r="O232" s="1175"/>
      <c r="P232" s="1175"/>
      <c r="Q232" s="1174"/>
      <c r="R232" s="1175"/>
      <c r="S232" s="1176"/>
      <c r="T232" s="1175"/>
      <c r="U232" s="1175"/>
    </row>
    <row r="233" spans="1:21" s="1201" customFormat="1" ht="18.75" x14ac:dyDescent="0.25">
      <c r="A233" s="1216"/>
      <c r="B233" s="1177"/>
      <c r="C233" s="1167"/>
      <c r="D233" s="1241" t="s">
        <v>317</v>
      </c>
      <c r="E233" s="1167"/>
      <c r="F233" s="1167"/>
      <c r="G233" s="1170"/>
      <c r="H233" s="1179" t="s">
        <v>14</v>
      </c>
      <c r="I233" s="1172"/>
      <c r="J233" s="1172"/>
      <c r="K233" s="1173"/>
      <c r="L233" s="1180">
        <f t="shared" ca="1" si="151"/>
        <v>11000</v>
      </c>
      <c r="M233" s="1175"/>
      <c r="N233" s="1181">
        <f t="shared" si="152"/>
        <v>3180</v>
      </c>
      <c r="O233" s="1175"/>
      <c r="P233" s="1175"/>
      <c r="Q233" s="1180">
        <v>0</v>
      </c>
      <c r="R233" s="1175">
        <v>0</v>
      </c>
      <c r="S233" s="1181">
        <v>0</v>
      </c>
      <c r="T233" s="1175"/>
      <c r="U233" s="1175"/>
    </row>
    <row r="234" spans="1:21" s="1201" customFormat="1" ht="18.75" x14ac:dyDescent="0.25">
      <c r="A234" s="1242"/>
      <c r="B234" s="1177"/>
      <c r="C234" s="1177"/>
      <c r="D234" s="1178" t="s">
        <v>87</v>
      </c>
      <c r="E234" s="1167"/>
      <c r="F234" s="1167"/>
      <c r="G234" s="1170"/>
      <c r="H234" s="1179" t="s">
        <v>14</v>
      </c>
      <c r="I234" s="1182"/>
      <c r="J234" s="1182"/>
      <c r="K234" s="1175"/>
      <c r="L234" s="1180">
        <f t="shared" ca="1" si="151"/>
        <v>91000</v>
      </c>
      <c r="M234" s="1175"/>
      <c r="N234" s="1181">
        <f t="shared" si="152"/>
        <v>62830</v>
      </c>
      <c r="O234" s="1175"/>
      <c r="P234" s="1175"/>
      <c r="Q234" s="1180">
        <v>0</v>
      </c>
      <c r="R234" s="1175">
        <v>0</v>
      </c>
      <c r="S234" s="1181">
        <v>0</v>
      </c>
      <c r="T234" s="1175"/>
      <c r="U234" s="1175"/>
    </row>
    <row r="235" spans="1:21" s="1201" customFormat="1" ht="18.75" x14ac:dyDescent="0.25">
      <c r="A235" s="1242"/>
      <c r="B235" s="1177"/>
      <c r="C235" s="1177"/>
      <c r="D235" s="1178" t="s">
        <v>88</v>
      </c>
      <c r="E235" s="1167"/>
      <c r="F235" s="1167"/>
      <c r="G235" s="1170"/>
      <c r="H235" s="1179" t="s">
        <v>14</v>
      </c>
      <c r="I235" s="1182"/>
      <c r="J235" s="1182"/>
      <c r="K235" s="1175"/>
      <c r="L235" s="1180">
        <f t="shared" ca="1" si="151"/>
        <v>0</v>
      </c>
      <c r="M235" s="1175"/>
      <c r="N235" s="1181">
        <f t="shared" si="152"/>
        <v>0</v>
      </c>
      <c r="O235" s="1175"/>
      <c r="P235" s="1175"/>
      <c r="Q235" s="1180">
        <v>0</v>
      </c>
      <c r="R235" s="1175">
        <v>0</v>
      </c>
      <c r="S235" s="1181">
        <v>0</v>
      </c>
      <c r="T235" s="1175"/>
      <c r="U235" s="1175"/>
    </row>
    <row r="236" spans="1:21" s="1201" customFormat="1" ht="18.75" x14ac:dyDescent="0.25">
      <c r="A236" s="1242"/>
      <c r="B236" s="1177"/>
      <c r="C236" s="1177"/>
      <c r="D236" s="1178" t="s">
        <v>89</v>
      </c>
      <c r="E236" s="1167"/>
      <c r="F236" s="1167"/>
      <c r="G236" s="1170"/>
      <c r="H236" s="1179" t="s">
        <v>14</v>
      </c>
      <c r="I236" s="1182"/>
      <c r="J236" s="1182"/>
      <c r="K236" s="1175"/>
      <c r="L236" s="1180">
        <f t="shared" ca="1" si="151"/>
        <v>53000</v>
      </c>
      <c r="M236" s="1175"/>
      <c r="N236" s="1181">
        <f t="shared" si="152"/>
        <v>28814.400000000001</v>
      </c>
      <c r="O236" s="1175"/>
      <c r="P236" s="1175"/>
      <c r="Q236" s="1180">
        <v>0</v>
      </c>
      <c r="R236" s="1175">
        <v>0</v>
      </c>
      <c r="S236" s="1181">
        <v>0</v>
      </c>
      <c r="T236" s="1175"/>
      <c r="U236" s="1175"/>
    </row>
    <row r="237" spans="1:21" s="1201" customFormat="1" ht="19.5" x14ac:dyDescent="0.3">
      <c r="A237" s="1221"/>
      <c r="B237" s="1183"/>
      <c r="C237" s="1184" t="s">
        <v>18</v>
      </c>
      <c r="D237" s="1185" t="s">
        <v>38</v>
      </c>
      <c r="E237" s="1186"/>
      <c r="F237" s="1186"/>
      <c r="G237" s="1187"/>
      <c r="H237" s="624"/>
      <c r="I237" s="1172"/>
      <c r="J237" s="1182"/>
      <c r="K237" s="1175"/>
      <c r="L237" s="1188"/>
      <c r="M237" s="1175"/>
      <c r="N237" s="1175"/>
      <c r="O237" s="1173"/>
      <c r="P237" s="1173"/>
      <c r="Q237" s="1175"/>
      <c r="R237" s="1175"/>
      <c r="S237" s="1175"/>
      <c r="T237" s="1173"/>
      <c r="U237" s="1173"/>
    </row>
    <row r="238" spans="1:21" s="1201" customFormat="1" ht="18.75" x14ac:dyDescent="0.25">
      <c r="A238" s="1221"/>
      <c r="B238" s="1183"/>
      <c r="C238" s="1183"/>
      <c r="D238" s="1189" t="s">
        <v>108</v>
      </c>
      <c r="E238" s="623"/>
      <c r="F238" s="623"/>
      <c r="G238" s="624"/>
      <c r="H238" s="1190" t="s">
        <v>35</v>
      </c>
      <c r="I238" s="1191">
        <f t="shared" ref="I238:J238" ca="1" si="153">I249+I260</f>
        <v>40</v>
      </c>
      <c r="J238" s="1191">
        <f t="shared" si="153"/>
        <v>40</v>
      </c>
      <c r="K238" s="1181">
        <f ca="1">IF(I238&gt;0,J238*100/I238,0)</f>
        <v>100</v>
      </c>
      <c r="L238" s="1188"/>
      <c r="M238" s="1175"/>
      <c r="N238" s="1175"/>
      <c r="O238" s="1175"/>
      <c r="P238" s="1175"/>
      <c r="Q238" s="1175"/>
      <c r="R238" s="1175"/>
      <c r="S238" s="1175"/>
      <c r="T238" s="1175"/>
      <c r="U238" s="1175"/>
    </row>
    <row r="239" spans="1:21" s="1201" customFormat="1" ht="18.75" x14ac:dyDescent="0.25">
      <c r="A239" s="1221"/>
      <c r="B239" s="1183"/>
      <c r="C239" s="1183"/>
      <c r="D239" s="1192" t="s">
        <v>43</v>
      </c>
      <c r="E239" s="623"/>
      <c r="F239" s="623"/>
      <c r="G239" s="624"/>
      <c r="H239" s="624"/>
      <c r="I239" s="1182"/>
      <c r="J239" s="1182"/>
      <c r="K239" s="1175"/>
      <c r="L239" s="1188"/>
      <c r="M239" s="1175"/>
      <c r="N239" s="1175"/>
      <c r="O239" s="1173"/>
      <c r="P239" s="1173"/>
      <c r="Q239" s="1175"/>
      <c r="R239" s="1175"/>
      <c r="S239" s="1175"/>
      <c r="T239" s="1173"/>
      <c r="U239" s="1173"/>
    </row>
    <row r="240" spans="1:21" s="1201" customFormat="1" ht="18.75" x14ac:dyDescent="0.25">
      <c r="A240" s="1221"/>
      <c r="B240" s="1183"/>
      <c r="C240" s="1183"/>
      <c r="D240" s="1183"/>
      <c r="E240" s="1193" t="s">
        <v>109</v>
      </c>
      <c r="F240" s="623"/>
      <c r="G240" s="624"/>
      <c r="H240" s="1190" t="s">
        <v>35</v>
      </c>
      <c r="I240" s="1191">
        <f t="shared" ref="I240:J241" ca="1" si="154">I251+I262</f>
        <v>40</v>
      </c>
      <c r="J240" s="1191">
        <f t="shared" si="154"/>
        <v>40</v>
      </c>
      <c r="K240" s="1181">
        <f t="shared" ref="K240:K242" ca="1" si="155">IF(I240&gt;0,J240*100/I240,0)</f>
        <v>100</v>
      </c>
      <c r="L240" s="1188"/>
      <c r="M240" s="1175"/>
      <c r="N240" s="1175"/>
      <c r="O240" s="1175"/>
      <c r="P240" s="1175"/>
      <c r="Q240" s="1175"/>
      <c r="R240" s="1175"/>
      <c r="S240" s="1175"/>
      <c r="T240" s="1175"/>
      <c r="U240" s="1175"/>
    </row>
    <row r="241" spans="1:21" s="1201" customFormat="1" ht="18.75" x14ac:dyDescent="0.25">
      <c r="A241" s="1221"/>
      <c r="B241" s="1183"/>
      <c r="C241" s="1183"/>
      <c r="D241" s="1183"/>
      <c r="E241" s="1193" t="s">
        <v>110</v>
      </c>
      <c r="F241" s="623"/>
      <c r="G241" s="624"/>
      <c r="H241" s="1190" t="s">
        <v>61</v>
      </c>
      <c r="I241" s="1191">
        <f t="shared" ca="1" si="154"/>
        <v>1</v>
      </c>
      <c r="J241" s="1191">
        <f t="shared" si="154"/>
        <v>1</v>
      </c>
      <c r="K241" s="1181">
        <f t="shared" ca="1" si="155"/>
        <v>100</v>
      </c>
      <c r="L241" s="1188"/>
      <c r="M241" s="1175"/>
      <c r="N241" s="1175"/>
      <c r="O241" s="1175"/>
      <c r="P241" s="1175"/>
      <c r="Q241" s="1175"/>
      <c r="R241" s="1175"/>
      <c r="S241" s="1175"/>
      <c r="T241" s="1175"/>
      <c r="U241" s="1175"/>
    </row>
    <row r="242" spans="1:21" ht="19.5" x14ac:dyDescent="0.3">
      <c r="A242" s="1138"/>
      <c r="B242" s="1139"/>
      <c r="C242" s="1140" t="s">
        <v>326</v>
      </c>
      <c r="D242" s="1141"/>
      <c r="E242" s="1141"/>
      <c r="F242" s="1141"/>
      <c r="G242" s="1142"/>
      <c r="H242" s="1143" t="s">
        <v>35</v>
      </c>
      <c r="I242" s="1144">
        <f t="shared" ref="I242:J242" ca="1" si="156">I249</f>
        <v>40</v>
      </c>
      <c r="J242" s="1144">
        <f t="shared" si="156"/>
        <v>40</v>
      </c>
      <c r="K242" s="1145">
        <f t="shared" ca="1" si="155"/>
        <v>100</v>
      </c>
      <c r="L242" s="777"/>
      <c r="M242" s="778"/>
      <c r="N242" s="778"/>
      <c r="O242" s="778"/>
      <c r="P242" s="778"/>
      <c r="Q242" s="778"/>
      <c r="R242" s="778"/>
      <c r="S242" s="778"/>
      <c r="T242" s="778"/>
      <c r="U242" s="778"/>
    </row>
    <row r="243" spans="1:21" ht="19.5" x14ac:dyDescent="0.3">
      <c r="A243" s="823"/>
      <c r="B243" s="824"/>
      <c r="C243" s="825" t="s">
        <v>18</v>
      </c>
      <c r="D243" s="826" t="s">
        <v>19</v>
      </c>
      <c r="E243" s="824"/>
      <c r="F243" s="824"/>
      <c r="G243" s="827"/>
      <c r="H243" s="1146" t="s">
        <v>14</v>
      </c>
      <c r="I243" s="844"/>
      <c r="J243" s="844"/>
      <c r="K243" s="845"/>
      <c r="L243" s="678">
        <f ca="1">L244+L245+L246+L247</f>
        <v>155000</v>
      </c>
      <c r="M243" s="566"/>
      <c r="N243" s="679">
        <f>N244+N245+N246+N247</f>
        <v>94824.4</v>
      </c>
      <c r="O243" s="679">
        <f ca="1">IF(L243&gt;0,N243*100/L243,0)</f>
        <v>61.177032258064514</v>
      </c>
      <c r="P243" s="679">
        <f>IF(M243&gt;0,N243*100/M243,0)</f>
        <v>0</v>
      </c>
      <c r="Q243" s="783"/>
      <c r="R243" s="784"/>
      <c r="S243" s="785"/>
      <c r="T243" s="785"/>
      <c r="U243" s="785"/>
    </row>
    <row r="244" spans="1:21" ht="18.75" x14ac:dyDescent="0.25">
      <c r="A244" s="823"/>
      <c r="B244" s="957"/>
      <c r="C244" s="824"/>
      <c r="D244" s="788" t="s">
        <v>317</v>
      </c>
      <c r="E244" s="824"/>
      <c r="F244" s="824"/>
      <c r="G244" s="827"/>
      <c r="H244" s="843" t="s">
        <v>14</v>
      </c>
      <c r="I244" s="844"/>
      <c r="J244" s="844"/>
      <c r="K244" s="845"/>
      <c r="L244" s="567">
        <f ca="1">IFERROR(__xludf.DUMMYFUNCTION("IMPORTRANGE(""https://docs.google.com/spreadsheets/d/1eHaY18a8A9IcSdp1K8H6x8fbOy06t2VsZHhMHf-1x7Y/edit?usp=sharing"",""แผน!AX20"")"),11000)</f>
        <v>11000</v>
      </c>
      <c r="M244" s="566"/>
      <c r="N244" s="786">
        <v>3180</v>
      </c>
      <c r="O244" s="566"/>
      <c r="P244" s="566"/>
      <c r="Q244" s="567"/>
      <c r="R244" s="566"/>
      <c r="S244" s="568"/>
      <c r="T244" s="684"/>
      <c r="U244" s="566"/>
    </row>
    <row r="245" spans="1:21" ht="18.75" x14ac:dyDescent="0.25">
      <c r="A245" s="1147"/>
      <c r="B245" s="957"/>
      <c r="C245" s="957"/>
      <c r="D245" s="573" t="s">
        <v>301</v>
      </c>
      <c r="E245" s="824"/>
      <c r="F245" s="824"/>
      <c r="G245" s="827"/>
      <c r="H245" s="843" t="s">
        <v>14</v>
      </c>
      <c r="I245" s="829"/>
      <c r="J245" s="829"/>
      <c r="K245" s="830"/>
      <c r="L245" s="567">
        <f ca="1">IFERROR(__xludf.DUMMYFUNCTION("IMPORTRANGE(""https://docs.google.com/spreadsheets/d/1eHaY18a8A9IcSdp1K8H6x8fbOy06t2VsZHhMHf-1x7Y/edit?usp=sharing"",""แผน!AY20"")"),91000)</f>
        <v>91000</v>
      </c>
      <c r="M245" s="566"/>
      <c r="N245" s="786">
        <v>62830</v>
      </c>
      <c r="O245" s="566"/>
      <c r="P245" s="566"/>
      <c r="Q245" s="567"/>
      <c r="R245" s="566"/>
      <c r="S245" s="568"/>
      <c r="T245" s="684"/>
      <c r="U245" s="566"/>
    </row>
    <row r="246" spans="1:21" ht="18.75" x14ac:dyDescent="0.25">
      <c r="A246" s="1147"/>
      <c r="B246" s="957"/>
      <c r="C246" s="957"/>
      <c r="D246" s="573" t="s">
        <v>88</v>
      </c>
      <c r="E246" s="824"/>
      <c r="F246" s="824"/>
      <c r="G246" s="827"/>
      <c r="H246" s="843" t="s">
        <v>14</v>
      </c>
      <c r="I246" s="829"/>
      <c r="J246" s="829"/>
      <c r="K246" s="830"/>
      <c r="L246" s="567">
        <f ca="1">IFERROR(__xludf.DUMMYFUNCTION("IMPORTRANGE(""https://docs.google.com/spreadsheets/d/1eHaY18a8A9IcSdp1K8H6x8fbOy06t2VsZHhMHf-1x7Y/edit?usp=sharing"",""แผน!AZ20"")"),0)</f>
        <v>0</v>
      </c>
      <c r="M246" s="566"/>
      <c r="N246" s="786">
        <v>0</v>
      </c>
      <c r="O246" s="566"/>
      <c r="P246" s="566"/>
      <c r="Q246" s="567"/>
      <c r="R246" s="566"/>
      <c r="S246" s="786"/>
      <c r="T246" s="684"/>
      <c r="U246" s="566"/>
    </row>
    <row r="247" spans="1:21" ht="18.75" x14ac:dyDescent="0.25">
      <c r="A247" s="1147"/>
      <c r="B247" s="957"/>
      <c r="C247" s="957"/>
      <c r="D247" s="573" t="s">
        <v>89</v>
      </c>
      <c r="E247" s="824"/>
      <c r="F247" s="824"/>
      <c r="G247" s="827"/>
      <c r="H247" s="843" t="s">
        <v>14</v>
      </c>
      <c r="I247" s="829"/>
      <c r="J247" s="829"/>
      <c r="K247" s="830"/>
      <c r="L247" s="567">
        <f ca="1">IFERROR(__xludf.DUMMYFUNCTION("IMPORTRANGE(""https://docs.google.com/spreadsheets/d/1eHaY18a8A9IcSdp1K8H6x8fbOy06t2VsZHhMHf-1x7Y/edit?usp=sharing"",""แผน!BA20"")"),53000)</f>
        <v>53000</v>
      </c>
      <c r="M247" s="566"/>
      <c r="N247" s="786">
        <v>28814.400000000001</v>
      </c>
      <c r="O247" s="566"/>
      <c r="P247" s="566"/>
      <c r="Q247" s="567"/>
      <c r="R247" s="566"/>
      <c r="S247" s="568"/>
      <c r="T247" s="684"/>
      <c r="U247" s="566"/>
    </row>
    <row r="248" spans="1:21" ht="19.5" x14ac:dyDescent="0.3">
      <c r="A248" s="849"/>
      <c r="B248" s="850"/>
      <c r="C248" s="1148" t="s">
        <v>18</v>
      </c>
      <c r="D248" s="851" t="s">
        <v>38</v>
      </c>
      <c r="E248" s="816"/>
      <c r="F248" s="816"/>
      <c r="G248" s="817"/>
      <c r="H248" s="852"/>
      <c r="I248" s="844"/>
      <c r="J248" s="829"/>
      <c r="K248" s="830"/>
      <c r="L248" s="574"/>
      <c r="M248" s="566"/>
      <c r="N248" s="566"/>
      <c r="O248" s="684"/>
      <c r="P248" s="684"/>
      <c r="Q248" s="566"/>
      <c r="R248" s="566"/>
      <c r="S248" s="566"/>
      <c r="T248" s="684"/>
      <c r="U248" s="684"/>
    </row>
    <row r="249" spans="1:21" ht="18.75" x14ac:dyDescent="0.25">
      <c r="A249" s="849"/>
      <c r="B249" s="850"/>
      <c r="C249" s="850"/>
      <c r="D249" s="1109" t="s">
        <v>108</v>
      </c>
      <c r="E249" s="1107"/>
      <c r="F249" s="1107"/>
      <c r="G249" s="852"/>
      <c r="H249" s="1149" t="s">
        <v>35</v>
      </c>
      <c r="I249" s="960">
        <f ca="1">IFERROR(__xludf.DUMMYFUNCTION("IMPORTRANGE(""https://docs.google.com/spreadsheets/d/1eHaY18a8A9IcSdp1K8H6x8fbOy06t2VsZHhMHf-1x7Y/edit?usp=sharing"",""แผน!BG20"")"),40)</f>
        <v>40</v>
      </c>
      <c r="J249" s="1105">
        <v>40</v>
      </c>
      <c r="K249" s="841">
        <f ca="1">IF(I249&gt;0,J249*100/I249,0)</f>
        <v>100</v>
      </c>
      <c r="L249" s="574"/>
      <c r="M249" s="566"/>
      <c r="N249" s="566"/>
      <c r="O249" s="566"/>
      <c r="P249" s="566"/>
      <c r="Q249" s="566"/>
      <c r="R249" s="566"/>
      <c r="S249" s="566"/>
      <c r="T249" s="566"/>
      <c r="U249" s="566"/>
    </row>
    <row r="250" spans="1:21" ht="18.75" x14ac:dyDescent="0.25">
      <c r="A250" s="849"/>
      <c r="B250" s="850"/>
      <c r="C250" s="850"/>
      <c r="D250" s="1150" t="s">
        <v>43</v>
      </c>
      <c r="E250" s="1107"/>
      <c r="F250" s="1107"/>
      <c r="G250" s="852"/>
      <c r="H250" s="852"/>
      <c r="I250" s="829"/>
      <c r="J250" s="829"/>
      <c r="K250" s="830"/>
      <c r="L250" s="574"/>
      <c r="M250" s="566"/>
      <c r="N250" s="566"/>
      <c r="O250" s="684"/>
      <c r="P250" s="684"/>
      <c r="Q250" s="566"/>
      <c r="R250" s="566"/>
      <c r="S250" s="566"/>
      <c r="T250" s="684"/>
      <c r="U250" s="684"/>
    </row>
    <row r="251" spans="1:21" ht="18.75" x14ac:dyDescent="0.25">
      <c r="A251" s="849"/>
      <c r="B251" s="850"/>
      <c r="C251" s="850"/>
      <c r="D251" s="850"/>
      <c r="E251" s="944" t="s">
        <v>109</v>
      </c>
      <c r="F251" s="1107"/>
      <c r="G251" s="852"/>
      <c r="H251" s="1149" t="s">
        <v>35</v>
      </c>
      <c r="I251" s="960">
        <f ca="1">IFERROR(__xludf.DUMMYFUNCTION("IMPORTRANGE(""https://docs.google.com/spreadsheets/d/1eHaY18a8A9IcSdp1K8H6x8fbOy06t2VsZHhMHf-1x7Y/edit?usp=sharing"",""แผน!KP20"")"),40)</f>
        <v>40</v>
      </c>
      <c r="J251" s="1105">
        <v>40</v>
      </c>
      <c r="K251" s="841">
        <f t="shared" ref="K251:K253" ca="1" si="157">IF(I251&gt;0,J251*100/I251,0)</f>
        <v>100</v>
      </c>
      <c r="L251" s="574"/>
      <c r="M251" s="566"/>
      <c r="N251" s="566"/>
      <c r="O251" s="566"/>
      <c r="P251" s="566"/>
      <c r="Q251" s="566"/>
      <c r="R251" s="566"/>
      <c r="S251" s="566"/>
      <c r="T251" s="566"/>
      <c r="U251" s="566"/>
    </row>
    <row r="252" spans="1:21" ht="18.75" x14ac:dyDescent="0.25">
      <c r="A252" s="849"/>
      <c r="B252" s="850"/>
      <c r="C252" s="850"/>
      <c r="D252" s="850"/>
      <c r="E252" s="944" t="s">
        <v>110</v>
      </c>
      <c r="F252" s="1107"/>
      <c r="G252" s="852"/>
      <c r="H252" s="1149" t="s">
        <v>327</v>
      </c>
      <c r="I252" s="960">
        <f ca="1">IFERROR(__xludf.DUMMYFUNCTION("IMPORTRANGE(""https://docs.google.com/spreadsheets/d/1eHaY18a8A9IcSdp1K8H6x8fbOy06t2VsZHhMHf-1x7Y/edit?usp=sharing"",""แผน!KQ20"")"),1)</f>
        <v>1</v>
      </c>
      <c r="J252" s="1105">
        <v>1</v>
      </c>
      <c r="K252" s="841">
        <f t="shared" ca="1" si="157"/>
        <v>100</v>
      </c>
      <c r="L252" s="574"/>
      <c r="M252" s="566"/>
      <c r="N252" s="566"/>
      <c r="O252" s="566"/>
      <c r="P252" s="566"/>
      <c r="Q252" s="566"/>
      <c r="R252" s="566"/>
      <c r="S252" s="566"/>
      <c r="T252" s="566"/>
      <c r="U252" s="566"/>
    </row>
    <row r="253" spans="1:21" ht="19.5" hidden="1" x14ac:dyDescent="0.3">
      <c r="A253" s="769"/>
      <c r="B253" s="770"/>
      <c r="C253" s="793" t="s">
        <v>112</v>
      </c>
      <c r="D253" s="772"/>
      <c r="E253" s="772"/>
      <c r="F253" s="772"/>
      <c r="G253" s="773"/>
      <c r="H253" s="794" t="s">
        <v>35</v>
      </c>
      <c r="I253" s="795">
        <f t="shared" ref="I253:J253" ca="1" si="158">I260</f>
        <v>0</v>
      </c>
      <c r="J253" s="795">
        <f t="shared" si="158"/>
        <v>0</v>
      </c>
      <c r="K253" s="796">
        <f t="shared" ca="1" si="157"/>
        <v>0</v>
      </c>
      <c r="L253" s="777"/>
      <c r="M253" s="778"/>
      <c r="N253" s="778"/>
      <c r="O253" s="778"/>
      <c r="P253" s="778"/>
      <c r="Q253" s="778"/>
      <c r="R253" s="778"/>
      <c r="S253" s="778"/>
      <c r="T253" s="778"/>
      <c r="U253" s="778"/>
    </row>
    <row r="254" spans="1:21" ht="19.5" hidden="1" x14ac:dyDescent="0.3">
      <c r="A254" s="674"/>
      <c r="B254" s="561"/>
      <c r="C254" s="797" t="s">
        <v>18</v>
      </c>
      <c r="D254" s="805" t="s">
        <v>19</v>
      </c>
      <c r="E254" s="561"/>
      <c r="F254" s="561"/>
      <c r="G254" s="563"/>
      <c r="H254" s="799" t="s">
        <v>14</v>
      </c>
      <c r="I254" s="683"/>
      <c r="J254" s="683"/>
      <c r="K254" s="684"/>
      <c r="L254" s="678">
        <f ca="1">L255+L256+L257+L258</f>
        <v>0</v>
      </c>
      <c r="M254" s="566"/>
      <c r="N254" s="679">
        <f>N255+N256+N257+N258</f>
        <v>0</v>
      </c>
      <c r="O254" s="679">
        <f ca="1">IF(L254&gt;0,N254*100/L254,0)</f>
        <v>0</v>
      </c>
      <c r="P254" s="679">
        <f>IF(M254&gt;0,N254*100/M254,0)</f>
        <v>0</v>
      </c>
      <c r="Q254" s="566"/>
      <c r="R254" s="566"/>
      <c r="S254" s="566"/>
      <c r="T254" s="566"/>
      <c r="U254" s="566"/>
    </row>
    <row r="255" spans="1:21" ht="18.75" hidden="1" x14ac:dyDescent="0.25">
      <c r="A255" s="674"/>
      <c r="B255" s="718"/>
      <c r="C255" s="561"/>
      <c r="D255" s="788" t="s">
        <v>317</v>
      </c>
      <c r="E255" s="561"/>
      <c r="F255" s="561"/>
      <c r="G255" s="563"/>
      <c r="H255" s="685" t="s">
        <v>14</v>
      </c>
      <c r="I255" s="683"/>
      <c r="J255" s="683"/>
      <c r="K255" s="684"/>
      <c r="L255" s="567">
        <f ca="1">IFERROR(__xludf.DUMMYFUNCTION("IMPORTRANGE(""https://docs.google.com/spreadsheets/d/1eHaY18a8A9IcSdp1K8H6x8fbOy06t2VsZHhMHf-1x7Y/edit?usp=sharing"",""แผน!BB20"")"),0)</f>
        <v>0</v>
      </c>
      <c r="M255" s="566"/>
      <c r="N255" s="786">
        <v>0</v>
      </c>
      <c r="O255" s="566"/>
      <c r="P255" s="566"/>
      <c r="Q255" s="566"/>
      <c r="R255" s="566"/>
      <c r="S255" s="566"/>
      <c r="T255" s="566"/>
      <c r="U255" s="566"/>
    </row>
    <row r="256" spans="1:21" ht="18.75" hidden="1" x14ac:dyDescent="0.25">
      <c r="A256" s="764"/>
      <c r="B256" s="718"/>
      <c r="C256" s="718"/>
      <c r="D256" s="573" t="s">
        <v>87</v>
      </c>
      <c r="E256" s="561"/>
      <c r="F256" s="561"/>
      <c r="G256" s="563"/>
      <c r="H256" s="685" t="s">
        <v>14</v>
      </c>
      <c r="I256" s="565"/>
      <c r="J256" s="565"/>
      <c r="K256" s="566"/>
      <c r="L256" s="567">
        <f ca="1">IFERROR(__xludf.DUMMYFUNCTION("IMPORTRANGE(""https://docs.google.com/spreadsheets/d/1eHaY18a8A9IcSdp1K8H6x8fbOy06t2VsZHhMHf-1x7Y/edit?usp=sharing"",""แผน!BC20"")"),0)</f>
        <v>0</v>
      </c>
      <c r="M256" s="566"/>
      <c r="N256" s="786">
        <v>0</v>
      </c>
      <c r="O256" s="566"/>
      <c r="P256" s="566"/>
      <c r="Q256" s="566"/>
      <c r="R256" s="566"/>
      <c r="S256" s="566"/>
      <c r="T256" s="566"/>
      <c r="U256" s="566"/>
    </row>
    <row r="257" spans="1:21" ht="18.75" hidden="1" x14ac:dyDescent="0.25">
      <c r="A257" s="764"/>
      <c r="B257" s="718"/>
      <c r="C257" s="718"/>
      <c r="D257" s="573" t="s">
        <v>88</v>
      </c>
      <c r="E257" s="561"/>
      <c r="F257" s="561"/>
      <c r="G257" s="563"/>
      <c r="H257" s="685" t="s">
        <v>14</v>
      </c>
      <c r="I257" s="565"/>
      <c r="J257" s="565"/>
      <c r="K257" s="566"/>
      <c r="L257" s="567">
        <f ca="1">IFERROR(__xludf.DUMMYFUNCTION("IMPORTRANGE(""https://docs.google.com/spreadsheets/d/1eHaY18a8A9IcSdp1K8H6x8fbOy06t2VsZHhMHf-1x7Y/edit?usp=sharing"",""แผน!BD20"")"),0)</f>
        <v>0</v>
      </c>
      <c r="M257" s="566"/>
      <c r="N257" s="786">
        <v>0</v>
      </c>
      <c r="O257" s="566"/>
      <c r="P257" s="566"/>
      <c r="Q257" s="566"/>
      <c r="R257" s="566"/>
      <c r="S257" s="566"/>
      <c r="T257" s="566"/>
      <c r="U257" s="566"/>
    </row>
    <row r="258" spans="1:21" ht="18.75" hidden="1" x14ac:dyDescent="0.25">
      <c r="A258" s="764"/>
      <c r="B258" s="718"/>
      <c r="C258" s="718"/>
      <c r="D258" s="573" t="s">
        <v>89</v>
      </c>
      <c r="E258" s="561"/>
      <c r="F258" s="561"/>
      <c r="G258" s="563"/>
      <c r="H258" s="685" t="s">
        <v>14</v>
      </c>
      <c r="I258" s="565"/>
      <c r="J258" s="565"/>
      <c r="K258" s="566"/>
      <c r="L258" s="567">
        <f ca="1">IFERROR(__xludf.DUMMYFUNCTION("IMPORTRANGE(""https://docs.google.com/spreadsheets/d/1eHaY18a8A9IcSdp1K8H6x8fbOy06t2VsZHhMHf-1x7Y/edit?usp=sharing"",""แผน!BE20"")"),0)</f>
        <v>0</v>
      </c>
      <c r="M258" s="566"/>
      <c r="N258" s="786">
        <v>0</v>
      </c>
      <c r="O258" s="566"/>
      <c r="P258" s="566"/>
      <c r="Q258" s="566"/>
      <c r="R258" s="566"/>
      <c r="S258" s="566"/>
      <c r="T258" s="566"/>
      <c r="U258" s="566"/>
    </row>
    <row r="259" spans="1:21" ht="19.5" hidden="1" x14ac:dyDescent="0.3">
      <c r="A259" s="687"/>
      <c r="B259" s="688"/>
      <c r="C259" s="800" t="s">
        <v>18</v>
      </c>
      <c r="D259" s="801" t="s">
        <v>38</v>
      </c>
      <c r="E259" s="690"/>
      <c r="F259" s="690"/>
      <c r="G259" s="691"/>
      <c r="H259" s="692"/>
      <c r="I259" s="683"/>
      <c r="J259" s="565"/>
      <c r="K259" s="566"/>
      <c r="L259" s="574"/>
      <c r="M259" s="566"/>
      <c r="N259" s="566"/>
      <c r="O259" s="684"/>
      <c r="P259" s="684"/>
      <c r="Q259" s="566"/>
      <c r="R259" s="566"/>
      <c r="S259" s="566"/>
      <c r="T259" s="684"/>
      <c r="U259" s="684"/>
    </row>
    <row r="260" spans="1:21" ht="18.75" hidden="1" x14ac:dyDescent="0.25">
      <c r="A260" s="687"/>
      <c r="B260" s="688"/>
      <c r="C260" s="688"/>
      <c r="D260" s="726" t="s">
        <v>108</v>
      </c>
      <c r="E260" s="695"/>
      <c r="F260" s="695"/>
      <c r="G260" s="692"/>
      <c r="H260" s="802" t="s">
        <v>35</v>
      </c>
      <c r="I260" s="735">
        <f ca="1">IFERROR(__xludf.DUMMYFUNCTION("IMPORTRANGE(""https://docs.google.com/spreadsheets/d/1eHaY18a8A9IcSdp1K8H6x8fbOy06t2VsZHhMHf-1x7Y/edit?usp=sharing"",""แผน!BH20"")"),0)</f>
        <v>0</v>
      </c>
      <c r="J260" s="736">
        <v>0</v>
      </c>
      <c r="K260" s="572">
        <f ca="1">IF(I260&gt;0,J260*100/I260,0)</f>
        <v>0</v>
      </c>
      <c r="L260" s="574"/>
      <c r="M260" s="566"/>
      <c r="N260" s="566"/>
      <c r="O260" s="566"/>
      <c r="P260" s="566"/>
      <c r="Q260" s="566"/>
      <c r="R260" s="566"/>
      <c r="S260" s="566"/>
      <c r="T260" s="566"/>
      <c r="U260" s="566"/>
    </row>
    <row r="261" spans="1:21" ht="18.75" hidden="1" x14ac:dyDescent="0.25">
      <c r="A261" s="687"/>
      <c r="B261" s="688"/>
      <c r="C261" s="688"/>
      <c r="D261" s="803" t="s">
        <v>43</v>
      </c>
      <c r="E261" s="695"/>
      <c r="F261" s="695"/>
      <c r="G261" s="692"/>
      <c r="H261" s="692"/>
      <c r="I261" s="565"/>
      <c r="J261" s="565"/>
      <c r="K261" s="566"/>
      <c r="L261" s="574"/>
      <c r="M261" s="566"/>
      <c r="N261" s="566"/>
      <c r="O261" s="684"/>
      <c r="P261" s="684"/>
      <c r="Q261" s="566"/>
      <c r="R261" s="566"/>
      <c r="S261" s="566"/>
      <c r="T261" s="684"/>
      <c r="U261" s="684"/>
    </row>
    <row r="262" spans="1:21" ht="18.75" hidden="1" x14ac:dyDescent="0.25">
      <c r="A262" s="687"/>
      <c r="B262" s="688"/>
      <c r="C262" s="688"/>
      <c r="D262" s="688"/>
      <c r="E262" s="804" t="s">
        <v>109</v>
      </c>
      <c r="F262" s="695"/>
      <c r="G262" s="692"/>
      <c r="H262" s="802" t="s">
        <v>35</v>
      </c>
      <c r="I262" s="565"/>
      <c r="J262" s="736">
        <v>0</v>
      </c>
      <c r="K262" s="572">
        <f t="shared" ref="K262:K263" si="159">IF(I262&gt;0,J262*100/I262,0)</f>
        <v>0</v>
      </c>
      <c r="L262" s="574"/>
      <c r="M262" s="566"/>
      <c r="N262" s="566"/>
      <c r="O262" s="566"/>
      <c r="P262" s="566"/>
      <c r="Q262" s="566"/>
      <c r="R262" s="566"/>
      <c r="S262" s="566"/>
      <c r="T262" s="566"/>
      <c r="U262" s="566"/>
    </row>
    <row r="263" spans="1:21" ht="18.75" hidden="1" x14ac:dyDescent="0.25">
      <c r="A263" s="687"/>
      <c r="B263" s="688"/>
      <c r="C263" s="688"/>
      <c r="D263" s="688"/>
      <c r="E263" s="804" t="s">
        <v>110</v>
      </c>
      <c r="F263" s="695"/>
      <c r="G263" s="692"/>
      <c r="H263" s="802" t="s">
        <v>61</v>
      </c>
      <c r="I263" s="565"/>
      <c r="J263" s="736">
        <v>0</v>
      </c>
      <c r="K263" s="572">
        <f t="shared" si="159"/>
        <v>0</v>
      </c>
      <c r="L263" s="574"/>
      <c r="M263" s="566"/>
      <c r="N263" s="566"/>
      <c r="O263" s="566"/>
      <c r="P263" s="566"/>
      <c r="Q263" s="566"/>
      <c r="R263" s="566"/>
      <c r="S263" s="566"/>
      <c r="T263" s="566"/>
      <c r="U263" s="566"/>
    </row>
    <row r="264" spans="1:21" ht="19.5" x14ac:dyDescent="0.3">
      <c r="A264" s="806" t="s">
        <v>113</v>
      </c>
      <c r="B264" s="807"/>
      <c r="C264" s="807"/>
      <c r="D264" s="808"/>
      <c r="E264" s="808"/>
      <c r="F264" s="808"/>
      <c r="G264" s="809"/>
      <c r="H264" s="809"/>
      <c r="I264" s="810"/>
      <c r="J264" s="810"/>
      <c r="K264" s="811"/>
      <c r="L264" s="812"/>
      <c r="M264" s="811"/>
      <c r="N264" s="811"/>
      <c r="O264" s="811"/>
      <c r="P264" s="811"/>
      <c r="Q264" s="811"/>
      <c r="R264" s="811"/>
      <c r="S264" s="811"/>
      <c r="T264" s="811"/>
      <c r="U264" s="811"/>
    </row>
    <row r="265" spans="1:21" ht="19.5" x14ac:dyDescent="0.3">
      <c r="A265" s="813"/>
      <c r="B265" s="814" t="s">
        <v>114</v>
      </c>
      <c r="C265" s="815"/>
      <c r="D265" s="816"/>
      <c r="E265" s="816"/>
      <c r="F265" s="816"/>
      <c r="G265" s="817"/>
      <c r="H265" s="818" t="s">
        <v>35</v>
      </c>
      <c r="I265" s="819">
        <f t="shared" ref="I265:J265" ca="1" si="160">I276</f>
        <v>24</v>
      </c>
      <c r="J265" s="819">
        <f t="shared" si="160"/>
        <v>0</v>
      </c>
      <c r="K265" s="820">
        <f ca="1">IF(I265&gt;0,J265*100/I265,0)</f>
        <v>0</v>
      </c>
      <c r="L265" s="821"/>
      <c r="M265" s="822"/>
      <c r="N265" s="822"/>
      <c r="O265" s="822"/>
      <c r="P265" s="822"/>
      <c r="Q265" s="822"/>
      <c r="R265" s="822"/>
      <c r="S265" s="822"/>
      <c r="T265" s="822"/>
      <c r="U265" s="822"/>
    </row>
    <row r="266" spans="1:21" ht="19.5" x14ac:dyDescent="0.3">
      <c r="A266" s="823"/>
      <c r="B266" s="824"/>
      <c r="C266" s="825" t="s">
        <v>18</v>
      </c>
      <c r="D266" s="826" t="s">
        <v>19</v>
      </c>
      <c r="E266" s="824"/>
      <c r="F266" s="824"/>
      <c r="G266" s="827"/>
      <c r="H266" s="828" t="s">
        <v>14</v>
      </c>
      <c r="I266" s="829"/>
      <c r="J266" s="829"/>
      <c r="K266" s="830"/>
      <c r="L266" s="831">
        <f t="shared" ref="L266:N266" ca="1" si="161">L267+L268</f>
        <v>5000</v>
      </c>
      <c r="M266" s="832">
        <f t="shared" ca="1" si="161"/>
        <v>5000</v>
      </c>
      <c r="N266" s="832">
        <f t="shared" ca="1" si="161"/>
        <v>5000</v>
      </c>
      <c r="O266" s="832">
        <f t="shared" ref="O266:O274" ca="1" si="162">IF(L266&gt;0,N266*100/L266,0)</f>
        <v>100</v>
      </c>
      <c r="P266" s="832">
        <f t="shared" ref="P266:P274" ca="1" si="163">IF(M266&gt;0,N266*100/M266,0)</f>
        <v>100</v>
      </c>
      <c r="Q266" s="832">
        <f t="shared" ref="Q266:S266" ca="1" si="164">Q267+Q268</f>
        <v>53440</v>
      </c>
      <c r="R266" s="832">
        <f t="shared" ca="1" si="164"/>
        <v>53440</v>
      </c>
      <c r="S266" s="832">
        <f t="shared" ca="1" si="164"/>
        <v>4580</v>
      </c>
      <c r="T266" s="832">
        <f t="shared" ref="T266:T274" ca="1" si="165">IF(Q266&gt;0,S266*100/Q266,0)</f>
        <v>8.5703592814371259</v>
      </c>
      <c r="U266" s="832">
        <f t="shared" ref="U266:U274" ca="1" si="166">IF(R266&gt;0,S266*100/R266,0)</f>
        <v>8.5703592814371259</v>
      </c>
    </row>
    <row r="267" spans="1:21" ht="18.75" x14ac:dyDescent="0.25">
      <c r="A267" s="833"/>
      <c r="B267" s="834"/>
      <c r="C267" s="834"/>
      <c r="D267" s="834"/>
      <c r="E267" s="569" t="s">
        <v>20</v>
      </c>
      <c r="F267" s="834"/>
      <c r="G267" s="835"/>
      <c r="H267" s="680" t="s">
        <v>14</v>
      </c>
      <c r="I267" s="836"/>
      <c r="J267" s="836"/>
      <c r="K267" s="837"/>
      <c r="L267" s="571">
        <f t="shared" ref="L267:N268" si="167">L270+L273</f>
        <v>0</v>
      </c>
      <c r="M267" s="572">
        <f t="shared" si="167"/>
        <v>0</v>
      </c>
      <c r="N267" s="572">
        <f t="shared" si="167"/>
        <v>0</v>
      </c>
      <c r="O267" s="572">
        <f t="shared" si="162"/>
        <v>0</v>
      </c>
      <c r="P267" s="572">
        <f t="shared" si="163"/>
        <v>0</v>
      </c>
      <c r="Q267" s="572">
        <f t="shared" ref="Q267:S268" si="168">Q270+Q273</f>
        <v>0</v>
      </c>
      <c r="R267" s="572">
        <f t="shared" si="168"/>
        <v>0</v>
      </c>
      <c r="S267" s="572">
        <f t="shared" si="168"/>
        <v>0</v>
      </c>
      <c r="T267" s="572">
        <f t="shared" si="165"/>
        <v>0</v>
      </c>
      <c r="U267" s="572">
        <f t="shared" si="166"/>
        <v>0</v>
      </c>
    </row>
    <row r="268" spans="1:21" ht="18.75" x14ac:dyDescent="0.25">
      <c r="A268" s="823"/>
      <c r="B268" s="824"/>
      <c r="C268" s="824"/>
      <c r="D268" s="824"/>
      <c r="E268" s="838" t="s">
        <v>21</v>
      </c>
      <c r="F268" s="824"/>
      <c r="G268" s="827"/>
      <c r="H268" s="839" t="s">
        <v>14</v>
      </c>
      <c r="I268" s="829"/>
      <c r="J268" s="829"/>
      <c r="K268" s="830"/>
      <c r="L268" s="840">
        <f t="shared" ca="1" si="167"/>
        <v>5000</v>
      </c>
      <c r="M268" s="841">
        <f t="shared" ca="1" si="167"/>
        <v>5000</v>
      </c>
      <c r="N268" s="841">
        <f t="shared" ca="1" si="167"/>
        <v>5000</v>
      </c>
      <c r="O268" s="841">
        <f t="shared" ca="1" si="162"/>
        <v>100</v>
      </c>
      <c r="P268" s="841">
        <f t="shared" ca="1" si="163"/>
        <v>100</v>
      </c>
      <c r="Q268" s="841">
        <f t="shared" ca="1" si="168"/>
        <v>53440</v>
      </c>
      <c r="R268" s="841">
        <f t="shared" ca="1" si="168"/>
        <v>53440</v>
      </c>
      <c r="S268" s="841">
        <f t="shared" ca="1" si="168"/>
        <v>4580</v>
      </c>
      <c r="T268" s="841">
        <f t="shared" ca="1" si="165"/>
        <v>8.5703592814371259</v>
      </c>
      <c r="U268" s="841">
        <f t="shared" ca="1" si="166"/>
        <v>8.5703592814371259</v>
      </c>
    </row>
    <row r="269" spans="1:21" ht="18.75" x14ac:dyDescent="0.25">
      <c r="A269" s="823"/>
      <c r="B269" s="824"/>
      <c r="C269" s="824"/>
      <c r="D269" s="842" t="s">
        <v>22</v>
      </c>
      <c r="E269" s="824"/>
      <c r="F269" s="824"/>
      <c r="G269" s="827"/>
      <c r="H269" s="843" t="s">
        <v>14</v>
      </c>
      <c r="I269" s="844"/>
      <c r="J269" s="844"/>
      <c r="K269" s="845"/>
      <c r="L269" s="840">
        <f t="shared" ref="L269:N269" ca="1" si="169">L270+L271</f>
        <v>5000</v>
      </c>
      <c r="M269" s="841">
        <f t="shared" ca="1" si="169"/>
        <v>5000</v>
      </c>
      <c r="N269" s="841">
        <f t="shared" ca="1" si="169"/>
        <v>5000</v>
      </c>
      <c r="O269" s="841">
        <f t="shared" ca="1" si="162"/>
        <v>100</v>
      </c>
      <c r="P269" s="841">
        <f t="shared" ca="1" si="163"/>
        <v>100</v>
      </c>
      <c r="Q269" s="841">
        <f t="shared" ref="Q269:S269" ca="1" si="170">Q270+Q271</f>
        <v>53440</v>
      </c>
      <c r="R269" s="841">
        <f t="shared" ca="1" si="170"/>
        <v>53440</v>
      </c>
      <c r="S269" s="841">
        <f t="shared" ca="1" si="170"/>
        <v>4580</v>
      </c>
      <c r="T269" s="841">
        <f t="shared" ca="1" si="165"/>
        <v>8.5703592814371259</v>
      </c>
      <c r="U269" s="841">
        <f t="shared" ca="1" si="166"/>
        <v>8.5703592814371259</v>
      </c>
    </row>
    <row r="270" spans="1:21" ht="18.75" x14ac:dyDescent="0.25">
      <c r="A270" s="833"/>
      <c r="B270" s="834"/>
      <c r="C270" s="834"/>
      <c r="D270" s="834"/>
      <c r="E270" s="569" t="s">
        <v>36</v>
      </c>
      <c r="F270" s="834"/>
      <c r="G270" s="835"/>
      <c r="H270" s="685" t="s">
        <v>14</v>
      </c>
      <c r="I270" s="846"/>
      <c r="J270" s="846"/>
      <c r="K270" s="847"/>
      <c r="L270" s="571">
        <v>0</v>
      </c>
      <c r="M270" s="572">
        <v>0</v>
      </c>
      <c r="N270" s="572">
        <v>0</v>
      </c>
      <c r="O270" s="572">
        <f t="shared" si="162"/>
        <v>0</v>
      </c>
      <c r="P270" s="572">
        <f t="shared" si="163"/>
        <v>0</v>
      </c>
      <c r="Q270" s="572">
        <v>0</v>
      </c>
      <c r="R270" s="572">
        <v>0</v>
      </c>
      <c r="S270" s="572">
        <v>0</v>
      </c>
      <c r="T270" s="572">
        <f t="shared" si="165"/>
        <v>0</v>
      </c>
      <c r="U270" s="572">
        <f t="shared" si="166"/>
        <v>0</v>
      </c>
    </row>
    <row r="271" spans="1:21" ht="18.75" x14ac:dyDescent="0.25">
      <c r="A271" s="823"/>
      <c r="B271" s="824"/>
      <c r="C271" s="824"/>
      <c r="D271" s="824"/>
      <c r="E271" s="838" t="s">
        <v>37</v>
      </c>
      <c r="F271" s="824"/>
      <c r="G271" s="827"/>
      <c r="H271" s="843" t="s">
        <v>14</v>
      </c>
      <c r="I271" s="844"/>
      <c r="J271" s="844"/>
      <c r="K271" s="845"/>
      <c r="L271" s="840">
        <f ca="1">IFERROR(__xludf.DUMMYFUNCTION("IMPORTRANGE(""https://docs.google.com/spreadsheets/d/1-uDff_7J0KD5mKrp0Vvzr7lt3OU09vwQwhkpOPPYv2Y/edit?usp=sharing"",""งบพรบ!DE20"")"),5000)</f>
        <v>5000</v>
      </c>
      <c r="M271" s="841">
        <f ca="1">IFERROR(__xludf.DUMMYFUNCTION("IMPORTRANGE(""https://docs.google.com/spreadsheets/d/1-uDff_7J0KD5mKrp0Vvzr7lt3OU09vwQwhkpOPPYv2Y/edit?usp=sharing"",""งบพรบ!DJ20"")"),5000)</f>
        <v>5000</v>
      </c>
      <c r="N271" s="841">
        <f ca="1">IFERROR(__xludf.DUMMYFUNCTION("IMPORTRANGE(""https://docs.google.com/spreadsheets/d/1-uDff_7J0KD5mKrp0Vvzr7lt3OU09vwQwhkpOPPYv2Y/edit?usp=sharing"",""งบพรบ!DL20"")"),5000)</f>
        <v>5000</v>
      </c>
      <c r="O271" s="841">
        <f t="shared" ca="1" si="162"/>
        <v>100</v>
      </c>
      <c r="P271" s="841">
        <f t="shared" ca="1" si="163"/>
        <v>100</v>
      </c>
      <c r="Q271" s="841">
        <f ca="1">IFERROR(__xludf.DUMMYFUNCTION("IMPORTRANGE(""https://docs.google.com/spreadsheets/d/1ItG2mGa2ceCfYo0BwxsXqNm01IGEUdYcSSLTEv9YCik/edit?usp=sharing"",""เบิกจ่ายกองทุน!AP20"")"),53440)</f>
        <v>53440</v>
      </c>
      <c r="R271" s="841">
        <f ca="1">IFERROR(__xludf.DUMMYFUNCTION("IMPORTRANGE(""https://docs.google.com/spreadsheets/d/1ItG2mGa2ceCfYo0BwxsXqNm01IGEUdYcSSLTEv9YCik/edit?usp=sharing"",""เบิกจ่ายกองทุน!AQ20"")"),53440)</f>
        <v>53440</v>
      </c>
      <c r="S271" s="841">
        <f ca="1">IFERROR(__xludf.DUMMYFUNCTION("IMPORTRANGE(""https://docs.google.com/spreadsheets/d/1ItG2mGa2ceCfYo0BwxsXqNm01IGEUdYcSSLTEv9YCik/edit?usp=sharing"",""เบิกจ่ายกองทุน!AR20"")"),4580)</f>
        <v>4580</v>
      </c>
      <c r="T271" s="841">
        <f t="shared" ca="1" si="165"/>
        <v>8.5703592814371259</v>
      </c>
      <c r="U271" s="841">
        <f t="shared" ca="1" si="166"/>
        <v>8.5703592814371259</v>
      </c>
    </row>
    <row r="272" spans="1:21" ht="18.75" x14ac:dyDescent="0.25">
      <c r="A272" s="823"/>
      <c r="B272" s="824"/>
      <c r="C272" s="824"/>
      <c r="D272" s="842" t="s">
        <v>23</v>
      </c>
      <c r="E272" s="824"/>
      <c r="F272" s="824"/>
      <c r="G272" s="827"/>
      <c r="H272" s="848" t="s">
        <v>14</v>
      </c>
      <c r="I272" s="844"/>
      <c r="J272" s="844"/>
      <c r="K272" s="845"/>
      <c r="L272" s="840">
        <f t="shared" ref="L272:N272" ca="1" si="171">L273+L274</f>
        <v>0</v>
      </c>
      <c r="M272" s="841">
        <f t="shared" ca="1" si="171"/>
        <v>0</v>
      </c>
      <c r="N272" s="841">
        <f t="shared" ca="1" si="171"/>
        <v>0</v>
      </c>
      <c r="O272" s="841">
        <f t="shared" ca="1" si="162"/>
        <v>0</v>
      </c>
      <c r="P272" s="841">
        <f t="shared" ca="1" si="163"/>
        <v>0</v>
      </c>
      <c r="Q272" s="841">
        <f t="shared" ref="Q272:S272" si="172">Q273+Q274</f>
        <v>0</v>
      </c>
      <c r="R272" s="841">
        <f t="shared" si="172"/>
        <v>0</v>
      </c>
      <c r="S272" s="841">
        <f t="shared" si="172"/>
        <v>0</v>
      </c>
      <c r="T272" s="841">
        <f t="shared" si="165"/>
        <v>0</v>
      </c>
      <c r="U272" s="841">
        <f t="shared" si="166"/>
        <v>0</v>
      </c>
    </row>
    <row r="273" spans="1:21" ht="18.75" x14ac:dyDescent="0.25">
      <c r="A273" s="833"/>
      <c r="B273" s="834"/>
      <c r="C273" s="834"/>
      <c r="D273" s="834"/>
      <c r="E273" s="569" t="s">
        <v>20</v>
      </c>
      <c r="F273" s="834"/>
      <c r="G273" s="835"/>
      <c r="H273" s="685" t="s">
        <v>14</v>
      </c>
      <c r="I273" s="846"/>
      <c r="J273" s="846"/>
      <c r="K273" s="847"/>
      <c r="L273" s="571">
        <v>0</v>
      </c>
      <c r="M273" s="572">
        <v>0</v>
      </c>
      <c r="N273" s="572">
        <v>0</v>
      </c>
      <c r="O273" s="572">
        <f t="shared" si="162"/>
        <v>0</v>
      </c>
      <c r="P273" s="572">
        <f t="shared" si="163"/>
        <v>0</v>
      </c>
      <c r="Q273" s="572">
        <v>0</v>
      </c>
      <c r="R273" s="572">
        <v>0</v>
      </c>
      <c r="S273" s="572">
        <v>0</v>
      </c>
      <c r="T273" s="572">
        <f t="shared" si="165"/>
        <v>0</v>
      </c>
      <c r="U273" s="572">
        <f t="shared" si="166"/>
        <v>0</v>
      </c>
    </row>
    <row r="274" spans="1:21" ht="18.75" x14ac:dyDescent="0.25">
      <c r="A274" s="823"/>
      <c r="B274" s="824"/>
      <c r="C274" s="824"/>
      <c r="D274" s="824"/>
      <c r="E274" s="838" t="s">
        <v>21</v>
      </c>
      <c r="F274" s="824"/>
      <c r="G274" s="827"/>
      <c r="H274" s="848" t="s">
        <v>14</v>
      </c>
      <c r="I274" s="844"/>
      <c r="J274" s="844"/>
      <c r="K274" s="845"/>
      <c r="L274" s="840">
        <f ca="1">IFERROR(__xludf.DUMMYFUNCTION("IMPORTRANGE(""https://docs.google.com/spreadsheets/d/1-uDff_7J0KD5mKrp0Vvzr7lt3OU09vwQwhkpOPPYv2Y/edit?usp=sharing"",""งบพรบ!DH20"")"),0)</f>
        <v>0</v>
      </c>
      <c r="M274" s="841">
        <f ca="1">IFERROR(__xludf.DUMMYFUNCTION("IMPORTRANGE(""https://docs.google.com/spreadsheets/d/1-uDff_7J0KD5mKrp0Vvzr7lt3OU09vwQwhkpOPPYv2Y/edit?usp=sharing"",""งบพรบ!DK20"")"),0)</f>
        <v>0</v>
      </c>
      <c r="N274" s="841">
        <f ca="1">IFERROR(__xludf.DUMMYFUNCTION("IMPORTRANGE(""https://docs.google.com/spreadsheets/d/1-uDff_7J0KD5mKrp0Vvzr7lt3OU09vwQwhkpOPPYv2Y/edit?usp=sharing"",""งบพรบ!DM20"")"),0)</f>
        <v>0</v>
      </c>
      <c r="O274" s="841">
        <f t="shared" ca="1" si="162"/>
        <v>0</v>
      </c>
      <c r="P274" s="841">
        <f t="shared" ca="1" si="163"/>
        <v>0</v>
      </c>
      <c r="Q274" s="841">
        <v>0</v>
      </c>
      <c r="R274" s="841">
        <v>0</v>
      </c>
      <c r="S274" s="841">
        <v>0</v>
      </c>
      <c r="T274" s="841">
        <f t="shared" si="165"/>
        <v>0</v>
      </c>
      <c r="U274" s="841">
        <f t="shared" si="166"/>
        <v>0</v>
      </c>
    </row>
    <row r="275" spans="1:21" ht="19.5" x14ac:dyDescent="0.3">
      <c r="A275" s="849"/>
      <c r="B275" s="850"/>
      <c r="C275" s="838" t="s">
        <v>18</v>
      </c>
      <c r="D275" s="851" t="s">
        <v>38</v>
      </c>
      <c r="E275" s="816"/>
      <c r="F275" s="816"/>
      <c r="G275" s="817"/>
      <c r="H275" s="852"/>
      <c r="I275" s="844"/>
      <c r="J275" s="844"/>
      <c r="K275" s="845"/>
      <c r="L275" s="853"/>
      <c r="M275" s="845"/>
      <c r="N275" s="845"/>
      <c r="O275" s="845"/>
      <c r="P275" s="845"/>
      <c r="Q275" s="845"/>
      <c r="R275" s="845"/>
      <c r="S275" s="845"/>
      <c r="T275" s="845"/>
      <c r="U275" s="845"/>
    </row>
    <row r="276" spans="1:21" ht="18.75" x14ac:dyDescent="0.25">
      <c r="A276" s="1245"/>
      <c r="B276" s="1246"/>
      <c r="C276" s="1246"/>
      <c r="D276" s="1247" t="s">
        <v>115</v>
      </c>
      <c r="E276" s="1248"/>
      <c r="F276" s="1248"/>
      <c r="G276" s="1249"/>
      <c r="H276" s="1250" t="s">
        <v>35</v>
      </c>
      <c r="I276" s="1251">
        <f ca="1">IFERROR(__xludf.DUMMYFUNCTION("IMPORTRANGE(""https://docs.google.com/spreadsheets/d/1eHaY18a8A9IcSdp1K8H6x8fbOy06t2VsZHhMHf-1x7Y/edit?usp=sharing"",""แผน!EC20"")"),24)</f>
        <v>24</v>
      </c>
      <c r="J276" s="1252">
        <v>0</v>
      </c>
      <c r="K276" s="1253">
        <f ca="1">IF(I276&gt;0,J276*100/I276,0)</f>
        <v>0</v>
      </c>
      <c r="L276" s="1106"/>
      <c r="M276" s="830"/>
      <c r="N276" s="830"/>
      <c r="O276" s="830"/>
      <c r="P276" s="830"/>
      <c r="Q276" s="830"/>
      <c r="R276" s="830"/>
      <c r="S276" s="830"/>
      <c r="T276" s="830"/>
      <c r="U276" s="830"/>
    </row>
    <row r="277" spans="1:21" ht="18.75" x14ac:dyDescent="0.25">
      <c r="A277" s="1254"/>
      <c r="B277" s="1255"/>
      <c r="C277" s="1255"/>
      <c r="D277" s="865" t="s">
        <v>116</v>
      </c>
      <c r="E277" s="1256"/>
      <c r="F277" s="1256"/>
      <c r="G277" s="1257"/>
      <c r="H277" s="867" t="s">
        <v>35</v>
      </c>
      <c r="I277" s="740">
        <v>0</v>
      </c>
      <c r="J277" s="740">
        <v>0</v>
      </c>
      <c r="K277" s="868">
        <v>0</v>
      </c>
      <c r="L277" s="1258"/>
      <c r="M277" s="1259"/>
      <c r="N277" s="1259"/>
      <c r="O277" s="1259"/>
      <c r="P277" s="1259"/>
      <c r="Q277" s="1259"/>
      <c r="R277" s="1259"/>
      <c r="S277" s="1259"/>
      <c r="T277" s="1259"/>
      <c r="U277" s="1259"/>
    </row>
    <row r="278" spans="1:21" ht="19.5" x14ac:dyDescent="0.3">
      <c r="A278" s="871" t="s">
        <v>117</v>
      </c>
      <c r="B278" s="872"/>
      <c r="C278" s="872"/>
      <c r="D278" s="872"/>
      <c r="E278" s="873"/>
      <c r="F278" s="873"/>
      <c r="G278" s="873"/>
      <c r="H278" s="873"/>
      <c r="I278" s="874"/>
      <c r="J278" s="874"/>
      <c r="K278" s="875"/>
      <c r="L278" s="875"/>
      <c r="M278" s="875"/>
      <c r="N278" s="875"/>
      <c r="O278" s="875"/>
      <c r="P278" s="876"/>
      <c r="Q278" s="875"/>
      <c r="R278" s="875"/>
      <c r="S278" s="875"/>
      <c r="T278" s="875"/>
      <c r="U278" s="876"/>
    </row>
    <row r="279" spans="1:21" ht="19.5" x14ac:dyDescent="0.3">
      <c r="A279" s="877" t="s">
        <v>118</v>
      </c>
      <c r="B279" s="878"/>
      <c r="C279" s="879"/>
      <c r="D279" s="878"/>
      <c r="E279" s="878"/>
      <c r="F279" s="878"/>
      <c r="G279" s="878"/>
      <c r="H279" s="878"/>
      <c r="I279" s="880"/>
      <c r="J279" s="881"/>
      <c r="K279" s="882"/>
      <c r="L279" s="883"/>
      <c r="M279" s="882"/>
      <c r="N279" s="882"/>
      <c r="O279" s="882"/>
      <c r="P279" s="882"/>
      <c r="Q279" s="882"/>
      <c r="R279" s="882"/>
      <c r="S279" s="882"/>
      <c r="T279" s="882"/>
      <c r="U279" s="882"/>
    </row>
    <row r="280" spans="1:21" ht="19.5" x14ac:dyDescent="0.3">
      <c r="A280" s="884"/>
      <c r="B280" s="885" t="s">
        <v>119</v>
      </c>
      <c r="C280" s="886"/>
      <c r="D280" s="887"/>
      <c r="E280" s="886"/>
      <c r="F280" s="886"/>
      <c r="G280" s="888"/>
      <c r="H280" s="889" t="s">
        <v>35</v>
      </c>
      <c r="I280" s="890">
        <f t="shared" ref="I280:J280" ca="1" si="173">I293</f>
        <v>10</v>
      </c>
      <c r="J280" s="890">
        <f t="shared" si="173"/>
        <v>10</v>
      </c>
      <c r="K280" s="891">
        <f t="shared" ref="K280:K281" ca="1" si="174">IF(I280&gt;0,J280*100/I280,0)</f>
        <v>100</v>
      </c>
      <c r="L280" s="892"/>
      <c r="M280" s="893"/>
      <c r="N280" s="893"/>
      <c r="O280" s="893"/>
      <c r="P280" s="893"/>
      <c r="Q280" s="893"/>
      <c r="R280" s="893"/>
      <c r="S280" s="893"/>
      <c r="T280" s="893"/>
      <c r="U280" s="893"/>
    </row>
    <row r="281" spans="1:21" ht="19.5" x14ac:dyDescent="0.3">
      <c r="A281" s="884"/>
      <c r="B281" s="886"/>
      <c r="C281" s="886"/>
      <c r="D281" s="887"/>
      <c r="E281" s="886"/>
      <c r="F281" s="886"/>
      <c r="G281" s="888"/>
      <c r="H281" s="889" t="s">
        <v>46</v>
      </c>
      <c r="I281" s="890">
        <f t="shared" ref="I281:J281" ca="1" si="175">I292</f>
        <v>100</v>
      </c>
      <c r="J281" s="890">
        <f t="shared" si="175"/>
        <v>100</v>
      </c>
      <c r="K281" s="891">
        <f t="shared" ca="1" si="174"/>
        <v>100</v>
      </c>
      <c r="L281" s="892"/>
      <c r="M281" s="893"/>
      <c r="N281" s="893"/>
      <c r="O281" s="893"/>
      <c r="P281" s="893"/>
      <c r="Q281" s="893"/>
      <c r="R281" s="893"/>
      <c r="S281" s="893"/>
      <c r="T281" s="893"/>
      <c r="U281" s="893"/>
    </row>
    <row r="282" spans="1:21" ht="19.5" x14ac:dyDescent="0.3">
      <c r="A282" s="674"/>
      <c r="B282" s="561"/>
      <c r="C282" s="675" t="s">
        <v>18</v>
      </c>
      <c r="D282" s="676" t="s">
        <v>19</v>
      </c>
      <c r="E282" s="561"/>
      <c r="F282" s="561"/>
      <c r="G282" s="563"/>
      <c r="H282" s="677" t="s">
        <v>14</v>
      </c>
      <c r="I282" s="565"/>
      <c r="J282" s="565"/>
      <c r="K282" s="566"/>
      <c r="L282" s="678">
        <f t="shared" ref="L282:N282" ca="1" si="176">L283+L284</f>
        <v>56120</v>
      </c>
      <c r="M282" s="679">
        <f t="shared" ca="1" si="176"/>
        <v>56120</v>
      </c>
      <c r="N282" s="679">
        <f t="shared" ca="1" si="176"/>
        <v>37572</v>
      </c>
      <c r="O282" s="679">
        <f t="shared" ref="O282:O290" ca="1" si="177">IF(L282&gt;0,N282*100/L282,0)</f>
        <v>66.949394155381327</v>
      </c>
      <c r="P282" s="679">
        <f t="shared" ref="P282:P290" ca="1" si="178">IF(M282&gt;0,N282*100/M282,0)</f>
        <v>66.949394155381327</v>
      </c>
      <c r="Q282" s="679">
        <f t="shared" ref="Q282:S282" si="179">Q283+Q284</f>
        <v>0</v>
      </c>
      <c r="R282" s="679">
        <f t="shared" si="179"/>
        <v>0</v>
      </c>
      <c r="S282" s="679">
        <f t="shared" si="179"/>
        <v>0</v>
      </c>
      <c r="T282" s="679">
        <f t="shared" ref="T282:T290" si="180">IF(Q282&gt;0,S282*100/Q282,0)</f>
        <v>0</v>
      </c>
      <c r="U282" s="679">
        <f t="shared" ref="U282:U290" si="181">IF(R282&gt;0,S282*100/R282,0)</f>
        <v>0</v>
      </c>
    </row>
    <row r="283" spans="1:21" ht="18.75" x14ac:dyDescent="0.25">
      <c r="A283" s="674"/>
      <c r="B283" s="561"/>
      <c r="C283" s="561"/>
      <c r="D283" s="561"/>
      <c r="E283" s="569" t="s">
        <v>20</v>
      </c>
      <c r="F283" s="561"/>
      <c r="G283" s="563"/>
      <c r="H283" s="680" t="s">
        <v>14</v>
      </c>
      <c r="I283" s="565"/>
      <c r="J283" s="565"/>
      <c r="K283" s="566"/>
      <c r="L283" s="571">
        <f t="shared" ref="L283:N284" si="182">L286+L289</f>
        <v>0</v>
      </c>
      <c r="M283" s="572">
        <f t="shared" si="182"/>
        <v>0</v>
      </c>
      <c r="N283" s="572">
        <f t="shared" si="182"/>
        <v>0</v>
      </c>
      <c r="O283" s="572">
        <f t="shared" si="177"/>
        <v>0</v>
      </c>
      <c r="P283" s="572">
        <f t="shared" si="178"/>
        <v>0</v>
      </c>
      <c r="Q283" s="572">
        <f t="shared" ref="Q283:S284" si="183">Q286+Q289</f>
        <v>0</v>
      </c>
      <c r="R283" s="572">
        <f t="shared" si="183"/>
        <v>0</v>
      </c>
      <c r="S283" s="572">
        <f t="shared" si="183"/>
        <v>0</v>
      </c>
      <c r="T283" s="572">
        <f t="shared" si="180"/>
        <v>0</v>
      </c>
      <c r="U283" s="572">
        <f t="shared" si="181"/>
        <v>0</v>
      </c>
    </row>
    <row r="284" spans="1:21" ht="18.75" x14ac:dyDescent="0.25">
      <c r="A284" s="674"/>
      <c r="B284" s="561"/>
      <c r="C284" s="561"/>
      <c r="D284" s="561"/>
      <c r="E284" s="573" t="s">
        <v>21</v>
      </c>
      <c r="F284" s="561"/>
      <c r="G284" s="563"/>
      <c r="H284" s="681" t="s">
        <v>14</v>
      </c>
      <c r="I284" s="565"/>
      <c r="J284" s="565"/>
      <c r="K284" s="566"/>
      <c r="L284" s="567">
        <f t="shared" ca="1" si="182"/>
        <v>56120</v>
      </c>
      <c r="M284" s="568">
        <f t="shared" ca="1" si="182"/>
        <v>56120</v>
      </c>
      <c r="N284" s="568">
        <f t="shared" ca="1" si="182"/>
        <v>37572</v>
      </c>
      <c r="O284" s="568">
        <f t="shared" ca="1" si="177"/>
        <v>66.949394155381327</v>
      </c>
      <c r="P284" s="568">
        <f t="shared" ca="1" si="178"/>
        <v>66.949394155381327</v>
      </c>
      <c r="Q284" s="568">
        <f t="shared" si="183"/>
        <v>0</v>
      </c>
      <c r="R284" s="568">
        <f t="shared" si="183"/>
        <v>0</v>
      </c>
      <c r="S284" s="568">
        <f t="shared" si="183"/>
        <v>0</v>
      </c>
      <c r="T284" s="568">
        <f t="shared" si="180"/>
        <v>0</v>
      </c>
      <c r="U284" s="568">
        <f t="shared" si="181"/>
        <v>0</v>
      </c>
    </row>
    <row r="285" spans="1:21" ht="18.75" x14ac:dyDescent="0.25">
      <c r="A285" s="674"/>
      <c r="B285" s="561"/>
      <c r="C285" s="561"/>
      <c r="D285" s="562" t="s">
        <v>22</v>
      </c>
      <c r="E285" s="561"/>
      <c r="F285" s="561"/>
      <c r="G285" s="563"/>
      <c r="H285" s="682" t="s">
        <v>14</v>
      </c>
      <c r="I285" s="683"/>
      <c r="J285" s="683"/>
      <c r="K285" s="684"/>
      <c r="L285" s="567">
        <f t="shared" ref="L285:N285" ca="1" si="184">L286+L287</f>
        <v>56120</v>
      </c>
      <c r="M285" s="568">
        <f t="shared" ca="1" si="184"/>
        <v>56120</v>
      </c>
      <c r="N285" s="568">
        <f t="shared" ca="1" si="184"/>
        <v>37572</v>
      </c>
      <c r="O285" s="568">
        <f t="shared" ca="1" si="177"/>
        <v>66.949394155381327</v>
      </c>
      <c r="P285" s="568">
        <f t="shared" ca="1" si="178"/>
        <v>66.949394155381327</v>
      </c>
      <c r="Q285" s="568">
        <f t="shared" ref="Q285:S285" si="185">Q286+Q287</f>
        <v>0</v>
      </c>
      <c r="R285" s="568">
        <f t="shared" si="185"/>
        <v>0</v>
      </c>
      <c r="S285" s="568">
        <f t="shared" si="185"/>
        <v>0</v>
      </c>
      <c r="T285" s="568">
        <f t="shared" si="180"/>
        <v>0</v>
      </c>
      <c r="U285" s="568">
        <f t="shared" si="181"/>
        <v>0</v>
      </c>
    </row>
    <row r="286" spans="1:21" ht="18.75" x14ac:dyDescent="0.25">
      <c r="A286" s="674"/>
      <c r="B286" s="561"/>
      <c r="C286" s="561"/>
      <c r="D286" s="561"/>
      <c r="E286" s="569" t="s">
        <v>36</v>
      </c>
      <c r="F286" s="561"/>
      <c r="G286" s="563"/>
      <c r="H286" s="685" t="s">
        <v>14</v>
      </c>
      <c r="I286" s="683"/>
      <c r="J286" s="683"/>
      <c r="K286" s="684"/>
      <c r="L286" s="571">
        <v>0</v>
      </c>
      <c r="M286" s="572">
        <v>0</v>
      </c>
      <c r="N286" s="572">
        <v>0</v>
      </c>
      <c r="O286" s="572">
        <f t="shared" si="177"/>
        <v>0</v>
      </c>
      <c r="P286" s="572">
        <f t="shared" si="178"/>
        <v>0</v>
      </c>
      <c r="Q286" s="572">
        <v>0</v>
      </c>
      <c r="R286" s="572">
        <v>0</v>
      </c>
      <c r="S286" s="572">
        <v>0</v>
      </c>
      <c r="T286" s="572">
        <f t="shared" si="180"/>
        <v>0</v>
      </c>
      <c r="U286" s="572">
        <f t="shared" si="181"/>
        <v>0</v>
      </c>
    </row>
    <row r="287" spans="1:21" ht="18.75" x14ac:dyDescent="0.25">
      <c r="A287" s="674"/>
      <c r="B287" s="561"/>
      <c r="C287" s="561"/>
      <c r="D287" s="561"/>
      <c r="E287" s="573" t="s">
        <v>37</v>
      </c>
      <c r="F287" s="561"/>
      <c r="G287" s="563"/>
      <c r="H287" s="682" t="s">
        <v>14</v>
      </c>
      <c r="I287" s="683"/>
      <c r="J287" s="683"/>
      <c r="K287" s="684"/>
      <c r="L287" s="567">
        <f ca="1">IFERROR(__xludf.DUMMYFUNCTION("IMPORTRANGE(""https://docs.google.com/spreadsheets/d/1-uDff_7J0KD5mKrp0Vvzr7lt3OU09vwQwhkpOPPYv2Y/edit?usp=sharing"",""งบพรบ!DO20"")"),56120)</f>
        <v>56120</v>
      </c>
      <c r="M287" s="568">
        <f ca="1">IFERROR(__xludf.DUMMYFUNCTION("IMPORTRANGE(""https://docs.google.com/spreadsheets/d/1-uDff_7J0KD5mKrp0Vvzr7lt3OU09vwQwhkpOPPYv2Y/edit?usp=sharing"",""งบพรบ!DT20"")"),56120)</f>
        <v>56120</v>
      </c>
      <c r="N287" s="568">
        <f ca="1">IFERROR(__xludf.DUMMYFUNCTION("IMPORTRANGE(""https://docs.google.com/spreadsheets/d/1-uDff_7J0KD5mKrp0Vvzr7lt3OU09vwQwhkpOPPYv2Y/edit?usp=sharing"",""งบพรบ!DV20"")"),37572)</f>
        <v>37572</v>
      </c>
      <c r="O287" s="568">
        <f t="shared" ca="1" si="177"/>
        <v>66.949394155381327</v>
      </c>
      <c r="P287" s="568">
        <f t="shared" ca="1" si="178"/>
        <v>66.949394155381327</v>
      </c>
      <c r="Q287" s="568">
        <v>0</v>
      </c>
      <c r="R287" s="568">
        <v>0</v>
      </c>
      <c r="S287" s="568">
        <v>0</v>
      </c>
      <c r="T287" s="572">
        <f t="shared" si="180"/>
        <v>0</v>
      </c>
      <c r="U287" s="572">
        <f t="shared" si="181"/>
        <v>0</v>
      </c>
    </row>
    <row r="288" spans="1:21" ht="18.75" x14ac:dyDescent="0.25">
      <c r="A288" s="674"/>
      <c r="B288" s="561"/>
      <c r="C288" s="561"/>
      <c r="D288" s="562" t="s">
        <v>23</v>
      </c>
      <c r="E288" s="561"/>
      <c r="F288" s="561"/>
      <c r="G288" s="563"/>
      <c r="H288" s="686" t="s">
        <v>14</v>
      </c>
      <c r="I288" s="683"/>
      <c r="J288" s="683"/>
      <c r="K288" s="684"/>
      <c r="L288" s="567">
        <f t="shared" ref="L288:N288" ca="1" si="186">L289+L290</f>
        <v>0</v>
      </c>
      <c r="M288" s="568">
        <f t="shared" ca="1" si="186"/>
        <v>0</v>
      </c>
      <c r="N288" s="568">
        <f t="shared" ca="1" si="186"/>
        <v>0</v>
      </c>
      <c r="O288" s="568">
        <f t="shared" ca="1" si="177"/>
        <v>0</v>
      </c>
      <c r="P288" s="568">
        <f t="shared" ca="1" si="178"/>
        <v>0</v>
      </c>
      <c r="Q288" s="568">
        <f t="shared" ref="Q288:S288" si="187">Q289+Q290</f>
        <v>0</v>
      </c>
      <c r="R288" s="568">
        <f t="shared" si="187"/>
        <v>0</v>
      </c>
      <c r="S288" s="568">
        <f t="shared" si="187"/>
        <v>0</v>
      </c>
      <c r="T288" s="568">
        <f t="shared" si="180"/>
        <v>0</v>
      </c>
      <c r="U288" s="568">
        <f t="shared" si="181"/>
        <v>0</v>
      </c>
    </row>
    <row r="289" spans="1:21" ht="18.75" x14ac:dyDescent="0.25">
      <c r="A289" s="674"/>
      <c r="B289" s="561"/>
      <c r="C289" s="561"/>
      <c r="D289" s="561"/>
      <c r="E289" s="569" t="s">
        <v>20</v>
      </c>
      <c r="F289" s="561"/>
      <c r="G289" s="563"/>
      <c r="H289" s="685" t="s">
        <v>14</v>
      </c>
      <c r="I289" s="683"/>
      <c r="J289" s="683"/>
      <c r="K289" s="684"/>
      <c r="L289" s="571">
        <v>0</v>
      </c>
      <c r="M289" s="572">
        <v>0</v>
      </c>
      <c r="N289" s="572">
        <v>0</v>
      </c>
      <c r="O289" s="572">
        <f t="shared" si="177"/>
        <v>0</v>
      </c>
      <c r="P289" s="572">
        <f t="shared" si="178"/>
        <v>0</v>
      </c>
      <c r="Q289" s="572">
        <v>0</v>
      </c>
      <c r="R289" s="572">
        <v>0</v>
      </c>
      <c r="S289" s="572">
        <v>0</v>
      </c>
      <c r="T289" s="572">
        <f t="shared" si="180"/>
        <v>0</v>
      </c>
      <c r="U289" s="572">
        <f t="shared" si="181"/>
        <v>0</v>
      </c>
    </row>
    <row r="290" spans="1:21" ht="18.75" x14ac:dyDescent="0.25">
      <c r="A290" s="674"/>
      <c r="B290" s="561"/>
      <c r="C290" s="561"/>
      <c r="D290" s="561"/>
      <c r="E290" s="573" t="s">
        <v>21</v>
      </c>
      <c r="F290" s="561"/>
      <c r="G290" s="563"/>
      <c r="H290" s="686" t="s">
        <v>14</v>
      </c>
      <c r="I290" s="683"/>
      <c r="J290" s="683"/>
      <c r="K290" s="684"/>
      <c r="L290" s="567">
        <f ca="1">IFERROR(__xludf.DUMMYFUNCTION("IMPORTRANGE(""https://docs.google.com/spreadsheets/d/1-uDff_7J0KD5mKrp0Vvzr7lt3OU09vwQwhkpOPPYv2Y/edit?usp=sharing"",""งบพรบ!DR20"")"),0)</f>
        <v>0</v>
      </c>
      <c r="M290" s="568">
        <f ca="1">IFERROR(__xludf.DUMMYFUNCTION("IMPORTRANGE(""https://docs.google.com/spreadsheets/d/1-uDff_7J0KD5mKrp0Vvzr7lt3OU09vwQwhkpOPPYv2Y/edit?usp=sharing"",""งบพรบ!DU20"")"),0)</f>
        <v>0</v>
      </c>
      <c r="N290" s="568">
        <f ca="1">IFERROR(__xludf.DUMMYFUNCTION("IMPORTRANGE(""https://docs.google.com/spreadsheets/d/1-uDff_7J0KD5mKrp0Vvzr7lt3OU09vwQwhkpOPPYv2Y/edit?usp=sharing"",""งบพรบ!DW20"")"),0)</f>
        <v>0</v>
      </c>
      <c r="O290" s="568">
        <f t="shared" ca="1" si="177"/>
        <v>0</v>
      </c>
      <c r="P290" s="568">
        <f t="shared" ca="1" si="178"/>
        <v>0</v>
      </c>
      <c r="Q290" s="568">
        <v>0</v>
      </c>
      <c r="R290" s="568">
        <v>0</v>
      </c>
      <c r="S290" s="568">
        <v>0</v>
      </c>
      <c r="T290" s="568">
        <f t="shared" si="180"/>
        <v>0</v>
      </c>
      <c r="U290" s="568">
        <f t="shared" si="181"/>
        <v>0</v>
      </c>
    </row>
    <row r="291" spans="1:21" ht="19.5" x14ac:dyDescent="0.3">
      <c r="A291" s="687"/>
      <c r="B291" s="688"/>
      <c r="C291" s="675" t="s">
        <v>18</v>
      </c>
      <c r="D291" s="689" t="s">
        <v>38</v>
      </c>
      <c r="E291" s="690"/>
      <c r="F291" s="690"/>
      <c r="G291" s="691"/>
      <c r="H291" s="692"/>
      <c r="I291" s="683"/>
      <c r="J291" s="683"/>
      <c r="K291" s="684"/>
      <c r="L291" s="693"/>
      <c r="M291" s="684"/>
      <c r="N291" s="684"/>
      <c r="O291" s="684"/>
      <c r="P291" s="684"/>
      <c r="Q291" s="684"/>
      <c r="R291" s="684"/>
      <c r="S291" s="684"/>
      <c r="T291" s="684"/>
      <c r="U291" s="684"/>
    </row>
    <row r="292" spans="1:21" ht="18.75" x14ac:dyDescent="0.25">
      <c r="A292" s="687"/>
      <c r="B292" s="688"/>
      <c r="C292" s="688"/>
      <c r="D292" s="699" t="s">
        <v>120</v>
      </c>
      <c r="E292" s="688"/>
      <c r="F292" s="695"/>
      <c r="G292" s="692"/>
      <c r="H292" s="704" t="s">
        <v>46</v>
      </c>
      <c r="I292" s="708">
        <f ca="1">IFERROR(__xludf.DUMMYFUNCTION("IMPORTRANGE(""https://docs.google.com/spreadsheets/d/1eHaY18a8A9IcSdp1K8H6x8fbOy06t2VsZHhMHf-1x7Y/edit?usp=sharing"",""แผน!EE20"")"),100)</f>
        <v>100</v>
      </c>
      <c r="J292" s="702">
        <v>100</v>
      </c>
      <c r="K292" s="703">
        <f t="shared" ref="K292:K293" ca="1" si="188">IF(I292&gt;0,J292*100/I292,0)</f>
        <v>100</v>
      </c>
      <c r="L292" s="693"/>
      <c r="M292" s="684"/>
      <c r="N292" s="684"/>
      <c r="O292" s="684"/>
      <c r="P292" s="684"/>
      <c r="Q292" s="684"/>
      <c r="R292" s="684"/>
      <c r="S292" s="684"/>
      <c r="T292" s="684"/>
      <c r="U292" s="684"/>
    </row>
    <row r="293" spans="1:21" ht="19.5" x14ac:dyDescent="0.3">
      <c r="A293" s="687"/>
      <c r="B293" s="688"/>
      <c r="C293" s="688"/>
      <c r="D293" s="699" t="s">
        <v>121</v>
      </c>
      <c r="E293" s="688"/>
      <c r="F293" s="695"/>
      <c r="G293" s="692"/>
      <c r="H293" s="696" t="s">
        <v>35</v>
      </c>
      <c r="I293" s="697">
        <f ca="1">IFERROR(__xludf.DUMMYFUNCTION("IMPORTRANGE(""https://docs.google.com/spreadsheets/d/1eHaY18a8A9IcSdp1K8H6x8fbOy06t2VsZHhMHf-1x7Y/edit?usp=sharing"",""แผน!ED20"")"),10)</f>
        <v>10</v>
      </c>
      <c r="J293" s="697">
        <f>J296</f>
        <v>10</v>
      </c>
      <c r="K293" s="698">
        <f t="shared" ca="1" si="188"/>
        <v>100</v>
      </c>
      <c r="L293" s="693"/>
      <c r="M293" s="684"/>
      <c r="N293" s="684"/>
      <c r="O293" s="684"/>
      <c r="P293" s="684"/>
      <c r="Q293" s="684"/>
      <c r="R293" s="684"/>
      <c r="S293" s="684"/>
      <c r="T293" s="684"/>
      <c r="U293" s="684"/>
    </row>
    <row r="294" spans="1:21" ht="19.5" x14ac:dyDescent="0.3">
      <c r="A294" s="687"/>
      <c r="B294" s="688"/>
      <c r="C294" s="688"/>
      <c r="D294" s="695"/>
      <c r="E294" s="707" t="s">
        <v>303</v>
      </c>
      <c r="F294" s="695"/>
      <c r="G294" s="692"/>
      <c r="H294" s="692"/>
      <c r="I294" s="683"/>
      <c r="J294" s="565"/>
      <c r="K294" s="684"/>
      <c r="L294" s="693"/>
      <c r="M294" s="684"/>
      <c r="N294" s="684"/>
      <c r="O294" s="684"/>
      <c r="P294" s="684"/>
      <c r="Q294" s="684"/>
      <c r="R294" s="684"/>
      <c r="S294" s="684"/>
      <c r="T294" s="684"/>
      <c r="U294" s="684"/>
    </row>
    <row r="295" spans="1:21" ht="19.5" x14ac:dyDescent="0.3">
      <c r="A295" s="687"/>
      <c r="B295" s="688"/>
      <c r="C295" s="688"/>
      <c r="D295" s="695"/>
      <c r="E295" s="699" t="s">
        <v>304</v>
      </c>
      <c r="F295" s="695"/>
      <c r="G295" s="692"/>
      <c r="H295" s="700" t="s">
        <v>35</v>
      </c>
      <c r="I295" s="701">
        <f ca="1">IFERROR(__xludf.DUMMYFUNCTION("IMPORTRANGE(""https://docs.google.com/spreadsheets/d/1eHaY18a8A9IcSdp1K8H6x8fbOy06t2VsZHhMHf-1x7Y/edit?usp=sharing"",""แผน!ED20"")"),10)</f>
        <v>10</v>
      </c>
      <c r="J295" s="702">
        <v>10</v>
      </c>
      <c r="K295" s="703">
        <f t="shared" ref="K295:K296" ca="1" si="189">IF(I295&gt;0,J295*100/I295,0)</f>
        <v>100</v>
      </c>
      <c r="L295" s="693"/>
      <c r="M295" s="684"/>
      <c r="N295" s="684"/>
      <c r="O295" s="684"/>
      <c r="P295" s="684"/>
      <c r="Q295" s="684"/>
      <c r="R295" s="684"/>
      <c r="S295" s="684"/>
      <c r="T295" s="684"/>
      <c r="U295" s="684"/>
    </row>
    <row r="296" spans="1:21" ht="19.5" x14ac:dyDescent="0.3">
      <c r="A296" s="687"/>
      <c r="B296" s="688"/>
      <c r="C296" s="688"/>
      <c r="D296" s="695"/>
      <c r="E296" s="699" t="s">
        <v>305</v>
      </c>
      <c r="F296" s="695"/>
      <c r="G296" s="692"/>
      <c r="H296" s="700" t="s">
        <v>35</v>
      </c>
      <c r="I296" s="701">
        <f ca="1">IFERROR(__xludf.DUMMYFUNCTION("IMPORTRANGE(""https://docs.google.com/spreadsheets/d/1eHaY18a8A9IcSdp1K8H6x8fbOy06t2VsZHhMHf-1x7Y/edit?usp=sharing"",""แผน!ED20"")"),10)</f>
        <v>10</v>
      </c>
      <c r="J296" s="702">
        <v>10</v>
      </c>
      <c r="K296" s="703">
        <f t="shared" ca="1" si="189"/>
        <v>100</v>
      </c>
      <c r="L296" s="693"/>
      <c r="M296" s="684"/>
      <c r="N296" s="684"/>
      <c r="O296" s="684"/>
      <c r="P296" s="684"/>
      <c r="Q296" s="684"/>
      <c r="R296" s="684"/>
      <c r="S296" s="684"/>
      <c r="T296" s="684"/>
      <c r="U296" s="684"/>
    </row>
    <row r="297" spans="1:21" ht="12.75" hidden="1" x14ac:dyDescent="0.2">
      <c r="A297" s="705"/>
      <c r="B297" s="706"/>
      <c r="C297" s="706"/>
      <c r="D297" s="531"/>
      <c r="E297" s="531"/>
      <c r="F297" s="531"/>
      <c r="G297" s="532"/>
      <c r="H297" s="532"/>
      <c r="I297" s="533"/>
      <c r="J297" s="533"/>
      <c r="K297" s="534"/>
      <c r="L297" s="535"/>
      <c r="M297" s="534"/>
      <c r="N297" s="534"/>
      <c r="O297" s="534"/>
      <c r="P297" s="534"/>
      <c r="Q297" s="534"/>
      <c r="R297" s="534"/>
      <c r="S297" s="534"/>
      <c r="T297" s="534"/>
      <c r="U297" s="534"/>
    </row>
    <row r="298" spans="1:21" ht="12.75" hidden="1" x14ac:dyDescent="0.2">
      <c r="A298" s="705"/>
      <c r="B298" s="706"/>
      <c r="C298" s="706"/>
      <c r="D298" s="531"/>
      <c r="E298" s="531"/>
      <c r="F298" s="531"/>
      <c r="G298" s="532"/>
      <c r="H298" s="532"/>
      <c r="I298" s="533"/>
      <c r="J298" s="533"/>
      <c r="K298" s="534"/>
      <c r="L298" s="535"/>
      <c r="M298" s="534"/>
      <c r="N298" s="534"/>
      <c r="O298" s="534"/>
      <c r="P298" s="534"/>
      <c r="Q298" s="534"/>
      <c r="R298" s="534"/>
      <c r="S298" s="534"/>
      <c r="T298" s="534"/>
      <c r="U298" s="534"/>
    </row>
    <row r="299" spans="1:21" ht="12.75" hidden="1" x14ac:dyDescent="0.2">
      <c r="A299" s="894"/>
      <c r="B299" s="895"/>
      <c r="C299" s="895"/>
      <c r="D299" s="537"/>
      <c r="E299" s="537"/>
      <c r="F299" s="537"/>
      <c r="G299" s="526"/>
      <c r="H299" s="526"/>
      <c r="I299" s="527"/>
      <c r="J299" s="527"/>
      <c r="K299" s="528"/>
      <c r="L299" s="529"/>
      <c r="M299" s="528"/>
      <c r="N299" s="528"/>
      <c r="O299" s="528"/>
      <c r="P299" s="528"/>
      <c r="Q299" s="528"/>
      <c r="R299" s="528"/>
      <c r="S299" s="528"/>
      <c r="T299" s="528"/>
      <c r="U299" s="528"/>
    </row>
    <row r="300" spans="1:21" ht="19.5" x14ac:dyDescent="0.3">
      <c r="A300" s="896" t="s">
        <v>125</v>
      </c>
      <c r="B300" s="897"/>
      <c r="C300" s="897"/>
      <c r="D300" s="897"/>
      <c r="E300" s="898"/>
      <c r="F300" s="898"/>
      <c r="G300" s="898"/>
      <c r="H300" s="898"/>
      <c r="I300" s="899"/>
      <c r="J300" s="899"/>
      <c r="K300" s="900"/>
      <c r="L300" s="900"/>
      <c r="M300" s="900"/>
      <c r="N300" s="900"/>
      <c r="O300" s="900"/>
      <c r="P300" s="901"/>
      <c r="Q300" s="900"/>
      <c r="R300" s="900"/>
      <c r="S300" s="900"/>
      <c r="T300" s="900"/>
      <c r="U300" s="901"/>
    </row>
    <row r="301" spans="1:21" ht="19.5" x14ac:dyDescent="0.3">
      <c r="A301" s="902" t="s">
        <v>126</v>
      </c>
      <c r="B301" s="903"/>
      <c r="C301" s="903"/>
      <c r="D301" s="904"/>
      <c r="E301" s="904"/>
      <c r="F301" s="904"/>
      <c r="G301" s="905"/>
      <c r="H301" s="905"/>
      <c r="I301" s="906"/>
      <c r="J301" s="906"/>
      <c r="K301" s="907"/>
      <c r="L301" s="908"/>
      <c r="M301" s="907"/>
      <c r="N301" s="907"/>
      <c r="O301" s="907"/>
      <c r="P301" s="907"/>
      <c r="Q301" s="907"/>
      <c r="R301" s="907"/>
      <c r="S301" s="907"/>
      <c r="T301" s="907"/>
      <c r="U301" s="907"/>
    </row>
    <row r="302" spans="1:21" ht="19.5" x14ac:dyDescent="0.3">
      <c r="A302" s="909"/>
      <c r="B302" s="910" t="s">
        <v>127</v>
      </c>
      <c r="C302" s="911"/>
      <c r="D302" s="911"/>
      <c r="E302" s="911"/>
      <c r="F302" s="911"/>
      <c r="G302" s="912"/>
      <c r="H302" s="913" t="s">
        <v>35</v>
      </c>
      <c r="I302" s="914">
        <f t="shared" ref="I302:J302" ca="1" si="190">I314</f>
        <v>20</v>
      </c>
      <c r="J302" s="914">
        <f t="shared" si="190"/>
        <v>20</v>
      </c>
      <c r="K302" s="915">
        <f ca="1">IF(I302&gt;0,J302*100/I302,0)</f>
        <v>100</v>
      </c>
      <c r="L302" s="916"/>
      <c r="M302" s="917"/>
      <c r="N302" s="917"/>
      <c r="O302" s="917"/>
      <c r="P302" s="917"/>
      <c r="Q302" s="917"/>
      <c r="R302" s="917"/>
      <c r="S302" s="917"/>
      <c r="T302" s="917"/>
      <c r="U302" s="917"/>
    </row>
    <row r="303" spans="1:21" ht="19.5" x14ac:dyDescent="0.3">
      <c r="A303" s="674"/>
      <c r="B303" s="561"/>
      <c r="C303" s="675" t="s">
        <v>18</v>
      </c>
      <c r="D303" s="676" t="s">
        <v>19</v>
      </c>
      <c r="E303" s="561"/>
      <c r="F303" s="561"/>
      <c r="G303" s="563"/>
      <c r="H303" s="677" t="s">
        <v>14</v>
      </c>
      <c r="I303" s="565"/>
      <c r="J303" s="565"/>
      <c r="K303" s="566"/>
      <c r="L303" s="678">
        <f t="shared" ref="L303:N303" ca="1" si="191">L304+L305</f>
        <v>184200</v>
      </c>
      <c r="M303" s="679">
        <f t="shared" ca="1" si="191"/>
        <v>162700</v>
      </c>
      <c r="N303" s="679">
        <f t="shared" ca="1" si="191"/>
        <v>124940</v>
      </c>
      <c r="O303" s="679">
        <f t="shared" ref="O303:O311" ca="1" si="192">IF(L303&gt;0,N303*100/L303,0)</f>
        <v>67.828447339847997</v>
      </c>
      <c r="P303" s="679">
        <f t="shared" ref="P303:P311" ca="1" si="193">IF(M303&gt;0,N303*100/M303,0)</f>
        <v>76.791641057160419</v>
      </c>
      <c r="Q303" s="679">
        <f t="shared" ref="Q303:S303" ca="1" si="194">Q304+Q305</f>
        <v>144609.24</v>
      </c>
      <c r="R303" s="679">
        <f t="shared" ca="1" si="194"/>
        <v>144609</v>
      </c>
      <c r="S303" s="679">
        <f t="shared" ca="1" si="194"/>
        <v>0</v>
      </c>
      <c r="T303" s="679">
        <f t="shared" ref="T303:T311" ca="1" si="195">IF(Q303&gt;0,S303*100/Q303,0)</f>
        <v>0</v>
      </c>
      <c r="U303" s="679">
        <f t="shared" ref="U303:U311" ca="1" si="196">IF(R303&gt;0,S303*100/R303,0)</f>
        <v>0</v>
      </c>
    </row>
    <row r="304" spans="1:21" ht="18.75" x14ac:dyDescent="0.25">
      <c r="A304" s="674"/>
      <c r="B304" s="561"/>
      <c r="C304" s="561"/>
      <c r="D304" s="561"/>
      <c r="E304" s="569" t="s">
        <v>20</v>
      </c>
      <c r="F304" s="561"/>
      <c r="G304" s="563"/>
      <c r="H304" s="680" t="s">
        <v>14</v>
      </c>
      <c r="I304" s="565"/>
      <c r="J304" s="565"/>
      <c r="K304" s="566"/>
      <c r="L304" s="571">
        <f t="shared" ref="L304:N305" si="197">L307+L310</f>
        <v>0</v>
      </c>
      <c r="M304" s="572">
        <f t="shared" si="197"/>
        <v>0</v>
      </c>
      <c r="N304" s="572">
        <f t="shared" si="197"/>
        <v>0</v>
      </c>
      <c r="O304" s="572">
        <f t="shared" si="192"/>
        <v>0</v>
      </c>
      <c r="P304" s="572">
        <f t="shared" si="193"/>
        <v>0</v>
      </c>
      <c r="Q304" s="572">
        <f t="shared" ref="Q304:S305" si="198">Q307+Q310</f>
        <v>0</v>
      </c>
      <c r="R304" s="572">
        <f t="shared" si="198"/>
        <v>0</v>
      </c>
      <c r="S304" s="572">
        <f t="shared" si="198"/>
        <v>0</v>
      </c>
      <c r="T304" s="572">
        <f t="shared" si="195"/>
        <v>0</v>
      </c>
      <c r="U304" s="572">
        <f t="shared" si="196"/>
        <v>0</v>
      </c>
    </row>
    <row r="305" spans="1:21" ht="18.75" x14ac:dyDescent="0.25">
      <c r="A305" s="674"/>
      <c r="B305" s="561"/>
      <c r="C305" s="561"/>
      <c r="D305" s="561"/>
      <c r="E305" s="573" t="s">
        <v>21</v>
      </c>
      <c r="F305" s="561"/>
      <c r="G305" s="563"/>
      <c r="H305" s="681" t="s">
        <v>14</v>
      </c>
      <c r="I305" s="565"/>
      <c r="J305" s="565"/>
      <c r="K305" s="566"/>
      <c r="L305" s="567">
        <f t="shared" ca="1" si="197"/>
        <v>184200</v>
      </c>
      <c r="M305" s="568">
        <f t="shared" ca="1" si="197"/>
        <v>162700</v>
      </c>
      <c r="N305" s="568">
        <f t="shared" ca="1" si="197"/>
        <v>124940</v>
      </c>
      <c r="O305" s="568">
        <f t="shared" ca="1" si="192"/>
        <v>67.828447339847997</v>
      </c>
      <c r="P305" s="568">
        <f t="shared" ca="1" si="193"/>
        <v>76.791641057160419</v>
      </c>
      <c r="Q305" s="568">
        <f t="shared" ca="1" si="198"/>
        <v>144609.24</v>
      </c>
      <c r="R305" s="568">
        <f t="shared" ca="1" si="198"/>
        <v>144609</v>
      </c>
      <c r="S305" s="568">
        <f t="shared" ca="1" si="198"/>
        <v>0</v>
      </c>
      <c r="T305" s="568">
        <f t="shared" ca="1" si="195"/>
        <v>0</v>
      </c>
      <c r="U305" s="568">
        <f t="shared" ca="1" si="196"/>
        <v>0</v>
      </c>
    </row>
    <row r="306" spans="1:21" ht="18.75" x14ac:dyDescent="0.25">
      <c r="A306" s="674"/>
      <c r="B306" s="561"/>
      <c r="C306" s="561"/>
      <c r="D306" s="562" t="s">
        <v>22</v>
      </c>
      <c r="E306" s="561"/>
      <c r="F306" s="561"/>
      <c r="G306" s="563"/>
      <c r="H306" s="682" t="s">
        <v>14</v>
      </c>
      <c r="I306" s="683"/>
      <c r="J306" s="683"/>
      <c r="K306" s="684"/>
      <c r="L306" s="567">
        <f t="shared" ref="L306:N306" ca="1" si="199">L307+L308</f>
        <v>184200</v>
      </c>
      <c r="M306" s="568">
        <f t="shared" ca="1" si="199"/>
        <v>162700</v>
      </c>
      <c r="N306" s="568">
        <f t="shared" ca="1" si="199"/>
        <v>124940</v>
      </c>
      <c r="O306" s="568">
        <f t="shared" ca="1" si="192"/>
        <v>67.828447339847997</v>
      </c>
      <c r="P306" s="568">
        <f t="shared" ca="1" si="193"/>
        <v>76.791641057160419</v>
      </c>
      <c r="Q306" s="568">
        <f t="shared" ref="Q306:S306" ca="1" si="200">Q307+Q308</f>
        <v>144609.24</v>
      </c>
      <c r="R306" s="568">
        <f t="shared" ca="1" si="200"/>
        <v>144609</v>
      </c>
      <c r="S306" s="568">
        <f t="shared" ca="1" si="200"/>
        <v>0</v>
      </c>
      <c r="T306" s="568">
        <f t="shared" ca="1" si="195"/>
        <v>0</v>
      </c>
      <c r="U306" s="568">
        <f t="shared" ca="1" si="196"/>
        <v>0</v>
      </c>
    </row>
    <row r="307" spans="1:21" ht="18.75" x14ac:dyDescent="0.25">
      <c r="A307" s="674"/>
      <c r="B307" s="561"/>
      <c r="C307" s="561"/>
      <c r="D307" s="561"/>
      <c r="E307" s="569" t="s">
        <v>36</v>
      </c>
      <c r="F307" s="561"/>
      <c r="G307" s="563"/>
      <c r="H307" s="685" t="s">
        <v>14</v>
      </c>
      <c r="I307" s="683"/>
      <c r="J307" s="683"/>
      <c r="K307" s="684"/>
      <c r="L307" s="571">
        <v>0</v>
      </c>
      <c r="M307" s="572">
        <v>0</v>
      </c>
      <c r="N307" s="572">
        <v>0</v>
      </c>
      <c r="O307" s="572">
        <f t="shared" si="192"/>
        <v>0</v>
      </c>
      <c r="P307" s="572">
        <f t="shared" si="193"/>
        <v>0</v>
      </c>
      <c r="Q307" s="572">
        <v>0</v>
      </c>
      <c r="R307" s="572">
        <v>0</v>
      </c>
      <c r="S307" s="572">
        <v>0</v>
      </c>
      <c r="T307" s="572">
        <f t="shared" si="195"/>
        <v>0</v>
      </c>
      <c r="U307" s="572">
        <f t="shared" si="196"/>
        <v>0</v>
      </c>
    </row>
    <row r="308" spans="1:21" ht="18.75" x14ac:dyDescent="0.25">
      <c r="A308" s="674"/>
      <c r="B308" s="561"/>
      <c r="C308" s="561"/>
      <c r="D308" s="561"/>
      <c r="E308" s="573" t="s">
        <v>37</v>
      </c>
      <c r="F308" s="561"/>
      <c r="G308" s="563"/>
      <c r="H308" s="682" t="s">
        <v>14</v>
      </c>
      <c r="I308" s="683"/>
      <c r="J308" s="683"/>
      <c r="K308" s="684"/>
      <c r="L308" s="567">
        <f ca="1">IFERROR(__xludf.DUMMYFUNCTION("IMPORTRANGE(""https://docs.google.com/spreadsheets/d/1-uDff_7J0KD5mKrp0Vvzr7lt3OU09vwQwhkpOPPYv2Y/edit?usp=sharing"",""งบพรบ!DY20"")"),184200)</f>
        <v>184200</v>
      </c>
      <c r="M308" s="568">
        <f ca="1">IFERROR(__xludf.DUMMYFUNCTION("IMPORTRANGE(""https://docs.google.com/spreadsheets/d/1-uDff_7J0KD5mKrp0Vvzr7lt3OU09vwQwhkpOPPYv2Y/edit?usp=sharing"",""งบพรบ!ED20"")"),162700)</f>
        <v>162700</v>
      </c>
      <c r="N308" s="568">
        <f ca="1">IFERROR(__xludf.DUMMYFUNCTION("IMPORTRANGE(""https://docs.google.com/spreadsheets/d/1-uDff_7J0KD5mKrp0Vvzr7lt3OU09vwQwhkpOPPYv2Y/edit?usp=sharing"",""งบพรบ!EF20"")"),124940)</f>
        <v>124940</v>
      </c>
      <c r="O308" s="568">
        <f t="shared" ca="1" si="192"/>
        <v>67.828447339847997</v>
      </c>
      <c r="P308" s="568">
        <f t="shared" ca="1" si="193"/>
        <v>76.791641057160419</v>
      </c>
      <c r="Q308" s="568">
        <f ca="1">IFERROR(__xludf.DUMMYFUNCTION("IMPORTRANGE(""https://docs.google.com/spreadsheets/d/1ItG2mGa2ceCfYo0BwxsXqNm01IGEUdYcSSLTEv9YCik/edit?usp=sharing"",""เบิกจ่ายกองทุน!BB20"")"),144609.24)</f>
        <v>144609.24</v>
      </c>
      <c r="R308" s="568">
        <f ca="1">IFERROR(__xludf.DUMMYFUNCTION("IMPORTRANGE(""https://docs.google.com/spreadsheets/d/1ItG2mGa2ceCfYo0BwxsXqNm01IGEUdYcSSLTEv9YCik/edit?usp=sharing"",""เบิกจ่ายกองทุน!BC20"")"),144609)</f>
        <v>144609</v>
      </c>
      <c r="S308" s="568">
        <f ca="1">IFERROR(__xludf.DUMMYFUNCTION("IMPORTRANGE(""https://docs.google.com/spreadsheets/d/1ItG2mGa2ceCfYo0BwxsXqNm01IGEUdYcSSLTEv9YCik/edit?usp=sharing"",""เบิกจ่ายกองทุน!BD20"")"),0)</f>
        <v>0</v>
      </c>
      <c r="T308" s="568">
        <f t="shared" ca="1" si="195"/>
        <v>0</v>
      </c>
      <c r="U308" s="568">
        <f t="shared" ca="1" si="196"/>
        <v>0</v>
      </c>
    </row>
    <row r="309" spans="1:21" ht="18.75" x14ac:dyDescent="0.25">
      <c r="A309" s="674"/>
      <c r="B309" s="561"/>
      <c r="C309" s="561"/>
      <c r="D309" s="562" t="s">
        <v>23</v>
      </c>
      <c r="E309" s="561"/>
      <c r="F309" s="561"/>
      <c r="G309" s="563"/>
      <c r="H309" s="686" t="s">
        <v>14</v>
      </c>
      <c r="I309" s="683"/>
      <c r="J309" s="683"/>
      <c r="K309" s="684"/>
      <c r="L309" s="567">
        <f t="shared" ref="L309:N309" ca="1" si="201">L310+L311</f>
        <v>0</v>
      </c>
      <c r="M309" s="568">
        <f t="shared" ca="1" si="201"/>
        <v>0</v>
      </c>
      <c r="N309" s="568">
        <f t="shared" ca="1" si="201"/>
        <v>0</v>
      </c>
      <c r="O309" s="568">
        <f t="shared" ca="1" si="192"/>
        <v>0</v>
      </c>
      <c r="P309" s="568">
        <f t="shared" ca="1" si="193"/>
        <v>0</v>
      </c>
      <c r="Q309" s="568">
        <f t="shared" ref="Q309:S309" si="202">Q310+Q311</f>
        <v>0</v>
      </c>
      <c r="R309" s="568">
        <f t="shared" si="202"/>
        <v>0</v>
      </c>
      <c r="S309" s="568">
        <f t="shared" si="202"/>
        <v>0</v>
      </c>
      <c r="T309" s="568">
        <f t="shared" si="195"/>
        <v>0</v>
      </c>
      <c r="U309" s="568">
        <f t="shared" si="196"/>
        <v>0</v>
      </c>
    </row>
    <row r="310" spans="1:21" ht="18.75" x14ac:dyDescent="0.25">
      <c r="A310" s="674"/>
      <c r="B310" s="561"/>
      <c r="C310" s="561"/>
      <c r="D310" s="561"/>
      <c r="E310" s="569" t="s">
        <v>20</v>
      </c>
      <c r="F310" s="561"/>
      <c r="G310" s="563"/>
      <c r="H310" s="685" t="s">
        <v>14</v>
      </c>
      <c r="I310" s="683"/>
      <c r="J310" s="683"/>
      <c r="K310" s="684"/>
      <c r="L310" s="571">
        <v>0</v>
      </c>
      <c r="M310" s="572">
        <v>0</v>
      </c>
      <c r="N310" s="572">
        <v>0</v>
      </c>
      <c r="O310" s="572">
        <f t="shared" si="192"/>
        <v>0</v>
      </c>
      <c r="P310" s="572">
        <f t="shared" si="193"/>
        <v>0</v>
      </c>
      <c r="Q310" s="572">
        <v>0</v>
      </c>
      <c r="R310" s="572">
        <v>0</v>
      </c>
      <c r="S310" s="572">
        <v>0</v>
      </c>
      <c r="T310" s="572">
        <f t="shared" si="195"/>
        <v>0</v>
      </c>
      <c r="U310" s="572">
        <f t="shared" si="196"/>
        <v>0</v>
      </c>
    </row>
    <row r="311" spans="1:21" ht="18.75" x14ac:dyDescent="0.25">
      <c r="A311" s="674"/>
      <c r="B311" s="561"/>
      <c r="C311" s="561"/>
      <c r="D311" s="561"/>
      <c r="E311" s="573" t="s">
        <v>21</v>
      </c>
      <c r="F311" s="561"/>
      <c r="G311" s="563"/>
      <c r="H311" s="686" t="s">
        <v>14</v>
      </c>
      <c r="I311" s="683"/>
      <c r="J311" s="683"/>
      <c r="K311" s="684"/>
      <c r="L311" s="567">
        <f ca="1">IFERROR(__xludf.DUMMYFUNCTION("IMPORTRANGE(""https://docs.google.com/spreadsheets/d/1-uDff_7J0KD5mKrp0Vvzr7lt3OU09vwQwhkpOPPYv2Y/edit?usp=sharing"",""งบพรบ!EB20"")"),0)</f>
        <v>0</v>
      </c>
      <c r="M311" s="568">
        <f ca="1">IFERROR(__xludf.DUMMYFUNCTION("IMPORTRANGE(""https://docs.google.com/spreadsheets/d/1-uDff_7J0KD5mKrp0Vvzr7lt3OU09vwQwhkpOPPYv2Y/edit?usp=sharing"",""งบพรบ!EE20"")"),0)</f>
        <v>0</v>
      </c>
      <c r="N311" s="568">
        <f ca="1">IFERROR(__xludf.DUMMYFUNCTION("IMPORTRANGE(""https://docs.google.com/spreadsheets/d/1-uDff_7J0KD5mKrp0Vvzr7lt3OU09vwQwhkpOPPYv2Y/edit?usp=sharing"",""งบพรบ!EG20"")"),0)</f>
        <v>0</v>
      </c>
      <c r="O311" s="568">
        <f t="shared" ca="1" si="192"/>
        <v>0</v>
      </c>
      <c r="P311" s="568">
        <f t="shared" ca="1" si="193"/>
        <v>0</v>
      </c>
      <c r="Q311" s="568">
        <v>0</v>
      </c>
      <c r="R311" s="568">
        <v>0</v>
      </c>
      <c r="S311" s="568">
        <v>0</v>
      </c>
      <c r="T311" s="568">
        <f t="shared" si="195"/>
        <v>0</v>
      </c>
      <c r="U311" s="568">
        <f t="shared" si="196"/>
        <v>0</v>
      </c>
    </row>
    <row r="312" spans="1:21" ht="19.5" x14ac:dyDescent="0.3">
      <c r="A312" s="687"/>
      <c r="B312" s="688"/>
      <c r="C312" s="675" t="s">
        <v>18</v>
      </c>
      <c r="D312" s="689" t="s">
        <v>38</v>
      </c>
      <c r="E312" s="690"/>
      <c r="F312" s="690"/>
      <c r="G312" s="691"/>
      <c r="H312" s="692"/>
      <c r="I312" s="565"/>
      <c r="J312" s="565"/>
      <c r="K312" s="566"/>
      <c r="L312" s="574"/>
      <c r="M312" s="566"/>
      <c r="N312" s="566"/>
      <c r="O312" s="566"/>
      <c r="P312" s="566"/>
      <c r="Q312" s="566"/>
      <c r="R312" s="566"/>
      <c r="S312" s="566"/>
      <c r="T312" s="566"/>
      <c r="U312" s="566"/>
    </row>
    <row r="313" spans="1:21" ht="18.75" hidden="1" x14ac:dyDescent="0.25">
      <c r="A313" s="705"/>
      <c r="B313" s="706"/>
      <c r="C313" s="706"/>
      <c r="D313" s="918"/>
      <c r="E313" s="531"/>
      <c r="F313" s="531"/>
      <c r="G313" s="532"/>
      <c r="H313" s="532"/>
      <c r="I313" s="533"/>
      <c r="J313" s="919"/>
      <c r="K313" s="534"/>
      <c r="L313" s="535"/>
      <c r="M313" s="534"/>
      <c r="N313" s="534"/>
      <c r="O313" s="534"/>
      <c r="P313" s="534"/>
      <c r="Q313" s="534"/>
      <c r="R313" s="534"/>
      <c r="S313" s="534"/>
      <c r="T313" s="534"/>
      <c r="U313" s="534"/>
    </row>
    <row r="314" spans="1:21" ht="18.75" x14ac:dyDescent="0.25">
      <c r="A314" s="687"/>
      <c r="B314" s="688"/>
      <c r="C314" s="688"/>
      <c r="D314" s="699" t="s">
        <v>121</v>
      </c>
      <c r="E314" s="695"/>
      <c r="F314" s="695"/>
      <c r="G314" s="692"/>
      <c r="H314" s="700" t="s">
        <v>35</v>
      </c>
      <c r="I314" s="708">
        <f ca="1">IFERROR(__xludf.DUMMYFUNCTION("IMPORTRANGE(""https://docs.google.com/spreadsheets/d/1eHaY18a8A9IcSdp1K8H6x8fbOy06t2VsZHhMHf-1x7Y/edit?usp=sharing"",""แผน!EF20"")"),20)</f>
        <v>20</v>
      </c>
      <c r="J314" s="702">
        <v>20</v>
      </c>
      <c r="K314" s="568">
        <f ca="1">IF(I314&gt;0,J314*100/I314,0)</f>
        <v>100</v>
      </c>
      <c r="L314" s="574"/>
      <c r="M314" s="566"/>
      <c r="N314" s="566"/>
      <c r="O314" s="566"/>
      <c r="P314" s="566"/>
      <c r="Q314" s="566"/>
      <c r="R314" s="566"/>
      <c r="S314" s="566"/>
      <c r="T314" s="566"/>
      <c r="U314" s="566"/>
    </row>
    <row r="315" spans="1:21" ht="18.75" hidden="1" x14ac:dyDescent="0.25">
      <c r="A315" s="705"/>
      <c r="B315" s="706"/>
      <c r="C315" s="706"/>
      <c r="D315" s="918"/>
      <c r="E315" s="531"/>
      <c r="F315" s="531"/>
      <c r="G315" s="532"/>
      <c r="H315" s="920"/>
      <c r="I315" s="919"/>
      <c r="J315" s="919"/>
      <c r="K315" s="921"/>
      <c r="L315" s="535"/>
      <c r="M315" s="534"/>
      <c r="N315" s="534"/>
      <c r="O315" s="534"/>
      <c r="P315" s="534"/>
      <c r="Q315" s="534"/>
      <c r="R315" s="534"/>
      <c r="S315" s="534"/>
      <c r="T315" s="534"/>
      <c r="U315" s="534"/>
    </row>
    <row r="316" spans="1:21" ht="18.75" hidden="1" x14ac:dyDescent="0.25">
      <c r="A316" s="705"/>
      <c r="B316" s="706"/>
      <c r="C316" s="706"/>
      <c r="D316" s="918"/>
      <c r="E316" s="531"/>
      <c r="F316" s="531"/>
      <c r="G316" s="532"/>
      <c r="H316" s="920"/>
      <c r="I316" s="919"/>
      <c r="J316" s="919"/>
      <c r="K316" s="921"/>
      <c r="L316" s="535"/>
      <c r="M316" s="534"/>
      <c r="N316" s="534"/>
      <c r="O316" s="534"/>
      <c r="P316" s="534"/>
      <c r="Q316" s="534"/>
      <c r="R316" s="534"/>
      <c r="S316" s="534"/>
      <c r="T316" s="534"/>
      <c r="U316" s="534"/>
    </row>
    <row r="317" spans="1:21" ht="18.75" hidden="1" x14ac:dyDescent="0.25">
      <c r="A317" s="705"/>
      <c r="B317" s="706"/>
      <c r="C317" s="706"/>
      <c r="D317" s="922"/>
      <c r="E317" s="531"/>
      <c r="F317" s="531"/>
      <c r="G317" s="532"/>
      <c r="H317" s="923"/>
      <c r="I317" s="924"/>
      <c r="J317" s="924"/>
      <c r="K317" s="925"/>
      <c r="L317" s="535"/>
      <c r="M317" s="534"/>
      <c r="N317" s="534"/>
      <c r="O317" s="534"/>
      <c r="P317" s="534"/>
      <c r="Q317" s="534"/>
      <c r="R317" s="534"/>
      <c r="S317" s="534"/>
      <c r="T317" s="534"/>
      <c r="U317" s="534"/>
    </row>
    <row r="318" spans="1:21" ht="19.5" hidden="1" x14ac:dyDescent="0.3">
      <c r="A318" s="902" t="s">
        <v>131</v>
      </c>
      <c r="B318" s="903"/>
      <c r="C318" s="903"/>
      <c r="D318" s="904"/>
      <c r="E318" s="903"/>
      <c r="F318" s="903"/>
      <c r="G318" s="903"/>
      <c r="H318" s="904"/>
      <c r="I318" s="906"/>
      <c r="J318" s="906"/>
      <c r="K318" s="907"/>
      <c r="L318" s="908"/>
      <c r="M318" s="907"/>
      <c r="N318" s="907"/>
      <c r="O318" s="907"/>
      <c r="P318" s="907"/>
      <c r="Q318" s="907"/>
      <c r="R318" s="907"/>
      <c r="S318" s="907"/>
      <c r="T318" s="907"/>
      <c r="U318" s="907"/>
    </row>
    <row r="319" spans="1:21" ht="19.5" hidden="1" x14ac:dyDescent="0.3">
      <c r="A319" s="926"/>
      <c r="B319" s="910" t="s">
        <v>132</v>
      </c>
      <c r="C319" s="927"/>
      <c r="D319" s="928"/>
      <c r="E319" s="911"/>
      <c r="F319" s="911"/>
      <c r="G319" s="912"/>
      <c r="H319" s="913" t="s">
        <v>133</v>
      </c>
      <c r="I319" s="914">
        <f t="shared" ref="I319:J319" ca="1" si="203">I330</f>
        <v>0</v>
      </c>
      <c r="J319" s="914">
        <f t="shared" si="203"/>
        <v>0</v>
      </c>
      <c r="K319" s="915">
        <f ca="1">IF(I319&gt;0,J319*100/I319,0)</f>
        <v>0</v>
      </c>
      <c r="L319" s="916"/>
      <c r="M319" s="917"/>
      <c r="N319" s="917"/>
      <c r="O319" s="917"/>
      <c r="P319" s="917"/>
      <c r="Q319" s="917"/>
      <c r="R319" s="917"/>
      <c r="S319" s="917"/>
      <c r="T319" s="917"/>
      <c r="U319" s="917"/>
    </row>
    <row r="320" spans="1:21" ht="19.5" hidden="1" x14ac:dyDescent="0.3">
      <c r="A320" s="674"/>
      <c r="B320" s="561"/>
      <c r="C320" s="675" t="s">
        <v>18</v>
      </c>
      <c r="D320" s="676" t="s">
        <v>19</v>
      </c>
      <c r="E320" s="561"/>
      <c r="F320" s="561"/>
      <c r="G320" s="563"/>
      <c r="H320" s="677" t="s">
        <v>14</v>
      </c>
      <c r="I320" s="565"/>
      <c r="J320" s="565"/>
      <c r="K320" s="566"/>
      <c r="L320" s="678">
        <f t="shared" ref="L320:N320" ca="1" si="204">L321+L322</f>
        <v>0</v>
      </c>
      <c r="M320" s="679">
        <f t="shared" ca="1" si="204"/>
        <v>0</v>
      </c>
      <c r="N320" s="679">
        <f t="shared" ca="1" si="204"/>
        <v>0</v>
      </c>
      <c r="O320" s="679">
        <f t="shared" ref="O320:O328" ca="1" si="205">IF(L320&gt;0,N320*100/L320,0)</f>
        <v>0</v>
      </c>
      <c r="P320" s="679">
        <f t="shared" ref="P320:P328" ca="1" si="206">IF(M320&gt;0,N320*100/M320,0)</f>
        <v>0</v>
      </c>
      <c r="Q320" s="679">
        <f t="shared" ref="Q320:S320" si="207">Q321+Q322</f>
        <v>0</v>
      </c>
      <c r="R320" s="679">
        <f t="shared" si="207"/>
        <v>0</v>
      </c>
      <c r="S320" s="679">
        <f t="shared" si="207"/>
        <v>0</v>
      </c>
      <c r="T320" s="679">
        <f t="shared" ref="T320:T328" si="208">IF(Q320&gt;0,S320*100/Q320,0)</f>
        <v>0</v>
      </c>
      <c r="U320" s="679">
        <f t="shared" ref="U320:U328" si="209">IF(R320&gt;0,S320*100/R320,0)</f>
        <v>0</v>
      </c>
    </row>
    <row r="321" spans="1:21" ht="18.75" hidden="1" x14ac:dyDescent="0.25">
      <c r="A321" s="674"/>
      <c r="B321" s="561"/>
      <c r="C321" s="561"/>
      <c r="D321" s="561"/>
      <c r="E321" s="569" t="s">
        <v>20</v>
      </c>
      <c r="F321" s="561"/>
      <c r="G321" s="563"/>
      <c r="H321" s="680" t="s">
        <v>14</v>
      </c>
      <c r="I321" s="565"/>
      <c r="J321" s="565"/>
      <c r="K321" s="566"/>
      <c r="L321" s="571">
        <f t="shared" ref="L321:N322" si="210">L324+L327</f>
        <v>0</v>
      </c>
      <c r="M321" s="572">
        <f t="shared" si="210"/>
        <v>0</v>
      </c>
      <c r="N321" s="572">
        <f t="shared" si="210"/>
        <v>0</v>
      </c>
      <c r="O321" s="572">
        <f t="shared" si="205"/>
        <v>0</v>
      </c>
      <c r="P321" s="572">
        <f t="shared" si="206"/>
        <v>0</v>
      </c>
      <c r="Q321" s="572">
        <f t="shared" ref="Q321:S322" si="211">Q324+Q327</f>
        <v>0</v>
      </c>
      <c r="R321" s="572">
        <f t="shared" si="211"/>
        <v>0</v>
      </c>
      <c r="S321" s="572">
        <f t="shared" si="211"/>
        <v>0</v>
      </c>
      <c r="T321" s="572">
        <f t="shared" si="208"/>
        <v>0</v>
      </c>
      <c r="U321" s="572">
        <f t="shared" si="209"/>
        <v>0</v>
      </c>
    </row>
    <row r="322" spans="1:21" ht="18.75" hidden="1" x14ac:dyDescent="0.25">
      <c r="A322" s="674"/>
      <c r="B322" s="561"/>
      <c r="C322" s="561"/>
      <c r="D322" s="561"/>
      <c r="E322" s="573" t="s">
        <v>21</v>
      </c>
      <c r="F322" s="561"/>
      <c r="G322" s="563"/>
      <c r="H322" s="681" t="s">
        <v>14</v>
      </c>
      <c r="I322" s="565"/>
      <c r="J322" s="565"/>
      <c r="K322" s="566"/>
      <c r="L322" s="567">
        <f t="shared" ca="1" si="210"/>
        <v>0</v>
      </c>
      <c r="M322" s="568">
        <f t="shared" ca="1" si="210"/>
        <v>0</v>
      </c>
      <c r="N322" s="568">
        <f t="shared" ca="1" si="210"/>
        <v>0</v>
      </c>
      <c r="O322" s="568">
        <f t="shared" ca="1" si="205"/>
        <v>0</v>
      </c>
      <c r="P322" s="568">
        <f t="shared" ca="1" si="206"/>
        <v>0</v>
      </c>
      <c r="Q322" s="568">
        <f t="shared" si="211"/>
        <v>0</v>
      </c>
      <c r="R322" s="568">
        <f t="shared" si="211"/>
        <v>0</v>
      </c>
      <c r="S322" s="568">
        <f t="shared" si="211"/>
        <v>0</v>
      </c>
      <c r="T322" s="568">
        <f t="shared" si="208"/>
        <v>0</v>
      </c>
      <c r="U322" s="568">
        <f t="shared" si="209"/>
        <v>0</v>
      </c>
    </row>
    <row r="323" spans="1:21" ht="18.75" hidden="1" x14ac:dyDescent="0.25">
      <c r="A323" s="674"/>
      <c r="B323" s="561"/>
      <c r="C323" s="561"/>
      <c r="D323" s="562" t="s">
        <v>22</v>
      </c>
      <c r="E323" s="561"/>
      <c r="F323" s="561"/>
      <c r="G323" s="563"/>
      <c r="H323" s="682" t="s">
        <v>14</v>
      </c>
      <c r="I323" s="683"/>
      <c r="J323" s="683"/>
      <c r="K323" s="684"/>
      <c r="L323" s="567">
        <f t="shared" ref="L323:N323" ca="1" si="212">L324+L325</f>
        <v>0</v>
      </c>
      <c r="M323" s="568">
        <f t="shared" ca="1" si="212"/>
        <v>0</v>
      </c>
      <c r="N323" s="568">
        <f t="shared" ca="1" si="212"/>
        <v>0</v>
      </c>
      <c r="O323" s="568">
        <f t="shared" ca="1" si="205"/>
        <v>0</v>
      </c>
      <c r="P323" s="568">
        <f t="shared" ca="1" si="206"/>
        <v>0</v>
      </c>
      <c r="Q323" s="568">
        <f t="shared" ref="Q323:S323" si="213">Q324+Q325</f>
        <v>0</v>
      </c>
      <c r="R323" s="568">
        <f t="shared" si="213"/>
        <v>0</v>
      </c>
      <c r="S323" s="568">
        <f t="shared" si="213"/>
        <v>0</v>
      </c>
      <c r="T323" s="568">
        <f t="shared" si="208"/>
        <v>0</v>
      </c>
      <c r="U323" s="568">
        <f t="shared" si="209"/>
        <v>0</v>
      </c>
    </row>
    <row r="324" spans="1:21" ht="18.75" hidden="1" x14ac:dyDescent="0.25">
      <c r="A324" s="674"/>
      <c r="B324" s="561"/>
      <c r="C324" s="561"/>
      <c r="D324" s="561"/>
      <c r="E324" s="569" t="s">
        <v>36</v>
      </c>
      <c r="F324" s="561"/>
      <c r="G324" s="563"/>
      <c r="H324" s="685" t="s">
        <v>14</v>
      </c>
      <c r="I324" s="683"/>
      <c r="J324" s="683"/>
      <c r="K324" s="684"/>
      <c r="L324" s="571">
        <v>0</v>
      </c>
      <c r="M324" s="572">
        <v>0</v>
      </c>
      <c r="N324" s="572">
        <v>0</v>
      </c>
      <c r="O324" s="572">
        <f t="shared" si="205"/>
        <v>0</v>
      </c>
      <c r="P324" s="572">
        <f t="shared" si="206"/>
        <v>0</v>
      </c>
      <c r="Q324" s="572">
        <v>0</v>
      </c>
      <c r="R324" s="572">
        <v>0</v>
      </c>
      <c r="S324" s="572">
        <v>0</v>
      </c>
      <c r="T324" s="572">
        <f t="shared" si="208"/>
        <v>0</v>
      </c>
      <c r="U324" s="572">
        <f t="shared" si="209"/>
        <v>0</v>
      </c>
    </row>
    <row r="325" spans="1:21" ht="18.75" hidden="1" x14ac:dyDescent="0.25">
      <c r="A325" s="674"/>
      <c r="B325" s="561"/>
      <c r="C325" s="561"/>
      <c r="D325" s="561"/>
      <c r="E325" s="573" t="s">
        <v>37</v>
      </c>
      <c r="F325" s="561"/>
      <c r="G325" s="563"/>
      <c r="H325" s="682" t="s">
        <v>14</v>
      </c>
      <c r="I325" s="683"/>
      <c r="J325" s="683"/>
      <c r="K325" s="684"/>
      <c r="L325" s="567">
        <f ca="1">IFERROR(__xludf.DUMMYFUNCTION("IMPORTRANGE(""https://docs.google.com/spreadsheets/d/1-uDff_7J0KD5mKrp0Vvzr7lt3OU09vwQwhkpOPPYv2Y/edit?usp=sharing"",""งบพรบ!EI20"")"),0)</f>
        <v>0</v>
      </c>
      <c r="M325" s="568">
        <f ca="1">IFERROR(__xludf.DUMMYFUNCTION("IMPORTRANGE(""https://docs.google.com/spreadsheets/d/1-uDff_7J0KD5mKrp0Vvzr7lt3OU09vwQwhkpOPPYv2Y/edit?usp=sharing"",""งบพรบ!EN20"")"),0)</f>
        <v>0</v>
      </c>
      <c r="N325" s="568">
        <f ca="1">IFERROR(__xludf.DUMMYFUNCTION("IMPORTRANGE(""https://docs.google.com/spreadsheets/d/1-uDff_7J0KD5mKrp0Vvzr7lt3OU09vwQwhkpOPPYv2Y/edit?usp=sharing"",""งบพรบ!EP20"")"),0)</f>
        <v>0</v>
      </c>
      <c r="O325" s="568">
        <f t="shared" ca="1" si="205"/>
        <v>0</v>
      </c>
      <c r="P325" s="568">
        <f t="shared" ca="1" si="206"/>
        <v>0</v>
      </c>
      <c r="Q325" s="568">
        <v>0</v>
      </c>
      <c r="R325" s="568">
        <v>0</v>
      </c>
      <c r="S325" s="568">
        <v>0</v>
      </c>
      <c r="T325" s="568">
        <f t="shared" si="208"/>
        <v>0</v>
      </c>
      <c r="U325" s="568">
        <f t="shared" si="209"/>
        <v>0</v>
      </c>
    </row>
    <row r="326" spans="1:21" ht="18.75" hidden="1" x14ac:dyDescent="0.25">
      <c r="A326" s="674"/>
      <c r="B326" s="561"/>
      <c r="C326" s="561"/>
      <c r="D326" s="562" t="s">
        <v>23</v>
      </c>
      <c r="E326" s="561"/>
      <c r="F326" s="561"/>
      <c r="G326" s="563"/>
      <c r="H326" s="686" t="s">
        <v>14</v>
      </c>
      <c r="I326" s="683"/>
      <c r="J326" s="683"/>
      <c r="K326" s="684"/>
      <c r="L326" s="567">
        <f t="shared" ref="L326:N326" ca="1" si="214">L327+L328</f>
        <v>0</v>
      </c>
      <c r="M326" s="568">
        <f t="shared" ca="1" si="214"/>
        <v>0</v>
      </c>
      <c r="N326" s="568">
        <f t="shared" ca="1" si="214"/>
        <v>0</v>
      </c>
      <c r="O326" s="568">
        <f t="shared" ca="1" si="205"/>
        <v>0</v>
      </c>
      <c r="P326" s="568">
        <f t="shared" ca="1" si="206"/>
        <v>0</v>
      </c>
      <c r="Q326" s="568">
        <f t="shared" ref="Q326:S326" si="215">Q327+Q328</f>
        <v>0</v>
      </c>
      <c r="R326" s="568">
        <f t="shared" si="215"/>
        <v>0</v>
      </c>
      <c r="S326" s="568">
        <f t="shared" si="215"/>
        <v>0</v>
      </c>
      <c r="T326" s="568">
        <f t="shared" si="208"/>
        <v>0</v>
      </c>
      <c r="U326" s="568">
        <f t="shared" si="209"/>
        <v>0</v>
      </c>
    </row>
    <row r="327" spans="1:21" ht="18.75" hidden="1" x14ac:dyDescent="0.25">
      <c r="A327" s="674"/>
      <c r="B327" s="561"/>
      <c r="C327" s="561"/>
      <c r="D327" s="561"/>
      <c r="E327" s="569" t="s">
        <v>20</v>
      </c>
      <c r="F327" s="561"/>
      <c r="G327" s="563"/>
      <c r="H327" s="685" t="s">
        <v>14</v>
      </c>
      <c r="I327" s="683"/>
      <c r="J327" s="683"/>
      <c r="K327" s="684"/>
      <c r="L327" s="571">
        <v>0</v>
      </c>
      <c r="M327" s="572">
        <v>0</v>
      </c>
      <c r="N327" s="572">
        <v>0</v>
      </c>
      <c r="O327" s="572">
        <f t="shared" si="205"/>
        <v>0</v>
      </c>
      <c r="P327" s="572">
        <f t="shared" si="206"/>
        <v>0</v>
      </c>
      <c r="Q327" s="572">
        <v>0</v>
      </c>
      <c r="R327" s="572">
        <v>0</v>
      </c>
      <c r="S327" s="572">
        <v>0</v>
      </c>
      <c r="T327" s="572">
        <f t="shared" si="208"/>
        <v>0</v>
      </c>
      <c r="U327" s="572">
        <f t="shared" si="209"/>
        <v>0</v>
      </c>
    </row>
    <row r="328" spans="1:21" ht="18.75" hidden="1" x14ac:dyDescent="0.25">
      <c r="A328" s="674"/>
      <c r="B328" s="561"/>
      <c r="C328" s="561"/>
      <c r="D328" s="561"/>
      <c r="E328" s="573" t="s">
        <v>21</v>
      </c>
      <c r="F328" s="561"/>
      <c r="G328" s="563"/>
      <c r="H328" s="686" t="s">
        <v>14</v>
      </c>
      <c r="I328" s="683"/>
      <c r="J328" s="683"/>
      <c r="K328" s="684"/>
      <c r="L328" s="567">
        <f ca="1">IFERROR(__xludf.DUMMYFUNCTION("IMPORTRANGE(""https://docs.google.com/spreadsheets/d/1-uDff_7J0KD5mKrp0Vvzr7lt3OU09vwQwhkpOPPYv2Y/edit?usp=sharing"",""งบพรบ!EL20"")"),0)</f>
        <v>0</v>
      </c>
      <c r="M328" s="568">
        <f ca="1">IFERROR(__xludf.DUMMYFUNCTION("IMPORTRANGE(""https://docs.google.com/spreadsheets/d/1-uDff_7J0KD5mKrp0Vvzr7lt3OU09vwQwhkpOPPYv2Y/edit?usp=sharing"",""งบพรบ!EO20"")"),0)</f>
        <v>0</v>
      </c>
      <c r="N328" s="568">
        <f ca="1">IFERROR(__xludf.DUMMYFUNCTION("IMPORTRANGE(""https://docs.google.com/spreadsheets/d/1-uDff_7J0KD5mKrp0Vvzr7lt3OU09vwQwhkpOPPYv2Y/edit?usp=sharing"",""งบพรบ!EQ20"")"),0)</f>
        <v>0</v>
      </c>
      <c r="O328" s="568">
        <f t="shared" ca="1" si="205"/>
        <v>0</v>
      </c>
      <c r="P328" s="568">
        <f t="shared" ca="1" si="206"/>
        <v>0</v>
      </c>
      <c r="Q328" s="568">
        <v>0</v>
      </c>
      <c r="R328" s="568">
        <v>0</v>
      </c>
      <c r="S328" s="568">
        <v>0</v>
      </c>
      <c r="T328" s="568">
        <f t="shared" si="208"/>
        <v>0</v>
      </c>
      <c r="U328" s="568">
        <f t="shared" si="209"/>
        <v>0</v>
      </c>
    </row>
    <row r="329" spans="1:21" ht="19.5" hidden="1" x14ac:dyDescent="0.3">
      <c r="A329" s="687"/>
      <c r="B329" s="688"/>
      <c r="C329" s="675" t="s">
        <v>18</v>
      </c>
      <c r="D329" s="689" t="s">
        <v>38</v>
      </c>
      <c r="E329" s="690"/>
      <c r="F329" s="690"/>
      <c r="G329" s="691"/>
      <c r="H329" s="692"/>
      <c r="I329" s="683"/>
      <c r="J329" s="565"/>
      <c r="K329" s="566"/>
      <c r="L329" s="574"/>
      <c r="M329" s="566"/>
      <c r="N329" s="566"/>
      <c r="O329" s="684"/>
      <c r="P329" s="684"/>
      <c r="Q329" s="566"/>
      <c r="R329" s="566"/>
      <c r="S329" s="566"/>
      <c r="T329" s="684"/>
      <c r="U329" s="684"/>
    </row>
    <row r="330" spans="1:21" ht="18.75" hidden="1" x14ac:dyDescent="0.25">
      <c r="A330" s="687"/>
      <c r="B330" s="688"/>
      <c r="C330" s="688"/>
      <c r="D330" s="694" t="s">
        <v>134</v>
      </c>
      <c r="E330" s="695"/>
      <c r="F330" s="695"/>
      <c r="G330" s="692"/>
      <c r="H330" s="564" t="s">
        <v>133</v>
      </c>
      <c r="I330" s="708">
        <f ca="1">IFERROR(__xludf.DUMMYFUNCTION("IMPORTRANGE(""https://docs.google.com/spreadsheets/d/1eHaY18a8A9IcSdp1K8H6x8fbOy06t2VsZHhMHf-1x7Y/edit?usp=sharing"",""แผน!EJ20"")"),0)</f>
        <v>0</v>
      </c>
      <c r="J330" s="702">
        <v>0</v>
      </c>
      <c r="K330" s="568">
        <f ca="1">IF(I330&gt;0,J330*100/I330,0)</f>
        <v>0</v>
      </c>
      <c r="L330" s="574"/>
      <c r="M330" s="566"/>
      <c r="N330" s="566"/>
      <c r="O330" s="684"/>
      <c r="P330" s="684"/>
      <c r="Q330" s="566"/>
      <c r="R330" s="566"/>
      <c r="S330" s="566"/>
      <c r="T330" s="684"/>
      <c r="U330" s="684"/>
    </row>
    <row r="331" spans="1:21" ht="19.5" x14ac:dyDescent="0.3">
      <c r="A331" s="902" t="s">
        <v>135</v>
      </c>
      <c r="B331" s="903"/>
      <c r="C331" s="903"/>
      <c r="D331" s="904"/>
      <c r="E331" s="903"/>
      <c r="F331" s="903"/>
      <c r="G331" s="903"/>
      <c r="H331" s="904"/>
      <c r="I331" s="906"/>
      <c r="J331" s="906"/>
      <c r="K331" s="907"/>
      <c r="L331" s="908"/>
      <c r="M331" s="907"/>
      <c r="N331" s="907"/>
      <c r="O331" s="907"/>
      <c r="P331" s="907"/>
      <c r="Q331" s="907"/>
      <c r="R331" s="907"/>
      <c r="S331" s="907"/>
      <c r="T331" s="907"/>
      <c r="U331" s="907"/>
    </row>
    <row r="332" spans="1:21" ht="19.5" x14ac:dyDescent="0.3">
      <c r="A332" s="909"/>
      <c r="B332" s="910" t="s">
        <v>136</v>
      </c>
      <c r="C332" s="928"/>
      <c r="D332" s="911"/>
      <c r="E332" s="911"/>
      <c r="F332" s="911"/>
      <c r="G332" s="912"/>
      <c r="H332" s="913" t="s">
        <v>35</v>
      </c>
      <c r="I332" s="929">
        <f ca="1">I344</f>
        <v>1060</v>
      </c>
      <c r="J332" s="930">
        <f ca="1">J344+J347+J348+J349+J353</f>
        <v>11208</v>
      </c>
      <c r="K332" s="931">
        <f ca="1">IF(I332&gt;0,J332*100/I332,0)</f>
        <v>1057.3584905660377</v>
      </c>
      <c r="L332" s="916"/>
      <c r="M332" s="917"/>
      <c r="N332" s="917"/>
      <c r="O332" s="917"/>
      <c r="P332" s="917"/>
      <c r="Q332" s="917"/>
      <c r="R332" s="917"/>
      <c r="S332" s="917"/>
      <c r="T332" s="917"/>
      <c r="U332" s="917"/>
    </row>
    <row r="333" spans="1:21" ht="19.5" x14ac:dyDescent="0.3">
      <c r="A333" s="674"/>
      <c r="B333" s="561"/>
      <c r="C333" s="675" t="s">
        <v>18</v>
      </c>
      <c r="D333" s="676" t="s">
        <v>19</v>
      </c>
      <c r="E333" s="561"/>
      <c r="F333" s="561"/>
      <c r="G333" s="563"/>
      <c r="H333" s="677" t="s">
        <v>14</v>
      </c>
      <c r="I333" s="565"/>
      <c r="J333" s="565"/>
      <c r="K333" s="566"/>
      <c r="L333" s="678">
        <f t="shared" ref="L333:N333" ca="1" si="216">L334+L335</f>
        <v>183000</v>
      </c>
      <c r="M333" s="679">
        <f t="shared" ca="1" si="216"/>
        <v>111000</v>
      </c>
      <c r="N333" s="679">
        <f t="shared" ca="1" si="216"/>
        <v>75130</v>
      </c>
      <c r="O333" s="679">
        <f t="shared" ref="O333:O341" ca="1" si="217">IF(L333&gt;0,N333*100/L333,0)</f>
        <v>41.05464480874317</v>
      </c>
      <c r="P333" s="679">
        <f t="shared" ref="P333:P341" ca="1" si="218">IF(M333&gt;0,N333*100/M333,0)</f>
        <v>67.684684684684683</v>
      </c>
      <c r="Q333" s="679">
        <f t="shared" ref="Q333:S333" si="219">Q334+Q335</f>
        <v>0</v>
      </c>
      <c r="R333" s="679">
        <f t="shared" si="219"/>
        <v>0</v>
      </c>
      <c r="S333" s="679">
        <f t="shared" si="219"/>
        <v>0</v>
      </c>
      <c r="T333" s="679">
        <f t="shared" ref="T333:T341" si="220">IF(Q333&gt;0,S333*100/Q333,0)</f>
        <v>0</v>
      </c>
      <c r="U333" s="679">
        <f t="shared" ref="U333:U341" si="221">IF(R333&gt;0,S333*100/R333,0)</f>
        <v>0</v>
      </c>
    </row>
    <row r="334" spans="1:21" ht="18.75" x14ac:dyDescent="0.25">
      <c r="A334" s="674"/>
      <c r="B334" s="561"/>
      <c r="C334" s="561"/>
      <c r="D334" s="561"/>
      <c r="E334" s="569" t="s">
        <v>20</v>
      </c>
      <c r="F334" s="561"/>
      <c r="G334" s="563"/>
      <c r="H334" s="680" t="s">
        <v>14</v>
      </c>
      <c r="I334" s="565"/>
      <c r="J334" s="565"/>
      <c r="K334" s="566"/>
      <c r="L334" s="571">
        <f t="shared" ref="L334:N335" si="222">L337+L340</f>
        <v>0</v>
      </c>
      <c r="M334" s="572">
        <f t="shared" si="222"/>
        <v>0</v>
      </c>
      <c r="N334" s="572">
        <f t="shared" si="222"/>
        <v>0</v>
      </c>
      <c r="O334" s="572">
        <f t="shared" si="217"/>
        <v>0</v>
      </c>
      <c r="P334" s="572">
        <f t="shared" si="218"/>
        <v>0</v>
      </c>
      <c r="Q334" s="572">
        <f t="shared" ref="Q334:S335" si="223">Q337+Q340</f>
        <v>0</v>
      </c>
      <c r="R334" s="572">
        <f t="shared" si="223"/>
        <v>0</v>
      </c>
      <c r="S334" s="572">
        <f t="shared" si="223"/>
        <v>0</v>
      </c>
      <c r="T334" s="572">
        <f t="shared" si="220"/>
        <v>0</v>
      </c>
      <c r="U334" s="572">
        <f t="shared" si="221"/>
        <v>0</v>
      </c>
    </row>
    <row r="335" spans="1:21" ht="18.75" x14ac:dyDescent="0.25">
      <c r="A335" s="674"/>
      <c r="B335" s="561"/>
      <c r="C335" s="561"/>
      <c r="D335" s="561"/>
      <c r="E335" s="573" t="s">
        <v>21</v>
      </c>
      <c r="F335" s="561"/>
      <c r="G335" s="563"/>
      <c r="H335" s="681" t="s">
        <v>14</v>
      </c>
      <c r="I335" s="565"/>
      <c r="J335" s="565"/>
      <c r="K335" s="566"/>
      <c r="L335" s="567">
        <f t="shared" ca="1" si="222"/>
        <v>183000</v>
      </c>
      <c r="M335" s="568">
        <f t="shared" ca="1" si="222"/>
        <v>111000</v>
      </c>
      <c r="N335" s="568">
        <f t="shared" ca="1" si="222"/>
        <v>75130</v>
      </c>
      <c r="O335" s="568">
        <f t="shared" ca="1" si="217"/>
        <v>41.05464480874317</v>
      </c>
      <c r="P335" s="568">
        <f t="shared" ca="1" si="218"/>
        <v>67.684684684684683</v>
      </c>
      <c r="Q335" s="568">
        <f t="shared" si="223"/>
        <v>0</v>
      </c>
      <c r="R335" s="568">
        <f t="shared" si="223"/>
        <v>0</v>
      </c>
      <c r="S335" s="568">
        <f t="shared" si="223"/>
        <v>0</v>
      </c>
      <c r="T335" s="568">
        <f t="shared" si="220"/>
        <v>0</v>
      </c>
      <c r="U335" s="568">
        <f t="shared" si="221"/>
        <v>0</v>
      </c>
    </row>
    <row r="336" spans="1:21" ht="18.75" x14ac:dyDescent="0.25">
      <c r="A336" s="674"/>
      <c r="B336" s="561"/>
      <c r="C336" s="561"/>
      <c r="D336" s="562" t="s">
        <v>22</v>
      </c>
      <c r="E336" s="561"/>
      <c r="F336" s="561"/>
      <c r="G336" s="563"/>
      <c r="H336" s="682" t="s">
        <v>14</v>
      </c>
      <c r="I336" s="683"/>
      <c r="J336" s="683"/>
      <c r="K336" s="684"/>
      <c r="L336" s="567">
        <f t="shared" ref="L336:N336" ca="1" si="224">L337+L338</f>
        <v>183000</v>
      </c>
      <c r="M336" s="568">
        <f t="shared" ca="1" si="224"/>
        <v>111000</v>
      </c>
      <c r="N336" s="568">
        <f t="shared" ca="1" si="224"/>
        <v>75130</v>
      </c>
      <c r="O336" s="568">
        <f t="shared" ca="1" si="217"/>
        <v>41.05464480874317</v>
      </c>
      <c r="P336" s="568">
        <f t="shared" ca="1" si="218"/>
        <v>67.684684684684683</v>
      </c>
      <c r="Q336" s="568">
        <f t="shared" ref="Q336:S336" si="225">Q337+Q338</f>
        <v>0</v>
      </c>
      <c r="R336" s="568">
        <f t="shared" si="225"/>
        <v>0</v>
      </c>
      <c r="S336" s="568">
        <f t="shared" si="225"/>
        <v>0</v>
      </c>
      <c r="T336" s="568">
        <f t="shared" si="220"/>
        <v>0</v>
      </c>
      <c r="U336" s="568">
        <f t="shared" si="221"/>
        <v>0</v>
      </c>
    </row>
    <row r="337" spans="1:21" ht="18.75" x14ac:dyDescent="0.25">
      <c r="A337" s="674"/>
      <c r="B337" s="561"/>
      <c r="C337" s="561"/>
      <c r="D337" s="561"/>
      <c r="E337" s="569" t="s">
        <v>36</v>
      </c>
      <c r="F337" s="561"/>
      <c r="G337" s="563"/>
      <c r="H337" s="685" t="s">
        <v>14</v>
      </c>
      <c r="I337" s="683"/>
      <c r="J337" s="683"/>
      <c r="K337" s="684"/>
      <c r="L337" s="571">
        <v>0</v>
      </c>
      <c r="M337" s="572">
        <v>0</v>
      </c>
      <c r="N337" s="572">
        <v>0</v>
      </c>
      <c r="O337" s="572">
        <f t="shared" si="217"/>
        <v>0</v>
      </c>
      <c r="P337" s="572">
        <f t="shared" si="218"/>
        <v>0</v>
      </c>
      <c r="Q337" s="572">
        <v>0</v>
      </c>
      <c r="R337" s="572">
        <v>0</v>
      </c>
      <c r="S337" s="572">
        <v>0</v>
      </c>
      <c r="T337" s="572">
        <f t="shared" si="220"/>
        <v>0</v>
      </c>
      <c r="U337" s="572">
        <f t="shared" si="221"/>
        <v>0</v>
      </c>
    </row>
    <row r="338" spans="1:21" ht="18.75" x14ac:dyDescent="0.25">
      <c r="A338" s="674"/>
      <c r="B338" s="561"/>
      <c r="C338" s="561"/>
      <c r="D338" s="561"/>
      <c r="E338" s="573" t="s">
        <v>37</v>
      </c>
      <c r="F338" s="561"/>
      <c r="G338" s="563"/>
      <c r="H338" s="682" t="s">
        <v>14</v>
      </c>
      <c r="I338" s="683"/>
      <c r="J338" s="683"/>
      <c r="K338" s="684"/>
      <c r="L338" s="567">
        <f ca="1">IFERROR(__xludf.DUMMYFUNCTION("IMPORTRANGE(""https://docs.google.com/spreadsheets/d/1-uDff_7J0KD5mKrp0Vvzr7lt3OU09vwQwhkpOPPYv2Y/edit?usp=sharing"",""งบพรบ!ES20"")"),183000)</f>
        <v>183000</v>
      </c>
      <c r="M338" s="568">
        <f ca="1">IFERROR(__xludf.DUMMYFUNCTION("IMPORTRANGE(""https://docs.google.com/spreadsheets/d/1-uDff_7J0KD5mKrp0Vvzr7lt3OU09vwQwhkpOPPYv2Y/edit?usp=sharing"",""งบพรบ!EX20"")"),111000)</f>
        <v>111000</v>
      </c>
      <c r="N338" s="568">
        <f ca="1">IFERROR(__xludf.DUMMYFUNCTION("IMPORTRANGE(""https://docs.google.com/spreadsheets/d/1-uDff_7J0KD5mKrp0Vvzr7lt3OU09vwQwhkpOPPYv2Y/edit?usp=sharing"",""งบพรบ!EZ20"")"),75130)</f>
        <v>75130</v>
      </c>
      <c r="O338" s="568">
        <f t="shared" ca="1" si="217"/>
        <v>41.05464480874317</v>
      </c>
      <c r="P338" s="568">
        <f t="shared" ca="1" si="218"/>
        <v>67.684684684684683</v>
      </c>
      <c r="Q338" s="568">
        <v>0</v>
      </c>
      <c r="R338" s="568">
        <v>0</v>
      </c>
      <c r="S338" s="568">
        <v>0</v>
      </c>
      <c r="T338" s="568">
        <f t="shared" si="220"/>
        <v>0</v>
      </c>
      <c r="U338" s="568">
        <f t="shared" si="221"/>
        <v>0</v>
      </c>
    </row>
    <row r="339" spans="1:21" ht="18.75" x14ac:dyDescent="0.25">
      <c r="A339" s="674"/>
      <c r="B339" s="561"/>
      <c r="C339" s="561"/>
      <c r="D339" s="562" t="s">
        <v>23</v>
      </c>
      <c r="E339" s="561"/>
      <c r="F339" s="561"/>
      <c r="G339" s="563"/>
      <c r="H339" s="686" t="s">
        <v>14</v>
      </c>
      <c r="I339" s="683"/>
      <c r="J339" s="683"/>
      <c r="K339" s="684"/>
      <c r="L339" s="567">
        <f t="shared" ref="L339:N339" ca="1" si="226">L340+L341</f>
        <v>0</v>
      </c>
      <c r="M339" s="568">
        <f t="shared" ca="1" si="226"/>
        <v>0</v>
      </c>
      <c r="N339" s="568">
        <f t="shared" ca="1" si="226"/>
        <v>0</v>
      </c>
      <c r="O339" s="568">
        <f t="shared" ca="1" si="217"/>
        <v>0</v>
      </c>
      <c r="P339" s="568">
        <f t="shared" ca="1" si="218"/>
        <v>0</v>
      </c>
      <c r="Q339" s="568">
        <f t="shared" ref="Q339:S339" si="227">Q340+Q341</f>
        <v>0</v>
      </c>
      <c r="R339" s="568">
        <f t="shared" si="227"/>
        <v>0</v>
      </c>
      <c r="S339" s="568">
        <f t="shared" si="227"/>
        <v>0</v>
      </c>
      <c r="T339" s="568">
        <f t="shared" si="220"/>
        <v>0</v>
      </c>
      <c r="U339" s="568">
        <f t="shared" si="221"/>
        <v>0</v>
      </c>
    </row>
    <row r="340" spans="1:21" ht="18.75" x14ac:dyDescent="0.25">
      <c r="A340" s="674"/>
      <c r="B340" s="561"/>
      <c r="C340" s="561"/>
      <c r="D340" s="561"/>
      <c r="E340" s="569" t="s">
        <v>20</v>
      </c>
      <c r="F340" s="561"/>
      <c r="G340" s="563"/>
      <c r="H340" s="685" t="s">
        <v>14</v>
      </c>
      <c r="I340" s="683"/>
      <c r="J340" s="683"/>
      <c r="K340" s="684"/>
      <c r="L340" s="571">
        <v>0</v>
      </c>
      <c r="M340" s="572">
        <v>0</v>
      </c>
      <c r="N340" s="572">
        <v>0</v>
      </c>
      <c r="O340" s="572">
        <f t="shared" si="217"/>
        <v>0</v>
      </c>
      <c r="P340" s="572">
        <f t="shared" si="218"/>
        <v>0</v>
      </c>
      <c r="Q340" s="572">
        <v>0</v>
      </c>
      <c r="R340" s="572">
        <v>0</v>
      </c>
      <c r="S340" s="572">
        <v>0</v>
      </c>
      <c r="T340" s="572">
        <f t="shared" si="220"/>
        <v>0</v>
      </c>
      <c r="U340" s="572">
        <f t="shared" si="221"/>
        <v>0</v>
      </c>
    </row>
    <row r="341" spans="1:21" ht="18.75" x14ac:dyDescent="0.25">
      <c r="A341" s="674"/>
      <c r="B341" s="561"/>
      <c r="C341" s="561"/>
      <c r="D341" s="561"/>
      <c r="E341" s="573" t="s">
        <v>21</v>
      </c>
      <c r="F341" s="561"/>
      <c r="G341" s="563"/>
      <c r="H341" s="686" t="s">
        <v>14</v>
      </c>
      <c r="I341" s="683"/>
      <c r="J341" s="683"/>
      <c r="K341" s="684"/>
      <c r="L341" s="567">
        <f ca="1">IFERROR(__xludf.DUMMYFUNCTION("IMPORTRANGE(""https://docs.google.com/spreadsheets/d/1-uDff_7J0KD5mKrp0Vvzr7lt3OU09vwQwhkpOPPYv2Y/edit?usp=sharing"",""งบพรบ!EV20"")"),0)</f>
        <v>0</v>
      </c>
      <c r="M341" s="568">
        <f ca="1">IFERROR(__xludf.DUMMYFUNCTION("IMPORTRANGE(""https://docs.google.com/spreadsheets/d/1-uDff_7J0KD5mKrp0Vvzr7lt3OU09vwQwhkpOPPYv2Y/edit?usp=sharing"",""งบพรบ!EY20"")"),0)</f>
        <v>0</v>
      </c>
      <c r="N341" s="568">
        <f ca="1">IFERROR(__xludf.DUMMYFUNCTION("IMPORTRANGE(""https://docs.google.com/spreadsheets/d/1-uDff_7J0KD5mKrp0Vvzr7lt3OU09vwQwhkpOPPYv2Y/edit?usp=sharing"",""งบพรบ!FA20"")"),0)</f>
        <v>0</v>
      </c>
      <c r="O341" s="568">
        <f t="shared" ca="1" si="217"/>
        <v>0</v>
      </c>
      <c r="P341" s="568">
        <f t="shared" ca="1" si="218"/>
        <v>0</v>
      </c>
      <c r="Q341" s="568">
        <v>0</v>
      </c>
      <c r="R341" s="568">
        <v>0</v>
      </c>
      <c r="S341" s="568">
        <v>0</v>
      </c>
      <c r="T341" s="568">
        <f t="shared" si="220"/>
        <v>0</v>
      </c>
      <c r="U341" s="568">
        <f t="shared" si="221"/>
        <v>0</v>
      </c>
    </row>
    <row r="342" spans="1:21" ht="19.5" x14ac:dyDescent="0.3">
      <c r="A342" s="687"/>
      <c r="B342" s="688"/>
      <c r="C342" s="675" t="s">
        <v>18</v>
      </c>
      <c r="D342" s="757" t="s">
        <v>38</v>
      </c>
      <c r="E342" s="690"/>
      <c r="F342" s="690"/>
      <c r="G342" s="691"/>
      <c r="H342" s="563"/>
      <c r="I342" s="565"/>
      <c r="J342" s="565"/>
      <c r="K342" s="566"/>
      <c r="L342" s="574"/>
      <c r="M342" s="566"/>
      <c r="N342" s="566"/>
      <c r="O342" s="684"/>
      <c r="P342" s="684"/>
      <c r="Q342" s="566"/>
      <c r="R342" s="566"/>
      <c r="S342" s="566"/>
      <c r="T342" s="684"/>
      <c r="U342" s="684"/>
    </row>
    <row r="343" spans="1:21" ht="19.5" x14ac:dyDescent="0.3">
      <c r="A343" s="932"/>
      <c r="B343" s="933"/>
      <c r="C343" s="934"/>
      <c r="D343" s="933"/>
      <c r="E343" s="935" t="s">
        <v>137</v>
      </c>
      <c r="F343" s="933"/>
      <c r="G343" s="936"/>
      <c r="H343" s="937" t="s">
        <v>35</v>
      </c>
      <c r="I343" s="938">
        <v>0</v>
      </c>
      <c r="J343" s="938">
        <f ca="1">J344+J347+J348+J349</f>
        <v>3331</v>
      </c>
      <c r="K343" s="939">
        <v>0</v>
      </c>
      <c r="L343" s="777"/>
      <c r="M343" s="778"/>
      <c r="N343" s="778"/>
      <c r="O343" s="778"/>
      <c r="P343" s="778"/>
      <c r="Q343" s="778"/>
      <c r="R343" s="778"/>
      <c r="S343" s="778"/>
      <c r="T343" s="778"/>
      <c r="U343" s="778"/>
    </row>
    <row r="344" spans="1:21" ht="18.75" x14ac:dyDescent="0.25">
      <c r="A344" s="764"/>
      <c r="B344" s="561"/>
      <c r="C344" s="718"/>
      <c r="D344" s="695"/>
      <c r="E344" s="699" t="s">
        <v>138</v>
      </c>
      <c r="F344" s="561"/>
      <c r="G344" s="563"/>
      <c r="H344" s="766" t="s">
        <v>35</v>
      </c>
      <c r="I344" s="708">
        <f ca="1">IFERROR(__xludf.DUMMYFUNCTION("IMPORTRANGE(""https://docs.google.com/spreadsheets/d/1eHaY18a8A9IcSdp1K8H6x8fbOy06t2VsZHhMHf-1x7Y/edit?usp=sharing"",""แผน!EK20"")"),1060)</f>
        <v>1060</v>
      </c>
      <c r="J344" s="708">
        <f ca="1">IFERROR(__xludf.DUMMYFUNCTION("IMPORTRANGE(""https://docs.google.com/spreadsheets/d/1awYsYK3VOup2i3Pq_Yjnu8DRu_mYwSBnCR2QPthd0rU/edit?usp=sharing"",""ศูนย์ยกเว้นโฉนด!D20"")"),3328)</f>
        <v>3328</v>
      </c>
      <c r="K344" s="568">
        <f ca="1">IF(I344&gt;0,J344*100/I344,0)</f>
        <v>313.96226415094338</v>
      </c>
      <c r="L344" s="574"/>
      <c r="M344" s="566"/>
      <c r="N344" s="566"/>
      <c r="O344" s="566"/>
      <c r="P344" s="566"/>
      <c r="Q344" s="566"/>
      <c r="R344" s="566"/>
      <c r="S344" s="566"/>
      <c r="T344" s="566"/>
      <c r="U344" s="566"/>
    </row>
    <row r="345" spans="1:21" ht="18.75" x14ac:dyDescent="0.25">
      <c r="A345" s="764"/>
      <c r="B345" s="561"/>
      <c r="C345" s="718"/>
      <c r="D345" s="695"/>
      <c r="E345" s="699" t="s">
        <v>139</v>
      </c>
      <c r="F345" s="561"/>
      <c r="G345" s="563"/>
      <c r="H345" s="727"/>
      <c r="I345" s="565"/>
      <c r="J345" s="565"/>
      <c r="K345" s="566"/>
      <c r="L345" s="574"/>
      <c r="M345" s="566"/>
      <c r="N345" s="566"/>
      <c r="O345" s="566"/>
      <c r="P345" s="566"/>
      <c r="Q345" s="566"/>
      <c r="R345" s="566"/>
      <c r="S345" s="566"/>
      <c r="T345" s="566"/>
      <c r="U345" s="566"/>
    </row>
    <row r="346" spans="1:21" ht="18.75" x14ac:dyDescent="0.25">
      <c r="A346" s="764"/>
      <c r="B346" s="561"/>
      <c r="C346" s="718"/>
      <c r="D346" s="695"/>
      <c r="E346" s="695"/>
      <c r="F346" s="699" t="s">
        <v>140</v>
      </c>
      <c r="G346" s="563"/>
      <c r="H346" s="722" t="s">
        <v>141</v>
      </c>
      <c r="I346" s="708">
        <f ca="1">IFERROR(__xludf.DUMMYFUNCTION("IMPORTRANGE(""https://docs.google.com/spreadsheets/d/1eHaY18a8A9IcSdp1K8H6x8fbOy06t2VsZHhMHf-1x7Y/edit?usp=sharing"",""แผน!EL20"")"),3)</f>
        <v>3</v>
      </c>
      <c r="J346" s="708">
        <f ca="1">IFERROR(__xludf.DUMMYFUNCTION("IMPORTRANGE(""https://docs.google.com/spreadsheets/d/1awYsYK3VOup2i3Pq_Yjnu8DRu_mYwSBnCR2QPthd0rU/edit?usp=sharing"",""ศูนย์รวม!E20"")"),1)</f>
        <v>1</v>
      </c>
      <c r="K346" s="568">
        <f ca="1">IF(I346&gt;0,J346*100/I346,0)</f>
        <v>33.333333333333336</v>
      </c>
      <c r="L346" s="574"/>
      <c r="M346" s="566"/>
      <c r="N346" s="566"/>
      <c r="O346" s="566"/>
      <c r="P346" s="566"/>
      <c r="Q346" s="566"/>
      <c r="R346" s="566"/>
      <c r="S346" s="566"/>
      <c r="T346" s="566"/>
      <c r="U346" s="566"/>
    </row>
    <row r="347" spans="1:21" ht="18.75" x14ac:dyDescent="0.25">
      <c r="A347" s="764"/>
      <c r="B347" s="561"/>
      <c r="C347" s="718"/>
      <c r="D347" s="695"/>
      <c r="E347" s="695"/>
      <c r="F347" s="699" t="s">
        <v>142</v>
      </c>
      <c r="G347" s="563"/>
      <c r="H347" s="722" t="s">
        <v>35</v>
      </c>
      <c r="I347" s="565"/>
      <c r="J347" s="708">
        <f ca="1">IFERROR(__xludf.DUMMYFUNCTION("IMPORTRANGE(""https://docs.google.com/spreadsheets/d/1awYsYK3VOup2i3Pq_Yjnu8DRu_mYwSBnCR2QPthd0rU/edit?usp=sharing"",""ศูนย์ยกเว้นโฉนด!F20"")"),0)</f>
        <v>0</v>
      </c>
      <c r="K347" s="566"/>
      <c r="L347" s="574"/>
      <c r="M347" s="566"/>
      <c r="N347" s="566"/>
      <c r="O347" s="566"/>
      <c r="P347" s="566"/>
      <c r="Q347" s="566"/>
      <c r="R347" s="566"/>
      <c r="S347" s="566"/>
      <c r="T347" s="566"/>
      <c r="U347" s="566"/>
    </row>
    <row r="348" spans="1:21" ht="18.75" x14ac:dyDescent="0.25">
      <c r="A348" s="764"/>
      <c r="B348" s="561"/>
      <c r="C348" s="718"/>
      <c r="D348" s="695"/>
      <c r="E348" s="699" t="s">
        <v>143</v>
      </c>
      <c r="F348" s="695"/>
      <c r="G348" s="563"/>
      <c r="H348" s="722" t="s">
        <v>35</v>
      </c>
      <c r="I348" s="565"/>
      <c r="J348" s="708">
        <f ca="1">IFERROR(__xludf.DUMMYFUNCTION("IMPORTRANGE(""https://docs.google.com/spreadsheets/d/1awYsYK3VOup2i3Pq_Yjnu8DRu_mYwSBnCR2QPthd0rU/edit?usp=sharing"",""ศูนย์ยกเว้นโฉนด!G20"")"),3)</f>
        <v>3</v>
      </c>
      <c r="K348" s="566"/>
      <c r="L348" s="574"/>
      <c r="M348" s="566"/>
      <c r="N348" s="566"/>
      <c r="O348" s="566"/>
      <c r="P348" s="566"/>
      <c r="Q348" s="566"/>
      <c r="R348" s="566"/>
      <c r="S348" s="566"/>
      <c r="T348" s="566"/>
      <c r="U348" s="566"/>
    </row>
    <row r="349" spans="1:21" ht="18.75" x14ac:dyDescent="0.25">
      <c r="A349" s="764"/>
      <c r="B349" s="561"/>
      <c r="C349" s="718"/>
      <c r="D349" s="688"/>
      <c r="E349" s="699" t="s">
        <v>144</v>
      </c>
      <c r="F349" s="695"/>
      <c r="G349" s="563"/>
      <c r="H349" s="722" t="s">
        <v>35</v>
      </c>
      <c r="I349" s="565"/>
      <c r="J349" s="708">
        <f ca="1">IFERROR(__xludf.DUMMYFUNCTION("IMPORTRANGE(""https://docs.google.com/spreadsheets/d/1awYsYK3VOup2i3Pq_Yjnu8DRu_mYwSBnCR2QPthd0rU/edit?usp=sharing"",""ศูนย์ยกเว้นโฉนด!H20"")"),0)</f>
        <v>0</v>
      </c>
      <c r="K349" s="566"/>
      <c r="L349" s="574"/>
      <c r="M349" s="566"/>
      <c r="N349" s="566"/>
      <c r="O349" s="566"/>
      <c r="P349" s="566"/>
      <c r="Q349" s="566"/>
      <c r="R349" s="566"/>
      <c r="S349" s="566"/>
      <c r="T349" s="566"/>
      <c r="U349" s="566"/>
    </row>
    <row r="350" spans="1:21" ht="16.5" x14ac:dyDescent="0.25">
      <c r="A350" s="718"/>
      <c r="B350" s="561"/>
      <c r="C350" s="718"/>
      <c r="D350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61"/>
      <c r="F350" s="561"/>
      <c r="G350" s="563"/>
      <c r="H350" s="727"/>
      <c r="I350" s="565"/>
      <c r="J350" s="565"/>
      <c r="K350" s="566"/>
      <c r="L350" s="574"/>
      <c r="M350" s="566"/>
      <c r="N350" s="566"/>
      <c r="O350" s="566"/>
      <c r="P350" s="566"/>
      <c r="Q350" s="566"/>
      <c r="R350" s="566"/>
      <c r="S350" s="566"/>
      <c r="T350" s="566"/>
      <c r="U350" s="566"/>
    </row>
    <row r="351" spans="1:21" ht="19.5" x14ac:dyDescent="0.3">
      <c r="A351" s="769"/>
      <c r="B351" s="772"/>
      <c r="C351" s="770"/>
      <c r="D351" s="772"/>
      <c r="E351" s="941" t="s">
        <v>145</v>
      </c>
      <c r="F351" s="772"/>
      <c r="G351" s="773"/>
      <c r="H351" s="774" t="s">
        <v>35</v>
      </c>
      <c r="I351" s="775">
        <v>0</v>
      </c>
      <c r="J351" s="775">
        <f ca="1">J352+J353</f>
        <v>12486</v>
      </c>
      <c r="K351" s="776">
        <v>0</v>
      </c>
      <c r="L351" s="777"/>
      <c r="M351" s="778"/>
      <c r="N351" s="778"/>
      <c r="O351" s="778"/>
      <c r="P351" s="778"/>
      <c r="Q351" s="778"/>
      <c r="R351" s="778"/>
      <c r="S351" s="778"/>
      <c r="T351" s="778"/>
      <c r="U351" s="778"/>
    </row>
    <row r="352" spans="1:21" ht="18.75" x14ac:dyDescent="0.25">
      <c r="A352" s="718"/>
      <c r="B352" s="561"/>
      <c r="C352" s="718"/>
      <c r="D352" s="695"/>
      <c r="E352" s="699" t="s">
        <v>146</v>
      </c>
      <c r="F352" s="561"/>
      <c r="G352" s="563"/>
      <c r="H352" s="681" t="s">
        <v>35</v>
      </c>
      <c r="I352" s="565"/>
      <c r="J352" s="708">
        <f ca="1">IFERROR(__xludf.DUMMYFUNCTION("IMPORTRANGE(""https://docs.google.com/spreadsheets/d/1awYsYK3VOup2i3Pq_Yjnu8DRu_mYwSBnCR2QPthd0rU/edit?usp=sharing"",""โฉนดM3!G20"")"),4609)</f>
        <v>4609</v>
      </c>
      <c r="K352" s="566"/>
      <c r="L352" s="574"/>
      <c r="M352" s="566"/>
      <c r="N352" s="566"/>
      <c r="O352" s="566"/>
      <c r="P352" s="566"/>
      <c r="Q352" s="566"/>
      <c r="R352" s="566"/>
      <c r="S352" s="566"/>
      <c r="T352" s="566"/>
      <c r="U352" s="566"/>
    </row>
    <row r="353" spans="1:21" ht="18.75" x14ac:dyDescent="0.25">
      <c r="A353" s="718"/>
      <c r="B353" s="561"/>
      <c r="C353" s="718"/>
      <c r="D353" s="695"/>
      <c r="E353" s="699" t="s">
        <v>147</v>
      </c>
      <c r="F353" s="561"/>
      <c r="G353" s="563"/>
      <c r="H353" s="681" t="s">
        <v>35</v>
      </c>
      <c r="I353" s="565"/>
      <c r="J353" s="708">
        <f ca="1">IFERROR(__xludf.DUMMYFUNCTION("IMPORTRANGE(""https://docs.google.com/spreadsheets/d/1awYsYK3VOup2i3Pq_Yjnu8DRu_mYwSBnCR2QPthd0rU/edit?usp=sharing"",""โฉนดM3!H20"")"),7877)</f>
        <v>7877</v>
      </c>
      <c r="K353" s="566"/>
      <c r="L353" s="574"/>
      <c r="M353" s="566"/>
      <c r="N353" s="566"/>
      <c r="O353" s="566"/>
      <c r="P353" s="566"/>
      <c r="Q353" s="566"/>
      <c r="R353" s="566"/>
      <c r="S353" s="566"/>
      <c r="T353" s="566"/>
      <c r="U353" s="566"/>
    </row>
    <row r="354" spans="1:21" ht="16.5" x14ac:dyDescent="0.25">
      <c r="A354" s="718"/>
      <c r="B354" s="561"/>
      <c r="C354" s="718"/>
      <c r="D354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61"/>
      <c r="F354" s="561"/>
      <c r="G354" s="563"/>
      <c r="H354" s="727"/>
      <c r="I354" s="565"/>
      <c r="J354" s="565"/>
      <c r="K354" s="566"/>
      <c r="L354" s="574"/>
      <c r="M354" s="566"/>
      <c r="N354" s="566"/>
      <c r="O354" s="566"/>
      <c r="P354" s="566"/>
      <c r="Q354" s="566"/>
      <c r="R354" s="566"/>
      <c r="S354" s="566"/>
      <c r="T354" s="566"/>
      <c r="U354" s="566"/>
    </row>
    <row r="355" spans="1:21" ht="19.5" x14ac:dyDescent="0.3">
      <c r="A355" s="909"/>
      <c r="B355" s="910" t="s">
        <v>148</v>
      </c>
      <c r="C355" s="928"/>
      <c r="D355" s="911"/>
      <c r="E355" s="911"/>
      <c r="F355" s="911"/>
      <c r="G355" s="912"/>
      <c r="H355" s="912"/>
      <c r="I355" s="942"/>
      <c r="J355" s="942"/>
      <c r="K355" s="917"/>
      <c r="L355" s="916"/>
      <c r="M355" s="917"/>
      <c r="N355" s="917"/>
      <c r="O355" s="917"/>
      <c r="P355" s="917"/>
      <c r="Q355" s="917"/>
      <c r="R355" s="917"/>
      <c r="S355" s="917"/>
      <c r="T355" s="917"/>
      <c r="U355" s="917"/>
    </row>
    <row r="356" spans="1:21" ht="19.5" x14ac:dyDescent="0.3">
      <c r="A356" s="674"/>
      <c r="B356" s="561"/>
      <c r="C356" s="675" t="s">
        <v>18</v>
      </c>
      <c r="D356" s="676" t="s">
        <v>19</v>
      </c>
      <c r="E356" s="561"/>
      <c r="F356" s="561"/>
      <c r="G356" s="563"/>
      <c r="H356" s="677" t="s">
        <v>14</v>
      </c>
      <c r="I356" s="565"/>
      <c r="J356" s="565"/>
      <c r="K356" s="566"/>
      <c r="L356" s="678">
        <f t="shared" ref="L356:N356" ca="1" si="228">L357+L358</f>
        <v>313720</v>
      </c>
      <c r="M356" s="679">
        <f t="shared" ca="1" si="228"/>
        <v>270200</v>
      </c>
      <c r="N356" s="679">
        <f t="shared" ca="1" si="228"/>
        <v>166325.21</v>
      </c>
      <c r="O356" s="679">
        <f t="shared" ref="O356:O364" ca="1" si="229">IF(L356&gt;0,N356*100/L356,0)</f>
        <v>53.017088486548516</v>
      </c>
      <c r="P356" s="679">
        <f t="shared" ref="P356:P364" ca="1" si="230">IF(M356&gt;0,N356*100/M356,0)</f>
        <v>61.556332346410066</v>
      </c>
      <c r="Q356" s="679">
        <f t="shared" ref="Q356:S356" si="231">Q357+Q358</f>
        <v>0</v>
      </c>
      <c r="R356" s="679">
        <f t="shared" si="231"/>
        <v>0</v>
      </c>
      <c r="S356" s="679">
        <f t="shared" si="231"/>
        <v>0</v>
      </c>
      <c r="T356" s="679">
        <f t="shared" ref="T356:T364" si="232">IF(Q356&gt;0,S356*100/Q356,0)</f>
        <v>0</v>
      </c>
      <c r="U356" s="679">
        <f t="shared" ref="U356:U364" si="233">IF(R356&gt;0,S356*100/R356,0)</f>
        <v>0</v>
      </c>
    </row>
    <row r="357" spans="1:21" ht="18.75" x14ac:dyDescent="0.25">
      <c r="A357" s="674"/>
      <c r="B357" s="561"/>
      <c r="C357" s="561"/>
      <c r="D357" s="561"/>
      <c r="E357" s="569" t="s">
        <v>20</v>
      </c>
      <c r="F357" s="561"/>
      <c r="G357" s="563"/>
      <c r="H357" s="680" t="s">
        <v>14</v>
      </c>
      <c r="I357" s="565"/>
      <c r="J357" s="565"/>
      <c r="K357" s="566"/>
      <c r="L357" s="571">
        <f t="shared" ref="L357:N358" si="234">L360+L363</f>
        <v>0</v>
      </c>
      <c r="M357" s="572">
        <f t="shared" si="234"/>
        <v>0</v>
      </c>
      <c r="N357" s="572">
        <f t="shared" si="234"/>
        <v>0</v>
      </c>
      <c r="O357" s="572">
        <f t="shared" si="229"/>
        <v>0</v>
      </c>
      <c r="P357" s="572">
        <f t="shared" si="230"/>
        <v>0</v>
      </c>
      <c r="Q357" s="572">
        <f t="shared" ref="Q357:S358" si="235">Q360+Q363</f>
        <v>0</v>
      </c>
      <c r="R357" s="572">
        <f t="shared" si="235"/>
        <v>0</v>
      </c>
      <c r="S357" s="572">
        <f t="shared" si="235"/>
        <v>0</v>
      </c>
      <c r="T357" s="572">
        <f t="shared" si="232"/>
        <v>0</v>
      </c>
      <c r="U357" s="572">
        <f t="shared" si="233"/>
        <v>0</v>
      </c>
    </row>
    <row r="358" spans="1:21" ht="18.75" x14ac:dyDescent="0.25">
      <c r="A358" s="674"/>
      <c r="B358" s="561"/>
      <c r="C358" s="561"/>
      <c r="D358" s="561"/>
      <c r="E358" s="573" t="s">
        <v>21</v>
      </c>
      <c r="F358" s="561"/>
      <c r="G358" s="563"/>
      <c r="H358" s="681" t="s">
        <v>14</v>
      </c>
      <c r="I358" s="565"/>
      <c r="J358" s="565"/>
      <c r="K358" s="566"/>
      <c r="L358" s="567">
        <f t="shared" ca="1" si="234"/>
        <v>313720</v>
      </c>
      <c r="M358" s="568">
        <f t="shared" ca="1" si="234"/>
        <v>270200</v>
      </c>
      <c r="N358" s="568">
        <f t="shared" ca="1" si="234"/>
        <v>166325.21</v>
      </c>
      <c r="O358" s="568">
        <f t="shared" ca="1" si="229"/>
        <v>53.017088486548516</v>
      </c>
      <c r="P358" s="568">
        <f t="shared" ca="1" si="230"/>
        <v>61.556332346410066</v>
      </c>
      <c r="Q358" s="568">
        <f t="shared" si="235"/>
        <v>0</v>
      </c>
      <c r="R358" s="568">
        <f t="shared" si="235"/>
        <v>0</v>
      </c>
      <c r="S358" s="568">
        <f t="shared" si="235"/>
        <v>0</v>
      </c>
      <c r="T358" s="568">
        <f t="shared" si="232"/>
        <v>0</v>
      </c>
      <c r="U358" s="568">
        <f t="shared" si="233"/>
        <v>0</v>
      </c>
    </row>
    <row r="359" spans="1:21" ht="18.75" x14ac:dyDescent="0.25">
      <c r="A359" s="674"/>
      <c r="B359" s="561"/>
      <c r="C359" s="561"/>
      <c r="D359" s="562" t="s">
        <v>22</v>
      </c>
      <c r="E359" s="561"/>
      <c r="F359" s="561"/>
      <c r="G359" s="563"/>
      <c r="H359" s="682" t="s">
        <v>14</v>
      </c>
      <c r="I359" s="683"/>
      <c r="J359" s="683"/>
      <c r="K359" s="684"/>
      <c r="L359" s="567">
        <f t="shared" ref="L359:N359" ca="1" si="236">L360+L361</f>
        <v>313720</v>
      </c>
      <c r="M359" s="568">
        <f t="shared" ca="1" si="236"/>
        <v>270200</v>
      </c>
      <c r="N359" s="568">
        <f t="shared" ca="1" si="236"/>
        <v>166325.21</v>
      </c>
      <c r="O359" s="568">
        <f t="shared" ca="1" si="229"/>
        <v>53.017088486548516</v>
      </c>
      <c r="P359" s="568">
        <f t="shared" ca="1" si="230"/>
        <v>61.556332346410066</v>
      </c>
      <c r="Q359" s="568">
        <f t="shared" ref="Q359:S359" si="237">Q360+Q361</f>
        <v>0</v>
      </c>
      <c r="R359" s="568">
        <f t="shared" si="237"/>
        <v>0</v>
      </c>
      <c r="S359" s="568">
        <f t="shared" si="237"/>
        <v>0</v>
      </c>
      <c r="T359" s="568">
        <f t="shared" si="232"/>
        <v>0</v>
      </c>
      <c r="U359" s="568">
        <f t="shared" si="233"/>
        <v>0</v>
      </c>
    </row>
    <row r="360" spans="1:21" ht="18.75" x14ac:dyDescent="0.25">
      <c r="A360" s="674"/>
      <c r="B360" s="561"/>
      <c r="C360" s="561"/>
      <c r="D360" s="561"/>
      <c r="E360" s="569" t="s">
        <v>36</v>
      </c>
      <c r="F360" s="561"/>
      <c r="G360" s="563"/>
      <c r="H360" s="685" t="s">
        <v>14</v>
      </c>
      <c r="I360" s="683"/>
      <c r="J360" s="683"/>
      <c r="K360" s="684"/>
      <c r="L360" s="571">
        <v>0</v>
      </c>
      <c r="M360" s="572">
        <v>0</v>
      </c>
      <c r="N360" s="572">
        <v>0</v>
      </c>
      <c r="O360" s="572">
        <f t="shared" si="229"/>
        <v>0</v>
      </c>
      <c r="P360" s="572">
        <f t="shared" si="230"/>
        <v>0</v>
      </c>
      <c r="Q360" s="572">
        <v>0</v>
      </c>
      <c r="R360" s="572">
        <v>0</v>
      </c>
      <c r="S360" s="572">
        <v>0</v>
      </c>
      <c r="T360" s="572">
        <f t="shared" si="232"/>
        <v>0</v>
      </c>
      <c r="U360" s="572">
        <f t="shared" si="233"/>
        <v>0</v>
      </c>
    </row>
    <row r="361" spans="1:21" ht="18.75" x14ac:dyDescent="0.25">
      <c r="A361" s="674"/>
      <c r="B361" s="561"/>
      <c r="C361" s="561"/>
      <c r="D361" s="561"/>
      <c r="E361" s="573" t="s">
        <v>37</v>
      </c>
      <c r="F361" s="561"/>
      <c r="G361" s="563"/>
      <c r="H361" s="682" t="s">
        <v>14</v>
      </c>
      <c r="I361" s="683"/>
      <c r="J361" s="683"/>
      <c r="K361" s="684"/>
      <c r="L361" s="567">
        <f ca="1">IFERROR(__xludf.DUMMYFUNCTION("IMPORTRANGE(""https://docs.google.com/spreadsheets/d/1-uDff_7J0KD5mKrp0Vvzr7lt3OU09vwQwhkpOPPYv2Y/edit?usp=sharing"",""งบพรบ!FC20"")"),313720)</f>
        <v>313720</v>
      </c>
      <c r="M361" s="568">
        <f ca="1">IFERROR(__xludf.DUMMYFUNCTION("IMPORTRANGE(""https://docs.google.com/spreadsheets/d/1-uDff_7J0KD5mKrp0Vvzr7lt3OU09vwQwhkpOPPYv2Y/edit?usp=sharing"",""งบพรบ!FH20"")"),270200)</f>
        <v>270200</v>
      </c>
      <c r="N361" s="568">
        <f ca="1">IFERROR(__xludf.DUMMYFUNCTION("IMPORTRANGE(""https://docs.google.com/spreadsheets/d/1-uDff_7J0KD5mKrp0Vvzr7lt3OU09vwQwhkpOPPYv2Y/edit?usp=sharing"",""งบพรบ!FJ20"")"),166325.21)</f>
        <v>166325.21</v>
      </c>
      <c r="O361" s="568">
        <f t="shared" ca="1" si="229"/>
        <v>53.017088486548516</v>
      </c>
      <c r="P361" s="568">
        <f t="shared" ca="1" si="230"/>
        <v>61.556332346410066</v>
      </c>
      <c r="Q361" s="568">
        <v>0</v>
      </c>
      <c r="R361" s="568">
        <v>0</v>
      </c>
      <c r="S361" s="568">
        <v>0</v>
      </c>
      <c r="T361" s="568">
        <f t="shared" si="232"/>
        <v>0</v>
      </c>
      <c r="U361" s="568">
        <f t="shared" si="233"/>
        <v>0</v>
      </c>
    </row>
    <row r="362" spans="1:21" ht="18.75" x14ac:dyDescent="0.25">
      <c r="A362" s="674"/>
      <c r="B362" s="561"/>
      <c r="C362" s="561"/>
      <c r="D362" s="562" t="s">
        <v>23</v>
      </c>
      <c r="E362" s="561"/>
      <c r="F362" s="561"/>
      <c r="G362" s="563"/>
      <c r="H362" s="686" t="s">
        <v>14</v>
      </c>
      <c r="I362" s="683"/>
      <c r="J362" s="683"/>
      <c r="K362" s="684"/>
      <c r="L362" s="567">
        <f t="shared" ref="L362:N362" ca="1" si="238">L363+L364</f>
        <v>0</v>
      </c>
      <c r="M362" s="568">
        <f t="shared" ca="1" si="238"/>
        <v>0</v>
      </c>
      <c r="N362" s="568">
        <f t="shared" ca="1" si="238"/>
        <v>0</v>
      </c>
      <c r="O362" s="568">
        <f t="shared" ca="1" si="229"/>
        <v>0</v>
      </c>
      <c r="P362" s="568">
        <f t="shared" ca="1" si="230"/>
        <v>0</v>
      </c>
      <c r="Q362" s="568">
        <f t="shared" ref="Q362:S362" si="239">Q363+Q364</f>
        <v>0</v>
      </c>
      <c r="R362" s="568">
        <f t="shared" si="239"/>
        <v>0</v>
      </c>
      <c r="S362" s="568">
        <f t="shared" si="239"/>
        <v>0</v>
      </c>
      <c r="T362" s="568">
        <f t="shared" si="232"/>
        <v>0</v>
      </c>
      <c r="U362" s="568">
        <f t="shared" si="233"/>
        <v>0</v>
      </c>
    </row>
    <row r="363" spans="1:21" ht="18.75" x14ac:dyDescent="0.25">
      <c r="A363" s="674"/>
      <c r="B363" s="561"/>
      <c r="C363" s="561"/>
      <c r="D363" s="561"/>
      <c r="E363" s="569" t="s">
        <v>20</v>
      </c>
      <c r="F363" s="561"/>
      <c r="G363" s="563"/>
      <c r="H363" s="685" t="s">
        <v>14</v>
      </c>
      <c r="I363" s="683"/>
      <c r="J363" s="683"/>
      <c r="K363" s="684"/>
      <c r="L363" s="571">
        <v>0</v>
      </c>
      <c r="M363" s="572">
        <v>0</v>
      </c>
      <c r="N363" s="572">
        <v>0</v>
      </c>
      <c r="O363" s="572">
        <f t="shared" si="229"/>
        <v>0</v>
      </c>
      <c r="P363" s="572">
        <f t="shared" si="230"/>
        <v>0</v>
      </c>
      <c r="Q363" s="572">
        <v>0</v>
      </c>
      <c r="R363" s="572">
        <v>0</v>
      </c>
      <c r="S363" s="572">
        <v>0</v>
      </c>
      <c r="T363" s="572">
        <f t="shared" si="232"/>
        <v>0</v>
      </c>
      <c r="U363" s="572">
        <f t="shared" si="233"/>
        <v>0</v>
      </c>
    </row>
    <row r="364" spans="1:21" ht="18.75" x14ac:dyDescent="0.25">
      <c r="A364" s="674"/>
      <c r="B364" s="561"/>
      <c r="C364" s="561"/>
      <c r="D364" s="561"/>
      <c r="E364" s="573" t="s">
        <v>21</v>
      </c>
      <c r="F364" s="561"/>
      <c r="G364" s="563"/>
      <c r="H364" s="686" t="s">
        <v>14</v>
      </c>
      <c r="I364" s="683"/>
      <c r="J364" s="683"/>
      <c r="K364" s="684"/>
      <c r="L364" s="567">
        <f ca="1">IFERROR(__xludf.DUMMYFUNCTION("IMPORTRANGE(""https://docs.google.com/spreadsheets/d/1-uDff_7J0KD5mKrp0Vvzr7lt3OU09vwQwhkpOPPYv2Y/edit?usp=sharing"",""งบพรบ!FF20"")"),0)</f>
        <v>0</v>
      </c>
      <c r="M364" s="568">
        <f ca="1">IFERROR(__xludf.DUMMYFUNCTION("IMPORTRANGE(""https://docs.google.com/spreadsheets/d/1-uDff_7J0KD5mKrp0Vvzr7lt3OU09vwQwhkpOPPYv2Y/edit?usp=sharing"",""งบพรบ!FI20"")"),0)</f>
        <v>0</v>
      </c>
      <c r="N364" s="568">
        <f ca="1">IFERROR(__xludf.DUMMYFUNCTION("IMPORTRANGE(""https://docs.google.com/spreadsheets/d/1-uDff_7J0KD5mKrp0Vvzr7lt3OU09vwQwhkpOPPYv2Y/edit?usp=sharing"",""งบพรบ!FK20"")"),0)</f>
        <v>0</v>
      </c>
      <c r="O364" s="568">
        <f t="shared" ca="1" si="229"/>
        <v>0</v>
      </c>
      <c r="P364" s="568">
        <f t="shared" ca="1" si="230"/>
        <v>0</v>
      </c>
      <c r="Q364" s="568">
        <v>0</v>
      </c>
      <c r="R364" s="568">
        <v>0</v>
      </c>
      <c r="S364" s="568">
        <v>0</v>
      </c>
      <c r="T364" s="568">
        <f t="shared" si="232"/>
        <v>0</v>
      </c>
      <c r="U364" s="568">
        <f t="shared" si="233"/>
        <v>0</v>
      </c>
    </row>
    <row r="365" spans="1:21" ht="19.5" x14ac:dyDescent="0.3">
      <c r="A365" s="769"/>
      <c r="B365" s="770"/>
      <c r="C365" s="772"/>
      <c r="D365" s="941" t="s">
        <v>149</v>
      </c>
      <c r="E365" s="772"/>
      <c r="F365" s="772"/>
      <c r="G365" s="773"/>
      <c r="H365" s="782" t="s">
        <v>35</v>
      </c>
      <c r="I365" s="775">
        <f t="shared" ref="I365:J365" ca="1" si="240">I371</f>
        <v>184</v>
      </c>
      <c r="J365" s="775">
        <f t="shared" ca="1" si="240"/>
        <v>170</v>
      </c>
      <c r="K365" s="776">
        <f ca="1">IF(I365&gt;0,J365*100/I365,0)</f>
        <v>92.391304347826093</v>
      </c>
      <c r="L365" s="777"/>
      <c r="M365" s="778"/>
      <c r="N365" s="778"/>
      <c r="O365" s="778"/>
      <c r="P365" s="778"/>
      <c r="Q365" s="778"/>
      <c r="R365" s="778"/>
      <c r="S365" s="778"/>
      <c r="T365" s="778"/>
      <c r="U365" s="778"/>
    </row>
    <row r="366" spans="1:21" ht="19.5" x14ac:dyDescent="0.3">
      <c r="A366" s="687"/>
      <c r="B366" s="688"/>
      <c r="C366" s="675" t="s">
        <v>18</v>
      </c>
      <c r="D366" s="689" t="s">
        <v>38</v>
      </c>
      <c r="E366" s="690"/>
      <c r="F366" s="690"/>
      <c r="G366" s="691"/>
      <c r="H366" s="692"/>
      <c r="I366" s="565"/>
      <c r="J366" s="565"/>
      <c r="K366" s="566"/>
      <c r="L366" s="693"/>
      <c r="M366" s="684"/>
      <c r="N366" s="684"/>
      <c r="O366" s="684"/>
      <c r="P366" s="684"/>
      <c r="Q366" s="684"/>
      <c r="R366" s="684"/>
      <c r="S366" s="684"/>
      <c r="T366" s="684"/>
      <c r="U366" s="684"/>
    </row>
    <row r="367" spans="1:21" ht="18.75" x14ac:dyDescent="0.25">
      <c r="A367" s="687"/>
      <c r="B367" s="695"/>
      <c r="C367" s="688"/>
      <c r="D367" s="695"/>
      <c r="E367" s="694" t="s">
        <v>150</v>
      </c>
      <c r="F367" s="695"/>
      <c r="G367" s="692"/>
      <c r="H367" s="704" t="s">
        <v>35</v>
      </c>
      <c r="I367" s="708">
        <v>0</v>
      </c>
      <c r="J367" s="708">
        <f ca="1">IFERROR(__xludf.DUMMYFUNCTION("IMPORTRANGE(""https://docs.google.com/spreadsheets/d/1tdoBKaGub7dwA3U6UFTqxio9LNnvDCQjHKmttSEBsFQ/edit?usp=sharing"",""จัดที่ดิน!AB20"")"),142)</f>
        <v>142</v>
      </c>
      <c r="K367" s="568">
        <f t="shared" ref="K367:K372" si="241">IF(I367&gt;0,J367*100/I367,0)</f>
        <v>0</v>
      </c>
      <c r="L367" s="693"/>
      <c r="M367" s="684"/>
      <c r="N367" s="684"/>
      <c r="O367" s="684"/>
      <c r="P367" s="684"/>
      <c r="Q367" s="684"/>
      <c r="R367" s="684"/>
      <c r="S367" s="684"/>
      <c r="T367" s="684"/>
      <c r="U367" s="684"/>
    </row>
    <row r="368" spans="1:21" ht="18.75" x14ac:dyDescent="0.25">
      <c r="A368" s="687"/>
      <c r="B368" s="695"/>
      <c r="C368" s="688"/>
      <c r="D368" s="695"/>
      <c r="E368" s="695"/>
      <c r="F368" s="695"/>
      <c r="G368" s="692"/>
      <c r="H368" s="704" t="s">
        <v>46</v>
      </c>
      <c r="I368" s="708">
        <f ca="1">IFERROR(__xludf.DUMMYFUNCTION("IMPORTRANGE(""https://docs.google.com/spreadsheets/d/1eHaY18a8A9IcSdp1K8H6x8fbOy06t2VsZHhMHf-1x7Y/edit?usp=sharing"",""แผน!EW20"")"),675)</f>
        <v>675</v>
      </c>
      <c r="J368" s="943">
        <f ca="1">IFERROR(__xludf.DUMMYFUNCTION("IMPORTRANGE(""https://docs.google.com/spreadsheets/d/1tdoBKaGub7dwA3U6UFTqxio9LNnvDCQjHKmttSEBsFQ/edit?usp=sharing"",""จัดที่ดิน!AC20"")"),745.05)</f>
        <v>745.05</v>
      </c>
      <c r="K368" s="568">
        <f t="shared" ca="1" si="241"/>
        <v>110.37777777777778</v>
      </c>
      <c r="L368" s="693"/>
      <c r="M368" s="684"/>
      <c r="N368" s="684"/>
      <c r="O368" s="684"/>
      <c r="P368" s="684"/>
      <c r="Q368" s="684"/>
      <c r="R368" s="684"/>
      <c r="S368" s="684"/>
      <c r="T368" s="684"/>
      <c r="U368" s="684"/>
    </row>
    <row r="369" spans="1:21" ht="18.75" x14ac:dyDescent="0.25">
      <c r="A369" s="687"/>
      <c r="B369" s="695"/>
      <c r="C369" s="688"/>
      <c r="D369" s="695"/>
      <c r="E369" s="694" t="s">
        <v>151</v>
      </c>
      <c r="F369" s="695"/>
      <c r="G369" s="692"/>
      <c r="H369" s="700" t="s">
        <v>35</v>
      </c>
      <c r="I369" s="708">
        <f ca="1">IFERROR(__xludf.DUMMYFUNCTION("IMPORTRANGE(""https://docs.google.com/spreadsheets/d/1eHaY18a8A9IcSdp1K8H6x8fbOy06t2VsZHhMHf-1x7Y/edit?usp=sharing"",""แผน!EX20"")"),184)</f>
        <v>184</v>
      </c>
      <c r="J369" s="708">
        <f ca="1">IFERROR(__xludf.DUMMYFUNCTION("IMPORTRANGE(""https://docs.google.com/spreadsheets/d/1tdoBKaGub7dwA3U6UFTqxio9LNnvDCQjHKmttSEBsFQ/edit?usp=sharing"",""จัดที่ดิน!AD20"")"),158)</f>
        <v>158</v>
      </c>
      <c r="K369" s="568">
        <f t="shared" ca="1" si="241"/>
        <v>85.869565217391298</v>
      </c>
      <c r="L369" s="693"/>
      <c r="M369" s="684"/>
      <c r="N369" s="684"/>
      <c r="O369" s="684"/>
      <c r="P369" s="684"/>
      <c r="Q369" s="684"/>
      <c r="R369" s="684"/>
      <c r="S369" s="684"/>
      <c r="T369" s="684"/>
      <c r="U369" s="684"/>
    </row>
    <row r="370" spans="1:21" ht="18.75" x14ac:dyDescent="0.25">
      <c r="A370" s="687"/>
      <c r="B370" s="695"/>
      <c r="C370" s="688"/>
      <c r="D370" s="695"/>
      <c r="E370" s="695"/>
      <c r="F370" s="695"/>
      <c r="G370" s="692"/>
      <c r="H370" s="700" t="s">
        <v>46</v>
      </c>
      <c r="I370" s="708">
        <v>0</v>
      </c>
      <c r="J370" s="943">
        <f ca="1">IFERROR(__xludf.DUMMYFUNCTION("IMPORTRANGE(""https://docs.google.com/spreadsheets/d/1tdoBKaGub7dwA3U6UFTqxio9LNnvDCQjHKmttSEBsFQ/edit?usp=sharing"",""จัดที่ดิน!AE20"")"),1119.13999999999)</f>
        <v>1119.1399999999901</v>
      </c>
      <c r="K370" s="568">
        <f t="shared" si="241"/>
        <v>0</v>
      </c>
      <c r="L370" s="693"/>
      <c r="M370" s="684"/>
      <c r="N370" s="684"/>
      <c r="O370" s="684"/>
      <c r="P370" s="684"/>
      <c r="Q370" s="684"/>
      <c r="R370" s="684"/>
      <c r="S370" s="684"/>
      <c r="T370" s="684"/>
      <c r="U370" s="684"/>
    </row>
    <row r="371" spans="1:21" ht="18.75" x14ac:dyDescent="0.25">
      <c r="A371" s="687"/>
      <c r="B371" s="695"/>
      <c r="C371" s="688"/>
      <c r="D371" s="695"/>
      <c r="E371" s="944" t="s">
        <v>152</v>
      </c>
      <c r="F371" s="695"/>
      <c r="G371" s="692"/>
      <c r="H371" s="700" t="s">
        <v>35</v>
      </c>
      <c r="I371" s="708">
        <f ca="1">IFERROR(__xludf.DUMMYFUNCTION("IMPORTRANGE(""https://docs.google.com/spreadsheets/d/1eHaY18a8A9IcSdp1K8H6x8fbOy06t2VsZHhMHf-1x7Y/edit?usp=sharing"",""แผน!EY20"")"),184)</f>
        <v>184</v>
      </c>
      <c r="J371" s="708">
        <f ca="1">IFERROR(__xludf.DUMMYFUNCTION("IMPORTRANGE(""https://docs.google.com/spreadsheets/d/1tdoBKaGub7dwA3U6UFTqxio9LNnvDCQjHKmttSEBsFQ/edit?usp=sharing"",""จัดที่ดิน!AF20"")"),170)</f>
        <v>170</v>
      </c>
      <c r="K371" s="568">
        <f t="shared" ca="1" si="241"/>
        <v>92.391304347826093</v>
      </c>
      <c r="L371" s="693"/>
      <c r="M371" s="684"/>
      <c r="N371" s="684"/>
      <c r="O371" s="684"/>
      <c r="P371" s="684"/>
      <c r="Q371" s="684"/>
      <c r="R371" s="684"/>
      <c r="S371" s="684"/>
      <c r="T371" s="684"/>
      <c r="U371" s="684"/>
    </row>
    <row r="372" spans="1:21" ht="18.75" x14ac:dyDescent="0.25">
      <c r="A372" s="687"/>
      <c r="B372" s="695"/>
      <c r="C372" s="688"/>
      <c r="D372" s="695"/>
      <c r="E372" s="695"/>
      <c r="F372" s="695"/>
      <c r="G372" s="692"/>
      <c r="H372" s="700" t="s">
        <v>46</v>
      </c>
      <c r="I372" s="708">
        <v>0</v>
      </c>
      <c r="J372" s="943">
        <f ca="1">IFERROR(__xludf.DUMMYFUNCTION("IMPORTRANGE(""https://docs.google.com/spreadsheets/d/1tdoBKaGub7dwA3U6UFTqxio9LNnvDCQjHKmttSEBsFQ/edit?usp=sharing"",""จัดที่ดิน!AG20"")"),1103.06)</f>
        <v>1103.06</v>
      </c>
      <c r="K372" s="568">
        <f t="shared" si="241"/>
        <v>0</v>
      </c>
      <c r="L372" s="693"/>
      <c r="M372" s="684"/>
      <c r="N372" s="684"/>
      <c r="O372" s="684"/>
      <c r="P372" s="684"/>
      <c r="Q372" s="684"/>
      <c r="R372" s="684"/>
      <c r="S372" s="684"/>
      <c r="T372" s="684"/>
      <c r="U372" s="684"/>
    </row>
    <row r="373" spans="1:21" ht="16.5" x14ac:dyDescent="0.25">
      <c r="A373" s="514"/>
      <c r="B373" s="513"/>
      <c r="C373" s="514"/>
      <c r="D373" s="9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513"/>
      <c r="F373" s="513"/>
      <c r="G373" s="577"/>
      <c r="H373" s="577"/>
      <c r="I373" s="579"/>
      <c r="J373" s="579"/>
      <c r="K373" s="580"/>
      <c r="L373" s="581"/>
      <c r="M373" s="580"/>
      <c r="N373" s="580"/>
      <c r="O373" s="580"/>
      <c r="P373" s="580"/>
      <c r="Q373" s="580"/>
      <c r="R373" s="580"/>
      <c r="S373" s="580"/>
      <c r="T373" s="580"/>
      <c r="U373" s="580"/>
    </row>
    <row r="374" spans="1:21" ht="19.5" x14ac:dyDescent="0.3">
      <c r="A374" s="1260"/>
      <c r="B374" s="1261" t="s">
        <v>153</v>
      </c>
      <c r="C374" s="1262"/>
      <c r="D374" s="1263"/>
      <c r="E374" s="1264"/>
      <c r="F374" s="1264"/>
      <c r="G374" s="1265"/>
      <c r="H374" s="1266" t="s">
        <v>46</v>
      </c>
      <c r="I374" s="1267">
        <f t="shared" ref="I374:J374" ca="1" si="242">I386+I388</f>
        <v>88400</v>
      </c>
      <c r="J374" s="1267">
        <f t="shared" ca="1" si="242"/>
        <v>17498</v>
      </c>
      <c r="K374" s="1268">
        <f ca="1">IF(I374&gt;0,J374*100/I374,0)</f>
        <v>19.794117647058822</v>
      </c>
      <c r="L374" s="916"/>
      <c r="M374" s="917"/>
      <c r="N374" s="917"/>
      <c r="O374" s="917"/>
      <c r="P374" s="917"/>
      <c r="Q374" s="917"/>
      <c r="R374" s="917"/>
      <c r="S374" s="917"/>
      <c r="T374" s="917"/>
      <c r="U374" s="917"/>
    </row>
    <row r="375" spans="1:21" ht="19.5" x14ac:dyDescent="0.3">
      <c r="A375" s="823"/>
      <c r="B375" s="957"/>
      <c r="C375" s="1148" t="s">
        <v>18</v>
      </c>
      <c r="D375" s="1269" t="s">
        <v>19</v>
      </c>
      <c r="E375" s="824"/>
      <c r="F375" s="824"/>
      <c r="G375" s="827"/>
      <c r="H375" s="828" t="s">
        <v>14</v>
      </c>
      <c r="I375" s="829"/>
      <c r="J375" s="829"/>
      <c r="K375" s="830"/>
      <c r="L375" s="678">
        <f t="shared" ref="L375:N375" ca="1" si="243">L376+L377</f>
        <v>0</v>
      </c>
      <c r="M375" s="679">
        <f t="shared" ca="1" si="243"/>
        <v>0</v>
      </c>
      <c r="N375" s="679">
        <f t="shared" ca="1" si="243"/>
        <v>0</v>
      </c>
      <c r="O375" s="679">
        <f t="shared" ref="O375:O383" ca="1" si="244">IF(L375&gt;0,N375*100/L375,0)</f>
        <v>0</v>
      </c>
      <c r="P375" s="679">
        <f t="shared" ref="P375:P383" ca="1" si="245">IF(M375&gt;0,N375*100/M375,0)</f>
        <v>0</v>
      </c>
      <c r="Q375" s="679">
        <f t="shared" ref="Q375:S375" ca="1" si="246">Q376+Q377</f>
        <v>125000</v>
      </c>
      <c r="R375" s="679">
        <f t="shared" ca="1" si="246"/>
        <v>125000</v>
      </c>
      <c r="S375" s="679">
        <f t="shared" ca="1" si="246"/>
        <v>0</v>
      </c>
      <c r="T375" s="679">
        <f t="shared" ref="T375:T383" ca="1" si="247">IF(Q375&gt;0,S375*100/Q375,0)</f>
        <v>0</v>
      </c>
      <c r="U375" s="679">
        <f t="shared" ref="U375:U383" ca="1" si="248">IF(R375&gt;0,S375*100/R375,0)</f>
        <v>0</v>
      </c>
    </row>
    <row r="376" spans="1:21" ht="18.75" x14ac:dyDescent="0.25">
      <c r="A376" s="823"/>
      <c r="B376" s="957"/>
      <c r="C376" s="957"/>
      <c r="D376" s="957"/>
      <c r="E376" s="838" t="s">
        <v>20</v>
      </c>
      <c r="F376" s="824"/>
      <c r="G376" s="827"/>
      <c r="H376" s="839" t="s">
        <v>14</v>
      </c>
      <c r="I376" s="829"/>
      <c r="J376" s="829"/>
      <c r="K376" s="830"/>
      <c r="L376" s="571">
        <f t="shared" ref="L376:N377" si="249">L379+L382</f>
        <v>0</v>
      </c>
      <c r="M376" s="572">
        <f t="shared" si="249"/>
        <v>0</v>
      </c>
      <c r="N376" s="572">
        <f t="shared" si="249"/>
        <v>0</v>
      </c>
      <c r="O376" s="572">
        <f t="shared" si="244"/>
        <v>0</v>
      </c>
      <c r="P376" s="572">
        <f t="shared" si="245"/>
        <v>0</v>
      </c>
      <c r="Q376" s="572">
        <f t="shared" ref="Q376:S377" si="250">Q379+Q382</f>
        <v>0</v>
      </c>
      <c r="R376" s="572">
        <f t="shared" si="250"/>
        <v>0</v>
      </c>
      <c r="S376" s="572">
        <f t="shared" si="250"/>
        <v>0</v>
      </c>
      <c r="T376" s="572">
        <f t="shared" si="247"/>
        <v>0</v>
      </c>
      <c r="U376" s="572">
        <f t="shared" si="248"/>
        <v>0</v>
      </c>
    </row>
    <row r="377" spans="1:21" ht="18.75" x14ac:dyDescent="0.25">
      <c r="A377" s="823"/>
      <c r="B377" s="957"/>
      <c r="C377" s="957"/>
      <c r="D377" s="957"/>
      <c r="E377" s="838" t="s">
        <v>21</v>
      </c>
      <c r="F377" s="824"/>
      <c r="G377" s="827"/>
      <c r="H377" s="839" t="s">
        <v>14</v>
      </c>
      <c r="I377" s="829"/>
      <c r="J377" s="829"/>
      <c r="K377" s="830"/>
      <c r="L377" s="567">
        <f t="shared" ca="1" si="249"/>
        <v>0</v>
      </c>
      <c r="M377" s="568">
        <f t="shared" ca="1" si="249"/>
        <v>0</v>
      </c>
      <c r="N377" s="568">
        <f t="shared" ca="1" si="249"/>
        <v>0</v>
      </c>
      <c r="O377" s="568">
        <f t="shared" ca="1" si="244"/>
        <v>0</v>
      </c>
      <c r="P377" s="568">
        <f t="shared" ca="1" si="245"/>
        <v>0</v>
      </c>
      <c r="Q377" s="568">
        <f t="shared" ca="1" si="250"/>
        <v>125000</v>
      </c>
      <c r="R377" s="568">
        <f t="shared" ca="1" si="250"/>
        <v>125000</v>
      </c>
      <c r="S377" s="568">
        <f t="shared" ca="1" si="250"/>
        <v>0</v>
      </c>
      <c r="T377" s="568">
        <f t="shared" ca="1" si="247"/>
        <v>0</v>
      </c>
      <c r="U377" s="568">
        <f t="shared" ca="1" si="248"/>
        <v>0</v>
      </c>
    </row>
    <row r="378" spans="1:21" ht="18.75" x14ac:dyDescent="0.25">
      <c r="A378" s="823"/>
      <c r="B378" s="957"/>
      <c r="C378" s="957"/>
      <c r="D378" s="1270" t="s">
        <v>22</v>
      </c>
      <c r="E378" s="824"/>
      <c r="F378" s="824"/>
      <c r="G378" s="827"/>
      <c r="H378" s="843" t="s">
        <v>14</v>
      </c>
      <c r="I378" s="844"/>
      <c r="J378" s="844"/>
      <c r="K378" s="845"/>
      <c r="L378" s="567">
        <f t="shared" ref="L378:N378" ca="1" si="251">L379+L380</f>
        <v>0</v>
      </c>
      <c r="M378" s="568">
        <f t="shared" ca="1" si="251"/>
        <v>0</v>
      </c>
      <c r="N378" s="568">
        <f t="shared" ca="1" si="251"/>
        <v>0</v>
      </c>
      <c r="O378" s="568">
        <f t="shared" ca="1" si="244"/>
        <v>0</v>
      </c>
      <c r="P378" s="568">
        <f t="shared" ca="1" si="245"/>
        <v>0</v>
      </c>
      <c r="Q378" s="568">
        <f t="shared" ref="Q378:S378" ca="1" si="252">Q379+Q380</f>
        <v>125000</v>
      </c>
      <c r="R378" s="568">
        <f t="shared" ca="1" si="252"/>
        <v>125000</v>
      </c>
      <c r="S378" s="568">
        <f t="shared" ca="1" si="252"/>
        <v>0</v>
      </c>
      <c r="T378" s="568">
        <f t="shared" ca="1" si="247"/>
        <v>0</v>
      </c>
      <c r="U378" s="568">
        <f t="shared" ca="1" si="248"/>
        <v>0</v>
      </c>
    </row>
    <row r="379" spans="1:21" ht="18.75" x14ac:dyDescent="0.25">
      <c r="A379" s="823"/>
      <c r="B379" s="957"/>
      <c r="C379" s="957"/>
      <c r="D379" s="957"/>
      <c r="E379" s="838" t="s">
        <v>36</v>
      </c>
      <c r="F379" s="824"/>
      <c r="G379" s="827"/>
      <c r="H379" s="843" t="s">
        <v>14</v>
      </c>
      <c r="I379" s="844"/>
      <c r="J379" s="844"/>
      <c r="K379" s="845"/>
      <c r="L379" s="571">
        <v>0</v>
      </c>
      <c r="M379" s="572">
        <v>0</v>
      </c>
      <c r="N379" s="572">
        <v>0</v>
      </c>
      <c r="O379" s="572">
        <f t="shared" si="244"/>
        <v>0</v>
      </c>
      <c r="P379" s="572">
        <f t="shared" si="245"/>
        <v>0</v>
      </c>
      <c r="Q379" s="572">
        <v>0</v>
      </c>
      <c r="R379" s="572">
        <v>0</v>
      </c>
      <c r="S379" s="572">
        <v>0</v>
      </c>
      <c r="T379" s="572">
        <f t="shared" si="247"/>
        <v>0</v>
      </c>
      <c r="U379" s="572">
        <f t="shared" si="248"/>
        <v>0</v>
      </c>
    </row>
    <row r="380" spans="1:21" ht="18.75" x14ac:dyDescent="0.25">
      <c r="A380" s="823"/>
      <c r="B380" s="957"/>
      <c r="C380" s="957"/>
      <c r="D380" s="957"/>
      <c r="E380" s="958" t="s">
        <v>37</v>
      </c>
      <c r="F380" s="957"/>
      <c r="G380" s="959"/>
      <c r="H380" s="843" t="s">
        <v>14</v>
      </c>
      <c r="I380" s="844"/>
      <c r="J380" s="844"/>
      <c r="K380" s="845"/>
      <c r="L380" s="567">
        <f ca="1">IFERROR(__xludf.DUMMYFUNCTION("IMPORTRANGE(""https://docs.google.com/spreadsheets/d/1-uDff_7J0KD5mKrp0Vvzr7lt3OU09vwQwhkpOPPYv2Y/edit?usp=sharing"",""งบพรบ!IE20"")"),0)</f>
        <v>0</v>
      </c>
      <c r="M380" s="568">
        <f ca="1">IFERROR(__xludf.DUMMYFUNCTION("IMPORTRANGE(""https://docs.google.com/spreadsheets/d/1-uDff_7J0KD5mKrp0Vvzr7lt3OU09vwQwhkpOPPYv2Y/edit?usp=sharing"",""งบพรบ!IJ20"")"),0)</f>
        <v>0</v>
      </c>
      <c r="N380" s="568">
        <f ca="1">IFERROR(__xludf.DUMMYFUNCTION("IMPORTRANGE(""https://docs.google.com/spreadsheets/d/1-uDff_7J0KD5mKrp0Vvzr7lt3OU09vwQwhkpOPPYv2Y/edit?usp=sharing"",""งบพรบ!IL20"")"),0)</f>
        <v>0</v>
      </c>
      <c r="O380" s="568">
        <f t="shared" ca="1" si="244"/>
        <v>0</v>
      </c>
      <c r="P380" s="568">
        <f t="shared" ca="1" si="245"/>
        <v>0</v>
      </c>
      <c r="Q380" s="568">
        <f ca="1">IFERROR(__xludf.DUMMYFUNCTION("IMPORTRANGE(""https://docs.google.com/spreadsheets/d/1ItG2mGa2ceCfYo0BwxsXqNm01IGEUdYcSSLTEv9YCik/edit?usp=sharing"",""เบิกจ่ายกองทุน!BW20"")"),125000)</f>
        <v>125000</v>
      </c>
      <c r="R380" s="568">
        <f ca="1">IFERROR(__xludf.DUMMYFUNCTION("IMPORTRANGE(""https://docs.google.com/spreadsheets/d/1ItG2mGa2ceCfYo0BwxsXqNm01IGEUdYcSSLTEv9YCik/edit?usp=sharing"",""เบิกจ่ายกองทุน!BX20"")"),125000)</f>
        <v>125000</v>
      </c>
      <c r="S380" s="568">
        <f ca="1">IFERROR(__xludf.DUMMYFUNCTION("IMPORTRANGE(""https://docs.google.com/spreadsheets/d/1ItG2mGa2ceCfYo0BwxsXqNm01IGEUdYcSSLTEv9YCik/edit?usp=sharing"",""เบิกจ่ายกองทุน!BY20"")"),0)</f>
        <v>0</v>
      </c>
      <c r="T380" s="568">
        <f t="shared" ca="1" si="247"/>
        <v>0</v>
      </c>
      <c r="U380" s="568">
        <f t="shared" ca="1" si="248"/>
        <v>0</v>
      </c>
    </row>
    <row r="381" spans="1:21" ht="18.75" x14ac:dyDescent="0.25">
      <c r="A381" s="823"/>
      <c r="B381" s="957"/>
      <c r="C381" s="957"/>
      <c r="D381" s="1270" t="s">
        <v>23</v>
      </c>
      <c r="E381" s="824"/>
      <c r="F381" s="824"/>
      <c r="G381" s="827"/>
      <c r="H381" s="848" t="s">
        <v>14</v>
      </c>
      <c r="I381" s="844"/>
      <c r="J381" s="844"/>
      <c r="K381" s="845"/>
      <c r="L381" s="567">
        <f t="shared" ref="L381:N381" ca="1" si="253">L382+L383</f>
        <v>0</v>
      </c>
      <c r="M381" s="568">
        <f t="shared" ca="1" si="253"/>
        <v>0</v>
      </c>
      <c r="N381" s="568">
        <f t="shared" ca="1" si="253"/>
        <v>0</v>
      </c>
      <c r="O381" s="568">
        <f t="shared" ca="1" si="244"/>
        <v>0</v>
      </c>
      <c r="P381" s="568">
        <f t="shared" ca="1" si="245"/>
        <v>0</v>
      </c>
      <c r="Q381" s="568">
        <f t="shared" ref="Q381:S381" si="254">Q382+Q383</f>
        <v>0</v>
      </c>
      <c r="R381" s="568">
        <f t="shared" si="254"/>
        <v>0</v>
      </c>
      <c r="S381" s="568">
        <f t="shared" si="254"/>
        <v>0</v>
      </c>
      <c r="T381" s="568">
        <f t="shared" si="247"/>
        <v>0</v>
      </c>
      <c r="U381" s="568">
        <f t="shared" si="248"/>
        <v>0</v>
      </c>
    </row>
    <row r="382" spans="1:21" ht="18.75" x14ac:dyDescent="0.25">
      <c r="A382" s="823"/>
      <c r="B382" s="957"/>
      <c r="C382" s="957"/>
      <c r="D382" s="957"/>
      <c r="E382" s="838" t="s">
        <v>20</v>
      </c>
      <c r="F382" s="824"/>
      <c r="G382" s="827"/>
      <c r="H382" s="843" t="s">
        <v>14</v>
      </c>
      <c r="I382" s="844"/>
      <c r="J382" s="844"/>
      <c r="K382" s="845"/>
      <c r="L382" s="571">
        <v>0</v>
      </c>
      <c r="M382" s="572">
        <v>0</v>
      </c>
      <c r="N382" s="572">
        <v>0</v>
      </c>
      <c r="O382" s="572">
        <f t="shared" si="244"/>
        <v>0</v>
      </c>
      <c r="P382" s="572">
        <f t="shared" si="245"/>
        <v>0</v>
      </c>
      <c r="Q382" s="572">
        <v>0</v>
      </c>
      <c r="R382" s="572">
        <v>0</v>
      </c>
      <c r="S382" s="572">
        <v>0</v>
      </c>
      <c r="T382" s="572">
        <f t="shared" si="247"/>
        <v>0</v>
      </c>
      <c r="U382" s="572">
        <f t="shared" si="248"/>
        <v>0</v>
      </c>
    </row>
    <row r="383" spans="1:21" ht="18.75" x14ac:dyDescent="0.25">
      <c r="A383" s="823"/>
      <c r="B383" s="957"/>
      <c r="C383" s="957"/>
      <c r="D383" s="957"/>
      <c r="E383" s="838" t="s">
        <v>21</v>
      </c>
      <c r="F383" s="824"/>
      <c r="G383" s="827"/>
      <c r="H383" s="848" t="s">
        <v>14</v>
      </c>
      <c r="I383" s="844"/>
      <c r="J383" s="844"/>
      <c r="K383" s="845"/>
      <c r="L383" s="567">
        <f ca="1">IFERROR(__xludf.DUMMYFUNCTION("IMPORTRANGE(""https://docs.google.com/spreadsheets/d/1-uDff_7J0KD5mKrp0Vvzr7lt3OU09vwQwhkpOPPYv2Y/edit?usp=sharing"",""งบพรบ!IH20"")"),0)</f>
        <v>0</v>
      </c>
      <c r="M383" s="568">
        <f ca="1">IFERROR(__xludf.DUMMYFUNCTION("IMPORTRANGE(""https://docs.google.com/spreadsheets/d/1-uDff_7J0KD5mKrp0Vvzr7lt3OU09vwQwhkpOPPYv2Y/edit?usp=sharing"",""งบพรบ!IK20"")"),0)</f>
        <v>0</v>
      </c>
      <c r="N383" s="568">
        <f ca="1">IFERROR(__xludf.DUMMYFUNCTION("IMPORTRANGE(""https://docs.google.com/spreadsheets/d/1-uDff_7J0KD5mKrp0Vvzr7lt3OU09vwQwhkpOPPYv2Y/edit?usp=sharing"",""งบพรบ!IM20"")"),0)</f>
        <v>0</v>
      </c>
      <c r="O383" s="568">
        <f t="shared" ca="1" si="244"/>
        <v>0</v>
      </c>
      <c r="P383" s="568">
        <f t="shared" ca="1" si="245"/>
        <v>0</v>
      </c>
      <c r="Q383" s="568">
        <v>0</v>
      </c>
      <c r="R383" s="568">
        <v>0</v>
      </c>
      <c r="S383" s="568">
        <v>0</v>
      </c>
      <c r="T383" s="568">
        <f t="shared" si="247"/>
        <v>0</v>
      </c>
      <c r="U383" s="568">
        <f t="shared" si="248"/>
        <v>0</v>
      </c>
    </row>
    <row r="384" spans="1:21" ht="19.5" x14ac:dyDescent="0.3">
      <c r="A384" s="849"/>
      <c r="B384" s="850"/>
      <c r="C384" s="1148" t="s">
        <v>18</v>
      </c>
      <c r="D384" s="1271" t="s">
        <v>38</v>
      </c>
      <c r="E384" s="816"/>
      <c r="F384" s="816"/>
      <c r="G384" s="817"/>
      <c r="H384" s="1272"/>
      <c r="I384" s="844"/>
      <c r="J384" s="829"/>
      <c r="K384" s="830"/>
      <c r="L384" s="574"/>
      <c r="M384" s="566"/>
      <c r="N384" s="566"/>
      <c r="O384" s="684"/>
      <c r="P384" s="684"/>
      <c r="Q384" s="566"/>
      <c r="R384" s="566"/>
      <c r="S384" s="566"/>
      <c r="T384" s="684"/>
      <c r="U384" s="684"/>
    </row>
    <row r="385" spans="1:21" ht="18.75" x14ac:dyDescent="0.25">
      <c r="A385" s="1147"/>
      <c r="B385" s="957"/>
      <c r="C385" s="957"/>
      <c r="D385" s="957"/>
      <c r="E385" s="838" t="s">
        <v>154</v>
      </c>
      <c r="F385" s="824"/>
      <c r="G385" s="827"/>
      <c r="H385" s="839" t="s">
        <v>34</v>
      </c>
      <c r="I385" s="960">
        <v>0</v>
      </c>
      <c r="J385" s="960">
        <f ca="1">IFERROR(__xludf.DUMMYFUNCTION("IMPORTRANGE(""https://docs.google.com/spreadsheets/d/1w5rwWK1o49a35cNtocGL0gxDwhFSTZUQu90BiH9_zqM/edit?usp=sharing"",""RTK!H20"")"),3)</f>
        <v>3</v>
      </c>
      <c r="K385" s="841">
        <f t="shared" ref="K385:K388" si="255">IF(I385&gt;0,J385*100/I385,0)</f>
        <v>0</v>
      </c>
      <c r="L385" s="574"/>
      <c r="M385" s="566"/>
      <c r="N385" s="566"/>
      <c r="O385" s="566"/>
      <c r="P385" s="566"/>
      <c r="Q385" s="566"/>
      <c r="R385" s="566"/>
      <c r="S385" s="566"/>
      <c r="T385" s="566"/>
      <c r="U385" s="566"/>
    </row>
    <row r="386" spans="1:21" ht="18.75" x14ac:dyDescent="0.25">
      <c r="A386" s="957"/>
      <c r="B386" s="957"/>
      <c r="C386" s="957"/>
      <c r="D386" s="957"/>
      <c r="E386" s="957"/>
      <c r="F386" s="957"/>
      <c r="G386" s="959"/>
      <c r="H386" s="839" t="s">
        <v>46</v>
      </c>
      <c r="I386" s="960">
        <f ca="1">IFERROR(__xludf.DUMMYFUNCTION("IMPORTRANGE(""https://docs.google.com/spreadsheets/d/1w5rwWK1o49a35cNtocGL0gxDwhFSTZUQu90BiH9_zqM/edit?usp=sharing"",""RTK!G20"")"),2000)</f>
        <v>2000</v>
      </c>
      <c r="J386" s="960">
        <f ca="1">IFERROR(__xludf.DUMMYFUNCTION("IMPORTRANGE(""https://docs.google.com/spreadsheets/d/1w5rwWK1o49a35cNtocGL0gxDwhFSTZUQu90BiH9_zqM/edit?usp=sharing"",""RTK!I20"")"),10)</f>
        <v>10</v>
      </c>
      <c r="K386" s="841">
        <f t="shared" ca="1" si="255"/>
        <v>0.5</v>
      </c>
      <c r="L386" s="574"/>
      <c r="M386" s="566"/>
      <c r="N386" s="566"/>
      <c r="O386" s="566"/>
      <c r="P386" s="566"/>
      <c r="Q386" s="566"/>
      <c r="R386" s="566"/>
      <c r="S386" s="566"/>
      <c r="T386" s="566"/>
      <c r="U386" s="566"/>
    </row>
    <row r="387" spans="1:21" ht="18.75" x14ac:dyDescent="0.25">
      <c r="A387" s="957"/>
      <c r="B387" s="957"/>
      <c r="C387" s="957"/>
      <c r="D387" s="957"/>
      <c r="E387" s="958" t="s">
        <v>155</v>
      </c>
      <c r="F387" s="957"/>
      <c r="G387" s="959"/>
      <c r="H387" s="839" t="s">
        <v>34</v>
      </c>
      <c r="I387" s="960">
        <v>0</v>
      </c>
      <c r="J387" s="960">
        <f ca="1">IFERROR(__xludf.DUMMYFUNCTION("IMPORTRANGE(""https://docs.google.com/spreadsheets/d/1w5rwWK1o49a35cNtocGL0gxDwhFSTZUQu90BiH9_zqM/edit?usp=sharing"",""RTK!L20"")"),2862)</f>
        <v>2862</v>
      </c>
      <c r="K387" s="841">
        <f t="shared" si="255"/>
        <v>0</v>
      </c>
      <c r="L387" s="574"/>
      <c r="M387" s="566"/>
      <c r="N387" s="566"/>
      <c r="O387" s="566"/>
      <c r="P387" s="566"/>
      <c r="Q387" s="566"/>
      <c r="R387" s="566"/>
      <c r="S387" s="566"/>
      <c r="T387" s="566"/>
      <c r="U387" s="566"/>
    </row>
    <row r="388" spans="1:21" ht="18.75" x14ac:dyDescent="0.25">
      <c r="A388" s="957"/>
      <c r="B388" s="957"/>
      <c r="C388" s="957"/>
      <c r="D388" s="957"/>
      <c r="E388" s="957"/>
      <c r="F388" s="957"/>
      <c r="G388" s="959"/>
      <c r="H388" s="839" t="s">
        <v>46</v>
      </c>
      <c r="I388" s="960">
        <f ca="1">IFERROR(__xludf.DUMMYFUNCTION("IMPORTRANGE(""https://docs.google.com/spreadsheets/d/1w5rwWK1o49a35cNtocGL0gxDwhFSTZUQu90BiH9_zqM/edit?usp=sharing"",""RTK!K20"")"),86400)</f>
        <v>86400</v>
      </c>
      <c r="J388" s="960">
        <f ca="1">IFERROR(__xludf.DUMMYFUNCTION("IMPORTRANGE(""https://docs.google.com/spreadsheets/d/1w5rwWK1o49a35cNtocGL0gxDwhFSTZUQu90BiH9_zqM/edit?usp=sharing"",""RTK!M20"")"),17488)</f>
        <v>17488</v>
      </c>
      <c r="K388" s="841">
        <f t="shared" ca="1" si="255"/>
        <v>20.24074074074074</v>
      </c>
      <c r="L388" s="574"/>
      <c r="M388" s="566"/>
      <c r="N388" s="566"/>
      <c r="O388" s="566"/>
      <c r="P388" s="566"/>
      <c r="Q388" s="566"/>
      <c r="R388" s="566"/>
      <c r="S388" s="566"/>
      <c r="T388" s="566"/>
      <c r="U388" s="566"/>
    </row>
    <row r="389" spans="1:21" ht="12.75" hidden="1" x14ac:dyDescent="0.2">
      <c r="A389" s="1273"/>
      <c r="B389" s="1273"/>
      <c r="C389" s="1273"/>
      <c r="D389" s="1273"/>
      <c r="E389" s="1273"/>
      <c r="F389" s="1273"/>
      <c r="G389" s="1274"/>
      <c r="H389" s="1274"/>
      <c r="I389" s="1275"/>
      <c r="J389" s="1275"/>
      <c r="K389" s="1276"/>
      <c r="L389" s="965"/>
      <c r="M389" s="964"/>
      <c r="N389" s="964"/>
      <c r="O389" s="964"/>
      <c r="P389" s="964"/>
      <c r="Q389" s="964"/>
      <c r="R389" s="964"/>
      <c r="S389" s="964"/>
      <c r="T389" s="964"/>
      <c r="U389" s="964"/>
    </row>
    <row r="390" spans="1:21" ht="12.75" hidden="1" x14ac:dyDescent="0.2">
      <c r="A390" s="1277"/>
      <c r="B390" s="1277"/>
      <c r="C390" s="1277"/>
      <c r="D390" s="1277"/>
      <c r="E390" s="1277"/>
      <c r="F390" s="1277"/>
      <c r="G390" s="1278"/>
      <c r="H390" s="1278"/>
      <c r="I390" s="1279"/>
      <c r="J390" s="1279"/>
      <c r="K390" s="1280"/>
      <c r="L390" s="970"/>
      <c r="M390" s="969"/>
      <c r="N390" s="969"/>
      <c r="O390" s="969"/>
      <c r="P390" s="969"/>
      <c r="Q390" s="969"/>
      <c r="R390" s="969"/>
      <c r="S390" s="969"/>
      <c r="T390" s="969"/>
      <c r="U390" s="969"/>
    </row>
    <row r="391" spans="1:21" ht="19.5" hidden="1" x14ac:dyDescent="0.3">
      <c r="A391" s="926"/>
      <c r="B391" s="971" t="s">
        <v>156</v>
      </c>
      <c r="C391" s="927"/>
      <c r="D391" s="928"/>
      <c r="E391" s="911"/>
      <c r="F391" s="911"/>
      <c r="G391" s="912"/>
      <c r="H391" s="972" t="s">
        <v>61</v>
      </c>
      <c r="I391" s="942">
        <f t="shared" ref="I391:J391" si="256">I402</f>
        <v>0</v>
      </c>
      <c r="J391" s="942">
        <f t="shared" si="256"/>
        <v>0</v>
      </c>
      <c r="K391" s="915">
        <f>IF(I391&gt;0,J391*100/I391,0)</f>
        <v>0</v>
      </c>
      <c r="L391" s="916"/>
      <c r="M391" s="917"/>
      <c r="N391" s="917"/>
      <c r="O391" s="917"/>
      <c r="P391" s="917"/>
      <c r="Q391" s="917"/>
      <c r="R391" s="917"/>
      <c r="S391" s="917"/>
      <c r="T391" s="917"/>
      <c r="U391" s="917"/>
    </row>
    <row r="392" spans="1:21" ht="19.5" hidden="1" x14ac:dyDescent="0.3">
      <c r="A392" s="674"/>
      <c r="B392" s="718"/>
      <c r="C392" s="719" t="s">
        <v>18</v>
      </c>
      <c r="D392" s="955" t="s">
        <v>19</v>
      </c>
      <c r="E392" s="561"/>
      <c r="F392" s="561"/>
      <c r="G392" s="563"/>
      <c r="H392" s="677" t="s">
        <v>14</v>
      </c>
      <c r="I392" s="565"/>
      <c r="J392" s="565"/>
      <c r="K392" s="566"/>
      <c r="L392" s="678">
        <f t="shared" ref="L392:N392" si="257">L393+L394</f>
        <v>0</v>
      </c>
      <c r="M392" s="679">
        <f t="shared" si="257"/>
        <v>0</v>
      </c>
      <c r="N392" s="679">
        <f t="shared" si="257"/>
        <v>0</v>
      </c>
      <c r="O392" s="679">
        <f t="shared" ref="O392:O400" si="258">IF(L392&gt;0,N392*100/L392,0)</f>
        <v>0</v>
      </c>
      <c r="P392" s="679">
        <f t="shared" ref="P392:P400" si="259">IF(M392&gt;0,N392*100/M392,0)</f>
        <v>0</v>
      </c>
      <c r="Q392" s="679">
        <f t="shared" ref="Q392:S392" ca="1" si="260">Q393+Q394</f>
        <v>0</v>
      </c>
      <c r="R392" s="679">
        <f t="shared" ca="1" si="260"/>
        <v>0</v>
      </c>
      <c r="S392" s="679">
        <f t="shared" ca="1" si="260"/>
        <v>0</v>
      </c>
      <c r="T392" s="679">
        <f t="shared" ref="T392:T400" ca="1" si="261">IF(Q392&gt;0,S392*100/Q392,0)</f>
        <v>0</v>
      </c>
      <c r="U392" s="679">
        <f t="shared" ref="U392:U400" ca="1" si="262">IF(R392&gt;0,S392*100/R392,0)</f>
        <v>0</v>
      </c>
    </row>
    <row r="393" spans="1:21" ht="18.75" hidden="1" x14ac:dyDescent="0.25">
      <c r="A393" s="674"/>
      <c r="B393" s="718"/>
      <c r="C393" s="718"/>
      <c r="D393" s="718"/>
      <c r="E393" s="569" t="s">
        <v>20</v>
      </c>
      <c r="F393" s="561"/>
      <c r="G393" s="563"/>
      <c r="H393" s="680" t="s">
        <v>14</v>
      </c>
      <c r="I393" s="565"/>
      <c r="J393" s="565"/>
      <c r="K393" s="566"/>
      <c r="L393" s="571">
        <f t="shared" ref="L393:N394" si="263">L396+L399</f>
        <v>0</v>
      </c>
      <c r="M393" s="572">
        <f t="shared" si="263"/>
        <v>0</v>
      </c>
      <c r="N393" s="572">
        <f t="shared" si="263"/>
        <v>0</v>
      </c>
      <c r="O393" s="572">
        <f t="shared" si="258"/>
        <v>0</v>
      </c>
      <c r="P393" s="572">
        <f t="shared" si="259"/>
        <v>0</v>
      </c>
      <c r="Q393" s="572">
        <f t="shared" ref="Q393:S394" si="264">Q396+Q399</f>
        <v>0</v>
      </c>
      <c r="R393" s="572">
        <f t="shared" si="264"/>
        <v>0</v>
      </c>
      <c r="S393" s="572">
        <f t="shared" si="264"/>
        <v>0</v>
      </c>
      <c r="T393" s="572">
        <f t="shared" si="261"/>
        <v>0</v>
      </c>
      <c r="U393" s="572">
        <f t="shared" si="262"/>
        <v>0</v>
      </c>
    </row>
    <row r="394" spans="1:21" ht="18.75" hidden="1" x14ac:dyDescent="0.25">
      <c r="A394" s="674"/>
      <c r="B394" s="718"/>
      <c r="C394" s="718"/>
      <c r="D394" s="718"/>
      <c r="E394" s="573" t="s">
        <v>21</v>
      </c>
      <c r="F394" s="561"/>
      <c r="G394" s="563"/>
      <c r="H394" s="681" t="s">
        <v>14</v>
      </c>
      <c r="I394" s="565"/>
      <c r="J394" s="565"/>
      <c r="K394" s="566"/>
      <c r="L394" s="567">
        <f t="shared" si="263"/>
        <v>0</v>
      </c>
      <c r="M394" s="568">
        <f t="shared" si="263"/>
        <v>0</v>
      </c>
      <c r="N394" s="568">
        <f t="shared" si="263"/>
        <v>0</v>
      </c>
      <c r="O394" s="568">
        <f t="shared" si="258"/>
        <v>0</v>
      </c>
      <c r="P394" s="568">
        <f t="shared" si="259"/>
        <v>0</v>
      </c>
      <c r="Q394" s="568">
        <f t="shared" ca="1" si="264"/>
        <v>0</v>
      </c>
      <c r="R394" s="568">
        <f t="shared" ca="1" si="264"/>
        <v>0</v>
      </c>
      <c r="S394" s="568">
        <f t="shared" ca="1" si="264"/>
        <v>0</v>
      </c>
      <c r="T394" s="568">
        <f t="shared" ca="1" si="261"/>
        <v>0</v>
      </c>
      <c r="U394" s="568">
        <f t="shared" ca="1" si="262"/>
        <v>0</v>
      </c>
    </row>
    <row r="395" spans="1:21" ht="18.75" hidden="1" x14ac:dyDescent="0.25">
      <c r="A395" s="674"/>
      <c r="B395" s="718"/>
      <c r="C395" s="718"/>
      <c r="D395" s="721" t="s">
        <v>22</v>
      </c>
      <c r="E395" s="561"/>
      <c r="F395" s="561"/>
      <c r="G395" s="563"/>
      <c r="H395" s="682" t="s">
        <v>14</v>
      </c>
      <c r="I395" s="683"/>
      <c r="J395" s="683"/>
      <c r="K395" s="684"/>
      <c r="L395" s="567">
        <f t="shared" ref="L395:N395" si="265">L396+L397</f>
        <v>0</v>
      </c>
      <c r="M395" s="568">
        <f t="shared" si="265"/>
        <v>0</v>
      </c>
      <c r="N395" s="568">
        <f t="shared" si="265"/>
        <v>0</v>
      </c>
      <c r="O395" s="568">
        <f t="shared" si="258"/>
        <v>0</v>
      </c>
      <c r="P395" s="568">
        <f t="shared" si="259"/>
        <v>0</v>
      </c>
      <c r="Q395" s="568">
        <f t="shared" ref="Q395:S395" ca="1" si="266">Q396+Q397</f>
        <v>0</v>
      </c>
      <c r="R395" s="568">
        <f t="shared" ca="1" si="266"/>
        <v>0</v>
      </c>
      <c r="S395" s="568">
        <f t="shared" ca="1" si="266"/>
        <v>0</v>
      </c>
      <c r="T395" s="568">
        <f t="shared" ca="1" si="261"/>
        <v>0</v>
      </c>
      <c r="U395" s="568">
        <f t="shared" ca="1" si="262"/>
        <v>0</v>
      </c>
    </row>
    <row r="396" spans="1:21" ht="18.75" hidden="1" x14ac:dyDescent="0.25">
      <c r="A396" s="674"/>
      <c r="B396" s="718"/>
      <c r="C396" s="718"/>
      <c r="D396" s="718"/>
      <c r="E396" s="569" t="s">
        <v>36</v>
      </c>
      <c r="F396" s="561"/>
      <c r="G396" s="563"/>
      <c r="H396" s="685" t="s">
        <v>14</v>
      </c>
      <c r="I396" s="683"/>
      <c r="J396" s="683"/>
      <c r="K396" s="684"/>
      <c r="L396" s="571">
        <v>0</v>
      </c>
      <c r="M396" s="572">
        <v>0</v>
      </c>
      <c r="N396" s="572">
        <v>0</v>
      </c>
      <c r="O396" s="572">
        <f t="shared" si="258"/>
        <v>0</v>
      </c>
      <c r="P396" s="572">
        <f t="shared" si="259"/>
        <v>0</v>
      </c>
      <c r="Q396" s="572">
        <v>0</v>
      </c>
      <c r="R396" s="572">
        <v>0</v>
      </c>
      <c r="S396" s="572">
        <v>0</v>
      </c>
      <c r="T396" s="572">
        <f t="shared" si="261"/>
        <v>0</v>
      </c>
      <c r="U396" s="572">
        <f t="shared" si="262"/>
        <v>0</v>
      </c>
    </row>
    <row r="397" spans="1:21" ht="18.75" hidden="1" x14ac:dyDescent="0.25">
      <c r="A397" s="674"/>
      <c r="B397" s="718"/>
      <c r="C397" s="718"/>
      <c r="D397" s="718"/>
      <c r="E397" s="765" t="s">
        <v>37</v>
      </c>
      <c r="F397" s="718"/>
      <c r="G397" s="727"/>
      <c r="H397" s="682" t="s">
        <v>14</v>
      </c>
      <c r="I397" s="683"/>
      <c r="J397" s="683"/>
      <c r="K397" s="684"/>
      <c r="L397" s="567">
        <v>0</v>
      </c>
      <c r="M397" s="568">
        <v>0</v>
      </c>
      <c r="N397" s="568">
        <v>0</v>
      </c>
      <c r="O397" s="568">
        <f t="shared" si="258"/>
        <v>0</v>
      </c>
      <c r="P397" s="568">
        <f t="shared" si="259"/>
        <v>0</v>
      </c>
      <c r="Q397" s="568">
        <f ca="1">IFERROR(__xludf.DUMMYFUNCTION("IMPORTRANGE(""https://docs.google.com/spreadsheets/d/1ItG2mGa2ceCfYo0BwxsXqNm01IGEUdYcSSLTEv9YCik/edit?usp=sharing"",""เบิกจ่ายกองทุน!CL20"")"),0)</f>
        <v>0</v>
      </c>
      <c r="R397" s="568">
        <f ca="1">IFERROR(__xludf.DUMMYFUNCTION("IMPORTRANGE(""https://docs.google.com/spreadsheets/d/1ItG2mGa2ceCfYo0BwxsXqNm01IGEUdYcSSLTEv9YCik/edit?usp=sharing"",""เบิกจ่ายกองทุน!CM20"")"),0)</f>
        <v>0</v>
      </c>
      <c r="S397" s="568">
        <f ca="1">IFERROR(__xludf.DUMMYFUNCTION("IMPORTRANGE(""https://docs.google.com/spreadsheets/d/1ItG2mGa2ceCfYo0BwxsXqNm01IGEUdYcSSLTEv9YCik/edit?usp=sharing"",""เบิกจ่ายกองทุน!CN20"")"),0)</f>
        <v>0</v>
      </c>
      <c r="T397" s="568">
        <f t="shared" ca="1" si="261"/>
        <v>0</v>
      </c>
      <c r="U397" s="568">
        <f t="shared" ca="1" si="262"/>
        <v>0</v>
      </c>
    </row>
    <row r="398" spans="1:21" ht="18.75" hidden="1" x14ac:dyDescent="0.25">
      <c r="A398" s="674"/>
      <c r="B398" s="718"/>
      <c r="C398" s="718"/>
      <c r="D398" s="721" t="s">
        <v>23</v>
      </c>
      <c r="E398" s="561"/>
      <c r="F398" s="561"/>
      <c r="G398" s="563"/>
      <c r="H398" s="686" t="s">
        <v>14</v>
      </c>
      <c r="I398" s="683"/>
      <c r="J398" s="683"/>
      <c r="K398" s="684"/>
      <c r="L398" s="567">
        <f t="shared" ref="L398:N398" si="267">L399+L400</f>
        <v>0</v>
      </c>
      <c r="M398" s="568">
        <f t="shared" si="267"/>
        <v>0</v>
      </c>
      <c r="N398" s="568">
        <f t="shared" si="267"/>
        <v>0</v>
      </c>
      <c r="O398" s="568">
        <f t="shared" si="258"/>
        <v>0</v>
      </c>
      <c r="P398" s="568">
        <f t="shared" si="259"/>
        <v>0</v>
      </c>
      <c r="Q398" s="568">
        <f t="shared" ref="Q398:S398" si="268">Q399+Q400</f>
        <v>0</v>
      </c>
      <c r="R398" s="568">
        <f t="shared" si="268"/>
        <v>0</v>
      </c>
      <c r="S398" s="568">
        <f t="shared" si="268"/>
        <v>0</v>
      </c>
      <c r="T398" s="568">
        <f t="shared" si="261"/>
        <v>0</v>
      </c>
      <c r="U398" s="568">
        <f t="shared" si="262"/>
        <v>0</v>
      </c>
    </row>
    <row r="399" spans="1:21" ht="18.75" hidden="1" x14ac:dyDescent="0.25">
      <c r="A399" s="674"/>
      <c r="B399" s="718"/>
      <c r="C399" s="718"/>
      <c r="D399" s="718"/>
      <c r="E399" s="569" t="s">
        <v>20</v>
      </c>
      <c r="F399" s="561"/>
      <c r="G399" s="563"/>
      <c r="H399" s="685" t="s">
        <v>14</v>
      </c>
      <c r="I399" s="683"/>
      <c r="J399" s="683"/>
      <c r="K399" s="684"/>
      <c r="L399" s="571">
        <v>0</v>
      </c>
      <c r="M399" s="572">
        <v>0</v>
      </c>
      <c r="N399" s="572">
        <v>0</v>
      </c>
      <c r="O399" s="572">
        <f t="shared" si="258"/>
        <v>0</v>
      </c>
      <c r="P399" s="572">
        <f t="shared" si="259"/>
        <v>0</v>
      </c>
      <c r="Q399" s="572">
        <v>0</v>
      </c>
      <c r="R399" s="572">
        <v>0</v>
      </c>
      <c r="S399" s="572">
        <v>0</v>
      </c>
      <c r="T399" s="572">
        <f t="shared" si="261"/>
        <v>0</v>
      </c>
      <c r="U399" s="572">
        <f t="shared" si="262"/>
        <v>0</v>
      </c>
    </row>
    <row r="400" spans="1:21" ht="18.75" hidden="1" x14ac:dyDescent="0.25">
      <c r="A400" s="674"/>
      <c r="B400" s="718"/>
      <c r="C400" s="718"/>
      <c r="D400" s="718"/>
      <c r="E400" s="573" t="s">
        <v>21</v>
      </c>
      <c r="F400" s="561"/>
      <c r="G400" s="563"/>
      <c r="H400" s="686" t="s">
        <v>14</v>
      </c>
      <c r="I400" s="683"/>
      <c r="J400" s="683"/>
      <c r="K400" s="684"/>
      <c r="L400" s="567">
        <v>0</v>
      </c>
      <c r="M400" s="568">
        <v>0</v>
      </c>
      <c r="N400" s="568">
        <v>0</v>
      </c>
      <c r="O400" s="568">
        <f t="shared" si="258"/>
        <v>0</v>
      </c>
      <c r="P400" s="568">
        <f t="shared" si="259"/>
        <v>0</v>
      </c>
      <c r="Q400" s="568">
        <v>0</v>
      </c>
      <c r="R400" s="568">
        <v>0</v>
      </c>
      <c r="S400" s="568">
        <v>0</v>
      </c>
      <c r="T400" s="568">
        <f t="shared" si="261"/>
        <v>0</v>
      </c>
      <c r="U400" s="568">
        <f t="shared" si="262"/>
        <v>0</v>
      </c>
    </row>
    <row r="401" spans="1:21" ht="19.5" hidden="1" x14ac:dyDescent="0.3">
      <c r="A401" s="687"/>
      <c r="B401" s="688"/>
      <c r="C401" s="719" t="s">
        <v>18</v>
      </c>
      <c r="D401" s="956" t="s">
        <v>38</v>
      </c>
      <c r="E401" s="690"/>
      <c r="F401" s="690"/>
      <c r="G401" s="691"/>
      <c r="H401" s="725"/>
      <c r="I401" s="683"/>
      <c r="J401" s="565"/>
      <c r="K401" s="566"/>
      <c r="L401" s="574"/>
      <c r="M401" s="566"/>
      <c r="N401" s="566"/>
      <c r="O401" s="684"/>
      <c r="P401" s="684"/>
      <c r="Q401" s="566"/>
      <c r="R401" s="566"/>
      <c r="S401" s="566"/>
      <c r="T401" s="684"/>
      <c r="U401" s="684"/>
    </row>
    <row r="402" spans="1:21" ht="12.75" hidden="1" x14ac:dyDescent="0.2">
      <c r="A402" s="973"/>
      <c r="B402" s="961"/>
      <c r="C402" s="961"/>
      <c r="D402" s="961"/>
      <c r="E402" s="974"/>
      <c r="F402" s="974"/>
      <c r="G402" s="975"/>
      <c r="H402" s="962"/>
      <c r="I402" s="963"/>
      <c r="J402" s="963"/>
      <c r="K402" s="964"/>
      <c r="L402" s="965"/>
      <c r="M402" s="964"/>
      <c r="N402" s="964"/>
      <c r="O402" s="964"/>
      <c r="P402" s="964"/>
      <c r="Q402" s="964"/>
      <c r="R402" s="964"/>
      <c r="S402" s="964"/>
      <c r="T402" s="964"/>
      <c r="U402" s="964"/>
    </row>
    <row r="403" spans="1:21" ht="12.75" hidden="1" x14ac:dyDescent="0.2">
      <c r="A403" s="961"/>
      <c r="B403" s="961"/>
      <c r="C403" s="961"/>
      <c r="D403" s="961"/>
      <c r="E403" s="961"/>
      <c r="F403" s="961"/>
      <c r="G403" s="962"/>
      <c r="H403" s="962"/>
      <c r="I403" s="963"/>
      <c r="J403" s="963"/>
      <c r="K403" s="964"/>
      <c r="L403" s="965"/>
      <c r="M403" s="964"/>
      <c r="N403" s="964"/>
      <c r="O403" s="964"/>
      <c r="P403" s="964"/>
      <c r="Q403" s="964"/>
      <c r="R403" s="964"/>
      <c r="S403" s="964"/>
      <c r="T403" s="964"/>
      <c r="U403" s="964"/>
    </row>
    <row r="404" spans="1:21" ht="12.75" hidden="1" x14ac:dyDescent="0.2">
      <c r="A404" s="961"/>
      <c r="B404" s="961"/>
      <c r="C404" s="961"/>
      <c r="D404" s="961"/>
      <c r="E404" s="961"/>
      <c r="F404" s="961"/>
      <c r="G404" s="962"/>
      <c r="H404" s="962"/>
      <c r="I404" s="963"/>
      <c r="J404" s="963"/>
      <c r="K404" s="964"/>
      <c r="L404" s="965"/>
      <c r="M404" s="964"/>
      <c r="N404" s="964"/>
      <c r="O404" s="964"/>
      <c r="P404" s="964"/>
      <c r="Q404" s="964"/>
      <c r="R404" s="964"/>
      <c r="S404" s="964"/>
      <c r="T404" s="964"/>
      <c r="U404" s="964"/>
    </row>
    <row r="405" spans="1:21" ht="12.75" hidden="1" x14ac:dyDescent="0.2">
      <c r="A405" s="961"/>
      <c r="B405" s="961"/>
      <c r="C405" s="961"/>
      <c r="D405" s="961"/>
      <c r="E405" s="961"/>
      <c r="F405" s="961"/>
      <c r="G405" s="962"/>
      <c r="H405" s="962"/>
      <c r="I405" s="963"/>
      <c r="J405" s="963"/>
      <c r="K405" s="964"/>
      <c r="L405" s="965"/>
      <c r="M405" s="964"/>
      <c r="N405" s="964"/>
      <c r="O405" s="964"/>
      <c r="P405" s="964"/>
      <c r="Q405" s="964"/>
      <c r="R405" s="964"/>
      <c r="S405" s="964"/>
      <c r="T405" s="964"/>
      <c r="U405" s="964"/>
    </row>
    <row r="406" spans="1:21" ht="12.75" hidden="1" x14ac:dyDescent="0.2">
      <c r="A406" s="961"/>
      <c r="B406" s="961"/>
      <c r="C406" s="961"/>
      <c r="D406" s="961"/>
      <c r="E406" s="961"/>
      <c r="F406" s="961"/>
      <c r="G406" s="962"/>
      <c r="H406" s="962"/>
      <c r="I406" s="963"/>
      <c r="J406" s="963"/>
      <c r="K406" s="964"/>
      <c r="L406" s="965"/>
      <c r="M406" s="964"/>
      <c r="N406" s="964"/>
      <c r="O406" s="964"/>
      <c r="P406" s="964"/>
      <c r="Q406" s="964"/>
      <c r="R406" s="964"/>
      <c r="S406" s="964"/>
      <c r="T406" s="964"/>
      <c r="U406" s="964"/>
    </row>
    <row r="407" spans="1:21" ht="12.75" hidden="1" x14ac:dyDescent="0.2">
      <c r="A407" s="961"/>
      <c r="B407" s="961"/>
      <c r="C407" s="961"/>
      <c r="D407" s="961"/>
      <c r="E407" s="961"/>
      <c r="F407" s="961"/>
      <c r="G407" s="962"/>
      <c r="H407" s="962"/>
      <c r="I407" s="963"/>
      <c r="J407" s="963"/>
      <c r="K407" s="964"/>
      <c r="L407" s="965"/>
      <c r="M407" s="964"/>
      <c r="N407" s="964"/>
      <c r="O407" s="964"/>
      <c r="P407" s="964"/>
      <c r="Q407" s="964"/>
      <c r="R407" s="964"/>
      <c r="S407" s="964"/>
      <c r="T407" s="964"/>
      <c r="U407" s="964"/>
    </row>
    <row r="408" spans="1:21" ht="12.75" hidden="1" x14ac:dyDescent="0.2">
      <c r="A408" s="961"/>
      <c r="B408" s="961"/>
      <c r="C408" s="961"/>
      <c r="D408" s="961"/>
      <c r="E408" s="961"/>
      <c r="F408" s="961"/>
      <c r="G408" s="962"/>
      <c r="H408" s="962"/>
      <c r="I408" s="963"/>
      <c r="J408" s="963"/>
      <c r="K408" s="964"/>
      <c r="L408" s="965"/>
      <c r="M408" s="964"/>
      <c r="N408" s="964"/>
      <c r="O408" s="964"/>
      <c r="P408" s="964"/>
      <c r="Q408" s="964"/>
      <c r="R408" s="964"/>
      <c r="S408" s="964"/>
      <c r="T408" s="964"/>
      <c r="U408" s="964"/>
    </row>
    <row r="409" spans="1:21" ht="12.75" hidden="1" x14ac:dyDescent="0.2">
      <c r="A409" s="961"/>
      <c r="B409" s="961"/>
      <c r="C409" s="961"/>
      <c r="D409" s="961"/>
      <c r="E409" s="961"/>
      <c r="F409" s="961"/>
      <c r="G409" s="962"/>
      <c r="H409" s="962"/>
      <c r="I409" s="963"/>
      <c r="J409" s="963"/>
      <c r="K409" s="964"/>
      <c r="L409" s="965"/>
      <c r="M409" s="964"/>
      <c r="N409" s="964"/>
      <c r="O409" s="964"/>
      <c r="P409" s="964"/>
      <c r="Q409" s="964"/>
      <c r="R409" s="964"/>
      <c r="S409" s="964"/>
      <c r="T409" s="964"/>
      <c r="U409" s="964"/>
    </row>
    <row r="410" spans="1:21" ht="12.75" hidden="1" x14ac:dyDescent="0.2">
      <c r="A410" s="961"/>
      <c r="B410" s="961"/>
      <c r="C410" s="961"/>
      <c r="D410" s="961"/>
      <c r="E410" s="961"/>
      <c r="F410" s="961"/>
      <c r="G410" s="962"/>
      <c r="H410" s="962"/>
      <c r="I410" s="963"/>
      <c r="J410" s="963"/>
      <c r="K410" s="964"/>
      <c r="L410" s="965"/>
      <c r="M410" s="964"/>
      <c r="N410" s="964"/>
      <c r="O410" s="964"/>
      <c r="P410" s="964"/>
      <c r="Q410" s="964"/>
      <c r="R410" s="964"/>
      <c r="S410" s="964"/>
      <c r="T410" s="964"/>
      <c r="U410" s="964"/>
    </row>
    <row r="411" spans="1:21" ht="12.75" hidden="1" x14ac:dyDescent="0.2">
      <c r="A411" s="966"/>
      <c r="B411" s="966"/>
      <c r="C411" s="966"/>
      <c r="D411" s="966"/>
      <c r="E411" s="966"/>
      <c r="F411" s="966"/>
      <c r="G411" s="967"/>
      <c r="H411" s="967"/>
      <c r="I411" s="968"/>
      <c r="J411" s="968"/>
      <c r="K411" s="969"/>
      <c r="L411" s="970"/>
      <c r="M411" s="969"/>
      <c r="N411" s="969"/>
      <c r="O411" s="969"/>
      <c r="P411" s="969"/>
      <c r="Q411" s="969"/>
      <c r="R411" s="969"/>
      <c r="S411" s="969"/>
      <c r="T411" s="969"/>
      <c r="U411" s="969"/>
    </row>
    <row r="412" spans="1:21" ht="19.5" x14ac:dyDescent="0.3">
      <c r="A412" s="928"/>
      <c r="B412" s="971" t="s">
        <v>157</v>
      </c>
      <c r="C412" s="928"/>
      <c r="D412" s="928"/>
      <c r="E412" s="928"/>
      <c r="F412" s="928"/>
      <c r="G412" s="976"/>
      <c r="H412" s="977" t="s">
        <v>46</v>
      </c>
      <c r="I412" s="914">
        <f t="shared" ref="I412:J412" ca="1" si="269">I423</f>
        <v>31466</v>
      </c>
      <c r="J412" s="914">
        <f t="shared" si="269"/>
        <v>0</v>
      </c>
      <c r="K412" s="915">
        <f ca="1">IF(I412&gt;0,J412*100/I412,0)</f>
        <v>0</v>
      </c>
      <c r="L412" s="916"/>
      <c r="M412" s="917"/>
      <c r="N412" s="917"/>
      <c r="O412" s="917"/>
      <c r="P412" s="917"/>
      <c r="Q412" s="917"/>
      <c r="R412" s="917"/>
      <c r="S412" s="917"/>
      <c r="T412" s="917"/>
      <c r="U412" s="917"/>
    </row>
    <row r="413" spans="1:21" ht="19.5" x14ac:dyDescent="0.3">
      <c r="A413" s="674"/>
      <c r="B413" s="718"/>
      <c r="C413" s="978" t="s">
        <v>18</v>
      </c>
      <c r="D413" s="1313" t="s">
        <v>19</v>
      </c>
      <c r="E413" s="1314"/>
      <c r="F413" s="1314"/>
      <c r="G413" s="1317"/>
      <c r="H413" s="979" t="s">
        <v>14</v>
      </c>
      <c r="I413" s="565"/>
      <c r="J413" s="565"/>
      <c r="K413" s="566"/>
      <c r="L413" s="678">
        <f t="shared" ref="L413:N413" ca="1" si="270">L414+L415</f>
        <v>488640</v>
      </c>
      <c r="M413" s="679">
        <f t="shared" ca="1" si="270"/>
        <v>228100</v>
      </c>
      <c r="N413" s="679">
        <f t="shared" ca="1" si="270"/>
        <v>0</v>
      </c>
      <c r="O413" s="679">
        <f t="shared" ref="O413:O421" ca="1" si="271">IF(L413&gt;0,N413*100/L413,0)</f>
        <v>0</v>
      </c>
      <c r="P413" s="679">
        <f t="shared" ref="P413:P421" ca="1" si="272">IF(M413&gt;0,N413*100/M413,0)</f>
        <v>0</v>
      </c>
      <c r="Q413" s="679">
        <f t="shared" ref="Q413:S413" ca="1" si="273">Q414+Q415</f>
        <v>75340</v>
      </c>
      <c r="R413" s="679">
        <f t="shared" ca="1" si="273"/>
        <v>75340</v>
      </c>
      <c r="S413" s="679">
        <f t="shared" ca="1" si="273"/>
        <v>0</v>
      </c>
      <c r="T413" s="679">
        <f t="shared" ref="T413:T421" ca="1" si="274">IF(Q413&gt;0,S413*100/Q413,0)</f>
        <v>0</v>
      </c>
      <c r="U413" s="679">
        <f t="shared" ref="U413:U421" ca="1" si="275">IF(R413&gt;0,S413*100/R413,0)</f>
        <v>0</v>
      </c>
    </row>
    <row r="414" spans="1:21" ht="18.75" x14ac:dyDescent="0.25">
      <c r="A414" s="674"/>
      <c r="B414" s="718"/>
      <c r="C414" s="718"/>
      <c r="D414" s="718"/>
      <c r="E414" s="767" t="s">
        <v>158</v>
      </c>
      <c r="F414" s="718"/>
      <c r="G414" s="727"/>
      <c r="H414" s="723" t="s">
        <v>14</v>
      </c>
      <c r="I414" s="565"/>
      <c r="J414" s="565"/>
      <c r="K414" s="566"/>
      <c r="L414" s="571">
        <f t="shared" ref="L414:N415" si="276">L417+L420</f>
        <v>0</v>
      </c>
      <c r="M414" s="572">
        <f t="shared" si="276"/>
        <v>0</v>
      </c>
      <c r="N414" s="572">
        <f t="shared" si="276"/>
        <v>0</v>
      </c>
      <c r="O414" s="572">
        <f t="shared" si="271"/>
        <v>0</v>
      </c>
      <c r="P414" s="572">
        <f t="shared" si="272"/>
        <v>0</v>
      </c>
      <c r="Q414" s="572">
        <f t="shared" ref="Q414:S415" si="277">Q417+Q420</f>
        <v>0</v>
      </c>
      <c r="R414" s="572">
        <f t="shared" si="277"/>
        <v>0</v>
      </c>
      <c r="S414" s="572">
        <f t="shared" si="277"/>
        <v>0</v>
      </c>
      <c r="T414" s="572">
        <f t="shared" si="274"/>
        <v>0</v>
      </c>
      <c r="U414" s="572">
        <f t="shared" si="275"/>
        <v>0</v>
      </c>
    </row>
    <row r="415" spans="1:21" ht="18.75" x14ac:dyDescent="0.25">
      <c r="A415" s="674"/>
      <c r="B415" s="718"/>
      <c r="C415" s="718"/>
      <c r="D415" s="718"/>
      <c r="E415" s="765" t="s">
        <v>159</v>
      </c>
      <c r="F415" s="718"/>
      <c r="G415" s="727"/>
      <c r="H415" s="722" t="s">
        <v>14</v>
      </c>
      <c r="I415" s="565"/>
      <c r="J415" s="565"/>
      <c r="K415" s="566"/>
      <c r="L415" s="567">
        <f t="shared" ca="1" si="276"/>
        <v>488640</v>
      </c>
      <c r="M415" s="568">
        <f t="shared" ca="1" si="276"/>
        <v>228100</v>
      </c>
      <c r="N415" s="568">
        <f t="shared" ca="1" si="276"/>
        <v>0</v>
      </c>
      <c r="O415" s="568">
        <f t="shared" ca="1" si="271"/>
        <v>0</v>
      </c>
      <c r="P415" s="568">
        <f t="shared" ca="1" si="272"/>
        <v>0</v>
      </c>
      <c r="Q415" s="568">
        <f t="shared" ca="1" si="277"/>
        <v>75340</v>
      </c>
      <c r="R415" s="568">
        <f t="shared" ca="1" si="277"/>
        <v>75340</v>
      </c>
      <c r="S415" s="568">
        <f t="shared" ca="1" si="277"/>
        <v>0</v>
      </c>
      <c r="T415" s="568">
        <f t="shared" ca="1" si="274"/>
        <v>0</v>
      </c>
      <c r="U415" s="568">
        <f t="shared" ca="1" si="275"/>
        <v>0</v>
      </c>
    </row>
    <row r="416" spans="1:21" ht="19.5" x14ac:dyDescent="0.3">
      <c r="A416" s="674"/>
      <c r="B416" s="718"/>
      <c r="C416" s="718"/>
      <c r="D416" s="955" t="s">
        <v>22</v>
      </c>
      <c r="E416" s="718"/>
      <c r="F416" s="718"/>
      <c r="G416" s="727"/>
      <c r="H416" s="979" t="s">
        <v>14</v>
      </c>
      <c r="I416" s="565"/>
      <c r="J416" s="565"/>
      <c r="K416" s="566"/>
      <c r="L416" s="567">
        <f t="shared" ref="L416:N416" ca="1" si="278">L417+L418</f>
        <v>488640</v>
      </c>
      <c r="M416" s="568">
        <f t="shared" ca="1" si="278"/>
        <v>228100</v>
      </c>
      <c r="N416" s="568">
        <f t="shared" ca="1" si="278"/>
        <v>0</v>
      </c>
      <c r="O416" s="568">
        <f t="shared" ca="1" si="271"/>
        <v>0</v>
      </c>
      <c r="P416" s="568">
        <f t="shared" ca="1" si="272"/>
        <v>0</v>
      </c>
      <c r="Q416" s="568">
        <f t="shared" ref="Q416:S416" ca="1" si="279">Q417+Q418</f>
        <v>75340</v>
      </c>
      <c r="R416" s="568">
        <f t="shared" ca="1" si="279"/>
        <v>75340</v>
      </c>
      <c r="S416" s="568">
        <f t="shared" ca="1" si="279"/>
        <v>0</v>
      </c>
      <c r="T416" s="568">
        <f t="shared" ca="1" si="274"/>
        <v>0</v>
      </c>
      <c r="U416" s="568">
        <f t="shared" ca="1" si="275"/>
        <v>0</v>
      </c>
    </row>
    <row r="417" spans="1:21" ht="18.75" x14ac:dyDescent="0.25">
      <c r="A417" s="674"/>
      <c r="B417" s="718"/>
      <c r="C417" s="718"/>
      <c r="D417" s="718"/>
      <c r="E417" s="767" t="s">
        <v>158</v>
      </c>
      <c r="F417" s="718"/>
      <c r="G417" s="727"/>
      <c r="H417" s="723" t="s">
        <v>14</v>
      </c>
      <c r="I417" s="565"/>
      <c r="J417" s="565"/>
      <c r="K417" s="566"/>
      <c r="L417" s="571">
        <v>0</v>
      </c>
      <c r="M417" s="572">
        <v>0</v>
      </c>
      <c r="N417" s="572">
        <v>0</v>
      </c>
      <c r="O417" s="572">
        <f t="shared" si="271"/>
        <v>0</v>
      </c>
      <c r="P417" s="572">
        <f t="shared" si="272"/>
        <v>0</v>
      </c>
      <c r="Q417" s="572">
        <v>0</v>
      </c>
      <c r="R417" s="572">
        <v>0</v>
      </c>
      <c r="S417" s="572">
        <v>0</v>
      </c>
      <c r="T417" s="572">
        <f t="shared" si="274"/>
        <v>0</v>
      </c>
      <c r="U417" s="572">
        <f t="shared" si="275"/>
        <v>0</v>
      </c>
    </row>
    <row r="418" spans="1:21" ht="18.75" x14ac:dyDescent="0.25">
      <c r="A418" s="674"/>
      <c r="B418" s="718"/>
      <c r="C418" s="718"/>
      <c r="D418" s="718"/>
      <c r="E418" s="765" t="s">
        <v>159</v>
      </c>
      <c r="F418" s="718"/>
      <c r="G418" s="727"/>
      <c r="H418" s="722" t="s">
        <v>14</v>
      </c>
      <c r="I418" s="565"/>
      <c r="J418" s="565"/>
      <c r="K418" s="566"/>
      <c r="L418" s="567">
        <f ca="1">IFERROR(__xludf.DUMMYFUNCTION("IMPORTRANGE(""https://docs.google.com/spreadsheets/d/1-uDff_7J0KD5mKrp0Vvzr7lt3OU09vwQwhkpOPPYv2Y/edit?usp=sharing"",""งบพรบ!IO20"")"),488640)</f>
        <v>488640</v>
      </c>
      <c r="M418" s="568">
        <f ca="1">IFERROR(__xludf.DUMMYFUNCTION("IMPORTRANGE(""https://docs.google.com/spreadsheets/d/1-uDff_7J0KD5mKrp0Vvzr7lt3OU09vwQwhkpOPPYv2Y/edit?usp=sharing"",""งบพรบ!IT20"")"),228100)</f>
        <v>228100</v>
      </c>
      <c r="N418" s="568">
        <f ca="1">IFERROR(__xludf.DUMMYFUNCTION("IMPORTRANGE(""https://docs.google.com/spreadsheets/d/1-uDff_7J0KD5mKrp0Vvzr7lt3OU09vwQwhkpOPPYv2Y/edit?usp=sharing"",""งบพรบ!IV20"")"),0)</f>
        <v>0</v>
      </c>
      <c r="O418" s="568">
        <f t="shared" ca="1" si="271"/>
        <v>0</v>
      </c>
      <c r="P418" s="568">
        <f t="shared" ca="1" si="272"/>
        <v>0</v>
      </c>
      <c r="Q418" s="568">
        <f ca="1">IFERROR(__xludf.DUMMYFUNCTION("IMPORTRANGE(""https://docs.google.com/spreadsheets/d/1ItG2mGa2ceCfYo0BwxsXqNm01IGEUdYcSSLTEv9YCik/edit?usp=sharing"",""เบิกจ่ายกองทุน!BZ20"")"),75340)</f>
        <v>75340</v>
      </c>
      <c r="R418" s="568">
        <f ca="1">IFERROR(__xludf.DUMMYFUNCTION("IMPORTRANGE(""https://docs.google.com/spreadsheets/d/1ItG2mGa2ceCfYo0BwxsXqNm01IGEUdYcSSLTEv9YCik/edit?usp=sharing"",""เบิกจ่ายกองทุน!CA20"")"),75340)</f>
        <v>75340</v>
      </c>
      <c r="S418" s="568">
        <f ca="1">IFERROR(__xludf.DUMMYFUNCTION("IMPORTRANGE(""https://docs.google.com/spreadsheets/d/1ItG2mGa2ceCfYo0BwxsXqNm01IGEUdYcSSLTEv9YCik/edit?usp=sharing"",""เบิกจ่ายกองทุน!CB20"")"),0)</f>
        <v>0</v>
      </c>
      <c r="T418" s="568">
        <f t="shared" ca="1" si="274"/>
        <v>0</v>
      </c>
      <c r="U418" s="568">
        <f t="shared" ca="1" si="275"/>
        <v>0</v>
      </c>
    </row>
    <row r="419" spans="1:21" ht="19.5" x14ac:dyDescent="0.3">
      <c r="A419" s="674"/>
      <c r="B419" s="718"/>
      <c r="C419" s="718"/>
      <c r="D419" s="955" t="s">
        <v>23</v>
      </c>
      <c r="E419" s="718"/>
      <c r="F419" s="718"/>
      <c r="G419" s="727"/>
      <c r="H419" s="677" t="s">
        <v>14</v>
      </c>
      <c r="I419" s="565"/>
      <c r="J419" s="565"/>
      <c r="K419" s="566"/>
      <c r="L419" s="567">
        <f t="shared" ref="L419:N419" ca="1" si="280">L420+L421</f>
        <v>0</v>
      </c>
      <c r="M419" s="568">
        <f t="shared" ca="1" si="280"/>
        <v>0</v>
      </c>
      <c r="N419" s="568">
        <f t="shared" ca="1" si="280"/>
        <v>0</v>
      </c>
      <c r="O419" s="568">
        <f t="shared" ca="1" si="271"/>
        <v>0</v>
      </c>
      <c r="P419" s="568">
        <f t="shared" ca="1" si="272"/>
        <v>0</v>
      </c>
      <c r="Q419" s="568">
        <f t="shared" ref="Q419:S419" si="281">Q420+Q421</f>
        <v>0</v>
      </c>
      <c r="R419" s="568">
        <f t="shared" si="281"/>
        <v>0</v>
      </c>
      <c r="S419" s="568">
        <f t="shared" si="281"/>
        <v>0</v>
      </c>
      <c r="T419" s="568">
        <f t="shared" si="274"/>
        <v>0</v>
      </c>
      <c r="U419" s="568">
        <f t="shared" si="275"/>
        <v>0</v>
      </c>
    </row>
    <row r="420" spans="1:21" ht="18.75" x14ac:dyDescent="0.25">
      <c r="A420" s="674"/>
      <c r="B420" s="718"/>
      <c r="C420" s="718"/>
      <c r="D420" s="718"/>
      <c r="E420" s="767" t="s">
        <v>20</v>
      </c>
      <c r="F420" s="718"/>
      <c r="G420" s="727"/>
      <c r="H420" s="723" t="s">
        <v>14</v>
      </c>
      <c r="I420" s="565"/>
      <c r="J420" s="565"/>
      <c r="K420" s="566"/>
      <c r="L420" s="571">
        <v>0</v>
      </c>
      <c r="M420" s="572">
        <v>0</v>
      </c>
      <c r="N420" s="572">
        <v>0</v>
      </c>
      <c r="O420" s="572">
        <f t="shared" si="271"/>
        <v>0</v>
      </c>
      <c r="P420" s="572">
        <f t="shared" si="272"/>
        <v>0</v>
      </c>
      <c r="Q420" s="572">
        <v>0</v>
      </c>
      <c r="R420" s="572">
        <v>0</v>
      </c>
      <c r="S420" s="572">
        <v>0</v>
      </c>
      <c r="T420" s="572">
        <f t="shared" si="274"/>
        <v>0</v>
      </c>
      <c r="U420" s="572">
        <f t="shared" si="275"/>
        <v>0</v>
      </c>
    </row>
    <row r="421" spans="1:21" ht="18.75" x14ac:dyDescent="0.25">
      <c r="A421" s="674"/>
      <c r="B421" s="718"/>
      <c r="C421" s="718"/>
      <c r="D421" s="718"/>
      <c r="E421" s="765" t="s">
        <v>21</v>
      </c>
      <c r="F421" s="718"/>
      <c r="G421" s="727"/>
      <c r="H421" s="681" t="s">
        <v>14</v>
      </c>
      <c r="I421" s="565"/>
      <c r="J421" s="565"/>
      <c r="K421" s="566"/>
      <c r="L421" s="567">
        <f ca="1">IFERROR(__xludf.DUMMYFUNCTION("IMPORTRANGE(""https://docs.google.com/spreadsheets/d/1-uDff_7J0KD5mKrp0Vvzr7lt3OU09vwQwhkpOPPYv2Y/edit?usp=sharing"",""งบพรบ!IR20"")"),0)</f>
        <v>0</v>
      </c>
      <c r="M421" s="568">
        <f ca="1">IFERROR(__xludf.DUMMYFUNCTION("IMPORTRANGE(""https://docs.google.com/spreadsheets/d/1-uDff_7J0KD5mKrp0Vvzr7lt3OU09vwQwhkpOPPYv2Y/edit?usp=sharing"",""งบพรบ!IU20"")"),0)</f>
        <v>0</v>
      </c>
      <c r="N421" s="568">
        <f ca="1">IFERROR(__xludf.DUMMYFUNCTION("IMPORTRANGE(""https://docs.google.com/spreadsheets/d/1-uDff_7J0KD5mKrp0Vvzr7lt3OU09vwQwhkpOPPYv2Y/edit?usp=sharing"",""งบพรบ!IW20"")"),0)</f>
        <v>0</v>
      </c>
      <c r="O421" s="568">
        <f t="shared" ca="1" si="271"/>
        <v>0</v>
      </c>
      <c r="P421" s="568">
        <f t="shared" ca="1" si="272"/>
        <v>0</v>
      </c>
      <c r="Q421" s="568">
        <v>0</v>
      </c>
      <c r="R421" s="568">
        <v>0</v>
      </c>
      <c r="S421" s="568">
        <v>0</v>
      </c>
      <c r="T421" s="568">
        <f t="shared" si="274"/>
        <v>0</v>
      </c>
      <c r="U421" s="568">
        <f t="shared" si="275"/>
        <v>0</v>
      </c>
    </row>
    <row r="422" spans="1:21" ht="19.5" x14ac:dyDescent="0.3">
      <c r="A422" s="764"/>
      <c r="B422" s="718"/>
      <c r="C422" s="978" t="s">
        <v>18</v>
      </c>
      <c r="D422" s="980" t="s">
        <v>38</v>
      </c>
      <c r="E422" s="718"/>
      <c r="F422" s="718"/>
      <c r="G422" s="727"/>
      <c r="H422" s="727"/>
      <c r="I422" s="565"/>
      <c r="J422" s="565"/>
      <c r="K422" s="566"/>
      <c r="L422" s="574"/>
      <c r="M422" s="566"/>
      <c r="N422" s="566"/>
      <c r="O422" s="566"/>
      <c r="P422" s="566"/>
      <c r="Q422" s="566"/>
      <c r="R422" s="566"/>
      <c r="S422" s="566"/>
      <c r="T422" s="566"/>
      <c r="U422" s="566"/>
    </row>
    <row r="423" spans="1:21" ht="19.5" x14ac:dyDescent="0.3">
      <c r="A423" s="764"/>
      <c r="B423" s="719" t="s">
        <v>160</v>
      </c>
      <c r="C423" s="718"/>
      <c r="D423" s="718"/>
      <c r="E423" s="718"/>
      <c r="F423" s="718"/>
      <c r="G423" s="727"/>
      <c r="H423" s="979" t="s">
        <v>46</v>
      </c>
      <c r="I423" s="697">
        <f t="shared" ref="I423:J423" ca="1" si="282">I440</f>
        <v>31466</v>
      </c>
      <c r="J423" s="697">
        <f t="shared" si="282"/>
        <v>0</v>
      </c>
      <c r="K423" s="679">
        <f t="shared" ref="K423:K425" ca="1" si="283">IF(I423&gt;0,J423*100/I423,0)</f>
        <v>0</v>
      </c>
      <c r="L423" s="574"/>
      <c r="M423" s="566"/>
      <c r="N423" s="566"/>
      <c r="O423" s="566"/>
      <c r="P423" s="566"/>
      <c r="Q423" s="566"/>
      <c r="R423" s="566"/>
      <c r="S423" s="566"/>
      <c r="T423" s="566"/>
      <c r="U423" s="566"/>
    </row>
    <row r="424" spans="1:21" ht="19.5" x14ac:dyDescent="0.3">
      <c r="A424" s="764"/>
      <c r="B424" s="718"/>
      <c r="C424" s="719" t="s">
        <v>161</v>
      </c>
      <c r="D424" s="718"/>
      <c r="E424" s="718"/>
      <c r="F424" s="718"/>
      <c r="G424" s="727"/>
      <c r="H424" s="677" t="s">
        <v>46</v>
      </c>
      <c r="I424" s="697">
        <f ca="1">IFERROR(__xludf.DUMMYFUNCTION("IMPORTRANGE(""https://docs.google.com/spreadsheets/d/1eHaY18a8A9IcSdp1K8H6x8fbOy06t2VsZHhMHf-1x7Y/edit?usp=sharing"",""แผน!HJ20"")"),31466)</f>
        <v>31466</v>
      </c>
      <c r="J424" s="697">
        <f t="shared" ref="J424:J425" si="284">J426+J428+J430</f>
        <v>0</v>
      </c>
      <c r="K424" s="679">
        <f t="shared" ca="1" si="283"/>
        <v>0</v>
      </c>
      <c r="L424" s="574"/>
      <c r="M424" s="566"/>
      <c r="N424" s="566"/>
      <c r="O424" s="566"/>
      <c r="P424" s="566"/>
      <c r="Q424" s="566"/>
      <c r="R424" s="566"/>
      <c r="S424" s="566"/>
      <c r="T424" s="566"/>
      <c r="U424" s="566"/>
    </row>
    <row r="425" spans="1:21" ht="19.5" x14ac:dyDescent="0.3">
      <c r="A425" s="764"/>
      <c r="B425" s="718"/>
      <c r="C425" s="718"/>
      <c r="D425" s="718"/>
      <c r="E425" s="718"/>
      <c r="F425" s="718"/>
      <c r="G425" s="727"/>
      <c r="H425" s="677" t="s">
        <v>34</v>
      </c>
      <c r="I425" s="697">
        <f ca="1">IFERROR(__xludf.DUMMYFUNCTION("IMPORTRANGE(""https://docs.google.com/spreadsheets/d/1eHaY18a8A9IcSdp1K8H6x8fbOy06t2VsZHhMHf-1x7Y/edit?usp=sharing"",""แผน!HK20"")"),6900)</f>
        <v>6900</v>
      </c>
      <c r="J425" s="697">
        <f t="shared" si="284"/>
        <v>0</v>
      </c>
      <c r="K425" s="679">
        <f t="shared" ca="1" si="283"/>
        <v>0</v>
      </c>
      <c r="L425" s="574"/>
      <c r="M425" s="566"/>
      <c r="N425" s="566"/>
      <c r="O425" s="566"/>
      <c r="P425" s="566"/>
      <c r="Q425" s="566"/>
      <c r="R425" s="566"/>
      <c r="S425" s="566"/>
      <c r="T425" s="566"/>
      <c r="U425" s="566"/>
    </row>
    <row r="426" spans="1:21" ht="18.75" x14ac:dyDescent="0.25">
      <c r="A426" s="764"/>
      <c r="B426" s="718"/>
      <c r="C426" s="718"/>
      <c r="D426" s="765" t="s">
        <v>162</v>
      </c>
      <c r="E426" s="718"/>
      <c r="F426" s="718"/>
      <c r="G426" s="727"/>
      <c r="H426" s="681" t="s">
        <v>46</v>
      </c>
      <c r="I426" s="565"/>
      <c r="J426" s="565"/>
      <c r="K426" s="566"/>
      <c r="L426" s="574"/>
      <c r="M426" s="566"/>
      <c r="N426" s="566"/>
      <c r="O426" s="566"/>
      <c r="P426" s="566"/>
      <c r="Q426" s="566"/>
      <c r="R426" s="566"/>
      <c r="S426" s="566"/>
      <c r="T426" s="566"/>
      <c r="U426" s="566"/>
    </row>
    <row r="427" spans="1:21" ht="18.75" x14ac:dyDescent="0.25">
      <c r="A427" s="764"/>
      <c r="B427" s="718"/>
      <c r="C427" s="718"/>
      <c r="D427" s="718"/>
      <c r="E427" s="718"/>
      <c r="F427" s="718"/>
      <c r="G427" s="727"/>
      <c r="H427" s="681" t="s">
        <v>34</v>
      </c>
      <c r="I427" s="565"/>
      <c r="J427" s="565"/>
      <c r="K427" s="566"/>
      <c r="L427" s="574"/>
      <c r="M427" s="566"/>
      <c r="N427" s="566"/>
      <c r="O427" s="566"/>
      <c r="P427" s="566"/>
      <c r="Q427" s="566"/>
      <c r="R427" s="566"/>
      <c r="S427" s="566"/>
      <c r="T427" s="566"/>
      <c r="U427" s="566"/>
    </row>
    <row r="428" spans="1:21" ht="18.75" x14ac:dyDescent="0.25">
      <c r="A428" s="764"/>
      <c r="B428" s="718"/>
      <c r="C428" s="718"/>
      <c r="D428" s="765" t="s">
        <v>163</v>
      </c>
      <c r="E428" s="718"/>
      <c r="F428" s="718"/>
      <c r="G428" s="727"/>
      <c r="H428" s="681" t="s">
        <v>46</v>
      </c>
      <c r="I428" s="565"/>
      <c r="J428" s="565"/>
      <c r="K428" s="566"/>
      <c r="L428" s="574"/>
      <c r="M428" s="566"/>
      <c r="N428" s="566"/>
      <c r="O428" s="566"/>
      <c r="P428" s="566"/>
      <c r="Q428" s="566"/>
      <c r="R428" s="566"/>
      <c r="S428" s="566"/>
      <c r="T428" s="566"/>
      <c r="U428" s="566"/>
    </row>
    <row r="429" spans="1:21" ht="18.75" x14ac:dyDescent="0.25">
      <c r="A429" s="764"/>
      <c r="B429" s="718"/>
      <c r="C429" s="718"/>
      <c r="D429" s="718"/>
      <c r="E429" s="718"/>
      <c r="F429" s="718"/>
      <c r="G429" s="727"/>
      <c r="H429" s="681" t="s">
        <v>34</v>
      </c>
      <c r="I429" s="565"/>
      <c r="J429" s="565"/>
      <c r="K429" s="566"/>
      <c r="L429" s="574"/>
      <c r="M429" s="566"/>
      <c r="N429" s="566"/>
      <c r="O429" s="566"/>
      <c r="P429" s="566"/>
      <c r="Q429" s="566"/>
      <c r="R429" s="566"/>
      <c r="S429" s="566"/>
      <c r="T429" s="566"/>
      <c r="U429" s="566"/>
    </row>
    <row r="430" spans="1:21" ht="18.75" x14ac:dyDescent="0.25">
      <c r="A430" s="764"/>
      <c r="B430" s="718"/>
      <c r="C430" s="718"/>
      <c r="D430" s="765" t="s">
        <v>164</v>
      </c>
      <c r="E430" s="718"/>
      <c r="F430" s="718"/>
      <c r="G430" s="727"/>
      <c r="H430" s="681" t="s">
        <v>46</v>
      </c>
      <c r="I430" s="565"/>
      <c r="J430" s="565"/>
      <c r="K430" s="566"/>
      <c r="L430" s="574"/>
      <c r="M430" s="566"/>
      <c r="N430" s="566"/>
      <c r="O430" s="566"/>
      <c r="P430" s="566"/>
      <c r="Q430" s="566"/>
      <c r="R430" s="566"/>
      <c r="S430" s="566"/>
      <c r="T430" s="566"/>
      <c r="U430" s="566"/>
    </row>
    <row r="431" spans="1:21" ht="18.75" x14ac:dyDescent="0.25">
      <c r="A431" s="764"/>
      <c r="B431" s="718"/>
      <c r="C431" s="718"/>
      <c r="D431" s="718"/>
      <c r="E431" s="718"/>
      <c r="F431" s="718"/>
      <c r="G431" s="727"/>
      <c r="H431" s="681" t="s">
        <v>34</v>
      </c>
      <c r="I431" s="565"/>
      <c r="J431" s="565"/>
      <c r="K431" s="566"/>
      <c r="L431" s="574"/>
      <c r="M431" s="566"/>
      <c r="N431" s="566"/>
      <c r="O431" s="566"/>
      <c r="P431" s="566"/>
      <c r="Q431" s="566"/>
      <c r="R431" s="566"/>
      <c r="S431" s="566"/>
      <c r="T431" s="566"/>
      <c r="U431" s="566"/>
    </row>
    <row r="432" spans="1:21" ht="19.5" x14ac:dyDescent="0.3">
      <c r="A432" s="764"/>
      <c r="B432" s="718"/>
      <c r="C432" s="719" t="s">
        <v>165</v>
      </c>
      <c r="D432" s="718"/>
      <c r="E432" s="718"/>
      <c r="F432" s="718"/>
      <c r="G432" s="727"/>
      <c r="H432" s="677" t="s">
        <v>46</v>
      </c>
      <c r="I432" s="697">
        <f ca="1">IFERROR(__xludf.DUMMYFUNCTION("IMPORTRANGE(""https://docs.google.com/spreadsheets/d/1eHaY18a8A9IcSdp1K8H6x8fbOy06t2VsZHhMHf-1x7Y/edit?usp=sharing"",""แผน!HJ20"")"),31466)</f>
        <v>31466</v>
      </c>
      <c r="J432" s="697">
        <f t="shared" ref="J432:J433" si="285">J434+J436+J438</f>
        <v>0</v>
      </c>
      <c r="K432" s="679">
        <f t="shared" ref="K432:K433" ca="1" si="286">IF(I432&gt;0,J432*100/I432,0)</f>
        <v>0</v>
      </c>
      <c r="L432" s="574"/>
      <c r="M432" s="566"/>
      <c r="N432" s="566"/>
      <c r="O432" s="566"/>
      <c r="P432" s="566"/>
      <c r="Q432" s="566"/>
      <c r="R432" s="566"/>
      <c r="S432" s="566"/>
      <c r="T432" s="566"/>
      <c r="U432" s="566"/>
    </row>
    <row r="433" spans="1:21" ht="19.5" x14ac:dyDescent="0.3">
      <c r="A433" s="764"/>
      <c r="B433" s="718"/>
      <c r="C433" s="718"/>
      <c r="D433" s="718"/>
      <c r="E433" s="718"/>
      <c r="F433" s="718"/>
      <c r="G433" s="727"/>
      <c r="H433" s="677" t="s">
        <v>34</v>
      </c>
      <c r="I433" s="697">
        <f ca="1">IFERROR(__xludf.DUMMYFUNCTION("IMPORTRANGE(""https://docs.google.com/spreadsheets/d/1eHaY18a8A9IcSdp1K8H6x8fbOy06t2VsZHhMHf-1x7Y/edit?usp=sharing"",""แผน!HK20"")"),6900)</f>
        <v>6900</v>
      </c>
      <c r="J433" s="697">
        <f t="shared" si="285"/>
        <v>0</v>
      </c>
      <c r="K433" s="679">
        <f t="shared" ca="1" si="286"/>
        <v>0</v>
      </c>
      <c r="L433" s="574"/>
      <c r="M433" s="566"/>
      <c r="N433" s="566"/>
      <c r="O433" s="566"/>
      <c r="P433" s="566"/>
      <c r="Q433" s="566"/>
      <c r="R433" s="566"/>
      <c r="S433" s="566"/>
      <c r="T433" s="566"/>
      <c r="U433" s="566"/>
    </row>
    <row r="434" spans="1:21" ht="18.75" x14ac:dyDescent="0.25">
      <c r="A434" s="764"/>
      <c r="B434" s="718"/>
      <c r="C434" s="718"/>
      <c r="D434" s="765" t="s">
        <v>166</v>
      </c>
      <c r="E434" s="718"/>
      <c r="F434" s="718"/>
      <c r="G434" s="727"/>
      <c r="H434" s="681" t="s">
        <v>46</v>
      </c>
      <c r="I434" s="565"/>
      <c r="J434" s="565"/>
      <c r="K434" s="566"/>
      <c r="L434" s="574"/>
      <c r="M434" s="566"/>
      <c r="N434" s="566"/>
      <c r="O434" s="566"/>
      <c r="P434" s="566"/>
      <c r="Q434" s="566"/>
      <c r="R434" s="566"/>
      <c r="S434" s="566"/>
      <c r="T434" s="566"/>
      <c r="U434" s="566"/>
    </row>
    <row r="435" spans="1:21" ht="18.75" x14ac:dyDescent="0.25">
      <c r="A435" s="764"/>
      <c r="B435" s="718"/>
      <c r="C435" s="718"/>
      <c r="D435" s="718"/>
      <c r="E435" s="718"/>
      <c r="F435" s="718"/>
      <c r="G435" s="727"/>
      <c r="H435" s="681" t="s">
        <v>34</v>
      </c>
      <c r="I435" s="565"/>
      <c r="J435" s="565"/>
      <c r="K435" s="566"/>
      <c r="L435" s="574"/>
      <c r="M435" s="566"/>
      <c r="N435" s="566"/>
      <c r="O435" s="566"/>
      <c r="P435" s="566"/>
      <c r="Q435" s="566"/>
      <c r="R435" s="566"/>
      <c r="S435" s="566"/>
      <c r="T435" s="566"/>
      <c r="U435" s="566"/>
    </row>
    <row r="436" spans="1:21" ht="18.75" x14ac:dyDescent="0.25">
      <c r="A436" s="764"/>
      <c r="B436" s="718"/>
      <c r="C436" s="718"/>
      <c r="D436" s="765" t="s">
        <v>167</v>
      </c>
      <c r="E436" s="718"/>
      <c r="F436" s="718"/>
      <c r="G436" s="727"/>
      <c r="H436" s="681" t="s">
        <v>46</v>
      </c>
      <c r="I436" s="565"/>
      <c r="J436" s="565"/>
      <c r="K436" s="566"/>
      <c r="L436" s="574"/>
      <c r="M436" s="566"/>
      <c r="N436" s="566"/>
      <c r="O436" s="566"/>
      <c r="P436" s="566"/>
      <c r="Q436" s="566"/>
      <c r="R436" s="566"/>
      <c r="S436" s="566"/>
      <c r="T436" s="566"/>
      <c r="U436" s="566"/>
    </row>
    <row r="437" spans="1:21" ht="18.75" x14ac:dyDescent="0.25">
      <c r="A437" s="764"/>
      <c r="B437" s="718"/>
      <c r="C437" s="718"/>
      <c r="D437" s="718"/>
      <c r="E437" s="718"/>
      <c r="F437" s="718"/>
      <c r="G437" s="727"/>
      <c r="H437" s="681" t="s">
        <v>34</v>
      </c>
      <c r="I437" s="565"/>
      <c r="J437" s="565"/>
      <c r="K437" s="566"/>
      <c r="L437" s="574"/>
      <c r="M437" s="566"/>
      <c r="N437" s="566"/>
      <c r="O437" s="566"/>
      <c r="P437" s="566"/>
      <c r="Q437" s="566"/>
      <c r="R437" s="566"/>
      <c r="S437" s="566"/>
      <c r="T437" s="566"/>
      <c r="U437" s="566"/>
    </row>
    <row r="438" spans="1:21" ht="18.75" x14ac:dyDescent="0.25">
      <c r="A438" s="764"/>
      <c r="B438" s="718"/>
      <c r="C438" s="718"/>
      <c r="D438" s="765" t="s">
        <v>168</v>
      </c>
      <c r="E438" s="718"/>
      <c r="F438" s="718"/>
      <c r="G438" s="727"/>
      <c r="H438" s="681" t="s">
        <v>46</v>
      </c>
      <c r="I438" s="565"/>
      <c r="J438" s="565"/>
      <c r="K438" s="566"/>
      <c r="L438" s="574"/>
      <c r="M438" s="566"/>
      <c r="N438" s="566"/>
      <c r="O438" s="566"/>
      <c r="P438" s="566"/>
      <c r="Q438" s="566"/>
      <c r="R438" s="566"/>
      <c r="S438" s="566"/>
      <c r="T438" s="566"/>
      <c r="U438" s="566"/>
    </row>
    <row r="439" spans="1:21" ht="18.75" x14ac:dyDescent="0.25">
      <c r="A439" s="764"/>
      <c r="B439" s="718"/>
      <c r="C439" s="718"/>
      <c r="D439" s="718"/>
      <c r="E439" s="718"/>
      <c r="F439" s="718"/>
      <c r="G439" s="727"/>
      <c r="H439" s="681" t="s">
        <v>34</v>
      </c>
      <c r="I439" s="565"/>
      <c r="J439" s="565"/>
      <c r="K439" s="566"/>
      <c r="L439" s="574"/>
      <c r="M439" s="566"/>
      <c r="N439" s="566"/>
      <c r="O439" s="566"/>
      <c r="P439" s="566"/>
      <c r="Q439" s="566"/>
      <c r="R439" s="566"/>
      <c r="S439" s="566"/>
      <c r="T439" s="566"/>
      <c r="U439" s="566"/>
    </row>
    <row r="440" spans="1:21" ht="19.5" x14ac:dyDescent="0.3">
      <c r="A440" s="764"/>
      <c r="B440" s="718"/>
      <c r="C440" s="719" t="s">
        <v>169</v>
      </c>
      <c r="D440" s="718"/>
      <c r="E440" s="718"/>
      <c r="F440" s="718"/>
      <c r="G440" s="727"/>
      <c r="H440" s="677" t="s">
        <v>46</v>
      </c>
      <c r="I440" s="697">
        <f ca="1">IFERROR(__xludf.DUMMYFUNCTION("IMPORTRANGE(""https://docs.google.com/spreadsheets/d/1eHaY18a8A9IcSdp1K8H6x8fbOy06t2VsZHhMHf-1x7Y/edit?usp=sharing"",""แผน!HJ20"")"),31466)</f>
        <v>31466</v>
      </c>
      <c r="J440" s="697">
        <f t="shared" ref="J440:J441" si="287">J442+J444+J446+J452+J454</f>
        <v>0</v>
      </c>
      <c r="K440" s="679">
        <f t="shared" ref="K440:K441" ca="1" si="288">IF(I440&gt;0,J440*100/I440,0)</f>
        <v>0</v>
      </c>
      <c r="L440" s="574"/>
      <c r="M440" s="566"/>
      <c r="N440" s="566"/>
      <c r="O440" s="566"/>
      <c r="P440" s="566"/>
      <c r="Q440" s="566"/>
      <c r="R440" s="566"/>
      <c r="S440" s="566"/>
      <c r="T440" s="566"/>
      <c r="U440" s="566"/>
    </row>
    <row r="441" spans="1:21" ht="19.5" x14ac:dyDescent="0.3">
      <c r="A441" s="764"/>
      <c r="B441" s="718"/>
      <c r="C441" s="718"/>
      <c r="D441" s="718"/>
      <c r="E441" s="718"/>
      <c r="F441" s="718"/>
      <c r="G441" s="727"/>
      <c r="H441" s="677" t="s">
        <v>34</v>
      </c>
      <c r="I441" s="697">
        <f ca="1">IFERROR(__xludf.DUMMYFUNCTION("IMPORTRANGE(""https://docs.google.com/spreadsheets/d/1eHaY18a8A9IcSdp1K8H6x8fbOy06t2VsZHhMHf-1x7Y/edit?usp=sharing"",""แผน!HK20"")"),6900)</f>
        <v>6900</v>
      </c>
      <c r="J441" s="697">
        <f t="shared" si="287"/>
        <v>0</v>
      </c>
      <c r="K441" s="679">
        <f t="shared" ca="1" si="288"/>
        <v>0</v>
      </c>
      <c r="L441" s="574"/>
      <c r="M441" s="566"/>
      <c r="N441" s="566"/>
      <c r="O441" s="566"/>
      <c r="P441" s="566"/>
      <c r="Q441" s="566"/>
      <c r="R441" s="566"/>
      <c r="S441" s="566"/>
      <c r="T441" s="566"/>
      <c r="U441" s="566"/>
    </row>
    <row r="442" spans="1:21" ht="18.75" x14ac:dyDescent="0.25">
      <c r="A442" s="764"/>
      <c r="B442" s="718"/>
      <c r="C442" s="718"/>
      <c r="D442" s="765" t="s">
        <v>170</v>
      </c>
      <c r="E442" s="718"/>
      <c r="F442" s="718"/>
      <c r="G442" s="727"/>
      <c r="H442" s="681" t="s">
        <v>46</v>
      </c>
      <c r="I442" s="565"/>
      <c r="J442" s="565"/>
      <c r="K442" s="566"/>
      <c r="L442" s="574"/>
      <c r="M442" s="566"/>
      <c r="N442" s="566"/>
      <c r="O442" s="566"/>
      <c r="P442" s="566"/>
      <c r="Q442" s="566"/>
      <c r="R442" s="566"/>
      <c r="S442" s="566"/>
      <c r="T442" s="566"/>
      <c r="U442" s="566"/>
    </row>
    <row r="443" spans="1:21" ht="18.75" x14ac:dyDescent="0.25">
      <c r="A443" s="764"/>
      <c r="B443" s="718"/>
      <c r="C443" s="718"/>
      <c r="D443" s="718"/>
      <c r="E443" s="718"/>
      <c r="F443" s="718"/>
      <c r="G443" s="727"/>
      <c r="H443" s="681" t="s">
        <v>34</v>
      </c>
      <c r="I443" s="565"/>
      <c r="J443" s="565"/>
      <c r="K443" s="566"/>
      <c r="L443" s="574"/>
      <c r="M443" s="566"/>
      <c r="N443" s="566"/>
      <c r="O443" s="566"/>
      <c r="P443" s="566"/>
      <c r="Q443" s="566"/>
      <c r="R443" s="566"/>
      <c r="S443" s="566"/>
      <c r="T443" s="566"/>
      <c r="U443" s="566"/>
    </row>
    <row r="444" spans="1:21" ht="18.75" x14ac:dyDescent="0.25">
      <c r="A444" s="764"/>
      <c r="B444" s="718"/>
      <c r="C444" s="718"/>
      <c r="D444" s="765" t="s">
        <v>171</v>
      </c>
      <c r="E444" s="718"/>
      <c r="F444" s="718"/>
      <c r="G444" s="727"/>
      <c r="H444" s="681" t="s">
        <v>46</v>
      </c>
      <c r="I444" s="565"/>
      <c r="J444" s="565"/>
      <c r="K444" s="566"/>
      <c r="L444" s="574"/>
      <c r="M444" s="566"/>
      <c r="N444" s="566"/>
      <c r="O444" s="566"/>
      <c r="P444" s="566"/>
      <c r="Q444" s="566"/>
      <c r="R444" s="566"/>
      <c r="S444" s="566"/>
      <c r="T444" s="566"/>
      <c r="U444" s="566"/>
    </row>
    <row r="445" spans="1:21" ht="18.75" x14ac:dyDescent="0.25">
      <c r="A445" s="764"/>
      <c r="B445" s="718"/>
      <c r="C445" s="718"/>
      <c r="D445" s="718"/>
      <c r="E445" s="718"/>
      <c r="F445" s="718"/>
      <c r="G445" s="727"/>
      <c r="H445" s="681" t="s">
        <v>34</v>
      </c>
      <c r="I445" s="565"/>
      <c r="J445" s="565"/>
      <c r="K445" s="566"/>
      <c r="L445" s="574"/>
      <c r="M445" s="566"/>
      <c r="N445" s="566"/>
      <c r="O445" s="566"/>
      <c r="P445" s="566"/>
      <c r="Q445" s="566"/>
      <c r="R445" s="566"/>
      <c r="S445" s="566"/>
      <c r="T445" s="566"/>
      <c r="U445" s="566"/>
    </row>
    <row r="446" spans="1:21" ht="19.5" x14ac:dyDescent="0.3">
      <c r="A446" s="764"/>
      <c r="B446" s="718"/>
      <c r="C446" s="718"/>
      <c r="D446" s="765" t="s">
        <v>172</v>
      </c>
      <c r="E446" s="718"/>
      <c r="F446" s="718"/>
      <c r="G446" s="727"/>
      <c r="H446" s="681" t="s">
        <v>46</v>
      </c>
      <c r="I446" s="565"/>
      <c r="J446" s="697">
        <f t="shared" ref="J446:J447" si="289">J448+J450</f>
        <v>0</v>
      </c>
      <c r="K446" s="566"/>
      <c r="L446" s="574"/>
      <c r="M446" s="566"/>
      <c r="N446" s="566"/>
      <c r="O446" s="566"/>
      <c r="P446" s="566"/>
      <c r="Q446" s="566"/>
      <c r="R446" s="566"/>
      <c r="S446" s="566"/>
      <c r="T446" s="566"/>
      <c r="U446" s="566"/>
    </row>
    <row r="447" spans="1:21" ht="19.5" x14ac:dyDescent="0.3">
      <c r="A447" s="764"/>
      <c r="B447" s="718"/>
      <c r="C447" s="718"/>
      <c r="D447" s="718"/>
      <c r="E447" s="718"/>
      <c r="F447" s="718"/>
      <c r="G447" s="727"/>
      <c r="H447" s="681" t="s">
        <v>34</v>
      </c>
      <c r="I447" s="565"/>
      <c r="J447" s="697">
        <f t="shared" si="289"/>
        <v>0</v>
      </c>
      <c r="K447" s="566"/>
      <c r="L447" s="574"/>
      <c r="M447" s="566"/>
      <c r="N447" s="566"/>
      <c r="O447" s="566"/>
      <c r="P447" s="566"/>
      <c r="Q447" s="566"/>
      <c r="R447" s="566"/>
      <c r="S447" s="566"/>
      <c r="T447" s="566"/>
      <c r="U447" s="566"/>
    </row>
    <row r="448" spans="1:21" ht="18.75" x14ac:dyDescent="0.25">
      <c r="A448" s="764"/>
      <c r="B448" s="718"/>
      <c r="C448" s="718"/>
      <c r="D448" s="718"/>
      <c r="E448" s="765" t="s">
        <v>173</v>
      </c>
      <c r="F448" s="718"/>
      <c r="G448" s="727"/>
      <c r="H448" s="681" t="s">
        <v>46</v>
      </c>
      <c r="I448" s="565"/>
      <c r="J448" s="565"/>
      <c r="K448" s="566"/>
      <c r="L448" s="574"/>
      <c r="M448" s="566"/>
      <c r="N448" s="566"/>
      <c r="O448" s="566"/>
      <c r="P448" s="566"/>
      <c r="Q448" s="566"/>
      <c r="R448" s="566"/>
      <c r="S448" s="566"/>
      <c r="T448" s="566"/>
      <c r="U448" s="566"/>
    </row>
    <row r="449" spans="1:21" ht="18.75" x14ac:dyDescent="0.25">
      <c r="A449" s="764"/>
      <c r="B449" s="718"/>
      <c r="C449" s="718"/>
      <c r="D449" s="718"/>
      <c r="E449" s="718"/>
      <c r="F449" s="718"/>
      <c r="G449" s="727"/>
      <c r="H449" s="681" t="s">
        <v>34</v>
      </c>
      <c r="I449" s="565"/>
      <c r="J449" s="565"/>
      <c r="K449" s="566"/>
      <c r="L449" s="574"/>
      <c r="M449" s="566"/>
      <c r="N449" s="566"/>
      <c r="O449" s="566"/>
      <c r="P449" s="566"/>
      <c r="Q449" s="566"/>
      <c r="R449" s="566"/>
      <c r="S449" s="566"/>
      <c r="T449" s="566"/>
      <c r="U449" s="566"/>
    </row>
    <row r="450" spans="1:21" ht="18.75" x14ac:dyDescent="0.25">
      <c r="A450" s="764"/>
      <c r="B450" s="718"/>
      <c r="C450" s="718"/>
      <c r="D450" s="718"/>
      <c r="E450" s="765" t="s">
        <v>174</v>
      </c>
      <c r="F450" s="718"/>
      <c r="G450" s="727"/>
      <c r="H450" s="681" t="s">
        <v>46</v>
      </c>
      <c r="I450" s="565"/>
      <c r="J450" s="565"/>
      <c r="K450" s="566"/>
      <c r="L450" s="574"/>
      <c r="M450" s="566"/>
      <c r="N450" s="566"/>
      <c r="O450" s="566"/>
      <c r="P450" s="566"/>
      <c r="Q450" s="566"/>
      <c r="R450" s="566"/>
      <c r="S450" s="566"/>
      <c r="T450" s="566"/>
      <c r="U450" s="566"/>
    </row>
    <row r="451" spans="1:21" ht="18.75" x14ac:dyDescent="0.25">
      <c r="A451" s="764"/>
      <c r="B451" s="718"/>
      <c r="C451" s="718"/>
      <c r="D451" s="718"/>
      <c r="E451" s="718"/>
      <c r="F451" s="718"/>
      <c r="G451" s="727"/>
      <c r="H451" s="681" t="s">
        <v>34</v>
      </c>
      <c r="I451" s="565"/>
      <c r="J451" s="565"/>
      <c r="K451" s="566"/>
      <c r="L451" s="574"/>
      <c r="M451" s="566"/>
      <c r="N451" s="566"/>
      <c r="O451" s="566"/>
      <c r="P451" s="566"/>
      <c r="Q451" s="566"/>
      <c r="R451" s="566"/>
      <c r="S451" s="566"/>
      <c r="T451" s="566"/>
      <c r="U451" s="566"/>
    </row>
    <row r="452" spans="1:21" ht="18.75" x14ac:dyDescent="0.25">
      <c r="A452" s="764"/>
      <c r="B452" s="718"/>
      <c r="C452" s="718"/>
      <c r="D452" s="765" t="s">
        <v>175</v>
      </c>
      <c r="E452" s="718"/>
      <c r="F452" s="718"/>
      <c r="G452" s="727"/>
      <c r="H452" s="681" t="s">
        <v>46</v>
      </c>
      <c r="I452" s="565"/>
      <c r="J452" s="565"/>
      <c r="K452" s="566"/>
      <c r="L452" s="574"/>
      <c r="M452" s="566"/>
      <c r="N452" s="566"/>
      <c r="O452" s="566"/>
      <c r="P452" s="566"/>
      <c r="Q452" s="566"/>
      <c r="R452" s="566"/>
      <c r="S452" s="566"/>
      <c r="T452" s="566"/>
      <c r="U452" s="566"/>
    </row>
    <row r="453" spans="1:21" ht="18.75" x14ac:dyDescent="0.25">
      <c r="A453" s="764"/>
      <c r="B453" s="718"/>
      <c r="C453" s="718"/>
      <c r="D453" s="718"/>
      <c r="E453" s="718"/>
      <c r="F453" s="718"/>
      <c r="G453" s="727"/>
      <c r="H453" s="681" t="s">
        <v>34</v>
      </c>
      <c r="I453" s="565"/>
      <c r="J453" s="565"/>
      <c r="K453" s="566"/>
      <c r="L453" s="574"/>
      <c r="M453" s="566"/>
      <c r="N453" s="566"/>
      <c r="O453" s="566"/>
      <c r="P453" s="566"/>
      <c r="Q453" s="566"/>
      <c r="R453" s="566"/>
      <c r="S453" s="566"/>
      <c r="T453" s="566"/>
      <c r="U453" s="566"/>
    </row>
    <row r="454" spans="1:21" ht="18.75" x14ac:dyDescent="0.25">
      <c r="A454" s="764"/>
      <c r="B454" s="718"/>
      <c r="C454" s="718"/>
      <c r="D454" s="765" t="s">
        <v>176</v>
      </c>
      <c r="E454" s="718"/>
      <c r="F454" s="718"/>
      <c r="G454" s="727"/>
      <c r="H454" s="681" t="s">
        <v>46</v>
      </c>
      <c r="I454" s="565"/>
      <c r="J454" s="981"/>
      <c r="K454" s="566"/>
      <c r="L454" s="574"/>
      <c r="M454" s="566"/>
      <c r="N454" s="566"/>
      <c r="O454" s="566"/>
      <c r="P454" s="566"/>
      <c r="Q454" s="566"/>
      <c r="R454" s="566"/>
      <c r="S454" s="566"/>
      <c r="T454" s="566"/>
      <c r="U454" s="566"/>
    </row>
    <row r="455" spans="1:21" ht="18.75" x14ac:dyDescent="0.25">
      <c r="A455" s="764"/>
      <c r="B455" s="718"/>
      <c r="C455" s="718"/>
      <c r="D455" s="718"/>
      <c r="E455" s="718"/>
      <c r="F455" s="718"/>
      <c r="G455" s="727"/>
      <c r="H455" s="681" t="s">
        <v>34</v>
      </c>
      <c r="I455" s="565"/>
      <c r="J455" s="565"/>
      <c r="K455" s="566"/>
      <c r="L455" s="574"/>
      <c r="M455" s="566"/>
      <c r="N455" s="566"/>
      <c r="O455" s="566"/>
      <c r="P455" s="566"/>
      <c r="Q455" s="566"/>
      <c r="R455" s="566"/>
      <c r="S455" s="566"/>
      <c r="T455" s="566"/>
      <c r="U455" s="566"/>
    </row>
    <row r="456" spans="1:21" ht="19.5" x14ac:dyDescent="0.3">
      <c r="A456" s="764"/>
      <c r="B456" s="719" t="s">
        <v>177</v>
      </c>
      <c r="C456" s="718"/>
      <c r="D456" s="718"/>
      <c r="E456" s="718"/>
      <c r="F456" s="718"/>
      <c r="G456" s="727"/>
      <c r="H456" s="979" t="s">
        <v>46</v>
      </c>
      <c r="I456" s="697">
        <f t="shared" ref="I456:J456" ca="1" si="290">I457</f>
        <v>201</v>
      </c>
      <c r="J456" s="697">
        <f t="shared" si="290"/>
        <v>0</v>
      </c>
      <c r="K456" s="679">
        <f t="shared" ref="K456:K458" ca="1" si="291">IF(I456&gt;0,J456*100/I456,0)</f>
        <v>0</v>
      </c>
      <c r="L456" s="574"/>
      <c r="M456" s="566"/>
      <c r="N456" s="566"/>
      <c r="O456" s="566"/>
      <c r="P456" s="566"/>
      <c r="Q456" s="566"/>
      <c r="R456" s="566"/>
      <c r="S456" s="566"/>
      <c r="T456" s="566"/>
      <c r="U456" s="566"/>
    </row>
    <row r="457" spans="1:21" ht="19.5" x14ac:dyDescent="0.3">
      <c r="A457" s="764"/>
      <c r="B457" s="718"/>
      <c r="C457" s="719" t="s">
        <v>178</v>
      </c>
      <c r="D457" s="718"/>
      <c r="E457" s="718"/>
      <c r="F457" s="718"/>
      <c r="G457" s="727"/>
      <c r="H457" s="677" t="s">
        <v>46</v>
      </c>
      <c r="I457" s="697">
        <f ca="1">IFERROR(__xludf.DUMMYFUNCTION("IMPORTRANGE(""https://docs.google.com/spreadsheets/d/1eHaY18a8A9IcSdp1K8H6x8fbOy06t2VsZHhMHf-1x7Y/edit?usp=sharing"",""แผน!HL20"")"),201)</f>
        <v>201</v>
      </c>
      <c r="J457" s="697">
        <f t="shared" ref="J457:J458" si="292">J459+J467+J473</f>
        <v>0</v>
      </c>
      <c r="K457" s="679">
        <f t="shared" ca="1" si="291"/>
        <v>0</v>
      </c>
      <c r="L457" s="574"/>
      <c r="M457" s="566"/>
      <c r="N457" s="566"/>
      <c r="O457" s="566"/>
      <c r="P457" s="566"/>
      <c r="Q457" s="566"/>
      <c r="R457" s="566"/>
      <c r="S457" s="566"/>
      <c r="T457" s="566"/>
      <c r="U457" s="566"/>
    </row>
    <row r="458" spans="1:21" ht="19.5" x14ac:dyDescent="0.3">
      <c r="A458" s="764"/>
      <c r="B458" s="718"/>
      <c r="C458" s="718"/>
      <c r="D458" s="718"/>
      <c r="E458" s="718"/>
      <c r="F458" s="718"/>
      <c r="G458" s="727"/>
      <c r="H458" s="677" t="s">
        <v>34</v>
      </c>
      <c r="I458" s="697">
        <f ca="1">IFERROR(__xludf.DUMMYFUNCTION("IMPORTRANGE(""https://docs.google.com/spreadsheets/d/1eHaY18a8A9IcSdp1K8H6x8fbOy06t2VsZHhMHf-1x7Y/edit?usp=sharing"",""แผน!HM20"")"),0)</f>
        <v>0</v>
      </c>
      <c r="J458" s="697">
        <f t="shared" si="292"/>
        <v>0</v>
      </c>
      <c r="K458" s="679">
        <f t="shared" ca="1" si="291"/>
        <v>0</v>
      </c>
      <c r="L458" s="574"/>
      <c r="M458" s="566"/>
      <c r="N458" s="566"/>
      <c r="O458" s="566"/>
      <c r="P458" s="566"/>
      <c r="Q458" s="566"/>
      <c r="R458" s="566"/>
      <c r="S458" s="566"/>
      <c r="T458" s="566"/>
      <c r="U458" s="566"/>
    </row>
    <row r="459" spans="1:21" ht="18.75" x14ac:dyDescent="0.25">
      <c r="A459" s="764"/>
      <c r="B459" s="718"/>
      <c r="C459" s="765" t="s">
        <v>179</v>
      </c>
      <c r="D459" s="718"/>
      <c r="E459" s="718"/>
      <c r="F459" s="718"/>
      <c r="G459" s="727"/>
      <c r="H459" s="681" t="s">
        <v>46</v>
      </c>
      <c r="I459" s="565"/>
      <c r="J459" s="708">
        <f t="shared" ref="J459:J460" si="293">J461+J463</f>
        <v>0</v>
      </c>
      <c r="K459" s="566"/>
      <c r="L459" s="574"/>
      <c r="M459" s="566"/>
      <c r="N459" s="566"/>
      <c r="O459" s="566"/>
      <c r="P459" s="566"/>
      <c r="Q459" s="566"/>
      <c r="R459" s="566"/>
      <c r="S459" s="566"/>
      <c r="T459" s="566"/>
      <c r="U459" s="566"/>
    </row>
    <row r="460" spans="1:21" ht="18.75" x14ac:dyDescent="0.25">
      <c r="A460" s="764"/>
      <c r="B460" s="718"/>
      <c r="C460" s="718"/>
      <c r="D460" s="718"/>
      <c r="E460" s="718"/>
      <c r="F460" s="718"/>
      <c r="G460" s="727"/>
      <c r="H460" s="681" t="s">
        <v>34</v>
      </c>
      <c r="I460" s="565"/>
      <c r="J460" s="708">
        <f t="shared" si="293"/>
        <v>0</v>
      </c>
      <c r="K460" s="566"/>
      <c r="L460" s="574"/>
      <c r="M460" s="566"/>
      <c r="N460" s="566"/>
      <c r="O460" s="566"/>
      <c r="P460" s="566"/>
      <c r="Q460" s="566"/>
      <c r="R460" s="566"/>
      <c r="S460" s="566"/>
      <c r="T460" s="566"/>
      <c r="U460" s="566"/>
    </row>
    <row r="461" spans="1:21" ht="18.75" x14ac:dyDescent="0.25">
      <c r="A461" s="764"/>
      <c r="B461" s="718"/>
      <c r="C461" s="718"/>
      <c r="D461" s="982" t="s">
        <v>180</v>
      </c>
      <c r="E461" s="718"/>
      <c r="F461" s="718"/>
      <c r="G461" s="727"/>
      <c r="H461" s="681" t="s">
        <v>46</v>
      </c>
      <c r="I461" s="565"/>
      <c r="J461" s="565"/>
      <c r="K461" s="566"/>
      <c r="L461" s="574"/>
      <c r="M461" s="566"/>
      <c r="N461" s="566"/>
      <c r="O461" s="566"/>
      <c r="P461" s="566"/>
      <c r="Q461" s="566"/>
      <c r="R461" s="566"/>
      <c r="S461" s="566"/>
      <c r="T461" s="566"/>
      <c r="U461" s="566"/>
    </row>
    <row r="462" spans="1:21" ht="18.75" x14ac:dyDescent="0.25">
      <c r="A462" s="764"/>
      <c r="B462" s="718"/>
      <c r="C462" s="718"/>
      <c r="D462" s="718"/>
      <c r="E462" s="718"/>
      <c r="F462" s="718"/>
      <c r="G462" s="727"/>
      <c r="H462" s="681" t="s">
        <v>34</v>
      </c>
      <c r="I462" s="565"/>
      <c r="J462" s="565"/>
      <c r="K462" s="566"/>
      <c r="L462" s="574"/>
      <c r="M462" s="566"/>
      <c r="N462" s="566"/>
      <c r="O462" s="566"/>
      <c r="P462" s="566"/>
      <c r="Q462" s="566"/>
      <c r="R462" s="566"/>
      <c r="S462" s="566"/>
      <c r="T462" s="566"/>
      <c r="U462" s="566"/>
    </row>
    <row r="463" spans="1:21" ht="18.75" x14ac:dyDescent="0.25">
      <c r="A463" s="764"/>
      <c r="B463" s="718"/>
      <c r="C463" s="718"/>
      <c r="D463" s="982" t="s">
        <v>181</v>
      </c>
      <c r="E463" s="718"/>
      <c r="F463" s="718"/>
      <c r="G463" s="727"/>
      <c r="H463" s="681" t="s">
        <v>46</v>
      </c>
      <c r="I463" s="565"/>
      <c r="J463" s="565"/>
      <c r="K463" s="566"/>
      <c r="L463" s="574"/>
      <c r="M463" s="566"/>
      <c r="N463" s="566"/>
      <c r="O463" s="566"/>
      <c r="P463" s="566"/>
      <c r="Q463" s="566"/>
      <c r="R463" s="566"/>
      <c r="S463" s="566"/>
      <c r="T463" s="566"/>
      <c r="U463" s="566"/>
    </row>
    <row r="464" spans="1:21" ht="18.75" x14ac:dyDescent="0.25">
      <c r="A464" s="764"/>
      <c r="B464" s="718"/>
      <c r="C464" s="718"/>
      <c r="D464" s="718"/>
      <c r="E464" s="718"/>
      <c r="F464" s="718"/>
      <c r="G464" s="727"/>
      <c r="H464" s="681" t="s">
        <v>34</v>
      </c>
      <c r="I464" s="565"/>
      <c r="J464" s="565"/>
      <c r="K464" s="566"/>
      <c r="L464" s="574"/>
      <c r="M464" s="566"/>
      <c r="N464" s="566"/>
      <c r="O464" s="566"/>
      <c r="P464" s="566"/>
      <c r="Q464" s="566"/>
      <c r="R464" s="566"/>
      <c r="S464" s="566"/>
      <c r="T464" s="566"/>
      <c r="U464" s="566"/>
    </row>
    <row r="465" spans="1:21" ht="18.75" x14ac:dyDescent="0.25">
      <c r="A465" s="764"/>
      <c r="B465" s="718"/>
      <c r="C465" s="718"/>
      <c r="D465" s="982" t="s">
        <v>182</v>
      </c>
      <c r="E465" s="718"/>
      <c r="F465" s="718"/>
      <c r="G465" s="727"/>
      <c r="H465" s="681" t="s">
        <v>46</v>
      </c>
      <c r="I465" s="565"/>
      <c r="J465" s="565"/>
      <c r="K465" s="566"/>
      <c r="L465" s="574"/>
      <c r="M465" s="566"/>
      <c r="N465" s="566"/>
      <c r="O465" s="566"/>
      <c r="P465" s="566"/>
      <c r="Q465" s="566"/>
      <c r="R465" s="566"/>
      <c r="S465" s="566"/>
      <c r="T465" s="566"/>
      <c r="U465" s="566"/>
    </row>
    <row r="466" spans="1:21" ht="18.75" x14ac:dyDescent="0.25">
      <c r="A466" s="764"/>
      <c r="B466" s="718"/>
      <c r="C466" s="718"/>
      <c r="D466" s="718"/>
      <c r="E466" s="718"/>
      <c r="F466" s="718"/>
      <c r="G466" s="727"/>
      <c r="H466" s="681" t="s">
        <v>34</v>
      </c>
      <c r="I466" s="565"/>
      <c r="J466" s="565"/>
      <c r="K466" s="566"/>
      <c r="L466" s="574"/>
      <c r="M466" s="566"/>
      <c r="N466" s="566"/>
      <c r="O466" s="566"/>
      <c r="P466" s="566"/>
      <c r="Q466" s="566"/>
      <c r="R466" s="566"/>
      <c r="S466" s="566"/>
      <c r="T466" s="566"/>
      <c r="U466" s="566"/>
    </row>
    <row r="467" spans="1:21" ht="18.75" x14ac:dyDescent="0.25">
      <c r="A467" s="764"/>
      <c r="B467" s="718"/>
      <c r="C467" s="982" t="s">
        <v>183</v>
      </c>
      <c r="D467" s="718"/>
      <c r="E467" s="718"/>
      <c r="F467" s="718"/>
      <c r="G467" s="727"/>
      <c r="H467" s="681" t="s">
        <v>46</v>
      </c>
      <c r="I467" s="565"/>
      <c r="J467" s="708">
        <f t="shared" ref="J467:J468" si="294">J469+J471</f>
        <v>0</v>
      </c>
      <c r="K467" s="566"/>
      <c r="L467" s="574"/>
      <c r="M467" s="566"/>
      <c r="N467" s="566"/>
      <c r="O467" s="566"/>
      <c r="P467" s="566"/>
      <c r="Q467" s="566"/>
      <c r="R467" s="566"/>
      <c r="S467" s="566"/>
      <c r="T467" s="566"/>
      <c r="U467" s="566"/>
    </row>
    <row r="468" spans="1:21" ht="18.75" x14ac:dyDescent="0.25">
      <c r="A468" s="764"/>
      <c r="B468" s="718"/>
      <c r="C468" s="718"/>
      <c r="D468" s="718"/>
      <c r="E468" s="718"/>
      <c r="F468" s="718"/>
      <c r="G468" s="727"/>
      <c r="H468" s="681" t="s">
        <v>34</v>
      </c>
      <c r="I468" s="565"/>
      <c r="J468" s="708">
        <f t="shared" si="294"/>
        <v>0</v>
      </c>
      <c r="K468" s="566"/>
      <c r="L468" s="574"/>
      <c r="M468" s="566"/>
      <c r="N468" s="566"/>
      <c r="O468" s="566"/>
      <c r="P468" s="566"/>
      <c r="Q468" s="566"/>
      <c r="R468" s="566"/>
      <c r="S468" s="566"/>
      <c r="T468" s="566"/>
      <c r="U468" s="566"/>
    </row>
    <row r="469" spans="1:21" ht="18.75" x14ac:dyDescent="0.25">
      <c r="A469" s="764"/>
      <c r="B469" s="718"/>
      <c r="C469" s="718"/>
      <c r="D469" s="982" t="s">
        <v>184</v>
      </c>
      <c r="E469" s="718"/>
      <c r="F469" s="718"/>
      <c r="G469" s="727"/>
      <c r="H469" s="681" t="s">
        <v>46</v>
      </c>
      <c r="I469" s="565"/>
      <c r="J469" s="565"/>
      <c r="K469" s="566"/>
      <c r="L469" s="574"/>
      <c r="M469" s="566"/>
      <c r="N469" s="566"/>
      <c r="O469" s="566"/>
      <c r="P469" s="566"/>
      <c r="Q469" s="566"/>
      <c r="R469" s="566"/>
      <c r="S469" s="566"/>
      <c r="T469" s="566"/>
      <c r="U469" s="566"/>
    </row>
    <row r="470" spans="1:21" ht="18.75" x14ac:dyDescent="0.25">
      <c r="A470" s="764"/>
      <c r="B470" s="718"/>
      <c r="C470" s="718"/>
      <c r="D470" s="718"/>
      <c r="E470" s="718"/>
      <c r="F470" s="718"/>
      <c r="G470" s="727"/>
      <c r="H470" s="681" t="s">
        <v>34</v>
      </c>
      <c r="I470" s="565"/>
      <c r="J470" s="565"/>
      <c r="K470" s="566"/>
      <c r="L470" s="574"/>
      <c r="M470" s="566"/>
      <c r="N470" s="566"/>
      <c r="O470" s="566"/>
      <c r="P470" s="566"/>
      <c r="Q470" s="566"/>
      <c r="R470" s="566"/>
      <c r="S470" s="566"/>
      <c r="T470" s="566"/>
      <c r="U470" s="566"/>
    </row>
    <row r="471" spans="1:21" ht="18.75" x14ac:dyDescent="0.25">
      <c r="A471" s="764"/>
      <c r="B471" s="718"/>
      <c r="C471" s="718"/>
      <c r="D471" s="982" t="s">
        <v>185</v>
      </c>
      <c r="E471" s="718"/>
      <c r="F471" s="718"/>
      <c r="G471" s="727"/>
      <c r="H471" s="681" t="s">
        <v>46</v>
      </c>
      <c r="I471" s="565"/>
      <c r="J471" s="565"/>
      <c r="K471" s="566"/>
      <c r="L471" s="574"/>
      <c r="M471" s="566"/>
      <c r="N471" s="566"/>
      <c r="O471" s="566"/>
      <c r="P471" s="566"/>
      <c r="Q471" s="566"/>
      <c r="R471" s="566"/>
      <c r="S471" s="566"/>
      <c r="T471" s="566"/>
      <c r="U471" s="566"/>
    </row>
    <row r="472" spans="1:21" ht="18.75" x14ac:dyDescent="0.25">
      <c r="A472" s="764"/>
      <c r="B472" s="718"/>
      <c r="C472" s="718"/>
      <c r="D472" s="718"/>
      <c r="E472" s="718"/>
      <c r="F472" s="718"/>
      <c r="G472" s="727"/>
      <c r="H472" s="681" t="s">
        <v>34</v>
      </c>
      <c r="I472" s="565"/>
      <c r="J472" s="565"/>
      <c r="K472" s="566"/>
      <c r="L472" s="574"/>
      <c r="M472" s="566"/>
      <c r="N472" s="566"/>
      <c r="O472" s="566"/>
      <c r="P472" s="566"/>
      <c r="Q472" s="566"/>
      <c r="R472" s="566"/>
      <c r="S472" s="566"/>
      <c r="T472" s="566"/>
      <c r="U472" s="566"/>
    </row>
    <row r="473" spans="1:21" ht="18.75" x14ac:dyDescent="0.25">
      <c r="A473" s="764"/>
      <c r="B473" s="718"/>
      <c r="C473" s="765" t="s">
        <v>186</v>
      </c>
      <c r="D473" s="718"/>
      <c r="E473" s="718"/>
      <c r="F473" s="718"/>
      <c r="G473" s="727"/>
      <c r="H473" s="681" t="s">
        <v>46</v>
      </c>
      <c r="I473" s="565"/>
      <c r="J473" s="565"/>
      <c r="K473" s="566"/>
      <c r="L473" s="574"/>
      <c r="M473" s="566"/>
      <c r="N473" s="566"/>
      <c r="O473" s="566"/>
      <c r="P473" s="566"/>
      <c r="Q473" s="566"/>
      <c r="R473" s="566"/>
      <c r="S473" s="566"/>
      <c r="T473" s="566"/>
      <c r="U473" s="566"/>
    </row>
    <row r="474" spans="1:21" ht="18.75" x14ac:dyDescent="0.25">
      <c r="A474" s="764"/>
      <c r="B474" s="718"/>
      <c r="C474" s="718"/>
      <c r="D474" s="718"/>
      <c r="E474" s="718"/>
      <c r="F474" s="718"/>
      <c r="G474" s="727"/>
      <c r="H474" s="681" t="s">
        <v>34</v>
      </c>
      <c r="I474" s="565"/>
      <c r="J474" s="565"/>
      <c r="K474" s="566"/>
      <c r="L474" s="574"/>
      <c r="M474" s="566"/>
      <c r="N474" s="566"/>
      <c r="O474" s="566"/>
      <c r="P474" s="566"/>
      <c r="Q474" s="566"/>
      <c r="R474" s="566"/>
      <c r="S474" s="566"/>
      <c r="T474" s="566"/>
      <c r="U474" s="566"/>
    </row>
    <row r="475" spans="1:21" ht="19.5" x14ac:dyDescent="0.3">
      <c r="A475" s="764"/>
      <c r="B475" s="983" t="s">
        <v>187</v>
      </c>
      <c r="C475" s="718"/>
      <c r="D475" s="718"/>
      <c r="E475" s="718"/>
      <c r="F475" s="718"/>
      <c r="G475" s="727"/>
      <c r="H475" s="677" t="s">
        <v>46</v>
      </c>
      <c r="I475" s="697">
        <v>0</v>
      </c>
      <c r="J475" s="697">
        <f>J478+J480</f>
        <v>0</v>
      </c>
      <c r="K475" s="679">
        <f t="shared" ref="K475:K477" si="295">IF(I475&gt;0,J475*100/I475,0)</f>
        <v>0</v>
      </c>
      <c r="L475" s="574"/>
      <c r="M475" s="566"/>
      <c r="N475" s="566"/>
      <c r="O475" s="566"/>
      <c r="P475" s="566"/>
      <c r="Q475" s="566"/>
      <c r="R475" s="566"/>
      <c r="S475" s="566"/>
      <c r="T475" s="566"/>
      <c r="U475" s="566"/>
    </row>
    <row r="476" spans="1:21" ht="19.5" x14ac:dyDescent="0.3">
      <c r="A476" s="764"/>
      <c r="B476" s="718"/>
      <c r="C476" s="719" t="s">
        <v>188</v>
      </c>
      <c r="D476" s="718"/>
      <c r="E476" s="718"/>
      <c r="F476" s="718"/>
      <c r="G476" s="727"/>
      <c r="H476" s="677" t="s">
        <v>46</v>
      </c>
      <c r="I476" s="697">
        <v>0</v>
      </c>
      <c r="J476" s="697">
        <f t="shared" ref="J476:J477" si="296">J478+J480</f>
        <v>0</v>
      </c>
      <c r="K476" s="679">
        <f t="shared" si="295"/>
        <v>0</v>
      </c>
      <c r="L476" s="574"/>
      <c r="M476" s="566"/>
      <c r="N476" s="566"/>
      <c r="O476" s="566"/>
      <c r="P476" s="566"/>
      <c r="Q476" s="566"/>
      <c r="R476" s="566"/>
      <c r="S476" s="566"/>
      <c r="T476" s="566"/>
      <c r="U476" s="566"/>
    </row>
    <row r="477" spans="1:21" ht="19.5" x14ac:dyDescent="0.3">
      <c r="A477" s="764"/>
      <c r="B477" s="718"/>
      <c r="C477" s="765" t="s">
        <v>189</v>
      </c>
      <c r="D477" s="718"/>
      <c r="E477" s="718"/>
      <c r="F477" s="718"/>
      <c r="G477" s="727"/>
      <c r="H477" s="677" t="s">
        <v>34</v>
      </c>
      <c r="I477" s="697">
        <v>0</v>
      </c>
      <c r="J477" s="697">
        <f t="shared" si="296"/>
        <v>0</v>
      </c>
      <c r="K477" s="679">
        <f t="shared" si="295"/>
        <v>0</v>
      </c>
      <c r="L477" s="574"/>
      <c r="M477" s="566"/>
      <c r="N477" s="566"/>
      <c r="O477" s="566"/>
      <c r="P477" s="566"/>
      <c r="Q477" s="566"/>
      <c r="R477" s="566"/>
      <c r="S477" s="566"/>
      <c r="T477" s="566"/>
      <c r="U477" s="566"/>
    </row>
    <row r="478" spans="1:21" ht="18.75" x14ac:dyDescent="0.25">
      <c r="A478" s="764"/>
      <c r="B478" s="718"/>
      <c r="C478" s="718"/>
      <c r="D478" s="765" t="s">
        <v>190</v>
      </c>
      <c r="E478" s="718"/>
      <c r="F478" s="718"/>
      <c r="G478" s="727"/>
      <c r="H478" s="681" t="s">
        <v>46</v>
      </c>
      <c r="I478" s="565"/>
      <c r="J478" s="565"/>
      <c r="K478" s="566"/>
      <c r="L478" s="574"/>
      <c r="M478" s="566"/>
      <c r="N478" s="566"/>
      <c r="O478" s="566"/>
      <c r="P478" s="566"/>
      <c r="Q478" s="566"/>
      <c r="R478" s="566"/>
      <c r="S478" s="566"/>
      <c r="T478" s="566"/>
      <c r="U478" s="566"/>
    </row>
    <row r="479" spans="1:21" ht="18.75" x14ac:dyDescent="0.25">
      <c r="A479" s="764"/>
      <c r="B479" s="718"/>
      <c r="C479" s="718"/>
      <c r="D479" s="718"/>
      <c r="E479" s="718"/>
      <c r="F479" s="718"/>
      <c r="G479" s="727"/>
      <c r="H479" s="681" t="s">
        <v>34</v>
      </c>
      <c r="I479" s="565"/>
      <c r="J479" s="565"/>
      <c r="K479" s="566"/>
      <c r="L479" s="574"/>
      <c r="M479" s="566"/>
      <c r="N479" s="566"/>
      <c r="O479" s="566"/>
      <c r="P479" s="566"/>
      <c r="Q479" s="566"/>
      <c r="R479" s="566"/>
      <c r="S479" s="566"/>
      <c r="T479" s="566"/>
      <c r="U479" s="566"/>
    </row>
    <row r="480" spans="1:21" ht="18.75" x14ac:dyDescent="0.25">
      <c r="A480" s="764"/>
      <c r="B480" s="718"/>
      <c r="C480" s="718"/>
      <c r="D480" s="982" t="s">
        <v>191</v>
      </c>
      <c r="E480" s="718"/>
      <c r="F480" s="718"/>
      <c r="G480" s="727"/>
      <c r="H480" s="681" t="s">
        <v>46</v>
      </c>
      <c r="I480" s="565"/>
      <c r="J480" s="565"/>
      <c r="K480" s="566"/>
      <c r="L480" s="574"/>
      <c r="M480" s="566"/>
      <c r="N480" s="566"/>
      <c r="O480" s="566"/>
      <c r="P480" s="566"/>
      <c r="Q480" s="566"/>
      <c r="R480" s="566"/>
      <c r="S480" s="566"/>
      <c r="T480" s="566"/>
      <c r="U480" s="566"/>
    </row>
    <row r="481" spans="1:21" ht="18.75" x14ac:dyDescent="0.25">
      <c r="A481" s="764"/>
      <c r="B481" s="718"/>
      <c r="C481" s="718"/>
      <c r="D481" s="718"/>
      <c r="E481" s="718"/>
      <c r="F481" s="718"/>
      <c r="G481" s="727"/>
      <c r="H481" s="681" t="s">
        <v>34</v>
      </c>
      <c r="I481" s="565"/>
      <c r="J481" s="565"/>
      <c r="K481" s="566"/>
      <c r="L481" s="574"/>
      <c r="M481" s="566"/>
      <c r="N481" s="566"/>
      <c r="O481" s="566"/>
      <c r="P481" s="566"/>
      <c r="Q481" s="566"/>
      <c r="R481" s="566"/>
      <c r="S481" s="566"/>
      <c r="T481" s="566"/>
      <c r="U481" s="566"/>
    </row>
    <row r="482" spans="1:21" ht="18.75" x14ac:dyDescent="0.25">
      <c r="A482" s="764"/>
      <c r="B482" s="718"/>
      <c r="C482" s="718"/>
      <c r="D482" s="982" t="s">
        <v>192</v>
      </c>
      <c r="E482" s="718"/>
      <c r="F482" s="718"/>
      <c r="G482" s="727"/>
      <c r="H482" s="681" t="s">
        <v>46</v>
      </c>
      <c r="I482" s="565"/>
      <c r="J482" s="708">
        <f ca="1">IFERROR(__xludf.DUMMYFUNCTION("IMPORTRANGE(""https://docs.google.com/spreadsheets/d/1eHaY18a8A9IcSdp1K8H6x8fbOy06t2VsZHhMHf-1x7Y/edit?usp=sharing"",""แผน!HN20"")"),0)</f>
        <v>0</v>
      </c>
      <c r="K482" s="566"/>
      <c r="L482" s="574"/>
      <c r="M482" s="566"/>
      <c r="N482" s="566"/>
      <c r="O482" s="566"/>
      <c r="P482" s="566"/>
      <c r="Q482" s="566"/>
      <c r="R482" s="566"/>
      <c r="S482" s="566"/>
      <c r="T482" s="566"/>
      <c r="U482" s="566"/>
    </row>
    <row r="483" spans="1:21" ht="18.75" x14ac:dyDescent="0.25">
      <c r="A483" s="764"/>
      <c r="B483" s="718"/>
      <c r="C483" s="718"/>
      <c r="D483" s="718"/>
      <c r="E483" s="718"/>
      <c r="F483" s="718"/>
      <c r="G483" s="727"/>
      <c r="H483" s="681" t="s">
        <v>34</v>
      </c>
      <c r="I483" s="565"/>
      <c r="J483" s="708">
        <f ca="1">IFERROR(__xludf.DUMMYFUNCTION("IMPORTRANGE(""https://docs.google.com/spreadsheets/d/1eHaY18a8A9IcSdp1K8H6x8fbOy06t2VsZHhMHf-1x7Y/edit?usp=sharing"",""แผน!HO20"")"),0)</f>
        <v>0</v>
      </c>
      <c r="K483" s="566"/>
      <c r="L483" s="574"/>
      <c r="M483" s="566"/>
      <c r="N483" s="566"/>
      <c r="O483" s="566"/>
      <c r="P483" s="566"/>
      <c r="Q483" s="566"/>
      <c r="R483" s="566"/>
      <c r="S483" s="566"/>
      <c r="T483" s="566"/>
      <c r="U483" s="566"/>
    </row>
    <row r="484" spans="1:21" ht="19.5" x14ac:dyDescent="0.3">
      <c r="A484" s="764"/>
      <c r="B484" s="718"/>
      <c r="C484" s="719" t="s">
        <v>193</v>
      </c>
      <c r="D484" s="718"/>
      <c r="E484" s="718"/>
      <c r="F484" s="718"/>
      <c r="G484" s="727"/>
      <c r="H484" s="677" t="s">
        <v>46</v>
      </c>
      <c r="I484" s="565">
        <f t="shared" ref="I484:I485" si="297">J480</f>
        <v>0</v>
      </c>
      <c r="J484" s="697">
        <f t="shared" ref="J484:J485" si="298">J486+J488+J490</f>
        <v>0</v>
      </c>
      <c r="K484" s="679">
        <f t="shared" ref="K484:K485" si="299">IF(I484&gt;0,J484*100/I484,0)</f>
        <v>0</v>
      </c>
      <c r="L484" s="574"/>
      <c r="M484" s="566"/>
      <c r="N484" s="566"/>
      <c r="O484" s="566"/>
      <c r="P484" s="566"/>
      <c r="Q484" s="566"/>
      <c r="R484" s="566"/>
      <c r="S484" s="566"/>
      <c r="T484" s="566"/>
      <c r="U484" s="566"/>
    </row>
    <row r="485" spans="1:21" ht="19.5" x14ac:dyDescent="0.3">
      <c r="A485" s="764"/>
      <c r="B485" s="718"/>
      <c r="C485" s="765" t="s">
        <v>194</v>
      </c>
      <c r="D485" s="718"/>
      <c r="E485" s="718"/>
      <c r="F485" s="718"/>
      <c r="G485" s="727"/>
      <c r="H485" s="677" t="s">
        <v>34</v>
      </c>
      <c r="I485" s="565">
        <f t="shared" si="297"/>
        <v>0</v>
      </c>
      <c r="J485" s="697">
        <f t="shared" si="298"/>
        <v>0</v>
      </c>
      <c r="K485" s="679">
        <f t="shared" si="299"/>
        <v>0</v>
      </c>
      <c r="L485" s="574"/>
      <c r="M485" s="566"/>
      <c r="N485" s="566"/>
      <c r="O485" s="566"/>
      <c r="P485" s="566"/>
      <c r="Q485" s="566"/>
      <c r="R485" s="566"/>
      <c r="S485" s="566"/>
      <c r="T485" s="566"/>
      <c r="U485" s="566"/>
    </row>
    <row r="486" spans="1:21" ht="18.75" x14ac:dyDescent="0.25">
      <c r="A486" s="764"/>
      <c r="B486" s="718"/>
      <c r="C486" s="718"/>
      <c r="D486" s="982" t="s">
        <v>195</v>
      </c>
      <c r="E486" s="718"/>
      <c r="F486" s="718"/>
      <c r="G486" s="727"/>
      <c r="H486" s="681" t="s">
        <v>46</v>
      </c>
      <c r="I486" s="565"/>
      <c r="J486" s="565"/>
      <c r="K486" s="566"/>
      <c r="L486" s="574"/>
      <c r="M486" s="566"/>
      <c r="N486" s="566"/>
      <c r="O486" s="566"/>
      <c r="P486" s="566"/>
      <c r="Q486" s="566"/>
      <c r="R486" s="566"/>
      <c r="S486" s="566"/>
      <c r="T486" s="566"/>
      <c r="U486" s="566"/>
    </row>
    <row r="487" spans="1:21" ht="18.75" x14ac:dyDescent="0.25">
      <c r="A487" s="764"/>
      <c r="B487" s="718"/>
      <c r="C487" s="718"/>
      <c r="D487" s="718"/>
      <c r="E487" s="718"/>
      <c r="F487" s="718"/>
      <c r="G487" s="727"/>
      <c r="H487" s="681" t="s">
        <v>34</v>
      </c>
      <c r="I487" s="565"/>
      <c r="J487" s="565"/>
      <c r="K487" s="566"/>
      <c r="L487" s="574"/>
      <c r="M487" s="566"/>
      <c r="N487" s="566"/>
      <c r="O487" s="566"/>
      <c r="P487" s="566"/>
      <c r="Q487" s="566"/>
      <c r="R487" s="566"/>
      <c r="S487" s="566"/>
      <c r="T487" s="566"/>
      <c r="U487" s="566"/>
    </row>
    <row r="488" spans="1:21" ht="18.75" x14ac:dyDescent="0.25">
      <c r="A488" s="764"/>
      <c r="B488" s="718"/>
      <c r="C488" s="718"/>
      <c r="D488" s="982" t="s">
        <v>196</v>
      </c>
      <c r="E488" s="718"/>
      <c r="F488" s="718"/>
      <c r="G488" s="727"/>
      <c r="H488" s="681" t="s">
        <v>46</v>
      </c>
      <c r="I488" s="565"/>
      <c r="J488" s="565"/>
      <c r="K488" s="566"/>
      <c r="L488" s="574"/>
      <c r="M488" s="566"/>
      <c r="N488" s="566"/>
      <c r="O488" s="566"/>
      <c r="P488" s="566"/>
      <c r="Q488" s="566"/>
      <c r="R488" s="566"/>
      <c r="S488" s="566"/>
      <c r="T488" s="566"/>
      <c r="U488" s="566"/>
    </row>
    <row r="489" spans="1:21" ht="18.75" x14ac:dyDescent="0.25">
      <c r="A489" s="764"/>
      <c r="B489" s="718"/>
      <c r="C489" s="718"/>
      <c r="D489" s="718"/>
      <c r="E489" s="718"/>
      <c r="F489" s="718"/>
      <c r="G489" s="727"/>
      <c r="H489" s="681" t="s">
        <v>34</v>
      </c>
      <c r="I489" s="565"/>
      <c r="J489" s="565"/>
      <c r="K489" s="566"/>
      <c r="L489" s="574"/>
      <c r="M489" s="566"/>
      <c r="N489" s="566"/>
      <c r="O489" s="566"/>
      <c r="P489" s="566"/>
      <c r="Q489" s="566"/>
      <c r="R489" s="566"/>
      <c r="S489" s="566"/>
      <c r="T489" s="566"/>
      <c r="U489" s="566"/>
    </row>
    <row r="490" spans="1:21" ht="18.75" x14ac:dyDescent="0.25">
      <c r="A490" s="764"/>
      <c r="B490" s="718"/>
      <c r="C490" s="718"/>
      <c r="D490" s="982" t="s">
        <v>197</v>
      </c>
      <c r="E490" s="718"/>
      <c r="F490" s="718"/>
      <c r="G490" s="727"/>
      <c r="H490" s="681" t="s">
        <v>46</v>
      </c>
      <c r="I490" s="565"/>
      <c r="J490" s="565"/>
      <c r="K490" s="566"/>
      <c r="L490" s="574"/>
      <c r="M490" s="566"/>
      <c r="N490" s="566"/>
      <c r="O490" s="566"/>
      <c r="P490" s="566"/>
      <c r="Q490" s="566"/>
      <c r="R490" s="566"/>
      <c r="S490" s="566"/>
      <c r="T490" s="566"/>
      <c r="U490" s="566"/>
    </row>
    <row r="491" spans="1:21" ht="18.75" x14ac:dyDescent="0.25">
      <c r="A491" s="984"/>
      <c r="B491" s="514"/>
      <c r="C491" s="514"/>
      <c r="D491" s="514"/>
      <c r="E491" s="514"/>
      <c r="F491" s="514"/>
      <c r="G491" s="985"/>
      <c r="H491" s="986" t="s">
        <v>34</v>
      </c>
      <c r="I491" s="579"/>
      <c r="J491" s="579"/>
      <c r="K491" s="580"/>
      <c r="L491" s="581"/>
      <c r="M491" s="580"/>
      <c r="N491" s="580"/>
      <c r="O491" s="580"/>
      <c r="P491" s="580"/>
      <c r="Q491" s="580"/>
      <c r="R491" s="580"/>
      <c r="S491" s="580"/>
      <c r="T491" s="580"/>
      <c r="U491" s="580"/>
    </row>
    <row r="492" spans="1:21" ht="19.5" hidden="1" x14ac:dyDescent="0.3">
      <c r="A492" s="926"/>
      <c r="B492" s="971" t="s">
        <v>198</v>
      </c>
      <c r="C492" s="928"/>
      <c r="D492" s="928"/>
      <c r="E492" s="911"/>
      <c r="F492" s="911"/>
      <c r="G492" s="912"/>
      <c r="H492" s="977" t="s">
        <v>35</v>
      </c>
      <c r="I492" s="914">
        <f t="shared" ref="I492:J492" ca="1" si="300">I503</f>
        <v>0</v>
      </c>
      <c r="J492" s="914">
        <f t="shared" ca="1" si="300"/>
        <v>0</v>
      </c>
      <c r="K492" s="915">
        <f ca="1">IF(I492&gt;0,J492*100/I492,0)</f>
        <v>0</v>
      </c>
      <c r="L492" s="916"/>
      <c r="M492" s="917"/>
      <c r="N492" s="917"/>
      <c r="O492" s="917"/>
      <c r="P492" s="917"/>
      <c r="Q492" s="917"/>
      <c r="R492" s="917"/>
      <c r="S492" s="917"/>
      <c r="T492" s="917"/>
      <c r="U492" s="917"/>
    </row>
    <row r="493" spans="1:21" ht="19.5" hidden="1" x14ac:dyDescent="0.3">
      <c r="A493" s="674"/>
      <c r="B493" s="718"/>
      <c r="C493" s="724" t="s">
        <v>18</v>
      </c>
      <c r="D493" s="1313" t="s">
        <v>19</v>
      </c>
      <c r="E493" s="1314"/>
      <c r="F493" s="1314"/>
      <c r="G493" s="563"/>
      <c r="H493" s="780" t="s">
        <v>14</v>
      </c>
      <c r="I493" s="565"/>
      <c r="J493" s="565"/>
      <c r="K493" s="566"/>
      <c r="L493" s="678">
        <f t="shared" ref="L493:N493" ca="1" si="301">L494+L495</f>
        <v>0</v>
      </c>
      <c r="M493" s="679">
        <f t="shared" ca="1" si="301"/>
        <v>0</v>
      </c>
      <c r="N493" s="679">
        <f t="shared" ca="1" si="301"/>
        <v>0</v>
      </c>
      <c r="O493" s="679">
        <f t="shared" ref="O493:O501" ca="1" si="302">IF(L493&gt;0,N493*100/L493,0)</f>
        <v>0</v>
      </c>
      <c r="P493" s="679">
        <f t="shared" ref="P493:P501" ca="1" si="303">IF(M493&gt;0,N493*100/M493,0)</f>
        <v>0</v>
      </c>
      <c r="Q493" s="679">
        <f t="shared" ref="Q493:S493" ca="1" si="304">Q494+Q495</f>
        <v>0</v>
      </c>
      <c r="R493" s="679">
        <f t="shared" ca="1" si="304"/>
        <v>0</v>
      </c>
      <c r="S493" s="679">
        <f t="shared" ca="1" si="304"/>
        <v>0</v>
      </c>
      <c r="T493" s="679">
        <f t="shared" ref="T493:T501" ca="1" si="305">IF(Q493&gt;0,S493*100/Q493,0)</f>
        <v>0</v>
      </c>
      <c r="U493" s="679">
        <f t="shared" ref="U493:U501" ca="1" si="306">IF(R493&gt;0,S493*100/R493,0)</f>
        <v>0</v>
      </c>
    </row>
    <row r="494" spans="1:21" ht="18.75" hidden="1" x14ac:dyDescent="0.25">
      <c r="A494" s="674"/>
      <c r="B494" s="718"/>
      <c r="C494" s="718"/>
      <c r="D494" s="688"/>
      <c r="E494" s="569" t="s">
        <v>158</v>
      </c>
      <c r="F494" s="561"/>
      <c r="G494" s="563"/>
      <c r="H494" s="685" t="s">
        <v>14</v>
      </c>
      <c r="I494" s="565"/>
      <c r="J494" s="565"/>
      <c r="K494" s="566"/>
      <c r="L494" s="571">
        <f t="shared" ref="L494:N495" si="307">L497+L500</f>
        <v>0</v>
      </c>
      <c r="M494" s="572">
        <f t="shared" si="307"/>
        <v>0</v>
      </c>
      <c r="N494" s="572">
        <f t="shared" si="307"/>
        <v>0</v>
      </c>
      <c r="O494" s="572">
        <f t="shared" si="302"/>
        <v>0</v>
      </c>
      <c r="P494" s="572">
        <f t="shared" si="303"/>
        <v>0</v>
      </c>
      <c r="Q494" s="572">
        <f t="shared" ref="Q494:S495" si="308">Q497+Q500</f>
        <v>0</v>
      </c>
      <c r="R494" s="572">
        <f t="shared" si="308"/>
        <v>0</v>
      </c>
      <c r="S494" s="572">
        <f t="shared" si="308"/>
        <v>0</v>
      </c>
      <c r="T494" s="572">
        <f t="shared" si="305"/>
        <v>0</v>
      </c>
      <c r="U494" s="572">
        <f t="shared" si="306"/>
        <v>0</v>
      </c>
    </row>
    <row r="495" spans="1:21" ht="18.75" hidden="1" x14ac:dyDescent="0.25">
      <c r="A495" s="674"/>
      <c r="B495" s="718"/>
      <c r="C495" s="718"/>
      <c r="D495" s="688"/>
      <c r="E495" s="573" t="s">
        <v>159</v>
      </c>
      <c r="F495" s="561"/>
      <c r="G495" s="563"/>
      <c r="H495" s="682" t="s">
        <v>14</v>
      </c>
      <c r="I495" s="565"/>
      <c r="J495" s="565"/>
      <c r="K495" s="566"/>
      <c r="L495" s="567">
        <f t="shared" ca="1" si="307"/>
        <v>0</v>
      </c>
      <c r="M495" s="568">
        <f t="shared" ca="1" si="307"/>
        <v>0</v>
      </c>
      <c r="N495" s="568">
        <f t="shared" ca="1" si="307"/>
        <v>0</v>
      </c>
      <c r="O495" s="568">
        <f t="shared" ca="1" si="302"/>
        <v>0</v>
      </c>
      <c r="P495" s="568">
        <f t="shared" ca="1" si="303"/>
        <v>0</v>
      </c>
      <c r="Q495" s="568">
        <f t="shared" ca="1" si="308"/>
        <v>0</v>
      </c>
      <c r="R495" s="568">
        <f t="shared" ca="1" si="308"/>
        <v>0</v>
      </c>
      <c r="S495" s="568">
        <f t="shared" ca="1" si="308"/>
        <v>0</v>
      </c>
      <c r="T495" s="568">
        <f t="shared" ca="1" si="305"/>
        <v>0</v>
      </c>
      <c r="U495" s="568">
        <f t="shared" ca="1" si="306"/>
        <v>0</v>
      </c>
    </row>
    <row r="496" spans="1:21" ht="18.75" hidden="1" x14ac:dyDescent="0.25">
      <c r="A496" s="674"/>
      <c r="B496" s="718"/>
      <c r="C496" s="718"/>
      <c r="D496" s="721" t="s">
        <v>22</v>
      </c>
      <c r="E496" s="561"/>
      <c r="F496" s="561"/>
      <c r="G496" s="563"/>
      <c r="H496" s="682" t="s">
        <v>14</v>
      </c>
      <c r="I496" s="683"/>
      <c r="J496" s="683"/>
      <c r="K496" s="684"/>
      <c r="L496" s="567">
        <f t="shared" ref="L496:N496" ca="1" si="309">L497+L498</f>
        <v>0</v>
      </c>
      <c r="M496" s="568">
        <f t="shared" ca="1" si="309"/>
        <v>0</v>
      </c>
      <c r="N496" s="568">
        <f t="shared" ca="1" si="309"/>
        <v>0</v>
      </c>
      <c r="O496" s="568">
        <f t="shared" ca="1" si="302"/>
        <v>0</v>
      </c>
      <c r="P496" s="568">
        <f t="shared" ca="1" si="303"/>
        <v>0</v>
      </c>
      <c r="Q496" s="568">
        <f t="shared" ref="Q496:S496" ca="1" si="310">Q497+Q498</f>
        <v>0</v>
      </c>
      <c r="R496" s="568">
        <f t="shared" ca="1" si="310"/>
        <v>0</v>
      </c>
      <c r="S496" s="568">
        <f t="shared" ca="1" si="310"/>
        <v>0</v>
      </c>
      <c r="T496" s="568">
        <f t="shared" ca="1" si="305"/>
        <v>0</v>
      </c>
      <c r="U496" s="568">
        <f t="shared" ca="1" si="306"/>
        <v>0</v>
      </c>
    </row>
    <row r="497" spans="1:21" ht="18.75" hidden="1" x14ac:dyDescent="0.25">
      <c r="A497" s="674"/>
      <c r="B497" s="718"/>
      <c r="C497" s="718"/>
      <c r="D497" s="688"/>
      <c r="E497" s="569" t="s">
        <v>158</v>
      </c>
      <c r="F497" s="561"/>
      <c r="G497" s="563"/>
      <c r="H497" s="685" t="s">
        <v>14</v>
      </c>
      <c r="I497" s="565"/>
      <c r="J497" s="565"/>
      <c r="K497" s="566"/>
      <c r="L497" s="571">
        <v>0</v>
      </c>
      <c r="M497" s="572">
        <v>0</v>
      </c>
      <c r="N497" s="572">
        <v>0</v>
      </c>
      <c r="O497" s="572">
        <f t="shared" si="302"/>
        <v>0</v>
      </c>
      <c r="P497" s="572">
        <f t="shared" si="303"/>
        <v>0</v>
      </c>
      <c r="Q497" s="572">
        <v>0</v>
      </c>
      <c r="R497" s="572">
        <v>0</v>
      </c>
      <c r="S497" s="572">
        <v>0</v>
      </c>
      <c r="T497" s="572">
        <f t="shared" si="305"/>
        <v>0</v>
      </c>
      <c r="U497" s="572">
        <f t="shared" si="306"/>
        <v>0</v>
      </c>
    </row>
    <row r="498" spans="1:21" ht="18.75" hidden="1" x14ac:dyDescent="0.25">
      <c r="A498" s="674"/>
      <c r="B498" s="718"/>
      <c r="C498" s="718"/>
      <c r="D498" s="688"/>
      <c r="E498" s="573" t="s">
        <v>159</v>
      </c>
      <c r="F498" s="561"/>
      <c r="G498" s="563"/>
      <c r="H498" s="682" t="s">
        <v>14</v>
      </c>
      <c r="I498" s="565"/>
      <c r="J498" s="565"/>
      <c r="K498" s="566"/>
      <c r="L498" s="567">
        <f ca="1">IFERROR(__xludf.DUMMYFUNCTION("IMPORTRANGE(""https://docs.google.com/spreadsheets/d/1-uDff_7J0KD5mKrp0Vvzr7lt3OU09vwQwhkpOPPYv2Y/edit?usp=sharing"",""งบพรบ!HU20"")"),0)</f>
        <v>0</v>
      </c>
      <c r="M498" s="568">
        <f ca="1">IFERROR(__xludf.DUMMYFUNCTION("IMPORTRANGE(""https://docs.google.com/spreadsheets/d/1-uDff_7J0KD5mKrp0Vvzr7lt3OU09vwQwhkpOPPYv2Y/edit?usp=sharing"",""งบพรบ!HZ20"")"),0)</f>
        <v>0</v>
      </c>
      <c r="N498" s="568">
        <f ca="1">IFERROR(__xludf.DUMMYFUNCTION("IMPORTRANGE(""https://docs.google.com/spreadsheets/d/1-uDff_7J0KD5mKrp0Vvzr7lt3OU09vwQwhkpOPPYv2Y/edit?usp=sharing"",""งบพรบ!IB20"")"),0)</f>
        <v>0</v>
      </c>
      <c r="O498" s="568">
        <f t="shared" ca="1" si="302"/>
        <v>0</v>
      </c>
      <c r="P498" s="568">
        <f t="shared" ca="1" si="303"/>
        <v>0</v>
      </c>
      <c r="Q498" s="568">
        <f ca="1">IFERROR(__xludf.DUMMYFUNCTION("IMPORTRANGE(""https://docs.google.com/spreadsheets/d/1ItG2mGa2ceCfYo0BwxsXqNm01IGEUdYcSSLTEv9YCik/edit?usp=sharing"",""เบิกจ่ายกองทุน!AD20"")"),0)</f>
        <v>0</v>
      </c>
      <c r="R498" s="568">
        <f ca="1">IFERROR(__xludf.DUMMYFUNCTION("IMPORTRANGE(""https://docs.google.com/spreadsheets/d/1ItG2mGa2ceCfYo0BwxsXqNm01IGEUdYcSSLTEv9YCik/edit?usp=sharing"",""เบิกจ่ายกองทุน!AE20"")"),0)</f>
        <v>0</v>
      </c>
      <c r="S498" s="568">
        <f ca="1">IFERROR(__xludf.DUMMYFUNCTION("IMPORTRANGE(""https://docs.google.com/spreadsheets/d/1ItG2mGa2ceCfYo0BwxsXqNm01IGEUdYcSSLTEv9YCik/edit?usp=sharing"",""เบิกจ่ายกองทุน!AF20"")"),0)</f>
        <v>0</v>
      </c>
      <c r="T498" s="568">
        <f t="shared" ca="1" si="305"/>
        <v>0</v>
      </c>
      <c r="U498" s="568">
        <f t="shared" ca="1" si="306"/>
        <v>0</v>
      </c>
    </row>
    <row r="499" spans="1:21" ht="18.75" hidden="1" x14ac:dyDescent="0.25">
      <c r="A499" s="674"/>
      <c r="B499" s="718"/>
      <c r="C499" s="718"/>
      <c r="D499" s="721" t="s">
        <v>23</v>
      </c>
      <c r="E499" s="561"/>
      <c r="F499" s="561"/>
      <c r="G499" s="563"/>
      <c r="H499" s="686" t="s">
        <v>14</v>
      </c>
      <c r="I499" s="683"/>
      <c r="J499" s="683"/>
      <c r="K499" s="684"/>
      <c r="L499" s="567">
        <f t="shared" ref="L499:N499" ca="1" si="311">L500+L501</f>
        <v>0</v>
      </c>
      <c r="M499" s="568">
        <f t="shared" ca="1" si="311"/>
        <v>0</v>
      </c>
      <c r="N499" s="568">
        <f t="shared" ca="1" si="311"/>
        <v>0</v>
      </c>
      <c r="O499" s="568">
        <f t="shared" ca="1" si="302"/>
        <v>0</v>
      </c>
      <c r="P499" s="568">
        <f t="shared" ca="1" si="303"/>
        <v>0</v>
      </c>
      <c r="Q499" s="568">
        <f t="shared" ref="Q499:S499" si="312">Q500+Q501</f>
        <v>0</v>
      </c>
      <c r="R499" s="568">
        <f t="shared" si="312"/>
        <v>0</v>
      </c>
      <c r="S499" s="568">
        <f t="shared" si="312"/>
        <v>0</v>
      </c>
      <c r="T499" s="568">
        <f t="shared" si="305"/>
        <v>0</v>
      </c>
      <c r="U499" s="568">
        <f t="shared" si="306"/>
        <v>0</v>
      </c>
    </row>
    <row r="500" spans="1:21" ht="18.75" hidden="1" x14ac:dyDescent="0.25">
      <c r="A500" s="674"/>
      <c r="B500" s="718"/>
      <c r="C500" s="718"/>
      <c r="D500" s="718"/>
      <c r="E500" s="569" t="s">
        <v>20</v>
      </c>
      <c r="F500" s="561"/>
      <c r="G500" s="563"/>
      <c r="H500" s="685" t="s">
        <v>14</v>
      </c>
      <c r="I500" s="683"/>
      <c r="J500" s="683"/>
      <c r="K500" s="684"/>
      <c r="L500" s="571">
        <v>0</v>
      </c>
      <c r="M500" s="572">
        <v>0</v>
      </c>
      <c r="N500" s="572">
        <v>0</v>
      </c>
      <c r="O500" s="572">
        <f t="shared" si="302"/>
        <v>0</v>
      </c>
      <c r="P500" s="572">
        <f t="shared" si="303"/>
        <v>0</v>
      </c>
      <c r="Q500" s="572">
        <v>0</v>
      </c>
      <c r="R500" s="572">
        <v>0</v>
      </c>
      <c r="S500" s="572">
        <v>0</v>
      </c>
      <c r="T500" s="572">
        <f t="shared" si="305"/>
        <v>0</v>
      </c>
      <c r="U500" s="572">
        <f t="shared" si="306"/>
        <v>0</v>
      </c>
    </row>
    <row r="501" spans="1:21" ht="18.75" hidden="1" x14ac:dyDescent="0.25">
      <c r="A501" s="674"/>
      <c r="B501" s="718"/>
      <c r="C501" s="718"/>
      <c r="D501" s="718"/>
      <c r="E501" s="573" t="s">
        <v>21</v>
      </c>
      <c r="F501" s="561"/>
      <c r="G501" s="563"/>
      <c r="H501" s="686" t="s">
        <v>14</v>
      </c>
      <c r="I501" s="683"/>
      <c r="J501" s="683"/>
      <c r="K501" s="684"/>
      <c r="L501" s="567">
        <f ca="1">IFERROR(__xludf.DUMMYFUNCTION("IMPORTRANGE(""https://docs.google.com/spreadsheets/d/1-uDff_7J0KD5mKrp0Vvzr7lt3OU09vwQwhkpOPPYv2Y/edit?usp=sharing"",""งบพรบ!HX20"")"),0)</f>
        <v>0</v>
      </c>
      <c r="M501" s="568">
        <f ca="1">IFERROR(__xludf.DUMMYFUNCTION("IMPORTRANGE(""https://docs.google.com/spreadsheets/d/1-uDff_7J0KD5mKrp0Vvzr7lt3OU09vwQwhkpOPPYv2Y/edit?usp=sharing"",""งบพรบ!IA20"")"),0)</f>
        <v>0</v>
      </c>
      <c r="N501" s="568">
        <f ca="1">IFERROR(__xludf.DUMMYFUNCTION("IMPORTRANGE(""https://docs.google.com/spreadsheets/d/1-uDff_7J0KD5mKrp0Vvzr7lt3OU09vwQwhkpOPPYv2Y/edit?usp=sharing"",""งบพรบ!IC20"")"),0)</f>
        <v>0</v>
      </c>
      <c r="O501" s="568">
        <f t="shared" ca="1" si="302"/>
        <v>0</v>
      </c>
      <c r="P501" s="568">
        <f t="shared" ca="1" si="303"/>
        <v>0</v>
      </c>
      <c r="Q501" s="568">
        <v>0</v>
      </c>
      <c r="R501" s="568">
        <v>0</v>
      </c>
      <c r="S501" s="568">
        <v>0</v>
      </c>
      <c r="T501" s="568">
        <f t="shared" si="305"/>
        <v>0</v>
      </c>
      <c r="U501" s="568">
        <f t="shared" si="306"/>
        <v>0</v>
      </c>
    </row>
    <row r="502" spans="1:21" ht="19.5" hidden="1" x14ac:dyDescent="0.3">
      <c r="A502" s="687"/>
      <c r="B502" s="688"/>
      <c r="C502" s="724" t="s">
        <v>18</v>
      </c>
      <c r="D502" s="956" t="s">
        <v>38</v>
      </c>
      <c r="E502" s="690"/>
      <c r="F502" s="690"/>
      <c r="G502" s="691"/>
      <c r="H502" s="725"/>
      <c r="I502" s="683"/>
      <c r="J502" s="683"/>
      <c r="K502" s="684"/>
      <c r="L502" s="693"/>
      <c r="M502" s="684"/>
      <c r="N502" s="684"/>
      <c r="O502" s="684"/>
      <c r="P502" s="684"/>
      <c r="Q502" s="684"/>
      <c r="R502" s="684"/>
      <c r="S502" s="684"/>
      <c r="T502" s="684"/>
      <c r="U502" s="684"/>
    </row>
    <row r="503" spans="1:21" ht="19.5" hidden="1" x14ac:dyDescent="0.3">
      <c r="A503" s="764"/>
      <c r="B503" s="718"/>
      <c r="C503" s="718"/>
      <c r="D503" s="719" t="s">
        <v>199</v>
      </c>
      <c r="E503" s="561"/>
      <c r="F503" s="561"/>
      <c r="G503" s="563"/>
      <c r="H503" s="681" t="s">
        <v>35</v>
      </c>
      <c r="I503" s="697">
        <f ca="1">IFERROR(__xludf.DUMMYFUNCTION("IMPORTRANGE(""https://docs.google.com/spreadsheets/d/1eHaY18a8A9IcSdp1K8H6x8fbOy06t2VsZHhMHf-1x7Y/edit?usp=sharing"",""แผน!GX20"")"),0)</f>
        <v>0</v>
      </c>
      <c r="J503" s="697">
        <f ca="1">IF(AND(J504=I504,J505=I505,J506=I506,J507=I507),I503,0)</f>
        <v>0</v>
      </c>
      <c r="K503" s="679">
        <f t="shared" ref="K503:K509" ca="1" si="313">IF(I503&gt;0,J503*100/I503,0)</f>
        <v>0</v>
      </c>
      <c r="L503" s="574"/>
      <c r="M503" s="566"/>
      <c r="N503" s="566"/>
      <c r="O503" s="566"/>
      <c r="P503" s="566"/>
      <c r="Q503" s="566"/>
      <c r="R503" s="566"/>
      <c r="S503" s="566"/>
      <c r="T503" s="566"/>
      <c r="U503" s="566"/>
    </row>
    <row r="504" spans="1:21" ht="18.75" hidden="1" x14ac:dyDescent="0.25">
      <c r="A504" s="764"/>
      <c r="B504" s="718"/>
      <c r="C504" s="718"/>
      <c r="D504" s="718"/>
      <c r="E504" s="573" t="s">
        <v>200</v>
      </c>
      <c r="F504" s="561"/>
      <c r="G504" s="563"/>
      <c r="H504" s="681" t="s">
        <v>35</v>
      </c>
      <c r="I504" s="708">
        <f ca="1">IFERROR(__xludf.DUMMYFUNCTION("IMPORTRANGE(""https://docs.google.com/spreadsheets/d/1eHaY18a8A9IcSdp1K8H6x8fbOy06t2VsZHhMHf-1x7Y/edit?usp=sharing"",""แผน!GY20"")"),0)</f>
        <v>0</v>
      </c>
      <c r="J504" s="702">
        <v>0</v>
      </c>
      <c r="K504" s="568">
        <f t="shared" ca="1" si="313"/>
        <v>0</v>
      </c>
      <c r="L504" s="574"/>
      <c r="M504" s="566"/>
      <c r="N504" s="566"/>
      <c r="O504" s="566"/>
      <c r="P504" s="566"/>
      <c r="Q504" s="566"/>
      <c r="R504" s="566"/>
      <c r="S504" s="566"/>
      <c r="T504" s="566"/>
      <c r="U504" s="566"/>
    </row>
    <row r="505" spans="1:21" ht="18.75" hidden="1" x14ac:dyDescent="0.25">
      <c r="A505" s="764"/>
      <c r="B505" s="718"/>
      <c r="C505" s="718"/>
      <c r="D505" s="718"/>
      <c r="E505" s="573" t="s">
        <v>201</v>
      </c>
      <c r="F505" s="561"/>
      <c r="G505" s="563"/>
      <c r="H505" s="681" t="s">
        <v>35</v>
      </c>
      <c r="I505" s="708">
        <f ca="1">IFERROR(__xludf.DUMMYFUNCTION("IMPORTRANGE(""https://docs.google.com/spreadsheets/d/1eHaY18a8A9IcSdp1K8H6x8fbOy06t2VsZHhMHf-1x7Y/edit?usp=sharing"",""แผน!GZ20"")"),0)</f>
        <v>0</v>
      </c>
      <c r="J505" s="702">
        <v>0</v>
      </c>
      <c r="K505" s="568">
        <f t="shared" ca="1" si="313"/>
        <v>0</v>
      </c>
      <c r="L505" s="574"/>
      <c r="M505" s="566"/>
      <c r="N505" s="566"/>
      <c r="O505" s="566"/>
      <c r="P505" s="566"/>
      <c r="Q505" s="566"/>
      <c r="R505" s="566"/>
      <c r="S505" s="566"/>
      <c r="T505" s="566"/>
      <c r="U505" s="566"/>
    </row>
    <row r="506" spans="1:21" ht="18.75" hidden="1" x14ac:dyDescent="0.25">
      <c r="A506" s="764"/>
      <c r="B506" s="718"/>
      <c r="C506" s="718"/>
      <c r="D506" s="718"/>
      <c r="E506" s="573" t="s">
        <v>202</v>
      </c>
      <c r="F506" s="561"/>
      <c r="G506" s="563"/>
      <c r="H506" s="681" t="s">
        <v>35</v>
      </c>
      <c r="I506" s="708">
        <f ca="1">IFERROR(__xludf.DUMMYFUNCTION("IMPORTRANGE(""https://docs.google.com/spreadsheets/d/1eHaY18a8A9IcSdp1K8H6x8fbOy06t2VsZHhMHf-1x7Y/edit?usp=sharing"",""แผน!HA20"")"),0)</f>
        <v>0</v>
      </c>
      <c r="J506" s="702">
        <v>0</v>
      </c>
      <c r="K506" s="568">
        <f t="shared" ca="1" si="313"/>
        <v>0</v>
      </c>
      <c r="L506" s="574"/>
      <c r="M506" s="566"/>
      <c r="N506" s="566"/>
      <c r="O506" s="566"/>
      <c r="P506" s="566"/>
      <c r="Q506" s="566"/>
      <c r="R506" s="566"/>
      <c r="S506" s="566"/>
      <c r="T506" s="566"/>
      <c r="U506" s="566"/>
    </row>
    <row r="507" spans="1:21" ht="18.75" hidden="1" x14ac:dyDescent="0.25">
      <c r="A507" s="764"/>
      <c r="B507" s="718"/>
      <c r="C507" s="718"/>
      <c r="D507" s="718"/>
      <c r="E507" s="987" t="s">
        <v>203</v>
      </c>
      <c r="F507" s="561"/>
      <c r="G507" s="563"/>
      <c r="H507" s="681" t="s">
        <v>35</v>
      </c>
      <c r="I507" s="708">
        <f ca="1">IFERROR(__xludf.DUMMYFUNCTION("IMPORTRANGE(""https://docs.google.com/spreadsheets/d/1eHaY18a8A9IcSdp1K8H6x8fbOy06t2VsZHhMHf-1x7Y/edit?usp=sharing"",""แผน!HB20"")"),0)</f>
        <v>0</v>
      </c>
      <c r="J507" s="702">
        <v>0</v>
      </c>
      <c r="K507" s="568">
        <f t="shared" ca="1" si="313"/>
        <v>0</v>
      </c>
      <c r="L507" s="574"/>
      <c r="M507" s="566"/>
      <c r="N507" s="566"/>
      <c r="O507" s="566"/>
      <c r="P507" s="566"/>
      <c r="Q507" s="566"/>
      <c r="R507" s="566"/>
      <c r="S507" s="566"/>
      <c r="T507" s="566"/>
      <c r="U507" s="566"/>
    </row>
    <row r="508" spans="1:21" ht="18.75" hidden="1" x14ac:dyDescent="0.25">
      <c r="A508" s="764"/>
      <c r="B508" s="718"/>
      <c r="C508" s="718"/>
      <c r="D508" s="718"/>
      <c r="E508" s="573" t="s">
        <v>204</v>
      </c>
      <c r="F508" s="561"/>
      <c r="G508" s="563"/>
      <c r="H508" s="681" t="s">
        <v>35</v>
      </c>
      <c r="I508" s="708">
        <v>0</v>
      </c>
      <c r="J508" s="708">
        <v>0</v>
      </c>
      <c r="K508" s="568">
        <f t="shared" si="313"/>
        <v>0</v>
      </c>
      <c r="L508" s="574"/>
      <c r="M508" s="566"/>
      <c r="N508" s="566"/>
      <c r="O508" s="566"/>
      <c r="P508" s="566"/>
      <c r="Q508" s="566"/>
      <c r="R508" s="566"/>
      <c r="S508" s="566"/>
      <c r="T508" s="566"/>
      <c r="U508" s="566"/>
    </row>
    <row r="509" spans="1:21" ht="19.5" hidden="1" x14ac:dyDescent="0.3">
      <c r="A509" s="984"/>
      <c r="B509" s="514"/>
      <c r="C509" s="514"/>
      <c r="D509" s="988" t="s">
        <v>50</v>
      </c>
      <c r="E509" s="513"/>
      <c r="F509" s="513"/>
      <c r="G509" s="577"/>
      <c r="H509" s="986" t="s">
        <v>35</v>
      </c>
      <c r="I509" s="989">
        <f ca="1">IFERROR(__xludf.DUMMYFUNCTION("IMPORTRANGE(""https://docs.google.com/spreadsheets/d/1eHaY18a8A9IcSdp1K8H6x8fbOy06t2VsZHhMHf-1x7Y/edit?usp=sharing"",""แผน!HC20"")"),0)</f>
        <v>0</v>
      </c>
      <c r="J509" s="990">
        <v>0</v>
      </c>
      <c r="K509" s="655">
        <f t="shared" ca="1" si="313"/>
        <v>0</v>
      </c>
      <c r="L509" s="581"/>
      <c r="M509" s="580"/>
      <c r="N509" s="580"/>
      <c r="O509" s="580"/>
      <c r="P509" s="580"/>
      <c r="Q509" s="580"/>
      <c r="R509" s="580"/>
      <c r="S509" s="580"/>
      <c r="T509" s="580"/>
      <c r="U509" s="580"/>
    </row>
    <row r="510" spans="1:21" ht="19.5" hidden="1" x14ac:dyDescent="0.3">
      <c r="A510" s="991" t="s">
        <v>205</v>
      </c>
      <c r="B510" s="992"/>
      <c r="C510" s="992"/>
      <c r="D510" s="992"/>
      <c r="E510" s="993"/>
      <c r="F510" s="993"/>
      <c r="G510" s="993"/>
      <c r="H510" s="993"/>
      <c r="I510" s="994"/>
      <c r="J510" s="994"/>
      <c r="K510" s="995"/>
      <c r="L510" s="996"/>
      <c r="M510" s="997"/>
      <c r="N510" s="997"/>
      <c r="O510" s="997"/>
      <c r="P510" s="997"/>
      <c r="Q510" s="997"/>
      <c r="R510" s="997"/>
      <c r="S510" s="997"/>
      <c r="T510" s="997"/>
      <c r="U510" s="997"/>
    </row>
    <row r="511" spans="1:21" ht="19.5" hidden="1" x14ac:dyDescent="0.3">
      <c r="A511" s="998" t="s">
        <v>206</v>
      </c>
      <c r="B511" s="999"/>
      <c r="C511" s="999"/>
      <c r="D511" s="1000"/>
      <c r="E511" s="999"/>
      <c r="F511" s="999"/>
      <c r="G511" s="999"/>
      <c r="H511" s="1001"/>
      <c r="I511" s="1002"/>
      <c r="J511" s="1002"/>
      <c r="K511" s="1003"/>
      <c r="L511" s="1004"/>
      <c r="M511" s="1005"/>
      <c r="N511" s="1005"/>
      <c r="O511" s="1005"/>
      <c r="P511" s="1005"/>
      <c r="Q511" s="1005"/>
      <c r="R511" s="1005"/>
      <c r="S511" s="1005"/>
      <c r="T511" s="1005"/>
      <c r="U511" s="1005"/>
    </row>
    <row r="512" spans="1:21" ht="19.5" hidden="1" x14ac:dyDescent="0.3">
      <c r="A512" s="1006"/>
      <c r="B512" s="1007" t="s">
        <v>207</v>
      </c>
      <c r="C512" s="1008"/>
      <c r="D512" s="1009"/>
      <c r="E512" s="1009"/>
      <c r="F512" s="1009"/>
      <c r="G512" s="1010"/>
      <c r="H512" s="1011" t="s">
        <v>61</v>
      </c>
      <c r="I512" s="1012">
        <f t="shared" ref="I512:J512" si="314">I524</f>
        <v>0</v>
      </c>
      <c r="J512" s="1012">
        <f t="shared" si="314"/>
        <v>0</v>
      </c>
      <c r="K512" s="1013">
        <f>IF(I512&gt;0,J512*100/I512,0)</f>
        <v>0</v>
      </c>
      <c r="L512" s="1014"/>
      <c r="M512" s="1015"/>
      <c r="N512" s="1015"/>
      <c r="O512" s="1015"/>
      <c r="P512" s="1015"/>
      <c r="Q512" s="1015"/>
      <c r="R512" s="1015"/>
      <c r="S512" s="1015"/>
      <c r="T512" s="1015"/>
      <c r="U512" s="1015"/>
    </row>
    <row r="513" spans="1:21" ht="19.5" hidden="1" x14ac:dyDescent="0.3">
      <c r="A513" s="674"/>
      <c r="B513" s="561"/>
      <c r="C513" s="797" t="s">
        <v>18</v>
      </c>
      <c r="D513" s="798" t="s">
        <v>19</v>
      </c>
      <c r="E513" s="561"/>
      <c r="F513" s="561"/>
      <c r="G513" s="563"/>
      <c r="H513" s="1016" t="s">
        <v>14</v>
      </c>
      <c r="I513" s="565"/>
      <c r="J513" s="565"/>
      <c r="K513" s="566"/>
      <c r="L513" s="678">
        <f t="shared" ref="L513:N513" ca="1" si="315">L514+L515</f>
        <v>0</v>
      </c>
      <c r="M513" s="679">
        <f t="shared" ca="1" si="315"/>
        <v>0</v>
      </c>
      <c r="N513" s="679">
        <f t="shared" ca="1" si="315"/>
        <v>0</v>
      </c>
      <c r="O513" s="679">
        <f t="shared" ref="O513:O521" ca="1" si="316">IF(L513&gt;0,N513*100/L513,0)</f>
        <v>0</v>
      </c>
      <c r="P513" s="679">
        <f t="shared" ref="P513:P521" ca="1" si="317">IF(M513&gt;0,N513*100/M513,0)</f>
        <v>0</v>
      </c>
      <c r="Q513" s="679">
        <f t="shared" ref="Q513:S513" si="318">Q514+Q515</f>
        <v>0</v>
      </c>
      <c r="R513" s="679">
        <f t="shared" si="318"/>
        <v>0</v>
      </c>
      <c r="S513" s="679">
        <f t="shared" si="318"/>
        <v>0</v>
      </c>
      <c r="T513" s="679">
        <f t="shared" ref="T513:T521" si="319">IF(Q513&gt;0,S513*100/Q513,0)</f>
        <v>0</v>
      </c>
      <c r="U513" s="679">
        <f t="shared" ref="U513:U521" si="320">IF(R513&gt;0,S513*100/R513,0)</f>
        <v>0</v>
      </c>
    </row>
    <row r="514" spans="1:21" ht="18.75" hidden="1" x14ac:dyDescent="0.25">
      <c r="A514" s="674"/>
      <c r="B514" s="561"/>
      <c r="C514" s="561"/>
      <c r="D514" s="561"/>
      <c r="E514" s="569" t="s">
        <v>20</v>
      </c>
      <c r="F514" s="561"/>
      <c r="G514" s="563"/>
      <c r="H514" s="680" t="s">
        <v>14</v>
      </c>
      <c r="I514" s="565"/>
      <c r="J514" s="565"/>
      <c r="K514" s="566"/>
      <c r="L514" s="571">
        <f t="shared" ref="L514:N515" si="321">L517+L520</f>
        <v>0</v>
      </c>
      <c r="M514" s="572">
        <f t="shared" si="321"/>
        <v>0</v>
      </c>
      <c r="N514" s="572">
        <f t="shared" si="321"/>
        <v>0</v>
      </c>
      <c r="O514" s="572">
        <f t="shared" si="316"/>
        <v>0</v>
      </c>
      <c r="P514" s="572">
        <f t="shared" si="317"/>
        <v>0</v>
      </c>
      <c r="Q514" s="572">
        <f t="shared" ref="Q514:S515" si="322">Q517+Q520</f>
        <v>0</v>
      </c>
      <c r="R514" s="572">
        <f t="shared" si="322"/>
        <v>0</v>
      </c>
      <c r="S514" s="572">
        <f t="shared" si="322"/>
        <v>0</v>
      </c>
      <c r="T514" s="572">
        <f t="shared" si="319"/>
        <v>0</v>
      </c>
      <c r="U514" s="572">
        <f t="shared" si="320"/>
        <v>0</v>
      </c>
    </row>
    <row r="515" spans="1:21" ht="18.75" hidden="1" x14ac:dyDescent="0.25">
      <c r="A515" s="674"/>
      <c r="B515" s="561"/>
      <c r="C515" s="561"/>
      <c r="D515" s="561"/>
      <c r="E515" s="569" t="s">
        <v>21</v>
      </c>
      <c r="F515" s="561"/>
      <c r="G515" s="563"/>
      <c r="H515" s="680" t="s">
        <v>14</v>
      </c>
      <c r="I515" s="565"/>
      <c r="J515" s="565"/>
      <c r="K515" s="566"/>
      <c r="L515" s="567">
        <f t="shared" ca="1" si="321"/>
        <v>0</v>
      </c>
      <c r="M515" s="568">
        <f t="shared" ca="1" si="321"/>
        <v>0</v>
      </c>
      <c r="N515" s="568">
        <f t="shared" ca="1" si="321"/>
        <v>0</v>
      </c>
      <c r="O515" s="568">
        <f t="shared" ca="1" si="316"/>
        <v>0</v>
      </c>
      <c r="P515" s="568">
        <f t="shared" ca="1" si="317"/>
        <v>0</v>
      </c>
      <c r="Q515" s="568">
        <f t="shared" si="322"/>
        <v>0</v>
      </c>
      <c r="R515" s="568">
        <f t="shared" si="322"/>
        <v>0</v>
      </c>
      <c r="S515" s="568">
        <f t="shared" si="322"/>
        <v>0</v>
      </c>
      <c r="T515" s="568">
        <f t="shared" si="319"/>
        <v>0</v>
      </c>
      <c r="U515" s="568">
        <f t="shared" si="320"/>
        <v>0</v>
      </c>
    </row>
    <row r="516" spans="1:21" ht="18.75" hidden="1" x14ac:dyDescent="0.25">
      <c r="A516" s="674"/>
      <c r="B516" s="561"/>
      <c r="C516" s="561"/>
      <c r="D516" s="1017" t="s">
        <v>22</v>
      </c>
      <c r="E516" s="561"/>
      <c r="F516" s="561"/>
      <c r="G516" s="563"/>
      <c r="H516" s="685" t="s">
        <v>14</v>
      </c>
      <c r="I516" s="683"/>
      <c r="J516" s="683"/>
      <c r="K516" s="684"/>
      <c r="L516" s="567">
        <f t="shared" ref="L516:N516" ca="1" si="323">L517+L518</f>
        <v>0</v>
      </c>
      <c r="M516" s="568">
        <f t="shared" ca="1" si="323"/>
        <v>0</v>
      </c>
      <c r="N516" s="568">
        <f t="shared" ca="1" si="323"/>
        <v>0</v>
      </c>
      <c r="O516" s="568">
        <f t="shared" ca="1" si="316"/>
        <v>0</v>
      </c>
      <c r="P516" s="568">
        <f t="shared" ca="1" si="317"/>
        <v>0</v>
      </c>
      <c r="Q516" s="568">
        <f t="shared" ref="Q516:S516" si="324">Q517+Q518</f>
        <v>0</v>
      </c>
      <c r="R516" s="568">
        <f t="shared" si="324"/>
        <v>0</v>
      </c>
      <c r="S516" s="568">
        <f t="shared" si="324"/>
        <v>0</v>
      </c>
      <c r="T516" s="568">
        <f t="shared" si="319"/>
        <v>0</v>
      </c>
      <c r="U516" s="568">
        <f t="shared" si="320"/>
        <v>0</v>
      </c>
    </row>
    <row r="517" spans="1:21" ht="18.75" hidden="1" x14ac:dyDescent="0.25">
      <c r="A517" s="674"/>
      <c r="B517" s="561"/>
      <c r="C517" s="561"/>
      <c r="D517" s="561"/>
      <c r="E517" s="569" t="s">
        <v>36</v>
      </c>
      <c r="F517" s="561"/>
      <c r="G517" s="563"/>
      <c r="H517" s="685" t="s">
        <v>14</v>
      </c>
      <c r="I517" s="683"/>
      <c r="J517" s="683"/>
      <c r="K517" s="684"/>
      <c r="L517" s="571">
        <v>0</v>
      </c>
      <c r="M517" s="572">
        <v>0</v>
      </c>
      <c r="N517" s="572">
        <v>0</v>
      </c>
      <c r="O517" s="572">
        <f t="shared" si="316"/>
        <v>0</v>
      </c>
      <c r="P517" s="572">
        <f t="shared" si="317"/>
        <v>0</v>
      </c>
      <c r="Q517" s="572">
        <v>0</v>
      </c>
      <c r="R517" s="572">
        <v>0</v>
      </c>
      <c r="S517" s="572">
        <v>0</v>
      </c>
      <c r="T517" s="572">
        <f t="shared" si="319"/>
        <v>0</v>
      </c>
      <c r="U517" s="572">
        <f t="shared" si="320"/>
        <v>0</v>
      </c>
    </row>
    <row r="518" spans="1:21" ht="18.75" hidden="1" x14ac:dyDescent="0.25">
      <c r="A518" s="674"/>
      <c r="B518" s="561"/>
      <c r="C518" s="561"/>
      <c r="D518" s="561"/>
      <c r="E518" s="569" t="s">
        <v>37</v>
      </c>
      <c r="F518" s="561"/>
      <c r="G518" s="563"/>
      <c r="H518" s="685" t="s">
        <v>14</v>
      </c>
      <c r="I518" s="683"/>
      <c r="J518" s="683"/>
      <c r="K518" s="684"/>
      <c r="L518" s="567">
        <f ca="1">IFERROR(__xludf.DUMMYFUNCTION("IMPORTRANGE(""https://docs.google.com/spreadsheets/d/1-uDff_7J0KD5mKrp0Vvzr7lt3OU09vwQwhkpOPPYv2Y/edit?usp=sharing"",""งบพรบ!FM20"")"),0)</f>
        <v>0</v>
      </c>
      <c r="M518" s="568">
        <f ca="1">IFERROR(__xludf.DUMMYFUNCTION("IMPORTRANGE(""https://docs.google.com/spreadsheets/d/1-uDff_7J0KD5mKrp0Vvzr7lt3OU09vwQwhkpOPPYv2Y/edit?usp=sharing"",""งบพรบ!FR20"")"),0)</f>
        <v>0</v>
      </c>
      <c r="N518" s="568">
        <f ca="1">IFERROR(__xludf.DUMMYFUNCTION("IMPORTRANGE(""https://docs.google.com/spreadsheets/d/1-uDff_7J0KD5mKrp0Vvzr7lt3OU09vwQwhkpOPPYv2Y/edit?usp=sharing"",""งบพรบ!FT20"")"),0)</f>
        <v>0</v>
      </c>
      <c r="O518" s="568">
        <f t="shared" ca="1" si="316"/>
        <v>0</v>
      </c>
      <c r="P518" s="568">
        <f t="shared" ca="1" si="317"/>
        <v>0</v>
      </c>
      <c r="Q518" s="568">
        <v>0</v>
      </c>
      <c r="R518" s="568">
        <v>0</v>
      </c>
      <c r="S518" s="568">
        <v>0</v>
      </c>
      <c r="T518" s="568">
        <f t="shared" si="319"/>
        <v>0</v>
      </c>
      <c r="U518" s="568">
        <f t="shared" si="320"/>
        <v>0</v>
      </c>
    </row>
    <row r="519" spans="1:21" ht="18.75" hidden="1" x14ac:dyDescent="0.25">
      <c r="A519" s="674"/>
      <c r="B519" s="561"/>
      <c r="C519" s="561"/>
      <c r="D519" s="1017" t="s">
        <v>23</v>
      </c>
      <c r="E519" s="561"/>
      <c r="F519" s="561"/>
      <c r="G519" s="563"/>
      <c r="H519" s="734" t="s">
        <v>14</v>
      </c>
      <c r="I519" s="683"/>
      <c r="J519" s="683"/>
      <c r="K519" s="684"/>
      <c r="L519" s="567">
        <f t="shared" ref="L519:N519" ca="1" si="325">L520+L521</f>
        <v>0</v>
      </c>
      <c r="M519" s="568">
        <f t="shared" ca="1" si="325"/>
        <v>0</v>
      </c>
      <c r="N519" s="568">
        <f t="shared" ca="1" si="325"/>
        <v>0</v>
      </c>
      <c r="O519" s="568">
        <f t="shared" ca="1" si="316"/>
        <v>0</v>
      </c>
      <c r="P519" s="568">
        <f t="shared" ca="1" si="317"/>
        <v>0</v>
      </c>
      <c r="Q519" s="568">
        <f t="shared" ref="Q519:S519" si="326">Q520+Q521</f>
        <v>0</v>
      </c>
      <c r="R519" s="568">
        <f t="shared" si="326"/>
        <v>0</v>
      </c>
      <c r="S519" s="568">
        <f t="shared" si="326"/>
        <v>0</v>
      </c>
      <c r="T519" s="568">
        <f t="shared" si="319"/>
        <v>0</v>
      </c>
      <c r="U519" s="568">
        <f t="shared" si="320"/>
        <v>0</v>
      </c>
    </row>
    <row r="520" spans="1:21" ht="18.75" hidden="1" x14ac:dyDescent="0.25">
      <c r="A520" s="674"/>
      <c r="B520" s="561"/>
      <c r="C520" s="561"/>
      <c r="D520" s="561"/>
      <c r="E520" s="569" t="s">
        <v>20</v>
      </c>
      <c r="F520" s="561"/>
      <c r="G520" s="563"/>
      <c r="H520" s="685" t="s">
        <v>14</v>
      </c>
      <c r="I520" s="683"/>
      <c r="J520" s="683"/>
      <c r="K520" s="684"/>
      <c r="L520" s="571">
        <v>0</v>
      </c>
      <c r="M520" s="572">
        <v>0</v>
      </c>
      <c r="N520" s="572">
        <v>0</v>
      </c>
      <c r="O520" s="572">
        <f t="shared" si="316"/>
        <v>0</v>
      </c>
      <c r="P520" s="572">
        <f t="shared" si="317"/>
        <v>0</v>
      </c>
      <c r="Q520" s="572">
        <v>0</v>
      </c>
      <c r="R520" s="572">
        <v>0</v>
      </c>
      <c r="S520" s="572">
        <v>0</v>
      </c>
      <c r="T520" s="572">
        <f t="shared" si="319"/>
        <v>0</v>
      </c>
      <c r="U520" s="572">
        <f t="shared" si="320"/>
        <v>0</v>
      </c>
    </row>
    <row r="521" spans="1:21" ht="18.75" hidden="1" x14ac:dyDescent="0.25">
      <c r="A521" s="674"/>
      <c r="B521" s="561"/>
      <c r="C521" s="561"/>
      <c r="D521" s="561"/>
      <c r="E521" s="569" t="s">
        <v>21</v>
      </c>
      <c r="F521" s="561"/>
      <c r="G521" s="563"/>
      <c r="H521" s="734" t="s">
        <v>14</v>
      </c>
      <c r="I521" s="683"/>
      <c r="J521" s="683"/>
      <c r="K521" s="684"/>
      <c r="L521" s="567">
        <f ca="1">IFERROR(__xludf.DUMMYFUNCTION("IMPORTRANGE(""https://docs.google.com/spreadsheets/d/1-uDff_7J0KD5mKrp0Vvzr7lt3OU09vwQwhkpOPPYv2Y/edit?usp=sharing"",""งบพรบ!FP20"")"),0)</f>
        <v>0</v>
      </c>
      <c r="M521" s="568">
        <f ca="1">IFERROR(__xludf.DUMMYFUNCTION("IMPORTRANGE(""https://docs.google.com/spreadsheets/d/1-uDff_7J0KD5mKrp0Vvzr7lt3OU09vwQwhkpOPPYv2Y/edit?usp=sharing"",""งบพรบ!FS20"")"),0)</f>
        <v>0</v>
      </c>
      <c r="N521" s="568">
        <f ca="1">IFERROR(__xludf.DUMMYFUNCTION("IMPORTRANGE(""https://docs.google.com/spreadsheets/d/1-uDff_7J0KD5mKrp0Vvzr7lt3OU09vwQwhkpOPPYv2Y/edit?usp=sharing"",""งบพรบ!FU20"")"),0)</f>
        <v>0</v>
      </c>
      <c r="O521" s="568">
        <f t="shared" ca="1" si="316"/>
        <v>0</v>
      </c>
      <c r="P521" s="568">
        <f t="shared" ca="1" si="317"/>
        <v>0</v>
      </c>
      <c r="Q521" s="568">
        <v>0</v>
      </c>
      <c r="R521" s="568">
        <v>0</v>
      </c>
      <c r="S521" s="568">
        <v>0</v>
      </c>
      <c r="T521" s="568">
        <f t="shared" si="319"/>
        <v>0</v>
      </c>
      <c r="U521" s="568">
        <f t="shared" si="320"/>
        <v>0</v>
      </c>
    </row>
    <row r="522" spans="1:21" ht="19.5" hidden="1" x14ac:dyDescent="0.3">
      <c r="A522" s="687"/>
      <c r="B522" s="688"/>
      <c r="C522" s="797" t="s">
        <v>18</v>
      </c>
      <c r="D522" s="801" t="s">
        <v>38</v>
      </c>
      <c r="E522" s="690"/>
      <c r="F522" s="690"/>
      <c r="G522" s="691"/>
      <c r="H522" s="692"/>
      <c r="I522" s="683"/>
      <c r="J522" s="565"/>
      <c r="K522" s="566"/>
      <c r="L522" s="574"/>
      <c r="M522" s="566"/>
      <c r="N522" s="566"/>
      <c r="O522" s="684"/>
      <c r="P522" s="684"/>
      <c r="Q522" s="566"/>
      <c r="R522" s="566"/>
      <c r="S522" s="566"/>
      <c r="T522" s="684"/>
      <c r="U522" s="684"/>
    </row>
    <row r="523" spans="1:21" ht="18.75" hidden="1" x14ac:dyDescent="0.25">
      <c r="A523" s="764"/>
      <c r="B523" s="561"/>
      <c r="C523" s="718"/>
      <c r="D523" s="726" t="s">
        <v>208</v>
      </c>
      <c r="E523" s="688"/>
      <c r="F523" s="561"/>
      <c r="G523" s="563"/>
      <c r="H523" s="768" t="s">
        <v>11</v>
      </c>
      <c r="I523" s="735">
        <v>0</v>
      </c>
      <c r="J523" s="736">
        <v>0</v>
      </c>
      <c r="K523" s="572">
        <f t="shared" ref="K523:K524" si="327">IF(I523&gt;0,J523*100/I523,0)</f>
        <v>0</v>
      </c>
      <c r="L523" s="574"/>
      <c r="M523" s="566"/>
      <c r="N523" s="566"/>
      <c r="O523" s="566"/>
      <c r="P523" s="566"/>
      <c r="Q523" s="566"/>
      <c r="R523" s="566"/>
      <c r="S523" s="566"/>
      <c r="T523" s="566"/>
      <c r="U523" s="566"/>
    </row>
    <row r="524" spans="1:21" ht="18.75" hidden="1" x14ac:dyDescent="0.25">
      <c r="A524" s="984"/>
      <c r="B524" s="513"/>
      <c r="C524" s="514"/>
      <c r="D524" s="1018" t="s">
        <v>209</v>
      </c>
      <c r="E524" s="864"/>
      <c r="F524" s="513"/>
      <c r="G524" s="577"/>
      <c r="H524" s="1019" t="s">
        <v>61</v>
      </c>
      <c r="I524" s="740">
        <v>0</v>
      </c>
      <c r="J524" s="741">
        <v>0</v>
      </c>
      <c r="K524" s="742">
        <f t="shared" si="327"/>
        <v>0</v>
      </c>
      <c r="L524" s="574"/>
      <c r="M524" s="566"/>
      <c r="N524" s="566"/>
      <c r="O524" s="566"/>
      <c r="P524" s="566"/>
      <c r="Q524" s="566"/>
      <c r="R524" s="566"/>
      <c r="S524" s="566"/>
      <c r="T524" s="566"/>
      <c r="U524" s="566"/>
    </row>
    <row r="525" spans="1:21" ht="12.75" hidden="1" x14ac:dyDescent="0.2">
      <c r="A525" s="1020"/>
      <c r="B525" s="1021"/>
      <c r="C525" s="1021"/>
      <c r="D525" s="1022"/>
      <c r="E525" s="1022"/>
      <c r="F525" s="1022"/>
      <c r="G525" s="1023"/>
      <c r="H525" s="1024"/>
      <c r="I525" s="1025"/>
      <c r="J525" s="1025"/>
      <c r="K525" s="1026"/>
      <c r="L525" s="965"/>
      <c r="M525" s="964"/>
      <c r="N525" s="964"/>
      <c r="O525" s="964"/>
      <c r="P525" s="964"/>
      <c r="Q525" s="964"/>
      <c r="R525" s="964"/>
      <c r="S525" s="964"/>
      <c r="T525" s="964"/>
      <c r="U525" s="964"/>
    </row>
    <row r="526" spans="1:21" ht="12.75" hidden="1" x14ac:dyDescent="0.2">
      <c r="A526" s="973"/>
      <c r="B526" s="961"/>
      <c r="C526" s="961"/>
      <c r="D526" s="974"/>
      <c r="E526" s="974"/>
      <c r="F526" s="974"/>
      <c r="G526" s="975"/>
      <c r="H526" s="962"/>
      <c r="I526" s="963"/>
      <c r="J526" s="963"/>
      <c r="K526" s="964"/>
      <c r="L526" s="965"/>
      <c r="M526" s="964"/>
      <c r="N526" s="964"/>
      <c r="O526" s="964"/>
      <c r="P526" s="964"/>
      <c r="Q526" s="964"/>
      <c r="R526" s="964"/>
      <c r="S526" s="964"/>
      <c r="T526" s="964"/>
      <c r="U526" s="964"/>
    </row>
    <row r="527" spans="1:21" ht="12.75" hidden="1" x14ac:dyDescent="0.2">
      <c r="A527" s="973"/>
      <c r="B527" s="961"/>
      <c r="C527" s="961"/>
      <c r="D527" s="974"/>
      <c r="E527" s="974"/>
      <c r="F527" s="974"/>
      <c r="G527" s="975"/>
      <c r="H527" s="962"/>
      <c r="I527" s="963"/>
      <c r="J527" s="963"/>
      <c r="K527" s="964"/>
      <c r="L527" s="965"/>
      <c r="M527" s="964"/>
      <c r="N527" s="964"/>
      <c r="O527" s="964"/>
      <c r="P527" s="964"/>
      <c r="Q527" s="964"/>
      <c r="R527" s="964"/>
      <c r="S527" s="964"/>
      <c r="T527" s="964"/>
      <c r="U527" s="964"/>
    </row>
    <row r="528" spans="1:21" ht="12.75" hidden="1" x14ac:dyDescent="0.2">
      <c r="A528" s="973"/>
      <c r="B528" s="961"/>
      <c r="C528" s="961"/>
      <c r="D528" s="974"/>
      <c r="E528" s="974"/>
      <c r="F528" s="974"/>
      <c r="G528" s="975"/>
      <c r="H528" s="962"/>
      <c r="I528" s="963"/>
      <c r="J528" s="963"/>
      <c r="K528" s="964"/>
      <c r="L528" s="965"/>
      <c r="M528" s="964"/>
      <c r="N528" s="964"/>
      <c r="O528" s="964"/>
      <c r="P528" s="964"/>
      <c r="Q528" s="964"/>
      <c r="R528" s="964"/>
      <c r="S528" s="964"/>
      <c r="T528" s="964"/>
      <c r="U528" s="964"/>
    </row>
    <row r="529" spans="1:21" ht="12.75" hidden="1" x14ac:dyDescent="0.2">
      <c r="A529" s="973"/>
      <c r="B529" s="961"/>
      <c r="C529" s="961"/>
      <c r="D529" s="974"/>
      <c r="E529" s="974"/>
      <c r="F529" s="974"/>
      <c r="G529" s="975"/>
      <c r="H529" s="962"/>
      <c r="I529" s="963"/>
      <c r="J529" s="963"/>
      <c r="K529" s="964"/>
      <c r="L529" s="965"/>
      <c r="M529" s="964"/>
      <c r="N529" s="964"/>
      <c r="O529" s="964"/>
      <c r="P529" s="964"/>
      <c r="Q529" s="964"/>
      <c r="R529" s="964"/>
      <c r="S529" s="964"/>
      <c r="T529" s="964"/>
      <c r="U529" s="964"/>
    </row>
    <row r="530" spans="1:21" ht="12.75" hidden="1" x14ac:dyDescent="0.2">
      <c r="A530" s="973"/>
      <c r="B530" s="961"/>
      <c r="C530" s="961"/>
      <c r="D530" s="974"/>
      <c r="E530" s="974"/>
      <c r="F530" s="974"/>
      <c r="G530" s="975"/>
      <c r="H530" s="962"/>
      <c r="I530" s="963"/>
      <c r="J530" s="963"/>
      <c r="K530" s="964"/>
      <c r="L530" s="965"/>
      <c r="M530" s="964"/>
      <c r="N530" s="964"/>
      <c r="O530" s="964"/>
      <c r="P530" s="964"/>
      <c r="Q530" s="964"/>
      <c r="R530" s="964"/>
      <c r="S530" s="964"/>
      <c r="T530" s="964"/>
      <c r="U530" s="964"/>
    </row>
    <row r="531" spans="1:21" ht="12.75" hidden="1" x14ac:dyDescent="0.2">
      <c r="A531" s="973"/>
      <c r="B531" s="961"/>
      <c r="C531" s="961"/>
      <c r="D531" s="974"/>
      <c r="E531" s="974"/>
      <c r="F531" s="974"/>
      <c r="G531" s="975"/>
      <c r="H531" s="962"/>
      <c r="I531" s="963"/>
      <c r="J531" s="963"/>
      <c r="K531" s="964"/>
      <c r="L531" s="965"/>
      <c r="M531" s="964"/>
      <c r="N531" s="964"/>
      <c r="O531" s="964"/>
      <c r="P531" s="964"/>
      <c r="Q531" s="964"/>
      <c r="R531" s="964"/>
      <c r="S531" s="964"/>
      <c r="T531" s="964"/>
      <c r="U531" s="964"/>
    </row>
    <row r="532" spans="1:21" ht="12.75" hidden="1" x14ac:dyDescent="0.2">
      <c r="A532" s="1027"/>
      <c r="B532" s="966"/>
      <c r="C532" s="966"/>
      <c r="D532" s="1028"/>
      <c r="E532" s="1028"/>
      <c r="F532" s="1028"/>
      <c r="G532" s="1029"/>
      <c r="H532" s="967"/>
      <c r="I532" s="968"/>
      <c r="J532" s="968"/>
      <c r="K532" s="969"/>
      <c r="L532" s="970"/>
      <c r="M532" s="969"/>
      <c r="N532" s="969"/>
      <c r="O532" s="969"/>
      <c r="P532" s="969"/>
      <c r="Q532" s="969"/>
      <c r="R532" s="969"/>
      <c r="S532" s="969"/>
      <c r="T532" s="969"/>
      <c r="U532" s="969"/>
    </row>
    <row r="533" spans="1:21" ht="19.5" hidden="1" x14ac:dyDescent="0.3">
      <c r="A533" s="1006"/>
      <c r="B533" s="1030" t="s">
        <v>210</v>
      </c>
      <c r="C533" s="1008"/>
      <c r="D533" s="1009"/>
      <c r="E533" s="1009"/>
      <c r="F533" s="1009"/>
      <c r="G533" s="1010"/>
      <c r="H533" s="1031" t="s">
        <v>61</v>
      </c>
      <c r="I533" s="1032">
        <f t="shared" ref="I533:J533" si="328">I545</f>
        <v>0</v>
      </c>
      <c r="J533" s="1032">
        <f t="shared" si="328"/>
        <v>0</v>
      </c>
      <c r="K533" s="1033">
        <f>IF(I533&gt;0,J533*100/I533,0)</f>
        <v>0</v>
      </c>
      <c r="L533" s="1014"/>
      <c r="M533" s="1015"/>
      <c r="N533" s="1015"/>
      <c r="O533" s="1015"/>
      <c r="P533" s="1015"/>
      <c r="Q533" s="1015"/>
      <c r="R533" s="1015"/>
      <c r="S533" s="1015"/>
      <c r="T533" s="1015"/>
      <c r="U533" s="1015"/>
    </row>
    <row r="534" spans="1:21" ht="19.5" hidden="1" x14ac:dyDescent="0.3">
      <c r="A534" s="674"/>
      <c r="B534" s="561"/>
      <c r="C534" s="675" t="s">
        <v>18</v>
      </c>
      <c r="D534" s="676" t="s">
        <v>19</v>
      </c>
      <c r="E534" s="561"/>
      <c r="F534" s="561"/>
      <c r="G534" s="563"/>
      <c r="H534" s="677" t="s">
        <v>14</v>
      </c>
      <c r="I534" s="565"/>
      <c r="J534" s="565"/>
      <c r="K534" s="566"/>
      <c r="L534" s="678">
        <f t="shared" ref="L534:N534" ca="1" si="329">L535+L536</f>
        <v>0</v>
      </c>
      <c r="M534" s="679">
        <f t="shared" ca="1" si="329"/>
        <v>0</v>
      </c>
      <c r="N534" s="679">
        <f t="shared" ca="1" si="329"/>
        <v>0</v>
      </c>
      <c r="O534" s="679">
        <f t="shared" ref="O534:O542" ca="1" si="330">IF(L534&gt;0,N534*100/L534,0)</f>
        <v>0</v>
      </c>
      <c r="P534" s="679">
        <f t="shared" ref="P534:P542" ca="1" si="331">IF(M534&gt;0,N534*100/M534,0)</f>
        <v>0</v>
      </c>
      <c r="Q534" s="679">
        <f t="shared" ref="Q534:S534" si="332">Q535+Q536</f>
        <v>0</v>
      </c>
      <c r="R534" s="679">
        <f t="shared" si="332"/>
        <v>0</v>
      </c>
      <c r="S534" s="679">
        <f t="shared" si="332"/>
        <v>0</v>
      </c>
      <c r="T534" s="679">
        <f t="shared" ref="T534:T542" si="333">IF(Q534&gt;0,S534*100/Q534,0)</f>
        <v>0</v>
      </c>
      <c r="U534" s="679">
        <f t="shared" ref="U534:U542" si="334">IF(R534&gt;0,S534*100/R534,0)</f>
        <v>0</v>
      </c>
    </row>
    <row r="535" spans="1:21" ht="18.75" hidden="1" x14ac:dyDescent="0.25">
      <c r="A535" s="674"/>
      <c r="B535" s="718"/>
      <c r="C535" s="561"/>
      <c r="D535" s="561"/>
      <c r="E535" s="569" t="s">
        <v>20</v>
      </c>
      <c r="F535" s="561"/>
      <c r="G535" s="563"/>
      <c r="H535" s="680" t="s">
        <v>14</v>
      </c>
      <c r="I535" s="565"/>
      <c r="J535" s="565"/>
      <c r="K535" s="566"/>
      <c r="L535" s="571">
        <f t="shared" ref="L535:N536" si="335">L538+L541</f>
        <v>0</v>
      </c>
      <c r="M535" s="572">
        <f t="shared" si="335"/>
        <v>0</v>
      </c>
      <c r="N535" s="572">
        <f t="shared" si="335"/>
        <v>0</v>
      </c>
      <c r="O535" s="572">
        <f t="shared" si="330"/>
        <v>0</v>
      </c>
      <c r="P535" s="572">
        <f t="shared" si="331"/>
        <v>0</v>
      </c>
      <c r="Q535" s="572">
        <f t="shared" ref="Q535:S536" si="336">Q538+Q541</f>
        <v>0</v>
      </c>
      <c r="R535" s="572">
        <f t="shared" si="336"/>
        <v>0</v>
      </c>
      <c r="S535" s="572">
        <f t="shared" si="336"/>
        <v>0</v>
      </c>
      <c r="T535" s="572">
        <f t="shared" si="333"/>
        <v>0</v>
      </c>
      <c r="U535" s="572">
        <f t="shared" si="334"/>
        <v>0</v>
      </c>
    </row>
    <row r="536" spans="1:21" ht="18.75" hidden="1" x14ac:dyDescent="0.25">
      <c r="A536" s="674"/>
      <c r="B536" s="561"/>
      <c r="C536" s="718"/>
      <c r="D536" s="561"/>
      <c r="E536" s="765" t="s">
        <v>21</v>
      </c>
      <c r="F536" s="561"/>
      <c r="G536" s="563"/>
      <c r="H536" s="681" t="s">
        <v>14</v>
      </c>
      <c r="I536" s="565"/>
      <c r="J536" s="565"/>
      <c r="K536" s="566"/>
      <c r="L536" s="567">
        <f t="shared" ca="1" si="335"/>
        <v>0</v>
      </c>
      <c r="M536" s="568">
        <f t="shared" ca="1" si="335"/>
        <v>0</v>
      </c>
      <c r="N536" s="568">
        <f t="shared" ca="1" si="335"/>
        <v>0</v>
      </c>
      <c r="O536" s="568">
        <f t="shared" ca="1" si="330"/>
        <v>0</v>
      </c>
      <c r="P536" s="568">
        <f t="shared" ca="1" si="331"/>
        <v>0</v>
      </c>
      <c r="Q536" s="568">
        <f t="shared" si="336"/>
        <v>0</v>
      </c>
      <c r="R536" s="568">
        <f t="shared" si="336"/>
        <v>0</v>
      </c>
      <c r="S536" s="568">
        <f t="shared" si="336"/>
        <v>0</v>
      </c>
      <c r="T536" s="568">
        <f t="shared" si="333"/>
        <v>0</v>
      </c>
      <c r="U536" s="568">
        <f t="shared" si="334"/>
        <v>0</v>
      </c>
    </row>
    <row r="537" spans="1:21" ht="18.75" hidden="1" x14ac:dyDescent="0.25">
      <c r="A537" s="674"/>
      <c r="B537" s="561"/>
      <c r="C537" s="718"/>
      <c r="D537" s="562" t="s">
        <v>22</v>
      </c>
      <c r="E537" s="718"/>
      <c r="F537" s="561"/>
      <c r="G537" s="563"/>
      <c r="H537" s="682" t="s">
        <v>14</v>
      </c>
      <c r="I537" s="683"/>
      <c r="J537" s="683"/>
      <c r="K537" s="684"/>
      <c r="L537" s="567">
        <f t="shared" ref="L537:N537" ca="1" si="337">L538+L539</f>
        <v>0</v>
      </c>
      <c r="M537" s="568">
        <f t="shared" ca="1" si="337"/>
        <v>0</v>
      </c>
      <c r="N537" s="568">
        <f t="shared" ca="1" si="337"/>
        <v>0</v>
      </c>
      <c r="O537" s="568">
        <f t="shared" ca="1" si="330"/>
        <v>0</v>
      </c>
      <c r="P537" s="568">
        <f t="shared" ca="1" si="331"/>
        <v>0</v>
      </c>
      <c r="Q537" s="568">
        <f t="shared" ref="Q537:S537" si="338">Q538+Q539</f>
        <v>0</v>
      </c>
      <c r="R537" s="568">
        <f t="shared" si="338"/>
        <v>0</v>
      </c>
      <c r="S537" s="568">
        <f t="shared" si="338"/>
        <v>0</v>
      </c>
      <c r="T537" s="568">
        <f t="shared" si="333"/>
        <v>0</v>
      </c>
      <c r="U537" s="568">
        <f t="shared" si="334"/>
        <v>0</v>
      </c>
    </row>
    <row r="538" spans="1:21" ht="18.75" hidden="1" x14ac:dyDescent="0.25">
      <c r="A538" s="674"/>
      <c r="B538" s="561"/>
      <c r="C538" s="561"/>
      <c r="D538" s="561"/>
      <c r="E538" s="569" t="s">
        <v>36</v>
      </c>
      <c r="F538" s="561"/>
      <c r="G538" s="563"/>
      <c r="H538" s="685" t="s">
        <v>14</v>
      </c>
      <c r="I538" s="683"/>
      <c r="J538" s="683"/>
      <c r="K538" s="684"/>
      <c r="L538" s="571">
        <v>0</v>
      </c>
      <c r="M538" s="572">
        <v>0</v>
      </c>
      <c r="N538" s="572">
        <v>0</v>
      </c>
      <c r="O538" s="572">
        <f t="shared" si="330"/>
        <v>0</v>
      </c>
      <c r="P538" s="572">
        <f t="shared" si="331"/>
        <v>0</v>
      </c>
      <c r="Q538" s="572">
        <v>0</v>
      </c>
      <c r="R538" s="572">
        <v>0</v>
      </c>
      <c r="S538" s="572">
        <v>0</v>
      </c>
      <c r="T538" s="572">
        <f t="shared" si="333"/>
        <v>0</v>
      </c>
      <c r="U538" s="572">
        <f t="shared" si="334"/>
        <v>0</v>
      </c>
    </row>
    <row r="539" spans="1:21" ht="18.75" hidden="1" x14ac:dyDescent="0.25">
      <c r="A539" s="674"/>
      <c r="B539" s="561"/>
      <c r="C539" s="561"/>
      <c r="D539" s="561"/>
      <c r="E539" s="573" t="s">
        <v>37</v>
      </c>
      <c r="F539" s="561"/>
      <c r="G539" s="563"/>
      <c r="H539" s="682" t="s">
        <v>14</v>
      </c>
      <c r="I539" s="683"/>
      <c r="J539" s="683"/>
      <c r="K539" s="684"/>
      <c r="L539" s="567">
        <f ca="1">IFERROR(__xludf.DUMMYFUNCTION("IMPORTRANGE(""https://docs.google.com/spreadsheets/d/1-uDff_7J0KD5mKrp0Vvzr7lt3OU09vwQwhkpOPPYv2Y/edit?usp=sharing"",""งบพรบ!FW20"")"),0)</f>
        <v>0</v>
      </c>
      <c r="M539" s="568">
        <f ca="1">IFERROR(__xludf.DUMMYFUNCTION("IMPORTRANGE(""https://docs.google.com/spreadsheets/d/1-uDff_7J0KD5mKrp0Vvzr7lt3OU09vwQwhkpOPPYv2Y/edit?usp=sharing"",""งบพรบ!GB20"")"),0)</f>
        <v>0</v>
      </c>
      <c r="N539" s="568">
        <f ca="1">IFERROR(__xludf.DUMMYFUNCTION("IMPORTRANGE(""https://docs.google.com/spreadsheets/d/1-uDff_7J0KD5mKrp0Vvzr7lt3OU09vwQwhkpOPPYv2Y/edit?usp=sharing"",""งบพรบ!GD20"")"),0)</f>
        <v>0</v>
      </c>
      <c r="O539" s="568">
        <f t="shared" ca="1" si="330"/>
        <v>0</v>
      </c>
      <c r="P539" s="568">
        <f t="shared" ca="1" si="331"/>
        <v>0</v>
      </c>
      <c r="Q539" s="568">
        <v>0</v>
      </c>
      <c r="R539" s="568">
        <v>0</v>
      </c>
      <c r="S539" s="568">
        <v>0</v>
      </c>
      <c r="T539" s="568">
        <f t="shared" si="333"/>
        <v>0</v>
      </c>
      <c r="U539" s="568">
        <f t="shared" si="334"/>
        <v>0</v>
      </c>
    </row>
    <row r="540" spans="1:21" ht="18.75" hidden="1" x14ac:dyDescent="0.25">
      <c r="A540" s="674"/>
      <c r="B540" s="561"/>
      <c r="C540" s="561"/>
      <c r="D540" s="562" t="s">
        <v>23</v>
      </c>
      <c r="E540" s="561"/>
      <c r="F540" s="561"/>
      <c r="G540" s="563"/>
      <c r="H540" s="686" t="s">
        <v>14</v>
      </c>
      <c r="I540" s="683"/>
      <c r="J540" s="683"/>
      <c r="K540" s="684"/>
      <c r="L540" s="567">
        <f t="shared" ref="L540:N540" ca="1" si="339">L541+L542</f>
        <v>0</v>
      </c>
      <c r="M540" s="568">
        <f t="shared" ca="1" si="339"/>
        <v>0</v>
      </c>
      <c r="N540" s="568">
        <f t="shared" ca="1" si="339"/>
        <v>0</v>
      </c>
      <c r="O540" s="568">
        <f t="shared" ca="1" si="330"/>
        <v>0</v>
      </c>
      <c r="P540" s="568">
        <f t="shared" ca="1" si="331"/>
        <v>0</v>
      </c>
      <c r="Q540" s="568">
        <f t="shared" ref="Q540:S540" si="340">Q541+Q542</f>
        <v>0</v>
      </c>
      <c r="R540" s="568">
        <f t="shared" si="340"/>
        <v>0</v>
      </c>
      <c r="S540" s="568">
        <f t="shared" si="340"/>
        <v>0</v>
      </c>
      <c r="T540" s="568">
        <f t="shared" si="333"/>
        <v>0</v>
      </c>
      <c r="U540" s="568">
        <f t="shared" si="334"/>
        <v>0</v>
      </c>
    </row>
    <row r="541" spans="1:21" ht="18.75" hidden="1" x14ac:dyDescent="0.25">
      <c r="A541" s="674"/>
      <c r="B541" s="561"/>
      <c r="C541" s="561"/>
      <c r="D541" s="561"/>
      <c r="E541" s="569" t="s">
        <v>20</v>
      </c>
      <c r="F541" s="561"/>
      <c r="G541" s="563"/>
      <c r="H541" s="685" t="s">
        <v>14</v>
      </c>
      <c r="I541" s="683"/>
      <c r="J541" s="683"/>
      <c r="K541" s="684"/>
      <c r="L541" s="571">
        <v>0</v>
      </c>
      <c r="M541" s="572">
        <v>0</v>
      </c>
      <c r="N541" s="572">
        <v>0</v>
      </c>
      <c r="O541" s="572">
        <f t="shared" si="330"/>
        <v>0</v>
      </c>
      <c r="P541" s="572">
        <f t="shared" si="331"/>
        <v>0</v>
      </c>
      <c r="Q541" s="572">
        <v>0</v>
      </c>
      <c r="R541" s="572">
        <v>0</v>
      </c>
      <c r="S541" s="572">
        <v>0</v>
      </c>
      <c r="T541" s="572">
        <f t="shared" si="333"/>
        <v>0</v>
      </c>
      <c r="U541" s="572">
        <f t="shared" si="334"/>
        <v>0</v>
      </c>
    </row>
    <row r="542" spans="1:21" ht="18.75" hidden="1" x14ac:dyDescent="0.25">
      <c r="A542" s="674"/>
      <c r="B542" s="561"/>
      <c r="C542" s="561"/>
      <c r="D542" s="561"/>
      <c r="E542" s="573" t="s">
        <v>21</v>
      </c>
      <c r="F542" s="561"/>
      <c r="G542" s="563"/>
      <c r="H542" s="686" t="s">
        <v>14</v>
      </c>
      <c r="I542" s="683"/>
      <c r="J542" s="683"/>
      <c r="K542" s="684"/>
      <c r="L542" s="567">
        <f ca="1">IFERROR(__xludf.DUMMYFUNCTION("IMPORTRANGE(""https://docs.google.com/spreadsheets/d/1-uDff_7J0KD5mKrp0Vvzr7lt3OU09vwQwhkpOPPYv2Y/edit?usp=sharing"",""งบพรบ!FZ20"")"),0)</f>
        <v>0</v>
      </c>
      <c r="M542" s="568">
        <f ca="1">IFERROR(__xludf.DUMMYFUNCTION("IMPORTRANGE(""https://docs.google.com/spreadsheets/d/1-uDff_7J0KD5mKrp0Vvzr7lt3OU09vwQwhkpOPPYv2Y/edit?usp=sharing"",""งบพรบ!GC20"")"),0)</f>
        <v>0</v>
      </c>
      <c r="N542" s="568">
        <f ca="1">IFERROR(__xludf.DUMMYFUNCTION("IMPORTRANGE(""https://docs.google.com/spreadsheets/d/1-uDff_7J0KD5mKrp0Vvzr7lt3OU09vwQwhkpOPPYv2Y/edit?usp=sharing"",""งบพรบ!GE20"")"),0)</f>
        <v>0</v>
      </c>
      <c r="O542" s="568">
        <f t="shared" ca="1" si="330"/>
        <v>0</v>
      </c>
      <c r="P542" s="568">
        <f t="shared" ca="1" si="331"/>
        <v>0</v>
      </c>
      <c r="Q542" s="568">
        <v>0</v>
      </c>
      <c r="R542" s="568">
        <v>0</v>
      </c>
      <c r="S542" s="568">
        <v>0</v>
      </c>
      <c r="T542" s="568">
        <f t="shared" si="333"/>
        <v>0</v>
      </c>
      <c r="U542" s="568">
        <f t="shared" si="334"/>
        <v>0</v>
      </c>
    </row>
    <row r="543" spans="1:21" ht="19.5" hidden="1" x14ac:dyDescent="0.3">
      <c r="A543" s="687"/>
      <c r="B543" s="688"/>
      <c r="C543" s="1034" t="s">
        <v>18</v>
      </c>
      <c r="D543" s="689" t="s">
        <v>38</v>
      </c>
      <c r="E543" s="690"/>
      <c r="F543" s="690"/>
      <c r="G543" s="691"/>
      <c r="H543" s="692"/>
      <c r="I543" s="683"/>
      <c r="J543" s="565"/>
      <c r="K543" s="566"/>
      <c r="L543" s="574"/>
      <c r="M543" s="566"/>
      <c r="N543" s="566"/>
      <c r="O543" s="684"/>
      <c r="P543" s="684"/>
      <c r="Q543" s="566"/>
      <c r="R543" s="566"/>
      <c r="S543" s="566"/>
      <c r="T543" s="684"/>
      <c r="U543" s="684"/>
    </row>
    <row r="544" spans="1:21" ht="12.75" hidden="1" x14ac:dyDescent="0.2">
      <c r="A544" s="973"/>
      <c r="B544" s="974"/>
      <c r="C544" s="961"/>
      <c r="D544" s="974"/>
      <c r="E544" s="961"/>
      <c r="F544" s="974"/>
      <c r="G544" s="975"/>
      <c r="H544" s="975"/>
      <c r="I544" s="963"/>
      <c r="J544" s="963"/>
      <c r="K544" s="964"/>
      <c r="L544" s="965"/>
      <c r="M544" s="964"/>
      <c r="N544" s="964"/>
      <c r="O544" s="964"/>
      <c r="P544" s="964"/>
      <c r="Q544" s="964"/>
      <c r="R544" s="964"/>
      <c r="S544" s="964"/>
      <c r="T544" s="964"/>
      <c r="U544" s="964"/>
    </row>
    <row r="545" spans="1:21" ht="12.75" hidden="1" x14ac:dyDescent="0.2">
      <c r="A545" s="973"/>
      <c r="B545" s="974"/>
      <c r="C545" s="961"/>
      <c r="D545" s="974"/>
      <c r="E545" s="961"/>
      <c r="F545" s="974"/>
      <c r="G545" s="975"/>
      <c r="H545" s="975"/>
      <c r="I545" s="963"/>
      <c r="J545" s="963"/>
      <c r="K545" s="964"/>
      <c r="L545" s="965"/>
      <c r="M545" s="964"/>
      <c r="N545" s="964"/>
      <c r="O545" s="964"/>
      <c r="P545" s="964"/>
      <c r="Q545" s="964"/>
      <c r="R545" s="964"/>
      <c r="S545" s="964"/>
      <c r="T545" s="964"/>
      <c r="U545" s="964"/>
    </row>
    <row r="546" spans="1:21" ht="12.75" hidden="1" x14ac:dyDescent="0.2">
      <c r="A546" s="973"/>
      <c r="B546" s="961"/>
      <c r="C546" s="961"/>
      <c r="D546" s="974"/>
      <c r="E546" s="974"/>
      <c r="F546" s="974"/>
      <c r="G546" s="975"/>
      <c r="H546" s="962"/>
      <c r="I546" s="963"/>
      <c r="J546" s="963"/>
      <c r="K546" s="964"/>
      <c r="L546" s="965"/>
      <c r="M546" s="964"/>
      <c r="N546" s="964"/>
      <c r="O546" s="964"/>
      <c r="P546" s="964"/>
      <c r="Q546" s="964"/>
      <c r="R546" s="964"/>
      <c r="S546" s="964"/>
      <c r="T546" s="964"/>
      <c r="U546" s="964"/>
    </row>
    <row r="547" spans="1:21" ht="12.75" hidden="1" x14ac:dyDescent="0.2">
      <c r="A547" s="973"/>
      <c r="B547" s="961"/>
      <c r="C547" s="961"/>
      <c r="D547" s="974"/>
      <c r="E547" s="974"/>
      <c r="F547" s="974"/>
      <c r="G547" s="975"/>
      <c r="H547" s="962"/>
      <c r="I547" s="963"/>
      <c r="J547" s="963"/>
      <c r="K547" s="964"/>
      <c r="L547" s="965"/>
      <c r="M547" s="964"/>
      <c r="N547" s="964"/>
      <c r="O547" s="964"/>
      <c r="P547" s="964"/>
      <c r="Q547" s="964"/>
      <c r="R547" s="964"/>
      <c r="S547" s="964"/>
      <c r="T547" s="964"/>
      <c r="U547" s="964"/>
    </row>
    <row r="548" spans="1:21" ht="12.75" hidden="1" x14ac:dyDescent="0.2">
      <c r="A548" s="973"/>
      <c r="B548" s="961"/>
      <c r="C548" s="961"/>
      <c r="D548" s="974"/>
      <c r="E548" s="974"/>
      <c r="F548" s="974"/>
      <c r="G548" s="975"/>
      <c r="H548" s="962"/>
      <c r="I548" s="963"/>
      <c r="J548" s="963"/>
      <c r="K548" s="964"/>
      <c r="L548" s="965"/>
      <c r="M548" s="964"/>
      <c r="N548" s="964"/>
      <c r="O548" s="964"/>
      <c r="P548" s="964"/>
      <c r="Q548" s="964"/>
      <c r="R548" s="964"/>
      <c r="S548" s="964"/>
      <c r="T548" s="964"/>
      <c r="U548" s="964"/>
    </row>
    <row r="549" spans="1:21" ht="12.75" hidden="1" x14ac:dyDescent="0.2">
      <c r="A549" s="973"/>
      <c r="B549" s="961"/>
      <c r="C549" s="961"/>
      <c r="D549" s="974"/>
      <c r="E549" s="974"/>
      <c r="F549" s="974"/>
      <c r="G549" s="975"/>
      <c r="H549" s="962"/>
      <c r="I549" s="963"/>
      <c r="J549" s="963"/>
      <c r="K549" s="964"/>
      <c r="L549" s="965"/>
      <c r="M549" s="964"/>
      <c r="N549" s="964"/>
      <c r="O549" s="964"/>
      <c r="P549" s="964"/>
      <c r="Q549" s="964"/>
      <c r="R549" s="964"/>
      <c r="S549" s="964"/>
      <c r="T549" s="964"/>
      <c r="U549" s="964"/>
    </row>
    <row r="550" spans="1:21" ht="12.75" hidden="1" x14ac:dyDescent="0.2">
      <c r="A550" s="973"/>
      <c r="B550" s="961"/>
      <c r="C550" s="961"/>
      <c r="D550" s="974"/>
      <c r="E550" s="974"/>
      <c r="F550" s="974"/>
      <c r="G550" s="975"/>
      <c r="H550" s="962"/>
      <c r="I550" s="963"/>
      <c r="J550" s="963"/>
      <c r="K550" s="964"/>
      <c r="L550" s="965"/>
      <c r="M550" s="964"/>
      <c r="N550" s="964"/>
      <c r="O550" s="964"/>
      <c r="P550" s="964"/>
      <c r="Q550" s="964"/>
      <c r="R550" s="964"/>
      <c r="S550" s="964"/>
      <c r="T550" s="964"/>
      <c r="U550" s="964"/>
    </row>
    <row r="551" spans="1:21" ht="12.75" hidden="1" x14ac:dyDescent="0.2">
      <c r="A551" s="973"/>
      <c r="B551" s="961"/>
      <c r="C551" s="961"/>
      <c r="D551" s="974"/>
      <c r="E551" s="974"/>
      <c r="F551" s="974"/>
      <c r="G551" s="975"/>
      <c r="H551" s="962"/>
      <c r="I551" s="963"/>
      <c r="J551" s="963"/>
      <c r="K551" s="964"/>
      <c r="L551" s="965"/>
      <c r="M551" s="964"/>
      <c r="N551" s="964"/>
      <c r="O551" s="964"/>
      <c r="P551" s="964"/>
      <c r="Q551" s="964"/>
      <c r="R551" s="964"/>
      <c r="S551" s="964"/>
      <c r="T551" s="964"/>
      <c r="U551" s="964"/>
    </row>
    <row r="552" spans="1:21" ht="12.75" hidden="1" x14ac:dyDescent="0.2">
      <c r="A552" s="973"/>
      <c r="B552" s="961"/>
      <c r="C552" s="961"/>
      <c r="D552" s="974"/>
      <c r="E552" s="974"/>
      <c r="F552" s="974"/>
      <c r="G552" s="975"/>
      <c r="H552" s="962"/>
      <c r="I552" s="963"/>
      <c r="J552" s="963"/>
      <c r="K552" s="964"/>
      <c r="L552" s="965"/>
      <c r="M552" s="964"/>
      <c r="N552" s="964"/>
      <c r="O552" s="964"/>
      <c r="P552" s="964"/>
      <c r="Q552" s="964"/>
      <c r="R552" s="964"/>
      <c r="S552" s="964"/>
      <c r="T552" s="964"/>
      <c r="U552" s="964"/>
    </row>
    <row r="553" spans="1:21" ht="12.75" hidden="1" x14ac:dyDescent="0.2">
      <c r="A553" s="1027"/>
      <c r="B553" s="966"/>
      <c r="C553" s="966"/>
      <c r="D553" s="1028"/>
      <c r="E553" s="1028"/>
      <c r="F553" s="1028"/>
      <c r="G553" s="1029"/>
      <c r="H553" s="967"/>
      <c r="I553" s="968"/>
      <c r="J553" s="968"/>
      <c r="K553" s="969"/>
      <c r="L553" s="970"/>
      <c r="M553" s="969"/>
      <c r="N553" s="969"/>
      <c r="O553" s="969"/>
      <c r="P553" s="969"/>
      <c r="Q553" s="969"/>
      <c r="R553" s="969"/>
      <c r="S553" s="969"/>
      <c r="T553" s="969"/>
      <c r="U553" s="969"/>
    </row>
    <row r="554" spans="1:21" ht="19.5" x14ac:dyDescent="0.3">
      <c r="A554" s="1006"/>
      <c r="B554" s="1030" t="s">
        <v>211</v>
      </c>
      <c r="C554" s="1008"/>
      <c r="D554" s="1009"/>
      <c r="E554" s="1009"/>
      <c r="F554" s="1009"/>
      <c r="G554" s="1010"/>
      <c r="H554" s="1031" t="s">
        <v>61</v>
      </c>
      <c r="I554" s="1032">
        <f t="shared" ref="I554:J554" si="341">I566</f>
        <v>0</v>
      </c>
      <c r="J554" s="1032">
        <f t="shared" si="341"/>
        <v>0</v>
      </c>
      <c r="K554" s="1033">
        <f>IF(I554&gt;0,J554*100/I554,0)</f>
        <v>0</v>
      </c>
      <c r="L554" s="1014"/>
      <c r="M554" s="1015"/>
      <c r="N554" s="1015"/>
      <c r="O554" s="1015"/>
      <c r="P554" s="1015"/>
      <c r="Q554" s="1015"/>
      <c r="R554" s="1015"/>
      <c r="S554" s="1015"/>
      <c r="T554" s="1015"/>
      <c r="U554" s="1015"/>
    </row>
    <row r="555" spans="1:21" ht="19.5" x14ac:dyDescent="0.3">
      <c r="A555" s="674"/>
      <c r="B555" s="561"/>
      <c r="C555" s="675" t="s">
        <v>18</v>
      </c>
      <c r="D555" s="676" t="s">
        <v>19</v>
      </c>
      <c r="E555" s="561"/>
      <c r="F555" s="561"/>
      <c r="G555" s="563"/>
      <c r="H555" s="677" t="s">
        <v>14</v>
      </c>
      <c r="I555" s="565"/>
      <c r="J555" s="565"/>
      <c r="K555" s="566"/>
      <c r="L555" s="678">
        <f t="shared" ref="L555:N555" ca="1" si="342">L556+L557</f>
        <v>1304000</v>
      </c>
      <c r="M555" s="679">
        <f t="shared" ca="1" si="342"/>
        <v>1304000</v>
      </c>
      <c r="N555" s="679">
        <f t="shared" ca="1" si="342"/>
        <v>0</v>
      </c>
      <c r="O555" s="679">
        <f t="shared" ref="O555:O563" ca="1" si="343">IF(L555&gt;0,N555*100/L555,0)</f>
        <v>0</v>
      </c>
      <c r="P555" s="679">
        <f t="shared" ref="P555:P563" ca="1" si="344">IF(M555&gt;0,N555*100/M555,0)</f>
        <v>0</v>
      </c>
      <c r="Q555" s="679">
        <f t="shared" ref="Q555:S555" si="345">Q556+Q557</f>
        <v>0</v>
      </c>
      <c r="R555" s="679">
        <f t="shared" si="345"/>
        <v>0</v>
      </c>
      <c r="S555" s="679">
        <f t="shared" si="345"/>
        <v>0</v>
      </c>
      <c r="T555" s="679">
        <f t="shared" ref="T555:T563" si="346">IF(Q555&gt;0,S555*100/Q555,0)</f>
        <v>0</v>
      </c>
      <c r="U555" s="679">
        <f t="shared" ref="U555:U563" si="347">IF(R555&gt;0,S555*100/R555,0)</f>
        <v>0</v>
      </c>
    </row>
    <row r="556" spans="1:21" ht="18.75" x14ac:dyDescent="0.25">
      <c r="A556" s="674"/>
      <c r="B556" s="718"/>
      <c r="C556" s="561"/>
      <c r="D556" s="561"/>
      <c r="E556" s="569" t="s">
        <v>20</v>
      </c>
      <c r="F556" s="561"/>
      <c r="G556" s="563"/>
      <c r="H556" s="680" t="s">
        <v>14</v>
      </c>
      <c r="I556" s="565"/>
      <c r="J556" s="565"/>
      <c r="K556" s="566"/>
      <c r="L556" s="571">
        <f t="shared" ref="L556:N557" si="348">L559+L562</f>
        <v>0</v>
      </c>
      <c r="M556" s="572">
        <f t="shared" si="348"/>
        <v>0</v>
      </c>
      <c r="N556" s="572">
        <f t="shared" si="348"/>
        <v>0</v>
      </c>
      <c r="O556" s="572">
        <f t="shared" si="343"/>
        <v>0</v>
      </c>
      <c r="P556" s="572">
        <f t="shared" si="344"/>
        <v>0</v>
      </c>
      <c r="Q556" s="572">
        <f t="shared" ref="Q556:S557" si="349">Q559+Q562</f>
        <v>0</v>
      </c>
      <c r="R556" s="572">
        <f t="shared" si="349"/>
        <v>0</v>
      </c>
      <c r="S556" s="572">
        <f t="shared" si="349"/>
        <v>0</v>
      </c>
      <c r="T556" s="572">
        <f t="shared" si="346"/>
        <v>0</v>
      </c>
      <c r="U556" s="572">
        <f t="shared" si="347"/>
        <v>0</v>
      </c>
    </row>
    <row r="557" spans="1:21" ht="18.75" x14ac:dyDescent="0.25">
      <c r="A557" s="674"/>
      <c r="B557" s="561"/>
      <c r="C557" s="718"/>
      <c r="D557" s="561"/>
      <c r="E557" s="765" t="s">
        <v>21</v>
      </c>
      <c r="F557" s="561"/>
      <c r="G557" s="563"/>
      <c r="H557" s="681" t="s">
        <v>14</v>
      </c>
      <c r="I557" s="565"/>
      <c r="J557" s="565"/>
      <c r="K557" s="566"/>
      <c r="L557" s="567">
        <f t="shared" ca="1" si="348"/>
        <v>1304000</v>
      </c>
      <c r="M557" s="568">
        <f t="shared" ca="1" si="348"/>
        <v>1304000</v>
      </c>
      <c r="N557" s="568">
        <f t="shared" ca="1" si="348"/>
        <v>0</v>
      </c>
      <c r="O557" s="568">
        <f t="shared" ca="1" si="343"/>
        <v>0</v>
      </c>
      <c r="P557" s="568">
        <f t="shared" ca="1" si="344"/>
        <v>0</v>
      </c>
      <c r="Q557" s="568">
        <f t="shared" si="349"/>
        <v>0</v>
      </c>
      <c r="R557" s="568">
        <f t="shared" si="349"/>
        <v>0</v>
      </c>
      <c r="S557" s="568">
        <f t="shared" si="349"/>
        <v>0</v>
      </c>
      <c r="T557" s="568">
        <f t="shared" si="346"/>
        <v>0</v>
      </c>
      <c r="U557" s="568">
        <f t="shared" si="347"/>
        <v>0</v>
      </c>
    </row>
    <row r="558" spans="1:21" ht="18.75" x14ac:dyDescent="0.25">
      <c r="A558" s="674"/>
      <c r="B558" s="561"/>
      <c r="C558" s="718"/>
      <c r="D558" s="562" t="s">
        <v>22</v>
      </c>
      <c r="E558" s="718"/>
      <c r="F558" s="561"/>
      <c r="G558" s="563"/>
      <c r="H558" s="682" t="s">
        <v>14</v>
      </c>
      <c r="I558" s="683"/>
      <c r="J558" s="683"/>
      <c r="K558" s="684"/>
      <c r="L558" s="567">
        <f t="shared" ref="L558:N558" ca="1" si="350">L559+L560</f>
        <v>0</v>
      </c>
      <c r="M558" s="568">
        <f t="shared" ca="1" si="350"/>
        <v>0</v>
      </c>
      <c r="N558" s="568">
        <f t="shared" ca="1" si="350"/>
        <v>0</v>
      </c>
      <c r="O558" s="568">
        <f t="shared" ca="1" si="343"/>
        <v>0</v>
      </c>
      <c r="P558" s="568">
        <f t="shared" ca="1" si="344"/>
        <v>0</v>
      </c>
      <c r="Q558" s="568">
        <f t="shared" ref="Q558:S558" si="351">Q559+Q560</f>
        <v>0</v>
      </c>
      <c r="R558" s="568">
        <f t="shared" si="351"/>
        <v>0</v>
      </c>
      <c r="S558" s="568">
        <f t="shared" si="351"/>
        <v>0</v>
      </c>
      <c r="T558" s="568">
        <f t="shared" si="346"/>
        <v>0</v>
      </c>
      <c r="U558" s="568">
        <f t="shared" si="347"/>
        <v>0</v>
      </c>
    </row>
    <row r="559" spans="1:21" ht="18.75" x14ac:dyDescent="0.25">
      <c r="A559" s="674"/>
      <c r="B559" s="561"/>
      <c r="C559" s="561"/>
      <c r="D559" s="561"/>
      <c r="E559" s="569" t="s">
        <v>36</v>
      </c>
      <c r="F559" s="561"/>
      <c r="G559" s="563"/>
      <c r="H559" s="685" t="s">
        <v>14</v>
      </c>
      <c r="I559" s="683"/>
      <c r="J559" s="683"/>
      <c r="K559" s="684"/>
      <c r="L559" s="571">
        <v>0</v>
      </c>
      <c r="M559" s="572">
        <v>0</v>
      </c>
      <c r="N559" s="572">
        <v>0</v>
      </c>
      <c r="O559" s="572">
        <f t="shared" si="343"/>
        <v>0</v>
      </c>
      <c r="P559" s="572">
        <f t="shared" si="344"/>
        <v>0</v>
      </c>
      <c r="Q559" s="572">
        <v>0</v>
      </c>
      <c r="R559" s="572">
        <v>0</v>
      </c>
      <c r="S559" s="572">
        <v>0</v>
      </c>
      <c r="T559" s="572">
        <f t="shared" si="346"/>
        <v>0</v>
      </c>
      <c r="U559" s="572">
        <f t="shared" si="347"/>
        <v>0</v>
      </c>
    </row>
    <row r="560" spans="1:21" ht="18.75" x14ac:dyDescent="0.25">
      <c r="A560" s="674"/>
      <c r="B560" s="561"/>
      <c r="C560" s="561"/>
      <c r="D560" s="561"/>
      <c r="E560" s="573" t="s">
        <v>37</v>
      </c>
      <c r="F560" s="561"/>
      <c r="G560" s="563"/>
      <c r="H560" s="682" t="s">
        <v>14</v>
      </c>
      <c r="I560" s="683"/>
      <c r="J560" s="683"/>
      <c r="K560" s="684"/>
      <c r="L560" s="567">
        <f ca="1">IFERROR(__xludf.DUMMYFUNCTION("IMPORTRANGE(""https://docs.google.com/spreadsheets/d/1-uDff_7J0KD5mKrp0Vvzr7lt3OU09vwQwhkpOPPYv2Y/edit?usp=sharing"",""งบพรบ!GG20"")"),0)</f>
        <v>0</v>
      </c>
      <c r="M560" s="568">
        <f ca="1">IFERROR(__xludf.DUMMYFUNCTION("IMPORTRANGE(""https://docs.google.com/spreadsheets/d/1-uDff_7J0KD5mKrp0Vvzr7lt3OU09vwQwhkpOPPYv2Y/edit?usp=sharing"",""งบพรบ!GL20"")"),0)</f>
        <v>0</v>
      </c>
      <c r="N560" s="568">
        <f ca="1">IFERROR(__xludf.DUMMYFUNCTION("IMPORTRANGE(""https://docs.google.com/spreadsheets/d/1-uDff_7J0KD5mKrp0Vvzr7lt3OU09vwQwhkpOPPYv2Y/edit?usp=sharing"",""งบพรบ!GN20"")"),0)</f>
        <v>0</v>
      </c>
      <c r="O560" s="568">
        <f t="shared" ca="1" si="343"/>
        <v>0</v>
      </c>
      <c r="P560" s="568">
        <f t="shared" ca="1" si="344"/>
        <v>0</v>
      </c>
      <c r="Q560" s="568">
        <v>0</v>
      </c>
      <c r="R560" s="568">
        <v>0</v>
      </c>
      <c r="S560" s="568">
        <v>0</v>
      </c>
      <c r="T560" s="568">
        <f t="shared" si="346"/>
        <v>0</v>
      </c>
      <c r="U560" s="568">
        <f t="shared" si="347"/>
        <v>0</v>
      </c>
    </row>
    <row r="561" spans="1:21" ht="18.75" x14ac:dyDescent="0.25">
      <c r="A561" s="674"/>
      <c r="B561" s="561"/>
      <c r="C561" s="561"/>
      <c r="D561" s="562" t="s">
        <v>23</v>
      </c>
      <c r="E561" s="561"/>
      <c r="F561" s="561"/>
      <c r="G561" s="563"/>
      <c r="H561" s="686" t="s">
        <v>14</v>
      </c>
      <c r="I561" s="683"/>
      <c r="J561" s="683"/>
      <c r="K561" s="684"/>
      <c r="L561" s="567">
        <f t="shared" ref="L561:N561" ca="1" si="352">L562+L563</f>
        <v>1304000</v>
      </c>
      <c r="M561" s="568">
        <f t="shared" ca="1" si="352"/>
        <v>1304000</v>
      </c>
      <c r="N561" s="568">
        <f t="shared" ca="1" si="352"/>
        <v>0</v>
      </c>
      <c r="O561" s="568">
        <f t="shared" ca="1" si="343"/>
        <v>0</v>
      </c>
      <c r="P561" s="568">
        <f t="shared" ca="1" si="344"/>
        <v>0</v>
      </c>
      <c r="Q561" s="568">
        <f t="shared" ref="Q561:S561" si="353">Q562+Q563</f>
        <v>0</v>
      </c>
      <c r="R561" s="568">
        <f t="shared" si="353"/>
        <v>0</v>
      </c>
      <c r="S561" s="568">
        <f t="shared" si="353"/>
        <v>0</v>
      </c>
      <c r="T561" s="568">
        <f t="shared" si="346"/>
        <v>0</v>
      </c>
      <c r="U561" s="568">
        <f t="shared" si="347"/>
        <v>0</v>
      </c>
    </row>
    <row r="562" spans="1:21" ht="18.75" x14ac:dyDescent="0.25">
      <c r="A562" s="674"/>
      <c r="B562" s="561"/>
      <c r="C562" s="561"/>
      <c r="D562" s="561"/>
      <c r="E562" s="569" t="s">
        <v>20</v>
      </c>
      <c r="F562" s="561"/>
      <c r="G562" s="563"/>
      <c r="H562" s="685" t="s">
        <v>14</v>
      </c>
      <c r="I562" s="683"/>
      <c r="J562" s="683"/>
      <c r="K562" s="684"/>
      <c r="L562" s="571">
        <v>0</v>
      </c>
      <c r="M562" s="572">
        <v>0</v>
      </c>
      <c r="N562" s="572">
        <v>0</v>
      </c>
      <c r="O562" s="572">
        <f t="shared" si="343"/>
        <v>0</v>
      </c>
      <c r="P562" s="572">
        <f t="shared" si="344"/>
        <v>0</v>
      </c>
      <c r="Q562" s="572">
        <v>0</v>
      </c>
      <c r="R562" s="572">
        <v>0</v>
      </c>
      <c r="S562" s="572">
        <v>0</v>
      </c>
      <c r="T562" s="572">
        <f t="shared" si="346"/>
        <v>0</v>
      </c>
      <c r="U562" s="572">
        <f t="shared" si="347"/>
        <v>0</v>
      </c>
    </row>
    <row r="563" spans="1:21" ht="18.75" x14ac:dyDescent="0.25">
      <c r="A563" s="674"/>
      <c r="B563" s="561"/>
      <c r="C563" s="561"/>
      <c r="D563" s="561"/>
      <c r="E563" s="573" t="s">
        <v>21</v>
      </c>
      <c r="F563" s="561"/>
      <c r="G563" s="563"/>
      <c r="H563" s="686" t="s">
        <v>14</v>
      </c>
      <c r="I563" s="683"/>
      <c r="J563" s="683"/>
      <c r="K563" s="684"/>
      <c r="L563" s="567">
        <f ca="1">IFERROR(__xludf.DUMMYFUNCTION("IMPORTRANGE(""https://docs.google.com/spreadsheets/d/1-uDff_7J0KD5mKrp0Vvzr7lt3OU09vwQwhkpOPPYv2Y/edit?usp=sharing"",""งบพรบ!GJ20"")"),1304000)</f>
        <v>1304000</v>
      </c>
      <c r="M563" s="568">
        <f ca="1">IFERROR(__xludf.DUMMYFUNCTION("IMPORTRANGE(""https://docs.google.com/spreadsheets/d/1-uDff_7J0KD5mKrp0Vvzr7lt3OU09vwQwhkpOPPYv2Y/edit?usp=sharing"",""งบพรบ!GM20"")"),1304000)</f>
        <v>1304000</v>
      </c>
      <c r="N563" s="568">
        <f ca="1">IFERROR(__xludf.DUMMYFUNCTION("IMPORTRANGE(""https://docs.google.com/spreadsheets/d/1-uDff_7J0KD5mKrp0Vvzr7lt3OU09vwQwhkpOPPYv2Y/edit?usp=sharing"",""งบพรบ!GO20"")"),0)</f>
        <v>0</v>
      </c>
      <c r="O563" s="568">
        <f t="shared" ca="1" si="343"/>
        <v>0</v>
      </c>
      <c r="P563" s="568">
        <f t="shared" ca="1" si="344"/>
        <v>0</v>
      </c>
      <c r="Q563" s="568">
        <v>0</v>
      </c>
      <c r="R563" s="568">
        <v>0</v>
      </c>
      <c r="S563" s="568">
        <v>0</v>
      </c>
      <c r="T563" s="568">
        <f t="shared" si="346"/>
        <v>0</v>
      </c>
      <c r="U563" s="568">
        <f t="shared" si="347"/>
        <v>0</v>
      </c>
    </row>
    <row r="564" spans="1:21" ht="19.5" hidden="1" x14ac:dyDescent="0.3">
      <c r="A564" s="687"/>
      <c r="B564" s="688"/>
      <c r="C564" s="1034" t="s">
        <v>18</v>
      </c>
      <c r="D564" s="689" t="s">
        <v>38</v>
      </c>
      <c r="E564" s="690"/>
      <c r="F564" s="690"/>
      <c r="G564" s="691"/>
      <c r="H564" s="692"/>
      <c r="I564" s="683"/>
      <c r="J564" s="565"/>
      <c r="K564" s="566"/>
      <c r="L564" s="574"/>
      <c r="M564" s="566"/>
      <c r="N564" s="566"/>
      <c r="O564" s="684"/>
      <c r="P564" s="684"/>
      <c r="Q564" s="566"/>
      <c r="R564" s="566"/>
      <c r="S564" s="566"/>
      <c r="T564" s="684"/>
      <c r="U564" s="684"/>
    </row>
    <row r="565" spans="1:21" ht="12.75" hidden="1" x14ac:dyDescent="0.2">
      <c r="A565" s="973"/>
      <c r="B565" s="974"/>
      <c r="C565" s="961"/>
      <c r="D565" s="974"/>
      <c r="E565" s="961"/>
      <c r="F565" s="974"/>
      <c r="G565" s="975"/>
      <c r="H565" s="975"/>
      <c r="I565" s="963"/>
      <c r="J565" s="963"/>
      <c r="K565" s="964"/>
      <c r="L565" s="965"/>
      <c r="M565" s="964"/>
      <c r="N565" s="964"/>
      <c r="O565" s="964"/>
      <c r="P565" s="964"/>
      <c r="Q565" s="964"/>
      <c r="R565" s="964"/>
      <c r="S565" s="964"/>
      <c r="T565" s="964"/>
      <c r="U565" s="964"/>
    </row>
    <row r="566" spans="1:21" ht="12.75" hidden="1" x14ac:dyDescent="0.2">
      <c r="A566" s="973"/>
      <c r="B566" s="974"/>
      <c r="C566" s="961"/>
      <c r="D566" s="974"/>
      <c r="E566" s="961"/>
      <c r="F566" s="974"/>
      <c r="G566" s="975"/>
      <c r="H566" s="975"/>
      <c r="I566" s="963"/>
      <c r="J566" s="963"/>
      <c r="K566" s="964"/>
      <c r="L566" s="965"/>
      <c r="M566" s="964"/>
      <c r="N566" s="964"/>
      <c r="O566" s="964"/>
      <c r="P566" s="964"/>
      <c r="Q566" s="964"/>
      <c r="R566" s="964"/>
      <c r="S566" s="964"/>
      <c r="T566" s="964"/>
      <c r="U566" s="964"/>
    </row>
    <row r="567" spans="1:21" ht="12.75" hidden="1" x14ac:dyDescent="0.2">
      <c r="A567" s="973"/>
      <c r="B567" s="961"/>
      <c r="C567" s="961"/>
      <c r="D567" s="974"/>
      <c r="E567" s="974"/>
      <c r="F567" s="974"/>
      <c r="G567" s="975"/>
      <c r="H567" s="962"/>
      <c r="I567" s="963"/>
      <c r="J567" s="963"/>
      <c r="K567" s="964"/>
      <c r="L567" s="965"/>
      <c r="M567" s="964"/>
      <c r="N567" s="964"/>
      <c r="O567" s="964"/>
      <c r="P567" s="964"/>
      <c r="Q567" s="964"/>
      <c r="R567" s="964"/>
      <c r="S567" s="964"/>
      <c r="T567" s="964"/>
      <c r="U567" s="964"/>
    </row>
    <row r="568" spans="1:21" ht="12.75" hidden="1" x14ac:dyDescent="0.2">
      <c r="A568" s="973"/>
      <c r="B568" s="961"/>
      <c r="C568" s="961"/>
      <c r="D568" s="974"/>
      <c r="E568" s="974"/>
      <c r="F568" s="974"/>
      <c r="G568" s="975"/>
      <c r="H568" s="962"/>
      <c r="I568" s="963"/>
      <c r="J568" s="963"/>
      <c r="K568" s="964"/>
      <c r="L568" s="965"/>
      <c r="M568" s="964"/>
      <c r="N568" s="964"/>
      <c r="O568" s="964"/>
      <c r="P568" s="964"/>
      <c r="Q568" s="964"/>
      <c r="R568" s="964"/>
      <c r="S568" s="964"/>
      <c r="T568" s="964"/>
      <c r="U568" s="964"/>
    </row>
    <row r="569" spans="1:21" ht="12.75" hidden="1" x14ac:dyDescent="0.2">
      <c r="A569" s="973"/>
      <c r="B569" s="961"/>
      <c r="C569" s="961"/>
      <c r="D569" s="974"/>
      <c r="E569" s="974"/>
      <c r="F569" s="974"/>
      <c r="G569" s="975"/>
      <c r="H569" s="962"/>
      <c r="I569" s="963"/>
      <c r="J569" s="963"/>
      <c r="K569" s="964"/>
      <c r="L569" s="965"/>
      <c r="M569" s="964"/>
      <c r="N569" s="964"/>
      <c r="O569" s="964"/>
      <c r="P569" s="964"/>
      <c r="Q569" s="964"/>
      <c r="R569" s="964"/>
      <c r="S569" s="964"/>
      <c r="T569" s="964"/>
      <c r="U569" s="964"/>
    </row>
    <row r="570" spans="1:21" ht="12.75" hidden="1" x14ac:dyDescent="0.2">
      <c r="A570" s="973"/>
      <c r="B570" s="961"/>
      <c r="C570" s="961"/>
      <c r="D570" s="974"/>
      <c r="E570" s="974"/>
      <c r="F570" s="974"/>
      <c r="G570" s="975"/>
      <c r="H570" s="962"/>
      <c r="I570" s="963"/>
      <c r="J570" s="963"/>
      <c r="K570" s="964"/>
      <c r="L570" s="965"/>
      <c r="M570" s="964"/>
      <c r="N570" s="964"/>
      <c r="O570" s="964"/>
      <c r="P570" s="964"/>
      <c r="Q570" s="964"/>
      <c r="R570" s="964"/>
      <c r="S570" s="964"/>
      <c r="T570" s="964"/>
      <c r="U570" s="964"/>
    </row>
    <row r="571" spans="1:21" ht="12.75" hidden="1" x14ac:dyDescent="0.2">
      <c r="A571" s="973"/>
      <c r="B571" s="961"/>
      <c r="C571" s="961"/>
      <c r="D571" s="974"/>
      <c r="E571" s="974"/>
      <c r="F571" s="974"/>
      <c r="G571" s="975"/>
      <c r="H571" s="962"/>
      <c r="I571" s="963"/>
      <c r="J571" s="963"/>
      <c r="K571" s="964"/>
      <c r="L571" s="965"/>
      <c r="M571" s="964"/>
      <c r="N571" s="964"/>
      <c r="O571" s="964"/>
      <c r="P571" s="964"/>
      <c r="Q571" s="964"/>
      <c r="R571" s="964"/>
      <c r="S571" s="964"/>
      <c r="T571" s="964"/>
      <c r="U571" s="964"/>
    </row>
    <row r="572" spans="1:21" ht="12.75" hidden="1" x14ac:dyDescent="0.2">
      <c r="A572" s="973"/>
      <c r="B572" s="961"/>
      <c r="C572" s="961"/>
      <c r="D572" s="974"/>
      <c r="E572" s="974"/>
      <c r="F572" s="974"/>
      <c r="G572" s="975"/>
      <c r="H572" s="962"/>
      <c r="I572" s="963"/>
      <c r="J572" s="963"/>
      <c r="K572" s="964"/>
      <c r="L572" s="965"/>
      <c r="M572" s="964"/>
      <c r="N572" s="964"/>
      <c r="O572" s="964"/>
      <c r="P572" s="964"/>
      <c r="Q572" s="964"/>
      <c r="R572" s="964"/>
      <c r="S572" s="964"/>
      <c r="T572" s="964"/>
      <c r="U572" s="964"/>
    </row>
    <row r="573" spans="1:21" ht="12.75" hidden="1" x14ac:dyDescent="0.2">
      <c r="A573" s="973"/>
      <c r="B573" s="961"/>
      <c r="C573" s="961"/>
      <c r="D573" s="974"/>
      <c r="E573" s="974"/>
      <c r="F573" s="974"/>
      <c r="G573" s="975"/>
      <c r="H573" s="962"/>
      <c r="I573" s="963"/>
      <c r="J573" s="963"/>
      <c r="K573" s="964"/>
      <c r="L573" s="965"/>
      <c r="M573" s="964"/>
      <c r="N573" s="964"/>
      <c r="O573" s="964"/>
      <c r="P573" s="964"/>
      <c r="Q573" s="964"/>
      <c r="R573" s="964"/>
      <c r="S573" s="964"/>
      <c r="T573" s="964"/>
      <c r="U573" s="964"/>
    </row>
    <row r="574" spans="1:21" ht="12.75" hidden="1" x14ac:dyDescent="0.2">
      <c r="A574" s="1027"/>
      <c r="B574" s="966"/>
      <c r="C574" s="966"/>
      <c r="D574" s="1028"/>
      <c r="E574" s="1028"/>
      <c r="F574" s="1028"/>
      <c r="G574" s="1029"/>
      <c r="H574" s="967"/>
      <c r="I574" s="968"/>
      <c r="J574" s="968"/>
      <c r="K574" s="969"/>
      <c r="L574" s="970"/>
      <c r="M574" s="969"/>
      <c r="N574" s="969"/>
      <c r="O574" s="969"/>
      <c r="P574" s="969"/>
      <c r="Q574" s="969"/>
      <c r="R574" s="969"/>
      <c r="S574" s="969"/>
      <c r="T574" s="969"/>
      <c r="U574" s="969"/>
    </row>
    <row r="575" spans="1:21" ht="19.5" x14ac:dyDescent="0.3">
      <c r="A575" s="1006"/>
      <c r="B575" s="1030" t="s">
        <v>212</v>
      </c>
      <c r="C575" s="1008"/>
      <c r="D575" s="1009"/>
      <c r="E575" s="1009"/>
      <c r="F575" s="1009"/>
      <c r="G575" s="1010"/>
      <c r="H575" s="1031" t="s">
        <v>61</v>
      </c>
      <c r="I575" s="1032">
        <f t="shared" ref="I575:J575" si="354">I587</f>
        <v>0</v>
      </c>
      <c r="J575" s="1032">
        <f t="shared" si="354"/>
        <v>0</v>
      </c>
      <c r="K575" s="1033">
        <f>IF(I575&gt;0,J575*100/I575,0)</f>
        <v>0</v>
      </c>
      <c r="L575" s="1014"/>
      <c r="M575" s="1015"/>
      <c r="N575" s="1015"/>
      <c r="O575" s="1015"/>
      <c r="P575" s="1015"/>
      <c r="Q575" s="1015"/>
      <c r="R575" s="1015"/>
      <c r="S575" s="1015"/>
      <c r="T575" s="1015"/>
      <c r="U575" s="1015"/>
    </row>
    <row r="576" spans="1:21" ht="19.5" x14ac:dyDescent="0.3">
      <c r="A576" s="674"/>
      <c r="B576" s="561"/>
      <c r="C576" s="675" t="s">
        <v>18</v>
      </c>
      <c r="D576" s="676" t="s">
        <v>19</v>
      </c>
      <c r="E576" s="561"/>
      <c r="F576" s="561"/>
      <c r="G576" s="563"/>
      <c r="H576" s="677" t="s">
        <v>14</v>
      </c>
      <c r="I576" s="565"/>
      <c r="J576" s="565"/>
      <c r="K576" s="566"/>
      <c r="L576" s="678">
        <f t="shared" ref="L576:N576" ca="1" si="355">L577+L578</f>
        <v>425244</v>
      </c>
      <c r="M576" s="679">
        <f t="shared" ca="1" si="355"/>
        <v>0</v>
      </c>
      <c r="N576" s="679">
        <f t="shared" ca="1" si="355"/>
        <v>0</v>
      </c>
      <c r="O576" s="679">
        <f t="shared" ref="O576:O584" ca="1" si="356">IF(L576&gt;0,N576*100/L576,0)</f>
        <v>0</v>
      </c>
      <c r="P576" s="679">
        <f t="shared" ref="P576:P584" ca="1" si="357">IF(M576&gt;0,N576*100/M576,0)</f>
        <v>0</v>
      </c>
      <c r="Q576" s="679">
        <f t="shared" ref="Q576:S576" si="358">Q577+Q578</f>
        <v>0</v>
      </c>
      <c r="R576" s="679">
        <f t="shared" si="358"/>
        <v>0</v>
      </c>
      <c r="S576" s="679">
        <f t="shared" si="358"/>
        <v>0</v>
      </c>
      <c r="T576" s="679">
        <f t="shared" ref="T576:T584" si="359">IF(Q576&gt;0,S576*100/Q576,0)</f>
        <v>0</v>
      </c>
      <c r="U576" s="679">
        <f t="shared" ref="U576:U584" si="360">IF(R576&gt;0,S576*100/R576,0)</f>
        <v>0</v>
      </c>
    </row>
    <row r="577" spans="1:21" ht="18.75" x14ac:dyDescent="0.25">
      <c r="A577" s="674"/>
      <c r="B577" s="718"/>
      <c r="C577" s="561"/>
      <c r="D577" s="561"/>
      <c r="E577" s="569" t="s">
        <v>20</v>
      </c>
      <c r="F577" s="561"/>
      <c r="G577" s="563"/>
      <c r="H577" s="680" t="s">
        <v>14</v>
      </c>
      <c r="I577" s="565"/>
      <c r="J577" s="565"/>
      <c r="K577" s="566"/>
      <c r="L577" s="571">
        <f t="shared" ref="L577:N578" si="361">L580+L583</f>
        <v>0</v>
      </c>
      <c r="M577" s="572">
        <f t="shared" si="361"/>
        <v>0</v>
      </c>
      <c r="N577" s="572">
        <f t="shared" si="361"/>
        <v>0</v>
      </c>
      <c r="O577" s="572">
        <f t="shared" si="356"/>
        <v>0</v>
      </c>
      <c r="P577" s="572">
        <f t="shared" si="357"/>
        <v>0</v>
      </c>
      <c r="Q577" s="572">
        <f t="shared" ref="Q577:S578" si="362">Q580+Q583</f>
        <v>0</v>
      </c>
      <c r="R577" s="572">
        <f t="shared" si="362"/>
        <v>0</v>
      </c>
      <c r="S577" s="572">
        <f t="shared" si="362"/>
        <v>0</v>
      </c>
      <c r="T577" s="572">
        <f t="shared" si="359"/>
        <v>0</v>
      </c>
      <c r="U577" s="572">
        <f t="shared" si="360"/>
        <v>0</v>
      </c>
    </row>
    <row r="578" spans="1:21" ht="18.75" x14ac:dyDescent="0.25">
      <c r="A578" s="674"/>
      <c r="B578" s="561"/>
      <c r="C578" s="718"/>
      <c r="D578" s="561"/>
      <c r="E578" s="765" t="s">
        <v>21</v>
      </c>
      <c r="F578" s="561"/>
      <c r="G578" s="563"/>
      <c r="H578" s="681" t="s">
        <v>14</v>
      </c>
      <c r="I578" s="565"/>
      <c r="J578" s="565"/>
      <c r="K578" s="566"/>
      <c r="L578" s="567">
        <f t="shared" ca="1" si="361"/>
        <v>425244</v>
      </c>
      <c r="M578" s="568">
        <f t="shared" ca="1" si="361"/>
        <v>0</v>
      </c>
      <c r="N578" s="568">
        <f t="shared" ca="1" si="361"/>
        <v>0</v>
      </c>
      <c r="O578" s="568">
        <f t="shared" ca="1" si="356"/>
        <v>0</v>
      </c>
      <c r="P578" s="568">
        <f t="shared" ca="1" si="357"/>
        <v>0</v>
      </c>
      <c r="Q578" s="568">
        <f t="shared" si="362"/>
        <v>0</v>
      </c>
      <c r="R578" s="568">
        <f t="shared" si="362"/>
        <v>0</v>
      </c>
      <c r="S578" s="568">
        <f t="shared" si="362"/>
        <v>0</v>
      </c>
      <c r="T578" s="568">
        <f t="shared" si="359"/>
        <v>0</v>
      </c>
      <c r="U578" s="568">
        <f t="shared" si="360"/>
        <v>0</v>
      </c>
    </row>
    <row r="579" spans="1:21" ht="18.75" x14ac:dyDescent="0.25">
      <c r="A579" s="674"/>
      <c r="B579" s="561"/>
      <c r="C579" s="718"/>
      <c r="D579" s="562" t="s">
        <v>22</v>
      </c>
      <c r="E579" s="718"/>
      <c r="F579" s="561"/>
      <c r="G579" s="563"/>
      <c r="H579" s="682" t="s">
        <v>14</v>
      </c>
      <c r="I579" s="683"/>
      <c r="J579" s="683"/>
      <c r="K579" s="684"/>
      <c r="L579" s="567">
        <f t="shared" ref="L579:N579" ca="1" si="363">L580+L581</f>
        <v>425244</v>
      </c>
      <c r="M579" s="568">
        <f t="shared" ca="1" si="363"/>
        <v>0</v>
      </c>
      <c r="N579" s="568">
        <f t="shared" ca="1" si="363"/>
        <v>0</v>
      </c>
      <c r="O579" s="568">
        <f t="shared" ca="1" si="356"/>
        <v>0</v>
      </c>
      <c r="P579" s="568">
        <f t="shared" ca="1" si="357"/>
        <v>0</v>
      </c>
      <c r="Q579" s="568">
        <f t="shared" ref="Q579:S579" si="364">Q580+Q581</f>
        <v>0</v>
      </c>
      <c r="R579" s="568">
        <f t="shared" si="364"/>
        <v>0</v>
      </c>
      <c r="S579" s="568">
        <f t="shared" si="364"/>
        <v>0</v>
      </c>
      <c r="T579" s="568">
        <f t="shared" si="359"/>
        <v>0</v>
      </c>
      <c r="U579" s="568">
        <f t="shared" si="360"/>
        <v>0</v>
      </c>
    </row>
    <row r="580" spans="1:21" ht="18.75" x14ac:dyDescent="0.25">
      <c r="A580" s="674"/>
      <c r="B580" s="561"/>
      <c r="C580" s="561"/>
      <c r="D580" s="561"/>
      <c r="E580" s="569" t="s">
        <v>36</v>
      </c>
      <c r="F580" s="561"/>
      <c r="G580" s="563"/>
      <c r="H580" s="685" t="s">
        <v>14</v>
      </c>
      <c r="I580" s="683"/>
      <c r="J580" s="683"/>
      <c r="K580" s="684"/>
      <c r="L580" s="571">
        <v>0</v>
      </c>
      <c r="M580" s="572">
        <v>0</v>
      </c>
      <c r="N580" s="572">
        <v>0</v>
      </c>
      <c r="O580" s="572">
        <f t="shared" si="356"/>
        <v>0</v>
      </c>
      <c r="P580" s="572">
        <f t="shared" si="357"/>
        <v>0</v>
      </c>
      <c r="Q580" s="572">
        <v>0</v>
      </c>
      <c r="R580" s="572">
        <v>0</v>
      </c>
      <c r="S580" s="572">
        <v>0</v>
      </c>
      <c r="T580" s="572">
        <f t="shared" si="359"/>
        <v>0</v>
      </c>
      <c r="U580" s="572">
        <f t="shared" si="360"/>
        <v>0</v>
      </c>
    </row>
    <row r="581" spans="1:21" ht="18.75" x14ac:dyDescent="0.25">
      <c r="A581" s="674"/>
      <c r="B581" s="561"/>
      <c r="C581" s="561"/>
      <c r="D581" s="561"/>
      <c r="E581" s="573" t="s">
        <v>37</v>
      </c>
      <c r="F581" s="561"/>
      <c r="G581" s="563"/>
      <c r="H581" s="682" t="s">
        <v>14</v>
      </c>
      <c r="I581" s="683"/>
      <c r="J581" s="683"/>
      <c r="K581" s="684"/>
      <c r="L581" s="567">
        <f ca="1">IFERROR(__xludf.DUMMYFUNCTION("IMPORTRANGE(""https://docs.google.com/spreadsheets/d/1-uDff_7J0KD5mKrp0Vvzr7lt3OU09vwQwhkpOPPYv2Y/edit?usp=sharing"",""งบพรบ!GQ20"")"),425244)</f>
        <v>425244</v>
      </c>
      <c r="M581" s="568">
        <f ca="1">IFERROR(__xludf.DUMMYFUNCTION("IMPORTRANGE(""https://docs.google.com/spreadsheets/d/1-uDff_7J0KD5mKrp0Vvzr7lt3OU09vwQwhkpOPPYv2Y/edit?usp=sharing"",""งบพรบ!GV20"")"),0)</f>
        <v>0</v>
      </c>
      <c r="N581" s="568">
        <f ca="1">IFERROR(__xludf.DUMMYFUNCTION("IMPORTRANGE(""https://docs.google.com/spreadsheets/d/1-uDff_7J0KD5mKrp0Vvzr7lt3OU09vwQwhkpOPPYv2Y/edit?usp=sharing"",""งบพรบ!GX20"")"),0)</f>
        <v>0</v>
      </c>
      <c r="O581" s="568">
        <f t="shared" ca="1" si="356"/>
        <v>0</v>
      </c>
      <c r="P581" s="568">
        <f t="shared" ca="1" si="357"/>
        <v>0</v>
      </c>
      <c r="Q581" s="568">
        <v>0</v>
      </c>
      <c r="R581" s="568">
        <v>0</v>
      </c>
      <c r="S581" s="568">
        <v>0</v>
      </c>
      <c r="T581" s="568">
        <f t="shared" si="359"/>
        <v>0</v>
      </c>
      <c r="U581" s="568">
        <f t="shared" si="360"/>
        <v>0</v>
      </c>
    </row>
    <row r="582" spans="1:21" ht="18.75" x14ac:dyDescent="0.25">
      <c r="A582" s="674"/>
      <c r="B582" s="561"/>
      <c r="C582" s="561"/>
      <c r="D582" s="562" t="s">
        <v>23</v>
      </c>
      <c r="E582" s="561"/>
      <c r="F582" s="561"/>
      <c r="G582" s="563"/>
      <c r="H582" s="686" t="s">
        <v>14</v>
      </c>
      <c r="I582" s="683"/>
      <c r="J582" s="683"/>
      <c r="K582" s="684"/>
      <c r="L582" s="567">
        <f t="shared" ref="L582:N582" ca="1" si="365">L583+L584</f>
        <v>0</v>
      </c>
      <c r="M582" s="568">
        <f t="shared" ca="1" si="365"/>
        <v>0</v>
      </c>
      <c r="N582" s="568">
        <f t="shared" ca="1" si="365"/>
        <v>0</v>
      </c>
      <c r="O582" s="568">
        <f t="shared" ca="1" si="356"/>
        <v>0</v>
      </c>
      <c r="P582" s="568">
        <f t="shared" ca="1" si="357"/>
        <v>0</v>
      </c>
      <c r="Q582" s="568">
        <f t="shared" ref="Q582:S582" si="366">Q583+Q584</f>
        <v>0</v>
      </c>
      <c r="R582" s="568">
        <f t="shared" si="366"/>
        <v>0</v>
      </c>
      <c r="S582" s="568">
        <f t="shared" si="366"/>
        <v>0</v>
      </c>
      <c r="T582" s="568">
        <f t="shared" si="359"/>
        <v>0</v>
      </c>
      <c r="U582" s="568">
        <f t="shared" si="360"/>
        <v>0</v>
      </c>
    </row>
    <row r="583" spans="1:21" ht="18.75" x14ac:dyDescent="0.25">
      <c r="A583" s="674"/>
      <c r="B583" s="561"/>
      <c r="C583" s="561"/>
      <c r="D583" s="561"/>
      <c r="E583" s="569" t="s">
        <v>20</v>
      </c>
      <c r="F583" s="561"/>
      <c r="G583" s="563"/>
      <c r="H583" s="685" t="s">
        <v>14</v>
      </c>
      <c r="I583" s="683"/>
      <c r="J583" s="683"/>
      <c r="K583" s="684"/>
      <c r="L583" s="571">
        <v>0</v>
      </c>
      <c r="M583" s="572">
        <v>0</v>
      </c>
      <c r="N583" s="572">
        <v>0</v>
      </c>
      <c r="O583" s="572">
        <f t="shared" si="356"/>
        <v>0</v>
      </c>
      <c r="P583" s="572">
        <f t="shared" si="357"/>
        <v>0</v>
      </c>
      <c r="Q583" s="572">
        <v>0</v>
      </c>
      <c r="R583" s="572">
        <v>0</v>
      </c>
      <c r="S583" s="572">
        <v>0</v>
      </c>
      <c r="T583" s="572">
        <f t="shared" si="359"/>
        <v>0</v>
      </c>
      <c r="U583" s="572">
        <f t="shared" si="360"/>
        <v>0</v>
      </c>
    </row>
    <row r="584" spans="1:21" ht="18.75" x14ac:dyDescent="0.25">
      <c r="A584" s="674"/>
      <c r="B584" s="561"/>
      <c r="C584" s="561"/>
      <c r="D584" s="561"/>
      <c r="E584" s="573" t="s">
        <v>21</v>
      </c>
      <c r="F584" s="561"/>
      <c r="G584" s="563"/>
      <c r="H584" s="686" t="s">
        <v>14</v>
      </c>
      <c r="I584" s="683"/>
      <c r="J584" s="683"/>
      <c r="K584" s="684"/>
      <c r="L584" s="567">
        <f ca="1">IFERROR(__xludf.DUMMYFUNCTION("IMPORTRANGE(""https://docs.google.com/spreadsheets/d/1-uDff_7J0KD5mKrp0Vvzr7lt3OU09vwQwhkpOPPYv2Y/edit?usp=sharing"",""งบพรบ!GT20"")"),0)</f>
        <v>0</v>
      </c>
      <c r="M584" s="568">
        <f ca="1">IFERROR(__xludf.DUMMYFUNCTION("IMPORTRANGE(""https://docs.google.com/spreadsheets/d/1-uDff_7J0KD5mKrp0Vvzr7lt3OU09vwQwhkpOPPYv2Y/edit?usp=sharing"",""งบพรบ!GW20"")"),0)</f>
        <v>0</v>
      </c>
      <c r="N584" s="568">
        <f ca="1">IFERROR(__xludf.DUMMYFUNCTION("IMPORTRANGE(""https://docs.google.com/spreadsheets/d/1-uDff_7J0KD5mKrp0Vvzr7lt3OU09vwQwhkpOPPYv2Y/edit?usp=sharing"",""งบพรบ!GY20"")"),0)</f>
        <v>0</v>
      </c>
      <c r="O584" s="568">
        <f t="shared" ca="1" si="356"/>
        <v>0</v>
      </c>
      <c r="P584" s="568">
        <f t="shared" ca="1" si="357"/>
        <v>0</v>
      </c>
      <c r="Q584" s="568">
        <v>0</v>
      </c>
      <c r="R584" s="568">
        <v>0</v>
      </c>
      <c r="S584" s="568">
        <v>0</v>
      </c>
      <c r="T584" s="568">
        <f t="shared" si="359"/>
        <v>0</v>
      </c>
      <c r="U584" s="568">
        <f t="shared" si="360"/>
        <v>0</v>
      </c>
    </row>
    <row r="585" spans="1:21" ht="19.5" hidden="1" x14ac:dyDescent="0.3">
      <c r="A585" s="687"/>
      <c r="B585" s="688"/>
      <c r="C585" s="1034" t="s">
        <v>18</v>
      </c>
      <c r="D585" s="689" t="s">
        <v>38</v>
      </c>
      <c r="E585" s="690"/>
      <c r="F585" s="690"/>
      <c r="G585" s="691"/>
      <c r="H585" s="692"/>
      <c r="I585" s="683"/>
      <c r="J585" s="565"/>
      <c r="K585" s="566"/>
      <c r="L585" s="574"/>
      <c r="M585" s="566"/>
      <c r="N585" s="566"/>
      <c r="O585" s="684"/>
      <c r="P585" s="684"/>
      <c r="Q585" s="566"/>
      <c r="R585" s="566"/>
      <c r="S585" s="566"/>
      <c r="T585" s="684"/>
      <c r="U585" s="684"/>
    </row>
    <row r="586" spans="1:21" ht="12.75" hidden="1" x14ac:dyDescent="0.2">
      <c r="A586" s="973"/>
      <c r="B586" s="974"/>
      <c r="C586" s="961"/>
      <c r="D586" s="974"/>
      <c r="E586" s="961"/>
      <c r="F586" s="974"/>
      <c r="G586" s="975"/>
      <c r="H586" s="975"/>
      <c r="I586" s="963"/>
      <c r="J586" s="963"/>
      <c r="K586" s="964"/>
      <c r="L586" s="965"/>
      <c r="M586" s="964"/>
      <c r="N586" s="964"/>
      <c r="O586" s="964"/>
      <c r="P586" s="964"/>
      <c r="Q586" s="964"/>
      <c r="R586" s="964"/>
      <c r="S586" s="964"/>
      <c r="T586" s="964"/>
      <c r="U586" s="964"/>
    </row>
    <row r="587" spans="1:21" ht="12.75" hidden="1" x14ac:dyDescent="0.2">
      <c r="A587" s="973"/>
      <c r="B587" s="974"/>
      <c r="C587" s="961"/>
      <c r="D587" s="974"/>
      <c r="E587" s="961"/>
      <c r="F587" s="974"/>
      <c r="G587" s="975"/>
      <c r="H587" s="975"/>
      <c r="I587" s="963"/>
      <c r="J587" s="963"/>
      <c r="K587" s="964"/>
      <c r="L587" s="965"/>
      <c r="M587" s="964"/>
      <c r="N587" s="964"/>
      <c r="O587" s="964"/>
      <c r="P587" s="964"/>
      <c r="Q587" s="964"/>
      <c r="R587" s="964"/>
      <c r="S587" s="964"/>
      <c r="T587" s="964"/>
      <c r="U587" s="964"/>
    </row>
    <row r="588" spans="1:21" ht="12.75" hidden="1" x14ac:dyDescent="0.2">
      <c r="A588" s="973"/>
      <c r="B588" s="961"/>
      <c r="C588" s="961"/>
      <c r="D588" s="974"/>
      <c r="E588" s="974"/>
      <c r="F588" s="974"/>
      <c r="G588" s="975"/>
      <c r="H588" s="962"/>
      <c r="I588" s="963"/>
      <c r="J588" s="963"/>
      <c r="K588" s="964"/>
      <c r="L588" s="965"/>
      <c r="M588" s="964"/>
      <c r="N588" s="964"/>
      <c r="O588" s="964"/>
      <c r="P588" s="964"/>
      <c r="Q588" s="964"/>
      <c r="R588" s="964"/>
      <c r="S588" s="964"/>
      <c r="T588" s="964"/>
      <c r="U588" s="964"/>
    </row>
    <row r="589" spans="1:21" ht="12.75" hidden="1" x14ac:dyDescent="0.2">
      <c r="A589" s="973"/>
      <c r="B589" s="961"/>
      <c r="C589" s="961"/>
      <c r="D589" s="974"/>
      <c r="E589" s="974"/>
      <c r="F589" s="974"/>
      <c r="G589" s="975"/>
      <c r="H589" s="962"/>
      <c r="I589" s="963"/>
      <c r="J589" s="963"/>
      <c r="K589" s="964"/>
      <c r="L589" s="965"/>
      <c r="M589" s="964"/>
      <c r="N589" s="964"/>
      <c r="O589" s="964"/>
      <c r="P589" s="964"/>
      <c r="Q589" s="964"/>
      <c r="R589" s="964"/>
      <c r="S589" s="964"/>
      <c r="T589" s="964"/>
      <c r="U589" s="964"/>
    </row>
    <row r="590" spans="1:21" ht="12.75" hidden="1" x14ac:dyDescent="0.2">
      <c r="A590" s="973"/>
      <c r="B590" s="961"/>
      <c r="C590" s="961"/>
      <c r="D590" s="974"/>
      <c r="E590" s="974"/>
      <c r="F590" s="974"/>
      <c r="G590" s="975"/>
      <c r="H590" s="962"/>
      <c r="I590" s="963"/>
      <c r="J590" s="963"/>
      <c r="K590" s="964"/>
      <c r="L590" s="965"/>
      <c r="M590" s="964"/>
      <c r="N590" s="964"/>
      <c r="O590" s="964"/>
      <c r="P590" s="964"/>
      <c r="Q590" s="964"/>
      <c r="R590" s="964"/>
      <c r="S590" s="964"/>
      <c r="T590" s="964"/>
      <c r="U590" s="964"/>
    </row>
    <row r="591" spans="1:21" ht="12.75" hidden="1" x14ac:dyDescent="0.2">
      <c r="A591" s="973"/>
      <c r="B591" s="961"/>
      <c r="C591" s="961"/>
      <c r="D591" s="974"/>
      <c r="E591" s="974"/>
      <c r="F591" s="974"/>
      <c r="G591" s="975"/>
      <c r="H591" s="962"/>
      <c r="I591" s="963"/>
      <c r="J591" s="963"/>
      <c r="K591" s="964"/>
      <c r="L591" s="965"/>
      <c r="M591" s="964"/>
      <c r="N591" s="964"/>
      <c r="O591" s="964"/>
      <c r="P591" s="964"/>
      <c r="Q591" s="964"/>
      <c r="R591" s="964"/>
      <c r="S591" s="964"/>
      <c r="T591" s="964"/>
      <c r="U591" s="964"/>
    </row>
    <row r="592" spans="1:21" ht="12.75" hidden="1" x14ac:dyDescent="0.2">
      <c r="A592" s="973"/>
      <c r="B592" s="961"/>
      <c r="C592" s="961"/>
      <c r="D592" s="974"/>
      <c r="E592" s="974"/>
      <c r="F592" s="974"/>
      <c r="G592" s="975"/>
      <c r="H592" s="962"/>
      <c r="I592" s="963"/>
      <c r="J592" s="963"/>
      <c r="K592" s="964"/>
      <c r="L592" s="965"/>
      <c r="M592" s="964"/>
      <c r="N592" s="964"/>
      <c r="O592" s="964"/>
      <c r="P592" s="964"/>
      <c r="Q592" s="964"/>
      <c r="R592" s="964"/>
      <c r="S592" s="964"/>
      <c r="T592" s="964"/>
      <c r="U592" s="964"/>
    </row>
    <row r="593" spans="1:21" ht="12.75" hidden="1" x14ac:dyDescent="0.2">
      <c r="A593" s="973"/>
      <c r="B593" s="961"/>
      <c r="C593" s="961"/>
      <c r="D593" s="974"/>
      <c r="E593" s="974"/>
      <c r="F593" s="974"/>
      <c r="G593" s="975"/>
      <c r="H593" s="962"/>
      <c r="I593" s="963"/>
      <c r="J593" s="963"/>
      <c r="K593" s="964"/>
      <c r="L593" s="965"/>
      <c r="M593" s="964"/>
      <c r="N593" s="964"/>
      <c r="O593" s="964"/>
      <c r="P593" s="964"/>
      <c r="Q593" s="964"/>
      <c r="R593" s="964"/>
      <c r="S593" s="964"/>
      <c r="T593" s="964"/>
      <c r="U593" s="964"/>
    </row>
    <row r="594" spans="1:21" ht="12.75" hidden="1" x14ac:dyDescent="0.2">
      <c r="A594" s="973"/>
      <c r="B594" s="961"/>
      <c r="C594" s="961"/>
      <c r="D594" s="974"/>
      <c r="E594" s="974"/>
      <c r="F594" s="974"/>
      <c r="G594" s="975"/>
      <c r="H594" s="962"/>
      <c r="I594" s="963"/>
      <c r="J594" s="963"/>
      <c r="K594" s="964"/>
      <c r="L594" s="965"/>
      <c r="M594" s="964"/>
      <c r="N594" s="964"/>
      <c r="O594" s="964"/>
      <c r="P594" s="964"/>
      <c r="Q594" s="964"/>
      <c r="R594" s="964"/>
      <c r="S594" s="964"/>
      <c r="T594" s="964"/>
      <c r="U594" s="964"/>
    </row>
    <row r="595" spans="1:21" ht="12.75" hidden="1" x14ac:dyDescent="0.2">
      <c r="A595" s="1027"/>
      <c r="B595" s="966"/>
      <c r="C595" s="966"/>
      <c r="D595" s="1028"/>
      <c r="E595" s="1028"/>
      <c r="F595" s="1028"/>
      <c r="G595" s="1029"/>
      <c r="H595" s="967"/>
      <c r="I595" s="968"/>
      <c r="J595" s="968"/>
      <c r="K595" s="969"/>
      <c r="L595" s="970"/>
      <c r="M595" s="969"/>
      <c r="N595" s="969"/>
      <c r="O595" s="969"/>
      <c r="P595" s="969"/>
      <c r="Q595" s="969"/>
      <c r="R595" s="969"/>
      <c r="S595" s="969"/>
      <c r="T595" s="969"/>
      <c r="U595" s="969"/>
    </row>
    <row r="596" spans="1:21" ht="19.5" hidden="1" x14ac:dyDescent="0.3">
      <c r="A596" s="1035" t="s">
        <v>213</v>
      </c>
      <c r="B596" s="663"/>
      <c r="C596" s="729"/>
      <c r="D596" s="663"/>
      <c r="E596" s="663"/>
      <c r="F596" s="663"/>
      <c r="G596" s="663"/>
      <c r="H596" s="664"/>
      <c r="I596" s="730"/>
      <c r="J596" s="730"/>
      <c r="K596" s="731"/>
      <c r="L596" s="667"/>
      <c r="M596" s="667"/>
      <c r="N596" s="667"/>
      <c r="O596" s="667"/>
      <c r="P596" s="667"/>
      <c r="Q596" s="667"/>
      <c r="R596" s="667"/>
      <c r="S596" s="667"/>
      <c r="T596" s="667"/>
      <c r="U596" s="667"/>
    </row>
    <row r="597" spans="1:21" ht="19.5" hidden="1" x14ac:dyDescent="0.3">
      <c r="A597" s="669"/>
      <c r="B597" s="1036" t="s">
        <v>214</v>
      </c>
      <c r="C597" s="716"/>
      <c r="D597" s="670"/>
      <c r="E597" s="543"/>
      <c r="F597" s="543"/>
      <c r="G597" s="543"/>
      <c r="H597" s="1037" t="s">
        <v>99</v>
      </c>
      <c r="I597" s="732"/>
      <c r="J597" s="548"/>
      <c r="K597" s="549"/>
      <c r="L597" s="673"/>
      <c r="M597" s="549"/>
      <c r="N597" s="549"/>
      <c r="O597" s="549"/>
      <c r="P597" s="549"/>
      <c r="Q597" s="549"/>
      <c r="R597" s="549"/>
      <c r="S597" s="549"/>
      <c r="T597" s="549"/>
      <c r="U597" s="549"/>
    </row>
    <row r="598" spans="1:21" ht="19.5" hidden="1" x14ac:dyDescent="0.3">
      <c r="A598" s="1038"/>
      <c r="B598" s="1039" t="s">
        <v>215</v>
      </c>
      <c r="C598" s="670"/>
      <c r="D598" s="543"/>
      <c r="E598" s="543"/>
      <c r="F598" s="543"/>
      <c r="G598" s="546"/>
      <c r="H598" s="1040" t="s">
        <v>35</v>
      </c>
      <c r="I598" s="548"/>
      <c r="J598" s="548"/>
      <c r="K598" s="549"/>
      <c r="L598" s="673"/>
      <c r="M598" s="549"/>
      <c r="N598" s="549"/>
      <c r="O598" s="549"/>
      <c r="P598" s="549"/>
      <c r="Q598" s="549"/>
      <c r="R598" s="549"/>
      <c r="S598" s="549"/>
      <c r="T598" s="549"/>
      <c r="U598" s="549"/>
    </row>
    <row r="599" spans="1:21" ht="19.5" hidden="1" x14ac:dyDescent="0.3">
      <c r="A599" s="674"/>
      <c r="B599" s="718"/>
      <c r="C599" s="724" t="s">
        <v>18</v>
      </c>
      <c r="D599" s="1315" t="s">
        <v>19</v>
      </c>
      <c r="E599" s="1311"/>
      <c r="F599" s="1311"/>
      <c r="G599" s="1312"/>
      <c r="H599" s="799" t="s">
        <v>14</v>
      </c>
      <c r="I599" s="565"/>
      <c r="J599" s="565"/>
      <c r="K599" s="566"/>
      <c r="L599" s="678">
        <f t="shared" ref="L599:N599" ca="1" si="367">L600+L601</f>
        <v>0</v>
      </c>
      <c r="M599" s="679">
        <f t="shared" ca="1" si="367"/>
        <v>0</v>
      </c>
      <c r="N599" s="679">
        <f t="shared" ca="1" si="367"/>
        <v>0</v>
      </c>
      <c r="O599" s="679">
        <f t="shared" ref="O599:O607" ca="1" si="368">IF(L599&gt;0,N599*100/L599,0)</f>
        <v>0</v>
      </c>
      <c r="P599" s="679">
        <f t="shared" ref="P599:P607" ca="1" si="369">IF(M599&gt;0,N599*100/M599,0)</f>
        <v>0</v>
      </c>
      <c r="Q599" s="679">
        <f t="shared" ref="Q599:S599" ca="1" si="370">Q600+Q601</f>
        <v>0</v>
      </c>
      <c r="R599" s="679">
        <f t="shared" ca="1" si="370"/>
        <v>0</v>
      </c>
      <c r="S599" s="679">
        <f t="shared" ca="1" si="370"/>
        <v>0</v>
      </c>
      <c r="T599" s="679">
        <f t="shared" ref="T599:T607" ca="1" si="371">IF(Q599&gt;0,S599*100/Q599,0)</f>
        <v>0</v>
      </c>
      <c r="U599" s="679">
        <f t="shared" ref="U599:U607" ca="1" si="372">IF(R599&gt;0,S599*100/R599,0)</f>
        <v>0</v>
      </c>
    </row>
    <row r="600" spans="1:21" ht="18.75" hidden="1" x14ac:dyDescent="0.25">
      <c r="A600" s="674"/>
      <c r="B600" s="718"/>
      <c r="C600" s="718"/>
      <c r="D600" s="695"/>
      <c r="E600" s="569" t="s">
        <v>158</v>
      </c>
      <c r="F600" s="561"/>
      <c r="G600" s="563"/>
      <c r="H600" s="685" t="s">
        <v>14</v>
      </c>
      <c r="I600" s="565"/>
      <c r="J600" s="565"/>
      <c r="K600" s="566"/>
      <c r="L600" s="571">
        <f t="shared" ref="L600:N601" si="373">L603+L606</f>
        <v>0</v>
      </c>
      <c r="M600" s="572">
        <f t="shared" si="373"/>
        <v>0</v>
      </c>
      <c r="N600" s="572">
        <f t="shared" si="373"/>
        <v>0</v>
      </c>
      <c r="O600" s="572">
        <f t="shared" si="368"/>
        <v>0</v>
      </c>
      <c r="P600" s="572">
        <f t="shared" si="369"/>
        <v>0</v>
      </c>
      <c r="Q600" s="572">
        <f t="shared" ref="Q600:S601" si="374">Q603+Q606</f>
        <v>0</v>
      </c>
      <c r="R600" s="572">
        <f t="shared" si="374"/>
        <v>0</v>
      </c>
      <c r="S600" s="572">
        <f t="shared" si="374"/>
        <v>0</v>
      </c>
      <c r="T600" s="572">
        <f t="shared" si="371"/>
        <v>0</v>
      </c>
      <c r="U600" s="572">
        <f t="shared" si="372"/>
        <v>0</v>
      </c>
    </row>
    <row r="601" spans="1:21" ht="18.75" hidden="1" x14ac:dyDescent="0.25">
      <c r="A601" s="674"/>
      <c r="B601" s="718"/>
      <c r="C601" s="718"/>
      <c r="D601" s="695"/>
      <c r="E601" s="569" t="s">
        <v>159</v>
      </c>
      <c r="F601" s="561"/>
      <c r="G601" s="563"/>
      <c r="H601" s="685" t="s">
        <v>14</v>
      </c>
      <c r="I601" s="565"/>
      <c r="J601" s="565"/>
      <c r="K601" s="566"/>
      <c r="L601" s="567">
        <f t="shared" ca="1" si="373"/>
        <v>0</v>
      </c>
      <c r="M601" s="568">
        <f t="shared" ca="1" si="373"/>
        <v>0</v>
      </c>
      <c r="N601" s="568">
        <f t="shared" ca="1" si="373"/>
        <v>0</v>
      </c>
      <c r="O601" s="568">
        <f t="shared" ca="1" si="368"/>
        <v>0</v>
      </c>
      <c r="P601" s="568">
        <f t="shared" ca="1" si="369"/>
        <v>0</v>
      </c>
      <c r="Q601" s="568">
        <f t="shared" ca="1" si="374"/>
        <v>0</v>
      </c>
      <c r="R601" s="568">
        <f t="shared" ca="1" si="374"/>
        <v>0</v>
      </c>
      <c r="S601" s="568">
        <f t="shared" ca="1" si="374"/>
        <v>0</v>
      </c>
      <c r="T601" s="568">
        <f t="shared" ca="1" si="371"/>
        <v>0</v>
      </c>
      <c r="U601" s="568">
        <f t="shared" ca="1" si="372"/>
        <v>0</v>
      </c>
    </row>
    <row r="602" spans="1:21" ht="19.5" hidden="1" x14ac:dyDescent="0.3">
      <c r="A602" s="674"/>
      <c r="B602" s="718"/>
      <c r="C602" s="718"/>
      <c r="D602" s="798" t="s">
        <v>22</v>
      </c>
      <c r="E602" s="561"/>
      <c r="F602" s="561"/>
      <c r="G602" s="563"/>
      <c r="H602" s="799" t="s">
        <v>14</v>
      </c>
      <c r="I602" s="683"/>
      <c r="J602" s="683"/>
      <c r="K602" s="684"/>
      <c r="L602" s="567">
        <f t="shared" ref="L602:N602" ca="1" si="375">L603+L604</f>
        <v>0</v>
      </c>
      <c r="M602" s="568">
        <f t="shared" ca="1" si="375"/>
        <v>0</v>
      </c>
      <c r="N602" s="568">
        <f t="shared" ca="1" si="375"/>
        <v>0</v>
      </c>
      <c r="O602" s="568">
        <f t="shared" ca="1" si="368"/>
        <v>0</v>
      </c>
      <c r="P602" s="568">
        <f t="shared" ca="1" si="369"/>
        <v>0</v>
      </c>
      <c r="Q602" s="568">
        <f t="shared" ref="Q602:S602" ca="1" si="376">Q603+Q604</f>
        <v>0</v>
      </c>
      <c r="R602" s="568">
        <f t="shared" ca="1" si="376"/>
        <v>0</v>
      </c>
      <c r="S602" s="568">
        <f t="shared" ca="1" si="376"/>
        <v>0</v>
      </c>
      <c r="T602" s="568">
        <f t="shared" ca="1" si="371"/>
        <v>0</v>
      </c>
      <c r="U602" s="568">
        <f t="shared" ca="1" si="372"/>
        <v>0</v>
      </c>
    </row>
    <row r="603" spans="1:21" ht="18.75" hidden="1" x14ac:dyDescent="0.25">
      <c r="A603" s="674"/>
      <c r="B603" s="718"/>
      <c r="C603" s="718"/>
      <c r="D603" s="695"/>
      <c r="E603" s="569" t="s">
        <v>158</v>
      </c>
      <c r="F603" s="561"/>
      <c r="G603" s="563"/>
      <c r="H603" s="685" t="s">
        <v>14</v>
      </c>
      <c r="I603" s="565"/>
      <c r="J603" s="565"/>
      <c r="K603" s="566"/>
      <c r="L603" s="571">
        <v>0</v>
      </c>
      <c r="M603" s="572">
        <v>0</v>
      </c>
      <c r="N603" s="572">
        <v>0</v>
      </c>
      <c r="O603" s="572">
        <f t="shared" si="368"/>
        <v>0</v>
      </c>
      <c r="P603" s="572">
        <f t="shared" si="369"/>
        <v>0</v>
      </c>
      <c r="Q603" s="572">
        <v>0</v>
      </c>
      <c r="R603" s="572">
        <v>0</v>
      </c>
      <c r="S603" s="572">
        <v>0</v>
      </c>
      <c r="T603" s="572">
        <f t="shared" si="371"/>
        <v>0</v>
      </c>
      <c r="U603" s="572">
        <f t="shared" si="372"/>
        <v>0</v>
      </c>
    </row>
    <row r="604" spans="1:21" ht="18.75" hidden="1" x14ac:dyDescent="0.25">
      <c r="A604" s="674"/>
      <c r="B604" s="718"/>
      <c r="C604" s="718"/>
      <c r="D604" s="695"/>
      <c r="E604" s="569" t="s">
        <v>159</v>
      </c>
      <c r="F604" s="561"/>
      <c r="G604" s="563"/>
      <c r="H604" s="685" t="s">
        <v>14</v>
      </c>
      <c r="I604" s="565"/>
      <c r="J604" s="565"/>
      <c r="K604" s="566"/>
      <c r="L604" s="567">
        <f ca="1">IFERROR(__xludf.DUMMYFUNCTION("IMPORTRANGE(""https://docs.google.com/spreadsheets/d/1-uDff_7J0KD5mKrp0Vvzr7lt3OU09vwQwhkpOPPYv2Y/edit?usp=sharing"",""งบพรบ!HK20"")"),0)</f>
        <v>0</v>
      </c>
      <c r="M604" s="568">
        <f ca="1">IFERROR(__xludf.DUMMYFUNCTION("IMPORTRANGE(""https://docs.google.com/spreadsheets/d/1-uDff_7J0KD5mKrp0Vvzr7lt3OU09vwQwhkpOPPYv2Y/edit?usp=sharing"",""งบพรบ!HP20"")"),0)</f>
        <v>0</v>
      </c>
      <c r="N604" s="568">
        <f ca="1">IFERROR(__xludf.DUMMYFUNCTION("IMPORTRANGE(""https://docs.google.com/spreadsheets/d/1-uDff_7J0KD5mKrp0Vvzr7lt3OU09vwQwhkpOPPYv2Y/edit?usp=sharing"",""งบพรบ!HR20"")"),0)</f>
        <v>0</v>
      </c>
      <c r="O604" s="568">
        <f t="shared" ca="1" si="368"/>
        <v>0</v>
      </c>
      <c r="P604" s="568">
        <f t="shared" ca="1" si="369"/>
        <v>0</v>
      </c>
      <c r="Q604" s="568">
        <f ca="1">IFERROR(__xludf.DUMMYFUNCTION("IMPORTRANGE(""https://docs.google.com/spreadsheets/d/1ItG2mGa2ceCfYo0BwxsXqNm01IGEUdYcSSLTEv9YCik/edit?usp=sharing"",""เบิกจ่ายกองทุน!AV20"")"),0)</f>
        <v>0</v>
      </c>
      <c r="R604" s="568">
        <f ca="1">IFERROR(__xludf.DUMMYFUNCTION("IMPORTRANGE(""https://docs.google.com/spreadsheets/d/1ItG2mGa2ceCfYo0BwxsXqNm01IGEUdYcSSLTEv9YCik/edit?usp=sharing"",""เบิกจ่ายกองทุน!AW20"")"),0)</f>
        <v>0</v>
      </c>
      <c r="S604" s="568">
        <f ca="1">IFERROR(__xludf.DUMMYFUNCTION("IMPORTRANGE(""https://docs.google.com/spreadsheets/d/1ItG2mGa2ceCfYo0BwxsXqNm01IGEUdYcSSLTEv9YCik/edit?usp=sharing"",""เบิกจ่ายกองทุน!AX20"")"),0)</f>
        <v>0</v>
      </c>
      <c r="T604" s="568">
        <f t="shared" ca="1" si="371"/>
        <v>0</v>
      </c>
      <c r="U604" s="568">
        <f t="shared" ca="1" si="372"/>
        <v>0</v>
      </c>
    </row>
    <row r="605" spans="1:21" ht="19.5" hidden="1" x14ac:dyDescent="0.3">
      <c r="A605" s="674"/>
      <c r="B605" s="718"/>
      <c r="C605" s="718"/>
      <c r="D605" s="798" t="s">
        <v>23</v>
      </c>
      <c r="E605" s="718"/>
      <c r="F605" s="561"/>
      <c r="G605" s="563"/>
      <c r="H605" s="1041" t="s">
        <v>14</v>
      </c>
      <c r="I605" s="683"/>
      <c r="J605" s="683"/>
      <c r="K605" s="684"/>
      <c r="L605" s="567">
        <f t="shared" ref="L605:N605" ca="1" si="377">L606+L607</f>
        <v>0</v>
      </c>
      <c r="M605" s="568">
        <f t="shared" ca="1" si="377"/>
        <v>0</v>
      </c>
      <c r="N605" s="568">
        <f t="shared" ca="1" si="377"/>
        <v>0</v>
      </c>
      <c r="O605" s="568">
        <f t="shared" ca="1" si="368"/>
        <v>0</v>
      </c>
      <c r="P605" s="568">
        <f t="shared" ca="1" si="369"/>
        <v>0</v>
      </c>
      <c r="Q605" s="568">
        <f t="shared" ref="Q605:S605" ca="1" si="378">Q606+Q607</f>
        <v>0</v>
      </c>
      <c r="R605" s="568">
        <f t="shared" ca="1" si="378"/>
        <v>0</v>
      </c>
      <c r="S605" s="568">
        <f t="shared" ca="1" si="378"/>
        <v>0</v>
      </c>
      <c r="T605" s="568">
        <f t="shared" ca="1" si="371"/>
        <v>0</v>
      </c>
      <c r="U605" s="568">
        <f t="shared" ca="1" si="372"/>
        <v>0</v>
      </c>
    </row>
    <row r="606" spans="1:21" ht="18.75" hidden="1" x14ac:dyDescent="0.25">
      <c r="A606" s="674"/>
      <c r="B606" s="718"/>
      <c r="C606" s="718"/>
      <c r="D606" s="718"/>
      <c r="E606" s="767" t="s">
        <v>20</v>
      </c>
      <c r="F606" s="561"/>
      <c r="G606" s="563"/>
      <c r="H606" s="685" t="s">
        <v>14</v>
      </c>
      <c r="I606" s="683"/>
      <c r="J606" s="683"/>
      <c r="K606" s="684"/>
      <c r="L606" s="571">
        <v>0</v>
      </c>
      <c r="M606" s="572">
        <v>0</v>
      </c>
      <c r="N606" s="572">
        <v>0</v>
      </c>
      <c r="O606" s="572">
        <f t="shared" si="368"/>
        <v>0</v>
      </c>
      <c r="P606" s="572">
        <f t="shared" si="369"/>
        <v>0</v>
      </c>
      <c r="Q606" s="572">
        <v>0</v>
      </c>
      <c r="R606" s="572">
        <v>0</v>
      </c>
      <c r="S606" s="572">
        <v>0</v>
      </c>
      <c r="T606" s="572">
        <f t="shared" si="371"/>
        <v>0</v>
      </c>
      <c r="U606" s="572">
        <f t="shared" si="372"/>
        <v>0</v>
      </c>
    </row>
    <row r="607" spans="1:21" ht="18.75" hidden="1" x14ac:dyDescent="0.25">
      <c r="A607" s="674"/>
      <c r="B607" s="718"/>
      <c r="C607" s="718"/>
      <c r="D607" s="561"/>
      <c r="E607" s="767" t="s">
        <v>21</v>
      </c>
      <c r="F607" s="561"/>
      <c r="G607" s="563"/>
      <c r="H607" s="734" t="s">
        <v>14</v>
      </c>
      <c r="I607" s="683"/>
      <c r="J607" s="683"/>
      <c r="K607" s="684"/>
      <c r="L607" s="567">
        <f ca="1">IFERROR(__xludf.DUMMYFUNCTION("IMPORTRANGE(""https://docs.google.com/spreadsheets/d/1-uDff_7J0KD5mKrp0Vvzr7lt3OU09vwQwhkpOPPYv2Y/edit?usp=sharing"",""งบพรบ!HN20"")"),0)</f>
        <v>0</v>
      </c>
      <c r="M607" s="568">
        <f ca="1">IFERROR(__xludf.DUMMYFUNCTION("IMPORTRANGE(""https://docs.google.com/spreadsheets/d/1-uDff_7J0KD5mKrp0Vvzr7lt3OU09vwQwhkpOPPYv2Y/edit?usp=sharing"",""งบพรบ!HQ20"")"),0)</f>
        <v>0</v>
      </c>
      <c r="N607" s="568">
        <f ca="1">IFERROR(__xludf.DUMMYFUNCTION("IMPORTRANGE(""https://docs.google.com/spreadsheets/d/1-uDff_7J0KD5mKrp0Vvzr7lt3OU09vwQwhkpOPPYv2Y/edit?usp=sharing"",""งบพรบ!HS20"")"),0)</f>
        <v>0</v>
      </c>
      <c r="O607" s="568">
        <f t="shared" ca="1" si="368"/>
        <v>0</v>
      </c>
      <c r="P607" s="568">
        <f t="shared" ca="1" si="369"/>
        <v>0</v>
      </c>
      <c r="Q607" s="568">
        <f ca="1">IFERROR(__xludf.DUMMYFUNCTION("IMPORTRANGE(""https://docs.google.com/spreadsheets/d/1ItG2mGa2ceCfYo0BwxsXqNm01IGEUdYcSSLTEv9YCik/edit?usp=sharing"",""เบิกจ่ายกองทุน!AY20"")"),0)</f>
        <v>0</v>
      </c>
      <c r="R607" s="568">
        <f ca="1">IFERROR(__xludf.DUMMYFUNCTION("IMPORTRANGE(""https://docs.google.com/spreadsheets/d/1ItG2mGa2ceCfYo0BwxsXqNm01IGEUdYcSSLTEv9YCik/edit?usp=sharing"",""เบิกจ่ายกองทุน!AZ20"")"),0)</f>
        <v>0</v>
      </c>
      <c r="S607" s="568">
        <f ca="1">IFERROR(__xludf.DUMMYFUNCTION("IMPORTRANGE(""https://docs.google.com/spreadsheets/d/1ItG2mGa2ceCfYo0BwxsXqNm01IGEUdYcSSLTEv9YCik/edit?usp=sharing"",""เบิกจ่ายกองทุน!BA20"")"),0)</f>
        <v>0</v>
      </c>
      <c r="T607" s="568">
        <f t="shared" ca="1" si="371"/>
        <v>0</v>
      </c>
      <c r="U607" s="568">
        <f t="shared" ca="1" si="372"/>
        <v>0</v>
      </c>
    </row>
    <row r="608" spans="1:21" ht="19.5" hidden="1" x14ac:dyDescent="0.3">
      <c r="A608" s="687"/>
      <c r="B608" s="688"/>
      <c r="C608" s="724" t="s">
        <v>18</v>
      </c>
      <c r="D608" s="801" t="s">
        <v>38</v>
      </c>
      <c r="E608" s="690"/>
      <c r="F608" s="690"/>
      <c r="G608" s="691"/>
      <c r="H608" s="725"/>
      <c r="I608" s="683"/>
      <c r="J608" s="683"/>
      <c r="K608" s="684"/>
      <c r="L608" s="574"/>
      <c r="M608" s="566"/>
      <c r="N608" s="566"/>
      <c r="O608" s="566"/>
      <c r="P608" s="566"/>
      <c r="Q608" s="566"/>
      <c r="R608" s="566"/>
      <c r="S608" s="566"/>
      <c r="T608" s="566"/>
      <c r="U608" s="566"/>
    </row>
    <row r="609" spans="1:21" ht="18.75" hidden="1" x14ac:dyDescent="0.25">
      <c r="A609" s="687"/>
      <c r="B609" s="688"/>
      <c r="C609" s="688"/>
      <c r="D609" s="1042" t="s">
        <v>216</v>
      </c>
      <c r="E609" s="695"/>
      <c r="F609" s="695"/>
      <c r="G609" s="692"/>
      <c r="H609" s="685" t="s">
        <v>99</v>
      </c>
      <c r="I609" s="565"/>
      <c r="J609" s="565"/>
      <c r="K609" s="684"/>
      <c r="L609" s="574"/>
      <c r="M609" s="566"/>
      <c r="N609" s="566"/>
      <c r="O609" s="566"/>
      <c r="P609" s="566"/>
      <c r="Q609" s="566"/>
      <c r="R609" s="566"/>
      <c r="S609" s="566"/>
      <c r="T609" s="566"/>
      <c r="U609" s="566"/>
    </row>
    <row r="610" spans="1:21" ht="19.5" hidden="1" x14ac:dyDescent="0.3">
      <c r="A610" s="687"/>
      <c r="B610" s="688"/>
      <c r="C610" s="688"/>
      <c r="D610" s="1042" t="s">
        <v>217</v>
      </c>
      <c r="E610" s="695"/>
      <c r="F610" s="695"/>
      <c r="G610" s="692"/>
      <c r="H610" s="799" t="s">
        <v>35</v>
      </c>
      <c r="I610" s="565"/>
      <c r="J610" s="565"/>
      <c r="K610" s="684"/>
      <c r="L610" s="574"/>
      <c r="M610" s="566"/>
      <c r="N610" s="566"/>
      <c r="O610" s="566"/>
      <c r="P610" s="566"/>
      <c r="Q610" s="566"/>
      <c r="R610" s="566"/>
      <c r="S610" s="566"/>
      <c r="T610" s="566"/>
      <c r="U610" s="566"/>
    </row>
    <row r="611" spans="1:21" ht="18.75" hidden="1" x14ac:dyDescent="0.25">
      <c r="A611" s="687"/>
      <c r="B611" s="688"/>
      <c r="C611" s="688"/>
      <c r="D611" s="688"/>
      <c r="E611" s="1042" t="s">
        <v>218</v>
      </c>
      <c r="F611" s="695"/>
      <c r="G611" s="692"/>
      <c r="H611" s="734" t="s">
        <v>35</v>
      </c>
      <c r="I611" s="565"/>
      <c r="J611" s="565"/>
      <c r="K611" s="684"/>
      <c r="L611" s="574"/>
      <c r="M611" s="566"/>
      <c r="N611" s="566"/>
      <c r="O611" s="566"/>
      <c r="P611" s="566"/>
      <c r="Q611" s="566"/>
      <c r="R611" s="566"/>
      <c r="S611" s="566"/>
      <c r="T611" s="566"/>
      <c r="U611" s="566"/>
    </row>
    <row r="612" spans="1:21" ht="19.5" hidden="1" thickBot="1" x14ac:dyDescent="0.3">
      <c r="A612" s="1043"/>
      <c r="B612" s="1044"/>
      <c r="C612" s="1044"/>
      <c r="D612" s="1044"/>
      <c r="E612" s="1045" t="s">
        <v>219</v>
      </c>
      <c r="F612" s="1046"/>
      <c r="G612" s="1047"/>
      <c r="H612" s="1048" t="s">
        <v>35</v>
      </c>
      <c r="I612" s="1049"/>
      <c r="J612" s="1049"/>
      <c r="K612" s="1050"/>
      <c r="L612" s="1051"/>
      <c r="M612" s="1052"/>
      <c r="N612" s="1052"/>
      <c r="O612" s="1052"/>
      <c r="P612" s="1052"/>
      <c r="Q612" s="1052"/>
      <c r="R612" s="1052"/>
      <c r="S612" s="1052"/>
      <c r="T612" s="1052"/>
      <c r="U612" s="1052"/>
    </row>
    <row r="613" spans="1:21" ht="19.5" x14ac:dyDescent="0.3">
      <c r="A613" s="1053" t="s">
        <v>220</v>
      </c>
      <c r="B613" s="1054"/>
      <c r="C613" s="1054"/>
      <c r="D613" s="1055"/>
      <c r="E613" s="1055"/>
      <c r="F613" s="1055"/>
      <c r="G613" s="1056"/>
      <c r="H613" s="1057"/>
      <c r="I613" s="1058"/>
      <c r="J613" s="1058"/>
      <c r="K613" s="1059"/>
      <c r="L613" s="1060"/>
      <c r="M613" s="1059"/>
      <c r="N613" s="1059"/>
      <c r="O613" s="1059"/>
      <c r="P613" s="1059"/>
      <c r="Q613" s="1059"/>
      <c r="R613" s="1059"/>
      <c r="S613" s="1059"/>
      <c r="T613" s="1059"/>
      <c r="U613" s="1059"/>
    </row>
    <row r="614" spans="1:21" ht="19.5" x14ac:dyDescent="0.3">
      <c r="A614" s="1061"/>
      <c r="B614" s="1062" t="s">
        <v>221</v>
      </c>
      <c r="C614" s="1061"/>
      <c r="D614" s="1063"/>
      <c r="E614" s="1063"/>
      <c r="F614" s="1063"/>
      <c r="G614" s="1064"/>
      <c r="H614" s="1065"/>
      <c r="I614" s="1066"/>
      <c r="J614" s="1066"/>
      <c r="K614" s="1067"/>
      <c r="L614" s="1068"/>
      <c r="M614" s="1067"/>
      <c r="N614" s="1067"/>
      <c r="O614" s="1067"/>
      <c r="P614" s="1067"/>
      <c r="Q614" s="1067"/>
      <c r="R614" s="1067"/>
      <c r="S614" s="1067"/>
      <c r="T614" s="1067"/>
      <c r="U614" s="1067"/>
    </row>
    <row r="615" spans="1:21" ht="19.5" x14ac:dyDescent="0.3">
      <c r="A615" s="1069"/>
      <c r="B615" s="1070" t="s">
        <v>222</v>
      </c>
      <c r="C615" s="1069"/>
      <c r="D615" s="1071"/>
      <c r="E615" s="1071"/>
      <c r="F615" s="1071"/>
      <c r="G615" s="1072"/>
      <c r="H615" s="1073" t="s">
        <v>46</v>
      </c>
      <c r="I615" s="1074">
        <f t="shared" ref="I615:J615" ca="1" si="379">I626</f>
        <v>50</v>
      </c>
      <c r="J615" s="1074">
        <f t="shared" si="379"/>
        <v>0</v>
      </c>
      <c r="K615" s="1075">
        <f ca="1">IF(I615&gt;0,J615*100/I615,0)</f>
        <v>0</v>
      </c>
      <c r="L615" s="1076"/>
      <c r="M615" s="1077"/>
      <c r="N615" s="1077"/>
      <c r="O615" s="1077"/>
      <c r="P615" s="1077"/>
      <c r="Q615" s="1077"/>
      <c r="R615" s="1077"/>
      <c r="S615" s="1077"/>
      <c r="T615" s="1077"/>
      <c r="U615" s="1077"/>
    </row>
    <row r="616" spans="1:21" ht="19.5" x14ac:dyDescent="0.3">
      <c r="A616" s="674"/>
      <c r="B616" s="718"/>
      <c r="C616" s="724" t="s">
        <v>18</v>
      </c>
      <c r="D616" s="1310" t="s">
        <v>19</v>
      </c>
      <c r="E616" s="1311"/>
      <c r="F616" s="1311"/>
      <c r="G616" s="1312"/>
      <c r="H616" s="780" t="s">
        <v>14</v>
      </c>
      <c r="I616" s="565"/>
      <c r="J616" s="565"/>
      <c r="K616" s="566"/>
      <c r="L616" s="678">
        <f t="shared" ref="L616:N616" si="380">L617+L618</f>
        <v>0</v>
      </c>
      <c r="M616" s="679">
        <f t="shared" si="380"/>
        <v>0</v>
      </c>
      <c r="N616" s="679">
        <f t="shared" si="380"/>
        <v>0</v>
      </c>
      <c r="O616" s="679">
        <f t="shared" ref="O616:O624" si="381">IF(L616&gt;0,N616*100/L616,0)</f>
        <v>0</v>
      </c>
      <c r="P616" s="679">
        <f t="shared" ref="P616:P624" si="382">IF(M616&gt;0,N616*100/M616,0)</f>
        <v>0</v>
      </c>
      <c r="Q616" s="679">
        <f t="shared" ref="Q616:S616" ca="1" si="383">Q617+Q618</f>
        <v>6725</v>
      </c>
      <c r="R616" s="679">
        <f t="shared" ca="1" si="383"/>
        <v>6725</v>
      </c>
      <c r="S616" s="679">
        <f t="shared" ca="1" si="383"/>
        <v>0</v>
      </c>
      <c r="T616" s="679">
        <f t="shared" ref="T616:T624" ca="1" si="384">IF(Q616&gt;0,S616*100/Q616,0)</f>
        <v>0</v>
      </c>
      <c r="U616" s="679">
        <f t="shared" ref="U616:U624" ca="1" si="385">IF(R616&gt;0,S616*100/R616,0)</f>
        <v>0</v>
      </c>
    </row>
    <row r="617" spans="1:21" ht="18.75" x14ac:dyDescent="0.25">
      <c r="A617" s="674"/>
      <c r="B617" s="718"/>
      <c r="C617" s="718"/>
      <c r="D617" s="695"/>
      <c r="E617" s="569" t="s">
        <v>158</v>
      </c>
      <c r="F617" s="561"/>
      <c r="G617" s="563"/>
      <c r="H617" s="685" t="s">
        <v>14</v>
      </c>
      <c r="I617" s="565"/>
      <c r="J617" s="565"/>
      <c r="K617" s="566"/>
      <c r="L617" s="571">
        <f t="shared" ref="L617:N618" si="386">L620+L623</f>
        <v>0</v>
      </c>
      <c r="M617" s="572">
        <f t="shared" si="386"/>
        <v>0</v>
      </c>
      <c r="N617" s="572">
        <f t="shared" si="386"/>
        <v>0</v>
      </c>
      <c r="O617" s="572">
        <f t="shared" si="381"/>
        <v>0</v>
      </c>
      <c r="P617" s="572">
        <f t="shared" si="382"/>
        <v>0</v>
      </c>
      <c r="Q617" s="572">
        <f t="shared" ref="Q617:S618" si="387">Q620+Q623</f>
        <v>0</v>
      </c>
      <c r="R617" s="572">
        <f t="shared" si="387"/>
        <v>0</v>
      </c>
      <c r="S617" s="572">
        <f t="shared" si="387"/>
        <v>0</v>
      </c>
      <c r="T617" s="572">
        <f t="shared" si="384"/>
        <v>0</v>
      </c>
      <c r="U617" s="572">
        <f t="shared" si="385"/>
        <v>0</v>
      </c>
    </row>
    <row r="618" spans="1:21" ht="18.75" x14ac:dyDescent="0.25">
      <c r="A618" s="674"/>
      <c r="B618" s="718"/>
      <c r="C618" s="718"/>
      <c r="D618" s="695"/>
      <c r="E618" s="573" t="s">
        <v>159</v>
      </c>
      <c r="F618" s="561"/>
      <c r="G618" s="563"/>
      <c r="H618" s="682" t="s">
        <v>14</v>
      </c>
      <c r="I618" s="565"/>
      <c r="J618" s="565"/>
      <c r="K618" s="566"/>
      <c r="L618" s="567">
        <f t="shared" si="386"/>
        <v>0</v>
      </c>
      <c r="M618" s="568">
        <f t="shared" si="386"/>
        <v>0</v>
      </c>
      <c r="N618" s="568">
        <f t="shared" si="386"/>
        <v>0</v>
      </c>
      <c r="O618" s="568">
        <f t="shared" si="381"/>
        <v>0</v>
      </c>
      <c r="P618" s="568">
        <f t="shared" si="382"/>
        <v>0</v>
      </c>
      <c r="Q618" s="568">
        <f t="shared" ca="1" si="387"/>
        <v>6725</v>
      </c>
      <c r="R618" s="568">
        <f t="shared" ca="1" si="387"/>
        <v>6725</v>
      </c>
      <c r="S618" s="568">
        <f t="shared" ca="1" si="387"/>
        <v>0</v>
      </c>
      <c r="T618" s="568">
        <f t="shared" ca="1" si="384"/>
        <v>0</v>
      </c>
      <c r="U618" s="568">
        <f t="shared" ca="1" si="385"/>
        <v>0</v>
      </c>
    </row>
    <row r="619" spans="1:21" ht="18.75" x14ac:dyDescent="0.25">
      <c r="A619" s="674"/>
      <c r="B619" s="718"/>
      <c r="C619" s="718"/>
      <c r="D619" s="562" t="s">
        <v>22</v>
      </c>
      <c r="E619" s="561"/>
      <c r="F619" s="561"/>
      <c r="G619" s="563"/>
      <c r="H619" s="682" t="s">
        <v>14</v>
      </c>
      <c r="I619" s="683"/>
      <c r="J619" s="683"/>
      <c r="K619" s="684"/>
      <c r="L619" s="567">
        <f t="shared" ref="L619:N619" si="388">L620+L621</f>
        <v>0</v>
      </c>
      <c r="M619" s="568">
        <f t="shared" si="388"/>
        <v>0</v>
      </c>
      <c r="N619" s="568">
        <f t="shared" si="388"/>
        <v>0</v>
      </c>
      <c r="O619" s="568">
        <f t="shared" si="381"/>
        <v>0</v>
      </c>
      <c r="P619" s="568">
        <f t="shared" si="382"/>
        <v>0</v>
      </c>
      <c r="Q619" s="568">
        <f t="shared" ref="Q619:S619" ca="1" si="389">Q620+Q621</f>
        <v>6725</v>
      </c>
      <c r="R619" s="568">
        <f t="shared" ca="1" si="389"/>
        <v>6725</v>
      </c>
      <c r="S619" s="568">
        <f t="shared" ca="1" si="389"/>
        <v>0</v>
      </c>
      <c r="T619" s="568">
        <f t="shared" ca="1" si="384"/>
        <v>0</v>
      </c>
      <c r="U619" s="568">
        <f t="shared" ca="1" si="385"/>
        <v>0</v>
      </c>
    </row>
    <row r="620" spans="1:21" ht="18.75" x14ac:dyDescent="0.25">
      <c r="A620" s="674"/>
      <c r="B620" s="718"/>
      <c r="C620" s="718"/>
      <c r="D620" s="695"/>
      <c r="E620" s="569" t="s">
        <v>158</v>
      </c>
      <c r="F620" s="561"/>
      <c r="G620" s="563"/>
      <c r="H620" s="685" t="s">
        <v>14</v>
      </c>
      <c r="I620" s="565"/>
      <c r="J620" s="565"/>
      <c r="K620" s="566"/>
      <c r="L620" s="571">
        <v>0</v>
      </c>
      <c r="M620" s="572">
        <v>0</v>
      </c>
      <c r="N620" s="572">
        <v>0</v>
      </c>
      <c r="O620" s="572">
        <f t="shared" si="381"/>
        <v>0</v>
      </c>
      <c r="P620" s="572">
        <f t="shared" si="382"/>
        <v>0</v>
      </c>
      <c r="Q620" s="572">
        <v>0</v>
      </c>
      <c r="R620" s="572">
        <v>0</v>
      </c>
      <c r="S620" s="572">
        <v>0</v>
      </c>
      <c r="T620" s="572">
        <f t="shared" si="384"/>
        <v>0</v>
      </c>
      <c r="U620" s="572">
        <f t="shared" si="385"/>
        <v>0</v>
      </c>
    </row>
    <row r="621" spans="1:21" ht="18.75" x14ac:dyDescent="0.25">
      <c r="A621" s="674"/>
      <c r="B621" s="718"/>
      <c r="C621" s="718"/>
      <c r="D621" s="695"/>
      <c r="E621" s="573" t="s">
        <v>159</v>
      </c>
      <c r="F621" s="561"/>
      <c r="G621" s="563"/>
      <c r="H621" s="682" t="s">
        <v>14</v>
      </c>
      <c r="I621" s="565"/>
      <c r="J621" s="565"/>
      <c r="K621" s="566"/>
      <c r="L621" s="567">
        <v>0</v>
      </c>
      <c r="M621" s="568">
        <v>0</v>
      </c>
      <c r="N621" s="568">
        <v>0</v>
      </c>
      <c r="O621" s="568">
        <f t="shared" si="381"/>
        <v>0</v>
      </c>
      <c r="P621" s="568">
        <f t="shared" si="382"/>
        <v>0</v>
      </c>
      <c r="Q621" s="568">
        <f ca="1">IFERROR(__xludf.DUMMYFUNCTION("IMPORTRANGE(""https://docs.google.com/spreadsheets/d/1ItG2mGa2ceCfYo0BwxsXqNm01IGEUdYcSSLTEv9YCik/edit?usp=sharing"",""เบิกจ่ายกองทุน!F20"")"),6725)</f>
        <v>6725</v>
      </c>
      <c r="R621" s="568">
        <f ca="1">IFERROR(__xludf.DUMMYFUNCTION("IMPORTRANGE(""https://docs.google.com/spreadsheets/d/1ItG2mGa2ceCfYo0BwxsXqNm01IGEUdYcSSLTEv9YCik/edit?usp=sharing"",""เบิกจ่ายกองทุน!G20"")"),6725)</f>
        <v>6725</v>
      </c>
      <c r="S621" s="568">
        <f ca="1">IFERROR(__xludf.DUMMYFUNCTION("IMPORTRANGE(""https://docs.google.com/spreadsheets/d/1ItG2mGa2ceCfYo0BwxsXqNm01IGEUdYcSSLTEv9YCik/edit?usp=sharing"",""เบิกจ่ายกองทุน!H20"")"),0)</f>
        <v>0</v>
      </c>
      <c r="T621" s="568">
        <f t="shared" ca="1" si="384"/>
        <v>0</v>
      </c>
      <c r="U621" s="568">
        <f t="shared" ca="1" si="385"/>
        <v>0</v>
      </c>
    </row>
    <row r="622" spans="1:21" ht="18.75" x14ac:dyDescent="0.25">
      <c r="A622" s="674"/>
      <c r="B622" s="718"/>
      <c r="C622" s="718"/>
      <c r="D622" s="562" t="s">
        <v>23</v>
      </c>
      <c r="E622" s="561"/>
      <c r="F622" s="561"/>
      <c r="G622" s="563"/>
      <c r="H622" s="686" t="s">
        <v>14</v>
      </c>
      <c r="I622" s="683"/>
      <c r="J622" s="683"/>
      <c r="K622" s="684"/>
      <c r="L622" s="567">
        <f t="shared" ref="L622:N622" si="390">L623+L624</f>
        <v>0</v>
      </c>
      <c r="M622" s="568">
        <f t="shared" si="390"/>
        <v>0</v>
      </c>
      <c r="N622" s="568">
        <f t="shared" si="390"/>
        <v>0</v>
      </c>
      <c r="O622" s="568">
        <f t="shared" si="381"/>
        <v>0</v>
      </c>
      <c r="P622" s="568">
        <f t="shared" si="382"/>
        <v>0</v>
      </c>
      <c r="Q622" s="568">
        <f t="shared" ref="Q622:S622" si="391">Q623+Q624</f>
        <v>0</v>
      </c>
      <c r="R622" s="568">
        <f t="shared" si="391"/>
        <v>0</v>
      </c>
      <c r="S622" s="568">
        <f t="shared" si="391"/>
        <v>0</v>
      </c>
      <c r="T622" s="568">
        <f t="shared" si="384"/>
        <v>0</v>
      </c>
      <c r="U622" s="568">
        <f t="shared" si="385"/>
        <v>0</v>
      </c>
    </row>
    <row r="623" spans="1:21" ht="18.75" x14ac:dyDescent="0.25">
      <c r="A623" s="674"/>
      <c r="B623" s="718"/>
      <c r="C623" s="718"/>
      <c r="D623" s="718"/>
      <c r="E623" s="569" t="s">
        <v>20</v>
      </c>
      <c r="F623" s="561"/>
      <c r="G623" s="563"/>
      <c r="H623" s="685" t="s">
        <v>14</v>
      </c>
      <c r="I623" s="683"/>
      <c r="J623" s="683"/>
      <c r="K623" s="684"/>
      <c r="L623" s="571">
        <v>0</v>
      </c>
      <c r="M623" s="572">
        <v>0</v>
      </c>
      <c r="N623" s="572">
        <v>0</v>
      </c>
      <c r="O623" s="572">
        <f t="shared" si="381"/>
        <v>0</v>
      </c>
      <c r="P623" s="572">
        <f t="shared" si="382"/>
        <v>0</v>
      </c>
      <c r="Q623" s="572">
        <v>0</v>
      </c>
      <c r="R623" s="572">
        <v>0</v>
      </c>
      <c r="S623" s="572">
        <v>0</v>
      </c>
      <c r="T623" s="572">
        <f t="shared" si="384"/>
        <v>0</v>
      </c>
      <c r="U623" s="572">
        <f t="shared" si="385"/>
        <v>0</v>
      </c>
    </row>
    <row r="624" spans="1:21" ht="18.75" x14ac:dyDescent="0.25">
      <c r="A624" s="674"/>
      <c r="B624" s="718"/>
      <c r="C624" s="718"/>
      <c r="D624" s="718"/>
      <c r="E624" s="573" t="s">
        <v>21</v>
      </c>
      <c r="F624" s="561"/>
      <c r="G624" s="563"/>
      <c r="H624" s="686" t="s">
        <v>14</v>
      </c>
      <c r="I624" s="683"/>
      <c r="J624" s="683"/>
      <c r="K624" s="684"/>
      <c r="L624" s="567">
        <v>0</v>
      </c>
      <c r="M624" s="568">
        <v>0</v>
      </c>
      <c r="N624" s="568">
        <v>0</v>
      </c>
      <c r="O624" s="568">
        <f t="shared" si="381"/>
        <v>0</v>
      </c>
      <c r="P624" s="568">
        <f t="shared" si="382"/>
        <v>0</v>
      </c>
      <c r="Q624" s="568">
        <v>0</v>
      </c>
      <c r="R624" s="568">
        <v>0</v>
      </c>
      <c r="S624" s="568">
        <v>0</v>
      </c>
      <c r="T624" s="568">
        <f t="shared" si="384"/>
        <v>0</v>
      </c>
      <c r="U624" s="568">
        <f t="shared" si="385"/>
        <v>0</v>
      </c>
    </row>
    <row r="625" spans="1:21" ht="19.5" x14ac:dyDescent="0.3">
      <c r="A625" s="687"/>
      <c r="B625" s="688"/>
      <c r="C625" s="724" t="s">
        <v>18</v>
      </c>
      <c r="D625" s="1078" t="s">
        <v>38</v>
      </c>
      <c r="E625" s="690"/>
      <c r="F625" s="690"/>
      <c r="G625" s="691"/>
      <c r="H625" s="725"/>
      <c r="I625" s="683"/>
      <c r="J625" s="683"/>
      <c r="K625" s="684"/>
      <c r="L625" s="693"/>
      <c r="M625" s="684"/>
      <c r="N625" s="684"/>
      <c r="O625" s="684"/>
      <c r="P625" s="684"/>
      <c r="Q625" s="684"/>
      <c r="R625" s="684"/>
      <c r="S625" s="684"/>
      <c r="T625" s="684"/>
      <c r="U625" s="684"/>
    </row>
    <row r="626" spans="1:21" ht="19.5" x14ac:dyDescent="0.3">
      <c r="A626" s="687"/>
      <c r="B626" s="688"/>
      <c r="C626" s="688"/>
      <c r="D626" s="1079" t="s">
        <v>223</v>
      </c>
      <c r="E626" s="695"/>
      <c r="F626" s="695"/>
      <c r="G626" s="692"/>
      <c r="H626" s="1080" t="s">
        <v>46</v>
      </c>
      <c r="I626" s="697">
        <f ca="1">IFERROR(__xludf.DUMMYFUNCTION("IMPORTRANGE(""https://docs.google.com/spreadsheets/d/1eHaY18a8A9IcSdp1K8H6x8fbOy06t2VsZHhMHf-1x7Y/edit?usp=sharing"",""แผน!ID20"")"),50)</f>
        <v>50</v>
      </c>
      <c r="J626" s="697">
        <f>J632</f>
        <v>0</v>
      </c>
      <c r="K626" s="679">
        <f ca="1">IF(I626&gt;0,J626*100/I626,0)</f>
        <v>0</v>
      </c>
      <c r="L626" s="693"/>
      <c r="M626" s="684"/>
      <c r="N626" s="684"/>
      <c r="O626" s="684"/>
      <c r="P626" s="684"/>
      <c r="Q626" s="684"/>
      <c r="R626" s="684"/>
      <c r="S626" s="684"/>
      <c r="T626" s="684"/>
      <c r="U626" s="684"/>
    </row>
    <row r="627" spans="1:21" ht="18.75" x14ac:dyDescent="0.25">
      <c r="A627" s="687"/>
      <c r="B627" s="688"/>
      <c r="C627" s="688"/>
      <c r="D627" s="688"/>
      <c r="E627" s="699" t="s">
        <v>224</v>
      </c>
      <c r="F627" s="695"/>
      <c r="G627" s="692"/>
      <c r="H627" s="686" t="s">
        <v>61</v>
      </c>
      <c r="I627" s="708">
        <f ca="1">IFERROR(__xludf.DUMMYFUNCTION("IMPORTRANGE(""https://docs.google.com/spreadsheets/d/1eHaY18a8A9IcSdp1K8H6x8fbOy06t2VsZHhMHf-1x7Y/edit?usp=sharing"",""แผน!IC20"")"),0)</f>
        <v>0</v>
      </c>
      <c r="J627" s="702">
        <v>0</v>
      </c>
      <c r="K627" s="568">
        <f t="shared" ref="K627:K628" ca="1" si="392">IF(I627&gt;0,(J627*100)/I627,0)</f>
        <v>0</v>
      </c>
      <c r="L627" s="693"/>
      <c r="M627" s="684"/>
      <c r="N627" s="684"/>
      <c r="O627" s="684"/>
      <c r="P627" s="684"/>
      <c r="Q627" s="684"/>
      <c r="R627" s="684"/>
      <c r="S627" s="684"/>
      <c r="T627" s="684"/>
      <c r="U627" s="684"/>
    </row>
    <row r="628" spans="1:21" ht="18.75" x14ac:dyDescent="0.25">
      <c r="A628" s="687"/>
      <c r="B628" s="688"/>
      <c r="C628" s="688"/>
      <c r="D628" s="688"/>
      <c r="E628" s="699" t="s">
        <v>225</v>
      </c>
      <c r="F628" s="695"/>
      <c r="G628" s="692"/>
      <c r="H628" s="686" t="s">
        <v>61</v>
      </c>
      <c r="I628" s="708">
        <f ca="1">IFERROR(__xludf.DUMMYFUNCTION("IMPORTRANGE(""https://docs.google.com/spreadsheets/d/1eHaY18a8A9IcSdp1K8H6x8fbOy06t2VsZHhMHf-1x7Y/edit?usp=sharing"",""แผน!IC20"")"),0)</f>
        <v>0</v>
      </c>
      <c r="J628" s="702">
        <v>0</v>
      </c>
      <c r="K628" s="568">
        <f t="shared" ca="1" si="392"/>
        <v>0</v>
      </c>
      <c r="L628" s="693"/>
      <c r="M628" s="684"/>
      <c r="N628" s="684"/>
      <c r="O628" s="684"/>
      <c r="P628" s="684"/>
      <c r="Q628" s="684"/>
      <c r="R628" s="684"/>
      <c r="S628" s="684"/>
      <c r="T628" s="684"/>
      <c r="U628" s="684"/>
    </row>
    <row r="629" spans="1:21" ht="18.75" x14ac:dyDescent="0.25">
      <c r="A629" s="687"/>
      <c r="B629" s="688"/>
      <c r="C629" s="688"/>
      <c r="D629" s="688"/>
      <c r="E629" s="699" t="s">
        <v>226</v>
      </c>
      <c r="F629" s="695"/>
      <c r="G629" s="692"/>
      <c r="H629" s="686" t="s">
        <v>46</v>
      </c>
      <c r="I629" s="565"/>
      <c r="J629" s="702">
        <v>0</v>
      </c>
      <c r="K629" s="568">
        <f t="shared" ref="K629:K631" ca="1" si="393">IF(I$626&gt;0,J629*100/I$626,0)</f>
        <v>0</v>
      </c>
      <c r="L629" s="693"/>
      <c r="M629" s="684"/>
      <c r="N629" s="684"/>
      <c r="O629" s="684"/>
      <c r="P629" s="684"/>
      <c r="Q629" s="684"/>
      <c r="R629" s="684"/>
      <c r="S629" s="684"/>
      <c r="T629" s="684"/>
      <c r="U629" s="684"/>
    </row>
    <row r="630" spans="1:21" ht="18.75" x14ac:dyDescent="0.25">
      <c r="A630" s="687"/>
      <c r="B630" s="688"/>
      <c r="C630" s="688"/>
      <c r="D630" s="688"/>
      <c r="E630" s="699" t="s">
        <v>227</v>
      </c>
      <c r="F630" s="695"/>
      <c r="G630" s="692"/>
      <c r="H630" s="686" t="s">
        <v>46</v>
      </c>
      <c r="I630" s="565"/>
      <c r="J630" s="702">
        <v>0</v>
      </c>
      <c r="K630" s="568">
        <f t="shared" ca="1" si="393"/>
        <v>0</v>
      </c>
      <c r="L630" s="693"/>
      <c r="M630" s="684"/>
      <c r="N630" s="684"/>
      <c r="O630" s="684"/>
      <c r="P630" s="684"/>
      <c r="Q630" s="684"/>
      <c r="R630" s="684"/>
      <c r="S630" s="684"/>
      <c r="T630" s="684"/>
      <c r="U630" s="684"/>
    </row>
    <row r="631" spans="1:21" ht="18.75" x14ac:dyDescent="0.25">
      <c r="A631" s="687"/>
      <c r="B631" s="688"/>
      <c r="C631" s="688"/>
      <c r="D631" s="688"/>
      <c r="E631" s="699" t="s">
        <v>228</v>
      </c>
      <c r="F631" s="695"/>
      <c r="G631" s="692"/>
      <c r="H631" s="686" t="s">
        <v>46</v>
      </c>
      <c r="I631" s="565"/>
      <c r="J631" s="702">
        <v>0</v>
      </c>
      <c r="K631" s="568">
        <f t="shared" ca="1" si="393"/>
        <v>0</v>
      </c>
      <c r="L631" s="693"/>
      <c r="M631" s="684"/>
      <c r="N631" s="684"/>
      <c r="O631" s="684"/>
      <c r="P631" s="684"/>
      <c r="Q631" s="684"/>
      <c r="R631" s="684"/>
      <c r="S631" s="684"/>
      <c r="T631" s="684"/>
      <c r="U631" s="684"/>
    </row>
    <row r="632" spans="1:21" ht="19.5" x14ac:dyDescent="0.3">
      <c r="A632" s="687"/>
      <c r="B632" s="688"/>
      <c r="C632" s="688"/>
      <c r="D632" s="688"/>
      <c r="E632" s="699" t="s">
        <v>229</v>
      </c>
      <c r="F632" s="695"/>
      <c r="G632" s="692"/>
      <c r="H632" s="686" t="s">
        <v>46</v>
      </c>
      <c r="I632" s="565"/>
      <c r="J632" s="697">
        <f>J633+J634</f>
        <v>0</v>
      </c>
      <c r="K632" s="679">
        <f ca="1">IF(I626&gt;0,J632*100/I626,0)</f>
        <v>0</v>
      </c>
      <c r="L632" s="693"/>
      <c r="M632" s="684"/>
      <c r="N632" s="684"/>
      <c r="O632" s="684"/>
      <c r="P632" s="684"/>
      <c r="Q632" s="684"/>
      <c r="R632" s="684"/>
      <c r="S632" s="684"/>
      <c r="T632" s="684"/>
      <c r="U632" s="684"/>
    </row>
    <row r="633" spans="1:21" ht="18.75" x14ac:dyDescent="0.25">
      <c r="A633" s="687"/>
      <c r="B633" s="688"/>
      <c r="C633" s="688"/>
      <c r="D633" s="688"/>
      <c r="E633" s="695"/>
      <c r="F633" s="699" t="s">
        <v>230</v>
      </c>
      <c r="G633" s="692"/>
      <c r="H633" s="686" t="s">
        <v>46</v>
      </c>
      <c r="I633" s="565"/>
      <c r="J633" s="702">
        <v>0</v>
      </c>
      <c r="K633" s="566"/>
      <c r="L633" s="693"/>
      <c r="M633" s="684"/>
      <c r="N633" s="684"/>
      <c r="O633" s="684"/>
      <c r="P633" s="684"/>
      <c r="Q633" s="684"/>
      <c r="R633" s="684"/>
      <c r="S633" s="684"/>
      <c r="T633" s="684"/>
      <c r="U633" s="684"/>
    </row>
    <row r="634" spans="1:21" ht="18.75" x14ac:dyDescent="0.25">
      <c r="A634" s="687"/>
      <c r="B634" s="688"/>
      <c r="C634" s="688"/>
      <c r="D634" s="688"/>
      <c r="E634" s="695"/>
      <c r="F634" s="699" t="s">
        <v>231</v>
      </c>
      <c r="G634" s="692"/>
      <c r="H634" s="686" t="s">
        <v>46</v>
      </c>
      <c r="I634" s="565"/>
      <c r="J634" s="702">
        <v>0</v>
      </c>
      <c r="K634" s="566"/>
      <c r="L634" s="693"/>
      <c r="M634" s="684"/>
      <c r="N634" s="684"/>
      <c r="O634" s="684"/>
      <c r="P634" s="684"/>
      <c r="Q634" s="684"/>
      <c r="R634" s="684"/>
      <c r="S634" s="684"/>
      <c r="T634" s="684"/>
      <c r="U634" s="684"/>
    </row>
    <row r="635" spans="1:21" ht="19.5" x14ac:dyDescent="0.3">
      <c r="A635" s="687"/>
      <c r="B635" s="688"/>
      <c r="C635" s="688"/>
      <c r="D635" s="1079" t="s">
        <v>232</v>
      </c>
      <c r="E635" s="695"/>
      <c r="F635" s="695"/>
      <c r="G635" s="692"/>
      <c r="H635" s="686" t="s">
        <v>46</v>
      </c>
      <c r="I635" s="697">
        <f ca="1">IFERROR(__xludf.DUMMYFUNCTION("IMPORTRANGE(""https://docs.google.com/spreadsheets/d/1eHaY18a8A9IcSdp1K8H6x8fbOy06t2VsZHhMHf-1x7Y/edit?usp=sharing"",""แผน!IE20"")"),0)</f>
        <v>0</v>
      </c>
      <c r="J635" s="697">
        <f>J636</f>
        <v>0</v>
      </c>
      <c r="K635" s="679">
        <f ca="1">IF(I635&gt;0,J635*100/I635,0)</f>
        <v>0</v>
      </c>
      <c r="L635" s="693"/>
      <c r="M635" s="684"/>
      <c r="N635" s="684"/>
      <c r="O635" s="684"/>
      <c r="P635" s="684"/>
      <c r="Q635" s="684"/>
      <c r="R635" s="684"/>
      <c r="S635" s="684"/>
      <c r="T635" s="684"/>
      <c r="U635" s="684"/>
    </row>
    <row r="636" spans="1:21" ht="18.75" x14ac:dyDescent="0.25">
      <c r="A636" s="687"/>
      <c r="B636" s="688"/>
      <c r="C636" s="688"/>
      <c r="D636" s="688"/>
      <c r="E636" s="699" t="s">
        <v>233</v>
      </c>
      <c r="F636" s="695"/>
      <c r="G636" s="692"/>
      <c r="H636" s="686" t="s">
        <v>46</v>
      </c>
      <c r="I636" s="565"/>
      <c r="J636" s="708">
        <f>J637+J638</f>
        <v>0</v>
      </c>
      <c r="K636" s="566"/>
      <c r="L636" s="693"/>
      <c r="M636" s="684"/>
      <c r="N636" s="684"/>
      <c r="O636" s="684"/>
      <c r="P636" s="684"/>
      <c r="Q636" s="684"/>
      <c r="R636" s="684"/>
      <c r="S636" s="684"/>
      <c r="T636" s="684"/>
      <c r="U636" s="684"/>
    </row>
    <row r="637" spans="1:21" ht="18.75" x14ac:dyDescent="0.25">
      <c r="A637" s="687"/>
      <c r="B637" s="688"/>
      <c r="C637" s="688"/>
      <c r="D637" s="688"/>
      <c r="E637" s="695"/>
      <c r="F637" s="699" t="s">
        <v>230</v>
      </c>
      <c r="G637" s="692"/>
      <c r="H637" s="686" t="s">
        <v>46</v>
      </c>
      <c r="I637" s="565"/>
      <c r="J637" s="702">
        <v>0</v>
      </c>
      <c r="K637" s="566"/>
      <c r="L637" s="693"/>
      <c r="M637" s="684"/>
      <c r="N637" s="684"/>
      <c r="O637" s="684"/>
      <c r="P637" s="684"/>
      <c r="Q637" s="684"/>
      <c r="R637" s="684"/>
      <c r="S637" s="684"/>
      <c r="T637" s="684"/>
      <c r="U637" s="684"/>
    </row>
    <row r="638" spans="1:21" ht="18.75" x14ac:dyDescent="0.25">
      <c r="A638" s="687"/>
      <c r="B638" s="688"/>
      <c r="C638" s="688"/>
      <c r="D638" s="688"/>
      <c r="E638" s="695"/>
      <c r="F638" s="699" t="s">
        <v>231</v>
      </c>
      <c r="G638" s="692"/>
      <c r="H638" s="686" t="s">
        <v>46</v>
      </c>
      <c r="I638" s="565"/>
      <c r="J638" s="702">
        <v>0</v>
      </c>
      <c r="K638" s="566"/>
      <c r="L638" s="693"/>
      <c r="M638" s="684"/>
      <c r="N638" s="684"/>
      <c r="O638" s="684"/>
      <c r="P638" s="684"/>
      <c r="Q638" s="684"/>
      <c r="R638" s="684"/>
      <c r="S638" s="684"/>
      <c r="T638" s="684"/>
      <c r="U638" s="684"/>
    </row>
    <row r="639" spans="1:21" ht="18.75" x14ac:dyDescent="0.25">
      <c r="A639" s="687"/>
      <c r="B639" s="688"/>
      <c r="C639" s="688"/>
      <c r="D639" s="688"/>
      <c r="E639" s="699" t="s">
        <v>234</v>
      </c>
      <c r="F639" s="695"/>
      <c r="G639" s="692"/>
      <c r="H639" s="686" t="s">
        <v>46</v>
      </c>
      <c r="I639" s="565"/>
      <c r="J639" s="702">
        <v>0</v>
      </c>
      <c r="K639" s="566"/>
      <c r="L639" s="693"/>
      <c r="M639" s="684"/>
      <c r="N639" s="684"/>
      <c r="O639" s="684"/>
      <c r="P639" s="684"/>
      <c r="Q639" s="684"/>
      <c r="R639" s="684"/>
      <c r="S639" s="684"/>
      <c r="T639" s="684"/>
      <c r="U639" s="684"/>
    </row>
    <row r="640" spans="1:21" ht="18.75" x14ac:dyDescent="0.25">
      <c r="A640" s="687"/>
      <c r="B640" s="688"/>
      <c r="C640" s="688"/>
      <c r="D640" s="688"/>
      <c r="E640" s="695"/>
      <c r="F640" s="699" t="s">
        <v>235</v>
      </c>
      <c r="G640" s="692"/>
      <c r="H640" s="686" t="s">
        <v>46</v>
      </c>
      <c r="I640" s="565"/>
      <c r="J640" s="702">
        <v>0</v>
      </c>
      <c r="K640" s="566"/>
      <c r="L640" s="693"/>
      <c r="M640" s="684"/>
      <c r="N640" s="684"/>
      <c r="O640" s="684"/>
      <c r="P640" s="684"/>
      <c r="Q640" s="684"/>
      <c r="R640" s="684"/>
      <c r="S640" s="684"/>
      <c r="T640" s="684"/>
      <c r="U640" s="684"/>
    </row>
    <row r="641" spans="1:21" ht="19.5" x14ac:dyDescent="0.3">
      <c r="A641" s="1069"/>
      <c r="B641" s="1070" t="s">
        <v>328</v>
      </c>
      <c r="C641" s="1069"/>
      <c r="D641" s="1071"/>
      <c r="E641" s="1071"/>
      <c r="F641" s="1071"/>
      <c r="G641" s="1072"/>
      <c r="H641" s="1081"/>
      <c r="I641" s="1082"/>
      <c r="J641" s="1082"/>
      <c r="K641" s="1077"/>
      <c r="L641" s="1076"/>
      <c r="M641" s="1077"/>
      <c r="N641" s="1077"/>
      <c r="O641" s="1077"/>
      <c r="P641" s="1077"/>
      <c r="Q641" s="1077"/>
      <c r="R641" s="1077"/>
      <c r="S641" s="1077"/>
      <c r="T641" s="1077"/>
      <c r="U641" s="1077"/>
    </row>
    <row r="642" spans="1:21" ht="19.5" x14ac:dyDescent="0.3">
      <c r="A642" s="674"/>
      <c r="B642" s="718"/>
      <c r="C642" s="765" t="s">
        <v>18</v>
      </c>
      <c r="D642" s="1310" t="s">
        <v>19</v>
      </c>
      <c r="E642" s="1311"/>
      <c r="F642" s="1311"/>
      <c r="G642" s="1312"/>
      <c r="H642" s="780" t="s">
        <v>14</v>
      </c>
      <c r="I642" s="565"/>
      <c r="J642" s="565"/>
      <c r="K642" s="566"/>
      <c r="L642" s="678">
        <f t="shared" ref="L642:N642" si="394">L643+L644</f>
        <v>0</v>
      </c>
      <c r="M642" s="679">
        <f t="shared" si="394"/>
        <v>0</v>
      </c>
      <c r="N642" s="679">
        <f t="shared" si="394"/>
        <v>0</v>
      </c>
      <c r="O642" s="679">
        <f t="shared" ref="O642:O650" si="395">IF(L642&gt;0,N642*100/L642,0)</f>
        <v>0</v>
      </c>
      <c r="P642" s="679">
        <f t="shared" ref="P642:P650" si="396">IF(M642&gt;0,N642*100/M642,0)</f>
        <v>0</v>
      </c>
      <c r="Q642" s="679">
        <f t="shared" ref="Q642:S642" ca="1" si="397">Q643+Q644</f>
        <v>5900</v>
      </c>
      <c r="R642" s="679">
        <f t="shared" ca="1" si="397"/>
        <v>5900</v>
      </c>
      <c r="S642" s="679">
        <f t="shared" ca="1" si="397"/>
        <v>0</v>
      </c>
      <c r="T642" s="679">
        <f t="shared" ref="T642:T650" ca="1" si="398">IF(Q642&gt;0,S642*100/Q642,0)</f>
        <v>0</v>
      </c>
      <c r="U642" s="679">
        <f t="shared" ref="U642:U650" ca="1" si="399">IF(R642&gt;0,S642*100/R642,0)</f>
        <v>0</v>
      </c>
    </row>
    <row r="643" spans="1:21" ht="18.75" x14ac:dyDescent="0.25">
      <c r="A643" s="674"/>
      <c r="B643" s="718"/>
      <c r="C643" s="718"/>
      <c r="D643" s="695"/>
      <c r="E643" s="569" t="s">
        <v>158</v>
      </c>
      <c r="F643" s="561"/>
      <c r="G643" s="563"/>
      <c r="H643" s="685" t="s">
        <v>14</v>
      </c>
      <c r="I643" s="565"/>
      <c r="J643" s="565"/>
      <c r="K643" s="566"/>
      <c r="L643" s="571">
        <f t="shared" ref="L643:N644" si="400">L646+L649</f>
        <v>0</v>
      </c>
      <c r="M643" s="572">
        <f t="shared" si="400"/>
        <v>0</v>
      </c>
      <c r="N643" s="572">
        <f t="shared" si="400"/>
        <v>0</v>
      </c>
      <c r="O643" s="572">
        <f t="shared" si="395"/>
        <v>0</v>
      </c>
      <c r="P643" s="572">
        <f t="shared" si="396"/>
        <v>0</v>
      </c>
      <c r="Q643" s="572">
        <f t="shared" ref="Q643:S644" si="401">Q646+Q649</f>
        <v>0</v>
      </c>
      <c r="R643" s="572">
        <f t="shared" si="401"/>
        <v>0</v>
      </c>
      <c r="S643" s="572">
        <f t="shared" si="401"/>
        <v>0</v>
      </c>
      <c r="T643" s="572">
        <f t="shared" si="398"/>
        <v>0</v>
      </c>
      <c r="U643" s="572">
        <f t="shared" si="399"/>
        <v>0</v>
      </c>
    </row>
    <row r="644" spans="1:21" ht="18.75" x14ac:dyDescent="0.25">
      <c r="A644" s="674"/>
      <c r="B644" s="718"/>
      <c r="C644" s="718"/>
      <c r="D644" s="695"/>
      <c r="E644" s="573" t="s">
        <v>159</v>
      </c>
      <c r="F644" s="561"/>
      <c r="G644" s="563"/>
      <c r="H644" s="682" t="s">
        <v>14</v>
      </c>
      <c r="I644" s="565"/>
      <c r="J644" s="565"/>
      <c r="K644" s="566"/>
      <c r="L644" s="567">
        <f t="shared" si="400"/>
        <v>0</v>
      </c>
      <c r="M644" s="568">
        <f t="shared" si="400"/>
        <v>0</v>
      </c>
      <c r="N644" s="568">
        <f t="shared" si="400"/>
        <v>0</v>
      </c>
      <c r="O644" s="568">
        <f t="shared" si="395"/>
        <v>0</v>
      </c>
      <c r="P644" s="568">
        <f t="shared" si="396"/>
        <v>0</v>
      </c>
      <c r="Q644" s="568">
        <f t="shared" ca="1" si="401"/>
        <v>5900</v>
      </c>
      <c r="R644" s="568">
        <f t="shared" ca="1" si="401"/>
        <v>5900</v>
      </c>
      <c r="S644" s="568">
        <f t="shared" ca="1" si="401"/>
        <v>0</v>
      </c>
      <c r="T644" s="568">
        <f t="shared" ca="1" si="398"/>
        <v>0</v>
      </c>
      <c r="U644" s="568">
        <f t="shared" ca="1" si="399"/>
        <v>0</v>
      </c>
    </row>
    <row r="645" spans="1:21" ht="18.75" x14ac:dyDescent="0.25">
      <c r="A645" s="674"/>
      <c r="B645" s="718"/>
      <c r="C645" s="718"/>
      <c r="D645" s="562" t="s">
        <v>22</v>
      </c>
      <c r="E645" s="561"/>
      <c r="F645" s="561"/>
      <c r="G645" s="563"/>
      <c r="H645" s="682" t="s">
        <v>14</v>
      </c>
      <c r="I645" s="683"/>
      <c r="J645" s="683"/>
      <c r="K645" s="684"/>
      <c r="L645" s="567">
        <f t="shared" ref="L645:N645" si="402">L646+L647</f>
        <v>0</v>
      </c>
      <c r="M645" s="568">
        <f t="shared" si="402"/>
        <v>0</v>
      </c>
      <c r="N645" s="568">
        <f t="shared" si="402"/>
        <v>0</v>
      </c>
      <c r="O645" s="568">
        <f t="shared" si="395"/>
        <v>0</v>
      </c>
      <c r="P645" s="568">
        <f t="shared" si="396"/>
        <v>0</v>
      </c>
      <c r="Q645" s="568">
        <f t="shared" ref="Q645:S645" ca="1" si="403">Q646+Q647</f>
        <v>5900</v>
      </c>
      <c r="R645" s="568">
        <f t="shared" ca="1" si="403"/>
        <v>5900</v>
      </c>
      <c r="S645" s="568">
        <f t="shared" ca="1" si="403"/>
        <v>0</v>
      </c>
      <c r="T645" s="568">
        <f t="shared" ca="1" si="398"/>
        <v>0</v>
      </c>
      <c r="U645" s="568">
        <f t="shared" ca="1" si="399"/>
        <v>0</v>
      </c>
    </row>
    <row r="646" spans="1:21" ht="18.75" x14ac:dyDescent="0.25">
      <c r="A646" s="674"/>
      <c r="B646" s="718"/>
      <c r="C646" s="718"/>
      <c r="D646" s="695"/>
      <c r="E646" s="569" t="s">
        <v>158</v>
      </c>
      <c r="F646" s="561"/>
      <c r="G646" s="563"/>
      <c r="H646" s="685" t="s">
        <v>14</v>
      </c>
      <c r="I646" s="565"/>
      <c r="J646" s="565"/>
      <c r="K646" s="566"/>
      <c r="L646" s="571">
        <v>0</v>
      </c>
      <c r="M646" s="572">
        <v>0</v>
      </c>
      <c r="N646" s="572">
        <v>0</v>
      </c>
      <c r="O646" s="572">
        <f t="shared" si="395"/>
        <v>0</v>
      </c>
      <c r="P646" s="572">
        <f t="shared" si="396"/>
        <v>0</v>
      </c>
      <c r="Q646" s="572">
        <v>0</v>
      </c>
      <c r="R646" s="572">
        <v>0</v>
      </c>
      <c r="S646" s="572">
        <v>0</v>
      </c>
      <c r="T646" s="572">
        <f t="shared" si="398"/>
        <v>0</v>
      </c>
      <c r="U646" s="572">
        <f t="shared" si="399"/>
        <v>0</v>
      </c>
    </row>
    <row r="647" spans="1:21" ht="18.75" x14ac:dyDescent="0.25">
      <c r="A647" s="674"/>
      <c r="B647" s="718"/>
      <c r="C647" s="718"/>
      <c r="D647" s="695"/>
      <c r="E647" s="573" t="s">
        <v>159</v>
      </c>
      <c r="F647" s="561"/>
      <c r="G647" s="563"/>
      <c r="H647" s="682" t="s">
        <v>14</v>
      </c>
      <c r="I647" s="565"/>
      <c r="J647" s="565"/>
      <c r="K647" s="566"/>
      <c r="L647" s="567">
        <v>0</v>
      </c>
      <c r="M647" s="568">
        <v>0</v>
      </c>
      <c r="N647" s="568">
        <v>0</v>
      </c>
      <c r="O647" s="568">
        <f t="shared" si="395"/>
        <v>0</v>
      </c>
      <c r="P647" s="568">
        <f t="shared" si="396"/>
        <v>0</v>
      </c>
      <c r="Q647" s="568">
        <f ca="1">IFERROR(__xludf.DUMMYFUNCTION("IMPORTRANGE(""https://docs.google.com/spreadsheets/d/1ItG2mGa2ceCfYo0BwxsXqNm01IGEUdYcSSLTEv9YCik/edit?usp=sharing"",""เบิกจ่ายกองทุน!I20"")"),5900)</f>
        <v>5900</v>
      </c>
      <c r="R647" s="568">
        <f ca="1">IFERROR(__xludf.DUMMYFUNCTION("IMPORTRANGE(""https://docs.google.com/spreadsheets/d/1ItG2mGa2ceCfYo0BwxsXqNm01IGEUdYcSSLTEv9YCik/edit?usp=sharing"",""เบิกจ่ายกองทุน!J20"")"),5900)</f>
        <v>5900</v>
      </c>
      <c r="S647" s="568">
        <f ca="1">IFERROR(__xludf.DUMMYFUNCTION("IMPORTRANGE(""https://docs.google.com/spreadsheets/d/1ItG2mGa2ceCfYo0BwxsXqNm01IGEUdYcSSLTEv9YCik/edit?usp=sharing"",""เบิกจ่ายกองทุน!K20"")"),0)</f>
        <v>0</v>
      </c>
      <c r="T647" s="568">
        <f t="shared" ca="1" si="398"/>
        <v>0</v>
      </c>
      <c r="U647" s="568">
        <f t="shared" ca="1" si="399"/>
        <v>0</v>
      </c>
    </row>
    <row r="648" spans="1:21" ht="18.75" x14ac:dyDescent="0.25">
      <c r="A648" s="674"/>
      <c r="B648" s="718"/>
      <c r="C648" s="718"/>
      <c r="D648" s="562" t="s">
        <v>23</v>
      </c>
      <c r="E648" s="561"/>
      <c r="F648" s="561"/>
      <c r="G648" s="563"/>
      <c r="H648" s="686" t="s">
        <v>14</v>
      </c>
      <c r="I648" s="683"/>
      <c r="J648" s="683"/>
      <c r="K648" s="684"/>
      <c r="L648" s="567">
        <f t="shared" ref="L648:N648" si="404">L649+L650</f>
        <v>0</v>
      </c>
      <c r="M648" s="568">
        <f t="shared" si="404"/>
        <v>0</v>
      </c>
      <c r="N648" s="568">
        <f t="shared" si="404"/>
        <v>0</v>
      </c>
      <c r="O648" s="568">
        <f t="shared" si="395"/>
        <v>0</v>
      </c>
      <c r="P648" s="568">
        <f t="shared" si="396"/>
        <v>0</v>
      </c>
      <c r="Q648" s="568">
        <f t="shared" ref="Q648:S648" si="405">Q649+Q650</f>
        <v>0</v>
      </c>
      <c r="R648" s="568">
        <f t="shared" si="405"/>
        <v>0</v>
      </c>
      <c r="S648" s="568">
        <f t="shared" si="405"/>
        <v>0</v>
      </c>
      <c r="T648" s="568">
        <f t="shared" si="398"/>
        <v>0</v>
      </c>
      <c r="U648" s="568">
        <f t="shared" si="399"/>
        <v>0</v>
      </c>
    </row>
    <row r="649" spans="1:21" ht="18.75" x14ac:dyDescent="0.25">
      <c r="A649" s="674"/>
      <c r="B649" s="718"/>
      <c r="C649" s="718"/>
      <c r="D649" s="561"/>
      <c r="E649" s="569" t="s">
        <v>20</v>
      </c>
      <c r="F649" s="561"/>
      <c r="G649" s="563"/>
      <c r="H649" s="685" t="s">
        <v>14</v>
      </c>
      <c r="I649" s="683"/>
      <c r="J649" s="683"/>
      <c r="K649" s="684"/>
      <c r="L649" s="571">
        <v>0</v>
      </c>
      <c r="M649" s="572">
        <v>0</v>
      </c>
      <c r="N649" s="572">
        <v>0</v>
      </c>
      <c r="O649" s="572">
        <f t="shared" si="395"/>
        <v>0</v>
      </c>
      <c r="P649" s="572">
        <f t="shared" si="396"/>
        <v>0</v>
      </c>
      <c r="Q649" s="572">
        <v>0</v>
      </c>
      <c r="R649" s="572">
        <v>0</v>
      </c>
      <c r="S649" s="572">
        <v>0</v>
      </c>
      <c r="T649" s="572">
        <f t="shared" si="398"/>
        <v>0</v>
      </c>
      <c r="U649" s="572">
        <f t="shared" si="399"/>
        <v>0</v>
      </c>
    </row>
    <row r="650" spans="1:21" ht="18.75" x14ac:dyDescent="0.25">
      <c r="A650" s="674"/>
      <c r="B650" s="718"/>
      <c r="C650" s="718"/>
      <c r="D650" s="561"/>
      <c r="E650" s="573" t="s">
        <v>21</v>
      </c>
      <c r="F650" s="561"/>
      <c r="G650" s="563"/>
      <c r="H650" s="686" t="s">
        <v>14</v>
      </c>
      <c r="I650" s="683"/>
      <c r="J650" s="683"/>
      <c r="K650" s="684"/>
      <c r="L650" s="567">
        <v>0</v>
      </c>
      <c r="M650" s="568">
        <v>0</v>
      </c>
      <c r="N650" s="568">
        <v>0</v>
      </c>
      <c r="O650" s="568">
        <f t="shared" si="395"/>
        <v>0</v>
      </c>
      <c r="P650" s="568">
        <f t="shared" si="396"/>
        <v>0</v>
      </c>
      <c r="Q650" s="568">
        <v>0</v>
      </c>
      <c r="R650" s="568">
        <v>0</v>
      </c>
      <c r="S650" s="568">
        <v>0</v>
      </c>
      <c r="T650" s="568">
        <f t="shared" si="398"/>
        <v>0</v>
      </c>
      <c r="U650" s="568">
        <f t="shared" si="399"/>
        <v>0</v>
      </c>
    </row>
    <row r="651" spans="1:21" ht="19.5" x14ac:dyDescent="0.3">
      <c r="A651" s="687"/>
      <c r="B651" s="688"/>
      <c r="C651" s="765" t="s">
        <v>18</v>
      </c>
      <c r="D651" s="1083" t="s">
        <v>38</v>
      </c>
      <c r="E651" s="690"/>
      <c r="F651" s="690"/>
      <c r="G651" s="691"/>
      <c r="H651" s="725"/>
      <c r="I651" s="683"/>
      <c r="J651" s="683"/>
      <c r="K651" s="684"/>
      <c r="L651" s="693"/>
      <c r="M651" s="684"/>
      <c r="N651" s="684"/>
      <c r="O651" s="684"/>
      <c r="P651" s="684"/>
      <c r="Q651" s="566"/>
      <c r="R651" s="566"/>
      <c r="S651" s="566"/>
      <c r="T651" s="684"/>
      <c r="U651" s="684"/>
    </row>
    <row r="652" spans="1:21" ht="18.75" x14ac:dyDescent="0.25">
      <c r="A652" s="764"/>
      <c r="B652" s="718"/>
      <c r="C652" s="718"/>
      <c r="D652" s="573" t="s">
        <v>237</v>
      </c>
      <c r="E652" s="561"/>
      <c r="F652" s="561"/>
      <c r="G652" s="563"/>
      <c r="H652" s="686" t="s">
        <v>46</v>
      </c>
      <c r="I652" s="1084">
        <f ca="1">IFERROR(__xludf.DUMMYFUNCTION("IMPORTRANGE(""https://docs.google.com/spreadsheets/d/1eHaY18a8A9IcSdp1K8H6x8fbOy06t2VsZHhMHf-1x7Y/edit?usp=sharing"",""แผน!IF20"")"),0)</f>
        <v>0</v>
      </c>
      <c r="J652" s="708">
        <f ca="1">IFERROR(__xludf.DUMMYFUNCTION("IMPORTRANGE(""https://docs.google.com/spreadsheets/d/1tdoBKaGub7dwA3U6UFTqxio9LNnvDCQjHKmttSEBsFQ/edit?usp=sharing"",""จัดที่ดิน!AU20"")"),0)</f>
        <v>0</v>
      </c>
      <c r="K652" s="568">
        <f t="shared" ref="K652:K654" ca="1" si="406">IF(I652&gt;0,J652*100/I652,0)</f>
        <v>0</v>
      </c>
      <c r="L652" s="574"/>
      <c r="M652" s="566"/>
      <c r="N652" s="1085"/>
      <c r="O652" s="566"/>
      <c r="P652" s="566"/>
      <c r="Q652" s="566"/>
      <c r="R652" s="566"/>
      <c r="S652" s="1085"/>
      <c r="T652" s="566"/>
      <c r="U652" s="566"/>
    </row>
    <row r="653" spans="1:21" ht="18.75" x14ac:dyDescent="0.25">
      <c r="A653" s="764"/>
      <c r="B653" s="718"/>
      <c r="C653" s="718"/>
      <c r="D653" s="573" t="s">
        <v>238</v>
      </c>
      <c r="E653" s="561"/>
      <c r="F653" s="561"/>
      <c r="G653" s="563"/>
      <c r="H653" s="686" t="s">
        <v>35</v>
      </c>
      <c r="I653" s="1084">
        <f ca="1">IFERROR(__xludf.DUMMYFUNCTION("IMPORTRANGE(""https://docs.google.com/spreadsheets/d/1eHaY18a8A9IcSdp1K8H6x8fbOy06t2VsZHhMHf-1x7Y/edit?usp=sharing"",""แผน!IG20"")"),20)</f>
        <v>20</v>
      </c>
      <c r="J653" s="708">
        <f ca="1">IFERROR(__xludf.DUMMYFUNCTION("IMPORTRANGE(""https://docs.google.com/spreadsheets/d/1tdoBKaGub7dwA3U6UFTqxio9LNnvDCQjHKmttSEBsFQ/edit?usp=sharing"",""จัดที่ดิน!AW20"")"),0)</f>
        <v>0</v>
      </c>
      <c r="K653" s="568">
        <f t="shared" ca="1" si="406"/>
        <v>0</v>
      </c>
      <c r="L653" s="574"/>
      <c r="M653" s="566"/>
      <c r="N653" s="1085"/>
      <c r="O653" s="566"/>
      <c r="P653" s="566"/>
      <c r="Q653" s="566"/>
      <c r="R653" s="566"/>
      <c r="S653" s="1085"/>
      <c r="T653" s="566"/>
      <c r="U653" s="566"/>
    </row>
    <row r="654" spans="1:21" ht="19.5" x14ac:dyDescent="0.3">
      <c r="A654" s="764"/>
      <c r="B654" s="718"/>
      <c r="C654" s="718"/>
      <c r="D654" s="573" t="s">
        <v>239</v>
      </c>
      <c r="E654" s="561"/>
      <c r="F654" s="561"/>
      <c r="G654" s="563"/>
      <c r="H654" s="1080" t="s">
        <v>46</v>
      </c>
      <c r="I654" s="1086">
        <f ca="1">IFERROR(__xludf.DUMMYFUNCTION("IMPORTRANGE(""https://docs.google.com/spreadsheets/d/1eHaY18a8A9IcSdp1K8H6x8fbOy06t2VsZHhMHf-1x7Y/edit?usp=sharing"",""แผน!IH20"")"),125)</f>
        <v>125</v>
      </c>
      <c r="J654" s="697">
        <f>J657+J660</f>
        <v>200.28</v>
      </c>
      <c r="K654" s="679">
        <f t="shared" ca="1" si="406"/>
        <v>160.22399999999999</v>
      </c>
      <c r="L654" s="574"/>
      <c r="M654" s="566"/>
      <c r="N654" s="1085"/>
      <c r="O654" s="566"/>
      <c r="P654" s="566"/>
      <c r="Q654" s="566"/>
      <c r="R654" s="566"/>
      <c r="S654" s="1085"/>
      <c r="T654" s="566"/>
      <c r="U654" s="566"/>
    </row>
    <row r="655" spans="1:21" ht="18.75" x14ac:dyDescent="0.25">
      <c r="A655" s="764"/>
      <c r="B655" s="718"/>
      <c r="C655" s="718"/>
      <c r="D655" s="561"/>
      <c r="E655" s="573" t="s">
        <v>240</v>
      </c>
      <c r="F655" s="561"/>
      <c r="G655" s="563"/>
      <c r="H655" s="686" t="s">
        <v>35</v>
      </c>
      <c r="I655" s="727"/>
      <c r="J655" s="702">
        <v>39</v>
      </c>
      <c r="K655" s="566"/>
      <c r="L655" s="574"/>
      <c r="M655" s="566"/>
      <c r="N655" s="1085"/>
      <c r="O655" s="566"/>
      <c r="P655" s="566"/>
      <c r="Q655" s="566"/>
      <c r="R655" s="566"/>
      <c r="S655" s="1085"/>
      <c r="T655" s="566"/>
      <c r="U655" s="566"/>
    </row>
    <row r="656" spans="1:21" ht="18.75" x14ac:dyDescent="0.25">
      <c r="A656" s="764"/>
      <c r="B656" s="718"/>
      <c r="C656" s="718"/>
      <c r="D656" s="561"/>
      <c r="E656" s="561"/>
      <c r="F656" s="561"/>
      <c r="G656" s="563"/>
      <c r="H656" s="686" t="s">
        <v>34</v>
      </c>
      <c r="I656" s="727"/>
      <c r="J656" s="702">
        <v>39</v>
      </c>
      <c r="K656" s="566"/>
      <c r="L656" s="574"/>
      <c r="M656" s="566"/>
      <c r="N656" s="1085"/>
      <c r="O656" s="566"/>
      <c r="P656" s="566"/>
      <c r="Q656" s="566"/>
      <c r="R656" s="566"/>
      <c r="S656" s="1085"/>
      <c r="T656" s="566"/>
      <c r="U656" s="566"/>
    </row>
    <row r="657" spans="1:21" ht="18.75" x14ac:dyDescent="0.25">
      <c r="A657" s="764"/>
      <c r="B657" s="718"/>
      <c r="C657" s="718"/>
      <c r="D657" s="561"/>
      <c r="E657" s="561"/>
      <c r="F657" s="561"/>
      <c r="G657" s="563"/>
      <c r="H657" s="686" t="s">
        <v>46</v>
      </c>
      <c r="I657" s="1084">
        <f ca="1">IFERROR(__xludf.DUMMYFUNCTION("IMPORTRANGE(""https://docs.google.com/spreadsheets/d/1eHaY18a8A9IcSdp1K8H6x8fbOy06t2VsZHhMHf-1x7Y/edit?usp=sharing"",""แผน!II20"")"),125)</f>
        <v>125</v>
      </c>
      <c r="J657" s="702">
        <v>200.28</v>
      </c>
      <c r="K657" s="566"/>
      <c r="L657" s="574"/>
      <c r="M657" s="566"/>
      <c r="N657" s="1085"/>
      <c r="O657" s="566"/>
      <c r="P657" s="566"/>
      <c r="Q657" s="566"/>
      <c r="R657" s="566"/>
      <c r="S657" s="1085"/>
      <c r="T657" s="566"/>
      <c r="U657" s="566"/>
    </row>
    <row r="658" spans="1:21" ht="18.75" x14ac:dyDescent="0.25">
      <c r="A658" s="764"/>
      <c r="B658" s="718"/>
      <c r="C658" s="718"/>
      <c r="D658" s="561"/>
      <c r="E658" s="573" t="s">
        <v>241</v>
      </c>
      <c r="F658" s="561"/>
      <c r="G658" s="563"/>
      <c r="H658" s="686" t="s">
        <v>35</v>
      </c>
      <c r="I658" s="727"/>
      <c r="J658" s="702">
        <v>0</v>
      </c>
      <c r="K658" s="566"/>
      <c r="L658" s="574"/>
      <c r="M658" s="566"/>
      <c r="N658" s="1085"/>
      <c r="O658" s="566"/>
      <c r="P658" s="566"/>
      <c r="Q658" s="566"/>
      <c r="R658" s="566"/>
      <c r="S658" s="1085"/>
      <c r="T658" s="566"/>
      <c r="U658" s="566"/>
    </row>
    <row r="659" spans="1:21" ht="18.75" x14ac:dyDescent="0.25">
      <c r="A659" s="764"/>
      <c r="B659" s="718"/>
      <c r="C659" s="718"/>
      <c r="D659" s="561"/>
      <c r="E659" s="561"/>
      <c r="F659" s="561"/>
      <c r="G659" s="563"/>
      <c r="H659" s="686" t="s">
        <v>34</v>
      </c>
      <c r="I659" s="727"/>
      <c r="J659" s="702">
        <v>0</v>
      </c>
      <c r="K659" s="566"/>
      <c r="L659" s="574"/>
      <c r="M659" s="566"/>
      <c r="N659" s="1085"/>
      <c r="O659" s="566"/>
      <c r="P659" s="566"/>
      <c r="Q659" s="566"/>
      <c r="R659" s="566"/>
      <c r="S659" s="1085"/>
      <c r="T659" s="566"/>
      <c r="U659" s="566"/>
    </row>
    <row r="660" spans="1:21" ht="18.75" x14ac:dyDescent="0.25">
      <c r="A660" s="764"/>
      <c r="B660" s="718"/>
      <c r="C660" s="718"/>
      <c r="D660" s="561"/>
      <c r="E660" s="561"/>
      <c r="F660" s="561"/>
      <c r="G660" s="563"/>
      <c r="H660" s="686" t="s">
        <v>46</v>
      </c>
      <c r="I660" s="1084">
        <f ca="1">IFERROR(__xludf.DUMMYFUNCTION("IMPORTRANGE(""https://docs.google.com/spreadsheets/d/1eHaY18a8A9IcSdp1K8H6x8fbOy06t2VsZHhMHf-1x7Y/edit?usp=sharing"",""แผน!IJ20"")"),0)</f>
        <v>0</v>
      </c>
      <c r="J660" s="702">
        <v>0</v>
      </c>
      <c r="K660" s="566"/>
      <c r="L660" s="574"/>
      <c r="M660" s="566"/>
      <c r="N660" s="1085"/>
      <c r="O660" s="566"/>
      <c r="P660" s="566"/>
      <c r="Q660" s="566"/>
      <c r="R660" s="566"/>
      <c r="S660" s="1085"/>
      <c r="T660" s="566"/>
      <c r="U660" s="566"/>
    </row>
    <row r="661" spans="1:21" ht="19.5" x14ac:dyDescent="0.3">
      <c r="A661" s="764"/>
      <c r="B661" s="718"/>
      <c r="C661" s="718"/>
      <c r="D661" s="987" t="s">
        <v>242</v>
      </c>
      <c r="E661" s="561"/>
      <c r="F661" s="561"/>
      <c r="G661" s="563"/>
      <c r="H661" s="1080" t="s">
        <v>46</v>
      </c>
      <c r="I661" s="1086">
        <f ca="1">IFERROR(__xludf.DUMMYFUNCTION("IMPORTRANGE(""https://docs.google.com/spreadsheets/d/1eHaY18a8A9IcSdp1K8H6x8fbOy06t2VsZHhMHf-1x7Y/edit?usp=sharing"",""แผน!IK20"")"),0)</f>
        <v>0</v>
      </c>
      <c r="J661" s="697">
        <f>J667+J670</f>
        <v>0</v>
      </c>
      <c r="K661" s="679">
        <f ca="1">IF(I661&gt;0,J661*100/I661,0)</f>
        <v>0</v>
      </c>
      <c r="L661" s="574"/>
      <c r="M661" s="566"/>
      <c r="N661" s="1085"/>
      <c r="O661" s="566"/>
      <c r="P661" s="566"/>
      <c r="Q661" s="566"/>
      <c r="R661" s="566"/>
      <c r="S661" s="1085"/>
      <c r="T661" s="566"/>
      <c r="U661" s="566"/>
    </row>
    <row r="662" spans="1:21" ht="18.75" x14ac:dyDescent="0.25">
      <c r="A662" s="764"/>
      <c r="B662" s="718"/>
      <c r="C662" s="718"/>
      <c r="D662" s="561"/>
      <c r="E662" s="573" t="s">
        <v>243</v>
      </c>
      <c r="F662" s="561"/>
      <c r="G662" s="563"/>
      <c r="H662" s="686" t="s">
        <v>34</v>
      </c>
      <c r="I662" s="727"/>
      <c r="J662" s="702">
        <v>0</v>
      </c>
      <c r="K662" s="566"/>
      <c r="L662" s="1087"/>
      <c r="M662" s="566"/>
      <c r="N662" s="1085"/>
      <c r="O662" s="566"/>
      <c r="P662" s="566"/>
      <c r="Q662" s="1085"/>
      <c r="R662" s="566"/>
      <c r="S662" s="1085"/>
      <c r="T662" s="566"/>
      <c r="U662" s="566"/>
    </row>
    <row r="663" spans="1:21" ht="18.75" x14ac:dyDescent="0.25">
      <c r="A663" s="764"/>
      <c r="B663" s="718"/>
      <c r="C663" s="718"/>
      <c r="D663" s="561"/>
      <c r="E663" s="561"/>
      <c r="F663" s="561"/>
      <c r="G663" s="563"/>
      <c r="H663" s="686" t="s">
        <v>46</v>
      </c>
      <c r="I663" s="727"/>
      <c r="J663" s="702">
        <v>0</v>
      </c>
      <c r="K663" s="566"/>
      <c r="L663" s="1087"/>
      <c r="M663" s="566"/>
      <c r="N663" s="1085"/>
      <c r="O663" s="566"/>
      <c r="P663" s="566"/>
      <c r="Q663" s="1085"/>
      <c r="R663" s="566"/>
      <c r="S663" s="1085"/>
      <c r="T663" s="566"/>
      <c r="U663" s="566"/>
    </row>
    <row r="664" spans="1:21" ht="18.75" x14ac:dyDescent="0.25">
      <c r="A664" s="764"/>
      <c r="B664" s="718"/>
      <c r="C664" s="718"/>
      <c r="D664" s="561"/>
      <c r="E664" s="573" t="s">
        <v>244</v>
      </c>
      <c r="F664" s="561"/>
      <c r="G664" s="563"/>
      <c r="H664" s="725"/>
      <c r="I664" s="727"/>
      <c r="J664" s="565"/>
      <c r="K664" s="566"/>
      <c r="L664" s="1087"/>
      <c r="M664" s="566"/>
      <c r="N664" s="1085"/>
      <c r="O664" s="566"/>
      <c r="P664" s="566"/>
      <c r="Q664" s="1085"/>
      <c r="R664" s="566"/>
      <c r="S664" s="1085"/>
      <c r="T664" s="566"/>
      <c r="U664" s="566"/>
    </row>
    <row r="665" spans="1:21" ht="18.75" x14ac:dyDescent="0.25">
      <c r="A665" s="764"/>
      <c r="B665" s="718"/>
      <c r="C665" s="718"/>
      <c r="D665" s="561"/>
      <c r="E665" s="561"/>
      <c r="F665" s="573" t="s">
        <v>245</v>
      </c>
      <c r="G665" s="563"/>
      <c r="H665" s="686" t="s">
        <v>35</v>
      </c>
      <c r="I665" s="727"/>
      <c r="J665" s="702">
        <v>0</v>
      </c>
      <c r="K665" s="566"/>
      <c r="L665" s="1087"/>
      <c r="M665" s="566"/>
      <c r="N665" s="1085"/>
      <c r="O665" s="566"/>
      <c r="P665" s="566"/>
      <c r="Q665" s="1085"/>
      <c r="R665" s="566"/>
      <c r="S665" s="1085"/>
      <c r="T665" s="566"/>
      <c r="U665" s="566"/>
    </row>
    <row r="666" spans="1:21" ht="18.75" x14ac:dyDescent="0.25">
      <c r="A666" s="764"/>
      <c r="B666" s="718"/>
      <c r="C666" s="718"/>
      <c r="D666" s="561"/>
      <c r="E666" s="561"/>
      <c r="F666" s="561"/>
      <c r="G666" s="563"/>
      <c r="H666" s="686" t="s">
        <v>34</v>
      </c>
      <c r="I666" s="727"/>
      <c r="J666" s="702">
        <v>0</v>
      </c>
      <c r="K666" s="566"/>
      <c r="L666" s="1087"/>
      <c r="M666" s="566"/>
      <c r="N666" s="1085"/>
      <c r="O666" s="566"/>
      <c r="P666" s="566"/>
      <c r="Q666" s="1085"/>
      <c r="R666" s="566"/>
      <c r="S666" s="1085"/>
      <c r="T666" s="566"/>
      <c r="U666" s="566"/>
    </row>
    <row r="667" spans="1:21" ht="18.75" x14ac:dyDescent="0.25">
      <c r="A667" s="764"/>
      <c r="B667" s="718"/>
      <c r="C667" s="718"/>
      <c r="D667" s="561"/>
      <c r="E667" s="561"/>
      <c r="F667" s="561"/>
      <c r="G667" s="563"/>
      <c r="H667" s="686" t="s">
        <v>46</v>
      </c>
      <c r="I667" s="727"/>
      <c r="J667" s="702">
        <v>0</v>
      </c>
      <c r="K667" s="566"/>
      <c r="L667" s="1087"/>
      <c r="M667" s="566"/>
      <c r="N667" s="1085"/>
      <c r="O667" s="566"/>
      <c r="P667" s="566"/>
      <c r="Q667" s="1085"/>
      <c r="R667" s="566"/>
      <c r="S667" s="1085"/>
      <c r="T667" s="566"/>
      <c r="U667" s="566"/>
    </row>
    <row r="668" spans="1:21" ht="18.75" x14ac:dyDescent="0.25">
      <c r="A668" s="764"/>
      <c r="B668" s="718"/>
      <c r="C668" s="718"/>
      <c r="D668" s="561"/>
      <c r="E668" s="561"/>
      <c r="F668" s="573" t="s">
        <v>246</v>
      </c>
      <c r="G668" s="563"/>
      <c r="H668" s="686" t="s">
        <v>35</v>
      </c>
      <c r="I668" s="727"/>
      <c r="J668" s="702">
        <v>0</v>
      </c>
      <c r="K668" s="566"/>
      <c r="L668" s="1087"/>
      <c r="M668" s="566"/>
      <c r="N668" s="1085"/>
      <c r="O668" s="566"/>
      <c r="P668" s="566"/>
      <c r="Q668" s="1085"/>
      <c r="R668" s="566"/>
      <c r="S668" s="1085"/>
      <c r="T668" s="566"/>
      <c r="U668" s="566"/>
    </row>
    <row r="669" spans="1:21" ht="18.75" x14ac:dyDescent="0.25">
      <c r="A669" s="764"/>
      <c r="B669" s="718"/>
      <c r="C669" s="718"/>
      <c r="D669" s="561"/>
      <c r="E669" s="561"/>
      <c r="F669" s="561"/>
      <c r="G669" s="563"/>
      <c r="H669" s="686" t="s">
        <v>34</v>
      </c>
      <c r="I669" s="727"/>
      <c r="J669" s="702">
        <v>0</v>
      </c>
      <c r="K669" s="566"/>
      <c r="L669" s="1087"/>
      <c r="M669" s="566"/>
      <c r="N669" s="1085"/>
      <c r="O669" s="566"/>
      <c r="P669" s="566"/>
      <c r="Q669" s="1085"/>
      <c r="R669" s="566"/>
      <c r="S669" s="1085"/>
      <c r="T669" s="566"/>
      <c r="U669" s="566"/>
    </row>
    <row r="670" spans="1:21" ht="18.75" x14ac:dyDescent="0.25">
      <c r="A670" s="764"/>
      <c r="B670" s="718"/>
      <c r="C670" s="718"/>
      <c r="D670" s="561"/>
      <c r="E670" s="561"/>
      <c r="F670" s="561"/>
      <c r="G670" s="563"/>
      <c r="H670" s="686" t="s">
        <v>46</v>
      </c>
      <c r="I670" s="727"/>
      <c r="J670" s="702">
        <v>0</v>
      </c>
      <c r="K670" s="566"/>
      <c r="L670" s="1087"/>
      <c r="M670" s="566"/>
      <c r="N670" s="1085"/>
      <c r="O670" s="566"/>
      <c r="P670" s="566"/>
      <c r="Q670" s="1085"/>
      <c r="R670" s="566"/>
      <c r="S670" s="1085"/>
      <c r="T670" s="566"/>
      <c r="U670" s="566"/>
    </row>
    <row r="671" spans="1:21" ht="18.75" x14ac:dyDescent="0.25">
      <c r="A671" s="764"/>
      <c r="B671" s="718"/>
      <c r="C671" s="718"/>
      <c r="D671" s="573" t="s">
        <v>247</v>
      </c>
      <c r="E671" s="561"/>
      <c r="F671" s="561"/>
      <c r="G671" s="563"/>
      <c r="H671" s="686" t="s">
        <v>35</v>
      </c>
      <c r="I671" s="727"/>
      <c r="J671" s="708">
        <f ca="1">IFERROR(__xludf.DUMMYFUNCTION("IMPORTRANGE(""https://docs.google.com/spreadsheets/d/1tdoBKaGub7dwA3U6UFTqxio9LNnvDCQjHKmttSEBsFQ/edit?usp=sharing"",""จัดที่ดิน!AY20"")"),0)</f>
        <v>0</v>
      </c>
      <c r="K671" s="566"/>
      <c r="L671" s="574"/>
      <c r="M671" s="566"/>
      <c r="N671" s="1085"/>
      <c r="O671" s="566"/>
      <c r="P671" s="566"/>
      <c r="Q671" s="566"/>
      <c r="R671" s="566"/>
      <c r="S671" s="1085"/>
      <c r="T671" s="566"/>
      <c r="U671" s="566"/>
    </row>
    <row r="672" spans="1:21" ht="18.75" x14ac:dyDescent="0.25">
      <c r="A672" s="764"/>
      <c r="B672" s="718"/>
      <c r="C672" s="718"/>
      <c r="D672" s="561"/>
      <c r="E672" s="561"/>
      <c r="F672" s="561"/>
      <c r="G672" s="563"/>
      <c r="H672" s="686" t="s">
        <v>34</v>
      </c>
      <c r="I672" s="727"/>
      <c r="J672" s="708">
        <f ca="1">IFERROR(__xludf.DUMMYFUNCTION("IMPORTRANGE(""https://docs.google.com/spreadsheets/d/1tdoBKaGub7dwA3U6UFTqxio9LNnvDCQjHKmttSEBsFQ/edit?usp=sharing"",""จัดที่ดิน!AZ20"")"),0)</f>
        <v>0</v>
      </c>
      <c r="K672" s="566"/>
      <c r="L672" s="1087"/>
      <c r="M672" s="566"/>
      <c r="N672" s="1085"/>
      <c r="O672" s="566"/>
      <c r="P672" s="566"/>
      <c r="Q672" s="1085"/>
      <c r="R672" s="566"/>
      <c r="S672" s="1085"/>
      <c r="T672" s="566"/>
      <c r="U672" s="566"/>
    </row>
    <row r="673" spans="1:21" ht="18.75" x14ac:dyDescent="0.25">
      <c r="A673" s="764"/>
      <c r="B673" s="718"/>
      <c r="C673" s="718"/>
      <c r="D673" s="561"/>
      <c r="E673" s="561"/>
      <c r="F673" s="561"/>
      <c r="G673" s="563"/>
      <c r="H673" s="686" t="s">
        <v>46</v>
      </c>
      <c r="I673" s="1084">
        <f ca="1">IFERROR(__xludf.DUMMYFUNCTION("IMPORTRANGE(""https://docs.google.com/spreadsheets/d/1eHaY18a8A9IcSdp1K8H6x8fbOy06t2VsZHhMHf-1x7Y/edit?usp=sharing"",""แผน!IL20"")"),0)</f>
        <v>0</v>
      </c>
      <c r="J673" s="708">
        <f ca="1">IFERROR(__xludf.DUMMYFUNCTION("IMPORTRANGE(""https://docs.google.com/spreadsheets/d/1tdoBKaGub7dwA3U6UFTqxio9LNnvDCQjHKmttSEBsFQ/edit?usp=sharing"",""จัดที่ดิน!BA20"")"),0)</f>
        <v>0</v>
      </c>
      <c r="K673" s="568">
        <f t="shared" ref="K673:K676" ca="1" si="407">IF(I673&gt;0,J673*100/I673,0)</f>
        <v>0</v>
      </c>
      <c r="L673" s="1087"/>
      <c r="M673" s="566"/>
      <c r="N673" s="1085"/>
      <c r="O673" s="566"/>
      <c r="P673" s="566"/>
      <c r="Q673" s="1085"/>
      <c r="R673" s="566"/>
      <c r="S673" s="1085"/>
      <c r="T673" s="566"/>
      <c r="U673" s="566"/>
    </row>
    <row r="674" spans="1:21" ht="19.5" x14ac:dyDescent="0.3">
      <c r="A674" s="764"/>
      <c r="B674" s="718"/>
      <c r="C674" s="718"/>
      <c r="D674" s="573" t="s">
        <v>248</v>
      </c>
      <c r="E674" s="561"/>
      <c r="F674" s="561"/>
      <c r="G674" s="563"/>
      <c r="H674" s="1080" t="s">
        <v>35</v>
      </c>
      <c r="I674" s="1086">
        <f ca="1">IFERROR(__xludf.DUMMYFUNCTION("IMPORTRANGE(""https://docs.google.com/spreadsheets/d/1eHaY18a8A9IcSdp1K8H6x8fbOy06t2VsZHhMHf-1x7Y/edit?usp=sharing"",""แผน!IM20"")"),0)</f>
        <v>0</v>
      </c>
      <c r="J674" s="697">
        <f ca="1">J676+J679</f>
        <v>0</v>
      </c>
      <c r="K674" s="679">
        <f t="shared" ca="1" si="407"/>
        <v>0</v>
      </c>
      <c r="L674" s="1087"/>
      <c r="M674" s="566"/>
      <c r="N674" s="1085"/>
      <c r="O674" s="566"/>
      <c r="P674" s="566"/>
      <c r="Q674" s="1085"/>
      <c r="R674" s="566"/>
      <c r="S674" s="1085"/>
      <c r="T674" s="566"/>
      <c r="U674" s="566"/>
    </row>
    <row r="675" spans="1:21" ht="19.5" x14ac:dyDescent="0.3">
      <c r="A675" s="764"/>
      <c r="B675" s="718"/>
      <c r="C675" s="718"/>
      <c r="D675" s="561"/>
      <c r="E675" s="561"/>
      <c r="F675" s="561"/>
      <c r="G675" s="563"/>
      <c r="H675" s="1080" t="s">
        <v>46</v>
      </c>
      <c r="I675" s="1086">
        <f ca="1">IFERROR(__xludf.DUMMYFUNCTION("IMPORTRANGE(""https://docs.google.com/spreadsheets/d/1eHaY18a8A9IcSdp1K8H6x8fbOy06t2VsZHhMHf-1x7Y/edit?usp=sharing"",""แผน!IN20"")"),0)</f>
        <v>0</v>
      </c>
      <c r="J675" s="697">
        <f ca="1">J678+J681</f>
        <v>0</v>
      </c>
      <c r="K675" s="679">
        <f t="shared" ca="1" si="407"/>
        <v>0</v>
      </c>
      <c r="L675" s="574"/>
      <c r="M675" s="566"/>
      <c r="N675" s="1085"/>
      <c r="O675" s="566"/>
      <c r="P675" s="566"/>
      <c r="Q675" s="566"/>
      <c r="R675" s="566"/>
      <c r="S675" s="1085"/>
      <c r="T675" s="566"/>
      <c r="U675" s="566"/>
    </row>
    <row r="676" spans="1:21" ht="18.75" x14ac:dyDescent="0.25">
      <c r="A676" s="764"/>
      <c r="B676" s="718"/>
      <c r="C676" s="718"/>
      <c r="D676" s="561"/>
      <c r="E676" s="573" t="s">
        <v>249</v>
      </c>
      <c r="F676" s="561"/>
      <c r="G676" s="563"/>
      <c r="H676" s="686" t="s">
        <v>35</v>
      </c>
      <c r="I676" s="1084">
        <f ca="1">IFERROR(__xludf.DUMMYFUNCTION("IMPORTRANGE(""https://docs.google.com/spreadsheets/d/1eHaY18a8A9IcSdp1K8H6x8fbOy06t2VsZHhMHf-1x7Y/edit?usp=sharing"",""แผน!IO20"")"),0)</f>
        <v>0</v>
      </c>
      <c r="J676" s="708">
        <f ca="1">IFERROR(__xludf.DUMMYFUNCTION("IMPORTRANGE(""https://docs.google.com/spreadsheets/d/1tdoBKaGub7dwA3U6UFTqxio9LNnvDCQjHKmttSEBsFQ/edit?usp=sharing"",""จัดที่ดิน!BF20"")"),0)</f>
        <v>0</v>
      </c>
      <c r="K676" s="568">
        <f t="shared" ca="1" si="407"/>
        <v>0</v>
      </c>
      <c r="L676" s="574"/>
      <c r="M676" s="566"/>
      <c r="N676" s="1085"/>
      <c r="O676" s="566"/>
      <c r="P676" s="566"/>
      <c r="Q676" s="566"/>
      <c r="R676" s="566"/>
      <c r="S676" s="1085"/>
      <c r="T676" s="566"/>
      <c r="U676" s="566"/>
    </row>
    <row r="677" spans="1:21" ht="18.75" x14ac:dyDescent="0.25">
      <c r="A677" s="764"/>
      <c r="B677" s="718"/>
      <c r="C677" s="718"/>
      <c r="D677" s="561"/>
      <c r="E677" s="561"/>
      <c r="F677" s="561"/>
      <c r="G677" s="563"/>
      <c r="H677" s="686" t="s">
        <v>34</v>
      </c>
      <c r="I677" s="727"/>
      <c r="J677" s="708">
        <f ca="1">IFERROR(__xludf.DUMMYFUNCTION("IMPORTRANGE(""https://docs.google.com/spreadsheets/d/1tdoBKaGub7dwA3U6UFTqxio9LNnvDCQjHKmttSEBsFQ/edit?usp=sharing"",""จัดที่ดิน!BG20"")"),0)</f>
        <v>0</v>
      </c>
      <c r="K677" s="566"/>
      <c r="L677" s="1087"/>
      <c r="M677" s="566"/>
      <c r="N677" s="1085"/>
      <c r="O677" s="566"/>
      <c r="P677" s="566"/>
      <c r="Q677" s="1085"/>
      <c r="R677" s="566"/>
      <c r="S677" s="1085"/>
      <c r="T677" s="566"/>
      <c r="U677" s="566"/>
    </row>
    <row r="678" spans="1:21" ht="18.75" x14ac:dyDescent="0.25">
      <c r="A678" s="764"/>
      <c r="B678" s="718"/>
      <c r="C678" s="718"/>
      <c r="D678" s="561"/>
      <c r="E678" s="561"/>
      <c r="F678" s="561"/>
      <c r="G678" s="563"/>
      <c r="H678" s="686" t="s">
        <v>46</v>
      </c>
      <c r="I678" s="1084">
        <f ca="1">IFERROR(__xludf.DUMMYFUNCTION("IMPORTRANGE(""https://docs.google.com/spreadsheets/d/1eHaY18a8A9IcSdp1K8H6x8fbOy06t2VsZHhMHf-1x7Y/edit?usp=sharing"",""แผน!IP20"")"),0)</f>
        <v>0</v>
      </c>
      <c r="J678" s="708">
        <f ca="1">IFERROR(__xludf.DUMMYFUNCTION("IMPORTRANGE(""https://docs.google.com/spreadsheets/d/1tdoBKaGub7dwA3U6UFTqxio9LNnvDCQjHKmttSEBsFQ/edit?usp=sharing"",""จัดที่ดิน!BH20"")"),0)</f>
        <v>0</v>
      </c>
      <c r="K678" s="568">
        <f t="shared" ref="K678:K679" ca="1" si="408">IF(I678&gt;0,J678*100/I678,0)</f>
        <v>0</v>
      </c>
      <c r="L678" s="1087"/>
      <c r="M678" s="566"/>
      <c r="N678" s="1085"/>
      <c r="O678" s="566"/>
      <c r="P678" s="566"/>
      <c r="Q678" s="1085"/>
      <c r="R678" s="566"/>
      <c r="S678" s="1085"/>
      <c r="T678" s="566"/>
      <c r="U678" s="566"/>
    </row>
    <row r="679" spans="1:21" ht="18.75" x14ac:dyDescent="0.25">
      <c r="A679" s="764"/>
      <c r="B679" s="718"/>
      <c r="C679" s="718"/>
      <c r="D679" s="561"/>
      <c r="E679" s="573" t="s">
        <v>250</v>
      </c>
      <c r="F679" s="561"/>
      <c r="G679" s="563"/>
      <c r="H679" s="686" t="s">
        <v>35</v>
      </c>
      <c r="I679" s="1084">
        <f ca="1">IFERROR(__xludf.DUMMYFUNCTION("IMPORTRANGE(""https://docs.google.com/spreadsheets/d/1eHaY18a8A9IcSdp1K8H6x8fbOy06t2VsZHhMHf-1x7Y/edit?usp=sharing"",""แผน!IQ20"")"),0)</f>
        <v>0</v>
      </c>
      <c r="J679" s="708">
        <f ca="1">IFERROR(__xludf.DUMMYFUNCTION("IMPORTRANGE(""https://docs.google.com/spreadsheets/d/1tdoBKaGub7dwA3U6UFTqxio9LNnvDCQjHKmttSEBsFQ/edit?usp=sharing"",""จัดที่ดิน!BK20"")"),0)</f>
        <v>0</v>
      </c>
      <c r="K679" s="568">
        <f t="shared" ca="1" si="408"/>
        <v>0</v>
      </c>
      <c r="L679" s="574"/>
      <c r="M679" s="566"/>
      <c r="N679" s="1085"/>
      <c r="O679" s="566"/>
      <c r="P679" s="566"/>
      <c r="Q679" s="566"/>
      <c r="R679" s="566"/>
      <c r="S679" s="1085"/>
      <c r="T679" s="566"/>
      <c r="U679" s="566"/>
    </row>
    <row r="680" spans="1:21" ht="18.75" x14ac:dyDescent="0.25">
      <c r="A680" s="764"/>
      <c r="B680" s="718"/>
      <c r="C680" s="718"/>
      <c r="D680" s="561"/>
      <c r="E680" s="561"/>
      <c r="F680" s="561"/>
      <c r="G680" s="563"/>
      <c r="H680" s="686" t="s">
        <v>34</v>
      </c>
      <c r="I680" s="727"/>
      <c r="J680" s="708">
        <f ca="1">IFERROR(__xludf.DUMMYFUNCTION("IMPORTRANGE(""https://docs.google.com/spreadsheets/d/1tdoBKaGub7dwA3U6UFTqxio9LNnvDCQjHKmttSEBsFQ/edit?usp=sharing"",""จัดที่ดิน!BL20"")"),0)</f>
        <v>0</v>
      </c>
      <c r="K680" s="566"/>
      <c r="L680" s="1087"/>
      <c r="M680" s="566"/>
      <c r="N680" s="1085"/>
      <c r="O680" s="566"/>
      <c r="P680" s="566"/>
      <c r="Q680" s="1085"/>
      <c r="R680" s="566"/>
      <c r="S680" s="1085"/>
      <c r="T680" s="566"/>
      <c r="U680" s="566"/>
    </row>
    <row r="681" spans="1:21" ht="18.75" x14ac:dyDescent="0.25">
      <c r="A681" s="764"/>
      <c r="B681" s="718"/>
      <c r="C681" s="718"/>
      <c r="D681" s="561"/>
      <c r="E681" s="561"/>
      <c r="F681" s="561"/>
      <c r="G681" s="563"/>
      <c r="H681" s="686" t="s">
        <v>46</v>
      </c>
      <c r="I681" s="1084">
        <f ca="1">IFERROR(__xludf.DUMMYFUNCTION("IMPORTRANGE(""https://docs.google.com/spreadsheets/d/1eHaY18a8A9IcSdp1K8H6x8fbOy06t2VsZHhMHf-1x7Y/edit?usp=sharing"",""แผน!IR20"")"),0)</f>
        <v>0</v>
      </c>
      <c r="J681" s="708">
        <f ca="1">IFERROR(__xludf.DUMMYFUNCTION("IMPORTRANGE(""https://docs.google.com/spreadsheets/d/1tdoBKaGub7dwA3U6UFTqxio9LNnvDCQjHKmttSEBsFQ/edit?usp=sharing"",""จัดที่ดิน!BM20"")"),0)</f>
        <v>0</v>
      </c>
      <c r="K681" s="568">
        <f t="shared" ref="K681:K682" ca="1" si="409">IF(I681&gt;0,J681*100/I681,0)</f>
        <v>0</v>
      </c>
      <c r="L681" s="1087"/>
      <c r="M681" s="566"/>
      <c r="N681" s="1085"/>
      <c r="O681" s="566"/>
      <c r="P681" s="566"/>
      <c r="Q681" s="1085"/>
      <c r="R681" s="566"/>
      <c r="S681" s="1085"/>
      <c r="T681" s="566"/>
      <c r="U681" s="566"/>
    </row>
    <row r="682" spans="1:21" ht="19.5" x14ac:dyDescent="0.3">
      <c r="A682" s="764"/>
      <c r="B682" s="718"/>
      <c r="C682" s="718"/>
      <c r="D682" s="573" t="s">
        <v>251</v>
      </c>
      <c r="E682" s="561"/>
      <c r="F682" s="561"/>
      <c r="G682" s="563"/>
      <c r="H682" s="1080" t="s">
        <v>46</v>
      </c>
      <c r="I682" s="1086">
        <f ca="1">IFERROR(__xludf.DUMMYFUNCTION("IMPORTRANGE(""https://docs.google.com/spreadsheets/d/1eHaY18a8A9IcSdp1K8H6x8fbOy06t2VsZHhMHf-1x7Y/edit?usp=sharing"",""แผน!IS20"")"),0)</f>
        <v>0</v>
      </c>
      <c r="J682" s="697">
        <f>J685+J688</f>
        <v>0</v>
      </c>
      <c r="K682" s="679">
        <f t="shared" ca="1" si="409"/>
        <v>0</v>
      </c>
      <c r="L682" s="574"/>
      <c r="M682" s="566"/>
      <c r="N682" s="1085"/>
      <c r="O682" s="566"/>
      <c r="P682" s="566"/>
      <c r="Q682" s="566"/>
      <c r="R682" s="566"/>
      <c r="S682" s="1085"/>
      <c r="T682" s="566"/>
      <c r="U682" s="566"/>
    </row>
    <row r="683" spans="1:21" ht="18.75" x14ac:dyDescent="0.25">
      <c r="A683" s="764"/>
      <c r="B683" s="718"/>
      <c r="C683" s="718"/>
      <c r="D683" s="561"/>
      <c r="E683" s="573" t="s">
        <v>252</v>
      </c>
      <c r="F683" s="561"/>
      <c r="G683" s="563"/>
      <c r="H683" s="686" t="s">
        <v>35</v>
      </c>
      <c r="I683" s="727"/>
      <c r="J683" s="702">
        <v>0</v>
      </c>
      <c r="K683" s="566"/>
      <c r="L683" s="1087"/>
      <c r="M683" s="566"/>
      <c r="N683" s="1085"/>
      <c r="O683" s="566"/>
      <c r="P683" s="566"/>
      <c r="Q683" s="1085"/>
      <c r="R683" s="566"/>
      <c r="S683" s="1085"/>
      <c r="T683" s="566"/>
      <c r="U683" s="566"/>
    </row>
    <row r="684" spans="1:21" ht="18.75" x14ac:dyDescent="0.25">
      <c r="A684" s="764"/>
      <c r="B684" s="718"/>
      <c r="C684" s="718"/>
      <c r="D684" s="561"/>
      <c r="E684" s="561"/>
      <c r="F684" s="561"/>
      <c r="G684" s="563"/>
      <c r="H684" s="686" t="s">
        <v>34</v>
      </c>
      <c r="I684" s="727"/>
      <c r="J684" s="702">
        <v>0</v>
      </c>
      <c r="K684" s="566"/>
      <c r="L684" s="1087"/>
      <c r="M684" s="566"/>
      <c r="N684" s="1085"/>
      <c r="O684" s="566"/>
      <c r="P684" s="566"/>
      <c r="Q684" s="1085"/>
      <c r="R684" s="566"/>
      <c r="S684" s="1085"/>
      <c r="T684" s="566"/>
      <c r="U684" s="566"/>
    </row>
    <row r="685" spans="1:21" ht="18.75" x14ac:dyDescent="0.25">
      <c r="A685" s="764"/>
      <c r="B685" s="718"/>
      <c r="C685" s="718"/>
      <c r="D685" s="561"/>
      <c r="E685" s="561"/>
      <c r="F685" s="561"/>
      <c r="G685" s="563"/>
      <c r="H685" s="686" t="s">
        <v>46</v>
      </c>
      <c r="I685" s="727"/>
      <c r="J685" s="702">
        <v>0</v>
      </c>
      <c r="K685" s="566"/>
      <c r="L685" s="1087"/>
      <c r="M685" s="566"/>
      <c r="N685" s="1085"/>
      <c r="O685" s="566"/>
      <c r="P685" s="566"/>
      <c r="Q685" s="1085"/>
      <c r="R685" s="566"/>
      <c r="S685" s="1085"/>
      <c r="T685" s="566"/>
      <c r="U685" s="566"/>
    </row>
    <row r="686" spans="1:21" ht="18.75" x14ac:dyDescent="0.25">
      <c r="A686" s="764"/>
      <c r="B686" s="718"/>
      <c r="C686" s="718"/>
      <c r="D686" s="561"/>
      <c r="E686" s="573" t="s">
        <v>253</v>
      </c>
      <c r="F686" s="561"/>
      <c r="G686" s="563"/>
      <c r="H686" s="686" t="s">
        <v>35</v>
      </c>
      <c r="I686" s="727"/>
      <c r="J686" s="702">
        <v>0</v>
      </c>
      <c r="K686" s="566"/>
      <c r="L686" s="1087"/>
      <c r="M686" s="566"/>
      <c r="N686" s="1085"/>
      <c r="O686" s="566"/>
      <c r="P686" s="566"/>
      <c r="Q686" s="1085"/>
      <c r="R686" s="566"/>
      <c r="S686" s="1085"/>
      <c r="T686" s="566"/>
      <c r="U686" s="566"/>
    </row>
    <row r="687" spans="1:21" ht="18.75" x14ac:dyDescent="0.25">
      <c r="A687" s="764"/>
      <c r="B687" s="718"/>
      <c r="C687" s="718"/>
      <c r="D687" s="561"/>
      <c r="E687" s="561"/>
      <c r="F687" s="561"/>
      <c r="G687" s="563"/>
      <c r="H687" s="686" t="s">
        <v>34</v>
      </c>
      <c r="I687" s="727"/>
      <c r="J687" s="702">
        <v>0</v>
      </c>
      <c r="K687" s="566"/>
      <c r="L687" s="1087"/>
      <c r="M687" s="566"/>
      <c r="N687" s="1085"/>
      <c r="O687" s="566"/>
      <c r="P687" s="566"/>
      <c r="Q687" s="1085"/>
      <c r="R687" s="566"/>
      <c r="S687" s="1085"/>
      <c r="T687" s="566"/>
      <c r="U687" s="566"/>
    </row>
    <row r="688" spans="1:21" ht="19.5" x14ac:dyDescent="0.3">
      <c r="A688" s="863"/>
      <c r="B688" s="1088" t="s">
        <v>254</v>
      </c>
      <c r="C688" s="864"/>
      <c r="D688" s="512"/>
      <c r="E688" s="512"/>
      <c r="F688" s="512"/>
      <c r="G688" s="866"/>
      <c r="H688" s="1089" t="s">
        <v>46</v>
      </c>
      <c r="I688" s="985"/>
      <c r="J688" s="990">
        <v>0</v>
      </c>
      <c r="K688" s="580"/>
      <c r="L688" s="1090"/>
      <c r="M688" s="580"/>
      <c r="N688" s="1091"/>
      <c r="O688" s="580"/>
      <c r="P688" s="580"/>
      <c r="Q688" s="1091"/>
      <c r="R688" s="580"/>
      <c r="S688" s="1091"/>
      <c r="T688" s="580"/>
      <c r="U688" s="580"/>
    </row>
    <row r="689" spans="1:21" ht="19.5" x14ac:dyDescent="0.3">
      <c r="A689" s="1061"/>
      <c r="B689" s="1062" t="s">
        <v>255</v>
      </c>
      <c r="C689" s="1061"/>
      <c r="D689" s="1063"/>
      <c r="E689" s="1063"/>
      <c r="F689" s="1063"/>
      <c r="G689" s="1064"/>
      <c r="H689" s="1092" t="s">
        <v>35</v>
      </c>
      <c r="I689" s="1093">
        <f t="shared" ref="I689:J689" ca="1" si="410">I707</f>
        <v>70</v>
      </c>
      <c r="J689" s="1093">
        <f t="shared" ca="1" si="410"/>
        <v>61</v>
      </c>
      <c r="K689" s="1094">
        <f ca="1">IF(I689&gt;0,J689*100/I689,0)</f>
        <v>87.142857142857139</v>
      </c>
      <c r="L689" s="1068"/>
      <c r="M689" s="1067"/>
      <c r="N689" s="1067"/>
      <c r="O689" s="1067"/>
      <c r="P689" s="1067"/>
      <c r="Q689" s="1067"/>
      <c r="R689" s="1067"/>
      <c r="S689" s="1067"/>
      <c r="T689" s="1067"/>
      <c r="U689" s="1067"/>
    </row>
    <row r="690" spans="1:21" ht="19.5" x14ac:dyDescent="0.3">
      <c r="A690" s="674"/>
      <c r="B690" s="718"/>
      <c r="C690" s="724" t="s">
        <v>18</v>
      </c>
      <c r="D690" s="1310" t="s">
        <v>19</v>
      </c>
      <c r="E690" s="1311"/>
      <c r="F690" s="1311"/>
      <c r="G690" s="1312"/>
      <c r="H690" s="780" t="s">
        <v>14</v>
      </c>
      <c r="I690" s="565"/>
      <c r="J690" s="565"/>
      <c r="K690" s="566"/>
      <c r="L690" s="678">
        <f t="shared" ref="L690:N690" si="411">L691+L692</f>
        <v>0</v>
      </c>
      <c r="M690" s="679">
        <f t="shared" si="411"/>
        <v>0</v>
      </c>
      <c r="N690" s="679">
        <f t="shared" si="411"/>
        <v>0</v>
      </c>
      <c r="O690" s="679">
        <f t="shared" ref="O690:O698" si="412">IF(L690&gt;0,N690*100/L690,0)</f>
        <v>0</v>
      </c>
      <c r="P690" s="679">
        <f t="shared" ref="P690:P698" si="413">IF(M690&gt;0,N690*100/M690,0)</f>
        <v>0</v>
      </c>
      <c r="Q690" s="679">
        <f t="shared" ref="Q690:S690" ca="1" si="414">Q691+Q692</f>
        <v>237780</v>
      </c>
      <c r="R690" s="679">
        <f t="shared" ca="1" si="414"/>
        <v>237780</v>
      </c>
      <c r="S690" s="679">
        <f t="shared" ca="1" si="414"/>
        <v>75816</v>
      </c>
      <c r="T690" s="679">
        <f t="shared" ref="T690:T698" ca="1" si="415">IF(Q690&gt;0,S690*100/Q690,0)</f>
        <v>31.884935654806963</v>
      </c>
      <c r="U690" s="679">
        <f t="shared" ref="U690:U698" ca="1" si="416">IF(R690&gt;0,S690*100/R690,0)</f>
        <v>31.884935654806963</v>
      </c>
    </row>
    <row r="691" spans="1:21" ht="18.75" x14ac:dyDescent="0.25">
      <c r="A691" s="674"/>
      <c r="B691" s="718"/>
      <c r="C691" s="718"/>
      <c r="D691" s="695"/>
      <c r="E691" s="569" t="s">
        <v>158</v>
      </c>
      <c r="F691" s="561"/>
      <c r="G691" s="563"/>
      <c r="H691" s="685" t="s">
        <v>14</v>
      </c>
      <c r="I691" s="565"/>
      <c r="J691" s="565"/>
      <c r="K691" s="566"/>
      <c r="L691" s="571">
        <f t="shared" ref="L691:N692" si="417">L694+L697</f>
        <v>0</v>
      </c>
      <c r="M691" s="572">
        <f t="shared" si="417"/>
        <v>0</v>
      </c>
      <c r="N691" s="572">
        <f t="shared" si="417"/>
        <v>0</v>
      </c>
      <c r="O691" s="572">
        <f t="shared" si="412"/>
        <v>0</v>
      </c>
      <c r="P691" s="572">
        <f t="shared" si="413"/>
        <v>0</v>
      </c>
      <c r="Q691" s="572">
        <f t="shared" ref="Q691:S692" si="418">Q694+Q697</f>
        <v>0</v>
      </c>
      <c r="R691" s="572">
        <f t="shared" si="418"/>
        <v>0</v>
      </c>
      <c r="S691" s="572">
        <f t="shared" si="418"/>
        <v>0</v>
      </c>
      <c r="T691" s="572">
        <f t="shared" si="415"/>
        <v>0</v>
      </c>
      <c r="U691" s="572">
        <f t="shared" si="416"/>
        <v>0</v>
      </c>
    </row>
    <row r="692" spans="1:21" ht="18.75" x14ac:dyDescent="0.25">
      <c r="A692" s="674"/>
      <c r="B692" s="718"/>
      <c r="C692" s="718"/>
      <c r="D692" s="695"/>
      <c r="E692" s="573" t="s">
        <v>159</v>
      </c>
      <c r="F692" s="561"/>
      <c r="G692" s="563"/>
      <c r="H692" s="682" t="s">
        <v>14</v>
      </c>
      <c r="I692" s="565"/>
      <c r="J692" s="565"/>
      <c r="K692" s="566"/>
      <c r="L692" s="567">
        <f t="shared" si="417"/>
        <v>0</v>
      </c>
      <c r="M692" s="568">
        <f t="shared" si="417"/>
        <v>0</v>
      </c>
      <c r="N692" s="568">
        <f t="shared" si="417"/>
        <v>0</v>
      </c>
      <c r="O692" s="568">
        <f t="shared" si="412"/>
        <v>0</v>
      </c>
      <c r="P692" s="568">
        <f t="shared" si="413"/>
        <v>0</v>
      </c>
      <c r="Q692" s="568">
        <f t="shared" ca="1" si="418"/>
        <v>237780</v>
      </c>
      <c r="R692" s="568">
        <f t="shared" ca="1" si="418"/>
        <v>237780</v>
      </c>
      <c r="S692" s="568">
        <f t="shared" ca="1" si="418"/>
        <v>75816</v>
      </c>
      <c r="T692" s="568">
        <f t="shared" ca="1" si="415"/>
        <v>31.884935654806963</v>
      </c>
      <c r="U692" s="568">
        <f t="shared" ca="1" si="416"/>
        <v>31.884935654806963</v>
      </c>
    </row>
    <row r="693" spans="1:21" ht="18.75" x14ac:dyDescent="0.25">
      <c r="A693" s="674"/>
      <c r="B693" s="718"/>
      <c r="C693" s="718"/>
      <c r="D693" s="562" t="s">
        <v>22</v>
      </c>
      <c r="E693" s="561"/>
      <c r="F693" s="561"/>
      <c r="G693" s="563"/>
      <c r="H693" s="682" t="s">
        <v>14</v>
      </c>
      <c r="I693" s="683"/>
      <c r="J693" s="683"/>
      <c r="K693" s="684"/>
      <c r="L693" s="567">
        <f t="shared" ref="L693:N693" si="419">L694+L695</f>
        <v>0</v>
      </c>
      <c r="M693" s="568">
        <f t="shared" si="419"/>
        <v>0</v>
      </c>
      <c r="N693" s="568">
        <f t="shared" si="419"/>
        <v>0</v>
      </c>
      <c r="O693" s="568">
        <f t="shared" si="412"/>
        <v>0</v>
      </c>
      <c r="P693" s="568">
        <f t="shared" si="413"/>
        <v>0</v>
      </c>
      <c r="Q693" s="568">
        <f t="shared" ref="Q693:S693" ca="1" si="420">Q694+Q695</f>
        <v>237780</v>
      </c>
      <c r="R693" s="568">
        <f t="shared" ca="1" si="420"/>
        <v>237780</v>
      </c>
      <c r="S693" s="568">
        <f t="shared" ca="1" si="420"/>
        <v>75816</v>
      </c>
      <c r="T693" s="568">
        <f t="shared" ca="1" si="415"/>
        <v>31.884935654806963</v>
      </c>
      <c r="U693" s="568">
        <f t="shared" ca="1" si="416"/>
        <v>31.884935654806963</v>
      </c>
    </row>
    <row r="694" spans="1:21" ht="18.75" x14ac:dyDescent="0.25">
      <c r="A694" s="674"/>
      <c r="B694" s="718"/>
      <c r="C694" s="718"/>
      <c r="D694" s="695"/>
      <c r="E694" s="569" t="s">
        <v>158</v>
      </c>
      <c r="F694" s="561"/>
      <c r="G694" s="563"/>
      <c r="H694" s="685" t="s">
        <v>14</v>
      </c>
      <c r="I694" s="565"/>
      <c r="J694" s="565"/>
      <c r="K694" s="566"/>
      <c r="L694" s="571">
        <v>0</v>
      </c>
      <c r="M694" s="572">
        <v>0</v>
      </c>
      <c r="N694" s="572">
        <v>0</v>
      </c>
      <c r="O694" s="572">
        <f t="shared" si="412"/>
        <v>0</v>
      </c>
      <c r="P694" s="572">
        <f t="shared" si="413"/>
        <v>0</v>
      </c>
      <c r="Q694" s="572">
        <v>0</v>
      </c>
      <c r="R694" s="572">
        <v>0</v>
      </c>
      <c r="S694" s="572">
        <v>0</v>
      </c>
      <c r="T694" s="572">
        <f t="shared" si="415"/>
        <v>0</v>
      </c>
      <c r="U694" s="572">
        <f t="shared" si="416"/>
        <v>0</v>
      </c>
    </row>
    <row r="695" spans="1:21" ht="18.75" x14ac:dyDescent="0.25">
      <c r="A695" s="674"/>
      <c r="B695" s="718"/>
      <c r="C695" s="718"/>
      <c r="D695" s="695"/>
      <c r="E695" s="573" t="s">
        <v>159</v>
      </c>
      <c r="F695" s="561"/>
      <c r="G695" s="563"/>
      <c r="H695" s="682" t="s">
        <v>14</v>
      </c>
      <c r="I695" s="565"/>
      <c r="J695" s="565"/>
      <c r="K695" s="566"/>
      <c r="L695" s="567">
        <v>0</v>
      </c>
      <c r="M695" s="568">
        <v>0</v>
      </c>
      <c r="N695" s="568">
        <v>0</v>
      </c>
      <c r="O695" s="568">
        <f t="shared" si="412"/>
        <v>0</v>
      </c>
      <c r="P695" s="568">
        <f t="shared" si="413"/>
        <v>0</v>
      </c>
      <c r="Q695" s="568">
        <f ca="1">IFERROR(__xludf.DUMMYFUNCTION("IMPORTRANGE(""https://docs.google.com/spreadsheets/d/1ItG2mGa2ceCfYo0BwxsXqNm01IGEUdYcSSLTEv9YCik/edit?usp=sharing"",""เบิกจ่ายกองทุน!L20"")"),237780)</f>
        <v>237780</v>
      </c>
      <c r="R695" s="568">
        <f ca="1">IFERROR(__xludf.DUMMYFUNCTION("IMPORTRANGE(""https://docs.google.com/spreadsheets/d/1ItG2mGa2ceCfYo0BwxsXqNm01IGEUdYcSSLTEv9YCik/edit?usp=sharing"",""เบิกจ่ายกองทุน!M20"")"),237780)</f>
        <v>237780</v>
      </c>
      <c r="S695" s="568">
        <f ca="1">IFERROR(__xludf.DUMMYFUNCTION("IMPORTRANGE(""https://docs.google.com/spreadsheets/d/1ItG2mGa2ceCfYo0BwxsXqNm01IGEUdYcSSLTEv9YCik/edit?usp=sharing"",""เบิกจ่ายกองทุน!N20"")"),75816)</f>
        <v>75816</v>
      </c>
      <c r="T695" s="568">
        <f t="shared" ca="1" si="415"/>
        <v>31.884935654806963</v>
      </c>
      <c r="U695" s="568">
        <f t="shared" ca="1" si="416"/>
        <v>31.884935654806963</v>
      </c>
    </row>
    <row r="696" spans="1:21" ht="18.75" x14ac:dyDescent="0.25">
      <c r="A696" s="674"/>
      <c r="B696" s="718"/>
      <c r="C696" s="718"/>
      <c r="D696" s="562" t="s">
        <v>23</v>
      </c>
      <c r="E696" s="561"/>
      <c r="F696" s="561"/>
      <c r="G696" s="563"/>
      <c r="H696" s="686" t="s">
        <v>14</v>
      </c>
      <c r="I696" s="683"/>
      <c r="J696" s="683"/>
      <c r="K696" s="684"/>
      <c r="L696" s="567">
        <f t="shared" ref="L696:N696" si="421">L697+L698</f>
        <v>0</v>
      </c>
      <c r="M696" s="568">
        <f t="shared" si="421"/>
        <v>0</v>
      </c>
      <c r="N696" s="568">
        <f t="shared" si="421"/>
        <v>0</v>
      </c>
      <c r="O696" s="568">
        <f t="shared" si="412"/>
        <v>0</v>
      </c>
      <c r="P696" s="568">
        <f t="shared" si="413"/>
        <v>0</v>
      </c>
      <c r="Q696" s="568">
        <f t="shared" ref="Q696:S696" si="422">Q697+Q698</f>
        <v>0</v>
      </c>
      <c r="R696" s="568">
        <f t="shared" si="422"/>
        <v>0</v>
      </c>
      <c r="S696" s="568">
        <f t="shared" si="422"/>
        <v>0</v>
      </c>
      <c r="T696" s="568">
        <f t="shared" si="415"/>
        <v>0</v>
      </c>
      <c r="U696" s="568">
        <f t="shared" si="416"/>
        <v>0</v>
      </c>
    </row>
    <row r="697" spans="1:21" ht="18.75" x14ac:dyDescent="0.25">
      <c r="A697" s="674"/>
      <c r="B697" s="718"/>
      <c r="C697" s="718"/>
      <c r="D697" s="561"/>
      <c r="E697" s="569" t="s">
        <v>20</v>
      </c>
      <c r="F697" s="561"/>
      <c r="G697" s="563"/>
      <c r="H697" s="685" t="s">
        <v>14</v>
      </c>
      <c r="I697" s="683"/>
      <c r="J697" s="683"/>
      <c r="K697" s="684"/>
      <c r="L697" s="571">
        <v>0</v>
      </c>
      <c r="M697" s="572">
        <v>0</v>
      </c>
      <c r="N697" s="572">
        <v>0</v>
      </c>
      <c r="O697" s="572">
        <f t="shared" si="412"/>
        <v>0</v>
      </c>
      <c r="P697" s="572">
        <f t="shared" si="413"/>
        <v>0</v>
      </c>
      <c r="Q697" s="572">
        <v>0</v>
      </c>
      <c r="R697" s="572">
        <v>0</v>
      </c>
      <c r="S697" s="572">
        <v>0</v>
      </c>
      <c r="T697" s="572">
        <f t="shared" si="415"/>
        <v>0</v>
      </c>
      <c r="U697" s="572">
        <f t="shared" si="416"/>
        <v>0</v>
      </c>
    </row>
    <row r="698" spans="1:21" ht="18.75" x14ac:dyDescent="0.25">
      <c r="A698" s="674"/>
      <c r="B698" s="718"/>
      <c r="C698" s="718"/>
      <c r="D698" s="561"/>
      <c r="E698" s="573" t="s">
        <v>21</v>
      </c>
      <c r="F698" s="561"/>
      <c r="G698" s="563"/>
      <c r="H698" s="686" t="s">
        <v>14</v>
      </c>
      <c r="I698" s="683"/>
      <c r="J698" s="683"/>
      <c r="K698" s="684"/>
      <c r="L698" s="567">
        <v>0</v>
      </c>
      <c r="M698" s="568">
        <v>0</v>
      </c>
      <c r="N698" s="568">
        <v>0</v>
      </c>
      <c r="O698" s="568">
        <f t="shared" si="412"/>
        <v>0</v>
      </c>
      <c r="P698" s="568">
        <f t="shared" si="413"/>
        <v>0</v>
      </c>
      <c r="Q698" s="568">
        <v>0</v>
      </c>
      <c r="R698" s="568">
        <v>0</v>
      </c>
      <c r="S698" s="568">
        <v>0</v>
      </c>
      <c r="T698" s="568">
        <f t="shared" si="415"/>
        <v>0</v>
      </c>
      <c r="U698" s="568">
        <f t="shared" si="416"/>
        <v>0</v>
      </c>
    </row>
    <row r="699" spans="1:21" ht="19.5" x14ac:dyDescent="0.3">
      <c r="A699" s="687"/>
      <c r="B699" s="688"/>
      <c r="C699" s="724" t="s">
        <v>18</v>
      </c>
      <c r="D699" s="689" t="s">
        <v>38</v>
      </c>
      <c r="E699" s="690"/>
      <c r="F699" s="690"/>
      <c r="G699" s="690"/>
      <c r="H699" s="725"/>
      <c r="I699" s="683"/>
      <c r="J699" s="683"/>
      <c r="K699" s="684"/>
      <c r="L699" s="574"/>
      <c r="M699" s="566"/>
      <c r="N699" s="566"/>
      <c r="O699" s="566"/>
      <c r="P699" s="566"/>
      <c r="Q699" s="566"/>
      <c r="R699" s="566"/>
      <c r="S699" s="566"/>
      <c r="T699" s="566"/>
      <c r="U699" s="566"/>
    </row>
    <row r="700" spans="1:21" ht="18.75" x14ac:dyDescent="0.25">
      <c r="A700" s="764"/>
      <c r="B700" s="718"/>
      <c r="C700" s="718"/>
      <c r="D700" s="695"/>
      <c r="E700" s="694" t="s">
        <v>256</v>
      </c>
      <c r="F700" s="695"/>
      <c r="G700" s="692"/>
      <c r="H700" s="686" t="s">
        <v>257</v>
      </c>
      <c r="I700" s="708">
        <f ca="1">IFERROR(__xludf.DUMMYFUNCTION("IMPORTRANGE(""https://docs.google.com/spreadsheets/d/1eHaY18a8A9IcSdp1K8H6x8fbOy06t2VsZHhMHf-1x7Y/edit?usp=sharing"",""แผน!LC20"")"),3)</f>
        <v>3</v>
      </c>
      <c r="J700" s="702">
        <v>0</v>
      </c>
      <c r="K700" s="703">
        <f t="shared" ref="K700:K710" ca="1" si="423">IF(I700&gt;0,J700*100/I700,0)</f>
        <v>0</v>
      </c>
      <c r="L700" s="693"/>
      <c r="M700" s="684"/>
      <c r="N700" s="566"/>
      <c r="O700" s="684"/>
      <c r="P700" s="684"/>
      <c r="Q700" s="684"/>
      <c r="R700" s="684"/>
      <c r="S700" s="566"/>
      <c r="T700" s="684"/>
      <c r="U700" s="684"/>
    </row>
    <row r="701" spans="1:21" ht="19.5" x14ac:dyDescent="0.3">
      <c r="A701" s="764"/>
      <c r="B701" s="718"/>
      <c r="C701" s="718"/>
      <c r="D701" s="695"/>
      <c r="E701" s="1095" t="s">
        <v>258</v>
      </c>
      <c r="F701" s="695"/>
      <c r="G701" s="692"/>
      <c r="H701" s="677" t="s">
        <v>35</v>
      </c>
      <c r="I701" s="697">
        <f t="shared" ref="I701:J701" ca="1" si="424">I703+I705</f>
        <v>74</v>
      </c>
      <c r="J701" s="697">
        <f t="shared" ca="1" si="424"/>
        <v>97</v>
      </c>
      <c r="K701" s="679">
        <f t="shared" ca="1" si="423"/>
        <v>131.08108108108109</v>
      </c>
      <c r="L701" s="693"/>
      <c r="M701" s="684"/>
      <c r="N701" s="684"/>
      <c r="O701" s="684"/>
      <c r="P701" s="684"/>
      <c r="Q701" s="684"/>
      <c r="R701" s="684"/>
      <c r="S701" s="684"/>
      <c r="T701" s="684"/>
      <c r="U701" s="684"/>
    </row>
    <row r="702" spans="1:21" ht="19.5" x14ac:dyDescent="0.3">
      <c r="A702" s="764"/>
      <c r="B702" s="718"/>
      <c r="C702" s="718"/>
      <c r="D702" s="695"/>
      <c r="E702" s="695"/>
      <c r="F702" s="695"/>
      <c r="G702" s="692"/>
      <c r="H702" s="677" t="s">
        <v>46</v>
      </c>
      <c r="I702" s="697">
        <v>0</v>
      </c>
      <c r="J702" s="697">
        <f ca="1">J704+J706</f>
        <v>114.8</v>
      </c>
      <c r="K702" s="679">
        <f t="shared" si="423"/>
        <v>0</v>
      </c>
      <c r="L702" s="693"/>
      <c r="M702" s="684"/>
      <c r="N702" s="684"/>
      <c r="O702" s="684"/>
      <c r="P702" s="684"/>
      <c r="Q702" s="684"/>
      <c r="R702" s="684"/>
      <c r="S702" s="684"/>
      <c r="T702" s="684"/>
      <c r="U702" s="684"/>
    </row>
    <row r="703" spans="1:21" ht="18.75" x14ac:dyDescent="0.25">
      <c r="A703" s="764"/>
      <c r="B703" s="718"/>
      <c r="C703" s="718"/>
      <c r="D703" s="695"/>
      <c r="E703" s="695"/>
      <c r="F703" s="694" t="s">
        <v>259</v>
      </c>
      <c r="G703" s="692"/>
      <c r="H703" s="686" t="s">
        <v>35</v>
      </c>
      <c r="I703" s="708">
        <f ca="1">IFERROR(__xludf.DUMMYFUNCTION("IMPORTRANGE(""https://docs.google.com/spreadsheets/d/1eHaY18a8A9IcSdp1K8H6x8fbOy06t2VsZHhMHf-1x7Y/edit?usp=sharing"",""แผน!LJ20"")"),70)</f>
        <v>70</v>
      </c>
      <c r="J703" s="708">
        <f ca="1">IFERROR(__xludf.DUMMYFUNCTION("IMPORTRANGE(""https://docs.google.com/spreadsheets/d/1tdoBKaGub7dwA3U6UFTqxio9LNnvDCQjHKmttSEBsFQ/edit?usp=sharing"",""จัดที่ดิน!AP20"")"),97)</f>
        <v>97</v>
      </c>
      <c r="K703" s="568">
        <f t="shared" ca="1" si="423"/>
        <v>138.57142857142858</v>
      </c>
      <c r="L703" s="693"/>
      <c r="M703" s="684"/>
      <c r="N703" s="684"/>
      <c r="O703" s="684"/>
      <c r="P703" s="684"/>
      <c r="Q703" s="684"/>
      <c r="R703" s="684"/>
      <c r="S703" s="684"/>
      <c r="T703" s="684"/>
      <c r="U703" s="684"/>
    </row>
    <row r="704" spans="1:21" ht="18.75" x14ac:dyDescent="0.25">
      <c r="A704" s="764"/>
      <c r="B704" s="718"/>
      <c r="C704" s="718"/>
      <c r="D704" s="695"/>
      <c r="E704" s="695"/>
      <c r="F704" s="695"/>
      <c r="G704" s="692"/>
      <c r="H704" s="686" t="s">
        <v>46</v>
      </c>
      <c r="I704" s="708">
        <v>0</v>
      </c>
      <c r="J704" s="708">
        <f ca="1">IFERROR(__xludf.DUMMYFUNCTION("IMPORTRANGE(""https://docs.google.com/spreadsheets/d/1tdoBKaGub7dwA3U6UFTqxio9LNnvDCQjHKmttSEBsFQ/edit?usp=sharing"",""จัดที่ดิน!AQ20"")"),114.8)</f>
        <v>114.8</v>
      </c>
      <c r="K704" s="568">
        <f t="shared" si="423"/>
        <v>0</v>
      </c>
      <c r="L704" s="693"/>
      <c r="M704" s="684"/>
      <c r="N704" s="684"/>
      <c r="O704" s="684"/>
      <c r="P704" s="684"/>
      <c r="Q704" s="684"/>
      <c r="R704" s="684"/>
      <c r="S704" s="684"/>
      <c r="T704" s="684"/>
      <c r="U704" s="684"/>
    </row>
    <row r="705" spans="1:21" ht="18.75" x14ac:dyDescent="0.25">
      <c r="A705" s="764"/>
      <c r="B705" s="718"/>
      <c r="C705" s="718"/>
      <c r="D705" s="695"/>
      <c r="E705" s="695"/>
      <c r="F705" s="694" t="s">
        <v>260</v>
      </c>
      <c r="G705" s="692"/>
      <c r="H705" s="686" t="s">
        <v>35</v>
      </c>
      <c r="I705" s="708">
        <f ca="1">IFERROR(__xludf.DUMMYFUNCTION("IMPORTRANGE(""https://docs.google.com/spreadsheets/d/1eHaY18a8A9IcSdp1K8H6x8fbOy06t2VsZHhMHf-1x7Y/edit?usp=sharing"",""แผน!LK20"")"),4)</f>
        <v>4</v>
      </c>
      <c r="J705" s="708">
        <f ca="1">IFERROR(__xludf.DUMMYFUNCTION("IMPORTRANGE(""https://docs.google.com/spreadsheets/d/1tdoBKaGub7dwA3U6UFTqxio9LNnvDCQjHKmttSEBsFQ/edit?usp=sharing"",""จัดที่ดิน!AR20"")"),0)</f>
        <v>0</v>
      </c>
      <c r="K705" s="703">
        <f t="shared" ca="1" si="423"/>
        <v>0</v>
      </c>
      <c r="L705" s="693"/>
      <c r="M705" s="684"/>
      <c r="N705" s="684"/>
      <c r="O705" s="684"/>
      <c r="P705" s="684"/>
      <c r="Q705" s="684"/>
      <c r="R705" s="684"/>
      <c r="S705" s="684"/>
      <c r="T705" s="684"/>
      <c r="U705" s="684"/>
    </row>
    <row r="706" spans="1:21" ht="18.75" x14ac:dyDescent="0.25">
      <c r="A706" s="764"/>
      <c r="B706" s="718"/>
      <c r="C706" s="718"/>
      <c r="D706" s="695"/>
      <c r="E706" s="695"/>
      <c r="F706" s="695"/>
      <c r="G706" s="692"/>
      <c r="H706" s="686" t="s">
        <v>46</v>
      </c>
      <c r="I706" s="708">
        <v>0</v>
      </c>
      <c r="J706" s="708">
        <f ca="1">IFERROR(__xludf.DUMMYFUNCTION("IMPORTRANGE(""https://docs.google.com/spreadsheets/d/1tdoBKaGub7dwA3U6UFTqxio9LNnvDCQjHKmttSEBsFQ/edit?usp=sharing"",""จัดที่ดิน!AS20"")"),0)</f>
        <v>0</v>
      </c>
      <c r="K706" s="568">
        <f t="shared" si="423"/>
        <v>0</v>
      </c>
      <c r="L706" s="693"/>
      <c r="M706" s="684"/>
      <c r="N706" s="684"/>
      <c r="O706" s="684"/>
      <c r="P706" s="684"/>
      <c r="Q706" s="684"/>
      <c r="R706" s="684"/>
      <c r="S706" s="684"/>
      <c r="T706" s="684"/>
      <c r="U706" s="684"/>
    </row>
    <row r="707" spans="1:21" ht="18.75" x14ac:dyDescent="0.25">
      <c r="A707" s="764"/>
      <c r="B707" s="718"/>
      <c r="C707" s="718"/>
      <c r="D707" s="695"/>
      <c r="E707" s="694" t="s">
        <v>261</v>
      </c>
      <c r="F707" s="695"/>
      <c r="G707" s="692"/>
      <c r="H707" s="682" t="s">
        <v>35</v>
      </c>
      <c r="I707" s="708">
        <f ca="1">IFERROR(__xludf.DUMMYFUNCTION("IMPORTRANGE(""https://docs.google.com/spreadsheets/d/1eHaY18a8A9IcSdp1K8H6x8fbOy06t2VsZHhMHf-1x7Y/edit?usp=sharing"",""แผน!LJ20"")"),70)</f>
        <v>70</v>
      </c>
      <c r="J707" s="708">
        <f ca="1">IFERROR(__xludf.DUMMYFUNCTION("IMPORTRANGE(""https://docs.google.com/spreadsheets/d/1tdoBKaGub7dwA3U6UFTqxio9LNnvDCQjHKmttSEBsFQ/edit?usp=sharing"",""จัดที่ดิน!BN20"")"),61)</f>
        <v>61</v>
      </c>
      <c r="K707" s="568">
        <f t="shared" ca="1" si="423"/>
        <v>87.142857142857139</v>
      </c>
      <c r="L707" s="693"/>
      <c r="M707" s="684"/>
      <c r="N707" s="684"/>
      <c r="O707" s="684"/>
      <c r="P707" s="684"/>
      <c r="Q707" s="684"/>
      <c r="R707" s="684"/>
      <c r="S707" s="684"/>
      <c r="T707" s="684"/>
      <c r="U707" s="684"/>
    </row>
    <row r="708" spans="1:21" ht="18.75" x14ac:dyDescent="0.25">
      <c r="A708" s="764"/>
      <c r="B708" s="718"/>
      <c r="C708" s="718"/>
      <c r="D708" s="695"/>
      <c r="E708" s="1096" t="s">
        <v>262</v>
      </c>
      <c r="F708" s="695"/>
      <c r="G708" s="692"/>
      <c r="H708" s="682" t="s">
        <v>46</v>
      </c>
      <c r="I708" s="708">
        <v>0</v>
      </c>
      <c r="J708" s="708">
        <f ca="1">IFERROR(__xludf.DUMMYFUNCTION("IMPORTRANGE(""https://docs.google.com/spreadsheets/d/1tdoBKaGub7dwA3U6UFTqxio9LNnvDCQjHKmttSEBsFQ/edit?usp=sharing"",""จัดที่ดิน!BO20"")"),56)</f>
        <v>56</v>
      </c>
      <c r="K708" s="568">
        <f t="shared" si="423"/>
        <v>0</v>
      </c>
      <c r="L708" s="693"/>
      <c r="M708" s="684"/>
      <c r="N708" s="684"/>
      <c r="O708" s="684"/>
      <c r="P708" s="684"/>
      <c r="Q708" s="684"/>
      <c r="R708" s="684"/>
      <c r="S708" s="684"/>
      <c r="T708" s="684"/>
      <c r="U708" s="684"/>
    </row>
    <row r="709" spans="1:21" ht="18.75" x14ac:dyDescent="0.25">
      <c r="A709" s="764"/>
      <c r="B709" s="718"/>
      <c r="C709" s="718"/>
      <c r="D709" s="561"/>
      <c r="E709" s="573" t="s">
        <v>263</v>
      </c>
      <c r="F709" s="561"/>
      <c r="G709" s="563"/>
      <c r="H709" s="722" t="s">
        <v>35</v>
      </c>
      <c r="I709" s="708">
        <f ca="1">IFERROR(__xludf.DUMMYFUNCTION("IMPORTRANGE(""https://docs.google.com/spreadsheets/d/1eHaY18a8A9IcSdp1K8H6x8fbOy06t2VsZHhMHf-1x7Y/edit?usp=sharing"",""แผน!LK20"")"),4)</f>
        <v>4</v>
      </c>
      <c r="J709" s="708">
        <f ca="1">IFERROR(__xludf.DUMMYFUNCTION("IMPORTRANGE(""https://docs.google.com/spreadsheets/d/1tdoBKaGub7dwA3U6UFTqxio9LNnvDCQjHKmttSEBsFQ/edit?usp=sharing"",""จัดที่ดิน!BP20"")"),2)</f>
        <v>2</v>
      </c>
      <c r="K709" s="568">
        <f t="shared" ca="1" si="423"/>
        <v>50</v>
      </c>
      <c r="L709" s="574"/>
      <c r="M709" s="566"/>
      <c r="N709" s="566"/>
      <c r="O709" s="566"/>
      <c r="P709" s="566"/>
      <c r="Q709" s="566"/>
      <c r="R709" s="566"/>
      <c r="S709" s="566"/>
      <c r="T709" s="566"/>
      <c r="U709" s="566"/>
    </row>
    <row r="710" spans="1:21" ht="18.75" x14ac:dyDescent="0.25">
      <c r="A710" s="764"/>
      <c r="B710" s="718"/>
      <c r="C710" s="718"/>
      <c r="D710" s="561"/>
      <c r="E710" s="1096" t="s">
        <v>264</v>
      </c>
      <c r="F710" s="561"/>
      <c r="G710" s="563"/>
      <c r="H710" s="722" t="s">
        <v>46</v>
      </c>
      <c r="I710" s="708">
        <v>0</v>
      </c>
      <c r="J710" s="708">
        <f ca="1">IFERROR(__xludf.DUMMYFUNCTION("IMPORTRANGE(""https://docs.google.com/spreadsheets/d/1tdoBKaGub7dwA3U6UFTqxio9LNnvDCQjHKmttSEBsFQ/edit?usp=sharing"",""จัดที่ดิน!BQ20"")"),0)</f>
        <v>0</v>
      </c>
      <c r="K710" s="568">
        <f t="shared" si="423"/>
        <v>0</v>
      </c>
      <c r="L710" s="574"/>
      <c r="M710" s="566"/>
      <c r="N710" s="566"/>
      <c r="O710" s="566"/>
      <c r="P710" s="566"/>
      <c r="Q710" s="566"/>
      <c r="R710" s="566"/>
      <c r="S710" s="566"/>
      <c r="T710" s="566"/>
      <c r="U710" s="566"/>
    </row>
    <row r="711" spans="1:21" ht="12.75" hidden="1" x14ac:dyDescent="0.2">
      <c r="A711" s="1027"/>
      <c r="B711" s="966"/>
      <c r="C711" s="966"/>
      <c r="D711" s="1028"/>
      <c r="E711" s="1028"/>
      <c r="F711" s="1028"/>
      <c r="G711" s="1029"/>
      <c r="H711" s="967"/>
      <c r="I711" s="968"/>
      <c r="J711" s="968"/>
      <c r="K711" s="969"/>
      <c r="L711" s="970"/>
      <c r="M711" s="969"/>
      <c r="N711" s="969"/>
      <c r="O711" s="969"/>
      <c r="P711" s="969"/>
      <c r="Q711" s="969"/>
      <c r="R711" s="969"/>
      <c r="S711" s="969"/>
      <c r="T711" s="969"/>
      <c r="U711" s="969"/>
    </row>
    <row r="712" spans="1:21" ht="19.5" hidden="1" x14ac:dyDescent="0.3">
      <c r="A712" s="1061"/>
      <c r="B712" s="1097" t="s">
        <v>265</v>
      </c>
      <c r="C712" s="1061"/>
      <c r="D712" s="1063"/>
      <c r="E712" s="1063"/>
      <c r="F712" s="1063"/>
      <c r="G712" s="1064"/>
      <c r="H712" s="1098" t="s">
        <v>46</v>
      </c>
      <c r="I712" s="1066"/>
      <c r="J712" s="1066">
        <f>J724</f>
        <v>0</v>
      </c>
      <c r="K712" s="1099">
        <f>IF(I712&gt;0,J712*100/I712,0)</f>
        <v>0</v>
      </c>
      <c r="L712" s="1068"/>
      <c r="M712" s="1067"/>
      <c r="N712" s="1067"/>
      <c r="O712" s="1067"/>
      <c r="P712" s="1067"/>
      <c r="Q712" s="1067"/>
      <c r="R712" s="1067"/>
      <c r="S712" s="1067"/>
      <c r="T712" s="1067"/>
      <c r="U712" s="1067"/>
    </row>
    <row r="713" spans="1:21" ht="19.5" hidden="1" x14ac:dyDescent="0.3">
      <c r="A713" s="1061"/>
      <c r="B713" s="1097" t="s">
        <v>266</v>
      </c>
      <c r="C713" s="1061"/>
      <c r="D713" s="1063"/>
      <c r="E713" s="1063"/>
      <c r="F713" s="1063"/>
      <c r="G713" s="1064"/>
      <c r="H713" s="1065"/>
      <c r="I713" s="1066"/>
      <c r="J713" s="1066"/>
      <c r="K713" s="1067"/>
      <c r="L713" s="1068"/>
      <c r="M713" s="1067"/>
      <c r="N713" s="1067"/>
      <c r="O713" s="1067"/>
      <c r="P713" s="1067"/>
      <c r="Q713" s="1067"/>
      <c r="R713" s="1067"/>
      <c r="S713" s="1067"/>
      <c r="T713" s="1067"/>
      <c r="U713" s="1067"/>
    </row>
    <row r="714" spans="1:21" ht="19.5" hidden="1" x14ac:dyDescent="0.3">
      <c r="A714" s="674"/>
      <c r="B714" s="718"/>
      <c r="C714" s="767" t="s">
        <v>18</v>
      </c>
      <c r="D714" s="1315" t="s">
        <v>19</v>
      </c>
      <c r="E714" s="1311"/>
      <c r="F714" s="1311"/>
      <c r="G714" s="1312"/>
      <c r="H714" s="799" t="s">
        <v>14</v>
      </c>
      <c r="I714" s="565"/>
      <c r="J714" s="565"/>
      <c r="K714" s="566"/>
      <c r="L714" s="678">
        <f t="shared" ref="L714:N714" si="425">L715+L716</f>
        <v>0</v>
      </c>
      <c r="M714" s="679">
        <f t="shared" si="425"/>
        <v>0</v>
      </c>
      <c r="N714" s="679">
        <f t="shared" si="425"/>
        <v>0</v>
      </c>
      <c r="O714" s="679">
        <f t="shared" ref="O714:O722" si="426">IF(L714&gt;0,N714*100/L714,0)</f>
        <v>0</v>
      </c>
      <c r="P714" s="679">
        <f t="shared" ref="P714:P722" si="427">IF(M714&gt;0,N714*100/M714,0)</f>
        <v>0</v>
      </c>
      <c r="Q714" s="679">
        <f t="shared" ref="Q714:S714" si="428">Q715+Q716</f>
        <v>0</v>
      </c>
      <c r="R714" s="679">
        <f t="shared" si="428"/>
        <v>0</v>
      </c>
      <c r="S714" s="679">
        <f t="shared" si="428"/>
        <v>0</v>
      </c>
      <c r="T714" s="679">
        <f t="shared" ref="T714:T722" si="429">IF(Q714&gt;0,S714*100/Q714,0)</f>
        <v>0</v>
      </c>
      <c r="U714" s="679">
        <f t="shared" ref="U714:U722" si="430">IF(R714&gt;0,S714*100/R714,0)</f>
        <v>0</v>
      </c>
    </row>
    <row r="715" spans="1:21" ht="18.75" hidden="1" x14ac:dyDescent="0.25">
      <c r="A715" s="674"/>
      <c r="B715" s="718"/>
      <c r="C715" s="718"/>
      <c r="D715" s="695"/>
      <c r="E715" s="569" t="s">
        <v>158</v>
      </c>
      <c r="F715" s="561"/>
      <c r="G715" s="563"/>
      <c r="H715" s="685" t="s">
        <v>14</v>
      </c>
      <c r="I715" s="565"/>
      <c r="J715" s="565"/>
      <c r="K715" s="566"/>
      <c r="L715" s="571">
        <f t="shared" ref="L715:N716" si="431">L718+L721</f>
        <v>0</v>
      </c>
      <c r="M715" s="572">
        <f t="shared" si="431"/>
        <v>0</v>
      </c>
      <c r="N715" s="572">
        <f t="shared" si="431"/>
        <v>0</v>
      </c>
      <c r="O715" s="572">
        <f t="shared" si="426"/>
        <v>0</v>
      </c>
      <c r="P715" s="572">
        <f t="shared" si="427"/>
        <v>0</v>
      </c>
      <c r="Q715" s="572">
        <f t="shared" ref="Q715:S716" si="432">Q718+Q721</f>
        <v>0</v>
      </c>
      <c r="R715" s="572">
        <f t="shared" si="432"/>
        <v>0</v>
      </c>
      <c r="S715" s="572">
        <f t="shared" si="432"/>
        <v>0</v>
      </c>
      <c r="T715" s="572">
        <f t="shared" si="429"/>
        <v>0</v>
      </c>
      <c r="U715" s="572">
        <f t="shared" si="430"/>
        <v>0</v>
      </c>
    </row>
    <row r="716" spans="1:21" ht="18.75" hidden="1" x14ac:dyDescent="0.25">
      <c r="A716" s="674"/>
      <c r="B716" s="718"/>
      <c r="C716" s="718"/>
      <c r="D716" s="695"/>
      <c r="E716" s="569" t="s">
        <v>159</v>
      </c>
      <c r="F716" s="561"/>
      <c r="G716" s="563"/>
      <c r="H716" s="685" t="s">
        <v>14</v>
      </c>
      <c r="I716" s="565"/>
      <c r="J716" s="565"/>
      <c r="K716" s="566"/>
      <c r="L716" s="567">
        <f t="shared" si="431"/>
        <v>0</v>
      </c>
      <c r="M716" s="568">
        <f t="shared" si="431"/>
        <v>0</v>
      </c>
      <c r="N716" s="568">
        <f t="shared" si="431"/>
        <v>0</v>
      </c>
      <c r="O716" s="568">
        <f t="shared" si="426"/>
        <v>0</v>
      </c>
      <c r="P716" s="568">
        <f t="shared" si="427"/>
        <v>0</v>
      </c>
      <c r="Q716" s="568">
        <f t="shared" si="432"/>
        <v>0</v>
      </c>
      <c r="R716" s="568">
        <f t="shared" si="432"/>
        <v>0</v>
      </c>
      <c r="S716" s="568">
        <f t="shared" si="432"/>
        <v>0</v>
      </c>
      <c r="T716" s="568">
        <f t="shared" si="429"/>
        <v>0</v>
      </c>
      <c r="U716" s="568">
        <f t="shared" si="430"/>
        <v>0</v>
      </c>
    </row>
    <row r="717" spans="1:21" ht="19.5" hidden="1" x14ac:dyDescent="0.3">
      <c r="A717" s="674"/>
      <c r="B717" s="718"/>
      <c r="C717" s="718"/>
      <c r="D717" s="798" t="s">
        <v>22</v>
      </c>
      <c r="E717" s="561"/>
      <c r="F717" s="561"/>
      <c r="G717" s="563"/>
      <c r="H717" s="799" t="s">
        <v>14</v>
      </c>
      <c r="I717" s="683"/>
      <c r="J717" s="683"/>
      <c r="K717" s="684"/>
      <c r="L717" s="567">
        <f t="shared" ref="L717:N717" si="433">L718+L719</f>
        <v>0</v>
      </c>
      <c r="M717" s="568">
        <f t="shared" si="433"/>
        <v>0</v>
      </c>
      <c r="N717" s="568">
        <f t="shared" si="433"/>
        <v>0</v>
      </c>
      <c r="O717" s="568">
        <f t="shared" si="426"/>
        <v>0</v>
      </c>
      <c r="P717" s="568">
        <f t="shared" si="427"/>
        <v>0</v>
      </c>
      <c r="Q717" s="568">
        <f t="shared" ref="Q717:S717" si="434">Q718+Q719</f>
        <v>0</v>
      </c>
      <c r="R717" s="568">
        <f t="shared" si="434"/>
        <v>0</v>
      </c>
      <c r="S717" s="568">
        <f t="shared" si="434"/>
        <v>0</v>
      </c>
      <c r="T717" s="568">
        <f t="shared" si="429"/>
        <v>0</v>
      </c>
      <c r="U717" s="568">
        <f t="shared" si="430"/>
        <v>0</v>
      </c>
    </row>
    <row r="718" spans="1:21" ht="18.75" hidden="1" x14ac:dyDescent="0.25">
      <c r="A718" s="674"/>
      <c r="B718" s="718"/>
      <c r="C718" s="718"/>
      <c r="D718" s="695"/>
      <c r="E718" s="569" t="s">
        <v>158</v>
      </c>
      <c r="F718" s="561"/>
      <c r="G718" s="563"/>
      <c r="H718" s="685" t="s">
        <v>14</v>
      </c>
      <c r="I718" s="565"/>
      <c r="J718" s="565"/>
      <c r="K718" s="566"/>
      <c r="L718" s="571">
        <v>0</v>
      </c>
      <c r="M718" s="572">
        <v>0</v>
      </c>
      <c r="N718" s="572">
        <v>0</v>
      </c>
      <c r="O718" s="572">
        <f t="shared" si="426"/>
        <v>0</v>
      </c>
      <c r="P718" s="572">
        <f t="shared" si="427"/>
        <v>0</v>
      </c>
      <c r="Q718" s="572">
        <v>0</v>
      </c>
      <c r="R718" s="572">
        <v>0</v>
      </c>
      <c r="S718" s="572">
        <v>0</v>
      </c>
      <c r="T718" s="572">
        <f t="shared" si="429"/>
        <v>0</v>
      </c>
      <c r="U718" s="572">
        <f t="shared" si="430"/>
        <v>0</v>
      </c>
    </row>
    <row r="719" spans="1:21" ht="18.75" hidden="1" x14ac:dyDescent="0.25">
      <c r="A719" s="674"/>
      <c r="B719" s="718"/>
      <c r="C719" s="718"/>
      <c r="D719" s="695"/>
      <c r="E719" s="569" t="s">
        <v>159</v>
      </c>
      <c r="F719" s="561"/>
      <c r="G719" s="563"/>
      <c r="H719" s="685" t="s">
        <v>14</v>
      </c>
      <c r="I719" s="565"/>
      <c r="J719" s="565"/>
      <c r="K719" s="566"/>
      <c r="L719" s="567">
        <v>0</v>
      </c>
      <c r="M719" s="568">
        <v>0</v>
      </c>
      <c r="N719" s="568">
        <v>0</v>
      </c>
      <c r="O719" s="568">
        <f t="shared" si="426"/>
        <v>0</v>
      </c>
      <c r="P719" s="568">
        <f t="shared" si="427"/>
        <v>0</v>
      </c>
      <c r="Q719" s="568">
        <v>0</v>
      </c>
      <c r="R719" s="568">
        <v>0</v>
      </c>
      <c r="S719" s="568">
        <v>0</v>
      </c>
      <c r="T719" s="568">
        <f t="shared" si="429"/>
        <v>0</v>
      </c>
      <c r="U719" s="568">
        <f t="shared" si="430"/>
        <v>0</v>
      </c>
    </row>
    <row r="720" spans="1:21" ht="19.5" hidden="1" x14ac:dyDescent="0.3">
      <c r="A720" s="674"/>
      <c r="B720" s="718"/>
      <c r="C720" s="718"/>
      <c r="D720" s="798" t="s">
        <v>23</v>
      </c>
      <c r="E720" s="561"/>
      <c r="F720" s="561"/>
      <c r="G720" s="563"/>
      <c r="H720" s="1041" t="s">
        <v>14</v>
      </c>
      <c r="I720" s="683"/>
      <c r="J720" s="683"/>
      <c r="K720" s="684"/>
      <c r="L720" s="567">
        <f t="shared" ref="L720:N720" si="435">L721+L722</f>
        <v>0</v>
      </c>
      <c r="M720" s="568">
        <f t="shared" si="435"/>
        <v>0</v>
      </c>
      <c r="N720" s="568">
        <f t="shared" si="435"/>
        <v>0</v>
      </c>
      <c r="O720" s="568">
        <f t="shared" si="426"/>
        <v>0</v>
      </c>
      <c r="P720" s="568">
        <f t="shared" si="427"/>
        <v>0</v>
      </c>
      <c r="Q720" s="568">
        <f t="shared" ref="Q720:S720" si="436">Q721+Q722</f>
        <v>0</v>
      </c>
      <c r="R720" s="568">
        <f t="shared" si="436"/>
        <v>0</v>
      </c>
      <c r="S720" s="568">
        <f t="shared" si="436"/>
        <v>0</v>
      </c>
      <c r="T720" s="568">
        <f t="shared" si="429"/>
        <v>0</v>
      </c>
      <c r="U720" s="568">
        <f t="shared" si="430"/>
        <v>0</v>
      </c>
    </row>
    <row r="721" spans="1:21" ht="18.75" hidden="1" x14ac:dyDescent="0.25">
      <c r="A721" s="674"/>
      <c r="B721" s="718"/>
      <c r="C721" s="718"/>
      <c r="D721" s="561"/>
      <c r="E721" s="569" t="s">
        <v>20</v>
      </c>
      <c r="F721" s="561"/>
      <c r="G721" s="563"/>
      <c r="H721" s="685" t="s">
        <v>14</v>
      </c>
      <c r="I721" s="683"/>
      <c r="J721" s="683"/>
      <c r="K721" s="684"/>
      <c r="L721" s="571">
        <v>0</v>
      </c>
      <c r="M721" s="572">
        <v>0</v>
      </c>
      <c r="N721" s="572">
        <v>0</v>
      </c>
      <c r="O721" s="572">
        <f t="shared" si="426"/>
        <v>0</v>
      </c>
      <c r="P721" s="572">
        <f t="shared" si="427"/>
        <v>0</v>
      </c>
      <c r="Q721" s="572">
        <v>0</v>
      </c>
      <c r="R721" s="572">
        <v>0</v>
      </c>
      <c r="S721" s="572">
        <v>0</v>
      </c>
      <c r="T721" s="572">
        <f t="shared" si="429"/>
        <v>0</v>
      </c>
      <c r="U721" s="572">
        <f t="shared" si="430"/>
        <v>0</v>
      </c>
    </row>
    <row r="722" spans="1:21" ht="18.75" hidden="1" x14ac:dyDescent="0.25">
      <c r="A722" s="674"/>
      <c r="B722" s="718"/>
      <c r="C722" s="718"/>
      <c r="D722" s="561"/>
      <c r="E722" s="569" t="s">
        <v>21</v>
      </c>
      <c r="F722" s="561"/>
      <c r="G722" s="563"/>
      <c r="H722" s="734" t="s">
        <v>14</v>
      </c>
      <c r="I722" s="683"/>
      <c r="J722" s="683"/>
      <c r="K722" s="684"/>
      <c r="L722" s="567">
        <v>0</v>
      </c>
      <c r="M722" s="568">
        <v>0</v>
      </c>
      <c r="N722" s="568">
        <v>0</v>
      </c>
      <c r="O722" s="568">
        <f t="shared" si="426"/>
        <v>0</v>
      </c>
      <c r="P722" s="568">
        <f t="shared" si="427"/>
        <v>0</v>
      </c>
      <c r="Q722" s="568">
        <v>0</v>
      </c>
      <c r="R722" s="568">
        <v>0</v>
      </c>
      <c r="S722" s="568">
        <v>0</v>
      </c>
      <c r="T722" s="568">
        <f t="shared" si="429"/>
        <v>0</v>
      </c>
      <c r="U722" s="568">
        <f t="shared" si="430"/>
        <v>0</v>
      </c>
    </row>
    <row r="723" spans="1:21" ht="19.5" hidden="1" x14ac:dyDescent="0.3">
      <c r="A723" s="687"/>
      <c r="B723" s="688"/>
      <c r="C723" s="767" t="s">
        <v>18</v>
      </c>
      <c r="D723" s="1100" t="s">
        <v>38</v>
      </c>
      <c r="E723" s="690"/>
      <c r="F723" s="690"/>
      <c r="G723" s="691"/>
      <c r="H723" s="725"/>
      <c r="I723" s="683"/>
      <c r="J723" s="683"/>
      <c r="K723" s="684"/>
      <c r="L723" s="693"/>
      <c r="M723" s="684"/>
      <c r="N723" s="684"/>
      <c r="O723" s="684"/>
      <c r="P723" s="684"/>
      <c r="Q723" s="684"/>
      <c r="R723" s="684"/>
      <c r="S723" s="684"/>
      <c r="T723" s="684"/>
      <c r="U723" s="684"/>
    </row>
    <row r="724" spans="1:21" ht="18.75" hidden="1" x14ac:dyDescent="0.25">
      <c r="A724" s="764"/>
      <c r="B724" s="718"/>
      <c r="C724" s="718"/>
      <c r="D724" s="561"/>
      <c r="E724" s="569" t="s">
        <v>267</v>
      </c>
      <c r="F724" s="561"/>
      <c r="G724" s="563"/>
      <c r="H724" s="685" t="s">
        <v>46</v>
      </c>
      <c r="I724" s="735">
        <v>0</v>
      </c>
      <c r="J724" s="565"/>
      <c r="K724" s="566"/>
      <c r="L724" s="574"/>
      <c r="M724" s="566"/>
      <c r="N724" s="566"/>
      <c r="O724" s="566"/>
      <c r="P724" s="566"/>
      <c r="Q724" s="566"/>
      <c r="R724" s="566"/>
      <c r="S724" s="566"/>
      <c r="T724" s="566"/>
      <c r="U724" s="566"/>
    </row>
    <row r="725" spans="1:21" ht="18.75" hidden="1" x14ac:dyDescent="0.25">
      <c r="A725" s="984"/>
      <c r="B725" s="514"/>
      <c r="C725" s="514"/>
      <c r="D725" s="513"/>
      <c r="E725" s="738" t="s">
        <v>268</v>
      </c>
      <c r="F725" s="513"/>
      <c r="G725" s="577"/>
      <c r="H725" s="1101" t="s">
        <v>46</v>
      </c>
      <c r="I725" s="740">
        <v>0</v>
      </c>
      <c r="J725" s="579"/>
      <c r="K725" s="580"/>
      <c r="L725" s="581"/>
      <c r="M725" s="580"/>
      <c r="N725" s="580"/>
      <c r="O725" s="580"/>
      <c r="P725" s="580"/>
      <c r="Q725" s="580"/>
      <c r="R725" s="580"/>
      <c r="S725" s="580"/>
      <c r="T725" s="580"/>
      <c r="U725" s="580"/>
    </row>
    <row r="726" spans="1:21" ht="19.5" x14ac:dyDescent="0.3">
      <c r="A726" s="1061"/>
      <c r="B726" s="1062" t="s">
        <v>269</v>
      </c>
      <c r="C726" s="1061"/>
      <c r="D726" s="1063"/>
      <c r="E726" s="1063"/>
      <c r="F726" s="1063"/>
      <c r="G726" s="1064"/>
      <c r="H726" s="1092" t="s">
        <v>35</v>
      </c>
      <c r="I726" s="1093">
        <f ca="1">IFERROR(__xludf.DUMMYFUNCTION("IMPORTRANGE(""https://docs.google.com/spreadsheets/d/1eHaY18a8A9IcSdp1K8H6x8fbOy06t2VsZHhMHf-1x7Y/edit?usp=sharing"",""แผน!GA20"")"),31)</f>
        <v>31</v>
      </c>
      <c r="J726" s="1093">
        <f>J742+J746+J749</f>
        <v>0</v>
      </c>
      <c r="K726" s="1094">
        <f t="shared" ref="K726:K727" ca="1" si="437">IF(I726&gt;0,J726*100/I726,0)</f>
        <v>0</v>
      </c>
      <c r="L726" s="1068"/>
      <c r="M726" s="1067"/>
      <c r="N726" s="1067"/>
      <c r="O726" s="1067"/>
      <c r="P726" s="1067"/>
      <c r="Q726" s="1067"/>
      <c r="R726" s="1067"/>
      <c r="S726" s="1067"/>
      <c r="T726" s="1067"/>
      <c r="U726" s="1067"/>
    </row>
    <row r="727" spans="1:21" ht="19.5" x14ac:dyDescent="0.3">
      <c r="A727" s="1102"/>
      <c r="B727" s="1061"/>
      <c r="C727" s="1061"/>
      <c r="D727" s="1063"/>
      <c r="E727" s="1063"/>
      <c r="F727" s="1063"/>
      <c r="G727" s="1064"/>
      <c r="H727" s="1092" t="s">
        <v>46</v>
      </c>
      <c r="I727" s="1093">
        <f ca="1">IFERROR(__xludf.DUMMYFUNCTION("IMPORTRANGE(""https://docs.google.com/spreadsheets/d/1eHaY18a8A9IcSdp1K8H6x8fbOy06t2VsZHhMHf-1x7Y/edit?usp=sharing"",""แผน!FZ20"")"),300)</f>
        <v>300</v>
      </c>
      <c r="J727" s="1093">
        <f>J752+J755</f>
        <v>0</v>
      </c>
      <c r="K727" s="1094">
        <f t="shared" ca="1" si="437"/>
        <v>0</v>
      </c>
      <c r="L727" s="1068"/>
      <c r="M727" s="1067"/>
      <c r="N727" s="1067"/>
      <c r="O727" s="1067"/>
      <c r="P727" s="1067"/>
      <c r="Q727" s="1067"/>
      <c r="R727" s="1067"/>
      <c r="S727" s="1067"/>
      <c r="T727" s="1067"/>
      <c r="U727" s="1067"/>
    </row>
    <row r="728" spans="1:21" ht="19.5" x14ac:dyDescent="0.3">
      <c r="A728" s="674"/>
      <c r="B728" s="718"/>
      <c r="C728" s="724" t="s">
        <v>18</v>
      </c>
      <c r="D728" s="1310" t="s">
        <v>19</v>
      </c>
      <c r="E728" s="1311"/>
      <c r="F728" s="1311"/>
      <c r="G728" s="1312"/>
      <c r="H728" s="780" t="s">
        <v>14</v>
      </c>
      <c r="I728" s="565"/>
      <c r="J728" s="565"/>
      <c r="K728" s="566"/>
      <c r="L728" s="678">
        <f t="shared" ref="L728:N728" si="438">L729+L730</f>
        <v>0</v>
      </c>
      <c r="M728" s="679">
        <f t="shared" si="438"/>
        <v>0</v>
      </c>
      <c r="N728" s="679">
        <f t="shared" si="438"/>
        <v>0</v>
      </c>
      <c r="O728" s="679">
        <f t="shared" ref="O728:O736" si="439">IF(L728&gt;0,N728*100/L728,0)</f>
        <v>0</v>
      </c>
      <c r="P728" s="679">
        <f t="shared" ref="P728:P736" si="440">IF(M728&gt;0,N728*100/M728,0)</f>
        <v>0</v>
      </c>
      <c r="Q728" s="679">
        <f t="shared" ref="Q728:S728" ca="1" si="441">Q729+Q730</f>
        <v>242546</v>
      </c>
      <c r="R728" s="679">
        <f t="shared" ca="1" si="441"/>
        <v>242546</v>
      </c>
      <c r="S728" s="679">
        <f t="shared" ca="1" si="441"/>
        <v>9670</v>
      </c>
      <c r="T728" s="679">
        <f t="shared" ref="T728:T736" ca="1" si="442">IF(Q728&gt;0,S728*100/Q728,0)</f>
        <v>3.9868725932400451</v>
      </c>
      <c r="U728" s="679">
        <f t="shared" ref="U728:U736" ca="1" si="443">IF(R728&gt;0,S728*100/R728,0)</f>
        <v>3.9868725932400451</v>
      </c>
    </row>
    <row r="729" spans="1:21" ht="18.75" x14ac:dyDescent="0.25">
      <c r="A729" s="674"/>
      <c r="B729" s="718"/>
      <c r="C729" s="718"/>
      <c r="D729" s="695"/>
      <c r="E729" s="569" t="s">
        <v>158</v>
      </c>
      <c r="F729" s="561"/>
      <c r="G729" s="563"/>
      <c r="H729" s="685" t="s">
        <v>14</v>
      </c>
      <c r="I729" s="565"/>
      <c r="J729" s="565"/>
      <c r="K729" s="566"/>
      <c r="L729" s="571">
        <f t="shared" ref="L729:N730" si="444">L732+L735</f>
        <v>0</v>
      </c>
      <c r="M729" s="572">
        <f t="shared" si="444"/>
        <v>0</v>
      </c>
      <c r="N729" s="572">
        <f t="shared" si="444"/>
        <v>0</v>
      </c>
      <c r="O729" s="572">
        <f t="shared" si="439"/>
        <v>0</v>
      </c>
      <c r="P729" s="572">
        <f t="shared" si="440"/>
        <v>0</v>
      </c>
      <c r="Q729" s="572">
        <f t="shared" ref="Q729:S730" si="445">Q732+Q735</f>
        <v>0</v>
      </c>
      <c r="R729" s="572">
        <f t="shared" si="445"/>
        <v>0</v>
      </c>
      <c r="S729" s="572">
        <f t="shared" si="445"/>
        <v>0</v>
      </c>
      <c r="T729" s="572">
        <f t="shared" si="442"/>
        <v>0</v>
      </c>
      <c r="U729" s="572">
        <f t="shared" si="443"/>
        <v>0</v>
      </c>
    </row>
    <row r="730" spans="1:21" ht="18.75" x14ac:dyDescent="0.25">
      <c r="A730" s="674"/>
      <c r="B730" s="718"/>
      <c r="C730" s="718"/>
      <c r="D730" s="695"/>
      <c r="E730" s="573" t="s">
        <v>159</v>
      </c>
      <c r="F730" s="561"/>
      <c r="G730" s="563"/>
      <c r="H730" s="682" t="s">
        <v>14</v>
      </c>
      <c r="I730" s="565"/>
      <c r="J730" s="565"/>
      <c r="K730" s="566"/>
      <c r="L730" s="567">
        <f t="shared" si="444"/>
        <v>0</v>
      </c>
      <c r="M730" s="568">
        <f t="shared" si="444"/>
        <v>0</v>
      </c>
      <c r="N730" s="568">
        <f t="shared" si="444"/>
        <v>0</v>
      </c>
      <c r="O730" s="568">
        <f t="shared" si="439"/>
        <v>0</v>
      </c>
      <c r="P730" s="568">
        <f t="shared" si="440"/>
        <v>0</v>
      </c>
      <c r="Q730" s="568">
        <f t="shared" ca="1" si="445"/>
        <v>242546</v>
      </c>
      <c r="R730" s="568">
        <f t="shared" ca="1" si="445"/>
        <v>242546</v>
      </c>
      <c r="S730" s="568">
        <f t="shared" ca="1" si="445"/>
        <v>9670</v>
      </c>
      <c r="T730" s="568">
        <f t="shared" ca="1" si="442"/>
        <v>3.9868725932400451</v>
      </c>
      <c r="U730" s="568">
        <f t="shared" ca="1" si="443"/>
        <v>3.9868725932400451</v>
      </c>
    </row>
    <row r="731" spans="1:21" ht="18.75" x14ac:dyDescent="0.25">
      <c r="A731" s="674"/>
      <c r="B731" s="718"/>
      <c r="C731" s="718"/>
      <c r="D731" s="562" t="s">
        <v>22</v>
      </c>
      <c r="E731" s="561"/>
      <c r="F731" s="561"/>
      <c r="G731" s="563"/>
      <c r="H731" s="682" t="s">
        <v>14</v>
      </c>
      <c r="I731" s="683"/>
      <c r="J731" s="683"/>
      <c r="K731" s="684"/>
      <c r="L731" s="567">
        <f t="shared" ref="L731:N731" si="446">L732+L733</f>
        <v>0</v>
      </c>
      <c r="M731" s="568">
        <f t="shared" si="446"/>
        <v>0</v>
      </c>
      <c r="N731" s="568">
        <f t="shared" si="446"/>
        <v>0</v>
      </c>
      <c r="O731" s="568">
        <f t="shared" si="439"/>
        <v>0</v>
      </c>
      <c r="P731" s="568">
        <f t="shared" si="440"/>
        <v>0</v>
      </c>
      <c r="Q731" s="568">
        <f t="shared" ref="Q731:S731" ca="1" si="447">Q732+Q733</f>
        <v>242546</v>
      </c>
      <c r="R731" s="568">
        <f t="shared" ca="1" si="447"/>
        <v>242546</v>
      </c>
      <c r="S731" s="568">
        <f t="shared" ca="1" si="447"/>
        <v>9670</v>
      </c>
      <c r="T731" s="568">
        <f t="shared" ca="1" si="442"/>
        <v>3.9868725932400451</v>
      </c>
      <c r="U731" s="568">
        <f t="shared" ca="1" si="443"/>
        <v>3.9868725932400451</v>
      </c>
    </row>
    <row r="732" spans="1:21" ht="18.75" x14ac:dyDescent="0.25">
      <c r="A732" s="674"/>
      <c r="B732" s="718"/>
      <c r="C732" s="718"/>
      <c r="D732" s="695"/>
      <c r="E732" s="569" t="s">
        <v>158</v>
      </c>
      <c r="F732" s="561"/>
      <c r="G732" s="563"/>
      <c r="H732" s="685" t="s">
        <v>14</v>
      </c>
      <c r="I732" s="565"/>
      <c r="J732" s="565"/>
      <c r="K732" s="566"/>
      <c r="L732" s="571">
        <v>0</v>
      </c>
      <c r="M732" s="572">
        <v>0</v>
      </c>
      <c r="N732" s="572">
        <v>0</v>
      </c>
      <c r="O732" s="572">
        <f t="shared" si="439"/>
        <v>0</v>
      </c>
      <c r="P732" s="572">
        <f t="shared" si="440"/>
        <v>0</v>
      </c>
      <c r="Q732" s="572">
        <v>0</v>
      </c>
      <c r="R732" s="572">
        <v>0</v>
      </c>
      <c r="S732" s="572">
        <v>0</v>
      </c>
      <c r="T732" s="572">
        <f t="shared" si="442"/>
        <v>0</v>
      </c>
      <c r="U732" s="572">
        <f t="shared" si="443"/>
        <v>0</v>
      </c>
    </row>
    <row r="733" spans="1:21" ht="18.75" x14ac:dyDescent="0.25">
      <c r="A733" s="674"/>
      <c r="B733" s="718"/>
      <c r="C733" s="718"/>
      <c r="D733" s="695"/>
      <c r="E733" s="573" t="s">
        <v>159</v>
      </c>
      <c r="F733" s="561"/>
      <c r="G733" s="563"/>
      <c r="H733" s="682" t="s">
        <v>14</v>
      </c>
      <c r="I733" s="565"/>
      <c r="J733" s="565"/>
      <c r="K733" s="566"/>
      <c r="L733" s="567">
        <v>0</v>
      </c>
      <c r="M733" s="568">
        <v>0</v>
      </c>
      <c r="N733" s="568">
        <v>0</v>
      </c>
      <c r="O733" s="568">
        <f t="shared" si="439"/>
        <v>0</v>
      </c>
      <c r="P733" s="568">
        <f t="shared" si="440"/>
        <v>0</v>
      </c>
      <c r="Q733" s="568">
        <f ca="1">IFERROR(__xludf.DUMMYFUNCTION("IMPORTRANGE(""https://docs.google.com/spreadsheets/d/1ItG2mGa2ceCfYo0BwxsXqNm01IGEUdYcSSLTEv9YCik/edit?usp=sharing"",""เบิกจ่ายกองทุน!O20"")"),242546)</f>
        <v>242546</v>
      </c>
      <c r="R733" s="568">
        <f ca="1">IFERROR(__xludf.DUMMYFUNCTION("IMPORTRANGE(""https://docs.google.com/spreadsheets/d/1ItG2mGa2ceCfYo0BwxsXqNm01IGEUdYcSSLTEv9YCik/edit?usp=sharing"",""เบิกจ่ายกองทุน!P20"")"),242546)</f>
        <v>242546</v>
      </c>
      <c r="S733" s="568">
        <f ca="1">IFERROR(__xludf.DUMMYFUNCTION("IMPORTRANGE(""https://docs.google.com/spreadsheets/d/1ItG2mGa2ceCfYo0BwxsXqNm01IGEUdYcSSLTEv9YCik/edit?usp=sharing"",""เบิกจ่ายกองทุน!Q20"")"),9670)</f>
        <v>9670</v>
      </c>
      <c r="T733" s="568">
        <f t="shared" ca="1" si="442"/>
        <v>3.9868725932400451</v>
      </c>
      <c r="U733" s="568">
        <f t="shared" ca="1" si="443"/>
        <v>3.9868725932400451</v>
      </c>
    </row>
    <row r="734" spans="1:21" ht="18.75" x14ac:dyDescent="0.25">
      <c r="A734" s="674"/>
      <c r="B734" s="718"/>
      <c r="C734" s="718"/>
      <c r="D734" s="562" t="s">
        <v>23</v>
      </c>
      <c r="E734" s="718"/>
      <c r="F734" s="718"/>
      <c r="G734" s="563"/>
      <c r="H734" s="686" t="s">
        <v>14</v>
      </c>
      <c r="I734" s="683"/>
      <c r="J734" s="683"/>
      <c r="K734" s="684"/>
      <c r="L734" s="567">
        <f t="shared" ref="L734:N734" si="448">L735+L736</f>
        <v>0</v>
      </c>
      <c r="M734" s="568">
        <f t="shared" si="448"/>
        <v>0</v>
      </c>
      <c r="N734" s="568">
        <f t="shared" si="448"/>
        <v>0</v>
      </c>
      <c r="O734" s="568">
        <f t="shared" si="439"/>
        <v>0</v>
      </c>
      <c r="P734" s="568">
        <f t="shared" si="440"/>
        <v>0</v>
      </c>
      <c r="Q734" s="568">
        <f t="shared" ref="Q734:S734" si="449">Q735+Q736</f>
        <v>0</v>
      </c>
      <c r="R734" s="568">
        <f t="shared" si="449"/>
        <v>0</v>
      </c>
      <c r="S734" s="568">
        <f t="shared" si="449"/>
        <v>0</v>
      </c>
      <c r="T734" s="568">
        <f t="shared" si="442"/>
        <v>0</v>
      </c>
      <c r="U734" s="568">
        <f t="shared" si="443"/>
        <v>0</v>
      </c>
    </row>
    <row r="735" spans="1:21" ht="18.75" x14ac:dyDescent="0.25">
      <c r="A735" s="674"/>
      <c r="B735" s="718"/>
      <c r="C735" s="718"/>
      <c r="D735" s="718"/>
      <c r="E735" s="767" t="s">
        <v>20</v>
      </c>
      <c r="F735" s="718"/>
      <c r="G735" s="563"/>
      <c r="H735" s="685" t="s">
        <v>14</v>
      </c>
      <c r="I735" s="683"/>
      <c r="J735" s="683"/>
      <c r="K735" s="684"/>
      <c r="L735" s="571">
        <v>0</v>
      </c>
      <c r="M735" s="572">
        <v>0</v>
      </c>
      <c r="N735" s="572">
        <v>0</v>
      </c>
      <c r="O735" s="572">
        <f t="shared" si="439"/>
        <v>0</v>
      </c>
      <c r="P735" s="572">
        <f t="shared" si="440"/>
        <v>0</v>
      </c>
      <c r="Q735" s="572">
        <v>0</v>
      </c>
      <c r="R735" s="572">
        <v>0</v>
      </c>
      <c r="S735" s="572">
        <v>0</v>
      </c>
      <c r="T735" s="572">
        <f t="shared" si="442"/>
        <v>0</v>
      </c>
      <c r="U735" s="572">
        <f t="shared" si="443"/>
        <v>0</v>
      </c>
    </row>
    <row r="736" spans="1:21" ht="18.75" x14ac:dyDescent="0.25">
      <c r="A736" s="674"/>
      <c r="B736" s="718"/>
      <c r="C736" s="718"/>
      <c r="D736" s="718"/>
      <c r="E736" s="765" t="s">
        <v>21</v>
      </c>
      <c r="F736" s="718"/>
      <c r="G736" s="563"/>
      <c r="H736" s="686" t="s">
        <v>14</v>
      </c>
      <c r="I736" s="683"/>
      <c r="J736" s="683"/>
      <c r="K736" s="684"/>
      <c r="L736" s="567">
        <v>0</v>
      </c>
      <c r="M736" s="568">
        <v>0</v>
      </c>
      <c r="N736" s="568">
        <v>0</v>
      </c>
      <c r="O736" s="568">
        <f t="shared" si="439"/>
        <v>0</v>
      </c>
      <c r="P736" s="568">
        <f t="shared" si="440"/>
        <v>0</v>
      </c>
      <c r="Q736" s="568">
        <v>0</v>
      </c>
      <c r="R736" s="568">
        <v>0</v>
      </c>
      <c r="S736" s="568">
        <v>0</v>
      </c>
      <c r="T736" s="568">
        <f t="shared" si="442"/>
        <v>0</v>
      </c>
      <c r="U736" s="568">
        <f t="shared" si="443"/>
        <v>0</v>
      </c>
    </row>
    <row r="737" spans="1:21" ht="19.5" x14ac:dyDescent="0.3">
      <c r="A737" s="687"/>
      <c r="B737" s="688"/>
      <c r="C737" s="724" t="s">
        <v>18</v>
      </c>
      <c r="D737" s="956" t="s">
        <v>38</v>
      </c>
      <c r="E737" s="758"/>
      <c r="F737" s="690"/>
      <c r="G737" s="691"/>
      <c r="H737" s="725"/>
      <c r="I737" s="565"/>
      <c r="J737" s="565"/>
      <c r="K737" s="566"/>
      <c r="L737" s="574"/>
      <c r="M737" s="566"/>
      <c r="N737" s="566"/>
      <c r="O737" s="566"/>
      <c r="P737" s="566"/>
      <c r="Q737" s="566"/>
      <c r="R737" s="566"/>
      <c r="S737" s="566"/>
      <c r="T737" s="566"/>
      <c r="U737" s="566"/>
    </row>
    <row r="738" spans="1:21" ht="19.5" x14ac:dyDescent="0.3">
      <c r="A738" s="687"/>
      <c r="B738" s="688"/>
      <c r="C738" s="688"/>
      <c r="D738" s="1103" t="s">
        <v>121</v>
      </c>
      <c r="E738" s="688"/>
      <c r="F738" s="688"/>
      <c r="G738" s="692"/>
      <c r="H738" s="727"/>
      <c r="I738" s="565"/>
      <c r="J738" s="565"/>
      <c r="K738" s="566"/>
      <c r="L738" s="574"/>
      <c r="M738" s="566"/>
      <c r="N738" s="566"/>
      <c r="O738" s="566"/>
      <c r="P738" s="566"/>
      <c r="Q738" s="566"/>
      <c r="R738" s="566"/>
      <c r="S738" s="566"/>
      <c r="T738" s="566"/>
      <c r="U738" s="566"/>
    </row>
    <row r="739" spans="1:21" ht="18.75" x14ac:dyDescent="0.25">
      <c r="A739" s="687"/>
      <c r="B739" s="688"/>
      <c r="C739" s="688"/>
      <c r="D739" s="688"/>
      <c r="E739" s="1079" t="s">
        <v>270</v>
      </c>
      <c r="F739" s="688"/>
      <c r="G739" s="692"/>
      <c r="H739" s="727"/>
      <c r="I739" s="565"/>
      <c r="J739" s="565"/>
      <c r="K739" s="566"/>
      <c r="L739" s="574"/>
      <c r="M739" s="566"/>
      <c r="N739" s="566"/>
      <c r="O739" s="566"/>
      <c r="P739" s="566"/>
      <c r="Q739" s="566"/>
      <c r="R739" s="566"/>
      <c r="S739" s="566"/>
      <c r="T739" s="566"/>
      <c r="U739" s="566"/>
    </row>
    <row r="740" spans="1:21" ht="18.75" x14ac:dyDescent="0.25">
      <c r="A740" s="849"/>
      <c r="B740" s="850"/>
      <c r="C740" s="850"/>
      <c r="D740" s="850"/>
      <c r="E740" s="850"/>
      <c r="F740" s="1104" t="s">
        <v>271</v>
      </c>
      <c r="G740" s="852"/>
      <c r="H740" s="839" t="s">
        <v>46</v>
      </c>
      <c r="I740" s="960">
        <f ca="1">IFERROR(__xludf.DUMMYFUNCTION("IMPORTRANGE(""https://docs.google.com/spreadsheets/d/1eHaY18a8A9IcSdp1K8H6x8fbOy06t2VsZHhMHf-1x7Y/edit?usp=sharing"",""แผน!GB20"")"),240)</f>
        <v>240</v>
      </c>
      <c r="J740" s="1105">
        <v>0</v>
      </c>
      <c r="K740" s="841">
        <f ca="1">IF(I740&gt;0,J740*100/I740,0)</f>
        <v>0</v>
      </c>
      <c r="L740" s="1106"/>
      <c r="M740" s="830"/>
      <c r="N740" s="830"/>
      <c r="O740" s="830"/>
      <c r="P740" s="830"/>
      <c r="Q740" s="830"/>
      <c r="R740" s="830"/>
      <c r="S740" s="830"/>
      <c r="T740" s="830"/>
      <c r="U740" s="830"/>
    </row>
    <row r="741" spans="1:21" ht="18.75" x14ac:dyDescent="0.25">
      <c r="A741" s="849"/>
      <c r="B741" s="850"/>
      <c r="C741" s="850"/>
      <c r="D741" s="850"/>
      <c r="E741" s="850"/>
      <c r="F741" s="1104" t="s">
        <v>306</v>
      </c>
      <c r="G741" s="852"/>
      <c r="H741" s="839" t="s">
        <v>35</v>
      </c>
      <c r="I741" s="829"/>
      <c r="J741" s="1105">
        <v>0</v>
      </c>
      <c r="K741" s="830"/>
      <c r="L741" s="1106"/>
      <c r="M741" s="830"/>
      <c r="N741" s="830"/>
      <c r="O741" s="830"/>
      <c r="P741" s="830"/>
      <c r="Q741" s="830"/>
      <c r="R741" s="830"/>
      <c r="S741" s="830"/>
      <c r="T741" s="830"/>
      <c r="U741" s="830"/>
    </row>
    <row r="742" spans="1:21" ht="18.75" x14ac:dyDescent="0.25">
      <c r="A742" s="849"/>
      <c r="B742" s="850"/>
      <c r="C742" s="850"/>
      <c r="D742" s="850"/>
      <c r="E742" s="850"/>
      <c r="F742" s="1104" t="s">
        <v>307</v>
      </c>
      <c r="G742" s="852"/>
      <c r="H742" s="839" t="s">
        <v>35</v>
      </c>
      <c r="I742" s="960">
        <f ca="1">IFERROR(__xludf.DUMMYFUNCTION("IMPORTRANGE(""https://docs.google.com/spreadsheets/d/1eHaY18a8A9IcSdp1K8H6x8fbOy06t2VsZHhMHf-1x7Y/edit?usp=sharing"",""แผน!GC20"")"),24)</f>
        <v>24</v>
      </c>
      <c r="J742" s="1105">
        <v>0</v>
      </c>
      <c r="K742" s="841">
        <f ca="1">IF(I742&gt;0,J742*100/I742,0)</f>
        <v>0</v>
      </c>
      <c r="L742" s="1106"/>
      <c r="M742" s="830"/>
      <c r="N742" s="830"/>
      <c r="O742" s="830"/>
      <c r="P742" s="830"/>
      <c r="Q742" s="830"/>
      <c r="R742" s="830"/>
      <c r="S742" s="830"/>
      <c r="T742" s="830"/>
      <c r="U742" s="830"/>
    </row>
    <row r="743" spans="1:21" ht="18.75" x14ac:dyDescent="0.25">
      <c r="A743" s="849"/>
      <c r="B743" s="850"/>
      <c r="C743" s="850"/>
      <c r="D743" s="850"/>
      <c r="E743" s="1104" t="s">
        <v>274</v>
      </c>
      <c r="F743" s="850"/>
      <c r="G743" s="852"/>
      <c r="H743" s="959"/>
      <c r="I743" s="829"/>
      <c r="J743" s="829"/>
      <c r="K743" s="830"/>
      <c r="L743" s="1106"/>
      <c r="M743" s="830"/>
      <c r="N743" s="830"/>
      <c r="O743" s="830"/>
      <c r="P743" s="830"/>
      <c r="Q743" s="830"/>
      <c r="R743" s="830"/>
      <c r="S743" s="830"/>
      <c r="T743" s="830"/>
      <c r="U743" s="830"/>
    </row>
    <row r="744" spans="1:21" ht="18.75" x14ac:dyDescent="0.25">
      <c r="A744" s="849"/>
      <c r="B744" s="850"/>
      <c r="C744" s="850"/>
      <c r="D744" s="850"/>
      <c r="E744" s="850"/>
      <c r="F744" s="1104" t="s">
        <v>271</v>
      </c>
      <c r="G744" s="852"/>
      <c r="H744" s="839" t="s">
        <v>46</v>
      </c>
      <c r="I744" s="960">
        <f ca="1">IFERROR(__xludf.DUMMYFUNCTION("IMPORTRANGE(""https://docs.google.com/spreadsheets/d/1eHaY18a8A9IcSdp1K8H6x8fbOy06t2VsZHhMHf-1x7Y/edit?usp=sharing"",""แผน!GD20"")"),60)</f>
        <v>60</v>
      </c>
      <c r="J744" s="1105">
        <v>0</v>
      </c>
      <c r="K744" s="841">
        <f ca="1">IF(I744&gt;0,J744*100/I744,0)</f>
        <v>0</v>
      </c>
      <c r="L744" s="1106"/>
      <c r="M744" s="830"/>
      <c r="N744" s="830"/>
      <c r="O744" s="830"/>
      <c r="P744" s="830"/>
      <c r="Q744" s="830"/>
      <c r="R744" s="830"/>
      <c r="S744" s="830"/>
      <c r="T744" s="830"/>
      <c r="U744" s="830"/>
    </row>
    <row r="745" spans="1:21" ht="18.75" x14ac:dyDescent="0.25">
      <c r="A745" s="849"/>
      <c r="B745" s="850"/>
      <c r="C745" s="850"/>
      <c r="D745" s="850"/>
      <c r="E745" s="850"/>
      <c r="F745" s="1104" t="s">
        <v>308</v>
      </c>
      <c r="G745" s="852"/>
      <c r="H745" s="839" t="s">
        <v>35</v>
      </c>
      <c r="I745" s="829"/>
      <c r="J745" s="1105">
        <v>0</v>
      </c>
      <c r="K745" s="830"/>
      <c r="L745" s="1106"/>
      <c r="M745" s="830"/>
      <c r="N745" s="830"/>
      <c r="O745" s="830"/>
      <c r="P745" s="830"/>
      <c r="Q745" s="830"/>
      <c r="R745" s="830"/>
      <c r="S745" s="830"/>
      <c r="T745" s="830"/>
      <c r="U745" s="830"/>
    </row>
    <row r="746" spans="1:21" ht="18.75" x14ac:dyDescent="0.25">
      <c r="A746" s="849"/>
      <c r="B746" s="850"/>
      <c r="C746" s="850"/>
      <c r="D746" s="850"/>
      <c r="E746" s="850"/>
      <c r="F746" s="1104" t="s">
        <v>309</v>
      </c>
      <c r="G746" s="852"/>
      <c r="H746" s="839" t="s">
        <v>35</v>
      </c>
      <c r="I746" s="960">
        <f ca="1">IFERROR(__xludf.DUMMYFUNCTION("IMPORTRANGE(""https://docs.google.com/spreadsheets/d/1eHaY18a8A9IcSdp1K8H6x8fbOy06t2VsZHhMHf-1x7Y/edit?usp=sharing"",""แผน!GE20"")"),6)</f>
        <v>6</v>
      </c>
      <c r="J746" s="1105">
        <v>0</v>
      </c>
      <c r="K746" s="841">
        <f ca="1">IF(I746&gt;0,J746*100/I746,0)</f>
        <v>0</v>
      </c>
      <c r="L746" s="1106"/>
      <c r="M746" s="830"/>
      <c r="N746" s="830"/>
      <c r="O746" s="830"/>
      <c r="P746" s="830"/>
      <c r="Q746" s="830"/>
      <c r="R746" s="830"/>
      <c r="S746" s="830"/>
      <c r="T746" s="830"/>
      <c r="U746" s="830"/>
    </row>
    <row r="747" spans="1:21" ht="18.75" x14ac:dyDescent="0.25">
      <c r="A747" s="849"/>
      <c r="B747" s="850"/>
      <c r="C747" s="850"/>
      <c r="D747" s="850"/>
      <c r="E747" s="1104" t="s">
        <v>277</v>
      </c>
      <c r="F747" s="1107"/>
      <c r="G747" s="852"/>
      <c r="H747" s="959"/>
      <c r="I747" s="829"/>
      <c r="J747" s="829"/>
      <c r="K747" s="830"/>
      <c r="L747" s="1106"/>
      <c r="M747" s="830"/>
      <c r="N747" s="830"/>
      <c r="O747" s="830"/>
      <c r="P747" s="830"/>
      <c r="Q747" s="830"/>
      <c r="R747" s="830"/>
      <c r="S747" s="830"/>
      <c r="T747" s="830"/>
      <c r="U747" s="830"/>
    </row>
    <row r="748" spans="1:21" ht="18.75" x14ac:dyDescent="0.25">
      <c r="A748" s="849"/>
      <c r="B748" s="850"/>
      <c r="C748" s="850"/>
      <c r="D748" s="850"/>
      <c r="E748" s="850"/>
      <c r="F748" s="1104" t="s">
        <v>310</v>
      </c>
      <c r="G748" s="852"/>
      <c r="H748" s="839" t="s">
        <v>35</v>
      </c>
      <c r="I748" s="829"/>
      <c r="J748" s="1105">
        <v>0</v>
      </c>
      <c r="K748" s="830"/>
      <c r="L748" s="1106"/>
      <c r="M748" s="830"/>
      <c r="N748" s="830"/>
      <c r="O748" s="830"/>
      <c r="P748" s="830"/>
      <c r="Q748" s="830"/>
      <c r="R748" s="830"/>
      <c r="S748" s="830"/>
      <c r="T748" s="830"/>
      <c r="U748" s="830"/>
    </row>
    <row r="749" spans="1:21" ht="18.75" x14ac:dyDescent="0.25">
      <c r="A749" s="849"/>
      <c r="B749" s="850"/>
      <c r="C749" s="850"/>
      <c r="D749" s="850"/>
      <c r="E749" s="850"/>
      <c r="F749" s="1104" t="s">
        <v>311</v>
      </c>
      <c r="G749" s="852"/>
      <c r="H749" s="839" t="s">
        <v>35</v>
      </c>
      <c r="I749" s="960">
        <f ca="1">IFERROR(__xludf.DUMMYFUNCTION("IMPORTRANGE(""https://docs.google.com/spreadsheets/d/1eHaY18a8A9IcSdp1K8H6x8fbOy06t2VsZHhMHf-1x7Y/edit?usp=sharing"",""แผน!GF20"")"),1)</f>
        <v>1</v>
      </c>
      <c r="J749" s="1105">
        <v>0</v>
      </c>
      <c r="K749" s="841">
        <f ca="1">IF(I749&gt;0,J749*100/I749,0)</f>
        <v>0</v>
      </c>
      <c r="L749" s="1106"/>
      <c r="M749" s="830"/>
      <c r="N749" s="830"/>
      <c r="O749" s="830"/>
      <c r="P749" s="830"/>
      <c r="Q749" s="830"/>
      <c r="R749" s="830"/>
      <c r="S749" s="830"/>
      <c r="T749" s="830"/>
      <c r="U749" s="830"/>
    </row>
    <row r="750" spans="1:21" ht="19.5" x14ac:dyDescent="0.3">
      <c r="A750" s="849"/>
      <c r="B750" s="850"/>
      <c r="C750" s="850"/>
      <c r="D750" s="1108" t="s">
        <v>50</v>
      </c>
      <c r="E750" s="850"/>
      <c r="F750" s="1107"/>
      <c r="G750" s="852"/>
      <c r="H750" s="959"/>
      <c r="I750" s="829"/>
      <c r="J750" s="829"/>
      <c r="K750" s="830"/>
      <c r="L750" s="1106"/>
      <c r="M750" s="830"/>
      <c r="N750" s="830"/>
      <c r="O750" s="830"/>
      <c r="P750" s="830"/>
      <c r="Q750" s="830"/>
      <c r="R750" s="830"/>
      <c r="S750" s="830"/>
      <c r="T750" s="830"/>
      <c r="U750" s="830"/>
    </row>
    <row r="751" spans="1:21" ht="18.75" x14ac:dyDescent="0.25">
      <c r="A751" s="849"/>
      <c r="B751" s="850"/>
      <c r="C751" s="850"/>
      <c r="D751" s="850"/>
      <c r="E751" s="1104" t="s">
        <v>270</v>
      </c>
      <c r="F751" s="1107"/>
      <c r="G751" s="852"/>
      <c r="H751" s="959"/>
      <c r="I751" s="829"/>
      <c r="J751" s="829"/>
      <c r="K751" s="830"/>
      <c r="L751" s="1106"/>
      <c r="M751" s="830"/>
      <c r="N751" s="830"/>
      <c r="O751" s="830"/>
      <c r="P751" s="830"/>
      <c r="Q751" s="830"/>
      <c r="R751" s="830"/>
      <c r="S751" s="830"/>
      <c r="T751" s="830"/>
      <c r="U751" s="830"/>
    </row>
    <row r="752" spans="1:21" ht="18.75" x14ac:dyDescent="0.25">
      <c r="A752" s="849"/>
      <c r="B752" s="850"/>
      <c r="C752" s="850"/>
      <c r="D752" s="850"/>
      <c r="E752" s="850"/>
      <c r="F752" s="1109" t="s">
        <v>312</v>
      </c>
      <c r="G752" s="852"/>
      <c r="H752" s="839" t="s">
        <v>46</v>
      </c>
      <c r="I752" s="960">
        <f ca="1">IFERROR(__xludf.DUMMYFUNCTION("IMPORTRANGE(""https://docs.google.com/spreadsheets/d/1eHaY18a8A9IcSdp1K8H6x8fbOy06t2VsZHhMHf-1x7Y/edit?usp=sharing"",""แผน!GB20"")"),240)</f>
        <v>240</v>
      </c>
      <c r="J752" s="1105">
        <v>0</v>
      </c>
      <c r="K752" s="841">
        <f ca="1">IF(I752&gt;0,J752*100/I752,0)</f>
        <v>0</v>
      </c>
      <c r="L752" s="1106"/>
      <c r="M752" s="830"/>
      <c r="N752" s="830"/>
      <c r="O752" s="830"/>
      <c r="P752" s="830"/>
      <c r="Q752" s="830"/>
      <c r="R752" s="830"/>
      <c r="S752" s="830"/>
      <c r="T752" s="830"/>
      <c r="U752" s="830"/>
    </row>
    <row r="753" spans="1:21" ht="18.75" x14ac:dyDescent="0.25">
      <c r="A753" s="849"/>
      <c r="B753" s="850"/>
      <c r="C753" s="850"/>
      <c r="D753" s="850"/>
      <c r="E753" s="850"/>
      <c r="F753" s="1109" t="s">
        <v>313</v>
      </c>
      <c r="G753" s="852"/>
      <c r="H753" s="839" t="s">
        <v>46</v>
      </c>
      <c r="I753" s="829"/>
      <c r="J753" s="1105">
        <v>0</v>
      </c>
      <c r="K753" s="830"/>
      <c r="L753" s="1106"/>
      <c r="M753" s="830"/>
      <c r="N753" s="830"/>
      <c r="O753" s="830"/>
      <c r="P753" s="830"/>
      <c r="Q753" s="830"/>
      <c r="R753" s="830"/>
      <c r="S753" s="830"/>
      <c r="T753" s="830"/>
      <c r="U753" s="830"/>
    </row>
    <row r="754" spans="1:21" ht="18.75" x14ac:dyDescent="0.25">
      <c r="A754" s="849"/>
      <c r="B754" s="850"/>
      <c r="C754" s="850"/>
      <c r="D754" s="850"/>
      <c r="E754" s="1104" t="s">
        <v>274</v>
      </c>
      <c r="F754" s="1107"/>
      <c r="G754" s="852"/>
      <c r="H754" s="959"/>
      <c r="I754" s="829"/>
      <c r="J754" s="829"/>
      <c r="K754" s="830"/>
      <c r="L754" s="1106"/>
      <c r="M754" s="830"/>
      <c r="N754" s="830"/>
      <c r="O754" s="830"/>
      <c r="P754" s="830"/>
      <c r="Q754" s="830"/>
      <c r="R754" s="830"/>
      <c r="S754" s="830"/>
      <c r="T754" s="830"/>
      <c r="U754" s="830"/>
    </row>
    <row r="755" spans="1:21" ht="18.75" x14ac:dyDescent="0.25">
      <c r="A755" s="849"/>
      <c r="B755" s="850"/>
      <c r="C755" s="850"/>
      <c r="D755" s="850"/>
      <c r="E755" s="1107"/>
      <c r="F755" s="1109" t="s">
        <v>314</v>
      </c>
      <c r="G755" s="852"/>
      <c r="H755" s="839" t="s">
        <v>46</v>
      </c>
      <c r="I755" s="960">
        <f ca="1">IFERROR(__xludf.DUMMYFUNCTION("IMPORTRANGE(""https://docs.google.com/spreadsheets/d/1eHaY18a8A9IcSdp1K8H6x8fbOy06t2VsZHhMHf-1x7Y/edit?usp=sharing"",""แผน!GD20"")"),60)</f>
        <v>60</v>
      </c>
      <c r="J755" s="1105">
        <v>0</v>
      </c>
      <c r="K755" s="841">
        <f ca="1">IF(I755&gt;0,J755*100/I755,0)</f>
        <v>0</v>
      </c>
      <c r="L755" s="1106"/>
      <c r="M755" s="830"/>
      <c r="N755" s="830"/>
      <c r="O755" s="830"/>
      <c r="P755" s="830"/>
      <c r="Q755" s="830"/>
      <c r="R755" s="830"/>
      <c r="S755" s="830"/>
      <c r="T755" s="830"/>
      <c r="U755" s="830"/>
    </row>
    <row r="756" spans="1:21" ht="18.75" x14ac:dyDescent="0.25">
      <c r="A756" s="849"/>
      <c r="B756" s="850"/>
      <c r="C756" s="850"/>
      <c r="D756" s="850"/>
      <c r="E756" s="1107"/>
      <c r="F756" s="1109" t="s">
        <v>315</v>
      </c>
      <c r="G756" s="852"/>
      <c r="H756" s="839" t="s">
        <v>46</v>
      </c>
      <c r="I756" s="829"/>
      <c r="J756" s="1105">
        <v>0</v>
      </c>
      <c r="K756" s="830"/>
      <c r="L756" s="1106"/>
      <c r="M756" s="830"/>
      <c r="N756" s="830"/>
      <c r="O756" s="830"/>
      <c r="P756" s="830"/>
      <c r="Q756" s="830"/>
      <c r="R756" s="830"/>
      <c r="S756" s="830"/>
      <c r="T756" s="830"/>
      <c r="U756" s="830"/>
    </row>
    <row r="757" spans="1:21" ht="18.75" x14ac:dyDescent="0.25">
      <c r="A757" s="1110"/>
      <c r="B757" s="1110"/>
      <c r="C757" s="1110"/>
      <c r="D757" s="1110"/>
      <c r="E757" s="1111" t="s">
        <v>284</v>
      </c>
      <c r="F757" s="1112"/>
      <c r="G757" s="1113"/>
      <c r="H757" s="1114" t="s">
        <v>35</v>
      </c>
      <c r="I757" s="1115"/>
      <c r="J757" s="861">
        <v>0</v>
      </c>
      <c r="K757" s="1116"/>
      <c r="L757" s="1116"/>
      <c r="M757" s="1116"/>
      <c r="N757" s="1116"/>
      <c r="O757" s="1116"/>
      <c r="P757" s="1116"/>
      <c r="Q757" s="1116"/>
      <c r="R757" s="1116"/>
      <c r="S757" s="1116"/>
      <c r="T757" s="1116"/>
      <c r="U757" s="1116"/>
    </row>
    <row r="758" spans="1:21" ht="19.5" x14ac:dyDescent="0.3">
      <c r="A758" s="1061"/>
      <c r="B758" s="1062" t="s">
        <v>285</v>
      </c>
      <c r="C758" s="1061"/>
      <c r="D758" s="1063"/>
      <c r="E758" s="1063"/>
      <c r="F758" s="1063"/>
      <c r="G758" s="1064"/>
      <c r="H758" s="1092" t="s">
        <v>35</v>
      </c>
      <c r="I758" s="1093">
        <f t="shared" ref="I758:J758" ca="1" si="450">I772</f>
        <v>80</v>
      </c>
      <c r="J758" s="1093">
        <f t="shared" si="450"/>
        <v>80</v>
      </c>
      <c r="K758" s="1094">
        <f t="shared" ref="K758:K759" ca="1" si="451">IF(I758&gt;0,J758*100/I758,0)</f>
        <v>100</v>
      </c>
      <c r="L758" s="1068"/>
      <c r="M758" s="1067"/>
      <c r="N758" s="1067"/>
      <c r="O758" s="1067"/>
      <c r="P758" s="1067"/>
      <c r="Q758" s="1067"/>
      <c r="R758" s="1067"/>
      <c r="S758" s="1067"/>
      <c r="T758" s="1067"/>
      <c r="U758" s="1067"/>
    </row>
    <row r="759" spans="1:21" ht="19.5" x14ac:dyDescent="0.3">
      <c r="A759" s="1102"/>
      <c r="B759" s="1061"/>
      <c r="C759" s="1061"/>
      <c r="D759" s="1063"/>
      <c r="E759" s="1063"/>
      <c r="F759" s="1063"/>
      <c r="G759" s="1064"/>
      <c r="H759" s="1092" t="s">
        <v>46</v>
      </c>
      <c r="I759" s="1093">
        <f t="shared" ref="I759:J759" ca="1" si="452">I774</f>
        <v>140</v>
      </c>
      <c r="J759" s="1093">
        <f t="shared" si="452"/>
        <v>140</v>
      </c>
      <c r="K759" s="1094">
        <f t="shared" ca="1" si="451"/>
        <v>100</v>
      </c>
      <c r="L759" s="1068"/>
      <c r="M759" s="1067"/>
      <c r="N759" s="1067"/>
      <c r="O759" s="1067"/>
      <c r="P759" s="1067"/>
      <c r="Q759" s="1067"/>
      <c r="R759" s="1067"/>
      <c r="S759" s="1067"/>
      <c r="T759" s="1067"/>
      <c r="U759" s="1067"/>
    </row>
    <row r="760" spans="1:21" ht="19.5" x14ac:dyDescent="0.3">
      <c r="A760" s="674"/>
      <c r="B760" s="718"/>
      <c r="C760" s="724" t="s">
        <v>18</v>
      </c>
      <c r="D760" s="1310" t="s">
        <v>19</v>
      </c>
      <c r="E760" s="1311"/>
      <c r="F760" s="1311"/>
      <c r="G760" s="1312"/>
      <c r="H760" s="780" t="s">
        <v>14</v>
      </c>
      <c r="I760" s="565"/>
      <c r="J760" s="565"/>
      <c r="K760" s="566"/>
      <c r="L760" s="678">
        <f t="shared" ref="L760:N760" si="453">L761+L762</f>
        <v>0</v>
      </c>
      <c r="M760" s="679">
        <f t="shared" si="453"/>
        <v>0</v>
      </c>
      <c r="N760" s="679">
        <f t="shared" si="453"/>
        <v>0</v>
      </c>
      <c r="O760" s="679">
        <f t="shared" ref="O760:O768" si="454">IF(L760&gt;0,N760*100/L760,0)</f>
        <v>0</v>
      </c>
      <c r="P760" s="679">
        <f t="shared" ref="P760:P768" si="455">IF(M760&gt;0,N760*100/M760,0)</f>
        <v>0</v>
      </c>
      <c r="Q760" s="679">
        <f t="shared" ref="Q760:S760" ca="1" si="456">Q761+Q762</f>
        <v>484700</v>
      </c>
      <c r="R760" s="679">
        <f t="shared" ca="1" si="456"/>
        <v>484700</v>
      </c>
      <c r="S760" s="679">
        <f t="shared" ca="1" si="456"/>
        <v>209007</v>
      </c>
      <c r="T760" s="679">
        <f t="shared" ref="T760:T768" ca="1" si="457">IF(Q760&gt;0,S760*100/Q760,0)</f>
        <v>43.120899525479679</v>
      </c>
      <c r="U760" s="679">
        <f t="shared" ref="U760:U768" ca="1" si="458">IF(R760&gt;0,S760*100/R760,0)</f>
        <v>43.120899525479679</v>
      </c>
    </row>
    <row r="761" spans="1:21" ht="18.75" x14ac:dyDescent="0.25">
      <c r="A761" s="674"/>
      <c r="B761" s="718"/>
      <c r="C761" s="718"/>
      <c r="D761" s="695"/>
      <c r="E761" s="569" t="s">
        <v>158</v>
      </c>
      <c r="F761" s="561"/>
      <c r="G761" s="563"/>
      <c r="H761" s="685" t="s">
        <v>14</v>
      </c>
      <c r="I761" s="565"/>
      <c r="J761" s="565"/>
      <c r="K761" s="566"/>
      <c r="L761" s="571">
        <f t="shared" ref="L761:N762" si="459">L764+L767</f>
        <v>0</v>
      </c>
      <c r="M761" s="572">
        <f t="shared" si="459"/>
        <v>0</v>
      </c>
      <c r="N761" s="572">
        <f t="shared" si="459"/>
        <v>0</v>
      </c>
      <c r="O761" s="572">
        <f t="shared" si="454"/>
        <v>0</v>
      </c>
      <c r="P761" s="572">
        <f t="shared" si="455"/>
        <v>0</v>
      </c>
      <c r="Q761" s="572">
        <f t="shared" ref="Q761:S762" si="460">Q764+Q767</f>
        <v>0</v>
      </c>
      <c r="R761" s="572">
        <f t="shared" si="460"/>
        <v>0</v>
      </c>
      <c r="S761" s="572">
        <f t="shared" si="460"/>
        <v>0</v>
      </c>
      <c r="T761" s="572">
        <f t="shared" si="457"/>
        <v>0</v>
      </c>
      <c r="U761" s="572">
        <f t="shared" si="458"/>
        <v>0</v>
      </c>
    </row>
    <row r="762" spans="1:21" ht="18.75" x14ac:dyDescent="0.25">
      <c r="A762" s="674"/>
      <c r="B762" s="718"/>
      <c r="C762" s="720"/>
      <c r="D762" s="695"/>
      <c r="E762" s="573" t="s">
        <v>159</v>
      </c>
      <c r="F762" s="561"/>
      <c r="G762" s="563"/>
      <c r="H762" s="682" t="s">
        <v>14</v>
      </c>
      <c r="I762" s="565"/>
      <c r="J762" s="565"/>
      <c r="K762" s="566"/>
      <c r="L762" s="567">
        <f t="shared" si="459"/>
        <v>0</v>
      </c>
      <c r="M762" s="568">
        <f t="shared" si="459"/>
        <v>0</v>
      </c>
      <c r="N762" s="568">
        <f t="shared" si="459"/>
        <v>0</v>
      </c>
      <c r="O762" s="568">
        <f t="shared" si="454"/>
        <v>0</v>
      </c>
      <c r="P762" s="568">
        <f t="shared" si="455"/>
        <v>0</v>
      </c>
      <c r="Q762" s="568">
        <f t="shared" ca="1" si="460"/>
        <v>484700</v>
      </c>
      <c r="R762" s="568">
        <f t="shared" ca="1" si="460"/>
        <v>484700</v>
      </c>
      <c r="S762" s="568">
        <f t="shared" ca="1" si="460"/>
        <v>209007</v>
      </c>
      <c r="T762" s="568">
        <f t="shared" ca="1" si="457"/>
        <v>43.120899525479679</v>
      </c>
      <c r="U762" s="568">
        <f t="shared" ca="1" si="458"/>
        <v>43.120899525479679</v>
      </c>
    </row>
    <row r="763" spans="1:21" ht="18.75" x14ac:dyDescent="0.25">
      <c r="A763" s="674"/>
      <c r="B763" s="718"/>
      <c r="C763" s="720"/>
      <c r="D763" s="562" t="s">
        <v>22</v>
      </c>
      <c r="E763" s="561"/>
      <c r="F763" s="561"/>
      <c r="G763" s="563"/>
      <c r="H763" s="682" t="s">
        <v>14</v>
      </c>
      <c r="I763" s="683"/>
      <c r="J763" s="683"/>
      <c r="K763" s="684"/>
      <c r="L763" s="567">
        <f t="shared" ref="L763:N763" si="461">L764+L765</f>
        <v>0</v>
      </c>
      <c r="M763" s="568">
        <f t="shared" si="461"/>
        <v>0</v>
      </c>
      <c r="N763" s="568">
        <f t="shared" si="461"/>
        <v>0</v>
      </c>
      <c r="O763" s="568">
        <f t="shared" si="454"/>
        <v>0</v>
      </c>
      <c r="P763" s="568">
        <f t="shared" si="455"/>
        <v>0</v>
      </c>
      <c r="Q763" s="568">
        <f t="shared" ref="Q763:S763" ca="1" si="462">Q764+Q765</f>
        <v>484700</v>
      </c>
      <c r="R763" s="568">
        <f t="shared" ca="1" si="462"/>
        <v>484700</v>
      </c>
      <c r="S763" s="568">
        <f t="shared" ca="1" si="462"/>
        <v>209007</v>
      </c>
      <c r="T763" s="568">
        <f t="shared" ca="1" si="457"/>
        <v>43.120899525479679</v>
      </c>
      <c r="U763" s="568">
        <f t="shared" ca="1" si="458"/>
        <v>43.120899525479679</v>
      </c>
    </row>
    <row r="764" spans="1:21" ht="18.75" x14ac:dyDescent="0.25">
      <c r="A764" s="674"/>
      <c r="B764" s="718"/>
      <c r="C764" s="720"/>
      <c r="D764" s="695"/>
      <c r="E764" s="569" t="s">
        <v>158</v>
      </c>
      <c r="F764" s="561"/>
      <c r="G764" s="563"/>
      <c r="H764" s="685" t="s">
        <v>14</v>
      </c>
      <c r="I764" s="565"/>
      <c r="J764" s="565"/>
      <c r="K764" s="566"/>
      <c r="L764" s="571">
        <v>0</v>
      </c>
      <c r="M764" s="572">
        <v>0</v>
      </c>
      <c r="N764" s="572">
        <v>0</v>
      </c>
      <c r="O764" s="572">
        <f t="shared" si="454"/>
        <v>0</v>
      </c>
      <c r="P764" s="572">
        <f t="shared" si="455"/>
        <v>0</v>
      </c>
      <c r="Q764" s="572">
        <v>0</v>
      </c>
      <c r="R764" s="572">
        <v>0</v>
      </c>
      <c r="S764" s="572">
        <v>0</v>
      </c>
      <c r="T764" s="572">
        <f t="shared" si="457"/>
        <v>0</v>
      </c>
      <c r="U764" s="572">
        <f t="shared" si="458"/>
        <v>0</v>
      </c>
    </row>
    <row r="765" spans="1:21" ht="18.75" x14ac:dyDescent="0.25">
      <c r="A765" s="674"/>
      <c r="B765" s="718"/>
      <c r="C765" s="720"/>
      <c r="D765" s="695"/>
      <c r="E765" s="573" t="s">
        <v>159</v>
      </c>
      <c r="F765" s="561"/>
      <c r="G765" s="563"/>
      <c r="H765" s="682" t="s">
        <v>14</v>
      </c>
      <c r="I765" s="565"/>
      <c r="J765" s="565"/>
      <c r="K765" s="566"/>
      <c r="L765" s="567">
        <v>0</v>
      </c>
      <c r="M765" s="568">
        <v>0</v>
      </c>
      <c r="N765" s="568">
        <v>0</v>
      </c>
      <c r="O765" s="568">
        <f t="shared" si="454"/>
        <v>0</v>
      </c>
      <c r="P765" s="568">
        <f t="shared" si="455"/>
        <v>0</v>
      </c>
      <c r="Q765" s="568">
        <f ca="1">IFERROR(__xludf.DUMMYFUNCTION("IMPORTRANGE(""https://docs.google.com/spreadsheets/d/1ItG2mGa2ceCfYo0BwxsXqNm01IGEUdYcSSLTEv9YCik/edit?usp=sharing"",""เบิกจ่ายกองทุน!AA20"")"),484700)</f>
        <v>484700</v>
      </c>
      <c r="R765" s="568">
        <f ca="1">IFERROR(__xludf.DUMMYFUNCTION("IMPORTRANGE(""https://docs.google.com/spreadsheets/d/1ItG2mGa2ceCfYo0BwxsXqNm01IGEUdYcSSLTEv9YCik/edit?usp=sharing"",""เบิกจ่ายกองทุน!AB20"")"),484700)</f>
        <v>484700</v>
      </c>
      <c r="S765" s="568">
        <f ca="1">IFERROR(__xludf.DUMMYFUNCTION("IMPORTRANGE(""https://docs.google.com/spreadsheets/d/1ItG2mGa2ceCfYo0BwxsXqNm01IGEUdYcSSLTEv9YCik/edit?usp=sharing"",""เบิกจ่ายกองทุน!AC20"")"),209007)</f>
        <v>209007</v>
      </c>
      <c r="T765" s="568">
        <f t="shared" ca="1" si="457"/>
        <v>43.120899525479679</v>
      </c>
      <c r="U765" s="568">
        <f t="shared" ca="1" si="458"/>
        <v>43.120899525479679</v>
      </c>
    </row>
    <row r="766" spans="1:21" ht="18.75" x14ac:dyDescent="0.25">
      <c r="A766" s="674"/>
      <c r="B766" s="718"/>
      <c r="C766" s="718"/>
      <c r="D766" s="562" t="s">
        <v>23</v>
      </c>
      <c r="E766" s="718"/>
      <c r="F766" s="561"/>
      <c r="G766" s="563"/>
      <c r="H766" s="686" t="s">
        <v>14</v>
      </c>
      <c r="I766" s="683"/>
      <c r="J766" s="683"/>
      <c r="K766" s="684"/>
      <c r="L766" s="567">
        <f t="shared" ref="L766:N766" si="463">L767+L768</f>
        <v>0</v>
      </c>
      <c r="M766" s="568">
        <f t="shared" si="463"/>
        <v>0</v>
      </c>
      <c r="N766" s="568">
        <f t="shared" si="463"/>
        <v>0</v>
      </c>
      <c r="O766" s="568">
        <f t="shared" si="454"/>
        <v>0</v>
      </c>
      <c r="P766" s="568">
        <f t="shared" si="455"/>
        <v>0</v>
      </c>
      <c r="Q766" s="568">
        <f t="shared" ref="Q766:S766" si="464">Q767+Q768</f>
        <v>0</v>
      </c>
      <c r="R766" s="568">
        <f t="shared" si="464"/>
        <v>0</v>
      </c>
      <c r="S766" s="568">
        <f t="shared" si="464"/>
        <v>0</v>
      </c>
      <c r="T766" s="568">
        <f t="shared" si="457"/>
        <v>0</v>
      </c>
      <c r="U766" s="568">
        <f t="shared" si="458"/>
        <v>0</v>
      </c>
    </row>
    <row r="767" spans="1:21" ht="18.75" x14ac:dyDescent="0.25">
      <c r="A767" s="674"/>
      <c r="B767" s="718"/>
      <c r="C767" s="718"/>
      <c r="D767" s="718"/>
      <c r="E767" s="767" t="s">
        <v>20</v>
      </c>
      <c r="F767" s="561"/>
      <c r="G767" s="563"/>
      <c r="H767" s="685" t="s">
        <v>14</v>
      </c>
      <c r="I767" s="683"/>
      <c r="J767" s="683"/>
      <c r="K767" s="684"/>
      <c r="L767" s="571">
        <v>0</v>
      </c>
      <c r="M767" s="572">
        <v>0</v>
      </c>
      <c r="N767" s="572">
        <v>0</v>
      </c>
      <c r="O767" s="572">
        <f t="shared" si="454"/>
        <v>0</v>
      </c>
      <c r="P767" s="572">
        <f t="shared" si="455"/>
        <v>0</v>
      </c>
      <c r="Q767" s="572">
        <v>0</v>
      </c>
      <c r="R767" s="572">
        <v>0</v>
      </c>
      <c r="S767" s="572">
        <v>0</v>
      </c>
      <c r="T767" s="572">
        <f t="shared" si="457"/>
        <v>0</v>
      </c>
      <c r="U767" s="572">
        <f t="shared" si="458"/>
        <v>0</v>
      </c>
    </row>
    <row r="768" spans="1:21" ht="18.75" x14ac:dyDescent="0.25">
      <c r="A768" s="674"/>
      <c r="B768" s="718"/>
      <c r="C768" s="718"/>
      <c r="D768" s="718"/>
      <c r="E768" s="765" t="s">
        <v>21</v>
      </c>
      <c r="F768" s="561"/>
      <c r="G768" s="563"/>
      <c r="H768" s="686" t="s">
        <v>14</v>
      </c>
      <c r="I768" s="683"/>
      <c r="J768" s="683"/>
      <c r="K768" s="684"/>
      <c r="L768" s="567">
        <v>0</v>
      </c>
      <c r="M768" s="568">
        <v>0</v>
      </c>
      <c r="N768" s="568">
        <v>0</v>
      </c>
      <c r="O768" s="568">
        <f t="shared" si="454"/>
        <v>0</v>
      </c>
      <c r="P768" s="568">
        <f t="shared" si="455"/>
        <v>0</v>
      </c>
      <c r="Q768" s="568">
        <v>0</v>
      </c>
      <c r="R768" s="568">
        <v>0</v>
      </c>
      <c r="S768" s="568">
        <v>0</v>
      </c>
      <c r="T768" s="568">
        <f t="shared" si="457"/>
        <v>0</v>
      </c>
      <c r="U768" s="568">
        <f t="shared" si="458"/>
        <v>0</v>
      </c>
    </row>
    <row r="769" spans="1:21" ht="19.5" x14ac:dyDescent="0.3">
      <c r="A769" s="687"/>
      <c r="B769" s="688"/>
      <c r="C769" s="1117" t="s">
        <v>18</v>
      </c>
      <c r="D769" s="1078" t="s">
        <v>38</v>
      </c>
      <c r="E769" s="758"/>
      <c r="F769" s="690"/>
      <c r="G769" s="691"/>
      <c r="H769" s="725"/>
      <c r="I769" s="565"/>
      <c r="J769" s="565"/>
      <c r="K769" s="566"/>
      <c r="L769" s="574"/>
      <c r="M769" s="566"/>
      <c r="N769" s="566"/>
      <c r="O769" s="566"/>
      <c r="P769" s="566"/>
      <c r="Q769" s="566"/>
      <c r="R769" s="566"/>
      <c r="S769" s="566"/>
      <c r="T769" s="566"/>
      <c r="U769" s="566"/>
    </row>
    <row r="770" spans="1:21" ht="18.75" x14ac:dyDescent="0.25">
      <c r="A770" s="687"/>
      <c r="B770" s="688"/>
      <c r="C770" s="688"/>
      <c r="D770" s="1042" t="s">
        <v>286</v>
      </c>
      <c r="E770" s="688"/>
      <c r="F770" s="695"/>
      <c r="G770" s="692"/>
      <c r="H770" s="734" t="s">
        <v>35</v>
      </c>
      <c r="I770" s="735">
        <f ca="1">IFERROR(__xludf.DUMMYFUNCTION("IMPORTRANGE(""https://docs.google.com/spreadsheets/d/1eHaY18a8A9IcSdp1K8H6x8fbOy06t2VsZHhMHf-1x7Y/edit?usp=sharing"",""แผน!FI20"")"),0)</f>
        <v>0</v>
      </c>
      <c r="J770" s="735">
        <v>0</v>
      </c>
      <c r="K770" s="572">
        <f ca="1">IF(I770&gt;0,J770*100/I770,0)</f>
        <v>0</v>
      </c>
      <c r="L770" s="574"/>
      <c r="M770" s="566"/>
      <c r="N770" s="566"/>
      <c r="O770" s="566"/>
      <c r="P770" s="566"/>
      <c r="Q770" s="566"/>
      <c r="R770" s="566"/>
      <c r="S770" s="566"/>
      <c r="T770" s="566"/>
      <c r="U770" s="566"/>
    </row>
    <row r="771" spans="1:21" ht="18.75" x14ac:dyDescent="0.25">
      <c r="A771" s="687"/>
      <c r="B771" s="688"/>
      <c r="C771" s="688"/>
      <c r="D771" s="1042" t="s">
        <v>287</v>
      </c>
      <c r="E771" s="688"/>
      <c r="F771" s="695"/>
      <c r="G771" s="692"/>
      <c r="H771" s="725"/>
      <c r="I771" s="565"/>
      <c r="J771" s="565"/>
      <c r="K771" s="566"/>
      <c r="L771" s="574"/>
      <c r="M771" s="566"/>
      <c r="N771" s="566"/>
      <c r="O771" s="566"/>
      <c r="P771" s="566"/>
      <c r="Q771" s="566"/>
      <c r="R771" s="566"/>
      <c r="S771" s="566"/>
      <c r="T771" s="566"/>
      <c r="U771" s="566"/>
    </row>
    <row r="772" spans="1:21" ht="18.75" x14ac:dyDescent="0.25">
      <c r="A772" s="687"/>
      <c r="B772" s="688"/>
      <c r="C772" s="688"/>
      <c r="D772" s="1079" t="s">
        <v>288</v>
      </c>
      <c r="E772" s="688"/>
      <c r="F772" s="695"/>
      <c r="G772" s="692"/>
      <c r="H772" s="686" t="s">
        <v>35</v>
      </c>
      <c r="I772" s="708">
        <f ca="1">IFERROR(__xludf.DUMMYFUNCTION("IMPORTRANGE(""https://docs.google.com/spreadsheets/d/1eHaY18a8A9IcSdp1K8H6x8fbOy06t2VsZHhMHf-1x7Y/edit?usp=sharing"",""แผน!FQ20"")"),80)</f>
        <v>80</v>
      </c>
      <c r="J772" s="702">
        <v>80</v>
      </c>
      <c r="K772" s="568">
        <f ca="1">IF(I772&gt;0,J772*100/I772,0)</f>
        <v>100</v>
      </c>
      <c r="L772" s="574"/>
      <c r="M772" s="566"/>
      <c r="N772" s="566"/>
      <c r="O772" s="566"/>
      <c r="P772" s="566"/>
      <c r="Q772" s="566"/>
      <c r="R772" s="566"/>
      <c r="S772" s="566"/>
      <c r="T772" s="566"/>
      <c r="U772" s="566"/>
    </row>
    <row r="773" spans="1:21" ht="18.75" x14ac:dyDescent="0.25">
      <c r="A773" s="687"/>
      <c r="B773" s="688"/>
      <c r="C773" s="688"/>
      <c r="D773" s="1079" t="s">
        <v>289</v>
      </c>
      <c r="E773" s="688"/>
      <c r="F773" s="695"/>
      <c r="G773" s="692"/>
      <c r="H773" s="725"/>
      <c r="I773" s="565"/>
      <c r="J773" s="565"/>
      <c r="K773" s="566"/>
      <c r="L773" s="574"/>
      <c r="M773" s="566"/>
      <c r="N773" s="566"/>
      <c r="O773" s="566"/>
      <c r="P773" s="566"/>
      <c r="Q773" s="566"/>
      <c r="R773" s="566"/>
      <c r="S773" s="566"/>
      <c r="T773" s="566"/>
      <c r="U773" s="566"/>
    </row>
    <row r="774" spans="1:21" ht="18.75" x14ac:dyDescent="0.25">
      <c r="A774" s="687"/>
      <c r="B774" s="688"/>
      <c r="C774" s="688"/>
      <c r="D774" s="1079" t="s">
        <v>290</v>
      </c>
      <c r="E774" s="688"/>
      <c r="F774" s="695"/>
      <c r="G774" s="692"/>
      <c r="H774" s="686" t="s">
        <v>46</v>
      </c>
      <c r="I774" s="708">
        <f ca="1">IFERROR(__xludf.DUMMYFUNCTION("IMPORTRANGE(""https://docs.google.com/spreadsheets/d/1eHaY18a8A9IcSdp1K8H6x8fbOy06t2VsZHhMHf-1x7Y/edit?usp=sharing"",""แผน!FR20"")"),140)</f>
        <v>140</v>
      </c>
      <c r="J774" s="702">
        <v>140</v>
      </c>
      <c r="K774" s="568">
        <f ca="1">IF(I774&gt;0,J774*100/I774,0)</f>
        <v>100</v>
      </c>
      <c r="L774" s="574"/>
      <c r="M774" s="566"/>
      <c r="N774" s="566"/>
      <c r="O774" s="566"/>
      <c r="P774" s="566"/>
      <c r="Q774" s="566"/>
      <c r="R774" s="566"/>
      <c r="S774" s="566"/>
      <c r="T774" s="566"/>
      <c r="U774" s="566"/>
    </row>
    <row r="775" spans="1:21" ht="18.75" x14ac:dyDescent="0.25">
      <c r="A775" s="687"/>
      <c r="B775" s="688"/>
      <c r="C775" s="688"/>
      <c r="D775" s="1079" t="s">
        <v>50</v>
      </c>
      <c r="E775" s="695"/>
      <c r="F775" s="561"/>
      <c r="G775" s="563"/>
      <c r="H775" s="686" t="s">
        <v>46</v>
      </c>
      <c r="I775" s="708">
        <f ca="1">IFERROR(__xludf.DUMMYFUNCTION("IMPORTRANGE(""https://docs.google.com/spreadsheets/d/1eHaY18a8A9IcSdp1K8H6x8fbOy06t2VsZHhMHf-1x7Y/edit?usp=sharing"",""แผน!FS20"")"),140)</f>
        <v>140</v>
      </c>
      <c r="J775" s="702">
        <v>0</v>
      </c>
      <c r="K775" s="566"/>
      <c r="L775" s="574"/>
      <c r="M775" s="566"/>
      <c r="N775" s="566"/>
      <c r="O775" s="566"/>
      <c r="P775" s="566"/>
      <c r="Q775" s="566"/>
      <c r="R775" s="566"/>
      <c r="S775" s="566"/>
      <c r="T775" s="566"/>
      <c r="U775" s="566"/>
    </row>
    <row r="776" spans="1:21" ht="18.75" x14ac:dyDescent="0.25">
      <c r="A776" s="863"/>
      <c r="B776" s="864"/>
      <c r="C776" s="864"/>
      <c r="D776" s="864"/>
      <c r="E776" s="512"/>
      <c r="F776" s="512"/>
      <c r="G776" s="577"/>
      <c r="H776" s="1089" t="s">
        <v>35</v>
      </c>
      <c r="I776" s="989">
        <f ca="1">IFERROR(__xludf.DUMMYFUNCTION("IMPORTRANGE(""https://docs.google.com/spreadsheets/d/1eHaY18a8A9IcSdp1K8H6x8fbOy06t2VsZHhMHf-1x7Y/edit?usp=sharing"",""แผน!FT20"")"),80)</f>
        <v>80</v>
      </c>
      <c r="J776" s="990">
        <v>0</v>
      </c>
      <c r="K776" s="580"/>
      <c r="L776" s="581"/>
      <c r="M776" s="580"/>
      <c r="N776" s="580"/>
      <c r="O776" s="580"/>
      <c r="P776" s="580"/>
      <c r="Q776" s="580"/>
      <c r="R776" s="580"/>
      <c r="S776" s="580"/>
      <c r="T776" s="580"/>
      <c r="U776" s="580"/>
    </row>
    <row r="777" spans="1:21" ht="19.5" x14ac:dyDescent="0.3">
      <c r="A777" s="1118" t="s">
        <v>291</v>
      </c>
      <c r="B777" s="1119"/>
      <c r="C777" s="1119"/>
      <c r="D777" s="1120"/>
      <c r="E777" s="1119"/>
      <c r="F777" s="1119"/>
      <c r="G777" s="1121"/>
      <c r="H777" s="112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1123"/>
      <c r="J777" s="1124"/>
      <c r="K777" s="1125"/>
      <c r="L777" s="1125"/>
      <c r="M777" s="1125"/>
      <c r="N777" s="1125"/>
      <c r="O777" s="1125"/>
      <c r="P777" s="1125"/>
      <c r="Q777" s="1125"/>
      <c r="R777" s="1125"/>
      <c r="S777" s="1125"/>
      <c r="T777" s="1125"/>
      <c r="U777" s="1125"/>
    </row>
    <row r="778" spans="1:21" ht="18.75" x14ac:dyDescent="0.25">
      <c r="A778" s="560"/>
      <c r="B778" s="573" t="s">
        <v>292</v>
      </c>
      <c r="C778" s="561"/>
      <c r="D778" s="718"/>
      <c r="E778" s="561"/>
      <c r="F778" s="561"/>
      <c r="G778" s="563"/>
      <c r="H778" s="564" t="s">
        <v>14</v>
      </c>
      <c r="I778" s="708">
        <f ca="1">IFERROR(__xludf.DUMMYFUNCTION("IMPORTRANGE(""https://docs.google.com/spreadsheets/d/10OvvATaaLtwErnr3qtWFcTmtbfpFEt5Bsqel9sXx0uE/edit?usp=sharing"",""งานกองทุน!D20"")"),4179397.67)</f>
        <v>4179397.67</v>
      </c>
      <c r="J778" s="708">
        <f ca="1">IFERROR(__xludf.DUMMYFUNCTION("IMPORTRANGE(""https://docs.google.com/spreadsheets/d/10OvvATaaLtwErnr3qtWFcTmtbfpFEt5Bsqel9sXx0uE/edit?usp=sharing"",""งานกองทุน!F20"")"),1816831.07)</f>
        <v>1816831.07</v>
      </c>
      <c r="K778" s="568">
        <f t="shared" ref="K778:K785" ca="1" si="465">IF(I778&gt;0,J778*100/I778,0)</f>
        <v>43.471122239487684</v>
      </c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</row>
    <row r="779" spans="1:21" ht="18.75" x14ac:dyDescent="0.25">
      <c r="A779" s="560"/>
      <c r="B779" s="561"/>
      <c r="C779" s="561"/>
      <c r="D779" s="718"/>
      <c r="E779" s="561"/>
      <c r="F779" s="561"/>
      <c r="G779" s="563"/>
      <c r="H779" s="564" t="s">
        <v>35</v>
      </c>
      <c r="I779" s="708">
        <f ca="1">IFERROR(__xludf.DUMMYFUNCTION("IMPORTRANGE(""https://docs.google.com/spreadsheets/d/10OvvATaaLtwErnr3qtWFcTmtbfpFEt5Bsqel9sXx0uE/edit?usp=sharing"",""งานกองทุน!C20"")"),416)</f>
        <v>416</v>
      </c>
      <c r="J779" s="708">
        <f ca="1">IFERROR(__xludf.DUMMYFUNCTION("IMPORTRANGE(""https://docs.google.com/spreadsheets/d/10OvvATaaLtwErnr3qtWFcTmtbfpFEt5Bsqel9sXx0uE/edit?usp=sharing"",""งานกองทุน!E20"")"),159)</f>
        <v>159</v>
      </c>
      <c r="K779" s="568">
        <f t="shared" ca="1" si="465"/>
        <v>38.221153846153847</v>
      </c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</row>
    <row r="780" spans="1:21" ht="18.75" x14ac:dyDescent="0.25">
      <c r="A780" s="560"/>
      <c r="B780" s="573" t="s">
        <v>293</v>
      </c>
      <c r="C780" s="561"/>
      <c r="D780" s="718"/>
      <c r="E780" s="561"/>
      <c r="F780" s="561"/>
      <c r="G780" s="563"/>
      <c r="H780" s="564" t="s">
        <v>14</v>
      </c>
      <c r="I780" s="708">
        <f ca="1">IFERROR(__xludf.DUMMYFUNCTION("IMPORTRANGE(""https://docs.google.com/spreadsheets/d/10OvvATaaLtwErnr3qtWFcTmtbfpFEt5Bsqel9sXx0uE/edit?usp=sharing"",""งานกองทุน!I20"")"),9863192.74)</f>
        <v>9863192.7400000002</v>
      </c>
      <c r="J780" s="708">
        <f ca="1">IFERROR(__xludf.DUMMYFUNCTION("IMPORTRANGE(""https://docs.google.com/spreadsheets/d/10OvvATaaLtwErnr3qtWFcTmtbfpFEt5Bsqel9sXx0uE/edit?usp=sharing"",""งานกองทุน!K20"")"),318055.22)</f>
        <v>318055.21999999997</v>
      </c>
      <c r="K780" s="568">
        <f t="shared" ca="1" si="465"/>
        <v>3.2246679993399376</v>
      </c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</row>
    <row r="781" spans="1:21" ht="18.75" x14ac:dyDescent="0.25">
      <c r="A781" s="560"/>
      <c r="B781" s="561"/>
      <c r="C781" s="561"/>
      <c r="D781" s="718"/>
      <c r="E781" s="561"/>
      <c r="F781" s="561"/>
      <c r="G781" s="563"/>
      <c r="H781" s="564" t="s">
        <v>35</v>
      </c>
      <c r="I781" s="708">
        <f ca="1">IFERROR(__xludf.DUMMYFUNCTION("IMPORTRANGE(""https://docs.google.com/spreadsheets/d/10OvvATaaLtwErnr3qtWFcTmtbfpFEt5Bsqel9sXx0uE/edit?usp=sharing"",""งานกองทุน!H20"")"),351)</f>
        <v>351</v>
      </c>
      <c r="J781" s="708">
        <f ca="1">IFERROR(__xludf.DUMMYFUNCTION("IMPORTRANGE(""https://docs.google.com/spreadsheets/d/10OvvATaaLtwErnr3qtWFcTmtbfpFEt5Bsqel9sXx0uE/edit?usp=sharing"",""งานกองทุน!J20"")"),32)</f>
        <v>32</v>
      </c>
      <c r="K781" s="568">
        <f t="shared" ca="1" si="465"/>
        <v>9.116809116809117</v>
      </c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</row>
    <row r="782" spans="1:21" ht="18.75" x14ac:dyDescent="0.25">
      <c r="A782" s="560"/>
      <c r="B782" s="573" t="s">
        <v>294</v>
      </c>
      <c r="C782" s="561"/>
      <c r="D782" s="718"/>
      <c r="E782" s="561"/>
      <c r="F782" s="561"/>
      <c r="G782" s="563"/>
      <c r="H782" s="564" t="s">
        <v>14</v>
      </c>
      <c r="I782" s="708">
        <f ca="1">IFERROR(__xludf.DUMMYFUNCTION("IMPORTRANGE(""https://docs.google.com/spreadsheets/d/10OvvATaaLtwErnr3qtWFcTmtbfpFEt5Bsqel9sXx0uE/edit?usp=sharing"",""งานกองทุน!N20"")"),118173.91)</f>
        <v>118173.91</v>
      </c>
      <c r="J782" s="708">
        <f ca="1">IFERROR(__xludf.DUMMYFUNCTION("IMPORTRANGE(""https://docs.google.com/spreadsheets/d/10OvvATaaLtwErnr3qtWFcTmtbfpFEt5Bsqel9sXx0uE/edit?usp=sharing"",""งานกองทุน!P20"")"),6757.69)</f>
        <v>6757.69</v>
      </c>
      <c r="K782" s="568">
        <f t="shared" ca="1" si="465"/>
        <v>5.7184280354267703</v>
      </c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</row>
    <row r="783" spans="1:21" ht="18.75" x14ac:dyDescent="0.25">
      <c r="A783" s="560"/>
      <c r="B783" s="561"/>
      <c r="C783" s="561"/>
      <c r="D783" s="718"/>
      <c r="E783" s="561"/>
      <c r="F783" s="561"/>
      <c r="G783" s="563"/>
      <c r="H783" s="564" t="s">
        <v>35</v>
      </c>
      <c r="I783" s="708">
        <f ca="1">IFERROR(__xludf.DUMMYFUNCTION("IMPORTRANGE(""https://docs.google.com/spreadsheets/d/10OvvATaaLtwErnr3qtWFcTmtbfpFEt5Bsqel9sXx0uE/edit?usp=sharing"",""งานกองทุน!M20"")"),241)</f>
        <v>241</v>
      </c>
      <c r="J783" s="708">
        <f ca="1">IFERROR(__xludf.DUMMYFUNCTION("IMPORTRANGE(""https://docs.google.com/spreadsheets/d/10OvvATaaLtwErnr3qtWFcTmtbfpFEt5Bsqel9sXx0uE/edit?usp=sharing"",""งานกองทุน!O20"")"),15)</f>
        <v>15</v>
      </c>
      <c r="K783" s="568">
        <f t="shared" ca="1" si="465"/>
        <v>6.2240663900414939</v>
      </c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</row>
    <row r="784" spans="1:21" ht="18.75" x14ac:dyDescent="0.25">
      <c r="A784" s="560"/>
      <c r="B784" s="573" t="s">
        <v>295</v>
      </c>
      <c r="C784" s="561"/>
      <c r="D784" s="718"/>
      <c r="E784" s="561"/>
      <c r="F784" s="561"/>
      <c r="G784" s="563"/>
      <c r="H784" s="564" t="s">
        <v>14</v>
      </c>
      <c r="I784" s="708">
        <f ca="1">IFERROR(__xludf.DUMMYFUNCTION("IMPORTRANGE(""https://docs.google.com/spreadsheets/d/10OvvATaaLtwErnr3qtWFcTmtbfpFEt5Bsqel9sXx0uE/edit?usp=sharing"",""งานกองทุน!S20"")"),6696000)</f>
        <v>6696000</v>
      </c>
      <c r="J784" s="708">
        <f ca="1">IFERROR(__xludf.DUMMYFUNCTION("IMPORTRANGE(""https://docs.google.com/spreadsheets/d/10OvvATaaLtwErnr3qtWFcTmtbfpFEt5Bsqel9sXx0uE/edit?usp=sharing"",""งานกองทุน!U20"")"),1260000)</f>
        <v>1260000</v>
      </c>
      <c r="K784" s="568">
        <f t="shared" ca="1" si="465"/>
        <v>18.817204301075268</v>
      </c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</row>
    <row r="785" spans="1:21" ht="18.75" x14ac:dyDescent="0.25">
      <c r="A785" s="575"/>
      <c r="B785" s="513"/>
      <c r="C785" s="513"/>
      <c r="D785" s="514"/>
      <c r="E785" s="513"/>
      <c r="F785" s="513"/>
      <c r="G785" s="577"/>
      <c r="H785" s="578" t="s">
        <v>35</v>
      </c>
      <c r="I785" s="989">
        <f ca="1">IFERROR(__xludf.DUMMYFUNCTION("IMPORTRANGE(""https://docs.google.com/spreadsheets/d/10OvvATaaLtwErnr3qtWFcTmtbfpFEt5Bsqel9sXx0uE/edit?usp=sharing"",""งานกองทุน!R20"")"),133)</f>
        <v>133</v>
      </c>
      <c r="J785" s="989">
        <f ca="1">IFERROR(__xludf.DUMMYFUNCTION("IMPORTRANGE(""https://docs.google.com/spreadsheets/d/10OvvATaaLtwErnr3qtWFcTmtbfpFEt5Bsqel9sXx0uE/edit?usp=sharing"",""งานกองทุน!T20"")"),30)</f>
        <v>30</v>
      </c>
      <c r="K785" s="655">
        <f t="shared" ca="1" si="465"/>
        <v>22.556390977443609</v>
      </c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</row>
    <row r="786" spans="1:21" ht="12.75" x14ac:dyDescent="0.2">
      <c r="A786" s="510"/>
      <c r="B786" s="510"/>
      <c r="C786" s="510"/>
      <c r="D786" s="510"/>
      <c r="E786" s="510"/>
      <c r="F786" s="510"/>
      <c r="G786" s="510"/>
      <c r="H786" s="510"/>
      <c r="I786" s="510"/>
      <c r="J786" s="510"/>
      <c r="K786" s="510"/>
      <c r="L786" s="510"/>
      <c r="M786" s="510"/>
      <c r="N786" s="510"/>
      <c r="O786" s="510"/>
      <c r="P786" s="510"/>
      <c r="Q786" s="510"/>
      <c r="R786" s="510"/>
      <c r="S786" s="510"/>
      <c r="T786" s="510"/>
      <c r="U786" s="510"/>
    </row>
    <row r="787" spans="1:21" ht="16.5" x14ac:dyDescent="0.25">
      <c r="A787" s="1126" t="s">
        <v>296</v>
      </c>
      <c r="B787" s="510"/>
      <c r="C787" s="510"/>
      <c r="D787" s="510"/>
      <c r="E787" s="510"/>
      <c r="F787" s="510"/>
      <c r="G787" s="510"/>
      <c r="H787" s="510"/>
      <c r="I787" s="510"/>
      <c r="J787" s="510"/>
      <c r="K787" s="510"/>
      <c r="L787" s="510"/>
      <c r="M787" s="510"/>
      <c r="N787" s="510"/>
      <c r="O787" s="510"/>
      <c r="P787" s="510"/>
      <c r="Q787" s="510"/>
      <c r="R787" s="510"/>
      <c r="S787" s="510"/>
      <c r="T787" s="510"/>
      <c r="U787" s="510"/>
    </row>
    <row r="788" spans="1:21" ht="16.5" x14ac:dyDescent="0.25">
      <c r="A788" s="112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510"/>
      <c r="C788" s="510"/>
      <c r="D788" s="510"/>
      <c r="E788" s="510"/>
      <c r="F788" s="510"/>
      <c r="G788" s="510"/>
      <c r="H788" s="510"/>
      <c r="I788" s="510"/>
      <c r="J788" s="510"/>
      <c r="K788" s="510"/>
      <c r="L788" s="510"/>
      <c r="M788" s="510"/>
      <c r="N788" s="510"/>
      <c r="O788" s="510"/>
      <c r="P788" s="510"/>
      <c r="Q788" s="510"/>
      <c r="R788" s="510"/>
      <c r="S788" s="510"/>
      <c r="T788" s="510"/>
      <c r="U788" s="510"/>
    </row>
    <row r="789" spans="1:21" ht="16.5" x14ac:dyDescent="0.25">
      <c r="A789" s="112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510"/>
      <c r="C789" s="510"/>
      <c r="D789" s="510"/>
      <c r="E789" s="510"/>
      <c r="F789" s="510"/>
      <c r="G789" s="510"/>
      <c r="H789" s="510"/>
      <c r="I789" s="510"/>
      <c r="J789" s="510"/>
      <c r="K789" s="510"/>
      <c r="L789" s="510"/>
      <c r="M789" s="510"/>
      <c r="N789" s="510"/>
      <c r="O789" s="510"/>
      <c r="P789" s="510"/>
      <c r="Q789" s="510"/>
      <c r="R789" s="510"/>
      <c r="S789" s="510"/>
      <c r="T789" s="510"/>
      <c r="U789" s="510"/>
    </row>
  </sheetData>
  <mergeCells count="25">
    <mergeCell ref="Q4:U4"/>
    <mergeCell ref="A5:G6"/>
    <mergeCell ref="I5:K5"/>
    <mergeCell ref="L5:M5"/>
    <mergeCell ref="N5:P5"/>
    <mergeCell ref="Q5:R5"/>
    <mergeCell ref="B57:G57"/>
    <mergeCell ref="L4:P4"/>
    <mergeCell ref="A1:U1"/>
    <mergeCell ref="A2:U2"/>
    <mergeCell ref="A3:U3"/>
    <mergeCell ref="S5:U5"/>
    <mergeCell ref="A7:G7"/>
    <mergeCell ref="A17:G17"/>
    <mergeCell ref="A30:G30"/>
    <mergeCell ref="A56:G56"/>
    <mergeCell ref="D714:G714"/>
    <mergeCell ref="D728:G728"/>
    <mergeCell ref="D760:G760"/>
    <mergeCell ref="D413:G413"/>
    <mergeCell ref="D493:F493"/>
    <mergeCell ref="D599:G599"/>
    <mergeCell ref="D616:G616"/>
    <mergeCell ref="D642:G642"/>
    <mergeCell ref="D690:G690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B0B6-7560-4525-93C9-BB0766B4012D}">
  <sheetPr>
    <outlinePr summaryBelow="0" summaryRight="0"/>
  </sheetPr>
  <dimension ref="A1:U789"/>
  <sheetViews>
    <sheetView view="pageBreakPreview" zoomScale="60" zoomScaleNormal="100" workbookViewId="0">
      <pane xSplit="8" ySplit="6" topLeftCell="I1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style="511" customWidth="1"/>
    <col min="7" max="7" width="61.42578125" style="511" customWidth="1"/>
    <col min="8" max="8" width="9.42578125" style="511" customWidth="1"/>
    <col min="9" max="11" width="15.140625" style="511" customWidth="1"/>
    <col min="12" max="14" width="21.28515625" style="511" bestFit="1" customWidth="1"/>
    <col min="15" max="15" width="19.28515625" style="511" bestFit="1" customWidth="1"/>
    <col min="16" max="16" width="20.85546875" style="511" bestFit="1" customWidth="1"/>
    <col min="17" max="18" width="21.28515625" style="511" bestFit="1" customWidth="1"/>
    <col min="19" max="19" width="18.7109375" style="511" bestFit="1" customWidth="1"/>
    <col min="20" max="20" width="19.28515625" style="511" bestFit="1" customWidth="1"/>
    <col min="21" max="21" width="20.85546875" style="511" bestFit="1" customWidth="1"/>
    <col min="22" max="16384" width="12.5703125" style="511"/>
  </cols>
  <sheetData>
    <row r="1" spans="1:21" ht="19.5" x14ac:dyDescent="0.3">
      <c r="A1" s="1321" t="s">
        <v>0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  <c r="R1" s="1321"/>
      <c r="S1" s="1321"/>
      <c r="T1" s="1321"/>
      <c r="U1" s="1321"/>
    </row>
    <row r="2" spans="1:21" ht="19.5" x14ac:dyDescent="0.3">
      <c r="A2" s="1321" t="s">
        <v>329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</row>
    <row r="3" spans="1:21" ht="19.5" x14ac:dyDescent="0.3">
      <c r="A3" s="1321" t="s">
        <v>350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</row>
    <row r="4" spans="1:21" ht="19.5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4"/>
      <c r="K4" s="515"/>
      <c r="L4" s="1323" t="s">
        <v>2</v>
      </c>
      <c r="M4" s="1314"/>
      <c r="N4" s="1314"/>
      <c r="O4" s="1314"/>
      <c r="P4" s="1317"/>
      <c r="Q4" s="1324" t="s">
        <v>3</v>
      </c>
      <c r="R4" s="1314"/>
      <c r="S4" s="1314"/>
      <c r="T4" s="1314"/>
      <c r="U4" s="1317"/>
    </row>
    <row r="5" spans="1:21" ht="19.5" x14ac:dyDescent="0.3">
      <c r="A5" s="1325" t="s">
        <v>4</v>
      </c>
      <c r="B5" s="1322"/>
      <c r="C5" s="1322"/>
      <c r="D5" s="1322"/>
      <c r="E5" s="1322"/>
      <c r="F5" s="1322"/>
      <c r="G5" s="1326"/>
      <c r="H5" s="516" t="s">
        <v>5</v>
      </c>
      <c r="I5" s="1328" t="s">
        <v>6</v>
      </c>
      <c r="J5" s="1314"/>
      <c r="K5" s="1317"/>
      <c r="L5" s="1329" t="s">
        <v>7</v>
      </c>
      <c r="M5" s="1317"/>
      <c r="N5" s="1330" t="s">
        <v>8</v>
      </c>
      <c r="O5" s="1314"/>
      <c r="P5" s="1317"/>
      <c r="Q5" s="1331" t="s">
        <v>7</v>
      </c>
      <c r="R5" s="1317"/>
      <c r="S5" s="1330" t="s">
        <v>8</v>
      </c>
      <c r="T5" s="1314"/>
      <c r="U5" s="1317"/>
    </row>
    <row r="6" spans="1:21" ht="19.5" x14ac:dyDescent="0.3">
      <c r="A6" s="1327"/>
      <c r="B6" s="1314"/>
      <c r="C6" s="1314"/>
      <c r="D6" s="1314"/>
      <c r="E6" s="1314"/>
      <c r="F6" s="1314"/>
      <c r="G6" s="1317"/>
      <c r="H6" s="517"/>
      <c r="I6" s="518" t="s">
        <v>9</v>
      </c>
      <c r="J6" s="519" t="s">
        <v>10</v>
      </c>
      <c r="K6" s="518" t="s">
        <v>11</v>
      </c>
      <c r="L6" s="520" t="s">
        <v>12</v>
      </c>
      <c r="M6" s="521" t="s">
        <v>13</v>
      </c>
      <c r="N6" s="522" t="s">
        <v>14</v>
      </c>
      <c r="O6" s="523" t="s">
        <v>15</v>
      </c>
      <c r="P6" s="524" t="s">
        <v>16</v>
      </c>
      <c r="Q6" s="525" t="s">
        <v>12</v>
      </c>
      <c r="R6" s="521" t="s">
        <v>13</v>
      </c>
      <c r="S6" s="522" t="s">
        <v>14</v>
      </c>
      <c r="T6" s="523" t="s">
        <v>15</v>
      </c>
      <c r="U6" s="524" t="s">
        <v>16</v>
      </c>
    </row>
    <row r="7" spans="1:21" ht="12.75" hidden="1" x14ac:dyDescent="0.2">
      <c r="A7" s="1316"/>
      <c r="B7" s="1314"/>
      <c r="C7" s="1314"/>
      <c r="D7" s="1314"/>
      <c r="E7" s="1314"/>
      <c r="F7" s="1314"/>
      <c r="G7" s="1317"/>
      <c r="H7" s="526"/>
      <c r="I7" s="527"/>
      <c r="J7" s="527"/>
      <c r="K7" s="528"/>
      <c r="L7" s="529"/>
      <c r="M7" s="528"/>
      <c r="N7" s="528"/>
      <c r="O7" s="528"/>
      <c r="P7" s="528"/>
      <c r="Q7" s="528"/>
      <c r="R7" s="528"/>
      <c r="S7" s="528"/>
      <c r="T7" s="528"/>
      <c r="U7" s="528"/>
    </row>
    <row r="8" spans="1:21" ht="12.75" hidden="1" x14ac:dyDescent="0.2">
      <c r="A8" s="530"/>
      <c r="B8" s="531"/>
      <c r="C8" s="531"/>
      <c r="D8" s="531"/>
      <c r="E8" s="531"/>
      <c r="F8" s="531"/>
      <c r="G8" s="532"/>
      <c r="H8" s="532"/>
      <c r="I8" s="533"/>
      <c r="J8" s="533"/>
      <c r="K8" s="534"/>
      <c r="L8" s="535"/>
      <c r="M8" s="534"/>
      <c r="N8" s="534"/>
      <c r="O8" s="534"/>
      <c r="P8" s="534"/>
      <c r="Q8" s="534"/>
      <c r="R8" s="534"/>
      <c r="S8" s="534"/>
      <c r="T8" s="534"/>
      <c r="U8" s="534"/>
    </row>
    <row r="9" spans="1:21" ht="12.75" hidden="1" x14ac:dyDescent="0.2">
      <c r="A9" s="530"/>
      <c r="B9" s="531"/>
      <c r="C9" s="531"/>
      <c r="D9" s="531"/>
      <c r="E9" s="531"/>
      <c r="F9" s="531"/>
      <c r="G9" s="532"/>
      <c r="H9" s="532"/>
      <c r="I9" s="533"/>
      <c r="J9" s="533"/>
      <c r="K9" s="534"/>
      <c r="L9" s="535"/>
      <c r="M9" s="534"/>
      <c r="N9" s="534"/>
      <c r="O9" s="534"/>
      <c r="P9" s="534"/>
      <c r="Q9" s="534"/>
      <c r="R9" s="534"/>
      <c r="S9" s="534"/>
      <c r="T9" s="534"/>
      <c r="U9" s="534"/>
    </row>
    <row r="10" spans="1:21" ht="12.75" hidden="1" x14ac:dyDescent="0.2">
      <c r="A10" s="530"/>
      <c r="B10" s="531"/>
      <c r="C10" s="531"/>
      <c r="D10" s="531"/>
      <c r="E10" s="531"/>
      <c r="F10" s="531"/>
      <c r="G10" s="532"/>
      <c r="H10" s="532"/>
      <c r="I10" s="533"/>
      <c r="J10" s="533"/>
      <c r="K10" s="534"/>
      <c r="L10" s="535"/>
      <c r="M10" s="534"/>
      <c r="N10" s="534"/>
      <c r="O10" s="534"/>
      <c r="P10" s="534"/>
      <c r="Q10" s="534"/>
      <c r="R10" s="534"/>
      <c r="S10" s="534"/>
      <c r="T10" s="534"/>
      <c r="U10" s="534"/>
    </row>
    <row r="11" spans="1:21" ht="12.75" hidden="1" x14ac:dyDescent="0.2">
      <c r="A11" s="530"/>
      <c r="B11" s="531"/>
      <c r="C11" s="531"/>
      <c r="D11" s="531"/>
      <c r="E11" s="531"/>
      <c r="F11" s="531"/>
      <c r="G11" s="532"/>
      <c r="H11" s="532"/>
      <c r="I11" s="533"/>
      <c r="J11" s="533"/>
      <c r="K11" s="534"/>
      <c r="L11" s="535"/>
      <c r="M11" s="534"/>
      <c r="N11" s="534"/>
      <c r="O11" s="534"/>
      <c r="P11" s="534"/>
      <c r="Q11" s="534"/>
      <c r="R11" s="534"/>
      <c r="S11" s="534"/>
      <c r="T11" s="534"/>
      <c r="U11" s="534"/>
    </row>
    <row r="12" spans="1:21" ht="12.75" hidden="1" x14ac:dyDescent="0.2">
      <c r="A12" s="530"/>
      <c r="B12" s="531"/>
      <c r="C12" s="531"/>
      <c r="D12" s="531"/>
      <c r="E12" s="531"/>
      <c r="F12" s="531"/>
      <c r="G12" s="532"/>
      <c r="H12" s="532"/>
      <c r="I12" s="533"/>
      <c r="J12" s="533"/>
      <c r="K12" s="534"/>
      <c r="L12" s="535"/>
      <c r="M12" s="534"/>
      <c r="N12" s="534"/>
      <c r="O12" s="534"/>
      <c r="P12" s="534"/>
      <c r="Q12" s="534"/>
      <c r="R12" s="534"/>
      <c r="S12" s="534"/>
      <c r="T12" s="534"/>
      <c r="U12" s="534"/>
    </row>
    <row r="13" spans="1:21" ht="12.75" hidden="1" x14ac:dyDescent="0.2">
      <c r="A13" s="530"/>
      <c r="B13" s="531"/>
      <c r="C13" s="531"/>
      <c r="D13" s="531"/>
      <c r="E13" s="531"/>
      <c r="F13" s="531"/>
      <c r="G13" s="532"/>
      <c r="H13" s="532"/>
      <c r="I13" s="533"/>
      <c r="J13" s="533"/>
      <c r="K13" s="534"/>
      <c r="L13" s="535"/>
      <c r="M13" s="534"/>
      <c r="N13" s="534"/>
      <c r="O13" s="534"/>
      <c r="P13" s="534"/>
      <c r="Q13" s="534"/>
      <c r="R13" s="534"/>
      <c r="S13" s="534"/>
      <c r="T13" s="534"/>
      <c r="U13" s="534"/>
    </row>
    <row r="14" spans="1:21" ht="12.75" hidden="1" x14ac:dyDescent="0.2">
      <c r="A14" s="530"/>
      <c r="B14" s="531"/>
      <c r="C14" s="531"/>
      <c r="D14" s="531"/>
      <c r="E14" s="531"/>
      <c r="F14" s="531"/>
      <c r="G14" s="532"/>
      <c r="H14" s="532"/>
      <c r="I14" s="533"/>
      <c r="J14" s="533"/>
      <c r="K14" s="534"/>
      <c r="L14" s="535"/>
      <c r="M14" s="534"/>
      <c r="N14" s="534"/>
      <c r="O14" s="534"/>
      <c r="P14" s="534"/>
      <c r="Q14" s="534"/>
      <c r="R14" s="534"/>
      <c r="S14" s="534"/>
      <c r="T14" s="534"/>
      <c r="U14" s="534"/>
    </row>
    <row r="15" spans="1:21" ht="12.75" hidden="1" x14ac:dyDescent="0.2">
      <c r="A15" s="530"/>
      <c r="B15" s="531"/>
      <c r="C15" s="531"/>
      <c r="D15" s="531"/>
      <c r="E15" s="531"/>
      <c r="F15" s="531"/>
      <c r="G15" s="532"/>
      <c r="H15" s="532"/>
      <c r="I15" s="533"/>
      <c r="J15" s="533"/>
      <c r="K15" s="534"/>
      <c r="L15" s="535"/>
      <c r="M15" s="534"/>
      <c r="N15" s="534"/>
      <c r="O15" s="534"/>
      <c r="P15" s="534"/>
      <c r="Q15" s="534"/>
      <c r="R15" s="534"/>
      <c r="S15" s="534"/>
      <c r="T15" s="534"/>
      <c r="U15" s="534"/>
    </row>
    <row r="16" spans="1:21" ht="12.75" hidden="1" x14ac:dyDescent="0.2">
      <c r="A16" s="536"/>
      <c r="B16" s="537"/>
      <c r="C16" s="537"/>
      <c r="D16" s="537"/>
      <c r="E16" s="537"/>
      <c r="F16" s="537"/>
      <c r="G16" s="526"/>
      <c r="H16" s="526"/>
      <c r="I16" s="527"/>
      <c r="J16" s="527"/>
      <c r="K16" s="528"/>
      <c r="L16" s="529"/>
      <c r="M16" s="528"/>
      <c r="N16" s="528"/>
      <c r="O16" s="528"/>
      <c r="P16" s="528"/>
      <c r="Q16" s="528"/>
      <c r="R16" s="528"/>
      <c r="S16" s="528"/>
      <c r="T16" s="528"/>
      <c r="U16" s="528"/>
    </row>
    <row r="17" spans="1:21" ht="19.5" x14ac:dyDescent="0.3">
      <c r="A17" s="1318" t="s">
        <v>298</v>
      </c>
      <c r="B17" s="1314"/>
      <c r="C17" s="1314"/>
      <c r="D17" s="1314"/>
      <c r="E17" s="1314"/>
      <c r="F17" s="1314"/>
      <c r="G17" s="1317"/>
      <c r="H17" s="538"/>
      <c r="I17" s="539"/>
      <c r="J17" s="539"/>
      <c r="K17" s="540"/>
      <c r="L17" s="541"/>
      <c r="M17" s="540"/>
      <c r="N17" s="540"/>
      <c r="O17" s="540"/>
      <c r="P17" s="540"/>
      <c r="Q17" s="540"/>
      <c r="R17" s="540"/>
      <c r="S17" s="540"/>
      <c r="T17" s="540"/>
      <c r="U17" s="540"/>
    </row>
    <row r="18" spans="1:21" ht="19.5" x14ac:dyDescent="0.3">
      <c r="A18" s="542"/>
      <c r="B18" s="543"/>
      <c r="C18" s="544" t="s">
        <v>18</v>
      </c>
      <c r="D18" s="545" t="s">
        <v>19</v>
      </c>
      <c r="E18" s="543"/>
      <c r="F18" s="543"/>
      <c r="G18" s="546"/>
      <c r="H18" s="547" t="s">
        <v>14</v>
      </c>
      <c r="I18" s="548"/>
      <c r="J18" s="548"/>
      <c r="K18" s="549"/>
      <c r="L18" s="550">
        <f t="shared" ref="L18:N18" ca="1" si="0">L19+L20</f>
        <v>2664160</v>
      </c>
      <c r="M18" s="551">
        <f t="shared" ca="1" si="0"/>
        <v>2579320</v>
      </c>
      <c r="N18" s="551">
        <f t="shared" ca="1" si="0"/>
        <v>1636514.02</v>
      </c>
      <c r="O18" s="551">
        <f t="shared" ref="O18:O26" ca="1" si="1">IF(L18&gt;0,N18*100/L18,0)</f>
        <v>61.42701714611735</v>
      </c>
      <c r="P18" s="551">
        <f t="shared" ref="P18:P26" ca="1" si="2">IF(M18&gt;0,N18*100/M18,0)</f>
        <v>63.447498565513392</v>
      </c>
      <c r="Q18" s="551">
        <f t="shared" ref="Q18:S18" ca="1" si="3">Q19+Q20</f>
        <v>1680991.3900000001</v>
      </c>
      <c r="R18" s="551">
        <f t="shared" ca="1" si="3"/>
        <v>1680991</v>
      </c>
      <c r="S18" s="551">
        <f t="shared" ca="1" si="3"/>
        <v>313135</v>
      </c>
      <c r="T18" s="551">
        <f t="shared" ref="T18:T26" ca="1" si="4">IF(Q18&gt;0,S18*100/Q18,0)</f>
        <v>18.627995471172518</v>
      </c>
      <c r="U18" s="551">
        <f t="shared" ref="U18:U26" ca="1" si="5">IF(R18&gt;0,S18*100/R18,0)</f>
        <v>18.62799979297926</v>
      </c>
    </row>
    <row r="19" spans="1:21" ht="18.75" x14ac:dyDescent="0.25">
      <c r="A19" s="542"/>
      <c r="B19" s="543"/>
      <c r="C19" s="543"/>
      <c r="D19" s="543"/>
      <c r="E19" s="552" t="s">
        <v>20</v>
      </c>
      <c r="F19" s="543"/>
      <c r="G19" s="546"/>
      <c r="H19" s="553" t="s">
        <v>14</v>
      </c>
      <c r="I19" s="548"/>
      <c r="J19" s="548"/>
      <c r="K19" s="549"/>
      <c r="L19" s="554">
        <f t="shared" ref="L19:N20" si="6">L22+L25</f>
        <v>0</v>
      </c>
      <c r="M19" s="555">
        <f t="shared" si="6"/>
        <v>0</v>
      </c>
      <c r="N19" s="555">
        <f t="shared" si="6"/>
        <v>0</v>
      </c>
      <c r="O19" s="555">
        <f t="shared" si="1"/>
        <v>0</v>
      </c>
      <c r="P19" s="555">
        <f t="shared" si="2"/>
        <v>0</v>
      </c>
      <c r="Q19" s="555">
        <f t="shared" ref="Q19:S20" si="7">Q22+Q25</f>
        <v>0</v>
      </c>
      <c r="R19" s="555">
        <f t="shared" si="7"/>
        <v>0</v>
      </c>
      <c r="S19" s="555">
        <f t="shared" si="7"/>
        <v>0</v>
      </c>
      <c r="T19" s="555">
        <f t="shared" si="4"/>
        <v>0</v>
      </c>
      <c r="U19" s="555">
        <f t="shared" si="5"/>
        <v>0</v>
      </c>
    </row>
    <row r="20" spans="1:21" ht="18.75" x14ac:dyDescent="0.25">
      <c r="A20" s="542"/>
      <c r="B20" s="543"/>
      <c r="C20" s="543"/>
      <c r="D20" s="543"/>
      <c r="E20" s="556" t="s">
        <v>21</v>
      </c>
      <c r="F20" s="543"/>
      <c r="G20" s="546"/>
      <c r="H20" s="557" t="s">
        <v>14</v>
      </c>
      <c r="I20" s="548"/>
      <c r="J20" s="548"/>
      <c r="K20" s="549"/>
      <c r="L20" s="558">
        <f t="shared" ca="1" si="6"/>
        <v>2664160</v>
      </c>
      <c r="M20" s="559">
        <f t="shared" ca="1" si="6"/>
        <v>2579320</v>
      </c>
      <c r="N20" s="559">
        <f t="shared" ca="1" si="6"/>
        <v>1636514.02</v>
      </c>
      <c r="O20" s="559">
        <f t="shared" ca="1" si="1"/>
        <v>61.42701714611735</v>
      </c>
      <c r="P20" s="559">
        <f t="shared" ca="1" si="2"/>
        <v>63.447498565513392</v>
      </c>
      <c r="Q20" s="559">
        <f t="shared" ca="1" si="7"/>
        <v>1680991.3900000001</v>
      </c>
      <c r="R20" s="559">
        <f t="shared" ca="1" si="7"/>
        <v>1680991</v>
      </c>
      <c r="S20" s="559">
        <f t="shared" ca="1" si="7"/>
        <v>313135</v>
      </c>
      <c r="T20" s="559">
        <f t="shared" ca="1" si="4"/>
        <v>18.627995471172518</v>
      </c>
      <c r="U20" s="559">
        <f t="shared" ca="1" si="5"/>
        <v>18.62799979297926</v>
      </c>
    </row>
    <row r="21" spans="1:21" ht="18.75" x14ac:dyDescent="0.25">
      <c r="A21" s="560"/>
      <c r="B21" s="561"/>
      <c r="C21" s="561"/>
      <c r="D21" s="562" t="s">
        <v>22</v>
      </c>
      <c r="E21" s="561"/>
      <c r="F21" s="561"/>
      <c r="G21" s="563"/>
      <c r="H21" s="564" t="s">
        <v>14</v>
      </c>
      <c r="I21" s="565"/>
      <c r="J21" s="565"/>
      <c r="K21" s="566"/>
      <c r="L21" s="567">
        <f t="shared" ref="L21:N21" ca="1" si="8">L22+L23</f>
        <v>2664160</v>
      </c>
      <c r="M21" s="568">
        <f t="shared" ca="1" si="8"/>
        <v>2579320</v>
      </c>
      <c r="N21" s="568">
        <f t="shared" ca="1" si="8"/>
        <v>1636514.02</v>
      </c>
      <c r="O21" s="568">
        <f t="shared" ca="1" si="1"/>
        <v>61.42701714611735</v>
      </c>
      <c r="P21" s="568">
        <f t="shared" ca="1" si="2"/>
        <v>63.447498565513392</v>
      </c>
      <c r="Q21" s="568">
        <f t="shared" ref="Q21:S21" ca="1" si="9">Q22+Q23</f>
        <v>1680991.3900000001</v>
      </c>
      <c r="R21" s="568">
        <f t="shared" ca="1" si="9"/>
        <v>1680991</v>
      </c>
      <c r="S21" s="568">
        <f t="shared" ca="1" si="9"/>
        <v>313135</v>
      </c>
      <c r="T21" s="568">
        <f t="shared" ca="1" si="4"/>
        <v>18.627995471172518</v>
      </c>
      <c r="U21" s="568">
        <f t="shared" ca="1" si="5"/>
        <v>18.62799979297926</v>
      </c>
    </row>
    <row r="22" spans="1:21" ht="18.75" x14ac:dyDescent="0.25">
      <c r="A22" s="560"/>
      <c r="B22" s="561"/>
      <c r="C22" s="561"/>
      <c r="D22" s="561"/>
      <c r="E22" s="569" t="s">
        <v>20</v>
      </c>
      <c r="F22" s="561"/>
      <c r="G22" s="563"/>
      <c r="H22" s="570" t="s">
        <v>14</v>
      </c>
      <c r="I22" s="565"/>
      <c r="J22" s="565"/>
      <c r="K22" s="566"/>
      <c r="L22" s="571">
        <f t="shared" ref="L22:N23" si="10">L48+L63+L76+L98+L129+L143+L161+L190+L177+L270+L286+L307+L324+L337+L360+L517</f>
        <v>0</v>
      </c>
      <c r="M22" s="572">
        <f t="shared" si="10"/>
        <v>0</v>
      </c>
      <c r="N22" s="572">
        <f t="shared" si="10"/>
        <v>0</v>
      </c>
      <c r="O22" s="572">
        <f t="shared" si="1"/>
        <v>0</v>
      </c>
      <c r="P22" s="572">
        <f t="shared" si="2"/>
        <v>0</v>
      </c>
      <c r="Q22" s="572">
        <f t="shared" ref="Q22:S23" si="11">Q76+Q98+Q121+Q143+Q161+Q177+Q190+Q270+Q286+Q307+Q337+Q379+Q396+Q417+Q497+Q603+Q620+Q646+Q694+Q718+Q732+Q764</f>
        <v>0</v>
      </c>
      <c r="R22" s="572">
        <f t="shared" si="11"/>
        <v>0</v>
      </c>
      <c r="S22" s="572">
        <f t="shared" si="11"/>
        <v>0</v>
      </c>
      <c r="T22" s="572">
        <f t="shared" si="4"/>
        <v>0</v>
      </c>
      <c r="U22" s="572">
        <f t="shared" si="5"/>
        <v>0</v>
      </c>
    </row>
    <row r="23" spans="1:21" ht="18.75" x14ac:dyDescent="0.25">
      <c r="A23" s="560"/>
      <c r="B23" s="561"/>
      <c r="C23" s="561"/>
      <c r="D23" s="561"/>
      <c r="E23" s="573" t="s">
        <v>21</v>
      </c>
      <c r="F23" s="561"/>
      <c r="G23" s="563"/>
      <c r="H23" s="564" t="s">
        <v>14</v>
      </c>
      <c r="I23" s="565"/>
      <c r="J23" s="565"/>
      <c r="K23" s="566"/>
      <c r="L23" s="567">
        <f t="shared" ca="1" si="10"/>
        <v>2664160</v>
      </c>
      <c r="M23" s="568">
        <f t="shared" ca="1" si="10"/>
        <v>2579320</v>
      </c>
      <c r="N23" s="568">
        <f t="shared" ca="1" si="10"/>
        <v>1636514.02</v>
      </c>
      <c r="O23" s="568">
        <f t="shared" ca="1" si="1"/>
        <v>61.42701714611735</v>
      </c>
      <c r="P23" s="568">
        <f t="shared" ca="1" si="2"/>
        <v>63.447498565513392</v>
      </c>
      <c r="Q23" s="568">
        <f t="shared" ca="1" si="11"/>
        <v>1680991.3900000001</v>
      </c>
      <c r="R23" s="568">
        <f t="shared" ca="1" si="11"/>
        <v>1680991</v>
      </c>
      <c r="S23" s="568">
        <f t="shared" ca="1" si="11"/>
        <v>313135</v>
      </c>
      <c r="T23" s="568">
        <f t="shared" ca="1" si="4"/>
        <v>18.627995471172518</v>
      </c>
      <c r="U23" s="568">
        <f t="shared" ca="1" si="5"/>
        <v>18.62799979297926</v>
      </c>
    </row>
    <row r="24" spans="1:21" ht="18.75" x14ac:dyDescent="0.25">
      <c r="A24" s="560"/>
      <c r="B24" s="561"/>
      <c r="C24" s="561"/>
      <c r="D24" s="562" t="s">
        <v>23</v>
      </c>
      <c r="E24" s="561"/>
      <c r="F24" s="561"/>
      <c r="G24" s="563"/>
      <c r="H24" s="564" t="s">
        <v>14</v>
      </c>
      <c r="I24" s="565"/>
      <c r="J24" s="565"/>
      <c r="K24" s="566"/>
      <c r="L24" s="567">
        <f t="shared" ref="L24:N24" ca="1" si="12">L25+L26</f>
        <v>0</v>
      </c>
      <c r="M24" s="568">
        <f t="shared" ca="1" si="12"/>
        <v>0</v>
      </c>
      <c r="N24" s="568">
        <f t="shared" ca="1" si="12"/>
        <v>0</v>
      </c>
      <c r="O24" s="568">
        <f t="shared" ca="1" si="1"/>
        <v>0</v>
      </c>
      <c r="P24" s="568">
        <f t="shared" ca="1" si="2"/>
        <v>0</v>
      </c>
      <c r="Q24" s="568">
        <f t="shared" ref="Q24:S24" ca="1" si="13">Q25+Q26</f>
        <v>0</v>
      </c>
      <c r="R24" s="568">
        <f t="shared" ca="1" si="13"/>
        <v>0</v>
      </c>
      <c r="S24" s="568">
        <f t="shared" ca="1" si="13"/>
        <v>0</v>
      </c>
      <c r="T24" s="568">
        <f t="shared" ca="1" si="4"/>
        <v>0</v>
      </c>
      <c r="U24" s="568">
        <f t="shared" ca="1" si="5"/>
        <v>0</v>
      </c>
    </row>
    <row r="25" spans="1:21" ht="18.75" x14ac:dyDescent="0.25">
      <c r="A25" s="560"/>
      <c r="B25" s="561"/>
      <c r="C25" s="561"/>
      <c r="D25" s="561"/>
      <c r="E25" s="569" t="s">
        <v>20</v>
      </c>
      <c r="F25" s="561"/>
      <c r="G25" s="563"/>
      <c r="H25" s="570" t="s">
        <v>14</v>
      </c>
      <c r="I25" s="565"/>
      <c r="J25" s="565"/>
      <c r="K25" s="566"/>
      <c r="L25" s="571">
        <f t="shared" ref="L25:N26" si="14">L51+L66+L79+L101+L132+L146+L164+L193+L180+L273+L289+L310+L327+L340+L363+L520</f>
        <v>0</v>
      </c>
      <c r="M25" s="572">
        <f t="shared" si="14"/>
        <v>0</v>
      </c>
      <c r="N25" s="572">
        <f t="shared" si="14"/>
        <v>0</v>
      </c>
      <c r="O25" s="572">
        <f t="shared" si="1"/>
        <v>0</v>
      </c>
      <c r="P25" s="572">
        <f t="shared" si="2"/>
        <v>0</v>
      </c>
      <c r="Q25" s="572">
        <f t="shared" ref="Q25:S26" si="15">Q79+Q101+Q124+Q146+Q164+Q180+Q193+Q273+Q289+Q310+Q340+Q382+Q399+Q420+Q500+Q606+Q623+Q649+Q697+Q721+Q735+Q767</f>
        <v>0</v>
      </c>
      <c r="R25" s="572">
        <f t="shared" si="15"/>
        <v>0</v>
      </c>
      <c r="S25" s="572">
        <f t="shared" si="15"/>
        <v>0</v>
      </c>
      <c r="T25" s="572">
        <f t="shared" si="4"/>
        <v>0</v>
      </c>
      <c r="U25" s="572">
        <f t="shared" si="5"/>
        <v>0</v>
      </c>
    </row>
    <row r="26" spans="1:21" ht="18.75" x14ac:dyDescent="0.25">
      <c r="A26" s="560"/>
      <c r="B26" s="561"/>
      <c r="C26" s="561"/>
      <c r="D26" s="561"/>
      <c r="E26" s="573" t="s">
        <v>21</v>
      </c>
      <c r="F26" s="561"/>
      <c r="G26" s="563"/>
      <c r="H26" s="564" t="s">
        <v>14</v>
      </c>
      <c r="I26" s="565"/>
      <c r="J26" s="565"/>
      <c r="K26" s="566"/>
      <c r="L26" s="567">
        <f t="shared" ca="1" si="14"/>
        <v>0</v>
      </c>
      <c r="M26" s="568">
        <f t="shared" ca="1" si="14"/>
        <v>0</v>
      </c>
      <c r="N26" s="568">
        <f t="shared" ca="1" si="14"/>
        <v>0</v>
      </c>
      <c r="O26" s="568">
        <f t="shared" ca="1" si="1"/>
        <v>0</v>
      </c>
      <c r="P26" s="568">
        <f t="shared" ca="1" si="2"/>
        <v>0</v>
      </c>
      <c r="Q26" s="572">
        <f t="shared" ca="1" si="15"/>
        <v>0</v>
      </c>
      <c r="R26" s="572">
        <f t="shared" ca="1" si="15"/>
        <v>0</v>
      </c>
      <c r="S26" s="572">
        <f t="shared" ca="1" si="15"/>
        <v>0</v>
      </c>
      <c r="T26" s="568">
        <f t="shared" ca="1" si="4"/>
        <v>0</v>
      </c>
      <c r="U26" s="568">
        <f t="shared" ca="1" si="5"/>
        <v>0</v>
      </c>
    </row>
    <row r="27" spans="1:21" ht="18.75" x14ac:dyDescent="0.25">
      <c r="A27" s="560"/>
      <c r="B27" s="561"/>
      <c r="C27" s="561"/>
      <c r="D27" s="562" t="s">
        <v>24</v>
      </c>
      <c r="E27" s="561"/>
      <c r="F27" s="561"/>
      <c r="G27" s="563"/>
      <c r="H27" s="564" t="s">
        <v>14</v>
      </c>
      <c r="I27" s="565"/>
      <c r="J27" s="565"/>
      <c r="K27" s="566"/>
      <c r="L27" s="574"/>
      <c r="M27" s="566"/>
      <c r="N27" s="566"/>
      <c r="O27" s="566"/>
      <c r="P27" s="566"/>
      <c r="Q27" s="566"/>
      <c r="R27" s="566"/>
      <c r="S27" s="566"/>
      <c r="T27" s="566"/>
      <c r="U27" s="566"/>
    </row>
    <row r="28" spans="1:21" ht="18.75" x14ac:dyDescent="0.25">
      <c r="A28" s="560"/>
      <c r="B28" s="561"/>
      <c r="C28" s="561"/>
      <c r="D28" s="561"/>
      <c r="E28" s="569" t="s">
        <v>20</v>
      </c>
      <c r="F28" s="561"/>
      <c r="G28" s="563"/>
      <c r="H28" s="570" t="s">
        <v>14</v>
      </c>
      <c r="I28" s="565"/>
      <c r="J28" s="565"/>
      <c r="K28" s="566"/>
      <c r="L28" s="574"/>
      <c r="M28" s="566"/>
      <c r="N28" s="566"/>
      <c r="O28" s="566"/>
      <c r="P28" s="566"/>
      <c r="Q28" s="566"/>
      <c r="R28" s="566"/>
      <c r="S28" s="566"/>
      <c r="T28" s="566"/>
      <c r="U28" s="566"/>
    </row>
    <row r="29" spans="1:21" ht="18.75" x14ac:dyDescent="0.25">
      <c r="A29" s="575"/>
      <c r="B29" s="513"/>
      <c r="C29" s="513"/>
      <c r="D29" s="513"/>
      <c r="E29" s="576" t="s">
        <v>21</v>
      </c>
      <c r="F29" s="513"/>
      <c r="G29" s="577"/>
      <c r="H29" s="578" t="s">
        <v>14</v>
      </c>
      <c r="I29" s="579"/>
      <c r="J29" s="579"/>
      <c r="K29" s="580"/>
      <c r="L29" s="581"/>
      <c r="M29" s="580"/>
      <c r="N29" s="580"/>
      <c r="O29" s="580"/>
      <c r="P29" s="580"/>
      <c r="Q29" s="580"/>
      <c r="R29" s="580"/>
      <c r="S29" s="580"/>
      <c r="T29" s="580"/>
      <c r="U29" s="580"/>
    </row>
    <row r="30" spans="1:21" ht="12.75" hidden="1" x14ac:dyDescent="0.2">
      <c r="A30" s="1316"/>
      <c r="B30" s="1314"/>
      <c r="C30" s="1314"/>
      <c r="D30" s="1314"/>
      <c r="E30" s="1314"/>
      <c r="F30" s="1314"/>
      <c r="G30" s="1317"/>
      <c r="H30" s="526"/>
      <c r="I30" s="527"/>
      <c r="J30" s="527"/>
      <c r="K30" s="528"/>
      <c r="L30" s="529"/>
      <c r="M30" s="528"/>
      <c r="N30" s="528"/>
      <c r="O30" s="528"/>
      <c r="P30" s="528"/>
      <c r="Q30" s="528"/>
      <c r="R30" s="528"/>
      <c r="S30" s="528"/>
      <c r="T30" s="528"/>
      <c r="U30" s="528"/>
    </row>
    <row r="31" spans="1:21" ht="12.75" hidden="1" x14ac:dyDescent="0.2">
      <c r="A31" s="530"/>
      <c r="B31" s="531"/>
      <c r="C31" s="531"/>
      <c r="D31" s="531"/>
      <c r="E31" s="531"/>
      <c r="F31" s="531"/>
      <c r="G31" s="532"/>
      <c r="H31" s="532"/>
      <c r="I31" s="533"/>
      <c r="J31" s="533"/>
      <c r="K31" s="534"/>
      <c r="L31" s="535"/>
      <c r="M31" s="534"/>
      <c r="N31" s="534"/>
      <c r="O31" s="534"/>
      <c r="P31" s="534"/>
      <c r="Q31" s="534"/>
      <c r="R31" s="534"/>
      <c r="S31" s="534"/>
      <c r="T31" s="534"/>
      <c r="U31" s="534"/>
    </row>
    <row r="32" spans="1:21" ht="12.75" hidden="1" x14ac:dyDescent="0.2">
      <c r="A32" s="530"/>
      <c r="B32" s="531"/>
      <c r="C32" s="531"/>
      <c r="D32" s="531"/>
      <c r="E32" s="531"/>
      <c r="F32" s="531"/>
      <c r="G32" s="532"/>
      <c r="H32" s="532"/>
      <c r="I32" s="533"/>
      <c r="J32" s="533"/>
      <c r="K32" s="534"/>
      <c r="L32" s="535"/>
      <c r="M32" s="534"/>
      <c r="N32" s="534"/>
      <c r="O32" s="534"/>
      <c r="P32" s="534"/>
      <c r="Q32" s="534"/>
      <c r="R32" s="534"/>
      <c r="S32" s="534"/>
      <c r="T32" s="534"/>
      <c r="U32" s="534"/>
    </row>
    <row r="33" spans="1:21" ht="12.75" hidden="1" x14ac:dyDescent="0.2">
      <c r="A33" s="530"/>
      <c r="B33" s="531"/>
      <c r="C33" s="531"/>
      <c r="D33" s="531"/>
      <c r="E33" s="531"/>
      <c r="F33" s="531"/>
      <c r="G33" s="532"/>
      <c r="H33" s="532"/>
      <c r="I33" s="533"/>
      <c r="J33" s="533"/>
      <c r="K33" s="534"/>
      <c r="L33" s="535"/>
      <c r="M33" s="534"/>
      <c r="N33" s="534"/>
      <c r="O33" s="534"/>
      <c r="P33" s="534"/>
      <c r="Q33" s="534"/>
      <c r="R33" s="534"/>
      <c r="S33" s="534"/>
      <c r="T33" s="534"/>
      <c r="U33" s="534"/>
    </row>
    <row r="34" spans="1:21" ht="12.75" hidden="1" x14ac:dyDescent="0.2">
      <c r="A34" s="530"/>
      <c r="B34" s="531"/>
      <c r="C34" s="531"/>
      <c r="D34" s="531"/>
      <c r="E34" s="531"/>
      <c r="F34" s="531"/>
      <c r="G34" s="532"/>
      <c r="H34" s="532"/>
      <c r="I34" s="533"/>
      <c r="J34" s="533"/>
      <c r="K34" s="534"/>
      <c r="L34" s="535"/>
      <c r="M34" s="534"/>
      <c r="N34" s="534"/>
      <c r="O34" s="534"/>
      <c r="P34" s="534"/>
      <c r="Q34" s="534"/>
      <c r="R34" s="534"/>
      <c r="S34" s="534"/>
      <c r="T34" s="534"/>
      <c r="U34" s="534"/>
    </row>
    <row r="35" spans="1:21" ht="12.75" hidden="1" x14ac:dyDescent="0.2">
      <c r="A35" s="530"/>
      <c r="B35" s="531"/>
      <c r="C35" s="531"/>
      <c r="D35" s="531"/>
      <c r="E35" s="531"/>
      <c r="F35" s="531"/>
      <c r="G35" s="532"/>
      <c r="H35" s="532"/>
      <c r="I35" s="533"/>
      <c r="J35" s="533"/>
      <c r="K35" s="534"/>
      <c r="L35" s="535"/>
      <c r="M35" s="534"/>
      <c r="N35" s="534"/>
      <c r="O35" s="534"/>
      <c r="P35" s="534"/>
      <c r="Q35" s="534"/>
      <c r="R35" s="534"/>
      <c r="S35" s="534"/>
      <c r="T35" s="534"/>
      <c r="U35" s="534"/>
    </row>
    <row r="36" spans="1:21" ht="12.75" hidden="1" x14ac:dyDescent="0.2">
      <c r="A36" s="530"/>
      <c r="B36" s="531"/>
      <c r="C36" s="531"/>
      <c r="D36" s="531"/>
      <c r="E36" s="531"/>
      <c r="F36" s="531"/>
      <c r="G36" s="532"/>
      <c r="H36" s="532"/>
      <c r="I36" s="533"/>
      <c r="J36" s="533"/>
      <c r="K36" s="534"/>
      <c r="L36" s="535"/>
      <c r="M36" s="534"/>
      <c r="N36" s="534"/>
      <c r="O36" s="534"/>
      <c r="P36" s="534"/>
      <c r="Q36" s="534"/>
      <c r="R36" s="534"/>
      <c r="S36" s="534"/>
      <c r="T36" s="534"/>
      <c r="U36" s="534"/>
    </row>
    <row r="37" spans="1:21" ht="12.75" hidden="1" x14ac:dyDescent="0.2">
      <c r="A37" s="530"/>
      <c r="B37" s="531"/>
      <c r="C37" s="531"/>
      <c r="D37" s="531"/>
      <c r="E37" s="531"/>
      <c r="F37" s="531"/>
      <c r="G37" s="532"/>
      <c r="H37" s="532"/>
      <c r="I37" s="533"/>
      <c r="J37" s="533"/>
      <c r="K37" s="534"/>
      <c r="L37" s="535"/>
      <c r="M37" s="534"/>
      <c r="N37" s="534"/>
      <c r="O37" s="534"/>
      <c r="P37" s="534"/>
      <c r="Q37" s="534"/>
      <c r="R37" s="534"/>
      <c r="S37" s="534"/>
      <c r="T37" s="534"/>
      <c r="U37" s="534"/>
    </row>
    <row r="38" spans="1:21" ht="12.75" hidden="1" x14ac:dyDescent="0.2">
      <c r="A38" s="530"/>
      <c r="B38" s="531"/>
      <c r="C38" s="531"/>
      <c r="D38" s="531"/>
      <c r="E38" s="531"/>
      <c r="F38" s="531"/>
      <c r="G38" s="532"/>
      <c r="H38" s="532"/>
      <c r="I38" s="533"/>
      <c r="J38" s="533"/>
      <c r="K38" s="534"/>
      <c r="L38" s="535"/>
      <c r="M38" s="534"/>
      <c r="N38" s="534"/>
      <c r="O38" s="534"/>
      <c r="P38" s="534"/>
      <c r="Q38" s="534"/>
      <c r="R38" s="534"/>
      <c r="S38" s="534"/>
      <c r="T38" s="534"/>
      <c r="U38" s="534"/>
    </row>
    <row r="39" spans="1:21" ht="12.75" hidden="1" x14ac:dyDescent="0.2">
      <c r="A39" s="536"/>
      <c r="B39" s="537"/>
      <c r="C39" s="537"/>
      <c r="D39" s="537"/>
      <c r="E39" s="537"/>
      <c r="F39" s="537"/>
      <c r="G39" s="526"/>
      <c r="H39" s="526"/>
      <c r="I39" s="527"/>
      <c r="J39" s="527"/>
      <c r="K39" s="528"/>
      <c r="L39" s="529"/>
      <c r="M39" s="528"/>
      <c r="N39" s="528"/>
      <c r="O39" s="528"/>
      <c r="P39" s="528"/>
      <c r="Q39" s="528"/>
      <c r="R39" s="528"/>
      <c r="S39" s="528"/>
      <c r="T39" s="528"/>
      <c r="U39" s="528"/>
    </row>
    <row r="40" spans="1:21" ht="19.5" x14ac:dyDescent="0.3">
      <c r="A40" s="582" t="s">
        <v>25</v>
      </c>
      <c r="B40" s="583"/>
      <c r="C40" s="583"/>
      <c r="D40" s="583"/>
      <c r="E40" s="583"/>
      <c r="F40" s="583"/>
      <c r="G40" s="584"/>
      <c r="H40" s="584"/>
      <c r="I40" s="585"/>
      <c r="J40" s="585"/>
      <c r="K40" s="586"/>
      <c r="L40" s="587">
        <f t="shared" ref="L40:N40" ca="1" si="16">L44+L59+L72+L94+L125+L139+L157+L173+L186+L266+L282+L303+L320+L333+L356</f>
        <v>2664160</v>
      </c>
      <c r="M40" s="588">
        <f t="shared" ca="1" si="16"/>
        <v>2579320</v>
      </c>
      <c r="N40" s="588">
        <f t="shared" ca="1" si="16"/>
        <v>1636514.02</v>
      </c>
      <c r="O40" s="588">
        <f ca="1">IF(L40&gt;0,N40*100/L40,0)</f>
        <v>61.42701714611735</v>
      </c>
      <c r="P40" s="588">
        <f ca="1">IF(M40&gt;0,N40*100/M40,0)</f>
        <v>63.447498565513392</v>
      </c>
      <c r="Q40" s="586"/>
      <c r="R40" s="586"/>
      <c r="S40" s="586"/>
      <c r="T40" s="586"/>
      <c r="U40" s="586"/>
    </row>
    <row r="41" spans="1:21" ht="19.5" x14ac:dyDescent="0.3">
      <c r="A41" s="589" t="s">
        <v>26</v>
      </c>
      <c r="B41" s="590"/>
      <c r="C41" s="590"/>
      <c r="D41" s="590"/>
      <c r="E41" s="590"/>
      <c r="F41" s="590"/>
      <c r="G41" s="590"/>
      <c r="H41" s="590"/>
      <c r="I41" s="591"/>
      <c r="J41" s="591"/>
      <c r="K41" s="592"/>
      <c r="L41" s="592"/>
      <c r="M41" s="592"/>
      <c r="N41" s="592"/>
      <c r="O41" s="592"/>
      <c r="P41" s="593"/>
      <c r="Q41" s="592"/>
      <c r="R41" s="592"/>
      <c r="S41" s="592"/>
      <c r="T41" s="592"/>
      <c r="U41" s="593"/>
    </row>
    <row r="42" spans="1:21" ht="19.5" x14ac:dyDescent="0.3">
      <c r="A42" s="594"/>
      <c r="B42" s="595" t="s">
        <v>27</v>
      </c>
      <c r="C42" s="594"/>
      <c r="D42" s="594"/>
      <c r="E42" s="594"/>
      <c r="F42" s="594"/>
      <c r="G42" s="596"/>
      <c r="H42" s="596"/>
      <c r="I42" s="597"/>
      <c r="J42" s="597"/>
      <c r="K42" s="598"/>
      <c r="L42" s="599"/>
      <c r="M42" s="598"/>
      <c r="N42" s="598"/>
      <c r="O42" s="598"/>
      <c r="P42" s="598"/>
      <c r="Q42" s="598"/>
      <c r="R42" s="598"/>
      <c r="S42" s="598"/>
      <c r="T42" s="598"/>
      <c r="U42" s="598"/>
    </row>
    <row r="43" spans="1:21" ht="12.75" hidden="1" x14ac:dyDescent="0.2">
      <c r="A43" s="530"/>
      <c r="B43" s="531"/>
      <c r="C43" s="531"/>
      <c r="D43" s="531"/>
      <c r="E43" s="531"/>
      <c r="F43" s="531"/>
      <c r="G43" s="532"/>
      <c r="H43" s="532"/>
      <c r="I43" s="533"/>
      <c r="J43" s="533"/>
      <c r="K43" s="534"/>
      <c r="L43" s="535"/>
      <c r="M43" s="534"/>
      <c r="N43" s="534"/>
      <c r="O43" s="534"/>
      <c r="P43" s="534"/>
      <c r="Q43" s="534"/>
      <c r="R43" s="534"/>
      <c r="S43" s="534"/>
      <c r="T43" s="534"/>
      <c r="U43" s="534"/>
    </row>
    <row r="44" spans="1:21" ht="19.5" x14ac:dyDescent="0.3">
      <c r="A44" s="600"/>
      <c r="B44" s="601"/>
      <c r="C44" s="602" t="s">
        <v>18</v>
      </c>
      <c r="D44" s="603" t="s">
        <v>19</v>
      </c>
      <c r="E44" s="601"/>
      <c r="F44" s="601"/>
      <c r="G44" s="604"/>
      <c r="H44" s="605" t="s">
        <v>14</v>
      </c>
      <c r="I44" s="606"/>
      <c r="J44" s="606"/>
      <c r="K44" s="607"/>
      <c r="L44" s="608">
        <f t="shared" ref="L44:N44" ca="1" si="17">L45+L46</f>
        <v>575700</v>
      </c>
      <c r="M44" s="609">
        <f t="shared" ca="1" si="17"/>
        <v>576140</v>
      </c>
      <c r="N44" s="609">
        <f t="shared" ca="1" si="17"/>
        <v>369877</v>
      </c>
      <c r="O44" s="609">
        <f t="shared" ref="O44:O52" ca="1" si="18">IF(L44&gt;0,N44*100/L44,0)</f>
        <v>64.248219558797985</v>
      </c>
      <c r="P44" s="609">
        <f t="shared" ref="P44:P52" ca="1" si="19">IF(M44&gt;0,N44*100/M44,0)</f>
        <v>64.19915298364981</v>
      </c>
      <c r="Q44" s="609">
        <f t="shared" ref="Q44:S44" si="20">Q45+Q46</f>
        <v>0</v>
      </c>
      <c r="R44" s="609">
        <f t="shared" si="20"/>
        <v>0</v>
      </c>
      <c r="S44" s="609">
        <f t="shared" si="20"/>
        <v>0</v>
      </c>
      <c r="T44" s="609">
        <f t="shared" ref="T44:T52" si="21">IF(Q44&gt;0,S44*100/Q44,0)</f>
        <v>0</v>
      </c>
      <c r="U44" s="609">
        <f t="shared" ref="U44:U52" si="22">IF(R44&gt;0,S44*100/R44,0)</f>
        <v>0</v>
      </c>
    </row>
    <row r="45" spans="1:21" ht="18.75" x14ac:dyDescent="0.25">
      <c r="A45" s="600"/>
      <c r="B45" s="601"/>
      <c r="C45" s="601"/>
      <c r="D45" s="601"/>
      <c r="E45" s="610" t="s">
        <v>20</v>
      </c>
      <c r="F45" s="601"/>
      <c r="G45" s="604"/>
      <c r="H45" s="611" t="s">
        <v>14</v>
      </c>
      <c r="I45" s="606"/>
      <c r="J45" s="606"/>
      <c r="K45" s="607"/>
      <c r="L45" s="612">
        <f t="shared" ref="L45:N46" si="23">L48+L51</f>
        <v>0</v>
      </c>
      <c r="M45" s="613">
        <f t="shared" si="23"/>
        <v>0</v>
      </c>
      <c r="N45" s="613">
        <f t="shared" si="23"/>
        <v>0</v>
      </c>
      <c r="O45" s="613">
        <f t="shared" si="18"/>
        <v>0</v>
      </c>
      <c r="P45" s="613">
        <f t="shared" si="19"/>
        <v>0</v>
      </c>
      <c r="Q45" s="613">
        <f t="shared" ref="Q45:S46" si="24">Q48+Q51</f>
        <v>0</v>
      </c>
      <c r="R45" s="613">
        <f t="shared" si="24"/>
        <v>0</v>
      </c>
      <c r="S45" s="613">
        <f t="shared" si="24"/>
        <v>0</v>
      </c>
      <c r="T45" s="613">
        <f t="shared" si="21"/>
        <v>0</v>
      </c>
      <c r="U45" s="613">
        <f t="shared" si="22"/>
        <v>0</v>
      </c>
    </row>
    <row r="46" spans="1:21" ht="18.75" x14ac:dyDescent="0.25">
      <c r="A46" s="600"/>
      <c r="B46" s="601"/>
      <c r="C46" s="601"/>
      <c r="D46" s="601"/>
      <c r="E46" s="614" t="s">
        <v>21</v>
      </c>
      <c r="F46" s="601"/>
      <c r="G46" s="604"/>
      <c r="H46" s="615" t="s">
        <v>14</v>
      </c>
      <c r="I46" s="606"/>
      <c r="J46" s="606"/>
      <c r="K46" s="607"/>
      <c r="L46" s="616">
        <f t="shared" ca="1" si="23"/>
        <v>575700</v>
      </c>
      <c r="M46" s="617">
        <f t="shared" ca="1" si="23"/>
        <v>576140</v>
      </c>
      <c r="N46" s="617">
        <f t="shared" ca="1" si="23"/>
        <v>369877</v>
      </c>
      <c r="O46" s="617">
        <f t="shared" ca="1" si="18"/>
        <v>64.248219558797985</v>
      </c>
      <c r="P46" s="617">
        <f t="shared" ca="1" si="19"/>
        <v>64.19915298364981</v>
      </c>
      <c r="Q46" s="617">
        <f t="shared" si="24"/>
        <v>0</v>
      </c>
      <c r="R46" s="617">
        <f t="shared" si="24"/>
        <v>0</v>
      </c>
      <c r="S46" s="617">
        <f t="shared" si="24"/>
        <v>0</v>
      </c>
      <c r="T46" s="617">
        <f t="shared" si="21"/>
        <v>0</v>
      </c>
      <c r="U46" s="617">
        <f t="shared" si="22"/>
        <v>0</v>
      </c>
    </row>
    <row r="47" spans="1:21" ht="18.75" x14ac:dyDescent="0.25">
      <c r="A47" s="560"/>
      <c r="B47" s="561"/>
      <c r="C47" s="561"/>
      <c r="D47" s="562" t="s">
        <v>22</v>
      </c>
      <c r="E47" s="561"/>
      <c r="F47" s="561"/>
      <c r="G47" s="563"/>
      <c r="H47" s="564" t="s">
        <v>14</v>
      </c>
      <c r="I47" s="565"/>
      <c r="J47" s="565"/>
      <c r="K47" s="566"/>
      <c r="L47" s="567">
        <f t="shared" ref="L47:N47" ca="1" si="25">L48+L49</f>
        <v>575700</v>
      </c>
      <c r="M47" s="568">
        <f t="shared" ca="1" si="25"/>
        <v>576140</v>
      </c>
      <c r="N47" s="568">
        <f t="shared" ca="1" si="25"/>
        <v>369877</v>
      </c>
      <c r="O47" s="568">
        <f t="shared" ca="1" si="18"/>
        <v>64.248219558797985</v>
      </c>
      <c r="P47" s="568">
        <f t="shared" ca="1" si="19"/>
        <v>64.19915298364981</v>
      </c>
      <c r="Q47" s="568">
        <f t="shared" ref="Q47:S47" si="26">Q48+Q49</f>
        <v>0</v>
      </c>
      <c r="R47" s="568">
        <f t="shared" si="26"/>
        <v>0</v>
      </c>
      <c r="S47" s="568">
        <f t="shared" si="26"/>
        <v>0</v>
      </c>
      <c r="T47" s="568">
        <f t="shared" si="21"/>
        <v>0</v>
      </c>
      <c r="U47" s="568">
        <f t="shared" si="22"/>
        <v>0</v>
      </c>
    </row>
    <row r="48" spans="1:21" ht="18.75" x14ac:dyDescent="0.25">
      <c r="A48" s="560"/>
      <c r="B48" s="561"/>
      <c r="C48" s="561"/>
      <c r="D48" s="561"/>
      <c r="E48" s="569" t="s">
        <v>20</v>
      </c>
      <c r="F48" s="561"/>
      <c r="G48" s="563"/>
      <c r="H48" s="570" t="s">
        <v>14</v>
      </c>
      <c r="I48" s="565"/>
      <c r="J48" s="565"/>
      <c r="K48" s="566"/>
      <c r="L48" s="571">
        <v>0</v>
      </c>
      <c r="M48" s="572">
        <v>0</v>
      </c>
      <c r="N48" s="572">
        <v>0</v>
      </c>
      <c r="O48" s="572">
        <f t="shared" si="18"/>
        <v>0</v>
      </c>
      <c r="P48" s="572">
        <f t="shared" si="19"/>
        <v>0</v>
      </c>
      <c r="Q48" s="572">
        <v>0</v>
      </c>
      <c r="R48" s="572">
        <v>0</v>
      </c>
      <c r="S48" s="572">
        <v>0</v>
      </c>
      <c r="T48" s="572">
        <f t="shared" si="21"/>
        <v>0</v>
      </c>
      <c r="U48" s="572">
        <f t="shared" si="22"/>
        <v>0</v>
      </c>
    </row>
    <row r="49" spans="1:21" ht="18.75" x14ac:dyDescent="0.25">
      <c r="A49" s="560"/>
      <c r="B49" s="561"/>
      <c r="C49" s="561"/>
      <c r="D49" s="561"/>
      <c r="E49" s="573" t="s">
        <v>21</v>
      </c>
      <c r="F49" s="561"/>
      <c r="G49" s="563"/>
      <c r="H49" s="564" t="s">
        <v>14</v>
      </c>
      <c r="I49" s="565"/>
      <c r="J49" s="565"/>
      <c r="K49" s="566"/>
      <c r="L49" s="567">
        <f ca="1">IFERROR(__xludf.DUMMYFUNCTION("IMPORTRANGE(""https://docs.google.com/spreadsheets/d/1-uDff_7J0KD5mKrp0Vvzr7lt3OU09vwQwhkpOPPYv2Y/edit?usp=sharing"",""งบพรบ!P21"")"),575700)</f>
        <v>575700</v>
      </c>
      <c r="M49" s="568">
        <f ca="1">IFERROR(__xludf.DUMMYFUNCTION("IMPORTRANGE(""https://docs.google.com/spreadsheets/d/1-uDff_7J0KD5mKrp0Vvzr7lt3OU09vwQwhkpOPPYv2Y/edit?usp=sharing"",""งบพรบ!V21"")"),576140)</f>
        <v>576140</v>
      </c>
      <c r="N49" s="568">
        <f ca="1">IFERROR(__xludf.DUMMYFUNCTION("IMPORTRANGE(""https://docs.google.com/spreadsheets/d/1-uDff_7J0KD5mKrp0Vvzr7lt3OU09vwQwhkpOPPYv2Y/edit?usp=sharing"",""งบพรบ!Y21"")"),369877)</f>
        <v>369877</v>
      </c>
      <c r="O49" s="568">
        <f t="shared" ca="1" si="18"/>
        <v>64.248219558797985</v>
      </c>
      <c r="P49" s="568">
        <f t="shared" ca="1" si="19"/>
        <v>64.19915298364981</v>
      </c>
      <c r="Q49" s="568">
        <v>0</v>
      </c>
      <c r="R49" s="568">
        <v>0</v>
      </c>
      <c r="S49" s="568">
        <v>0</v>
      </c>
      <c r="T49" s="568">
        <f t="shared" si="21"/>
        <v>0</v>
      </c>
      <c r="U49" s="568">
        <f t="shared" si="22"/>
        <v>0</v>
      </c>
    </row>
    <row r="50" spans="1:21" ht="18.75" x14ac:dyDescent="0.25">
      <c r="A50" s="560"/>
      <c r="B50" s="561"/>
      <c r="C50" s="561"/>
      <c r="D50" s="562" t="s">
        <v>23</v>
      </c>
      <c r="E50" s="561"/>
      <c r="F50" s="561"/>
      <c r="G50" s="563"/>
      <c r="H50" s="564" t="s">
        <v>14</v>
      </c>
      <c r="I50" s="565"/>
      <c r="J50" s="565"/>
      <c r="K50" s="566"/>
      <c r="L50" s="567">
        <f t="shared" ref="L50:N50" ca="1" si="27">L51+L52</f>
        <v>0</v>
      </c>
      <c r="M50" s="568">
        <f t="shared" ca="1" si="27"/>
        <v>0</v>
      </c>
      <c r="N50" s="568">
        <f t="shared" ca="1" si="27"/>
        <v>0</v>
      </c>
      <c r="O50" s="568">
        <f t="shared" ca="1" si="18"/>
        <v>0</v>
      </c>
      <c r="P50" s="568">
        <f t="shared" ca="1" si="19"/>
        <v>0</v>
      </c>
      <c r="Q50" s="568">
        <f t="shared" ref="Q50:S50" si="28">Q51+Q52</f>
        <v>0</v>
      </c>
      <c r="R50" s="568">
        <f t="shared" si="28"/>
        <v>0</v>
      </c>
      <c r="S50" s="568">
        <f t="shared" si="28"/>
        <v>0</v>
      </c>
      <c r="T50" s="568">
        <f t="shared" si="21"/>
        <v>0</v>
      </c>
      <c r="U50" s="568">
        <f t="shared" si="22"/>
        <v>0</v>
      </c>
    </row>
    <row r="51" spans="1:21" ht="18.75" x14ac:dyDescent="0.25">
      <c r="A51" s="560"/>
      <c r="B51" s="561"/>
      <c r="C51" s="561"/>
      <c r="D51" s="561"/>
      <c r="E51" s="569" t="s">
        <v>20</v>
      </c>
      <c r="F51" s="561"/>
      <c r="G51" s="563"/>
      <c r="H51" s="570" t="s">
        <v>14</v>
      </c>
      <c r="I51" s="565"/>
      <c r="J51" s="565"/>
      <c r="K51" s="566"/>
      <c r="L51" s="571">
        <v>0</v>
      </c>
      <c r="M51" s="572">
        <v>0</v>
      </c>
      <c r="N51" s="572">
        <v>0</v>
      </c>
      <c r="O51" s="572">
        <f t="shared" si="18"/>
        <v>0</v>
      </c>
      <c r="P51" s="572">
        <f t="shared" si="19"/>
        <v>0</v>
      </c>
      <c r="Q51" s="572">
        <v>0</v>
      </c>
      <c r="R51" s="572">
        <v>0</v>
      </c>
      <c r="S51" s="572">
        <v>0</v>
      </c>
      <c r="T51" s="572">
        <f t="shared" si="21"/>
        <v>0</v>
      </c>
      <c r="U51" s="572">
        <f t="shared" si="22"/>
        <v>0</v>
      </c>
    </row>
    <row r="52" spans="1:21" ht="18.75" x14ac:dyDescent="0.25">
      <c r="A52" s="560"/>
      <c r="B52" s="561"/>
      <c r="C52" s="561"/>
      <c r="D52" s="561"/>
      <c r="E52" s="573" t="s">
        <v>21</v>
      </c>
      <c r="F52" s="561"/>
      <c r="G52" s="563"/>
      <c r="H52" s="564" t="s">
        <v>14</v>
      </c>
      <c r="I52" s="565"/>
      <c r="J52" s="565"/>
      <c r="K52" s="566"/>
      <c r="L52" s="567">
        <f ca="1">IFERROR(__xludf.DUMMYFUNCTION("IMPORTRANGE(""https://docs.google.com/spreadsheets/d/1-uDff_7J0KD5mKrp0Vvzr7lt3OU09vwQwhkpOPPYv2Y/edit?usp=sharing"",""งบพรบ!S21"")"),0)</f>
        <v>0</v>
      </c>
      <c r="M52" s="568">
        <f ca="1">IFERROR(__xludf.DUMMYFUNCTION("IMPORTRANGE(""https://docs.google.com/spreadsheets/d/1-uDff_7J0KD5mKrp0Vvzr7lt3OU09vwQwhkpOPPYv2Y/edit?usp=sharing"",""งบพรบ!W21"")"),0)</f>
        <v>0</v>
      </c>
      <c r="N52" s="568">
        <f ca="1">IFERROR(__xludf.DUMMYFUNCTION("IMPORTRANGE(""https://docs.google.com/spreadsheets/d/1-uDff_7J0KD5mKrp0Vvzr7lt3OU09vwQwhkpOPPYv2Y/edit?usp=sharing"",""งบพรบ!Z21"")"),0)</f>
        <v>0</v>
      </c>
      <c r="O52" s="568">
        <f t="shared" ca="1" si="18"/>
        <v>0</v>
      </c>
      <c r="P52" s="568">
        <f t="shared" ca="1" si="19"/>
        <v>0</v>
      </c>
      <c r="Q52" s="568">
        <v>0</v>
      </c>
      <c r="R52" s="568">
        <v>0</v>
      </c>
      <c r="S52" s="568">
        <v>0</v>
      </c>
      <c r="T52" s="568">
        <f t="shared" si="21"/>
        <v>0</v>
      </c>
      <c r="U52" s="568">
        <f t="shared" si="22"/>
        <v>0</v>
      </c>
    </row>
    <row r="53" spans="1:21" ht="18.75" x14ac:dyDescent="0.25">
      <c r="A53" s="560"/>
      <c r="B53" s="561"/>
      <c r="C53" s="561"/>
      <c r="D53" s="562" t="s">
        <v>24</v>
      </c>
      <c r="E53" s="561"/>
      <c r="F53" s="561"/>
      <c r="G53" s="563"/>
      <c r="H53" s="564" t="s">
        <v>14</v>
      </c>
      <c r="I53" s="565"/>
      <c r="J53" s="565"/>
      <c r="K53" s="566"/>
      <c r="L53" s="574"/>
      <c r="M53" s="566"/>
      <c r="N53" s="566"/>
      <c r="O53" s="566"/>
      <c r="P53" s="566"/>
      <c r="Q53" s="566"/>
      <c r="R53" s="566"/>
      <c r="S53" s="566"/>
      <c r="T53" s="566"/>
      <c r="U53" s="566"/>
    </row>
    <row r="54" spans="1:21" ht="18.75" x14ac:dyDescent="0.25">
      <c r="A54" s="560"/>
      <c r="B54" s="561"/>
      <c r="C54" s="561"/>
      <c r="D54" s="561"/>
      <c r="E54" s="569" t="s">
        <v>20</v>
      </c>
      <c r="F54" s="561"/>
      <c r="G54" s="563"/>
      <c r="H54" s="570" t="s">
        <v>14</v>
      </c>
      <c r="I54" s="565"/>
      <c r="J54" s="565"/>
      <c r="K54" s="566"/>
      <c r="L54" s="574"/>
      <c r="M54" s="566"/>
      <c r="N54" s="566"/>
      <c r="O54" s="566"/>
      <c r="P54" s="566"/>
      <c r="Q54" s="566"/>
      <c r="R54" s="566"/>
      <c r="S54" s="566"/>
      <c r="T54" s="566"/>
      <c r="U54" s="566"/>
    </row>
    <row r="55" spans="1:21" ht="18.75" x14ac:dyDescent="0.25">
      <c r="A55" s="575"/>
      <c r="B55" s="513"/>
      <c r="C55" s="513"/>
      <c r="D55" s="513"/>
      <c r="E55" s="576" t="s">
        <v>21</v>
      </c>
      <c r="F55" s="513"/>
      <c r="G55" s="577"/>
      <c r="H55" s="578" t="s">
        <v>14</v>
      </c>
      <c r="I55" s="579"/>
      <c r="J55" s="579"/>
      <c r="K55" s="580"/>
      <c r="L55" s="581"/>
      <c r="M55" s="580"/>
      <c r="N55" s="580"/>
      <c r="O55" s="580"/>
      <c r="P55" s="580"/>
      <c r="Q55" s="580"/>
      <c r="R55" s="580"/>
      <c r="S55" s="580"/>
      <c r="T55" s="580"/>
      <c r="U55" s="580"/>
    </row>
    <row r="56" spans="1:21" ht="19.5" x14ac:dyDescent="0.3">
      <c r="A56" s="1319" t="s">
        <v>28</v>
      </c>
      <c r="B56" s="1314"/>
      <c r="C56" s="1314"/>
      <c r="D56" s="1314"/>
      <c r="E56" s="1314"/>
      <c r="F56" s="1314"/>
      <c r="G56" s="1317"/>
      <c r="H56" s="618"/>
      <c r="I56" s="619"/>
      <c r="J56" s="619"/>
      <c r="K56" s="620"/>
      <c r="L56" s="620"/>
      <c r="M56" s="620"/>
      <c r="N56" s="620"/>
      <c r="O56" s="620"/>
      <c r="P56" s="621"/>
      <c r="Q56" s="620"/>
      <c r="R56" s="620"/>
      <c r="S56" s="620"/>
      <c r="T56" s="620"/>
      <c r="U56" s="621"/>
    </row>
    <row r="57" spans="1:21" ht="19.5" x14ac:dyDescent="0.3">
      <c r="A57" s="622"/>
      <c r="B57" s="1320" t="s">
        <v>29</v>
      </c>
      <c r="C57" s="1311"/>
      <c r="D57" s="1311"/>
      <c r="E57" s="1311"/>
      <c r="F57" s="1311"/>
      <c r="G57" s="1312"/>
      <c r="H57" s="625"/>
      <c r="I57" s="626"/>
      <c r="J57" s="626"/>
      <c r="K57" s="627"/>
      <c r="L57" s="628"/>
      <c r="M57" s="627"/>
      <c r="N57" s="627"/>
      <c r="O57" s="627"/>
      <c r="P57" s="627"/>
      <c r="Q57" s="627"/>
      <c r="R57" s="627"/>
      <c r="S57" s="627"/>
      <c r="T57" s="627"/>
      <c r="U57" s="627"/>
    </row>
    <row r="58" spans="1:21" ht="19.5" x14ac:dyDescent="0.3">
      <c r="A58" s="629"/>
      <c r="B58" s="630" t="s">
        <v>30</v>
      </c>
      <c r="C58" s="631"/>
      <c r="D58" s="631"/>
      <c r="E58" s="631"/>
      <c r="F58" s="631"/>
      <c r="G58" s="632"/>
      <c r="H58" s="632"/>
      <c r="I58" s="633"/>
      <c r="J58" s="633"/>
      <c r="K58" s="634"/>
      <c r="L58" s="635"/>
      <c r="M58" s="634"/>
      <c r="N58" s="634"/>
      <c r="O58" s="634"/>
      <c r="P58" s="634"/>
      <c r="Q58" s="634"/>
      <c r="R58" s="634"/>
      <c r="S58" s="634"/>
      <c r="T58" s="634"/>
      <c r="U58" s="634"/>
    </row>
    <row r="59" spans="1:21" ht="19.5" x14ac:dyDescent="0.3">
      <c r="A59" s="636"/>
      <c r="B59" s="637"/>
      <c r="C59" s="638" t="s">
        <v>18</v>
      </c>
      <c r="D59" s="639" t="s">
        <v>19</v>
      </c>
      <c r="E59" s="637"/>
      <c r="F59" s="637"/>
      <c r="G59" s="640"/>
      <c r="H59" s="641" t="s">
        <v>14</v>
      </c>
      <c r="I59" s="642"/>
      <c r="J59" s="642"/>
      <c r="K59" s="643"/>
      <c r="L59" s="644">
        <f t="shared" ref="L59:N59" ca="1" si="29">L60+L61</f>
        <v>668600</v>
      </c>
      <c r="M59" s="645">
        <f t="shared" ca="1" si="29"/>
        <v>668600</v>
      </c>
      <c r="N59" s="645">
        <f t="shared" ca="1" si="29"/>
        <v>419614.17</v>
      </c>
      <c r="O59" s="645">
        <f t="shared" ref="O59:O67" ca="1" si="30">IF(L59&gt;0,N59*100/L59,0)</f>
        <v>62.760121148668858</v>
      </c>
      <c r="P59" s="645">
        <f t="shared" ref="P59:P67" ca="1" si="31">IF(M59&gt;0,N59*100/M59,0)</f>
        <v>62.760121148668858</v>
      </c>
      <c r="Q59" s="645">
        <f t="shared" ref="Q59:S59" si="32">Q60+Q61</f>
        <v>0</v>
      </c>
      <c r="R59" s="645">
        <f t="shared" si="32"/>
        <v>0</v>
      </c>
      <c r="S59" s="645">
        <f t="shared" si="32"/>
        <v>0</v>
      </c>
      <c r="T59" s="645">
        <f t="shared" ref="T59:T67" si="33">IF(Q59&gt;0,S59*100/Q59,0)</f>
        <v>0</v>
      </c>
      <c r="U59" s="645">
        <f t="shared" ref="U59:U67" si="34">IF(R59&gt;0,S59*100/R59,0)</f>
        <v>0</v>
      </c>
    </row>
    <row r="60" spans="1:21" ht="18.75" x14ac:dyDescent="0.25">
      <c r="A60" s="636"/>
      <c r="B60" s="637"/>
      <c r="C60" s="637"/>
      <c r="D60" s="637"/>
      <c r="E60" s="646" t="s">
        <v>20</v>
      </c>
      <c r="F60" s="637"/>
      <c r="G60" s="640"/>
      <c r="H60" s="647" t="s">
        <v>14</v>
      </c>
      <c r="I60" s="642"/>
      <c r="J60" s="642"/>
      <c r="K60" s="643"/>
      <c r="L60" s="648">
        <f t="shared" ref="L60:N61" si="35">L63+L66</f>
        <v>0</v>
      </c>
      <c r="M60" s="649">
        <f t="shared" si="35"/>
        <v>0</v>
      </c>
      <c r="N60" s="649">
        <f t="shared" si="35"/>
        <v>0</v>
      </c>
      <c r="O60" s="649">
        <f t="shared" si="30"/>
        <v>0</v>
      </c>
      <c r="P60" s="649">
        <f t="shared" si="31"/>
        <v>0</v>
      </c>
      <c r="Q60" s="649">
        <f t="shared" ref="Q60:S61" si="36">Q63+Q66</f>
        <v>0</v>
      </c>
      <c r="R60" s="649">
        <f t="shared" si="36"/>
        <v>0</v>
      </c>
      <c r="S60" s="649">
        <f t="shared" si="36"/>
        <v>0</v>
      </c>
      <c r="T60" s="649">
        <f t="shared" si="33"/>
        <v>0</v>
      </c>
      <c r="U60" s="649">
        <f t="shared" si="34"/>
        <v>0</v>
      </c>
    </row>
    <row r="61" spans="1:21" ht="18.75" x14ac:dyDescent="0.25">
      <c r="A61" s="636"/>
      <c r="B61" s="637"/>
      <c r="C61" s="637"/>
      <c r="D61" s="637"/>
      <c r="E61" s="650" t="s">
        <v>21</v>
      </c>
      <c r="F61" s="637"/>
      <c r="G61" s="640"/>
      <c r="H61" s="651" t="s">
        <v>14</v>
      </c>
      <c r="I61" s="642"/>
      <c r="J61" s="642"/>
      <c r="K61" s="643"/>
      <c r="L61" s="652">
        <f t="shared" ca="1" si="35"/>
        <v>668600</v>
      </c>
      <c r="M61" s="653">
        <f t="shared" ca="1" si="35"/>
        <v>668600</v>
      </c>
      <c r="N61" s="653">
        <f t="shared" ca="1" si="35"/>
        <v>419614.17</v>
      </c>
      <c r="O61" s="653">
        <f t="shared" ca="1" si="30"/>
        <v>62.760121148668858</v>
      </c>
      <c r="P61" s="653">
        <f t="shared" ca="1" si="31"/>
        <v>62.760121148668858</v>
      </c>
      <c r="Q61" s="653">
        <f t="shared" si="36"/>
        <v>0</v>
      </c>
      <c r="R61" s="653">
        <f t="shared" si="36"/>
        <v>0</v>
      </c>
      <c r="S61" s="653">
        <f t="shared" si="36"/>
        <v>0</v>
      </c>
      <c r="T61" s="653">
        <f t="shared" si="33"/>
        <v>0</v>
      </c>
      <c r="U61" s="653">
        <f t="shared" si="34"/>
        <v>0</v>
      </c>
    </row>
    <row r="62" spans="1:21" ht="18.75" x14ac:dyDescent="0.25">
      <c r="A62" s="560"/>
      <c r="B62" s="561"/>
      <c r="C62" s="561"/>
      <c r="D62" s="562" t="s">
        <v>22</v>
      </c>
      <c r="E62" s="561"/>
      <c r="F62" s="561"/>
      <c r="G62" s="563"/>
      <c r="H62" s="564" t="s">
        <v>14</v>
      </c>
      <c r="I62" s="565"/>
      <c r="J62" s="565"/>
      <c r="K62" s="566"/>
      <c r="L62" s="567">
        <f t="shared" ref="L62:N62" ca="1" si="37">L63+L64</f>
        <v>668600</v>
      </c>
      <c r="M62" s="568">
        <f t="shared" ca="1" si="37"/>
        <v>668600</v>
      </c>
      <c r="N62" s="568">
        <f t="shared" ca="1" si="37"/>
        <v>419614.17</v>
      </c>
      <c r="O62" s="568">
        <f t="shared" ca="1" si="30"/>
        <v>62.760121148668858</v>
      </c>
      <c r="P62" s="568">
        <f t="shared" ca="1" si="31"/>
        <v>62.760121148668858</v>
      </c>
      <c r="Q62" s="568">
        <f t="shared" ref="Q62:S62" si="38">Q63+Q64</f>
        <v>0</v>
      </c>
      <c r="R62" s="568">
        <f t="shared" si="38"/>
        <v>0</v>
      </c>
      <c r="S62" s="568">
        <f t="shared" si="38"/>
        <v>0</v>
      </c>
      <c r="T62" s="568">
        <f t="shared" si="33"/>
        <v>0</v>
      </c>
      <c r="U62" s="568">
        <f t="shared" si="34"/>
        <v>0</v>
      </c>
    </row>
    <row r="63" spans="1:21" ht="18.75" x14ac:dyDescent="0.25">
      <c r="A63" s="560"/>
      <c r="B63" s="561"/>
      <c r="C63" s="561"/>
      <c r="D63" s="561"/>
      <c r="E63" s="569" t="s">
        <v>20</v>
      </c>
      <c r="F63" s="561"/>
      <c r="G63" s="563"/>
      <c r="H63" s="570" t="s">
        <v>14</v>
      </c>
      <c r="I63" s="565"/>
      <c r="J63" s="565"/>
      <c r="K63" s="566"/>
      <c r="L63" s="571">
        <v>0</v>
      </c>
      <c r="M63" s="572">
        <v>0</v>
      </c>
      <c r="N63" s="572">
        <v>0</v>
      </c>
      <c r="O63" s="572">
        <f t="shared" si="30"/>
        <v>0</v>
      </c>
      <c r="P63" s="572">
        <f t="shared" si="31"/>
        <v>0</v>
      </c>
      <c r="Q63" s="572">
        <v>0</v>
      </c>
      <c r="R63" s="572">
        <v>0</v>
      </c>
      <c r="S63" s="572">
        <v>0</v>
      </c>
      <c r="T63" s="572">
        <f t="shared" si="33"/>
        <v>0</v>
      </c>
      <c r="U63" s="572">
        <f t="shared" si="34"/>
        <v>0</v>
      </c>
    </row>
    <row r="64" spans="1:21" ht="18.75" x14ac:dyDescent="0.25">
      <c r="A64" s="560"/>
      <c r="B64" s="561"/>
      <c r="C64" s="561"/>
      <c r="D64" s="561"/>
      <c r="E64" s="573" t="s">
        <v>21</v>
      </c>
      <c r="F64" s="561"/>
      <c r="G64" s="563"/>
      <c r="H64" s="564" t="s">
        <v>14</v>
      </c>
      <c r="I64" s="565"/>
      <c r="J64" s="565"/>
      <c r="K64" s="566"/>
      <c r="L64" s="567">
        <f ca="1">IFERROR(__xludf.DUMMYFUNCTION("IMPORTRANGE(""https://docs.google.com/spreadsheets/d/1-uDff_7J0KD5mKrp0Vvzr7lt3OU09vwQwhkpOPPYv2Y/edit?usp=sharing"",""งบพรบ!AC21"")"),668600)</f>
        <v>668600</v>
      </c>
      <c r="M64" s="568">
        <f ca="1">IFERROR(__xludf.DUMMYFUNCTION("IMPORTRANGE(""https://docs.google.com/spreadsheets/d/1-uDff_7J0KD5mKrp0Vvzr7lt3OU09vwQwhkpOPPYv2Y/edit?usp=sharing"",""งบพรบ!AH21"")"),668600)</f>
        <v>668600</v>
      </c>
      <c r="N64" s="568">
        <f ca="1">IFERROR(__xludf.DUMMYFUNCTION("IMPORTRANGE(""https://docs.google.com/spreadsheets/d/1-uDff_7J0KD5mKrp0Vvzr7lt3OU09vwQwhkpOPPYv2Y/edit?usp=sharing"",""งบพรบ!AJ21"")"),419614.17)</f>
        <v>419614.17</v>
      </c>
      <c r="O64" s="568">
        <f t="shared" ca="1" si="30"/>
        <v>62.760121148668858</v>
      </c>
      <c r="P64" s="568">
        <f t="shared" ca="1" si="31"/>
        <v>62.760121148668858</v>
      </c>
      <c r="Q64" s="568">
        <v>0</v>
      </c>
      <c r="R64" s="568">
        <v>0</v>
      </c>
      <c r="S64" s="568">
        <v>0</v>
      </c>
      <c r="T64" s="568">
        <f t="shared" si="33"/>
        <v>0</v>
      </c>
      <c r="U64" s="568">
        <f t="shared" si="34"/>
        <v>0</v>
      </c>
    </row>
    <row r="65" spans="1:21" ht="18.75" x14ac:dyDescent="0.25">
      <c r="A65" s="560"/>
      <c r="B65" s="561"/>
      <c r="C65" s="561"/>
      <c r="D65" s="562" t="s">
        <v>23</v>
      </c>
      <c r="E65" s="561"/>
      <c r="F65" s="561"/>
      <c r="G65" s="563"/>
      <c r="H65" s="564" t="s">
        <v>14</v>
      </c>
      <c r="I65" s="565"/>
      <c r="J65" s="565"/>
      <c r="K65" s="566"/>
      <c r="L65" s="567">
        <f t="shared" ref="L65:N65" ca="1" si="39">L66+L67</f>
        <v>0</v>
      </c>
      <c r="M65" s="568">
        <f t="shared" ca="1" si="39"/>
        <v>0</v>
      </c>
      <c r="N65" s="568">
        <f t="shared" ca="1" si="39"/>
        <v>0</v>
      </c>
      <c r="O65" s="568">
        <f t="shared" ca="1" si="30"/>
        <v>0</v>
      </c>
      <c r="P65" s="568">
        <f t="shared" ca="1" si="31"/>
        <v>0</v>
      </c>
      <c r="Q65" s="568">
        <f t="shared" ref="Q65:S65" si="40">Q66+Q67</f>
        <v>0</v>
      </c>
      <c r="R65" s="568">
        <f t="shared" si="40"/>
        <v>0</v>
      </c>
      <c r="S65" s="568">
        <f t="shared" si="40"/>
        <v>0</v>
      </c>
      <c r="T65" s="568">
        <f t="shared" si="33"/>
        <v>0</v>
      </c>
      <c r="U65" s="568">
        <f t="shared" si="34"/>
        <v>0</v>
      </c>
    </row>
    <row r="66" spans="1:21" ht="18.75" x14ac:dyDescent="0.25">
      <c r="A66" s="560"/>
      <c r="B66" s="561"/>
      <c r="C66" s="561"/>
      <c r="D66" s="561"/>
      <c r="E66" s="569" t="s">
        <v>20</v>
      </c>
      <c r="F66" s="561"/>
      <c r="G66" s="563"/>
      <c r="H66" s="570" t="s">
        <v>14</v>
      </c>
      <c r="I66" s="565"/>
      <c r="J66" s="565"/>
      <c r="K66" s="566"/>
      <c r="L66" s="571">
        <v>0</v>
      </c>
      <c r="M66" s="572">
        <v>0</v>
      </c>
      <c r="N66" s="572">
        <v>0</v>
      </c>
      <c r="O66" s="572">
        <f t="shared" si="30"/>
        <v>0</v>
      </c>
      <c r="P66" s="572">
        <f t="shared" si="31"/>
        <v>0</v>
      </c>
      <c r="Q66" s="572">
        <v>0</v>
      </c>
      <c r="R66" s="572">
        <v>0</v>
      </c>
      <c r="S66" s="572">
        <v>0</v>
      </c>
      <c r="T66" s="572">
        <f t="shared" si="33"/>
        <v>0</v>
      </c>
      <c r="U66" s="572">
        <f t="shared" si="34"/>
        <v>0</v>
      </c>
    </row>
    <row r="67" spans="1:21" ht="18.75" x14ac:dyDescent="0.25">
      <c r="A67" s="575"/>
      <c r="B67" s="513"/>
      <c r="C67" s="513"/>
      <c r="D67" s="513"/>
      <c r="E67" s="576" t="s">
        <v>21</v>
      </c>
      <c r="F67" s="513"/>
      <c r="G67" s="577"/>
      <c r="H67" s="578" t="s">
        <v>14</v>
      </c>
      <c r="I67" s="579"/>
      <c r="J67" s="579"/>
      <c r="K67" s="580"/>
      <c r="L67" s="654">
        <f ca="1">IFERROR(__xludf.DUMMYFUNCTION("IMPORTRANGE(""https://docs.google.com/spreadsheets/d/1-uDff_7J0KD5mKrp0Vvzr7lt3OU09vwQwhkpOPPYv2Y/edit?usp=sharing"",""งบพรบ!AF21"")"),0)</f>
        <v>0</v>
      </c>
      <c r="M67" s="655">
        <f ca="1">IFERROR(__xludf.DUMMYFUNCTION("IMPORTRANGE(""https://docs.google.com/spreadsheets/d/1-uDff_7J0KD5mKrp0Vvzr7lt3OU09vwQwhkpOPPYv2Y/edit?usp=sharing"",""งบพรบ!AI21"")"),0)</f>
        <v>0</v>
      </c>
      <c r="N67" s="655">
        <f ca="1">IFERROR(__xludf.DUMMYFUNCTION("IMPORTRANGE(""https://docs.google.com/spreadsheets/d/1-uDff_7J0KD5mKrp0Vvzr7lt3OU09vwQwhkpOPPYv2Y/edit?usp=sharing"",""งบพรบ!AK21"")"),0)</f>
        <v>0</v>
      </c>
      <c r="O67" s="655">
        <f t="shared" ca="1" si="30"/>
        <v>0</v>
      </c>
      <c r="P67" s="655">
        <f t="shared" ca="1" si="31"/>
        <v>0</v>
      </c>
      <c r="Q67" s="655">
        <v>0</v>
      </c>
      <c r="R67" s="655">
        <v>0</v>
      </c>
      <c r="S67" s="655">
        <v>0</v>
      </c>
      <c r="T67" s="655">
        <f t="shared" si="33"/>
        <v>0</v>
      </c>
      <c r="U67" s="655">
        <f t="shared" si="34"/>
        <v>0</v>
      </c>
    </row>
    <row r="68" spans="1:21" ht="19.5" x14ac:dyDescent="0.3">
      <c r="A68" s="656" t="s">
        <v>31</v>
      </c>
      <c r="B68" s="657"/>
      <c r="C68" s="657"/>
      <c r="D68" s="657"/>
      <c r="E68" s="658"/>
      <c r="F68" s="658"/>
      <c r="G68" s="658"/>
      <c r="H68" s="658"/>
      <c r="I68" s="659"/>
      <c r="J68" s="659"/>
      <c r="K68" s="660"/>
      <c r="L68" s="660"/>
      <c r="M68" s="660"/>
      <c r="N68" s="660"/>
      <c r="O68" s="660"/>
      <c r="P68" s="661"/>
      <c r="Q68" s="660"/>
      <c r="R68" s="660"/>
      <c r="S68" s="660"/>
      <c r="T68" s="660"/>
      <c r="U68" s="661"/>
    </row>
    <row r="69" spans="1:21" ht="19.5" hidden="1" x14ac:dyDescent="0.3">
      <c r="A69" s="662" t="s">
        <v>32</v>
      </c>
      <c r="B69" s="663"/>
      <c r="C69" s="664"/>
      <c r="D69" s="663"/>
      <c r="E69" s="663"/>
      <c r="F69" s="663"/>
      <c r="G69" s="665"/>
      <c r="H69" s="665"/>
      <c r="I69" s="666"/>
      <c r="J69" s="666"/>
      <c r="K69" s="667"/>
      <c r="L69" s="668"/>
      <c r="M69" s="667"/>
      <c r="N69" s="667"/>
      <c r="O69" s="667"/>
      <c r="P69" s="667"/>
      <c r="Q69" s="667"/>
      <c r="R69" s="667"/>
      <c r="S69" s="667"/>
      <c r="T69" s="667"/>
      <c r="U69" s="667"/>
    </row>
    <row r="70" spans="1:21" ht="19.5" hidden="1" x14ac:dyDescent="0.3">
      <c r="A70" s="669"/>
      <c r="B70" s="544" t="s">
        <v>33</v>
      </c>
      <c r="C70" s="543"/>
      <c r="D70" s="670"/>
      <c r="E70" s="543"/>
      <c r="F70" s="543"/>
      <c r="G70" s="546"/>
      <c r="H70" s="671" t="s">
        <v>34</v>
      </c>
      <c r="I70" s="672">
        <f t="shared" ref="I70:J71" ca="1" si="41">I82</f>
        <v>0</v>
      </c>
      <c r="J70" s="672">
        <f t="shared" si="41"/>
        <v>0</v>
      </c>
      <c r="K70" s="551">
        <f t="shared" ref="K70:K71" ca="1" si="42">IF(I70&gt;0,J70*100/I70,0)</f>
        <v>0</v>
      </c>
      <c r="L70" s="673"/>
      <c r="M70" s="549"/>
      <c r="N70" s="549"/>
      <c r="O70" s="549"/>
      <c r="P70" s="549"/>
      <c r="Q70" s="549"/>
      <c r="R70" s="549"/>
      <c r="S70" s="549"/>
      <c r="T70" s="549"/>
      <c r="U70" s="549"/>
    </row>
    <row r="71" spans="1:21" ht="19.5" hidden="1" x14ac:dyDescent="0.3">
      <c r="A71" s="669"/>
      <c r="B71" s="543"/>
      <c r="C71" s="543"/>
      <c r="D71" s="670"/>
      <c r="E71" s="543"/>
      <c r="F71" s="543"/>
      <c r="G71" s="546"/>
      <c r="H71" s="671" t="s">
        <v>35</v>
      </c>
      <c r="I71" s="672">
        <f t="shared" ca="1" si="41"/>
        <v>0</v>
      </c>
      <c r="J71" s="672">
        <f t="shared" si="41"/>
        <v>0</v>
      </c>
      <c r="K71" s="551">
        <f t="shared" ca="1" si="42"/>
        <v>0</v>
      </c>
      <c r="L71" s="673"/>
      <c r="M71" s="549"/>
      <c r="N71" s="549"/>
      <c r="O71" s="549"/>
      <c r="P71" s="549"/>
      <c r="Q71" s="549"/>
      <c r="R71" s="549"/>
      <c r="S71" s="549"/>
      <c r="T71" s="549"/>
      <c r="U71" s="549"/>
    </row>
    <row r="72" spans="1:21" ht="19.5" hidden="1" x14ac:dyDescent="0.3">
      <c r="A72" s="674"/>
      <c r="B72" s="561"/>
      <c r="C72" s="675" t="s">
        <v>18</v>
      </c>
      <c r="D72" s="676" t="s">
        <v>19</v>
      </c>
      <c r="E72" s="561"/>
      <c r="F72" s="561"/>
      <c r="G72" s="563"/>
      <c r="H72" s="677" t="s">
        <v>14</v>
      </c>
      <c r="I72" s="565"/>
      <c r="J72" s="565"/>
      <c r="K72" s="566"/>
      <c r="L72" s="678">
        <f t="shared" ref="L72:N72" ca="1" si="43">L73+L74</f>
        <v>0</v>
      </c>
      <c r="M72" s="679">
        <f t="shared" ca="1" si="43"/>
        <v>0</v>
      </c>
      <c r="N72" s="679">
        <f t="shared" ca="1" si="43"/>
        <v>0</v>
      </c>
      <c r="O72" s="679">
        <f t="shared" ref="O72:O80" ca="1" si="44">IF(L72&gt;0,N72*100/L72,0)</f>
        <v>0</v>
      </c>
      <c r="P72" s="679">
        <f t="shared" ref="P72:P80" ca="1" si="45">IF(M72&gt;0,N72*100/M72,0)</f>
        <v>0</v>
      </c>
      <c r="Q72" s="679">
        <f t="shared" ref="Q72:S72" ca="1" si="46">Q73+Q74</f>
        <v>0</v>
      </c>
      <c r="R72" s="679">
        <f t="shared" ca="1" si="46"/>
        <v>0</v>
      </c>
      <c r="S72" s="679">
        <f t="shared" ca="1" si="46"/>
        <v>0</v>
      </c>
      <c r="T72" s="679">
        <f t="shared" ref="T72:T80" ca="1" si="47">IF(Q72&gt;0,S72*100/Q72,0)</f>
        <v>0</v>
      </c>
      <c r="U72" s="679">
        <f t="shared" ref="U72:U80" ca="1" si="48">IF(R72&gt;0,S72*100/R72,0)</f>
        <v>0</v>
      </c>
    </row>
    <row r="73" spans="1:21" ht="18.75" hidden="1" x14ac:dyDescent="0.25">
      <c r="A73" s="674"/>
      <c r="B73" s="561"/>
      <c r="C73" s="561"/>
      <c r="D73" s="561"/>
      <c r="E73" s="569" t="s">
        <v>20</v>
      </c>
      <c r="F73" s="561"/>
      <c r="G73" s="563"/>
      <c r="H73" s="680" t="s">
        <v>14</v>
      </c>
      <c r="I73" s="565"/>
      <c r="J73" s="565"/>
      <c r="K73" s="566"/>
      <c r="L73" s="571">
        <f t="shared" ref="L73:N74" si="49">L76+L79</f>
        <v>0</v>
      </c>
      <c r="M73" s="572">
        <f t="shared" si="49"/>
        <v>0</v>
      </c>
      <c r="N73" s="572">
        <f t="shared" si="49"/>
        <v>0</v>
      </c>
      <c r="O73" s="572">
        <f t="shared" si="44"/>
        <v>0</v>
      </c>
      <c r="P73" s="572">
        <f t="shared" si="45"/>
        <v>0</v>
      </c>
      <c r="Q73" s="572">
        <f t="shared" ref="Q73:S74" si="50">Q76+Q79</f>
        <v>0</v>
      </c>
      <c r="R73" s="572">
        <f t="shared" si="50"/>
        <v>0</v>
      </c>
      <c r="S73" s="572">
        <f t="shared" si="50"/>
        <v>0</v>
      </c>
      <c r="T73" s="572">
        <f t="shared" si="47"/>
        <v>0</v>
      </c>
      <c r="U73" s="572">
        <f t="shared" si="48"/>
        <v>0</v>
      </c>
    </row>
    <row r="74" spans="1:21" ht="18.75" hidden="1" x14ac:dyDescent="0.25">
      <c r="A74" s="674"/>
      <c r="B74" s="561"/>
      <c r="C74" s="561"/>
      <c r="D74" s="561"/>
      <c r="E74" s="573" t="s">
        <v>21</v>
      </c>
      <c r="F74" s="561"/>
      <c r="G74" s="563"/>
      <c r="H74" s="681" t="s">
        <v>14</v>
      </c>
      <c r="I74" s="565"/>
      <c r="J74" s="565"/>
      <c r="K74" s="566"/>
      <c r="L74" s="567">
        <f t="shared" ca="1" si="49"/>
        <v>0</v>
      </c>
      <c r="M74" s="568">
        <f t="shared" ca="1" si="49"/>
        <v>0</v>
      </c>
      <c r="N74" s="568">
        <f t="shared" ca="1" si="49"/>
        <v>0</v>
      </c>
      <c r="O74" s="568">
        <f t="shared" ca="1" si="44"/>
        <v>0</v>
      </c>
      <c r="P74" s="568">
        <f t="shared" ca="1" si="45"/>
        <v>0</v>
      </c>
      <c r="Q74" s="568">
        <f t="shared" ca="1" si="50"/>
        <v>0</v>
      </c>
      <c r="R74" s="568">
        <f t="shared" ca="1" si="50"/>
        <v>0</v>
      </c>
      <c r="S74" s="568">
        <f t="shared" ca="1" si="50"/>
        <v>0</v>
      </c>
      <c r="T74" s="568">
        <f t="shared" ca="1" si="47"/>
        <v>0</v>
      </c>
      <c r="U74" s="568">
        <f t="shared" ca="1" si="48"/>
        <v>0</v>
      </c>
    </row>
    <row r="75" spans="1:21" ht="18.75" hidden="1" x14ac:dyDescent="0.25">
      <c r="A75" s="674"/>
      <c r="B75" s="561"/>
      <c r="C75" s="561"/>
      <c r="D75" s="562" t="s">
        <v>22</v>
      </c>
      <c r="E75" s="561"/>
      <c r="F75" s="561"/>
      <c r="G75" s="563"/>
      <c r="H75" s="682" t="s">
        <v>14</v>
      </c>
      <c r="I75" s="683"/>
      <c r="J75" s="683"/>
      <c r="K75" s="684"/>
      <c r="L75" s="567">
        <f t="shared" ref="L75:N75" ca="1" si="51">L76+L77</f>
        <v>0</v>
      </c>
      <c r="M75" s="568">
        <f t="shared" ca="1" si="51"/>
        <v>0</v>
      </c>
      <c r="N75" s="568">
        <f t="shared" ca="1" si="51"/>
        <v>0</v>
      </c>
      <c r="O75" s="568">
        <f t="shared" ca="1" si="44"/>
        <v>0</v>
      </c>
      <c r="P75" s="568">
        <f t="shared" ca="1" si="45"/>
        <v>0</v>
      </c>
      <c r="Q75" s="568">
        <f t="shared" ref="Q75:S75" ca="1" si="52">Q76+Q77</f>
        <v>0</v>
      </c>
      <c r="R75" s="568">
        <f t="shared" ca="1" si="52"/>
        <v>0</v>
      </c>
      <c r="S75" s="568">
        <f t="shared" ca="1" si="52"/>
        <v>0</v>
      </c>
      <c r="T75" s="568">
        <f t="shared" ca="1" si="47"/>
        <v>0</v>
      </c>
      <c r="U75" s="568">
        <f t="shared" ca="1" si="48"/>
        <v>0</v>
      </c>
    </row>
    <row r="76" spans="1:21" ht="18.75" hidden="1" x14ac:dyDescent="0.25">
      <c r="A76" s="674"/>
      <c r="B76" s="561"/>
      <c r="C76" s="561"/>
      <c r="D76" s="561"/>
      <c r="E76" s="569" t="s">
        <v>36</v>
      </c>
      <c r="F76" s="561"/>
      <c r="G76" s="563"/>
      <c r="H76" s="685" t="s">
        <v>14</v>
      </c>
      <c r="I76" s="683"/>
      <c r="J76" s="683"/>
      <c r="K76" s="684"/>
      <c r="L76" s="571">
        <v>0</v>
      </c>
      <c r="M76" s="572">
        <v>0</v>
      </c>
      <c r="N76" s="572">
        <v>0</v>
      </c>
      <c r="O76" s="572">
        <f t="shared" si="44"/>
        <v>0</v>
      </c>
      <c r="P76" s="572">
        <f t="shared" si="45"/>
        <v>0</v>
      </c>
      <c r="Q76" s="572">
        <v>0</v>
      </c>
      <c r="R76" s="572">
        <v>0</v>
      </c>
      <c r="S76" s="572">
        <v>0</v>
      </c>
      <c r="T76" s="572">
        <f t="shared" si="47"/>
        <v>0</v>
      </c>
      <c r="U76" s="572">
        <f t="shared" si="48"/>
        <v>0</v>
      </c>
    </row>
    <row r="77" spans="1:21" ht="18.75" hidden="1" x14ac:dyDescent="0.25">
      <c r="A77" s="674"/>
      <c r="B77" s="561"/>
      <c r="C77" s="561"/>
      <c r="D77" s="561"/>
      <c r="E77" s="573" t="s">
        <v>37</v>
      </c>
      <c r="F77" s="561"/>
      <c r="G77" s="563"/>
      <c r="H77" s="682" t="s">
        <v>14</v>
      </c>
      <c r="I77" s="683"/>
      <c r="J77" s="683"/>
      <c r="K77" s="684"/>
      <c r="L77" s="567">
        <f ca="1">IFERROR(__xludf.DUMMYFUNCTION("IMPORTRANGE(""https://docs.google.com/spreadsheets/d/1-uDff_7J0KD5mKrp0Vvzr7lt3OU09vwQwhkpOPPYv2Y/edit?usp=sharing"",""งบพรบ!AM21"")"),0)</f>
        <v>0</v>
      </c>
      <c r="M77" s="568">
        <f ca="1">IFERROR(__xludf.DUMMYFUNCTION("IMPORTRANGE(""https://docs.google.com/spreadsheets/d/1-uDff_7J0KD5mKrp0Vvzr7lt3OU09vwQwhkpOPPYv2Y/edit?usp=sharing"",""งบพรบ!AR21"")"),0)</f>
        <v>0</v>
      </c>
      <c r="N77" s="568">
        <f ca="1">IFERROR(__xludf.DUMMYFUNCTION("IMPORTRANGE(""https://docs.google.com/spreadsheets/d/1-uDff_7J0KD5mKrp0Vvzr7lt3OU09vwQwhkpOPPYv2Y/edit?usp=sharing"",""งบพรบ!AT21"")"),0)</f>
        <v>0</v>
      </c>
      <c r="O77" s="568">
        <f t="shared" ca="1" si="44"/>
        <v>0</v>
      </c>
      <c r="P77" s="568">
        <f t="shared" ca="1" si="45"/>
        <v>0</v>
      </c>
      <c r="Q77" s="568">
        <f ca="1">IFERROR(__xludf.DUMMYFUNCTION("IMPORTRANGE(""https://docs.google.com/spreadsheets/d/1ItG2mGa2ceCfYo0BwxsXqNm01IGEUdYcSSLTEv9YCik/edit?usp=sharing"",""เบิกจ่ายกองทุน!BH21"")"),0)</f>
        <v>0</v>
      </c>
      <c r="R77" s="568">
        <f ca="1">IFERROR(__xludf.DUMMYFUNCTION("IMPORTRANGE(""https://docs.google.com/spreadsheets/d/1ItG2mGa2ceCfYo0BwxsXqNm01IGEUdYcSSLTEv9YCik/edit?usp=sharing"",""เบิกจ่ายกองทุน!BI21"")"),0)</f>
        <v>0</v>
      </c>
      <c r="S77" s="568">
        <f ca="1">IFERROR(__xludf.DUMMYFUNCTION("IMPORTRANGE(""https://docs.google.com/spreadsheets/d/1ItG2mGa2ceCfYo0BwxsXqNm01IGEUdYcSSLTEv9YCik/edit?usp=sharing"",""เบิกจ่ายกองทุน!BJ21"")"),0)</f>
        <v>0</v>
      </c>
      <c r="T77" s="568">
        <f t="shared" ca="1" si="47"/>
        <v>0</v>
      </c>
      <c r="U77" s="568">
        <f t="shared" ca="1" si="48"/>
        <v>0</v>
      </c>
    </row>
    <row r="78" spans="1:21" ht="18.75" hidden="1" x14ac:dyDescent="0.25">
      <c r="A78" s="674"/>
      <c r="B78" s="561"/>
      <c r="C78" s="561"/>
      <c r="D78" s="562" t="s">
        <v>23</v>
      </c>
      <c r="E78" s="561"/>
      <c r="F78" s="561"/>
      <c r="G78" s="563"/>
      <c r="H78" s="686" t="s">
        <v>14</v>
      </c>
      <c r="I78" s="683"/>
      <c r="J78" s="683"/>
      <c r="K78" s="684"/>
      <c r="L78" s="567">
        <f t="shared" ref="L78:N78" ca="1" si="53">L79+L80</f>
        <v>0</v>
      </c>
      <c r="M78" s="568">
        <f t="shared" ca="1" si="53"/>
        <v>0</v>
      </c>
      <c r="N78" s="568">
        <f t="shared" ca="1" si="53"/>
        <v>0</v>
      </c>
      <c r="O78" s="568">
        <f t="shared" ca="1" si="44"/>
        <v>0</v>
      </c>
      <c r="P78" s="568">
        <f t="shared" ca="1" si="45"/>
        <v>0</v>
      </c>
      <c r="Q78" s="568">
        <f t="shared" ref="Q78:S78" ca="1" si="54">Q79+Q80</f>
        <v>0</v>
      </c>
      <c r="R78" s="568">
        <f t="shared" ca="1" si="54"/>
        <v>0</v>
      </c>
      <c r="S78" s="568">
        <f t="shared" ca="1" si="54"/>
        <v>0</v>
      </c>
      <c r="T78" s="568">
        <f t="shared" ca="1" si="47"/>
        <v>0</v>
      </c>
      <c r="U78" s="568">
        <f t="shared" ca="1" si="48"/>
        <v>0</v>
      </c>
    </row>
    <row r="79" spans="1:21" ht="18.75" hidden="1" x14ac:dyDescent="0.25">
      <c r="A79" s="674"/>
      <c r="B79" s="561"/>
      <c r="C79" s="561"/>
      <c r="D79" s="561"/>
      <c r="E79" s="569" t="s">
        <v>20</v>
      </c>
      <c r="F79" s="561"/>
      <c r="G79" s="563"/>
      <c r="H79" s="685" t="s">
        <v>14</v>
      </c>
      <c r="I79" s="683"/>
      <c r="J79" s="683"/>
      <c r="K79" s="684"/>
      <c r="L79" s="571">
        <v>0</v>
      </c>
      <c r="M79" s="568">
        <v>0</v>
      </c>
      <c r="N79" s="568">
        <v>0</v>
      </c>
      <c r="O79" s="572">
        <f t="shared" si="44"/>
        <v>0</v>
      </c>
      <c r="P79" s="572">
        <f t="shared" si="45"/>
        <v>0</v>
      </c>
      <c r="Q79" s="572">
        <v>0</v>
      </c>
      <c r="R79" s="568">
        <v>0</v>
      </c>
      <c r="S79" s="568">
        <v>0</v>
      </c>
      <c r="T79" s="572">
        <f t="shared" si="47"/>
        <v>0</v>
      </c>
      <c r="U79" s="572">
        <f t="shared" si="48"/>
        <v>0</v>
      </c>
    </row>
    <row r="80" spans="1:21" ht="18.75" hidden="1" x14ac:dyDescent="0.25">
      <c r="A80" s="674"/>
      <c r="B80" s="561"/>
      <c r="C80" s="561"/>
      <c r="D80" s="561"/>
      <c r="E80" s="573" t="s">
        <v>21</v>
      </c>
      <c r="F80" s="561"/>
      <c r="G80" s="563"/>
      <c r="H80" s="686" t="s">
        <v>14</v>
      </c>
      <c r="I80" s="683"/>
      <c r="J80" s="683"/>
      <c r="K80" s="684"/>
      <c r="L80" s="567">
        <f ca="1">IFERROR(__xludf.DUMMYFUNCTION("IMPORTRANGE(""https://docs.google.com/spreadsheets/d/1-uDff_7J0KD5mKrp0Vvzr7lt3OU09vwQwhkpOPPYv2Y/edit?usp=sharing"",""งบพรบ!AP21"")"),0)</f>
        <v>0</v>
      </c>
      <c r="M80" s="568">
        <f ca="1">IFERROR(__xludf.DUMMYFUNCTION("IMPORTRANGE(""https://docs.google.com/spreadsheets/d/1-uDff_7J0KD5mKrp0Vvzr7lt3OU09vwQwhkpOPPYv2Y/edit?usp=sharing"",""งบพรบ!AS21"")"),0)</f>
        <v>0</v>
      </c>
      <c r="N80" s="568">
        <f ca="1">IFERROR(__xludf.DUMMYFUNCTION("IMPORTRANGE(""https://docs.google.com/spreadsheets/d/1-uDff_7J0KD5mKrp0Vvzr7lt3OU09vwQwhkpOPPYv2Y/edit?usp=sharing"",""งบพรบ!AU21"")"),0)</f>
        <v>0</v>
      </c>
      <c r="O80" s="568">
        <f t="shared" ca="1" si="44"/>
        <v>0</v>
      </c>
      <c r="P80" s="568">
        <f t="shared" ca="1" si="45"/>
        <v>0</v>
      </c>
      <c r="Q80" s="568">
        <f ca="1">IFERROR(__xludf.DUMMYFUNCTION("IMPORTRANGE(""https://docs.google.com/spreadsheets/d/1ItG2mGa2ceCfYo0BwxsXqNm01IGEUdYcSSLTEv9YCik/edit?usp=sharing"",""เบิกจ่ายกองทุน!BK21"")"),0)</f>
        <v>0</v>
      </c>
      <c r="R80" s="568">
        <f ca="1">IFERROR(__xludf.DUMMYFUNCTION("IMPORTRANGE(""https://docs.google.com/spreadsheets/d/1ItG2mGa2ceCfYo0BwxsXqNm01IGEUdYcSSLTEv9YCik/edit?usp=sharing"",""เบิกจ่ายกองทุน!BL21"")"),0)</f>
        <v>0</v>
      </c>
      <c r="S80" s="568">
        <f ca="1">IFERROR(__xludf.DUMMYFUNCTION("IMPORTRANGE(""https://docs.google.com/spreadsheets/d/1ItG2mGa2ceCfYo0BwxsXqNm01IGEUdYcSSLTEv9YCik/edit?usp=sharing"",""เบิกจ่ายกองทุน!BM21"")"),0)</f>
        <v>0</v>
      </c>
      <c r="T80" s="568">
        <f t="shared" ca="1" si="47"/>
        <v>0</v>
      </c>
      <c r="U80" s="568">
        <f t="shared" ca="1" si="48"/>
        <v>0</v>
      </c>
    </row>
    <row r="81" spans="1:21" ht="19.5" hidden="1" x14ac:dyDescent="0.3">
      <c r="A81" s="687"/>
      <c r="B81" s="688"/>
      <c r="C81" s="675" t="s">
        <v>18</v>
      </c>
      <c r="D81" s="689" t="s">
        <v>38</v>
      </c>
      <c r="E81" s="690"/>
      <c r="F81" s="690"/>
      <c r="G81" s="691"/>
      <c r="H81" s="692"/>
      <c r="I81" s="683"/>
      <c r="J81" s="683"/>
      <c r="K81" s="684"/>
      <c r="L81" s="693"/>
      <c r="M81" s="684"/>
      <c r="N81" s="684"/>
      <c r="O81" s="684"/>
      <c r="P81" s="684"/>
      <c r="Q81" s="684"/>
      <c r="R81" s="684"/>
      <c r="S81" s="684"/>
      <c r="T81" s="684"/>
      <c r="U81" s="684"/>
    </row>
    <row r="82" spans="1:21" ht="19.5" hidden="1" x14ac:dyDescent="0.3">
      <c r="A82" s="687"/>
      <c r="B82" s="688"/>
      <c r="C82" s="688"/>
      <c r="D82" s="694" t="s">
        <v>39</v>
      </c>
      <c r="E82" s="695"/>
      <c r="F82" s="695"/>
      <c r="G82" s="692"/>
      <c r="H82" s="696" t="s">
        <v>34</v>
      </c>
      <c r="I82" s="697">
        <f t="shared" ref="I82:J83" ca="1" si="55">I84+I86+I88</f>
        <v>0</v>
      </c>
      <c r="J82" s="697">
        <f t="shared" si="55"/>
        <v>0</v>
      </c>
      <c r="K82" s="698">
        <f t="shared" ref="K82:K90" ca="1" si="56">IF(I82&gt;0,J82*100/I82,0)</f>
        <v>0</v>
      </c>
      <c r="L82" s="693"/>
      <c r="M82" s="684"/>
      <c r="N82" s="684"/>
      <c r="O82" s="684"/>
      <c r="P82" s="684"/>
      <c r="Q82" s="684"/>
      <c r="R82" s="684"/>
      <c r="S82" s="684"/>
      <c r="T82" s="684"/>
      <c r="U82" s="684"/>
    </row>
    <row r="83" spans="1:21" ht="19.5" hidden="1" x14ac:dyDescent="0.3">
      <c r="A83" s="687"/>
      <c r="B83" s="688"/>
      <c r="C83" s="688"/>
      <c r="D83" s="688"/>
      <c r="E83" s="695"/>
      <c r="F83" s="695"/>
      <c r="G83" s="692"/>
      <c r="H83" s="696" t="s">
        <v>35</v>
      </c>
      <c r="I83" s="697">
        <f t="shared" ca="1" si="55"/>
        <v>0</v>
      </c>
      <c r="J83" s="697">
        <f t="shared" si="55"/>
        <v>0</v>
      </c>
      <c r="K83" s="698">
        <f t="shared" ca="1" si="56"/>
        <v>0</v>
      </c>
      <c r="L83" s="693"/>
      <c r="M83" s="684"/>
      <c r="N83" s="684"/>
      <c r="O83" s="684"/>
      <c r="P83" s="684"/>
      <c r="Q83" s="684"/>
      <c r="R83" s="684"/>
      <c r="S83" s="684"/>
      <c r="T83" s="684"/>
      <c r="U83" s="684"/>
    </row>
    <row r="84" spans="1:21" ht="18.75" hidden="1" x14ac:dyDescent="0.25">
      <c r="A84" s="687"/>
      <c r="B84" s="688"/>
      <c r="C84" s="688"/>
      <c r="D84" s="688"/>
      <c r="E84" s="699" t="s">
        <v>40</v>
      </c>
      <c r="F84" s="695"/>
      <c r="G84" s="692"/>
      <c r="H84" s="700" t="s">
        <v>34</v>
      </c>
      <c r="I84" s="701">
        <f ca="1">IFERROR(__xludf.DUMMYFUNCTION("IMPORTRANGE(""https://docs.google.com/spreadsheets/d/1eHaY18a8A9IcSdp1K8H6x8fbOy06t2VsZHhMHf-1x7Y/edit?usp=sharing"",""แผน!H21"")"),0)</f>
        <v>0</v>
      </c>
      <c r="J84" s="702">
        <v>0</v>
      </c>
      <c r="K84" s="703">
        <f t="shared" ca="1" si="56"/>
        <v>0</v>
      </c>
      <c r="L84" s="693"/>
      <c r="M84" s="684"/>
      <c r="N84" s="684"/>
      <c r="O84" s="684"/>
      <c r="P84" s="684"/>
      <c r="Q84" s="684"/>
      <c r="R84" s="684"/>
      <c r="S84" s="684"/>
      <c r="T84" s="684"/>
      <c r="U84" s="684"/>
    </row>
    <row r="85" spans="1:21" ht="18.75" hidden="1" x14ac:dyDescent="0.25">
      <c r="A85" s="687"/>
      <c r="B85" s="688"/>
      <c r="C85" s="688"/>
      <c r="D85" s="688"/>
      <c r="E85" s="695"/>
      <c r="F85" s="695"/>
      <c r="G85" s="692"/>
      <c r="H85" s="700" t="s">
        <v>35</v>
      </c>
      <c r="I85" s="701">
        <f ca="1">IFERROR(__xludf.DUMMYFUNCTION("IMPORTRANGE(""https://docs.google.com/spreadsheets/d/1eHaY18a8A9IcSdp1K8H6x8fbOy06t2VsZHhMHf-1x7Y/edit?usp=sharing"",""แผน!I21"")"),0)</f>
        <v>0</v>
      </c>
      <c r="J85" s="702">
        <v>0</v>
      </c>
      <c r="K85" s="703">
        <f t="shared" ca="1" si="56"/>
        <v>0</v>
      </c>
      <c r="L85" s="693"/>
      <c r="M85" s="684"/>
      <c r="N85" s="684"/>
      <c r="O85" s="684"/>
      <c r="P85" s="684"/>
      <c r="Q85" s="684"/>
      <c r="R85" s="684"/>
      <c r="S85" s="684"/>
      <c r="T85" s="684"/>
      <c r="U85" s="684"/>
    </row>
    <row r="86" spans="1:21" ht="18.75" hidden="1" x14ac:dyDescent="0.25">
      <c r="A86" s="687"/>
      <c r="B86" s="688"/>
      <c r="C86" s="688"/>
      <c r="D86" s="688"/>
      <c r="E86" s="699" t="s">
        <v>41</v>
      </c>
      <c r="F86" s="695"/>
      <c r="G86" s="692"/>
      <c r="H86" s="700" t="s">
        <v>34</v>
      </c>
      <c r="I86" s="701">
        <f ca="1">IFERROR(__xludf.DUMMYFUNCTION("IMPORTRANGE(""https://docs.google.com/spreadsheets/d/1eHaY18a8A9IcSdp1K8H6x8fbOy06t2VsZHhMHf-1x7Y/edit?usp=sharing"",""แผน!F21"")"),0)</f>
        <v>0</v>
      </c>
      <c r="J86" s="702">
        <v>0</v>
      </c>
      <c r="K86" s="703">
        <f t="shared" ca="1" si="56"/>
        <v>0</v>
      </c>
      <c r="L86" s="693"/>
      <c r="M86" s="684"/>
      <c r="N86" s="684"/>
      <c r="O86" s="684"/>
      <c r="P86" s="684"/>
      <c r="Q86" s="684"/>
      <c r="R86" s="684"/>
      <c r="S86" s="684"/>
      <c r="T86" s="684"/>
      <c r="U86" s="684"/>
    </row>
    <row r="87" spans="1:21" ht="18.75" hidden="1" x14ac:dyDescent="0.25">
      <c r="A87" s="687"/>
      <c r="B87" s="688"/>
      <c r="C87" s="688"/>
      <c r="D87" s="688"/>
      <c r="E87" s="695"/>
      <c r="F87" s="695"/>
      <c r="G87" s="692"/>
      <c r="H87" s="700" t="s">
        <v>35</v>
      </c>
      <c r="I87" s="701">
        <f ca="1">IFERROR(__xludf.DUMMYFUNCTION("IMPORTRANGE(""https://docs.google.com/spreadsheets/d/1eHaY18a8A9IcSdp1K8H6x8fbOy06t2VsZHhMHf-1x7Y/edit?usp=sharing"",""แผน!G21"")"),0)</f>
        <v>0</v>
      </c>
      <c r="J87" s="702">
        <v>0</v>
      </c>
      <c r="K87" s="703">
        <f t="shared" ca="1" si="56"/>
        <v>0</v>
      </c>
      <c r="L87" s="693"/>
      <c r="M87" s="684"/>
      <c r="N87" s="684"/>
      <c r="O87" s="684"/>
      <c r="P87" s="684"/>
      <c r="Q87" s="684"/>
      <c r="R87" s="684"/>
      <c r="S87" s="684"/>
      <c r="T87" s="684"/>
      <c r="U87" s="684"/>
    </row>
    <row r="88" spans="1:21" ht="18.75" hidden="1" x14ac:dyDescent="0.25">
      <c r="A88" s="687"/>
      <c r="B88" s="688"/>
      <c r="C88" s="688"/>
      <c r="D88" s="688"/>
      <c r="E88" s="699" t="s">
        <v>42</v>
      </c>
      <c r="F88" s="695"/>
      <c r="G88" s="692"/>
      <c r="H88" s="700" t="s">
        <v>34</v>
      </c>
      <c r="I88" s="701">
        <f ca="1">IFERROR(__xludf.DUMMYFUNCTION("IMPORTRANGE(""https://docs.google.com/spreadsheets/d/1eHaY18a8A9IcSdp1K8H6x8fbOy06t2VsZHhMHf-1x7Y/edit?usp=sharing"",""แผน!D21"")"),0)</f>
        <v>0</v>
      </c>
      <c r="J88" s="702">
        <v>0</v>
      </c>
      <c r="K88" s="703">
        <f t="shared" ca="1" si="56"/>
        <v>0</v>
      </c>
      <c r="L88" s="693"/>
      <c r="M88" s="684"/>
      <c r="N88" s="684"/>
      <c r="O88" s="684"/>
      <c r="P88" s="684"/>
      <c r="Q88" s="684"/>
      <c r="R88" s="684"/>
      <c r="S88" s="684"/>
      <c r="T88" s="684"/>
      <c r="U88" s="684"/>
    </row>
    <row r="89" spans="1:21" ht="18.75" hidden="1" x14ac:dyDescent="0.25">
      <c r="A89" s="687"/>
      <c r="B89" s="688"/>
      <c r="C89" s="688"/>
      <c r="D89" s="688"/>
      <c r="E89" s="695"/>
      <c r="F89" s="695"/>
      <c r="G89" s="692"/>
      <c r="H89" s="700" t="s">
        <v>35</v>
      </c>
      <c r="I89" s="701">
        <f ca="1">IFERROR(__xludf.DUMMYFUNCTION("IMPORTRANGE(""https://docs.google.com/spreadsheets/d/1eHaY18a8A9IcSdp1K8H6x8fbOy06t2VsZHhMHf-1x7Y/edit?usp=sharing"",""แผน!E21"")"),0)</f>
        <v>0</v>
      </c>
      <c r="J89" s="702">
        <v>0</v>
      </c>
      <c r="K89" s="703">
        <f t="shared" ca="1" si="56"/>
        <v>0</v>
      </c>
      <c r="L89" s="693"/>
      <c r="M89" s="684"/>
      <c r="N89" s="684"/>
      <c r="O89" s="684"/>
      <c r="P89" s="684"/>
      <c r="Q89" s="684"/>
      <c r="R89" s="684"/>
      <c r="S89" s="684"/>
      <c r="T89" s="684"/>
      <c r="U89" s="684"/>
    </row>
    <row r="90" spans="1:21" ht="18.75" hidden="1" x14ac:dyDescent="0.25">
      <c r="A90" s="687"/>
      <c r="B90" s="688"/>
      <c r="C90" s="688"/>
      <c r="D90" s="694" t="s">
        <v>43</v>
      </c>
      <c r="E90" s="695"/>
      <c r="F90" s="695"/>
      <c r="G90" s="692"/>
      <c r="H90" s="704" t="s">
        <v>34</v>
      </c>
      <c r="I90" s="701">
        <f ca="1">IFERROR(__xludf.DUMMYFUNCTION("IMPORTRANGE(""https://docs.google.com/spreadsheets/d/1eHaY18a8A9IcSdp1K8H6x8fbOy06t2VsZHhMHf-1x7Y/edit?usp=sharing"",""แผน!J21"")"),0)</f>
        <v>0</v>
      </c>
      <c r="J90" s="702">
        <v>0</v>
      </c>
      <c r="K90" s="703">
        <f t="shared" ca="1" si="56"/>
        <v>0</v>
      </c>
      <c r="L90" s="693"/>
      <c r="M90" s="684"/>
      <c r="N90" s="684"/>
      <c r="O90" s="684"/>
      <c r="P90" s="684"/>
      <c r="Q90" s="684"/>
      <c r="R90" s="684"/>
      <c r="S90" s="684"/>
      <c r="T90" s="684"/>
      <c r="U90" s="684"/>
    </row>
    <row r="91" spans="1:21" ht="19.5" x14ac:dyDescent="0.3">
      <c r="A91" s="662" t="s">
        <v>44</v>
      </c>
      <c r="B91" s="663"/>
      <c r="C91" s="664"/>
      <c r="D91" s="663"/>
      <c r="E91" s="663"/>
      <c r="F91" s="663"/>
      <c r="G91" s="665"/>
      <c r="H91" s="665"/>
      <c r="I91" s="666"/>
      <c r="J91" s="666"/>
      <c r="K91" s="667"/>
      <c r="L91" s="668"/>
      <c r="M91" s="667"/>
      <c r="N91" s="667"/>
      <c r="O91" s="667"/>
      <c r="P91" s="667"/>
      <c r="Q91" s="667"/>
      <c r="R91" s="667"/>
      <c r="S91" s="667"/>
      <c r="T91" s="667"/>
      <c r="U91" s="667"/>
    </row>
    <row r="92" spans="1:21" ht="19.5" x14ac:dyDescent="0.3">
      <c r="A92" s="669"/>
      <c r="B92" s="544" t="s">
        <v>45</v>
      </c>
      <c r="C92" s="543"/>
      <c r="D92" s="670"/>
      <c r="E92" s="543"/>
      <c r="F92" s="543"/>
      <c r="G92" s="546"/>
      <c r="H92" s="671" t="s">
        <v>46</v>
      </c>
      <c r="I92" s="672">
        <f t="shared" ref="I92:J93" ca="1" si="57">I108</f>
        <v>30</v>
      </c>
      <c r="J92" s="672">
        <f t="shared" si="57"/>
        <v>0</v>
      </c>
      <c r="K92" s="551">
        <f t="shared" ref="K92:K93" ca="1" si="58">IF(I92&gt;0,J92*100/I92,0)</f>
        <v>0</v>
      </c>
      <c r="L92" s="673"/>
      <c r="M92" s="549"/>
      <c r="N92" s="549"/>
      <c r="O92" s="549"/>
      <c r="P92" s="549"/>
      <c r="Q92" s="549"/>
      <c r="R92" s="549"/>
      <c r="S92" s="549"/>
      <c r="T92" s="549"/>
      <c r="U92" s="549"/>
    </row>
    <row r="93" spans="1:21" ht="19.5" x14ac:dyDescent="0.3">
      <c r="A93" s="669"/>
      <c r="B93" s="543"/>
      <c r="C93" s="543"/>
      <c r="D93" s="670"/>
      <c r="E93" s="543"/>
      <c r="F93" s="543"/>
      <c r="G93" s="546"/>
      <c r="H93" s="671" t="s">
        <v>35</v>
      </c>
      <c r="I93" s="672">
        <f t="shared" ca="1" si="57"/>
        <v>10</v>
      </c>
      <c r="J93" s="672">
        <f t="shared" si="57"/>
        <v>0</v>
      </c>
      <c r="K93" s="551">
        <f t="shared" ca="1" si="58"/>
        <v>0</v>
      </c>
      <c r="L93" s="673"/>
      <c r="M93" s="549"/>
      <c r="N93" s="549"/>
      <c r="O93" s="549"/>
      <c r="P93" s="549"/>
      <c r="Q93" s="549"/>
      <c r="R93" s="549"/>
      <c r="S93" s="549"/>
      <c r="T93" s="549"/>
      <c r="U93" s="549"/>
    </row>
    <row r="94" spans="1:21" ht="19.5" x14ac:dyDescent="0.3">
      <c r="A94" s="674"/>
      <c r="B94" s="561"/>
      <c r="C94" s="675" t="s">
        <v>18</v>
      </c>
      <c r="D94" s="676" t="s">
        <v>19</v>
      </c>
      <c r="E94" s="561"/>
      <c r="F94" s="561"/>
      <c r="G94" s="563"/>
      <c r="H94" s="677" t="s">
        <v>14</v>
      </c>
      <c r="I94" s="565"/>
      <c r="J94" s="565"/>
      <c r="K94" s="566"/>
      <c r="L94" s="678">
        <f t="shared" ref="L94:N94" ca="1" si="59">L95+L96</f>
        <v>0</v>
      </c>
      <c r="M94" s="679">
        <f t="shared" ca="1" si="59"/>
        <v>0</v>
      </c>
      <c r="N94" s="679">
        <f t="shared" ca="1" si="59"/>
        <v>0</v>
      </c>
      <c r="O94" s="679">
        <f t="shared" ref="O94:O102" ca="1" si="60">IF(L94&gt;0,N94*100/L94,0)</f>
        <v>0</v>
      </c>
      <c r="P94" s="679">
        <f t="shared" ref="P94:P102" ca="1" si="61">IF(M94&gt;0,N94*100/M94,0)</f>
        <v>0</v>
      </c>
      <c r="Q94" s="679">
        <f t="shared" ref="Q94:S94" ca="1" si="62">Q95+Q96</f>
        <v>84420</v>
      </c>
      <c r="R94" s="679">
        <f t="shared" ca="1" si="62"/>
        <v>84420</v>
      </c>
      <c r="S94" s="679">
        <f t="shared" ca="1" si="62"/>
        <v>1000</v>
      </c>
      <c r="T94" s="679">
        <f t="shared" ref="T94:T102" ca="1" si="63">IF(Q94&gt;0,S94*100/Q94,0)</f>
        <v>1.1845534233593935</v>
      </c>
      <c r="U94" s="679">
        <f t="shared" ref="U94:U102" ca="1" si="64">IF(R94&gt;0,S94*100/R94,0)</f>
        <v>1.1845534233593935</v>
      </c>
    </row>
    <row r="95" spans="1:21" ht="18.75" x14ac:dyDescent="0.25">
      <c r="A95" s="674"/>
      <c r="B95" s="561"/>
      <c r="C95" s="561"/>
      <c r="D95" s="561"/>
      <c r="E95" s="569" t="s">
        <v>20</v>
      </c>
      <c r="F95" s="561"/>
      <c r="G95" s="563"/>
      <c r="H95" s="680" t="s">
        <v>14</v>
      </c>
      <c r="I95" s="565"/>
      <c r="J95" s="565"/>
      <c r="K95" s="566"/>
      <c r="L95" s="571">
        <f t="shared" ref="L95:N96" si="65">L98+L101</f>
        <v>0</v>
      </c>
      <c r="M95" s="572">
        <f t="shared" si="65"/>
        <v>0</v>
      </c>
      <c r="N95" s="572">
        <f t="shared" si="65"/>
        <v>0</v>
      </c>
      <c r="O95" s="572">
        <f t="shared" si="60"/>
        <v>0</v>
      </c>
      <c r="P95" s="572">
        <f t="shared" si="61"/>
        <v>0</v>
      </c>
      <c r="Q95" s="572">
        <f t="shared" ref="Q95:S96" si="66">Q98+Q101</f>
        <v>0</v>
      </c>
      <c r="R95" s="572">
        <f t="shared" si="66"/>
        <v>0</v>
      </c>
      <c r="S95" s="572">
        <f t="shared" si="66"/>
        <v>0</v>
      </c>
      <c r="T95" s="572">
        <f t="shared" si="63"/>
        <v>0</v>
      </c>
      <c r="U95" s="572">
        <f t="shared" si="64"/>
        <v>0</v>
      </c>
    </row>
    <row r="96" spans="1:21" ht="18.75" x14ac:dyDescent="0.25">
      <c r="A96" s="674"/>
      <c r="B96" s="561"/>
      <c r="C96" s="561"/>
      <c r="D96" s="561"/>
      <c r="E96" s="573" t="s">
        <v>21</v>
      </c>
      <c r="F96" s="561"/>
      <c r="G96" s="563"/>
      <c r="H96" s="681" t="s">
        <v>14</v>
      </c>
      <c r="I96" s="565"/>
      <c r="J96" s="565"/>
      <c r="K96" s="566"/>
      <c r="L96" s="567">
        <f t="shared" ca="1" si="65"/>
        <v>0</v>
      </c>
      <c r="M96" s="568">
        <f t="shared" ca="1" si="65"/>
        <v>0</v>
      </c>
      <c r="N96" s="568">
        <f t="shared" ca="1" si="65"/>
        <v>0</v>
      </c>
      <c r="O96" s="568">
        <f t="shared" ca="1" si="60"/>
        <v>0</v>
      </c>
      <c r="P96" s="568">
        <f t="shared" ca="1" si="61"/>
        <v>0</v>
      </c>
      <c r="Q96" s="568">
        <f t="shared" ca="1" si="66"/>
        <v>84420</v>
      </c>
      <c r="R96" s="568">
        <f t="shared" ca="1" si="66"/>
        <v>84420</v>
      </c>
      <c r="S96" s="568">
        <f t="shared" ca="1" si="66"/>
        <v>1000</v>
      </c>
      <c r="T96" s="568">
        <f t="shared" ca="1" si="63"/>
        <v>1.1845534233593935</v>
      </c>
      <c r="U96" s="568">
        <f t="shared" ca="1" si="64"/>
        <v>1.1845534233593935</v>
      </c>
    </row>
    <row r="97" spans="1:21" ht="18.75" x14ac:dyDescent="0.25">
      <c r="A97" s="674"/>
      <c r="B97" s="561"/>
      <c r="C97" s="561"/>
      <c r="D97" s="562" t="s">
        <v>22</v>
      </c>
      <c r="E97" s="561"/>
      <c r="F97" s="561"/>
      <c r="G97" s="563"/>
      <c r="H97" s="682" t="s">
        <v>14</v>
      </c>
      <c r="I97" s="683"/>
      <c r="J97" s="683"/>
      <c r="K97" s="684"/>
      <c r="L97" s="567">
        <f t="shared" ref="L97:N97" ca="1" si="67">L98+L99</f>
        <v>0</v>
      </c>
      <c r="M97" s="568">
        <f t="shared" ca="1" si="67"/>
        <v>0</v>
      </c>
      <c r="N97" s="568">
        <f t="shared" ca="1" si="67"/>
        <v>0</v>
      </c>
      <c r="O97" s="568">
        <f t="shared" ca="1" si="60"/>
        <v>0</v>
      </c>
      <c r="P97" s="568">
        <f t="shared" ca="1" si="61"/>
        <v>0</v>
      </c>
      <c r="Q97" s="568">
        <f t="shared" ref="Q97:S97" ca="1" si="68">Q98+Q99</f>
        <v>84420</v>
      </c>
      <c r="R97" s="568">
        <f t="shared" ca="1" si="68"/>
        <v>84420</v>
      </c>
      <c r="S97" s="568">
        <f t="shared" ca="1" si="68"/>
        <v>1000</v>
      </c>
      <c r="T97" s="568">
        <f t="shared" ca="1" si="63"/>
        <v>1.1845534233593935</v>
      </c>
      <c r="U97" s="568">
        <f t="shared" ca="1" si="64"/>
        <v>1.1845534233593935</v>
      </c>
    </row>
    <row r="98" spans="1:21" ht="18.75" x14ac:dyDescent="0.25">
      <c r="A98" s="674"/>
      <c r="B98" s="561"/>
      <c r="C98" s="561"/>
      <c r="D98" s="561"/>
      <c r="E98" s="569" t="s">
        <v>36</v>
      </c>
      <c r="F98" s="561"/>
      <c r="G98" s="563"/>
      <c r="H98" s="685" t="s">
        <v>14</v>
      </c>
      <c r="I98" s="683"/>
      <c r="J98" s="683"/>
      <c r="K98" s="684"/>
      <c r="L98" s="571">
        <v>0</v>
      </c>
      <c r="M98" s="572">
        <v>0</v>
      </c>
      <c r="N98" s="572">
        <v>0</v>
      </c>
      <c r="O98" s="572">
        <f t="shared" si="60"/>
        <v>0</v>
      </c>
      <c r="P98" s="572">
        <f t="shared" si="61"/>
        <v>0</v>
      </c>
      <c r="Q98" s="572">
        <v>0</v>
      </c>
      <c r="R98" s="572">
        <v>0</v>
      </c>
      <c r="S98" s="572">
        <v>0</v>
      </c>
      <c r="T98" s="572">
        <f t="shared" si="63"/>
        <v>0</v>
      </c>
      <c r="U98" s="572">
        <f t="shared" si="64"/>
        <v>0</v>
      </c>
    </row>
    <row r="99" spans="1:21" ht="18.75" x14ac:dyDescent="0.25">
      <c r="A99" s="674"/>
      <c r="B99" s="561"/>
      <c r="C99" s="561"/>
      <c r="D99" s="561"/>
      <c r="E99" s="573" t="s">
        <v>37</v>
      </c>
      <c r="F99" s="561"/>
      <c r="G99" s="563"/>
      <c r="H99" s="682" t="s">
        <v>14</v>
      </c>
      <c r="I99" s="683"/>
      <c r="J99" s="683"/>
      <c r="K99" s="684"/>
      <c r="L99" s="567">
        <f ca="1">IFERROR(__xludf.DUMMYFUNCTION("IMPORTRANGE(""https://docs.google.com/spreadsheets/d/1-uDff_7J0KD5mKrp0Vvzr7lt3OU09vwQwhkpOPPYv2Y/edit?usp=sharing"",""งบพรบ!AW21"")"),0)</f>
        <v>0</v>
      </c>
      <c r="M99" s="568">
        <f ca="1">IFERROR(__xludf.DUMMYFUNCTION("IMPORTRANGE(""https://docs.google.com/spreadsheets/d/1-uDff_7J0KD5mKrp0Vvzr7lt3OU09vwQwhkpOPPYv2Y/edit?usp=sharing"",""งบพรบ!BB21"")"),0)</f>
        <v>0</v>
      </c>
      <c r="N99" s="568">
        <f ca="1">IFERROR(__xludf.DUMMYFUNCTION("IMPORTRANGE(""https://docs.google.com/spreadsheets/d/1-uDff_7J0KD5mKrp0Vvzr7lt3OU09vwQwhkpOPPYv2Y/edit?usp=sharing"",""งบพรบ!BD21"")"),0)</f>
        <v>0</v>
      </c>
      <c r="O99" s="568">
        <f t="shared" ca="1" si="60"/>
        <v>0</v>
      </c>
      <c r="P99" s="568">
        <f t="shared" ca="1" si="61"/>
        <v>0</v>
      </c>
      <c r="Q99" s="568">
        <f ca="1">IFERROR(__xludf.DUMMYFUNCTION("IMPORTRANGE(""https://docs.google.com/spreadsheets/d/1ItG2mGa2ceCfYo0BwxsXqNm01IGEUdYcSSLTEv9YCik/edit?usp=sharing"",""เบิกจ่ายกองทุน!AJ21"")"),84420)</f>
        <v>84420</v>
      </c>
      <c r="R99" s="568">
        <f ca="1">IFERROR(__xludf.DUMMYFUNCTION("IMPORTRANGE(""https://docs.google.com/spreadsheets/d/1ItG2mGa2ceCfYo0BwxsXqNm01IGEUdYcSSLTEv9YCik/edit?usp=sharing"",""เบิกจ่ายกองทุน!AK21"")"),84420)</f>
        <v>84420</v>
      </c>
      <c r="S99" s="568">
        <f ca="1">IFERROR(__xludf.DUMMYFUNCTION("IMPORTRANGE(""https://docs.google.com/spreadsheets/d/1ItG2mGa2ceCfYo0BwxsXqNm01IGEUdYcSSLTEv9YCik/edit?usp=sharing"",""เบิกจ่ายกองทุน!AL21"")"),1000)</f>
        <v>1000</v>
      </c>
      <c r="T99" s="568">
        <f t="shared" ca="1" si="63"/>
        <v>1.1845534233593935</v>
      </c>
      <c r="U99" s="568">
        <f t="shared" ca="1" si="64"/>
        <v>1.1845534233593935</v>
      </c>
    </row>
    <row r="100" spans="1:21" ht="18.75" x14ac:dyDescent="0.25">
      <c r="A100" s="674"/>
      <c r="B100" s="561"/>
      <c r="C100" s="561"/>
      <c r="D100" s="562" t="s">
        <v>23</v>
      </c>
      <c r="E100" s="561"/>
      <c r="F100" s="561"/>
      <c r="G100" s="563"/>
      <c r="H100" s="686" t="s">
        <v>14</v>
      </c>
      <c r="I100" s="683"/>
      <c r="J100" s="683"/>
      <c r="K100" s="684"/>
      <c r="L100" s="567">
        <f t="shared" ref="L100:N100" ca="1" si="69">L101+L102</f>
        <v>0</v>
      </c>
      <c r="M100" s="568">
        <f t="shared" ca="1" si="69"/>
        <v>0</v>
      </c>
      <c r="N100" s="568">
        <f t="shared" ca="1" si="69"/>
        <v>0</v>
      </c>
      <c r="O100" s="568">
        <f t="shared" ca="1" si="60"/>
        <v>0</v>
      </c>
      <c r="P100" s="568">
        <f t="shared" ca="1" si="61"/>
        <v>0</v>
      </c>
      <c r="Q100" s="568">
        <f t="shared" ref="Q100:S100" si="70">Q101+Q102</f>
        <v>0</v>
      </c>
      <c r="R100" s="568">
        <f t="shared" si="70"/>
        <v>0</v>
      </c>
      <c r="S100" s="568">
        <f t="shared" si="70"/>
        <v>0</v>
      </c>
      <c r="T100" s="568">
        <f t="shared" si="63"/>
        <v>0</v>
      </c>
      <c r="U100" s="568">
        <f t="shared" si="64"/>
        <v>0</v>
      </c>
    </row>
    <row r="101" spans="1:21" ht="18.75" x14ac:dyDescent="0.25">
      <c r="A101" s="674"/>
      <c r="B101" s="561"/>
      <c r="C101" s="561"/>
      <c r="D101" s="561"/>
      <c r="E101" s="569" t="s">
        <v>20</v>
      </c>
      <c r="F101" s="561"/>
      <c r="G101" s="563"/>
      <c r="H101" s="685" t="s">
        <v>14</v>
      </c>
      <c r="I101" s="683"/>
      <c r="J101" s="683"/>
      <c r="K101" s="684"/>
      <c r="L101" s="571">
        <v>0</v>
      </c>
      <c r="M101" s="572">
        <v>0</v>
      </c>
      <c r="N101" s="572">
        <v>0</v>
      </c>
      <c r="O101" s="572">
        <f t="shared" si="60"/>
        <v>0</v>
      </c>
      <c r="P101" s="572">
        <f t="shared" si="61"/>
        <v>0</v>
      </c>
      <c r="Q101" s="572">
        <v>0</v>
      </c>
      <c r="R101" s="572">
        <v>0</v>
      </c>
      <c r="S101" s="572">
        <v>0</v>
      </c>
      <c r="T101" s="572">
        <f t="shared" si="63"/>
        <v>0</v>
      </c>
      <c r="U101" s="572">
        <f t="shared" si="64"/>
        <v>0</v>
      </c>
    </row>
    <row r="102" spans="1:21" ht="18.75" x14ac:dyDescent="0.25">
      <c r="A102" s="674"/>
      <c r="B102" s="561"/>
      <c r="C102" s="561"/>
      <c r="D102" s="561"/>
      <c r="E102" s="573" t="s">
        <v>21</v>
      </c>
      <c r="F102" s="561"/>
      <c r="G102" s="563"/>
      <c r="H102" s="686" t="s">
        <v>14</v>
      </c>
      <c r="I102" s="683"/>
      <c r="J102" s="683"/>
      <c r="K102" s="684"/>
      <c r="L102" s="567">
        <f ca="1">IFERROR(__xludf.DUMMYFUNCTION("IMPORTRANGE(""https://docs.google.com/spreadsheets/d/1-uDff_7J0KD5mKrp0Vvzr7lt3OU09vwQwhkpOPPYv2Y/edit?usp=sharing"",""งบพรบ!AZ21"")"),0)</f>
        <v>0</v>
      </c>
      <c r="M102" s="568">
        <f ca="1">IFERROR(__xludf.DUMMYFUNCTION("IMPORTRANGE(""https://docs.google.com/spreadsheets/d/1-uDff_7J0KD5mKrp0Vvzr7lt3OU09vwQwhkpOPPYv2Y/edit?usp=sharing"",""งบพรบ!BC21"")"),0)</f>
        <v>0</v>
      </c>
      <c r="N102" s="568">
        <f ca="1">IFERROR(__xludf.DUMMYFUNCTION("IMPORTRANGE(""https://docs.google.com/spreadsheets/d/1-uDff_7J0KD5mKrp0Vvzr7lt3OU09vwQwhkpOPPYv2Y/edit?usp=sharing"",""งบพรบ!BE21"")"),0)</f>
        <v>0</v>
      </c>
      <c r="O102" s="568">
        <f t="shared" ca="1" si="60"/>
        <v>0</v>
      </c>
      <c r="P102" s="568">
        <f t="shared" ca="1" si="61"/>
        <v>0</v>
      </c>
      <c r="Q102" s="568">
        <v>0</v>
      </c>
      <c r="R102" s="568">
        <v>0</v>
      </c>
      <c r="S102" s="568">
        <v>0</v>
      </c>
      <c r="T102" s="568">
        <f t="shared" si="63"/>
        <v>0</v>
      </c>
      <c r="U102" s="568">
        <f t="shared" si="64"/>
        <v>0</v>
      </c>
    </row>
    <row r="103" spans="1:21" ht="19.5" x14ac:dyDescent="0.3">
      <c r="A103" s="687"/>
      <c r="B103" s="688"/>
      <c r="C103" s="675" t="s">
        <v>18</v>
      </c>
      <c r="D103" s="689" t="s">
        <v>38</v>
      </c>
      <c r="E103" s="690"/>
      <c r="F103" s="690"/>
      <c r="G103" s="691"/>
      <c r="H103" s="692"/>
      <c r="I103" s="683"/>
      <c r="J103" s="565"/>
      <c r="K103" s="566"/>
      <c r="L103" s="574"/>
      <c r="M103" s="566"/>
      <c r="N103" s="566"/>
      <c r="O103" s="684"/>
      <c r="P103" s="684"/>
      <c r="Q103" s="566"/>
      <c r="R103" s="566"/>
      <c r="S103" s="566"/>
      <c r="T103" s="684"/>
      <c r="U103" s="684"/>
    </row>
    <row r="104" spans="1:21" ht="12.75" hidden="1" x14ac:dyDescent="0.2">
      <c r="A104" s="705"/>
      <c r="B104" s="706"/>
      <c r="C104" s="706"/>
      <c r="D104" s="531"/>
      <c r="E104" s="531"/>
      <c r="F104" s="531"/>
      <c r="G104" s="532"/>
      <c r="H104" s="532"/>
      <c r="I104" s="533"/>
      <c r="J104" s="533"/>
      <c r="K104" s="534"/>
      <c r="L104" s="535"/>
      <c r="M104" s="534"/>
      <c r="N104" s="534"/>
      <c r="O104" s="534"/>
      <c r="P104" s="534"/>
      <c r="Q104" s="534"/>
      <c r="R104" s="534"/>
      <c r="S104" s="534"/>
      <c r="T104" s="534"/>
      <c r="U104" s="534"/>
    </row>
    <row r="105" spans="1:21" ht="12.75" hidden="1" x14ac:dyDescent="0.2">
      <c r="A105" s="705"/>
      <c r="B105" s="706"/>
      <c r="C105" s="706"/>
      <c r="D105" s="531"/>
      <c r="E105" s="531"/>
      <c r="F105" s="531"/>
      <c r="G105" s="532"/>
      <c r="H105" s="532"/>
      <c r="I105" s="533"/>
      <c r="J105" s="533"/>
      <c r="K105" s="534"/>
      <c r="L105" s="535"/>
      <c r="M105" s="534"/>
      <c r="N105" s="534"/>
      <c r="O105" s="534"/>
      <c r="P105" s="534"/>
      <c r="Q105" s="534"/>
      <c r="R105" s="534"/>
      <c r="S105" s="534"/>
      <c r="T105" s="534"/>
      <c r="U105" s="534"/>
    </row>
    <row r="106" spans="1:21" ht="12.75" hidden="1" x14ac:dyDescent="0.2">
      <c r="A106" s="705"/>
      <c r="B106" s="706"/>
      <c r="C106" s="706"/>
      <c r="D106" s="706"/>
      <c r="E106" s="531"/>
      <c r="F106" s="531"/>
      <c r="G106" s="532"/>
      <c r="H106" s="532"/>
      <c r="I106" s="533"/>
      <c r="J106" s="533"/>
      <c r="K106" s="534"/>
      <c r="L106" s="535"/>
      <c r="M106" s="534"/>
      <c r="N106" s="534"/>
      <c r="O106" s="534"/>
      <c r="P106" s="534"/>
      <c r="Q106" s="534"/>
      <c r="R106" s="534"/>
      <c r="S106" s="534"/>
      <c r="T106" s="534"/>
      <c r="U106" s="534"/>
    </row>
    <row r="107" spans="1:21" ht="19.5" x14ac:dyDescent="0.3">
      <c r="A107" s="687"/>
      <c r="B107" s="688"/>
      <c r="C107" s="688"/>
      <c r="D107" s="707" t="s">
        <v>47</v>
      </c>
      <c r="E107" s="510"/>
      <c r="F107" s="695"/>
      <c r="G107" s="692"/>
      <c r="H107" s="563"/>
      <c r="I107" s="565"/>
      <c r="J107" s="565"/>
      <c r="K107" s="566"/>
      <c r="L107" s="574"/>
      <c r="M107" s="566"/>
      <c r="N107" s="566"/>
      <c r="O107" s="684"/>
      <c r="P107" s="684"/>
      <c r="Q107" s="566"/>
      <c r="R107" s="566"/>
      <c r="S107" s="566"/>
      <c r="T107" s="684"/>
      <c r="U107" s="684"/>
    </row>
    <row r="108" spans="1:21" ht="18.75" x14ac:dyDescent="0.25">
      <c r="A108" s="687"/>
      <c r="B108" s="688"/>
      <c r="C108" s="688"/>
      <c r="D108" s="699" t="s">
        <v>48</v>
      </c>
      <c r="E108" s="695"/>
      <c r="F108" s="695"/>
      <c r="G108" s="692"/>
      <c r="H108" s="564" t="s">
        <v>46</v>
      </c>
      <c r="I108" s="708">
        <f ca="1">IFERROR(__xludf.DUMMYFUNCTION("IMPORTRANGE(""https://docs.google.com/spreadsheets/d/1eHaY18a8A9IcSdp1K8H6x8fbOy06t2VsZHhMHf-1x7Y/edit?usp=sharing"",""แผน!N21"")"),30)</f>
        <v>30</v>
      </c>
      <c r="J108" s="702">
        <v>0</v>
      </c>
      <c r="K108" s="568">
        <f t="shared" ref="K108:K109" ca="1" si="71">IF(I108&gt;0,J108*100/I108,0)</f>
        <v>0</v>
      </c>
      <c r="L108" s="574"/>
      <c r="M108" s="566"/>
      <c r="N108" s="566"/>
      <c r="O108" s="684"/>
      <c r="P108" s="684"/>
      <c r="Q108" s="566"/>
      <c r="R108" s="566"/>
      <c r="S108" s="566"/>
      <c r="T108" s="684"/>
      <c r="U108" s="684"/>
    </row>
    <row r="109" spans="1:21" ht="18.75" x14ac:dyDescent="0.25">
      <c r="A109" s="687"/>
      <c r="B109" s="688"/>
      <c r="C109" s="688"/>
      <c r="D109" s="699" t="s">
        <v>49</v>
      </c>
      <c r="E109" s="695"/>
      <c r="F109" s="695"/>
      <c r="G109" s="692"/>
      <c r="H109" s="564" t="s">
        <v>35</v>
      </c>
      <c r="I109" s="708">
        <f ca="1">IFERROR(__xludf.DUMMYFUNCTION("IMPORTRANGE(""https://docs.google.com/spreadsheets/d/1eHaY18a8A9IcSdp1K8H6x8fbOy06t2VsZHhMHf-1x7Y/edit?usp=sharing"",""แผน!O21"")"),10)</f>
        <v>10</v>
      </c>
      <c r="J109" s="702">
        <v>0</v>
      </c>
      <c r="K109" s="568">
        <f t="shared" ca="1" si="71"/>
        <v>0</v>
      </c>
      <c r="L109" s="574"/>
      <c r="M109" s="566"/>
      <c r="N109" s="566"/>
      <c r="O109" s="684"/>
      <c r="P109" s="684"/>
      <c r="Q109" s="566"/>
      <c r="R109" s="566"/>
      <c r="S109" s="566"/>
      <c r="T109" s="684"/>
      <c r="U109" s="684"/>
    </row>
    <row r="110" spans="1:21" ht="12.75" hidden="1" x14ac:dyDescent="0.2">
      <c r="A110" s="705"/>
      <c r="B110" s="706"/>
      <c r="C110" s="706"/>
      <c r="D110" s="531"/>
      <c r="E110" s="531"/>
      <c r="F110" s="531"/>
      <c r="G110" s="532"/>
      <c r="H110" s="532"/>
      <c r="I110" s="533"/>
      <c r="J110" s="533"/>
      <c r="K110" s="534"/>
      <c r="L110" s="535"/>
      <c r="M110" s="534"/>
      <c r="N110" s="534"/>
      <c r="O110" s="534"/>
      <c r="P110" s="534"/>
      <c r="Q110" s="534"/>
      <c r="R110" s="534"/>
      <c r="S110" s="534"/>
      <c r="T110" s="534"/>
      <c r="U110" s="534"/>
    </row>
    <row r="111" spans="1:21" ht="12.75" hidden="1" x14ac:dyDescent="0.2">
      <c r="A111" s="705"/>
      <c r="B111" s="706"/>
      <c r="C111" s="706"/>
      <c r="D111" s="531"/>
      <c r="E111" s="531"/>
      <c r="F111" s="531"/>
      <c r="G111" s="532"/>
      <c r="H111" s="532"/>
      <c r="I111" s="533"/>
      <c r="J111" s="533"/>
      <c r="K111" s="534"/>
      <c r="L111" s="535"/>
      <c r="M111" s="534"/>
      <c r="N111" s="534"/>
      <c r="O111" s="534"/>
      <c r="P111" s="534"/>
      <c r="Q111" s="534"/>
      <c r="R111" s="534"/>
      <c r="S111" s="534"/>
      <c r="T111" s="534"/>
      <c r="U111" s="534"/>
    </row>
    <row r="112" spans="1:21" ht="12.75" hidden="1" x14ac:dyDescent="0.2">
      <c r="A112" s="705"/>
      <c r="B112" s="706"/>
      <c r="C112" s="706"/>
      <c r="D112" s="531"/>
      <c r="E112" s="531"/>
      <c r="F112" s="531"/>
      <c r="G112" s="532"/>
      <c r="H112" s="532"/>
      <c r="I112" s="533"/>
      <c r="J112" s="533"/>
      <c r="K112" s="534"/>
      <c r="L112" s="535"/>
      <c r="M112" s="534"/>
      <c r="N112" s="534"/>
      <c r="O112" s="534"/>
      <c r="P112" s="534"/>
      <c r="Q112" s="534"/>
      <c r="R112" s="534"/>
      <c r="S112" s="534"/>
      <c r="T112" s="534"/>
      <c r="U112" s="534"/>
    </row>
    <row r="113" spans="1:21" ht="18.75" x14ac:dyDescent="0.25">
      <c r="A113" s="1131"/>
      <c r="B113" s="1110"/>
      <c r="C113" s="1110"/>
      <c r="D113" s="1132" t="s">
        <v>50</v>
      </c>
      <c r="E113" s="1112"/>
      <c r="F113" s="1112"/>
      <c r="G113" s="1113"/>
      <c r="H113" s="1133" t="s">
        <v>46</v>
      </c>
      <c r="I113" s="1134">
        <f ca="1">IFERROR(__xludf.DUMMYFUNCTION("IMPORTRANGE(""https://docs.google.com/spreadsheets/d/1eHaY18a8A9IcSdp1K8H6x8fbOy06t2VsZHhMHf-1x7Y/edit?usp=sharing"",""แผน!N21"")"),30)</f>
        <v>30</v>
      </c>
      <c r="J113" s="861">
        <v>0</v>
      </c>
      <c r="K113" s="862">
        <f t="shared" ref="K113:K114" ca="1" si="72">IF(I113&gt;0,J113*100/I113,0)</f>
        <v>0</v>
      </c>
      <c r="L113" s="784"/>
      <c r="M113" s="784"/>
      <c r="N113" s="784"/>
      <c r="O113" s="1116"/>
      <c r="P113" s="1116"/>
      <c r="Q113" s="784"/>
      <c r="R113" s="784"/>
      <c r="S113" s="784"/>
      <c r="T113" s="1116"/>
      <c r="U113" s="1116"/>
    </row>
    <row r="114" spans="1:21" ht="18.75" x14ac:dyDescent="0.25">
      <c r="A114" s="687"/>
      <c r="B114" s="688"/>
      <c r="C114" s="688"/>
      <c r="D114" s="695"/>
      <c r="E114" s="695"/>
      <c r="F114" s="695"/>
      <c r="G114" s="692"/>
      <c r="H114" s="700" t="s">
        <v>35</v>
      </c>
      <c r="I114" s="701">
        <f ca="1">IFERROR(__xludf.DUMMYFUNCTION("IMPORTRANGE(""https://docs.google.com/spreadsheets/d/1eHaY18a8A9IcSdp1K8H6x8fbOy06t2VsZHhMHf-1x7Y/edit?usp=sharing"",""แผน!O21"")"),10)</f>
        <v>10</v>
      </c>
      <c r="J114" s="702">
        <v>0</v>
      </c>
      <c r="K114" s="568">
        <f t="shared" ca="1" si="72"/>
        <v>0</v>
      </c>
      <c r="L114" s="566"/>
      <c r="M114" s="566"/>
      <c r="N114" s="566"/>
      <c r="O114" s="684"/>
      <c r="P114" s="684"/>
      <c r="Q114" s="566"/>
      <c r="R114" s="566"/>
      <c r="S114" s="566"/>
      <c r="T114" s="684"/>
      <c r="U114" s="684"/>
    </row>
    <row r="115" spans="1:21" ht="19.5" x14ac:dyDescent="0.3">
      <c r="A115" s="709" t="s">
        <v>51</v>
      </c>
      <c r="B115" s="710"/>
      <c r="C115" s="711"/>
      <c r="D115" s="712"/>
      <c r="E115" s="712"/>
      <c r="F115" s="712"/>
      <c r="G115" s="712"/>
      <c r="H115" s="710"/>
      <c r="I115" s="713"/>
      <c r="J115" s="713"/>
      <c r="K115" s="714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</row>
    <row r="116" spans="1:21" ht="19.5" x14ac:dyDescent="0.3">
      <c r="A116" s="669"/>
      <c r="B116" s="715" t="s">
        <v>52</v>
      </c>
      <c r="C116" s="716"/>
      <c r="D116" s="670"/>
      <c r="E116" s="543"/>
      <c r="F116" s="543"/>
      <c r="G116" s="546"/>
      <c r="H116" s="717" t="s">
        <v>35</v>
      </c>
      <c r="I116" s="672">
        <f t="shared" ref="I116:J116" ca="1" si="73">I127</f>
        <v>20</v>
      </c>
      <c r="J116" s="672">
        <f t="shared" si="73"/>
        <v>20</v>
      </c>
      <c r="K116" s="551">
        <f ca="1">IF(I116&gt;0,J116*100/I116,0)</f>
        <v>100</v>
      </c>
      <c r="L116" s="673"/>
      <c r="M116" s="549"/>
      <c r="N116" s="549"/>
      <c r="O116" s="549"/>
      <c r="P116" s="549"/>
      <c r="Q116" s="549"/>
      <c r="R116" s="549"/>
      <c r="S116" s="549"/>
      <c r="T116" s="549"/>
      <c r="U116" s="549"/>
    </row>
    <row r="117" spans="1:21" ht="19.5" x14ac:dyDescent="0.3">
      <c r="A117" s="674"/>
      <c r="B117" s="718"/>
      <c r="C117" s="719" t="s">
        <v>18</v>
      </c>
      <c r="D117" s="676" t="s">
        <v>19</v>
      </c>
      <c r="E117" s="561"/>
      <c r="F117" s="561"/>
      <c r="G117" s="563"/>
      <c r="H117" s="677" t="s">
        <v>14</v>
      </c>
      <c r="I117" s="565"/>
      <c r="J117" s="565"/>
      <c r="K117" s="566"/>
      <c r="L117" s="678">
        <f t="shared" ref="L117:N117" ca="1" si="74">L118+L119</f>
        <v>0</v>
      </c>
      <c r="M117" s="679">
        <f t="shared" ca="1" si="74"/>
        <v>0</v>
      </c>
      <c r="N117" s="679">
        <f t="shared" ca="1" si="74"/>
        <v>0</v>
      </c>
      <c r="O117" s="679">
        <f t="shared" ref="O117:O125" ca="1" si="75">IF(L117&gt;0,N117*100/L117,0)</f>
        <v>0</v>
      </c>
      <c r="P117" s="679">
        <f t="shared" ref="P117:P125" ca="1" si="76">IF(M117&gt;0,N117*100/M117,0)</f>
        <v>0</v>
      </c>
      <c r="Q117" s="679">
        <f t="shared" ref="Q117:S117" ca="1" si="77">Q118+Q119</f>
        <v>209360</v>
      </c>
      <c r="R117" s="679">
        <f t="shared" ca="1" si="77"/>
        <v>209360</v>
      </c>
      <c r="S117" s="679">
        <f t="shared" ca="1" si="77"/>
        <v>91097</v>
      </c>
      <c r="T117" s="679">
        <f t="shared" ref="T117:T125" ca="1" si="78">IF(Q117&gt;0,S117*100/Q117,0)</f>
        <v>43.512132212457011</v>
      </c>
      <c r="U117" s="679">
        <f t="shared" ref="U117:U125" ca="1" si="79">IF(R117&gt;0,S117*100/R117,0)</f>
        <v>43.512132212457011</v>
      </c>
    </row>
    <row r="118" spans="1:21" ht="18.75" x14ac:dyDescent="0.25">
      <c r="A118" s="674"/>
      <c r="B118" s="718"/>
      <c r="C118" s="718"/>
      <c r="D118" s="718"/>
      <c r="E118" s="569" t="s">
        <v>20</v>
      </c>
      <c r="F118" s="561"/>
      <c r="G118" s="563"/>
      <c r="H118" s="680" t="s">
        <v>14</v>
      </c>
      <c r="I118" s="565"/>
      <c r="J118" s="565"/>
      <c r="K118" s="566"/>
      <c r="L118" s="571">
        <f t="shared" ref="L118:N119" si="80">L121+L124</f>
        <v>0</v>
      </c>
      <c r="M118" s="572">
        <f t="shared" si="80"/>
        <v>0</v>
      </c>
      <c r="N118" s="572">
        <f t="shared" si="80"/>
        <v>0</v>
      </c>
      <c r="O118" s="572">
        <f t="shared" si="75"/>
        <v>0</v>
      </c>
      <c r="P118" s="572">
        <f t="shared" si="76"/>
        <v>0</v>
      </c>
      <c r="Q118" s="572">
        <f t="shared" ref="Q118:S119" si="81">Q121+Q124</f>
        <v>0</v>
      </c>
      <c r="R118" s="572">
        <f t="shared" si="81"/>
        <v>0</v>
      </c>
      <c r="S118" s="572">
        <f t="shared" si="81"/>
        <v>0</v>
      </c>
      <c r="T118" s="572">
        <f t="shared" si="78"/>
        <v>0</v>
      </c>
      <c r="U118" s="572">
        <f t="shared" si="79"/>
        <v>0</v>
      </c>
    </row>
    <row r="119" spans="1:21" ht="18.75" x14ac:dyDescent="0.25">
      <c r="A119" s="674"/>
      <c r="B119" s="718"/>
      <c r="C119" s="718"/>
      <c r="D119" s="718"/>
      <c r="E119" s="573" t="s">
        <v>21</v>
      </c>
      <c r="F119" s="561"/>
      <c r="G119" s="563"/>
      <c r="H119" s="681" t="s">
        <v>14</v>
      </c>
      <c r="I119" s="565"/>
      <c r="J119" s="565"/>
      <c r="K119" s="566"/>
      <c r="L119" s="567">
        <f t="shared" ca="1" si="80"/>
        <v>0</v>
      </c>
      <c r="M119" s="568">
        <f t="shared" ca="1" si="80"/>
        <v>0</v>
      </c>
      <c r="N119" s="568">
        <f t="shared" ca="1" si="80"/>
        <v>0</v>
      </c>
      <c r="O119" s="568">
        <f t="shared" ca="1" si="75"/>
        <v>0</v>
      </c>
      <c r="P119" s="568">
        <f t="shared" ca="1" si="76"/>
        <v>0</v>
      </c>
      <c r="Q119" s="568">
        <f t="shared" ca="1" si="81"/>
        <v>209360</v>
      </c>
      <c r="R119" s="568">
        <f t="shared" ca="1" si="81"/>
        <v>209360</v>
      </c>
      <c r="S119" s="568">
        <f t="shared" ca="1" si="81"/>
        <v>91097</v>
      </c>
      <c r="T119" s="568">
        <f t="shared" ca="1" si="78"/>
        <v>43.512132212457011</v>
      </c>
      <c r="U119" s="568">
        <f t="shared" ca="1" si="79"/>
        <v>43.512132212457011</v>
      </c>
    </row>
    <row r="120" spans="1:21" ht="18.75" x14ac:dyDescent="0.25">
      <c r="A120" s="674"/>
      <c r="B120" s="718"/>
      <c r="C120" s="720"/>
      <c r="D120" s="721" t="s">
        <v>22</v>
      </c>
      <c r="E120" s="561"/>
      <c r="F120" s="561"/>
      <c r="G120" s="563"/>
      <c r="H120" s="722" t="s">
        <v>14</v>
      </c>
      <c r="I120" s="565"/>
      <c r="J120" s="565"/>
      <c r="K120" s="566"/>
      <c r="L120" s="567">
        <f t="shared" ref="L120:N120" ca="1" si="82">L121+L122</f>
        <v>0</v>
      </c>
      <c r="M120" s="568">
        <f t="shared" ca="1" si="82"/>
        <v>0</v>
      </c>
      <c r="N120" s="568">
        <f t="shared" ca="1" si="82"/>
        <v>0</v>
      </c>
      <c r="O120" s="568">
        <f t="shared" ca="1" si="75"/>
        <v>0</v>
      </c>
      <c r="P120" s="568">
        <f t="shared" ca="1" si="76"/>
        <v>0</v>
      </c>
      <c r="Q120" s="568">
        <f t="shared" ref="Q120:S120" ca="1" si="83">Q121+Q122</f>
        <v>209360</v>
      </c>
      <c r="R120" s="568">
        <f t="shared" ca="1" si="83"/>
        <v>209360</v>
      </c>
      <c r="S120" s="568">
        <f t="shared" ca="1" si="83"/>
        <v>91097</v>
      </c>
      <c r="T120" s="568">
        <f t="shared" ca="1" si="78"/>
        <v>43.512132212457011</v>
      </c>
      <c r="U120" s="568">
        <f t="shared" ca="1" si="79"/>
        <v>43.512132212457011</v>
      </c>
    </row>
    <row r="121" spans="1:21" ht="18.75" x14ac:dyDescent="0.25">
      <c r="A121" s="674"/>
      <c r="B121" s="718"/>
      <c r="C121" s="720"/>
      <c r="D121" s="718"/>
      <c r="E121" s="569" t="s">
        <v>36</v>
      </c>
      <c r="F121" s="561"/>
      <c r="G121" s="563"/>
      <c r="H121" s="723" t="s">
        <v>14</v>
      </c>
      <c r="I121" s="565"/>
      <c r="J121" s="565"/>
      <c r="K121" s="566"/>
      <c r="L121" s="571">
        <v>0</v>
      </c>
      <c r="M121" s="572">
        <v>0</v>
      </c>
      <c r="N121" s="572">
        <v>0</v>
      </c>
      <c r="O121" s="572">
        <f t="shared" si="75"/>
        <v>0</v>
      </c>
      <c r="P121" s="572">
        <f t="shared" si="76"/>
        <v>0</v>
      </c>
      <c r="Q121" s="572">
        <v>0</v>
      </c>
      <c r="R121" s="572">
        <v>0</v>
      </c>
      <c r="S121" s="572">
        <v>0</v>
      </c>
      <c r="T121" s="572">
        <f t="shared" si="78"/>
        <v>0</v>
      </c>
      <c r="U121" s="572">
        <f t="shared" si="79"/>
        <v>0</v>
      </c>
    </row>
    <row r="122" spans="1:21" ht="18.75" x14ac:dyDescent="0.25">
      <c r="A122" s="674"/>
      <c r="B122" s="718"/>
      <c r="C122" s="720"/>
      <c r="D122" s="718"/>
      <c r="E122" s="573" t="s">
        <v>37</v>
      </c>
      <c r="F122" s="561"/>
      <c r="G122" s="563"/>
      <c r="H122" s="722" t="s">
        <v>14</v>
      </c>
      <c r="I122" s="565"/>
      <c r="J122" s="565"/>
      <c r="K122" s="566"/>
      <c r="L122" s="567">
        <f ca="1">IFERROR(__xludf.DUMMYFUNCTION("IMPORTRANGE(""https://docs.google.com/spreadsheets/d/1-uDff_7J0KD5mKrp0Vvzr7lt3OU09vwQwhkpOPPYv2Y/edit?usp=sharing"",""งบพรบ!BG21"")"),0)</f>
        <v>0</v>
      </c>
      <c r="M122" s="568">
        <f ca="1">IFERROR(__xludf.DUMMYFUNCTION("IMPORTRANGE(""https://docs.google.com/spreadsheets/d/1-uDff_7J0KD5mKrp0Vvzr7lt3OU09vwQwhkpOPPYv2Y/edit?usp=sharing"",""งบพรบ!BL21"")"),0)</f>
        <v>0</v>
      </c>
      <c r="N122" s="568">
        <f ca="1">IFERROR(__xludf.DUMMYFUNCTION("IMPORTRANGE(""https://docs.google.com/spreadsheets/d/1-uDff_7J0KD5mKrp0Vvzr7lt3OU09vwQwhkpOPPYv2Y/edit?usp=sharing"",""งบพรบ!BN21"")"),0)</f>
        <v>0</v>
      </c>
      <c r="O122" s="568">
        <f t="shared" ca="1" si="75"/>
        <v>0</v>
      </c>
      <c r="P122" s="568">
        <f t="shared" ca="1" si="76"/>
        <v>0</v>
      </c>
      <c r="Q122" s="568">
        <f ca="1">IFERROR(__xludf.DUMMYFUNCTION("IMPORTRANGE(""https://docs.google.com/spreadsheets/d/1ItG2mGa2ceCfYo0BwxsXqNm01IGEUdYcSSLTEv9YCik/edit?usp=sharing"",""เบิกจ่ายกองทุน!U21"")"),209360)</f>
        <v>209360</v>
      </c>
      <c r="R122" s="568">
        <f ca="1">IFERROR(__xludf.DUMMYFUNCTION("IMPORTRANGE(""https://docs.google.com/spreadsheets/d/1ItG2mGa2ceCfYo0BwxsXqNm01IGEUdYcSSLTEv9YCik/edit?usp=sharing"",""เบิกจ่ายกองทุน!V21"")"),209360)</f>
        <v>209360</v>
      </c>
      <c r="S122" s="568">
        <f ca="1">IFERROR(__xludf.DUMMYFUNCTION("IMPORTRANGE(""https://docs.google.com/spreadsheets/d/1ItG2mGa2ceCfYo0BwxsXqNm01IGEUdYcSSLTEv9YCik/edit?usp=sharing"",""เบิกจ่ายกองทุน!W21"")"),91097)</f>
        <v>91097</v>
      </c>
      <c r="T122" s="568">
        <f t="shared" ca="1" si="78"/>
        <v>43.512132212457011</v>
      </c>
      <c r="U122" s="568">
        <f t="shared" ca="1" si="79"/>
        <v>43.512132212457011</v>
      </c>
    </row>
    <row r="123" spans="1:21" ht="18.75" x14ac:dyDescent="0.25">
      <c r="A123" s="674"/>
      <c r="B123" s="561"/>
      <c r="C123" s="720"/>
      <c r="D123" s="721" t="s">
        <v>23</v>
      </c>
      <c r="E123" s="561"/>
      <c r="F123" s="561"/>
      <c r="G123" s="563"/>
      <c r="H123" s="681" t="s">
        <v>14</v>
      </c>
      <c r="I123" s="565"/>
      <c r="J123" s="565"/>
      <c r="K123" s="566"/>
      <c r="L123" s="567">
        <f t="shared" ref="L123:N123" ca="1" si="84">L124+L125</f>
        <v>0</v>
      </c>
      <c r="M123" s="568">
        <f t="shared" ca="1" si="84"/>
        <v>0</v>
      </c>
      <c r="N123" s="568">
        <f t="shared" ca="1" si="84"/>
        <v>0</v>
      </c>
      <c r="O123" s="568">
        <f t="shared" ca="1" si="75"/>
        <v>0</v>
      </c>
      <c r="P123" s="568">
        <f t="shared" ca="1" si="76"/>
        <v>0</v>
      </c>
      <c r="Q123" s="568">
        <f t="shared" ref="Q123:S123" ca="1" si="85">Q124+Q125</f>
        <v>0</v>
      </c>
      <c r="R123" s="568">
        <f t="shared" ca="1" si="85"/>
        <v>0</v>
      </c>
      <c r="S123" s="568">
        <f t="shared" ca="1" si="85"/>
        <v>0</v>
      </c>
      <c r="T123" s="568">
        <f t="shared" ca="1" si="78"/>
        <v>0</v>
      </c>
      <c r="U123" s="568">
        <f t="shared" ca="1" si="79"/>
        <v>0</v>
      </c>
    </row>
    <row r="124" spans="1:21" ht="18.75" x14ac:dyDescent="0.25">
      <c r="A124" s="674"/>
      <c r="B124" s="561"/>
      <c r="C124" s="720"/>
      <c r="D124" s="718"/>
      <c r="E124" s="569" t="s">
        <v>20</v>
      </c>
      <c r="F124" s="561"/>
      <c r="G124" s="563"/>
      <c r="H124" s="723" t="s">
        <v>14</v>
      </c>
      <c r="I124" s="565"/>
      <c r="J124" s="565"/>
      <c r="K124" s="566"/>
      <c r="L124" s="571">
        <v>0</v>
      </c>
      <c r="M124" s="572">
        <v>0</v>
      </c>
      <c r="N124" s="572">
        <v>0</v>
      </c>
      <c r="O124" s="572">
        <f t="shared" si="75"/>
        <v>0</v>
      </c>
      <c r="P124" s="572">
        <f t="shared" si="76"/>
        <v>0</v>
      </c>
      <c r="Q124" s="572">
        <v>0</v>
      </c>
      <c r="R124" s="572">
        <v>0</v>
      </c>
      <c r="S124" s="572">
        <v>0</v>
      </c>
      <c r="T124" s="572">
        <f t="shared" si="78"/>
        <v>0</v>
      </c>
      <c r="U124" s="572">
        <f t="shared" si="79"/>
        <v>0</v>
      </c>
    </row>
    <row r="125" spans="1:21" ht="18.75" x14ac:dyDescent="0.25">
      <c r="A125" s="674"/>
      <c r="B125" s="561"/>
      <c r="C125" s="561"/>
      <c r="D125" s="561"/>
      <c r="E125" s="573" t="s">
        <v>21</v>
      </c>
      <c r="F125" s="561"/>
      <c r="G125" s="563"/>
      <c r="H125" s="681" t="s">
        <v>14</v>
      </c>
      <c r="I125" s="565"/>
      <c r="J125" s="565"/>
      <c r="K125" s="566"/>
      <c r="L125" s="567">
        <f ca="1">IFERROR(__xludf.DUMMYFUNCTION("IMPORTRANGE(""https://docs.google.com/spreadsheets/d/1-uDff_7J0KD5mKrp0Vvzr7lt3OU09vwQwhkpOPPYv2Y/edit?usp=sharing"",""งบพรบ!BJ21"")"),0)</f>
        <v>0</v>
      </c>
      <c r="M125" s="568">
        <f ca="1">IFERROR(__xludf.DUMMYFUNCTION("IMPORTRANGE(""https://docs.google.com/spreadsheets/d/1-uDff_7J0KD5mKrp0Vvzr7lt3OU09vwQwhkpOPPYv2Y/edit?usp=sharing"",""งบพรบ!BM21"")"),0)</f>
        <v>0</v>
      </c>
      <c r="N125" s="568">
        <f ca="1">IFERROR(__xludf.DUMMYFUNCTION("IMPORTRANGE(""https://docs.google.com/spreadsheets/d/1-uDff_7J0KD5mKrp0Vvzr7lt3OU09vwQwhkpOPPYv2Y/edit?usp=sharing"",""งบพรบ!BO21"")"),0)</f>
        <v>0</v>
      </c>
      <c r="O125" s="568">
        <f t="shared" ca="1" si="75"/>
        <v>0</v>
      </c>
      <c r="P125" s="568">
        <f t="shared" ca="1" si="76"/>
        <v>0</v>
      </c>
      <c r="Q125" s="568">
        <f ca="1">IFERROR(__xludf.DUMMYFUNCTION("IMPORTRANGE(""https://docs.google.com/spreadsheets/d/1ItG2mGa2ceCfYo0BwxsXqNm01IGEUdYcSSLTEv9YCik/edit?usp=sharing"",""เบิกจ่ายกองทุน!X21"")"),0)</f>
        <v>0</v>
      </c>
      <c r="R125" s="568">
        <f ca="1">IFERROR(__xludf.DUMMYFUNCTION("IMPORTRANGE(""https://docs.google.com/spreadsheets/d/1ItG2mGa2ceCfYo0BwxsXqNm01IGEUdYcSSLTEv9YCik/edit?usp=sharing"",""เบิกจ่ายกองทุน!Y21"")"),0)</f>
        <v>0</v>
      </c>
      <c r="S125" s="568">
        <f ca="1">IFERROR(__xludf.DUMMYFUNCTION("IMPORTRANGE(""https://docs.google.com/spreadsheets/d/1ItG2mGa2ceCfYo0BwxsXqNm01IGEUdYcSSLTEv9YCik/edit?usp=sharing"",""เบิกจ่ายกองทุน!Z21"")"),0)</f>
        <v>0</v>
      </c>
      <c r="T125" s="568">
        <f t="shared" ca="1" si="78"/>
        <v>0</v>
      </c>
      <c r="U125" s="568">
        <f t="shared" ca="1" si="79"/>
        <v>0</v>
      </c>
    </row>
    <row r="126" spans="1:21" ht="19.5" x14ac:dyDescent="0.3">
      <c r="A126" s="687"/>
      <c r="B126" s="688"/>
      <c r="C126" s="724" t="s">
        <v>18</v>
      </c>
      <c r="D126" s="689" t="s">
        <v>38</v>
      </c>
      <c r="E126" s="690"/>
      <c r="F126" s="690"/>
      <c r="G126" s="691"/>
      <c r="H126" s="725"/>
      <c r="I126" s="565"/>
      <c r="J126" s="565"/>
      <c r="K126" s="566"/>
      <c r="L126" s="574"/>
      <c r="M126" s="566"/>
      <c r="N126" s="566"/>
      <c r="O126" s="566"/>
      <c r="P126" s="566"/>
      <c r="Q126" s="566"/>
      <c r="R126" s="566"/>
      <c r="S126" s="566"/>
      <c r="T126" s="566"/>
      <c r="U126" s="566"/>
    </row>
    <row r="127" spans="1:21" ht="18.75" x14ac:dyDescent="0.25">
      <c r="A127" s="687"/>
      <c r="B127" s="688"/>
      <c r="C127" s="688"/>
      <c r="D127" s="699" t="s">
        <v>53</v>
      </c>
      <c r="E127" s="695"/>
      <c r="F127" s="695"/>
      <c r="G127" s="692"/>
      <c r="H127" s="681" t="s">
        <v>35</v>
      </c>
      <c r="I127" s="708">
        <f ca="1">IFERROR(__xludf.DUMMYFUNCTION("IMPORTRANGE(""https://docs.google.com/spreadsheets/d/1eHaY18a8A9IcSdp1K8H6x8fbOy06t2VsZHhMHf-1x7Y/edit?usp=sharing"",""แผน!FF21"")"),20)</f>
        <v>20</v>
      </c>
      <c r="J127" s="702">
        <v>20</v>
      </c>
      <c r="K127" s="568">
        <f t="shared" ref="K127:K130" ca="1" si="86">IF(I127&gt;0,J127*100/I127,0)</f>
        <v>100</v>
      </c>
      <c r="L127" s="574"/>
      <c r="M127" s="566"/>
      <c r="N127" s="566"/>
      <c r="O127" s="566"/>
      <c r="P127" s="566"/>
      <c r="Q127" s="566"/>
      <c r="R127" s="566"/>
      <c r="S127" s="566"/>
      <c r="T127" s="566"/>
      <c r="U127" s="566"/>
    </row>
    <row r="128" spans="1:21" ht="18.75" x14ac:dyDescent="0.25">
      <c r="A128" s="687"/>
      <c r="B128" s="688"/>
      <c r="C128" s="688"/>
      <c r="D128" s="695"/>
      <c r="E128" s="695"/>
      <c r="F128" s="695"/>
      <c r="G128" s="692"/>
      <c r="H128" s="681" t="s">
        <v>54</v>
      </c>
      <c r="I128" s="708">
        <f ca="1">IFERROR(__xludf.DUMMYFUNCTION("IMPORTRANGE(""https://docs.google.com/spreadsheets/d/1eHaY18a8A9IcSdp1K8H6x8fbOy06t2VsZHhMHf-1x7Y/edit?usp=sharing"",""แผน!FG21"")"),0)</f>
        <v>0</v>
      </c>
      <c r="J128" s="702">
        <v>0</v>
      </c>
      <c r="K128" s="568">
        <f t="shared" ca="1" si="86"/>
        <v>0</v>
      </c>
      <c r="L128" s="574"/>
      <c r="M128" s="566"/>
      <c r="N128" s="566"/>
      <c r="O128" s="566"/>
      <c r="P128" s="566"/>
      <c r="Q128" s="566"/>
      <c r="R128" s="566"/>
      <c r="S128" s="566"/>
      <c r="T128" s="566"/>
      <c r="U128" s="566"/>
    </row>
    <row r="129" spans="1:21" ht="18.75" x14ac:dyDescent="0.25">
      <c r="A129" s="687"/>
      <c r="B129" s="688"/>
      <c r="C129" s="688"/>
      <c r="D129" s="699" t="s">
        <v>55</v>
      </c>
      <c r="E129" s="695"/>
      <c r="F129" s="695"/>
      <c r="G129" s="692"/>
      <c r="H129" s="681" t="s">
        <v>35</v>
      </c>
      <c r="I129" s="708">
        <f ca="1">IFERROR(__xludf.DUMMYFUNCTION("IMPORTRANGE(""https://docs.google.com/spreadsheets/d/1eHaY18a8A9IcSdp1K8H6x8fbOy06t2VsZHhMHf-1x7Y/edit?usp=sharing"",""แผน!FH21"")"),20)</f>
        <v>20</v>
      </c>
      <c r="J129" s="702">
        <v>20</v>
      </c>
      <c r="K129" s="568">
        <f t="shared" ca="1" si="86"/>
        <v>100</v>
      </c>
      <c r="L129" s="574"/>
      <c r="M129" s="566"/>
      <c r="N129" s="566"/>
      <c r="O129" s="566"/>
      <c r="P129" s="566"/>
      <c r="Q129" s="566"/>
      <c r="R129" s="566"/>
      <c r="S129" s="566"/>
      <c r="T129" s="566"/>
      <c r="U129" s="566"/>
    </row>
    <row r="130" spans="1:21" ht="18.75" x14ac:dyDescent="0.25">
      <c r="A130" s="687"/>
      <c r="B130" s="688"/>
      <c r="C130" s="688"/>
      <c r="D130" s="695"/>
      <c r="E130" s="695"/>
      <c r="F130" s="695"/>
      <c r="G130" s="692"/>
      <c r="H130" s="681" t="s">
        <v>54</v>
      </c>
      <c r="I130" s="708">
        <f ca="1">IFERROR(__xludf.DUMMYFUNCTION("IMPORTRANGE(""https://docs.google.com/spreadsheets/d/1eHaY18a8A9IcSdp1K8H6x8fbOy06t2VsZHhMHf-1x7Y/edit?usp=sharing"",""แผน!FI21"")"),0)</f>
        <v>0</v>
      </c>
      <c r="J130" s="702">
        <v>0</v>
      </c>
      <c r="K130" s="568">
        <f t="shared" ca="1" si="86"/>
        <v>0</v>
      </c>
      <c r="L130" s="574"/>
      <c r="M130" s="566"/>
      <c r="N130" s="566"/>
      <c r="O130" s="566"/>
      <c r="P130" s="566"/>
      <c r="Q130" s="566"/>
      <c r="R130" s="566"/>
      <c r="S130" s="566"/>
      <c r="T130" s="566"/>
      <c r="U130" s="566"/>
    </row>
    <row r="131" spans="1:21" ht="18.75" hidden="1" x14ac:dyDescent="0.25">
      <c r="A131" s="687"/>
      <c r="B131" s="688"/>
      <c r="C131" s="688"/>
      <c r="D131" s="726" t="s">
        <v>56</v>
      </c>
      <c r="E131" s="695"/>
      <c r="F131" s="695"/>
      <c r="G131" s="692"/>
      <c r="H131" s="680" t="s">
        <v>35</v>
      </c>
      <c r="I131" s="565"/>
      <c r="J131" s="565"/>
      <c r="K131" s="566"/>
      <c r="L131" s="574"/>
      <c r="M131" s="566"/>
      <c r="N131" s="566"/>
      <c r="O131" s="566"/>
      <c r="P131" s="566"/>
      <c r="Q131" s="566"/>
      <c r="R131" s="566"/>
      <c r="S131" s="566"/>
      <c r="T131" s="566"/>
      <c r="U131" s="566"/>
    </row>
    <row r="132" spans="1:21" ht="18.75" hidden="1" x14ac:dyDescent="0.25">
      <c r="A132" s="687"/>
      <c r="B132" s="688"/>
      <c r="C132" s="688"/>
      <c r="D132" s="726" t="s">
        <v>57</v>
      </c>
      <c r="E132" s="695"/>
      <c r="F132" s="695"/>
      <c r="G132" s="692"/>
      <c r="H132" s="727"/>
      <c r="I132" s="565"/>
      <c r="J132" s="565"/>
      <c r="K132" s="566"/>
      <c r="L132" s="574"/>
      <c r="M132" s="566"/>
      <c r="N132" s="566"/>
      <c r="O132" s="566"/>
      <c r="P132" s="566"/>
      <c r="Q132" s="566"/>
      <c r="R132" s="566"/>
      <c r="S132" s="566"/>
      <c r="T132" s="566"/>
      <c r="U132" s="566"/>
    </row>
    <row r="133" spans="1:21" ht="12.75" hidden="1" x14ac:dyDescent="0.2">
      <c r="A133" s="705"/>
      <c r="B133" s="706"/>
      <c r="C133" s="706"/>
      <c r="D133" s="531"/>
      <c r="E133" s="531"/>
      <c r="F133" s="531"/>
      <c r="G133" s="532"/>
      <c r="H133" s="728"/>
      <c r="I133" s="533"/>
      <c r="J133" s="533"/>
      <c r="K133" s="534"/>
      <c r="L133" s="535"/>
      <c r="M133" s="534"/>
      <c r="N133" s="534"/>
      <c r="O133" s="534"/>
      <c r="P133" s="534"/>
      <c r="Q133" s="534"/>
      <c r="R133" s="534"/>
      <c r="S133" s="534"/>
      <c r="T133" s="534"/>
      <c r="U133" s="534"/>
    </row>
    <row r="134" spans="1:21" ht="19.5" hidden="1" x14ac:dyDescent="0.3">
      <c r="A134" s="662" t="s">
        <v>58</v>
      </c>
      <c r="B134" s="663"/>
      <c r="C134" s="729"/>
      <c r="D134" s="663"/>
      <c r="E134" s="663"/>
      <c r="F134" s="663"/>
      <c r="G134" s="663"/>
      <c r="H134" s="663"/>
      <c r="I134" s="730"/>
      <c r="J134" s="730"/>
      <c r="K134" s="731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</row>
    <row r="135" spans="1:21" ht="19.5" hidden="1" x14ac:dyDescent="0.3">
      <c r="A135" s="669"/>
      <c r="B135" s="544" t="s">
        <v>59</v>
      </c>
      <c r="C135" s="716"/>
      <c r="D135" s="670"/>
      <c r="E135" s="543"/>
      <c r="F135" s="543"/>
      <c r="G135" s="543"/>
      <c r="H135" s="543"/>
      <c r="I135" s="732"/>
      <c r="J135" s="548"/>
      <c r="K135" s="549"/>
      <c r="L135" s="673"/>
      <c r="M135" s="549"/>
      <c r="N135" s="549"/>
      <c r="O135" s="549"/>
      <c r="P135" s="549"/>
      <c r="Q135" s="549"/>
      <c r="R135" s="549"/>
      <c r="S135" s="549"/>
      <c r="T135" s="549"/>
      <c r="U135" s="549"/>
    </row>
    <row r="136" spans="1:21" ht="19.5" hidden="1" x14ac:dyDescent="0.3">
      <c r="A136" s="669"/>
      <c r="B136" s="543"/>
      <c r="C136" s="733" t="s">
        <v>60</v>
      </c>
      <c r="D136" s="670"/>
      <c r="E136" s="543"/>
      <c r="F136" s="543"/>
      <c r="G136" s="546"/>
      <c r="H136" s="671" t="s">
        <v>61</v>
      </c>
      <c r="I136" s="672">
        <f t="shared" ref="I136:J136" ca="1" si="87">I154</f>
        <v>0</v>
      </c>
      <c r="J136" s="672">
        <f t="shared" si="87"/>
        <v>0</v>
      </c>
      <c r="K136" s="551">
        <f t="shared" ref="K136:K138" ca="1" si="88">IF(I136&gt;0,J136*100/I136,0)</f>
        <v>0</v>
      </c>
      <c r="L136" s="673"/>
      <c r="M136" s="549"/>
      <c r="N136" s="549"/>
      <c r="O136" s="549"/>
      <c r="P136" s="549"/>
      <c r="Q136" s="549"/>
      <c r="R136" s="549"/>
      <c r="S136" s="549"/>
      <c r="T136" s="549"/>
      <c r="U136" s="549"/>
    </row>
    <row r="137" spans="1:21" ht="19.5" hidden="1" x14ac:dyDescent="0.3">
      <c r="A137" s="669"/>
      <c r="B137" s="543"/>
      <c r="C137" s="733" t="s">
        <v>62</v>
      </c>
      <c r="D137" s="670"/>
      <c r="E137" s="543"/>
      <c r="F137" s="543"/>
      <c r="G137" s="546"/>
      <c r="H137" s="671" t="s">
        <v>35</v>
      </c>
      <c r="I137" s="672">
        <f t="shared" ref="I137:J138" ca="1" si="89">I152</f>
        <v>0</v>
      </c>
      <c r="J137" s="672">
        <f t="shared" si="89"/>
        <v>0</v>
      </c>
      <c r="K137" s="551">
        <f t="shared" ca="1" si="88"/>
        <v>0</v>
      </c>
      <c r="L137" s="673"/>
      <c r="M137" s="549"/>
      <c r="N137" s="549"/>
      <c r="O137" s="549"/>
      <c r="P137" s="549"/>
      <c r="Q137" s="549"/>
      <c r="R137" s="549"/>
      <c r="S137" s="549"/>
      <c r="T137" s="549"/>
      <c r="U137" s="549"/>
    </row>
    <row r="138" spans="1:21" ht="19.5" hidden="1" x14ac:dyDescent="0.3">
      <c r="A138" s="669"/>
      <c r="B138" s="543"/>
      <c r="C138" s="716"/>
      <c r="D138" s="670"/>
      <c r="E138" s="543"/>
      <c r="F138" s="543"/>
      <c r="G138" s="546"/>
      <c r="H138" s="671" t="s">
        <v>54</v>
      </c>
      <c r="I138" s="672">
        <f t="shared" ca="1" si="89"/>
        <v>0</v>
      </c>
      <c r="J138" s="672">
        <f t="shared" si="89"/>
        <v>0</v>
      </c>
      <c r="K138" s="551">
        <f t="shared" ca="1" si="88"/>
        <v>0</v>
      </c>
      <c r="L138" s="673"/>
      <c r="M138" s="549"/>
      <c r="N138" s="549"/>
      <c r="O138" s="549"/>
      <c r="P138" s="549"/>
      <c r="Q138" s="549"/>
      <c r="R138" s="549"/>
      <c r="S138" s="549"/>
      <c r="T138" s="549"/>
      <c r="U138" s="549"/>
    </row>
    <row r="139" spans="1:21" ht="19.5" hidden="1" x14ac:dyDescent="0.3">
      <c r="A139" s="674"/>
      <c r="B139" s="561"/>
      <c r="C139" s="675" t="s">
        <v>18</v>
      </c>
      <c r="D139" s="676" t="s">
        <v>19</v>
      </c>
      <c r="E139" s="561"/>
      <c r="F139" s="561"/>
      <c r="G139" s="563"/>
      <c r="H139" s="677" t="s">
        <v>14</v>
      </c>
      <c r="I139" s="565"/>
      <c r="J139" s="565"/>
      <c r="K139" s="566"/>
      <c r="L139" s="678">
        <f t="shared" ref="L139:N139" ca="1" si="90">L140+L141</f>
        <v>0</v>
      </c>
      <c r="M139" s="679">
        <f t="shared" ca="1" si="90"/>
        <v>0</v>
      </c>
      <c r="N139" s="679">
        <f t="shared" ca="1" si="90"/>
        <v>0</v>
      </c>
      <c r="O139" s="679">
        <f t="shared" ref="O139:O147" ca="1" si="91">IF(L139&gt;0,N139*100/L139,0)</f>
        <v>0</v>
      </c>
      <c r="P139" s="679">
        <f t="shared" ref="P139:P147" ca="1" si="92">IF(M139&gt;0,N139*100/M139,0)</f>
        <v>0</v>
      </c>
      <c r="Q139" s="679">
        <f t="shared" ref="Q139:S139" ca="1" si="93">Q140+Q141</f>
        <v>0</v>
      </c>
      <c r="R139" s="679">
        <f t="shared" ca="1" si="93"/>
        <v>0</v>
      </c>
      <c r="S139" s="679">
        <f t="shared" ca="1" si="93"/>
        <v>0</v>
      </c>
      <c r="T139" s="679">
        <f t="shared" ref="T139:T147" ca="1" si="94">IF(Q139&gt;0,S139*100/Q139,0)</f>
        <v>0</v>
      </c>
      <c r="U139" s="679">
        <f t="shared" ref="U139:U147" ca="1" si="95">IF(R139&gt;0,S139*100/R139,0)</f>
        <v>0</v>
      </c>
    </row>
    <row r="140" spans="1:21" ht="18.75" hidden="1" x14ac:dyDescent="0.25">
      <c r="A140" s="674"/>
      <c r="B140" s="561"/>
      <c r="C140" s="561"/>
      <c r="D140" s="561"/>
      <c r="E140" s="569" t="s">
        <v>20</v>
      </c>
      <c r="F140" s="561"/>
      <c r="G140" s="563"/>
      <c r="H140" s="680" t="s">
        <v>14</v>
      </c>
      <c r="I140" s="565"/>
      <c r="J140" s="565"/>
      <c r="K140" s="566"/>
      <c r="L140" s="571">
        <f t="shared" ref="L140:N141" si="96">L143+L146</f>
        <v>0</v>
      </c>
      <c r="M140" s="572">
        <f t="shared" si="96"/>
        <v>0</v>
      </c>
      <c r="N140" s="572">
        <f t="shared" si="96"/>
        <v>0</v>
      </c>
      <c r="O140" s="572">
        <f t="shared" si="91"/>
        <v>0</v>
      </c>
      <c r="P140" s="572">
        <f t="shared" si="92"/>
        <v>0</v>
      </c>
      <c r="Q140" s="572">
        <f t="shared" ref="Q140:S141" si="97">Q143+Q146</f>
        <v>0</v>
      </c>
      <c r="R140" s="572">
        <f t="shared" si="97"/>
        <v>0</v>
      </c>
      <c r="S140" s="572">
        <f t="shared" si="97"/>
        <v>0</v>
      </c>
      <c r="T140" s="572">
        <f t="shared" si="94"/>
        <v>0</v>
      </c>
      <c r="U140" s="572">
        <f t="shared" si="95"/>
        <v>0</v>
      </c>
    </row>
    <row r="141" spans="1:21" ht="18.75" hidden="1" x14ac:dyDescent="0.25">
      <c r="A141" s="674"/>
      <c r="B141" s="561"/>
      <c r="C141" s="561"/>
      <c r="D141" s="561"/>
      <c r="E141" s="573" t="s">
        <v>21</v>
      </c>
      <c r="F141" s="561"/>
      <c r="G141" s="563"/>
      <c r="H141" s="681" t="s">
        <v>14</v>
      </c>
      <c r="I141" s="565"/>
      <c r="J141" s="565"/>
      <c r="K141" s="566"/>
      <c r="L141" s="567">
        <f t="shared" ca="1" si="96"/>
        <v>0</v>
      </c>
      <c r="M141" s="568">
        <f t="shared" ca="1" si="96"/>
        <v>0</v>
      </c>
      <c r="N141" s="568">
        <f t="shared" ca="1" si="96"/>
        <v>0</v>
      </c>
      <c r="O141" s="568">
        <f t="shared" ca="1" si="91"/>
        <v>0</v>
      </c>
      <c r="P141" s="568">
        <f t="shared" ca="1" si="92"/>
        <v>0</v>
      </c>
      <c r="Q141" s="568">
        <f t="shared" ca="1" si="97"/>
        <v>0</v>
      </c>
      <c r="R141" s="568">
        <f t="shared" ca="1" si="97"/>
        <v>0</v>
      </c>
      <c r="S141" s="568">
        <f t="shared" ca="1" si="97"/>
        <v>0</v>
      </c>
      <c r="T141" s="568">
        <f t="shared" ca="1" si="94"/>
        <v>0</v>
      </c>
      <c r="U141" s="568">
        <f t="shared" ca="1" si="95"/>
        <v>0</v>
      </c>
    </row>
    <row r="142" spans="1:21" ht="18.75" hidden="1" x14ac:dyDescent="0.25">
      <c r="A142" s="674"/>
      <c r="B142" s="561"/>
      <c r="C142" s="561"/>
      <c r="D142" s="562" t="s">
        <v>22</v>
      </c>
      <c r="E142" s="561"/>
      <c r="F142" s="561"/>
      <c r="G142" s="563"/>
      <c r="H142" s="682" t="s">
        <v>14</v>
      </c>
      <c r="I142" s="683"/>
      <c r="J142" s="683"/>
      <c r="K142" s="684"/>
      <c r="L142" s="567">
        <f t="shared" ref="L142:N142" ca="1" si="98">L143+L144</f>
        <v>0</v>
      </c>
      <c r="M142" s="568">
        <f t="shared" ca="1" si="98"/>
        <v>0</v>
      </c>
      <c r="N142" s="568">
        <f t="shared" ca="1" si="98"/>
        <v>0</v>
      </c>
      <c r="O142" s="568">
        <f t="shared" ca="1" si="91"/>
        <v>0</v>
      </c>
      <c r="P142" s="568">
        <f t="shared" ca="1" si="92"/>
        <v>0</v>
      </c>
      <c r="Q142" s="568">
        <f t="shared" ref="Q142:S142" ca="1" si="99">Q143+Q144</f>
        <v>0</v>
      </c>
      <c r="R142" s="568">
        <f t="shared" ca="1" si="99"/>
        <v>0</v>
      </c>
      <c r="S142" s="568">
        <f t="shared" ca="1" si="99"/>
        <v>0</v>
      </c>
      <c r="T142" s="568">
        <f t="shared" ca="1" si="94"/>
        <v>0</v>
      </c>
      <c r="U142" s="568">
        <f t="shared" ca="1" si="95"/>
        <v>0</v>
      </c>
    </row>
    <row r="143" spans="1:21" ht="18.75" hidden="1" x14ac:dyDescent="0.25">
      <c r="A143" s="674"/>
      <c r="B143" s="561"/>
      <c r="C143" s="561"/>
      <c r="D143" s="561"/>
      <c r="E143" s="569" t="s">
        <v>36</v>
      </c>
      <c r="F143" s="561"/>
      <c r="G143" s="563"/>
      <c r="H143" s="685" t="s">
        <v>14</v>
      </c>
      <c r="I143" s="683"/>
      <c r="J143" s="683"/>
      <c r="K143" s="684"/>
      <c r="L143" s="571">
        <v>0</v>
      </c>
      <c r="M143" s="572">
        <v>0</v>
      </c>
      <c r="N143" s="572">
        <v>0</v>
      </c>
      <c r="O143" s="572">
        <f t="shared" si="91"/>
        <v>0</v>
      </c>
      <c r="P143" s="572">
        <f t="shared" si="92"/>
        <v>0</v>
      </c>
      <c r="Q143" s="572">
        <v>0</v>
      </c>
      <c r="R143" s="572">
        <v>0</v>
      </c>
      <c r="S143" s="572">
        <v>0</v>
      </c>
      <c r="T143" s="572">
        <f t="shared" si="94"/>
        <v>0</v>
      </c>
      <c r="U143" s="572">
        <f t="shared" si="95"/>
        <v>0</v>
      </c>
    </row>
    <row r="144" spans="1:21" ht="18.75" hidden="1" x14ac:dyDescent="0.25">
      <c r="A144" s="674"/>
      <c r="B144" s="561"/>
      <c r="C144" s="561"/>
      <c r="D144" s="561"/>
      <c r="E144" s="573" t="s">
        <v>37</v>
      </c>
      <c r="F144" s="561"/>
      <c r="G144" s="563"/>
      <c r="H144" s="682" t="s">
        <v>14</v>
      </c>
      <c r="I144" s="683"/>
      <c r="J144" s="683"/>
      <c r="K144" s="684"/>
      <c r="L144" s="567">
        <f ca="1">IFERROR(__xludf.DUMMYFUNCTION("IMPORTRANGE(""https://docs.google.com/spreadsheets/d/1-uDff_7J0KD5mKrp0Vvzr7lt3OU09vwQwhkpOPPYv2Y/edit?usp=sharing"",""งบพรบ!BQ21"")"),0)</f>
        <v>0</v>
      </c>
      <c r="M144" s="568">
        <f ca="1">IFERROR(__xludf.DUMMYFUNCTION("IMPORTRANGE(""https://docs.google.com/spreadsheets/d/1-uDff_7J0KD5mKrp0Vvzr7lt3OU09vwQwhkpOPPYv2Y/edit?usp=sharing"",""งบพรบ!BV21"")"),0)</f>
        <v>0</v>
      </c>
      <c r="N144" s="568">
        <f ca="1">IFERROR(__xludf.DUMMYFUNCTION("IMPORTRANGE(""https://docs.google.com/spreadsheets/d/1-uDff_7J0KD5mKrp0Vvzr7lt3OU09vwQwhkpOPPYv2Y/edit?usp=sharing"",""งบพรบ!BX21"")"),0)</f>
        <v>0</v>
      </c>
      <c r="O144" s="568">
        <f t="shared" ca="1" si="91"/>
        <v>0</v>
      </c>
      <c r="P144" s="568">
        <f t="shared" ca="1" si="92"/>
        <v>0</v>
      </c>
      <c r="Q144" s="568">
        <f ca="1">IFERROR(__xludf.DUMMYFUNCTION("IMPORTRANGE(""https://docs.google.com/spreadsheets/d/1ItG2mGa2ceCfYo0BwxsXqNm01IGEUdYcSSLTEv9YCik/edit?usp=sharing"",""เบิกจ่ายกองทุน!CF21"")"),0)</f>
        <v>0</v>
      </c>
      <c r="R144" s="568">
        <f ca="1">IFERROR(__xludf.DUMMYFUNCTION("IMPORTRANGE(""https://docs.google.com/spreadsheets/d/1ItG2mGa2ceCfYo0BwxsXqNm01IGEUdYcSSLTEv9YCik/edit?usp=sharing"",""เบิกจ่ายกองทุน!CG21"")"),0)</f>
        <v>0</v>
      </c>
      <c r="S144" s="568">
        <f ca="1">IFERROR(__xludf.DUMMYFUNCTION("IMPORTRANGE(""https://docs.google.com/spreadsheets/d/1ItG2mGa2ceCfYo0BwxsXqNm01IGEUdYcSSLTEv9YCik/edit?usp=sharing"",""เบิกจ่ายกองทุน!CH21"")"),0)</f>
        <v>0</v>
      </c>
      <c r="T144" s="568">
        <f t="shared" ca="1" si="94"/>
        <v>0</v>
      </c>
      <c r="U144" s="568">
        <f t="shared" ca="1" si="95"/>
        <v>0</v>
      </c>
    </row>
    <row r="145" spans="1:21" ht="18.75" hidden="1" x14ac:dyDescent="0.25">
      <c r="A145" s="674"/>
      <c r="B145" s="561"/>
      <c r="C145" s="561"/>
      <c r="D145" s="562" t="s">
        <v>23</v>
      </c>
      <c r="E145" s="561"/>
      <c r="F145" s="561"/>
      <c r="G145" s="563"/>
      <c r="H145" s="686" t="s">
        <v>14</v>
      </c>
      <c r="I145" s="683"/>
      <c r="J145" s="683"/>
      <c r="K145" s="684"/>
      <c r="L145" s="567">
        <f t="shared" ref="L145:N145" ca="1" si="100">L146+L147</f>
        <v>0</v>
      </c>
      <c r="M145" s="568">
        <f t="shared" ca="1" si="100"/>
        <v>0</v>
      </c>
      <c r="N145" s="568">
        <f t="shared" ca="1" si="100"/>
        <v>0</v>
      </c>
      <c r="O145" s="568">
        <f t="shared" ca="1" si="91"/>
        <v>0</v>
      </c>
      <c r="P145" s="568">
        <f t="shared" ca="1" si="92"/>
        <v>0</v>
      </c>
      <c r="Q145" s="568">
        <f t="shared" ref="Q145:S145" ca="1" si="101">Q146+Q147</f>
        <v>0</v>
      </c>
      <c r="R145" s="568">
        <f t="shared" ca="1" si="101"/>
        <v>0</v>
      </c>
      <c r="S145" s="568">
        <f t="shared" ca="1" si="101"/>
        <v>0</v>
      </c>
      <c r="T145" s="568">
        <f t="shared" ca="1" si="94"/>
        <v>0</v>
      </c>
      <c r="U145" s="568">
        <f t="shared" ca="1" si="95"/>
        <v>0</v>
      </c>
    </row>
    <row r="146" spans="1:21" ht="18.75" hidden="1" x14ac:dyDescent="0.25">
      <c r="A146" s="674"/>
      <c r="B146" s="561"/>
      <c r="C146" s="561"/>
      <c r="D146" s="561"/>
      <c r="E146" s="569" t="s">
        <v>20</v>
      </c>
      <c r="F146" s="561"/>
      <c r="G146" s="563"/>
      <c r="H146" s="685" t="s">
        <v>14</v>
      </c>
      <c r="I146" s="683"/>
      <c r="J146" s="683"/>
      <c r="K146" s="684"/>
      <c r="L146" s="571">
        <v>0</v>
      </c>
      <c r="M146" s="572">
        <v>0</v>
      </c>
      <c r="N146" s="572">
        <v>0</v>
      </c>
      <c r="O146" s="572">
        <f t="shared" si="91"/>
        <v>0</v>
      </c>
      <c r="P146" s="572">
        <f t="shared" si="92"/>
        <v>0</v>
      </c>
      <c r="Q146" s="572">
        <v>0</v>
      </c>
      <c r="R146" s="572">
        <v>0</v>
      </c>
      <c r="S146" s="572">
        <v>0</v>
      </c>
      <c r="T146" s="572">
        <f t="shared" si="94"/>
        <v>0</v>
      </c>
      <c r="U146" s="572">
        <f t="shared" si="95"/>
        <v>0</v>
      </c>
    </row>
    <row r="147" spans="1:21" ht="18.75" hidden="1" x14ac:dyDescent="0.25">
      <c r="A147" s="674"/>
      <c r="B147" s="561"/>
      <c r="C147" s="561"/>
      <c r="D147" s="561"/>
      <c r="E147" s="573" t="s">
        <v>21</v>
      </c>
      <c r="F147" s="561"/>
      <c r="G147" s="563"/>
      <c r="H147" s="686" t="s">
        <v>14</v>
      </c>
      <c r="I147" s="683"/>
      <c r="J147" s="683"/>
      <c r="K147" s="684"/>
      <c r="L147" s="567">
        <f ca="1">IFERROR(__xludf.DUMMYFUNCTION("IMPORTRANGE(""https://docs.google.com/spreadsheets/d/1-uDff_7J0KD5mKrp0Vvzr7lt3OU09vwQwhkpOPPYv2Y/edit?usp=sharing"",""งบพรบ!BT21"")"),0)</f>
        <v>0</v>
      </c>
      <c r="M147" s="568">
        <f ca="1">IFERROR(__xludf.DUMMYFUNCTION("IMPORTRANGE(""https://docs.google.com/spreadsheets/d/1-uDff_7J0KD5mKrp0Vvzr7lt3OU09vwQwhkpOPPYv2Y/edit?usp=sharing"",""งบพรบ!BW21"")"),0)</f>
        <v>0</v>
      </c>
      <c r="N147" s="568">
        <f ca="1">IFERROR(__xludf.DUMMYFUNCTION("IMPORTRANGE(""https://docs.google.com/spreadsheets/d/1-uDff_7J0KD5mKrp0Vvzr7lt3OU09vwQwhkpOPPYv2Y/edit?usp=sharing"",""งบพรบ!BY21"")"),0)</f>
        <v>0</v>
      </c>
      <c r="O147" s="568">
        <f t="shared" ca="1" si="91"/>
        <v>0</v>
      </c>
      <c r="P147" s="568">
        <f t="shared" ca="1" si="92"/>
        <v>0</v>
      </c>
      <c r="Q147" s="568">
        <f ca="1">IFERROR(__xludf.DUMMYFUNCTION("IMPORTRANGE(""https://docs.google.com/spreadsheets/d/1ItG2mGa2ceCfYo0BwxsXqNm01IGEUdYcSSLTEv9YCik/edit?usp=sharing"",""เบิกจ่ายกองทุน!CI21"")"),0)</f>
        <v>0</v>
      </c>
      <c r="R147" s="568">
        <f ca="1">IFERROR(__xludf.DUMMYFUNCTION("IMPORTRANGE(""https://docs.google.com/spreadsheets/d/1ItG2mGa2ceCfYo0BwxsXqNm01IGEUdYcSSLTEv9YCik/edit?usp=sharing"",""เบิกจ่ายกองทุน!CJ21"")"),0)</f>
        <v>0</v>
      </c>
      <c r="S147" s="568">
        <f ca="1">IFERROR(__xludf.DUMMYFUNCTION("IMPORTRANGE(""https://docs.google.com/spreadsheets/d/1ItG2mGa2ceCfYo0BwxsXqNm01IGEUdYcSSLTEv9YCik/edit?usp=sharing"",""เบิกจ่ายกองทุน!CK21"")"),0)</f>
        <v>0</v>
      </c>
      <c r="T147" s="568">
        <f t="shared" ca="1" si="94"/>
        <v>0</v>
      </c>
      <c r="U147" s="568">
        <f t="shared" ca="1" si="95"/>
        <v>0</v>
      </c>
    </row>
    <row r="148" spans="1:21" ht="19.5" hidden="1" x14ac:dyDescent="0.3">
      <c r="A148" s="687"/>
      <c r="B148" s="688"/>
      <c r="C148" s="675" t="s">
        <v>18</v>
      </c>
      <c r="D148" s="689" t="s">
        <v>38</v>
      </c>
      <c r="E148" s="690"/>
      <c r="F148" s="690"/>
      <c r="G148" s="691"/>
      <c r="H148" s="725"/>
      <c r="I148" s="565"/>
      <c r="J148" s="565"/>
      <c r="K148" s="566"/>
      <c r="L148" s="574"/>
      <c r="M148" s="566"/>
      <c r="N148" s="566"/>
      <c r="O148" s="566"/>
      <c r="P148" s="566"/>
      <c r="Q148" s="566"/>
      <c r="R148" s="566"/>
      <c r="S148" s="566"/>
      <c r="T148" s="566"/>
      <c r="U148" s="566"/>
    </row>
    <row r="149" spans="1:21" ht="18.75" hidden="1" x14ac:dyDescent="0.25">
      <c r="A149" s="674"/>
      <c r="B149" s="561"/>
      <c r="C149" s="561"/>
      <c r="D149" s="573" t="s">
        <v>63</v>
      </c>
      <c r="E149" s="561"/>
      <c r="F149" s="561"/>
      <c r="G149" s="563"/>
      <c r="H149" s="725"/>
      <c r="I149" s="565"/>
      <c r="J149" s="702">
        <v>0</v>
      </c>
      <c r="K149" s="566"/>
      <c r="L149" s="574"/>
      <c r="M149" s="566"/>
      <c r="N149" s="566"/>
      <c r="O149" s="566"/>
      <c r="P149" s="566"/>
      <c r="Q149" s="566"/>
      <c r="R149" s="566"/>
      <c r="S149" s="566"/>
      <c r="T149" s="566"/>
      <c r="U149" s="566"/>
    </row>
    <row r="150" spans="1:21" ht="19.5" hidden="1" x14ac:dyDescent="0.3">
      <c r="A150" s="674"/>
      <c r="B150" s="561"/>
      <c r="C150" s="561"/>
      <c r="D150" s="695"/>
      <c r="E150" s="675" t="s">
        <v>299</v>
      </c>
      <c r="F150" s="561"/>
      <c r="G150" s="563"/>
      <c r="H150" s="686" t="s">
        <v>35</v>
      </c>
      <c r="I150" s="708">
        <f ca="1">IFERROR(__xludf.DUMMYFUNCTION("IMPORTRANGE(""https://docs.google.com/spreadsheets/d/1eHaY18a8A9IcSdp1K8H6x8fbOy06t2VsZHhMHf-1x7Y/edit?usp=sharing"",""แผน!U21"")"),0)</f>
        <v>0</v>
      </c>
      <c r="J150" s="702">
        <v>0</v>
      </c>
      <c r="K150" s="568">
        <f t="shared" ref="K150:K154" ca="1" si="102">IF(I150&gt;0,J150*100/I150,0)</f>
        <v>0</v>
      </c>
      <c r="L150" s="574"/>
      <c r="M150" s="566"/>
      <c r="N150" s="566"/>
      <c r="O150" s="566"/>
      <c r="P150" s="566"/>
      <c r="Q150" s="566"/>
      <c r="R150" s="566"/>
      <c r="S150" s="566"/>
      <c r="T150" s="566"/>
      <c r="U150" s="566"/>
    </row>
    <row r="151" spans="1:21" ht="18.75" hidden="1" x14ac:dyDescent="0.25">
      <c r="A151" s="674"/>
      <c r="B151" s="561"/>
      <c r="C151" s="561"/>
      <c r="D151" s="695"/>
      <c r="E151" s="561"/>
      <c r="F151" s="561"/>
      <c r="G151" s="563"/>
      <c r="H151" s="686" t="s">
        <v>54</v>
      </c>
      <c r="I151" s="708">
        <f ca="1">IFERROR(__xludf.DUMMYFUNCTION("IMPORTRANGE(""https://docs.google.com/spreadsheets/d/1eHaY18a8A9IcSdp1K8H6x8fbOy06t2VsZHhMHf-1x7Y/edit?usp=sharing"",""แผน!V21"")"),0)</f>
        <v>0</v>
      </c>
      <c r="J151" s="702">
        <v>0</v>
      </c>
      <c r="K151" s="568">
        <f t="shared" ca="1" si="102"/>
        <v>0</v>
      </c>
      <c r="L151" s="574"/>
      <c r="M151" s="566"/>
      <c r="N151" s="566"/>
      <c r="O151" s="566"/>
      <c r="P151" s="566"/>
      <c r="Q151" s="566"/>
      <c r="R151" s="566"/>
      <c r="S151" s="566"/>
      <c r="T151" s="566"/>
      <c r="U151" s="566"/>
    </row>
    <row r="152" spans="1:21" ht="19.5" hidden="1" x14ac:dyDescent="0.3">
      <c r="A152" s="674"/>
      <c r="B152" s="561"/>
      <c r="C152" s="561"/>
      <c r="D152" s="695"/>
      <c r="E152" s="675" t="s">
        <v>300</v>
      </c>
      <c r="F152" s="561"/>
      <c r="G152" s="563"/>
      <c r="H152" s="686" t="s">
        <v>35</v>
      </c>
      <c r="I152" s="708">
        <f ca="1">IFERROR(__xludf.DUMMYFUNCTION("IMPORTRANGE(""https://docs.google.com/spreadsheets/d/1eHaY18a8A9IcSdp1K8H6x8fbOy06t2VsZHhMHf-1x7Y/edit?usp=sharing"",""แผน!W21"")"),0)</f>
        <v>0</v>
      </c>
      <c r="J152" s="702">
        <v>0</v>
      </c>
      <c r="K152" s="568">
        <f t="shared" ca="1" si="102"/>
        <v>0</v>
      </c>
      <c r="L152" s="574"/>
      <c r="M152" s="566"/>
      <c r="N152" s="566"/>
      <c r="O152" s="566"/>
      <c r="P152" s="566"/>
      <c r="Q152" s="566"/>
      <c r="R152" s="566"/>
      <c r="S152" s="566"/>
      <c r="T152" s="566"/>
      <c r="U152" s="566"/>
    </row>
    <row r="153" spans="1:21" ht="18.75" hidden="1" x14ac:dyDescent="0.25">
      <c r="A153" s="674"/>
      <c r="B153" s="561"/>
      <c r="C153" s="561"/>
      <c r="D153" s="561"/>
      <c r="E153" s="561"/>
      <c r="F153" s="561"/>
      <c r="G153" s="563"/>
      <c r="H153" s="686" t="s">
        <v>54</v>
      </c>
      <c r="I153" s="708">
        <f ca="1">IFERROR(__xludf.DUMMYFUNCTION("IMPORTRANGE(""https://docs.google.com/spreadsheets/d/1eHaY18a8A9IcSdp1K8H6x8fbOy06t2VsZHhMHf-1x7Y/edit?usp=sharing"",""แผน!X21"")"),0)</f>
        <v>0</v>
      </c>
      <c r="J153" s="702">
        <v>0</v>
      </c>
      <c r="K153" s="568">
        <f t="shared" ca="1" si="102"/>
        <v>0</v>
      </c>
      <c r="L153" s="574"/>
      <c r="M153" s="566"/>
      <c r="N153" s="566"/>
      <c r="O153" s="566"/>
      <c r="P153" s="566"/>
      <c r="Q153" s="566"/>
      <c r="R153" s="566"/>
      <c r="S153" s="566"/>
      <c r="T153" s="566"/>
      <c r="U153" s="566"/>
    </row>
    <row r="154" spans="1:21" ht="18.75" hidden="1" x14ac:dyDescent="0.25">
      <c r="A154" s="674"/>
      <c r="B154" s="561"/>
      <c r="C154" s="561"/>
      <c r="D154" s="573" t="s">
        <v>66</v>
      </c>
      <c r="E154" s="561"/>
      <c r="F154" s="561"/>
      <c r="G154" s="563"/>
      <c r="H154" s="686" t="s">
        <v>61</v>
      </c>
      <c r="I154" s="708">
        <f ca="1">IFERROR(__xludf.DUMMYFUNCTION("IMPORTRANGE(""https://docs.google.com/spreadsheets/d/1eHaY18a8A9IcSdp1K8H6x8fbOy06t2VsZHhMHf-1x7Y/edit?usp=sharing"",""แผน!Y21"")"),0)</f>
        <v>0</v>
      </c>
      <c r="J154" s="702">
        <v>0</v>
      </c>
      <c r="K154" s="568">
        <f t="shared" ca="1" si="102"/>
        <v>0</v>
      </c>
      <c r="L154" s="574"/>
      <c r="M154" s="566"/>
      <c r="N154" s="566"/>
      <c r="O154" s="566"/>
      <c r="P154" s="566"/>
      <c r="Q154" s="566"/>
      <c r="R154" s="566"/>
      <c r="S154" s="566"/>
      <c r="T154" s="566"/>
      <c r="U154" s="566"/>
    </row>
    <row r="155" spans="1:21" ht="19.5" x14ac:dyDescent="0.3">
      <c r="A155" s="662" t="s">
        <v>67</v>
      </c>
      <c r="B155" s="663"/>
      <c r="C155" s="729"/>
      <c r="D155" s="663"/>
      <c r="E155" s="663"/>
      <c r="F155" s="663"/>
      <c r="G155" s="663"/>
      <c r="H155" s="663"/>
      <c r="I155" s="730"/>
      <c r="J155" s="730"/>
      <c r="K155" s="731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</row>
    <row r="156" spans="1:21" ht="19.5" x14ac:dyDescent="0.3">
      <c r="A156" s="669"/>
      <c r="B156" s="544" t="s">
        <v>68</v>
      </c>
      <c r="C156" s="543"/>
      <c r="D156" s="543"/>
      <c r="E156" s="543"/>
      <c r="F156" s="543"/>
      <c r="G156" s="546"/>
      <c r="H156" s="717" t="s">
        <v>35</v>
      </c>
      <c r="I156" s="672">
        <f t="shared" ref="I156:J156" ca="1" si="103">I169</f>
        <v>0</v>
      </c>
      <c r="J156" s="672">
        <f t="shared" si="103"/>
        <v>0</v>
      </c>
      <c r="K156" s="551">
        <f ca="1">IF(I156&gt;0,J156*100/I156,0)</f>
        <v>0</v>
      </c>
      <c r="L156" s="673"/>
      <c r="M156" s="549"/>
      <c r="N156" s="549"/>
      <c r="O156" s="549"/>
      <c r="P156" s="549"/>
      <c r="Q156" s="549"/>
      <c r="R156" s="549"/>
      <c r="S156" s="549"/>
      <c r="T156" s="549"/>
      <c r="U156" s="549"/>
    </row>
    <row r="157" spans="1:21" ht="19.5" x14ac:dyDescent="0.3">
      <c r="A157" s="674"/>
      <c r="B157" s="561"/>
      <c r="C157" s="675" t="s">
        <v>18</v>
      </c>
      <c r="D157" s="676" t="s">
        <v>19</v>
      </c>
      <c r="E157" s="561"/>
      <c r="F157" s="561"/>
      <c r="G157" s="563"/>
      <c r="H157" s="677" t="s">
        <v>14</v>
      </c>
      <c r="I157" s="565"/>
      <c r="J157" s="565"/>
      <c r="K157" s="566"/>
      <c r="L157" s="678">
        <f t="shared" ref="L157:N157" ca="1" si="104">L158+L159</f>
        <v>0</v>
      </c>
      <c r="M157" s="679">
        <f t="shared" ca="1" si="104"/>
        <v>2880</v>
      </c>
      <c r="N157" s="679">
        <f t="shared" ca="1" si="104"/>
        <v>1796</v>
      </c>
      <c r="O157" s="679">
        <f t="shared" ref="O157:O165" ca="1" si="105">IF(L157&gt;0,N157*100/L157,0)</f>
        <v>0</v>
      </c>
      <c r="P157" s="679">
        <f t="shared" ref="P157:P165" ca="1" si="106">IF(M157&gt;0,N157*100/M157,0)</f>
        <v>62.361111111111114</v>
      </c>
      <c r="Q157" s="679">
        <f t="shared" ref="Q157:S157" ca="1" si="107">Q158+Q159</f>
        <v>0</v>
      </c>
      <c r="R157" s="679">
        <f t="shared" ca="1" si="107"/>
        <v>0</v>
      </c>
      <c r="S157" s="679">
        <f t="shared" ca="1" si="107"/>
        <v>0</v>
      </c>
      <c r="T157" s="679">
        <f t="shared" ref="T157:T165" ca="1" si="108">IF(Q157&gt;0,S157*100/Q157,0)</f>
        <v>0</v>
      </c>
      <c r="U157" s="679">
        <f t="shared" ref="U157:U165" ca="1" si="109">IF(R157&gt;0,S157*100/R157,0)</f>
        <v>0</v>
      </c>
    </row>
    <row r="158" spans="1:21" ht="18.75" x14ac:dyDescent="0.25">
      <c r="A158" s="674"/>
      <c r="B158" s="561"/>
      <c r="C158" s="561"/>
      <c r="D158" s="561"/>
      <c r="E158" s="569" t="s">
        <v>20</v>
      </c>
      <c r="F158" s="561"/>
      <c r="G158" s="563"/>
      <c r="H158" s="680" t="s">
        <v>14</v>
      </c>
      <c r="I158" s="565"/>
      <c r="J158" s="565"/>
      <c r="K158" s="566"/>
      <c r="L158" s="571">
        <f t="shared" ref="L158:N159" si="110">L161+L164</f>
        <v>0</v>
      </c>
      <c r="M158" s="572">
        <f t="shared" si="110"/>
        <v>0</v>
      </c>
      <c r="N158" s="572">
        <f t="shared" si="110"/>
        <v>0</v>
      </c>
      <c r="O158" s="572">
        <f t="shared" si="105"/>
        <v>0</v>
      </c>
      <c r="P158" s="572">
        <f t="shared" si="106"/>
        <v>0</v>
      </c>
      <c r="Q158" s="572">
        <f t="shared" ref="Q158:S159" si="111">Q161+Q164</f>
        <v>0</v>
      </c>
      <c r="R158" s="572">
        <f t="shared" si="111"/>
        <v>0</v>
      </c>
      <c r="S158" s="572">
        <f t="shared" si="111"/>
        <v>0</v>
      </c>
      <c r="T158" s="572">
        <f t="shared" si="108"/>
        <v>0</v>
      </c>
      <c r="U158" s="572">
        <f t="shared" si="109"/>
        <v>0</v>
      </c>
    </row>
    <row r="159" spans="1:21" ht="18.75" x14ac:dyDescent="0.25">
      <c r="A159" s="674"/>
      <c r="B159" s="561"/>
      <c r="C159" s="561"/>
      <c r="D159" s="561"/>
      <c r="E159" s="573" t="s">
        <v>21</v>
      </c>
      <c r="F159" s="561"/>
      <c r="G159" s="563"/>
      <c r="H159" s="681" t="s">
        <v>14</v>
      </c>
      <c r="I159" s="565"/>
      <c r="J159" s="565"/>
      <c r="K159" s="566"/>
      <c r="L159" s="567">
        <f t="shared" ca="1" si="110"/>
        <v>0</v>
      </c>
      <c r="M159" s="568">
        <f t="shared" ca="1" si="110"/>
        <v>2880</v>
      </c>
      <c r="N159" s="568">
        <f t="shared" ca="1" si="110"/>
        <v>1796</v>
      </c>
      <c r="O159" s="568">
        <f t="shared" ca="1" si="105"/>
        <v>0</v>
      </c>
      <c r="P159" s="568">
        <f t="shared" ca="1" si="106"/>
        <v>62.361111111111114</v>
      </c>
      <c r="Q159" s="568">
        <f t="shared" ca="1" si="111"/>
        <v>0</v>
      </c>
      <c r="R159" s="568">
        <f t="shared" ca="1" si="111"/>
        <v>0</v>
      </c>
      <c r="S159" s="568">
        <f t="shared" ca="1" si="111"/>
        <v>0</v>
      </c>
      <c r="T159" s="568">
        <f t="shared" ca="1" si="108"/>
        <v>0</v>
      </c>
      <c r="U159" s="568">
        <f t="shared" ca="1" si="109"/>
        <v>0</v>
      </c>
    </row>
    <row r="160" spans="1:21" ht="18.75" x14ac:dyDescent="0.25">
      <c r="A160" s="674"/>
      <c r="B160" s="561"/>
      <c r="C160" s="561"/>
      <c r="D160" s="562" t="s">
        <v>22</v>
      </c>
      <c r="E160" s="561"/>
      <c r="F160" s="561"/>
      <c r="G160" s="563"/>
      <c r="H160" s="682" t="s">
        <v>14</v>
      </c>
      <c r="I160" s="683"/>
      <c r="J160" s="683"/>
      <c r="K160" s="684"/>
      <c r="L160" s="567">
        <f t="shared" ref="L160:N160" ca="1" si="112">L161+L162</f>
        <v>0</v>
      </c>
      <c r="M160" s="568">
        <f t="shared" ca="1" si="112"/>
        <v>2880</v>
      </c>
      <c r="N160" s="568">
        <f t="shared" ca="1" si="112"/>
        <v>1796</v>
      </c>
      <c r="O160" s="568">
        <f t="shared" ca="1" si="105"/>
        <v>0</v>
      </c>
      <c r="P160" s="568">
        <f t="shared" ca="1" si="106"/>
        <v>62.361111111111114</v>
      </c>
      <c r="Q160" s="568">
        <f t="shared" ref="Q160:S160" ca="1" si="113">Q161+Q162</f>
        <v>0</v>
      </c>
      <c r="R160" s="568">
        <f t="shared" ca="1" si="113"/>
        <v>0</v>
      </c>
      <c r="S160" s="568">
        <f t="shared" ca="1" si="113"/>
        <v>0</v>
      </c>
      <c r="T160" s="568">
        <f t="shared" ca="1" si="108"/>
        <v>0</v>
      </c>
      <c r="U160" s="568">
        <f t="shared" ca="1" si="109"/>
        <v>0</v>
      </c>
    </row>
    <row r="161" spans="1:21" ht="18.75" x14ac:dyDescent="0.25">
      <c r="A161" s="674"/>
      <c r="B161" s="561"/>
      <c r="C161" s="561"/>
      <c r="D161" s="561"/>
      <c r="E161" s="569" t="s">
        <v>36</v>
      </c>
      <c r="F161" s="561"/>
      <c r="G161" s="563"/>
      <c r="H161" s="685" t="s">
        <v>14</v>
      </c>
      <c r="I161" s="683"/>
      <c r="J161" s="683"/>
      <c r="K161" s="684"/>
      <c r="L161" s="571">
        <v>0</v>
      </c>
      <c r="M161" s="572">
        <v>0</v>
      </c>
      <c r="N161" s="572">
        <v>0</v>
      </c>
      <c r="O161" s="572">
        <f t="shared" si="105"/>
        <v>0</v>
      </c>
      <c r="P161" s="572">
        <f t="shared" si="106"/>
        <v>0</v>
      </c>
      <c r="Q161" s="572">
        <v>0</v>
      </c>
      <c r="R161" s="572">
        <v>0</v>
      </c>
      <c r="S161" s="572">
        <v>0</v>
      </c>
      <c r="T161" s="572">
        <f t="shared" si="108"/>
        <v>0</v>
      </c>
      <c r="U161" s="572">
        <f t="shared" si="109"/>
        <v>0</v>
      </c>
    </row>
    <row r="162" spans="1:21" ht="18.75" x14ac:dyDescent="0.25">
      <c r="A162" s="674"/>
      <c r="B162" s="561"/>
      <c r="C162" s="561"/>
      <c r="D162" s="561"/>
      <c r="E162" s="573" t="s">
        <v>37</v>
      </c>
      <c r="F162" s="561"/>
      <c r="G162" s="563"/>
      <c r="H162" s="682" t="s">
        <v>14</v>
      </c>
      <c r="I162" s="683"/>
      <c r="J162" s="683"/>
      <c r="K162" s="684"/>
      <c r="L162" s="567">
        <f ca="1">IFERROR(__xludf.DUMMYFUNCTION("IMPORTRANGE(""https://docs.google.com/spreadsheets/d/1-uDff_7J0KD5mKrp0Vvzr7lt3OU09vwQwhkpOPPYv2Y/edit?usp=sharing"",""งบพรบ!CA21"")"),0)</f>
        <v>0</v>
      </c>
      <c r="M162" s="568">
        <f ca="1">IFERROR(__xludf.DUMMYFUNCTION("IMPORTRANGE(""https://docs.google.com/spreadsheets/d/1-uDff_7J0KD5mKrp0Vvzr7lt3OU09vwQwhkpOPPYv2Y/edit?usp=sharing"",""งบพรบ!CF21"")"),2880)</f>
        <v>2880</v>
      </c>
      <c r="N162" s="568">
        <f ca="1">IFERROR(__xludf.DUMMYFUNCTION("IMPORTRANGE(""https://docs.google.com/spreadsheets/d/1-uDff_7J0KD5mKrp0Vvzr7lt3OU09vwQwhkpOPPYv2Y/edit?usp=sharing"",""งบพรบ!CH21"")"),1796)</f>
        <v>1796</v>
      </c>
      <c r="O162" s="568">
        <f t="shared" ca="1" si="105"/>
        <v>0</v>
      </c>
      <c r="P162" s="568">
        <f t="shared" ca="1" si="106"/>
        <v>62.361111111111114</v>
      </c>
      <c r="Q162" s="568">
        <f ca="1">IFERROR(__xludf.DUMMYFUNCTION("IMPORTRANGE(""https://docs.google.com/spreadsheets/d/1ItG2mGa2ceCfYo0BwxsXqNm01IGEUdYcSSLTEv9YCik/edit?usp=sharing"",""เบิกจ่ายกองทุน!AM21"")"),0)</f>
        <v>0</v>
      </c>
      <c r="R162" s="568">
        <f ca="1">IFERROR(__xludf.DUMMYFUNCTION("IMPORTRANGE(""https://docs.google.com/spreadsheets/d/1ItG2mGa2ceCfYo0BwxsXqNm01IGEUdYcSSLTEv9YCik/edit?usp=sharing"",""เบิกจ่ายกองทุน!AN21"")"),0)</f>
        <v>0</v>
      </c>
      <c r="S162" s="568">
        <f ca="1">IFERROR(__xludf.DUMMYFUNCTION("IMPORTRANGE(""https://docs.google.com/spreadsheets/d/1ItG2mGa2ceCfYo0BwxsXqNm01IGEUdYcSSLTEv9YCik/edit?usp=sharing"",""เบิกจ่ายกองทุน!AO21"")"),0)</f>
        <v>0</v>
      </c>
      <c r="T162" s="568">
        <f t="shared" ca="1" si="108"/>
        <v>0</v>
      </c>
      <c r="U162" s="568">
        <f t="shared" ca="1" si="109"/>
        <v>0</v>
      </c>
    </row>
    <row r="163" spans="1:21" ht="18.75" x14ac:dyDescent="0.25">
      <c r="A163" s="674"/>
      <c r="B163" s="561"/>
      <c r="C163" s="561"/>
      <c r="D163" s="562" t="s">
        <v>23</v>
      </c>
      <c r="E163" s="561"/>
      <c r="F163" s="561"/>
      <c r="G163" s="563"/>
      <c r="H163" s="686" t="s">
        <v>14</v>
      </c>
      <c r="I163" s="683"/>
      <c r="J163" s="683"/>
      <c r="K163" s="684"/>
      <c r="L163" s="567">
        <f t="shared" ref="L163:N163" ca="1" si="114">L164+L165</f>
        <v>0</v>
      </c>
      <c r="M163" s="568">
        <f t="shared" ca="1" si="114"/>
        <v>0</v>
      </c>
      <c r="N163" s="568">
        <f t="shared" ca="1" si="114"/>
        <v>0</v>
      </c>
      <c r="O163" s="568">
        <f t="shared" ca="1" si="105"/>
        <v>0</v>
      </c>
      <c r="P163" s="568">
        <f t="shared" ca="1" si="106"/>
        <v>0</v>
      </c>
      <c r="Q163" s="568">
        <f t="shared" ref="Q163:S163" si="115">Q164+Q165</f>
        <v>0</v>
      </c>
      <c r="R163" s="568">
        <f t="shared" si="115"/>
        <v>0</v>
      </c>
      <c r="S163" s="568">
        <f t="shared" si="115"/>
        <v>0</v>
      </c>
      <c r="T163" s="568">
        <f t="shared" si="108"/>
        <v>0</v>
      </c>
      <c r="U163" s="568">
        <f t="shared" si="109"/>
        <v>0</v>
      </c>
    </row>
    <row r="164" spans="1:21" ht="18.75" x14ac:dyDescent="0.25">
      <c r="A164" s="674"/>
      <c r="B164" s="561"/>
      <c r="C164" s="561"/>
      <c r="D164" s="561"/>
      <c r="E164" s="569" t="s">
        <v>20</v>
      </c>
      <c r="F164" s="561"/>
      <c r="G164" s="563"/>
      <c r="H164" s="685" t="s">
        <v>14</v>
      </c>
      <c r="I164" s="683"/>
      <c r="J164" s="683"/>
      <c r="K164" s="684"/>
      <c r="L164" s="571">
        <v>0</v>
      </c>
      <c r="M164" s="572">
        <v>0</v>
      </c>
      <c r="N164" s="572">
        <v>0</v>
      </c>
      <c r="O164" s="572">
        <f t="shared" si="105"/>
        <v>0</v>
      </c>
      <c r="P164" s="572">
        <f t="shared" si="106"/>
        <v>0</v>
      </c>
      <c r="Q164" s="572">
        <v>0</v>
      </c>
      <c r="R164" s="572">
        <v>0</v>
      </c>
      <c r="S164" s="572">
        <v>0</v>
      </c>
      <c r="T164" s="572">
        <f t="shared" si="108"/>
        <v>0</v>
      </c>
      <c r="U164" s="572">
        <f t="shared" si="109"/>
        <v>0</v>
      </c>
    </row>
    <row r="165" spans="1:21" ht="18.75" x14ac:dyDescent="0.25">
      <c r="A165" s="674"/>
      <c r="B165" s="561"/>
      <c r="C165" s="561"/>
      <c r="D165" s="561"/>
      <c r="E165" s="573" t="s">
        <v>21</v>
      </c>
      <c r="F165" s="561"/>
      <c r="G165" s="563"/>
      <c r="H165" s="686" t="s">
        <v>14</v>
      </c>
      <c r="I165" s="683"/>
      <c r="J165" s="683"/>
      <c r="K165" s="684"/>
      <c r="L165" s="567">
        <f ca="1">IFERROR(__xludf.DUMMYFUNCTION("IMPORTRANGE(""https://docs.google.com/spreadsheets/d/1-uDff_7J0KD5mKrp0Vvzr7lt3OU09vwQwhkpOPPYv2Y/edit?usp=sharing"",""งบพรบ!CD21"")"),0)</f>
        <v>0</v>
      </c>
      <c r="M165" s="568">
        <f ca="1">IFERROR(__xludf.DUMMYFUNCTION("IMPORTRANGE(""https://docs.google.com/spreadsheets/d/1-uDff_7J0KD5mKrp0Vvzr7lt3OU09vwQwhkpOPPYv2Y/edit?usp=sharing"",""งบพรบ!CG21"")"),0)</f>
        <v>0</v>
      </c>
      <c r="N165" s="568">
        <f ca="1">IFERROR(__xludf.DUMMYFUNCTION("IMPORTRANGE(""https://docs.google.com/spreadsheets/d/1-uDff_7J0KD5mKrp0Vvzr7lt3OU09vwQwhkpOPPYv2Y/edit?usp=sharing"",""งบพรบ!CI21"")"),0)</f>
        <v>0</v>
      </c>
      <c r="O165" s="568">
        <f t="shared" ca="1" si="105"/>
        <v>0</v>
      </c>
      <c r="P165" s="568">
        <f t="shared" ca="1" si="106"/>
        <v>0</v>
      </c>
      <c r="Q165" s="568">
        <v>0</v>
      </c>
      <c r="R165" s="568">
        <v>0</v>
      </c>
      <c r="S165" s="568">
        <v>0</v>
      </c>
      <c r="T165" s="568">
        <f t="shared" si="108"/>
        <v>0</v>
      </c>
      <c r="U165" s="568">
        <f t="shared" si="109"/>
        <v>0</v>
      </c>
    </row>
    <row r="166" spans="1:21" ht="19.5" x14ac:dyDescent="0.3">
      <c r="A166" s="687"/>
      <c r="B166" s="688"/>
      <c r="C166" s="675" t="s">
        <v>18</v>
      </c>
      <c r="D166" s="689" t="s">
        <v>38</v>
      </c>
      <c r="E166" s="690"/>
      <c r="F166" s="690"/>
      <c r="G166" s="691"/>
      <c r="H166" s="725"/>
      <c r="I166" s="565"/>
      <c r="J166" s="565"/>
      <c r="K166" s="566"/>
      <c r="L166" s="574"/>
      <c r="M166" s="566"/>
      <c r="N166" s="566"/>
      <c r="O166" s="566"/>
      <c r="P166" s="566"/>
      <c r="Q166" s="566"/>
      <c r="R166" s="566"/>
      <c r="S166" s="566"/>
      <c r="T166" s="566"/>
      <c r="U166" s="566"/>
    </row>
    <row r="167" spans="1:21" ht="18.75" x14ac:dyDescent="0.25">
      <c r="A167" s="674"/>
      <c r="B167" s="561"/>
      <c r="C167" s="561"/>
      <c r="D167" s="573" t="s">
        <v>69</v>
      </c>
      <c r="E167" s="561"/>
      <c r="F167" s="561"/>
      <c r="G167" s="563"/>
      <c r="H167" s="686" t="s">
        <v>35</v>
      </c>
      <c r="I167" s="708">
        <f ca="1">IFERROR(__xludf.DUMMYFUNCTION("IMPORTRANGE(""https://docs.google.com/spreadsheets/d/1eHaY18a8A9IcSdp1K8H6x8fbOy06t2VsZHhMHf-1x7Y/edit?usp=sharing"",""แผน!Z21"")"),0)</f>
        <v>0</v>
      </c>
      <c r="J167" s="702">
        <v>0</v>
      </c>
      <c r="K167" s="568">
        <f t="shared" ref="K167:K169" ca="1" si="116">IF(I167&gt;0,J167*100/I167,0)</f>
        <v>0</v>
      </c>
      <c r="L167" s="574"/>
      <c r="M167" s="566"/>
      <c r="N167" s="566"/>
      <c r="O167" s="566"/>
      <c r="P167" s="566"/>
      <c r="Q167" s="566"/>
      <c r="R167" s="566"/>
      <c r="S167" s="566"/>
      <c r="T167" s="566"/>
      <c r="U167" s="566"/>
    </row>
    <row r="168" spans="1:21" ht="18.75" x14ac:dyDescent="0.25">
      <c r="A168" s="674"/>
      <c r="B168" s="561"/>
      <c r="C168" s="561"/>
      <c r="D168" s="569" t="s">
        <v>70</v>
      </c>
      <c r="E168" s="561"/>
      <c r="F168" s="561"/>
      <c r="G168" s="563"/>
      <c r="H168" s="734" t="s">
        <v>35</v>
      </c>
      <c r="I168" s="735">
        <f ca="1">IFERROR(__xludf.DUMMYFUNCTION("IMPORTRANGE(""https://docs.google.com/spreadsheets/d/1eHaY18a8A9IcSdp1K8H6x8fbOy06t2VsZHhMHf-1x7Y/edit?usp=sharing"",""แผน!Z21"")"),0)</f>
        <v>0</v>
      </c>
      <c r="J168" s="736">
        <v>0</v>
      </c>
      <c r="K168" s="572">
        <f t="shared" ca="1" si="116"/>
        <v>0</v>
      </c>
      <c r="L168" s="574"/>
      <c r="M168" s="566"/>
      <c r="N168" s="566"/>
      <c r="O168" s="566"/>
      <c r="P168" s="566"/>
      <c r="Q168" s="566"/>
      <c r="R168" s="566"/>
      <c r="S168" s="566"/>
      <c r="T168" s="566"/>
      <c r="U168" s="566"/>
    </row>
    <row r="169" spans="1:21" ht="18.75" x14ac:dyDescent="0.25">
      <c r="A169" s="737"/>
      <c r="B169" s="513"/>
      <c r="C169" s="513"/>
      <c r="D169" s="738" t="s">
        <v>71</v>
      </c>
      <c r="E169" s="513"/>
      <c r="F169" s="513"/>
      <c r="G169" s="577"/>
      <c r="H169" s="739" t="s">
        <v>35</v>
      </c>
      <c r="I169" s="740">
        <f ca="1">IFERROR(__xludf.DUMMYFUNCTION("IMPORTRANGE(""https://docs.google.com/spreadsheets/d/1eHaY18a8A9IcSdp1K8H6x8fbOy06t2VsZHhMHf-1x7Y/edit?usp=sharing"",""แผน!Z21"")"),0)</f>
        <v>0</v>
      </c>
      <c r="J169" s="741">
        <v>0</v>
      </c>
      <c r="K169" s="742">
        <f t="shared" ca="1" si="116"/>
        <v>0</v>
      </c>
      <c r="L169" s="581"/>
      <c r="M169" s="580"/>
      <c r="N169" s="580"/>
      <c r="O169" s="580"/>
      <c r="P169" s="580"/>
      <c r="Q169" s="580"/>
      <c r="R169" s="580"/>
      <c r="S169" s="580"/>
      <c r="T169" s="580"/>
      <c r="U169" s="580"/>
    </row>
    <row r="170" spans="1:21" ht="19.5" x14ac:dyDescent="0.3">
      <c r="A170" s="743" t="s">
        <v>72</v>
      </c>
      <c r="B170" s="744"/>
      <c r="C170" s="744"/>
      <c r="D170" s="744"/>
      <c r="E170" s="745"/>
      <c r="F170" s="745"/>
      <c r="G170" s="745"/>
      <c r="H170" s="745"/>
      <c r="I170" s="746"/>
      <c r="J170" s="746"/>
      <c r="K170" s="747"/>
      <c r="L170" s="747"/>
      <c r="M170" s="747"/>
      <c r="N170" s="747"/>
      <c r="O170" s="747"/>
      <c r="P170" s="748"/>
      <c r="Q170" s="747"/>
      <c r="R170" s="747"/>
      <c r="S170" s="747"/>
      <c r="T170" s="747"/>
      <c r="U170" s="748"/>
    </row>
    <row r="171" spans="1:21" ht="19.5" x14ac:dyDescent="0.3">
      <c r="A171" s="749" t="s">
        <v>73</v>
      </c>
      <c r="B171" s="750"/>
      <c r="C171" s="750"/>
      <c r="D171" s="751"/>
      <c r="E171" s="751"/>
      <c r="F171" s="751"/>
      <c r="G171" s="751"/>
      <c r="H171" s="752"/>
      <c r="I171" s="753"/>
      <c r="J171" s="753"/>
      <c r="K171" s="754"/>
      <c r="L171" s="755"/>
      <c r="M171" s="754"/>
      <c r="N171" s="754"/>
      <c r="O171" s="754"/>
      <c r="P171" s="754"/>
      <c r="Q171" s="754"/>
      <c r="R171" s="754"/>
      <c r="S171" s="754"/>
      <c r="T171" s="754"/>
      <c r="U171" s="754"/>
    </row>
    <row r="172" spans="1:21" ht="19.5" x14ac:dyDescent="0.3">
      <c r="A172" s="756"/>
      <c r="B172" s="757" t="s">
        <v>74</v>
      </c>
      <c r="C172" s="758"/>
      <c r="D172" s="690"/>
      <c r="E172" s="690"/>
      <c r="F172" s="690"/>
      <c r="G172" s="691"/>
      <c r="H172" s="759" t="s">
        <v>35</v>
      </c>
      <c r="I172" s="760">
        <f t="shared" ref="I172:J172" ca="1" si="117">I183+I184</f>
        <v>7</v>
      </c>
      <c r="J172" s="760">
        <f t="shared" si="117"/>
        <v>7</v>
      </c>
      <c r="K172" s="761">
        <f ca="1">IF(I172&gt;0,J172*100/I172,0)</f>
        <v>100</v>
      </c>
      <c r="L172" s="762"/>
      <c r="M172" s="763"/>
      <c r="N172" s="763"/>
      <c r="O172" s="763"/>
      <c r="P172" s="763"/>
      <c r="Q172" s="763"/>
      <c r="R172" s="763"/>
      <c r="S172" s="763"/>
      <c r="T172" s="763"/>
      <c r="U172" s="763"/>
    </row>
    <row r="173" spans="1:21" ht="19.5" x14ac:dyDescent="0.3">
      <c r="A173" s="674"/>
      <c r="B173" s="561"/>
      <c r="C173" s="675" t="s">
        <v>18</v>
      </c>
      <c r="D173" s="676" t="s">
        <v>19</v>
      </c>
      <c r="E173" s="561"/>
      <c r="F173" s="561"/>
      <c r="G173" s="563"/>
      <c r="H173" s="677" t="s">
        <v>14</v>
      </c>
      <c r="I173" s="565"/>
      <c r="J173" s="565"/>
      <c r="K173" s="566"/>
      <c r="L173" s="678">
        <f t="shared" ref="L173:N173" ca="1" si="118">L174+L175</f>
        <v>19590</v>
      </c>
      <c r="M173" s="679">
        <f t="shared" ca="1" si="118"/>
        <v>139645</v>
      </c>
      <c r="N173" s="679">
        <f t="shared" ca="1" si="118"/>
        <v>125840</v>
      </c>
      <c r="O173" s="679">
        <f t="shared" ref="O173:O181" ca="1" si="119">IF(L173&gt;0,N173*100/L173,0)</f>
        <v>642.36855538540067</v>
      </c>
      <c r="P173" s="679">
        <f t="shared" ref="P173:P181" ca="1" si="120">IF(M173&gt;0,N173*100/M173,0)</f>
        <v>90.114218196140214</v>
      </c>
      <c r="Q173" s="679">
        <f t="shared" ref="Q173:S173" ca="1" si="121">Q174+Q175</f>
        <v>0</v>
      </c>
      <c r="R173" s="679">
        <f t="shared" ca="1" si="121"/>
        <v>0</v>
      </c>
      <c r="S173" s="679">
        <f t="shared" ca="1" si="121"/>
        <v>0</v>
      </c>
      <c r="T173" s="679">
        <f t="shared" ref="T173:T181" ca="1" si="122">IF(Q173&gt;0,S173*100/Q173,0)</f>
        <v>0</v>
      </c>
      <c r="U173" s="679">
        <f t="shared" ref="U173:U181" ca="1" si="123">IF(R173&gt;0,S173*100/R173,0)</f>
        <v>0</v>
      </c>
    </row>
    <row r="174" spans="1:21" ht="18.75" x14ac:dyDescent="0.25">
      <c r="A174" s="674"/>
      <c r="B174" s="561"/>
      <c r="C174" s="561"/>
      <c r="D174" s="561"/>
      <c r="E174" s="569" t="s">
        <v>20</v>
      </c>
      <c r="F174" s="561"/>
      <c r="G174" s="563"/>
      <c r="H174" s="680" t="s">
        <v>14</v>
      </c>
      <c r="I174" s="565"/>
      <c r="J174" s="565"/>
      <c r="K174" s="566"/>
      <c r="L174" s="571">
        <f t="shared" ref="L174:N175" si="124">L177+L180</f>
        <v>0</v>
      </c>
      <c r="M174" s="572">
        <f t="shared" si="124"/>
        <v>0</v>
      </c>
      <c r="N174" s="572">
        <f t="shared" si="124"/>
        <v>0</v>
      </c>
      <c r="O174" s="572">
        <f t="shared" si="119"/>
        <v>0</v>
      </c>
      <c r="P174" s="572">
        <f t="shared" si="120"/>
        <v>0</v>
      </c>
      <c r="Q174" s="572">
        <f t="shared" ref="Q174:S175" si="125">Q177+Q180</f>
        <v>0</v>
      </c>
      <c r="R174" s="572">
        <f t="shared" si="125"/>
        <v>0</v>
      </c>
      <c r="S174" s="572">
        <f t="shared" si="125"/>
        <v>0</v>
      </c>
      <c r="T174" s="572">
        <f t="shared" si="122"/>
        <v>0</v>
      </c>
      <c r="U174" s="572">
        <f t="shared" si="123"/>
        <v>0</v>
      </c>
    </row>
    <row r="175" spans="1:21" ht="18.75" x14ac:dyDescent="0.25">
      <c r="A175" s="674"/>
      <c r="B175" s="561"/>
      <c r="C175" s="561"/>
      <c r="D175" s="561"/>
      <c r="E175" s="573" t="s">
        <v>21</v>
      </c>
      <c r="F175" s="561"/>
      <c r="G175" s="563"/>
      <c r="H175" s="681" t="s">
        <v>14</v>
      </c>
      <c r="I175" s="565"/>
      <c r="J175" s="565"/>
      <c r="K175" s="566"/>
      <c r="L175" s="567">
        <f t="shared" ca="1" si="124"/>
        <v>19590</v>
      </c>
      <c r="M175" s="568">
        <f t="shared" ca="1" si="124"/>
        <v>139645</v>
      </c>
      <c r="N175" s="568">
        <f t="shared" ca="1" si="124"/>
        <v>125840</v>
      </c>
      <c r="O175" s="568">
        <f t="shared" ca="1" si="119"/>
        <v>642.36855538540067</v>
      </c>
      <c r="P175" s="568">
        <f t="shared" ca="1" si="120"/>
        <v>90.114218196140214</v>
      </c>
      <c r="Q175" s="568">
        <f t="shared" ca="1" si="125"/>
        <v>0</v>
      </c>
      <c r="R175" s="568">
        <f t="shared" ca="1" si="125"/>
        <v>0</v>
      </c>
      <c r="S175" s="568">
        <f t="shared" ca="1" si="125"/>
        <v>0</v>
      </c>
      <c r="T175" s="568">
        <f t="shared" ca="1" si="122"/>
        <v>0</v>
      </c>
      <c r="U175" s="568">
        <f t="shared" ca="1" si="123"/>
        <v>0</v>
      </c>
    </row>
    <row r="176" spans="1:21" ht="18.75" x14ac:dyDescent="0.25">
      <c r="A176" s="674"/>
      <c r="B176" s="561"/>
      <c r="C176" s="561"/>
      <c r="D176" s="562" t="s">
        <v>22</v>
      </c>
      <c r="E176" s="561"/>
      <c r="F176" s="561"/>
      <c r="G176" s="563"/>
      <c r="H176" s="682" t="s">
        <v>14</v>
      </c>
      <c r="I176" s="683"/>
      <c r="J176" s="683"/>
      <c r="K176" s="684"/>
      <c r="L176" s="567">
        <f t="shared" ref="L176:N176" ca="1" si="126">L177+L178</f>
        <v>19590</v>
      </c>
      <c r="M176" s="568">
        <f t="shared" ca="1" si="126"/>
        <v>139645</v>
      </c>
      <c r="N176" s="568">
        <f t="shared" ca="1" si="126"/>
        <v>125840</v>
      </c>
      <c r="O176" s="568">
        <f t="shared" ca="1" si="119"/>
        <v>642.36855538540067</v>
      </c>
      <c r="P176" s="568">
        <f t="shared" ca="1" si="120"/>
        <v>90.114218196140214</v>
      </c>
      <c r="Q176" s="568">
        <f t="shared" ref="Q176:S176" ca="1" si="127">Q177+Q178</f>
        <v>0</v>
      </c>
      <c r="R176" s="568">
        <f t="shared" ca="1" si="127"/>
        <v>0</v>
      </c>
      <c r="S176" s="568">
        <f t="shared" ca="1" si="127"/>
        <v>0</v>
      </c>
      <c r="T176" s="568">
        <f t="shared" ca="1" si="122"/>
        <v>0</v>
      </c>
      <c r="U176" s="568">
        <f t="shared" ca="1" si="123"/>
        <v>0</v>
      </c>
    </row>
    <row r="177" spans="1:21" ht="18.75" x14ac:dyDescent="0.25">
      <c r="A177" s="674"/>
      <c r="B177" s="561"/>
      <c r="C177" s="561"/>
      <c r="D177" s="561"/>
      <c r="E177" s="569" t="s">
        <v>36</v>
      </c>
      <c r="F177" s="561"/>
      <c r="G177" s="563"/>
      <c r="H177" s="685" t="s">
        <v>14</v>
      </c>
      <c r="I177" s="683"/>
      <c r="J177" s="683"/>
      <c r="K177" s="684"/>
      <c r="L177" s="571">
        <v>0</v>
      </c>
      <c r="M177" s="572">
        <v>0</v>
      </c>
      <c r="N177" s="572">
        <v>0</v>
      </c>
      <c r="O177" s="572">
        <f t="shared" si="119"/>
        <v>0</v>
      </c>
      <c r="P177" s="572">
        <f t="shared" si="120"/>
        <v>0</v>
      </c>
      <c r="Q177" s="572">
        <v>0</v>
      </c>
      <c r="R177" s="572">
        <v>0</v>
      </c>
      <c r="S177" s="572">
        <v>0</v>
      </c>
      <c r="T177" s="572">
        <f t="shared" si="122"/>
        <v>0</v>
      </c>
      <c r="U177" s="572">
        <f t="shared" si="123"/>
        <v>0</v>
      </c>
    </row>
    <row r="178" spans="1:21" ht="18.75" x14ac:dyDescent="0.25">
      <c r="A178" s="674"/>
      <c r="B178" s="561"/>
      <c r="C178" s="561"/>
      <c r="D178" s="561"/>
      <c r="E178" s="573" t="s">
        <v>37</v>
      </c>
      <c r="F178" s="561"/>
      <c r="G178" s="563"/>
      <c r="H178" s="682" t="s">
        <v>14</v>
      </c>
      <c r="I178" s="683"/>
      <c r="J178" s="683"/>
      <c r="K178" s="684"/>
      <c r="L178" s="567">
        <f ca="1">IFERROR(__xludf.DUMMYFUNCTION("IMPORTRANGE(""https://docs.google.com/spreadsheets/d/1-uDff_7J0KD5mKrp0Vvzr7lt3OU09vwQwhkpOPPYv2Y/edit?usp=sharing"",""งบพรบ!CK21"")"),19590)</f>
        <v>19590</v>
      </c>
      <c r="M178" s="568">
        <f ca="1">IFERROR(__xludf.DUMMYFUNCTION("IMPORTRANGE(""https://docs.google.com/spreadsheets/d/1-uDff_7J0KD5mKrp0Vvzr7lt3OU09vwQwhkpOPPYv2Y/edit?usp=sharing"",""งบพรบ!CP21"")"),139645)</f>
        <v>139645</v>
      </c>
      <c r="N178" s="568">
        <f ca="1">IFERROR(__xludf.DUMMYFUNCTION("IMPORTRANGE(""https://docs.google.com/spreadsheets/d/1-uDff_7J0KD5mKrp0Vvzr7lt3OU09vwQwhkpOPPYv2Y/edit?usp=sharing"",""งบพรบ!CR21"")"),125840)</f>
        <v>125840</v>
      </c>
      <c r="O178" s="568">
        <f t="shared" ca="1" si="119"/>
        <v>642.36855538540067</v>
      </c>
      <c r="P178" s="568">
        <f t="shared" ca="1" si="120"/>
        <v>90.114218196140214</v>
      </c>
      <c r="Q178" s="568">
        <f ca="1">IFERROR(__xludf.DUMMYFUNCTION("IMPORTRANGE(""https://docs.google.com/spreadsheets/d/1ItG2mGa2ceCfYo0BwxsXqNm01IGEUdYcSSLTEv9YCik/edit?usp=sharing"",""เบิกจ่ายกองทุน!DG21"")"),0)</f>
        <v>0</v>
      </c>
      <c r="R178" s="568">
        <f ca="1">IFERROR(__xludf.DUMMYFUNCTION("IMPORTRANGE(""https://docs.google.com/spreadsheets/d/1ItG2mGa2ceCfYo0BwxsXqNm01IGEUdYcSSLTEv9YCik/edit?usp=sharing"",""เบิกจ่ายกองทุน!DH21"")"),0)</f>
        <v>0</v>
      </c>
      <c r="S178" s="568">
        <f ca="1">IFERROR(__xludf.DUMMYFUNCTION("IMPORTRANGE(""https://docs.google.com/spreadsheets/d/1ItG2mGa2ceCfYo0BwxsXqNm01IGEUdYcSSLTEv9YCik/edit?usp=sharing"",""เบิกจ่ายกองทุน!DI21"")"),0)</f>
        <v>0</v>
      </c>
      <c r="T178" s="568">
        <f t="shared" ca="1" si="122"/>
        <v>0</v>
      </c>
      <c r="U178" s="568">
        <f t="shared" ca="1" si="123"/>
        <v>0</v>
      </c>
    </row>
    <row r="179" spans="1:21" ht="18.75" x14ac:dyDescent="0.25">
      <c r="A179" s="674"/>
      <c r="B179" s="561"/>
      <c r="C179" s="561"/>
      <c r="D179" s="562" t="s">
        <v>23</v>
      </c>
      <c r="E179" s="561"/>
      <c r="F179" s="561"/>
      <c r="G179" s="563"/>
      <c r="H179" s="686" t="s">
        <v>14</v>
      </c>
      <c r="I179" s="683"/>
      <c r="J179" s="683"/>
      <c r="K179" s="684"/>
      <c r="L179" s="567">
        <f t="shared" ref="L179:N179" ca="1" si="128">L180+L181</f>
        <v>0</v>
      </c>
      <c r="M179" s="568">
        <f t="shared" ca="1" si="128"/>
        <v>0</v>
      </c>
      <c r="N179" s="568">
        <f t="shared" ca="1" si="128"/>
        <v>0</v>
      </c>
      <c r="O179" s="568">
        <f t="shared" ca="1" si="119"/>
        <v>0</v>
      </c>
      <c r="P179" s="568">
        <f t="shared" ca="1" si="120"/>
        <v>0</v>
      </c>
      <c r="Q179" s="568">
        <f t="shared" ref="Q179:S179" si="129">Q180+Q181</f>
        <v>0</v>
      </c>
      <c r="R179" s="568">
        <f t="shared" si="129"/>
        <v>0</v>
      </c>
      <c r="S179" s="568">
        <f t="shared" si="129"/>
        <v>0</v>
      </c>
      <c r="T179" s="568">
        <f t="shared" si="122"/>
        <v>0</v>
      </c>
      <c r="U179" s="568">
        <f t="shared" si="123"/>
        <v>0</v>
      </c>
    </row>
    <row r="180" spans="1:21" ht="18.75" x14ac:dyDescent="0.25">
      <c r="A180" s="674"/>
      <c r="B180" s="561"/>
      <c r="C180" s="561"/>
      <c r="D180" s="561"/>
      <c r="E180" s="569" t="s">
        <v>20</v>
      </c>
      <c r="F180" s="561"/>
      <c r="G180" s="563"/>
      <c r="H180" s="685" t="s">
        <v>14</v>
      </c>
      <c r="I180" s="683"/>
      <c r="J180" s="683"/>
      <c r="K180" s="684"/>
      <c r="L180" s="571">
        <v>0</v>
      </c>
      <c r="M180" s="572">
        <v>0</v>
      </c>
      <c r="N180" s="572">
        <v>0</v>
      </c>
      <c r="O180" s="572">
        <f t="shared" si="119"/>
        <v>0</v>
      </c>
      <c r="P180" s="572">
        <f t="shared" si="120"/>
        <v>0</v>
      </c>
      <c r="Q180" s="572">
        <v>0</v>
      </c>
      <c r="R180" s="572">
        <v>0</v>
      </c>
      <c r="S180" s="572">
        <v>0</v>
      </c>
      <c r="T180" s="572">
        <f t="shared" si="122"/>
        <v>0</v>
      </c>
      <c r="U180" s="572">
        <f t="shared" si="123"/>
        <v>0</v>
      </c>
    </row>
    <row r="181" spans="1:21" ht="18.75" x14ac:dyDescent="0.25">
      <c r="A181" s="674"/>
      <c r="B181" s="561"/>
      <c r="C181" s="561"/>
      <c r="D181" s="561"/>
      <c r="E181" s="573" t="s">
        <v>21</v>
      </c>
      <c r="F181" s="561"/>
      <c r="G181" s="563"/>
      <c r="H181" s="686" t="s">
        <v>14</v>
      </c>
      <c r="I181" s="683"/>
      <c r="J181" s="683"/>
      <c r="K181" s="684"/>
      <c r="L181" s="567">
        <f ca="1">IFERROR(__xludf.DUMMYFUNCTION("IMPORTRANGE(""https://docs.google.com/spreadsheets/d/1-uDff_7J0KD5mKrp0Vvzr7lt3OU09vwQwhkpOPPYv2Y/edit?usp=sharing"",""งบพรบ!CN21"")"),0)</f>
        <v>0</v>
      </c>
      <c r="M181" s="568">
        <f ca="1">IFERROR(__xludf.DUMMYFUNCTION("IMPORTRANGE(""https://docs.google.com/spreadsheets/d/1-uDff_7J0KD5mKrp0Vvzr7lt3OU09vwQwhkpOPPYv2Y/edit?usp=sharing"",""งบพรบ!CQ21"")"),0)</f>
        <v>0</v>
      </c>
      <c r="N181" s="568">
        <f ca="1">IFERROR(__xludf.DUMMYFUNCTION("IMPORTRANGE(""https://docs.google.com/spreadsheets/d/1-uDff_7J0KD5mKrp0Vvzr7lt3OU09vwQwhkpOPPYv2Y/edit?usp=sharing"",""งบพรบ!CS21"")"),0)</f>
        <v>0</v>
      </c>
      <c r="O181" s="568">
        <f t="shared" ca="1" si="119"/>
        <v>0</v>
      </c>
      <c r="P181" s="568">
        <f t="shared" ca="1" si="120"/>
        <v>0</v>
      </c>
      <c r="Q181" s="568">
        <v>0</v>
      </c>
      <c r="R181" s="568">
        <v>0</v>
      </c>
      <c r="S181" s="568">
        <v>0</v>
      </c>
      <c r="T181" s="568">
        <f t="shared" si="122"/>
        <v>0</v>
      </c>
      <c r="U181" s="568">
        <f t="shared" si="123"/>
        <v>0</v>
      </c>
    </row>
    <row r="182" spans="1:21" ht="19.5" x14ac:dyDescent="0.3">
      <c r="A182" s="687"/>
      <c r="B182" s="688"/>
      <c r="C182" s="675" t="s">
        <v>18</v>
      </c>
      <c r="D182" s="689" t="s">
        <v>38</v>
      </c>
      <c r="E182" s="690"/>
      <c r="F182" s="690"/>
      <c r="G182" s="691"/>
      <c r="H182" s="725"/>
      <c r="I182" s="565"/>
      <c r="J182" s="565"/>
      <c r="K182" s="566"/>
      <c r="L182" s="574"/>
      <c r="M182" s="566"/>
      <c r="N182" s="566"/>
      <c r="O182" s="566"/>
      <c r="P182" s="566"/>
      <c r="Q182" s="566"/>
      <c r="R182" s="566"/>
      <c r="S182" s="566"/>
      <c r="T182" s="566"/>
      <c r="U182" s="566"/>
    </row>
    <row r="183" spans="1:21" ht="18.75" x14ac:dyDescent="0.25">
      <c r="A183" s="764"/>
      <c r="B183" s="561"/>
      <c r="C183" s="718"/>
      <c r="D183" s="765" t="s">
        <v>75</v>
      </c>
      <c r="E183" s="561"/>
      <c r="F183" s="561"/>
      <c r="G183" s="563"/>
      <c r="H183" s="766" t="s">
        <v>35</v>
      </c>
      <c r="I183" s="708">
        <f ca="1">IFERROR(__xludf.DUMMYFUNCTION("IMPORTRANGE(""https://docs.google.com/spreadsheets/d/1eHaY18a8A9IcSdp1K8H6x8fbOy06t2VsZHhMHf-1x7Y/edit?usp=sharing"",""แผน!AA21"")"),7)</f>
        <v>7</v>
      </c>
      <c r="J183" s="702">
        <v>7</v>
      </c>
      <c r="K183" s="568">
        <f t="shared" ref="K183:K185" ca="1" si="130">IF(I183&gt;0,J183*100/I183,0)</f>
        <v>100</v>
      </c>
      <c r="L183" s="574"/>
      <c r="M183" s="566"/>
      <c r="N183" s="566"/>
      <c r="O183" s="566"/>
      <c r="P183" s="566"/>
      <c r="Q183" s="566"/>
      <c r="R183" s="566"/>
      <c r="S183" s="566"/>
      <c r="T183" s="566"/>
      <c r="U183" s="566"/>
    </row>
    <row r="184" spans="1:21" ht="18.75" x14ac:dyDescent="0.25">
      <c r="A184" s="764"/>
      <c r="B184" s="718"/>
      <c r="C184" s="718"/>
      <c r="D184" s="767" t="s">
        <v>76</v>
      </c>
      <c r="E184" s="561"/>
      <c r="F184" s="561"/>
      <c r="G184" s="563"/>
      <c r="H184" s="768" t="s">
        <v>35</v>
      </c>
      <c r="I184" s="735">
        <v>0</v>
      </c>
      <c r="J184" s="735">
        <v>0</v>
      </c>
      <c r="K184" s="572">
        <f t="shared" si="130"/>
        <v>0</v>
      </c>
      <c r="L184" s="574"/>
      <c r="M184" s="566"/>
      <c r="N184" s="566"/>
      <c r="O184" s="566"/>
      <c r="P184" s="566"/>
      <c r="Q184" s="566"/>
      <c r="R184" s="566"/>
      <c r="S184" s="566"/>
      <c r="T184" s="566"/>
      <c r="U184" s="566"/>
    </row>
    <row r="185" spans="1:21" ht="19.5" x14ac:dyDescent="0.3">
      <c r="A185" s="756"/>
      <c r="B185" s="757" t="s">
        <v>77</v>
      </c>
      <c r="C185" s="758"/>
      <c r="D185" s="690"/>
      <c r="E185" s="690"/>
      <c r="F185" s="690"/>
      <c r="G185" s="691"/>
      <c r="H185" s="759" t="s">
        <v>35</v>
      </c>
      <c r="I185" s="760">
        <f t="shared" ref="I185:J185" ca="1" si="131">I230+I231</f>
        <v>0</v>
      </c>
      <c r="J185" s="760">
        <f t="shared" si="131"/>
        <v>0</v>
      </c>
      <c r="K185" s="761">
        <f t="shared" ca="1" si="130"/>
        <v>0</v>
      </c>
      <c r="L185" s="762"/>
      <c r="M185" s="763"/>
      <c r="N185" s="763"/>
      <c r="O185" s="763"/>
      <c r="P185" s="763"/>
      <c r="Q185" s="763"/>
      <c r="R185" s="763"/>
      <c r="S185" s="763"/>
      <c r="T185" s="763"/>
      <c r="U185" s="763"/>
    </row>
    <row r="186" spans="1:21" ht="19.5" x14ac:dyDescent="0.3">
      <c r="A186" s="674"/>
      <c r="B186" s="561"/>
      <c r="C186" s="675" t="s">
        <v>18</v>
      </c>
      <c r="D186" s="676" t="s">
        <v>19</v>
      </c>
      <c r="E186" s="561"/>
      <c r="F186" s="561"/>
      <c r="G186" s="563"/>
      <c r="H186" s="677" t="s">
        <v>14</v>
      </c>
      <c r="I186" s="565"/>
      <c r="J186" s="565"/>
      <c r="K186" s="566"/>
      <c r="L186" s="678">
        <f t="shared" ref="L186:N186" ca="1" si="132">L187+L188</f>
        <v>207500</v>
      </c>
      <c r="M186" s="679">
        <f t="shared" ca="1" si="132"/>
        <v>207500</v>
      </c>
      <c r="N186" s="679">
        <f t="shared" ca="1" si="132"/>
        <v>169516.68</v>
      </c>
      <c r="O186" s="679">
        <f t="shared" ref="O186:O194" ca="1" si="133">IF(L186&gt;0,N186*100/L186,0)</f>
        <v>81.694785542168674</v>
      </c>
      <c r="P186" s="679">
        <f t="shared" ref="P186:P194" ca="1" si="134">IF(M186&gt;0,N186*100/M186,0)</f>
        <v>81.694785542168674</v>
      </c>
      <c r="Q186" s="679">
        <f t="shared" ref="Q186:S186" ca="1" si="135">Q187+Q188</f>
        <v>42000</v>
      </c>
      <c r="R186" s="679">
        <f t="shared" ca="1" si="135"/>
        <v>42000</v>
      </c>
      <c r="S186" s="679">
        <f t="shared" ca="1" si="135"/>
        <v>0</v>
      </c>
      <c r="T186" s="679">
        <f t="shared" ref="T186:T194" ca="1" si="136">IF(Q186&gt;0,S186*100/Q186,0)</f>
        <v>0</v>
      </c>
      <c r="U186" s="679">
        <f t="shared" ref="U186:U194" ca="1" si="137">IF(R186&gt;0,S186*100/R186,0)</f>
        <v>0</v>
      </c>
    </row>
    <row r="187" spans="1:21" ht="18.75" x14ac:dyDescent="0.25">
      <c r="A187" s="674"/>
      <c r="B187" s="561"/>
      <c r="C187" s="561"/>
      <c r="D187" s="561"/>
      <c r="E187" s="569" t="s">
        <v>20</v>
      </c>
      <c r="F187" s="561"/>
      <c r="G187" s="563"/>
      <c r="H187" s="680" t="s">
        <v>14</v>
      </c>
      <c r="I187" s="565"/>
      <c r="J187" s="565"/>
      <c r="K187" s="566"/>
      <c r="L187" s="571">
        <f t="shared" ref="L187:N188" si="138">L190+L193</f>
        <v>0</v>
      </c>
      <c r="M187" s="572">
        <f t="shared" si="138"/>
        <v>0</v>
      </c>
      <c r="N187" s="572">
        <f t="shared" si="138"/>
        <v>0</v>
      </c>
      <c r="O187" s="572">
        <f t="shared" si="133"/>
        <v>0</v>
      </c>
      <c r="P187" s="572">
        <f t="shared" si="134"/>
        <v>0</v>
      </c>
      <c r="Q187" s="572">
        <f t="shared" ref="Q187:S188" si="139">Q190+Q193</f>
        <v>0</v>
      </c>
      <c r="R187" s="572">
        <f t="shared" si="139"/>
        <v>0</v>
      </c>
      <c r="S187" s="572">
        <f t="shared" si="139"/>
        <v>0</v>
      </c>
      <c r="T187" s="572">
        <f t="shared" si="136"/>
        <v>0</v>
      </c>
      <c r="U187" s="572">
        <f t="shared" si="137"/>
        <v>0</v>
      </c>
    </row>
    <row r="188" spans="1:21" ht="18.75" x14ac:dyDescent="0.25">
      <c r="A188" s="674"/>
      <c r="B188" s="561"/>
      <c r="C188" s="561"/>
      <c r="D188" s="561"/>
      <c r="E188" s="573" t="s">
        <v>21</v>
      </c>
      <c r="F188" s="561"/>
      <c r="G188" s="563"/>
      <c r="H188" s="681" t="s">
        <v>14</v>
      </c>
      <c r="I188" s="565"/>
      <c r="J188" s="565"/>
      <c r="K188" s="566"/>
      <c r="L188" s="567">
        <f t="shared" ca="1" si="138"/>
        <v>207500</v>
      </c>
      <c r="M188" s="568">
        <f t="shared" ca="1" si="138"/>
        <v>207500</v>
      </c>
      <c r="N188" s="568">
        <f t="shared" ca="1" si="138"/>
        <v>169516.68</v>
      </c>
      <c r="O188" s="568">
        <f t="shared" ca="1" si="133"/>
        <v>81.694785542168674</v>
      </c>
      <c r="P188" s="568">
        <f t="shared" ca="1" si="134"/>
        <v>81.694785542168674</v>
      </c>
      <c r="Q188" s="568">
        <f t="shared" ca="1" si="139"/>
        <v>42000</v>
      </c>
      <c r="R188" s="568">
        <f t="shared" ca="1" si="139"/>
        <v>42000</v>
      </c>
      <c r="S188" s="568">
        <f t="shared" ca="1" si="139"/>
        <v>0</v>
      </c>
      <c r="T188" s="568">
        <f t="shared" ca="1" si="136"/>
        <v>0</v>
      </c>
      <c r="U188" s="568">
        <f t="shared" ca="1" si="137"/>
        <v>0</v>
      </c>
    </row>
    <row r="189" spans="1:21" ht="18.75" x14ac:dyDescent="0.25">
      <c r="A189" s="674"/>
      <c r="B189" s="561"/>
      <c r="C189" s="561"/>
      <c r="D189" s="562" t="s">
        <v>22</v>
      </c>
      <c r="E189" s="561"/>
      <c r="F189" s="561"/>
      <c r="G189" s="563"/>
      <c r="H189" s="682" t="s">
        <v>14</v>
      </c>
      <c r="I189" s="683"/>
      <c r="J189" s="683"/>
      <c r="K189" s="684"/>
      <c r="L189" s="567">
        <f t="shared" ref="L189:N189" ca="1" si="140">L190+L191</f>
        <v>207500</v>
      </c>
      <c r="M189" s="568">
        <f t="shared" ca="1" si="140"/>
        <v>207500</v>
      </c>
      <c r="N189" s="568">
        <f t="shared" ca="1" si="140"/>
        <v>169516.68</v>
      </c>
      <c r="O189" s="568">
        <f t="shared" ca="1" si="133"/>
        <v>81.694785542168674</v>
      </c>
      <c r="P189" s="568">
        <f t="shared" ca="1" si="134"/>
        <v>81.694785542168674</v>
      </c>
      <c r="Q189" s="568">
        <f t="shared" ref="Q189:S189" ca="1" si="141">Q190+Q191</f>
        <v>42000</v>
      </c>
      <c r="R189" s="568">
        <f t="shared" ca="1" si="141"/>
        <v>42000</v>
      </c>
      <c r="S189" s="568">
        <f t="shared" ca="1" si="141"/>
        <v>0</v>
      </c>
      <c r="T189" s="568">
        <f t="shared" ca="1" si="136"/>
        <v>0</v>
      </c>
      <c r="U189" s="568">
        <f t="shared" ca="1" si="137"/>
        <v>0</v>
      </c>
    </row>
    <row r="190" spans="1:21" ht="18.75" x14ac:dyDescent="0.25">
      <c r="A190" s="674"/>
      <c r="B190" s="561"/>
      <c r="C190" s="561"/>
      <c r="D190" s="561"/>
      <c r="E190" s="569" t="s">
        <v>36</v>
      </c>
      <c r="F190" s="561"/>
      <c r="G190" s="563"/>
      <c r="H190" s="685" t="s">
        <v>14</v>
      </c>
      <c r="I190" s="683"/>
      <c r="J190" s="683"/>
      <c r="K190" s="684"/>
      <c r="L190" s="571">
        <v>0</v>
      </c>
      <c r="M190" s="572">
        <v>0</v>
      </c>
      <c r="N190" s="572">
        <v>0</v>
      </c>
      <c r="O190" s="572">
        <f t="shared" si="133"/>
        <v>0</v>
      </c>
      <c r="P190" s="572">
        <f t="shared" si="134"/>
        <v>0</v>
      </c>
      <c r="Q190" s="572">
        <v>0</v>
      </c>
      <c r="R190" s="572">
        <v>0</v>
      </c>
      <c r="S190" s="572">
        <v>0</v>
      </c>
      <c r="T190" s="572">
        <f t="shared" si="136"/>
        <v>0</v>
      </c>
      <c r="U190" s="572">
        <f t="shared" si="137"/>
        <v>0</v>
      </c>
    </row>
    <row r="191" spans="1:21" ht="18.75" x14ac:dyDescent="0.25">
      <c r="A191" s="674"/>
      <c r="B191" s="561"/>
      <c r="C191" s="561"/>
      <c r="D191" s="561"/>
      <c r="E191" s="573" t="s">
        <v>37</v>
      </c>
      <c r="F191" s="561"/>
      <c r="G191" s="563"/>
      <c r="H191" s="682" t="s">
        <v>14</v>
      </c>
      <c r="I191" s="683"/>
      <c r="J191" s="683"/>
      <c r="K191" s="684"/>
      <c r="L191" s="567">
        <f ca="1">IFERROR(__xludf.DUMMYFUNCTION("IMPORTRANGE(""https://docs.google.com/spreadsheets/d/1-uDff_7J0KD5mKrp0Vvzr7lt3OU09vwQwhkpOPPYv2Y/edit?usp=sharing"",""งบพรบ!CU21"")"),207500)</f>
        <v>207500</v>
      </c>
      <c r="M191" s="568">
        <f ca="1">IFERROR(__xludf.DUMMYFUNCTION("IMPORTRANGE(""https://docs.google.com/spreadsheets/d/1-uDff_7J0KD5mKrp0Vvzr7lt3OU09vwQwhkpOPPYv2Y/edit?usp=sharing"",""งบพรบ!CZ21"")"),207500)</f>
        <v>207500</v>
      </c>
      <c r="N191" s="568">
        <f ca="1">IFERROR(__xludf.DUMMYFUNCTION("IMPORTRANGE(""https://docs.google.com/spreadsheets/d/1-uDff_7J0KD5mKrp0Vvzr7lt3OU09vwQwhkpOPPYv2Y/edit?usp=sharing"",""งบพรบ!DB21"")"),169516.68)</f>
        <v>169516.68</v>
      </c>
      <c r="O191" s="568">
        <f t="shared" ca="1" si="133"/>
        <v>81.694785542168674</v>
      </c>
      <c r="P191" s="568">
        <f t="shared" ca="1" si="134"/>
        <v>81.694785542168674</v>
      </c>
      <c r="Q191" s="568">
        <f ca="1">IFERROR(__xludf.DUMMYFUNCTION("IMPORTRANGE(""https://docs.google.com/spreadsheets/d/1ItG2mGa2ceCfYo0BwxsXqNm01IGEUdYcSSLTEv9YCik/edit?usp=sharing"",""เบิกจ่ายกองทุน!BQ21"")"),42000)</f>
        <v>42000</v>
      </c>
      <c r="R191" s="568">
        <f ca="1">IFERROR(__xludf.DUMMYFUNCTION("IMPORTRANGE(""https://docs.google.com/spreadsheets/d/1ItG2mGa2ceCfYo0BwxsXqNm01IGEUdYcSSLTEv9YCik/edit?usp=sharing"",""เบิกจ่ายกองทุน!BR21"")"),42000)</f>
        <v>42000</v>
      </c>
      <c r="S191" s="568">
        <f ca="1">IFERROR(__xludf.DUMMYFUNCTION("IMPORTRANGE(""https://docs.google.com/spreadsheets/d/1ItG2mGa2ceCfYo0BwxsXqNm01IGEUdYcSSLTEv9YCik/edit?usp=sharing"",""เบิกจ่ายกองทุน!BS21"")"),0)</f>
        <v>0</v>
      </c>
      <c r="T191" s="568">
        <f t="shared" ca="1" si="136"/>
        <v>0</v>
      </c>
      <c r="U191" s="568">
        <f t="shared" ca="1" si="137"/>
        <v>0</v>
      </c>
    </row>
    <row r="192" spans="1:21" ht="18.75" x14ac:dyDescent="0.25">
      <c r="A192" s="674"/>
      <c r="B192" s="561"/>
      <c r="C192" s="561"/>
      <c r="D192" s="562" t="s">
        <v>23</v>
      </c>
      <c r="E192" s="561"/>
      <c r="F192" s="561"/>
      <c r="G192" s="563"/>
      <c r="H192" s="686" t="s">
        <v>14</v>
      </c>
      <c r="I192" s="683"/>
      <c r="J192" s="683"/>
      <c r="K192" s="684"/>
      <c r="L192" s="567">
        <f t="shared" ref="L192:N192" ca="1" si="142">L193+L194</f>
        <v>0</v>
      </c>
      <c r="M192" s="568">
        <f t="shared" ca="1" si="142"/>
        <v>0</v>
      </c>
      <c r="N192" s="568">
        <f t="shared" ca="1" si="142"/>
        <v>0</v>
      </c>
      <c r="O192" s="568">
        <f t="shared" ca="1" si="133"/>
        <v>0</v>
      </c>
      <c r="P192" s="568">
        <f t="shared" ca="1" si="134"/>
        <v>0</v>
      </c>
      <c r="Q192" s="568">
        <f t="shared" ref="Q192:S192" ca="1" si="143">Q193+Q194</f>
        <v>0</v>
      </c>
      <c r="R192" s="568">
        <f t="shared" ca="1" si="143"/>
        <v>0</v>
      </c>
      <c r="S192" s="568">
        <f t="shared" ca="1" si="143"/>
        <v>0</v>
      </c>
      <c r="T192" s="568">
        <f t="shared" ca="1" si="136"/>
        <v>0</v>
      </c>
      <c r="U192" s="568">
        <f t="shared" ca="1" si="137"/>
        <v>0</v>
      </c>
    </row>
    <row r="193" spans="1:21" ht="18.75" x14ac:dyDescent="0.25">
      <c r="A193" s="674"/>
      <c r="B193" s="561"/>
      <c r="C193" s="561"/>
      <c r="D193" s="561"/>
      <c r="E193" s="569" t="s">
        <v>20</v>
      </c>
      <c r="F193" s="561"/>
      <c r="G193" s="563"/>
      <c r="H193" s="685" t="s">
        <v>14</v>
      </c>
      <c r="I193" s="683"/>
      <c r="J193" s="683"/>
      <c r="K193" s="684"/>
      <c r="L193" s="571">
        <v>0</v>
      </c>
      <c r="M193" s="572">
        <v>0</v>
      </c>
      <c r="N193" s="572">
        <v>0</v>
      </c>
      <c r="O193" s="572">
        <f t="shared" si="133"/>
        <v>0</v>
      </c>
      <c r="P193" s="572">
        <f t="shared" si="134"/>
        <v>0</v>
      </c>
      <c r="Q193" s="572">
        <v>0</v>
      </c>
      <c r="R193" s="572">
        <v>0</v>
      </c>
      <c r="S193" s="572">
        <v>0</v>
      </c>
      <c r="T193" s="572">
        <f t="shared" si="136"/>
        <v>0</v>
      </c>
      <c r="U193" s="572">
        <f t="shared" si="137"/>
        <v>0</v>
      </c>
    </row>
    <row r="194" spans="1:21" ht="18.75" x14ac:dyDescent="0.25">
      <c r="A194" s="674"/>
      <c r="B194" s="561"/>
      <c r="C194" s="561"/>
      <c r="D194" s="561"/>
      <c r="E194" s="573" t="s">
        <v>21</v>
      </c>
      <c r="F194" s="561"/>
      <c r="G194" s="563"/>
      <c r="H194" s="686" t="s">
        <v>14</v>
      </c>
      <c r="I194" s="683"/>
      <c r="J194" s="683"/>
      <c r="K194" s="684"/>
      <c r="L194" s="567">
        <f ca="1">IFERROR(__xludf.DUMMYFUNCTION("IMPORTRANGE(""https://docs.google.com/spreadsheets/d/1-uDff_7J0KD5mKrp0Vvzr7lt3OU09vwQwhkpOPPYv2Y/edit?usp=sharing"",""งบพรบ!CX21"")"),0)</f>
        <v>0</v>
      </c>
      <c r="M194" s="568">
        <f ca="1">IFERROR(__xludf.DUMMYFUNCTION("IMPORTRANGE(""https://docs.google.com/spreadsheets/d/1-uDff_7J0KD5mKrp0Vvzr7lt3OU09vwQwhkpOPPYv2Y/edit?usp=sharing"",""งบพรบ!DA21"")"),0)</f>
        <v>0</v>
      </c>
      <c r="N194" s="568">
        <f ca="1">IFERROR(__xludf.DUMMYFUNCTION("IMPORTRANGE(""https://docs.google.com/spreadsheets/d/1-uDff_7J0KD5mKrp0Vvzr7lt3OU09vwQwhkpOPPYv2Y/edit?usp=sharing"",""งบพรบ!DC21"")"),0)</f>
        <v>0</v>
      </c>
      <c r="O194" s="568">
        <f t="shared" ca="1" si="133"/>
        <v>0</v>
      </c>
      <c r="P194" s="568">
        <f t="shared" ca="1" si="134"/>
        <v>0</v>
      </c>
      <c r="Q194" s="568">
        <f ca="1">IFERROR(__xludf.DUMMYFUNCTION("IMPORTRANGE(""https://docs.google.com/spreadsheets/d/1ItG2mGa2ceCfYo0BwxsXqNm01IGEUdYcSSLTEv9YCik/edit?usp=sharing"",""เบิกจ่ายกองทุน!BT21"")"),0)</f>
        <v>0</v>
      </c>
      <c r="R194" s="568">
        <f ca="1">IFERROR(__xludf.DUMMYFUNCTION("IMPORTRANGE(""https://docs.google.com/spreadsheets/d/1ItG2mGa2ceCfYo0BwxsXqNm01IGEUdYcSSLTEv9YCik/edit?usp=sharing"",""เบิกจ่ายกองทุน!BU21"")"),0)</f>
        <v>0</v>
      </c>
      <c r="S194" s="568">
        <f ca="1">IFERROR(__xludf.DUMMYFUNCTION("IMPORTRANGE(""https://docs.google.com/spreadsheets/d/1ItG2mGa2ceCfYo0BwxsXqNm01IGEUdYcSSLTEv9YCik/edit?usp=sharing"",""เบิกจ่ายกองทุน!BV21"")"),0)</f>
        <v>0</v>
      </c>
      <c r="T194" s="568">
        <f t="shared" ca="1" si="136"/>
        <v>0</v>
      </c>
      <c r="U194" s="568">
        <f t="shared" ca="1" si="137"/>
        <v>0</v>
      </c>
    </row>
    <row r="195" spans="1:21" ht="19.5" x14ac:dyDescent="0.3">
      <c r="A195" s="769"/>
      <c r="B195" s="770"/>
      <c r="C195" s="771" t="s">
        <v>78</v>
      </c>
      <c r="D195" s="772"/>
      <c r="E195" s="772"/>
      <c r="F195" s="772"/>
      <c r="G195" s="773"/>
      <c r="H195" s="774" t="s">
        <v>79</v>
      </c>
      <c r="I195" s="775">
        <f t="shared" ref="I195:J195" ca="1" si="144">I198</f>
        <v>4</v>
      </c>
      <c r="J195" s="775">
        <f t="shared" si="144"/>
        <v>2</v>
      </c>
      <c r="K195" s="776">
        <f ca="1">IF(I195&gt;0,J195*100/I195,0)</f>
        <v>50</v>
      </c>
      <c r="L195" s="777"/>
      <c r="M195" s="778"/>
      <c r="N195" s="778"/>
      <c r="O195" s="778"/>
      <c r="P195" s="778"/>
      <c r="Q195" s="778"/>
      <c r="R195" s="778"/>
      <c r="S195" s="778"/>
      <c r="T195" s="778"/>
      <c r="U195" s="778"/>
    </row>
    <row r="196" spans="1:21" ht="19.5" x14ac:dyDescent="0.3">
      <c r="A196" s="674"/>
      <c r="B196" s="561"/>
      <c r="C196" s="675" t="s">
        <v>18</v>
      </c>
      <c r="D196" s="779" t="s">
        <v>19</v>
      </c>
      <c r="E196" s="561"/>
      <c r="F196" s="561"/>
      <c r="G196" s="563"/>
      <c r="H196" s="780" t="s">
        <v>14</v>
      </c>
      <c r="I196" s="565"/>
      <c r="J196" s="565"/>
      <c r="K196" s="566"/>
      <c r="L196" s="678">
        <f ca="1">IFERROR(__xludf.DUMMYFUNCTION("IMPORTRANGE(""https://docs.google.com/spreadsheets/d/1eHaY18a8A9IcSdp1K8H6x8fbOy06t2VsZHhMHf-1x7Y/edit?usp=sharing"",""แผน!AB21"")"),6000)</f>
        <v>6000</v>
      </c>
      <c r="M196" s="566"/>
      <c r="N196" s="781">
        <v>0</v>
      </c>
      <c r="O196" s="679">
        <f ca="1">IF(L196&gt;0,N196*100/L196,0)</f>
        <v>0</v>
      </c>
      <c r="P196" s="679">
        <f>IF(M196&gt;0,N196*100/M196,0)</f>
        <v>0</v>
      </c>
      <c r="Q196" s="566"/>
      <c r="R196" s="566"/>
      <c r="S196" s="566"/>
      <c r="T196" s="566"/>
      <c r="U196" s="566"/>
    </row>
    <row r="197" spans="1:21" ht="19.5" x14ac:dyDescent="0.3">
      <c r="A197" s="687"/>
      <c r="B197" s="688"/>
      <c r="C197" s="675" t="s">
        <v>18</v>
      </c>
      <c r="D197" s="689" t="s">
        <v>38</v>
      </c>
      <c r="E197" s="690"/>
      <c r="F197" s="690"/>
      <c r="G197" s="691"/>
      <c r="H197" s="692"/>
      <c r="I197" s="565"/>
      <c r="J197" s="565"/>
      <c r="K197" s="566"/>
      <c r="L197" s="574"/>
      <c r="M197" s="566"/>
      <c r="N197" s="566"/>
      <c r="O197" s="566"/>
      <c r="P197" s="566"/>
      <c r="Q197" s="566"/>
      <c r="R197" s="566"/>
      <c r="S197" s="566"/>
      <c r="T197" s="566"/>
      <c r="U197" s="566"/>
    </row>
    <row r="198" spans="1:21" ht="18.75" x14ac:dyDescent="0.25">
      <c r="A198" s="687"/>
      <c r="B198" s="688"/>
      <c r="C198" s="688"/>
      <c r="D198" s="699" t="s">
        <v>80</v>
      </c>
      <c r="E198" s="695"/>
      <c r="F198" s="695"/>
      <c r="G198" s="692"/>
      <c r="H198" s="700" t="s">
        <v>79</v>
      </c>
      <c r="I198" s="708">
        <f ca="1">IFERROR(__xludf.DUMMYFUNCTION("IMPORTRANGE(""https://docs.google.com/spreadsheets/d/1eHaY18a8A9IcSdp1K8H6x8fbOy06t2VsZHhMHf-1x7Y/edit?usp=sharing"",""แผน!AE21"")"),4)</f>
        <v>4</v>
      </c>
      <c r="J198" s="702">
        <v>2</v>
      </c>
      <c r="K198" s="568">
        <f ca="1">IF(I198&gt;0,J198*100/I198,0)</f>
        <v>50</v>
      </c>
      <c r="L198" s="574"/>
      <c r="M198" s="566"/>
      <c r="N198" s="566"/>
      <c r="O198" s="566"/>
      <c r="P198" s="566"/>
      <c r="Q198" s="566"/>
      <c r="R198" s="566"/>
      <c r="S198" s="566"/>
      <c r="T198" s="566"/>
      <c r="U198" s="566"/>
    </row>
    <row r="199" spans="1:21" ht="18.75" x14ac:dyDescent="0.25">
      <c r="A199" s="687"/>
      <c r="B199" s="688"/>
      <c r="C199" s="688"/>
      <c r="D199" s="699" t="s">
        <v>81</v>
      </c>
      <c r="E199" s="695"/>
      <c r="F199" s="695"/>
      <c r="G199" s="692"/>
      <c r="H199" s="766" t="s">
        <v>35</v>
      </c>
      <c r="I199" s="565"/>
      <c r="J199" s="708">
        <f>J200+J201</f>
        <v>44</v>
      </c>
      <c r="K199" s="566"/>
      <c r="L199" s="574"/>
      <c r="M199" s="566"/>
      <c r="N199" s="566"/>
      <c r="O199" s="566"/>
      <c r="P199" s="566"/>
      <c r="Q199" s="566"/>
      <c r="R199" s="566"/>
      <c r="S199" s="566"/>
      <c r="T199" s="566"/>
      <c r="U199" s="566"/>
    </row>
    <row r="200" spans="1:21" ht="18.75" x14ac:dyDescent="0.25">
      <c r="A200" s="687"/>
      <c r="B200" s="688"/>
      <c r="C200" s="688"/>
      <c r="D200" s="688"/>
      <c r="E200" s="699" t="s">
        <v>82</v>
      </c>
      <c r="F200" s="695"/>
      <c r="G200" s="692"/>
      <c r="H200" s="766" t="s">
        <v>35</v>
      </c>
      <c r="I200" s="565"/>
      <c r="J200" s="702">
        <v>44</v>
      </c>
      <c r="K200" s="566"/>
      <c r="L200" s="574"/>
      <c r="M200" s="566"/>
      <c r="N200" s="566"/>
      <c r="O200" s="566"/>
      <c r="P200" s="566"/>
      <c r="Q200" s="566"/>
      <c r="R200" s="566"/>
      <c r="S200" s="566"/>
      <c r="T200" s="566"/>
      <c r="U200" s="566"/>
    </row>
    <row r="201" spans="1:21" ht="18.75" x14ac:dyDescent="0.25">
      <c r="A201" s="687"/>
      <c r="B201" s="688"/>
      <c r="C201" s="688"/>
      <c r="D201" s="688"/>
      <c r="E201" s="699" t="s">
        <v>83</v>
      </c>
      <c r="F201" s="695"/>
      <c r="G201" s="692"/>
      <c r="H201" s="766" t="s">
        <v>35</v>
      </c>
      <c r="I201" s="565"/>
      <c r="J201" s="702">
        <v>0</v>
      </c>
      <c r="K201" s="566"/>
      <c r="L201" s="574"/>
      <c r="M201" s="566"/>
      <c r="N201" s="566"/>
      <c r="O201" s="566"/>
      <c r="P201" s="566"/>
      <c r="Q201" s="566"/>
      <c r="R201" s="566"/>
      <c r="S201" s="566"/>
      <c r="T201" s="566"/>
      <c r="U201" s="566"/>
    </row>
    <row r="202" spans="1:21" ht="19.5" x14ac:dyDescent="0.3">
      <c r="A202" s="769"/>
      <c r="B202" s="770"/>
      <c r="C202" s="771" t="s">
        <v>84</v>
      </c>
      <c r="D202" s="772"/>
      <c r="E202" s="772"/>
      <c r="F202" s="772"/>
      <c r="G202" s="773"/>
      <c r="H202" s="782" t="s">
        <v>85</v>
      </c>
      <c r="I202" s="775">
        <f t="shared" ref="I202:J202" ca="1" si="145">I209</f>
        <v>3</v>
      </c>
      <c r="J202" s="775">
        <f t="shared" si="145"/>
        <v>0</v>
      </c>
      <c r="K202" s="776">
        <f ca="1">IF(I202&gt;0,J202*100/I202,0)</f>
        <v>0</v>
      </c>
      <c r="L202" s="777"/>
      <c r="M202" s="778"/>
      <c r="N202" s="778"/>
      <c r="O202" s="778"/>
      <c r="P202" s="778"/>
      <c r="Q202" s="778"/>
      <c r="R202" s="778"/>
      <c r="S202" s="778"/>
      <c r="T202" s="778"/>
      <c r="U202" s="778"/>
    </row>
    <row r="203" spans="1:21" ht="19.5" x14ac:dyDescent="0.3">
      <c r="A203" s="674"/>
      <c r="B203" s="561"/>
      <c r="C203" s="675" t="s">
        <v>18</v>
      </c>
      <c r="D203" s="779" t="s">
        <v>19</v>
      </c>
      <c r="E203" s="561"/>
      <c r="F203" s="561"/>
      <c r="G203" s="563"/>
      <c r="H203" s="780" t="s">
        <v>14</v>
      </c>
      <c r="I203" s="683"/>
      <c r="J203" s="683"/>
      <c r="K203" s="684"/>
      <c r="L203" s="678">
        <f ca="1">L204+L205+L206+L207</f>
        <v>10000</v>
      </c>
      <c r="M203" s="566"/>
      <c r="N203" s="679">
        <f>N204+N205+N206+N207</f>
        <v>0</v>
      </c>
      <c r="O203" s="679">
        <f ca="1">IF(L203&gt;0,N203*100/L203,0)</f>
        <v>0</v>
      </c>
      <c r="P203" s="679">
        <f>IF(M203&gt;0,N203*100/M203,0)</f>
        <v>0</v>
      </c>
      <c r="Q203" s="783">
        <f ca="1">Q204+Q205+Q206+Q207</f>
        <v>42000</v>
      </c>
      <c r="R203" s="784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 x14ac:dyDescent="0.25">
      <c r="A204" s="674"/>
      <c r="B204" s="718"/>
      <c r="C204" s="561"/>
      <c r="D204" s="788" t="s">
        <v>317</v>
      </c>
      <c r="E204" s="561"/>
      <c r="F204" s="561"/>
      <c r="G204" s="563"/>
      <c r="H204" s="682" t="s">
        <v>14</v>
      </c>
      <c r="I204" s="683"/>
      <c r="J204" s="683"/>
      <c r="K204" s="684"/>
      <c r="L204" s="567">
        <f ca="1">IFERROR(__xludf.DUMMYFUNCTION("IMPORTRANGE(""https://docs.google.com/spreadsheets/d/1eHaY18a8A9IcSdp1K8H6x8fbOy06t2VsZHhMHf-1x7Y/edit?usp=sharing"",""แผน!AG21"")"),2000)</f>
        <v>2000</v>
      </c>
      <c r="M204" s="566"/>
      <c r="N204" s="786">
        <v>0</v>
      </c>
      <c r="O204" s="684"/>
      <c r="P204" s="566"/>
      <c r="Q204" s="567">
        <v>0</v>
      </c>
      <c r="R204" s="566"/>
      <c r="S204" s="568">
        <v>0</v>
      </c>
      <c r="T204" s="684"/>
      <c r="U204" s="566"/>
    </row>
    <row r="205" spans="1:21" ht="18.75" x14ac:dyDescent="0.25">
      <c r="A205" s="764"/>
      <c r="B205" s="718"/>
      <c r="C205" s="561"/>
      <c r="D205" s="573" t="s">
        <v>301</v>
      </c>
      <c r="E205" s="561"/>
      <c r="F205" s="561"/>
      <c r="G205" s="563"/>
      <c r="H205" s="564" t="s">
        <v>14</v>
      </c>
      <c r="I205" s="565"/>
      <c r="J205" s="565"/>
      <c r="K205" s="566"/>
      <c r="L205" s="567">
        <f ca="1">IFERROR(__xludf.DUMMYFUNCTION("IMPORTRANGE(""https://docs.google.com/spreadsheets/d/1eHaY18a8A9IcSdp1K8H6x8fbOy06t2VsZHhMHf-1x7Y/edit?usp=sharing"",""แผน!AH21"")"),0)</f>
        <v>0</v>
      </c>
      <c r="M205" s="566"/>
      <c r="N205" s="786">
        <v>0</v>
      </c>
      <c r="O205" s="684"/>
      <c r="P205" s="566"/>
      <c r="Q205" s="567">
        <v>0</v>
      </c>
      <c r="R205" s="566"/>
      <c r="S205" s="568">
        <v>0</v>
      </c>
      <c r="T205" s="684"/>
      <c r="U205" s="566"/>
    </row>
    <row r="206" spans="1:21" ht="18.75" x14ac:dyDescent="0.25">
      <c r="A206" s="764"/>
      <c r="B206" s="718"/>
      <c r="C206" s="561"/>
      <c r="D206" s="573" t="s">
        <v>88</v>
      </c>
      <c r="E206" s="561"/>
      <c r="F206" s="561"/>
      <c r="G206" s="563"/>
      <c r="H206" s="564" t="s">
        <v>14</v>
      </c>
      <c r="I206" s="565"/>
      <c r="J206" s="565"/>
      <c r="K206" s="566"/>
      <c r="L206" s="567">
        <f ca="1">IFERROR(__xludf.DUMMYFUNCTION("IMPORTRANGE(""https://docs.google.com/spreadsheets/d/1eHaY18a8A9IcSdp1K8H6x8fbOy06t2VsZHhMHf-1x7Y/edit?usp=sharing"",""แผน!AI21"")"),0)</f>
        <v>0</v>
      </c>
      <c r="M206" s="566"/>
      <c r="N206" s="786">
        <v>0</v>
      </c>
      <c r="O206" s="684"/>
      <c r="P206" s="566"/>
      <c r="Q206" s="567">
        <f ca="1">IFERROR(__xludf.DUMMYFUNCTION("IMPORTRANGE(""https://docs.google.com/spreadsheets/d/1eHaY18a8A9IcSdp1K8H6x8fbOy06t2VsZHhMHf-1x7Y/edit?usp=sharing"",""แผน!LV21"")"),42000)</f>
        <v>42000</v>
      </c>
      <c r="R206" s="566"/>
      <c r="S206" s="786">
        <v>0</v>
      </c>
      <c r="T206" s="684"/>
      <c r="U206" s="566"/>
    </row>
    <row r="207" spans="1:21" ht="18.75" x14ac:dyDescent="0.25">
      <c r="A207" s="764"/>
      <c r="B207" s="718"/>
      <c r="C207" s="561"/>
      <c r="D207" s="573" t="s">
        <v>89</v>
      </c>
      <c r="E207" s="561"/>
      <c r="F207" s="561"/>
      <c r="G207" s="563"/>
      <c r="H207" s="564" t="s">
        <v>14</v>
      </c>
      <c r="I207" s="565"/>
      <c r="J207" s="565"/>
      <c r="K207" s="566"/>
      <c r="L207" s="567">
        <f ca="1">IFERROR(__xludf.DUMMYFUNCTION("IMPORTRANGE(""https://docs.google.com/spreadsheets/d/1eHaY18a8A9IcSdp1K8H6x8fbOy06t2VsZHhMHf-1x7Y/edit?usp=sharing"",""แผน!AJ21"")"),8000)</f>
        <v>8000</v>
      </c>
      <c r="M207" s="566"/>
      <c r="N207" s="786">
        <v>0</v>
      </c>
      <c r="O207" s="684"/>
      <c r="P207" s="566"/>
      <c r="Q207" s="567">
        <v>0</v>
      </c>
      <c r="R207" s="566"/>
      <c r="S207" s="568">
        <v>0</v>
      </c>
      <c r="T207" s="684"/>
      <c r="U207" s="566"/>
    </row>
    <row r="208" spans="1:21" ht="19.5" x14ac:dyDescent="0.3">
      <c r="A208" s="687"/>
      <c r="B208" s="688"/>
      <c r="C208" s="675" t="s">
        <v>18</v>
      </c>
      <c r="D208" s="689" t="s">
        <v>38</v>
      </c>
      <c r="E208" s="690"/>
      <c r="F208" s="690"/>
      <c r="G208" s="691"/>
      <c r="H208" s="692"/>
      <c r="I208" s="683"/>
      <c r="J208" s="683"/>
      <c r="K208" s="684"/>
      <c r="L208" s="693"/>
      <c r="M208" s="684"/>
      <c r="N208" s="684"/>
      <c r="O208" s="684"/>
      <c r="P208" s="684"/>
      <c r="Q208" s="693"/>
      <c r="R208" s="684"/>
      <c r="S208" s="684"/>
      <c r="T208" s="684"/>
      <c r="U208" s="684"/>
    </row>
    <row r="209" spans="1:21" ht="18.75" x14ac:dyDescent="0.25">
      <c r="A209" s="687"/>
      <c r="B209" s="688"/>
      <c r="C209" s="688"/>
      <c r="D209" s="694" t="s">
        <v>90</v>
      </c>
      <c r="E209" s="695"/>
      <c r="F209" s="695"/>
      <c r="G209" s="692"/>
      <c r="H209" s="787" t="s">
        <v>85</v>
      </c>
      <c r="I209" s="708">
        <f ca="1">IFERROR(__xludf.DUMMYFUNCTION("IMPORTRANGE(""https://docs.google.com/spreadsheets/d/1eHaY18a8A9IcSdp1K8H6x8fbOy06t2VsZHhMHf-1x7Y/edit?usp=sharing"",""แผน!AK21"")"),3)</f>
        <v>3</v>
      </c>
      <c r="J209" s="702">
        <v>0</v>
      </c>
      <c r="K209" s="703">
        <f ca="1">IF(I209&gt;0,J209*100/I209,0)</f>
        <v>0</v>
      </c>
      <c r="L209" s="574"/>
      <c r="M209" s="566"/>
      <c r="N209" s="566"/>
      <c r="O209" s="566"/>
      <c r="P209" s="566"/>
      <c r="Q209" s="574"/>
      <c r="R209" s="566"/>
      <c r="S209" s="566"/>
      <c r="T209" s="566"/>
      <c r="U209" s="566"/>
    </row>
    <row r="210" spans="1:21" ht="18.75" x14ac:dyDescent="0.25">
      <c r="A210" s="687"/>
      <c r="B210" s="688"/>
      <c r="C210" s="688"/>
      <c r="D210" s="699" t="s">
        <v>50</v>
      </c>
      <c r="E210" s="695"/>
      <c r="F210" s="695"/>
      <c r="G210" s="692"/>
      <c r="H210" s="692"/>
      <c r="I210" s="565"/>
      <c r="J210" s="565"/>
      <c r="K210" s="684"/>
      <c r="L210" s="574"/>
      <c r="M210" s="566"/>
      <c r="N210" s="566"/>
      <c r="O210" s="566"/>
      <c r="P210" s="566"/>
      <c r="Q210" s="574"/>
      <c r="R210" s="566"/>
      <c r="S210" s="566"/>
      <c r="T210" s="566"/>
      <c r="U210" s="566"/>
    </row>
    <row r="211" spans="1:21" ht="18.75" x14ac:dyDescent="0.25">
      <c r="A211" s="687"/>
      <c r="B211" s="688"/>
      <c r="C211" s="688"/>
      <c r="D211" s="695"/>
      <c r="E211" s="699" t="s">
        <v>91</v>
      </c>
      <c r="F211" s="695"/>
      <c r="G211" s="692"/>
      <c r="H211" s="787" t="s">
        <v>85</v>
      </c>
      <c r="I211" s="708">
        <f ca="1">IFERROR(__xludf.DUMMYFUNCTION("IMPORTRANGE(""https://docs.google.com/spreadsheets/d/1eHaY18a8A9IcSdp1K8H6x8fbOy06t2VsZHhMHf-1x7Y/edit?usp=sharing"",""แผน!JX21"")"),2)</f>
        <v>2</v>
      </c>
      <c r="J211" s="702">
        <v>0</v>
      </c>
      <c r="K211" s="703">
        <f t="shared" ref="K211:K213" ca="1" si="146">IF(I211&gt;0,J211*100/I211,0)</f>
        <v>0</v>
      </c>
      <c r="L211" s="574"/>
      <c r="M211" s="566"/>
      <c r="N211" s="566"/>
      <c r="O211" s="566"/>
      <c r="P211" s="566"/>
      <c r="Q211" s="574"/>
      <c r="R211" s="566"/>
      <c r="S211" s="566"/>
      <c r="T211" s="566"/>
      <c r="U211" s="566"/>
    </row>
    <row r="212" spans="1:21" ht="18.75" x14ac:dyDescent="0.25">
      <c r="A212" s="687"/>
      <c r="B212" s="688"/>
      <c r="C212" s="688"/>
      <c r="D212" s="695"/>
      <c r="E212" s="699" t="s">
        <v>92</v>
      </c>
      <c r="F212" s="695"/>
      <c r="G212" s="695"/>
      <c r="H212" s="700" t="s">
        <v>93</v>
      </c>
      <c r="I212" s="708">
        <f ca="1">IFERROR(__xludf.DUMMYFUNCTION("IMPORTRANGE(""https://docs.google.com/spreadsheets/d/1eHaY18a8A9IcSdp1K8H6x8fbOy06t2VsZHhMHf-1x7Y/edit?usp=sharing"",""แผน!JY21"")"),0)</f>
        <v>0</v>
      </c>
      <c r="J212" s="702">
        <v>0</v>
      </c>
      <c r="K212" s="703">
        <f t="shared" ca="1" si="146"/>
        <v>0</v>
      </c>
      <c r="L212" s="574"/>
      <c r="M212" s="566"/>
      <c r="N212" s="566"/>
      <c r="O212" s="566"/>
      <c r="P212" s="566"/>
      <c r="Q212" s="574"/>
      <c r="R212" s="566"/>
      <c r="S212" s="566"/>
      <c r="T212" s="566"/>
      <c r="U212" s="566"/>
    </row>
    <row r="213" spans="1:21" ht="19.5" x14ac:dyDescent="0.3">
      <c r="A213" s="769"/>
      <c r="B213" s="770"/>
      <c r="C213" s="771" t="s">
        <v>94</v>
      </c>
      <c r="D213" s="772"/>
      <c r="E213" s="772"/>
      <c r="F213" s="772"/>
      <c r="G213" s="773"/>
      <c r="H213" s="782" t="s">
        <v>85</v>
      </c>
      <c r="I213" s="775">
        <f t="shared" ref="I213:J213" ca="1" si="147">I220</f>
        <v>0</v>
      </c>
      <c r="J213" s="775">
        <f t="shared" si="147"/>
        <v>0</v>
      </c>
      <c r="K213" s="776">
        <f t="shared" ca="1" si="146"/>
        <v>0</v>
      </c>
      <c r="L213" s="777"/>
      <c r="M213" s="778"/>
      <c r="N213" s="778"/>
      <c r="O213" s="778"/>
      <c r="P213" s="778"/>
      <c r="Q213" s="777"/>
      <c r="R213" s="778"/>
      <c r="S213" s="778"/>
      <c r="T213" s="778"/>
      <c r="U213" s="778"/>
    </row>
    <row r="214" spans="1:21" ht="19.5" x14ac:dyDescent="0.3">
      <c r="A214" s="674"/>
      <c r="B214" s="561"/>
      <c r="C214" s="675" t="s">
        <v>18</v>
      </c>
      <c r="D214" s="779" t="s">
        <v>19</v>
      </c>
      <c r="E214" s="561"/>
      <c r="F214" s="561"/>
      <c r="G214" s="563"/>
      <c r="H214" s="780" t="s">
        <v>14</v>
      </c>
      <c r="I214" s="683"/>
      <c r="J214" s="683"/>
      <c r="K214" s="684"/>
      <c r="L214" s="678">
        <f ca="1">L215+L216+L217</f>
        <v>0</v>
      </c>
      <c r="M214" s="566"/>
      <c r="N214" s="679">
        <f>N215+N216+N217</f>
        <v>0</v>
      </c>
      <c r="O214" s="679">
        <f ca="1">IF(L214&gt;0,N214*100/L214,0)</f>
        <v>0</v>
      </c>
      <c r="P214" s="679">
        <f>IF(M214&gt;0,N214*100/M214,0)</f>
        <v>0</v>
      </c>
      <c r="Q214" s="678">
        <f ca="1">Q215+Q216+Q217</f>
        <v>0</v>
      </c>
      <c r="R214" s="566"/>
      <c r="S214" s="679">
        <f>S215+S216+S217</f>
        <v>229220</v>
      </c>
      <c r="T214" s="679">
        <f ca="1">IF(Q214&gt;0,S214*100/Q214,0)</f>
        <v>0</v>
      </c>
      <c r="U214" s="679">
        <f>IF(R214&gt;0,S214*100/R214,0)</f>
        <v>0</v>
      </c>
    </row>
    <row r="215" spans="1:21" ht="18.75" x14ac:dyDescent="0.25">
      <c r="A215" s="674"/>
      <c r="B215" s="718"/>
      <c r="C215" s="561"/>
      <c r="D215" s="573" t="s">
        <v>86</v>
      </c>
      <c r="E215" s="561"/>
      <c r="F215" s="561"/>
      <c r="G215" s="563"/>
      <c r="H215" s="682" t="s">
        <v>14</v>
      </c>
      <c r="I215" s="683"/>
      <c r="J215" s="683"/>
      <c r="K215" s="684"/>
      <c r="L215" s="567">
        <f ca="1">IFERROR(__xludf.DUMMYFUNCTION("IMPORTRANGE(""https://docs.google.com/spreadsheets/d/1eHaY18a8A9IcSdp1K8H6x8fbOy06t2VsZHhMHf-1x7Y/edit?usp=sharing"",""แผน!AM21"")"),0)</f>
        <v>0</v>
      </c>
      <c r="M215" s="566"/>
      <c r="N215" s="786">
        <v>0</v>
      </c>
      <c r="O215" s="684"/>
      <c r="P215" s="566"/>
      <c r="Q215" s="567">
        <v>0</v>
      </c>
      <c r="R215" s="566"/>
      <c r="S215" s="568">
        <v>0</v>
      </c>
      <c r="T215" s="684"/>
      <c r="U215" s="566"/>
    </row>
    <row r="216" spans="1:21" ht="18.75" x14ac:dyDescent="0.25">
      <c r="A216" s="764"/>
      <c r="B216" s="718"/>
      <c r="C216" s="718"/>
      <c r="D216" s="573" t="s">
        <v>95</v>
      </c>
      <c r="E216" s="561"/>
      <c r="F216" s="561"/>
      <c r="G216" s="563"/>
      <c r="H216" s="682" t="s">
        <v>14</v>
      </c>
      <c r="I216" s="565"/>
      <c r="J216" s="565"/>
      <c r="K216" s="566"/>
      <c r="L216" s="567">
        <f ca="1">IFERROR(__xludf.DUMMYFUNCTION("IMPORTRANGE(""https://docs.google.com/spreadsheets/d/1eHaY18a8A9IcSdp1K8H6x8fbOy06t2VsZHhMHf-1x7Y/edit?usp=sharing"",""แผน!AN21"")"),0)</f>
        <v>0</v>
      </c>
      <c r="M216" s="566"/>
      <c r="N216" s="786">
        <v>0</v>
      </c>
      <c r="O216" s="684"/>
      <c r="P216" s="566"/>
      <c r="Q216" s="567">
        <v>0</v>
      </c>
      <c r="R216" s="566"/>
      <c r="S216" s="568">
        <v>0</v>
      </c>
      <c r="T216" s="684"/>
      <c r="U216" s="566"/>
    </row>
    <row r="217" spans="1:21" ht="18.75" x14ac:dyDescent="0.25">
      <c r="A217" s="764"/>
      <c r="B217" s="718"/>
      <c r="C217" s="718"/>
      <c r="D217" s="573" t="s">
        <v>88</v>
      </c>
      <c r="E217" s="561"/>
      <c r="F217" s="561"/>
      <c r="G217" s="563"/>
      <c r="H217" s="682" t="s">
        <v>14</v>
      </c>
      <c r="I217" s="565"/>
      <c r="J217" s="565"/>
      <c r="K217" s="566"/>
      <c r="L217" s="567">
        <f ca="1">IFERROR(__xludf.DUMMYFUNCTION("IMPORTRANGE(""https://docs.google.com/spreadsheets/d/1eHaY18a8A9IcSdp1K8H6x8fbOy06t2VsZHhMHf-1x7Y/edit?usp=sharing"",""แผน!AO21"")"),0)</f>
        <v>0</v>
      </c>
      <c r="M217" s="566"/>
      <c r="N217" s="786">
        <v>0</v>
      </c>
      <c r="O217" s="684"/>
      <c r="P217" s="566"/>
      <c r="Q217" s="567">
        <f ca="1">IFERROR(__xludf.DUMMYFUNCTION("IMPORTRANGE(""https://docs.google.com/spreadsheets/d/1eHaY18a8A9IcSdp1K8H6x8fbOy06t2VsZHhMHf-1x7Y/edit?usp=sharing"",""แผน!LY21"")"),0)</f>
        <v>0</v>
      </c>
      <c r="R217" s="566"/>
      <c r="S217" s="786">
        <v>229220</v>
      </c>
      <c r="T217" s="684"/>
      <c r="U217" s="566"/>
    </row>
    <row r="218" spans="1:21" ht="19.5" x14ac:dyDescent="0.3">
      <c r="A218" s="687"/>
      <c r="B218" s="688"/>
      <c r="C218" s="719" t="s">
        <v>18</v>
      </c>
      <c r="D218" s="689" t="s">
        <v>38</v>
      </c>
      <c r="E218" s="690"/>
      <c r="F218" s="690"/>
      <c r="G218" s="691"/>
      <c r="H218" s="692"/>
      <c r="I218" s="683"/>
      <c r="J218" s="565"/>
      <c r="K218" s="566"/>
      <c r="L218" s="574"/>
      <c r="M218" s="566"/>
      <c r="N218" s="566"/>
      <c r="O218" s="684"/>
      <c r="P218" s="684"/>
      <c r="Q218" s="574"/>
      <c r="R218" s="566"/>
      <c r="S218" s="566"/>
      <c r="T218" s="684"/>
      <c r="U218" s="684"/>
    </row>
    <row r="219" spans="1:21" ht="18.75" x14ac:dyDescent="0.25">
      <c r="A219" s="687"/>
      <c r="B219" s="688"/>
      <c r="C219" s="688"/>
      <c r="D219" s="694" t="s">
        <v>96</v>
      </c>
      <c r="E219" s="695"/>
      <c r="F219" s="695"/>
      <c r="G219" s="692"/>
      <c r="H219" s="787" t="s">
        <v>85</v>
      </c>
      <c r="I219" s="708">
        <f ca="1">IFERROR(__xludf.DUMMYFUNCTION("IMPORTRANGE(""https://docs.google.com/spreadsheets/d/1eHaY18a8A9IcSdp1K8H6x8fbOy06t2VsZHhMHf-1x7Y/edit?usp=sharing"",""แผน!AP21"")"),0)</f>
        <v>0</v>
      </c>
      <c r="J219" s="702">
        <v>0</v>
      </c>
      <c r="K219" s="568">
        <f t="shared" ref="K219:K221" ca="1" si="148">IF(I219&gt;0,J219*100/I219,0)</f>
        <v>0</v>
      </c>
      <c r="L219" s="574"/>
      <c r="M219" s="566"/>
      <c r="N219" s="566"/>
      <c r="O219" s="566"/>
      <c r="P219" s="566"/>
      <c r="Q219" s="574"/>
      <c r="R219" s="566"/>
      <c r="S219" s="566"/>
      <c r="T219" s="566"/>
      <c r="U219" s="566"/>
    </row>
    <row r="220" spans="1:21" ht="18.75" x14ac:dyDescent="0.25">
      <c r="A220" s="687"/>
      <c r="B220" s="688"/>
      <c r="C220" s="688"/>
      <c r="D220" s="694" t="s">
        <v>97</v>
      </c>
      <c r="E220" s="695"/>
      <c r="F220" s="695"/>
      <c r="G220" s="692"/>
      <c r="H220" s="787" t="s">
        <v>85</v>
      </c>
      <c r="I220" s="708">
        <f ca="1">IFERROR(__xludf.DUMMYFUNCTION("IMPORTRANGE(""https://docs.google.com/spreadsheets/d/1eHaY18a8A9IcSdp1K8H6x8fbOy06t2VsZHhMHf-1x7Y/edit?usp=sharing"",""แผน!AP21"")"),0)</f>
        <v>0</v>
      </c>
      <c r="J220" s="702">
        <v>0</v>
      </c>
      <c r="K220" s="568">
        <f t="shared" ca="1" si="148"/>
        <v>0</v>
      </c>
      <c r="L220" s="574"/>
      <c r="M220" s="566"/>
      <c r="N220" s="566"/>
      <c r="O220" s="566"/>
      <c r="P220" s="566"/>
      <c r="Q220" s="574"/>
      <c r="R220" s="566"/>
      <c r="S220" s="566"/>
      <c r="T220" s="566"/>
      <c r="U220" s="566"/>
    </row>
    <row r="221" spans="1:21" ht="19.5" x14ac:dyDescent="0.3">
      <c r="A221" s="769"/>
      <c r="B221" s="770"/>
      <c r="C221" s="771" t="s">
        <v>98</v>
      </c>
      <c r="D221" s="772"/>
      <c r="E221" s="772"/>
      <c r="F221" s="772"/>
      <c r="G221" s="773"/>
      <c r="H221" s="774" t="s">
        <v>99</v>
      </c>
      <c r="I221" s="775">
        <f t="shared" ref="I221:J221" ca="1" si="149">I229</f>
        <v>20000</v>
      </c>
      <c r="J221" s="775">
        <f t="shared" si="149"/>
        <v>0</v>
      </c>
      <c r="K221" s="776">
        <f t="shared" ca="1" si="148"/>
        <v>0</v>
      </c>
      <c r="L221" s="777"/>
      <c r="M221" s="778"/>
      <c r="N221" s="778"/>
      <c r="O221" s="778"/>
      <c r="P221" s="778"/>
      <c r="Q221" s="778"/>
      <c r="R221" s="778"/>
      <c r="S221" s="778"/>
      <c r="T221" s="778"/>
      <c r="U221" s="778"/>
    </row>
    <row r="222" spans="1:21" ht="19.5" x14ac:dyDescent="0.3">
      <c r="A222" s="674"/>
      <c r="B222" s="561"/>
      <c r="C222" s="675" t="s">
        <v>18</v>
      </c>
      <c r="D222" s="779" t="s">
        <v>19</v>
      </c>
      <c r="E222" s="561"/>
      <c r="F222" s="561"/>
      <c r="G222" s="563"/>
      <c r="H222" s="780" t="s">
        <v>14</v>
      </c>
      <c r="I222" s="683"/>
      <c r="J222" s="683"/>
      <c r="K222" s="684"/>
      <c r="L222" s="678">
        <f ca="1">L223+L224+L225</f>
        <v>4500</v>
      </c>
      <c r="M222" s="566"/>
      <c r="N222" s="679">
        <f>N223+N224+N225</f>
        <v>0</v>
      </c>
      <c r="O222" s="679">
        <f ca="1">IF(L222&gt;0,N222*100/L222,0)</f>
        <v>0</v>
      </c>
      <c r="P222" s="679">
        <f>IF(M222&gt;0,N222*100/M222,0)</f>
        <v>0</v>
      </c>
      <c r="Q222" s="566"/>
      <c r="R222" s="566"/>
      <c r="S222" s="566"/>
      <c r="T222" s="566"/>
      <c r="U222" s="566"/>
    </row>
    <row r="223" spans="1:21" ht="18.75" x14ac:dyDescent="0.25">
      <c r="A223" s="674"/>
      <c r="B223" s="718"/>
      <c r="C223" s="561"/>
      <c r="D223" s="788" t="s">
        <v>302</v>
      </c>
      <c r="E223" s="561"/>
      <c r="F223" s="561"/>
      <c r="G223" s="563"/>
      <c r="H223" s="682" t="s">
        <v>14</v>
      </c>
      <c r="I223" s="683"/>
      <c r="J223" s="683"/>
      <c r="K223" s="684"/>
      <c r="L223" s="567">
        <f ca="1">IFERROR(__xludf.DUMMYFUNCTION("IMPORTRANGE(""https://docs.google.com/spreadsheets/d/1eHaY18a8A9IcSdp1K8H6x8fbOy06t2VsZHhMHf-1x7Y/edit?usp=sharing"",""แผน!AR21"")"),2500)</f>
        <v>2500</v>
      </c>
      <c r="M223" s="566"/>
      <c r="N223" s="786">
        <v>0</v>
      </c>
      <c r="O223" s="684"/>
      <c r="P223" s="566"/>
      <c r="Q223" s="566"/>
      <c r="R223" s="566"/>
      <c r="S223" s="566"/>
      <c r="T223" s="684"/>
      <c r="U223" s="566"/>
    </row>
    <row r="224" spans="1:21" ht="18.75" x14ac:dyDescent="0.25">
      <c r="A224" s="764"/>
      <c r="B224" s="718"/>
      <c r="C224" s="718"/>
      <c r="D224" s="573" t="s">
        <v>301</v>
      </c>
      <c r="E224" s="561"/>
      <c r="F224" s="561"/>
      <c r="G224" s="563"/>
      <c r="H224" s="682" t="s">
        <v>14</v>
      </c>
      <c r="I224" s="565"/>
      <c r="J224" s="565"/>
      <c r="K224" s="566"/>
      <c r="L224" s="567">
        <f ca="1">IFERROR(__xludf.DUMMYFUNCTION("IMPORTRANGE(""https://docs.google.com/spreadsheets/d/1eHaY18a8A9IcSdp1K8H6x8fbOy06t2VsZHhMHf-1x7Y/edit?usp=sharing"",""แผน!AS21"")"),2000)</f>
        <v>2000</v>
      </c>
      <c r="M224" s="566"/>
      <c r="N224" s="786">
        <v>0</v>
      </c>
      <c r="O224" s="684"/>
      <c r="P224" s="566"/>
      <c r="Q224" s="566"/>
      <c r="R224" s="566"/>
      <c r="S224" s="566"/>
      <c r="T224" s="684"/>
      <c r="U224" s="566"/>
    </row>
    <row r="225" spans="1:21" ht="18.75" x14ac:dyDescent="0.25">
      <c r="A225" s="764"/>
      <c r="B225" s="718"/>
      <c r="C225" s="718"/>
      <c r="D225" s="573" t="s">
        <v>88</v>
      </c>
      <c r="E225" s="561"/>
      <c r="F225" s="561"/>
      <c r="G225" s="563"/>
      <c r="H225" s="682" t="s">
        <v>14</v>
      </c>
      <c r="I225" s="565"/>
      <c r="J225" s="565"/>
      <c r="K225" s="566"/>
      <c r="L225" s="567">
        <f ca="1">IFERROR(__xludf.DUMMYFUNCTION("IMPORTRANGE(""https://docs.google.com/spreadsheets/d/1eHaY18a8A9IcSdp1K8H6x8fbOy06t2VsZHhMHf-1x7Y/edit?usp=sharing"",""แผน!AT21"")"),0)</f>
        <v>0</v>
      </c>
      <c r="M225" s="566"/>
      <c r="N225" s="786">
        <v>0</v>
      </c>
      <c r="O225" s="684"/>
      <c r="P225" s="566"/>
      <c r="Q225" s="566"/>
      <c r="R225" s="566"/>
      <c r="S225" s="566"/>
      <c r="T225" s="684"/>
      <c r="U225" s="566"/>
    </row>
    <row r="226" spans="1:21" ht="19.5" x14ac:dyDescent="0.3">
      <c r="A226" s="687"/>
      <c r="B226" s="688"/>
      <c r="C226" s="719" t="s">
        <v>18</v>
      </c>
      <c r="D226" s="689" t="s">
        <v>38</v>
      </c>
      <c r="E226" s="690"/>
      <c r="F226" s="690"/>
      <c r="G226" s="691"/>
      <c r="H226" s="692"/>
      <c r="I226" s="683"/>
      <c r="J226" s="683"/>
      <c r="K226" s="684"/>
      <c r="L226" s="693"/>
      <c r="M226" s="684"/>
      <c r="N226" s="684"/>
      <c r="O226" s="684"/>
      <c r="P226" s="684"/>
      <c r="Q226" s="684"/>
      <c r="R226" s="684"/>
      <c r="S226" s="684"/>
      <c r="T226" s="684"/>
      <c r="U226" s="684"/>
    </row>
    <row r="227" spans="1:21" ht="18.75" x14ac:dyDescent="0.25">
      <c r="A227" s="687"/>
      <c r="B227" s="688"/>
      <c r="C227" s="688"/>
      <c r="D227" s="573" t="s">
        <v>101</v>
      </c>
      <c r="E227" s="695"/>
      <c r="F227" s="695"/>
      <c r="G227" s="692"/>
      <c r="H227" s="692"/>
      <c r="I227" s="565"/>
      <c r="J227" s="565"/>
      <c r="K227" s="684"/>
      <c r="L227" s="693"/>
      <c r="M227" s="684"/>
      <c r="N227" s="684"/>
      <c r="O227" s="684"/>
      <c r="P227" s="684"/>
      <c r="Q227" s="684"/>
      <c r="R227" s="684"/>
      <c r="S227" s="684"/>
      <c r="T227" s="684"/>
      <c r="U227" s="684"/>
    </row>
    <row r="228" spans="1:21" ht="18.75" x14ac:dyDescent="0.25">
      <c r="A228" s="687"/>
      <c r="B228" s="688"/>
      <c r="C228" s="688"/>
      <c r="D228" s="688"/>
      <c r="E228" s="694" t="s">
        <v>102</v>
      </c>
      <c r="F228" s="695"/>
      <c r="G228" s="692"/>
      <c r="H228" s="700" t="s">
        <v>99</v>
      </c>
      <c r="I228" s="708">
        <f ca="1">IFERROR(__xludf.DUMMYFUNCTION("IMPORTRANGE(""https://docs.google.com/spreadsheets/d/1eHaY18a8A9IcSdp1K8H6x8fbOy06t2VsZHhMHf-1x7Y/edit?usp=sharing"",""แผน!AV21"")"),20000)</f>
        <v>20000</v>
      </c>
      <c r="J228" s="702">
        <v>0</v>
      </c>
      <c r="K228" s="703">
        <f t="shared" ref="K228:K231" ca="1" si="150">IF(I228&gt;0,J228*100/I228,0)</f>
        <v>0</v>
      </c>
      <c r="L228" s="693"/>
      <c r="M228" s="684"/>
      <c r="N228" s="684"/>
      <c r="O228" s="684"/>
      <c r="P228" s="684"/>
      <c r="Q228" s="684"/>
      <c r="R228" s="684"/>
      <c r="S228" s="684"/>
      <c r="T228" s="684"/>
      <c r="U228" s="684"/>
    </row>
    <row r="229" spans="1:21" ht="18.75" x14ac:dyDescent="0.25">
      <c r="A229" s="687"/>
      <c r="B229" s="688"/>
      <c r="C229" s="688"/>
      <c r="D229" s="688"/>
      <c r="E229" s="694" t="s">
        <v>103</v>
      </c>
      <c r="F229" s="695"/>
      <c r="G229" s="692"/>
      <c r="H229" s="700" t="s">
        <v>99</v>
      </c>
      <c r="I229" s="708">
        <f ca="1">IFERROR(__xludf.DUMMYFUNCTION("IMPORTRANGE(""https://docs.google.com/spreadsheets/d/1eHaY18a8A9IcSdp1K8H6x8fbOy06t2VsZHhMHf-1x7Y/edit?usp=sharing"",""แผน!AV21"")"),20000)</f>
        <v>20000</v>
      </c>
      <c r="J229" s="702">
        <v>0</v>
      </c>
      <c r="K229" s="703">
        <f t="shared" ca="1" si="150"/>
        <v>0</v>
      </c>
      <c r="L229" s="574"/>
      <c r="M229" s="566"/>
      <c r="N229" s="566"/>
      <c r="O229" s="566"/>
      <c r="P229" s="566"/>
      <c r="Q229" s="566"/>
      <c r="R229" s="566"/>
      <c r="S229" s="566"/>
      <c r="T229" s="566"/>
      <c r="U229" s="566"/>
    </row>
    <row r="230" spans="1:21" ht="18.75" x14ac:dyDescent="0.25">
      <c r="A230" s="687"/>
      <c r="B230" s="688"/>
      <c r="C230" s="688"/>
      <c r="D230" s="573" t="s">
        <v>104</v>
      </c>
      <c r="E230" s="695"/>
      <c r="F230" s="695"/>
      <c r="G230" s="692"/>
      <c r="H230" s="700" t="s">
        <v>35</v>
      </c>
      <c r="I230" s="708">
        <f ca="1">IFERROR(__xludf.DUMMYFUNCTION("IMPORTRANGE(""https://docs.google.com/spreadsheets/d/1eHaY18a8A9IcSdp1K8H6x8fbOy06t2VsZHhMHf-1x7Y/edit?usp=sharing"",""แผน!AU21"")"),0)</f>
        <v>0</v>
      </c>
      <c r="J230" s="702">
        <v>0</v>
      </c>
      <c r="K230" s="703">
        <f t="shared" ca="1" si="150"/>
        <v>0</v>
      </c>
      <c r="L230" s="574"/>
      <c r="M230" s="566"/>
      <c r="N230" s="566"/>
      <c r="O230" s="566"/>
      <c r="P230" s="566"/>
      <c r="Q230" s="566"/>
      <c r="R230" s="566"/>
      <c r="S230" s="566"/>
      <c r="T230" s="566"/>
      <c r="U230" s="566"/>
    </row>
    <row r="231" spans="1:21" ht="19.5" hidden="1" x14ac:dyDescent="0.3">
      <c r="A231" s="769"/>
      <c r="B231" s="770"/>
      <c r="C231" s="771" t="s">
        <v>105</v>
      </c>
      <c r="D231" s="772"/>
      <c r="E231" s="772"/>
      <c r="F231" s="772"/>
      <c r="G231" s="773"/>
      <c r="H231" s="774" t="s">
        <v>35</v>
      </c>
      <c r="I231" s="775">
        <f t="shared" ref="I231:J231" ca="1" si="151">I242+I253</f>
        <v>0</v>
      </c>
      <c r="J231" s="775">
        <f t="shared" si="151"/>
        <v>0</v>
      </c>
      <c r="K231" s="776">
        <f t="shared" ca="1" si="150"/>
        <v>0</v>
      </c>
      <c r="L231" s="777"/>
      <c r="M231" s="778"/>
      <c r="N231" s="778"/>
      <c r="O231" s="778"/>
      <c r="P231" s="778"/>
      <c r="Q231" s="778"/>
      <c r="R231" s="778"/>
      <c r="S231" s="778"/>
      <c r="T231" s="778"/>
      <c r="U231" s="778"/>
    </row>
    <row r="232" spans="1:21" ht="19.5" hidden="1" x14ac:dyDescent="0.3">
      <c r="A232" s="674"/>
      <c r="B232" s="561"/>
      <c r="C232" s="675" t="s">
        <v>18</v>
      </c>
      <c r="D232" s="676" t="s">
        <v>19</v>
      </c>
      <c r="E232" s="561"/>
      <c r="F232" s="561"/>
      <c r="G232" s="563"/>
      <c r="H232" s="780" t="s">
        <v>14</v>
      </c>
      <c r="I232" s="683"/>
      <c r="J232" s="683"/>
      <c r="K232" s="684"/>
      <c r="L232" s="789">
        <f t="shared" ref="L232:L236" ca="1" si="152">L243+L254</f>
        <v>0</v>
      </c>
      <c r="M232" s="566"/>
      <c r="N232" s="790">
        <f t="shared" ref="N232:N236" si="153">N243+N254</f>
        <v>0</v>
      </c>
      <c r="O232" s="566"/>
      <c r="P232" s="566"/>
      <c r="Q232" s="566"/>
      <c r="R232" s="566"/>
      <c r="S232" s="566"/>
      <c r="T232" s="566"/>
      <c r="U232" s="566"/>
    </row>
    <row r="233" spans="1:21" ht="18.75" hidden="1" x14ac:dyDescent="0.25">
      <c r="A233" s="674"/>
      <c r="B233" s="718"/>
      <c r="C233" s="561"/>
      <c r="D233" s="573" t="s">
        <v>86</v>
      </c>
      <c r="E233" s="561"/>
      <c r="F233" s="561"/>
      <c r="G233" s="563"/>
      <c r="H233" s="682" t="s">
        <v>14</v>
      </c>
      <c r="I233" s="683"/>
      <c r="J233" s="683"/>
      <c r="K233" s="684"/>
      <c r="L233" s="571">
        <f t="shared" ca="1" si="152"/>
        <v>0</v>
      </c>
      <c r="M233" s="566"/>
      <c r="N233" s="572">
        <f t="shared" si="153"/>
        <v>0</v>
      </c>
      <c r="O233" s="566"/>
      <c r="P233" s="566"/>
      <c r="Q233" s="1127">
        <v>0</v>
      </c>
      <c r="R233" s="1128">
        <v>0</v>
      </c>
      <c r="S233" s="1128">
        <v>0</v>
      </c>
      <c r="T233" s="566"/>
      <c r="U233" s="566"/>
    </row>
    <row r="234" spans="1:21" ht="18.75" hidden="1" x14ac:dyDescent="0.25">
      <c r="A234" s="764"/>
      <c r="B234" s="718"/>
      <c r="C234" s="718"/>
      <c r="D234" s="573" t="s">
        <v>88</v>
      </c>
      <c r="E234" s="561"/>
      <c r="F234" s="561"/>
      <c r="G234" s="563"/>
      <c r="H234" s="682" t="s">
        <v>14</v>
      </c>
      <c r="I234" s="565"/>
      <c r="J234" s="565"/>
      <c r="K234" s="566"/>
      <c r="L234" s="571">
        <f t="shared" ca="1" si="152"/>
        <v>0</v>
      </c>
      <c r="M234" s="566"/>
      <c r="N234" s="572">
        <f t="shared" si="153"/>
        <v>0</v>
      </c>
      <c r="O234" s="566"/>
      <c r="P234" s="566"/>
      <c r="Q234" s="1129">
        <v>0</v>
      </c>
      <c r="R234" s="1130">
        <v>0</v>
      </c>
      <c r="S234" s="1130">
        <v>0</v>
      </c>
      <c r="T234" s="566"/>
      <c r="U234" s="566"/>
    </row>
    <row r="235" spans="1:21" ht="18.75" hidden="1" x14ac:dyDescent="0.25">
      <c r="A235" s="764"/>
      <c r="B235" s="718"/>
      <c r="C235" s="718"/>
      <c r="D235" s="573" t="s">
        <v>106</v>
      </c>
      <c r="E235" s="561"/>
      <c r="F235" s="561"/>
      <c r="G235" s="563"/>
      <c r="H235" s="682" t="s">
        <v>14</v>
      </c>
      <c r="I235" s="565"/>
      <c r="J235" s="565"/>
      <c r="K235" s="566"/>
      <c r="L235" s="571">
        <f t="shared" ca="1" si="152"/>
        <v>0</v>
      </c>
      <c r="M235" s="566"/>
      <c r="N235" s="572">
        <f t="shared" si="153"/>
        <v>0</v>
      </c>
      <c r="O235" s="566"/>
      <c r="P235" s="566"/>
      <c r="Q235" s="1129">
        <v>0</v>
      </c>
      <c r="R235" s="1130">
        <v>0</v>
      </c>
      <c r="S235" s="1130">
        <v>0</v>
      </c>
      <c r="T235" s="566"/>
      <c r="U235" s="566"/>
    </row>
    <row r="236" spans="1:21" ht="18.75" hidden="1" x14ac:dyDescent="0.25">
      <c r="A236" s="764"/>
      <c r="B236" s="718"/>
      <c r="C236" s="718"/>
      <c r="D236" s="573" t="s">
        <v>107</v>
      </c>
      <c r="E236" s="561"/>
      <c r="F236" s="561"/>
      <c r="G236" s="563"/>
      <c r="H236" s="682" t="s">
        <v>14</v>
      </c>
      <c r="I236" s="565"/>
      <c r="J236" s="565"/>
      <c r="K236" s="566"/>
      <c r="L236" s="571">
        <f t="shared" ca="1" si="152"/>
        <v>0</v>
      </c>
      <c r="M236" s="566"/>
      <c r="N236" s="572">
        <f t="shared" si="153"/>
        <v>0</v>
      </c>
      <c r="O236" s="566"/>
      <c r="P236" s="566"/>
      <c r="Q236" s="1129">
        <v>0</v>
      </c>
      <c r="R236" s="1130">
        <v>0</v>
      </c>
      <c r="S236" s="1130">
        <v>0</v>
      </c>
      <c r="T236" s="566"/>
      <c r="U236" s="566"/>
    </row>
    <row r="237" spans="1:21" ht="19.5" hidden="1" x14ac:dyDescent="0.3">
      <c r="A237" s="687"/>
      <c r="B237" s="688"/>
      <c r="C237" s="719" t="s">
        <v>18</v>
      </c>
      <c r="D237" s="689" t="s">
        <v>38</v>
      </c>
      <c r="E237" s="690"/>
      <c r="F237" s="690"/>
      <c r="G237" s="691"/>
      <c r="H237" s="692"/>
      <c r="I237" s="683"/>
      <c r="J237" s="565"/>
      <c r="K237" s="566"/>
      <c r="L237" s="574"/>
      <c r="M237" s="566"/>
      <c r="N237" s="566"/>
      <c r="O237" s="684"/>
      <c r="P237" s="684"/>
      <c r="Q237" s="566"/>
      <c r="R237" s="566"/>
      <c r="S237" s="566"/>
      <c r="T237" s="684"/>
      <c r="U237" s="684"/>
    </row>
    <row r="238" spans="1:21" ht="18.75" hidden="1" x14ac:dyDescent="0.25">
      <c r="A238" s="687"/>
      <c r="B238" s="688"/>
      <c r="C238" s="688"/>
      <c r="D238" s="699" t="s">
        <v>108</v>
      </c>
      <c r="E238" s="695"/>
      <c r="F238" s="695"/>
      <c r="G238" s="692"/>
      <c r="H238" s="700" t="s">
        <v>35</v>
      </c>
      <c r="I238" s="708">
        <f t="shared" ref="I238:J238" ca="1" si="154">I249+I260</f>
        <v>0</v>
      </c>
      <c r="J238" s="708">
        <f t="shared" si="154"/>
        <v>0</v>
      </c>
      <c r="K238" s="568">
        <f ca="1">IF(I238&gt;0,J238*100/I238,0)</f>
        <v>0</v>
      </c>
      <c r="L238" s="574"/>
      <c r="M238" s="566"/>
      <c r="N238" s="566"/>
      <c r="O238" s="566"/>
      <c r="P238" s="566"/>
      <c r="Q238" s="566"/>
      <c r="R238" s="566"/>
      <c r="S238" s="566"/>
      <c r="T238" s="566"/>
      <c r="U238" s="566"/>
    </row>
    <row r="239" spans="1:21" ht="18.75" hidden="1" x14ac:dyDescent="0.25">
      <c r="A239" s="687"/>
      <c r="B239" s="688"/>
      <c r="C239" s="688"/>
      <c r="D239" s="792" t="s">
        <v>43</v>
      </c>
      <c r="E239" s="695"/>
      <c r="F239" s="695"/>
      <c r="G239" s="692"/>
      <c r="H239" s="692"/>
      <c r="I239" s="565"/>
      <c r="J239" s="565"/>
      <c r="K239" s="566"/>
      <c r="L239" s="574"/>
      <c r="M239" s="566"/>
      <c r="N239" s="566"/>
      <c r="O239" s="684"/>
      <c r="P239" s="684"/>
      <c r="Q239" s="566"/>
      <c r="R239" s="566"/>
      <c r="S239" s="566"/>
      <c r="T239" s="684"/>
      <c r="U239" s="684"/>
    </row>
    <row r="240" spans="1:21" ht="18.75" hidden="1" x14ac:dyDescent="0.25">
      <c r="A240" s="687"/>
      <c r="B240" s="688"/>
      <c r="C240" s="688"/>
      <c r="D240" s="688"/>
      <c r="E240" s="694" t="s">
        <v>109</v>
      </c>
      <c r="F240" s="695"/>
      <c r="G240" s="692"/>
      <c r="H240" s="700" t="s">
        <v>35</v>
      </c>
      <c r="I240" s="708">
        <f t="shared" ref="I240:J241" si="155">I251+I262</f>
        <v>0</v>
      </c>
      <c r="J240" s="708">
        <f t="shared" si="155"/>
        <v>0</v>
      </c>
      <c r="K240" s="568">
        <f t="shared" ref="K240:K242" si="156">IF(I240&gt;0,J240*100/I240,0)</f>
        <v>0</v>
      </c>
      <c r="L240" s="574"/>
      <c r="M240" s="566"/>
      <c r="N240" s="566"/>
      <c r="O240" s="566"/>
      <c r="P240" s="566"/>
      <c r="Q240" s="566"/>
      <c r="R240" s="566"/>
      <c r="S240" s="566"/>
      <c r="T240" s="566"/>
      <c r="U240" s="566"/>
    </row>
    <row r="241" spans="1:21" ht="18.75" hidden="1" x14ac:dyDescent="0.25">
      <c r="A241" s="687"/>
      <c r="B241" s="688"/>
      <c r="C241" s="688"/>
      <c r="D241" s="688"/>
      <c r="E241" s="694" t="s">
        <v>110</v>
      </c>
      <c r="F241" s="695"/>
      <c r="G241" s="692"/>
      <c r="H241" s="700" t="s">
        <v>61</v>
      </c>
      <c r="I241" s="708">
        <f t="shared" si="155"/>
        <v>0</v>
      </c>
      <c r="J241" s="708">
        <f t="shared" si="155"/>
        <v>0</v>
      </c>
      <c r="K241" s="568">
        <f t="shared" si="156"/>
        <v>0</v>
      </c>
      <c r="L241" s="574"/>
      <c r="M241" s="566"/>
      <c r="N241" s="566"/>
      <c r="O241" s="566"/>
      <c r="P241" s="566"/>
      <c r="Q241" s="566"/>
      <c r="R241" s="566"/>
      <c r="S241" s="566"/>
      <c r="T241" s="566"/>
      <c r="U241" s="566"/>
    </row>
    <row r="242" spans="1:21" ht="19.5" hidden="1" x14ac:dyDescent="0.3">
      <c r="A242" s="769"/>
      <c r="B242" s="770"/>
      <c r="C242" s="793" t="s">
        <v>111</v>
      </c>
      <c r="D242" s="772"/>
      <c r="E242" s="772"/>
      <c r="F242" s="772"/>
      <c r="G242" s="773"/>
      <c r="H242" s="794" t="s">
        <v>35</v>
      </c>
      <c r="I242" s="795">
        <f t="shared" ref="I242:J242" ca="1" si="157">I249</f>
        <v>0</v>
      </c>
      <c r="J242" s="795">
        <f t="shared" si="157"/>
        <v>0</v>
      </c>
      <c r="K242" s="796">
        <f t="shared" ca="1" si="156"/>
        <v>0</v>
      </c>
      <c r="L242" s="777"/>
      <c r="M242" s="778"/>
      <c r="N242" s="778"/>
      <c r="O242" s="778"/>
      <c r="P242" s="778"/>
      <c r="Q242" s="778"/>
      <c r="R242" s="778"/>
      <c r="S242" s="778"/>
      <c r="T242" s="778"/>
      <c r="U242" s="778"/>
    </row>
    <row r="243" spans="1:21" ht="19.5" hidden="1" x14ac:dyDescent="0.3">
      <c r="A243" s="674"/>
      <c r="B243" s="561"/>
      <c r="C243" s="797" t="s">
        <v>18</v>
      </c>
      <c r="D243" s="798" t="s">
        <v>19</v>
      </c>
      <c r="E243" s="561"/>
      <c r="F243" s="561"/>
      <c r="G243" s="563"/>
      <c r="H243" s="799" t="s">
        <v>14</v>
      </c>
      <c r="I243" s="683"/>
      <c r="J243" s="683"/>
      <c r="K243" s="684"/>
      <c r="L243" s="678">
        <f ca="1">L244+L245+L246+L247</f>
        <v>0</v>
      </c>
      <c r="M243" s="566"/>
      <c r="N243" s="679">
        <f>N244+N245+N246+N247</f>
        <v>0</v>
      </c>
      <c r="O243" s="679">
        <f ca="1">IF(L243&gt;0,N243*100/L243,0)</f>
        <v>0</v>
      </c>
      <c r="P243" s="679">
        <f>IF(M243&gt;0,N243*100/M243,0)</f>
        <v>0</v>
      </c>
      <c r="Q243" s="566"/>
      <c r="R243" s="566"/>
      <c r="S243" s="566"/>
      <c r="T243" s="566"/>
      <c r="U243" s="566"/>
    </row>
    <row r="244" spans="1:21" ht="18.75" hidden="1" x14ac:dyDescent="0.25">
      <c r="A244" s="674"/>
      <c r="B244" s="718"/>
      <c r="C244" s="561"/>
      <c r="D244" s="569" t="s">
        <v>86</v>
      </c>
      <c r="E244" s="561"/>
      <c r="F244" s="561"/>
      <c r="G244" s="563"/>
      <c r="H244" s="685" t="s">
        <v>14</v>
      </c>
      <c r="I244" s="683"/>
      <c r="J244" s="683"/>
      <c r="K244" s="684"/>
      <c r="L244" s="567">
        <f ca="1">IFERROR(__xludf.DUMMYFUNCTION("IMPORTRANGE(""https://docs.google.com/spreadsheets/d/1eHaY18a8A9IcSdp1K8H6x8fbOy06t2VsZHhMHf-1x7Y/edit?usp=sharing"",""แผน!AX21"")"),0)</f>
        <v>0</v>
      </c>
      <c r="M244" s="566"/>
      <c r="N244" s="786">
        <v>0</v>
      </c>
      <c r="O244" s="566"/>
      <c r="P244" s="566"/>
      <c r="Q244" s="566"/>
      <c r="R244" s="566"/>
      <c r="S244" s="566"/>
      <c r="T244" s="566"/>
      <c r="U244" s="566"/>
    </row>
    <row r="245" spans="1:21" ht="18.75" hidden="1" x14ac:dyDescent="0.25">
      <c r="A245" s="764"/>
      <c r="B245" s="718"/>
      <c r="C245" s="718"/>
      <c r="D245" s="569" t="s">
        <v>88</v>
      </c>
      <c r="E245" s="561"/>
      <c r="F245" s="561"/>
      <c r="G245" s="563"/>
      <c r="H245" s="685" t="s">
        <v>14</v>
      </c>
      <c r="I245" s="565"/>
      <c r="J245" s="565"/>
      <c r="K245" s="566"/>
      <c r="L245" s="567">
        <f ca="1">IFERROR(__xludf.DUMMYFUNCTION("IMPORTRANGE(""https://docs.google.com/spreadsheets/d/1eHaY18a8A9IcSdp1K8H6x8fbOy06t2VsZHhMHf-1x7Y/edit?usp=sharing"",""แผน!AY21"")"),0)</f>
        <v>0</v>
      </c>
      <c r="M245" s="566"/>
      <c r="N245" s="786">
        <v>0</v>
      </c>
      <c r="O245" s="566"/>
      <c r="P245" s="566"/>
      <c r="Q245" s="566"/>
      <c r="R245" s="566"/>
      <c r="S245" s="566"/>
      <c r="T245" s="566"/>
      <c r="U245" s="566"/>
    </row>
    <row r="246" spans="1:21" ht="18.75" hidden="1" x14ac:dyDescent="0.25">
      <c r="A246" s="764"/>
      <c r="B246" s="718"/>
      <c r="C246" s="718"/>
      <c r="D246" s="569" t="s">
        <v>106</v>
      </c>
      <c r="E246" s="561"/>
      <c r="F246" s="561"/>
      <c r="G246" s="563"/>
      <c r="H246" s="685" t="s">
        <v>14</v>
      </c>
      <c r="I246" s="565"/>
      <c r="J246" s="565"/>
      <c r="K246" s="566"/>
      <c r="L246" s="567">
        <f ca="1">IFERROR(__xludf.DUMMYFUNCTION("IMPORTRANGE(""https://docs.google.com/spreadsheets/d/1eHaY18a8A9IcSdp1K8H6x8fbOy06t2VsZHhMHf-1x7Y/edit?usp=sharing"",""แผน!AZ21"")"),0)</f>
        <v>0</v>
      </c>
      <c r="M246" s="566"/>
      <c r="N246" s="786">
        <v>0</v>
      </c>
      <c r="O246" s="566"/>
      <c r="P246" s="566"/>
      <c r="Q246" s="566"/>
      <c r="R246" s="566"/>
      <c r="S246" s="566"/>
      <c r="T246" s="566"/>
      <c r="U246" s="566"/>
    </row>
    <row r="247" spans="1:21" ht="18.75" hidden="1" x14ac:dyDescent="0.25">
      <c r="A247" s="764"/>
      <c r="B247" s="718"/>
      <c r="C247" s="718"/>
      <c r="D247" s="569" t="s">
        <v>107</v>
      </c>
      <c r="E247" s="561"/>
      <c r="F247" s="561"/>
      <c r="G247" s="563"/>
      <c r="H247" s="685" t="s">
        <v>14</v>
      </c>
      <c r="I247" s="565"/>
      <c r="J247" s="565"/>
      <c r="K247" s="566"/>
      <c r="L247" s="567">
        <f ca="1">IFERROR(__xludf.DUMMYFUNCTION("IMPORTRANGE(""https://docs.google.com/spreadsheets/d/1eHaY18a8A9IcSdp1K8H6x8fbOy06t2VsZHhMHf-1x7Y/edit?usp=sharing"",""แผน!BA21"")"),0)</f>
        <v>0</v>
      </c>
      <c r="M247" s="566"/>
      <c r="N247" s="786">
        <v>0</v>
      </c>
      <c r="O247" s="566"/>
      <c r="P247" s="566"/>
      <c r="Q247" s="566"/>
      <c r="R247" s="566"/>
      <c r="S247" s="566"/>
      <c r="T247" s="566"/>
      <c r="U247" s="566"/>
    </row>
    <row r="248" spans="1:21" ht="19.5" hidden="1" x14ac:dyDescent="0.3">
      <c r="A248" s="687"/>
      <c r="B248" s="688"/>
      <c r="C248" s="800" t="s">
        <v>18</v>
      </c>
      <c r="D248" s="801" t="s">
        <v>38</v>
      </c>
      <c r="E248" s="690"/>
      <c r="F248" s="690"/>
      <c r="G248" s="691"/>
      <c r="H248" s="692"/>
      <c r="I248" s="683"/>
      <c r="J248" s="565"/>
      <c r="K248" s="566"/>
      <c r="L248" s="574"/>
      <c r="M248" s="566"/>
      <c r="N248" s="566"/>
      <c r="O248" s="684"/>
      <c r="P248" s="684"/>
      <c r="Q248" s="566"/>
      <c r="R248" s="566"/>
      <c r="S248" s="566"/>
      <c r="T248" s="684"/>
      <c r="U248" s="684"/>
    </row>
    <row r="249" spans="1:21" ht="18.75" hidden="1" x14ac:dyDescent="0.25">
      <c r="A249" s="687"/>
      <c r="B249" s="688"/>
      <c r="C249" s="688"/>
      <c r="D249" s="726" t="s">
        <v>108</v>
      </c>
      <c r="E249" s="695"/>
      <c r="F249" s="695"/>
      <c r="G249" s="692"/>
      <c r="H249" s="802" t="s">
        <v>35</v>
      </c>
      <c r="I249" s="735">
        <f ca="1">IFERROR(__xludf.DUMMYFUNCTION("IMPORTRANGE(""https://docs.google.com/spreadsheets/d/1eHaY18a8A9IcSdp1K8H6x8fbOy06t2VsZHhMHf-1x7Y/edit?usp=sharing"",""แผน!BG21"")"),0)</f>
        <v>0</v>
      </c>
      <c r="J249" s="736">
        <v>0</v>
      </c>
      <c r="K249" s="572">
        <f ca="1">IF(I249&gt;0,J249*100/I249,0)</f>
        <v>0</v>
      </c>
      <c r="L249" s="574"/>
      <c r="M249" s="566"/>
      <c r="N249" s="566"/>
      <c r="O249" s="566"/>
      <c r="P249" s="566"/>
      <c r="Q249" s="566"/>
      <c r="R249" s="566"/>
      <c r="S249" s="566"/>
      <c r="T249" s="566"/>
      <c r="U249" s="566"/>
    </row>
    <row r="250" spans="1:21" ht="18.75" hidden="1" x14ac:dyDescent="0.25">
      <c r="A250" s="687"/>
      <c r="B250" s="688"/>
      <c r="C250" s="688"/>
      <c r="D250" s="803" t="s">
        <v>43</v>
      </c>
      <c r="E250" s="695"/>
      <c r="F250" s="695"/>
      <c r="G250" s="692"/>
      <c r="H250" s="692"/>
      <c r="I250" s="565"/>
      <c r="J250" s="565"/>
      <c r="K250" s="566"/>
      <c r="L250" s="574"/>
      <c r="M250" s="566"/>
      <c r="N250" s="566"/>
      <c r="O250" s="684"/>
      <c r="P250" s="684"/>
      <c r="Q250" s="566"/>
      <c r="R250" s="566"/>
      <c r="S250" s="566"/>
      <c r="T250" s="684"/>
      <c r="U250" s="684"/>
    </row>
    <row r="251" spans="1:21" ht="18.75" hidden="1" x14ac:dyDescent="0.25">
      <c r="A251" s="687"/>
      <c r="B251" s="688"/>
      <c r="C251" s="688"/>
      <c r="D251" s="688"/>
      <c r="E251" s="804" t="s">
        <v>109</v>
      </c>
      <c r="F251" s="695"/>
      <c r="G251" s="692"/>
      <c r="H251" s="802" t="s">
        <v>35</v>
      </c>
      <c r="I251" s="735">
        <v>0</v>
      </c>
      <c r="J251" s="736">
        <v>0</v>
      </c>
      <c r="K251" s="572">
        <f t="shared" ref="K251:K253" si="158">IF(I251&gt;0,J251*100/I251,0)</f>
        <v>0</v>
      </c>
      <c r="L251" s="574"/>
      <c r="M251" s="566"/>
      <c r="N251" s="566"/>
      <c r="O251" s="566"/>
      <c r="P251" s="566"/>
      <c r="Q251" s="566"/>
      <c r="R251" s="566"/>
      <c r="S251" s="566"/>
      <c r="T251" s="566"/>
      <c r="U251" s="566"/>
    </row>
    <row r="252" spans="1:21" ht="18.75" hidden="1" x14ac:dyDescent="0.25">
      <c r="A252" s="687"/>
      <c r="B252" s="688"/>
      <c r="C252" s="688"/>
      <c r="D252" s="688"/>
      <c r="E252" s="804" t="s">
        <v>110</v>
      </c>
      <c r="F252" s="695"/>
      <c r="G252" s="692"/>
      <c r="H252" s="802" t="s">
        <v>61</v>
      </c>
      <c r="I252" s="735">
        <v>0</v>
      </c>
      <c r="J252" s="736">
        <v>0</v>
      </c>
      <c r="K252" s="572">
        <f t="shared" si="158"/>
        <v>0</v>
      </c>
      <c r="L252" s="574"/>
      <c r="M252" s="566"/>
      <c r="N252" s="566"/>
      <c r="O252" s="566"/>
      <c r="P252" s="566"/>
      <c r="Q252" s="566"/>
      <c r="R252" s="566"/>
      <c r="S252" s="566"/>
      <c r="T252" s="566"/>
      <c r="U252" s="566"/>
    </row>
    <row r="253" spans="1:21" ht="19.5" hidden="1" x14ac:dyDescent="0.3">
      <c r="A253" s="769"/>
      <c r="B253" s="770"/>
      <c r="C253" s="793" t="s">
        <v>112</v>
      </c>
      <c r="D253" s="772"/>
      <c r="E253" s="772"/>
      <c r="F253" s="772"/>
      <c r="G253" s="773"/>
      <c r="H253" s="794" t="s">
        <v>35</v>
      </c>
      <c r="I253" s="795">
        <f t="shared" ref="I253:J253" ca="1" si="159">I260</f>
        <v>0</v>
      </c>
      <c r="J253" s="795">
        <f t="shared" si="159"/>
        <v>0</v>
      </c>
      <c r="K253" s="796">
        <f t="shared" ca="1" si="158"/>
        <v>0</v>
      </c>
      <c r="L253" s="777"/>
      <c r="M253" s="778"/>
      <c r="N253" s="778"/>
      <c r="O253" s="778"/>
      <c r="P253" s="778"/>
      <c r="Q253" s="778"/>
      <c r="R253" s="778"/>
      <c r="S253" s="778"/>
      <c r="T253" s="778"/>
      <c r="U253" s="778"/>
    </row>
    <row r="254" spans="1:21" ht="19.5" hidden="1" x14ac:dyDescent="0.3">
      <c r="A254" s="674"/>
      <c r="B254" s="561"/>
      <c r="C254" s="797" t="s">
        <v>18</v>
      </c>
      <c r="D254" s="805" t="s">
        <v>19</v>
      </c>
      <c r="E254" s="561"/>
      <c r="F254" s="561"/>
      <c r="G254" s="563"/>
      <c r="H254" s="799" t="s">
        <v>14</v>
      </c>
      <c r="I254" s="683"/>
      <c r="J254" s="683"/>
      <c r="K254" s="684"/>
      <c r="L254" s="678">
        <f ca="1">L255+L256+L257+L258</f>
        <v>0</v>
      </c>
      <c r="M254" s="566"/>
      <c r="N254" s="679">
        <f>N255+N256+N257+N258</f>
        <v>0</v>
      </c>
      <c r="O254" s="679">
        <f ca="1">IF(L254&gt;0,N254*100/L254,0)</f>
        <v>0</v>
      </c>
      <c r="P254" s="679">
        <f>IF(M254&gt;0,N254*100/M254,0)</f>
        <v>0</v>
      </c>
      <c r="Q254" s="566"/>
      <c r="R254" s="566"/>
      <c r="S254" s="566"/>
      <c r="T254" s="566"/>
      <c r="U254" s="566"/>
    </row>
    <row r="255" spans="1:21" ht="18.75" hidden="1" x14ac:dyDescent="0.25">
      <c r="A255" s="674"/>
      <c r="B255" s="718"/>
      <c r="C255" s="561"/>
      <c r="D255" s="569" t="s">
        <v>86</v>
      </c>
      <c r="E255" s="561"/>
      <c r="F255" s="561"/>
      <c r="G255" s="563"/>
      <c r="H255" s="685" t="s">
        <v>14</v>
      </c>
      <c r="I255" s="683"/>
      <c r="J255" s="683"/>
      <c r="K255" s="684"/>
      <c r="L255" s="567">
        <f ca="1">IFERROR(__xludf.DUMMYFUNCTION("IMPORTRANGE(""https://docs.google.com/spreadsheets/d/1eHaY18a8A9IcSdp1K8H6x8fbOy06t2VsZHhMHf-1x7Y/edit?usp=sharing"",""แผน!BB21"")"),0)</f>
        <v>0</v>
      </c>
      <c r="M255" s="566"/>
      <c r="N255" s="786">
        <v>0</v>
      </c>
      <c r="O255" s="566"/>
      <c r="P255" s="566"/>
      <c r="Q255" s="566"/>
      <c r="R255" s="566"/>
      <c r="S255" s="566"/>
      <c r="T255" s="566"/>
      <c r="U255" s="566"/>
    </row>
    <row r="256" spans="1:21" ht="18.75" hidden="1" x14ac:dyDescent="0.25">
      <c r="A256" s="764"/>
      <c r="B256" s="718"/>
      <c r="C256" s="718"/>
      <c r="D256" s="569" t="s">
        <v>88</v>
      </c>
      <c r="E256" s="561"/>
      <c r="F256" s="561"/>
      <c r="G256" s="563"/>
      <c r="H256" s="685" t="s">
        <v>14</v>
      </c>
      <c r="I256" s="565"/>
      <c r="J256" s="565"/>
      <c r="K256" s="566"/>
      <c r="L256" s="567">
        <f ca="1">IFERROR(__xludf.DUMMYFUNCTION("IMPORTRANGE(""https://docs.google.com/spreadsheets/d/1eHaY18a8A9IcSdp1K8H6x8fbOy06t2VsZHhMHf-1x7Y/edit?usp=sharing"",""แผน!BC21"")"),0)</f>
        <v>0</v>
      </c>
      <c r="M256" s="566"/>
      <c r="N256" s="786">
        <v>0</v>
      </c>
      <c r="O256" s="566"/>
      <c r="P256" s="566"/>
      <c r="Q256" s="566"/>
      <c r="R256" s="566"/>
      <c r="S256" s="566"/>
      <c r="T256" s="566"/>
      <c r="U256" s="566"/>
    </row>
    <row r="257" spans="1:21" ht="18.75" hidden="1" x14ac:dyDescent="0.25">
      <c r="A257" s="764"/>
      <c r="B257" s="718"/>
      <c r="C257" s="718"/>
      <c r="D257" s="569" t="s">
        <v>106</v>
      </c>
      <c r="E257" s="561"/>
      <c r="F257" s="561"/>
      <c r="G257" s="563"/>
      <c r="H257" s="685" t="s">
        <v>14</v>
      </c>
      <c r="I257" s="565"/>
      <c r="J257" s="565"/>
      <c r="K257" s="566"/>
      <c r="L257" s="567">
        <f ca="1">IFERROR(__xludf.DUMMYFUNCTION("IMPORTRANGE(""https://docs.google.com/spreadsheets/d/1eHaY18a8A9IcSdp1K8H6x8fbOy06t2VsZHhMHf-1x7Y/edit?usp=sharing"",""แผน!BD21"")"),0)</f>
        <v>0</v>
      </c>
      <c r="M257" s="566"/>
      <c r="N257" s="786">
        <v>0</v>
      </c>
      <c r="O257" s="566"/>
      <c r="P257" s="566"/>
      <c r="Q257" s="566"/>
      <c r="R257" s="566"/>
      <c r="S257" s="566"/>
      <c r="T257" s="566"/>
      <c r="U257" s="566"/>
    </row>
    <row r="258" spans="1:21" ht="18.75" hidden="1" x14ac:dyDescent="0.25">
      <c r="A258" s="764"/>
      <c r="B258" s="718"/>
      <c r="C258" s="718"/>
      <c r="D258" s="569" t="s">
        <v>107</v>
      </c>
      <c r="E258" s="561"/>
      <c r="F258" s="561"/>
      <c r="G258" s="563"/>
      <c r="H258" s="685" t="s">
        <v>14</v>
      </c>
      <c r="I258" s="565"/>
      <c r="J258" s="565"/>
      <c r="K258" s="566"/>
      <c r="L258" s="567">
        <f ca="1">IFERROR(__xludf.DUMMYFUNCTION("IMPORTRANGE(""https://docs.google.com/spreadsheets/d/1eHaY18a8A9IcSdp1K8H6x8fbOy06t2VsZHhMHf-1x7Y/edit?usp=sharing"",""แผน!BE21"")"),0)</f>
        <v>0</v>
      </c>
      <c r="M258" s="566"/>
      <c r="N258" s="786">
        <v>0</v>
      </c>
      <c r="O258" s="566"/>
      <c r="P258" s="566"/>
      <c r="Q258" s="566"/>
      <c r="R258" s="566"/>
      <c r="S258" s="566"/>
      <c r="T258" s="566"/>
      <c r="U258" s="566"/>
    </row>
    <row r="259" spans="1:21" ht="19.5" hidden="1" x14ac:dyDescent="0.3">
      <c r="A259" s="687"/>
      <c r="B259" s="688"/>
      <c r="C259" s="800" t="s">
        <v>18</v>
      </c>
      <c r="D259" s="801" t="s">
        <v>38</v>
      </c>
      <c r="E259" s="690"/>
      <c r="F259" s="690"/>
      <c r="G259" s="691"/>
      <c r="H259" s="692"/>
      <c r="I259" s="683"/>
      <c r="J259" s="565"/>
      <c r="K259" s="566"/>
      <c r="L259" s="574"/>
      <c r="M259" s="566"/>
      <c r="N259" s="566"/>
      <c r="O259" s="684"/>
      <c r="P259" s="684"/>
      <c r="Q259" s="566"/>
      <c r="R259" s="566"/>
      <c r="S259" s="566"/>
      <c r="T259" s="684"/>
      <c r="U259" s="684"/>
    </row>
    <row r="260" spans="1:21" ht="18.75" hidden="1" x14ac:dyDescent="0.25">
      <c r="A260" s="687"/>
      <c r="B260" s="688"/>
      <c r="C260" s="688"/>
      <c r="D260" s="726" t="s">
        <v>108</v>
      </c>
      <c r="E260" s="695"/>
      <c r="F260" s="695"/>
      <c r="G260" s="692"/>
      <c r="H260" s="802" t="s">
        <v>35</v>
      </c>
      <c r="I260" s="735">
        <f ca="1">IFERROR(__xludf.DUMMYFUNCTION("IMPORTRANGE(""https://docs.google.com/spreadsheets/d/1eHaY18a8A9IcSdp1K8H6x8fbOy06t2VsZHhMHf-1x7Y/edit?usp=sharing"",""แผน!BH21"")"),0)</f>
        <v>0</v>
      </c>
      <c r="J260" s="736">
        <v>0</v>
      </c>
      <c r="K260" s="572">
        <f ca="1">IF(I260&gt;0,J260*100/I260,0)</f>
        <v>0</v>
      </c>
      <c r="L260" s="574"/>
      <c r="M260" s="566"/>
      <c r="N260" s="566"/>
      <c r="O260" s="566"/>
      <c r="P260" s="566"/>
      <c r="Q260" s="566"/>
      <c r="R260" s="566"/>
      <c r="S260" s="566"/>
      <c r="T260" s="566"/>
      <c r="U260" s="566"/>
    </row>
    <row r="261" spans="1:21" ht="18.75" hidden="1" x14ac:dyDescent="0.25">
      <c r="A261" s="687"/>
      <c r="B261" s="688"/>
      <c r="C261" s="688"/>
      <c r="D261" s="803" t="s">
        <v>43</v>
      </c>
      <c r="E261" s="695"/>
      <c r="F261" s="695"/>
      <c r="G261" s="692"/>
      <c r="H261" s="692"/>
      <c r="I261" s="565"/>
      <c r="J261" s="565"/>
      <c r="K261" s="566"/>
      <c r="L261" s="574"/>
      <c r="M261" s="566"/>
      <c r="N261" s="566"/>
      <c r="O261" s="684"/>
      <c r="P261" s="684"/>
      <c r="Q261" s="566"/>
      <c r="R261" s="566"/>
      <c r="S261" s="566"/>
      <c r="T261" s="684"/>
      <c r="U261" s="684"/>
    </row>
    <row r="262" spans="1:21" ht="18.75" hidden="1" x14ac:dyDescent="0.25">
      <c r="A262" s="687"/>
      <c r="B262" s="688"/>
      <c r="C262" s="688"/>
      <c r="D262" s="688"/>
      <c r="E262" s="804" t="s">
        <v>109</v>
      </c>
      <c r="F262" s="695"/>
      <c r="G262" s="692"/>
      <c r="H262" s="802" t="s">
        <v>35</v>
      </c>
      <c r="I262" s="565"/>
      <c r="J262" s="736">
        <v>0</v>
      </c>
      <c r="K262" s="572">
        <f t="shared" ref="K262:K263" si="160">IF(I262&gt;0,J262*100/I262,0)</f>
        <v>0</v>
      </c>
      <c r="L262" s="574"/>
      <c r="M262" s="566"/>
      <c r="N262" s="566"/>
      <c r="O262" s="566"/>
      <c r="P262" s="566"/>
      <c r="Q262" s="566"/>
      <c r="R262" s="566"/>
      <c r="S262" s="566"/>
      <c r="T262" s="566"/>
      <c r="U262" s="566"/>
    </row>
    <row r="263" spans="1:21" ht="18.75" hidden="1" x14ac:dyDescent="0.25">
      <c r="A263" s="687"/>
      <c r="B263" s="688"/>
      <c r="C263" s="688"/>
      <c r="D263" s="688"/>
      <c r="E263" s="804" t="s">
        <v>110</v>
      </c>
      <c r="F263" s="695"/>
      <c r="G263" s="692"/>
      <c r="H263" s="802" t="s">
        <v>61</v>
      </c>
      <c r="I263" s="565"/>
      <c r="J263" s="736">
        <v>0</v>
      </c>
      <c r="K263" s="572">
        <f t="shared" si="160"/>
        <v>0</v>
      </c>
      <c r="L263" s="574"/>
      <c r="M263" s="566"/>
      <c r="N263" s="566"/>
      <c r="O263" s="566"/>
      <c r="P263" s="566"/>
      <c r="Q263" s="566"/>
      <c r="R263" s="566"/>
      <c r="S263" s="566"/>
      <c r="T263" s="566"/>
      <c r="U263" s="566"/>
    </row>
    <row r="264" spans="1:21" ht="19.5" x14ac:dyDescent="0.3">
      <c r="A264" s="806" t="s">
        <v>113</v>
      </c>
      <c r="B264" s="807"/>
      <c r="C264" s="807"/>
      <c r="D264" s="808"/>
      <c r="E264" s="808"/>
      <c r="F264" s="808"/>
      <c r="G264" s="809"/>
      <c r="H264" s="809"/>
      <c r="I264" s="810"/>
      <c r="J264" s="810"/>
      <c r="K264" s="811"/>
      <c r="L264" s="812"/>
      <c r="M264" s="811"/>
      <c r="N264" s="811"/>
      <c r="O264" s="811"/>
      <c r="P264" s="811"/>
      <c r="Q264" s="811"/>
      <c r="R264" s="811"/>
      <c r="S264" s="811"/>
      <c r="T264" s="811"/>
      <c r="U264" s="811"/>
    </row>
    <row r="265" spans="1:21" ht="19.5" x14ac:dyDescent="0.3">
      <c r="A265" s="813"/>
      <c r="B265" s="814" t="s">
        <v>114</v>
      </c>
      <c r="C265" s="815"/>
      <c r="D265" s="816"/>
      <c r="E265" s="816"/>
      <c r="F265" s="816"/>
      <c r="G265" s="817"/>
      <c r="H265" s="818" t="s">
        <v>35</v>
      </c>
      <c r="I265" s="819">
        <f t="shared" ref="I265:J265" ca="1" si="161">I276</f>
        <v>22</v>
      </c>
      <c r="J265" s="819">
        <f t="shared" si="161"/>
        <v>22</v>
      </c>
      <c r="K265" s="820">
        <f ca="1">IF(I265&gt;0,J265*100/I265,0)</f>
        <v>100</v>
      </c>
      <c r="L265" s="821"/>
      <c r="M265" s="822"/>
      <c r="N265" s="822"/>
      <c r="O265" s="822"/>
      <c r="P265" s="822"/>
      <c r="Q265" s="822"/>
      <c r="R265" s="822"/>
      <c r="S265" s="822"/>
      <c r="T265" s="822"/>
      <c r="U265" s="822"/>
    </row>
    <row r="266" spans="1:21" ht="19.5" x14ac:dyDescent="0.3">
      <c r="A266" s="823"/>
      <c r="B266" s="824"/>
      <c r="C266" s="825" t="s">
        <v>18</v>
      </c>
      <c r="D266" s="826" t="s">
        <v>19</v>
      </c>
      <c r="E266" s="824"/>
      <c r="F266" s="824"/>
      <c r="G266" s="827"/>
      <c r="H266" s="828" t="s">
        <v>14</v>
      </c>
      <c r="I266" s="829"/>
      <c r="J266" s="829"/>
      <c r="K266" s="830"/>
      <c r="L266" s="831">
        <f t="shared" ref="L266:N266" ca="1" si="162">L267+L268</f>
        <v>5000</v>
      </c>
      <c r="M266" s="832">
        <f t="shared" ca="1" si="162"/>
        <v>5000</v>
      </c>
      <c r="N266" s="832">
        <f t="shared" ca="1" si="162"/>
        <v>5000</v>
      </c>
      <c r="O266" s="832">
        <f t="shared" ref="O266:O274" ca="1" si="163">IF(L266&gt;0,N266*100/L266,0)</f>
        <v>100</v>
      </c>
      <c r="P266" s="832">
        <f t="shared" ref="P266:P274" ca="1" si="164">IF(M266&gt;0,N266*100/M266,0)</f>
        <v>100</v>
      </c>
      <c r="Q266" s="832">
        <f t="shared" ref="Q266:S266" ca="1" si="165">Q267+Q268</f>
        <v>50660</v>
      </c>
      <c r="R266" s="832">
        <f t="shared" ca="1" si="165"/>
        <v>50660</v>
      </c>
      <c r="S266" s="832">
        <f t="shared" ca="1" si="165"/>
        <v>36460</v>
      </c>
      <c r="T266" s="832">
        <f t="shared" ref="T266:T274" ca="1" si="166">IF(Q266&gt;0,S266*100/Q266,0)</f>
        <v>71.969996052112123</v>
      </c>
      <c r="U266" s="832">
        <f t="shared" ref="U266:U274" ca="1" si="167">IF(R266&gt;0,S266*100/R266,0)</f>
        <v>71.969996052112123</v>
      </c>
    </row>
    <row r="267" spans="1:21" ht="18.75" x14ac:dyDescent="0.25">
      <c r="A267" s="833"/>
      <c r="B267" s="834"/>
      <c r="C267" s="834"/>
      <c r="D267" s="834"/>
      <c r="E267" s="569" t="s">
        <v>20</v>
      </c>
      <c r="F267" s="834"/>
      <c r="G267" s="835"/>
      <c r="H267" s="680" t="s">
        <v>14</v>
      </c>
      <c r="I267" s="836"/>
      <c r="J267" s="836"/>
      <c r="K267" s="837"/>
      <c r="L267" s="571">
        <f t="shared" ref="L267:N268" si="168">L270+L273</f>
        <v>0</v>
      </c>
      <c r="M267" s="572">
        <f t="shared" si="168"/>
        <v>0</v>
      </c>
      <c r="N267" s="572">
        <f t="shared" si="168"/>
        <v>0</v>
      </c>
      <c r="O267" s="572">
        <f t="shared" si="163"/>
        <v>0</v>
      </c>
      <c r="P267" s="572">
        <f t="shared" si="164"/>
        <v>0</v>
      </c>
      <c r="Q267" s="572">
        <f t="shared" ref="Q267:S268" si="169">Q270+Q273</f>
        <v>0</v>
      </c>
      <c r="R267" s="572">
        <f t="shared" si="169"/>
        <v>0</v>
      </c>
      <c r="S267" s="572">
        <f t="shared" si="169"/>
        <v>0</v>
      </c>
      <c r="T267" s="572">
        <f t="shared" si="166"/>
        <v>0</v>
      </c>
      <c r="U267" s="572">
        <f t="shared" si="167"/>
        <v>0</v>
      </c>
    </row>
    <row r="268" spans="1:21" ht="18.75" x14ac:dyDescent="0.25">
      <c r="A268" s="823"/>
      <c r="B268" s="824"/>
      <c r="C268" s="824"/>
      <c r="D268" s="824"/>
      <c r="E268" s="838" t="s">
        <v>21</v>
      </c>
      <c r="F268" s="824"/>
      <c r="G268" s="827"/>
      <c r="H268" s="839" t="s">
        <v>14</v>
      </c>
      <c r="I268" s="829"/>
      <c r="J268" s="829"/>
      <c r="K268" s="830"/>
      <c r="L268" s="840">
        <f t="shared" ca="1" si="168"/>
        <v>5000</v>
      </c>
      <c r="M268" s="841">
        <f t="shared" ca="1" si="168"/>
        <v>5000</v>
      </c>
      <c r="N268" s="841">
        <f t="shared" ca="1" si="168"/>
        <v>5000</v>
      </c>
      <c r="O268" s="841">
        <f t="shared" ca="1" si="163"/>
        <v>100</v>
      </c>
      <c r="P268" s="841">
        <f t="shared" ca="1" si="164"/>
        <v>100</v>
      </c>
      <c r="Q268" s="841">
        <f t="shared" ca="1" si="169"/>
        <v>50660</v>
      </c>
      <c r="R268" s="841">
        <f t="shared" ca="1" si="169"/>
        <v>50660</v>
      </c>
      <c r="S268" s="841">
        <f t="shared" ca="1" si="169"/>
        <v>36460</v>
      </c>
      <c r="T268" s="841">
        <f t="shared" ca="1" si="166"/>
        <v>71.969996052112123</v>
      </c>
      <c r="U268" s="841">
        <f t="shared" ca="1" si="167"/>
        <v>71.969996052112123</v>
      </c>
    </row>
    <row r="269" spans="1:21" ht="18.75" x14ac:dyDescent="0.25">
      <c r="A269" s="823"/>
      <c r="B269" s="824"/>
      <c r="C269" s="824"/>
      <c r="D269" s="842" t="s">
        <v>22</v>
      </c>
      <c r="E269" s="824"/>
      <c r="F269" s="824"/>
      <c r="G269" s="827"/>
      <c r="H269" s="843" t="s">
        <v>14</v>
      </c>
      <c r="I269" s="844"/>
      <c r="J269" s="844"/>
      <c r="K269" s="845"/>
      <c r="L269" s="840">
        <f t="shared" ref="L269:N269" ca="1" si="170">L270+L271</f>
        <v>5000</v>
      </c>
      <c r="M269" s="841">
        <f t="shared" ca="1" si="170"/>
        <v>5000</v>
      </c>
      <c r="N269" s="841">
        <f t="shared" ca="1" si="170"/>
        <v>5000</v>
      </c>
      <c r="O269" s="841">
        <f t="shared" ca="1" si="163"/>
        <v>100</v>
      </c>
      <c r="P269" s="841">
        <f t="shared" ca="1" si="164"/>
        <v>100</v>
      </c>
      <c r="Q269" s="841">
        <f t="shared" ref="Q269:S269" ca="1" si="171">Q270+Q271</f>
        <v>50660</v>
      </c>
      <c r="R269" s="841">
        <f t="shared" ca="1" si="171"/>
        <v>50660</v>
      </c>
      <c r="S269" s="841">
        <f t="shared" ca="1" si="171"/>
        <v>36460</v>
      </c>
      <c r="T269" s="841">
        <f t="shared" ca="1" si="166"/>
        <v>71.969996052112123</v>
      </c>
      <c r="U269" s="841">
        <f t="shared" ca="1" si="167"/>
        <v>71.969996052112123</v>
      </c>
    </row>
    <row r="270" spans="1:21" ht="18.75" x14ac:dyDescent="0.25">
      <c r="A270" s="833"/>
      <c r="B270" s="834"/>
      <c r="C270" s="834"/>
      <c r="D270" s="834"/>
      <c r="E270" s="569" t="s">
        <v>36</v>
      </c>
      <c r="F270" s="834"/>
      <c r="G270" s="835"/>
      <c r="H270" s="685" t="s">
        <v>14</v>
      </c>
      <c r="I270" s="846"/>
      <c r="J270" s="846"/>
      <c r="K270" s="847"/>
      <c r="L270" s="571">
        <v>0</v>
      </c>
      <c r="M270" s="572">
        <v>0</v>
      </c>
      <c r="N270" s="572">
        <v>0</v>
      </c>
      <c r="O270" s="572">
        <f t="shared" si="163"/>
        <v>0</v>
      </c>
      <c r="P270" s="572">
        <f t="shared" si="164"/>
        <v>0</v>
      </c>
      <c r="Q270" s="572">
        <v>0</v>
      </c>
      <c r="R270" s="572">
        <v>0</v>
      </c>
      <c r="S270" s="572">
        <v>0</v>
      </c>
      <c r="T270" s="572">
        <f t="shared" si="166"/>
        <v>0</v>
      </c>
      <c r="U270" s="572">
        <f t="shared" si="167"/>
        <v>0</v>
      </c>
    </row>
    <row r="271" spans="1:21" ht="18.75" x14ac:dyDescent="0.25">
      <c r="A271" s="823"/>
      <c r="B271" s="824"/>
      <c r="C271" s="824"/>
      <c r="D271" s="824"/>
      <c r="E271" s="838" t="s">
        <v>37</v>
      </c>
      <c r="F271" s="824"/>
      <c r="G271" s="827"/>
      <c r="H271" s="843" t="s">
        <v>14</v>
      </c>
      <c r="I271" s="844"/>
      <c r="J271" s="844"/>
      <c r="K271" s="845"/>
      <c r="L271" s="840">
        <f ca="1">IFERROR(__xludf.DUMMYFUNCTION("IMPORTRANGE(""https://docs.google.com/spreadsheets/d/1-uDff_7J0KD5mKrp0Vvzr7lt3OU09vwQwhkpOPPYv2Y/edit?usp=sharing"",""งบพรบ!DE21"")"),5000)</f>
        <v>5000</v>
      </c>
      <c r="M271" s="841">
        <f ca="1">IFERROR(__xludf.DUMMYFUNCTION("IMPORTRANGE(""https://docs.google.com/spreadsheets/d/1-uDff_7J0KD5mKrp0Vvzr7lt3OU09vwQwhkpOPPYv2Y/edit?usp=sharing"",""งบพรบ!DJ21"")"),5000)</f>
        <v>5000</v>
      </c>
      <c r="N271" s="841">
        <f ca="1">IFERROR(__xludf.DUMMYFUNCTION("IMPORTRANGE(""https://docs.google.com/spreadsheets/d/1-uDff_7J0KD5mKrp0Vvzr7lt3OU09vwQwhkpOPPYv2Y/edit?usp=sharing"",""งบพรบ!DL21"")"),5000)</f>
        <v>5000</v>
      </c>
      <c r="O271" s="841">
        <f t="shared" ca="1" si="163"/>
        <v>100</v>
      </c>
      <c r="P271" s="841">
        <f t="shared" ca="1" si="164"/>
        <v>100</v>
      </c>
      <c r="Q271" s="841">
        <f ca="1">IFERROR(__xludf.DUMMYFUNCTION("IMPORTRANGE(""https://docs.google.com/spreadsheets/d/1ItG2mGa2ceCfYo0BwxsXqNm01IGEUdYcSSLTEv9YCik/edit?usp=sharing"",""เบิกจ่ายกองทุน!AP21"")"),50660)</f>
        <v>50660</v>
      </c>
      <c r="R271" s="841">
        <f ca="1">IFERROR(__xludf.DUMMYFUNCTION("IMPORTRANGE(""https://docs.google.com/spreadsheets/d/1ItG2mGa2ceCfYo0BwxsXqNm01IGEUdYcSSLTEv9YCik/edit?usp=sharing"",""เบิกจ่ายกองทุน!AQ21"")"),50660)</f>
        <v>50660</v>
      </c>
      <c r="S271" s="841">
        <f ca="1">IFERROR(__xludf.DUMMYFUNCTION("IMPORTRANGE(""https://docs.google.com/spreadsheets/d/1ItG2mGa2ceCfYo0BwxsXqNm01IGEUdYcSSLTEv9YCik/edit?usp=sharing"",""เบิกจ่ายกองทุน!AR21"")"),36460)</f>
        <v>36460</v>
      </c>
      <c r="T271" s="841">
        <f t="shared" ca="1" si="166"/>
        <v>71.969996052112123</v>
      </c>
      <c r="U271" s="841">
        <f t="shared" ca="1" si="167"/>
        <v>71.969996052112123</v>
      </c>
    </row>
    <row r="272" spans="1:21" ht="18.75" x14ac:dyDescent="0.25">
      <c r="A272" s="823"/>
      <c r="B272" s="824"/>
      <c r="C272" s="824"/>
      <c r="D272" s="842" t="s">
        <v>23</v>
      </c>
      <c r="E272" s="824"/>
      <c r="F272" s="824"/>
      <c r="G272" s="827"/>
      <c r="H272" s="848" t="s">
        <v>14</v>
      </c>
      <c r="I272" s="844"/>
      <c r="J272" s="844"/>
      <c r="K272" s="845"/>
      <c r="L272" s="840">
        <f t="shared" ref="L272:N272" ca="1" si="172">L273+L274</f>
        <v>0</v>
      </c>
      <c r="M272" s="841">
        <f t="shared" ca="1" si="172"/>
        <v>0</v>
      </c>
      <c r="N272" s="841">
        <f t="shared" ca="1" si="172"/>
        <v>0</v>
      </c>
      <c r="O272" s="841">
        <f t="shared" ca="1" si="163"/>
        <v>0</v>
      </c>
      <c r="P272" s="841">
        <f t="shared" ca="1" si="164"/>
        <v>0</v>
      </c>
      <c r="Q272" s="841">
        <f t="shared" ref="Q272:S272" si="173">Q273+Q274</f>
        <v>0</v>
      </c>
      <c r="R272" s="841">
        <f t="shared" si="173"/>
        <v>0</v>
      </c>
      <c r="S272" s="841">
        <f t="shared" si="173"/>
        <v>0</v>
      </c>
      <c r="T272" s="841">
        <f t="shared" si="166"/>
        <v>0</v>
      </c>
      <c r="U272" s="841">
        <f t="shared" si="167"/>
        <v>0</v>
      </c>
    </row>
    <row r="273" spans="1:21" ht="18.75" x14ac:dyDescent="0.25">
      <c r="A273" s="833"/>
      <c r="B273" s="834"/>
      <c r="C273" s="834"/>
      <c r="D273" s="834"/>
      <c r="E273" s="569" t="s">
        <v>20</v>
      </c>
      <c r="F273" s="834"/>
      <c r="G273" s="835"/>
      <c r="H273" s="685" t="s">
        <v>14</v>
      </c>
      <c r="I273" s="846"/>
      <c r="J273" s="846"/>
      <c r="K273" s="847"/>
      <c r="L273" s="571">
        <v>0</v>
      </c>
      <c r="M273" s="572">
        <v>0</v>
      </c>
      <c r="N273" s="572">
        <v>0</v>
      </c>
      <c r="O273" s="572">
        <f t="shared" si="163"/>
        <v>0</v>
      </c>
      <c r="P273" s="572">
        <f t="shared" si="164"/>
        <v>0</v>
      </c>
      <c r="Q273" s="572">
        <v>0</v>
      </c>
      <c r="R273" s="572">
        <v>0</v>
      </c>
      <c r="S273" s="572">
        <v>0</v>
      </c>
      <c r="T273" s="572">
        <f t="shared" si="166"/>
        <v>0</v>
      </c>
      <c r="U273" s="572">
        <f t="shared" si="167"/>
        <v>0</v>
      </c>
    </row>
    <row r="274" spans="1:21" ht="18.75" x14ac:dyDescent="0.25">
      <c r="A274" s="823"/>
      <c r="B274" s="824"/>
      <c r="C274" s="824"/>
      <c r="D274" s="824"/>
      <c r="E274" s="838" t="s">
        <v>21</v>
      </c>
      <c r="F274" s="824"/>
      <c r="G274" s="827"/>
      <c r="H274" s="848" t="s">
        <v>14</v>
      </c>
      <c r="I274" s="844"/>
      <c r="J274" s="844"/>
      <c r="K274" s="845"/>
      <c r="L274" s="840">
        <f ca="1">IFERROR(__xludf.DUMMYFUNCTION("IMPORTRANGE(""https://docs.google.com/spreadsheets/d/1-uDff_7J0KD5mKrp0Vvzr7lt3OU09vwQwhkpOPPYv2Y/edit?usp=sharing"",""งบพรบ!DH21"")"),0)</f>
        <v>0</v>
      </c>
      <c r="M274" s="841">
        <f ca="1">IFERROR(__xludf.DUMMYFUNCTION("IMPORTRANGE(""https://docs.google.com/spreadsheets/d/1-uDff_7J0KD5mKrp0Vvzr7lt3OU09vwQwhkpOPPYv2Y/edit?usp=sharing"",""งบพรบ!DK21"")"),0)</f>
        <v>0</v>
      </c>
      <c r="N274" s="841">
        <f ca="1">IFERROR(__xludf.DUMMYFUNCTION("IMPORTRANGE(""https://docs.google.com/spreadsheets/d/1-uDff_7J0KD5mKrp0Vvzr7lt3OU09vwQwhkpOPPYv2Y/edit?usp=sharing"",""งบพรบ!DM21"")"),0)</f>
        <v>0</v>
      </c>
      <c r="O274" s="841">
        <f t="shared" ca="1" si="163"/>
        <v>0</v>
      </c>
      <c r="P274" s="841">
        <f t="shared" ca="1" si="164"/>
        <v>0</v>
      </c>
      <c r="Q274" s="841">
        <v>0</v>
      </c>
      <c r="R274" s="841">
        <v>0</v>
      </c>
      <c r="S274" s="841">
        <v>0</v>
      </c>
      <c r="T274" s="841">
        <f t="shared" si="166"/>
        <v>0</v>
      </c>
      <c r="U274" s="841">
        <f t="shared" si="167"/>
        <v>0</v>
      </c>
    </row>
    <row r="275" spans="1:21" ht="19.5" x14ac:dyDescent="0.3">
      <c r="A275" s="849"/>
      <c r="B275" s="850"/>
      <c r="C275" s="838" t="s">
        <v>18</v>
      </c>
      <c r="D275" s="851" t="s">
        <v>38</v>
      </c>
      <c r="E275" s="816"/>
      <c r="F275" s="816"/>
      <c r="G275" s="817"/>
      <c r="H275" s="852"/>
      <c r="I275" s="844"/>
      <c r="J275" s="844"/>
      <c r="K275" s="845"/>
      <c r="L275" s="853"/>
      <c r="M275" s="845"/>
      <c r="N275" s="845"/>
      <c r="O275" s="845"/>
      <c r="P275" s="845"/>
      <c r="Q275" s="845"/>
      <c r="R275" s="845"/>
      <c r="S275" s="845"/>
      <c r="T275" s="845"/>
      <c r="U275" s="845"/>
    </row>
    <row r="276" spans="1:21" ht="18.75" x14ac:dyDescent="0.25">
      <c r="A276" s="854"/>
      <c r="B276" s="855"/>
      <c r="C276" s="855"/>
      <c r="D276" s="856" t="s">
        <v>115</v>
      </c>
      <c r="E276" s="857"/>
      <c r="F276" s="857"/>
      <c r="G276" s="858"/>
      <c r="H276" s="859" t="s">
        <v>35</v>
      </c>
      <c r="I276" s="860">
        <f ca="1">IFERROR(__xludf.DUMMYFUNCTION("IMPORTRANGE(""https://docs.google.com/spreadsheets/d/1eHaY18a8A9IcSdp1K8H6x8fbOy06t2VsZHhMHf-1x7Y/edit?usp=sharing"",""แผน!EC21"")"),22)</f>
        <v>22</v>
      </c>
      <c r="J276" s="861">
        <v>22</v>
      </c>
      <c r="K276" s="862">
        <f ca="1">IF(I276&gt;0,J276*100/I276,0)</f>
        <v>100</v>
      </c>
      <c r="L276" s="574"/>
      <c r="M276" s="566"/>
      <c r="N276" s="566"/>
      <c r="O276" s="566"/>
      <c r="P276" s="566"/>
      <c r="Q276" s="566"/>
      <c r="R276" s="566"/>
      <c r="S276" s="566"/>
      <c r="T276" s="566"/>
      <c r="U276" s="566"/>
    </row>
    <row r="277" spans="1:21" ht="18.75" x14ac:dyDescent="0.25">
      <c r="A277" s="863"/>
      <c r="B277" s="864"/>
      <c r="C277" s="864"/>
      <c r="D277" s="865" t="s">
        <v>116</v>
      </c>
      <c r="E277" s="512"/>
      <c r="F277" s="512"/>
      <c r="G277" s="866"/>
      <c r="H277" s="867" t="s">
        <v>35</v>
      </c>
      <c r="I277" s="740">
        <v>0</v>
      </c>
      <c r="J277" s="740">
        <v>0</v>
      </c>
      <c r="K277" s="868">
        <v>0</v>
      </c>
      <c r="L277" s="869"/>
      <c r="M277" s="870"/>
      <c r="N277" s="870"/>
      <c r="O277" s="870"/>
      <c r="P277" s="870"/>
      <c r="Q277" s="870"/>
      <c r="R277" s="870"/>
      <c r="S277" s="870"/>
      <c r="T277" s="870"/>
      <c r="U277" s="870"/>
    </row>
    <row r="278" spans="1:21" ht="19.5" x14ac:dyDescent="0.3">
      <c r="A278" s="871" t="s">
        <v>117</v>
      </c>
      <c r="B278" s="872"/>
      <c r="C278" s="872"/>
      <c r="D278" s="872"/>
      <c r="E278" s="873"/>
      <c r="F278" s="873"/>
      <c r="G278" s="873"/>
      <c r="H278" s="873"/>
      <c r="I278" s="874"/>
      <c r="J278" s="874"/>
      <c r="K278" s="875"/>
      <c r="L278" s="875"/>
      <c r="M278" s="875"/>
      <c r="N278" s="875"/>
      <c r="O278" s="875"/>
      <c r="P278" s="876"/>
      <c r="Q278" s="875"/>
      <c r="R278" s="875"/>
      <c r="S278" s="875"/>
      <c r="T278" s="875"/>
      <c r="U278" s="876"/>
    </row>
    <row r="279" spans="1:21" ht="19.5" x14ac:dyDescent="0.3">
      <c r="A279" s="877" t="s">
        <v>118</v>
      </c>
      <c r="B279" s="878"/>
      <c r="C279" s="879"/>
      <c r="D279" s="878"/>
      <c r="E279" s="878"/>
      <c r="F279" s="878"/>
      <c r="G279" s="878"/>
      <c r="H279" s="878"/>
      <c r="I279" s="880"/>
      <c r="J279" s="881"/>
      <c r="K279" s="882"/>
      <c r="L279" s="883"/>
      <c r="M279" s="882"/>
      <c r="N279" s="882"/>
      <c r="O279" s="882"/>
      <c r="P279" s="882"/>
      <c r="Q279" s="882"/>
      <c r="R279" s="882"/>
      <c r="S279" s="882"/>
      <c r="T279" s="882"/>
      <c r="U279" s="882"/>
    </row>
    <row r="280" spans="1:21" ht="19.5" x14ac:dyDescent="0.3">
      <c r="A280" s="884"/>
      <c r="B280" s="885" t="s">
        <v>119</v>
      </c>
      <c r="C280" s="886"/>
      <c r="D280" s="887"/>
      <c r="E280" s="886"/>
      <c r="F280" s="886"/>
      <c r="G280" s="888"/>
      <c r="H280" s="889" t="s">
        <v>35</v>
      </c>
      <c r="I280" s="890">
        <f t="shared" ref="I280:J280" ca="1" si="174">I293</f>
        <v>10</v>
      </c>
      <c r="J280" s="890">
        <f t="shared" si="174"/>
        <v>10</v>
      </c>
      <c r="K280" s="891">
        <f t="shared" ref="K280:K281" ca="1" si="175">IF(I280&gt;0,J280*100/I280,0)</f>
        <v>100</v>
      </c>
      <c r="L280" s="892"/>
      <c r="M280" s="893"/>
      <c r="N280" s="893"/>
      <c r="O280" s="893"/>
      <c r="P280" s="893"/>
      <c r="Q280" s="893"/>
      <c r="R280" s="893"/>
      <c r="S280" s="893"/>
      <c r="T280" s="893"/>
      <c r="U280" s="893"/>
    </row>
    <row r="281" spans="1:21" ht="19.5" x14ac:dyDescent="0.3">
      <c r="A281" s="884"/>
      <c r="B281" s="886"/>
      <c r="C281" s="886"/>
      <c r="D281" s="887"/>
      <c r="E281" s="886"/>
      <c r="F281" s="886"/>
      <c r="G281" s="888"/>
      <c r="H281" s="889" t="s">
        <v>46</v>
      </c>
      <c r="I281" s="890">
        <f t="shared" ref="I281:J281" ca="1" si="176">I292</f>
        <v>100</v>
      </c>
      <c r="J281" s="890">
        <f t="shared" si="176"/>
        <v>0</v>
      </c>
      <c r="K281" s="891">
        <f t="shared" ca="1" si="175"/>
        <v>0</v>
      </c>
      <c r="L281" s="892"/>
      <c r="M281" s="893"/>
      <c r="N281" s="893"/>
      <c r="O281" s="893"/>
      <c r="P281" s="893"/>
      <c r="Q281" s="893"/>
      <c r="R281" s="893"/>
      <c r="S281" s="893"/>
      <c r="T281" s="893"/>
      <c r="U281" s="893"/>
    </row>
    <row r="282" spans="1:21" ht="19.5" x14ac:dyDescent="0.3">
      <c r="A282" s="674"/>
      <c r="B282" s="561"/>
      <c r="C282" s="675" t="s">
        <v>18</v>
      </c>
      <c r="D282" s="676" t="s">
        <v>19</v>
      </c>
      <c r="E282" s="561"/>
      <c r="F282" s="561"/>
      <c r="G282" s="563"/>
      <c r="H282" s="677" t="s">
        <v>14</v>
      </c>
      <c r="I282" s="565"/>
      <c r="J282" s="565"/>
      <c r="K282" s="566"/>
      <c r="L282" s="678">
        <f t="shared" ref="L282:N282" ca="1" si="177">L283+L284</f>
        <v>174320</v>
      </c>
      <c r="M282" s="679">
        <f t="shared" ca="1" si="177"/>
        <v>174320</v>
      </c>
      <c r="N282" s="679">
        <f t="shared" ca="1" si="177"/>
        <v>114543.54</v>
      </c>
      <c r="O282" s="679">
        <f t="shared" ref="O282:O290" ca="1" si="178">IF(L282&gt;0,N282*100/L282,0)</f>
        <v>65.708776961909138</v>
      </c>
      <c r="P282" s="679">
        <f t="shared" ref="P282:P290" ca="1" si="179">IF(M282&gt;0,N282*100/M282,0)</f>
        <v>65.708776961909138</v>
      </c>
      <c r="Q282" s="679">
        <f t="shared" ref="Q282:S282" si="180">Q283+Q284</f>
        <v>0</v>
      </c>
      <c r="R282" s="679">
        <f t="shared" si="180"/>
        <v>0</v>
      </c>
      <c r="S282" s="679">
        <f t="shared" si="180"/>
        <v>0</v>
      </c>
      <c r="T282" s="679">
        <f t="shared" ref="T282:T290" si="181">IF(Q282&gt;0,S282*100/Q282,0)</f>
        <v>0</v>
      </c>
      <c r="U282" s="679">
        <f t="shared" ref="U282:U290" si="182">IF(R282&gt;0,S282*100/R282,0)</f>
        <v>0</v>
      </c>
    </row>
    <row r="283" spans="1:21" ht="18.75" x14ac:dyDescent="0.25">
      <c r="A283" s="674"/>
      <c r="B283" s="561"/>
      <c r="C283" s="561"/>
      <c r="D283" s="561"/>
      <c r="E283" s="569" t="s">
        <v>20</v>
      </c>
      <c r="F283" s="561"/>
      <c r="G283" s="563"/>
      <c r="H283" s="680" t="s">
        <v>14</v>
      </c>
      <c r="I283" s="565"/>
      <c r="J283" s="565"/>
      <c r="K283" s="566"/>
      <c r="L283" s="571">
        <f t="shared" ref="L283:N284" si="183">L286+L289</f>
        <v>0</v>
      </c>
      <c r="M283" s="572">
        <f t="shared" si="183"/>
        <v>0</v>
      </c>
      <c r="N283" s="572">
        <f t="shared" si="183"/>
        <v>0</v>
      </c>
      <c r="O283" s="572">
        <f t="shared" si="178"/>
        <v>0</v>
      </c>
      <c r="P283" s="572">
        <f t="shared" si="179"/>
        <v>0</v>
      </c>
      <c r="Q283" s="572">
        <f t="shared" ref="Q283:S284" si="184">Q286+Q289</f>
        <v>0</v>
      </c>
      <c r="R283" s="572">
        <f t="shared" si="184"/>
        <v>0</v>
      </c>
      <c r="S283" s="572">
        <f t="shared" si="184"/>
        <v>0</v>
      </c>
      <c r="T283" s="572">
        <f t="shared" si="181"/>
        <v>0</v>
      </c>
      <c r="U283" s="572">
        <f t="shared" si="182"/>
        <v>0</v>
      </c>
    </row>
    <row r="284" spans="1:21" ht="18.75" x14ac:dyDescent="0.25">
      <c r="A284" s="674"/>
      <c r="B284" s="561"/>
      <c r="C284" s="561"/>
      <c r="D284" s="561"/>
      <c r="E284" s="573" t="s">
        <v>21</v>
      </c>
      <c r="F284" s="561"/>
      <c r="G284" s="563"/>
      <c r="H284" s="681" t="s">
        <v>14</v>
      </c>
      <c r="I284" s="565"/>
      <c r="J284" s="565"/>
      <c r="K284" s="566"/>
      <c r="L284" s="567">
        <f t="shared" ca="1" si="183"/>
        <v>174320</v>
      </c>
      <c r="M284" s="568">
        <f t="shared" ca="1" si="183"/>
        <v>174320</v>
      </c>
      <c r="N284" s="568">
        <f t="shared" ca="1" si="183"/>
        <v>114543.54</v>
      </c>
      <c r="O284" s="568">
        <f t="shared" ca="1" si="178"/>
        <v>65.708776961909138</v>
      </c>
      <c r="P284" s="568">
        <f t="shared" ca="1" si="179"/>
        <v>65.708776961909138</v>
      </c>
      <c r="Q284" s="568">
        <f t="shared" si="184"/>
        <v>0</v>
      </c>
      <c r="R284" s="568">
        <f t="shared" si="184"/>
        <v>0</v>
      </c>
      <c r="S284" s="568">
        <f t="shared" si="184"/>
        <v>0</v>
      </c>
      <c r="T284" s="568">
        <f t="shared" si="181"/>
        <v>0</v>
      </c>
      <c r="U284" s="568">
        <f t="shared" si="182"/>
        <v>0</v>
      </c>
    </row>
    <row r="285" spans="1:21" ht="18.75" x14ac:dyDescent="0.25">
      <c r="A285" s="674"/>
      <c r="B285" s="561"/>
      <c r="C285" s="561"/>
      <c r="D285" s="562" t="s">
        <v>22</v>
      </c>
      <c r="E285" s="561"/>
      <c r="F285" s="561"/>
      <c r="G285" s="563"/>
      <c r="H285" s="682" t="s">
        <v>14</v>
      </c>
      <c r="I285" s="683"/>
      <c r="J285" s="683"/>
      <c r="K285" s="684"/>
      <c r="L285" s="567">
        <f t="shared" ref="L285:N285" ca="1" si="185">L286+L287</f>
        <v>174320</v>
      </c>
      <c r="M285" s="568">
        <f t="shared" ca="1" si="185"/>
        <v>174320</v>
      </c>
      <c r="N285" s="568">
        <f t="shared" ca="1" si="185"/>
        <v>114543.54</v>
      </c>
      <c r="O285" s="568">
        <f t="shared" ca="1" si="178"/>
        <v>65.708776961909138</v>
      </c>
      <c r="P285" s="568">
        <f t="shared" ca="1" si="179"/>
        <v>65.708776961909138</v>
      </c>
      <c r="Q285" s="568">
        <f t="shared" ref="Q285:S285" si="186">Q286+Q287</f>
        <v>0</v>
      </c>
      <c r="R285" s="568">
        <f t="shared" si="186"/>
        <v>0</v>
      </c>
      <c r="S285" s="568">
        <f t="shared" si="186"/>
        <v>0</v>
      </c>
      <c r="T285" s="568">
        <f t="shared" si="181"/>
        <v>0</v>
      </c>
      <c r="U285" s="568">
        <f t="shared" si="182"/>
        <v>0</v>
      </c>
    </row>
    <row r="286" spans="1:21" ht="18.75" x14ac:dyDescent="0.25">
      <c r="A286" s="674"/>
      <c r="B286" s="561"/>
      <c r="C286" s="561"/>
      <c r="D286" s="561"/>
      <c r="E286" s="569" t="s">
        <v>36</v>
      </c>
      <c r="F286" s="561"/>
      <c r="G286" s="563"/>
      <c r="H286" s="685" t="s">
        <v>14</v>
      </c>
      <c r="I286" s="683"/>
      <c r="J286" s="683"/>
      <c r="K286" s="684"/>
      <c r="L286" s="571">
        <v>0</v>
      </c>
      <c r="M286" s="572">
        <v>0</v>
      </c>
      <c r="N286" s="572">
        <v>0</v>
      </c>
      <c r="O286" s="572">
        <f t="shared" si="178"/>
        <v>0</v>
      </c>
      <c r="P286" s="572">
        <f t="shared" si="179"/>
        <v>0</v>
      </c>
      <c r="Q286" s="572">
        <v>0</v>
      </c>
      <c r="R286" s="572">
        <v>0</v>
      </c>
      <c r="S286" s="572">
        <v>0</v>
      </c>
      <c r="T286" s="572">
        <f t="shared" si="181"/>
        <v>0</v>
      </c>
      <c r="U286" s="572">
        <f t="shared" si="182"/>
        <v>0</v>
      </c>
    </row>
    <row r="287" spans="1:21" ht="18.75" x14ac:dyDescent="0.25">
      <c r="A287" s="674"/>
      <c r="B287" s="561"/>
      <c r="C287" s="561"/>
      <c r="D287" s="561"/>
      <c r="E287" s="573" t="s">
        <v>37</v>
      </c>
      <c r="F287" s="561"/>
      <c r="G287" s="563"/>
      <c r="H287" s="682" t="s">
        <v>14</v>
      </c>
      <c r="I287" s="683"/>
      <c r="J287" s="683"/>
      <c r="K287" s="684"/>
      <c r="L287" s="567">
        <f ca="1">IFERROR(__xludf.DUMMYFUNCTION("IMPORTRANGE(""https://docs.google.com/spreadsheets/d/1-uDff_7J0KD5mKrp0Vvzr7lt3OU09vwQwhkpOPPYv2Y/edit?usp=sharing"",""งบพรบ!DO21"")"),174320)</f>
        <v>174320</v>
      </c>
      <c r="M287" s="568">
        <f ca="1">IFERROR(__xludf.DUMMYFUNCTION("IMPORTRANGE(""https://docs.google.com/spreadsheets/d/1-uDff_7J0KD5mKrp0Vvzr7lt3OU09vwQwhkpOPPYv2Y/edit?usp=sharing"",""งบพรบ!DT21"")"),174320)</f>
        <v>174320</v>
      </c>
      <c r="N287" s="568">
        <f ca="1">IFERROR(__xludf.DUMMYFUNCTION("IMPORTRANGE(""https://docs.google.com/spreadsheets/d/1-uDff_7J0KD5mKrp0Vvzr7lt3OU09vwQwhkpOPPYv2Y/edit?usp=sharing"",""งบพรบ!DV21"")"),114543.54)</f>
        <v>114543.54</v>
      </c>
      <c r="O287" s="568">
        <f t="shared" ca="1" si="178"/>
        <v>65.708776961909138</v>
      </c>
      <c r="P287" s="568">
        <f t="shared" ca="1" si="179"/>
        <v>65.708776961909138</v>
      </c>
      <c r="Q287" s="568">
        <v>0</v>
      </c>
      <c r="R287" s="568">
        <v>0</v>
      </c>
      <c r="S287" s="568">
        <v>0</v>
      </c>
      <c r="T287" s="572">
        <f t="shared" si="181"/>
        <v>0</v>
      </c>
      <c r="U287" s="572">
        <f t="shared" si="182"/>
        <v>0</v>
      </c>
    </row>
    <row r="288" spans="1:21" ht="18.75" x14ac:dyDescent="0.25">
      <c r="A288" s="674"/>
      <c r="B288" s="561"/>
      <c r="C288" s="561"/>
      <c r="D288" s="562" t="s">
        <v>23</v>
      </c>
      <c r="E288" s="561"/>
      <c r="F288" s="561"/>
      <c r="G288" s="563"/>
      <c r="H288" s="686" t="s">
        <v>14</v>
      </c>
      <c r="I288" s="683"/>
      <c r="J288" s="683"/>
      <c r="K288" s="684"/>
      <c r="L288" s="567">
        <f t="shared" ref="L288:N288" ca="1" si="187">L289+L290</f>
        <v>0</v>
      </c>
      <c r="M288" s="568">
        <f t="shared" ca="1" si="187"/>
        <v>0</v>
      </c>
      <c r="N288" s="568">
        <f t="shared" ca="1" si="187"/>
        <v>0</v>
      </c>
      <c r="O288" s="568">
        <f t="shared" ca="1" si="178"/>
        <v>0</v>
      </c>
      <c r="P288" s="568">
        <f t="shared" ca="1" si="179"/>
        <v>0</v>
      </c>
      <c r="Q288" s="568">
        <f t="shared" ref="Q288:S288" si="188">Q289+Q290</f>
        <v>0</v>
      </c>
      <c r="R288" s="568">
        <f t="shared" si="188"/>
        <v>0</v>
      </c>
      <c r="S288" s="568">
        <f t="shared" si="188"/>
        <v>0</v>
      </c>
      <c r="T288" s="568">
        <f t="shared" si="181"/>
        <v>0</v>
      </c>
      <c r="U288" s="568">
        <f t="shared" si="182"/>
        <v>0</v>
      </c>
    </row>
    <row r="289" spans="1:21" ht="18.75" x14ac:dyDescent="0.25">
      <c r="A289" s="674"/>
      <c r="B289" s="561"/>
      <c r="C289" s="561"/>
      <c r="D289" s="561"/>
      <c r="E289" s="569" t="s">
        <v>20</v>
      </c>
      <c r="F289" s="561"/>
      <c r="G289" s="563"/>
      <c r="H289" s="685" t="s">
        <v>14</v>
      </c>
      <c r="I289" s="683"/>
      <c r="J289" s="683"/>
      <c r="K289" s="684"/>
      <c r="L289" s="571">
        <v>0</v>
      </c>
      <c r="M289" s="572">
        <v>0</v>
      </c>
      <c r="N289" s="572">
        <v>0</v>
      </c>
      <c r="O289" s="572">
        <f t="shared" si="178"/>
        <v>0</v>
      </c>
      <c r="P289" s="572">
        <f t="shared" si="179"/>
        <v>0</v>
      </c>
      <c r="Q289" s="572">
        <v>0</v>
      </c>
      <c r="R289" s="572">
        <v>0</v>
      </c>
      <c r="S289" s="572">
        <v>0</v>
      </c>
      <c r="T289" s="572">
        <f t="shared" si="181"/>
        <v>0</v>
      </c>
      <c r="U289" s="572">
        <f t="shared" si="182"/>
        <v>0</v>
      </c>
    </row>
    <row r="290" spans="1:21" ht="18.75" x14ac:dyDescent="0.25">
      <c r="A290" s="674"/>
      <c r="B290" s="561"/>
      <c r="C290" s="561"/>
      <c r="D290" s="561"/>
      <c r="E290" s="573" t="s">
        <v>21</v>
      </c>
      <c r="F290" s="561"/>
      <c r="G290" s="563"/>
      <c r="H290" s="686" t="s">
        <v>14</v>
      </c>
      <c r="I290" s="683"/>
      <c r="J290" s="683"/>
      <c r="K290" s="684"/>
      <c r="L290" s="567">
        <f ca="1">IFERROR(__xludf.DUMMYFUNCTION("IMPORTRANGE(""https://docs.google.com/spreadsheets/d/1-uDff_7J0KD5mKrp0Vvzr7lt3OU09vwQwhkpOPPYv2Y/edit?usp=sharing"",""งบพรบ!DR21"")"),0)</f>
        <v>0</v>
      </c>
      <c r="M290" s="568">
        <f ca="1">IFERROR(__xludf.DUMMYFUNCTION("IMPORTRANGE(""https://docs.google.com/spreadsheets/d/1-uDff_7J0KD5mKrp0Vvzr7lt3OU09vwQwhkpOPPYv2Y/edit?usp=sharing"",""งบพรบ!DU21"")"),0)</f>
        <v>0</v>
      </c>
      <c r="N290" s="568">
        <f ca="1">IFERROR(__xludf.DUMMYFUNCTION("IMPORTRANGE(""https://docs.google.com/spreadsheets/d/1-uDff_7J0KD5mKrp0Vvzr7lt3OU09vwQwhkpOPPYv2Y/edit?usp=sharing"",""งบพรบ!DW21"")"),0)</f>
        <v>0</v>
      </c>
      <c r="O290" s="568">
        <f t="shared" ca="1" si="178"/>
        <v>0</v>
      </c>
      <c r="P290" s="568">
        <f t="shared" ca="1" si="179"/>
        <v>0</v>
      </c>
      <c r="Q290" s="568">
        <v>0</v>
      </c>
      <c r="R290" s="568">
        <v>0</v>
      </c>
      <c r="S290" s="568">
        <v>0</v>
      </c>
      <c r="T290" s="568">
        <f t="shared" si="181"/>
        <v>0</v>
      </c>
      <c r="U290" s="568">
        <f t="shared" si="182"/>
        <v>0</v>
      </c>
    </row>
    <row r="291" spans="1:21" ht="19.5" x14ac:dyDescent="0.3">
      <c r="A291" s="687"/>
      <c r="B291" s="688"/>
      <c r="C291" s="675" t="s">
        <v>18</v>
      </c>
      <c r="D291" s="689" t="s">
        <v>38</v>
      </c>
      <c r="E291" s="690"/>
      <c r="F291" s="690"/>
      <c r="G291" s="691"/>
      <c r="H291" s="692"/>
      <c r="I291" s="683"/>
      <c r="J291" s="683"/>
      <c r="K291" s="684"/>
      <c r="L291" s="693"/>
      <c r="M291" s="684"/>
      <c r="N291" s="684"/>
      <c r="O291" s="684"/>
      <c r="P291" s="684"/>
      <c r="Q291" s="684"/>
      <c r="R291" s="684"/>
      <c r="S291" s="684"/>
      <c r="T291" s="684"/>
      <c r="U291" s="684"/>
    </row>
    <row r="292" spans="1:21" ht="18.75" x14ac:dyDescent="0.25">
      <c r="A292" s="687"/>
      <c r="B292" s="688"/>
      <c r="C292" s="688"/>
      <c r="D292" s="699" t="s">
        <v>120</v>
      </c>
      <c r="E292" s="688"/>
      <c r="F292" s="695"/>
      <c r="G292" s="692"/>
      <c r="H292" s="704" t="s">
        <v>46</v>
      </c>
      <c r="I292" s="708">
        <f ca="1">IFERROR(__xludf.DUMMYFUNCTION("IMPORTRANGE(""https://docs.google.com/spreadsheets/d/1eHaY18a8A9IcSdp1K8H6x8fbOy06t2VsZHhMHf-1x7Y/edit?usp=sharing"",""แผน!EE21"")"),100)</f>
        <v>100</v>
      </c>
      <c r="J292" s="702">
        <v>0</v>
      </c>
      <c r="K292" s="703">
        <f t="shared" ref="K292:K293" ca="1" si="189">IF(I292&gt;0,J292*100/I292,0)</f>
        <v>0</v>
      </c>
      <c r="L292" s="693"/>
      <c r="M292" s="684"/>
      <c r="N292" s="684"/>
      <c r="O292" s="684"/>
      <c r="P292" s="684"/>
      <c r="Q292" s="684"/>
      <c r="R292" s="684"/>
      <c r="S292" s="684"/>
      <c r="T292" s="684"/>
      <c r="U292" s="684"/>
    </row>
    <row r="293" spans="1:21" ht="19.5" x14ac:dyDescent="0.3">
      <c r="A293" s="687"/>
      <c r="B293" s="688"/>
      <c r="C293" s="688"/>
      <c r="D293" s="699" t="s">
        <v>121</v>
      </c>
      <c r="E293" s="688"/>
      <c r="F293" s="695"/>
      <c r="G293" s="692"/>
      <c r="H293" s="696" t="s">
        <v>35</v>
      </c>
      <c r="I293" s="697">
        <f ca="1">IFERROR(__xludf.DUMMYFUNCTION("IMPORTRANGE(""https://docs.google.com/spreadsheets/d/1eHaY18a8A9IcSdp1K8H6x8fbOy06t2VsZHhMHf-1x7Y/edit?usp=sharing"",""แผน!ED21"")"),10)</f>
        <v>10</v>
      </c>
      <c r="J293" s="697">
        <f>J296</f>
        <v>10</v>
      </c>
      <c r="K293" s="698">
        <f t="shared" ca="1" si="189"/>
        <v>100</v>
      </c>
      <c r="L293" s="693"/>
      <c r="M293" s="684"/>
      <c r="N293" s="684"/>
      <c r="O293" s="684"/>
      <c r="P293" s="684"/>
      <c r="Q293" s="684"/>
      <c r="R293" s="684"/>
      <c r="S293" s="684"/>
      <c r="T293" s="684"/>
      <c r="U293" s="684"/>
    </row>
    <row r="294" spans="1:21" ht="19.5" x14ac:dyDescent="0.3">
      <c r="A294" s="687"/>
      <c r="B294" s="688"/>
      <c r="C294" s="688"/>
      <c r="D294" s="695"/>
      <c r="E294" s="707" t="s">
        <v>303</v>
      </c>
      <c r="F294" s="695"/>
      <c r="G294" s="692"/>
      <c r="H294" s="692"/>
      <c r="I294" s="683"/>
      <c r="J294" s="565"/>
      <c r="K294" s="684"/>
      <c r="L294" s="693"/>
      <c r="M294" s="684"/>
      <c r="N294" s="684"/>
      <c r="O294" s="684"/>
      <c r="P294" s="684"/>
      <c r="Q294" s="684"/>
      <c r="R294" s="684"/>
      <c r="S294" s="684"/>
      <c r="T294" s="684"/>
      <c r="U294" s="684"/>
    </row>
    <row r="295" spans="1:21" ht="19.5" x14ac:dyDescent="0.3">
      <c r="A295" s="687"/>
      <c r="B295" s="688"/>
      <c r="C295" s="688"/>
      <c r="D295" s="695"/>
      <c r="E295" s="699" t="s">
        <v>304</v>
      </c>
      <c r="F295" s="695"/>
      <c r="G295" s="692"/>
      <c r="H295" s="700" t="s">
        <v>35</v>
      </c>
      <c r="I295" s="701">
        <f ca="1">IFERROR(__xludf.DUMMYFUNCTION("IMPORTRANGE(""https://docs.google.com/spreadsheets/d/1eHaY18a8A9IcSdp1K8H6x8fbOy06t2VsZHhMHf-1x7Y/edit?usp=sharing"",""แผน!ED21"")"),10)</f>
        <v>10</v>
      </c>
      <c r="J295" s="702">
        <v>10</v>
      </c>
      <c r="K295" s="703">
        <f t="shared" ref="K295:K296" ca="1" si="190">IF(I295&gt;0,J295*100/I295,0)</f>
        <v>100</v>
      </c>
      <c r="L295" s="693"/>
      <c r="M295" s="684"/>
      <c r="N295" s="684"/>
      <c r="O295" s="684"/>
      <c r="P295" s="684"/>
      <c r="Q295" s="684"/>
      <c r="R295" s="684"/>
      <c r="S295" s="684"/>
      <c r="T295" s="684"/>
      <c r="U295" s="684"/>
    </row>
    <row r="296" spans="1:21" ht="19.5" x14ac:dyDescent="0.3">
      <c r="A296" s="687"/>
      <c r="B296" s="688"/>
      <c r="C296" s="688"/>
      <c r="D296" s="695"/>
      <c r="E296" s="699" t="s">
        <v>305</v>
      </c>
      <c r="F296" s="695"/>
      <c r="G296" s="692"/>
      <c r="H296" s="700" t="s">
        <v>35</v>
      </c>
      <c r="I296" s="701">
        <f ca="1">IFERROR(__xludf.DUMMYFUNCTION("IMPORTRANGE(""https://docs.google.com/spreadsheets/d/1eHaY18a8A9IcSdp1K8H6x8fbOy06t2VsZHhMHf-1x7Y/edit?usp=sharing"",""แผน!ED21"")"),10)</f>
        <v>10</v>
      </c>
      <c r="J296" s="702">
        <v>10</v>
      </c>
      <c r="K296" s="703">
        <f t="shared" ca="1" si="190"/>
        <v>100</v>
      </c>
      <c r="L296" s="693"/>
      <c r="M296" s="684"/>
      <c r="N296" s="684"/>
      <c r="O296" s="684"/>
      <c r="P296" s="684"/>
      <c r="Q296" s="684"/>
      <c r="R296" s="684"/>
      <c r="S296" s="684"/>
      <c r="T296" s="684"/>
      <c r="U296" s="684"/>
    </row>
    <row r="297" spans="1:21" ht="12.75" hidden="1" x14ac:dyDescent="0.2">
      <c r="A297" s="705"/>
      <c r="B297" s="706"/>
      <c r="C297" s="706"/>
      <c r="D297" s="531"/>
      <c r="E297" s="531"/>
      <c r="F297" s="531"/>
      <c r="G297" s="532"/>
      <c r="H297" s="532"/>
      <c r="I297" s="533"/>
      <c r="J297" s="533"/>
      <c r="K297" s="534"/>
      <c r="L297" s="535"/>
      <c r="M297" s="534"/>
      <c r="N297" s="534"/>
      <c r="O297" s="534"/>
      <c r="P297" s="534"/>
      <c r="Q297" s="534"/>
      <c r="R297" s="534"/>
      <c r="S297" s="534"/>
      <c r="T297" s="534"/>
      <c r="U297" s="534"/>
    </row>
    <row r="298" spans="1:21" ht="12.75" hidden="1" x14ac:dyDescent="0.2">
      <c r="A298" s="705"/>
      <c r="B298" s="706"/>
      <c r="C298" s="706"/>
      <c r="D298" s="531"/>
      <c r="E298" s="531"/>
      <c r="F298" s="531"/>
      <c r="G298" s="532"/>
      <c r="H298" s="532"/>
      <c r="I298" s="533"/>
      <c r="J298" s="533"/>
      <c r="K298" s="534"/>
      <c r="L298" s="535"/>
      <c r="M298" s="534"/>
      <c r="N298" s="534"/>
      <c r="O298" s="534"/>
      <c r="P298" s="534"/>
      <c r="Q298" s="534"/>
      <c r="R298" s="534"/>
      <c r="S298" s="534"/>
      <c r="T298" s="534"/>
      <c r="U298" s="534"/>
    </row>
    <row r="299" spans="1:21" ht="12.75" hidden="1" x14ac:dyDescent="0.2">
      <c r="A299" s="894"/>
      <c r="B299" s="895"/>
      <c r="C299" s="895"/>
      <c r="D299" s="537"/>
      <c r="E299" s="537"/>
      <c r="F299" s="537"/>
      <c r="G299" s="526"/>
      <c r="H299" s="526"/>
      <c r="I299" s="527"/>
      <c r="J299" s="527"/>
      <c r="K299" s="528"/>
      <c r="L299" s="529"/>
      <c r="M299" s="528"/>
      <c r="N299" s="528"/>
      <c r="O299" s="528"/>
      <c r="P299" s="528"/>
      <c r="Q299" s="528"/>
      <c r="R299" s="528"/>
      <c r="S299" s="528"/>
      <c r="T299" s="528"/>
      <c r="U299" s="528"/>
    </row>
    <row r="300" spans="1:21" ht="19.5" x14ac:dyDescent="0.3">
      <c r="A300" s="896" t="s">
        <v>125</v>
      </c>
      <c r="B300" s="897"/>
      <c r="C300" s="897"/>
      <c r="D300" s="897"/>
      <c r="E300" s="898"/>
      <c r="F300" s="898"/>
      <c r="G300" s="898"/>
      <c r="H300" s="898"/>
      <c r="I300" s="899"/>
      <c r="J300" s="899"/>
      <c r="K300" s="900"/>
      <c r="L300" s="900"/>
      <c r="M300" s="900"/>
      <c r="N300" s="900"/>
      <c r="O300" s="900"/>
      <c r="P300" s="901"/>
      <c r="Q300" s="900"/>
      <c r="R300" s="900"/>
      <c r="S300" s="900"/>
      <c r="T300" s="900"/>
      <c r="U300" s="901"/>
    </row>
    <row r="301" spans="1:21" ht="19.5" x14ac:dyDescent="0.3">
      <c r="A301" s="902" t="s">
        <v>126</v>
      </c>
      <c r="B301" s="903"/>
      <c r="C301" s="903"/>
      <c r="D301" s="904"/>
      <c r="E301" s="904"/>
      <c r="F301" s="904"/>
      <c r="G301" s="905"/>
      <c r="H301" s="905"/>
      <c r="I301" s="906"/>
      <c r="J301" s="906"/>
      <c r="K301" s="907"/>
      <c r="L301" s="908"/>
      <c r="M301" s="907"/>
      <c r="N301" s="907"/>
      <c r="O301" s="907"/>
      <c r="P301" s="907"/>
      <c r="Q301" s="907"/>
      <c r="R301" s="907"/>
      <c r="S301" s="907"/>
      <c r="T301" s="907"/>
      <c r="U301" s="907"/>
    </row>
    <row r="302" spans="1:21" ht="19.5" x14ac:dyDescent="0.3">
      <c r="A302" s="909"/>
      <c r="B302" s="910" t="s">
        <v>127</v>
      </c>
      <c r="C302" s="911"/>
      <c r="D302" s="911"/>
      <c r="E302" s="911"/>
      <c r="F302" s="911"/>
      <c r="G302" s="912"/>
      <c r="H302" s="913" t="s">
        <v>35</v>
      </c>
      <c r="I302" s="914">
        <f t="shared" ref="I302:J302" ca="1" si="191">I314</f>
        <v>25</v>
      </c>
      <c r="J302" s="914">
        <f t="shared" si="191"/>
        <v>25</v>
      </c>
      <c r="K302" s="915">
        <f ca="1">IF(I302&gt;0,J302*100/I302,0)</f>
        <v>100</v>
      </c>
      <c r="L302" s="916"/>
      <c r="M302" s="917"/>
      <c r="N302" s="917"/>
      <c r="O302" s="917"/>
      <c r="P302" s="917"/>
      <c r="Q302" s="917"/>
      <c r="R302" s="917"/>
      <c r="S302" s="917"/>
      <c r="T302" s="917"/>
      <c r="U302" s="917"/>
    </row>
    <row r="303" spans="1:21" ht="19.5" x14ac:dyDescent="0.3">
      <c r="A303" s="674"/>
      <c r="B303" s="561"/>
      <c r="C303" s="675" t="s">
        <v>18</v>
      </c>
      <c r="D303" s="676" t="s">
        <v>19</v>
      </c>
      <c r="E303" s="561"/>
      <c r="F303" s="561"/>
      <c r="G303" s="563"/>
      <c r="H303" s="677" t="s">
        <v>14</v>
      </c>
      <c r="I303" s="565"/>
      <c r="J303" s="565"/>
      <c r="K303" s="566"/>
      <c r="L303" s="678">
        <f t="shared" ref="L303:N303" ca="1" si="192">L304+L305</f>
        <v>0</v>
      </c>
      <c r="M303" s="679">
        <f t="shared" ca="1" si="192"/>
        <v>0</v>
      </c>
      <c r="N303" s="679">
        <f t="shared" ca="1" si="192"/>
        <v>0</v>
      </c>
      <c r="O303" s="679">
        <f t="shared" ref="O303:O311" ca="1" si="193">IF(L303&gt;0,N303*100/L303,0)</f>
        <v>0</v>
      </c>
      <c r="P303" s="679">
        <f t="shared" ref="P303:P311" ca="1" si="194">IF(M303&gt;0,N303*100/M303,0)</f>
        <v>0</v>
      </c>
      <c r="Q303" s="679">
        <f t="shared" ref="Q303:S303" ca="1" si="195">Q304+Q305</f>
        <v>228095.39</v>
      </c>
      <c r="R303" s="679">
        <f t="shared" ca="1" si="195"/>
        <v>228095</v>
      </c>
      <c r="S303" s="679">
        <f t="shared" ca="1" si="195"/>
        <v>33675</v>
      </c>
      <c r="T303" s="679">
        <f t="shared" ref="T303:T311" ca="1" si="196">IF(Q303&gt;0,S303*100/Q303,0)</f>
        <v>14.763560105269992</v>
      </c>
      <c r="U303" s="679">
        <f t="shared" ref="U303:U311" ca="1" si="197">IF(R303&gt;0,S303*100/R303,0)</f>
        <v>14.763585348210176</v>
      </c>
    </row>
    <row r="304" spans="1:21" ht="18.75" x14ac:dyDescent="0.25">
      <c r="A304" s="674"/>
      <c r="B304" s="561"/>
      <c r="C304" s="561"/>
      <c r="D304" s="561"/>
      <c r="E304" s="569" t="s">
        <v>20</v>
      </c>
      <c r="F304" s="561"/>
      <c r="G304" s="563"/>
      <c r="H304" s="680" t="s">
        <v>14</v>
      </c>
      <c r="I304" s="565"/>
      <c r="J304" s="565"/>
      <c r="K304" s="566"/>
      <c r="L304" s="571">
        <f t="shared" ref="L304:N305" si="198">L307+L310</f>
        <v>0</v>
      </c>
      <c r="M304" s="572">
        <f t="shared" si="198"/>
        <v>0</v>
      </c>
      <c r="N304" s="572">
        <f t="shared" si="198"/>
        <v>0</v>
      </c>
      <c r="O304" s="572">
        <f t="shared" si="193"/>
        <v>0</v>
      </c>
      <c r="P304" s="572">
        <f t="shared" si="194"/>
        <v>0</v>
      </c>
      <c r="Q304" s="572">
        <f t="shared" ref="Q304:S305" si="199">Q307+Q310</f>
        <v>0</v>
      </c>
      <c r="R304" s="572">
        <f t="shared" si="199"/>
        <v>0</v>
      </c>
      <c r="S304" s="572">
        <f t="shared" si="199"/>
        <v>0</v>
      </c>
      <c r="T304" s="572">
        <f t="shared" si="196"/>
        <v>0</v>
      </c>
      <c r="U304" s="572">
        <f t="shared" si="197"/>
        <v>0</v>
      </c>
    </row>
    <row r="305" spans="1:21" ht="18.75" x14ac:dyDescent="0.25">
      <c r="A305" s="674"/>
      <c r="B305" s="561"/>
      <c r="C305" s="561"/>
      <c r="D305" s="561"/>
      <c r="E305" s="573" t="s">
        <v>21</v>
      </c>
      <c r="F305" s="561"/>
      <c r="G305" s="563"/>
      <c r="H305" s="681" t="s">
        <v>14</v>
      </c>
      <c r="I305" s="565"/>
      <c r="J305" s="565"/>
      <c r="K305" s="566"/>
      <c r="L305" s="567">
        <f t="shared" ca="1" si="198"/>
        <v>0</v>
      </c>
      <c r="M305" s="568">
        <f t="shared" ca="1" si="198"/>
        <v>0</v>
      </c>
      <c r="N305" s="568">
        <f t="shared" ca="1" si="198"/>
        <v>0</v>
      </c>
      <c r="O305" s="568">
        <f t="shared" ca="1" si="193"/>
        <v>0</v>
      </c>
      <c r="P305" s="568">
        <f t="shared" ca="1" si="194"/>
        <v>0</v>
      </c>
      <c r="Q305" s="568">
        <f t="shared" ca="1" si="199"/>
        <v>228095.39</v>
      </c>
      <c r="R305" s="568">
        <f t="shared" ca="1" si="199"/>
        <v>228095</v>
      </c>
      <c r="S305" s="568">
        <f t="shared" ca="1" si="199"/>
        <v>33675</v>
      </c>
      <c r="T305" s="568">
        <f t="shared" ca="1" si="196"/>
        <v>14.763560105269992</v>
      </c>
      <c r="U305" s="568">
        <f t="shared" ca="1" si="197"/>
        <v>14.763585348210176</v>
      </c>
    </row>
    <row r="306" spans="1:21" ht="18.75" x14ac:dyDescent="0.25">
      <c r="A306" s="674"/>
      <c r="B306" s="561"/>
      <c r="C306" s="561"/>
      <c r="D306" s="562" t="s">
        <v>22</v>
      </c>
      <c r="E306" s="561"/>
      <c r="F306" s="561"/>
      <c r="G306" s="563"/>
      <c r="H306" s="682" t="s">
        <v>14</v>
      </c>
      <c r="I306" s="683"/>
      <c r="J306" s="683"/>
      <c r="K306" s="684"/>
      <c r="L306" s="567">
        <f t="shared" ref="L306:N306" ca="1" si="200">L307+L308</f>
        <v>0</v>
      </c>
      <c r="M306" s="568">
        <f t="shared" ca="1" si="200"/>
        <v>0</v>
      </c>
      <c r="N306" s="568">
        <f t="shared" ca="1" si="200"/>
        <v>0</v>
      </c>
      <c r="O306" s="568">
        <f t="shared" ca="1" si="193"/>
        <v>0</v>
      </c>
      <c r="P306" s="568">
        <f t="shared" ca="1" si="194"/>
        <v>0</v>
      </c>
      <c r="Q306" s="568">
        <f t="shared" ref="Q306:S306" ca="1" si="201">Q307+Q308</f>
        <v>228095.39</v>
      </c>
      <c r="R306" s="568">
        <f t="shared" ca="1" si="201"/>
        <v>228095</v>
      </c>
      <c r="S306" s="568">
        <f t="shared" ca="1" si="201"/>
        <v>33675</v>
      </c>
      <c r="T306" s="568">
        <f t="shared" ca="1" si="196"/>
        <v>14.763560105269992</v>
      </c>
      <c r="U306" s="568">
        <f t="shared" ca="1" si="197"/>
        <v>14.763585348210176</v>
      </c>
    </row>
    <row r="307" spans="1:21" ht="18.75" x14ac:dyDescent="0.25">
      <c r="A307" s="674"/>
      <c r="B307" s="561"/>
      <c r="C307" s="561"/>
      <c r="D307" s="561"/>
      <c r="E307" s="569" t="s">
        <v>36</v>
      </c>
      <c r="F307" s="561"/>
      <c r="G307" s="563"/>
      <c r="H307" s="685" t="s">
        <v>14</v>
      </c>
      <c r="I307" s="683"/>
      <c r="J307" s="683"/>
      <c r="K307" s="684"/>
      <c r="L307" s="571">
        <v>0</v>
      </c>
      <c r="M307" s="572">
        <v>0</v>
      </c>
      <c r="N307" s="572">
        <v>0</v>
      </c>
      <c r="O307" s="572">
        <f t="shared" si="193"/>
        <v>0</v>
      </c>
      <c r="P307" s="572">
        <f t="shared" si="194"/>
        <v>0</v>
      </c>
      <c r="Q307" s="572">
        <v>0</v>
      </c>
      <c r="R307" s="572">
        <v>0</v>
      </c>
      <c r="S307" s="572">
        <v>0</v>
      </c>
      <c r="T307" s="572">
        <f t="shared" si="196"/>
        <v>0</v>
      </c>
      <c r="U307" s="572">
        <f t="shared" si="197"/>
        <v>0</v>
      </c>
    </row>
    <row r="308" spans="1:21" ht="18.75" x14ac:dyDescent="0.25">
      <c r="A308" s="674"/>
      <c r="B308" s="561"/>
      <c r="C308" s="561"/>
      <c r="D308" s="561"/>
      <c r="E308" s="573" t="s">
        <v>37</v>
      </c>
      <c r="F308" s="561"/>
      <c r="G308" s="563"/>
      <c r="H308" s="682" t="s">
        <v>14</v>
      </c>
      <c r="I308" s="683"/>
      <c r="J308" s="683"/>
      <c r="K308" s="684"/>
      <c r="L308" s="567">
        <f ca="1">IFERROR(__xludf.DUMMYFUNCTION("IMPORTRANGE(""https://docs.google.com/spreadsheets/d/1-uDff_7J0KD5mKrp0Vvzr7lt3OU09vwQwhkpOPPYv2Y/edit?usp=sharing"",""งบพรบ!DY21"")"),0)</f>
        <v>0</v>
      </c>
      <c r="M308" s="568">
        <f ca="1">IFERROR(__xludf.DUMMYFUNCTION("IMPORTRANGE(""https://docs.google.com/spreadsheets/d/1-uDff_7J0KD5mKrp0Vvzr7lt3OU09vwQwhkpOPPYv2Y/edit?usp=sharing"",""งบพรบ!ED21"")"),0)</f>
        <v>0</v>
      </c>
      <c r="N308" s="568">
        <f ca="1">IFERROR(__xludf.DUMMYFUNCTION("IMPORTRANGE(""https://docs.google.com/spreadsheets/d/1-uDff_7J0KD5mKrp0Vvzr7lt3OU09vwQwhkpOPPYv2Y/edit?usp=sharing"",""งบพรบ!EF21"")"),0)</f>
        <v>0</v>
      </c>
      <c r="O308" s="568">
        <f t="shared" ca="1" si="193"/>
        <v>0</v>
      </c>
      <c r="P308" s="568">
        <f t="shared" ca="1" si="194"/>
        <v>0</v>
      </c>
      <c r="Q308" s="568">
        <f ca="1">IFERROR(__xludf.DUMMYFUNCTION("IMPORTRANGE(""https://docs.google.com/spreadsheets/d/1ItG2mGa2ceCfYo0BwxsXqNm01IGEUdYcSSLTEv9YCik/edit?usp=sharing"",""เบิกจ่ายกองทุน!BB21"")"),228095.39)</f>
        <v>228095.39</v>
      </c>
      <c r="R308" s="568">
        <f ca="1">IFERROR(__xludf.DUMMYFUNCTION("IMPORTRANGE(""https://docs.google.com/spreadsheets/d/1ItG2mGa2ceCfYo0BwxsXqNm01IGEUdYcSSLTEv9YCik/edit?usp=sharing"",""เบิกจ่ายกองทุน!BC21"")"),228095)</f>
        <v>228095</v>
      </c>
      <c r="S308" s="568">
        <f ca="1">IFERROR(__xludf.DUMMYFUNCTION("IMPORTRANGE(""https://docs.google.com/spreadsheets/d/1ItG2mGa2ceCfYo0BwxsXqNm01IGEUdYcSSLTEv9YCik/edit?usp=sharing"",""เบิกจ่ายกองทุน!BD21"")"),33675)</f>
        <v>33675</v>
      </c>
      <c r="T308" s="568">
        <f t="shared" ca="1" si="196"/>
        <v>14.763560105269992</v>
      </c>
      <c r="U308" s="568">
        <f t="shared" ca="1" si="197"/>
        <v>14.763585348210176</v>
      </c>
    </row>
    <row r="309" spans="1:21" ht="18.75" x14ac:dyDescent="0.25">
      <c r="A309" s="674"/>
      <c r="B309" s="561"/>
      <c r="C309" s="561"/>
      <c r="D309" s="562" t="s">
        <v>23</v>
      </c>
      <c r="E309" s="561"/>
      <c r="F309" s="561"/>
      <c r="G309" s="563"/>
      <c r="H309" s="686" t="s">
        <v>14</v>
      </c>
      <c r="I309" s="683"/>
      <c r="J309" s="683"/>
      <c r="K309" s="684"/>
      <c r="L309" s="567">
        <f t="shared" ref="L309:N309" ca="1" si="202">L310+L311</f>
        <v>0</v>
      </c>
      <c r="M309" s="568">
        <f t="shared" ca="1" si="202"/>
        <v>0</v>
      </c>
      <c r="N309" s="568">
        <f t="shared" ca="1" si="202"/>
        <v>0</v>
      </c>
      <c r="O309" s="568">
        <f t="shared" ca="1" si="193"/>
        <v>0</v>
      </c>
      <c r="P309" s="568">
        <f t="shared" ca="1" si="194"/>
        <v>0</v>
      </c>
      <c r="Q309" s="568">
        <f t="shared" ref="Q309:S309" si="203">Q310+Q311</f>
        <v>0</v>
      </c>
      <c r="R309" s="568">
        <f t="shared" si="203"/>
        <v>0</v>
      </c>
      <c r="S309" s="568">
        <f t="shared" si="203"/>
        <v>0</v>
      </c>
      <c r="T309" s="568">
        <f t="shared" si="196"/>
        <v>0</v>
      </c>
      <c r="U309" s="568">
        <f t="shared" si="197"/>
        <v>0</v>
      </c>
    </row>
    <row r="310" spans="1:21" ht="18.75" x14ac:dyDescent="0.25">
      <c r="A310" s="674"/>
      <c r="B310" s="561"/>
      <c r="C310" s="561"/>
      <c r="D310" s="561"/>
      <c r="E310" s="569" t="s">
        <v>20</v>
      </c>
      <c r="F310" s="561"/>
      <c r="G310" s="563"/>
      <c r="H310" s="685" t="s">
        <v>14</v>
      </c>
      <c r="I310" s="683"/>
      <c r="J310" s="683"/>
      <c r="K310" s="684"/>
      <c r="L310" s="571">
        <v>0</v>
      </c>
      <c r="M310" s="572">
        <v>0</v>
      </c>
      <c r="N310" s="572">
        <v>0</v>
      </c>
      <c r="O310" s="572">
        <f t="shared" si="193"/>
        <v>0</v>
      </c>
      <c r="P310" s="572">
        <f t="shared" si="194"/>
        <v>0</v>
      </c>
      <c r="Q310" s="572">
        <v>0</v>
      </c>
      <c r="R310" s="572">
        <v>0</v>
      </c>
      <c r="S310" s="572">
        <v>0</v>
      </c>
      <c r="T310" s="572">
        <f t="shared" si="196"/>
        <v>0</v>
      </c>
      <c r="U310" s="572">
        <f t="shared" si="197"/>
        <v>0</v>
      </c>
    </row>
    <row r="311" spans="1:21" ht="18.75" x14ac:dyDescent="0.25">
      <c r="A311" s="674"/>
      <c r="B311" s="561"/>
      <c r="C311" s="561"/>
      <c r="D311" s="561"/>
      <c r="E311" s="573" t="s">
        <v>21</v>
      </c>
      <c r="F311" s="561"/>
      <c r="G311" s="563"/>
      <c r="H311" s="686" t="s">
        <v>14</v>
      </c>
      <c r="I311" s="683"/>
      <c r="J311" s="683"/>
      <c r="K311" s="684"/>
      <c r="L311" s="567">
        <f ca="1">IFERROR(__xludf.DUMMYFUNCTION("IMPORTRANGE(""https://docs.google.com/spreadsheets/d/1-uDff_7J0KD5mKrp0Vvzr7lt3OU09vwQwhkpOPPYv2Y/edit?usp=sharing"",""งบพรบ!EB21"")"),0)</f>
        <v>0</v>
      </c>
      <c r="M311" s="568">
        <f ca="1">IFERROR(__xludf.DUMMYFUNCTION("IMPORTRANGE(""https://docs.google.com/spreadsheets/d/1-uDff_7J0KD5mKrp0Vvzr7lt3OU09vwQwhkpOPPYv2Y/edit?usp=sharing"",""งบพรบ!EE21"")"),0)</f>
        <v>0</v>
      </c>
      <c r="N311" s="568">
        <f ca="1">IFERROR(__xludf.DUMMYFUNCTION("IMPORTRANGE(""https://docs.google.com/spreadsheets/d/1-uDff_7J0KD5mKrp0Vvzr7lt3OU09vwQwhkpOPPYv2Y/edit?usp=sharing"",""งบพรบ!EG21"")"),0)</f>
        <v>0</v>
      </c>
      <c r="O311" s="568">
        <f t="shared" ca="1" si="193"/>
        <v>0</v>
      </c>
      <c r="P311" s="568">
        <f t="shared" ca="1" si="194"/>
        <v>0</v>
      </c>
      <c r="Q311" s="568">
        <v>0</v>
      </c>
      <c r="R311" s="568">
        <v>0</v>
      </c>
      <c r="S311" s="568">
        <v>0</v>
      </c>
      <c r="T311" s="568">
        <f t="shared" si="196"/>
        <v>0</v>
      </c>
      <c r="U311" s="568">
        <f t="shared" si="197"/>
        <v>0</v>
      </c>
    </row>
    <row r="312" spans="1:21" ht="19.5" x14ac:dyDescent="0.3">
      <c r="A312" s="687"/>
      <c r="B312" s="688"/>
      <c r="C312" s="675" t="s">
        <v>18</v>
      </c>
      <c r="D312" s="689" t="s">
        <v>38</v>
      </c>
      <c r="E312" s="690"/>
      <c r="F312" s="690"/>
      <c r="G312" s="691"/>
      <c r="H312" s="692"/>
      <c r="I312" s="565"/>
      <c r="J312" s="565"/>
      <c r="K312" s="566"/>
      <c r="L312" s="574"/>
      <c r="M312" s="566"/>
      <c r="N312" s="566"/>
      <c r="O312" s="566"/>
      <c r="P312" s="566"/>
      <c r="Q312" s="566"/>
      <c r="R312" s="566"/>
      <c r="S312" s="566"/>
      <c r="T312" s="566"/>
      <c r="U312" s="566"/>
    </row>
    <row r="313" spans="1:21" ht="18.75" hidden="1" x14ac:dyDescent="0.25">
      <c r="A313" s="705"/>
      <c r="B313" s="706"/>
      <c r="C313" s="706"/>
      <c r="D313" s="918"/>
      <c r="E313" s="531"/>
      <c r="F313" s="531"/>
      <c r="G313" s="532"/>
      <c r="H313" s="532"/>
      <c r="I313" s="533"/>
      <c r="J313" s="919"/>
      <c r="K313" s="534"/>
      <c r="L313" s="535"/>
      <c r="M313" s="534"/>
      <c r="N313" s="534"/>
      <c r="O313" s="534"/>
      <c r="P313" s="534"/>
      <c r="Q313" s="534"/>
      <c r="R313" s="534"/>
      <c r="S313" s="534"/>
      <c r="T313" s="534"/>
      <c r="U313" s="534"/>
    </row>
    <row r="314" spans="1:21" ht="18.75" x14ac:dyDescent="0.25">
      <c r="A314" s="687"/>
      <c r="B314" s="688"/>
      <c r="C314" s="688"/>
      <c r="D314" s="699" t="s">
        <v>121</v>
      </c>
      <c r="E314" s="695"/>
      <c r="F314" s="695"/>
      <c r="G314" s="692"/>
      <c r="H314" s="700" t="s">
        <v>35</v>
      </c>
      <c r="I314" s="708">
        <f ca="1">IFERROR(__xludf.DUMMYFUNCTION("IMPORTRANGE(""https://docs.google.com/spreadsheets/d/1eHaY18a8A9IcSdp1K8H6x8fbOy06t2VsZHhMHf-1x7Y/edit?usp=sharing"",""แผน!EF21"")"),25)</f>
        <v>25</v>
      </c>
      <c r="J314" s="702">
        <v>25</v>
      </c>
      <c r="K314" s="568">
        <f ca="1">IF(I314&gt;0,J314*100/I314,0)</f>
        <v>100</v>
      </c>
      <c r="L314" s="574"/>
      <c r="M314" s="566"/>
      <c r="N314" s="566"/>
      <c r="O314" s="566"/>
      <c r="P314" s="566"/>
      <c r="Q314" s="566"/>
      <c r="R314" s="566"/>
      <c r="S314" s="566"/>
      <c r="T314" s="566"/>
      <c r="U314" s="566"/>
    </row>
    <row r="315" spans="1:21" ht="18.75" hidden="1" x14ac:dyDescent="0.25">
      <c r="A315" s="705"/>
      <c r="B315" s="706"/>
      <c r="C315" s="706"/>
      <c r="D315" s="918"/>
      <c r="E315" s="531"/>
      <c r="F315" s="531"/>
      <c r="G315" s="532"/>
      <c r="H315" s="920"/>
      <c r="I315" s="919"/>
      <c r="J315" s="919"/>
      <c r="K315" s="921"/>
      <c r="L315" s="535"/>
      <c r="M315" s="534"/>
      <c r="N315" s="534"/>
      <c r="O315" s="534"/>
      <c r="P315" s="534"/>
      <c r="Q315" s="534"/>
      <c r="R315" s="534"/>
      <c r="S315" s="534"/>
      <c r="T315" s="534"/>
      <c r="U315" s="534"/>
    </row>
    <row r="316" spans="1:21" ht="18.75" hidden="1" x14ac:dyDescent="0.25">
      <c r="A316" s="705"/>
      <c r="B316" s="706"/>
      <c r="C316" s="706"/>
      <c r="D316" s="918"/>
      <c r="E316" s="531"/>
      <c r="F316" s="531"/>
      <c r="G316" s="532"/>
      <c r="H316" s="920"/>
      <c r="I316" s="919"/>
      <c r="J316" s="919"/>
      <c r="K316" s="921"/>
      <c r="L316" s="535"/>
      <c r="M316" s="534"/>
      <c r="N316" s="534"/>
      <c r="O316" s="534"/>
      <c r="P316" s="534"/>
      <c r="Q316" s="534"/>
      <c r="R316" s="534"/>
      <c r="S316" s="534"/>
      <c r="T316" s="534"/>
      <c r="U316" s="534"/>
    </row>
    <row r="317" spans="1:21" ht="18.75" hidden="1" x14ac:dyDescent="0.25">
      <c r="A317" s="705"/>
      <c r="B317" s="706"/>
      <c r="C317" s="706"/>
      <c r="D317" s="922"/>
      <c r="E317" s="531"/>
      <c r="F317" s="531"/>
      <c r="G317" s="532"/>
      <c r="H317" s="923"/>
      <c r="I317" s="924"/>
      <c r="J317" s="924"/>
      <c r="K317" s="925"/>
      <c r="L317" s="535"/>
      <c r="M317" s="534"/>
      <c r="N317" s="534"/>
      <c r="O317" s="534"/>
      <c r="P317" s="534"/>
      <c r="Q317" s="534"/>
      <c r="R317" s="534"/>
      <c r="S317" s="534"/>
      <c r="T317" s="534"/>
      <c r="U317" s="534"/>
    </row>
    <row r="318" spans="1:21" ht="19.5" hidden="1" x14ac:dyDescent="0.3">
      <c r="A318" s="902" t="s">
        <v>131</v>
      </c>
      <c r="B318" s="903"/>
      <c r="C318" s="903"/>
      <c r="D318" s="904"/>
      <c r="E318" s="903"/>
      <c r="F318" s="903"/>
      <c r="G318" s="903"/>
      <c r="H318" s="904"/>
      <c r="I318" s="906"/>
      <c r="J318" s="906"/>
      <c r="K318" s="907"/>
      <c r="L318" s="908"/>
      <c r="M318" s="907"/>
      <c r="N318" s="907"/>
      <c r="O318" s="907"/>
      <c r="P318" s="907"/>
      <c r="Q318" s="907"/>
      <c r="R318" s="907"/>
      <c r="S318" s="907"/>
      <c r="T318" s="907"/>
      <c r="U318" s="907"/>
    </row>
    <row r="319" spans="1:21" ht="19.5" hidden="1" x14ac:dyDescent="0.3">
      <c r="A319" s="926"/>
      <c r="B319" s="910" t="s">
        <v>132</v>
      </c>
      <c r="C319" s="927"/>
      <c r="D319" s="928"/>
      <c r="E319" s="911"/>
      <c r="F319" s="911"/>
      <c r="G319" s="912"/>
      <c r="H319" s="913" t="s">
        <v>133</v>
      </c>
      <c r="I319" s="914">
        <f t="shared" ref="I319:J319" ca="1" si="204">I330</f>
        <v>0</v>
      </c>
      <c r="J319" s="914">
        <f t="shared" si="204"/>
        <v>0</v>
      </c>
      <c r="K319" s="915">
        <f ca="1">IF(I319&gt;0,J319*100/I319,0)</f>
        <v>0</v>
      </c>
      <c r="L319" s="916"/>
      <c r="M319" s="917"/>
      <c r="N319" s="917"/>
      <c r="O319" s="917"/>
      <c r="P319" s="917"/>
      <c r="Q319" s="917"/>
      <c r="R319" s="917"/>
      <c r="S319" s="917"/>
      <c r="T319" s="917"/>
      <c r="U319" s="917"/>
    </row>
    <row r="320" spans="1:21" ht="19.5" hidden="1" x14ac:dyDescent="0.3">
      <c r="A320" s="674"/>
      <c r="B320" s="561"/>
      <c r="C320" s="675" t="s">
        <v>18</v>
      </c>
      <c r="D320" s="676" t="s">
        <v>19</v>
      </c>
      <c r="E320" s="561"/>
      <c r="F320" s="561"/>
      <c r="G320" s="563"/>
      <c r="H320" s="677" t="s">
        <v>14</v>
      </c>
      <c r="I320" s="565"/>
      <c r="J320" s="565"/>
      <c r="K320" s="566"/>
      <c r="L320" s="678">
        <f t="shared" ref="L320:N320" ca="1" si="205">L321+L322</f>
        <v>0</v>
      </c>
      <c r="M320" s="679">
        <f t="shared" ca="1" si="205"/>
        <v>0</v>
      </c>
      <c r="N320" s="679">
        <f t="shared" ca="1" si="205"/>
        <v>0</v>
      </c>
      <c r="O320" s="679">
        <f t="shared" ref="O320:O328" ca="1" si="206">IF(L320&gt;0,N320*100/L320,0)</f>
        <v>0</v>
      </c>
      <c r="P320" s="679">
        <f t="shared" ref="P320:P328" ca="1" si="207">IF(M320&gt;0,N320*100/M320,0)</f>
        <v>0</v>
      </c>
      <c r="Q320" s="679">
        <f t="shared" ref="Q320:S320" si="208">Q321+Q322</f>
        <v>0</v>
      </c>
      <c r="R320" s="679">
        <f t="shared" si="208"/>
        <v>0</v>
      </c>
      <c r="S320" s="679">
        <f t="shared" si="208"/>
        <v>0</v>
      </c>
      <c r="T320" s="679">
        <f t="shared" ref="T320:T328" si="209">IF(Q320&gt;0,S320*100/Q320,0)</f>
        <v>0</v>
      </c>
      <c r="U320" s="679">
        <f t="shared" ref="U320:U328" si="210">IF(R320&gt;0,S320*100/R320,0)</f>
        <v>0</v>
      </c>
    </row>
    <row r="321" spans="1:21" ht="18.75" hidden="1" x14ac:dyDescent="0.25">
      <c r="A321" s="674"/>
      <c r="B321" s="561"/>
      <c r="C321" s="561"/>
      <c r="D321" s="561"/>
      <c r="E321" s="569" t="s">
        <v>20</v>
      </c>
      <c r="F321" s="561"/>
      <c r="G321" s="563"/>
      <c r="H321" s="680" t="s">
        <v>14</v>
      </c>
      <c r="I321" s="565"/>
      <c r="J321" s="565"/>
      <c r="K321" s="566"/>
      <c r="L321" s="571">
        <f t="shared" ref="L321:N322" si="211">L324+L327</f>
        <v>0</v>
      </c>
      <c r="M321" s="572">
        <f t="shared" si="211"/>
        <v>0</v>
      </c>
      <c r="N321" s="572">
        <f t="shared" si="211"/>
        <v>0</v>
      </c>
      <c r="O321" s="572">
        <f t="shared" si="206"/>
        <v>0</v>
      </c>
      <c r="P321" s="572">
        <f t="shared" si="207"/>
        <v>0</v>
      </c>
      <c r="Q321" s="572">
        <f t="shared" ref="Q321:S322" si="212">Q324+Q327</f>
        <v>0</v>
      </c>
      <c r="R321" s="572">
        <f t="shared" si="212"/>
        <v>0</v>
      </c>
      <c r="S321" s="572">
        <f t="shared" si="212"/>
        <v>0</v>
      </c>
      <c r="T321" s="572">
        <f t="shared" si="209"/>
        <v>0</v>
      </c>
      <c r="U321" s="572">
        <f t="shared" si="210"/>
        <v>0</v>
      </c>
    </row>
    <row r="322" spans="1:21" ht="18.75" hidden="1" x14ac:dyDescent="0.25">
      <c r="A322" s="674"/>
      <c r="B322" s="561"/>
      <c r="C322" s="561"/>
      <c r="D322" s="561"/>
      <c r="E322" s="573" t="s">
        <v>21</v>
      </c>
      <c r="F322" s="561"/>
      <c r="G322" s="563"/>
      <c r="H322" s="681" t="s">
        <v>14</v>
      </c>
      <c r="I322" s="565"/>
      <c r="J322" s="565"/>
      <c r="K322" s="566"/>
      <c r="L322" s="567">
        <f t="shared" ca="1" si="211"/>
        <v>0</v>
      </c>
      <c r="M322" s="568">
        <f t="shared" ca="1" si="211"/>
        <v>0</v>
      </c>
      <c r="N322" s="568">
        <f t="shared" ca="1" si="211"/>
        <v>0</v>
      </c>
      <c r="O322" s="568">
        <f t="shared" ca="1" si="206"/>
        <v>0</v>
      </c>
      <c r="P322" s="568">
        <f t="shared" ca="1" si="207"/>
        <v>0</v>
      </c>
      <c r="Q322" s="568">
        <f t="shared" si="212"/>
        <v>0</v>
      </c>
      <c r="R322" s="568">
        <f t="shared" si="212"/>
        <v>0</v>
      </c>
      <c r="S322" s="568">
        <f t="shared" si="212"/>
        <v>0</v>
      </c>
      <c r="T322" s="568">
        <f t="shared" si="209"/>
        <v>0</v>
      </c>
      <c r="U322" s="568">
        <f t="shared" si="210"/>
        <v>0</v>
      </c>
    </row>
    <row r="323" spans="1:21" ht="18.75" hidden="1" x14ac:dyDescent="0.25">
      <c r="A323" s="674"/>
      <c r="B323" s="561"/>
      <c r="C323" s="561"/>
      <c r="D323" s="562" t="s">
        <v>22</v>
      </c>
      <c r="E323" s="561"/>
      <c r="F323" s="561"/>
      <c r="G323" s="563"/>
      <c r="H323" s="682" t="s">
        <v>14</v>
      </c>
      <c r="I323" s="683"/>
      <c r="J323" s="683"/>
      <c r="K323" s="684"/>
      <c r="L323" s="567">
        <f t="shared" ref="L323:N323" ca="1" si="213">L324+L325</f>
        <v>0</v>
      </c>
      <c r="M323" s="568">
        <f t="shared" ca="1" si="213"/>
        <v>0</v>
      </c>
      <c r="N323" s="568">
        <f t="shared" ca="1" si="213"/>
        <v>0</v>
      </c>
      <c r="O323" s="568">
        <f t="shared" ca="1" si="206"/>
        <v>0</v>
      </c>
      <c r="P323" s="568">
        <f t="shared" ca="1" si="207"/>
        <v>0</v>
      </c>
      <c r="Q323" s="568">
        <f t="shared" ref="Q323:S323" si="214">Q324+Q325</f>
        <v>0</v>
      </c>
      <c r="R323" s="568">
        <f t="shared" si="214"/>
        <v>0</v>
      </c>
      <c r="S323" s="568">
        <f t="shared" si="214"/>
        <v>0</v>
      </c>
      <c r="T323" s="568">
        <f t="shared" si="209"/>
        <v>0</v>
      </c>
      <c r="U323" s="568">
        <f t="shared" si="210"/>
        <v>0</v>
      </c>
    </row>
    <row r="324" spans="1:21" ht="18.75" hidden="1" x14ac:dyDescent="0.25">
      <c r="A324" s="674"/>
      <c r="B324" s="561"/>
      <c r="C324" s="561"/>
      <c r="D324" s="561"/>
      <c r="E324" s="569" t="s">
        <v>36</v>
      </c>
      <c r="F324" s="561"/>
      <c r="G324" s="563"/>
      <c r="H324" s="685" t="s">
        <v>14</v>
      </c>
      <c r="I324" s="683"/>
      <c r="J324" s="683"/>
      <c r="K324" s="684"/>
      <c r="L324" s="571">
        <v>0</v>
      </c>
      <c r="M324" s="572">
        <v>0</v>
      </c>
      <c r="N324" s="572">
        <v>0</v>
      </c>
      <c r="O324" s="572">
        <f t="shared" si="206"/>
        <v>0</v>
      </c>
      <c r="P324" s="572">
        <f t="shared" si="207"/>
        <v>0</v>
      </c>
      <c r="Q324" s="572">
        <v>0</v>
      </c>
      <c r="R324" s="572">
        <v>0</v>
      </c>
      <c r="S324" s="572">
        <v>0</v>
      </c>
      <c r="T324" s="572">
        <f t="shared" si="209"/>
        <v>0</v>
      </c>
      <c r="U324" s="572">
        <f t="shared" si="210"/>
        <v>0</v>
      </c>
    </row>
    <row r="325" spans="1:21" ht="18.75" hidden="1" x14ac:dyDescent="0.25">
      <c r="A325" s="674"/>
      <c r="B325" s="561"/>
      <c r="C325" s="561"/>
      <c r="D325" s="561"/>
      <c r="E325" s="573" t="s">
        <v>37</v>
      </c>
      <c r="F325" s="561"/>
      <c r="G325" s="563"/>
      <c r="H325" s="682" t="s">
        <v>14</v>
      </c>
      <c r="I325" s="683"/>
      <c r="J325" s="683"/>
      <c r="K325" s="684"/>
      <c r="L325" s="567">
        <f ca="1">IFERROR(__xludf.DUMMYFUNCTION("IMPORTRANGE(""https://docs.google.com/spreadsheets/d/1-uDff_7J0KD5mKrp0Vvzr7lt3OU09vwQwhkpOPPYv2Y/edit?usp=sharing"",""งบพรบ!EI21"")"),0)</f>
        <v>0</v>
      </c>
      <c r="M325" s="568">
        <f ca="1">IFERROR(__xludf.DUMMYFUNCTION("IMPORTRANGE(""https://docs.google.com/spreadsheets/d/1-uDff_7J0KD5mKrp0Vvzr7lt3OU09vwQwhkpOPPYv2Y/edit?usp=sharing"",""งบพรบ!EN21"")"),0)</f>
        <v>0</v>
      </c>
      <c r="N325" s="568">
        <f ca="1">IFERROR(__xludf.DUMMYFUNCTION("IMPORTRANGE(""https://docs.google.com/spreadsheets/d/1-uDff_7J0KD5mKrp0Vvzr7lt3OU09vwQwhkpOPPYv2Y/edit?usp=sharing"",""งบพรบ!EP21"")"),0)</f>
        <v>0</v>
      </c>
      <c r="O325" s="568">
        <f t="shared" ca="1" si="206"/>
        <v>0</v>
      </c>
      <c r="P325" s="568">
        <f t="shared" ca="1" si="207"/>
        <v>0</v>
      </c>
      <c r="Q325" s="568">
        <v>0</v>
      </c>
      <c r="R325" s="568">
        <v>0</v>
      </c>
      <c r="S325" s="568">
        <v>0</v>
      </c>
      <c r="T325" s="568">
        <f t="shared" si="209"/>
        <v>0</v>
      </c>
      <c r="U325" s="568">
        <f t="shared" si="210"/>
        <v>0</v>
      </c>
    </row>
    <row r="326" spans="1:21" ht="18.75" hidden="1" x14ac:dyDescent="0.25">
      <c r="A326" s="674"/>
      <c r="B326" s="561"/>
      <c r="C326" s="561"/>
      <c r="D326" s="562" t="s">
        <v>23</v>
      </c>
      <c r="E326" s="561"/>
      <c r="F326" s="561"/>
      <c r="G326" s="563"/>
      <c r="H326" s="686" t="s">
        <v>14</v>
      </c>
      <c r="I326" s="683"/>
      <c r="J326" s="683"/>
      <c r="K326" s="684"/>
      <c r="L326" s="567">
        <f t="shared" ref="L326:N326" ca="1" si="215">L327+L328</f>
        <v>0</v>
      </c>
      <c r="M326" s="568">
        <f t="shared" ca="1" si="215"/>
        <v>0</v>
      </c>
      <c r="N326" s="568">
        <f t="shared" ca="1" si="215"/>
        <v>0</v>
      </c>
      <c r="O326" s="568">
        <f t="shared" ca="1" si="206"/>
        <v>0</v>
      </c>
      <c r="P326" s="568">
        <f t="shared" ca="1" si="207"/>
        <v>0</v>
      </c>
      <c r="Q326" s="568">
        <f t="shared" ref="Q326:S326" si="216">Q327+Q328</f>
        <v>0</v>
      </c>
      <c r="R326" s="568">
        <f t="shared" si="216"/>
        <v>0</v>
      </c>
      <c r="S326" s="568">
        <f t="shared" si="216"/>
        <v>0</v>
      </c>
      <c r="T326" s="568">
        <f t="shared" si="209"/>
        <v>0</v>
      </c>
      <c r="U326" s="568">
        <f t="shared" si="210"/>
        <v>0</v>
      </c>
    </row>
    <row r="327" spans="1:21" ht="18.75" hidden="1" x14ac:dyDescent="0.25">
      <c r="A327" s="674"/>
      <c r="B327" s="561"/>
      <c r="C327" s="561"/>
      <c r="D327" s="561"/>
      <c r="E327" s="569" t="s">
        <v>20</v>
      </c>
      <c r="F327" s="561"/>
      <c r="G327" s="563"/>
      <c r="H327" s="685" t="s">
        <v>14</v>
      </c>
      <c r="I327" s="683"/>
      <c r="J327" s="683"/>
      <c r="K327" s="684"/>
      <c r="L327" s="571">
        <v>0</v>
      </c>
      <c r="M327" s="572">
        <v>0</v>
      </c>
      <c r="N327" s="572">
        <v>0</v>
      </c>
      <c r="O327" s="572">
        <f t="shared" si="206"/>
        <v>0</v>
      </c>
      <c r="P327" s="572">
        <f t="shared" si="207"/>
        <v>0</v>
      </c>
      <c r="Q327" s="572">
        <v>0</v>
      </c>
      <c r="R327" s="572">
        <v>0</v>
      </c>
      <c r="S327" s="572">
        <v>0</v>
      </c>
      <c r="T327" s="572">
        <f t="shared" si="209"/>
        <v>0</v>
      </c>
      <c r="U327" s="572">
        <f t="shared" si="210"/>
        <v>0</v>
      </c>
    </row>
    <row r="328" spans="1:21" ht="18.75" hidden="1" x14ac:dyDescent="0.25">
      <c r="A328" s="674"/>
      <c r="B328" s="561"/>
      <c r="C328" s="561"/>
      <c r="D328" s="561"/>
      <c r="E328" s="573" t="s">
        <v>21</v>
      </c>
      <c r="F328" s="561"/>
      <c r="G328" s="563"/>
      <c r="H328" s="686" t="s">
        <v>14</v>
      </c>
      <c r="I328" s="683"/>
      <c r="J328" s="683"/>
      <c r="K328" s="684"/>
      <c r="L328" s="567">
        <f ca="1">IFERROR(__xludf.DUMMYFUNCTION("IMPORTRANGE(""https://docs.google.com/spreadsheets/d/1-uDff_7J0KD5mKrp0Vvzr7lt3OU09vwQwhkpOPPYv2Y/edit?usp=sharing"",""งบพรบ!EL21"")"),0)</f>
        <v>0</v>
      </c>
      <c r="M328" s="568">
        <f ca="1">IFERROR(__xludf.DUMMYFUNCTION("IMPORTRANGE(""https://docs.google.com/spreadsheets/d/1-uDff_7J0KD5mKrp0Vvzr7lt3OU09vwQwhkpOPPYv2Y/edit?usp=sharing"",""งบพรบ!EO21"")"),0)</f>
        <v>0</v>
      </c>
      <c r="N328" s="568">
        <f ca="1">IFERROR(__xludf.DUMMYFUNCTION("IMPORTRANGE(""https://docs.google.com/spreadsheets/d/1-uDff_7J0KD5mKrp0Vvzr7lt3OU09vwQwhkpOPPYv2Y/edit?usp=sharing"",""งบพรบ!EQ21"")"),0)</f>
        <v>0</v>
      </c>
      <c r="O328" s="568">
        <f t="shared" ca="1" si="206"/>
        <v>0</v>
      </c>
      <c r="P328" s="568">
        <f t="shared" ca="1" si="207"/>
        <v>0</v>
      </c>
      <c r="Q328" s="568">
        <v>0</v>
      </c>
      <c r="R328" s="568">
        <v>0</v>
      </c>
      <c r="S328" s="568">
        <v>0</v>
      </c>
      <c r="T328" s="568">
        <f t="shared" si="209"/>
        <v>0</v>
      </c>
      <c r="U328" s="568">
        <f t="shared" si="210"/>
        <v>0</v>
      </c>
    </row>
    <row r="329" spans="1:21" ht="19.5" hidden="1" x14ac:dyDescent="0.3">
      <c r="A329" s="687"/>
      <c r="B329" s="688"/>
      <c r="C329" s="675" t="s">
        <v>18</v>
      </c>
      <c r="D329" s="689" t="s">
        <v>38</v>
      </c>
      <c r="E329" s="690"/>
      <c r="F329" s="690"/>
      <c r="G329" s="691"/>
      <c r="H329" s="692"/>
      <c r="I329" s="683"/>
      <c r="J329" s="565"/>
      <c r="K329" s="566"/>
      <c r="L329" s="574"/>
      <c r="M329" s="566"/>
      <c r="N329" s="566"/>
      <c r="O329" s="684"/>
      <c r="P329" s="684"/>
      <c r="Q329" s="566"/>
      <c r="R329" s="566"/>
      <c r="S329" s="566"/>
      <c r="T329" s="684"/>
      <c r="U329" s="684"/>
    </row>
    <row r="330" spans="1:21" ht="18.75" hidden="1" x14ac:dyDescent="0.25">
      <c r="A330" s="687"/>
      <c r="B330" s="688"/>
      <c r="C330" s="688"/>
      <c r="D330" s="694" t="s">
        <v>134</v>
      </c>
      <c r="E330" s="695"/>
      <c r="F330" s="695"/>
      <c r="G330" s="692"/>
      <c r="H330" s="564" t="s">
        <v>133</v>
      </c>
      <c r="I330" s="708">
        <f ca="1">IFERROR(__xludf.DUMMYFUNCTION("IMPORTRANGE(""https://docs.google.com/spreadsheets/d/1eHaY18a8A9IcSdp1K8H6x8fbOy06t2VsZHhMHf-1x7Y/edit?usp=sharing"",""แผน!EJ21"")"),0)</f>
        <v>0</v>
      </c>
      <c r="J330" s="702">
        <v>0</v>
      </c>
      <c r="K330" s="568">
        <f ca="1">IF(I330&gt;0,J330*100/I330,0)</f>
        <v>0</v>
      </c>
      <c r="L330" s="574"/>
      <c r="M330" s="566"/>
      <c r="N330" s="566"/>
      <c r="O330" s="684"/>
      <c r="P330" s="684"/>
      <c r="Q330" s="566"/>
      <c r="R330" s="566"/>
      <c r="S330" s="566"/>
      <c r="T330" s="684"/>
      <c r="U330" s="684"/>
    </row>
    <row r="331" spans="1:21" ht="19.5" x14ac:dyDescent="0.3">
      <c r="A331" s="902" t="s">
        <v>135</v>
      </c>
      <c r="B331" s="903"/>
      <c r="C331" s="903"/>
      <c r="D331" s="904"/>
      <c r="E331" s="903"/>
      <c r="F331" s="903"/>
      <c r="G331" s="903"/>
      <c r="H331" s="904"/>
      <c r="I331" s="906"/>
      <c r="J331" s="906"/>
      <c r="K331" s="907"/>
      <c r="L331" s="908"/>
      <c r="M331" s="907"/>
      <c r="N331" s="907"/>
      <c r="O331" s="907"/>
      <c r="P331" s="907"/>
      <c r="Q331" s="907"/>
      <c r="R331" s="907"/>
      <c r="S331" s="907"/>
      <c r="T331" s="907"/>
      <c r="U331" s="907"/>
    </row>
    <row r="332" spans="1:21" ht="19.5" x14ac:dyDescent="0.3">
      <c r="A332" s="909"/>
      <c r="B332" s="910" t="s">
        <v>136</v>
      </c>
      <c r="C332" s="928"/>
      <c r="D332" s="911"/>
      <c r="E332" s="911"/>
      <c r="F332" s="911"/>
      <c r="G332" s="912"/>
      <c r="H332" s="913" t="s">
        <v>35</v>
      </c>
      <c r="I332" s="929">
        <f ca="1">I344</f>
        <v>660</v>
      </c>
      <c r="J332" s="930">
        <f ca="1">J344+J347+J348+J349+J353</f>
        <v>2389</v>
      </c>
      <c r="K332" s="931">
        <f ca="1">IF(I332&gt;0,J332*100/I332,0)</f>
        <v>361.969696969697</v>
      </c>
      <c r="L332" s="916"/>
      <c r="M332" s="917"/>
      <c r="N332" s="917"/>
      <c r="O332" s="917"/>
      <c r="P332" s="917"/>
      <c r="Q332" s="917"/>
      <c r="R332" s="917"/>
      <c r="S332" s="917"/>
      <c r="T332" s="917"/>
      <c r="U332" s="917"/>
    </row>
    <row r="333" spans="1:21" ht="19.5" x14ac:dyDescent="0.3">
      <c r="A333" s="674"/>
      <c r="B333" s="561"/>
      <c r="C333" s="675" t="s">
        <v>18</v>
      </c>
      <c r="D333" s="676" t="s">
        <v>19</v>
      </c>
      <c r="E333" s="561"/>
      <c r="F333" s="561"/>
      <c r="G333" s="563"/>
      <c r="H333" s="677" t="s">
        <v>14</v>
      </c>
      <c r="I333" s="565"/>
      <c r="J333" s="565"/>
      <c r="K333" s="566"/>
      <c r="L333" s="678">
        <f t="shared" ref="L333:N333" ca="1" si="217">L334+L335</f>
        <v>176000</v>
      </c>
      <c r="M333" s="679">
        <f t="shared" ca="1" si="217"/>
        <v>108000</v>
      </c>
      <c r="N333" s="679">
        <f t="shared" ca="1" si="217"/>
        <v>99233.34</v>
      </c>
      <c r="O333" s="679">
        <f t="shared" ref="O333:O341" ca="1" si="218">IF(L333&gt;0,N333*100/L333,0)</f>
        <v>56.382579545454547</v>
      </c>
      <c r="P333" s="679">
        <f t="shared" ref="P333:P341" ca="1" si="219">IF(M333&gt;0,N333*100/M333,0)</f>
        <v>91.882722222222228</v>
      </c>
      <c r="Q333" s="679">
        <f t="shared" ref="Q333:S333" si="220">Q334+Q335</f>
        <v>0</v>
      </c>
      <c r="R333" s="679">
        <f t="shared" si="220"/>
        <v>0</v>
      </c>
      <c r="S333" s="679">
        <f t="shared" si="220"/>
        <v>0</v>
      </c>
      <c r="T333" s="679">
        <f t="shared" ref="T333:T341" si="221">IF(Q333&gt;0,S333*100/Q333,0)</f>
        <v>0</v>
      </c>
      <c r="U333" s="679">
        <f t="shared" ref="U333:U341" si="222">IF(R333&gt;0,S333*100/R333,0)</f>
        <v>0</v>
      </c>
    </row>
    <row r="334" spans="1:21" ht="18.75" x14ac:dyDescent="0.25">
      <c r="A334" s="674"/>
      <c r="B334" s="561"/>
      <c r="C334" s="561"/>
      <c r="D334" s="561"/>
      <c r="E334" s="569" t="s">
        <v>20</v>
      </c>
      <c r="F334" s="561"/>
      <c r="G334" s="563"/>
      <c r="H334" s="680" t="s">
        <v>14</v>
      </c>
      <c r="I334" s="565"/>
      <c r="J334" s="565"/>
      <c r="K334" s="566"/>
      <c r="L334" s="571">
        <f t="shared" ref="L334:N335" si="223">L337+L340</f>
        <v>0</v>
      </c>
      <c r="M334" s="572">
        <f t="shared" si="223"/>
        <v>0</v>
      </c>
      <c r="N334" s="572">
        <f t="shared" si="223"/>
        <v>0</v>
      </c>
      <c r="O334" s="572">
        <f t="shared" si="218"/>
        <v>0</v>
      </c>
      <c r="P334" s="572">
        <f t="shared" si="219"/>
        <v>0</v>
      </c>
      <c r="Q334" s="572">
        <f t="shared" ref="Q334:S335" si="224">Q337+Q340</f>
        <v>0</v>
      </c>
      <c r="R334" s="572">
        <f t="shared" si="224"/>
        <v>0</v>
      </c>
      <c r="S334" s="572">
        <f t="shared" si="224"/>
        <v>0</v>
      </c>
      <c r="T334" s="572">
        <f t="shared" si="221"/>
        <v>0</v>
      </c>
      <c r="U334" s="572">
        <f t="shared" si="222"/>
        <v>0</v>
      </c>
    </row>
    <row r="335" spans="1:21" ht="18.75" x14ac:dyDescent="0.25">
      <c r="A335" s="674"/>
      <c r="B335" s="561"/>
      <c r="C335" s="561"/>
      <c r="D335" s="561"/>
      <c r="E335" s="573" t="s">
        <v>21</v>
      </c>
      <c r="F335" s="561"/>
      <c r="G335" s="563"/>
      <c r="H335" s="681" t="s">
        <v>14</v>
      </c>
      <c r="I335" s="565"/>
      <c r="J335" s="565"/>
      <c r="K335" s="566"/>
      <c r="L335" s="567">
        <f t="shared" ca="1" si="223"/>
        <v>176000</v>
      </c>
      <c r="M335" s="568">
        <f t="shared" ca="1" si="223"/>
        <v>108000</v>
      </c>
      <c r="N335" s="568">
        <f t="shared" ca="1" si="223"/>
        <v>99233.34</v>
      </c>
      <c r="O335" s="568">
        <f t="shared" ca="1" si="218"/>
        <v>56.382579545454547</v>
      </c>
      <c r="P335" s="568">
        <f t="shared" ca="1" si="219"/>
        <v>91.882722222222228</v>
      </c>
      <c r="Q335" s="568">
        <f t="shared" si="224"/>
        <v>0</v>
      </c>
      <c r="R335" s="568">
        <f t="shared" si="224"/>
        <v>0</v>
      </c>
      <c r="S335" s="568">
        <f t="shared" si="224"/>
        <v>0</v>
      </c>
      <c r="T335" s="568">
        <f t="shared" si="221"/>
        <v>0</v>
      </c>
      <c r="U335" s="568">
        <f t="shared" si="222"/>
        <v>0</v>
      </c>
    </row>
    <row r="336" spans="1:21" ht="18.75" x14ac:dyDescent="0.25">
      <c r="A336" s="674"/>
      <c r="B336" s="561"/>
      <c r="C336" s="561"/>
      <c r="D336" s="562" t="s">
        <v>22</v>
      </c>
      <c r="E336" s="561"/>
      <c r="F336" s="561"/>
      <c r="G336" s="563"/>
      <c r="H336" s="682" t="s">
        <v>14</v>
      </c>
      <c r="I336" s="683"/>
      <c r="J336" s="683"/>
      <c r="K336" s="684"/>
      <c r="L336" s="567">
        <f t="shared" ref="L336:N336" ca="1" si="225">L337+L338</f>
        <v>176000</v>
      </c>
      <c r="M336" s="568">
        <f t="shared" ca="1" si="225"/>
        <v>108000</v>
      </c>
      <c r="N336" s="568">
        <f t="shared" ca="1" si="225"/>
        <v>99233.34</v>
      </c>
      <c r="O336" s="568">
        <f t="shared" ca="1" si="218"/>
        <v>56.382579545454547</v>
      </c>
      <c r="P336" s="568">
        <f t="shared" ca="1" si="219"/>
        <v>91.882722222222228</v>
      </c>
      <c r="Q336" s="568">
        <f t="shared" ref="Q336:S336" si="226">Q337+Q338</f>
        <v>0</v>
      </c>
      <c r="R336" s="568">
        <f t="shared" si="226"/>
        <v>0</v>
      </c>
      <c r="S336" s="568">
        <f t="shared" si="226"/>
        <v>0</v>
      </c>
      <c r="T336" s="568">
        <f t="shared" si="221"/>
        <v>0</v>
      </c>
      <c r="U336" s="568">
        <f t="shared" si="222"/>
        <v>0</v>
      </c>
    </row>
    <row r="337" spans="1:21" ht="18.75" x14ac:dyDescent="0.25">
      <c r="A337" s="674"/>
      <c r="B337" s="561"/>
      <c r="C337" s="561"/>
      <c r="D337" s="561"/>
      <c r="E337" s="569" t="s">
        <v>36</v>
      </c>
      <c r="F337" s="561"/>
      <c r="G337" s="563"/>
      <c r="H337" s="685" t="s">
        <v>14</v>
      </c>
      <c r="I337" s="683"/>
      <c r="J337" s="683"/>
      <c r="K337" s="684"/>
      <c r="L337" s="571">
        <v>0</v>
      </c>
      <c r="M337" s="572">
        <v>0</v>
      </c>
      <c r="N337" s="572">
        <v>0</v>
      </c>
      <c r="O337" s="572">
        <f t="shared" si="218"/>
        <v>0</v>
      </c>
      <c r="P337" s="572">
        <f t="shared" si="219"/>
        <v>0</v>
      </c>
      <c r="Q337" s="572">
        <v>0</v>
      </c>
      <c r="R337" s="572">
        <v>0</v>
      </c>
      <c r="S337" s="572">
        <v>0</v>
      </c>
      <c r="T337" s="572">
        <f t="shared" si="221"/>
        <v>0</v>
      </c>
      <c r="U337" s="572">
        <f t="shared" si="222"/>
        <v>0</v>
      </c>
    </row>
    <row r="338" spans="1:21" ht="18.75" x14ac:dyDescent="0.25">
      <c r="A338" s="674"/>
      <c r="B338" s="561"/>
      <c r="C338" s="561"/>
      <c r="D338" s="561"/>
      <c r="E338" s="573" t="s">
        <v>37</v>
      </c>
      <c r="F338" s="561"/>
      <c r="G338" s="563"/>
      <c r="H338" s="682" t="s">
        <v>14</v>
      </c>
      <c r="I338" s="683"/>
      <c r="J338" s="683"/>
      <c r="K338" s="684"/>
      <c r="L338" s="567">
        <f ca="1">IFERROR(__xludf.DUMMYFUNCTION("IMPORTRANGE(""https://docs.google.com/spreadsheets/d/1-uDff_7J0KD5mKrp0Vvzr7lt3OU09vwQwhkpOPPYv2Y/edit?usp=sharing"",""งบพรบ!ES21"")"),176000)</f>
        <v>176000</v>
      </c>
      <c r="M338" s="568">
        <f ca="1">IFERROR(__xludf.DUMMYFUNCTION("IMPORTRANGE(""https://docs.google.com/spreadsheets/d/1-uDff_7J0KD5mKrp0Vvzr7lt3OU09vwQwhkpOPPYv2Y/edit?usp=sharing"",""งบพรบ!EX21"")"),108000)</f>
        <v>108000</v>
      </c>
      <c r="N338" s="568">
        <f ca="1">IFERROR(__xludf.DUMMYFUNCTION("IMPORTRANGE(""https://docs.google.com/spreadsheets/d/1-uDff_7J0KD5mKrp0Vvzr7lt3OU09vwQwhkpOPPYv2Y/edit?usp=sharing"",""งบพรบ!EZ21"")"),99233.34)</f>
        <v>99233.34</v>
      </c>
      <c r="O338" s="568">
        <f t="shared" ca="1" si="218"/>
        <v>56.382579545454547</v>
      </c>
      <c r="P338" s="568">
        <f t="shared" ca="1" si="219"/>
        <v>91.882722222222228</v>
      </c>
      <c r="Q338" s="568">
        <v>0</v>
      </c>
      <c r="R338" s="568">
        <v>0</v>
      </c>
      <c r="S338" s="568">
        <v>0</v>
      </c>
      <c r="T338" s="568">
        <f t="shared" si="221"/>
        <v>0</v>
      </c>
      <c r="U338" s="568">
        <f t="shared" si="222"/>
        <v>0</v>
      </c>
    </row>
    <row r="339" spans="1:21" ht="18.75" x14ac:dyDescent="0.25">
      <c r="A339" s="674"/>
      <c r="B339" s="561"/>
      <c r="C339" s="561"/>
      <c r="D339" s="562" t="s">
        <v>23</v>
      </c>
      <c r="E339" s="561"/>
      <c r="F339" s="561"/>
      <c r="G339" s="563"/>
      <c r="H339" s="686" t="s">
        <v>14</v>
      </c>
      <c r="I339" s="683"/>
      <c r="J339" s="683"/>
      <c r="K339" s="684"/>
      <c r="L339" s="567">
        <f t="shared" ref="L339:N339" ca="1" si="227">L340+L341</f>
        <v>0</v>
      </c>
      <c r="M339" s="568">
        <f t="shared" ca="1" si="227"/>
        <v>0</v>
      </c>
      <c r="N339" s="568">
        <f t="shared" ca="1" si="227"/>
        <v>0</v>
      </c>
      <c r="O339" s="568">
        <f t="shared" ca="1" si="218"/>
        <v>0</v>
      </c>
      <c r="P339" s="568">
        <f t="shared" ca="1" si="219"/>
        <v>0</v>
      </c>
      <c r="Q339" s="568">
        <f t="shared" ref="Q339:S339" si="228">Q340+Q341</f>
        <v>0</v>
      </c>
      <c r="R339" s="568">
        <f t="shared" si="228"/>
        <v>0</v>
      </c>
      <c r="S339" s="568">
        <f t="shared" si="228"/>
        <v>0</v>
      </c>
      <c r="T339" s="568">
        <f t="shared" si="221"/>
        <v>0</v>
      </c>
      <c r="U339" s="568">
        <f t="shared" si="222"/>
        <v>0</v>
      </c>
    </row>
    <row r="340" spans="1:21" ht="18.75" x14ac:dyDescent="0.25">
      <c r="A340" s="674"/>
      <c r="B340" s="561"/>
      <c r="C340" s="561"/>
      <c r="D340" s="561"/>
      <c r="E340" s="569" t="s">
        <v>20</v>
      </c>
      <c r="F340" s="561"/>
      <c r="G340" s="563"/>
      <c r="H340" s="685" t="s">
        <v>14</v>
      </c>
      <c r="I340" s="683"/>
      <c r="J340" s="683"/>
      <c r="K340" s="684"/>
      <c r="L340" s="571">
        <v>0</v>
      </c>
      <c r="M340" s="572">
        <v>0</v>
      </c>
      <c r="N340" s="572">
        <v>0</v>
      </c>
      <c r="O340" s="572">
        <f t="shared" si="218"/>
        <v>0</v>
      </c>
      <c r="P340" s="572">
        <f t="shared" si="219"/>
        <v>0</v>
      </c>
      <c r="Q340" s="572">
        <v>0</v>
      </c>
      <c r="R340" s="572">
        <v>0</v>
      </c>
      <c r="S340" s="572">
        <v>0</v>
      </c>
      <c r="T340" s="572">
        <f t="shared" si="221"/>
        <v>0</v>
      </c>
      <c r="U340" s="572">
        <f t="shared" si="222"/>
        <v>0</v>
      </c>
    </row>
    <row r="341" spans="1:21" ht="18.75" x14ac:dyDescent="0.25">
      <c r="A341" s="674"/>
      <c r="B341" s="561"/>
      <c r="C341" s="561"/>
      <c r="D341" s="561"/>
      <c r="E341" s="573" t="s">
        <v>21</v>
      </c>
      <c r="F341" s="561"/>
      <c r="G341" s="563"/>
      <c r="H341" s="686" t="s">
        <v>14</v>
      </c>
      <c r="I341" s="683"/>
      <c r="J341" s="683"/>
      <c r="K341" s="684"/>
      <c r="L341" s="567">
        <f ca="1">IFERROR(__xludf.DUMMYFUNCTION("IMPORTRANGE(""https://docs.google.com/spreadsheets/d/1-uDff_7J0KD5mKrp0Vvzr7lt3OU09vwQwhkpOPPYv2Y/edit?usp=sharing"",""งบพรบ!EV21"")"),0)</f>
        <v>0</v>
      </c>
      <c r="M341" s="568">
        <f ca="1">IFERROR(__xludf.DUMMYFUNCTION("IMPORTRANGE(""https://docs.google.com/spreadsheets/d/1-uDff_7J0KD5mKrp0Vvzr7lt3OU09vwQwhkpOPPYv2Y/edit?usp=sharing"",""งบพรบ!EY21"")"),0)</f>
        <v>0</v>
      </c>
      <c r="N341" s="568">
        <f ca="1">IFERROR(__xludf.DUMMYFUNCTION("IMPORTRANGE(""https://docs.google.com/spreadsheets/d/1-uDff_7J0KD5mKrp0Vvzr7lt3OU09vwQwhkpOPPYv2Y/edit?usp=sharing"",""งบพรบ!FA21"")"),0)</f>
        <v>0</v>
      </c>
      <c r="O341" s="568">
        <f t="shared" ca="1" si="218"/>
        <v>0</v>
      </c>
      <c r="P341" s="568">
        <f t="shared" ca="1" si="219"/>
        <v>0</v>
      </c>
      <c r="Q341" s="568">
        <v>0</v>
      </c>
      <c r="R341" s="568">
        <v>0</v>
      </c>
      <c r="S341" s="568">
        <v>0</v>
      </c>
      <c r="T341" s="568">
        <f t="shared" si="221"/>
        <v>0</v>
      </c>
      <c r="U341" s="568">
        <f t="shared" si="222"/>
        <v>0</v>
      </c>
    </row>
    <row r="342" spans="1:21" ht="19.5" x14ac:dyDescent="0.3">
      <c r="A342" s="687"/>
      <c r="B342" s="688"/>
      <c r="C342" s="675" t="s">
        <v>18</v>
      </c>
      <c r="D342" s="757" t="s">
        <v>38</v>
      </c>
      <c r="E342" s="690"/>
      <c r="F342" s="690"/>
      <c r="G342" s="691"/>
      <c r="H342" s="563"/>
      <c r="I342" s="565"/>
      <c r="J342" s="565"/>
      <c r="K342" s="566"/>
      <c r="L342" s="574"/>
      <c r="M342" s="566"/>
      <c r="N342" s="566"/>
      <c r="O342" s="684"/>
      <c r="P342" s="684"/>
      <c r="Q342" s="566"/>
      <c r="R342" s="566"/>
      <c r="S342" s="566"/>
      <c r="T342" s="684"/>
      <c r="U342" s="684"/>
    </row>
    <row r="343" spans="1:21" ht="19.5" x14ac:dyDescent="0.3">
      <c r="A343" s="932"/>
      <c r="B343" s="933"/>
      <c r="C343" s="934"/>
      <c r="D343" s="933"/>
      <c r="E343" s="935" t="s">
        <v>137</v>
      </c>
      <c r="F343" s="933"/>
      <c r="G343" s="936"/>
      <c r="H343" s="937" t="s">
        <v>35</v>
      </c>
      <c r="I343" s="938">
        <v>0</v>
      </c>
      <c r="J343" s="938">
        <f ca="1">J344+J347+J348+J349</f>
        <v>253</v>
      </c>
      <c r="K343" s="939">
        <v>0</v>
      </c>
      <c r="L343" s="777"/>
      <c r="M343" s="778"/>
      <c r="N343" s="778"/>
      <c r="O343" s="778"/>
      <c r="P343" s="778"/>
      <c r="Q343" s="778"/>
      <c r="R343" s="778"/>
      <c r="S343" s="778"/>
      <c r="T343" s="778"/>
      <c r="U343" s="778"/>
    </row>
    <row r="344" spans="1:21" ht="18.75" x14ac:dyDescent="0.25">
      <c r="A344" s="764"/>
      <c r="B344" s="561"/>
      <c r="C344" s="718"/>
      <c r="D344" s="695"/>
      <c r="E344" s="699" t="s">
        <v>138</v>
      </c>
      <c r="F344" s="561"/>
      <c r="G344" s="563"/>
      <c r="H344" s="766" t="s">
        <v>35</v>
      </c>
      <c r="I344" s="708">
        <f ca="1">IFERROR(__xludf.DUMMYFUNCTION("IMPORTRANGE(""https://docs.google.com/spreadsheets/d/1eHaY18a8A9IcSdp1K8H6x8fbOy06t2VsZHhMHf-1x7Y/edit?usp=sharing"",""แผน!EK21"")"),660)</f>
        <v>660</v>
      </c>
      <c r="J344" s="708">
        <f ca="1">IFERROR(__xludf.DUMMYFUNCTION("IMPORTRANGE(""https://docs.google.com/spreadsheets/d/1awYsYK3VOup2i3Pq_Yjnu8DRu_mYwSBnCR2QPthd0rU/edit?usp=sharing"",""ศูนย์ยกเว้นโฉนด!D21"")"),251)</f>
        <v>251</v>
      </c>
      <c r="K344" s="568">
        <f ca="1">IF(I344&gt;0,J344*100/I344,0)</f>
        <v>38.030303030303031</v>
      </c>
      <c r="L344" s="574"/>
      <c r="M344" s="566"/>
      <c r="N344" s="566"/>
      <c r="O344" s="566"/>
      <c r="P344" s="566"/>
      <c r="Q344" s="566"/>
      <c r="R344" s="566"/>
      <c r="S344" s="566"/>
      <c r="T344" s="566"/>
      <c r="U344" s="566"/>
    </row>
    <row r="345" spans="1:21" ht="18.75" x14ac:dyDescent="0.25">
      <c r="A345" s="764"/>
      <c r="B345" s="561"/>
      <c r="C345" s="718"/>
      <c r="D345" s="695"/>
      <c r="E345" s="699" t="s">
        <v>139</v>
      </c>
      <c r="F345" s="561"/>
      <c r="G345" s="563"/>
      <c r="H345" s="727"/>
      <c r="I345" s="565"/>
      <c r="J345" s="565"/>
      <c r="K345" s="566"/>
      <c r="L345" s="574"/>
      <c r="M345" s="566"/>
      <c r="N345" s="566"/>
      <c r="O345" s="566"/>
      <c r="P345" s="566"/>
      <c r="Q345" s="566"/>
      <c r="R345" s="566"/>
      <c r="S345" s="566"/>
      <c r="T345" s="566"/>
      <c r="U345" s="566"/>
    </row>
    <row r="346" spans="1:21" ht="18.75" x14ac:dyDescent="0.25">
      <c r="A346" s="764"/>
      <c r="B346" s="561"/>
      <c r="C346" s="718"/>
      <c r="D346" s="695"/>
      <c r="E346" s="695"/>
      <c r="F346" s="699" t="s">
        <v>140</v>
      </c>
      <c r="G346" s="563"/>
      <c r="H346" s="722" t="s">
        <v>141</v>
      </c>
      <c r="I346" s="708">
        <f ca="1">IFERROR(__xludf.DUMMYFUNCTION("IMPORTRANGE(""https://docs.google.com/spreadsheets/d/1eHaY18a8A9IcSdp1K8H6x8fbOy06t2VsZHhMHf-1x7Y/edit?usp=sharing"",""แผน!EL21"")"),3)</f>
        <v>3</v>
      </c>
      <c r="J346" s="708">
        <f ca="1">IFERROR(__xludf.DUMMYFUNCTION("IMPORTRANGE(""https://docs.google.com/spreadsheets/d/1awYsYK3VOup2i3Pq_Yjnu8DRu_mYwSBnCR2QPthd0rU/edit?usp=sharing"",""ศูนย์รวม!E21"")"),6)</f>
        <v>6</v>
      </c>
      <c r="K346" s="568">
        <f ca="1">IF(I346&gt;0,J346*100/I346,0)</f>
        <v>200</v>
      </c>
      <c r="L346" s="574"/>
      <c r="M346" s="566"/>
      <c r="N346" s="566"/>
      <c r="O346" s="566"/>
      <c r="P346" s="566"/>
      <c r="Q346" s="566"/>
      <c r="R346" s="566"/>
      <c r="S346" s="566"/>
      <c r="T346" s="566"/>
      <c r="U346" s="566"/>
    </row>
    <row r="347" spans="1:21" ht="18.75" x14ac:dyDescent="0.25">
      <c r="A347" s="764"/>
      <c r="B347" s="561"/>
      <c r="C347" s="718"/>
      <c r="D347" s="695"/>
      <c r="E347" s="695"/>
      <c r="F347" s="699" t="s">
        <v>142</v>
      </c>
      <c r="G347" s="563"/>
      <c r="H347" s="722" t="s">
        <v>35</v>
      </c>
      <c r="I347" s="565"/>
      <c r="J347" s="708">
        <f ca="1">IFERROR(__xludf.DUMMYFUNCTION("IMPORTRANGE(""https://docs.google.com/spreadsheets/d/1awYsYK3VOup2i3Pq_Yjnu8DRu_mYwSBnCR2QPthd0rU/edit?usp=sharing"",""ศูนย์ยกเว้นโฉนด!F21"")"),1)</f>
        <v>1</v>
      </c>
      <c r="K347" s="566"/>
      <c r="L347" s="574"/>
      <c r="M347" s="566"/>
      <c r="N347" s="566"/>
      <c r="O347" s="566"/>
      <c r="P347" s="566"/>
      <c r="Q347" s="566"/>
      <c r="R347" s="566"/>
      <c r="S347" s="566"/>
      <c r="T347" s="566"/>
      <c r="U347" s="566"/>
    </row>
    <row r="348" spans="1:21" ht="18.75" x14ac:dyDescent="0.25">
      <c r="A348" s="764"/>
      <c r="B348" s="561"/>
      <c r="C348" s="718"/>
      <c r="D348" s="695"/>
      <c r="E348" s="699" t="s">
        <v>143</v>
      </c>
      <c r="F348" s="695"/>
      <c r="G348" s="563"/>
      <c r="H348" s="722" t="s">
        <v>35</v>
      </c>
      <c r="I348" s="565"/>
      <c r="J348" s="708">
        <f ca="1">IFERROR(__xludf.DUMMYFUNCTION("IMPORTRANGE(""https://docs.google.com/spreadsheets/d/1awYsYK3VOup2i3Pq_Yjnu8DRu_mYwSBnCR2QPthd0rU/edit?usp=sharing"",""ศูนย์ยกเว้นโฉนด!G21"")"),1)</f>
        <v>1</v>
      </c>
      <c r="K348" s="566"/>
      <c r="L348" s="574"/>
      <c r="M348" s="566"/>
      <c r="N348" s="566"/>
      <c r="O348" s="566"/>
      <c r="P348" s="566"/>
      <c r="Q348" s="566"/>
      <c r="R348" s="566"/>
      <c r="S348" s="566"/>
      <c r="T348" s="566"/>
      <c r="U348" s="566"/>
    </row>
    <row r="349" spans="1:21" ht="18.75" x14ac:dyDescent="0.25">
      <c r="A349" s="764"/>
      <c r="B349" s="561"/>
      <c r="C349" s="718"/>
      <c r="D349" s="688"/>
      <c r="E349" s="699" t="s">
        <v>144</v>
      </c>
      <c r="F349" s="695"/>
      <c r="G349" s="563"/>
      <c r="H349" s="722" t="s">
        <v>35</v>
      </c>
      <c r="I349" s="565"/>
      <c r="J349" s="708">
        <f ca="1">IFERROR(__xludf.DUMMYFUNCTION("IMPORTRANGE(""https://docs.google.com/spreadsheets/d/1awYsYK3VOup2i3Pq_Yjnu8DRu_mYwSBnCR2QPthd0rU/edit?usp=sharing"",""ศูนย์ยกเว้นโฉนด!H21"")"),0)</f>
        <v>0</v>
      </c>
      <c r="K349" s="566"/>
      <c r="L349" s="574"/>
      <c r="M349" s="566"/>
      <c r="N349" s="566"/>
      <c r="O349" s="566"/>
      <c r="P349" s="566"/>
      <c r="Q349" s="566"/>
      <c r="R349" s="566"/>
      <c r="S349" s="566"/>
      <c r="T349" s="566"/>
      <c r="U349" s="566"/>
    </row>
    <row r="350" spans="1:21" ht="16.5" x14ac:dyDescent="0.25">
      <c r="A350" s="718"/>
      <c r="B350" s="561"/>
      <c r="C350" s="718"/>
      <c r="D350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61"/>
      <c r="F350" s="561"/>
      <c r="G350" s="563"/>
      <c r="H350" s="727"/>
      <c r="I350" s="565"/>
      <c r="J350" s="565"/>
      <c r="K350" s="566"/>
      <c r="L350" s="574"/>
      <c r="M350" s="566"/>
      <c r="N350" s="566"/>
      <c r="O350" s="566"/>
      <c r="P350" s="566"/>
      <c r="Q350" s="566"/>
      <c r="R350" s="566"/>
      <c r="S350" s="566"/>
      <c r="T350" s="566"/>
      <c r="U350" s="566"/>
    </row>
    <row r="351" spans="1:21" ht="19.5" x14ac:dyDescent="0.3">
      <c r="A351" s="769"/>
      <c r="B351" s="772"/>
      <c r="C351" s="770"/>
      <c r="D351" s="772"/>
      <c r="E351" s="941" t="s">
        <v>145</v>
      </c>
      <c r="F351" s="772"/>
      <c r="G351" s="773"/>
      <c r="H351" s="774" t="s">
        <v>35</v>
      </c>
      <c r="I351" s="775">
        <v>0</v>
      </c>
      <c r="J351" s="775">
        <f ca="1">J352+J353</f>
        <v>2330</v>
      </c>
      <c r="K351" s="776">
        <v>0</v>
      </c>
      <c r="L351" s="777"/>
      <c r="M351" s="778"/>
      <c r="N351" s="778"/>
      <c r="O351" s="778"/>
      <c r="P351" s="778"/>
      <c r="Q351" s="778"/>
      <c r="R351" s="778"/>
      <c r="S351" s="778"/>
      <c r="T351" s="778"/>
      <c r="U351" s="778"/>
    </row>
    <row r="352" spans="1:21" ht="18.75" x14ac:dyDescent="0.25">
      <c r="A352" s="718"/>
      <c r="B352" s="561"/>
      <c r="C352" s="718"/>
      <c r="D352" s="695"/>
      <c r="E352" s="699" t="s">
        <v>146</v>
      </c>
      <c r="F352" s="561"/>
      <c r="G352" s="563"/>
      <c r="H352" s="681" t="s">
        <v>35</v>
      </c>
      <c r="I352" s="565"/>
      <c r="J352" s="708">
        <f ca="1">IFERROR(__xludf.DUMMYFUNCTION("IMPORTRANGE(""https://docs.google.com/spreadsheets/d/1awYsYK3VOup2i3Pq_Yjnu8DRu_mYwSBnCR2QPthd0rU/edit?usp=sharing"",""โฉนดM3!G21"")"),194)</f>
        <v>194</v>
      </c>
      <c r="K352" s="566"/>
      <c r="L352" s="574"/>
      <c r="M352" s="566"/>
      <c r="N352" s="566"/>
      <c r="O352" s="566"/>
      <c r="P352" s="566"/>
      <c r="Q352" s="566"/>
      <c r="R352" s="566"/>
      <c r="S352" s="566"/>
      <c r="T352" s="566"/>
      <c r="U352" s="566"/>
    </row>
    <row r="353" spans="1:21" ht="18.75" x14ac:dyDescent="0.25">
      <c r="A353" s="718"/>
      <c r="B353" s="561"/>
      <c r="C353" s="718"/>
      <c r="D353" s="695"/>
      <c r="E353" s="699" t="s">
        <v>147</v>
      </c>
      <c r="F353" s="561"/>
      <c r="G353" s="563"/>
      <c r="H353" s="681" t="s">
        <v>35</v>
      </c>
      <c r="I353" s="565"/>
      <c r="J353" s="708">
        <f ca="1">IFERROR(__xludf.DUMMYFUNCTION("IMPORTRANGE(""https://docs.google.com/spreadsheets/d/1awYsYK3VOup2i3Pq_Yjnu8DRu_mYwSBnCR2QPthd0rU/edit?usp=sharing"",""โฉนดM3!H21"")"),2136)</f>
        <v>2136</v>
      </c>
      <c r="K353" s="566"/>
      <c r="L353" s="574"/>
      <c r="M353" s="566"/>
      <c r="N353" s="566"/>
      <c r="O353" s="566"/>
      <c r="P353" s="566"/>
      <c r="Q353" s="566"/>
      <c r="R353" s="566"/>
      <c r="S353" s="566"/>
      <c r="T353" s="566"/>
      <c r="U353" s="566"/>
    </row>
    <row r="354" spans="1:21" ht="16.5" x14ac:dyDescent="0.25">
      <c r="A354" s="718"/>
      <c r="B354" s="561"/>
      <c r="C354" s="718"/>
      <c r="D354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61"/>
      <c r="F354" s="561"/>
      <c r="G354" s="563"/>
      <c r="H354" s="727"/>
      <c r="I354" s="565"/>
      <c r="J354" s="565"/>
      <c r="K354" s="566"/>
      <c r="L354" s="574"/>
      <c r="M354" s="566"/>
      <c r="N354" s="566"/>
      <c r="O354" s="566"/>
      <c r="P354" s="566"/>
      <c r="Q354" s="566"/>
      <c r="R354" s="566"/>
      <c r="S354" s="566"/>
      <c r="T354" s="566"/>
      <c r="U354" s="566"/>
    </row>
    <row r="355" spans="1:21" ht="19.5" x14ac:dyDescent="0.3">
      <c r="A355" s="909"/>
      <c r="B355" s="910" t="s">
        <v>148</v>
      </c>
      <c r="C355" s="928"/>
      <c r="D355" s="911"/>
      <c r="E355" s="911"/>
      <c r="F355" s="911"/>
      <c r="G355" s="912"/>
      <c r="H355" s="912"/>
      <c r="I355" s="942"/>
      <c r="J355" s="942"/>
      <c r="K355" s="917"/>
      <c r="L355" s="916"/>
      <c r="M355" s="917"/>
      <c r="N355" s="917"/>
      <c r="O355" s="917"/>
      <c r="P355" s="917"/>
      <c r="Q355" s="917"/>
      <c r="R355" s="917"/>
      <c r="S355" s="917"/>
      <c r="T355" s="917"/>
      <c r="U355" s="917"/>
    </row>
    <row r="356" spans="1:21" ht="19.5" x14ac:dyDescent="0.3">
      <c r="A356" s="674"/>
      <c r="B356" s="561"/>
      <c r="C356" s="675" t="s">
        <v>18</v>
      </c>
      <c r="D356" s="676" t="s">
        <v>19</v>
      </c>
      <c r="E356" s="561"/>
      <c r="F356" s="561"/>
      <c r="G356" s="563"/>
      <c r="H356" s="677" t="s">
        <v>14</v>
      </c>
      <c r="I356" s="565"/>
      <c r="J356" s="565"/>
      <c r="K356" s="566"/>
      <c r="L356" s="678">
        <f t="shared" ref="L356:N356" ca="1" si="229">L357+L358</f>
        <v>837450</v>
      </c>
      <c r="M356" s="679">
        <f t="shared" ca="1" si="229"/>
        <v>697235</v>
      </c>
      <c r="N356" s="679">
        <f t="shared" ca="1" si="229"/>
        <v>331093.28999999998</v>
      </c>
      <c r="O356" s="679">
        <f t="shared" ref="O356:O364" ca="1" si="230">IF(L356&gt;0,N356*100/L356,0)</f>
        <v>39.53588751567257</v>
      </c>
      <c r="P356" s="679">
        <f t="shared" ref="P356:P364" ca="1" si="231">IF(M356&gt;0,N356*100/M356,0)</f>
        <v>47.486613552102227</v>
      </c>
      <c r="Q356" s="679">
        <f t="shared" ref="Q356:S356" si="232">Q357+Q358</f>
        <v>0</v>
      </c>
      <c r="R356" s="679">
        <f t="shared" si="232"/>
        <v>0</v>
      </c>
      <c r="S356" s="679">
        <f t="shared" si="232"/>
        <v>0</v>
      </c>
      <c r="T356" s="679">
        <f t="shared" ref="T356:T364" si="233">IF(Q356&gt;0,S356*100/Q356,0)</f>
        <v>0</v>
      </c>
      <c r="U356" s="679">
        <f t="shared" ref="U356:U364" si="234">IF(R356&gt;0,S356*100/R356,0)</f>
        <v>0</v>
      </c>
    </row>
    <row r="357" spans="1:21" ht="18.75" x14ac:dyDescent="0.25">
      <c r="A357" s="674"/>
      <c r="B357" s="561"/>
      <c r="C357" s="561"/>
      <c r="D357" s="561"/>
      <c r="E357" s="569" t="s">
        <v>20</v>
      </c>
      <c r="F357" s="561"/>
      <c r="G357" s="563"/>
      <c r="H357" s="680" t="s">
        <v>14</v>
      </c>
      <c r="I357" s="565"/>
      <c r="J357" s="565"/>
      <c r="K357" s="566"/>
      <c r="L357" s="571">
        <f t="shared" ref="L357:N358" si="235">L360+L363</f>
        <v>0</v>
      </c>
      <c r="M357" s="572">
        <f t="shared" si="235"/>
        <v>0</v>
      </c>
      <c r="N357" s="572">
        <f t="shared" si="235"/>
        <v>0</v>
      </c>
      <c r="O357" s="572">
        <f t="shared" si="230"/>
        <v>0</v>
      </c>
      <c r="P357" s="572">
        <f t="shared" si="231"/>
        <v>0</v>
      </c>
      <c r="Q357" s="572">
        <f t="shared" ref="Q357:S358" si="236">Q360+Q363</f>
        <v>0</v>
      </c>
      <c r="R357" s="572">
        <f t="shared" si="236"/>
        <v>0</v>
      </c>
      <c r="S357" s="572">
        <f t="shared" si="236"/>
        <v>0</v>
      </c>
      <c r="T357" s="572">
        <f t="shared" si="233"/>
        <v>0</v>
      </c>
      <c r="U357" s="572">
        <f t="shared" si="234"/>
        <v>0</v>
      </c>
    </row>
    <row r="358" spans="1:21" ht="18.75" x14ac:dyDescent="0.25">
      <c r="A358" s="674"/>
      <c r="B358" s="561"/>
      <c r="C358" s="561"/>
      <c r="D358" s="561"/>
      <c r="E358" s="573" t="s">
        <v>21</v>
      </c>
      <c r="F358" s="561"/>
      <c r="G358" s="563"/>
      <c r="H358" s="681" t="s">
        <v>14</v>
      </c>
      <c r="I358" s="565"/>
      <c r="J358" s="565"/>
      <c r="K358" s="566"/>
      <c r="L358" s="567">
        <f t="shared" ca="1" si="235"/>
        <v>837450</v>
      </c>
      <c r="M358" s="568">
        <f t="shared" ca="1" si="235"/>
        <v>697235</v>
      </c>
      <c r="N358" s="568">
        <f t="shared" ca="1" si="235"/>
        <v>331093.28999999998</v>
      </c>
      <c r="O358" s="568">
        <f t="shared" ca="1" si="230"/>
        <v>39.53588751567257</v>
      </c>
      <c r="P358" s="568">
        <f t="shared" ca="1" si="231"/>
        <v>47.486613552102227</v>
      </c>
      <c r="Q358" s="568">
        <f t="shared" si="236"/>
        <v>0</v>
      </c>
      <c r="R358" s="568">
        <f t="shared" si="236"/>
        <v>0</v>
      </c>
      <c r="S358" s="568">
        <f t="shared" si="236"/>
        <v>0</v>
      </c>
      <c r="T358" s="568">
        <f t="shared" si="233"/>
        <v>0</v>
      </c>
      <c r="U358" s="568">
        <f t="shared" si="234"/>
        <v>0</v>
      </c>
    </row>
    <row r="359" spans="1:21" ht="18.75" x14ac:dyDescent="0.25">
      <c r="A359" s="674"/>
      <c r="B359" s="561"/>
      <c r="C359" s="561"/>
      <c r="D359" s="562" t="s">
        <v>22</v>
      </c>
      <c r="E359" s="561"/>
      <c r="F359" s="561"/>
      <c r="G359" s="563"/>
      <c r="H359" s="682" t="s">
        <v>14</v>
      </c>
      <c r="I359" s="683"/>
      <c r="J359" s="683"/>
      <c r="K359" s="684"/>
      <c r="L359" s="567">
        <f t="shared" ref="L359:N359" ca="1" si="237">L360+L361</f>
        <v>837450</v>
      </c>
      <c r="M359" s="568">
        <f t="shared" ca="1" si="237"/>
        <v>697235</v>
      </c>
      <c r="N359" s="568">
        <f t="shared" ca="1" si="237"/>
        <v>331093.28999999998</v>
      </c>
      <c r="O359" s="568">
        <f t="shared" ca="1" si="230"/>
        <v>39.53588751567257</v>
      </c>
      <c r="P359" s="568">
        <f t="shared" ca="1" si="231"/>
        <v>47.486613552102227</v>
      </c>
      <c r="Q359" s="568">
        <f t="shared" ref="Q359:S359" si="238">Q360+Q361</f>
        <v>0</v>
      </c>
      <c r="R359" s="568">
        <f t="shared" si="238"/>
        <v>0</v>
      </c>
      <c r="S359" s="568">
        <f t="shared" si="238"/>
        <v>0</v>
      </c>
      <c r="T359" s="568">
        <f t="shared" si="233"/>
        <v>0</v>
      </c>
      <c r="U359" s="568">
        <f t="shared" si="234"/>
        <v>0</v>
      </c>
    </row>
    <row r="360" spans="1:21" ht="18.75" x14ac:dyDescent="0.25">
      <c r="A360" s="674"/>
      <c r="B360" s="561"/>
      <c r="C360" s="561"/>
      <c r="D360" s="561"/>
      <c r="E360" s="569" t="s">
        <v>36</v>
      </c>
      <c r="F360" s="561"/>
      <c r="G360" s="563"/>
      <c r="H360" s="685" t="s">
        <v>14</v>
      </c>
      <c r="I360" s="683"/>
      <c r="J360" s="683"/>
      <c r="K360" s="684"/>
      <c r="L360" s="571">
        <v>0</v>
      </c>
      <c r="M360" s="572">
        <v>0</v>
      </c>
      <c r="N360" s="572">
        <v>0</v>
      </c>
      <c r="O360" s="572">
        <f t="shared" si="230"/>
        <v>0</v>
      </c>
      <c r="P360" s="572">
        <f t="shared" si="231"/>
        <v>0</v>
      </c>
      <c r="Q360" s="572">
        <v>0</v>
      </c>
      <c r="R360" s="572">
        <v>0</v>
      </c>
      <c r="S360" s="572">
        <v>0</v>
      </c>
      <c r="T360" s="572">
        <f t="shared" si="233"/>
        <v>0</v>
      </c>
      <c r="U360" s="572">
        <f t="shared" si="234"/>
        <v>0</v>
      </c>
    </row>
    <row r="361" spans="1:21" ht="18.75" x14ac:dyDescent="0.25">
      <c r="A361" s="674"/>
      <c r="B361" s="561"/>
      <c r="C361" s="561"/>
      <c r="D361" s="561"/>
      <c r="E361" s="573" t="s">
        <v>37</v>
      </c>
      <c r="F361" s="561"/>
      <c r="G361" s="563"/>
      <c r="H361" s="682" t="s">
        <v>14</v>
      </c>
      <c r="I361" s="683"/>
      <c r="J361" s="683"/>
      <c r="K361" s="684"/>
      <c r="L361" s="567">
        <f ca="1">IFERROR(__xludf.DUMMYFUNCTION("IMPORTRANGE(""https://docs.google.com/spreadsheets/d/1-uDff_7J0KD5mKrp0Vvzr7lt3OU09vwQwhkpOPPYv2Y/edit?usp=sharing"",""งบพรบ!FC21"")"),837450)</f>
        <v>837450</v>
      </c>
      <c r="M361" s="568">
        <f ca="1">IFERROR(__xludf.DUMMYFUNCTION("IMPORTRANGE(""https://docs.google.com/spreadsheets/d/1-uDff_7J0KD5mKrp0Vvzr7lt3OU09vwQwhkpOPPYv2Y/edit?usp=sharing"",""งบพรบ!FH21"")"),697235)</f>
        <v>697235</v>
      </c>
      <c r="N361" s="568">
        <f ca="1">IFERROR(__xludf.DUMMYFUNCTION("IMPORTRANGE(""https://docs.google.com/spreadsheets/d/1-uDff_7J0KD5mKrp0Vvzr7lt3OU09vwQwhkpOPPYv2Y/edit?usp=sharing"",""งบพรบ!FJ21"")"),331093.29)</f>
        <v>331093.28999999998</v>
      </c>
      <c r="O361" s="568">
        <f t="shared" ca="1" si="230"/>
        <v>39.53588751567257</v>
      </c>
      <c r="P361" s="568">
        <f t="shared" ca="1" si="231"/>
        <v>47.486613552102227</v>
      </c>
      <c r="Q361" s="568">
        <v>0</v>
      </c>
      <c r="R361" s="568">
        <v>0</v>
      </c>
      <c r="S361" s="568">
        <v>0</v>
      </c>
      <c r="T361" s="568">
        <f t="shared" si="233"/>
        <v>0</v>
      </c>
      <c r="U361" s="568">
        <f t="shared" si="234"/>
        <v>0</v>
      </c>
    </row>
    <row r="362" spans="1:21" ht="18.75" x14ac:dyDescent="0.25">
      <c r="A362" s="674"/>
      <c r="B362" s="561"/>
      <c r="C362" s="561"/>
      <c r="D362" s="562" t="s">
        <v>23</v>
      </c>
      <c r="E362" s="561"/>
      <c r="F362" s="561"/>
      <c r="G362" s="563"/>
      <c r="H362" s="686" t="s">
        <v>14</v>
      </c>
      <c r="I362" s="683"/>
      <c r="J362" s="683"/>
      <c r="K362" s="684"/>
      <c r="L362" s="567">
        <f t="shared" ref="L362:N362" ca="1" si="239">L363+L364</f>
        <v>0</v>
      </c>
      <c r="M362" s="568">
        <f t="shared" ca="1" si="239"/>
        <v>0</v>
      </c>
      <c r="N362" s="568">
        <f t="shared" ca="1" si="239"/>
        <v>0</v>
      </c>
      <c r="O362" s="568">
        <f t="shared" ca="1" si="230"/>
        <v>0</v>
      </c>
      <c r="P362" s="568">
        <f t="shared" ca="1" si="231"/>
        <v>0</v>
      </c>
      <c r="Q362" s="568">
        <f t="shared" ref="Q362:S362" si="240">Q363+Q364</f>
        <v>0</v>
      </c>
      <c r="R362" s="568">
        <f t="shared" si="240"/>
        <v>0</v>
      </c>
      <c r="S362" s="568">
        <f t="shared" si="240"/>
        <v>0</v>
      </c>
      <c r="T362" s="568">
        <f t="shared" si="233"/>
        <v>0</v>
      </c>
      <c r="U362" s="568">
        <f t="shared" si="234"/>
        <v>0</v>
      </c>
    </row>
    <row r="363" spans="1:21" ht="18.75" x14ac:dyDescent="0.25">
      <c r="A363" s="674"/>
      <c r="B363" s="561"/>
      <c r="C363" s="561"/>
      <c r="D363" s="561"/>
      <c r="E363" s="569" t="s">
        <v>20</v>
      </c>
      <c r="F363" s="561"/>
      <c r="G363" s="563"/>
      <c r="H363" s="685" t="s">
        <v>14</v>
      </c>
      <c r="I363" s="683"/>
      <c r="J363" s="683"/>
      <c r="K363" s="684"/>
      <c r="L363" s="571">
        <v>0</v>
      </c>
      <c r="M363" s="572">
        <v>0</v>
      </c>
      <c r="N363" s="572">
        <v>0</v>
      </c>
      <c r="O363" s="572">
        <f t="shared" si="230"/>
        <v>0</v>
      </c>
      <c r="P363" s="572">
        <f t="shared" si="231"/>
        <v>0</v>
      </c>
      <c r="Q363" s="572">
        <v>0</v>
      </c>
      <c r="R363" s="572">
        <v>0</v>
      </c>
      <c r="S363" s="572">
        <v>0</v>
      </c>
      <c r="T363" s="572">
        <f t="shared" si="233"/>
        <v>0</v>
      </c>
      <c r="U363" s="572">
        <f t="shared" si="234"/>
        <v>0</v>
      </c>
    </row>
    <row r="364" spans="1:21" ht="18.75" x14ac:dyDescent="0.25">
      <c r="A364" s="674"/>
      <c r="B364" s="561"/>
      <c r="C364" s="561"/>
      <c r="D364" s="561"/>
      <c r="E364" s="573" t="s">
        <v>21</v>
      </c>
      <c r="F364" s="561"/>
      <c r="G364" s="563"/>
      <c r="H364" s="686" t="s">
        <v>14</v>
      </c>
      <c r="I364" s="683"/>
      <c r="J364" s="683"/>
      <c r="K364" s="684"/>
      <c r="L364" s="567">
        <f ca="1">IFERROR(__xludf.DUMMYFUNCTION("IMPORTRANGE(""https://docs.google.com/spreadsheets/d/1-uDff_7J0KD5mKrp0Vvzr7lt3OU09vwQwhkpOPPYv2Y/edit?usp=sharing"",""งบพรบ!FF21"")"),0)</f>
        <v>0</v>
      </c>
      <c r="M364" s="568">
        <f ca="1">IFERROR(__xludf.DUMMYFUNCTION("IMPORTRANGE(""https://docs.google.com/spreadsheets/d/1-uDff_7J0KD5mKrp0Vvzr7lt3OU09vwQwhkpOPPYv2Y/edit?usp=sharing"",""งบพรบ!FI21"")"),0)</f>
        <v>0</v>
      </c>
      <c r="N364" s="568">
        <f ca="1">IFERROR(__xludf.DUMMYFUNCTION("IMPORTRANGE(""https://docs.google.com/spreadsheets/d/1-uDff_7J0KD5mKrp0Vvzr7lt3OU09vwQwhkpOPPYv2Y/edit?usp=sharing"",""งบพรบ!FK21"")"),0)</f>
        <v>0</v>
      </c>
      <c r="O364" s="568">
        <f t="shared" ca="1" si="230"/>
        <v>0</v>
      </c>
      <c r="P364" s="568">
        <f t="shared" ca="1" si="231"/>
        <v>0</v>
      </c>
      <c r="Q364" s="568">
        <v>0</v>
      </c>
      <c r="R364" s="568">
        <v>0</v>
      </c>
      <c r="S364" s="568">
        <v>0</v>
      </c>
      <c r="T364" s="568">
        <f t="shared" si="233"/>
        <v>0</v>
      </c>
      <c r="U364" s="568">
        <f t="shared" si="234"/>
        <v>0</v>
      </c>
    </row>
    <row r="365" spans="1:21" ht="19.5" x14ac:dyDescent="0.3">
      <c r="A365" s="769"/>
      <c r="B365" s="770"/>
      <c r="C365" s="772"/>
      <c r="D365" s="941" t="s">
        <v>149</v>
      </c>
      <c r="E365" s="772"/>
      <c r="F365" s="772"/>
      <c r="G365" s="773"/>
      <c r="H365" s="782" t="s">
        <v>35</v>
      </c>
      <c r="I365" s="775">
        <f t="shared" ref="I365:J365" ca="1" si="241">I371</f>
        <v>152</v>
      </c>
      <c r="J365" s="775">
        <f t="shared" ca="1" si="241"/>
        <v>406</v>
      </c>
      <c r="K365" s="776">
        <f ca="1">IF(I365&gt;0,J365*100/I365,0)</f>
        <v>267.10526315789474</v>
      </c>
      <c r="L365" s="777"/>
      <c r="M365" s="778"/>
      <c r="N365" s="778"/>
      <c r="O365" s="778"/>
      <c r="P365" s="778"/>
      <c r="Q365" s="778"/>
      <c r="R365" s="778"/>
      <c r="S365" s="778"/>
      <c r="T365" s="778"/>
      <c r="U365" s="778"/>
    </row>
    <row r="366" spans="1:21" ht="19.5" x14ac:dyDescent="0.3">
      <c r="A366" s="687"/>
      <c r="B366" s="688"/>
      <c r="C366" s="675" t="s">
        <v>18</v>
      </c>
      <c r="D366" s="689" t="s">
        <v>38</v>
      </c>
      <c r="E366" s="690"/>
      <c r="F366" s="690"/>
      <c r="G366" s="691"/>
      <c r="H366" s="692"/>
      <c r="I366" s="565"/>
      <c r="J366" s="565"/>
      <c r="K366" s="566"/>
      <c r="L366" s="693"/>
      <c r="M366" s="684"/>
      <c r="N366" s="684"/>
      <c r="O366" s="684"/>
      <c r="P366" s="684"/>
      <c r="Q366" s="684"/>
      <c r="R366" s="684"/>
      <c r="S366" s="684"/>
      <c r="T366" s="684"/>
      <c r="U366" s="684"/>
    </row>
    <row r="367" spans="1:21" ht="18.75" x14ac:dyDescent="0.25">
      <c r="A367" s="687"/>
      <c r="B367" s="695"/>
      <c r="C367" s="688"/>
      <c r="D367" s="695"/>
      <c r="E367" s="694" t="s">
        <v>150</v>
      </c>
      <c r="F367" s="695"/>
      <c r="G367" s="692"/>
      <c r="H367" s="704" t="s">
        <v>35</v>
      </c>
      <c r="I367" s="708">
        <v>0</v>
      </c>
      <c r="J367" s="708">
        <f ca="1">IFERROR(__xludf.DUMMYFUNCTION("IMPORTRANGE(""https://docs.google.com/spreadsheets/d/1tdoBKaGub7dwA3U6UFTqxio9LNnvDCQjHKmttSEBsFQ/edit?usp=sharing"",""จัดที่ดิน!AB21"")"),118)</f>
        <v>118</v>
      </c>
      <c r="K367" s="568">
        <f t="shared" ref="K367:K372" si="242">IF(I367&gt;0,J367*100/I367,0)</f>
        <v>0</v>
      </c>
      <c r="L367" s="693"/>
      <c r="M367" s="684"/>
      <c r="N367" s="684"/>
      <c r="O367" s="684"/>
      <c r="P367" s="684"/>
      <c r="Q367" s="684"/>
      <c r="R367" s="684"/>
      <c r="S367" s="684"/>
      <c r="T367" s="684"/>
      <c r="U367" s="684"/>
    </row>
    <row r="368" spans="1:21" ht="18.75" x14ac:dyDescent="0.25">
      <c r="A368" s="687"/>
      <c r="B368" s="695"/>
      <c r="C368" s="688"/>
      <c r="D368" s="695"/>
      <c r="E368" s="695"/>
      <c r="F368" s="695"/>
      <c r="G368" s="692"/>
      <c r="H368" s="704" t="s">
        <v>46</v>
      </c>
      <c r="I368" s="708">
        <f ca="1">IFERROR(__xludf.DUMMYFUNCTION("IMPORTRANGE(""https://docs.google.com/spreadsheets/d/1eHaY18a8A9IcSdp1K8H6x8fbOy06t2VsZHhMHf-1x7Y/edit?usp=sharing"",""แผน!EW21"")"),310)</f>
        <v>310</v>
      </c>
      <c r="J368" s="943">
        <f ca="1">IFERROR(__xludf.DUMMYFUNCTION("IMPORTRANGE(""https://docs.google.com/spreadsheets/d/1tdoBKaGub7dwA3U6UFTqxio9LNnvDCQjHKmttSEBsFQ/edit?usp=sharing"",""จัดที่ดิน!AC21"")"),923.28)</f>
        <v>923.28</v>
      </c>
      <c r="K368" s="568">
        <f t="shared" ca="1" si="242"/>
        <v>297.83225806451611</v>
      </c>
      <c r="L368" s="693"/>
      <c r="M368" s="684"/>
      <c r="N368" s="684"/>
      <c r="O368" s="684"/>
      <c r="P368" s="684"/>
      <c r="Q368" s="684"/>
      <c r="R368" s="684"/>
      <c r="S368" s="684"/>
      <c r="T368" s="684"/>
      <c r="U368" s="684"/>
    </row>
    <row r="369" spans="1:21" ht="18.75" x14ac:dyDescent="0.25">
      <c r="A369" s="687"/>
      <c r="B369" s="695"/>
      <c r="C369" s="688"/>
      <c r="D369" s="695"/>
      <c r="E369" s="694" t="s">
        <v>151</v>
      </c>
      <c r="F369" s="695"/>
      <c r="G369" s="692"/>
      <c r="H369" s="700" t="s">
        <v>35</v>
      </c>
      <c r="I369" s="708">
        <f ca="1">IFERROR(__xludf.DUMMYFUNCTION("IMPORTRANGE(""https://docs.google.com/spreadsheets/d/1eHaY18a8A9IcSdp1K8H6x8fbOy06t2VsZHhMHf-1x7Y/edit?usp=sharing"",""แผน!EX21"")"),152)</f>
        <v>152</v>
      </c>
      <c r="J369" s="708">
        <f ca="1">IFERROR(__xludf.DUMMYFUNCTION("IMPORTRANGE(""https://docs.google.com/spreadsheets/d/1tdoBKaGub7dwA3U6UFTqxio9LNnvDCQjHKmttSEBsFQ/edit?usp=sharing"",""จัดที่ดิน!AD21"")"),458)</f>
        <v>458</v>
      </c>
      <c r="K369" s="568">
        <f t="shared" ca="1" si="242"/>
        <v>301.31578947368422</v>
      </c>
      <c r="L369" s="693"/>
      <c r="M369" s="684"/>
      <c r="N369" s="684"/>
      <c r="O369" s="684"/>
      <c r="P369" s="684"/>
      <c r="Q369" s="684"/>
      <c r="R369" s="684"/>
      <c r="S369" s="684"/>
      <c r="T369" s="684"/>
      <c r="U369" s="684"/>
    </row>
    <row r="370" spans="1:21" ht="18.75" x14ac:dyDescent="0.25">
      <c r="A370" s="687"/>
      <c r="B370" s="695"/>
      <c r="C370" s="688"/>
      <c r="D370" s="695"/>
      <c r="E370" s="695"/>
      <c r="F370" s="695"/>
      <c r="G370" s="692"/>
      <c r="H370" s="700" t="s">
        <v>46</v>
      </c>
      <c r="I370" s="708">
        <v>0</v>
      </c>
      <c r="J370" s="943">
        <f ca="1">IFERROR(__xludf.DUMMYFUNCTION("IMPORTRANGE(""https://docs.google.com/spreadsheets/d/1tdoBKaGub7dwA3U6UFTqxio9LNnvDCQjHKmttSEBsFQ/edit?usp=sharing"",""จัดที่ดิน!AE21"")"),6994.26999999999)</f>
        <v>6994.2699999999904</v>
      </c>
      <c r="K370" s="568">
        <f t="shared" si="242"/>
        <v>0</v>
      </c>
      <c r="L370" s="693"/>
      <c r="M370" s="684"/>
      <c r="N370" s="684"/>
      <c r="O370" s="684"/>
      <c r="P370" s="684"/>
      <c r="Q370" s="684"/>
      <c r="R370" s="684"/>
      <c r="S370" s="684"/>
      <c r="T370" s="684"/>
      <c r="U370" s="684"/>
    </row>
    <row r="371" spans="1:21" ht="18.75" x14ac:dyDescent="0.25">
      <c r="A371" s="687"/>
      <c r="B371" s="695"/>
      <c r="C371" s="688"/>
      <c r="D371" s="695"/>
      <c r="E371" s="944" t="s">
        <v>152</v>
      </c>
      <c r="F371" s="695"/>
      <c r="G371" s="692"/>
      <c r="H371" s="700" t="s">
        <v>35</v>
      </c>
      <c r="I371" s="708">
        <f ca="1">IFERROR(__xludf.DUMMYFUNCTION("IMPORTRANGE(""https://docs.google.com/spreadsheets/d/1eHaY18a8A9IcSdp1K8H6x8fbOy06t2VsZHhMHf-1x7Y/edit?usp=sharing"",""แผน!EY21"")"),152)</f>
        <v>152</v>
      </c>
      <c r="J371" s="708">
        <f ca="1">IFERROR(__xludf.DUMMYFUNCTION("IMPORTRANGE(""https://docs.google.com/spreadsheets/d/1tdoBKaGub7dwA3U6UFTqxio9LNnvDCQjHKmttSEBsFQ/edit?usp=sharing"",""จัดที่ดิน!AF21"")"),406)</f>
        <v>406</v>
      </c>
      <c r="K371" s="568">
        <f t="shared" ca="1" si="242"/>
        <v>267.10526315789474</v>
      </c>
      <c r="L371" s="693"/>
      <c r="M371" s="684"/>
      <c r="N371" s="684"/>
      <c r="O371" s="684"/>
      <c r="P371" s="684"/>
      <c r="Q371" s="684"/>
      <c r="R371" s="684"/>
      <c r="S371" s="684"/>
      <c r="T371" s="684"/>
      <c r="U371" s="684"/>
    </row>
    <row r="372" spans="1:21" ht="18.75" x14ac:dyDescent="0.25">
      <c r="A372" s="687"/>
      <c r="B372" s="695"/>
      <c r="C372" s="688"/>
      <c r="D372" s="695"/>
      <c r="E372" s="695"/>
      <c r="F372" s="695"/>
      <c r="G372" s="692"/>
      <c r="H372" s="700" t="s">
        <v>46</v>
      </c>
      <c r="I372" s="708">
        <v>0</v>
      </c>
      <c r="J372" s="943">
        <f ca="1">IFERROR(__xludf.DUMMYFUNCTION("IMPORTRANGE(""https://docs.google.com/spreadsheets/d/1tdoBKaGub7dwA3U6UFTqxio9LNnvDCQjHKmttSEBsFQ/edit?usp=sharing"",""จัดที่ดิน!AG21"")"),6581.59999999999)</f>
        <v>6581.5999999999904</v>
      </c>
      <c r="K372" s="568">
        <f t="shared" si="242"/>
        <v>0</v>
      </c>
      <c r="L372" s="693"/>
      <c r="M372" s="684"/>
      <c r="N372" s="684"/>
      <c r="O372" s="684"/>
      <c r="P372" s="684"/>
      <c r="Q372" s="684"/>
      <c r="R372" s="684"/>
      <c r="S372" s="684"/>
      <c r="T372" s="684"/>
      <c r="U372" s="684"/>
    </row>
    <row r="373" spans="1:21" ht="16.5" x14ac:dyDescent="0.25">
      <c r="A373" s="514"/>
      <c r="B373" s="513"/>
      <c r="C373" s="514"/>
      <c r="D373" s="9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513"/>
      <c r="F373" s="513"/>
      <c r="G373" s="577"/>
      <c r="H373" s="577"/>
      <c r="I373" s="579"/>
      <c r="J373" s="579"/>
      <c r="K373" s="580"/>
      <c r="L373" s="581"/>
      <c r="M373" s="580"/>
      <c r="N373" s="580"/>
      <c r="O373" s="580"/>
      <c r="P373" s="580"/>
      <c r="Q373" s="580"/>
      <c r="R373" s="580"/>
      <c r="S373" s="580"/>
      <c r="T373" s="580"/>
      <c r="U373" s="580"/>
    </row>
    <row r="374" spans="1:21" ht="19.5" x14ac:dyDescent="0.3">
      <c r="A374" s="946"/>
      <c r="B374" s="947" t="s">
        <v>153</v>
      </c>
      <c r="C374" s="948"/>
      <c r="D374" s="949"/>
      <c r="E374" s="950"/>
      <c r="F374" s="950"/>
      <c r="G374" s="951"/>
      <c r="H374" s="952" t="s">
        <v>46</v>
      </c>
      <c r="I374" s="953">
        <f t="shared" ref="I374:J374" ca="1" si="243">I386+I388</f>
        <v>3000</v>
      </c>
      <c r="J374" s="953">
        <f t="shared" ca="1" si="243"/>
        <v>0</v>
      </c>
      <c r="K374" s="954">
        <f ca="1">IF(I374&gt;0,J374*100/I374,0)</f>
        <v>0</v>
      </c>
      <c r="L374" s="916"/>
      <c r="M374" s="917"/>
      <c r="N374" s="917"/>
      <c r="O374" s="917"/>
      <c r="P374" s="917"/>
      <c r="Q374" s="917"/>
      <c r="R374" s="917"/>
      <c r="S374" s="917"/>
      <c r="T374" s="917"/>
      <c r="U374" s="917"/>
    </row>
    <row r="375" spans="1:21" ht="19.5" x14ac:dyDescent="0.3">
      <c r="A375" s="674"/>
      <c r="B375" s="718"/>
      <c r="C375" s="719" t="s">
        <v>18</v>
      </c>
      <c r="D375" s="955" t="s">
        <v>19</v>
      </c>
      <c r="E375" s="561"/>
      <c r="F375" s="561"/>
      <c r="G375" s="563"/>
      <c r="H375" s="677" t="s">
        <v>14</v>
      </c>
      <c r="I375" s="565"/>
      <c r="J375" s="565"/>
      <c r="K375" s="566"/>
      <c r="L375" s="678">
        <f t="shared" ref="L375:N375" ca="1" si="244">L376+L377</f>
        <v>0</v>
      </c>
      <c r="M375" s="679">
        <f t="shared" ca="1" si="244"/>
        <v>0</v>
      </c>
      <c r="N375" s="679">
        <f t="shared" ca="1" si="244"/>
        <v>0</v>
      </c>
      <c r="O375" s="679">
        <f t="shared" ref="O375:O383" ca="1" si="245">IF(L375&gt;0,N375*100/L375,0)</f>
        <v>0</v>
      </c>
      <c r="P375" s="679">
        <f t="shared" ref="P375:P383" ca="1" si="246">IF(M375&gt;0,N375*100/M375,0)</f>
        <v>0</v>
      </c>
      <c r="Q375" s="679">
        <f t="shared" ref="Q375:S375" ca="1" si="247">Q376+Q377</f>
        <v>187500</v>
      </c>
      <c r="R375" s="679">
        <f t="shared" ca="1" si="247"/>
        <v>187500</v>
      </c>
      <c r="S375" s="679">
        <f t="shared" ca="1" si="247"/>
        <v>0</v>
      </c>
      <c r="T375" s="679">
        <f t="shared" ref="T375:T383" ca="1" si="248">IF(Q375&gt;0,S375*100/Q375,0)</f>
        <v>0</v>
      </c>
      <c r="U375" s="679">
        <f t="shared" ref="U375:U383" ca="1" si="249">IF(R375&gt;0,S375*100/R375,0)</f>
        <v>0</v>
      </c>
    </row>
    <row r="376" spans="1:21" ht="18.75" x14ac:dyDescent="0.25">
      <c r="A376" s="674"/>
      <c r="B376" s="718"/>
      <c r="C376" s="718"/>
      <c r="D376" s="718"/>
      <c r="E376" s="569" t="s">
        <v>20</v>
      </c>
      <c r="F376" s="561"/>
      <c r="G376" s="563"/>
      <c r="H376" s="680" t="s">
        <v>14</v>
      </c>
      <c r="I376" s="565"/>
      <c r="J376" s="565"/>
      <c r="K376" s="566"/>
      <c r="L376" s="571">
        <f t="shared" ref="L376:N377" si="250">L379+L382</f>
        <v>0</v>
      </c>
      <c r="M376" s="572">
        <f t="shared" si="250"/>
        <v>0</v>
      </c>
      <c r="N376" s="572">
        <f t="shared" si="250"/>
        <v>0</v>
      </c>
      <c r="O376" s="572">
        <f t="shared" si="245"/>
        <v>0</v>
      </c>
      <c r="P376" s="572">
        <f t="shared" si="246"/>
        <v>0</v>
      </c>
      <c r="Q376" s="572">
        <f t="shared" ref="Q376:S377" si="251">Q379+Q382</f>
        <v>0</v>
      </c>
      <c r="R376" s="572">
        <f t="shared" si="251"/>
        <v>0</v>
      </c>
      <c r="S376" s="572">
        <f t="shared" si="251"/>
        <v>0</v>
      </c>
      <c r="T376" s="572">
        <f t="shared" si="248"/>
        <v>0</v>
      </c>
      <c r="U376" s="572">
        <f t="shared" si="249"/>
        <v>0</v>
      </c>
    </row>
    <row r="377" spans="1:21" ht="18.75" x14ac:dyDescent="0.25">
      <c r="A377" s="674"/>
      <c r="B377" s="718"/>
      <c r="C377" s="718"/>
      <c r="D377" s="718"/>
      <c r="E377" s="573" t="s">
        <v>21</v>
      </c>
      <c r="F377" s="561"/>
      <c r="G377" s="563"/>
      <c r="H377" s="681" t="s">
        <v>14</v>
      </c>
      <c r="I377" s="565"/>
      <c r="J377" s="565"/>
      <c r="K377" s="566"/>
      <c r="L377" s="567">
        <f t="shared" ca="1" si="250"/>
        <v>0</v>
      </c>
      <c r="M377" s="568">
        <f t="shared" ca="1" si="250"/>
        <v>0</v>
      </c>
      <c r="N377" s="568">
        <f t="shared" ca="1" si="250"/>
        <v>0</v>
      </c>
      <c r="O377" s="568">
        <f t="shared" ca="1" si="245"/>
        <v>0</v>
      </c>
      <c r="P377" s="568">
        <f t="shared" ca="1" si="246"/>
        <v>0</v>
      </c>
      <c r="Q377" s="568">
        <f t="shared" ca="1" si="251"/>
        <v>187500</v>
      </c>
      <c r="R377" s="568">
        <f t="shared" ca="1" si="251"/>
        <v>187500</v>
      </c>
      <c r="S377" s="568">
        <f t="shared" ca="1" si="251"/>
        <v>0</v>
      </c>
      <c r="T377" s="568">
        <f t="shared" ca="1" si="248"/>
        <v>0</v>
      </c>
      <c r="U377" s="568">
        <f t="shared" ca="1" si="249"/>
        <v>0</v>
      </c>
    </row>
    <row r="378" spans="1:21" ht="18.75" x14ac:dyDescent="0.25">
      <c r="A378" s="674"/>
      <c r="B378" s="718"/>
      <c r="C378" s="718"/>
      <c r="D378" s="721" t="s">
        <v>22</v>
      </c>
      <c r="E378" s="561"/>
      <c r="F378" s="561"/>
      <c r="G378" s="563"/>
      <c r="H378" s="682" t="s">
        <v>14</v>
      </c>
      <c r="I378" s="683"/>
      <c r="J378" s="683"/>
      <c r="K378" s="684"/>
      <c r="L378" s="567">
        <f t="shared" ref="L378:N378" ca="1" si="252">L379+L380</f>
        <v>0</v>
      </c>
      <c r="M378" s="568">
        <f t="shared" ca="1" si="252"/>
        <v>0</v>
      </c>
      <c r="N378" s="568">
        <f t="shared" ca="1" si="252"/>
        <v>0</v>
      </c>
      <c r="O378" s="568">
        <f t="shared" ca="1" si="245"/>
        <v>0</v>
      </c>
      <c r="P378" s="568">
        <f t="shared" ca="1" si="246"/>
        <v>0</v>
      </c>
      <c r="Q378" s="568">
        <f t="shared" ref="Q378:S378" ca="1" si="253">Q379+Q380</f>
        <v>187500</v>
      </c>
      <c r="R378" s="568">
        <f t="shared" ca="1" si="253"/>
        <v>187500</v>
      </c>
      <c r="S378" s="568">
        <f t="shared" ca="1" si="253"/>
        <v>0</v>
      </c>
      <c r="T378" s="568">
        <f t="shared" ca="1" si="248"/>
        <v>0</v>
      </c>
      <c r="U378" s="568">
        <f t="shared" ca="1" si="249"/>
        <v>0</v>
      </c>
    </row>
    <row r="379" spans="1:21" ht="18.75" x14ac:dyDescent="0.25">
      <c r="A379" s="674"/>
      <c r="B379" s="718"/>
      <c r="C379" s="718"/>
      <c r="D379" s="718"/>
      <c r="E379" s="569" t="s">
        <v>36</v>
      </c>
      <c r="F379" s="561"/>
      <c r="G379" s="563"/>
      <c r="H379" s="685" t="s">
        <v>14</v>
      </c>
      <c r="I379" s="683"/>
      <c r="J379" s="683"/>
      <c r="K379" s="684"/>
      <c r="L379" s="571">
        <v>0</v>
      </c>
      <c r="M379" s="572">
        <v>0</v>
      </c>
      <c r="N379" s="572">
        <v>0</v>
      </c>
      <c r="O379" s="572">
        <f t="shared" si="245"/>
        <v>0</v>
      </c>
      <c r="P379" s="572">
        <f t="shared" si="246"/>
        <v>0</v>
      </c>
      <c r="Q379" s="572">
        <v>0</v>
      </c>
      <c r="R379" s="572">
        <v>0</v>
      </c>
      <c r="S379" s="572">
        <v>0</v>
      </c>
      <c r="T379" s="572">
        <f t="shared" si="248"/>
        <v>0</v>
      </c>
      <c r="U379" s="572">
        <f t="shared" si="249"/>
        <v>0</v>
      </c>
    </row>
    <row r="380" spans="1:21" ht="18.75" x14ac:dyDescent="0.25">
      <c r="A380" s="674"/>
      <c r="B380" s="718"/>
      <c r="C380" s="718"/>
      <c r="D380" s="718"/>
      <c r="E380" s="765" t="s">
        <v>37</v>
      </c>
      <c r="F380" s="718"/>
      <c r="G380" s="727"/>
      <c r="H380" s="682" t="s">
        <v>14</v>
      </c>
      <c r="I380" s="683"/>
      <c r="J380" s="683"/>
      <c r="K380" s="684"/>
      <c r="L380" s="567">
        <f ca="1">IFERROR(__xludf.DUMMYFUNCTION("IMPORTRANGE(""https://docs.google.com/spreadsheets/d/1-uDff_7J0KD5mKrp0Vvzr7lt3OU09vwQwhkpOPPYv2Y/edit?usp=sharing"",""งบพรบ!IE21"")"),0)</f>
        <v>0</v>
      </c>
      <c r="M380" s="568">
        <f ca="1">IFERROR(__xludf.DUMMYFUNCTION("IMPORTRANGE(""https://docs.google.com/spreadsheets/d/1-uDff_7J0KD5mKrp0Vvzr7lt3OU09vwQwhkpOPPYv2Y/edit?usp=sharing"",""งบพรบ!IJ21"")"),0)</f>
        <v>0</v>
      </c>
      <c r="N380" s="568">
        <f ca="1">IFERROR(__xludf.DUMMYFUNCTION("IMPORTRANGE(""https://docs.google.com/spreadsheets/d/1-uDff_7J0KD5mKrp0Vvzr7lt3OU09vwQwhkpOPPYv2Y/edit?usp=sharing"",""งบพรบ!IL21"")"),0)</f>
        <v>0</v>
      </c>
      <c r="O380" s="568">
        <f t="shared" ca="1" si="245"/>
        <v>0</v>
      </c>
      <c r="P380" s="568">
        <f t="shared" ca="1" si="246"/>
        <v>0</v>
      </c>
      <c r="Q380" s="568">
        <f ca="1">IFERROR(__xludf.DUMMYFUNCTION("IMPORTRANGE(""https://docs.google.com/spreadsheets/d/1ItG2mGa2ceCfYo0BwxsXqNm01IGEUdYcSSLTEv9YCik/edit?usp=sharing"",""เบิกจ่ายกองทุน!BW21"")"),187500)</f>
        <v>187500</v>
      </c>
      <c r="R380" s="568">
        <f ca="1">IFERROR(__xludf.DUMMYFUNCTION("IMPORTRANGE(""https://docs.google.com/spreadsheets/d/1ItG2mGa2ceCfYo0BwxsXqNm01IGEUdYcSSLTEv9YCik/edit?usp=sharing"",""เบิกจ่ายกองทุน!BX21"")"),187500)</f>
        <v>187500</v>
      </c>
      <c r="S380" s="568">
        <f ca="1">IFERROR(__xludf.DUMMYFUNCTION("IMPORTRANGE(""https://docs.google.com/spreadsheets/d/1ItG2mGa2ceCfYo0BwxsXqNm01IGEUdYcSSLTEv9YCik/edit?usp=sharing"",""เบิกจ่ายกองทุน!BY21"")"),0)</f>
        <v>0</v>
      </c>
      <c r="T380" s="568">
        <f t="shared" ca="1" si="248"/>
        <v>0</v>
      </c>
      <c r="U380" s="568">
        <f t="shared" ca="1" si="249"/>
        <v>0</v>
      </c>
    </row>
    <row r="381" spans="1:21" ht="18.75" x14ac:dyDescent="0.25">
      <c r="A381" s="674"/>
      <c r="B381" s="718"/>
      <c r="C381" s="718"/>
      <c r="D381" s="721" t="s">
        <v>23</v>
      </c>
      <c r="E381" s="561"/>
      <c r="F381" s="561"/>
      <c r="G381" s="563"/>
      <c r="H381" s="686" t="s">
        <v>14</v>
      </c>
      <c r="I381" s="683"/>
      <c r="J381" s="683"/>
      <c r="K381" s="684"/>
      <c r="L381" s="567">
        <f t="shared" ref="L381:N381" ca="1" si="254">L382+L383</f>
        <v>0</v>
      </c>
      <c r="M381" s="568">
        <f t="shared" ca="1" si="254"/>
        <v>0</v>
      </c>
      <c r="N381" s="568">
        <f t="shared" ca="1" si="254"/>
        <v>0</v>
      </c>
      <c r="O381" s="568">
        <f t="shared" ca="1" si="245"/>
        <v>0</v>
      </c>
      <c r="P381" s="568">
        <f t="shared" ca="1" si="246"/>
        <v>0</v>
      </c>
      <c r="Q381" s="568">
        <f t="shared" ref="Q381:S381" si="255">Q382+Q383</f>
        <v>0</v>
      </c>
      <c r="R381" s="568">
        <f t="shared" si="255"/>
        <v>0</v>
      </c>
      <c r="S381" s="568">
        <f t="shared" si="255"/>
        <v>0</v>
      </c>
      <c r="T381" s="568">
        <f t="shared" si="248"/>
        <v>0</v>
      </c>
      <c r="U381" s="568">
        <f t="shared" si="249"/>
        <v>0</v>
      </c>
    </row>
    <row r="382" spans="1:21" ht="18.75" x14ac:dyDescent="0.25">
      <c r="A382" s="674"/>
      <c r="B382" s="718"/>
      <c r="C382" s="718"/>
      <c r="D382" s="718"/>
      <c r="E382" s="569" t="s">
        <v>20</v>
      </c>
      <c r="F382" s="561"/>
      <c r="G382" s="563"/>
      <c r="H382" s="685" t="s">
        <v>14</v>
      </c>
      <c r="I382" s="683"/>
      <c r="J382" s="683"/>
      <c r="K382" s="684"/>
      <c r="L382" s="571">
        <v>0</v>
      </c>
      <c r="M382" s="572">
        <v>0</v>
      </c>
      <c r="N382" s="572">
        <v>0</v>
      </c>
      <c r="O382" s="572">
        <f t="shared" si="245"/>
        <v>0</v>
      </c>
      <c r="P382" s="572">
        <f t="shared" si="246"/>
        <v>0</v>
      </c>
      <c r="Q382" s="572">
        <v>0</v>
      </c>
      <c r="R382" s="572">
        <v>0</v>
      </c>
      <c r="S382" s="572">
        <v>0</v>
      </c>
      <c r="T382" s="572">
        <f t="shared" si="248"/>
        <v>0</v>
      </c>
      <c r="U382" s="572">
        <f t="shared" si="249"/>
        <v>0</v>
      </c>
    </row>
    <row r="383" spans="1:21" ht="18.75" x14ac:dyDescent="0.25">
      <c r="A383" s="674"/>
      <c r="B383" s="718"/>
      <c r="C383" s="718"/>
      <c r="D383" s="718"/>
      <c r="E383" s="573" t="s">
        <v>21</v>
      </c>
      <c r="F383" s="561"/>
      <c r="G383" s="563"/>
      <c r="H383" s="686" t="s">
        <v>14</v>
      </c>
      <c r="I383" s="683"/>
      <c r="J383" s="683"/>
      <c r="K383" s="684"/>
      <c r="L383" s="567">
        <f ca="1">IFERROR(__xludf.DUMMYFUNCTION("IMPORTRANGE(""https://docs.google.com/spreadsheets/d/1-uDff_7J0KD5mKrp0Vvzr7lt3OU09vwQwhkpOPPYv2Y/edit?usp=sharing"",""งบพรบ!IH21"")"),0)</f>
        <v>0</v>
      </c>
      <c r="M383" s="568">
        <f ca="1">IFERROR(__xludf.DUMMYFUNCTION("IMPORTRANGE(""https://docs.google.com/spreadsheets/d/1-uDff_7J0KD5mKrp0Vvzr7lt3OU09vwQwhkpOPPYv2Y/edit?usp=sharing"",""งบพรบ!IK21"")"),0)</f>
        <v>0</v>
      </c>
      <c r="N383" s="568">
        <f ca="1">IFERROR(__xludf.DUMMYFUNCTION("IMPORTRANGE(""https://docs.google.com/spreadsheets/d/1-uDff_7J0KD5mKrp0Vvzr7lt3OU09vwQwhkpOPPYv2Y/edit?usp=sharing"",""งบพรบ!IM21"")"),0)</f>
        <v>0</v>
      </c>
      <c r="O383" s="568">
        <f t="shared" ca="1" si="245"/>
        <v>0</v>
      </c>
      <c r="P383" s="568">
        <f t="shared" ca="1" si="246"/>
        <v>0</v>
      </c>
      <c r="Q383" s="568">
        <v>0</v>
      </c>
      <c r="R383" s="568">
        <v>0</v>
      </c>
      <c r="S383" s="568">
        <v>0</v>
      </c>
      <c r="T383" s="568">
        <f t="shared" si="248"/>
        <v>0</v>
      </c>
      <c r="U383" s="568">
        <f t="shared" si="249"/>
        <v>0</v>
      </c>
    </row>
    <row r="384" spans="1:21" ht="19.5" x14ac:dyDescent="0.3">
      <c r="A384" s="687"/>
      <c r="B384" s="688"/>
      <c r="C384" s="719" t="s">
        <v>18</v>
      </c>
      <c r="D384" s="956" t="s">
        <v>38</v>
      </c>
      <c r="E384" s="690"/>
      <c r="F384" s="690"/>
      <c r="G384" s="691"/>
      <c r="H384" s="725"/>
      <c r="I384" s="683"/>
      <c r="J384" s="565"/>
      <c r="K384" s="566"/>
      <c r="L384" s="574"/>
      <c r="M384" s="566"/>
      <c r="N384" s="566"/>
      <c r="O384" s="684"/>
      <c r="P384" s="684"/>
      <c r="Q384" s="566"/>
      <c r="R384" s="566"/>
      <c r="S384" s="566"/>
      <c r="T384" s="684"/>
      <c r="U384" s="684"/>
    </row>
    <row r="385" spans="1:21" ht="18.75" x14ac:dyDescent="0.25">
      <c r="A385" s="764"/>
      <c r="B385" s="718"/>
      <c r="C385" s="718"/>
      <c r="D385" s="718"/>
      <c r="E385" s="573" t="s">
        <v>154</v>
      </c>
      <c r="F385" s="561"/>
      <c r="G385" s="563"/>
      <c r="H385" s="681" t="s">
        <v>34</v>
      </c>
      <c r="I385" s="708">
        <v>0</v>
      </c>
      <c r="J385" s="708">
        <f ca="1">IFERROR(__xludf.DUMMYFUNCTION("IMPORTRANGE(""https://docs.google.com/spreadsheets/d/1w5rwWK1o49a35cNtocGL0gxDwhFSTZUQu90BiH9_zqM/edit?usp=sharing"",""RTK!H21"")"),0)</f>
        <v>0</v>
      </c>
      <c r="K385" s="568">
        <f t="shared" ref="K385:K388" si="256">IF(I385&gt;0,J385*100/I385,0)</f>
        <v>0</v>
      </c>
      <c r="L385" s="574"/>
      <c r="M385" s="566"/>
      <c r="N385" s="566"/>
      <c r="O385" s="566"/>
      <c r="P385" s="566"/>
      <c r="Q385" s="566"/>
      <c r="R385" s="566"/>
      <c r="S385" s="566"/>
      <c r="T385" s="566"/>
      <c r="U385" s="566"/>
    </row>
    <row r="386" spans="1:21" ht="18.75" x14ac:dyDescent="0.25">
      <c r="A386" s="718"/>
      <c r="B386" s="718"/>
      <c r="C386" s="718"/>
      <c r="D386" s="718"/>
      <c r="E386" s="718"/>
      <c r="F386" s="718"/>
      <c r="G386" s="727"/>
      <c r="H386" s="681" t="s">
        <v>46</v>
      </c>
      <c r="I386" s="708">
        <f ca="1">IFERROR(__xludf.DUMMYFUNCTION("IMPORTRANGE(""https://docs.google.com/spreadsheets/d/1w5rwWK1o49a35cNtocGL0gxDwhFSTZUQu90BiH9_zqM/edit?usp=sharing"",""RTK!G21"")"),3000)</f>
        <v>3000</v>
      </c>
      <c r="J386" s="708">
        <f ca="1">IFERROR(__xludf.DUMMYFUNCTION("IMPORTRANGE(""https://docs.google.com/spreadsheets/d/1w5rwWK1o49a35cNtocGL0gxDwhFSTZUQu90BiH9_zqM/edit?usp=sharing"",""RTK!I21"")"),0)</f>
        <v>0</v>
      </c>
      <c r="K386" s="568">
        <f t="shared" ca="1" si="256"/>
        <v>0</v>
      </c>
      <c r="L386" s="574"/>
      <c r="M386" s="566"/>
      <c r="N386" s="566"/>
      <c r="O386" s="566"/>
      <c r="P386" s="566"/>
      <c r="Q386" s="566"/>
      <c r="R386" s="566"/>
      <c r="S386" s="566"/>
      <c r="T386" s="566"/>
      <c r="U386" s="566"/>
    </row>
    <row r="387" spans="1:21" ht="18.75" x14ac:dyDescent="0.25">
      <c r="A387" s="957"/>
      <c r="B387" s="957"/>
      <c r="C387" s="957"/>
      <c r="D387" s="957"/>
      <c r="E387" s="958" t="s">
        <v>155</v>
      </c>
      <c r="F387" s="957"/>
      <c r="G387" s="959"/>
      <c r="H387" s="839" t="s">
        <v>34</v>
      </c>
      <c r="I387" s="960">
        <v>0</v>
      </c>
      <c r="J387" s="960">
        <f ca="1">IFERROR(__xludf.DUMMYFUNCTION("IMPORTRANGE(""https://docs.google.com/spreadsheets/d/1w5rwWK1o49a35cNtocGL0gxDwhFSTZUQu90BiH9_zqM/edit?usp=sharing"",""RTK!L21"")"),0)</f>
        <v>0</v>
      </c>
      <c r="K387" s="841">
        <f t="shared" si="256"/>
        <v>0</v>
      </c>
      <c r="L387" s="1106"/>
      <c r="M387" s="830"/>
      <c r="N387" s="830"/>
      <c r="O387" s="830"/>
      <c r="P387" s="830"/>
      <c r="Q387" s="830"/>
      <c r="R387" s="830"/>
      <c r="S387" s="830"/>
      <c r="T387" s="830"/>
      <c r="U387" s="830"/>
    </row>
    <row r="388" spans="1:21" ht="18.75" x14ac:dyDescent="0.25">
      <c r="A388" s="957"/>
      <c r="B388" s="957"/>
      <c r="C388" s="957"/>
      <c r="D388" s="957"/>
      <c r="E388" s="957"/>
      <c r="F388" s="957"/>
      <c r="G388" s="959"/>
      <c r="H388" s="839" t="s">
        <v>46</v>
      </c>
      <c r="I388" s="960">
        <f ca="1">IFERROR(__xludf.DUMMYFUNCTION("IMPORTRANGE(""https://docs.google.com/spreadsheets/d/1w5rwWK1o49a35cNtocGL0gxDwhFSTZUQu90BiH9_zqM/edit?usp=sharing"",""RTK!K21"")"),0)</f>
        <v>0</v>
      </c>
      <c r="J388" s="960">
        <f ca="1">IFERROR(__xludf.DUMMYFUNCTION("IMPORTRANGE(""https://docs.google.com/spreadsheets/d/1w5rwWK1o49a35cNtocGL0gxDwhFSTZUQu90BiH9_zqM/edit?usp=sharing"",""RTK!M21"")"),0)</f>
        <v>0</v>
      </c>
      <c r="K388" s="841">
        <f t="shared" ca="1" si="256"/>
        <v>0</v>
      </c>
      <c r="L388" s="1106"/>
      <c r="M388" s="830"/>
      <c r="N388" s="830"/>
      <c r="O388" s="830"/>
      <c r="P388" s="830"/>
      <c r="Q388" s="830"/>
      <c r="R388" s="830"/>
      <c r="S388" s="830"/>
      <c r="T388" s="830"/>
      <c r="U388" s="830"/>
    </row>
    <row r="389" spans="1:21" ht="12.75" hidden="1" x14ac:dyDescent="0.2">
      <c r="A389" s="961"/>
      <c r="B389" s="961"/>
      <c r="C389" s="961"/>
      <c r="D389" s="961"/>
      <c r="E389" s="961"/>
      <c r="F389" s="961"/>
      <c r="G389" s="962"/>
      <c r="H389" s="962"/>
      <c r="I389" s="963"/>
      <c r="J389" s="963"/>
      <c r="K389" s="964"/>
      <c r="L389" s="965"/>
      <c r="M389" s="964"/>
      <c r="N389" s="964"/>
      <c r="O389" s="964"/>
      <c r="P389" s="964"/>
      <c r="Q389" s="964"/>
      <c r="R389" s="964"/>
      <c r="S389" s="964"/>
      <c r="T389" s="964"/>
      <c r="U389" s="964"/>
    </row>
    <row r="390" spans="1:21" ht="12.75" hidden="1" x14ac:dyDescent="0.2">
      <c r="A390" s="966"/>
      <c r="B390" s="966"/>
      <c r="C390" s="966"/>
      <c r="D390" s="966"/>
      <c r="E390" s="966"/>
      <c r="F390" s="966"/>
      <c r="G390" s="967"/>
      <c r="H390" s="967"/>
      <c r="I390" s="968"/>
      <c r="J390" s="968"/>
      <c r="K390" s="969"/>
      <c r="L390" s="970"/>
      <c r="M390" s="969"/>
      <c r="N390" s="969"/>
      <c r="O390" s="969"/>
      <c r="P390" s="969"/>
      <c r="Q390" s="969"/>
      <c r="R390" s="969"/>
      <c r="S390" s="969"/>
      <c r="T390" s="969"/>
      <c r="U390" s="969"/>
    </row>
    <row r="391" spans="1:21" ht="19.5" hidden="1" x14ac:dyDescent="0.3">
      <c r="A391" s="926"/>
      <c r="B391" s="971" t="s">
        <v>156</v>
      </c>
      <c r="C391" s="927"/>
      <c r="D391" s="928"/>
      <c r="E391" s="911"/>
      <c r="F391" s="911"/>
      <c r="G391" s="912"/>
      <c r="H391" s="972" t="s">
        <v>61</v>
      </c>
      <c r="I391" s="942">
        <f t="shared" ref="I391:J391" si="257">I402</f>
        <v>0</v>
      </c>
      <c r="J391" s="942">
        <f t="shared" si="257"/>
        <v>0</v>
      </c>
      <c r="K391" s="915">
        <f>IF(I391&gt;0,J391*100/I391,0)</f>
        <v>0</v>
      </c>
      <c r="L391" s="916"/>
      <c r="M391" s="917"/>
      <c r="N391" s="917"/>
      <c r="O391" s="917"/>
      <c r="P391" s="917"/>
      <c r="Q391" s="917"/>
      <c r="R391" s="917"/>
      <c r="S391" s="917"/>
      <c r="T391" s="917"/>
      <c r="U391" s="917"/>
    </row>
    <row r="392" spans="1:21" ht="19.5" hidden="1" x14ac:dyDescent="0.3">
      <c r="A392" s="674"/>
      <c r="B392" s="718"/>
      <c r="C392" s="719" t="s">
        <v>18</v>
      </c>
      <c r="D392" s="955" t="s">
        <v>19</v>
      </c>
      <c r="E392" s="561"/>
      <c r="F392" s="561"/>
      <c r="G392" s="563"/>
      <c r="H392" s="677" t="s">
        <v>14</v>
      </c>
      <c r="I392" s="565"/>
      <c r="J392" s="565"/>
      <c r="K392" s="566"/>
      <c r="L392" s="678">
        <f t="shared" ref="L392:N392" si="258">L393+L394</f>
        <v>0</v>
      </c>
      <c r="M392" s="679">
        <f t="shared" si="258"/>
        <v>0</v>
      </c>
      <c r="N392" s="679">
        <f t="shared" si="258"/>
        <v>0</v>
      </c>
      <c r="O392" s="679">
        <f t="shared" ref="O392:O400" si="259">IF(L392&gt;0,N392*100/L392,0)</f>
        <v>0</v>
      </c>
      <c r="P392" s="679">
        <f t="shared" ref="P392:P400" si="260">IF(M392&gt;0,N392*100/M392,0)</f>
        <v>0</v>
      </c>
      <c r="Q392" s="679">
        <f t="shared" ref="Q392:S392" ca="1" si="261">Q393+Q394</f>
        <v>0</v>
      </c>
      <c r="R392" s="679">
        <f t="shared" ca="1" si="261"/>
        <v>0</v>
      </c>
      <c r="S392" s="679">
        <f t="shared" ca="1" si="261"/>
        <v>0</v>
      </c>
      <c r="T392" s="679">
        <f t="shared" ref="T392:T400" ca="1" si="262">IF(Q392&gt;0,S392*100/Q392,0)</f>
        <v>0</v>
      </c>
      <c r="U392" s="679">
        <f t="shared" ref="U392:U400" ca="1" si="263">IF(R392&gt;0,S392*100/R392,0)</f>
        <v>0</v>
      </c>
    </row>
    <row r="393" spans="1:21" ht="18.75" hidden="1" x14ac:dyDescent="0.25">
      <c r="A393" s="674"/>
      <c r="B393" s="718"/>
      <c r="C393" s="718"/>
      <c r="D393" s="718"/>
      <c r="E393" s="569" t="s">
        <v>20</v>
      </c>
      <c r="F393" s="561"/>
      <c r="G393" s="563"/>
      <c r="H393" s="680" t="s">
        <v>14</v>
      </c>
      <c r="I393" s="565"/>
      <c r="J393" s="565"/>
      <c r="K393" s="566"/>
      <c r="L393" s="571">
        <f t="shared" ref="L393:N394" si="264">L396+L399</f>
        <v>0</v>
      </c>
      <c r="M393" s="572">
        <f t="shared" si="264"/>
        <v>0</v>
      </c>
      <c r="N393" s="572">
        <f t="shared" si="264"/>
        <v>0</v>
      </c>
      <c r="O393" s="572">
        <f t="shared" si="259"/>
        <v>0</v>
      </c>
      <c r="P393" s="572">
        <f t="shared" si="260"/>
        <v>0</v>
      </c>
      <c r="Q393" s="572">
        <f t="shared" ref="Q393:S394" si="265">Q396+Q399</f>
        <v>0</v>
      </c>
      <c r="R393" s="572">
        <f t="shared" si="265"/>
        <v>0</v>
      </c>
      <c r="S393" s="572">
        <f t="shared" si="265"/>
        <v>0</v>
      </c>
      <c r="T393" s="572">
        <f t="shared" si="262"/>
        <v>0</v>
      </c>
      <c r="U393" s="572">
        <f t="shared" si="263"/>
        <v>0</v>
      </c>
    </row>
    <row r="394" spans="1:21" ht="18.75" hidden="1" x14ac:dyDescent="0.25">
      <c r="A394" s="674"/>
      <c r="B394" s="718"/>
      <c r="C394" s="718"/>
      <c r="D394" s="718"/>
      <c r="E394" s="573" t="s">
        <v>21</v>
      </c>
      <c r="F394" s="561"/>
      <c r="G394" s="563"/>
      <c r="H394" s="681" t="s">
        <v>14</v>
      </c>
      <c r="I394" s="565"/>
      <c r="J394" s="565"/>
      <c r="K394" s="566"/>
      <c r="L394" s="567">
        <f t="shared" si="264"/>
        <v>0</v>
      </c>
      <c r="M394" s="568">
        <f t="shared" si="264"/>
        <v>0</v>
      </c>
      <c r="N394" s="568">
        <f t="shared" si="264"/>
        <v>0</v>
      </c>
      <c r="O394" s="568">
        <f t="shared" si="259"/>
        <v>0</v>
      </c>
      <c r="P394" s="568">
        <f t="shared" si="260"/>
        <v>0</v>
      </c>
      <c r="Q394" s="568">
        <f t="shared" ca="1" si="265"/>
        <v>0</v>
      </c>
      <c r="R394" s="568">
        <f t="shared" ca="1" si="265"/>
        <v>0</v>
      </c>
      <c r="S394" s="568">
        <f t="shared" ca="1" si="265"/>
        <v>0</v>
      </c>
      <c r="T394" s="568">
        <f t="shared" ca="1" si="262"/>
        <v>0</v>
      </c>
      <c r="U394" s="568">
        <f t="shared" ca="1" si="263"/>
        <v>0</v>
      </c>
    </row>
    <row r="395" spans="1:21" ht="18.75" hidden="1" x14ac:dyDescent="0.25">
      <c r="A395" s="674"/>
      <c r="B395" s="718"/>
      <c r="C395" s="718"/>
      <c r="D395" s="721" t="s">
        <v>22</v>
      </c>
      <c r="E395" s="561"/>
      <c r="F395" s="561"/>
      <c r="G395" s="563"/>
      <c r="H395" s="682" t="s">
        <v>14</v>
      </c>
      <c r="I395" s="683"/>
      <c r="J395" s="683"/>
      <c r="K395" s="684"/>
      <c r="L395" s="567">
        <f t="shared" ref="L395:N395" si="266">L396+L397</f>
        <v>0</v>
      </c>
      <c r="M395" s="568">
        <f t="shared" si="266"/>
        <v>0</v>
      </c>
      <c r="N395" s="568">
        <f t="shared" si="266"/>
        <v>0</v>
      </c>
      <c r="O395" s="568">
        <f t="shared" si="259"/>
        <v>0</v>
      </c>
      <c r="P395" s="568">
        <f t="shared" si="260"/>
        <v>0</v>
      </c>
      <c r="Q395" s="568">
        <f t="shared" ref="Q395:S395" ca="1" si="267">Q396+Q397</f>
        <v>0</v>
      </c>
      <c r="R395" s="568">
        <f t="shared" ca="1" si="267"/>
        <v>0</v>
      </c>
      <c r="S395" s="568">
        <f t="shared" ca="1" si="267"/>
        <v>0</v>
      </c>
      <c r="T395" s="568">
        <f t="shared" ca="1" si="262"/>
        <v>0</v>
      </c>
      <c r="U395" s="568">
        <f t="shared" ca="1" si="263"/>
        <v>0</v>
      </c>
    </row>
    <row r="396" spans="1:21" ht="18.75" hidden="1" x14ac:dyDescent="0.25">
      <c r="A396" s="674"/>
      <c r="B396" s="718"/>
      <c r="C396" s="718"/>
      <c r="D396" s="718"/>
      <c r="E396" s="569" t="s">
        <v>36</v>
      </c>
      <c r="F396" s="561"/>
      <c r="G396" s="563"/>
      <c r="H396" s="685" t="s">
        <v>14</v>
      </c>
      <c r="I396" s="683"/>
      <c r="J396" s="683"/>
      <c r="K396" s="684"/>
      <c r="L396" s="571">
        <v>0</v>
      </c>
      <c r="M396" s="572">
        <v>0</v>
      </c>
      <c r="N396" s="572">
        <v>0</v>
      </c>
      <c r="O396" s="572">
        <f t="shared" si="259"/>
        <v>0</v>
      </c>
      <c r="P396" s="572">
        <f t="shared" si="260"/>
        <v>0</v>
      </c>
      <c r="Q396" s="572">
        <v>0</v>
      </c>
      <c r="R396" s="572">
        <v>0</v>
      </c>
      <c r="S396" s="572">
        <v>0</v>
      </c>
      <c r="T396" s="572">
        <f t="shared" si="262"/>
        <v>0</v>
      </c>
      <c r="U396" s="572">
        <f t="shared" si="263"/>
        <v>0</v>
      </c>
    </row>
    <row r="397" spans="1:21" ht="18.75" hidden="1" x14ac:dyDescent="0.25">
      <c r="A397" s="674"/>
      <c r="B397" s="718"/>
      <c r="C397" s="718"/>
      <c r="D397" s="718"/>
      <c r="E397" s="765" t="s">
        <v>37</v>
      </c>
      <c r="F397" s="718"/>
      <c r="G397" s="727"/>
      <c r="H397" s="682" t="s">
        <v>14</v>
      </c>
      <c r="I397" s="683"/>
      <c r="J397" s="683"/>
      <c r="K397" s="684"/>
      <c r="L397" s="567">
        <v>0</v>
      </c>
      <c r="M397" s="568">
        <v>0</v>
      </c>
      <c r="N397" s="568">
        <v>0</v>
      </c>
      <c r="O397" s="568">
        <f t="shared" si="259"/>
        <v>0</v>
      </c>
      <c r="P397" s="568">
        <f t="shared" si="260"/>
        <v>0</v>
      </c>
      <c r="Q397" s="568">
        <f ca="1">IFERROR(__xludf.DUMMYFUNCTION("IMPORTRANGE(""https://docs.google.com/spreadsheets/d/1ItG2mGa2ceCfYo0BwxsXqNm01IGEUdYcSSLTEv9YCik/edit?usp=sharing"",""เบิกจ่ายกองทุน!CL21"")"),0)</f>
        <v>0</v>
      </c>
      <c r="R397" s="568">
        <f ca="1">IFERROR(__xludf.DUMMYFUNCTION("IMPORTRANGE(""https://docs.google.com/spreadsheets/d/1ItG2mGa2ceCfYo0BwxsXqNm01IGEUdYcSSLTEv9YCik/edit?usp=sharing"",""เบิกจ่ายกองทุน!CM21"")"),0)</f>
        <v>0</v>
      </c>
      <c r="S397" s="568">
        <f ca="1">IFERROR(__xludf.DUMMYFUNCTION("IMPORTRANGE(""https://docs.google.com/spreadsheets/d/1ItG2mGa2ceCfYo0BwxsXqNm01IGEUdYcSSLTEv9YCik/edit?usp=sharing"",""เบิกจ่ายกองทุน!CN21"")"),0)</f>
        <v>0</v>
      </c>
      <c r="T397" s="568">
        <f t="shared" ca="1" si="262"/>
        <v>0</v>
      </c>
      <c r="U397" s="568">
        <f t="shared" ca="1" si="263"/>
        <v>0</v>
      </c>
    </row>
    <row r="398" spans="1:21" ht="18.75" hidden="1" x14ac:dyDescent="0.25">
      <c r="A398" s="674"/>
      <c r="B398" s="718"/>
      <c r="C398" s="718"/>
      <c r="D398" s="721" t="s">
        <v>23</v>
      </c>
      <c r="E398" s="561"/>
      <c r="F398" s="561"/>
      <c r="G398" s="563"/>
      <c r="H398" s="686" t="s">
        <v>14</v>
      </c>
      <c r="I398" s="683"/>
      <c r="J398" s="683"/>
      <c r="K398" s="684"/>
      <c r="L398" s="567">
        <f t="shared" ref="L398:N398" si="268">L399+L400</f>
        <v>0</v>
      </c>
      <c r="M398" s="568">
        <f t="shared" si="268"/>
        <v>0</v>
      </c>
      <c r="N398" s="568">
        <f t="shared" si="268"/>
        <v>0</v>
      </c>
      <c r="O398" s="568">
        <f t="shared" si="259"/>
        <v>0</v>
      </c>
      <c r="P398" s="568">
        <f t="shared" si="260"/>
        <v>0</v>
      </c>
      <c r="Q398" s="568">
        <f t="shared" ref="Q398:S398" si="269">Q399+Q400</f>
        <v>0</v>
      </c>
      <c r="R398" s="568">
        <f t="shared" si="269"/>
        <v>0</v>
      </c>
      <c r="S398" s="568">
        <f t="shared" si="269"/>
        <v>0</v>
      </c>
      <c r="T398" s="568">
        <f t="shared" si="262"/>
        <v>0</v>
      </c>
      <c r="U398" s="568">
        <f t="shared" si="263"/>
        <v>0</v>
      </c>
    </row>
    <row r="399" spans="1:21" ht="18.75" hidden="1" x14ac:dyDescent="0.25">
      <c r="A399" s="674"/>
      <c r="B399" s="718"/>
      <c r="C399" s="718"/>
      <c r="D399" s="718"/>
      <c r="E399" s="569" t="s">
        <v>20</v>
      </c>
      <c r="F399" s="561"/>
      <c r="G399" s="563"/>
      <c r="H399" s="685" t="s">
        <v>14</v>
      </c>
      <c r="I399" s="683"/>
      <c r="J399" s="683"/>
      <c r="K399" s="684"/>
      <c r="L399" s="571">
        <v>0</v>
      </c>
      <c r="M399" s="572">
        <v>0</v>
      </c>
      <c r="N399" s="572">
        <v>0</v>
      </c>
      <c r="O399" s="572">
        <f t="shared" si="259"/>
        <v>0</v>
      </c>
      <c r="P399" s="572">
        <f t="shared" si="260"/>
        <v>0</v>
      </c>
      <c r="Q399" s="572">
        <v>0</v>
      </c>
      <c r="R399" s="572">
        <v>0</v>
      </c>
      <c r="S399" s="572">
        <v>0</v>
      </c>
      <c r="T399" s="572">
        <f t="shared" si="262"/>
        <v>0</v>
      </c>
      <c r="U399" s="572">
        <f t="shared" si="263"/>
        <v>0</v>
      </c>
    </row>
    <row r="400" spans="1:21" ht="18.75" hidden="1" x14ac:dyDescent="0.25">
      <c r="A400" s="674"/>
      <c r="B400" s="718"/>
      <c r="C400" s="718"/>
      <c r="D400" s="718"/>
      <c r="E400" s="573" t="s">
        <v>21</v>
      </c>
      <c r="F400" s="561"/>
      <c r="G400" s="563"/>
      <c r="H400" s="686" t="s">
        <v>14</v>
      </c>
      <c r="I400" s="683"/>
      <c r="J400" s="683"/>
      <c r="K400" s="684"/>
      <c r="L400" s="567">
        <v>0</v>
      </c>
      <c r="M400" s="568">
        <v>0</v>
      </c>
      <c r="N400" s="568">
        <v>0</v>
      </c>
      <c r="O400" s="568">
        <f t="shared" si="259"/>
        <v>0</v>
      </c>
      <c r="P400" s="568">
        <f t="shared" si="260"/>
        <v>0</v>
      </c>
      <c r="Q400" s="568">
        <v>0</v>
      </c>
      <c r="R400" s="568">
        <v>0</v>
      </c>
      <c r="S400" s="568">
        <v>0</v>
      </c>
      <c r="T400" s="568">
        <f t="shared" si="262"/>
        <v>0</v>
      </c>
      <c r="U400" s="568">
        <f t="shared" si="263"/>
        <v>0</v>
      </c>
    </row>
    <row r="401" spans="1:21" ht="19.5" hidden="1" x14ac:dyDescent="0.3">
      <c r="A401" s="687"/>
      <c r="B401" s="688"/>
      <c r="C401" s="719" t="s">
        <v>18</v>
      </c>
      <c r="D401" s="956" t="s">
        <v>38</v>
      </c>
      <c r="E401" s="690"/>
      <c r="F401" s="690"/>
      <c r="G401" s="691"/>
      <c r="H401" s="725"/>
      <c r="I401" s="683"/>
      <c r="J401" s="565"/>
      <c r="K401" s="566"/>
      <c r="L401" s="574"/>
      <c r="M401" s="566"/>
      <c r="N401" s="566"/>
      <c r="O401" s="684"/>
      <c r="P401" s="684"/>
      <c r="Q401" s="566"/>
      <c r="R401" s="566"/>
      <c r="S401" s="566"/>
      <c r="T401" s="684"/>
      <c r="U401" s="684"/>
    </row>
    <row r="402" spans="1:21" ht="12.75" hidden="1" x14ac:dyDescent="0.2">
      <c r="A402" s="973"/>
      <c r="B402" s="961"/>
      <c r="C402" s="961"/>
      <c r="D402" s="961"/>
      <c r="E402" s="974"/>
      <c r="F402" s="974"/>
      <c r="G402" s="975"/>
      <c r="H402" s="962"/>
      <c r="I402" s="963"/>
      <c r="J402" s="963"/>
      <c r="K402" s="964"/>
      <c r="L402" s="965"/>
      <c r="M402" s="964"/>
      <c r="N402" s="964"/>
      <c r="O402" s="964"/>
      <c r="P402" s="964"/>
      <c r="Q402" s="964"/>
      <c r="R402" s="964"/>
      <c r="S402" s="964"/>
      <c r="T402" s="964"/>
      <c r="U402" s="964"/>
    </row>
    <row r="403" spans="1:21" ht="12.75" hidden="1" x14ac:dyDescent="0.2">
      <c r="A403" s="961"/>
      <c r="B403" s="961"/>
      <c r="C403" s="961"/>
      <c r="D403" s="961"/>
      <c r="E403" s="961"/>
      <c r="F403" s="961"/>
      <c r="G403" s="962"/>
      <c r="H403" s="962"/>
      <c r="I403" s="963"/>
      <c r="J403" s="963"/>
      <c r="K403" s="964"/>
      <c r="L403" s="965"/>
      <c r="M403" s="964"/>
      <c r="N403" s="964"/>
      <c r="O403" s="964"/>
      <c r="P403" s="964"/>
      <c r="Q403" s="964"/>
      <c r="R403" s="964"/>
      <c r="S403" s="964"/>
      <c r="T403" s="964"/>
      <c r="U403" s="964"/>
    </row>
    <row r="404" spans="1:21" ht="12.75" hidden="1" x14ac:dyDescent="0.2">
      <c r="A404" s="961"/>
      <c r="B404" s="961"/>
      <c r="C404" s="961"/>
      <c r="D404" s="961"/>
      <c r="E404" s="961"/>
      <c r="F404" s="961"/>
      <c r="G404" s="962"/>
      <c r="H404" s="962"/>
      <c r="I404" s="963"/>
      <c r="J404" s="963"/>
      <c r="K404" s="964"/>
      <c r="L404" s="965"/>
      <c r="M404" s="964"/>
      <c r="N404" s="964"/>
      <c r="O404" s="964"/>
      <c r="P404" s="964"/>
      <c r="Q404" s="964"/>
      <c r="R404" s="964"/>
      <c r="S404" s="964"/>
      <c r="T404" s="964"/>
      <c r="U404" s="964"/>
    </row>
    <row r="405" spans="1:21" ht="12.75" hidden="1" x14ac:dyDescent="0.2">
      <c r="A405" s="961"/>
      <c r="B405" s="961"/>
      <c r="C405" s="961"/>
      <c r="D405" s="961"/>
      <c r="E405" s="961"/>
      <c r="F405" s="961"/>
      <c r="G405" s="962"/>
      <c r="H405" s="962"/>
      <c r="I405" s="963"/>
      <c r="J405" s="963"/>
      <c r="K405" s="964"/>
      <c r="L405" s="965"/>
      <c r="M405" s="964"/>
      <c r="N405" s="964"/>
      <c r="O405" s="964"/>
      <c r="P405" s="964"/>
      <c r="Q405" s="964"/>
      <c r="R405" s="964"/>
      <c r="S405" s="964"/>
      <c r="T405" s="964"/>
      <c r="U405" s="964"/>
    </row>
    <row r="406" spans="1:21" ht="12.75" hidden="1" x14ac:dyDescent="0.2">
      <c r="A406" s="961"/>
      <c r="B406" s="961"/>
      <c r="C406" s="961"/>
      <c r="D406" s="961"/>
      <c r="E406" s="961"/>
      <c r="F406" s="961"/>
      <c r="G406" s="962"/>
      <c r="H406" s="962"/>
      <c r="I406" s="963"/>
      <c r="J406" s="963"/>
      <c r="K406" s="964"/>
      <c r="L406" s="965"/>
      <c r="M406" s="964"/>
      <c r="N406" s="964"/>
      <c r="O406" s="964"/>
      <c r="P406" s="964"/>
      <c r="Q406" s="964"/>
      <c r="R406" s="964"/>
      <c r="S406" s="964"/>
      <c r="T406" s="964"/>
      <c r="U406" s="964"/>
    </row>
    <row r="407" spans="1:21" ht="12.75" hidden="1" x14ac:dyDescent="0.2">
      <c r="A407" s="961"/>
      <c r="B407" s="961"/>
      <c r="C407" s="961"/>
      <c r="D407" s="961"/>
      <c r="E407" s="961"/>
      <c r="F407" s="961"/>
      <c r="G407" s="962"/>
      <c r="H407" s="962"/>
      <c r="I407" s="963"/>
      <c r="J407" s="963"/>
      <c r="K407" s="964"/>
      <c r="L407" s="965"/>
      <c r="M407" s="964"/>
      <c r="N407" s="964"/>
      <c r="O407" s="964"/>
      <c r="P407" s="964"/>
      <c r="Q407" s="964"/>
      <c r="R407" s="964"/>
      <c r="S407" s="964"/>
      <c r="T407" s="964"/>
      <c r="U407" s="964"/>
    </row>
    <row r="408" spans="1:21" ht="12.75" hidden="1" x14ac:dyDescent="0.2">
      <c r="A408" s="961"/>
      <c r="B408" s="961"/>
      <c r="C408" s="961"/>
      <c r="D408" s="961"/>
      <c r="E408" s="961"/>
      <c r="F408" s="961"/>
      <c r="G408" s="962"/>
      <c r="H408" s="962"/>
      <c r="I408" s="963"/>
      <c r="J408" s="963"/>
      <c r="K408" s="964"/>
      <c r="L408" s="965"/>
      <c r="M408" s="964"/>
      <c r="N408" s="964"/>
      <c r="O408" s="964"/>
      <c r="P408" s="964"/>
      <c r="Q408" s="964"/>
      <c r="R408" s="964"/>
      <c r="S408" s="964"/>
      <c r="T408" s="964"/>
      <c r="U408" s="964"/>
    </row>
    <row r="409" spans="1:21" ht="12.75" hidden="1" x14ac:dyDescent="0.2">
      <c r="A409" s="961"/>
      <c r="B409" s="961"/>
      <c r="C409" s="961"/>
      <c r="D409" s="961"/>
      <c r="E409" s="961"/>
      <c r="F409" s="961"/>
      <c r="G409" s="962"/>
      <c r="H409" s="962"/>
      <c r="I409" s="963"/>
      <c r="J409" s="963"/>
      <c r="K409" s="964"/>
      <c r="L409" s="965"/>
      <c r="M409" s="964"/>
      <c r="N409" s="964"/>
      <c r="O409" s="964"/>
      <c r="P409" s="964"/>
      <c r="Q409" s="964"/>
      <c r="R409" s="964"/>
      <c r="S409" s="964"/>
      <c r="T409" s="964"/>
      <c r="U409" s="964"/>
    </row>
    <row r="410" spans="1:21" ht="12.75" hidden="1" x14ac:dyDescent="0.2">
      <c r="A410" s="961"/>
      <c r="B410" s="961"/>
      <c r="C410" s="961"/>
      <c r="D410" s="961"/>
      <c r="E410" s="961"/>
      <c r="F410" s="961"/>
      <c r="G410" s="962"/>
      <c r="H410" s="962"/>
      <c r="I410" s="963"/>
      <c r="J410" s="963"/>
      <c r="K410" s="964"/>
      <c r="L410" s="965"/>
      <c r="M410" s="964"/>
      <c r="N410" s="964"/>
      <c r="O410" s="964"/>
      <c r="P410" s="964"/>
      <c r="Q410" s="964"/>
      <c r="R410" s="964"/>
      <c r="S410" s="964"/>
      <c r="T410" s="964"/>
      <c r="U410" s="964"/>
    </row>
    <row r="411" spans="1:21" ht="12.75" hidden="1" x14ac:dyDescent="0.2">
      <c r="A411" s="966"/>
      <c r="B411" s="966"/>
      <c r="C411" s="966"/>
      <c r="D411" s="966"/>
      <c r="E411" s="966"/>
      <c r="F411" s="966"/>
      <c r="G411" s="967"/>
      <c r="H411" s="967"/>
      <c r="I411" s="968"/>
      <c r="J411" s="968"/>
      <c r="K411" s="969"/>
      <c r="L411" s="970"/>
      <c r="M411" s="969"/>
      <c r="N411" s="969"/>
      <c r="O411" s="969"/>
      <c r="P411" s="969"/>
      <c r="Q411" s="969"/>
      <c r="R411" s="969"/>
      <c r="S411" s="969"/>
      <c r="T411" s="969"/>
      <c r="U411" s="969"/>
    </row>
    <row r="412" spans="1:21" ht="19.5" x14ac:dyDescent="0.3">
      <c r="A412" s="928"/>
      <c r="B412" s="971" t="s">
        <v>157</v>
      </c>
      <c r="C412" s="928"/>
      <c r="D412" s="928"/>
      <c r="E412" s="928"/>
      <c r="F412" s="928"/>
      <c r="G412" s="976"/>
      <c r="H412" s="977" t="s">
        <v>46</v>
      </c>
      <c r="I412" s="914">
        <f t="shared" ref="I412:J412" ca="1" si="270">I423</f>
        <v>0</v>
      </c>
      <c r="J412" s="914">
        <f t="shared" si="270"/>
        <v>0</v>
      </c>
      <c r="K412" s="915">
        <f ca="1">IF(I412&gt;0,J412*100/I412,0)</f>
        <v>0</v>
      </c>
      <c r="L412" s="916"/>
      <c r="M412" s="917"/>
      <c r="N412" s="917"/>
      <c r="O412" s="917"/>
      <c r="P412" s="917"/>
      <c r="Q412" s="917"/>
      <c r="R412" s="917"/>
      <c r="S412" s="917"/>
      <c r="T412" s="917"/>
      <c r="U412" s="917"/>
    </row>
    <row r="413" spans="1:21" ht="19.5" x14ac:dyDescent="0.3">
      <c r="A413" s="674"/>
      <c r="B413" s="718"/>
      <c r="C413" s="978" t="s">
        <v>18</v>
      </c>
      <c r="D413" s="1313" t="s">
        <v>19</v>
      </c>
      <c r="E413" s="1314"/>
      <c r="F413" s="1314"/>
      <c r="G413" s="1317"/>
      <c r="H413" s="979" t="s">
        <v>14</v>
      </c>
      <c r="I413" s="565"/>
      <c r="J413" s="565"/>
      <c r="K413" s="566"/>
      <c r="L413" s="678">
        <f t="shared" ref="L413:N413" ca="1" si="271">L414+L415</f>
        <v>131490</v>
      </c>
      <c r="M413" s="679">
        <f t="shared" ca="1" si="271"/>
        <v>0</v>
      </c>
      <c r="N413" s="679">
        <f t="shared" ca="1" si="271"/>
        <v>0</v>
      </c>
      <c r="O413" s="679">
        <f t="shared" ref="O413:O421" ca="1" si="272">IF(L413&gt;0,N413*100/L413,0)</f>
        <v>0</v>
      </c>
      <c r="P413" s="679">
        <f t="shared" ref="P413:P421" ca="1" si="273">IF(M413&gt;0,N413*100/M413,0)</f>
        <v>0</v>
      </c>
      <c r="Q413" s="679">
        <f t="shared" ref="Q413:S413" ca="1" si="274">Q414+Q415</f>
        <v>26730</v>
      </c>
      <c r="R413" s="679">
        <f t="shared" ca="1" si="274"/>
        <v>26730</v>
      </c>
      <c r="S413" s="679">
        <f t="shared" ca="1" si="274"/>
        <v>0</v>
      </c>
      <c r="T413" s="679">
        <f t="shared" ref="T413:T421" ca="1" si="275">IF(Q413&gt;0,S413*100/Q413,0)</f>
        <v>0</v>
      </c>
      <c r="U413" s="679">
        <f t="shared" ref="U413:U421" ca="1" si="276">IF(R413&gt;0,S413*100/R413,0)</f>
        <v>0</v>
      </c>
    </row>
    <row r="414" spans="1:21" ht="18.75" x14ac:dyDescent="0.25">
      <c r="A414" s="674"/>
      <c r="B414" s="718"/>
      <c r="C414" s="718"/>
      <c r="D414" s="718"/>
      <c r="E414" s="767" t="s">
        <v>158</v>
      </c>
      <c r="F414" s="718"/>
      <c r="G414" s="727"/>
      <c r="H414" s="723" t="s">
        <v>14</v>
      </c>
      <c r="I414" s="565"/>
      <c r="J414" s="565"/>
      <c r="K414" s="566"/>
      <c r="L414" s="571">
        <f t="shared" ref="L414:N415" si="277">L417+L420</f>
        <v>0</v>
      </c>
      <c r="M414" s="572">
        <f t="shared" si="277"/>
        <v>0</v>
      </c>
      <c r="N414" s="572">
        <f t="shared" si="277"/>
        <v>0</v>
      </c>
      <c r="O414" s="572">
        <f t="shared" si="272"/>
        <v>0</v>
      </c>
      <c r="P414" s="572">
        <f t="shared" si="273"/>
        <v>0</v>
      </c>
      <c r="Q414" s="572">
        <f t="shared" ref="Q414:S415" si="278">Q417+Q420</f>
        <v>0</v>
      </c>
      <c r="R414" s="572">
        <f t="shared" si="278"/>
        <v>0</v>
      </c>
      <c r="S414" s="572">
        <f t="shared" si="278"/>
        <v>0</v>
      </c>
      <c r="T414" s="572">
        <f t="shared" si="275"/>
        <v>0</v>
      </c>
      <c r="U414" s="572">
        <f t="shared" si="276"/>
        <v>0</v>
      </c>
    </row>
    <row r="415" spans="1:21" ht="18.75" x14ac:dyDescent="0.25">
      <c r="A415" s="674"/>
      <c r="B415" s="718"/>
      <c r="C415" s="718"/>
      <c r="D415" s="718"/>
      <c r="E415" s="765" t="s">
        <v>159</v>
      </c>
      <c r="F415" s="718"/>
      <c r="G415" s="727"/>
      <c r="H415" s="722" t="s">
        <v>14</v>
      </c>
      <c r="I415" s="565"/>
      <c r="J415" s="565"/>
      <c r="K415" s="566"/>
      <c r="L415" s="567">
        <f t="shared" ca="1" si="277"/>
        <v>131490</v>
      </c>
      <c r="M415" s="568">
        <f t="shared" ca="1" si="277"/>
        <v>0</v>
      </c>
      <c r="N415" s="568">
        <f t="shared" ca="1" si="277"/>
        <v>0</v>
      </c>
      <c r="O415" s="568">
        <f t="shared" ca="1" si="272"/>
        <v>0</v>
      </c>
      <c r="P415" s="568">
        <f t="shared" ca="1" si="273"/>
        <v>0</v>
      </c>
      <c r="Q415" s="568">
        <f t="shared" ca="1" si="278"/>
        <v>26730</v>
      </c>
      <c r="R415" s="568">
        <f t="shared" ca="1" si="278"/>
        <v>26730</v>
      </c>
      <c r="S415" s="568">
        <f t="shared" ca="1" si="278"/>
        <v>0</v>
      </c>
      <c r="T415" s="568">
        <f t="shared" ca="1" si="275"/>
        <v>0</v>
      </c>
      <c r="U415" s="568">
        <f t="shared" ca="1" si="276"/>
        <v>0</v>
      </c>
    </row>
    <row r="416" spans="1:21" ht="19.5" x14ac:dyDescent="0.3">
      <c r="A416" s="674"/>
      <c r="B416" s="718"/>
      <c r="C416" s="718"/>
      <c r="D416" s="955" t="s">
        <v>22</v>
      </c>
      <c r="E416" s="718"/>
      <c r="F416" s="718"/>
      <c r="G416" s="727"/>
      <c r="H416" s="979" t="s">
        <v>14</v>
      </c>
      <c r="I416" s="565"/>
      <c r="J416" s="565"/>
      <c r="K416" s="566"/>
      <c r="L416" s="567">
        <f t="shared" ref="L416:N416" ca="1" si="279">L417+L418</f>
        <v>131490</v>
      </c>
      <c r="M416" s="568">
        <f t="shared" ca="1" si="279"/>
        <v>0</v>
      </c>
      <c r="N416" s="568">
        <f t="shared" ca="1" si="279"/>
        <v>0</v>
      </c>
      <c r="O416" s="568">
        <f t="shared" ca="1" si="272"/>
        <v>0</v>
      </c>
      <c r="P416" s="568">
        <f t="shared" ca="1" si="273"/>
        <v>0</v>
      </c>
      <c r="Q416" s="568">
        <f t="shared" ref="Q416:S416" ca="1" si="280">Q417+Q418</f>
        <v>26730</v>
      </c>
      <c r="R416" s="568">
        <f t="shared" ca="1" si="280"/>
        <v>26730</v>
      </c>
      <c r="S416" s="568">
        <f t="shared" ca="1" si="280"/>
        <v>0</v>
      </c>
      <c r="T416" s="568">
        <f t="shared" ca="1" si="275"/>
        <v>0</v>
      </c>
      <c r="U416" s="568">
        <f t="shared" ca="1" si="276"/>
        <v>0</v>
      </c>
    </row>
    <row r="417" spans="1:21" ht="18.75" x14ac:dyDescent="0.25">
      <c r="A417" s="674"/>
      <c r="B417" s="718"/>
      <c r="C417" s="718"/>
      <c r="D417" s="718"/>
      <c r="E417" s="767" t="s">
        <v>158</v>
      </c>
      <c r="F417" s="718"/>
      <c r="G417" s="727"/>
      <c r="H417" s="723" t="s">
        <v>14</v>
      </c>
      <c r="I417" s="565"/>
      <c r="J417" s="565"/>
      <c r="K417" s="566"/>
      <c r="L417" s="571">
        <v>0</v>
      </c>
      <c r="M417" s="572">
        <v>0</v>
      </c>
      <c r="N417" s="572">
        <v>0</v>
      </c>
      <c r="O417" s="572">
        <f t="shared" si="272"/>
        <v>0</v>
      </c>
      <c r="P417" s="572">
        <f t="shared" si="273"/>
        <v>0</v>
      </c>
      <c r="Q417" s="572">
        <v>0</v>
      </c>
      <c r="R417" s="572">
        <v>0</v>
      </c>
      <c r="S417" s="572">
        <v>0</v>
      </c>
      <c r="T417" s="572">
        <f t="shared" si="275"/>
        <v>0</v>
      </c>
      <c r="U417" s="572">
        <f t="shared" si="276"/>
        <v>0</v>
      </c>
    </row>
    <row r="418" spans="1:21" ht="18.75" x14ac:dyDescent="0.25">
      <c r="A418" s="674"/>
      <c r="B418" s="718"/>
      <c r="C418" s="718"/>
      <c r="D418" s="718"/>
      <c r="E418" s="765" t="s">
        <v>159</v>
      </c>
      <c r="F418" s="718"/>
      <c r="G418" s="727"/>
      <c r="H418" s="722" t="s">
        <v>14</v>
      </c>
      <c r="I418" s="565"/>
      <c r="J418" s="565"/>
      <c r="K418" s="566"/>
      <c r="L418" s="567">
        <f ca="1">IFERROR(__xludf.DUMMYFUNCTION("IMPORTRANGE(""https://docs.google.com/spreadsheets/d/1-uDff_7J0KD5mKrp0Vvzr7lt3OU09vwQwhkpOPPYv2Y/edit?usp=sharing"",""งบพรบ!IO21"")"),131490)</f>
        <v>131490</v>
      </c>
      <c r="M418" s="568">
        <f ca="1">IFERROR(__xludf.DUMMYFUNCTION("IMPORTRANGE(""https://docs.google.com/spreadsheets/d/1-uDff_7J0KD5mKrp0Vvzr7lt3OU09vwQwhkpOPPYv2Y/edit?usp=sharing"",""งบพรบ!IT21"")"),0)</f>
        <v>0</v>
      </c>
      <c r="N418" s="568">
        <f ca="1">IFERROR(__xludf.DUMMYFUNCTION("IMPORTRANGE(""https://docs.google.com/spreadsheets/d/1-uDff_7J0KD5mKrp0Vvzr7lt3OU09vwQwhkpOPPYv2Y/edit?usp=sharing"",""งบพรบ!IV21"")"),0)</f>
        <v>0</v>
      </c>
      <c r="O418" s="568">
        <f t="shared" ca="1" si="272"/>
        <v>0</v>
      </c>
      <c r="P418" s="568">
        <f t="shared" ca="1" si="273"/>
        <v>0</v>
      </c>
      <c r="Q418" s="568">
        <f ca="1">IFERROR(__xludf.DUMMYFUNCTION("IMPORTRANGE(""https://docs.google.com/spreadsheets/d/1ItG2mGa2ceCfYo0BwxsXqNm01IGEUdYcSSLTEv9YCik/edit?usp=sharing"",""เบิกจ่ายกองทุน!BZ21"")"),26730)</f>
        <v>26730</v>
      </c>
      <c r="R418" s="568">
        <f ca="1">IFERROR(__xludf.DUMMYFUNCTION("IMPORTRANGE(""https://docs.google.com/spreadsheets/d/1ItG2mGa2ceCfYo0BwxsXqNm01IGEUdYcSSLTEv9YCik/edit?usp=sharing"",""เบิกจ่ายกองทุน!CA21"")"),26730)</f>
        <v>26730</v>
      </c>
      <c r="S418" s="568">
        <f ca="1">IFERROR(__xludf.DUMMYFUNCTION("IMPORTRANGE(""https://docs.google.com/spreadsheets/d/1ItG2mGa2ceCfYo0BwxsXqNm01IGEUdYcSSLTEv9YCik/edit?usp=sharing"",""เบิกจ่ายกองทุน!CB21"")"),0)</f>
        <v>0</v>
      </c>
      <c r="T418" s="568">
        <f t="shared" ca="1" si="275"/>
        <v>0</v>
      </c>
      <c r="U418" s="568">
        <f t="shared" ca="1" si="276"/>
        <v>0</v>
      </c>
    </row>
    <row r="419" spans="1:21" ht="19.5" x14ac:dyDescent="0.3">
      <c r="A419" s="674"/>
      <c r="B419" s="718"/>
      <c r="C419" s="718"/>
      <c r="D419" s="955" t="s">
        <v>23</v>
      </c>
      <c r="E419" s="718"/>
      <c r="F419" s="718"/>
      <c r="G419" s="727"/>
      <c r="H419" s="677" t="s">
        <v>14</v>
      </c>
      <c r="I419" s="565"/>
      <c r="J419" s="565"/>
      <c r="K419" s="566"/>
      <c r="L419" s="567">
        <f t="shared" ref="L419:N419" ca="1" si="281">L420+L421</f>
        <v>0</v>
      </c>
      <c r="M419" s="568">
        <f t="shared" ca="1" si="281"/>
        <v>0</v>
      </c>
      <c r="N419" s="568">
        <f t="shared" ca="1" si="281"/>
        <v>0</v>
      </c>
      <c r="O419" s="568">
        <f t="shared" ca="1" si="272"/>
        <v>0</v>
      </c>
      <c r="P419" s="568">
        <f t="shared" ca="1" si="273"/>
        <v>0</v>
      </c>
      <c r="Q419" s="568">
        <f t="shared" ref="Q419:S419" si="282">Q420+Q421</f>
        <v>0</v>
      </c>
      <c r="R419" s="568">
        <f t="shared" si="282"/>
        <v>0</v>
      </c>
      <c r="S419" s="568">
        <f t="shared" si="282"/>
        <v>0</v>
      </c>
      <c r="T419" s="568">
        <f t="shared" si="275"/>
        <v>0</v>
      </c>
      <c r="U419" s="568">
        <f t="shared" si="276"/>
        <v>0</v>
      </c>
    </row>
    <row r="420" spans="1:21" ht="18.75" x14ac:dyDescent="0.25">
      <c r="A420" s="674"/>
      <c r="B420" s="718"/>
      <c r="C420" s="718"/>
      <c r="D420" s="718"/>
      <c r="E420" s="767" t="s">
        <v>20</v>
      </c>
      <c r="F420" s="718"/>
      <c r="G420" s="727"/>
      <c r="H420" s="723" t="s">
        <v>14</v>
      </c>
      <c r="I420" s="565"/>
      <c r="J420" s="565"/>
      <c r="K420" s="566"/>
      <c r="L420" s="571">
        <v>0</v>
      </c>
      <c r="M420" s="572">
        <v>0</v>
      </c>
      <c r="N420" s="572">
        <v>0</v>
      </c>
      <c r="O420" s="572">
        <f t="shared" si="272"/>
        <v>0</v>
      </c>
      <c r="P420" s="572">
        <f t="shared" si="273"/>
        <v>0</v>
      </c>
      <c r="Q420" s="572">
        <v>0</v>
      </c>
      <c r="R420" s="572">
        <v>0</v>
      </c>
      <c r="S420" s="572">
        <v>0</v>
      </c>
      <c r="T420" s="572">
        <f t="shared" si="275"/>
        <v>0</v>
      </c>
      <c r="U420" s="572">
        <f t="shared" si="276"/>
        <v>0</v>
      </c>
    </row>
    <row r="421" spans="1:21" ht="18.75" x14ac:dyDescent="0.25">
      <c r="A421" s="674"/>
      <c r="B421" s="718"/>
      <c r="C421" s="718"/>
      <c r="D421" s="718"/>
      <c r="E421" s="765" t="s">
        <v>21</v>
      </c>
      <c r="F421" s="718"/>
      <c r="G421" s="727"/>
      <c r="H421" s="681" t="s">
        <v>14</v>
      </c>
      <c r="I421" s="565"/>
      <c r="J421" s="565"/>
      <c r="K421" s="566"/>
      <c r="L421" s="567">
        <f ca="1">IFERROR(__xludf.DUMMYFUNCTION("IMPORTRANGE(""https://docs.google.com/spreadsheets/d/1-uDff_7J0KD5mKrp0Vvzr7lt3OU09vwQwhkpOPPYv2Y/edit?usp=sharing"",""งบพรบ!IR21"")"),0)</f>
        <v>0</v>
      </c>
      <c r="M421" s="568">
        <f ca="1">IFERROR(__xludf.DUMMYFUNCTION("IMPORTRANGE(""https://docs.google.com/spreadsheets/d/1-uDff_7J0KD5mKrp0Vvzr7lt3OU09vwQwhkpOPPYv2Y/edit?usp=sharing"",""งบพรบ!IU21"")"),0)</f>
        <v>0</v>
      </c>
      <c r="N421" s="568">
        <f ca="1">IFERROR(__xludf.DUMMYFUNCTION("IMPORTRANGE(""https://docs.google.com/spreadsheets/d/1-uDff_7J0KD5mKrp0Vvzr7lt3OU09vwQwhkpOPPYv2Y/edit?usp=sharing"",""งบพรบ!IW21"")"),0)</f>
        <v>0</v>
      </c>
      <c r="O421" s="568">
        <f t="shared" ca="1" si="272"/>
        <v>0</v>
      </c>
      <c r="P421" s="568">
        <f t="shared" ca="1" si="273"/>
        <v>0</v>
      </c>
      <c r="Q421" s="568">
        <v>0</v>
      </c>
      <c r="R421" s="568">
        <v>0</v>
      </c>
      <c r="S421" s="568">
        <v>0</v>
      </c>
      <c r="T421" s="568">
        <f t="shared" si="275"/>
        <v>0</v>
      </c>
      <c r="U421" s="568">
        <f t="shared" si="276"/>
        <v>0</v>
      </c>
    </row>
    <row r="422" spans="1:21" ht="19.5" x14ac:dyDescent="0.3">
      <c r="A422" s="764"/>
      <c r="B422" s="718"/>
      <c r="C422" s="978" t="s">
        <v>18</v>
      </c>
      <c r="D422" s="980" t="s">
        <v>38</v>
      </c>
      <c r="E422" s="718"/>
      <c r="F422" s="718"/>
      <c r="G422" s="727"/>
      <c r="H422" s="727"/>
      <c r="I422" s="565"/>
      <c r="J422" s="565"/>
      <c r="K422" s="566"/>
      <c r="L422" s="574"/>
      <c r="M422" s="566"/>
      <c r="N422" s="566"/>
      <c r="O422" s="566"/>
      <c r="P422" s="566"/>
      <c r="Q422" s="566"/>
      <c r="R422" s="566"/>
      <c r="S422" s="566"/>
      <c r="T422" s="566"/>
      <c r="U422" s="566"/>
    </row>
    <row r="423" spans="1:21" ht="19.5" x14ac:dyDescent="0.3">
      <c r="A423" s="764"/>
      <c r="B423" s="719" t="s">
        <v>160</v>
      </c>
      <c r="C423" s="718"/>
      <c r="D423" s="718"/>
      <c r="E423" s="718"/>
      <c r="F423" s="718"/>
      <c r="G423" s="727"/>
      <c r="H423" s="979" t="s">
        <v>46</v>
      </c>
      <c r="I423" s="697">
        <f t="shared" ref="I423:J423" ca="1" si="283">I440</f>
        <v>0</v>
      </c>
      <c r="J423" s="697">
        <f t="shared" si="283"/>
        <v>0</v>
      </c>
      <c r="K423" s="679">
        <f t="shared" ref="K423:K425" ca="1" si="284">IF(I423&gt;0,J423*100/I423,0)</f>
        <v>0</v>
      </c>
      <c r="L423" s="574"/>
      <c r="M423" s="566"/>
      <c r="N423" s="566"/>
      <c r="O423" s="566"/>
      <c r="P423" s="566"/>
      <c r="Q423" s="566"/>
      <c r="R423" s="566"/>
      <c r="S423" s="566"/>
      <c r="T423" s="566"/>
      <c r="U423" s="566"/>
    </row>
    <row r="424" spans="1:21" ht="19.5" x14ac:dyDescent="0.3">
      <c r="A424" s="764"/>
      <c r="B424" s="718"/>
      <c r="C424" s="719" t="s">
        <v>161</v>
      </c>
      <c r="D424" s="718"/>
      <c r="E424" s="718"/>
      <c r="F424" s="718"/>
      <c r="G424" s="727"/>
      <c r="H424" s="677" t="s">
        <v>46</v>
      </c>
      <c r="I424" s="697">
        <f ca="1">IFERROR(__xludf.DUMMYFUNCTION("IMPORTRANGE(""https://docs.google.com/spreadsheets/d/1eHaY18a8A9IcSdp1K8H6x8fbOy06t2VsZHhMHf-1x7Y/edit?usp=sharing"",""แผน!HJ21"")"),0)</f>
        <v>0</v>
      </c>
      <c r="J424" s="697">
        <f t="shared" ref="J424:J425" si="285">J426+J428+J430</f>
        <v>0</v>
      </c>
      <c r="K424" s="679">
        <f t="shared" ca="1" si="284"/>
        <v>0</v>
      </c>
      <c r="L424" s="574"/>
      <c r="M424" s="566"/>
      <c r="N424" s="566"/>
      <c r="O424" s="566"/>
      <c r="P424" s="566"/>
      <c r="Q424" s="566"/>
      <c r="R424" s="566"/>
      <c r="S424" s="566"/>
      <c r="T424" s="566"/>
      <c r="U424" s="566"/>
    </row>
    <row r="425" spans="1:21" ht="19.5" x14ac:dyDescent="0.3">
      <c r="A425" s="764"/>
      <c r="B425" s="718"/>
      <c r="C425" s="718"/>
      <c r="D425" s="718"/>
      <c r="E425" s="718"/>
      <c r="F425" s="718"/>
      <c r="G425" s="727"/>
      <c r="H425" s="677" t="s">
        <v>34</v>
      </c>
      <c r="I425" s="697">
        <f ca="1">IFERROR(__xludf.DUMMYFUNCTION("IMPORTRANGE(""https://docs.google.com/spreadsheets/d/1eHaY18a8A9IcSdp1K8H6x8fbOy06t2VsZHhMHf-1x7Y/edit?usp=sharing"",""แผน!HK21"")"),0)</f>
        <v>0</v>
      </c>
      <c r="J425" s="697">
        <f t="shared" si="285"/>
        <v>0</v>
      </c>
      <c r="K425" s="679">
        <f t="shared" ca="1" si="284"/>
        <v>0</v>
      </c>
      <c r="L425" s="574"/>
      <c r="M425" s="566"/>
      <c r="N425" s="566"/>
      <c r="O425" s="566"/>
      <c r="P425" s="566"/>
      <c r="Q425" s="566"/>
      <c r="R425" s="566"/>
      <c r="S425" s="566"/>
      <c r="T425" s="566"/>
      <c r="U425" s="566"/>
    </row>
    <row r="426" spans="1:21" ht="18.75" x14ac:dyDescent="0.25">
      <c r="A426" s="764"/>
      <c r="B426" s="718"/>
      <c r="C426" s="718"/>
      <c r="D426" s="765" t="s">
        <v>162</v>
      </c>
      <c r="E426" s="718"/>
      <c r="F426" s="718"/>
      <c r="G426" s="727"/>
      <c r="H426" s="681" t="s">
        <v>46</v>
      </c>
      <c r="I426" s="565"/>
      <c r="J426" s="565"/>
      <c r="K426" s="566"/>
      <c r="L426" s="574"/>
      <c r="M426" s="566"/>
      <c r="N426" s="566"/>
      <c r="O426" s="566"/>
      <c r="P426" s="566"/>
      <c r="Q426" s="566"/>
      <c r="R426" s="566"/>
      <c r="S426" s="566"/>
      <c r="T426" s="566"/>
      <c r="U426" s="566"/>
    </row>
    <row r="427" spans="1:21" ht="18.75" x14ac:dyDescent="0.25">
      <c r="A427" s="764"/>
      <c r="B427" s="718"/>
      <c r="C427" s="718"/>
      <c r="D427" s="718"/>
      <c r="E427" s="718"/>
      <c r="F427" s="718"/>
      <c r="G427" s="727"/>
      <c r="H427" s="681" t="s">
        <v>34</v>
      </c>
      <c r="I427" s="565"/>
      <c r="J427" s="565"/>
      <c r="K427" s="566"/>
      <c r="L427" s="574"/>
      <c r="M427" s="566"/>
      <c r="N427" s="566"/>
      <c r="O427" s="566"/>
      <c r="P427" s="566"/>
      <c r="Q427" s="566"/>
      <c r="R427" s="566"/>
      <c r="S427" s="566"/>
      <c r="T427" s="566"/>
      <c r="U427" s="566"/>
    </row>
    <row r="428" spans="1:21" ht="18.75" x14ac:dyDescent="0.25">
      <c r="A428" s="764"/>
      <c r="B428" s="718"/>
      <c r="C428" s="718"/>
      <c r="D428" s="765" t="s">
        <v>163</v>
      </c>
      <c r="E428" s="718"/>
      <c r="F428" s="718"/>
      <c r="G428" s="727"/>
      <c r="H428" s="681" t="s">
        <v>46</v>
      </c>
      <c r="I428" s="565"/>
      <c r="J428" s="565"/>
      <c r="K428" s="566"/>
      <c r="L428" s="574"/>
      <c r="M428" s="566"/>
      <c r="N428" s="566"/>
      <c r="O428" s="566"/>
      <c r="P428" s="566"/>
      <c r="Q428" s="566"/>
      <c r="R428" s="566"/>
      <c r="S428" s="566"/>
      <c r="T428" s="566"/>
      <c r="U428" s="566"/>
    </row>
    <row r="429" spans="1:21" ht="18.75" x14ac:dyDescent="0.25">
      <c r="A429" s="764"/>
      <c r="B429" s="718"/>
      <c r="C429" s="718"/>
      <c r="D429" s="718"/>
      <c r="E429" s="718"/>
      <c r="F429" s="718"/>
      <c r="G429" s="727"/>
      <c r="H429" s="681" t="s">
        <v>34</v>
      </c>
      <c r="I429" s="565"/>
      <c r="J429" s="565"/>
      <c r="K429" s="566"/>
      <c r="L429" s="574"/>
      <c r="M429" s="566"/>
      <c r="N429" s="566"/>
      <c r="O429" s="566"/>
      <c r="P429" s="566"/>
      <c r="Q429" s="566"/>
      <c r="R429" s="566"/>
      <c r="S429" s="566"/>
      <c r="T429" s="566"/>
      <c r="U429" s="566"/>
    </row>
    <row r="430" spans="1:21" ht="18.75" x14ac:dyDescent="0.25">
      <c r="A430" s="764"/>
      <c r="B430" s="718"/>
      <c r="C430" s="718"/>
      <c r="D430" s="765" t="s">
        <v>164</v>
      </c>
      <c r="E430" s="718"/>
      <c r="F430" s="718"/>
      <c r="G430" s="727"/>
      <c r="H430" s="681" t="s">
        <v>46</v>
      </c>
      <c r="I430" s="565"/>
      <c r="J430" s="565"/>
      <c r="K430" s="566"/>
      <c r="L430" s="574"/>
      <c r="M430" s="566"/>
      <c r="N430" s="566"/>
      <c r="O430" s="566"/>
      <c r="P430" s="566"/>
      <c r="Q430" s="566"/>
      <c r="R430" s="566"/>
      <c r="S430" s="566"/>
      <c r="T430" s="566"/>
      <c r="U430" s="566"/>
    </row>
    <row r="431" spans="1:21" ht="18.75" x14ac:dyDescent="0.25">
      <c r="A431" s="764"/>
      <c r="B431" s="718"/>
      <c r="C431" s="718"/>
      <c r="D431" s="718"/>
      <c r="E431" s="718"/>
      <c r="F431" s="718"/>
      <c r="G431" s="727"/>
      <c r="H431" s="681" t="s">
        <v>34</v>
      </c>
      <c r="I431" s="565"/>
      <c r="J431" s="565"/>
      <c r="K431" s="566"/>
      <c r="L431" s="574"/>
      <c r="M431" s="566"/>
      <c r="N431" s="566"/>
      <c r="O431" s="566"/>
      <c r="P431" s="566"/>
      <c r="Q431" s="566"/>
      <c r="R431" s="566"/>
      <c r="S431" s="566"/>
      <c r="T431" s="566"/>
      <c r="U431" s="566"/>
    </row>
    <row r="432" spans="1:21" ht="19.5" x14ac:dyDescent="0.3">
      <c r="A432" s="764"/>
      <c r="B432" s="718"/>
      <c r="C432" s="719" t="s">
        <v>165</v>
      </c>
      <c r="D432" s="718"/>
      <c r="E432" s="718"/>
      <c r="F432" s="718"/>
      <c r="G432" s="727"/>
      <c r="H432" s="677" t="s">
        <v>46</v>
      </c>
      <c r="I432" s="697">
        <f ca="1">IFERROR(__xludf.DUMMYFUNCTION("IMPORTRANGE(""https://docs.google.com/spreadsheets/d/1eHaY18a8A9IcSdp1K8H6x8fbOy06t2VsZHhMHf-1x7Y/edit?usp=sharing"",""แผน!HJ21"")"),0)</f>
        <v>0</v>
      </c>
      <c r="J432" s="697">
        <f t="shared" ref="J432:J433" si="286">J434+J436+J438</f>
        <v>0</v>
      </c>
      <c r="K432" s="679">
        <f t="shared" ref="K432:K433" ca="1" si="287">IF(I432&gt;0,J432*100/I432,0)</f>
        <v>0</v>
      </c>
      <c r="L432" s="574"/>
      <c r="M432" s="566"/>
      <c r="N432" s="566"/>
      <c r="O432" s="566"/>
      <c r="P432" s="566"/>
      <c r="Q432" s="566"/>
      <c r="R432" s="566"/>
      <c r="S432" s="566"/>
      <c r="T432" s="566"/>
      <c r="U432" s="566"/>
    </row>
    <row r="433" spans="1:21" ht="19.5" x14ac:dyDescent="0.3">
      <c r="A433" s="764"/>
      <c r="B433" s="718"/>
      <c r="C433" s="718"/>
      <c r="D433" s="718"/>
      <c r="E433" s="718"/>
      <c r="F433" s="718"/>
      <c r="G433" s="727"/>
      <c r="H433" s="677" t="s">
        <v>34</v>
      </c>
      <c r="I433" s="697">
        <f ca="1">IFERROR(__xludf.DUMMYFUNCTION("IMPORTRANGE(""https://docs.google.com/spreadsheets/d/1eHaY18a8A9IcSdp1K8H6x8fbOy06t2VsZHhMHf-1x7Y/edit?usp=sharing"",""แผน!HK21"")"),0)</f>
        <v>0</v>
      </c>
      <c r="J433" s="697">
        <f t="shared" si="286"/>
        <v>0</v>
      </c>
      <c r="K433" s="679">
        <f t="shared" ca="1" si="287"/>
        <v>0</v>
      </c>
      <c r="L433" s="574"/>
      <c r="M433" s="566"/>
      <c r="N433" s="566"/>
      <c r="O433" s="566"/>
      <c r="P433" s="566"/>
      <c r="Q433" s="566"/>
      <c r="R433" s="566"/>
      <c r="S433" s="566"/>
      <c r="T433" s="566"/>
      <c r="U433" s="566"/>
    </row>
    <row r="434" spans="1:21" ht="18.75" x14ac:dyDescent="0.25">
      <c r="A434" s="764"/>
      <c r="B434" s="718"/>
      <c r="C434" s="718"/>
      <c r="D434" s="765" t="s">
        <v>166</v>
      </c>
      <c r="E434" s="718"/>
      <c r="F434" s="718"/>
      <c r="G434" s="727"/>
      <c r="H434" s="681" t="s">
        <v>46</v>
      </c>
      <c r="I434" s="565"/>
      <c r="J434" s="565"/>
      <c r="K434" s="566"/>
      <c r="L434" s="574"/>
      <c r="M434" s="566"/>
      <c r="N434" s="566"/>
      <c r="O434" s="566"/>
      <c r="P434" s="566"/>
      <c r="Q434" s="566"/>
      <c r="R434" s="566"/>
      <c r="S434" s="566"/>
      <c r="T434" s="566"/>
      <c r="U434" s="566"/>
    </row>
    <row r="435" spans="1:21" ht="18.75" x14ac:dyDescent="0.25">
      <c r="A435" s="764"/>
      <c r="B435" s="718"/>
      <c r="C435" s="718"/>
      <c r="D435" s="718"/>
      <c r="E435" s="718"/>
      <c r="F435" s="718"/>
      <c r="G435" s="727"/>
      <c r="H435" s="681" t="s">
        <v>34</v>
      </c>
      <c r="I435" s="565"/>
      <c r="J435" s="565"/>
      <c r="K435" s="566"/>
      <c r="L435" s="574"/>
      <c r="M435" s="566"/>
      <c r="N435" s="566"/>
      <c r="O435" s="566"/>
      <c r="P435" s="566"/>
      <c r="Q435" s="566"/>
      <c r="R435" s="566"/>
      <c r="S435" s="566"/>
      <c r="T435" s="566"/>
      <c r="U435" s="566"/>
    </row>
    <row r="436" spans="1:21" ht="18.75" x14ac:dyDescent="0.25">
      <c r="A436" s="764"/>
      <c r="B436" s="718"/>
      <c r="C436" s="718"/>
      <c r="D436" s="765" t="s">
        <v>167</v>
      </c>
      <c r="E436" s="718"/>
      <c r="F436" s="718"/>
      <c r="G436" s="727"/>
      <c r="H436" s="681" t="s">
        <v>46</v>
      </c>
      <c r="I436" s="565"/>
      <c r="J436" s="565"/>
      <c r="K436" s="566"/>
      <c r="L436" s="574"/>
      <c r="M436" s="566"/>
      <c r="N436" s="566"/>
      <c r="O436" s="566"/>
      <c r="P436" s="566"/>
      <c r="Q436" s="566"/>
      <c r="R436" s="566"/>
      <c r="S436" s="566"/>
      <c r="T436" s="566"/>
      <c r="U436" s="566"/>
    </row>
    <row r="437" spans="1:21" ht="18.75" x14ac:dyDescent="0.25">
      <c r="A437" s="764"/>
      <c r="B437" s="718"/>
      <c r="C437" s="718"/>
      <c r="D437" s="718"/>
      <c r="E437" s="718"/>
      <c r="F437" s="718"/>
      <c r="G437" s="727"/>
      <c r="H437" s="681" t="s">
        <v>34</v>
      </c>
      <c r="I437" s="565"/>
      <c r="J437" s="565"/>
      <c r="K437" s="566"/>
      <c r="L437" s="574"/>
      <c r="M437" s="566"/>
      <c r="N437" s="566"/>
      <c r="O437" s="566"/>
      <c r="P437" s="566"/>
      <c r="Q437" s="566"/>
      <c r="R437" s="566"/>
      <c r="S437" s="566"/>
      <c r="T437" s="566"/>
      <c r="U437" s="566"/>
    </row>
    <row r="438" spans="1:21" ht="18.75" x14ac:dyDescent="0.25">
      <c r="A438" s="764"/>
      <c r="B438" s="718"/>
      <c r="C438" s="718"/>
      <c r="D438" s="765" t="s">
        <v>168</v>
      </c>
      <c r="E438" s="718"/>
      <c r="F438" s="718"/>
      <c r="G438" s="727"/>
      <c r="H438" s="681" t="s">
        <v>46</v>
      </c>
      <c r="I438" s="565"/>
      <c r="J438" s="565"/>
      <c r="K438" s="566"/>
      <c r="L438" s="574"/>
      <c r="M438" s="566"/>
      <c r="N438" s="566"/>
      <c r="O438" s="566"/>
      <c r="P438" s="566"/>
      <c r="Q438" s="566"/>
      <c r="R438" s="566"/>
      <c r="S438" s="566"/>
      <c r="T438" s="566"/>
      <c r="U438" s="566"/>
    </row>
    <row r="439" spans="1:21" ht="18.75" x14ac:dyDescent="0.25">
      <c r="A439" s="764"/>
      <c r="B439" s="718"/>
      <c r="C439" s="718"/>
      <c r="D439" s="718"/>
      <c r="E439" s="718"/>
      <c r="F439" s="718"/>
      <c r="G439" s="727"/>
      <c r="H439" s="681" t="s">
        <v>34</v>
      </c>
      <c r="I439" s="565"/>
      <c r="J439" s="565"/>
      <c r="K439" s="566"/>
      <c r="L439" s="574"/>
      <c r="M439" s="566"/>
      <c r="N439" s="566"/>
      <c r="O439" s="566"/>
      <c r="P439" s="566"/>
      <c r="Q439" s="566"/>
      <c r="R439" s="566"/>
      <c r="S439" s="566"/>
      <c r="T439" s="566"/>
      <c r="U439" s="566"/>
    </row>
    <row r="440" spans="1:21" ht="19.5" x14ac:dyDescent="0.3">
      <c r="A440" s="764"/>
      <c r="B440" s="718"/>
      <c r="C440" s="719" t="s">
        <v>169</v>
      </c>
      <c r="D440" s="718"/>
      <c r="E440" s="718"/>
      <c r="F440" s="718"/>
      <c r="G440" s="727"/>
      <c r="H440" s="677" t="s">
        <v>46</v>
      </c>
      <c r="I440" s="697">
        <f ca="1">IFERROR(__xludf.DUMMYFUNCTION("IMPORTRANGE(""https://docs.google.com/spreadsheets/d/1eHaY18a8A9IcSdp1K8H6x8fbOy06t2VsZHhMHf-1x7Y/edit?usp=sharing"",""แผน!HJ21"")"),0)</f>
        <v>0</v>
      </c>
      <c r="J440" s="697">
        <f t="shared" ref="J440:J441" si="288">J442+J444+J446+J452+J454</f>
        <v>0</v>
      </c>
      <c r="K440" s="679">
        <f t="shared" ref="K440:K441" ca="1" si="289">IF(I440&gt;0,J440*100/I440,0)</f>
        <v>0</v>
      </c>
      <c r="L440" s="574"/>
      <c r="M440" s="566"/>
      <c r="N440" s="566"/>
      <c r="O440" s="566"/>
      <c r="P440" s="566"/>
      <c r="Q440" s="566"/>
      <c r="R440" s="566"/>
      <c r="S440" s="566"/>
      <c r="T440" s="566"/>
      <c r="U440" s="566"/>
    </row>
    <row r="441" spans="1:21" ht="19.5" x14ac:dyDescent="0.3">
      <c r="A441" s="764"/>
      <c r="B441" s="718"/>
      <c r="C441" s="718"/>
      <c r="D441" s="718"/>
      <c r="E441" s="718"/>
      <c r="F441" s="718"/>
      <c r="G441" s="727"/>
      <c r="H441" s="677" t="s">
        <v>34</v>
      </c>
      <c r="I441" s="697">
        <f ca="1">IFERROR(__xludf.DUMMYFUNCTION("IMPORTRANGE(""https://docs.google.com/spreadsheets/d/1eHaY18a8A9IcSdp1K8H6x8fbOy06t2VsZHhMHf-1x7Y/edit?usp=sharing"",""แผน!HK21"")"),0)</f>
        <v>0</v>
      </c>
      <c r="J441" s="697">
        <f t="shared" si="288"/>
        <v>0</v>
      </c>
      <c r="K441" s="679">
        <f t="shared" ca="1" si="289"/>
        <v>0</v>
      </c>
      <c r="L441" s="574"/>
      <c r="M441" s="566"/>
      <c r="N441" s="566"/>
      <c r="O441" s="566"/>
      <c r="P441" s="566"/>
      <c r="Q441" s="566"/>
      <c r="R441" s="566"/>
      <c r="S441" s="566"/>
      <c r="T441" s="566"/>
      <c r="U441" s="566"/>
    </row>
    <row r="442" spans="1:21" ht="18.75" x14ac:dyDescent="0.25">
      <c r="A442" s="764"/>
      <c r="B442" s="718"/>
      <c r="C442" s="718"/>
      <c r="D442" s="765" t="s">
        <v>170</v>
      </c>
      <c r="E442" s="718"/>
      <c r="F442" s="718"/>
      <c r="G442" s="727"/>
      <c r="H442" s="681" t="s">
        <v>46</v>
      </c>
      <c r="I442" s="565"/>
      <c r="J442" s="565"/>
      <c r="K442" s="566"/>
      <c r="L442" s="574"/>
      <c r="M442" s="566"/>
      <c r="N442" s="566"/>
      <c r="O442" s="566"/>
      <c r="P442" s="566"/>
      <c r="Q442" s="566"/>
      <c r="R442" s="566"/>
      <c r="S442" s="566"/>
      <c r="T442" s="566"/>
      <c r="U442" s="566"/>
    </row>
    <row r="443" spans="1:21" ht="18.75" x14ac:dyDescent="0.25">
      <c r="A443" s="764"/>
      <c r="B443" s="718"/>
      <c r="C443" s="718"/>
      <c r="D443" s="718"/>
      <c r="E443" s="718"/>
      <c r="F443" s="718"/>
      <c r="G443" s="727"/>
      <c r="H443" s="681" t="s">
        <v>34</v>
      </c>
      <c r="I443" s="565"/>
      <c r="J443" s="565"/>
      <c r="K443" s="566"/>
      <c r="L443" s="574"/>
      <c r="M443" s="566"/>
      <c r="N443" s="566"/>
      <c r="O443" s="566"/>
      <c r="P443" s="566"/>
      <c r="Q443" s="566"/>
      <c r="R443" s="566"/>
      <c r="S443" s="566"/>
      <c r="T443" s="566"/>
      <c r="U443" s="566"/>
    </row>
    <row r="444" spans="1:21" ht="18.75" x14ac:dyDescent="0.25">
      <c r="A444" s="764"/>
      <c r="B444" s="718"/>
      <c r="C444" s="718"/>
      <c r="D444" s="765" t="s">
        <v>171</v>
      </c>
      <c r="E444" s="718"/>
      <c r="F444" s="718"/>
      <c r="G444" s="727"/>
      <c r="H444" s="681" t="s">
        <v>46</v>
      </c>
      <c r="I444" s="565"/>
      <c r="J444" s="565"/>
      <c r="K444" s="566"/>
      <c r="L444" s="574"/>
      <c r="M444" s="566"/>
      <c r="N444" s="566"/>
      <c r="O444" s="566"/>
      <c r="P444" s="566"/>
      <c r="Q444" s="566"/>
      <c r="R444" s="566"/>
      <c r="S444" s="566"/>
      <c r="T444" s="566"/>
      <c r="U444" s="566"/>
    </row>
    <row r="445" spans="1:21" ht="18.75" x14ac:dyDescent="0.25">
      <c r="A445" s="764"/>
      <c r="B445" s="718"/>
      <c r="C445" s="718"/>
      <c r="D445" s="718"/>
      <c r="E445" s="718"/>
      <c r="F445" s="718"/>
      <c r="G445" s="727"/>
      <c r="H445" s="681" t="s">
        <v>34</v>
      </c>
      <c r="I445" s="565"/>
      <c r="J445" s="565"/>
      <c r="K445" s="566"/>
      <c r="L445" s="574"/>
      <c r="M445" s="566"/>
      <c r="N445" s="566"/>
      <c r="O445" s="566"/>
      <c r="P445" s="566"/>
      <c r="Q445" s="566"/>
      <c r="R445" s="566"/>
      <c r="S445" s="566"/>
      <c r="T445" s="566"/>
      <c r="U445" s="566"/>
    </row>
    <row r="446" spans="1:21" ht="19.5" x14ac:dyDescent="0.3">
      <c r="A446" s="764"/>
      <c r="B446" s="718"/>
      <c r="C446" s="718"/>
      <c r="D446" s="765" t="s">
        <v>172</v>
      </c>
      <c r="E446" s="718"/>
      <c r="F446" s="718"/>
      <c r="G446" s="727"/>
      <c r="H446" s="681" t="s">
        <v>46</v>
      </c>
      <c r="I446" s="565"/>
      <c r="J446" s="697">
        <f t="shared" ref="J446:J447" si="290">J448+J450</f>
        <v>0</v>
      </c>
      <c r="K446" s="566"/>
      <c r="L446" s="574"/>
      <c r="M446" s="566"/>
      <c r="N446" s="566"/>
      <c r="O446" s="566"/>
      <c r="P446" s="566"/>
      <c r="Q446" s="566"/>
      <c r="R446" s="566"/>
      <c r="S446" s="566"/>
      <c r="T446" s="566"/>
      <c r="U446" s="566"/>
    </row>
    <row r="447" spans="1:21" ht="19.5" x14ac:dyDescent="0.3">
      <c r="A447" s="764"/>
      <c r="B447" s="718"/>
      <c r="C447" s="718"/>
      <c r="D447" s="718"/>
      <c r="E447" s="718"/>
      <c r="F447" s="718"/>
      <c r="G447" s="727"/>
      <c r="H447" s="681" t="s">
        <v>34</v>
      </c>
      <c r="I447" s="565"/>
      <c r="J447" s="697">
        <f t="shared" si="290"/>
        <v>0</v>
      </c>
      <c r="K447" s="566"/>
      <c r="L447" s="574"/>
      <c r="M447" s="566"/>
      <c r="N447" s="566"/>
      <c r="O447" s="566"/>
      <c r="P447" s="566"/>
      <c r="Q447" s="566"/>
      <c r="R447" s="566"/>
      <c r="S447" s="566"/>
      <c r="T447" s="566"/>
      <c r="U447" s="566"/>
    </row>
    <row r="448" spans="1:21" ht="18.75" x14ac:dyDescent="0.25">
      <c r="A448" s="764"/>
      <c r="B448" s="718"/>
      <c r="C448" s="718"/>
      <c r="D448" s="718"/>
      <c r="E448" s="765" t="s">
        <v>173</v>
      </c>
      <c r="F448" s="718"/>
      <c r="G448" s="727"/>
      <c r="H448" s="681" t="s">
        <v>46</v>
      </c>
      <c r="I448" s="565"/>
      <c r="J448" s="565"/>
      <c r="K448" s="566"/>
      <c r="L448" s="574"/>
      <c r="M448" s="566"/>
      <c r="N448" s="566"/>
      <c r="O448" s="566"/>
      <c r="P448" s="566"/>
      <c r="Q448" s="566"/>
      <c r="R448" s="566"/>
      <c r="S448" s="566"/>
      <c r="T448" s="566"/>
      <c r="U448" s="566"/>
    </row>
    <row r="449" spans="1:21" ht="18.75" x14ac:dyDescent="0.25">
      <c r="A449" s="764"/>
      <c r="B449" s="718"/>
      <c r="C449" s="718"/>
      <c r="D449" s="718"/>
      <c r="E449" s="718"/>
      <c r="F449" s="718"/>
      <c r="G449" s="727"/>
      <c r="H449" s="681" t="s">
        <v>34</v>
      </c>
      <c r="I449" s="565"/>
      <c r="J449" s="565"/>
      <c r="K449" s="566"/>
      <c r="L449" s="574"/>
      <c r="M449" s="566"/>
      <c r="N449" s="566"/>
      <c r="O449" s="566"/>
      <c r="P449" s="566"/>
      <c r="Q449" s="566"/>
      <c r="R449" s="566"/>
      <c r="S449" s="566"/>
      <c r="T449" s="566"/>
      <c r="U449" s="566"/>
    </row>
    <row r="450" spans="1:21" ht="18.75" x14ac:dyDescent="0.25">
      <c r="A450" s="764"/>
      <c r="B450" s="718"/>
      <c r="C450" s="718"/>
      <c r="D450" s="718"/>
      <c r="E450" s="765" t="s">
        <v>174</v>
      </c>
      <c r="F450" s="718"/>
      <c r="G450" s="727"/>
      <c r="H450" s="681" t="s">
        <v>46</v>
      </c>
      <c r="I450" s="565"/>
      <c r="J450" s="565"/>
      <c r="K450" s="566"/>
      <c r="L450" s="574"/>
      <c r="M450" s="566"/>
      <c r="N450" s="566"/>
      <c r="O450" s="566"/>
      <c r="P450" s="566"/>
      <c r="Q450" s="566"/>
      <c r="R450" s="566"/>
      <c r="S450" s="566"/>
      <c r="T450" s="566"/>
      <c r="U450" s="566"/>
    </row>
    <row r="451" spans="1:21" ht="18.75" x14ac:dyDescent="0.25">
      <c r="A451" s="764"/>
      <c r="B451" s="718"/>
      <c r="C451" s="718"/>
      <c r="D451" s="718"/>
      <c r="E451" s="718"/>
      <c r="F451" s="718"/>
      <c r="G451" s="727"/>
      <c r="H451" s="681" t="s">
        <v>34</v>
      </c>
      <c r="I451" s="565"/>
      <c r="J451" s="565"/>
      <c r="K451" s="566"/>
      <c r="L451" s="574"/>
      <c r="M451" s="566"/>
      <c r="N451" s="566"/>
      <c r="O451" s="566"/>
      <c r="P451" s="566"/>
      <c r="Q451" s="566"/>
      <c r="R451" s="566"/>
      <c r="S451" s="566"/>
      <c r="T451" s="566"/>
      <c r="U451" s="566"/>
    </row>
    <row r="452" spans="1:21" ht="18.75" x14ac:dyDescent="0.25">
      <c r="A452" s="764"/>
      <c r="B452" s="718"/>
      <c r="C452" s="718"/>
      <c r="D452" s="765" t="s">
        <v>175</v>
      </c>
      <c r="E452" s="718"/>
      <c r="F452" s="718"/>
      <c r="G452" s="727"/>
      <c r="H452" s="681" t="s">
        <v>46</v>
      </c>
      <c r="I452" s="565"/>
      <c r="J452" s="565"/>
      <c r="K452" s="566"/>
      <c r="L452" s="574"/>
      <c r="M452" s="566"/>
      <c r="N452" s="566"/>
      <c r="O452" s="566"/>
      <c r="P452" s="566"/>
      <c r="Q452" s="566"/>
      <c r="R452" s="566"/>
      <c r="S452" s="566"/>
      <c r="T452" s="566"/>
      <c r="U452" s="566"/>
    </row>
    <row r="453" spans="1:21" ht="18.75" x14ac:dyDescent="0.25">
      <c r="A453" s="764"/>
      <c r="B453" s="718"/>
      <c r="C453" s="718"/>
      <c r="D453" s="718"/>
      <c r="E453" s="718"/>
      <c r="F453" s="718"/>
      <c r="G453" s="727"/>
      <c r="H453" s="681" t="s">
        <v>34</v>
      </c>
      <c r="I453" s="565"/>
      <c r="J453" s="565"/>
      <c r="K453" s="566"/>
      <c r="L453" s="574"/>
      <c r="M453" s="566"/>
      <c r="N453" s="566"/>
      <c r="O453" s="566"/>
      <c r="P453" s="566"/>
      <c r="Q453" s="566"/>
      <c r="R453" s="566"/>
      <c r="S453" s="566"/>
      <c r="T453" s="566"/>
      <c r="U453" s="566"/>
    </row>
    <row r="454" spans="1:21" ht="18.75" x14ac:dyDescent="0.25">
      <c r="A454" s="764"/>
      <c r="B454" s="718"/>
      <c r="C454" s="718"/>
      <c r="D454" s="765" t="s">
        <v>176</v>
      </c>
      <c r="E454" s="718"/>
      <c r="F454" s="718"/>
      <c r="G454" s="727"/>
      <c r="H454" s="681" t="s">
        <v>46</v>
      </c>
      <c r="I454" s="565"/>
      <c r="J454" s="981"/>
      <c r="K454" s="566"/>
      <c r="L454" s="574"/>
      <c r="M454" s="566"/>
      <c r="N454" s="566"/>
      <c r="O454" s="566"/>
      <c r="P454" s="566"/>
      <c r="Q454" s="566"/>
      <c r="R454" s="566"/>
      <c r="S454" s="566"/>
      <c r="T454" s="566"/>
      <c r="U454" s="566"/>
    </row>
    <row r="455" spans="1:21" ht="18.75" x14ac:dyDescent="0.25">
      <c r="A455" s="764"/>
      <c r="B455" s="718"/>
      <c r="C455" s="718"/>
      <c r="D455" s="718"/>
      <c r="E455" s="718"/>
      <c r="F455" s="718"/>
      <c r="G455" s="727"/>
      <c r="H455" s="681" t="s">
        <v>34</v>
      </c>
      <c r="I455" s="565"/>
      <c r="J455" s="565"/>
      <c r="K455" s="566"/>
      <c r="L455" s="574"/>
      <c r="M455" s="566"/>
      <c r="N455" s="566"/>
      <c r="O455" s="566"/>
      <c r="P455" s="566"/>
      <c r="Q455" s="566"/>
      <c r="R455" s="566"/>
      <c r="S455" s="566"/>
      <c r="T455" s="566"/>
      <c r="U455" s="566"/>
    </row>
    <row r="456" spans="1:21" ht="19.5" x14ac:dyDescent="0.3">
      <c r="A456" s="764"/>
      <c r="B456" s="719" t="s">
        <v>177</v>
      </c>
      <c r="C456" s="718"/>
      <c r="D456" s="718"/>
      <c r="E456" s="718"/>
      <c r="F456" s="718"/>
      <c r="G456" s="727"/>
      <c r="H456" s="979" t="s">
        <v>46</v>
      </c>
      <c r="I456" s="697">
        <f t="shared" ref="I456:J456" ca="1" si="291">I457</f>
        <v>239</v>
      </c>
      <c r="J456" s="697">
        <f t="shared" si="291"/>
        <v>0</v>
      </c>
      <c r="K456" s="679">
        <f t="shared" ref="K456:K458" ca="1" si="292">IF(I456&gt;0,J456*100/I456,0)</f>
        <v>0</v>
      </c>
      <c r="L456" s="574"/>
      <c r="M456" s="566"/>
      <c r="N456" s="566"/>
      <c r="O456" s="566"/>
      <c r="P456" s="566"/>
      <c r="Q456" s="566"/>
      <c r="R456" s="566"/>
      <c r="S456" s="566"/>
      <c r="T456" s="566"/>
      <c r="U456" s="566"/>
    </row>
    <row r="457" spans="1:21" ht="19.5" x14ac:dyDescent="0.3">
      <c r="A457" s="764"/>
      <c r="B457" s="718"/>
      <c r="C457" s="719" t="s">
        <v>178</v>
      </c>
      <c r="D457" s="718"/>
      <c r="E457" s="718"/>
      <c r="F457" s="718"/>
      <c r="G457" s="727"/>
      <c r="H457" s="677" t="s">
        <v>46</v>
      </c>
      <c r="I457" s="697">
        <f ca="1">IFERROR(__xludf.DUMMYFUNCTION("IMPORTRANGE(""https://docs.google.com/spreadsheets/d/1eHaY18a8A9IcSdp1K8H6x8fbOy06t2VsZHhMHf-1x7Y/edit?usp=sharing"",""แผน!HL21"")"),239)</f>
        <v>239</v>
      </c>
      <c r="J457" s="697">
        <f t="shared" ref="J457:J458" si="293">J459+J467+J473</f>
        <v>0</v>
      </c>
      <c r="K457" s="679">
        <f t="shared" ca="1" si="292"/>
        <v>0</v>
      </c>
      <c r="L457" s="574"/>
      <c r="M457" s="566"/>
      <c r="N457" s="566"/>
      <c r="O457" s="566"/>
      <c r="P457" s="566"/>
      <c r="Q457" s="566"/>
      <c r="R457" s="566"/>
      <c r="S457" s="566"/>
      <c r="T457" s="566"/>
      <c r="U457" s="566"/>
    </row>
    <row r="458" spans="1:21" ht="19.5" x14ac:dyDescent="0.3">
      <c r="A458" s="764"/>
      <c r="B458" s="718"/>
      <c r="C458" s="718"/>
      <c r="D458" s="718"/>
      <c r="E458" s="718"/>
      <c r="F458" s="718"/>
      <c r="G458" s="727"/>
      <c r="H458" s="677" t="s">
        <v>34</v>
      </c>
      <c r="I458" s="697">
        <f ca="1">IFERROR(__xludf.DUMMYFUNCTION("IMPORTRANGE(""https://docs.google.com/spreadsheets/d/1eHaY18a8A9IcSdp1K8H6x8fbOy06t2VsZHhMHf-1x7Y/edit?usp=sharing"",""แผน!HM21"")"),0)</f>
        <v>0</v>
      </c>
      <c r="J458" s="697">
        <f t="shared" si="293"/>
        <v>0</v>
      </c>
      <c r="K458" s="679">
        <f t="shared" ca="1" si="292"/>
        <v>0</v>
      </c>
      <c r="L458" s="574"/>
      <c r="M458" s="566"/>
      <c r="N458" s="566"/>
      <c r="O458" s="566"/>
      <c r="P458" s="566"/>
      <c r="Q458" s="566"/>
      <c r="R458" s="566"/>
      <c r="S458" s="566"/>
      <c r="T458" s="566"/>
      <c r="U458" s="566"/>
    </row>
    <row r="459" spans="1:21" ht="18.75" x14ac:dyDescent="0.25">
      <c r="A459" s="764"/>
      <c r="B459" s="718"/>
      <c r="C459" s="765" t="s">
        <v>179</v>
      </c>
      <c r="D459" s="718"/>
      <c r="E459" s="718"/>
      <c r="F459" s="718"/>
      <c r="G459" s="727"/>
      <c r="H459" s="681" t="s">
        <v>46</v>
      </c>
      <c r="I459" s="565"/>
      <c r="J459" s="708">
        <f t="shared" ref="J459:J460" si="294">J461+J463</f>
        <v>0</v>
      </c>
      <c r="K459" s="566"/>
      <c r="L459" s="574"/>
      <c r="M459" s="566"/>
      <c r="N459" s="566"/>
      <c r="O459" s="566"/>
      <c r="P459" s="566"/>
      <c r="Q459" s="566"/>
      <c r="R459" s="566"/>
      <c r="S459" s="566"/>
      <c r="T459" s="566"/>
      <c r="U459" s="566"/>
    </row>
    <row r="460" spans="1:21" ht="18.75" x14ac:dyDescent="0.25">
      <c r="A460" s="764"/>
      <c r="B460" s="718"/>
      <c r="C460" s="718"/>
      <c r="D460" s="718"/>
      <c r="E460" s="718"/>
      <c r="F460" s="718"/>
      <c r="G460" s="727"/>
      <c r="H460" s="681" t="s">
        <v>34</v>
      </c>
      <c r="I460" s="565"/>
      <c r="J460" s="708">
        <f t="shared" si="294"/>
        <v>0</v>
      </c>
      <c r="K460" s="566"/>
      <c r="L460" s="574"/>
      <c r="M460" s="566"/>
      <c r="N460" s="566"/>
      <c r="O460" s="566"/>
      <c r="P460" s="566"/>
      <c r="Q460" s="566"/>
      <c r="R460" s="566"/>
      <c r="S460" s="566"/>
      <c r="T460" s="566"/>
      <c r="U460" s="566"/>
    </row>
    <row r="461" spans="1:21" ht="18.75" x14ac:dyDescent="0.25">
      <c r="A461" s="764"/>
      <c r="B461" s="718"/>
      <c r="C461" s="718"/>
      <c r="D461" s="982" t="s">
        <v>180</v>
      </c>
      <c r="E461" s="718"/>
      <c r="F461" s="718"/>
      <c r="G461" s="727"/>
      <c r="H461" s="681" t="s">
        <v>46</v>
      </c>
      <c r="I461" s="565"/>
      <c r="J461" s="565"/>
      <c r="K461" s="566"/>
      <c r="L461" s="574"/>
      <c r="M461" s="566"/>
      <c r="N461" s="566"/>
      <c r="O461" s="566"/>
      <c r="P461" s="566"/>
      <c r="Q461" s="566"/>
      <c r="R461" s="566"/>
      <c r="S461" s="566"/>
      <c r="T461" s="566"/>
      <c r="U461" s="566"/>
    </row>
    <row r="462" spans="1:21" ht="18.75" x14ac:dyDescent="0.25">
      <c r="A462" s="764"/>
      <c r="B462" s="718"/>
      <c r="C462" s="718"/>
      <c r="D462" s="718"/>
      <c r="E462" s="718"/>
      <c r="F462" s="718"/>
      <c r="G462" s="727"/>
      <c r="H462" s="681" t="s">
        <v>34</v>
      </c>
      <c r="I462" s="565"/>
      <c r="J462" s="565"/>
      <c r="K462" s="566"/>
      <c r="L462" s="574"/>
      <c r="M462" s="566"/>
      <c r="N462" s="566"/>
      <c r="O462" s="566"/>
      <c r="P462" s="566"/>
      <c r="Q462" s="566"/>
      <c r="R462" s="566"/>
      <c r="S462" s="566"/>
      <c r="T462" s="566"/>
      <c r="U462" s="566"/>
    </row>
    <row r="463" spans="1:21" ht="18.75" x14ac:dyDescent="0.25">
      <c r="A463" s="764"/>
      <c r="B463" s="718"/>
      <c r="C463" s="718"/>
      <c r="D463" s="982" t="s">
        <v>181</v>
      </c>
      <c r="E463" s="718"/>
      <c r="F463" s="718"/>
      <c r="G463" s="727"/>
      <c r="H463" s="681" t="s">
        <v>46</v>
      </c>
      <c r="I463" s="565"/>
      <c r="J463" s="565"/>
      <c r="K463" s="566"/>
      <c r="L463" s="574"/>
      <c r="M463" s="566"/>
      <c r="N463" s="566"/>
      <c r="O463" s="566"/>
      <c r="P463" s="566"/>
      <c r="Q463" s="566"/>
      <c r="R463" s="566"/>
      <c r="S463" s="566"/>
      <c r="T463" s="566"/>
      <c r="U463" s="566"/>
    </row>
    <row r="464" spans="1:21" ht="18.75" x14ac:dyDescent="0.25">
      <c r="A464" s="764"/>
      <c r="B464" s="718"/>
      <c r="C464" s="718"/>
      <c r="D464" s="718"/>
      <c r="E464" s="718"/>
      <c r="F464" s="718"/>
      <c r="G464" s="727"/>
      <c r="H464" s="681" t="s">
        <v>34</v>
      </c>
      <c r="I464" s="565"/>
      <c r="J464" s="565"/>
      <c r="K464" s="566"/>
      <c r="L464" s="574"/>
      <c r="M464" s="566"/>
      <c r="N464" s="566"/>
      <c r="O464" s="566"/>
      <c r="P464" s="566"/>
      <c r="Q464" s="566"/>
      <c r="R464" s="566"/>
      <c r="S464" s="566"/>
      <c r="T464" s="566"/>
      <c r="U464" s="566"/>
    </row>
    <row r="465" spans="1:21" ht="18.75" x14ac:dyDescent="0.25">
      <c r="A465" s="764"/>
      <c r="B465" s="718"/>
      <c r="C465" s="718"/>
      <c r="D465" s="982" t="s">
        <v>182</v>
      </c>
      <c r="E465" s="718"/>
      <c r="F465" s="718"/>
      <c r="G465" s="727"/>
      <c r="H465" s="681" t="s">
        <v>46</v>
      </c>
      <c r="I465" s="565"/>
      <c r="J465" s="565"/>
      <c r="K465" s="566"/>
      <c r="L465" s="574"/>
      <c r="M465" s="566"/>
      <c r="N465" s="566"/>
      <c r="O465" s="566"/>
      <c r="P465" s="566"/>
      <c r="Q465" s="566"/>
      <c r="R465" s="566"/>
      <c r="S465" s="566"/>
      <c r="T465" s="566"/>
      <c r="U465" s="566"/>
    </row>
    <row r="466" spans="1:21" ht="18.75" x14ac:dyDescent="0.25">
      <c r="A466" s="764"/>
      <c r="B466" s="718"/>
      <c r="C466" s="718"/>
      <c r="D466" s="718"/>
      <c r="E466" s="718"/>
      <c r="F466" s="718"/>
      <c r="G466" s="727"/>
      <c r="H466" s="681" t="s">
        <v>34</v>
      </c>
      <c r="I466" s="565"/>
      <c r="J466" s="565"/>
      <c r="K466" s="566"/>
      <c r="L466" s="574"/>
      <c r="M466" s="566"/>
      <c r="N466" s="566"/>
      <c r="O466" s="566"/>
      <c r="P466" s="566"/>
      <c r="Q466" s="566"/>
      <c r="R466" s="566"/>
      <c r="S466" s="566"/>
      <c r="T466" s="566"/>
      <c r="U466" s="566"/>
    </row>
    <row r="467" spans="1:21" ht="18.75" x14ac:dyDescent="0.25">
      <c r="A467" s="764"/>
      <c r="B467" s="718"/>
      <c r="C467" s="982" t="s">
        <v>183</v>
      </c>
      <c r="D467" s="718"/>
      <c r="E467" s="718"/>
      <c r="F467" s="718"/>
      <c r="G467" s="727"/>
      <c r="H467" s="681" t="s">
        <v>46</v>
      </c>
      <c r="I467" s="565"/>
      <c r="J467" s="708">
        <f t="shared" ref="J467:J468" si="295">J469+J471</f>
        <v>0</v>
      </c>
      <c r="K467" s="566"/>
      <c r="L467" s="574"/>
      <c r="M467" s="566"/>
      <c r="N467" s="566"/>
      <c r="O467" s="566"/>
      <c r="P467" s="566"/>
      <c r="Q467" s="566"/>
      <c r="R467" s="566"/>
      <c r="S467" s="566"/>
      <c r="T467" s="566"/>
      <c r="U467" s="566"/>
    </row>
    <row r="468" spans="1:21" ht="18.75" x14ac:dyDescent="0.25">
      <c r="A468" s="764"/>
      <c r="B468" s="718"/>
      <c r="C468" s="718"/>
      <c r="D468" s="718"/>
      <c r="E468" s="718"/>
      <c r="F468" s="718"/>
      <c r="G468" s="727"/>
      <c r="H468" s="681" t="s">
        <v>34</v>
      </c>
      <c r="I468" s="565"/>
      <c r="J468" s="708">
        <f t="shared" si="295"/>
        <v>0</v>
      </c>
      <c r="K468" s="566"/>
      <c r="L468" s="574"/>
      <c r="M468" s="566"/>
      <c r="N468" s="566"/>
      <c r="O468" s="566"/>
      <c r="P468" s="566"/>
      <c r="Q468" s="566"/>
      <c r="R468" s="566"/>
      <c r="S468" s="566"/>
      <c r="T468" s="566"/>
      <c r="U468" s="566"/>
    </row>
    <row r="469" spans="1:21" ht="18.75" x14ac:dyDescent="0.25">
      <c r="A469" s="764"/>
      <c r="B469" s="718"/>
      <c r="C469" s="718"/>
      <c r="D469" s="982" t="s">
        <v>184</v>
      </c>
      <c r="E469" s="718"/>
      <c r="F469" s="718"/>
      <c r="G469" s="727"/>
      <c r="H469" s="681" t="s">
        <v>46</v>
      </c>
      <c r="I469" s="565"/>
      <c r="J469" s="565"/>
      <c r="K469" s="566"/>
      <c r="L469" s="574"/>
      <c r="M469" s="566"/>
      <c r="N469" s="566"/>
      <c r="O469" s="566"/>
      <c r="P469" s="566"/>
      <c r="Q469" s="566"/>
      <c r="R469" s="566"/>
      <c r="S469" s="566"/>
      <c r="T469" s="566"/>
      <c r="U469" s="566"/>
    </row>
    <row r="470" spans="1:21" ht="18.75" x14ac:dyDescent="0.25">
      <c r="A470" s="764"/>
      <c r="B470" s="718"/>
      <c r="C470" s="718"/>
      <c r="D470" s="718"/>
      <c r="E470" s="718"/>
      <c r="F470" s="718"/>
      <c r="G470" s="727"/>
      <c r="H470" s="681" t="s">
        <v>34</v>
      </c>
      <c r="I470" s="565"/>
      <c r="J470" s="565"/>
      <c r="K470" s="566"/>
      <c r="L470" s="574"/>
      <c r="M470" s="566"/>
      <c r="N470" s="566"/>
      <c r="O470" s="566"/>
      <c r="P470" s="566"/>
      <c r="Q470" s="566"/>
      <c r="R470" s="566"/>
      <c r="S470" s="566"/>
      <c r="T470" s="566"/>
      <c r="U470" s="566"/>
    </row>
    <row r="471" spans="1:21" ht="18.75" x14ac:dyDescent="0.25">
      <c r="A471" s="764"/>
      <c r="B471" s="718"/>
      <c r="C471" s="718"/>
      <c r="D471" s="982" t="s">
        <v>185</v>
      </c>
      <c r="E471" s="718"/>
      <c r="F471" s="718"/>
      <c r="G471" s="727"/>
      <c r="H471" s="681" t="s">
        <v>46</v>
      </c>
      <c r="I471" s="565"/>
      <c r="J471" s="565"/>
      <c r="K471" s="566"/>
      <c r="L471" s="574"/>
      <c r="M471" s="566"/>
      <c r="N471" s="566"/>
      <c r="O471" s="566"/>
      <c r="P471" s="566"/>
      <c r="Q471" s="566"/>
      <c r="R471" s="566"/>
      <c r="S471" s="566"/>
      <c r="T471" s="566"/>
      <c r="U471" s="566"/>
    </row>
    <row r="472" spans="1:21" ht="18.75" x14ac:dyDescent="0.25">
      <c r="A472" s="764"/>
      <c r="B472" s="718"/>
      <c r="C472" s="718"/>
      <c r="D472" s="718"/>
      <c r="E472" s="718"/>
      <c r="F472" s="718"/>
      <c r="G472" s="727"/>
      <c r="H472" s="681" t="s">
        <v>34</v>
      </c>
      <c r="I472" s="565"/>
      <c r="J472" s="565"/>
      <c r="K472" s="566"/>
      <c r="L472" s="574"/>
      <c r="M472" s="566"/>
      <c r="N472" s="566"/>
      <c r="O472" s="566"/>
      <c r="P472" s="566"/>
      <c r="Q472" s="566"/>
      <c r="R472" s="566"/>
      <c r="S472" s="566"/>
      <c r="T472" s="566"/>
      <c r="U472" s="566"/>
    </row>
    <row r="473" spans="1:21" ht="18.75" x14ac:dyDescent="0.25">
      <c r="A473" s="764"/>
      <c r="B473" s="718"/>
      <c r="C473" s="765" t="s">
        <v>186</v>
      </c>
      <c r="D473" s="718"/>
      <c r="E473" s="718"/>
      <c r="F473" s="718"/>
      <c r="G473" s="727"/>
      <c r="H473" s="681" t="s">
        <v>46</v>
      </c>
      <c r="I473" s="565"/>
      <c r="J473" s="565"/>
      <c r="K473" s="566"/>
      <c r="L473" s="574"/>
      <c r="M473" s="566"/>
      <c r="N473" s="566"/>
      <c r="O473" s="566"/>
      <c r="P473" s="566"/>
      <c r="Q473" s="566"/>
      <c r="R473" s="566"/>
      <c r="S473" s="566"/>
      <c r="T473" s="566"/>
      <c r="U473" s="566"/>
    </row>
    <row r="474" spans="1:21" ht="18.75" x14ac:dyDescent="0.25">
      <c r="A474" s="764"/>
      <c r="B474" s="718"/>
      <c r="C474" s="718"/>
      <c r="D474" s="718"/>
      <c r="E474" s="718"/>
      <c r="F474" s="718"/>
      <c r="G474" s="727"/>
      <c r="H474" s="681" t="s">
        <v>34</v>
      </c>
      <c r="I474" s="565"/>
      <c r="J474" s="565"/>
      <c r="K474" s="566"/>
      <c r="L474" s="574"/>
      <c r="M474" s="566"/>
      <c r="N474" s="566"/>
      <c r="O474" s="566"/>
      <c r="P474" s="566"/>
      <c r="Q474" s="566"/>
      <c r="R474" s="566"/>
      <c r="S474" s="566"/>
      <c r="T474" s="566"/>
      <c r="U474" s="566"/>
    </row>
    <row r="475" spans="1:21" ht="19.5" x14ac:dyDescent="0.3">
      <c r="A475" s="764"/>
      <c r="B475" s="983" t="s">
        <v>187</v>
      </c>
      <c r="C475" s="718"/>
      <c r="D475" s="718"/>
      <c r="E475" s="718"/>
      <c r="F475" s="718"/>
      <c r="G475" s="727"/>
      <c r="H475" s="677" t="s">
        <v>46</v>
      </c>
      <c r="I475" s="697">
        <v>0</v>
      </c>
      <c r="J475" s="697">
        <f>J478+J480</f>
        <v>0</v>
      </c>
      <c r="K475" s="679">
        <f t="shared" ref="K475:K477" si="296">IF(I475&gt;0,J475*100/I475,0)</f>
        <v>0</v>
      </c>
      <c r="L475" s="574"/>
      <c r="M475" s="566"/>
      <c r="N475" s="566"/>
      <c r="O475" s="566"/>
      <c r="P475" s="566"/>
      <c r="Q475" s="566"/>
      <c r="R475" s="566"/>
      <c r="S475" s="566"/>
      <c r="T475" s="566"/>
      <c r="U475" s="566"/>
    </row>
    <row r="476" spans="1:21" ht="19.5" x14ac:dyDescent="0.3">
      <c r="A476" s="764"/>
      <c r="B476" s="718"/>
      <c r="C476" s="719" t="s">
        <v>188</v>
      </c>
      <c r="D476" s="718"/>
      <c r="E476" s="718"/>
      <c r="F476" s="718"/>
      <c r="G476" s="727"/>
      <c r="H476" s="677" t="s">
        <v>46</v>
      </c>
      <c r="I476" s="697">
        <v>0</v>
      </c>
      <c r="J476" s="697">
        <f t="shared" ref="J476:J477" si="297">J478+J480</f>
        <v>0</v>
      </c>
      <c r="K476" s="679">
        <f t="shared" si="296"/>
        <v>0</v>
      </c>
      <c r="L476" s="574"/>
      <c r="M476" s="566"/>
      <c r="N476" s="566"/>
      <c r="O476" s="566"/>
      <c r="P476" s="566"/>
      <c r="Q476" s="566"/>
      <c r="R476" s="566"/>
      <c r="S476" s="566"/>
      <c r="T476" s="566"/>
      <c r="U476" s="566"/>
    </row>
    <row r="477" spans="1:21" ht="19.5" x14ac:dyDescent="0.3">
      <c r="A477" s="764"/>
      <c r="B477" s="718"/>
      <c r="C477" s="765" t="s">
        <v>189</v>
      </c>
      <c r="D477" s="718"/>
      <c r="E477" s="718"/>
      <c r="F477" s="718"/>
      <c r="G477" s="727"/>
      <c r="H477" s="677" t="s">
        <v>34</v>
      </c>
      <c r="I477" s="697">
        <v>0</v>
      </c>
      <c r="J477" s="697">
        <f t="shared" si="297"/>
        <v>0</v>
      </c>
      <c r="K477" s="679">
        <f t="shared" si="296"/>
        <v>0</v>
      </c>
      <c r="L477" s="574"/>
      <c r="M477" s="566"/>
      <c r="N477" s="566"/>
      <c r="O477" s="566"/>
      <c r="P477" s="566"/>
      <c r="Q477" s="566"/>
      <c r="R477" s="566"/>
      <c r="S477" s="566"/>
      <c r="T477" s="566"/>
      <c r="U477" s="566"/>
    </row>
    <row r="478" spans="1:21" ht="18.75" x14ac:dyDescent="0.25">
      <c r="A478" s="764"/>
      <c r="B478" s="718"/>
      <c r="C478" s="718"/>
      <c r="D478" s="765" t="s">
        <v>190</v>
      </c>
      <c r="E478" s="718"/>
      <c r="F478" s="718"/>
      <c r="G478" s="727"/>
      <c r="H478" s="681" t="s">
        <v>46</v>
      </c>
      <c r="I478" s="565"/>
      <c r="J478" s="565"/>
      <c r="K478" s="566"/>
      <c r="L478" s="574"/>
      <c r="M478" s="566"/>
      <c r="N478" s="566"/>
      <c r="O478" s="566"/>
      <c r="P478" s="566"/>
      <c r="Q478" s="566"/>
      <c r="R478" s="566"/>
      <c r="S478" s="566"/>
      <c r="T478" s="566"/>
      <c r="U478" s="566"/>
    </row>
    <row r="479" spans="1:21" ht="18.75" x14ac:dyDescent="0.25">
      <c r="A479" s="764"/>
      <c r="B479" s="718"/>
      <c r="C479" s="718"/>
      <c r="D479" s="718"/>
      <c r="E479" s="718"/>
      <c r="F479" s="718"/>
      <c r="G479" s="727"/>
      <c r="H479" s="681" t="s">
        <v>34</v>
      </c>
      <c r="I479" s="565"/>
      <c r="J479" s="565"/>
      <c r="K479" s="566"/>
      <c r="L479" s="574"/>
      <c r="M479" s="566"/>
      <c r="N479" s="566"/>
      <c r="O479" s="566"/>
      <c r="P479" s="566"/>
      <c r="Q479" s="566"/>
      <c r="R479" s="566"/>
      <c r="S479" s="566"/>
      <c r="T479" s="566"/>
      <c r="U479" s="566"/>
    </row>
    <row r="480" spans="1:21" ht="18.75" x14ac:dyDescent="0.25">
      <c r="A480" s="764"/>
      <c r="B480" s="718"/>
      <c r="C480" s="718"/>
      <c r="D480" s="982" t="s">
        <v>191</v>
      </c>
      <c r="E480" s="718"/>
      <c r="F480" s="718"/>
      <c r="G480" s="727"/>
      <c r="H480" s="681" t="s">
        <v>46</v>
      </c>
      <c r="I480" s="565"/>
      <c r="J480" s="565"/>
      <c r="K480" s="566"/>
      <c r="L480" s="574"/>
      <c r="M480" s="566"/>
      <c r="N480" s="566"/>
      <c r="O480" s="566"/>
      <c r="P480" s="566"/>
      <c r="Q480" s="566"/>
      <c r="R480" s="566"/>
      <c r="S480" s="566"/>
      <c r="T480" s="566"/>
      <c r="U480" s="566"/>
    </row>
    <row r="481" spans="1:21" ht="18.75" x14ac:dyDescent="0.25">
      <c r="A481" s="764"/>
      <c r="B481" s="718"/>
      <c r="C481" s="718"/>
      <c r="D481" s="718"/>
      <c r="E481" s="718"/>
      <c r="F481" s="718"/>
      <c r="G481" s="727"/>
      <c r="H481" s="681" t="s">
        <v>34</v>
      </c>
      <c r="I481" s="565"/>
      <c r="J481" s="565"/>
      <c r="K481" s="566"/>
      <c r="L481" s="574"/>
      <c r="M481" s="566"/>
      <c r="N481" s="566"/>
      <c r="O481" s="566"/>
      <c r="P481" s="566"/>
      <c r="Q481" s="566"/>
      <c r="R481" s="566"/>
      <c r="S481" s="566"/>
      <c r="T481" s="566"/>
      <c r="U481" s="566"/>
    </row>
    <row r="482" spans="1:21" ht="18.75" x14ac:dyDescent="0.25">
      <c r="A482" s="764"/>
      <c r="B482" s="718"/>
      <c r="C482" s="718"/>
      <c r="D482" s="982" t="s">
        <v>192</v>
      </c>
      <c r="E482" s="718"/>
      <c r="F482" s="718"/>
      <c r="G482" s="727"/>
      <c r="H482" s="681" t="s">
        <v>46</v>
      </c>
      <c r="I482" s="565"/>
      <c r="J482" s="708">
        <f ca="1">IFERROR(__xludf.DUMMYFUNCTION("IMPORTRANGE(""https://docs.google.com/spreadsheets/d/1eHaY18a8A9IcSdp1K8H6x8fbOy06t2VsZHhMHf-1x7Y/edit?usp=sharing"",""แผน!HN21"")"),0)</f>
        <v>0</v>
      </c>
      <c r="K482" s="566"/>
      <c r="L482" s="574"/>
      <c r="M482" s="566"/>
      <c r="N482" s="566"/>
      <c r="O482" s="566"/>
      <c r="P482" s="566"/>
      <c r="Q482" s="566"/>
      <c r="R482" s="566"/>
      <c r="S482" s="566"/>
      <c r="T482" s="566"/>
      <c r="U482" s="566"/>
    </row>
    <row r="483" spans="1:21" ht="18.75" x14ac:dyDescent="0.25">
      <c r="A483" s="764"/>
      <c r="B483" s="718"/>
      <c r="C483" s="718"/>
      <c r="D483" s="718"/>
      <c r="E483" s="718"/>
      <c r="F483" s="718"/>
      <c r="G483" s="727"/>
      <c r="H483" s="681" t="s">
        <v>34</v>
      </c>
      <c r="I483" s="565"/>
      <c r="J483" s="708">
        <f ca="1">IFERROR(__xludf.DUMMYFUNCTION("IMPORTRANGE(""https://docs.google.com/spreadsheets/d/1eHaY18a8A9IcSdp1K8H6x8fbOy06t2VsZHhMHf-1x7Y/edit?usp=sharing"",""แผน!HO21"")"),0)</f>
        <v>0</v>
      </c>
      <c r="K483" s="566"/>
      <c r="L483" s="574"/>
      <c r="M483" s="566"/>
      <c r="N483" s="566"/>
      <c r="O483" s="566"/>
      <c r="P483" s="566"/>
      <c r="Q483" s="566"/>
      <c r="R483" s="566"/>
      <c r="S483" s="566"/>
      <c r="T483" s="566"/>
      <c r="U483" s="566"/>
    </row>
    <row r="484" spans="1:21" ht="19.5" x14ac:dyDescent="0.3">
      <c r="A484" s="764"/>
      <c r="B484" s="718"/>
      <c r="C484" s="719" t="s">
        <v>193</v>
      </c>
      <c r="D484" s="718"/>
      <c r="E484" s="718"/>
      <c r="F484" s="718"/>
      <c r="G484" s="727"/>
      <c r="H484" s="677" t="s">
        <v>46</v>
      </c>
      <c r="I484" s="565">
        <f t="shared" ref="I484:I485" si="298">J480</f>
        <v>0</v>
      </c>
      <c r="J484" s="697">
        <f t="shared" ref="J484:J485" si="299">J486+J488+J490</f>
        <v>0</v>
      </c>
      <c r="K484" s="679">
        <f t="shared" ref="K484:K485" si="300">IF(I484&gt;0,J484*100/I484,0)</f>
        <v>0</v>
      </c>
      <c r="L484" s="574"/>
      <c r="M484" s="566"/>
      <c r="N484" s="566"/>
      <c r="O484" s="566"/>
      <c r="P484" s="566"/>
      <c r="Q484" s="566"/>
      <c r="R484" s="566"/>
      <c r="S484" s="566"/>
      <c r="T484" s="566"/>
      <c r="U484" s="566"/>
    </row>
    <row r="485" spans="1:21" ht="19.5" x14ac:dyDescent="0.3">
      <c r="A485" s="764"/>
      <c r="B485" s="718"/>
      <c r="C485" s="765" t="s">
        <v>194</v>
      </c>
      <c r="D485" s="718"/>
      <c r="E485" s="718"/>
      <c r="F485" s="718"/>
      <c r="G485" s="727"/>
      <c r="H485" s="677" t="s">
        <v>34</v>
      </c>
      <c r="I485" s="565">
        <f t="shared" si="298"/>
        <v>0</v>
      </c>
      <c r="J485" s="697">
        <f t="shared" si="299"/>
        <v>0</v>
      </c>
      <c r="K485" s="679">
        <f t="shared" si="300"/>
        <v>0</v>
      </c>
      <c r="L485" s="574"/>
      <c r="M485" s="566"/>
      <c r="N485" s="566"/>
      <c r="O485" s="566"/>
      <c r="P485" s="566"/>
      <c r="Q485" s="566"/>
      <c r="R485" s="566"/>
      <c r="S485" s="566"/>
      <c r="T485" s="566"/>
      <c r="U485" s="566"/>
    </row>
    <row r="486" spans="1:21" ht="18.75" x14ac:dyDescent="0.25">
      <c r="A486" s="764"/>
      <c r="B486" s="718"/>
      <c r="C486" s="718"/>
      <c r="D486" s="982" t="s">
        <v>195</v>
      </c>
      <c r="E486" s="718"/>
      <c r="F486" s="718"/>
      <c r="G486" s="727"/>
      <c r="H486" s="681" t="s">
        <v>46</v>
      </c>
      <c r="I486" s="565"/>
      <c r="J486" s="565"/>
      <c r="K486" s="566"/>
      <c r="L486" s="574"/>
      <c r="M486" s="566"/>
      <c r="N486" s="566"/>
      <c r="O486" s="566"/>
      <c r="P486" s="566"/>
      <c r="Q486" s="566"/>
      <c r="R486" s="566"/>
      <c r="S486" s="566"/>
      <c r="T486" s="566"/>
      <c r="U486" s="566"/>
    </row>
    <row r="487" spans="1:21" ht="18.75" x14ac:dyDescent="0.25">
      <c r="A487" s="764"/>
      <c r="B487" s="718"/>
      <c r="C487" s="718"/>
      <c r="D487" s="718"/>
      <c r="E487" s="718"/>
      <c r="F487" s="718"/>
      <c r="G487" s="727"/>
      <c r="H487" s="681" t="s">
        <v>34</v>
      </c>
      <c r="I487" s="565"/>
      <c r="J487" s="565"/>
      <c r="K487" s="566"/>
      <c r="L487" s="574"/>
      <c r="M487" s="566"/>
      <c r="N487" s="566"/>
      <c r="O487" s="566"/>
      <c r="P487" s="566"/>
      <c r="Q487" s="566"/>
      <c r="R487" s="566"/>
      <c r="S487" s="566"/>
      <c r="T487" s="566"/>
      <c r="U487" s="566"/>
    </row>
    <row r="488" spans="1:21" ht="18.75" x14ac:dyDescent="0.25">
      <c r="A488" s="764"/>
      <c r="B488" s="718"/>
      <c r="C488" s="718"/>
      <c r="D488" s="982" t="s">
        <v>196</v>
      </c>
      <c r="E488" s="718"/>
      <c r="F488" s="718"/>
      <c r="G488" s="727"/>
      <c r="H488" s="681" t="s">
        <v>46</v>
      </c>
      <c r="I488" s="565"/>
      <c r="J488" s="565"/>
      <c r="K488" s="566"/>
      <c r="L488" s="574"/>
      <c r="M488" s="566"/>
      <c r="N488" s="566"/>
      <c r="O488" s="566"/>
      <c r="P488" s="566"/>
      <c r="Q488" s="566"/>
      <c r="R488" s="566"/>
      <c r="S488" s="566"/>
      <c r="T488" s="566"/>
      <c r="U488" s="566"/>
    </row>
    <row r="489" spans="1:21" ht="18.75" x14ac:dyDescent="0.25">
      <c r="A489" s="764"/>
      <c r="B489" s="718"/>
      <c r="C489" s="718"/>
      <c r="D489" s="718"/>
      <c r="E489" s="718"/>
      <c r="F489" s="718"/>
      <c r="G489" s="727"/>
      <c r="H489" s="681" t="s">
        <v>34</v>
      </c>
      <c r="I489" s="565"/>
      <c r="J489" s="565"/>
      <c r="K489" s="566"/>
      <c r="L489" s="574"/>
      <c r="M489" s="566"/>
      <c r="N489" s="566"/>
      <c r="O489" s="566"/>
      <c r="P489" s="566"/>
      <c r="Q489" s="566"/>
      <c r="R489" s="566"/>
      <c r="S489" s="566"/>
      <c r="T489" s="566"/>
      <c r="U489" s="566"/>
    </row>
    <row r="490" spans="1:21" ht="18.75" x14ac:dyDescent="0.25">
      <c r="A490" s="764"/>
      <c r="B490" s="718"/>
      <c r="C490" s="718"/>
      <c r="D490" s="982" t="s">
        <v>197</v>
      </c>
      <c r="E490" s="718"/>
      <c r="F490" s="718"/>
      <c r="G490" s="727"/>
      <c r="H490" s="681" t="s">
        <v>46</v>
      </c>
      <c r="I490" s="565"/>
      <c r="J490" s="565"/>
      <c r="K490" s="566"/>
      <c r="L490" s="574"/>
      <c r="M490" s="566"/>
      <c r="N490" s="566"/>
      <c r="O490" s="566"/>
      <c r="P490" s="566"/>
      <c r="Q490" s="566"/>
      <c r="R490" s="566"/>
      <c r="S490" s="566"/>
      <c r="T490" s="566"/>
      <c r="U490" s="566"/>
    </row>
    <row r="491" spans="1:21" ht="18.75" x14ac:dyDescent="0.25">
      <c r="A491" s="984"/>
      <c r="B491" s="514"/>
      <c r="C491" s="514"/>
      <c r="D491" s="514"/>
      <c r="E491" s="514"/>
      <c r="F491" s="514"/>
      <c r="G491" s="985"/>
      <c r="H491" s="986" t="s">
        <v>34</v>
      </c>
      <c r="I491" s="579"/>
      <c r="J491" s="579"/>
      <c r="K491" s="580"/>
      <c r="L491" s="581"/>
      <c r="M491" s="580"/>
      <c r="N491" s="580"/>
      <c r="O491" s="580"/>
      <c r="P491" s="580"/>
      <c r="Q491" s="580"/>
      <c r="R491" s="580"/>
      <c r="S491" s="580"/>
      <c r="T491" s="580"/>
      <c r="U491" s="580"/>
    </row>
    <row r="492" spans="1:21" ht="19.5" hidden="1" x14ac:dyDescent="0.3">
      <c r="A492" s="926"/>
      <c r="B492" s="971" t="s">
        <v>198</v>
      </c>
      <c r="C492" s="928"/>
      <c r="D492" s="928"/>
      <c r="E492" s="911"/>
      <c r="F492" s="911"/>
      <c r="G492" s="912"/>
      <c r="H492" s="977" t="s">
        <v>35</v>
      </c>
      <c r="I492" s="914">
        <f t="shared" ref="I492:J492" ca="1" si="301">I503</f>
        <v>0</v>
      </c>
      <c r="J492" s="914">
        <f t="shared" ca="1" si="301"/>
        <v>0</v>
      </c>
      <c r="K492" s="915">
        <f ca="1">IF(I492&gt;0,J492*100/I492,0)</f>
        <v>0</v>
      </c>
      <c r="L492" s="916"/>
      <c r="M492" s="917"/>
      <c r="N492" s="917"/>
      <c r="O492" s="917"/>
      <c r="P492" s="917"/>
      <c r="Q492" s="917"/>
      <c r="R492" s="917"/>
      <c r="S492" s="917"/>
      <c r="T492" s="917"/>
      <c r="U492" s="917"/>
    </row>
    <row r="493" spans="1:21" ht="19.5" hidden="1" x14ac:dyDescent="0.3">
      <c r="A493" s="674"/>
      <c r="B493" s="718"/>
      <c r="C493" s="724" t="s">
        <v>18</v>
      </c>
      <c r="D493" s="1313" t="s">
        <v>19</v>
      </c>
      <c r="E493" s="1314"/>
      <c r="F493" s="1314"/>
      <c r="G493" s="563"/>
      <c r="H493" s="780" t="s">
        <v>14</v>
      </c>
      <c r="I493" s="565"/>
      <c r="J493" s="565"/>
      <c r="K493" s="566"/>
      <c r="L493" s="678">
        <f t="shared" ref="L493:N493" ca="1" si="302">L494+L495</f>
        <v>0</v>
      </c>
      <c r="M493" s="679">
        <f t="shared" ca="1" si="302"/>
        <v>0</v>
      </c>
      <c r="N493" s="679">
        <f t="shared" ca="1" si="302"/>
        <v>0</v>
      </c>
      <c r="O493" s="679">
        <f t="shared" ref="O493:O501" ca="1" si="303">IF(L493&gt;0,N493*100/L493,0)</f>
        <v>0</v>
      </c>
      <c r="P493" s="679">
        <f t="shared" ref="P493:P501" ca="1" si="304">IF(M493&gt;0,N493*100/M493,0)</f>
        <v>0</v>
      </c>
      <c r="Q493" s="679">
        <f t="shared" ref="Q493:S493" ca="1" si="305">Q494+Q495</f>
        <v>0</v>
      </c>
      <c r="R493" s="679">
        <f t="shared" ca="1" si="305"/>
        <v>0</v>
      </c>
      <c r="S493" s="679">
        <f t="shared" ca="1" si="305"/>
        <v>0</v>
      </c>
      <c r="T493" s="679">
        <f t="shared" ref="T493:T501" ca="1" si="306">IF(Q493&gt;0,S493*100/Q493,0)</f>
        <v>0</v>
      </c>
      <c r="U493" s="679">
        <f t="shared" ref="U493:U501" ca="1" si="307">IF(R493&gt;0,S493*100/R493,0)</f>
        <v>0</v>
      </c>
    </row>
    <row r="494" spans="1:21" ht="18.75" hidden="1" x14ac:dyDescent="0.25">
      <c r="A494" s="674"/>
      <c r="B494" s="718"/>
      <c r="C494" s="718"/>
      <c r="D494" s="688"/>
      <c r="E494" s="569" t="s">
        <v>158</v>
      </c>
      <c r="F494" s="561"/>
      <c r="G494" s="563"/>
      <c r="H494" s="685" t="s">
        <v>14</v>
      </c>
      <c r="I494" s="565"/>
      <c r="J494" s="565"/>
      <c r="K494" s="566"/>
      <c r="L494" s="571">
        <f t="shared" ref="L494:N495" si="308">L497+L500</f>
        <v>0</v>
      </c>
      <c r="M494" s="572">
        <f t="shared" si="308"/>
        <v>0</v>
      </c>
      <c r="N494" s="572">
        <f t="shared" si="308"/>
        <v>0</v>
      </c>
      <c r="O494" s="572">
        <f t="shared" si="303"/>
        <v>0</v>
      </c>
      <c r="P494" s="572">
        <f t="shared" si="304"/>
        <v>0</v>
      </c>
      <c r="Q494" s="572">
        <f t="shared" ref="Q494:S495" si="309">Q497+Q500</f>
        <v>0</v>
      </c>
      <c r="R494" s="572">
        <f t="shared" si="309"/>
        <v>0</v>
      </c>
      <c r="S494" s="572">
        <f t="shared" si="309"/>
        <v>0</v>
      </c>
      <c r="T494" s="572">
        <f t="shared" si="306"/>
        <v>0</v>
      </c>
      <c r="U494" s="572">
        <f t="shared" si="307"/>
        <v>0</v>
      </c>
    </row>
    <row r="495" spans="1:21" ht="18.75" hidden="1" x14ac:dyDescent="0.25">
      <c r="A495" s="674"/>
      <c r="B495" s="718"/>
      <c r="C495" s="718"/>
      <c r="D495" s="688"/>
      <c r="E495" s="573" t="s">
        <v>159</v>
      </c>
      <c r="F495" s="561"/>
      <c r="G495" s="563"/>
      <c r="H495" s="682" t="s">
        <v>14</v>
      </c>
      <c r="I495" s="565"/>
      <c r="J495" s="565"/>
      <c r="K495" s="566"/>
      <c r="L495" s="567">
        <f t="shared" ca="1" si="308"/>
        <v>0</v>
      </c>
      <c r="M495" s="568">
        <f t="shared" ca="1" si="308"/>
        <v>0</v>
      </c>
      <c r="N495" s="568">
        <f t="shared" ca="1" si="308"/>
        <v>0</v>
      </c>
      <c r="O495" s="568">
        <f t="shared" ca="1" si="303"/>
        <v>0</v>
      </c>
      <c r="P495" s="568">
        <f t="shared" ca="1" si="304"/>
        <v>0</v>
      </c>
      <c r="Q495" s="568">
        <f t="shared" ca="1" si="309"/>
        <v>0</v>
      </c>
      <c r="R495" s="568">
        <f t="shared" ca="1" si="309"/>
        <v>0</v>
      </c>
      <c r="S495" s="568">
        <f t="shared" ca="1" si="309"/>
        <v>0</v>
      </c>
      <c r="T495" s="568">
        <f t="shared" ca="1" si="306"/>
        <v>0</v>
      </c>
      <c r="U495" s="568">
        <f t="shared" ca="1" si="307"/>
        <v>0</v>
      </c>
    </row>
    <row r="496" spans="1:21" ht="18.75" hidden="1" x14ac:dyDescent="0.25">
      <c r="A496" s="674"/>
      <c r="B496" s="718"/>
      <c r="C496" s="718"/>
      <c r="D496" s="721" t="s">
        <v>22</v>
      </c>
      <c r="E496" s="561"/>
      <c r="F496" s="561"/>
      <c r="G496" s="563"/>
      <c r="H496" s="682" t="s">
        <v>14</v>
      </c>
      <c r="I496" s="683"/>
      <c r="J496" s="683"/>
      <c r="K496" s="684"/>
      <c r="L496" s="567">
        <f t="shared" ref="L496:N496" ca="1" si="310">L497+L498</f>
        <v>0</v>
      </c>
      <c r="M496" s="568">
        <f t="shared" ca="1" si="310"/>
        <v>0</v>
      </c>
      <c r="N496" s="568">
        <f t="shared" ca="1" si="310"/>
        <v>0</v>
      </c>
      <c r="O496" s="568">
        <f t="shared" ca="1" si="303"/>
        <v>0</v>
      </c>
      <c r="P496" s="568">
        <f t="shared" ca="1" si="304"/>
        <v>0</v>
      </c>
      <c r="Q496" s="568">
        <f t="shared" ref="Q496:S496" ca="1" si="311">Q497+Q498</f>
        <v>0</v>
      </c>
      <c r="R496" s="568">
        <f t="shared" ca="1" si="311"/>
        <v>0</v>
      </c>
      <c r="S496" s="568">
        <f t="shared" ca="1" si="311"/>
        <v>0</v>
      </c>
      <c r="T496" s="568">
        <f t="shared" ca="1" si="306"/>
        <v>0</v>
      </c>
      <c r="U496" s="568">
        <f t="shared" ca="1" si="307"/>
        <v>0</v>
      </c>
    </row>
    <row r="497" spans="1:21" ht="18.75" hidden="1" x14ac:dyDescent="0.25">
      <c r="A497" s="674"/>
      <c r="B497" s="718"/>
      <c r="C497" s="718"/>
      <c r="D497" s="688"/>
      <c r="E497" s="569" t="s">
        <v>158</v>
      </c>
      <c r="F497" s="561"/>
      <c r="G497" s="563"/>
      <c r="H497" s="685" t="s">
        <v>14</v>
      </c>
      <c r="I497" s="565"/>
      <c r="J497" s="565"/>
      <c r="K497" s="566"/>
      <c r="L497" s="571">
        <v>0</v>
      </c>
      <c r="M497" s="572">
        <v>0</v>
      </c>
      <c r="N497" s="572">
        <v>0</v>
      </c>
      <c r="O497" s="572">
        <f t="shared" si="303"/>
        <v>0</v>
      </c>
      <c r="P497" s="572">
        <f t="shared" si="304"/>
        <v>0</v>
      </c>
      <c r="Q497" s="572">
        <v>0</v>
      </c>
      <c r="R497" s="572">
        <v>0</v>
      </c>
      <c r="S497" s="572">
        <v>0</v>
      </c>
      <c r="T497" s="572">
        <f t="shared" si="306"/>
        <v>0</v>
      </c>
      <c r="U497" s="572">
        <f t="shared" si="307"/>
        <v>0</v>
      </c>
    </row>
    <row r="498" spans="1:21" ht="18.75" hidden="1" x14ac:dyDescent="0.25">
      <c r="A498" s="674"/>
      <c r="B498" s="718"/>
      <c r="C498" s="718"/>
      <c r="D498" s="688"/>
      <c r="E498" s="573" t="s">
        <v>159</v>
      </c>
      <c r="F498" s="561"/>
      <c r="G498" s="563"/>
      <c r="H498" s="682" t="s">
        <v>14</v>
      </c>
      <c r="I498" s="565"/>
      <c r="J498" s="565"/>
      <c r="K498" s="566"/>
      <c r="L498" s="567">
        <f ca="1">IFERROR(__xludf.DUMMYFUNCTION("IMPORTRANGE(""https://docs.google.com/spreadsheets/d/1-uDff_7J0KD5mKrp0Vvzr7lt3OU09vwQwhkpOPPYv2Y/edit?usp=sharing"",""งบพรบ!HU21"")"),0)</f>
        <v>0</v>
      </c>
      <c r="M498" s="568">
        <f ca="1">IFERROR(__xludf.DUMMYFUNCTION("IMPORTRANGE(""https://docs.google.com/spreadsheets/d/1-uDff_7J0KD5mKrp0Vvzr7lt3OU09vwQwhkpOPPYv2Y/edit?usp=sharing"",""งบพรบ!HZ21"")"),0)</f>
        <v>0</v>
      </c>
      <c r="N498" s="568">
        <f ca="1">IFERROR(__xludf.DUMMYFUNCTION("IMPORTRANGE(""https://docs.google.com/spreadsheets/d/1-uDff_7J0KD5mKrp0Vvzr7lt3OU09vwQwhkpOPPYv2Y/edit?usp=sharing"",""งบพรบ!IB21"")"),0)</f>
        <v>0</v>
      </c>
      <c r="O498" s="568">
        <f t="shared" ca="1" si="303"/>
        <v>0</v>
      </c>
      <c r="P498" s="568">
        <f t="shared" ca="1" si="304"/>
        <v>0</v>
      </c>
      <c r="Q498" s="568">
        <f ca="1">IFERROR(__xludf.DUMMYFUNCTION("IMPORTRANGE(""https://docs.google.com/spreadsheets/d/1ItG2mGa2ceCfYo0BwxsXqNm01IGEUdYcSSLTEv9YCik/edit?usp=sharing"",""เบิกจ่ายกองทุน!AD21"")"),0)</f>
        <v>0</v>
      </c>
      <c r="R498" s="568">
        <f ca="1">IFERROR(__xludf.DUMMYFUNCTION("IMPORTRANGE(""https://docs.google.com/spreadsheets/d/1ItG2mGa2ceCfYo0BwxsXqNm01IGEUdYcSSLTEv9YCik/edit?usp=sharing"",""เบิกจ่ายกองทุน!AE21"")"),0)</f>
        <v>0</v>
      </c>
      <c r="S498" s="568">
        <f ca="1">IFERROR(__xludf.DUMMYFUNCTION("IMPORTRANGE(""https://docs.google.com/spreadsheets/d/1ItG2mGa2ceCfYo0BwxsXqNm01IGEUdYcSSLTEv9YCik/edit?usp=sharing"",""เบิกจ่ายกองทุน!AF21"")"),0)</f>
        <v>0</v>
      </c>
      <c r="T498" s="568">
        <f t="shared" ca="1" si="306"/>
        <v>0</v>
      </c>
      <c r="U498" s="568">
        <f t="shared" ca="1" si="307"/>
        <v>0</v>
      </c>
    </row>
    <row r="499" spans="1:21" ht="18.75" hidden="1" x14ac:dyDescent="0.25">
      <c r="A499" s="674"/>
      <c r="B499" s="718"/>
      <c r="C499" s="718"/>
      <c r="D499" s="721" t="s">
        <v>23</v>
      </c>
      <c r="E499" s="561"/>
      <c r="F499" s="561"/>
      <c r="G499" s="563"/>
      <c r="H499" s="686" t="s">
        <v>14</v>
      </c>
      <c r="I499" s="683"/>
      <c r="J499" s="683"/>
      <c r="K499" s="684"/>
      <c r="L499" s="567">
        <f t="shared" ref="L499:N499" ca="1" si="312">L500+L501</f>
        <v>0</v>
      </c>
      <c r="M499" s="568">
        <f t="shared" ca="1" si="312"/>
        <v>0</v>
      </c>
      <c r="N499" s="568">
        <f t="shared" ca="1" si="312"/>
        <v>0</v>
      </c>
      <c r="O499" s="568">
        <f t="shared" ca="1" si="303"/>
        <v>0</v>
      </c>
      <c r="P499" s="568">
        <f t="shared" ca="1" si="304"/>
        <v>0</v>
      </c>
      <c r="Q499" s="568">
        <f t="shared" ref="Q499:S499" si="313">Q500+Q501</f>
        <v>0</v>
      </c>
      <c r="R499" s="568">
        <f t="shared" si="313"/>
        <v>0</v>
      </c>
      <c r="S499" s="568">
        <f t="shared" si="313"/>
        <v>0</v>
      </c>
      <c r="T499" s="568">
        <f t="shared" si="306"/>
        <v>0</v>
      </c>
      <c r="U499" s="568">
        <f t="shared" si="307"/>
        <v>0</v>
      </c>
    </row>
    <row r="500" spans="1:21" ht="18.75" hidden="1" x14ac:dyDescent="0.25">
      <c r="A500" s="674"/>
      <c r="B500" s="718"/>
      <c r="C500" s="718"/>
      <c r="D500" s="718"/>
      <c r="E500" s="569" t="s">
        <v>20</v>
      </c>
      <c r="F500" s="561"/>
      <c r="G500" s="563"/>
      <c r="H500" s="685" t="s">
        <v>14</v>
      </c>
      <c r="I500" s="683"/>
      <c r="J500" s="683"/>
      <c r="K500" s="684"/>
      <c r="L500" s="571">
        <v>0</v>
      </c>
      <c r="M500" s="572">
        <v>0</v>
      </c>
      <c r="N500" s="572">
        <v>0</v>
      </c>
      <c r="O500" s="572">
        <f t="shared" si="303"/>
        <v>0</v>
      </c>
      <c r="P500" s="572">
        <f t="shared" si="304"/>
        <v>0</v>
      </c>
      <c r="Q500" s="572">
        <v>0</v>
      </c>
      <c r="R500" s="572">
        <v>0</v>
      </c>
      <c r="S500" s="572">
        <v>0</v>
      </c>
      <c r="T500" s="572">
        <f t="shared" si="306"/>
        <v>0</v>
      </c>
      <c r="U500" s="572">
        <f t="shared" si="307"/>
        <v>0</v>
      </c>
    </row>
    <row r="501" spans="1:21" ht="18.75" hidden="1" x14ac:dyDescent="0.25">
      <c r="A501" s="674"/>
      <c r="B501" s="718"/>
      <c r="C501" s="718"/>
      <c r="D501" s="718"/>
      <c r="E501" s="573" t="s">
        <v>21</v>
      </c>
      <c r="F501" s="561"/>
      <c r="G501" s="563"/>
      <c r="H501" s="686" t="s">
        <v>14</v>
      </c>
      <c r="I501" s="683"/>
      <c r="J501" s="683"/>
      <c r="K501" s="684"/>
      <c r="L501" s="567">
        <f ca="1">IFERROR(__xludf.DUMMYFUNCTION("IMPORTRANGE(""https://docs.google.com/spreadsheets/d/1-uDff_7J0KD5mKrp0Vvzr7lt3OU09vwQwhkpOPPYv2Y/edit?usp=sharing"",""งบพรบ!HX21"")"),0)</f>
        <v>0</v>
      </c>
      <c r="M501" s="568">
        <f ca="1">IFERROR(__xludf.DUMMYFUNCTION("IMPORTRANGE(""https://docs.google.com/spreadsheets/d/1-uDff_7J0KD5mKrp0Vvzr7lt3OU09vwQwhkpOPPYv2Y/edit?usp=sharing"",""งบพรบ!IA21"")"),0)</f>
        <v>0</v>
      </c>
      <c r="N501" s="568">
        <f ca="1">IFERROR(__xludf.DUMMYFUNCTION("IMPORTRANGE(""https://docs.google.com/spreadsheets/d/1-uDff_7J0KD5mKrp0Vvzr7lt3OU09vwQwhkpOPPYv2Y/edit?usp=sharing"",""งบพรบ!IC21"")"),0)</f>
        <v>0</v>
      </c>
      <c r="O501" s="568">
        <f t="shared" ca="1" si="303"/>
        <v>0</v>
      </c>
      <c r="P501" s="568">
        <f t="shared" ca="1" si="304"/>
        <v>0</v>
      </c>
      <c r="Q501" s="568">
        <v>0</v>
      </c>
      <c r="R501" s="568">
        <v>0</v>
      </c>
      <c r="S501" s="568">
        <v>0</v>
      </c>
      <c r="T501" s="568">
        <f t="shared" si="306"/>
        <v>0</v>
      </c>
      <c r="U501" s="568">
        <f t="shared" si="307"/>
        <v>0</v>
      </c>
    </row>
    <row r="502" spans="1:21" ht="19.5" hidden="1" x14ac:dyDescent="0.3">
      <c r="A502" s="687"/>
      <c r="B502" s="688"/>
      <c r="C502" s="724" t="s">
        <v>18</v>
      </c>
      <c r="D502" s="956" t="s">
        <v>38</v>
      </c>
      <c r="E502" s="690"/>
      <c r="F502" s="690"/>
      <c r="G502" s="691"/>
      <c r="H502" s="725"/>
      <c r="I502" s="683"/>
      <c r="J502" s="683"/>
      <c r="K502" s="684"/>
      <c r="L502" s="693"/>
      <c r="M502" s="684"/>
      <c r="N502" s="684"/>
      <c r="O502" s="684"/>
      <c r="P502" s="684"/>
      <c r="Q502" s="684"/>
      <c r="R502" s="684"/>
      <c r="S502" s="684"/>
      <c r="T502" s="684"/>
      <c r="U502" s="684"/>
    </row>
    <row r="503" spans="1:21" ht="19.5" hidden="1" x14ac:dyDescent="0.3">
      <c r="A503" s="764"/>
      <c r="B503" s="718"/>
      <c r="C503" s="718"/>
      <c r="D503" s="719" t="s">
        <v>199</v>
      </c>
      <c r="E503" s="561"/>
      <c r="F503" s="561"/>
      <c r="G503" s="563"/>
      <c r="H503" s="681" t="s">
        <v>35</v>
      </c>
      <c r="I503" s="697">
        <f ca="1">IFERROR(__xludf.DUMMYFUNCTION("IMPORTRANGE(""https://docs.google.com/spreadsheets/d/1eHaY18a8A9IcSdp1K8H6x8fbOy06t2VsZHhMHf-1x7Y/edit?usp=sharing"",""แผน!GX21"")"),0)</f>
        <v>0</v>
      </c>
      <c r="J503" s="697">
        <f ca="1">IF(AND(J504=I504,J505=I505,J506=I506,J507=I507),I503,0)</f>
        <v>0</v>
      </c>
      <c r="K503" s="679">
        <f t="shared" ref="K503:K509" ca="1" si="314">IF(I503&gt;0,J503*100/I503,0)</f>
        <v>0</v>
      </c>
      <c r="L503" s="574"/>
      <c r="M503" s="566"/>
      <c r="N503" s="566"/>
      <c r="O503" s="566"/>
      <c r="P503" s="566"/>
      <c r="Q503" s="566"/>
      <c r="R503" s="566"/>
      <c r="S503" s="566"/>
      <c r="T503" s="566"/>
      <c r="U503" s="566"/>
    </row>
    <row r="504" spans="1:21" ht="18.75" hidden="1" x14ac:dyDescent="0.25">
      <c r="A504" s="764"/>
      <c r="B504" s="718"/>
      <c r="C504" s="718"/>
      <c r="D504" s="718"/>
      <c r="E504" s="573" t="s">
        <v>200</v>
      </c>
      <c r="F504" s="561"/>
      <c r="G504" s="563"/>
      <c r="H504" s="681" t="s">
        <v>35</v>
      </c>
      <c r="I504" s="708">
        <f ca="1">IFERROR(__xludf.DUMMYFUNCTION("IMPORTRANGE(""https://docs.google.com/spreadsheets/d/1eHaY18a8A9IcSdp1K8H6x8fbOy06t2VsZHhMHf-1x7Y/edit?usp=sharing"",""แผน!GY21"")"),0)</f>
        <v>0</v>
      </c>
      <c r="J504" s="702">
        <v>0</v>
      </c>
      <c r="K504" s="568">
        <f t="shared" ca="1" si="314"/>
        <v>0</v>
      </c>
      <c r="L504" s="574"/>
      <c r="M504" s="566"/>
      <c r="N504" s="566"/>
      <c r="O504" s="566"/>
      <c r="P504" s="566"/>
      <c r="Q504" s="566"/>
      <c r="R504" s="566"/>
      <c r="S504" s="566"/>
      <c r="T504" s="566"/>
      <c r="U504" s="566"/>
    </row>
    <row r="505" spans="1:21" ht="18.75" hidden="1" x14ac:dyDescent="0.25">
      <c r="A505" s="764"/>
      <c r="B505" s="718"/>
      <c r="C505" s="718"/>
      <c r="D505" s="718"/>
      <c r="E505" s="573" t="s">
        <v>201</v>
      </c>
      <c r="F505" s="561"/>
      <c r="G505" s="563"/>
      <c r="H505" s="681" t="s">
        <v>35</v>
      </c>
      <c r="I505" s="708">
        <f ca="1">IFERROR(__xludf.DUMMYFUNCTION("IMPORTRANGE(""https://docs.google.com/spreadsheets/d/1eHaY18a8A9IcSdp1K8H6x8fbOy06t2VsZHhMHf-1x7Y/edit?usp=sharing"",""แผน!GZ21"")"),0)</f>
        <v>0</v>
      </c>
      <c r="J505" s="702">
        <v>0</v>
      </c>
      <c r="K505" s="568">
        <f t="shared" ca="1" si="314"/>
        <v>0</v>
      </c>
      <c r="L505" s="574"/>
      <c r="M505" s="566"/>
      <c r="N505" s="566"/>
      <c r="O505" s="566"/>
      <c r="P505" s="566"/>
      <c r="Q505" s="566"/>
      <c r="R505" s="566"/>
      <c r="S505" s="566"/>
      <c r="T505" s="566"/>
      <c r="U505" s="566"/>
    </row>
    <row r="506" spans="1:21" ht="18.75" hidden="1" x14ac:dyDescent="0.25">
      <c r="A506" s="764"/>
      <c r="B506" s="718"/>
      <c r="C506" s="718"/>
      <c r="D506" s="718"/>
      <c r="E506" s="573" t="s">
        <v>202</v>
      </c>
      <c r="F506" s="561"/>
      <c r="G506" s="563"/>
      <c r="H506" s="681" t="s">
        <v>35</v>
      </c>
      <c r="I506" s="708">
        <f ca="1">IFERROR(__xludf.DUMMYFUNCTION("IMPORTRANGE(""https://docs.google.com/spreadsheets/d/1eHaY18a8A9IcSdp1K8H6x8fbOy06t2VsZHhMHf-1x7Y/edit?usp=sharing"",""แผน!HA21"")"),0)</f>
        <v>0</v>
      </c>
      <c r="J506" s="702">
        <v>0</v>
      </c>
      <c r="K506" s="568">
        <f t="shared" ca="1" si="314"/>
        <v>0</v>
      </c>
      <c r="L506" s="574"/>
      <c r="M506" s="566"/>
      <c r="N506" s="566"/>
      <c r="O506" s="566"/>
      <c r="P506" s="566"/>
      <c r="Q506" s="566"/>
      <c r="R506" s="566"/>
      <c r="S506" s="566"/>
      <c r="T506" s="566"/>
      <c r="U506" s="566"/>
    </row>
    <row r="507" spans="1:21" ht="18.75" hidden="1" x14ac:dyDescent="0.25">
      <c r="A507" s="764"/>
      <c r="B507" s="718"/>
      <c r="C507" s="718"/>
      <c r="D507" s="718"/>
      <c r="E507" s="987" t="s">
        <v>203</v>
      </c>
      <c r="F507" s="561"/>
      <c r="G507" s="563"/>
      <c r="H507" s="681" t="s">
        <v>35</v>
      </c>
      <c r="I507" s="708">
        <f ca="1">IFERROR(__xludf.DUMMYFUNCTION("IMPORTRANGE(""https://docs.google.com/spreadsheets/d/1eHaY18a8A9IcSdp1K8H6x8fbOy06t2VsZHhMHf-1x7Y/edit?usp=sharing"",""แผน!HB21"")"),0)</f>
        <v>0</v>
      </c>
      <c r="J507" s="702">
        <v>0</v>
      </c>
      <c r="K507" s="568">
        <f t="shared" ca="1" si="314"/>
        <v>0</v>
      </c>
      <c r="L507" s="574"/>
      <c r="M507" s="566"/>
      <c r="N507" s="566"/>
      <c r="O507" s="566"/>
      <c r="P507" s="566"/>
      <c r="Q507" s="566"/>
      <c r="R507" s="566"/>
      <c r="S507" s="566"/>
      <c r="T507" s="566"/>
      <c r="U507" s="566"/>
    </row>
    <row r="508" spans="1:21" ht="18.75" hidden="1" x14ac:dyDescent="0.25">
      <c r="A508" s="764"/>
      <c r="B508" s="718"/>
      <c r="C508" s="718"/>
      <c r="D508" s="718"/>
      <c r="E508" s="573" t="s">
        <v>204</v>
      </c>
      <c r="F508" s="561"/>
      <c r="G508" s="563"/>
      <c r="H508" s="681" t="s">
        <v>35</v>
      </c>
      <c r="I508" s="708">
        <v>0</v>
      </c>
      <c r="J508" s="708">
        <v>0</v>
      </c>
      <c r="K508" s="568">
        <f t="shared" si="314"/>
        <v>0</v>
      </c>
      <c r="L508" s="574"/>
      <c r="M508" s="566"/>
      <c r="N508" s="566"/>
      <c r="O508" s="566"/>
      <c r="P508" s="566"/>
      <c r="Q508" s="566"/>
      <c r="R508" s="566"/>
      <c r="S508" s="566"/>
      <c r="T508" s="566"/>
      <c r="U508" s="566"/>
    </row>
    <row r="509" spans="1:21" ht="19.5" hidden="1" x14ac:dyDescent="0.3">
      <c r="A509" s="984"/>
      <c r="B509" s="514"/>
      <c r="C509" s="514"/>
      <c r="D509" s="988" t="s">
        <v>50</v>
      </c>
      <c r="E509" s="513"/>
      <c r="F509" s="513"/>
      <c r="G509" s="577"/>
      <c r="H509" s="986" t="s">
        <v>35</v>
      </c>
      <c r="I509" s="989">
        <f ca="1">IFERROR(__xludf.DUMMYFUNCTION("IMPORTRANGE(""https://docs.google.com/spreadsheets/d/1eHaY18a8A9IcSdp1K8H6x8fbOy06t2VsZHhMHf-1x7Y/edit?usp=sharing"",""แผน!HC21"")"),0)</f>
        <v>0</v>
      </c>
      <c r="J509" s="990">
        <v>0</v>
      </c>
      <c r="K509" s="655">
        <f t="shared" ca="1" si="314"/>
        <v>0</v>
      </c>
      <c r="L509" s="581"/>
      <c r="M509" s="580"/>
      <c r="N509" s="580"/>
      <c r="O509" s="580"/>
      <c r="P509" s="580"/>
      <c r="Q509" s="580"/>
      <c r="R509" s="580"/>
      <c r="S509" s="580"/>
      <c r="T509" s="580"/>
      <c r="U509" s="580"/>
    </row>
    <row r="510" spans="1:21" ht="19.5" hidden="1" x14ac:dyDescent="0.3">
      <c r="A510" s="991" t="s">
        <v>205</v>
      </c>
      <c r="B510" s="992"/>
      <c r="C510" s="992"/>
      <c r="D510" s="992"/>
      <c r="E510" s="993"/>
      <c r="F510" s="993"/>
      <c r="G510" s="993"/>
      <c r="H510" s="993"/>
      <c r="I510" s="994"/>
      <c r="J510" s="994"/>
      <c r="K510" s="995"/>
      <c r="L510" s="996"/>
      <c r="M510" s="997"/>
      <c r="N510" s="997"/>
      <c r="O510" s="997"/>
      <c r="P510" s="997"/>
      <c r="Q510" s="997"/>
      <c r="R510" s="997"/>
      <c r="S510" s="997"/>
      <c r="T510" s="997"/>
      <c r="U510" s="997"/>
    </row>
    <row r="511" spans="1:21" ht="19.5" hidden="1" x14ac:dyDescent="0.3">
      <c r="A511" s="998" t="s">
        <v>206</v>
      </c>
      <c r="B511" s="999"/>
      <c r="C511" s="999"/>
      <c r="D511" s="1000"/>
      <c r="E511" s="999"/>
      <c r="F511" s="999"/>
      <c r="G511" s="999"/>
      <c r="H511" s="1001"/>
      <c r="I511" s="1002"/>
      <c r="J511" s="1002"/>
      <c r="K511" s="1003"/>
      <c r="L511" s="1004"/>
      <c r="M511" s="1005"/>
      <c r="N511" s="1005"/>
      <c r="O511" s="1005"/>
      <c r="P511" s="1005"/>
      <c r="Q511" s="1005"/>
      <c r="R511" s="1005"/>
      <c r="S511" s="1005"/>
      <c r="T511" s="1005"/>
      <c r="U511" s="1005"/>
    </row>
    <row r="512" spans="1:21" ht="19.5" hidden="1" x14ac:dyDescent="0.3">
      <c r="A512" s="1006"/>
      <c r="B512" s="1007" t="s">
        <v>207</v>
      </c>
      <c r="C512" s="1008"/>
      <c r="D512" s="1009"/>
      <c r="E512" s="1009"/>
      <c r="F512" s="1009"/>
      <c r="G512" s="1010"/>
      <c r="H512" s="1011" t="s">
        <v>61</v>
      </c>
      <c r="I512" s="1012">
        <f t="shared" ref="I512:J512" si="315">I524</f>
        <v>0</v>
      </c>
      <c r="J512" s="1012">
        <f t="shared" si="315"/>
        <v>0</v>
      </c>
      <c r="K512" s="1013">
        <f>IF(I512&gt;0,J512*100/I512,0)</f>
        <v>0</v>
      </c>
      <c r="L512" s="1014"/>
      <c r="M512" s="1015"/>
      <c r="N512" s="1015"/>
      <c r="O512" s="1015"/>
      <c r="P512" s="1015"/>
      <c r="Q512" s="1015"/>
      <c r="R512" s="1015"/>
      <c r="S512" s="1015"/>
      <c r="T512" s="1015"/>
      <c r="U512" s="1015"/>
    </row>
    <row r="513" spans="1:21" ht="19.5" hidden="1" x14ac:dyDescent="0.3">
      <c r="A513" s="674"/>
      <c r="B513" s="561"/>
      <c r="C513" s="797" t="s">
        <v>18</v>
      </c>
      <c r="D513" s="798" t="s">
        <v>19</v>
      </c>
      <c r="E513" s="561"/>
      <c r="F513" s="561"/>
      <c r="G513" s="563"/>
      <c r="H513" s="1016" t="s">
        <v>14</v>
      </c>
      <c r="I513" s="565"/>
      <c r="J513" s="565"/>
      <c r="K513" s="566"/>
      <c r="L513" s="678">
        <f t="shared" ref="L513:N513" ca="1" si="316">L514+L515</f>
        <v>0</v>
      </c>
      <c r="M513" s="679">
        <f t="shared" ca="1" si="316"/>
        <v>0</v>
      </c>
      <c r="N513" s="679">
        <f t="shared" ca="1" si="316"/>
        <v>0</v>
      </c>
      <c r="O513" s="679">
        <f t="shared" ref="O513:O521" ca="1" si="317">IF(L513&gt;0,N513*100/L513,0)</f>
        <v>0</v>
      </c>
      <c r="P513" s="679">
        <f t="shared" ref="P513:P521" ca="1" si="318">IF(M513&gt;0,N513*100/M513,0)</f>
        <v>0</v>
      </c>
      <c r="Q513" s="679">
        <f t="shared" ref="Q513:S513" si="319">Q514+Q515</f>
        <v>0</v>
      </c>
      <c r="R513" s="679">
        <f t="shared" si="319"/>
        <v>0</v>
      </c>
      <c r="S513" s="679">
        <f t="shared" si="319"/>
        <v>0</v>
      </c>
      <c r="T513" s="679">
        <f t="shared" ref="T513:T521" si="320">IF(Q513&gt;0,S513*100/Q513,0)</f>
        <v>0</v>
      </c>
      <c r="U513" s="679">
        <f t="shared" ref="U513:U521" si="321">IF(R513&gt;0,S513*100/R513,0)</f>
        <v>0</v>
      </c>
    </row>
    <row r="514" spans="1:21" ht="18.75" hidden="1" x14ac:dyDescent="0.25">
      <c r="A514" s="674"/>
      <c r="B514" s="561"/>
      <c r="C514" s="561"/>
      <c r="D514" s="561"/>
      <c r="E514" s="569" t="s">
        <v>20</v>
      </c>
      <c r="F514" s="561"/>
      <c r="G514" s="563"/>
      <c r="H514" s="680" t="s">
        <v>14</v>
      </c>
      <c r="I514" s="565"/>
      <c r="J514" s="565"/>
      <c r="K514" s="566"/>
      <c r="L514" s="571">
        <f t="shared" ref="L514:N515" si="322">L517+L520</f>
        <v>0</v>
      </c>
      <c r="M514" s="572">
        <f t="shared" si="322"/>
        <v>0</v>
      </c>
      <c r="N514" s="572">
        <f t="shared" si="322"/>
        <v>0</v>
      </c>
      <c r="O514" s="572">
        <f t="shared" si="317"/>
        <v>0</v>
      </c>
      <c r="P514" s="572">
        <f t="shared" si="318"/>
        <v>0</v>
      </c>
      <c r="Q514" s="572">
        <f t="shared" ref="Q514:S515" si="323">Q517+Q520</f>
        <v>0</v>
      </c>
      <c r="R514" s="572">
        <f t="shared" si="323"/>
        <v>0</v>
      </c>
      <c r="S514" s="572">
        <f t="shared" si="323"/>
        <v>0</v>
      </c>
      <c r="T514" s="572">
        <f t="shared" si="320"/>
        <v>0</v>
      </c>
      <c r="U514" s="572">
        <f t="shared" si="321"/>
        <v>0</v>
      </c>
    </row>
    <row r="515" spans="1:21" ht="18.75" hidden="1" x14ac:dyDescent="0.25">
      <c r="A515" s="674"/>
      <c r="B515" s="561"/>
      <c r="C515" s="561"/>
      <c r="D515" s="561"/>
      <c r="E515" s="569" t="s">
        <v>21</v>
      </c>
      <c r="F515" s="561"/>
      <c r="G515" s="563"/>
      <c r="H515" s="680" t="s">
        <v>14</v>
      </c>
      <c r="I515" s="565"/>
      <c r="J515" s="565"/>
      <c r="K515" s="566"/>
      <c r="L515" s="567">
        <f t="shared" ca="1" si="322"/>
        <v>0</v>
      </c>
      <c r="M515" s="568">
        <f t="shared" ca="1" si="322"/>
        <v>0</v>
      </c>
      <c r="N515" s="568">
        <f t="shared" ca="1" si="322"/>
        <v>0</v>
      </c>
      <c r="O515" s="568">
        <f t="shared" ca="1" si="317"/>
        <v>0</v>
      </c>
      <c r="P515" s="568">
        <f t="shared" ca="1" si="318"/>
        <v>0</v>
      </c>
      <c r="Q515" s="568">
        <f t="shared" si="323"/>
        <v>0</v>
      </c>
      <c r="R515" s="568">
        <f t="shared" si="323"/>
        <v>0</v>
      </c>
      <c r="S515" s="568">
        <f t="shared" si="323"/>
        <v>0</v>
      </c>
      <c r="T515" s="568">
        <f t="shared" si="320"/>
        <v>0</v>
      </c>
      <c r="U515" s="568">
        <f t="shared" si="321"/>
        <v>0</v>
      </c>
    </row>
    <row r="516" spans="1:21" ht="18.75" hidden="1" x14ac:dyDescent="0.25">
      <c r="A516" s="674"/>
      <c r="B516" s="561"/>
      <c r="C516" s="561"/>
      <c r="D516" s="1017" t="s">
        <v>22</v>
      </c>
      <c r="E516" s="561"/>
      <c r="F516" s="561"/>
      <c r="G516" s="563"/>
      <c r="H516" s="685" t="s">
        <v>14</v>
      </c>
      <c r="I516" s="683"/>
      <c r="J516" s="683"/>
      <c r="K516" s="684"/>
      <c r="L516" s="567">
        <f t="shared" ref="L516:N516" ca="1" si="324">L517+L518</f>
        <v>0</v>
      </c>
      <c r="M516" s="568">
        <f t="shared" ca="1" si="324"/>
        <v>0</v>
      </c>
      <c r="N516" s="568">
        <f t="shared" ca="1" si="324"/>
        <v>0</v>
      </c>
      <c r="O516" s="568">
        <f t="shared" ca="1" si="317"/>
        <v>0</v>
      </c>
      <c r="P516" s="568">
        <f t="shared" ca="1" si="318"/>
        <v>0</v>
      </c>
      <c r="Q516" s="568">
        <f t="shared" ref="Q516:S516" si="325">Q517+Q518</f>
        <v>0</v>
      </c>
      <c r="R516" s="568">
        <f t="shared" si="325"/>
        <v>0</v>
      </c>
      <c r="S516" s="568">
        <f t="shared" si="325"/>
        <v>0</v>
      </c>
      <c r="T516" s="568">
        <f t="shared" si="320"/>
        <v>0</v>
      </c>
      <c r="U516" s="568">
        <f t="shared" si="321"/>
        <v>0</v>
      </c>
    </row>
    <row r="517" spans="1:21" ht="18.75" hidden="1" x14ac:dyDescent="0.25">
      <c r="A517" s="674"/>
      <c r="B517" s="561"/>
      <c r="C517" s="561"/>
      <c r="D517" s="561"/>
      <c r="E517" s="569" t="s">
        <v>36</v>
      </c>
      <c r="F517" s="561"/>
      <c r="G517" s="563"/>
      <c r="H517" s="685" t="s">
        <v>14</v>
      </c>
      <c r="I517" s="683"/>
      <c r="J517" s="683"/>
      <c r="K517" s="684"/>
      <c r="L517" s="571">
        <v>0</v>
      </c>
      <c r="M517" s="572">
        <v>0</v>
      </c>
      <c r="N517" s="572">
        <v>0</v>
      </c>
      <c r="O517" s="572">
        <f t="shared" si="317"/>
        <v>0</v>
      </c>
      <c r="P517" s="572">
        <f t="shared" si="318"/>
        <v>0</v>
      </c>
      <c r="Q517" s="572">
        <v>0</v>
      </c>
      <c r="R517" s="572">
        <v>0</v>
      </c>
      <c r="S517" s="572">
        <v>0</v>
      </c>
      <c r="T517" s="572">
        <f t="shared" si="320"/>
        <v>0</v>
      </c>
      <c r="U517" s="572">
        <f t="shared" si="321"/>
        <v>0</v>
      </c>
    </row>
    <row r="518" spans="1:21" ht="18.75" hidden="1" x14ac:dyDescent="0.25">
      <c r="A518" s="674"/>
      <c r="B518" s="561"/>
      <c r="C518" s="561"/>
      <c r="D518" s="561"/>
      <c r="E518" s="569" t="s">
        <v>37</v>
      </c>
      <c r="F518" s="561"/>
      <c r="G518" s="563"/>
      <c r="H518" s="685" t="s">
        <v>14</v>
      </c>
      <c r="I518" s="683"/>
      <c r="J518" s="683"/>
      <c r="K518" s="684"/>
      <c r="L518" s="567">
        <f ca="1">IFERROR(__xludf.DUMMYFUNCTION("IMPORTRANGE(""https://docs.google.com/spreadsheets/d/1-uDff_7J0KD5mKrp0Vvzr7lt3OU09vwQwhkpOPPYv2Y/edit?usp=sharing"",""งบพรบ!FM21"")"),0)</f>
        <v>0</v>
      </c>
      <c r="M518" s="568">
        <f ca="1">IFERROR(__xludf.DUMMYFUNCTION("IMPORTRANGE(""https://docs.google.com/spreadsheets/d/1-uDff_7J0KD5mKrp0Vvzr7lt3OU09vwQwhkpOPPYv2Y/edit?usp=sharing"",""งบพรบ!FR21"")"),0)</f>
        <v>0</v>
      </c>
      <c r="N518" s="568">
        <f ca="1">IFERROR(__xludf.DUMMYFUNCTION("IMPORTRANGE(""https://docs.google.com/spreadsheets/d/1-uDff_7J0KD5mKrp0Vvzr7lt3OU09vwQwhkpOPPYv2Y/edit?usp=sharing"",""งบพรบ!FT21"")"),0)</f>
        <v>0</v>
      </c>
      <c r="O518" s="568">
        <f t="shared" ca="1" si="317"/>
        <v>0</v>
      </c>
      <c r="P518" s="568">
        <f t="shared" ca="1" si="318"/>
        <v>0</v>
      </c>
      <c r="Q518" s="568">
        <v>0</v>
      </c>
      <c r="R518" s="568">
        <v>0</v>
      </c>
      <c r="S518" s="568">
        <v>0</v>
      </c>
      <c r="T518" s="568">
        <f t="shared" si="320"/>
        <v>0</v>
      </c>
      <c r="U518" s="568">
        <f t="shared" si="321"/>
        <v>0</v>
      </c>
    </row>
    <row r="519" spans="1:21" ht="18.75" hidden="1" x14ac:dyDescent="0.25">
      <c r="A519" s="674"/>
      <c r="B519" s="561"/>
      <c r="C519" s="561"/>
      <c r="D519" s="1017" t="s">
        <v>23</v>
      </c>
      <c r="E519" s="561"/>
      <c r="F519" s="561"/>
      <c r="G519" s="563"/>
      <c r="H519" s="734" t="s">
        <v>14</v>
      </c>
      <c r="I519" s="683"/>
      <c r="J519" s="683"/>
      <c r="K519" s="684"/>
      <c r="L519" s="567">
        <f t="shared" ref="L519:N519" ca="1" si="326">L520+L521</f>
        <v>0</v>
      </c>
      <c r="M519" s="568">
        <f t="shared" ca="1" si="326"/>
        <v>0</v>
      </c>
      <c r="N519" s="568">
        <f t="shared" ca="1" si="326"/>
        <v>0</v>
      </c>
      <c r="O519" s="568">
        <f t="shared" ca="1" si="317"/>
        <v>0</v>
      </c>
      <c r="P519" s="568">
        <f t="shared" ca="1" si="318"/>
        <v>0</v>
      </c>
      <c r="Q519" s="568">
        <f t="shared" ref="Q519:S519" si="327">Q520+Q521</f>
        <v>0</v>
      </c>
      <c r="R519" s="568">
        <f t="shared" si="327"/>
        <v>0</v>
      </c>
      <c r="S519" s="568">
        <f t="shared" si="327"/>
        <v>0</v>
      </c>
      <c r="T519" s="568">
        <f t="shared" si="320"/>
        <v>0</v>
      </c>
      <c r="U519" s="568">
        <f t="shared" si="321"/>
        <v>0</v>
      </c>
    </row>
    <row r="520" spans="1:21" ht="18.75" hidden="1" x14ac:dyDescent="0.25">
      <c r="A520" s="674"/>
      <c r="B520" s="561"/>
      <c r="C520" s="561"/>
      <c r="D520" s="561"/>
      <c r="E520" s="569" t="s">
        <v>20</v>
      </c>
      <c r="F520" s="561"/>
      <c r="G520" s="563"/>
      <c r="H520" s="685" t="s">
        <v>14</v>
      </c>
      <c r="I520" s="683"/>
      <c r="J520" s="683"/>
      <c r="K520" s="684"/>
      <c r="L520" s="571">
        <v>0</v>
      </c>
      <c r="M520" s="572">
        <v>0</v>
      </c>
      <c r="N520" s="572">
        <v>0</v>
      </c>
      <c r="O520" s="572">
        <f t="shared" si="317"/>
        <v>0</v>
      </c>
      <c r="P520" s="572">
        <f t="shared" si="318"/>
        <v>0</v>
      </c>
      <c r="Q520" s="572">
        <v>0</v>
      </c>
      <c r="R520" s="572">
        <v>0</v>
      </c>
      <c r="S520" s="572">
        <v>0</v>
      </c>
      <c r="T520" s="572">
        <f t="shared" si="320"/>
        <v>0</v>
      </c>
      <c r="U520" s="572">
        <f t="shared" si="321"/>
        <v>0</v>
      </c>
    </row>
    <row r="521" spans="1:21" ht="18.75" hidden="1" x14ac:dyDescent="0.25">
      <c r="A521" s="674"/>
      <c r="B521" s="561"/>
      <c r="C521" s="561"/>
      <c r="D521" s="561"/>
      <c r="E521" s="569" t="s">
        <v>21</v>
      </c>
      <c r="F521" s="561"/>
      <c r="G521" s="563"/>
      <c r="H521" s="734" t="s">
        <v>14</v>
      </c>
      <c r="I521" s="683"/>
      <c r="J521" s="683"/>
      <c r="K521" s="684"/>
      <c r="L521" s="567">
        <f ca="1">IFERROR(__xludf.DUMMYFUNCTION("IMPORTRANGE(""https://docs.google.com/spreadsheets/d/1-uDff_7J0KD5mKrp0Vvzr7lt3OU09vwQwhkpOPPYv2Y/edit?usp=sharing"",""งบพรบ!FP21"")"),0)</f>
        <v>0</v>
      </c>
      <c r="M521" s="568">
        <f ca="1">IFERROR(__xludf.DUMMYFUNCTION("IMPORTRANGE(""https://docs.google.com/spreadsheets/d/1-uDff_7J0KD5mKrp0Vvzr7lt3OU09vwQwhkpOPPYv2Y/edit?usp=sharing"",""งบพรบ!FS21"")"),0)</f>
        <v>0</v>
      </c>
      <c r="N521" s="568">
        <f ca="1">IFERROR(__xludf.DUMMYFUNCTION("IMPORTRANGE(""https://docs.google.com/spreadsheets/d/1-uDff_7J0KD5mKrp0Vvzr7lt3OU09vwQwhkpOPPYv2Y/edit?usp=sharing"",""งบพรบ!FU21"")"),0)</f>
        <v>0</v>
      </c>
      <c r="O521" s="568">
        <f t="shared" ca="1" si="317"/>
        <v>0</v>
      </c>
      <c r="P521" s="568">
        <f t="shared" ca="1" si="318"/>
        <v>0</v>
      </c>
      <c r="Q521" s="568">
        <v>0</v>
      </c>
      <c r="R521" s="568">
        <v>0</v>
      </c>
      <c r="S521" s="568">
        <v>0</v>
      </c>
      <c r="T521" s="568">
        <f t="shared" si="320"/>
        <v>0</v>
      </c>
      <c r="U521" s="568">
        <f t="shared" si="321"/>
        <v>0</v>
      </c>
    </row>
    <row r="522" spans="1:21" ht="19.5" hidden="1" x14ac:dyDescent="0.3">
      <c r="A522" s="687"/>
      <c r="B522" s="688"/>
      <c r="C522" s="797" t="s">
        <v>18</v>
      </c>
      <c r="D522" s="801" t="s">
        <v>38</v>
      </c>
      <c r="E522" s="690"/>
      <c r="F522" s="690"/>
      <c r="G522" s="691"/>
      <c r="H522" s="692"/>
      <c r="I522" s="683"/>
      <c r="J522" s="565"/>
      <c r="K522" s="566"/>
      <c r="L522" s="574"/>
      <c r="M522" s="566"/>
      <c r="N522" s="566"/>
      <c r="O522" s="684"/>
      <c r="P522" s="684"/>
      <c r="Q522" s="566"/>
      <c r="R522" s="566"/>
      <c r="S522" s="566"/>
      <c r="T522" s="684"/>
      <c r="U522" s="684"/>
    </row>
    <row r="523" spans="1:21" ht="18.75" hidden="1" x14ac:dyDescent="0.25">
      <c r="A523" s="764"/>
      <c r="B523" s="561"/>
      <c r="C523" s="718"/>
      <c r="D523" s="726" t="s">
        <v>208</v>
      </c>
      <c r="E523" s="688"/>
      <c r="F523" s="561"/>
      <c r="G523" s="563"/>
      <c r="H523" s="768" t="s">
        <v>11</v>
      </c>
      <c r="I523" s="735">
        <v>0</v>
      </c>
      <c r="J523" s="736">
        <v>0</v>
      </c>
      <c r="K523" s="572">
        <f t="shared" ref="K523:K524" si="328">IF(I523&gt;0,J523*100/I523,0)</f>
        <v>0</v>
      </c>
      <c r="L523" s="574"/>
      <c r="M523" s="566"/>
      <c r="N523" s="566"/>
      <c r="O523" s="566"/>
      <c r="P523" s="566"/>
      <c r="Q523" s="566"/>
      <c r="R523" s="566"/>
      <c r="S523" s="566"/>
      <c r="T523" s="566"/>
      <c r="U523" s="566"/>
    </row>
    <row r="524" spans="1:21" ht="18.75" hidden="1" x14ac:dyDescent="0.25">
      <c r="A524" s="984"/>
      <c r="B524" s="513"/>
      <c r="C524" s="514"/>
      <c r="D524" s="1018" t="s">
        <v>209</v>
      </c>
      <c r="E524" s="864"/>
      <c r="F524" s="513"/>
      <c r="G524" s="577"/>
      <c r="H524" s="1019" t="s">
        <v>61</v>
      </c>
      <c r="I524" s="740">
        <v>0</v>
      </c>
      <c r="J524" s="741">
        <v>0</v>
      </c>
      <c r="K524" s="742">
        <f t="shared" si="328"/>
        <v>0</v>
      </c>
      <c r="L524" s="574"/>
      <c r="M524" s="566"/>
      <c r="N524" s="566"/>
      <c r="O524" s="566"/>
      <c r="P524" s="566"/>
      <c r="Q524" s="566"/>
      <c r="R524" s="566"/>
      <c r="S524" s="566"/>
      <c r="T524" s="566"/>
      <c r="U524" s="566"/>
    </row>
    <row r="525" spans="1:21" ht="12.75" hidden="1" x14ac:dyDescent="0.2">
      <c r="A525" s="1020"/>
      <c r="B525" s="1021"/>
      <c r="C525" s="1021"/>
      <c r="D525" s="1022"/>
      <c r="E525" s="1022"/>
      <c r="F525" s="1022"/>
      <c r="G525" s="1023"/>
      <c r="H525" s="1024"/>
      <c r="I525" s="1025"/>
      <c r="J525" s="1025"/>
      <c r="K525" s="1026"/>
      <c r="L525" s="965"/>
      <c r="M525" s="964"/>
      <c r="N525" s="964"/>
      <c r="O525" s="964"/>
      <c r="P525" s="964"/>
      <c r="Q525" s="964"/>
      <c r="R525" s="964"/>
      <c r="S525" s="964"/>
      <c r="T525" s="964"/>
      <c r="U525" s="964"/>
    </row>
    <row r="526" spans="1:21" ht="12.75" hidden="1" x14ac:dyDescent="0.2">
      <c r="A526" s="973"/>
      <c r="B526" s="961"/>
      <c r="C526" s="961"/>
      <c r="D526" s="974"/>
      <c r="E526" s="974"/>
      <c r="F526" s="974"/>
      <c r="G526" s="975"/>
      <c r="H526" s="962"/>
      <c r="I526" s="963"/>
      <c r="J526" s="963"/>
      <c r="K526" s="964"/>
      <c r="L526" s="965"/>
      <c r="M526" s="964"/>
      <c r="N526" s="964"/>
      <c r="O526" s="964"/>
      <c r="P526" s="964"/>
      <c r="Q526" s="964"/>
      <c r="R526" s="964"/>
      <c r="S526" s="964"/>
      <c r="T526" s="964"/>
      <c r="U526" s="964"/>
    </row>
    <row r="527" spans="1:21" ht="12.75" hidden="1" x14ac:dyDescent="0.2">
      <c r="A527" s="973"/>
      <c r="B527" s="961"/>
      <c r="C527" s="961"/>
      <c r="D527" s="974"/>
      <c r="E527" s="974"/>
      <c r="F527" s="974"/>
      <c r="G527" s="975"/>
      <c r="H527" s="962"/>
      <c r="I527" s="963"/>
      <c r="J527" s="963"/>
      <c r="K527" s="964"/>
      <c r="L527" s="965"/>
      <c r="M527" s="964"/>
      <c r="N527" s="964"/>
      <c r="O527" s="964"/>
      <c r="P527" s="964"/>
      <c r="Q527" s="964"/>
      <c r="R527" s="964"/>
      <c r="S527" s="964"/>
      <c r="T527" s="964"/>
      <c r="U527" s="964"/>
    </row>
    <row r="528" spans="1:21" ht="12.75" hidden="1" x14ac:dyDescent="0.2">
      <c r="A528" s="973"/>
      <c r="B528" s="961"/>
      <c r="C528" s="961"/>
      <c r="D528" s="974"/>
      <c r="E528" s="974"/>
      <c r="F528" s="974"/>
      <c r="G528" s="975"/>
      <c r="H528" s="962"/>
      <c r="I528" s="963"/>
      <c r="J528" s="963"/>
      <c r="K528" s="964"/>
      <c r="L528" s="965"/>
      <c r="M528" s="964"/>
      <c r="N528" s="964"/>
      <c r="O528" s="964"/>
      <c r="P528" s="964"/>
      <c r="Q528" s="964"/>
      <c r="R528" s="964"/>
      <c r="S528" s="964"/>
      <c r="T528" s="964"/>
      <c r="U528" s="964"/>
    </row>
    <row r="529" spans="1:21" ht="12.75" hidden="1" x14ac:dyDescent="0.2">
      <c r="A529" s="973"/>
      <c r="B529" s="961"/>
      <c r="C529" s="961"/>
      <c r="D529" s="974"/>
      <c r="E529" s="974"/>
      <c r="F529" s="974"/>
      <c r="G529" s="975"/>
      <c r="H529" s="962"/>
      <c r="I529" s="963"/>
      <c r="J529" s="963"/>
      <c r="K529" s="964"/>
      <c r="L529" s="965"/>
      <c r="M529" s="964"/>
      <c r="N529" s="964"/>
      <c r="O529" s="964"/>
      <c r="P529" s="964"/>
      <c r="Q529" s="964"/>
      <c r="R529" s="964"/>
      <c r="S529" s="964"/>
      <c r="T529" s="964"/>
      <c r="U529" s="964"/>
    </row>
    <row r="530" spans="1:21" ht="12.75" hidden="1" x14ac:dyDescent="0.2">
      <c r="A530" s="973"/>
      <c r="B530" s="961"/>
      <c r="C530" s="961"/>
      <c r="D530" s="974"/>
      <c r="E530" s="974"/>
      <c r="F530" s="974"/>
      <c r="G530" s="975"/>
      <c r="H530" s="962"/>
      <c r="I530" s="963"/>
      <c r="J530" s="963"/>
      <c r="K530" s="964"/>
      <c r="L530" s="965"/>
      <c r="M530" s="964"/>
      <c r="N530" s="964"/>
      <c r="O530" s="964"/>
      <c r="P530" s="964"/>
      <c r="Q530" s="964"/>
      <c r="R530" s="964"/>
      <c r="S530" s="964"/>
      <c r="T530" s="964"/>
      <c r="U530" s="964"/>
    </row>
    <row r="531" spans="1:21" ht="12.75" hidden="1" x14ac:dyDescent="0.2">
      <c r="A531" s="973"/>
      <c r="B531" s="961"/>
      <c r="C531" s="961"/>
      <c r="D531" s="974"/>
      <c r="E531" s="974"/>
      <c r="F531" s="974"/>
      <c r="G531" s="975"/>
      <c r="H531" s="962"/>
      <c r="I531" s="963"/>
      <c r="J531" s="963"/>
      <c r="K531" s="964"/>
      <c r="L531" s="965"/>
      <c r="M531" s="964"/>
      <c r="N531" s="964"/>
      <c r="O531" s="964"/>
      <c r="P531" s="964"/>
      <c r="Q531" s="964"/>
      <c r="R531" s="964"/>
      <c r="S531" s="964"/>
      <c r="T531" s="964"/>
      <c r="U531" s="964"/>
    </row>
    <row r="532" spans="1:21" ht="12.75" hidden="1" x14ac:dyDescent="0.2">
      <c r="A532" s="1027"/>
      <c r="B532" s="966"/>
      <c r="C532" s="966"/>
      <c r="D532" s="1028"/>
      <c r="E532" s="1028"/>
      <c r="F532" s="1028"/>
      <c r="G532" s="1029"/>
      <c r="H532" s="967"/>
      <c r="I532" s="968"/>
      <c r="J532" s="968"/>
      <c r="K532" s="969"/>
      <c r="L532" s="970"/>
      <c r="M532" s="969"/>
      <c r="N532" s="969"/>
      <c r="O532" s="969"/>
      <c r="P532" s="969"/>
      <c r="Q532" s="969"/>
      <c r="R532" s="969"/>
      <c r="S532" s="969"/>
      <c r="T532" s="969"/>
      <c r="U532" s="969"/>
    </row>
    <row r="533" spans="1:21" ht="19.5" hidden="1" x14ac:dyDescent="0.3">
      <c r="A533" s="1006"/>
      <c r="B533" s="1030" t="s">
        <v>210</v>
      </c>
      <c r="C533" s="1008"/>
      <c r="D533" s="1009"/>
      <c r="E533" s="1009"/>
      <c r="F533" s="1009"/>
      <c r="G533" s="1010"/>
      <c r="H533" s="1031" t="s">
        <v>61</v>
      </c>
      <c r="I533" s="1032">
        <f t="shared" ref="I533:J533" si="329">I545</f>
        <v>0</v>
      </c>
      <c r="J533" s="1032">
        <f t="shared" si="329"/>
        <v>0</v>
      </c>
      <c r="K533" s="1033">
        <f>IF(I533&gt;0,J533*100/I533,0)</f>
        <v>0</v>
      </c>
      <c r="L533" s="1014"/>
      <c r="M533" s="1015"/>
      <c r="N533" s="1015"/>
      <c r="O533" s="1015"/>
      <c r="P533" s="1015"/>
      <c r="Q533" s="1015"/>
      <c r="R533" s="1015"/>
      <c r="S533" s="1015"/>
      <c r="T533" s="1015"/>
      <c r="U533" s="1015"/>
    </row>
    <row r="534" spans="1:21" ht="19.5" hidden="1" x14ac:dyDescent="0.3">
      <c r="A534" s="674"/>
      <c r="B534" s="561"/>
      <c r="C534" s="675" t="s">
        <v>18</v>
      </c>
      <c r="D534" s="676" t="s">
        <v>19</v>
      </c>
      <c r="E534" s="561"/>
      <c r="F534" s="561"/>
      <c r="G534" s="563"/>
      <c r="H534" s="677" t="s">
        <v>14</v>
      </c>
      <c r="I534" s="565"/>
      <c r="J534" s="565"/>
      <c r="K534" s="566"/>
      <c r="L534" s="678">
        <f t="shared" ref="L534:N534" ca="1" si="330">L535+L536</f>
        <v>0</v>
      </c>
      <c r="M534" s="679">
        <f t="shared" ca="1" si="330"/>
        <v>0</v>
      </c>
      <c r="N534" s="679">
        <f t="shared" ca="1" si="330"/>
        <v>0</v>
      </c>
      <c r="O534" s="679">
        <f t="shared" ref="O534:O542" ca="1" si="331">IF(L534&gt;0,N534*100/L534,0)</f>
        <v>0</v>
      </c>
      <c r="P534" s="679">
        <f t="shared" ref="P534:P542" ca="1" si="332">IF(M534&gt;0,N534*100/M534,0)</f>
        <v>0</v>
      </c>
      <c r="Q534" s="679">
        <f t="shared" ref="Q534:S534" si="333">Q535+Q536</f>
        <v>0</v>
      </c>
      <c r="R534" s="679">
        <f t="shared" si="333"/>
        <v>0</v>
      </c>
      <c r="S534" s="679">
        <f t="shared" si="333"/>
        <v>0</v>
      </c>
      <c r="T534" s="679">
        <f t="shared" ref="T534:T542" si="334">IF(Q534&gt;0,S534*100/Q534,0)</f>
        <v>0</v>
      </c>
      <c r="U534" s="679">
        <f t="shared" ref="U534:U542" si="335">IF(R534&gt;0,S534*100/R534,0)</f>
        <v>0</v>
      </c>
    </row>
    <row r="535" spans="1:21" ht="18.75" hidden="1" x14ac:dyDescent="0.25">
      <c r="A535" s="674"/>
      <c r="B535" s="718"/>
      <c r="C535" s="561"/>
      <c r="D535" s="561"/>
      <c r="E535" s="569" t="s">
        <v>20</v>
      </c>
      <c r="F535" s="561"/>
      <c r="G535" s="563"/>
      <c r="H535" s="680" t="s">
        <v>14</v>
      </c>
      <c r="I535" s="565"/>
      <c r="J535" s="565"/>
      <c r="K535" s="566"/>
      <c r="L535" s="571">
        <f t="shared" ref="L535:N536" si="336">L538+L541</f>
        <v>0</v>
      </c>
      <c r="M535" s="572">
        <f t="shared" si="336"/>
        <v>0</v>
      </c>
      <c r="N535" s="572">
        <f t="shared" si="336"/>
        <v>0</v>
      </c>
      <c r="O535" s="572">
        <f t="shared" si="331"/>
        <v>0</v>
      </c>
      <c r="P535" s="572">
        <f t="shared" si="332"/>
        <v>0</v>
      </c>
      <c r="Q535" s="572">
        <f t="shared" ref="Q535:S536" si="337">Q538+Q541</f>
        <v>0</v>
      </c>
      <c r="R535" s="572">
        <f t="shared" si="337"/>
        <v>0</v>
      </c>
      <c r="S535" s="572">
        <f t="shared" si="337"/>
        <v>0</v>
      </c>
      <c r="T535" s="572">
        <f t="shared" si="334"/>
        <v>0</v>
      </c>
      <c r="U535" s="572">
        <f t="shared" si="335"/>
        <v>0</v>
      </c>
    </row>
    <row r="536" spans="1:21" ht="18.75" hidden="1" x14ac:dyDescent="0.25">
      <c r="A536" s="674"/>
      <c r="B536" s="561"/>
      <c r="C536" s="718"/>
      <c r="D536" s="561"/>
      <c r="E536" s="765" t="s">
        <v>21</v>
      </c>
      <c r="F536" s="561"/>
      <c r="G536" s="563"/>
      <c r="H536" s="681" t="s">
        <v>14</v>
      </c>
      <c r="I536" s="565"/>
      <c r="J536" s="565"/>
      <c r="K536" s="566"/>
      <c r="L536" s="567">
        <f t="shared" ca="1" si="336"/>
        <v>0</v>
      </c>
      <c r="M536" s="568">
        <f t="shared" ca="1" si="336"/>
        <v>0</v>
      </c>
      <c r="N536" s="568">
        <f t="shared" ca="1" si="336"/>
        <v>0</v>
      </c>
      <c r="O536" s="568">
        <f t="shared" ca="1" si="331"/>
        <v>0</v>
      </c>
      <c r="P536" s="568">
        <f t="shared" ca="1" si="332"/>
        <v>0</v>
      </c>
      <c r="Q536" s="568">
        <f t="shared" si="337"/>
        <v>0</v>
      </c>
      <c r="R536" s="568">
        <f t="shared" si="337"/>
        <v>0</v>
      </c>
      <c r="S536" s="568">
        <f t="shared" si="337"/>
        <v>0</v>
      </c>
      <c r="T536" s="568">
        <f t="shared" si="334"/>
        <v>0</v>
      </c>
      <c r="U536" s="568">
        <f t="shared" si="335"/>
        <v>0</v>
      </c>
    </row>
    <row r="537" spans="1:21" ht="18.75" hidden="1" x14ac:dyDescent="0.25">
      <c r="A537" s="674"/>
      <c r="B537" s="561"/>
      <c r="C537" s="718"/>
      <c r="D537" s="562" t="s">
        <v>22</v>
      </c>
      <c r="E537" s="718"/>
      <c r="F537" s="561"/>
      <c r="G537" s="563"/>
      <c r="H537" s="682" t="s">
        <v>14</v>
      </c>
      <c r="I537" s="683"/>
      <c r="J537" s="683"/>
      <c r="K537" s="684"/>
      <c r="L537" s="567">
        <f t="shared" ref="L537:N537" ca="1" si="338">L538+L539</f>
        <v>0</v>
      </c>
      <c r="M537" s="568">
        <f t="shared" ca="1" si="338"/>
        <v>0</v>
      </c>
      <c r="N537" s="568">
        <f t="shared" ca="1" si="338"/>
        <v>0</v>
      </c>
      <c r="O537" s="568">
        <f t="shared" ca="1" si="331"/>
        <v>0</v>
      </c>
      <c r="P537" s="568">
        <f t="shared" ca="1" si="332"/>
        <v>0</v>
      </c>
      <c r="Q537" s="568">
        <f t="shared" ref="Q537:S537" si="339">Q538+Q539</f>
        <v>0</v>
      </c>
      <c r="R537" s="568">
        <f t="shared" si="339"/>
        <v>0</v>
      </c>
      <c r="S537" s="568">
        <f t="shared" si="339"/>
        <v>0</v>
      </c>
      <c r="T537" s="568">
        <f t="shared" si="334"/>
        <v>0</v>
      </c>
      <c r="U537" s="568">
        <f t="shared" si="335"/>
        <v>0</v>
      </c>
    </row>
    <row r="538" spans="1:21" ht="18.75" hidden="1" x14ac:dyDescent="0.25">
      <c r="A538" s="674"/>
      <c r="B538" s="561"/>
      <c r="C538" s="561"/>
      <c r="D538" s="561"/>
      <c r="E538" s="569" t="s">
        <v>36</v>
      </c>
      <c r="F538" s="561"/>
      <c r="G538" s="563"/>
      <c r="H538" s="685" t="s">
        <v>14</v>
      </c>
      <c r="I538" s="683"/>
      <c r="J538" s="683"/>
      <c r="K538" s="684"/>
      <c r="L538" s="571">
        <v>0</v>
      </c>
      <c r="M538" s="572">
        <v>0</v>
      </c>
      <c r="N538" s="572">
        <v>0</v>
      </c>
      <c r="O538" s="572">
        <f t="shared" si="331"/>
        <v>0</v>
      </c>
      <c r="P538" s="572">
        <f t="shared" si="332"/>
        <v>0</v>
      </c>
      <c r="Q538" s="572">
        <v>0</v>
      </c>
      <c r="R538" s="572">
        <v>0</v>
      </c>
      <c r="S538" s="572">
        <v>0</v>
      </c>
      <c r="T538" s="572">
        <f t="shared" si="334"/>
        <v>0</v>
      </c>
      <c r="U538" s="572">
        <f t="shared" si="335"/>
        <v>0</v>
      </c>
    </row>
    <row r="539" spans="1:21" ht="18.75" hidden="1" x14ac:dyDescent="0.25">
      <c r="A539" s="674"/>
      <c r="B539" s="561"/>
      <c r="C539" s="561"/>
      <c r="D539" s="561"/>
      <c r="E539" s="573" t="s">
        <v>37</v>
      </c>
      <c r="F539" s="561"/>
      <c r="G539" s="563"/>
      <c r="H539" s="682" t="s">
        <v>14</v>
      </c>
      <c r="I539" s="683"/>
      <c r="J539" s="683"/>
      <c r="K539" s="684"/>
      <c r="L539" s="567">
        <f ca="1">IFERROR(__xludf.DUMMYFUNCTION("IMPORTRANGE(""https://docs.google.com/spreadsheets/d/1-uDff_7J0KD5mKrp0Vvzr7lt3OU09vwQwhkpOPPYv2Y/edit?usp=sharing"",""งบพรบ!FW21"")"),0)</f>
        <v>0</v>
      </c>
      <c r="M539" s="568">
        <f ca="1">IFERROR(__xludf.DUMMYFUNCTION("IMPORTRANGE(""https://docs.google.com/spreadsheets/d/1-uDff_7J0KD5mKrp0Vvzr7lt3OU09vwQwhkpOPPYv2Y/edit?usp=sharing"",""งบพรบ!GB21"")"),0)</f>
        <v>0</v>
      </c>
      <c r="N539" s="568">
        <f ca="1">IFERROR(__xludf.DUMMYFUNCTION("IMPORTRANGE(""https://docs.google.com/spreadsheets/d/1-uDff_7J0KD5mKrp0Vvzr7lt3OU09vwQwhkpOPPYv2Y/edit?usp=sharing"",""งบพรบ!GD21"")"),0)</f>
        <v>0</v>
      </c>
      <c r="O539" s="568">
        <f t="shared" ca="1" si="331"/>
        <v>0</v>
      </c>
      <c r="P539" s="568">
        <f t="shared" ca="1" si="332"/>
        <v>0</v>
      </c>
      <c r="Q539" s="568">
        <v>0</v>
      </c>
      <c r="R539" s="568">
        <v>0</v>
      </c>
      <c r="S539" s="568">
        <v>0</v>
      </c>
      <c r="T539" s="568">
        <f t="shared" si="334"/>
        <v>0</v>
      </c>
      <c r="U539" s="568">
        <f t="shared" si="335"/>
        <v>0</v>
      </c>
    </row>
    <row r="540" spans="1:21" ht="18.75" hidden="1" x14ac:dyDescent="0.25">
      <c r="A540" s="674"/>
      <c r="B540" s="561"/>
      <c r="C540" s="561"/>
      <c r="D540" s="562" t="s">
        <v>23</v>
      </c>
      <c r="E540" s="561"/>
      <c r="F540" s="561"/>
      <c r="G540" s="563"/>
      <c r="H540" s="686" t="s">
        <v>14</v>
      </c>
      <c r="I540" s="683"/>
      <c r="J540" s="683"/>
      <c r="K540" s="684"/>
      <c r="L540" s="567">
        <f t="shared" ref="L540:N540" ca="1" si="340">L541+L542</f>
        <v>0</v>
      </c>
      <c r="M540" s="568">
        <f t="shared" ca="1" si="340"/>
        <v>0</v>
      </c>
      <c r="N540" s="568">
        <f t="shared" ca="1" si="340"/>
        <v>0</v>
      </c>
      <c r="O540" s="568">
        <f t="shared" ca="1" si="331"/>
        <v>0</v>
      </c>
      <c r="P540" s="568">
        <f t="shared" ca="1" si="332"/>
        <v>0</v>
      </c>
      <c r="Q540" s="568">
        <f t="shared" ref="Q540:S540" si="341">Q541+Q542</f>
        <v>0</v>
      </c>
      <c r="R540" s="568">
        <f t="shared" si="341"/>
        <v>0</v>
      </c>
      <c r="S540" s="568">
        <f t="shared" si="341"/>
        <v>0</v>
      </c>
      <c r="T540" s="568">
        <f t="shared" si="334"/>
        <v>0</v>
      </c>
      <c r="U540" s="568">
        <f t="shared" si="335"/>
        <v>0</v>
      </c>
    </row>
    <row r="541" spans="1:21" ht="18.75" hidden="1" x14ac:dyDescent="0.25">
      <c r="A541" s="674"/>
      <c r="B541" s="561"/>
      <c r="C541" s="561"/>
      <c r="D541" s="561"/>
      <c r="E541" s="569" t="s">
        <v>20</v>
      </c>
      <c r="F541" s="561"/>
      <c r="G541" s="563"/>
      <c r="H541" s="685" t="s">
        <v>14</v>
      </c>
      <c r="I541" s="683"/>
      <c r="J541" s="683"/>
      <c r="K541" s="684"/>
      <c r="L541" s="571">
        <v>0</v>
      </c>
      <c r="M541" s="572">
        <v>0</v>
      </c>
      <c r="N541" s="572">
        <v>0</v>
      </c>
      <c r="O541" s="572">
        <f t="shared" si="331"/>
        <v>0</v>
      </c>
      <c r="P541" s="572">
        <f t="shared" si="332"/>
        <v>0</v>
      </c>
      <c r="Q541" s="572">
        <v>0</v>
      </c>
      <c r="R541" s="572">
        <v>0</v>
      </c>
      <c r="S541" s="572">
        <v>0</v>
      </c>
      <c r="T541" s="572">
        <f t="shared" si="334"/>
        <v>0</v>
      </c>
      <c r="U541" s="572">
        <f t="shared" si="335"/>
        <v>0</v>
      </c>
    </row>
    <row r="542" spans="1:21" ht="18.75" hidden="1" x14ac:dyDescent="0.25">
      <c r="A542" s="674"/>
      <c r="B542" s="561"/>
      <c r="C542" s="561"/>
      <c r="D542" s="561"/>
      <c r="E542" s="573" t="s">
        <v>21</v>
      </c>
      <c r="F542" s="561"/>
      <c r="G542" s="563"/>
      <c r="H542" s="686" t="s">
        <v>14</v>
      </c>
      <c r="I542" s="683"/>
      <c r="J542" s="683"/>
      <c r="K542" s="684"/>
      <c r="L542" s="567">
        <f ca="1">IFERROR(__xludf.DUMMYFUNCTION("IMPORTRANGE(""https://docs.google.com/spreadsheets/d/1-uDff_7J0KD5mKrp0Vvzr7lt3OU09vwQwhkpOPPYv2Y/edit?usp=sharing"",""งบพรบ!FZ21"")"),0)</f>
        <v>0</v>
      </c>
      <c r="M542" s="568">
        <f ca="1">IFERROR(__xludf.DUMMYFUNCTION("IMPORTRANGE(""https://docs.google.com/spreadsheets/d/1-uDff_7J0KD5mKrp0Vvzr7lt3OU09vwQwhkpOPPYv2Y/edit?usp=sharing"",""งบพรบ!GC21"")"),0)</f>
        <v>0</v>
      </c>
      <c r="N542" s="568">
        <f ca="1">IFERROR(__xludf.DUMMYFUNCTION("IMPORTRANGE(""https://docs.google.com/spreadsheets/d/1-uDff_7J0KD5mKrp0Vvzr7lt3OU09vwQwhkpOPPYv2Y/edit?usp=sharing"",""งบพรบ!GE21"")"),0)</f>
        <v>0</v>
      </c>
      <c r="O542" s="568">
        <f t="shared" ca="1" si="331"/>
        <v>0</v>
      </c>
      <c r="P542" s="568">
        <f t="shared" ca="1" si="332"/>
        <v>0</v>
      </c>
      <c r="Q542" s="568">
        <v>0</v>
      </c>
      <c r="R542" s="568">
        <v>0</v>
      </c>
      <c r="S542" s="568">
        <v>0</v>
      </c>
      <c r="T542" s="568">
        <f t="shared" si="334"/>
        <v>0</v>
      </c>
      <c r="U542" s="568">
        <f t="shared" si="335"/>
        <v>0</v>
      </c>
    </row>
    <row r="543" spans="1:21" ht="19.5" hidden="1" x14ac:dyDescent="0.3">
      <c r="A543" s="687"/>
      <c r="B543" s="688"/>
      <c r="C543" s="1034" t="s">
        <v>18</v>
      </c>
      <c r="D543" s="689" t="s">
        <v>38</v>
      </c>
      <c r="E543" s="690"/>
      <c r="F543" s="690"/>
      <c r="G543" s="691"/>
      <c r="H543" s="692"/>
      <c r="I543" s="683"/>
      <c r="J543" s="565"/>
      <c r="K543" s="566"/>
      <c r="L543" s="574"/>
      <c r="M543" s="566"/>
      <c r="N543" s="566"/>
      <c r="O543" s="684"/>
      <c r="P543" s="684"/>
      <c r="Q543" s="566"/>
      <c r="R543" s="566"/>
      <c r="S543" s="566"/>
      <c r="T543" s="684"/>
      <c r="U543" s="684"/>
    </row>
    <row r="544" spans="1:21" ht="12.75" hidden="1" x14ac:dyDescent="0.2">
      <c r="A544" s="973"/>
      <c r="B544" s="974"/>
      <c r="C544" s="961"/>
      <c r="D544" s="974"/>
      <c r="E544" s="961"/>
      <c r="F544" s="974"/>
      <c r="G544" s="975"/>
      <c r="H544" s="975"/>
      <c r="I544" s="963"/>
      <c r="J544" s="963"/>
      <c r="K544" s="964"/>
      <c r="L544" s="965"/>
      <c r="M544" s="964"/>
      <c r="N544" s="964"/>
      <c r="O544" s="964"/>
      <c r="P544" s="964"/>
      <c r="Q544" s="964"/>
      <c r="R544" s="964"/>
      <c r="S544" s="964"/>
      <c r="T544" s="964"/>
      <c r="U544" s="964"/>
    </row>
    <row r="545" spans="1:21" ht="12.75" hidden="1" x14ac:dyDescent="0.2">
      <c r="A545" s="973"/>
      <c r="B545" s="974"/>
      <c r="C545" s="961"/>
      <c r="D545" s="974"/>
      <c r="E545" s="961"/>
      <c r="F545" s="974"/>
      <c r="G545" s="975"/>
      <c r="H545" s="975"/>
      <c r="I545" s="963"/>
      <c r="J545" s="963"/>
      <c r="K545" s="964"/>
      <c r="L545" s="965"/>
      <c r="M545" s="964"/>
      <c r="N545" s="964"/>
      <c r="O545" s="964"/>
      <c r="P545" s="964"/>
      <c r="Q545" s="964"/>
      <c r="R545" s="964"/>
      <c r="S545" s="964"/>
      <c r="T545" s="964"/>
      <c r="U545" s="964"/>
    </row>
    <row r="546" spans="1:21" ht="12.75" hidden="1" x14ac:dyDescent="0.2">
      <c r="A546" s="973"/>
      <c r="B546" s="961"/>
      <c r="C546" s="961"/>
      <c r="D546" s="974"/>
      <c r="E546" s="974"/>
      <c r="F546" s="974"/>
      <c r="G546" s="975"/>
      <c r="H546" s="962"/>
      <c r="I546" s="963"/>
      <c r="J546" s="963"/>
      <c r="K546" s="964"/>
      <c r="L546" s="965"/>
      <c r="M546" s="964"/>
      <c r="N546" s="964"/>
      <c r="O546" s="964"/>
      <c r="P546" s="964"/>
      <c r="Q546" s="964"/>
      <c r="R546" s="964"/>
      <c r="S546" s="964"/>
      <c r="T546" s="964"/>
      <c r="U546" s="964"/>
    </row>
    <row r="547" spans="1:21" ht="12.75" hidden="1" x14ac:dyDescent="0.2">
      <c r="A547" s="973"/>
      <c r="B547" s="961"/>
      <c r="C547" s="961"/>
      <c r="D547" s="974"/>
      <c r="E547" s="974"/>
      <c r="F547" s="974"/>
      <c r="G547" s="975"/>
      <c r="H547" s="962"/>
      <c r="I547" s="963"/>
      <c r="J547" s="963"/>
      <c r="K547" s="964"/>
      <c r="L547" s="965"/>
      <c r="M547" s="964"/>
      <c r="N547" s="964"/>
      <c r="O547" s="964"/>
      <c r="P547" s="964"/>
      <c r="Q547" s="964"/>
      <c r="R547" s="964"/>
      <c r="S547" s="964"/>
      <c r="T547" s="964"/>
      <c r="U547" s="964"/>
    </row>
    <row r="548" spans="1:21" ht="12.75" hidden="1" x14ac:dyDescent="0.2">
      <c r="A548" s="973"/>
      <c r="B548" s="961"/>
      <c r="C548" s="961"/>
      <c r="D548" s="974"/>
      <c r="E548" s="974"/>
      <c r="F548" s="974"/>
      <c r="G548" s="975"/>
      <c r="H548" s="962"/>
      <c r="I548" s="963"/>
      <c r="J548" s="963"/>
      <c r="K548" s="964"/>
      <c r="L548" s="965"/>
      <c r="M548" s="964"/>
      <c r="N548" s="964"/>
      <c r="O548" s="964"/>
      <c r="P548" s="964"/>
      <c r="Q548" s="964"/>
      <c r="R548" s="964"/>
      <c r="S548" s="964"/>
      <c r="T548" s="964"/>
      <c r="U548" s="964"/>
    </row>
    <row r="549" spans="1:21" ht="12.75" hidden="1" x14ac:dyDescent="0.2">
      <c r="A549" s="973"/>
      <c r="B549" s="961"/>
      <c r="C549" s="961"/>
      <c r="D549" s="974"/>
      <c r="E549" s="974"/>
      <c r="F549" s="974"/>
      <c r="G549" s="975"/>
      <c r="H549" s="962"/>
      <c r="I549" s="963"/>
      <c r="J549" s="963"/>
      <c r="K549" s="964"/>
      <c r="L549" s="965"/>
      <c r="M549" s="964"/>
      <c r="N549" s="964"/>
      <c r="O549" s="964"/>
      <c r="P549" s="964"/>
      <c r="Q549" s="964"/>
      <c r="R549" s="964"/>
      <c r="S549" s="964"/>
      <c r="T549" s="964"/>
      <c r="U549" s="964"/>
    </row>
    <row r="550" spans="1:21" ht="12.75" hidden="1" x14ac:dyDescent="0.2">
      <c r="A550" s="973"/>
      <c r="B550" s="961"/>
      <c r="C550" s="961"/>
      <c r="D550" s="974"/>
      <c r="E550" s="974"/>
      <c r="F550" s="974"/>
      <c r="G550" s="975"/>
      <c r="H550" s="962"/>
      <c r="I550" s="963"/>
      <c r="J550" s="963"/>
      <c r="K550" s="964"/>
      <c r="L550" s="965"/>
      <c r="M550" s="964"/>
      <c r="N550" s="964"/>
      <c r="O550" s="964"/>
      <c r="P550" s="964"/>
      <c r="Q550" s="964"/>
      <c r="R550" s="964"/>
      <c r="S550" s="964"/>
      <c r="T550" s="964"/>
      <c r="U550" s="964"/>
    </row>
    <row r="551" spans="1:21" ht="12.75" hidden="1" x14ac:dyDescent="0.2">
      <c r="A551" s="973"/>
      <c r="B551" s="961"/>
      <c r="C551" s="961"/>
      <c r="D551" s="974"/>
      <c r="E551" s="974"/>
      <c r="F551" s="974"/>
      <c r="G551" s="975"/>
      <c r="H551" s="962"/>
      <c r="I551" s="963"/>
      <c r="J551" s="963"/>
      <c r="K551" s="964"/>
      <c r="L551" s="965"/>
      <c r="M551" s="964"/>
      <c r="N551" s="964"/>
      <c r="O551" s="964"/>
      <c r="P551" s="964"/>
      <c r="Q551" s="964"/>
      <c r="R551" s="964"/>
      <c r="S551" s="964"/>
      <c r="T551" s="964"/>
      <c r="U551" s="964"/>
    </row>
    <row r="552" spans="1:21" ht="12.75" hidden="1" x14ac:dyDescent="0.2">
      <c r="A552" s="973"/>
      <c r="B552" s="961"/>
      <c r="C552" s="961"/>
      <c r="D552" s="974"/>
      <c r="E552" s="974"/>
      <c r="F552" s="974"/>
      <c r="G552" s="975"/>
      <c r="H552" s="962"/>
      <c r="I552" s="963"/>
      <c r="J552" s="963"/>
      <c r="K552" s="964"/>
      <c r="L552" s="965"/>
      <c r="M552" s="964"/>
      <c r="N552" s="964"/>
      <c r="O552" s="964"/>
      <c r="P552" s="964"/>
      <c r="Q552" s="964"/>
      <c r="R552" s="964"/>
      <c r="S552" s="964"/>
      <c r="T552" s="964"/>
      <c r="U552" s="964"/>
    </row>
    <row r="553" spans="1:21" ht="12.75" hidden="1" x14ac:dyDescent="0.2">
      <c r="A553" s="1027"/>
      <c r="B553" s="966"/>
      <c r="C553" s="966"/>
      <c r="D553" s="1028"/>
      <c r="E553" s="1028"/>
      <c r="F553" s="1028"/>
      <c r="G553" s="1029"/>
      <c r="H553" s="967"/>
      <c r="I553" s="968"/>
      <c r="J553" s="968"/>
      <c r="K553" s="969"/>
      <c r="L553" s="970"/>
      <c r="M553" s="969"/>
      <c r="N553" s="969"/>
      <c r="O553" s="969"/>
      <c r="P553" s="969"/>
      <c r="Q553" s="969"/>
      <c r="R553" s="969"/>
      <c r="S553" s="969"/>
      <c r="T553" s="969"/>
      <c r="U553" s="969"/>
    </row>
    <row r="554" spans="1:21" ht="19.5" hidden="1" x14ac:dyDescent="0.3">
      <c r="A554" s="1006"/>
      <c r="B554" s="1030" t="s">
        <v>211</v>
      </c>
      <c r="C554" s="1008"/>
      <c r="D554" s="1009"/>
      <c r="E554" s="1009"/>
      <c r="F554" s="1009"/>
      <c r="G554" s="1010"/>
      <c r="H554" s="1031" t="s">
        <v>61</v>
      </c>
      <c r="I554" s="1032">
        <f t="shared" ref="I554:J554" si="342">I566</f>
        <v>0</v>
      </c>
      <c r="J554" s="1032">
        <f t="shared" si="342"/>
        <v>0</v>
      </c>
      <c r="K554" s="1033">
        <f>IF(I554&gt;0,J554*100/I554,0)</f>
        <v>0</v>
      </c>
      <c r="L554" s="1014"/>
      <c r="M554" s="1015"/>
      <c r="N554" s="1015"/>
      <c r="O554" s="1015"/>
      <c r="P554" s="1015"/>
      <c r="Q554" s="1015"/>
      <c r="R554" s="1015"/>
      <c r="S554" s="1015"/>
      <c r="T554" s="1015"/>
      <c r="U554" s="1015"/>
    </row>
    <row r="555" spans="1:21" ht="19.5" hidden="1" x14ac:dyDescent="0.3">
      <c r="A555" s="674"/>
      <c r="B555" s="561"/>
      <c r="C555" s="675" t="s">
        <v>18</v>
      </c>
      <c r="D555" s="676" t="s">
        <v>19</v>
      </c>
      <c r="E555" s="561"/>
      <c r="F555" s="561"/>
      <c r="G555" s="563"/>
      <c r="H555" s="677" t="s">
        <v>14</v>
      </c>
      <c r="I555" s="565"/>
      <c r="J555" s="565"/>
      <c r="K555" s="566"/>
      <c r="L555" s="678">
        <f t="shared" ref="L555:N555" ca="1" si="343">L556+L557</f>
        <v>0</v>
      </c>
      <c r="M555" s="679">
        <f t="shared" ca="1" si="343"/>
        <v>0</v>
      </c>
      <c r="N555" s="679">
        <f t="shared" ca="1" si="343"/>
        <v>0</v>
      </c>
      <c r="O555" s="679">
        <f t="shared" ref="O555:O563" ca="1" si="344">IF(L555&gt;0,N555*100/L555,0)</f>
        <v>0</v>
      </c>
      <c r="P555" s="679">
        <f t="shared" ref="P555:P563" ca="1" si="345">IF(M555&gt;0,N555*100/M555,0)</f>
        <v>0</v>
      </c>
      <c r="Q555" s="679">
        <f t="shared" ref="Q555:S555" si="346">Q556+Q557</f>
        <v>0</v>
      </c>
      <c r="R555" s="679">
        <f t="shared" si="346"/>
        <v>0</v>
      </c>
      <c r="S555" s="679">
        <f t="shared" si="346"/>
        <v>0</v>
      </c>
      <c r="T555" s="679">
        <f t="shared" ref="T555:T563" si="347">IF(Q555&gt;0,S555*100/Q555,0)</f>
        <v>0</v>
      </c>
      <c r="U555" s="679">
        <f t="shared" ref="U555:U563" si="348">IF(R555&gt;0,S555*100/R555,0)</f>
        <v>0</v>
      </c>
    </row>
    <row r="556" spans="1:21" ht="18.75" hidden="1" x14ac:dyDescent="0.25">
      <c r="A556" s="674"/>
      <c r="B556" s="718"/>
      <c r="C556" s="561"/>
      <c r="D556" s="561"/>
      <c r="E556" s="569" t="s">
        <v>20</v>
      </c>
      <c r="F556" s="561"/>
      <c r="G556" s="563"/>
      <c r="H556" s="680" t="s">
        <v>14</v>
      </c>
      <c r="I556" s="565"/>
      <c r="J556" s="565"/>
      <c r="K556" s="566"/>
      <c r="L556" s="571">
        <f t="shared" ref="L556:N557" si="349">L559+L562</f>
        <v>0</v>
      </c>
      <c r="M556" s="572">
        <f t="shared" si="349"/>
        <v>0</v>
      </c>
      <c r="N556" s="572">
        <f t="shared" si="349"/>
        <v>0</v>
      </c>
      <c r="O556" s="572">
        <f t="shared" si="344"/>
        <v>0</v>
      </c>
      <c r="P556" s="572">
        <f t="shared" si="345"/>
        <v>0</v>
      </c>
      <c r="Q556" s="572">
        <f t="shared" ref="Q556:S557" si="350">Q559+Q562</f>
        <v>0</v>
      </c>
      <c r="R556" s="572">
        <f t="shared" si="350"/>
        <v>0</v>
      </c>
      <c r="S556" s="572">
        <f t="shared" si="350"/>
        <v>0</v>
      </c>
      <c r="T556" s="572">
        <f t="shared" si="347"/>
        <v>0</v>
      </c>
      <c r="U556" s="572">
        <f t="shared" si="348"/>
        <v>0</v>
      </c>
    </row>
    <row r="557" spans="1:21" ht="18.75" hidden="1" x14ac:dyDescent="0.25">
      <c r="A557" s="674"/>
      <c r="B557" s="561"/>
      <c r="C557" s="718"/>
      <c r="D557" s="561"/>
      <c r="E557" s="765" t="s">
        <v>21</v>
      </c>
      <c r="F557" s="561"/>
      <c r="G557" s="563"/>
      <c r="H557" s="681" t="s">
        <v>14</v>
      </c>
      <c r="I557" s="565"/>
      <c r="J557" s="565"/>
      <c r="K557" s="566"/>
      <c r="L557" s="567">
        <f t="shared" ca="1" si="349"/>
        <v>0</v>
      </c>
      <c r="M557" s="568">
        <f t="shared" ca="1" si="349"/>
        <v>0</v>
      </c>
      <c r="N557" s="568">
        <f t="shared" ca="1" si="349"/>
        <v>0</v>
      </c>
      <c r="O557" s="568">
        <f t="shared" ca="1" si="344"/>
        <v>0</v>
      </c>
      <c r="P557" s="568">
        <f t="shared" ca="1" si="345"/>
        <v>0</v>
      </c>
      <c r="Q557" s="568">
        <f t="shared" si="350"/>
        <v>0</v>
      </c>
      <c r="R557" s="568">
        <f t="shared" si="350"/>
        <v>0</v>
      </c>
      <c r="S557" s="568">
        <f t="shared" si="350"/>
        <v>0</v>
      </c>
      <c r="T557" s="568">
        <f t="shared" si="347"/>
        <v>0</v>
      </c>
      <c r="U557" s="568">
        <f t="shared" si="348"/>
        <v>0</v>
      </c>
    </row>
    <row r="558" spans="1:21" ht="18.75" hidden="1" x14ac:dyDescent="0.25">
      <c r="A558" s="674"/>
      <c r="B558" s="561"/>
      <c r="C558" s="718"/>
      <c r="D558" s="562" t="s">
        <v>22</v>
      </c>
      <c r="E558" s="718"/>
      <c r="F558" s="561"/>
      <c r="G558" s="563"/>
      <c r="H558" s="682" t="s">
        <v>14</v>
      </c>
      <c r="I558" s="683"/>
      <c r="J558" s="683"/>
      <c r="K558" s="684"/>
      <c r="L558" s="567">
        <f t="shared" ref="L558:N558" ca="1" si="351">L559+L560</f>
        <v>0</v>
      </c>
      <c r="M558" s="568">
        <f t="shared" ca="1" si="351"/>
        <v>0</v>
      </c>
      <c r="N558" s="568">
        <f t="shared" ca="1" si="351"/>
        <v>0</v>
      </c>
      <c r="O558" s="568">
        <f t="shared" ca="1" si="344"/>
        <v>0</v>
      </c>
      <c r="P558" s="568">
        <f t="shared" ca="1" si="345"/>
        <v>0</v>
      </c>
      <c r="Q558" s="568">
        <f t="shared" ref="Q558:S558" si="352">Q559+Q560</f>
        <v>0</v>
      </c>
      <c r="R558" s="568">
        <f t="shared" si="352"/>
        <v>0</v>
      </c>
      <c r="S558" s="568">
        <f t="shared" si="352"/>
        <v>0</v>
      </c>
      <c r="T558" s="568">
        <f t="shared" si="347"/>
        <v>0</v>
      </c>
      <c r="U558" s="568">
        <f t="shared" si="348"/>
        <v>0</v>
      </c>
    </row>
    <row r="559" spans="1:21" ht="18.75" hidden="1" x14ac:dyDescent="0.25">
      <c r="A559" s="674"/>
      <c r="B559" s="561"/>
      <c r="C559" s="561"/>
      <c r="D559" s="561"/>
      <c r="E559" s="569" t="s">
        <v>36</v>
      </c>
      <c r="F559" s="561"/>
      <c r="G559" s="563"/>
      <c r="H559" s="685" t="s">
        <v>14</v>
      </c>
      <c r="I559" s="683"/>
      <c r="J559" s="683"/>
      <c r="K559" s="684"/>
      <c r="L559" s="571">
        <v>0</v>
      </c>
      <c r="M559" s="572">
        <v>0</v>
      </c>
      <c r="N559" s="572">
        <v>0</v>
      </c>
      <c r="O559" s="572">
        <f t="shared" si="344"/>
        <v>0</v>
      </c>
      <c r="P559" s="572">
        <f t="shared" si="345"/>
        <v>0</v>
      </c>
      <c r="Q559" s="572">
        <v>0</v>
      </c>
      <c r="R559" s="572">
        <v>0</v>
      </c>
      <c r="S559" s="572">
        <v>0</v>
      </c>
      <c r="T559" s="572">
        <f t="shared" si="347"/>
        <v>0</v>
      </c>
      <c r="U559" s="572">
        <f t="shared" si="348"/>
        <v>0</v>
      </c>
    </row>
    <row r="560" spans="1:21" ht="18.75" hidden="1" x14ac:dyDescent="0.25">
      <c r="A560" s="674"/>
      <c r="B560" s="561"/>
      <c r="C560" s="561"/>
      <c r="D560" s="561"/>
      <c r="E560" s="573" t="s">
        <v>37</v>
      </c>
      <c r="F560" s="561"/>
      <c r="G560" s="563"/>
      <c r="H560" s="682" t="s">
        <v>14</v>
      </c>
      <c r="I560" s="683"/>
      <c r="J560" s="683"/>
      <c r="K560" s="684"/>
      <c r="L560" s="567">
        <f ca="1">IFERROR(__xludf.DUMMYFUNCTION("IMPORTRANGE(""https://docs.google.com/spreadsheets/d/1-uDff_7J0KD5mKrp0Vvzr7lt3OU09vwQwhkpOPPYv2Y/edit?usp=sharing"",""งบพรบ!GG21"")"),0)</f>
        <v>0</v>
      </c>
      <c r="M560" s="568">
        <f ca="1">IFERROR(__xludf.DUMMYFUNCTION("IMPORTRANGE(""https://docs.google.com/spreadsheets/d/1-uDff_7J0KD5mKrp0Vvzr7lt3OU09vwQwhkpOPPYv2Y/edit?usp=sharing"",""งบพรบ!GL21"")"),0)</f>
        <v>0</v>
      </c>
      <c r="N560" s="568">
        <f ca="1">IFERROR(__xludf.DUMMYFUNCTION("IMPORTRANGE(""https://docs.google.com/spreadsheets/d/1-uDff_7J0KD5mKrp0Vvzr7lt3OU09vwQwhkpOPPYv2Y/edit?usp=sharing"",""งบพรบ!GN21"")"),0)</f>
        <v>0</v>
      </c>
      <c r="O560" s="568">
        <f t="shared" ca="1" si="344"/>
        <v>0</v>
      </c>
      <c r="P560" s="568">
        <f t="shared" ca="1" si="345"/>
        <v>0</v>
      </c>
      <c r="Q560" s="568">
        <v>0</v>
      </c>
      <c r="R560" s="568">
        <v>0</v>
      </c>
      <c r="S560" s="568">
        <v>0</v>
      </c>
      <c r="T560" s="568">
        <f t="shared" si="347"/>
        <v>0</v>
      </c>
      <c r="U560" s="568">
        <f t="shared" si="348"/>
        <v>0</v>
      </c>
    </row>
    <row r="561" spans="1:21" ht="18.75" hidden="1" x14ac:dyDescent="0.25">
      <c r="A561" s="674"/>
      <c r="B561" s="561"/>
      <c r="C561" s="561"/>
      <c r="D561" s="562" t="s">
        <v>23</v>
      </c>
      <c r="E561" s="561"/>
      <c r="F561" s="561"/>
      <c r="G561" s="563"/>
      <c r="H561" s="686" t="s">
        <v>14</v>
      </c>
      <c r="I561" s="683"/>
      <c r="J561" s="683"/>
      <c r="K561" s="684"/>
      <c r="L561" s="567">
        <f t="shared" ref="L561:N561" ca="1" si="353">L562+L563</f>
        <v>0</v>
      </c>
      <c r="M561" s="568">
        <f t="shared" ca="1" si="353"/>
        <v>0</v>
      </c>
      <c r="N561" s="568">
        <f t="shared" ca="1" si="353"/>
        <v>0</v>
      </c>
      <c r="O561" s="568">
        <f t="shared" ca="1" si="344"/>
        <v>0</v>
      </c>
      <c r="P561" s="568">
        <f t="shared" ca="1" si="345"/>
        <v>0</v>
      </c>
      <c r="Q561" s="568">
        <f t="shared" ref="Q561:S561" si="354">Q562+Q563</f>
        <v>0</v>
      </c>
      <c r="R561" s="568">
        <f t="shared" si="354"/>
        <v>0</v>
      </c>
      <c r="S561" s="568">
        <f t="shared" si="354"/>
        <v>0</v>
      </c>
      <c r="T561" s="568">
        <f t="shared" si="347"/>
        <v>0</v>
      </c>
      <c r="U561" s="568">
        <f t="shared" si="348"/>
        <v>0</v>
      </c>
    </row>
    <row r="562" spans="1:21" ht="18.75" hidden="1" x14ac:dyDescent="0.25">
      <c r="A562" s="674"/>
      <c r="B562" s="561"/>
      <c r="C562" s="561"/>
      <c r="D562" s="561"/>
      <c r="E562" s="569" t="s">
        <v>20</v>
      </c>
      <c r="F562" s="561"/>
      <c r="G562" s="563"/>
      <c r="H562" s="685" t="s">
        <v>14</v>
      </c>
      <c r="I562" s="683"/>
      <c r="J562" s="683"/>
      <c r="K562" s="684"/>
      <c r="L562" s="571">
        <v>0</v>
      </c>
      <c r="M562" s="572">
        <v>0</v>
      </c>
      <c r="N562" s="572">
        <v>0</v>
      </c>
      <c r="O562" s="572">
        <f t="shared" si="344"/>
        <v>0</v>
      </c>
      <c r="P562" s="572">
        <f t="shared" si="345"/>
        <v>0</v>
      </c>
      <c r="Q562" s="572">
        <v>0</v>
      </c>
      <c r="R562" s="572">
        <v>0</v>
      </c>
      <c r="S562" s="572">
        <v>0</v>
      </c>
      <c r="T562" s="572">
        <f t="shared" si="347"/>
        <v>0</v>
      </c>
      <c r="U562" s="572">
        <f t="shared" si="348"/>
        <v>0</v>
      </c>
    </row>
    <row r="563" spans="1:21" ht="18.75" hidden="1" x14ac:dyDescent="0.25">
      <c r="A563" s="674"/>
      <c r="B563" s="561"/>
      <c r="C563" s="561"/>
      <c r="D563" s="561"/>
      <c r="E563" s="573" t="s">
        <v>21</v>
      </c>
      <c r="F563" s="561"/>
      <c r="G563" s="563"/>
      <c r="H563" s="686" t="s">
        <v>14</v>
      </c>
      <c r="I563" s="683"/>
      <c r="J563" s="683"/>
      <c r="K563" s="684"/>
      <c r="L563" s="567">
        <f ca="1">IFERROR(__xludf.DUMMYFUNCTION("IMPORTRANGE(""https://docs.google.com/spreadsheets/d/1-uDff_7J0KD5mKrp0Vvzr7lt3OU09vwQwhkpOPPYv2Y/edit?usp=sharing"",""งบพรบ!GJ21"")"),0)</f>
        <v>0</v>
      </c>
      <c r="M563" s="568">
        <f ca="1">IFERROR(__xludf.DUMMYFUNCTION("IMPORTRANGE(""https://docs.google.com/spreadsheets/d/1-uDff_7J0KD5mKrp0Vvzr7lt3OU09vwQwhkpOPPYv2Y/edit?usp=sharing"",""งบพรบ!GM21"")"),0)</f>
        <v>0</v>
      </c>
      <c r="N563" s="568">
        <f ca="1">IFERROR(__xludf.DUMMYFUNCTION("IMPORTRANGE(""https://docs.google.com/spreadsheets/d/1-uDff_7J0KD5mKrp0Vvzr7lt3OU09vwQwhkpOPPYv2Y/edit?usp=sharing"",""งบพรบ!GO21"")"),0)</f>
        <v>0</v>
      </c>
      <c r="O563" s="568">
        <f t="shared" ca="1" si="344"/>
        <v>0</v>
      </c>
      <c r="P563" s="568">
        <f t="shared" ca="1" si="345"/>
        <v>0</v>
      </c>
      <c r="Q563" s="568">
        <v>0</v>
      </c>
      <c r="R563" s="568">
        <v>0</v>
      </c>
      <c r="S563" s="568">
        <v>0</v>
      </c>
      <c r="T563" s="568">
        <f t="shared" si="347"/>
        <v>0</v>
      </c>
      <c r="U563" s="568">
        <f t="shared" si="348"/>
        <v>0</v>
      </c>
    </row>
    <row r="564" spans="1:21" ht="19.5" hidden="1" x14ac:dyDescent="0.3">
      <c r="A564" s="687"/>
      <c r="B564" s="688"/>
      <c r="C564" s="1034" t="s">
        <v>18</v>
      </c>
      <c r="D564" s="689" t="s">
        <v>38</v>
      </c>
      <c r="E564" s="690"/>
      <c r="F564" s="690"/>
      <c r="G564" s="691"/>
      <c r="H564" s="692"/>
      <c r="I564" s="683"/>
      <c r="J564" s="565"/>
      <c r="K564" s="566"/>
      <c r="L564" s="574"/>
      <c r="M564" s="566"/>
      <c r="N564" s="566"/>
      <c r="O564" s="684"/>
      <c r="P564" s="684"/>
      <c r="Q564" s="566"/>
      <c r="R564" s="566"/>
      <c r="S564" s="566"/>
      <c r="T564" s="684"/>
      <c r="U564" s="684"/>
    </row>
    <row r="565" spans="1:21" ht="12.75" hidden="1" x14ac:dyDescent="0.2">
      <c r="A565" s="973"/>
      <c r="B565" s="974"/>
      <c r="C565" s="961"/>
      <c r="D565" s="974"/>
      <c r="E565" s="961"/>
      <c r="F565" s="974"/>
      <c r="G565" s="975"/>
      <c r="H565" s="975"/>
      <c r="I565" s="963"/>
      <c r="J565" s="963"/>
      <c r="K565" s="964"/>
      <c r="L565" s="965"/>
      <c r="M565" s="964"/>
      <c r="N565" s="964"/>
      <c r="O565" s="964"/>
      <c r="P565" s="964"/>
      <c r="Q565" s="964"/>
      <c r="R565" s="964"/>
      <c r="S565" s="964"/>
      <c r="T565" s="964"/>
      <c r="U565" s="964"/>
    </row>
    <row r="566" spans="1:21" ht="12.75" hidden="1" x14ac:dyDescent="0.2">
      <c r="A566" s="973"/>
      <c r="B566" s="974"/>
      <c r="C566" s="961"/>
      <c r="D566" s="974"/>
      <c r="E566" s="961"/>
      <c r="F566" s="974"/>
      <c r="G566" s="975"/>
      <c r="H566" s="975"/>
      <c r="I566" s="963"/>
      <c r="J566" s="963"/>
      <c r="K566" s="964"/>
      <c r="L566" s="965"/>
      <c r="M566" s="964"/>
      <c r="N566" s="964"/>
      <c r="O566" s="964"/>
      <c r="P566" s="964"/>
      <c r="Q566" s="964"/>
      <c r="R566" s="964"/>
      <c r="S566" s="964"/>
      <c r="T566" s="964"/>
      <c r="U566" s="964"/>
    </row>
    <row r="567" spans="1:21" ht="12.75" hidden="1" x14ac:dyDescent="0.2">
      <c r="A567" s="973"/>
      <c r="B567" s="961"/>
      <c r="C567" s="961"/>
      <c r="D567" s="974"/>
      <c r="E567" s="974"/>
      <c r="F567" s="974"/>
      <c r="G567" s="975"/>
      <c r="H567" s="962"/>
      <c r="I567" s="963"/>
      <c r="J567" s="963"/>
      <c r="K567" s="964"/>
      <c r="L567" s="965"/>
      <c r="M567" s="964"/>
      <c r="N567" s="964"/>
      <c r="O567" s="964"/>
      <c r="P567" s="964"/>
      <c r="Q567" s="964"/>
      <c r="R567" s="964"/>
      <c r="S567" s="964"/>
      <c r="T567" s="964"/>
      <c r="U567" s="964"/>
    </row>
    <row r="568" spans="1:21" ht="12.75" hidden="1" x14ac:dyDescent="0.2">
      <c r="A568" s="973"/>
      <c r="B568" s="961"/>
      <c r="C568" s="961"/>
      <c r="D568" s="974"/>
      <c r="E568" s="974"/>
      <c r="F568" s="974"/>
      <c r="G568" s="975"/>
      <c r="H568" s="962"/>
      <c r="I568" s="963"/>
      <c r="J568" s="963"/>
      <c r="K568" s="964"/>
      <c r="L568" s="965"/>
      <c r="M568" s="964"/>
      <c r="N568" s="964"/>
      <c r="O568" s="964"/>
      <c r="P568" s="964"/>
      <c r="Q568" s="964"/>
      <c r="R568" s="964"/>
      <c r="S568" s="964"/>
      <c r="T568" s="964"/>
      <c r="U568" s="964"/>
    </row>
    <row r="569" spans="1:21" ht="12.75" hidden="1" x14ac:dyDescent="0.2">
      <c r="A569" s="973"/>
      <c r="B569" s="961"/>
      <c r="C569" s="961"/>
      <c r="D569" s="974"/>
      <c r="E569" s="974"/>
      <c r="F569" s="974"/>
      <c r="G569" s="975"/>
      <c r="H569" s="962"/>
      <c r="I569" s="963"/>
      <c r="J569" s="963"/>
      <c r="K569" s="964"/>
      <c r="L569" s="965"/>
      <c r="M569" s="964"/>
      <c r="N569" s="964"/>
      <c r="O569" s="964"/>
      <c r="P569" s="964"/>
      <c r="Q569" s="964"/>
      <c r="R569" s="964"/>
      <c r="S569" s="964"/>
      <c r="T569" s="964"/>
      <c r="U569" s="964"/>
    </row>
    <row r="570" spans="1:21" ht="12.75" hidden="1" x14ac:dyDescent="0.2">
      <c r="A570" s="973"/>
      <c r="B570" s="961"/>
      <c r="C570" s="961"/>
      <c r="D570" s="974"/>
      <c r="E570" s="974"/>
      <c r="F570" s="974"/>
      <c r="G570" s="975"/>
      <c r="H570" s="962"/>
      <c r="I570" s="963"/>
      <c r="J570" s="963"/>
      <c r="K570" s="964"/>
      <c r="L570" s="965"/>
      <c r="M570" s="964"/>
      <c r="N570" s="964"/>
      <c r="O570" s="964"/>
      <c r="P570" s="964"/>
      <c r="Q570" s="964"/>
      <c r="R570" s="964"/>
      <c r="S570" s="964"/>
      <c r="T570" s="964"/>
      <c r="U570" s="964"/>
    </row>
    <row r="571" spans="1:21" ht="12.75" hidden="1" x14ac:dyDescent="0.2">
      <c r="A571" s="973"/>
      <c r="B571" s="961"/>
      <c r="C571" s="961"/>
      <c r="D571" s="974"/>
      <c r="E571" s="974"/>
      <c r="F571" s="974"/>
      <c r="G571" s="975"/>
      <c r="H571" s="962"/>
      <c r="I571" s="963"/>
      <c r="J571" s="963"/>
      <c r="K571" s="964"/>
      <c r="L571" s="965"/>
      <c r="M571" s="964"/>
      <c r="N571" s="964"/>
      <c r="O571" s="964"/>
      <c r="P571" s="964"/>
      <c r="Q571" s="964"/>
      <c r="R571" s="964"/>
      <c r="S571" s="964"/>
      <c r="T571" s="964"/>
      <c r="U571" s="964"/>
    </row>
    <row r="572" spans="1:21" ht="12.75" hidden="1" x14ac:dyDescent="0.2">
      <c r="A572" s="973"/>
      <c r="B572" s="961"/>
      <c r="C572" s="961"/>
      <c r="D572" s="974"/>
      <c r="E572" s="974"/>
      <c r="F572" s="974"/>
      <c r="G572" s="975"/>
      <c r="H572" s="962"/>
      <c r="I572" s="963"/>
      <c r="J572" s="963"/>
      <c r="K572" s="964"/>
      <c r="L572" s="965"/>
      <c r="M572" s="964"/>
      <c r="N572" s="964"/>
      <c r="O572" s="964"/>
      <c r="P572" s="964"/>
      <c r="Q572" s="964"/>
      <c r="R572" s="964"/>
      <c r="S572" s="964"/>
      <c r="T572" s="964"/>
      <c r="U572" s="964"/>
    </row>
    <row r="573" spans="1:21" ht="12.75" hidden="1" x14ac:dyDescent="0.2">
      <c r="A573" s="973"/>
      <c r="B573" s="961"/>
      <c r="C573" s="961"/>
      <c r="D573" s="974"/>
      <c r="E573" s="974"/>
      <c r="F573" s="974"/>
      <c r="G573" s="975"/>
      <c r="H573" s="962"/>
      <c r="I573" s="963"/>
      <c r="J573" s="963"/>
      <c r="K573" s="964"/>
      <c r="L573" s="965"/>
      <c r="M573" s="964"/>
      <c r="N573" s="964"/>
      <c r="O573" s="964"/>
      <c r="P573" s="964"/>
      <c r="Q573" s="964"/>
      <c r="R573" s="964"/>
      <c r="S573" s="964"/>
      <c r="T573" s="964"/>
      <c r="U573" s="964"/>
    </row>
    <row r="574" spans="1:21" ht="12.75" hidden="1" x14ac:dyDescent="0.2">
      <c r="A574" s="1027"/>
      <c r="B574" s="966"/>
      <c r="C574" s="966"/>
      <c r="D574" s="1028"/>
      <c r="E574" s="1028"/>
      <c r="F574" s="1028"/>
      <c r="G574" s="1029"/>
      <c r="H574" s="967"/>
      <c r="I574" s="968"/>
      <c r="J574" s="968"/>
      <c r="K574" s="969"/>
      <c r="L574" s="970"/>
      <c r="M574" s="969"/>
      <c r="N574" s="969"/>
      <c r="O574" s="969"/>
      <c r="P574" s="969"/>
      <c r="Q574" s="969"/>
      <c r="R574" s="969"/>
      <c r="S574" s="969"/>
      <c r="T574" s="969"/>
      <c r="U574" s="969"/>
    </row>
    <row r="575" spans="1:21" ht="19.5" hidden="1" x14ac:dyDescent="0.3">
      <c r="A575" s="1006"/>
      <c r="B575" s="1030" t="s">
        <v>212</v>
      </c>
      <c r="C575" s="1008"/>
      <c r="D575" s="1009"/>
      <c r="E575" s="1009"/>
      <c r="F575" s="1009"/>
      <c r="G575" s="1010"/>
      <c r="H575" s="1031" t="s">
        <v>61</v>
      </c>
      <c r="I575" s="1032">
        <f t="shared" ref="I575:J575" si="355">I587</f>
        <v>0</v>
      </c>
      <c r="J575" s="1032">
        <f t="shared" si="355"/>
        <v>0</v>
      </c>
      <c r="K575" s="1033">
        <f>IF(I575&gt;0,J575*100/I575,0)</f>
        <v>0</v>
      </c>
      <c r="L575" s="1014"/>
      <c r="M575" s="1015"/>
      <c r="N575" s="1015"/>
      <c r="O575" s="1015"/>
      <c r="P575" s="1015"/>
      <c r="Q575" s="1015"/>
      <c r="R575" s="1015"/>
      <c r="S575" s="1015"/>
      <c r="T575" s="1015"/>
      <c r="U575" s="1015"/>
    </row>
    <row r="576" spans="1:21" ht="19.5" hidden="1" x14ac:dyDescent="0.3">
      <c r="A576" s="674"/>
      <c r="B576" s="561"/>
      <c r="C576" s="675" t="s">
        <v>18</v>
      </c>
      <c r="D576" s="676" t="s">
        <v>19</v>
      </c>
      <c r="E576" s="561"/>
      <c r="F576" s="561"/>
      <c r="G576" s="563"/>
      <c r="H576" s="677" t="s">
        <v>14</v>
      </c>
      <c r="I576" s="565"/>
      <c r="J576" s="565"/>
      <c r="K576" s="566"/>
      <c r="L576" s="678">
        <f t="shared" ref="L576:N576" ca="1" si="356">L577+L578</f>
        <v>0</v>
      </c>
      <c r="M576" s="679">
        <f t="shared" ca="1" si="356"/>
        <v>0</v>
      </c>
      <c r="N576" s="679">
        <f t="shared" ca="1" si="356"/>
        <v>0</v>
      </c>
      <c r="O576" s="679">
        <f t="shared" ref="O576:O584" ca="1" si="357">IF(L576&gt;0,N576*100/L576,0)</f>
        <v>0</v>
      </c>
      <c r="P576" s="679">
        <f t="shared" ref="P576:P584" ca="1" si="358">IF(M576&gt;0,N576*100/M576,0)</f>
        <v>0</v>
      </c>
      <c r="Q576" s="679">
        <f t="shared" ref="Q576:S576" si="359">Q577+Q578</f>
        <v>0</v>
      </c>
      <c r="R576" s="679">
        <f t="shared" si="359"/>
        <v>0</v>
      </c>
      <c r="S576" s="679">
        <f t="shared" si="359"/>
        <v>0</v>
      </c>
      <c r="T576" s="679">
        <f t="shared" ref="T576:T584" si="360">IF(Q576&gt;0,S576*100/Q576,0)</f>
        <v>0</v>
      </c>
      <c r="U576" s="679">
        <f t="shared" ref="U576:U584" si="361">IF(R576&gt;0,S576*100/R576,0)</f>
        <v>0</v>
      </c>
    </row>
    <row r="577" spans="1:21" ht="18.75" hidden="1" x14ac:dyDescent="0.25">
      <c r="A577" s="674"/>
      <c r="B577" s="718"/>
      <c r="C577" s="561"/>
      <c r="D577" s="561"/>
      <c r="E577" s="569" t="s">
        <v>20</v>
      </c>
      <c r="F577" s="561"/>
      <c r="G577" s="563"/>
      <c r="H577" s="680" t="s">
        <v>14</v>
      </c>
      <c r="I577" s="565"/>
      <c r="J577" s="565"/>
      <c r="K577" s="566"/>
      <c r="L577" s="571">
        <f t="shared" ref="L577:N578" si="362">L580+L583</f>
        <v>0</v>
      </c>
      <c r="M577" s="572">
        <f t="shared" si="362"/>
        <v>0</v>
      </c>
      <c r="N577" s="572">
        <f t="shared" si="362"/>
        <v>0</v>
      </c>
      <c r="O577" s="572">
        <f t="shared" si="357"/>
        <v>0</v>
      </c>
      <c r="P577" s="572">
        <f t="shared" si="358"/>
        <v>0</v>
      </c>
      <c r="Q577" s="572">
        <f t="shared" ref="Q577:S578" si="363">Q580+Q583</f>
        <v>0</v>
      </c>
      <c r="R577" s="572">
        <f t="shared" si="363"/>
        <v>0</v>
      </c>
      <c r="S577" s="572">
        <f t="shared" si="363"/>
        <v>0</v>
      </c>
      <c r="T577" s="572">
        <f t="shared" si="360"/>
        <v>0</v>
      </c>
      <c r="U577" s="572">
        <f t="shared" si="361"/>
        <v>0</v>
      </c>
    </row>
    <row r="578" spans="1:21" ht="18.75" hidden="1" x14ac:dyDescent="0.25">
      <c r="A578" s="674"/>
      <c r="B578" s="561"/>
      <c r="C578" s="718"/>
      <c r="D578" s="561"/>
      <c r="E578" s="765" t="s">
        <v>21</v>
      </c>
      <c r="F578" s="561"/>
      <c r="G578" s="563"/>
      <c r="H578" s="681" t="s">
        <v>14</v>
      </c>
      <c r="I578" s="565"/>
      <c r="J578" s="565"/>
      <c r="K578" s="566"/>
      <c r="L578" s="567">
        <f t="shared" ca="1" si="362"/>
        <v>0</v>
      </c>
      <c r="M578" s="568">
        <f t="shared" ca="1" si="362"/>
        <v>0</v>
      </c>
      <c r="N578" s="568">
        <f t="shared" ca="1" si="362"/>
        <v>0</v>
      </c>
      <c r="O578" s="568">
        <f t="shared" ca="1" si="357"/>
        <v>0</v>
      </c>
      <c r="P578" s="568">
        <f t="shared" ca="1" si="358"/>
        <v>0</v>
      </c>
      <c r="Q578" s="568">
        <f t="shared" si="363"/>
        <v>0</v>
      </c>
      <c r="R578" s="568">
        <f t="shared" si="363"/>
        <v>0</v>
      </c>
      <c r="S578" s="568">
        <f t="shared" si="363"/>
        <v>0</v>
      </c>
      <c r="T578" s="568">
        <f t="shared" si="360"/>
        <v>0</v>
      </c>
      <c r="U578" s="568">
        <f t="shared" si="361"/>
        <v>0</v>
      </c>
    </row>
    <row r="579" spans="1:21" ht="18.75" hidden="1" x14ac:dyDescent="0.25">
      <c r="A579" s="674"/>
      <c r="B579" s="561"/>
      <c r="C579" s="718"/>
      <c r="D579" s="562" t="s">
        <v>22</v>
      </c>
      <c r="E579" s="718"/>
      <c r="F579" s="561"/>
      <c r="G579" s="563"/>
      <c r="H579" s="682" t="s">
        <v>14</v>
      </c>
      <c r="I579" s="683"/>
      <c r="J579" s="683"/>
      <c r="K579" s="684"/>
      <c r="L579" s="567">
        <f t="shared" ref="L579:N579" ca="1" si="364">L580+L581</f>
        <v>0</v>
      </c>
      <c r="M579" s="568">
        <f t="shared" ca="1" si="364"/>
        <v>0</v>
      </c>
      <c r="N579" s="568">
        <f t="shared" ca="1" si="364"/>
        <v>0</v>
      </c>
      <c r="O579" s="568">
        <f t="shared" ca="1" si="357"/>
        <v>0</v>
      </c>
      <c r="P579" s="568">
        <f t="shared" ca="1" si="358"/>
        <v>0</v>
      </c>
      <c r="Q579" s="568">
        <f t="shared" ref="Q579:S579" si="365">Q580+Q581</f>
        <v>0</v>
      </c>
      <c r="R579" s="568">
        <f t="shared" si="365"/>
        <v>0</v>
      </c>
      <c r="S579" s="568">
        <f t="shared" si="365"/>
        <v>0</v>
      </c>
      <c r="T579" s="568">
        <f t="shared" si="360"/>
        <v>0</v>
      </c>
      <c r="U579" s="568">
        <f t="shared" si="361"/>
        <v>0</v>
      </c>
    </row>
    <row r="580" spans="1:21" ht="18.75" hidden="1" x14ac:dyDescent="0.25">
      <c r="A580" s="674"/>
      <c r="B580" s="561"/>
      <c r="C580" s="561"/>
      <c r="D580" s="561"/>
      <c r="E580" s="569" t="s">
        <v>36</v>
      </c>
      <c r="F580" s="561"/>
      <c r="G580" s="563"/>
      <c r="H580" s="685" t="s">
        <v>14</v>
      </c>
      <c r="I580" s="683"/>
      <c r="J580" s="683"/>
      <c r="K580" s="684"/>
      <c r="L580" s="571">
        <v>0</v>
      </c>
      <c r="M580" s="572">
        <v>0</v>
      </c>
      <c r="N580" s="572">
        <v>0</v>
      </c>
      <c r="O580" s="572">
        <f t="shared" si="357"/>
        <v>0</v>
      </c>
      <c r="P580" s="572">
        <f t="shared" si="358"/>
        <v>0</v>
      </c>
      <c r="Q580" s="572">
        <v>0</v>
      </c>
      <c r="R580" s="572">
        <v>0</v>
      </c>
      <c r="S580" s="572">
        <v>0</v>
      </c>
      <c r="T580" s="572">
        <f t="shared" si="360"/>
        <v>0</v>
      </c>
      <c r="U580" s="572">
        <f t="shared" si="361"/>
        <v>0</v>
      </c>
    </row>
    <row r="581" spans="1:21" ht="18.75" hidden="1" x14ac:dyDescent="0.25">
      <c r="A581" s="674"/>
      <c r="B581" s="561"/>
      <c r="C581" s="561"/>
      <c r="D581" s="561"/>
      <c r="E581" s="573" t="s">
        <v>37</v>
      </c>
      <c r="F581" s="561"/>
      <c r="G581" s="563"/>
      <c r="H581" s="682" t="s">
        <v>14</v>
      </c>
      <c r="I581" s="683"/>
      <c r="J581" s="683"/>
      <c r="K581" s="684"/>
      <c r="L581" s="567">
        <f ca="1">IFERROR(__xludf.DUMMYFUNCTION("IMPORTRANGE(""https://docs.google.com/spreadsheets/d/1-uDff_7J0KD5mKrp0Vvzr7lt3OU09vwQwhkpOPPYv2Y/edit?usp=sharing"",""งบพรบ!GQ21"")"),0)</f>
        <v>0</v>
      </c>
      <c r="M581" s="568">
        <f ca="1">IFERROR(__xludf.DUMMYFUNCTION("IMPORTRANGE(""https://docs.google.com/spreadsheets/d/1-uDff_7J0KD5mKrp0Vvzr7lt3OU09vwQwhkpOPPYv2Y/edit?usp=sharing"",""งบพรบ!GV21"")"),0)</f>
        <v>0</v>
      </c>
      <c r="N581" s="568">
        <f ca="1">IFERROR(__xludf.DUMMYFUNCTION("IMPORTRANGE(""https://docs.google.com/spreadsheets/d/1-uDff_7J0KD5mKrp0Vvzr7lt3OU09vwQwhkpOPPYv2Y/edit?usp=sharing"",""งบพรบ!GX21"")"),0)</f>
        <v>0</v>
      </c>
      <c r="O581" s="568">
        <f t="shared" ca="1" si="357"/>
        <v>0</v>
      </c>
      <c r="P581" s="568">
        <f t="shared" ca="1" si="358"/>
        <v>0</v>
      </c>
      <c r="Q581" s="568">
        <v>0</v>
      </c>
      <c r="R581" s="568">
        <v>0</v>
      </c>
      <c r="S581" s="568">
        <v>0</v>
      </c>
      <c r="T581" s="568">
        <f t="shared" si="360"/>
        <v>0</v>
      </c>
      <c r="U581" s="568">
        <f t="shared" si="361"/>
        <v>0</v>
      </c>
    </row>
    <row r="582" spans="1:21" ht="18.75" hidden="1" x14ac:dyDescent="0.25">
      <c r="A582" s="674"/>
      <c r="B582" s="561"/>
      <c r="C582" s="561"/>
      <c r="D582" s="562" t="s">
        <v>23</v>
      </c>
      <c r="E582" s="561"/>
      <c r="F582" s="561"/>
      <c r="G582" s="563"/>
      <c r="H582" s="686" t="s">
        <v>14</v>
      </c>
      <c r="I582" s="683"/>
      <c r="J582" s="683"/>
      <c r="K582" s="684"/>
      <c r="L582" s="567">
        <f t="shared" ref="L582:N582" ca="1" si="366">L583+L584</f>
        <v>0</v>
      </c>
      <c r="M582" s="568">
        <f t="shared" ca="1" si="366"/>
        <v>0</v>
      </c>
      <c r="N582" s="568">
        <f t="shared" ca="1" si="366"/>
        <v>0</v>
      </c>
      <c r="O582" s="568">
        <f t="shared" ca="1" si="357"/>
        <v>0</v>
      </c>
      <c r="P582" s="568">
        <f t="shared" ca="1" si="358"/>
        <v>0</v>
      </c>
      <c r="Q582" s="568">
        <f t="shared" ref="Q582:S582" si="367">Q583+Q584</f>
        <v>0</v>
      </c>
      <c r="R582" s="568">
        <f t="shared" si="367"/>
        <v>0</v>
      </c>
      <c r="S582" s="568">
        <f t="shared" si="367"/>
        <v>0</v>
      </c>
      <c r="T582" s="568">
        <f t="shared" si="360"/>
        <v>0</v>
      </c>
      <c r="U582" s="568">
        <f t="shared" si="361"/>
        <v>0</v>
      </c>
    </row>
    <row r="583" spans="1:21" ht="18.75" hidden="1" x14ac:dyDescent="0.25">
      <c r="A583" s="674"/>
      <c r="B583" s="561"/>
      <c r="C583" s="561"/>
      <c r="D583" s="561"/>
      <c r="E583" s="569" t="s">
        <v>20</v>
      </c>
      <c r="F583" s="561"/>
      <c r="G583" s="563"/>
      <c r="H583" s="685" t="s">
        <v>14</v>
      </c>
      <c r="I583" s="683"/>
      <c r="J583" s="683"/>
      <c r="K583" s="684"/>
      <c r="L583" s="571">
        <v>0</v>
      </c>
      <c r="M583" s="572">
        <v>0</v>
      </c>
      <c r="N583" s="572">
        <v>0</v>
      </c>
      <c r="O583" s="572">
        <f t="shared" si="357"/>
        <v>0</v>
      </c>
      <c r="P583" s="572">
        <f t="shared" si="358"/>
        <v>0</v>
      </c>
      <c r="Q583" s="572">
        <v>0</v>
      </c>
      <c r="R583" s="572">
        <v>0</v>
      </c>
      <c r="S583" s="572">
        <v>0</v>
      </c>
      <c r="T583" s="572">
        <f t="shared" si="360"/>
        <v>0</v>
      </c>
      <c r="U583" s="572">
        <f t="shared" si="361"/>
        <v>0</v>
      </c>
    </row>
    <row r="584" spans="1:21" ht="18.75" hidden="1" x14ac:dyDescent="0.25">
      <c r="A584" s="674"/>
      <c r="B584" s="561"/>
      <c r="C584" s="561"/>
      <c r="D584" s="561"/>
      <c r="E584" s="573" t="s">
        <v>21</v>
      </c>
      <c r="F584" s="561"/>
      <c r="G584" s="563"/>
      <c r="H584" s="686" t="s">
        <v>14</v>
      </c>
      <c r="I584" s="683"/>
      <c r="J584" s="683"/>
      <c r="K584" s="684"/>
      <c r="L584" s="567">
        <f ca="1">IFERROR(__xludf.DUMMYFUNCTION("IMPORTRANGE(""https://docs.google.com/spreadsheets/d/1-uDff_7J0KD5mKrp0Vvzr7lt3OU09vwQwhkpOPPYv2Y/edit?usp=sharing"",""งบพรบ!GT21"")"),0)</f>
        <v>0</v>
      </c>
      <c r="M584" s="568">
        <f ca="1">IFERROR(__xludf.DUMMYFUNCTION("IMPORTRANGE(""https://docs.google.com/spreadsheets/d/1-uDff_7J0KD5mKrp0Vvzr7lt3OU09vwQwhkpOPPYv2Y/edit?usp=sharing"",""งบพรบ!GW21"")"),0)</f>
        <v>0</v>
      </c>
      <c r="N584" s="568">
        <f ca="1">IFERROR(__xludf.DUMMYFUNCTION("IMPORTRANGE(""https://docs.google.com/spreadsheets/d/1-uDff_7J0KD5mKrp0Vvzr7lt3OU09vwQwhkpOPPYv2Y/edit?usp=sharing"",""งบพรบ!GY21"")"),0)</f>
        <v>0</v>
      </c>
      <c r="O584" s="568">
        <f t="shared" ca="1" si="357"/>
        <v>0</v>
      </c>
      <c r="P584" s="568">
        <f t="shared" ca="1" si="358"/>
        <v>0</v>
      </c>
      <c r="Q584" s="568">
        <v>0</v>
      </c>
      <c r="R584" s="568">
        <v>0</v>
      </c>
      <c r="S584" s="568">
        <v>0</v>
      </c>
      <c r="T584" s="568">
        <f t="shared" si="360"/>
        <v>0</v>
      </c>
      <c r="U584" s="568">
        <f t="shared" si="361"/>
        <v>0</v>
      </c>
    </row>
    <row r="585" spans="1:21" ht="19.5" hidden="1" x14ac:dyDescent="0.3">
      <c r="A585" s="687"/>
      <c r="B585" s="688"/>
      <c r="C585" s="1034" t="s">
        <v>18</v>
      </c>
      <c r="D585" s="689" t="s">
        <v>38</v>
      </c>
      <c r="E585" s="690"/>
      <c r="F585" s="690"/>
      <c r="G585" s="691"/>
      <c r="H585" s="692"/>
      <c r="I585" s="683"/>
      <c r="J585" s="565"/>
      <c r="K585" s="566"/>
      <c r="L585" s="574"/>
      <c r="M585" s="566"/>
      <c r="N585" s="566"/>
      <c r="O585" s="684"/>
      <c r="P585" s="684"/>
      <c r="Q585" s="566"/>
      <c r="R585" s="566"/>
      <c r="S585" s="566"/>
      <c r="T585" s="684"/>
      <c r="U585" s="684"/>
    </row>
    <row r="586" spans="1:21" ht="12.75" hidden="1" x14ac:dyDescent="0.2">
      <c r="A586" s="973"/>
      <c r="B586" s="974"/>
      <c r="C586" s="961"/>
      <c r="D586" s="974"/>
      <c r="E586" s="961"/>
      <c r="F586" s="974"/>
      <c r="G586" s="975"/>
      <c r="H586" s="975"/>
      <c r="I586" s="963"/>
      <c r="J586" s="963"/>
      <c r="K586" s="964"/>
      <c r="L586" s="965"/>
      <c r="M586" s="964"/>
      <c r="N586" s="964"/>
      <c r="O586" s="964"/>
      <c r="P586" s="964"/>
      <c r="Q586" s="964"/>
      <c r="R586" s="964"/>
      <c r="S586" s="964"/>
      <c r="T586" s="964"/>
      <c r="U586" s="964"/>
    </row>
    <row r="587" spans="1:21" ht="12.75" hidden="1" x14ac:dyDescent="0.2">
      <c r="A587" s="973"/>
      <c r="B587" s="974"/>
      <c r="C587" s="961"/>
      <c r="D587" s="974"/>
      <c r="E587" s="961"/>
      <c r="F587" s="974"/>
      <c r="G587" s="975"/>
      <c r="H587" s="975"/>
      <c r="I587" s="963"/>
      <c r="J587" s="963"/>
      <c r="K587" s="964"/>
      <c r="L587" s="965"/>
      <c r="M587" s="964"/>
      <c r="N587" s="964"/>
      <c r="O587" s="964"/>
      <c r="P587" s="964"/>
      <c r="Q587" s="964"/>
      <c r="R587" s="964"/>
      <c r="S587" s="964"/>
      <c r="T587" s="964"/>
      <c r="U587" s="964"/>
    </row>
    <row r="588" spans="1:21" ht="12.75" hidden="1" x14ac:dyDescent="0.2">
      <c r="A588" s="973"/>
      <c r="B588" s="961"/>
      <c r="C588" s="961"/>
      <c r="D588" s="974"/>
      <c r="E588" s="974"/>
      <c r="F588" s="974"/>
      <c r="G588" s="975"/>
      <c r="H588" s="962"/>
      <c r="I588" s="963"/>
      <c r="J588" s="963"/>
      <c r="K588" s="964"/>
      <c r="L588" s="965"/>
      <c r="M588" s="964"/>
      <c r="N588" s="964"/>
      <c r="O588" s="964"/>
      <c r="P588" s="964"/>
      <c r="Q588" s="964"/>
      <c r="R588" s="964"/>
      <c r="S588" s="964"/>
      <c r="T588" s="964"/>
      <c r="U588" s="964"/>
    </row>
    <row r="589" spans="1:21" ht="12.75" hidden="1" x14ac:dyDescent="0.2">
      <c r="A589" s="973"/>
      <c r="B589" s="961"/>
      <c r="C589" s="961"/>
      <c r="D589" s="974"/>
      <c r="E589" s="974"/>
      <c r="F589" s="974"/>
      <c r="G589" s="975"/>
      <c r="H589" s="962"/>
      <c r="I589" s="963"/>
      <c r="J589" s="963"/>
      <c r="K589" s="964"/>
      <c r="L589" s="965"/>
      <c r="M589" s="964"/>
      <c r="N589" s="964"/>
      <c r="O589" s="964"/>
      <c r="P589" s="964"/>
      <c r="Q589" s="964"/>
      <c r="R589" s="964"/>
      <c r="S589" s="964"/>
      <c r="T589" s="964"/>
      <c r="U589" s="964"/>
    </row>
    <row r="590" spans="1:21" ht="12.75" hidden="1" x14ac:dyDescent="0.2">
      <c r="A590" s="973"/>
      <c r="B590" s="961"/>
      <c r="C590" s="961"/>
      <c r="D590" s="974"/>
      <c r="E590" s="974"/>
      <c r="F590" s="974"/>
      <c r="G590" s="975"/>
      <c r="H590" s="962"/>
      <c r="I590" s="963"/>
      <c r="J590" s="963"/>
      <c r="K590" s="964"/>
      <c r="L590" s="965"/>
      <c r="M590" s="964"/>
      <c r="N590" s="964"/>
      <c r="O590" s="964"/>
      <c r="P590" s="964"/>
      <c r="Q590" s="964"/>
      <c r="R590" s="964"/>
      <c r="S590" s="964"/>
      <c r="T590" s="964"/>
      <c r="U590" s="964"/>
    </row>
    <row r="591" spans="1:21" ht="12.75" hidden="1" x14ac:dyDescent="0.2">
      <c r="A591" s="973"/>
      <c r="B591" s="961"/>
      <c r="C591" s="961"/>
      <c r="D591" s="974"/>
      <c r="E591" s="974"/>
      <c r="F591" s="974"/>
      <c r="G591" s="975"/>
      <c r="H591" s="962"/>
      <c r="I591" s="963"/>
      <c r="J591" s="963"/>
      <c r="K591" s="964"/>
      <c r="L591" s="965"/>
      <c r="M591" s="964"/>
      <c r="N591" s="964"/>
      <c r="O591" s="964"/>
      <c r="P591" s="964"/>
      <c r="Q591" s="964"/>
      <c r="R591" s="964"/>
      <c r="S591" s="964"/>
      <c r="T591" s="964"/>
      <c r="U591" s="964"/>
    </row>
    <row r="592" spans="1:21" ht="12.75" hidden="1" x14ac:dyDescent="0.2">
      <c r="A592" s="973"/>
      <c r="B592" s="961"/>
      <c r="C592" s="961"/>
      <c r="D592" s="974"/>
      <c r="E592" s="974"/>
      <c r="F592" s="974"/>
      <c r="G592" s="975"/>
      <c r="H592" s="962"/>
      <c r="I592" s="963"/>
      <c r="J592" s="963"/>
      <c r="K592" s="964"/>
      <c r="L592" s="965"/>
      <c r="M592" s="964"/>
      <c r="N592" s="964"/>
      <c r="O592" s="964"/>
      <c r="P592" s="964"/>
      <c r="Q592" s="964"/>
      <c r="R592" s="964"/>
      <c r="S592" s="964"/>
      <c r="T592" s="964"/>
      <c r="U592" s="964"/>
    </row>
    <row r="593" spans="1:21" ht="12.75" hidden="1" x14ac:dyDescent="0.2">
      <c r="A593" s="973"/>
      <c r="B593" s="961"/>
      <c r="C593" s="961"/>
      <c r="D593" s="974"/>
      <c r="E593" s="974"/>
      <c r="F593" s="974"/>
      <c r="G593" s="975"/>
      <c r="H593" s="962"/>
      <c r="I593" s="963"/>
      <c r="J593" s="963"/>
      <c r="K593" s="964"/>
      <c r="L593" s="965"/>
      <c r="M593" s="964"/>
      <c r="N593" s="964"/>
      <c r="O593" s="964"/>
      <c r="P593" s="964"/>
      <c r="Q593" s="964"/>
      <c r="R593" s="964"/>
      <c r="S593" s="964"/>
      <c r="T593" s="964"/>
      <c r="U593" s="964"/>
    </row>
    <row r="594" spans="1:21" ht="12.75" hidden="1" x14ac:dyDescent="0.2">
      <c r="A594" s="973"/>
      <c r="B594" s="961"/>
      <c r="C594" s="961"/>
      <c r="D594" s="974"/>
      <c r="E594" s="974"/>
      <c r="F594" s="974"/>
      <c r="G594" s="975"/>
      <c r="H594" s="962"/>
      <c r="I594" s="963"/>
      <c r="J594" s="963"/>
      <c r="K594" s="964"/>
      <c r="L594" s="965"/>
      <c r="M594" s="964"/>
      <c r="N594" s="964"/>
      <c r="O594" s="964"/>
      <c r="P594" s="964"/>
      <c r="Q594" s="964"/>
      <c r="R594" s="964"/>
      <c r="S594" s="964"/>
      <c r="T594" s="964"/>
      <c r="U594" s="964"/>
    </row>
    <row r="595" spans="1:21" ht="12.75" hidden="1" x14ac:dyDescent="0.2">
      <c r="A595" s="1027"/>
      <c r="B595" s="966"/>
      <c r="C595" s="966"/>
      <c r="D595" s="1028"/>
      <c r="E595" s="1028"/>
      <c r="F595" s="1028"/>
      <c r="G595" s="1029"/>
      <c r="H595" s="967"/>
      <c r="I595" s="968"/>
      <c r="J595" s="968"/>
      <c r="K595" s="969"/>
      <c r="L595" s="970"/>
      <c r="M595" s="969"/>
      <c r="N595" s="969"/>
      <c r="O595" s="969"/>
      <c r="P595" s="969"/>
      <c r="Q595" s="969"/>
      <c r="R595" s="969"/>
      <c r="S595" s="969"/>
      <c r="T595" s="969"/>
      <c r="U595" s="969"/>
    </row>
    <row r="596" spans="1:21" ht="19.5" hidden="1" x14ac:dyDescent="0.3">
      <c r="A596" s="1035" t="s">
        <v>213</v>
      </c>
      <c r="B596" s="663"/>
      <c r="C596" s="729"/>
      <c r="D596" s="663"/>
      <c r="E596" s="663"/>
      <c r="F596" s="663"/>
      <c r="G596" s="663"/>
      <c r="H596" s="664"/>
      <c r="I596" s="730"/>
      <c r="J596" s="730"/>
      <c r="K596" s="731"/>
      <c r="L596" s="667"/>
      <c r="M596" s="667"/>
      <c r="N596" s="667"/>
      <c r="O596" s="667"/>
      <c r="P596" s="667"/>
      <c r="Q596" s="667"/>
      <c r="R596" s="667"/>
      <c r="S596" s="667"/>
      <c r="T596" s="667"/>
      <c r="U596" s="667"/>
    </row>
    <row r="597" spans="1:21" ht="19.5" hidden="1" x14ac:dyDescent="0.3">
      <c r="A597" s="669"/>
      <c r="B597" s="1036" t="s">
        <v>214</v>
      </c>
      <c r="C597" s="716"/>
      <c r="D597" s="670"/>
      <c r="E597" s="543"/>
      <c r="F597" s="543"/>
      <c r="G597" s="543"/>
      <c r="H597" s="1037" t="s">
        <v>99</v>
      </c>
      <c r="I597" s="732"/>
      <c r="J597" s="548"/>
      <c r="K597" s="549"/>
      <c r="L597" s="673"/>
      <c r="M597" s="549"/>
      <c r="N597" s="549"/>
      <c r="O597" s="549"/>
      <c r="P597" s="549"/>
      <c r="Q597" s="549"/>
      <c r="R597" s="549"/>
      <c r="S597" s="549"/>
      <c r="T597" s="549"/>
      <c r="U597" s="549"/>
    </row>
    <row r="598" spans="1:21" ht="19.5" hidden="1" x14ac:dyDescent="0.3">
      <c r="A598" s="1038"/>
      <c r="B598" s="1039" t="s">
        <v>215</v>
      </c>
      <c r="C598" s="670"/>
      <c r="D598" s="543"/>
      <c r="E598" s="543"/>
      <c r="F598" s="543"/>
      <c r="G598" s="546"/>
      <c r="H598" s="1040" t="s">
        <v>35</v>
      </c>
      <c r="I598" s="548"/>
      <c r="J598" s="548"/>
      <c r="K598" s="549"/>
      <c r="L598" s="673"/>
      <c r="M598" s="549"/>
      <c r="N598" s="549"/>
      <c r="O598" s="549"/>
      <c r="P598" s="549"/>
      <c r="Q598" s="549"/>
      <c r="R598" s="549"/>
      <c r="S598" s="549"/>
      <c r="T598" s="549"/>
      <c r="U598" s="549"/>
    </row>
    <row r="599" spans="1:21" ht="19.5" hidden="1" x14ac:dyDescent="0.3">
      <c r="A599" s="674"/>
      <c r="B599" s="718"/>
      <c r="C599" s="724" t="s">
        <v>18</v>
      </c>
      <c r="D599" s="1315" t="s">
        <v>19</v>
      </c>
      <c r="E599" s="1311"/>
      <c r="F599" s="1311"/>
      <c r="G599" s="1312"/>
      <c r="H599" s="799" t="s">
        <v>14</v>
      </c>
      <c r="I599" s="565"/>
      <c r="J599" s="565"/>
      <c r="K599" s="566"/>
      <c r="L599" s="678">
        <f t="shared" ref="L599:N599" ca="1" si="368">L600+L601</f>
        <v>0</v>
      </c>
      <c r="M599" s="679">
        <f t="shared" ca="1" si="368"/>
        <v>0</v>
      </c>
      <c r="N599" s="679">
        <f t="shared" ca="1" si="368"/>
        <v>0</v>
      </c>
      <c r="O599" s="679">
        <f t="shared" ref="O599:O607" ca="1" si="369">IF(L599&gt;0,N599*100/L599,0)</f>
        <v>0</v>
      </c>
      <c r="P599" s="679">
        <f t="shared" ref="P599:P607" ca="1" si="370">IF(M599&gt;0,N599*100/M599,0)</f>
        <v>0</v>
      </c>
      <c r="Q599" s="679">
        <f t="shared" ref="Q599:S599" ca="1" si="371">Q600+Q601</f>
        <v>0</v>
      </c>
      <c r="R599" s="679">
        <f t="shared" ca="1" si="371"/>
        <v>0</v>
      </c>
      <c r="S599" s="679">
        <f t="shared" ca="1" si="371"/>
        <v>0</v>
      </c>
      <c r="T599" s="679">
        <f t="shared" ref="T599:T607" ca="1" si="372">IF(Q599&gt;0,S599*100/Q599,0)</f>
        <v>0</v>
      </c>
      <c r="U599" s="679">
        <f t="shared" ref="U599:U607" ca="1" si="373">IF(R599&gt;0,S599*100/R599,0)</f>
        <v>0</v>
      </c>
    </row>
    <row r="600" spans="1:21" ht="18.75" hidden="1" x14ac:dyDescent="0.25">
      <c r="A600" s="674"/>
      <c r="B600" s="718"/>
      <c r="C600" s="718"/>
      <c r="D600" s="695"/>
      <c r="E600" s="569" t="s">
        <v>158</v>
      </c>
      <c r="F600" s="561"/>
      <c r="G600" s="563"/>
      <c r="H600" s="685" t="s">
        <v>14</v>
      </c>
      <c r="I600" s="565"/>
      <c r="J600" s="565"/>
      <c r="K600" s="566"/>
      <c r="L600" s="571">
        <f t="shared" ref="L600:N601" si="374">L603+L606</f>
        <v>0</v>
      </c>
      <c r="M600" s="572">
        <f t="shared" si="374"/>
        <v>0</v>
      </c>
      <c r="N600" s="572">
        <f t="shared" si="374"/>
        <v>0</v>
      </c>
      <c r="O600" s="572">
        <f t="shared" si="369"/>
        <v>0</v>
      </c>
      <c r="P600" s="572">
        <f t="shared" si="370"/>
        <v>0</v>
      </c>
      <c r="Q600" s="572">
        <f t="shared" ref="Q600:S601" si="375">Q603+Q606</f>
        <v>0</v>
      </c>
      <c r="R600" s="572">
        <f t="shared" si="375"/>
        <v>0</v>
      </c>
      <c r="S600" s="572">
        <f t="shared" si="375"/>
        <v>0</v>
      </c>
      <c r="T600" s="572">
        <f t="shared" si="372"/>
        <v>0</v>
      </c>
      <c r="U600" s="572">
        <f t="shared" si="373"/>
        <v>0</v>
      </c>
    </row>
    <row r="601" spans="1:21" ht="18.75" hidden="1" x14ac:dyDescent="0.25">
      <c r="A601" s="674"/>
      <c r="B601" s="718"/>
      <c r="C601" s="718"/>
      <c r="D601" s="695"/>
      <c r="E601" s="569" t="s">
        <v>159</v>
      </c>
      <c r="F601" s="561"/>
      <c r="G601" s="563"/>
      <c r="H601" s="685" t="s">
        <v>14</v>
      </c>
      <c r="I601" s="565"/>
      <c r="J601" s="565"/>
      <c r="K601" s="566"/>
      <c r="L601" s="567">
        <f t="shared" ca="1" si="374"/>
        <v>0</v>
      </c>
      <c r="M601" s="568">
        <f t="shared" ca="1" si="374"/>
        <v>0</v>
      </c>
      <c r="N601" s="568">
        <f t="shared" ca="1" si="374"/>
        <v>0</v>
      </c>
      <c r="O601" s="568">
        <f t="shared" ca="1" si="369"/>
        <v>0</v>
      </c>
      <c r="P601" s="568">
        <f t="shared" ca="1" si="370"/>
        <v>0</v>
      </c>
      <c r="Q601" s="568">
        <f t="shared" ca="1" si="375"/>
        <v>0</v>
      </c>
      <c r="R601" s="568">
        <f t="shared" ca="1" si="375"/>
        <v>0</v>
      </c>
      <c r="S601" s="568">
        <f t="shared" ca="1" si="375"/>
        <v>0</v>
      </c>
      <c r="T601" s="568">
        <f t="shared" ca="1" si="372"/>
        <v>0</v>
      </c>
      <c r="U601" s="568">
        <f t="shared" ca="1" si="373"/>
        <v>0</v>
      </c>
    </row>
    <row r="602" spans="1:21" ht="19.5" hidden="1" x14ac:dyDescent="0.3">
      <c r="A602" s="674"/>
      <c r="B602" s="718"/>
      <c r="C602" s="718"/>
      <c r="D602" s="798" t="s">
        <v>22</v>
      </c>
      <c r="E602" s="561"/>
      <c r="F602" s="561"/>
      <c r="G602" s="563"/>
      <c r="H602" s="799" t="s">
        <v>14</v>
      </c>
      <c r="I602" s="683"/>
      <c r="J602" s="683"/>
      <c r="K602" s="684"/>
      <c r="L602" s="567">
        <f t="shared" ref="L602:N602" ca="1" si="376">L603+L604</f>
        <v>0</v>
      </c>
      <c r="M602" s="568">
        <f t="shared" ca="1" si="376"/>
        <v>0</v>
      </c>
      <c r="N602" s="568">
        <f t="shared" ca="1" si="376"/>
        <v>0</v>
      </c>
      <c r="O602" s="568">
        <f t="shared" ca="1" si="369"/>
        <v>0</v>
      </c>
      <c r="P602" s="568">
        <f t="shared" ca="1" si="370"/>
        <v>0</v>
      </c>
      <c r="Q602" s="568">
        <f t="shared" ref="Q602:S602" ca="1" si="377">Q603+Q604</f>
        <v>0</v>
      </c>
      <c r="R602" s="568">
        <f t="shared" ca="1" si="377"/>
        <v>0</v>
      </c>
      <c r="S602" s="568">
        <f t="shared" ca="1" si="377"/>
        <v>0</v>
      </c>
      <c r="T602" s="568">
        <f t="shared" ca="1" si="372"/>
        <v>0</v>
      </c>
      <c r="U602" s="568">
        <f t="shared" ca="1" si="373"/>
        <v>0</v>
      </c>
    </row>
    <row r="603" spans="1:21" ht="18.75" hidden="1" x14ac:dyDescent="0.25">
      <c r="A603" s="674"/>
      <c r="B603" s="718"/>
      <c r="C603" s="718"/>
      <c r="D603" s="695"/>
      <c r="E603" s="569" t="s">
        <v>158</v>
      </c>
      <c r="F603" s="561"/>
      <c r="G603" s="563"/>
      <c r="H603" s="685" t="s">
        <v>14</v>
      </c>
      <c r="I603" s="565"/>
      <c r="J603" s="565"/>
      <c r="K603" s="566"/>
      <c r="L603" s="571">
        <v>0</v>
      </c>
      <c r="M603" s="572">
        <v>0</v>
      </c>
      <c r="N603" s="572">
        <v>0</v>
      </c>
      <c r="O603" s="572">
        <f t="shared" si="369"/>
        <v>0</v>
      </c>
      <c r="P603" s="572">
        <f t="shared" si="370"/>
        <v>0</v>
      </c>
      <c r="Q603" s="572">
        <v>0</v>
      </c>
      <c r="R603" s="572">
        <v>0</v>
      </c>
      <c r="S603" s="572">
        <v>0</v>
      </c>
      <c r="T603" s="572">
        <f t="shared" si="372"/>
        <v>0</v>
      </c>
      <c r="U603" s="572">
        <f t="shared" si="373"/>
        <v>0</v>
      </c>
    </row>
    <row r="604" spans="1:21" ht="18.75" hidden="1" x14ac:dyDescent="0.25">
      <c r="A604" s="674"/>
      <c r="B604" s="718"/>
      <c r="C604" s="718"/>
      <c r="D604" s="695"/>
      <c r="E604" s="569" t="s">
        <v>159</v>
      </c>
      <c r="F604" s="561"/>
      <c r="G604" s="563"/>
      <c r="H604" s="685" t="s">
        <v>14</v>
      </c>
      <c r="I604" s="565"/>
      <c r="J604" s="565"/>
      <c r="K604" s="566"/>
      <c r="L604" s="567">
        <f ca="1">IFERROR(__xludf.DUMMYFUNCTION("IMPORTRANGE(""https://docs.google.com/spreadsheets/d/1-uDff_7J0KD5mKrp0Vvzr7lt3OU09vwQwhkpOPPYv2Y/edit?usp=sharing"",""งบพรบ!HK21"")"),0)</f>
        <v>0</v>
      </c>
      <c r="M604" s="568">
        <f ca="1">IFERROR(__xludf.DUMMYFUNCTION("IMPORTRANGE(""https://docs.google.com/spreadsheets/d/1-uDff_7J0KD5mKrp0Vvzr7lt3OU09vwQwhkpOPPYv2Y/edit?usp=sharing"",""งบพรบ!HP21"")"),0)</f>
        <v>0</v>
      </c>
      <c r="N604" s="568">
        <f ca="1">IFERROR(__xludf.DUMMYFUNCTION("IMPORTRANGE(""https://docs.google.com/spreadsheets/d/1-uDff_7J0KD5mKrp0Vvzr7lt3OU09vwQwhkpOPPYv2Y/edit?usp=sharing"",""งบพรบ!HR21"")"),0)</f>
        <v>0</v>
      </c>
      <c r="O604" s="568">
        <f t="shared" ca="1" si="369"/>
        <v>0</v>
      </c>
      <c r="P604" s="568">
        <f t="shared" ca="1" si="370"/>
        <v>0</v>
      </c>
      <c r="Q604" s="568">
        <f ca="1">IFERROR(__xludf.DUMMYFUNCTION("IMPORTRANGE(""https://docs.google.com/spreadsheets/d/1ItG2mGa2ceCfYo0BwxsXqNm01IGEUdYcSSLTEv9YCik/edit?usp=sharing"",""เบิกจ่ายกองทุน!AV21"")"),0)</f>
        <v>0</v>
      </c>
      <c r="R604" s="568">
        <f ca="1">IFERROR(__xludf.DUMMYFUNCTION("IMPORTRANGE(""https://docs.google.com/spreadsheets/d/1ItG2mGa2ceCfYo0BwxsXqNm01IGEUdYcSSLTEv9YCik/edit?usp=sharing"",""เบิกจ่ายกองทุน!AW21"")"),0)</f>
        <v>0</v>
      </c>
      <c r="S604" s="568">
        <f ca="1">IFERROR(__xludf.DUMMYFUNCTION("IMPORTRANGE(""https://docs.google.com/spreadsheets/d/1ItG2mGa2ceCfYo0BwxsXqNm01IGEUdYcSSLTEv9YCik/edit?usp=sharing"",""เบิกจ่ายกองทุน!AX21"")"),0)</f>
        <v>0</v>
      </c>
      <c r="T604" s="568">
        <f t="shared" ca="1" si="372"/>
        <v>0</v>
      </c>
      <c r="U604" s="568">
        <f t="shared" ca="1" si="373"/>
        <v>0</v>
      </c>
    </row>
    <row r="605" spans="1:21" ht="19.5" hidden="1" x14ac:dyDescent="0.3">
      <c r="A605" s="674"/>
      <c r="B605" s="718"/>
      <c r="C605" s="718"/>
      <c r="D605" s="798" t="s">
        <v>23</v>
      </c>
      <c r="E605" s="718"/>
      <c r="F605" s="561"/>
      <c r="G605" s="563"/>
      <c r="H605" s="1041" t="s">
        <v>14</v>
      </c>
      <c r="I605" s="683"/>
      <c r="J605" s="683"/>
      <c r="K605" s="684"/>
      <c r="L605" s="567">
        <f t="shared" ref="L605:N605" ca="1" si="378">L606+L607</f>
        <v>0</v>
      </c>
      <c r="M605" s="568">
        <f t="shared" ca="1" si="378"/>
        <v>0</v>
      </c>
      <c r="N605" s="568">
        <f t="shared" ca="1" si="378"/>
        <v>0</v>
      </c>
      <c r="O605" s="568">
        <f t="shared" ca="1" si="369"/>
        <v>0</v>
      </c>
      <c r="P605" s="568">
        <f t="shared" ca="1" si="370"/>
        <v>0</v>
      </c>
      <c r="Q605" s="568">
        <f t="shared" ref="Q605:S605" ca="1" si="379">Q606+Q607</f>
        <v>0</v>
      </c>
      <c r="R605" s="568">
        <f t="shared" ca="1" si="379"/>
        <v>0</v>
      </c>
      <c r="S605" s="568">
        <f t="shared" ca="1" si="379"/>
        <v>0</v>
      </c>
      <c r="T605" s="568">
        <f t="shared" ca="1" si="372"/>
        <v>0</v>
      </c>
      <c r="U605" s="568">
        <f t="shared" ca="1" si="373"/>
        <v>0</v>
      </c>
    </row>
    <row r="606" spans="1:21" ht="18.75" hidden="1" x14ac:dyDescent="0.25">
      <c r="A606" s="674"/>
      <c r="B606" s="718"/>
      <c r="C606" s="718"/>
      <c r="D606" s="718"/>
      <c r="E606" s="767" t="s">
        <v>20</v>
      </c>
      <c r="F606" s="561"/>
      <c r="G606" s="563"/>
      <c r="H606" s="685" t="s">
        <v>14</v>
      </c>
      <c r="I606" s="683"/>
      <c r="J606" s="683"/>
      <c r="K606" s="684"/>
      <c r="L606" s="571">
        <v>0</v>
      </c>
      <c r="M606" s="572">
        <v>0</v>
      </c>
      <c r="N606" s="572">
        <v>0</v>
      </c>
      <c r="O606" s="572">
        <f t="shared" si="369"/>
        <v>0</v>
      </c>
      <c r="P606" s="572">
        <f t="shared" si="370"/>
        <v>0</v>
      </c>
      <c r="Q606" s="572">
        <v>0</v>
      </c>
      <c r="R606" s="572">
        <v>0</v>
      </c>
      <c r="S606" s="572">
        <v>0</v>
      </c>
      <c r="T606" s="572">
        <f t="shared" si="372"/>
        <v>0</v>
      </c>
      <c r="U606" s="572">
        <f t="shared" si="373"/>
        <v>0</v>
      </c>
    </row>
    <row r="607" spans="1:21" ht="18.75" hidden="1" x14ac:dyDescent="0.25">
      <c r="A607" s="674"/>
      <c r="B607" s="718"/>
      <c r="C607" s="718"/>
      <c r="D607" s="561"/>
      <c r="E607" s="767" t="s">
        <v>21</v>
      </c>
      <c r="F607" s="561"/>
      <c r="G607" s="563"/>
      <c r="H607" s="734" t="s">
        <v>14</v>
      </c>
      <c r="I607" s="683"/>
      <c r="J607" s="683"/>
      <c r="K607" s="684"/>
      <c r="L607" s="567">
        <f ca="1">IFERROR(__xludf.DUMMYFUNCTION("IMPORTRANGE(""https://docs.google.com/spreadsheets/d/1-uDff_7J0KD5mKrp0Vvzr7lt3OU09vwQwhkpOPPYv2Y/edit?usp=sharing"",""งบพรบ!HN21"")"),0)</f>
        <v>0</v>
      </c>
      <c r="M607" s="568">
        <f ca="1">IFERROR(__xludf.DUMMYFUNCTION("IMPORTRANGE(""https://docs.google.com/spreadsheets/d/1-uDff_7J0KD5mKrp0Vvzr7lt3OU09vwQwhkpOPPYv2Y/edit?usp=sharing"",""งบพรบ!HQ21"")"),0)</f>
        <v>0</v>
      </c>
      <c r="N607" s="568">
        <f ca="1">IFERROR(__xludf.DUMMYFUNCTION("IMPORTRANGE(""https://docs.google.com/spreadsheets/d/1-uDff_7J0KD5mKrp0Vvzr7lt3OU09vwQwhkpOPPYv2Y/edit?usp=sharing"",""งบพรบ!HS21"")"),0)</f>
        <v>0</v>
      </c>
      <c r="O607" s="568">
        <f t="shared" ca="1" si="369"/>
        <v>0</v>
      </c>
      <c r="P607" s="568">
        <f t="shared" ca="1" si="370"/>
        <v>0</v>
      </c>
      <c r="Q607" s="568">
        <f ca="1">IFERROR(__xludf.DUMMYFUNCTION("IMPORTRANGE(""https://docs.google.com/spreadsheets/d/1ItG2mGa2ceCfYo0BwxsXqNm01IGEUdYcSSLTEv9YCik/edit?usp=sharing"",""เบิกจ่ายกองทุน!AY21"")"),0)</f>
        <v>0</v>
      </c>
      <c r="R607" s="568">
        <f ca="1">IFERROR(__xludf.DUMMYFUNCTION("IMPORTRANGE(""https://docs.google.com/spreadsheets/d/1ItG2mGa2ceCfYo0BwxsXqNm01IGEUdYcSSLTEv9YCik/edit?usp=sharing"",""เบิกจ่ายกองทุน!AZ21"")"),0)</f>
        <v>0</v>
      </c>
      <c r="S607" s="568">
        <f ca="1">IFERROR(__xludf.DUMMYFUNCTION("IMPORTRANGE(""https://docs.google.com/spreadsheets/d/1ItG2mGa2ceCfYo0BwxsXqNm01IGEUdYcSSLTEv9YCik/edit?usp=sharing"",""เบิกจ่ายกองทุน!BA21"")"),0)</f>
        <v>0</v>
      </c>
      <c r="T607" s="568">
        <f t="shared" ca="1" si="372"/>
        <v>0</v>
      </c>
      <c r="U607" s="568">
        <f t="shared" ca="1" si="373"/>
        <v>0</v>
      </c>
    </row>
    <row r="608" spans="1:21" ht="19.5" hidden="1" x14ac:dyDescent="0.3">
      <c r="A608" s="687"/>
      <c r="B608" s="688"/>
      <c r="C608" s="724" t="s">
        <v>18</v>
      </c>
      <c r="D608" s="801" t="s">
        <v>38</v>
      </c>
      <c r="E608" s="690"/>
      <c r="F608" s="690"/>
      <c r="G608" s="691"/>
      <c r="H608" s="725"/>
      <c r="I608" s="683"/>
      <c r="J608" s="683"/>
      <c r="K608" s="684"/>
      <c r="L608" s="574"/>
      <c r="M608" s="566"/>
      <c r="N608" s="566"/>
      <c r="O608" s="566"/>
      <c r="P608" s="566"/>
      <c r="Q608" s="566"/>
      <c r="R608" s="566"/>
      <c r="S608" s="566"/>
      <c r="T608" s="566"/>
      <c r="U608" s="566"/>
    </row>
    <row r="609" spans="1:21" ht="18.75" hidden="1" x14ac:dyDescent="0.25">
      <c r="A609" s="687"/>
      <c r="B609" s="688"/>
      <c r="C609" s="688"/>
      <c r="D609" s="1042" t="s">
        <v>216</v>
      </c>
      <c r="E609" s="695"/>
      <c r="F609" s="695"/>
      <c r="G609" s="692"/>
      <c r="H609" s="685" t="s">
        <v>99</v>
      </c>
      <c r="I609" s="565"/>
      <c r="J609" s="565"/>
      <c r="K609" s="684"/>
      <c r="L609" s="574"/>
      <c r="M609" s="566"/>
      <c r="N609" s="566"/>
      <c r="O609" s="566"/>
      <c r="P609" s="566"/>
      <c r="Q609" s="566"/>
      <c r="R609" s="566"/>
      <c r="S609" s="566"/>
      <c r="T609" s="566"/>
      <c r="U609" s="566"/>
    </row>
    <row r="610" spans="1:21" ht="19.5" hidden="1" x14ac:dyDescent="0.3">
      <c r="A610" s="687"/>
      <c r="B610" s="688"/>
      <c r="C610" s="688"/>
      <c r="D610" s="1042" t="s">
        <v>217</v>
      </c>
      <c r="E610" s="695"/>
      <c r="F610" s="695"/>
      <c r="G610" s="692"/>
      <c r="H610" s="799" t="s">
        <v>35</v>
      </c>
      <c r="I610" s="565"/>
      <c r="J610" s="565"/>
      <c r="K610" s="684"/>
      <c r="L610" s="574"/>
      <c r="M610" s="566"/>
      <c r="N610" s="566"/>
      <c r="O610" s="566"/>
      <c r="P610" s="566"/>
      <c r="Q610" s="566"/>
      <c r="R610" s="566"/>
      <c r="S610" s="566"/>
      <c r="T610" s="566"/>
      <c r="U610" s="566"/>
    </row>
    <row r="611" spans="1:21" ht="18.75" hidden="1" x14ac:dyDescent="0.25">
      <c r="A611" s="687"/>
      <c r="B611" s="688"/>
      <c r="C611" s="688"/>
      <c r="D611" s="688"/>
      <c r="E611" s="1042" t="s">
        <v>218</v>
      </c>
      <c r="F611" s="695"/>
      <c r="G611" s="692"/>
      <c r="H611" s="734" t="s">
        <v>35</v>
      </c>
      <c r="I611" s="565"/>
      <c r="J611" s="565"/>
      <c r="K611" s="684"/>
      <c r="L611" s="574"/>
      <c r="M611" s="566"/>
      <c r="N611" s="566"/>
      <c r="O611" s="566"/>
      <c r="P611" s="566"/>
      <c r="Q611" s="566"/>
      <c r="R611" s="566"/>
      <c r="S611" s="566"/>
      <c r="T611" s="566"/>
      <c r="U611" s="566"/>
    </row>
    <row r="612" spans="1:21" ht="19.5" hidden="1" thickBot="1" x14ac:dyDescent="0.3">
      <c r="A612" s="1043"/>
      <c r="B612" s="1044"/>
      <c r="C612" s="1044"/>
      <c r="D612" s="1044"/>
      <c r="E612" s="1045" t="s">
        <v>219</v>
      </c>
      <c r="F612" s="1046"/>
      <c r="G612" s="1047"/>
      <c r="H612" s="1048" t="s">
        <v>35</v>
      </c>
      <c r="I612" s="1049"/>
      <c r="J612" s="1049"/>
      <c r="K612" s="1050"/>
      <c r="L612" s="1051"/>
      <c r="M612" s="1052"/>
      <c r="N612" s="1052"/>
      <c r="O612" s="1052"/>
      <c r="P612" s="1052"/>
      <c r="Q612" s="1052"/>
      <c r="R612" s="1052"/>
      <c r="S612" s="1052"/>
      <c r="T612" s="1052"/>
      <c r="U612" s="1052"/>
    </row>
    <row r="613" spans="1:21" ht="19.5" x14ac:dyDescent="0.3">
      <c r="A613" s="1053" t="s">
        <v>220</v>
      </c>
      <c r="B613" s="1054"/>
      <c r="C613" s="1054"/>
      <c r="D613" s="1055"/>
      <c r="E613" s="1055"/>
      <c r="F613" s="1055"/>
      <c r="G613" s="1056"/>
      <c r="H613" s="1057"/>
      <c r="I613" s="1058"/>
      <c r="J613" s="1058"/>
      <c r="K613" s="1059"/>
      <c r="L613" s="1060"/>
      <c r="M613" s="1059"/>
      <c r="N613" s="1059"/>
      <c r="O613" s="1059"/>
      <c r="P613" s="1059"/>
      <c r="Q613" s="1059"/>
      <c r="R613" s="1059"/>
      <c r="S613" s="1059"/>
      <c r="T613" s="1059"/>
      <c r="U613" s="1059"/>
    </row>
    <row r="614" spans="1:21" ht="19.5" x14ac:dyDescent="0.3">
      <c r="A614" s="1061"/>
      <c r="B614" s="1062" t="s">
        <v>221</v>
      </c>
      <c r="C614" s="1061"/>
      <c r="D614" s="1063"/>
      <c r="E614" s="1063"/>
      <c r="F614" s="1063"/>
      <c r="G614" s="1064"/>
      <c r="H614" s="1065"/>
      <c r="I614" s="1066"/>
      <c r="J614" s="1066"/>
      <c r="K614" s="1067"/>
      <c r="L614" s="1068"/>
      <c r="M614" s="1067"/>
      <c r="N614" s="1067"/>
      <c r="O614" s="1067"/>
      <c r="P614" s="1067"/>
      <c r="Q614" s="1067"/>
      <c r="R614" s="1067"/>
      <c r="S614" s="1067"/>
      <c r="T614" s="1067"/>
      <c r="U614" s="1067"/>
    </row>
    <row r="615" spans="1:21" ht="19.5" x14ac:dyDescent="0.3">
      <c r="A615" s="1069"/>
      <c r="B615" s="1070" t="s">
        <v>222</v>
      </c>
      <c r="C615" s="1069"/>
      <c r="D615" s="1071"/>
      <c r="E615" s="1071"/>
      <c r="F615" s="1071"/>
      <c r="G615" s="1072"/>
      <c r="H615" s="1073" t="s">
        <v>46</v>
      </c>
      <c r="I615" s="1074">
        <f t="shared" ref="I615:J615" ca="1" si="380">I626</f>
        <v>0</v>
      </c>
      <c r="J615" s="1074">
        <f t="shared" si="380"/>
        <v>0</v>
      </c>
      <c r="K615" s="1075">
        <f ca="1">IF(I615&gt;0,J615*100/I615,0)</f>
        <v>0</v>
      </c>
      <c r="L615" s="1076"/>
      <c r="M615" s="1077"/>
      <c r="N615" s="1077"/>
      <c r="O615" s="1077"/>
      <c r="P615" s="1077"/>
      <c r="Q615" s="1077"/>
      <c r="R615" s="1077"/>
      <c r="S615" s="1077"/>
      <c r="T615" s="1077"/>
      <c r="U615" s="1077"/>
    </row>
    <row r="616" spans="1:21" ht="19.5" x14ac:dyDescent="0.3">
      <c r="A616" s="674"/>
      <c r="B616" s="718"/>
      <c r="C616" s="724" t="s">
        <v>18</v>
      </c>
      <c r="D616" s="1310" t="s">
        <v>19</v>
      </c>
      <c r="E616" s="1311"/>
      <c r="F616" s="1311"/>
      <c r="G616" s="1312"/>
      <c r="H616" s="780" t="s">
        <v>14</v>
      </c>
      <c r="I616" s="565"/>
      <c r="J616" s="565"/>
      <c r="K616" s="566"/>
      <c r="L616" s="678">
        <f t="shared" ref="L616:N616" si="381">L617+L618</f>
        <v>0</v>
      </c>
      <c r="M616" s="679">
        <f t="shared" si="381"/>
        <v>0</v>
      </c>
      <c r="N616" s="679">
        <f t="shared" si="381"/>
        <v>0</v>
      </c>
      <c r="O616" s="679">
        <f t="shared" ref="O616:O624" si="382">IF(L616&gt;0,N616*100/L616,0)</f>
        <v>0</v>
      </c>
      <c r="P616" s="679">
        <f t="shared" ref="P616:P624" si="383">IF(M616&gt;0,N616*100/M616,0)</f>
        <v>0</v>
      </c>
      <c r="Q616" s="679">
        <f t="shared" ref="Q616:S616" ca="1" si="384">Q617+Q618</f>
        <v>1300</v>
      </c>
      <c r="R616" s="679">
        <f t="shared" ca="1" si="384"/>
        <v>1300</v>
      </c>
      <c r="S616" s="679">
        <f t="shared" ca="1" si="384"/>
        <v>0</v>
      </c>
      <c r="T616" s="679">
        <f t="shared" ref="T616:T624" ca="1" si="385">IF(Q616&gt;0,S616*100/Q616,0)</f>
        <v>0</v>
      </c>
      <c r="U616" s="679">
        <f t="shared" ref="U616:U624" ca="1" si="386">IF(R616&gt;0,S616*100/R616,0)</f>
        <v>0</v>
      </c>
    </row>
    <row r="617" spans="1:21" ht="18.75" x14ac:dyDescent="0.25">
      <c r="A617" s="674"/>
      <c r="B617" s="718"/>
      <c r="C617" s="718"/>
      <c r="D617" s="695"/>
      <c r="E617" s="569" t="s">
        <v>158</v>
      </c>
      <c r="F617" s="561"/>
      <c r="G617" s="563"/>
      <c r="H617" s="685" t="s">
        <v>14</v>
      </c>
      <c r="I617" s="565"/>
      <c r="J617" s="565"/>
      <c r="K617" s="566"/>
      <c r="L617" s="571">
        <f t="shared" ref="L617:N618" si="387">L620+L623</f>
        <v>0</v>
      </c>
      <c r="M617" s="572">
        <f t="shared" si="387"/>
        <v>0</v>
      </c>
      <c r="N617" s="572">
        <f t="shared" si="387"/>
        <v>0</v>
      </c>
      <c r="O617" s="572">
        <f t="shared" si="382"/>
        <v>0</v>
      </c>
      <c r="P617" s="572">
        <f t="shared" si="383"/>
        <v>0</v>
      </c>
      <c r="Q617" s="572">
        <f t="shared" ref="Q617:S618" si="388">Q620+Q623</f>
        <v>0</v>
      </c>
      <c r="R617" s="572">
        <f t="shared" si="388"/>
        <v>0</v>
      </c>
      <c r="S617" s="572">
        <f t="shared" si="388"/>
        <v>0</v>
      </c>
      <c r="T617" s="572">
        <f t="shared" si="385"/>
        <v>0</v>
      </c>
      <c r="U617" s="572">
        <f t="shared" si="386"/>
        <v>0</v>
      </c>
    </row>
    <row r="618" spans="1:21" ht="18.75" x14ac:dyDescent="0.25">
      <c r="A618" s="674"/>
      <c r="B618" s="718"/>
      <c r="C618" s="718"/>
      <c r="D618" s="695"/>
      <c r="E618" s="573" t="s">
        <v>159</v>
      </c>
      <c r="F618" s="561"/>
      <c r="G618" s="563"/>
      <c r="H618" s="682" t="s">
        <v>14</v>
      </c>
      <c r="I618" s="565"/>
      <c r="J618" s="565"/>
      <c r="K618" s="566"/>
      <c r="L618" s="567">
        <f t="shared" si="387"/>
        <v>0</v>
      </c>
      <c r="M618" s="568">
        <f t="shared" si="387"/>
        <v>0</v>
      </c>
      <c r="N618" s="568">
        <f t="shared" si="387"/>
        <v>0</v>
      </c>
      <c r="O618" s="568">
        <f t="shared" si="382"/>
        <v>0</v>
      </c>
      <c r="P618" s="568">
        <f t="shared" si="383"/>
        <v>0</v>
      </c>
      <c r="Q618" s="568">
        <f t="shared" ca="1" si="388"/>
        <v>1300</v>
      </c>
      <c r="R618" s="568">
        <f t="shared" ca="1" si="388"/>
        <v>1300</v>
      </c>
      <c r="S618" s="568">
        <f t="shared" ca="1" si="388"/>
        <v>0</v>
      </c>
      <c r="T618" s="568">
        <f t="shared" ca="1" si="385"/>
        <v>0</v>
      </c>
      <c r="U618" s="568">
        <f t="shared" ca="1" si="386"/>
        <v>0</v>
      </c>
    </row>
    <row r="619" spans="1:21" ht="18.75" x14ac:dyDescent="0.25">
      <c r="A619" s="674"/>
      <c r="B619" s="718"/>
      <c r="C619" s="718"/>
      <c r="D619" s="562" t="s">
        <v>22</v>
      </c>
      <c r="E619" s="561"/>
      <c r="F619" s="561"/>
      <c r="G619" s="563"/>
      <c r="H619" s="682" t="s">
        <v>14</v>
      </c>
      <c r="I619" s="683"/>
      <c r="J619" s="683"/>
      <c r="K619" s="684"/>
      <c r="L619" s="567">
        <f t="shared" ref="L619:N619" si="389">L620+L621</f>
        <v>0</v>
      </c>
      <c r="M619" s="568">
        <f t="shared" si="389"/>
        <v>0</v>
      </c>
      <c r="N619" s="568">
        <f t="shared" si="389"/>
        <v>0</v>
      </c>
      <c r="O619" s="568">
        <f t="shared" si="382"/>
        <v>0</v>
      </c>
      <c r="P619" s="568">
        <f t="shared" si="383"/>
        <v>0</v>
      </c>
      <c r="Q619" s="568">
        <f t="shared" ref="Q619:S619" ca="1" si="390">Q620+Q621</f>
        <v>1300</v>
      </c>
      <c r="R619" s="568">
        <f t="shared" ca="1" si="390"/>
        <v>1300</v>
      </c>
      <c r="S619" s="568">
        <f t="shared" ca="1" si="390"/>
        <v>0</v>
      </c>
      <c r="T619" s="568">
        <f t="shared" ca="1" si="385"/>
        <v>0</v>
      </c>
      <c r="U619" s="568">
        <f t="shared" ca="1" si="386"/>
        <v>0</v>
      </c>
    </row>
    <row r="620" spans="1:21" ht="18.75" x14ac:dyDescent="0.25">
      <c r="A620" s="674"/>
      <c r="B620" s="718"/>
      <c r="C620" s="718"/>
      <c r="D620" s="695"/>
      <c r="E620" s="569" t="s">
        <v>158</v>
      </c>
      <c r="F620" s="561"/>
      <c r="G620" s="563"/>
      <c r="H620" s="685" t="s">
        <v>14</v>
      </c>
      <c r="I620" s="565"/>
      <c r="J620" s="565"/>
      <c r="K620" s="566"/>
      <c r="L620" s="571">
        <v>0</v>
      </c>
      <c r="M620" s="572">
        <v>0</v>
      </c>
      <c r="N620" s="572">
        <v>0</v>
      </c>
      <c r="O620" s="572">
        <f t="shared" si="382"/>
        <v>0</v>
      </c>
      <c r="P620" s="572">
        <f t="shared" si="383"/>
        <v>0</v>
      </c>
      <c r="Q620" s="572">
        <v>0</v>
      </c>
      <c r="R620" s="572">
        <v>0</v>
      </c>
      <c r="S620" s="572">
        <v>0</v>
      </c>
      <c r="T620" s="572">
        <f t="shared" si="385"/>
        <v>0</v>
      </c>
      <c r="U620" s="572">
        <f t="shared" si="386"/>
        <v>0</v>
      </c>
    </row>
    <row r="621" spans="1:21" ht="18.75" x14ac:dyDescent="0.25">
      <c r="A621" s="674"/>
      <c r="B621" s="718"/>
      <c r="C621" s="718"/>
      <c r="D621" s="695"/>
      <c r="E621" s="573" t="s">
        <v>159</v>
      </c>
      <c r="F621" s="561"/>
      <c r="G621" s="563"/>
      <c r="H621" s="682" t="s">
        <v>14</v>
      </c>
      <c r="I621" s="565"/>
      <c r="J621" s="565"/>
      <c r="K621" s="566"/>
      <c r="L621" s="567">
        <v>0</v>
      </c>
      <c r="M621" s="568">
        <v>0</v>
      </c>
      <c r="N621" s="568">
        <v>0</v>
      </c>
      <c r="O621" s="568">
        <f t="shared" si="382"/>
        <v>0</v>
      </c>
      <c r="P621" s="568">
        <f t="shared" si="383"/>
        <v>0</v>
      </c>
      <c r="Q621" s="568">
        <f ca="1">IFERROR(__xludf.DUMMYFUNCTION("IMPORTRANGE(""https://docs.google.com/spreadsheets/d/1ItG2mGa2ceCfYo0BwxsXqNm01IGEUdYcSSLTEv9YCik/edit?usp=sharing"",""เบิกจ่ายกองทุน!F21"")"),1300)</f>
        <v>1300</v>
      </c>
      <c r="R621" s="568">
        <f ca="1">IFERROR(__xludf.DUMMYFUNCTION("IMPORTRANGE(""https://docs.google.com/spreadsheets/d/1ItG2mGa2ceCfYo0BwxsXqNm01IGEUdYcSSLTEv9YCik/edit?usp=sharing"",""เบิกจ่ายกองทุน!G21"")"),1300)</f>
        <v>1300</v>
      </c>
      <c r="S621" s="568">
        <f ca="1">IFERROR(__xludf.DUMMYFUNCTION("IMPORTRANGE(""https://docs.google.com/spreadsheets/d/1ItG2mGa2ceCfYo0BwxsXqNm01IGEUdYcSSLTEv9YCik/edit?usp=sharing"",""เบิกจ่ายกองทุน!H21"")"),0)</f>
        <v>0</v>
      </c>
      <c r="T621" s="568">
        <f t="shared" ca="1" si="385"/>
        <v>0</v>
      </c>
      <c r="U621" s="568">
        <f t="shared" ca="1" si="386"/>
        <v>0</v>
      </c>
    </row>
    <row r="622" spans="1:21" ht="18.75" x14ac:dyDescent="0.25">
      <c r="A622" s="674"/>
      <c r="B622" s="718"/>
      <c r="C622" s="718"/>
      <c r="D622" s="562" t="s">
        <v>23</v>
      </c>
      <c r="E622" s="561"/>
      <c r="F622" s="561"/>
      <c r="G622" s="563"/>
      <c r="H622" s="686" t="s">
        <v>14</v>
      </c>
      <c r="I622" s="683"/>
      <c r="J622" s="683"/>
      <c r="K622" s="684"/>
      <c r="L622" s="567">
        <f t="shared" ref="L622:N622" si="391">L623+L624</f>
        <v>0</v>
      </c>
      <c r="M622" s="568">
        <f t="shared" si="391"/>
        <v>0</v>
      </c>
      <c r="N622" s="568">
        <f t="shared" si="391"/>
        <v>0</v>
      </c>
      <c r="O622" s="568">
        <f t="shared" si="382"/>
        <v>0</v>
      </c>
      <c r="P622" s="568">
        <f t="shared" si="383"/>
        <v>0</v>
      </c>
      <c r="Q622" s="568">
        <f t="shared" ref="Q622:S622" si="392">Q623+Q624</f>
        <v>0</v>
      </c>
      <c r="R622" s="568">
        <f t="shared" si="392"/>
        <v>0</v>
      </c>
      <c r="S622" s="568">
        <f t="shared" si="392"/>
        <v>0</v>
      </c>
      <c r="T622" s="568">
        <f t="shared" si="385"/>
        <v>0</v>
      </c>
      <c r="U622" s="568">
        <f t="shared" si="386"/>
        <v>0</v>
      </c>
    </row>
    <row r="623" spans="1:21" ht="18.75" x14ac:dyDescent="0.25">
      <c r="A623" s="674"/>
      <c r="B623" s="718"/>
      <c r="C623" s="718"/>
      <c r="D623" s="718"/>
      <c r="E623" s="569" t="s">
        <v>20</v>
      </c>
      <c r="F623" s="561"/>
      <c r="G623" s="563"/>
      <c r="H623" s="685" t="s">
        <v>14</v>
      </c>
      <c r="I623" s="683"/>
      <c r="J623" s="683"/>
      <c r="K623" s="684"/>
      <c r="L623" s="571">
        <v>0</v>
      </c>
      <c r="M623" s="572">
        <v>0</v>
      </c>
      <c r="N623" s="572">
        <v>0</v>
      </c>
      <c r="O623" s="572">
        <f t="shared" si="382"/>
        <v>0</v>
      </c>
      <c r="P623" s="572">
        <f t="shared" si="383"/>
        <v>0</v>
      </c>
      <c r="Q623" s="572">
        <v>0</v>
      </c>
      <c r="R623" s="572">
        <v>0</v>
      </c>
      <c r="S623" s="572">
        <v>0</v>
      </c>
      <c r="T623" s="572">
        <f t="shared" si="385"/>
        <v>0</v>
      </c>
      <c r="U623" s="572">
        <f t="shared" si="386"/>
        <v>0</v>
      </c>
    </row>
    <row r="624" spans="1:21" ht="18.75" x14ac:dyDescent="0.25">
      <c r="A624" s="674"/>
      <c r="B624" s="718"/>
      <c r="C624" s="718"/>
      <c r="D624" s="718"/>
      <c r="E624" s="573" t="s">
        <v>21</v>
      </c>
      <c r="F624" s="561"/>
      <c r="G624" s="563"/>
      <c r="H624" s="686" t="s">
        <v>14</v>
      </c>
      <c r="I624" s="683"/>
      <c r="J624" s="683"/>
      <c r="K624" s="684"/>
      <c r="L624" s="567">
        <v>0</v>
      </c>
      <c r="M624" s="568">
        <v>0</v>
      </c>
      <c r="N624" s="568">
        <v>0</v>
      </c>
      <c r="O624" s="568">
        <f t="shared" si="382"/>
        <v>0</v>
      </c>
      <c r="P624" s="568">
        <f t="shared" si="383"/>
        <v>0</v>
      </c>
      <c r="Q624" s="568">
        <v>0</v>
      </c>
      <c r="R624" s="568">
        <v>0</v>
      </c>
      <c r="S624" s="568">
        <v>0</v>
      </c>
      <c r="T624" s="568">
        <f t="shared" si="385"/>
        <v>0</v>
      </c>
      <c r="U624" s="568">
        <f t="shared" si="386"/>
        <v>0</v>
      </c>
    </row>
    <row r="625" spans="1:21" ht="19.5" x14ac:dyDescent="0.3">
      <c r="A625" s="687"/>
      <c r="B625" s="688"/>
      <c r="C625" s="724" t="s">
        <v>18</v>
      </c>
      <c r="D625" s="1078" t="s">
        <v>38</v>
      </c>
      <c r="E625" s="690"/>
      <c r="F625" s="690"/>
      <c r="G625" s="691"/>
      <c r="H625" s="725"/>
      <c r="I625" s="683"/>
      <c r="J625" s="683"/>
      <c r="K625" s="684"/>
      <c r="L625" s="693"/>
      <c r="M625" s="684"/>
      <c r="N625" s="684"/>
      <c r="O625" s="684"/>
      <c r="P625" s="684"/>
      <c r="Q625" s="684"/>
      <c r="R625" s="684"/>
      <c r="S625" s="684"/>
      <c r="T625" s="684"/>
      <c r="U625" s="684"/>
    </row>
    <row r="626" spans="1:21" ht="19.5" x14ac:dyDescent="0.3">
      <c r="A626" s="687"/>
      <c r="B626" s="688"/>
      <c r="C626" s="688"/>
      <c r="D626" s="1079" t="s">
        <v>223</v>
      </c>
      <c r="E626" s="695"/>
      <c r="F626" s="695"/>
      <c r="G626" s="692"/>
      <c r="H626" s="1080" t="s">
        <v>46</v>
      </c>
      <c r="I626" s="697">
        <f ca="1">IFERROR(__xludf.DUMMYFUNCTION("IMPORTRANGE(""https://docs.google.com/spreadsheets/d/1eHaY18a8A9IcSdp1K8H6x8fbOy06t2VsZHhMHf-1x7Y/edit?usp=sharing"",""แผน!ID21"")"),0)</f>
        <v>0</v>
      </c>
      <c r="J626" s="697">
        <f>J632</f>
        <v>0</v>
      </c>
      <c r="K626" s="679">
        <f ca="1">IF(I626&gt;0,J626*100/I626,0)</f>
        <v>0</v>
      </c>
      <c r="L626" s="693"/>
      <c r="M626" s="684"/>
      <c r="N626" s="684"/>
      <c r="O626" s="684"/>
      <c r="P626" s="684"/>
      <c r="Q626" s="684"/>
      <c r="R626" s="684"/>
      <c r="S626" s="684"/>
      <c r="T626" s="684"/>
      <c r="U626" s="684"/>
    </row>
    <row r="627" spans="1:21" ht="18.75" x14ac:dyDescent="0.25">
      <c r="A627" s="687"/>
      <c r="B627" s="688"/>
      <c r="C627" s="688"/>
      <c r="D627" s="688"/>
      <c r="E627" s="699" t="s">
        <v>224</v>
      </c>
      <c r="F627" s="695"/>
      <c r="G627" s="692"/>
      <c r="H627" s="686" t="s">
        <v>61</v>
      </c>
      <c r="I627" s="708">
        <f ca="1">IFERROR(__xludf.DUMMYFUNCTION("IMPORTRANGE(""https://docs.google.com/spreadsheets/d/1eHaY18a8A9IcSdp1K8H6x8fbOy06t2VsZHhMHf-1x7Y/edit?usp=sharing"",""แผน!IC21"")"),0)</f>
        <v>0</v>
      </c>
      <c r="J627" s="702">
        <v>0</v>
      </c>
      <c r="K627" s="568">
        <f t="shared" ref="K627:K628" ca="1" si="393">IF(I627&gt;0,(J627*100)/I627,0)</f>
        <v>0</v>
      </c>
      <c r="L627" s="693"/>
      <c r="M627" s="684"/>
      <c r="N627" s="684"/>
      <c r="O627" s="684"/>
      <c r="P627" s="684"/>
      <c r="Q627" s="684"/>
      <c r="R627" s="684"/>
      <c r="S627" s="684"/>
      <c r="T627" s="684"/>
      <c r="U627" s="684"/>
    </row>
    <row r="628" spans="1:21" ht="18.75" x14ac:dyDescent="0.25">
      <c r="A628" s="687"/>
      <c r="B628" s="688"/>
      <c r="C628" s="688"/>
      <c r="D628" s="688"/>
      <c r="E628" s="699" t="s">
        <v>225</v>
      </c>
      <c r="F628" s="695"/>
      <c r="G628" s="692"/>
      <c r="H628" s="686" t="s">
        <v>61</v>
      </c>
      <c r="I628" s="708">
        <f ca="1">IFERROR(__xludf.DUMMYFUNCTION("IMPORTRANGE(""https://docs.google.com/spreadsheets/d/1eHaY18a8A9IcSdp1K8H6x8fbOy06t2VsZHhMHf-1x7Y/edit?usp=sharing"",""แผน!IC21"")"),0)</f>
        <v>0</v>
      </c>
      <c r="J628" s="702">
        <v>0</v>
      </c>
      <c r="K628" s="568">
        <f t="shared" ca="1" si="393"/>
        <v>0</v>
      </c>
      <c r="L628" s="693"/>
      <c r="M628" s="684"/>
      <c r="N628" s="684"/>
      <c r="O628" s="684"/>
      <c r="P628" s="684"/>
      <c r="Q628" s="684"/>
      <c r="R628" s="684"/>
      <c r="S628" s="684"/>
      <c r="T628" s="684"/>
      <c r="U628" s="684"/>
    </row>
    <row r="629" spans="1:21" ht="18.75" x14ac:dyDescent="0.25">
      <c r="A629" s="687"/>
      <c r="B629" s="688"/>
      <c r="C629" s="688"/>
      <c r="D629" s="688"/>
      <c r="E629" s="699" t="s">
        <v>226</v>
      </c>
      <c r="F629" s="695"/>
      <c r="G629" s="692"/>
      <c r="H629" s="686" t="s">
        <v>46</v>
      </c>
      <c r="I629" s="565"/>
      <c r="J629" s="702">
        <v>0</v>
      </c>
      <c r="K629" s="568">
        <f t="shared" ref="K629:K631" ca="1" si="394">IF(I$626&gt;0,J629*100/I$626,0)</f>
        <v>0</v>
      </c>
      <c r="L629" s="693"/>
      <c r="M629" s="684"/>
      <c r="N629" s="684"/>
      <c r="O629" s="684"/>
      <c r="P629" s="684"/>
      <c r="Q629" s="684"/>
      <c r="R629" s="684"/>
      <c r="S629" s="684"/>
      <c r="T629" s="684"/>
      <c r="U629" s="684"/>
    </row>
    <row r="630" spans="1:21" ht="18.75" x14ac:dyDescent="0.25">
      <c r="A630" s="687"/>
      <c r="B630" s="688"/>
      <c r="C630" s="688"/>
      <c r="D630" s="688"/>
      <c r="E630" s="699" t="s">
        <v>227</v>
      </c>
      <c r="F630" s="695"/>
      <c r="G630" s="692"/>
      <c r="H630" s="686" t="s">
        <v>46</v>
      </c>
      <c r="I630" s="565"/>
      <c r="J630" s="702">
        <v>0</v>
      </c>
      <c r="K630" s="568">
        <f t="shared" ca="1" si="394"/>
        <v>0</v>
      </c>
      <c r="L630" s="693"/>
      <c r="M630" s="684"/>
      <c r="N630" s="684"/>
      <c r="O630" s="684"/>
      <c r="P630" s="684"/>
      <c r="Q630" s="684"/>
      <c r="R630" s="684"/>
      <c r="S630" s="684"/>
      <c r="T630" s="684"/>
      <c r="U630" s="684"/>
    </row>
    <row r="631" spans="1:21" ht="18.75" x14ac:dyDescent="0.25">
      <c r="A631" s="687"/>
      <c r="B631" s="688"/>
      <c r="C631" s="688"/>
      <c r="D631" s="688"/>
      <c r="E631" s="699" t="s">
        <v>228</v>
      </c>
      <c r="F631" s="695"/>
      <c r="G631" s="692"/>
      <c r="H631" s="686" t="s">
        <v>46</v>
      </c>
      <c r="I631" s="565"/>
      <c r="J631" s="702">
        <v>0</v>
      </c>
      <c r="K631" s="568">
        <f t="shared" ca="1" si="394"/>
        <v>0</v>
      </c>
      <c r="L631" s="693"/>
      <c r="M631" s="684"/>
      <c r="N631" s="684"/>
      <c r="O631" s="684"/>
      <c r="P631" s="684"/>
      <c r="Q631" s="684"/>
      <c r="R631" s="684"/>
      <c r="S631" s="684"/>
      <c r="T631" s="684"/>
      <c r="U631" s="684"/>
    </row>
    <row r="632" spans="1:21" ht="19.5" x14ac:dyDescent="0.3">
      <c r="A632" s="687"/>
      <c r="B632" s="688"/>
      <c r="C632" s="688"/>
      <c r="D632" s="688"/>
      <c r="E632" s="699" t="s">
        <v>229</v>
      </c>
      <c r="F632" s="695"/>
      <c r="G632" s="692"/>
      <c r="H632" s="686" t="s">
        <v>46</v>
      </c>
      <c r="I632" s="565"/>
      <c r="J632" s="697">
        <f>J633+J634</f>
        <v>0</v>
      </c>
      <c r="K632" s="679">
        <f ca="1">IF(I626&gt;0,J632*100/I626,0)</f>
        <v>0</v>
      </c>
      <c r="L632" s="693"/>
      <c r="M632" s="684"/>
      <c r="N632" s="684"/>
      <c r="O632" s="684"/>
      <c r="P632" s="684"/>
      <c r="Q632" s="684"/>
      <c r="R632" s="684"/>
      <c r="S632" s="684"/>
      <c r="T632" s="684"/>
      <c r="U632" s="684"/>
    </row>
    <row r="633" spans="1:21" ht="18.75" x14ac:dyDescent="0.25">
      <c r="A633" s="687"/>
      <c r="B633" s="688"/>
      <c r="C633" s="688"/>
      <c r="D633" s="688"/>
      <c r="E633" s="695"/>
      <c r="F633" s="699" t="s">
        <v>230</v>
      </c>
      <c r="G633" s="692"/>
      <c r="H633" s="686" t="s">
        <v>46</v>
      </c>
      <c r="I633" s="565"/>
      <c r="J633" s="702">
        <v>0</v>
      </c>
      <c r="K633" s="566"/>
      <c r="L633" s="693"/>
      <c r="M633" s="684"/>
      <c r="N633" s="684"/>
      <c r="O633" s="684"/>
      <c r="P633" s="684"/>
      <c r="Q633" s="684"/>
      <c r="R633" s="684"/>
      <c r="S633" s="684"/>
      <c r="T633" s="684"/>
      <c r="U633" s="684"/>
    </row>
    <row r="634" spans="1:21" ht="18.75" x14ac:dyDescent="0.25">
      <c r="A634" s="687"/>
      <c r="B634" s="688"/>
      <c r="C634" s="688"/>
      <c r="D634" s="688"/>
      <c r="E634" s="695"/>
      <c r="F634" s="699" t="s">
        <v>231</v>
      </c>
      <c r="G634" s="692"/>
      <c r="H634" s="686" t="s">
        <v>46</v>
      </c>
      <c r="I634" s="565"/>
      <c r="J634" s="702">
        <v>0</v>
      </c>
      <c r="K634" s="566"/>
      <c r="L634" s="693"/>
      <c r="M634" s="684"/>
      <c r="N634" s="684"/>
      <c r="O634" s="684"/>
      <c r="P634" s="684"/>
      <c r="Q634" s="684"/>
      <c r="R634" s="684"/>
      <c r="S634" s="684"/>
      <c r="T634" s="684"/>
      <c r="U634" s="684"/>
    </row>
    <row r="635" spans="1:21" ht="19.5" x14ac:dyDescent="0.3">
      <c r="A635" s="687"/>
      <c r="B635" s="688"/>
      <c r="C635" s="688"/>
      <c r="D635" s="1079" t="s">
        <v>232</v>
      </c>
      <c r="E635" s="695"/>
      <c r="F635" s="695"/>
      <c r="G635" s="692"/>
      <c r="H635" s="686" t="s">
        <v>46</v>
      </c>
      <c r="I635" s="697">
        <f ca="1">IFERROR(__xludf.DUMMYFUNCTION("IMPORTRANGE(""https://docs.google.com/spreadsheets/d/1eHaY18a8A9IcSdp1K8H6x8fbOy06t2VsZHhMHf-1x7Y/edit?usp=sharing"",""แผน!IE21"")"),0)</f>
        <v>0</v>
      </c>
      <c r="J635" s="697">
        <f>J636</f>
        <v>0</v>
      </c>
      <c r="K635" s="679">
        <f ca="1">IF(I635&gt;0,J635*100/I635,0)</f>
        <v>0</v>
      </c>
      <c r="L635" s="693"/>
      <c r="M635" s="684"/>
      <c r="N635" s="684"/>
      <c r="O635" s="684"/>
      <c r="P635" s="684"/>
      <c r="Q635" s="684"/>
      <c r="R635" s="684"/>
      <c r="S635" s="684"/>
      <c r="T635" s="684"/>
      <c r="U635" s="684"/>
    </row>
    <row r="636" spans="1:21" ht="18.75" x14ac:dyDescent="0.25">
      <c r="A636" s="687"/>
      <c r="B636" s="688"/>
      <c r="C636" s="688"/>
      <c r="D636" s="688"/>
      <c r="E636" s="699" t="s">
        <v>233</v>
      </c>
      <c r="F636" s="695"/>
      <c r="G636" s="692"/>
      <c r="H636" s="686" t="s">
        <v>46</v>
      </c>
      <c r="I636" s="565"/>
      <c r="J636" s="708">
        <f>J637+J638</f>
        <v>0</v>
      </c>
      <c r="K636" s="566"/>
      <c r="L636" s="693"/>
      <c r="M636" s="684"/>
      <c r="N636" s="684"/>
      <c r="O636" s="684"/>
      <c r="P636" s="684"/>
      <c r="Q636" s="684"/>
      <c r="R636" s="684"/>
      <c r="S636" s="684"/>
      <c r="T636" s="684"/>
      <c r="U636" s="684"/>
    </row>
    <row r="637" spans="1:21" ht="18.75" x14ac:dyDescent="0.25">
      <c r="A637" s="687"/>
      <c r="B637" s="688"/>
      <c r="C637" s="688"/>
      <c r="D637" s="688"/>
      <c r="E637" s="695"/>
      <c r="F637" s="699" t="s">
        <v>230</v>
      </c>
      <c r="G637" s="692"/>
      <c r="H637" s="686" t="s">
        <v>46</v>
      </c>
      <c r="I637" s="565"/>
      <c r="J637" s="702">
        <v>0</v>
      </c>
      <c r="K637" s="566"/>
      <c r="L637" s="693"/>
      <c r="M637" s="684"/>
      <c r="N637" s="684"/>
      <c r="O637" s="684"/>
      <c r="P637" s="684"/>
      <c r="Q637" s="684"/>
      <c r="R637" s="684"/>
      <c r="S637" s="684"/>
      <c r="T637" s="684"/>
      <c r="U637" s="684"/>
    </row>
    <row r="638" spans="1:21" ht="18.75" x14ac:dyDescent="0.25">
      <c r="A638" s="687"/>
      <c r="B638" s="688"/>
      <c r="C638" s="688"/>
      <c r="D638" s="688"/>
      <c r="E638" s="695"/>
      <c r="F638" s="699" t="s">
        <v>231</v>
      </c>
      <c r="G638" s="692"/>
      <c r="H638" s="686" t="s">
        <v>46</v>
      </c>
      <c r="I638" s="565"/>
      <c r="J638" s="702">
        <v>0</v>
      </c>
      <c r="K638" s="566"/>
      <c r="L638" s="693"/>
      <c r="M638" s="684"/>
      <c r="N638" s="684"/>
      <c r="O638" s="684"/>
      <c r="P638" s="684"/>
      <c r="Q638" s="684"/>
      <c r="R638" s="684"/>
      <c r="S638" s="684"/>
      <c r="T638" s="684"/>
      <c r="U638" s="684"/>
    </row>
    <row r="639" spans="1:21" ht="18.75" x14ac:dyDescent="0.25">
      <c r="A639" s="687"/>
      <c r="B639" s="688"/>
      <c r="C639" s="688"/>
      <c r="D639" s="688"/>
      <c r="E639" s="699" t="s">
        <v>234</v>
      </c>
      <c r="F639" s="695"/>
      <c r="G639" s="692"/>
      <c r="H639" s="686" t="s">
        <v>46</v>
      </c>
      <c r="I639" s="565"/>
      <c r="J639" s="702">
        <v>0</v>
      </c>
      <c r="K639" s="566"/>
      <c r="L639" s="693"/>
      <c r="M639" s="684"/>
      <c r="N639" s="684"/>
      <c r="O639" s="684"/>
      <c r="P639" s="684"/>
      <c r="Q639" s="684"/>
      <c r="R639" s="684"/>
      <c r="S639" s="684"/>
      <c r="T639" s="684"/>
      <c r="U639" s="684"/>
    </row>
    <row r="640" spans="1:21" ht="18.75" x14ac:dyDescent="0.25">
      <c r="A640" s="687"/>
      <c r="B640" s="688"/>
      <c r="C640" s="688"/>
      <c r="D640" s="688"/>
      <c r="E640" s="695"/>
      <c r="F640" s="699" t="s">
        <v>235</v>
      </c>
      <c r="G640" s="692"/>
      <c r="H640" s="686" t="s">
        <v>46</v>
      </c>
      <c r="I640" s="565"/>
      <c r="J640" s="702">
        <v>0</v>
      </c>
      <c r="K640" s="566"/>
      <c r="L640" s="693"/>
      <c r="M640" s="684"/>
      <c r="N640" s="684"/>
      <c r="O640" s="684"/>
      <c r="P640" s="684"/>
      <c r="Q640" s="684"/>
      <c r="R640" s="684"/>
      <c r="S640" s="684"/>
      <c r="T640" s="684"/>
      <c r="U640" s="684"/>
    </row>
    <row r="641" spans="1:21" ht="19.5" x14ac:dyDescent="0.3">
      <c r="A641" s="1069"/>
      <c r="B641" s="1070" t="s">
        <v>236</v>
      </c>
      <c r="C641" s="1069"/>
      <c r="D641" s="1071"/>
      <c r="E641" s="1071"/>
      <c r="F641" s="1071"/>
      <c r="G641" s="1072"/>
      <c r="H641" s="1081"/>
      <c r="I641" s="1082"/>
      <c r="J641" s="1082"/>
      <c r="K641" s="1077"/>
      <c r="L641" s="1076"/>
      <c r="M641" s="1077"/>
      <c r="N641" s="1077"/>
      <c r="O641" s="1077"/>
      <c r="P641" s="1077"/>
      <c r="Q641" s="1077"/>
      <c r="R641" s="1077"/>
      <c r="S641" s="1077"/>
      <c r="T641" s="1077"/>
      <c r="U641" s="1077"/>
    </row>
    <row r="642" spans="1:21" ht="19.5" x14ac:dyDescent="0.3">
      <c r="A642" s="674"/>
      <c r="B642" s="718"/>
      <c r="C642" s="765" t="s">
        <v>18</v>
      </c>
      <c r="D642" s="1310" t="s">
        <v>19</v>
      </c>
      <c r="E642" s="1311"/>
      <c r="F642" s="1311"/>
      <c r="G642" s="1312"/>
      <c r="H642" s="780" t="s">
        <v>14</v>
      </c>
      <c r="I642" s="565"/>
      <c r="J642" s="565"/>
      <c r="K642" s="566"/>
      <c r="L642" s="678">
        <f t="shared" ref="L642:N642" si="395">L643+L644</f>
        <v>0</v>
      </c>
      <c r="M642" s="679">
        <f t="shared" si="395"/>
        <v>0</v>
      </c>
      <c r="N642" s="679">
        <f t="shared" si="395"/>
        <v>0</v>
      </c>
      <c r="O642" s="679">
        <f t="shared" ref="O642:O650" si="396">IF(L642&gt;0,N642*100/L642,0)</f>
        <v>0</v>
      </c>
      <c r="P642" s="679">
        <f t="shared" ref="P642:P650" si="397">IF(M642&gt;0,N642*100/M642,0)</f>
        <v>0</v>
      </c>
      <c r="Q642" s="679">
        <f t="shared" ref="Q642:S642" ca="1" si="398">Q643+Q644</f>
        <v>8760</v>
      </c>
      <c r="R642" s="679">
        <f t="shared" ca="1" si="398"/>
        <v>8760</v>
      </c>
      <c r="S642" s="679">
        <f t="shared" ca="1" si="398"/>
        <v>3355</v>
      </c>
      <c r="T642" s="679">
        <f t="shared" ref="T642:T650" ca="1" si="399">IF(Q642&gt;0,S642*100/Q642,0)</f>
        <v>38.299086757990871</v>
      </c>
      <c r="U642" s="679">
        <f t="shared" ref="U642:U650" ca="1" si="400">IF(R642&gt;0,S642*100/R642,0)</f>
        <v>38.299086757990871</v>
      </c>
    </row>
    <row r="643" spans="1:21" ht="18.75" x14ac:dyDescent="0.25">
      <c r="A643" s="674"/>
      <c r="B643" s="718"/>
      <c r="C643" s="718"/>
      <c r="D643" s="695"/>
      <c r="E643" s="569" t="s">
        <v>158</v>
      </c>
      <c r="F643" s="561"/>
      <c r="G643" s="563"/>
      <c r="H643" s="685" t="s">
        <v>14</v>
      </c>
      <c r="I643" s="565"/>
      <c r="J643" s="565"/>
      <c r="K643" s="566"/>
      <c r="L643" s="571">
        <f t="shared" ref="L643:N644" si="401">L646+L649</f>
        <v>0</v>
      </c>
      <c r="M643" s="572">
        <f t="shared" si="401"/>
        <v>0</v>
      </c>
      <c r="N643" s="572">
        <f t="shared" si="401"/>
        <v>0</v>
      </c>
      <c r="O643" s="572">
        <f t="shared" si="396"/>
        <v>0</v>
      </c>
      <c r="P643" s="572">
        <f t="shared" si="397"/>
        <v>0</v>
      </c>
      <c r="Q643" s="572">
        <f t="shared" ref="Q643:S644" si="402">Q646+Q649</f>
        <v>0</v>
      </c>
      <c r="R643" s="572">
        <f t="shared" si="402"/>
        <v>0</v>
      </c>
      <c r="S643" s="572">
        <f t="shared" si="402"/>
        <v>0</v>
      </c>
      <c r="T643" s="572">
        <f t="shared" si="399"/>
        <v>0</v>
      </c>
      <c r="U643" s="572">
        <f t="shared" si="400"/>
        <v>0</v>
      </c>
    </row>
    <row r="644" spans="1:21" ht="18.75" x14ac:dyDescent="0.25">
      <c r="A644" s="674"/>
      <c r="B644" s="718"/>
      <c r="C644" s="718"/>
      <c r="D644" s="695"/>
      <c r="E644" s="573" t="s">
        <v>159</v>
      </c>
      <c r="F644" s="561"/>
      <c r="G644" s="563"/>
      <c r="H644" s="682" t="s">
        <v>14</v>
      </c>
      <c r="I644" s="565"/>
      <c r="J644" s="565"/>
      <c r="K644" s="566"/>
      <c r="L644" s="567">
        <f t="shared" si="401"/>
        <v>0</v>
      </c>
      <c r="M644" s="568">
        <f t="shared" si="401"/>
        <v>0</v>
      </c>
      <c r="N644" s="568">
        <f t="shared" si="401"/>
        <v>0</v>
      </c>
      <c r="O644" s="568">
        <f t="shared" si="396"/>
        <v>0</v>
      </c>
      <c r="P644" s="568">
        <f t="shared" si="397"/>
        <v>0</v>
      </c>
      <c r="Q644" s="568">
        <f t="shared" ca="1" si="402"/>
        <v>8760</v>
      </c>
      <c r="R644" s="568">
        <f t="shared" ca="1" si="402"/>
        <v>8760</v>
      </c>
      <c r="S644" s="568">
        <f t="shared" ca="1" si="402"/>
        <v>3355</v>
      </c>
      <c r="T644" s="568">
        <f t="shared" ca="1" si="399"/>
        <v>38.299086757990871</v>
      </c>
      <c r="U644" s="568">
        <f t="shared" ca="1" si="400"/>
        <v>38.299086757990871</v>
      </c>
    </row>
    <row r="645" spans="1:21" ht="18.75" x14ac:dyDescent="0.25">
      <c r="A645" s="674"/>
      <c r="B645" s="718"/>
      <c r="C645" s="718"/>
      <c r="D645" s="562" t="s">
        <v>22</v>
      </c>
      <c r="E645" s="561"/>
      <c r="F645" s="561"/>
      <c r="G645" s="563"/>
      <c r="H645" s="682" t="s">
        <v>14</v>
      </c>
      <c r="I645" s="683"/>
      <c r="J645" s="683"/>
      <c r="K645" s="684"/>
      <c r="L645" s="567">
        <f t="shared" ref="L645:N645" si="403">L646+L647</f>
        <v>0</v>
      </c>
      <c r="M645" s="568">
        <f t="shared" si="403"/>
        <v>0</v>
      </c>
      <c r="N645" s="568">
        <f t="shared" si="403"/>
        <v>0</v>
      </c>
      <c r="O645" s="568">
        <f t="shared" si="396"/>
        <v>0</v>
      </c>
      <c r="P645" s="568">
        <f t="shared" si="397"/>
        <v>0</v>
      </c>
      <c r="Q645" s="568">
        <f t="shared" ref="Q645:S645" ca="1" si="404">Q646+Q647</f>
        <v>8760</v>
      </c>
      <c r="R645" s="568">
        <f t="shared" ca="1" si="404"/>
        <v>8760</v>
      </c>
      <c r="S645" s="568">
        <f t="shared" ca="1" si="404"/>
        <v>3355</v>
      </c>
      <c r="T645" s="568">
        <f t="shared" ca="1" si="399"/>
        <v>38.299086757990871</v>
      </c>
      <c r="U645" s="568">
        <f t="shared" ca="1" si="400"/>
        <v>38.299086757990871</v>
      </c>
    </row>
    <row r="646" spans="1:21" ht="18.75" x14ac:dyDescent="0.25">
      <c r="A646" s="674"/>
      <c r="B646" s="718"/>
      <c r="C646" s="718"/>
      <c r="D646" s="695"/>
      <c r="E646" s="569" t="s">
        <v>158</v>
      </c>
      <c r="F646" s="561"/>
      <c r="G646" s="563"/>
      <c r="H646" s="685" t="s">
        <v>14</v>
      </c>
      <c r="I646" s="565"/>
      <c r="J646" s="565"/>
      <c r="K646" s="566"/>
      <c r="L646" s="571">
        <v>0</v>
      </c>
      <c r="M646" s="572">
        <v>0</v>
      </c>
      <c r="N646" s="572">
        <v>0</v>
      </c>
      <c r="O646" s="572">
        <f t="shared" si="396"/>
        <v>0</v>
      </c>
      <c r="P646" s="572">
        <f t="shared" si="397"/>
        <v>0</v>
      </c>
      <c r="Q646" s="572">
        <v>0</v>
      </c>
      <c r="R646" s="572">
        <v>0</v>
      </c>
      <c r="S646" s="572">
        <v>0</v>
      </c>
      <c r="T646" s="572">
        <f t="shared" si="399"/>
        <v>0</v>
      </c>
      <c r="U646" s="572">
        <f t="shared" si="400"/>
        <v>0</v>
      </c>
    </row>
    <row r="647" spans="1:21" ht="18.75" x14ac:dyDescent="0.25">
      <c r="A647" s="674"/>
      <c r="B647" s="718"/>
      <c r="C647" s="718"/>
      <c r="D647" s="695"/>
      <c r="E647" s="573" t="s">
        <v>159</v>
      </c>
      <c r="F647" s="561"/>
      <c r="G647" s="563"/>
      <c r="H647" s="682" t="s">
        <v>14</v>
      </c>
      <c r="I647" s="565"/>
      <c r="J647" s="565"/>
      <c r="K647" s="566"/>
      <c r="L647" s="567">
        <v>0</v>
      </c>
      <c r="M647" s="568">
        <v>0</v>
      </c>
      <c r="N647" s="568">
        <v>0</v>
      </c>
      <c r="O647" s="568">
        <f t="shared" si="396"/>
        <v>0</v>
      </c>
      <c r="P647" s="568">
        <f t="shared" si="397"/>
        <v>0</v>
      </c>
      <c r="Q647" s="568">
        <f ca="1">IFERROR(__xludf.DUMMYFUNCTION("IMPORTRANGE(""https://docs.google.com/spreadsheets/d/1ItG2mGa2ceCfYo0BwxsXqNm01IGEUdYcSSLTEv9YCik/edit?usp=sharing"",""เบิกจ่ายกองทุน!I21"")"),8760)</f>
        <v>8760</v>
      </c>
      <c r="R647" s="568">
        <f ca="1">IFERROR(__xludf.DUMMYFUNCTION("IMPORTRANGE(""https://docs.google.com/spreadsheets/d/1ItG2mGa2ceCfYo0BwxsXqNm01IGEUdYcSSLTEv9YCik/edit?usp=sharing"",""เบิกจ่ายกองทุน!J21"")"),8760)</f>
        <v>8760</v>
      </c>
      <c r="S647" s="568">
        <f ca="1">IFERROR(__xludf.DUMMYFUNCTION("IMPORTRANGE(""https://docs.google.com/spreadsheets/d/1ItG2mGa2ceCfYo0BwxsXqNm01IGEUdYcSSLTEv9YCik/edit?usp=sharing"",""เบิกจ่ายกองทุน!K21"")"),3355)</f>
        <v>3355</v>
      </c>
      <c r="T647" s="568">
        <f t="shared" ca="1" si="399"/>
        <v>38.299086757990871</v>
      </c>
      <c r="U647" s="568">
        <f t="shared" ca="1" si="400"/>
        <v>38.299086757990871</v>
      </c>
    </row>
    <row r="648" spans="1:21" ht="18.75" x14ac:dyDescent="0.25">
      <c r="A648" s="674"/>
      <c r="B648" s="718"/>
      <c r="C648" s="718"/>
      <c r="D648" s="562" t="s">
        <v>23</v>
      </c>
      <c r="E648" s="561"/>
      <c r="F648" s="561"/>
      <c r="G648" s="563"/>
      <c r="H648" s="686" t="s">
        <v>14</v>
      </c>
      <c r="I648" s="683"/>
      <c r="J648" s="683"/>
      <c r="K648" s="684"/>
      <c r="L648" s="567">
        <f t="shared" ref="L648:N648" si="405">L649+L650</f>
        <v>0</v>
      </c>
      <c r="M648" s="568">
        <f t="shared" si="405"/>
        <v>0</v>
      </c>
      <c r="N648" s="568">
        <f t="shared" si="405"/>
        <v>0</v>
      </c>
      <c r="O648" s="568">
        <f t="shared" si="396"/>
        <v>0</v>
      </c>
      <c r="P648" s="568">
        <f t="shared" si="397"/>
        <v>0</v>
      </c>
      <c r="Q648" s="568">
        <f t="shared" ref="Q648:S648" si="406">Q649+Q650</f>
        <v>0</v>
      </c>
      <c r="R648" s="568">
        <f t="shared" si="406"/>
        <v>0</v>
      </c>
      <c r="S648" s="568">
        <f t="shared" si="406"/>
        <v>0</v>
      </c>
      <c r="T648" s="568">
        <f t="shared" si="399"/>
        <v>0</v>
      </c>
      <c r="U648" s="568">
        <f t="shared" si="400"/>
        <v>0</v>
      </c>
    </row>
    <row r="649" spans="1:21" ht="18.75" x14ac:dyDescent="0.25">
      <c r="A649" s="674"/>
      <c r="B649" s="718"/>
      <c r="C649" s="718"/>
      <c r="D649" s="561"/>
      <c r="E649" s="569" t="s">
        <v>20</v>
      </c>
      <c r="F649" s="561"/>
      <c r="G649" s="563"/>
      <c r="H649" s="685" t="s">
        <v>14</v>
      </c>
      <c r="I649" s="683"/>
      <c r="J649" s="683"/>
      <c r="K649" s="684"/>
      <c r="L649" s="571">
        <v>0</v>
      </c>
      <c r="M649" s="572">
        <v>0</v>
      </c>
      <c r="N649" s="572">
        <v>0</v>
      </c>
      <c r="O649" s="572">
        <f t="shared" si="396"/>
        <v>0</v>
      </c>
      <c r="P649" s="572">
        <f t="shared" si="397"/>
        <v>0</v>
      </c>
      <c r="Q649" s="572">
        <v>0</v>
      </c>
      <c r="R649" s="572">
        <v>0</v>
      </c>
      <c r="S649" s="572">
        <v>0</v>
      </c>
      <c r="T649" s="572">
        <f t="shared" si="399"/>
        <v>0</v>
      </c>
      <c r="U649" s="572">
        <f t="shared" si="400"/>
        <v>0</v>
      </c>
    </row>
    <row r="650" spans="1:21" ht="18.75" x14ac:dyDescent="0.25">
      <c r="A650" s="674"/>
      <c r="B650" s="718"/>
      <c r="C650" s="718"/>
      <c r="D650" s="561"/>
      <c r="E650" s="573" t="s">
        <v>21</v>
      </c>
      <c r="F650" s="561"/>
      <c r="G650" s="563"/>
      <c r="H650" s="686" t="s">
        <v>14</v>
      </c>
      <c r="I650" s="683"/>
      <c r="J650" s="683"/>
      <c r="K650" s="684"/>
      <c r="L650" s="567">
        <v>0</v>
      </c>
      <c r="M650" s="568">
        <v>0</v>
      </c>
      <c r="N650" s="568">
        <v>0</v>
      </c>
      <c r="O650" s="568">
        <f t="shared" si="396"/>
        <v>0</v>
      </c>
      <c r="P650" s="568">
        <f t="shared" si="397"/>
        <v>0</v>
      </c>
      <c r="Q650" s="568">
        <v>0</v>
      </c>
      <c r="R650" s="568">
        <v>0</v>
      </c>
      <c r="S650" s="568">
        <v>0</v>
      </c>
      <c r="T650" s="568">
        <f t="shared" si="399"/>
        <v>0</v>
      </c>
      <c r="U650" s="568">
        <f t="shared" si="400"/>
        <v>0</v>
      </c>
    </row>
    <row r="651" spans="1:21" ht="19.5" x14ac:dyDescent="0.3">
      <c r="A651" s="687"/>
      <c r="B651" s="688"/>
      <c r="C651" s="765" t="s">
        <v>18</v>
      </c>
      <c r="D651" s="1083" t="s">
        <v>38</v>
      </c>
      <c r="E651" s="690"/>
      <c r="F651" s="690"/>
      <c r="G651" s="691"/>
      <c r="H651" s="725"/>
      <c r="I651" s="683"/>
      <c r="J651" s="683"/>
      <c r="K651" s="684"/>
      <c r="L651" s="693"/>
      <c r="M651" s="684"/>
      <c r="N651" s="684"/>
      <c r="O651" s="684"/>
      <c r="P651" s="684"/>
      <c r="Q651" s="566"/>
      <c r="R651" s="566"/>
      <c r="S651" s="566"/>
      <c r="T651" s="684"/>
      <c r="U651" s="684"/>
    </row>
    <row r="652" spans="1:21" ht="18.75" x14ac:dyDescent="0.25">
      <c r="A652" s="764"/>
      <c r="B652" s="718"/>
      <c r="C652" s="718"/>
      <c r="D652" s="573" t="s">
        <v>237</v>
      </c>
      <c r="E652" s="561"/>
      <c r="F652" s="561"/>
      <c r="G652" s="563"/>
      <c r="H652" s="686" t="s">
        <v>46</v>
      </c>
      <c r="I652" s="1084">
        <f ca="1">IFERROR(__xludf.DUMMYFUNCTION("IMPORTRANGE(""https://docs.google.com/spreadsheets/d/1eHaY18a8A9IcSdp1K8H6x8fbOy06t2VsZHhMHf-1x7Y/edit?usp=sharing"",""แผน!IF21"")"),0)</f>
        <v>0</v>
      </c>
      <c r="J652" s="708">
        <f ca="1">IFERROR(__xludf.DUMMYFUNCTION("IMPORTRANGE(""https://docs.google.com/spreadsheets/d/1tdoBKaGub7dwA3U6UFTqxio9LNnvDCQjHKmttSEBsFQ/edit?usp=sharing"",""จัดที่ดิน!AU21"")"),0)</f>
        <v>0</v>
      </c>
      <c r="K652" s="568">
        <f t="shared" ref="K652:K654" ca="1" si="407">IF(I652&gt;0,J652*100/I652,0)</f>
        <v>0</v>
      </c>
      <c r="L652" s="574"/>
      <c r="M652" s="566"/>
      <c r="N652" s="1085"/>
      <c r="O652" s="566"/>
      <c r="P652" s="566"/>
      <c r="Q652" s="566"/>
      <c r="R652" s="566"/>
      <c r="S652" s="1085"/>
      <c r="T652" s="566"/>
      <c r="U652" s="566"/>
    </row>
    <row r="653" spans="1:21" ht="18.75" x14ac:dyDescent="0.25">
      <c r="A653" s="764"/>
      <c r="B653" s="718"/>
      <c r="C653" s="718"/>
      <c r="D653" s="573" t="s">
        <v>238</v>
      </c>
      <c r="E653" s="561"/>
      <c r="F653" s="561"/>
      <c r="G653" s="563"/>
      <c r="H653" s="686" t="s">
        <v>35</v>
      </c>
      <c r="I653" s="1084">
        <f ca="1">IFERROR(__xludf.DUMMYFUNCTION("IMPORTRANGE(""https://docs.google.com/spreadsheets/d/1eHaY18a8A9IcSdp1K8H6x8fbOy06t2VsZHhMHf-1x7Y/edit?usp=sharing"",""แผน!IG21"")"),0)</f>
        <v>0</v>
      </c>
      <c r="J653" s="708">
        <f ca="1">IFERROR(__xludf.DUMMYFUNCTION("IMPORTRANGE(""https://docs.google.com/spreadsheets/d/1tdoBKaGub7dwA3U6UFTqxio9LNnvDCQjHKmttSEBsFQ/edit?usp=sharing"",""จัดที่ดิน!AW21"")"),0)</f>
        <v>0</v>
      </c>
      <c r="K653" s="568">
        <f t="shared" ca="1" si="407"/>
        <v>0</v>
      </c>
      <c r="L653" s="574"/>
      <c r="M653" s="566"/>
      <c r="N653" s="1085"/>
      <c r="O653" s="566"/>
      <c r="P653" s="566"/>
      <c r="Q653" s="566"/>
      <c r="R653" s="566"/>
      <c r="S653" s="1085"/>
      <c r="T653" s="566"/>
      <c r="U653" s="566"/>
    </row>
    <row r="654" spans="1:21" ht="19.5" x14ac:dyDescent="0.3">
      <c r="A654" s="764"/>
      <c r="B654" s="718"/>
      <c r="C654" s="718"/>
      <c r="D654" s="573" t="s">
        <v>239</v>
      </c>
      <c r="E654" s="561"/>
      <c r="F654" s="561"/>
      <c r="G654" s="563"/>
      <c r="H654" s="1080" t="s">
        <v>46</v>
      </c>
      <c r="I654" s="1086">
        <f ca="1">IFERROR(__xludf.DUMMYFUNCTION("IMPORTRANGE(""https://docs.google.com/spreadsheets/d/1eHaY18a8A9IcSdp1K8H6x8fbOy06t2VsZHhMHf-1x7Y/edit?usp=sharing"",""แผน!IH21"")"),30)</f>
        <v>30</v>
      </c>
      <c r="J654" s="697">
        <f>J657+J660</f>
        <v>55.77</v>
      </c>
      <c r="K654" s="679">
        <f t="shared" ca="1" si="407"/>
        <v>185.9</v>
      </c>
      <c r="L654" s="574"/>
      <c r="M654" s="566"/>
      <c r="N654" s="1085"/>
      <c r="O654" s="566"/>
      <c r="P654" s="566"/>
      <c r="Q654" s="566"/>
      <c r="R654" s="566"/>
      <c r="S654" s="1085"/>
      <c r="T654" s="566"/>
      <c r="U654" s="566"/>
    </row>
    <row r="655" spans="1:21" ht="18.75" x14ac:dyDescent="0.25">
      <c r="A655" s="764"/>
      <c r="B655" s="718"/>
      <c r="C655" s="718"/>
      <c r="D655" s="561"/>
      <c r="E655" s="573" t="s">
        <v>240</v>
      </c>
      <c r="F655" s="561"/>
      <c r="G655" s="563"/>
      <c r="H655" s="686" t="s">
        <v>35</v>
      </c>
      <c r="I655" s="727"/>
      <c r="J655" s="702">
        <v>0</v>
      </c>
      <c r="K655" s="566"/>
      <c r="L655" s="574"/>
      <c r="M655" s="566"/>
      <c r="N655" s="1085"/>
      <c r="O655" s="566"/>
      <c r="P655" s="566"/>
      <c r="Q655" s="566"/>
      <c r="R655" s="566"/>
      <c r="S655" s="1085"/>
      <c r="T655" s="566"/>
      <c r="U655" s="566"/>
    </row>
    <row r="656" spans="1:21" ht="18.75" x14ac:dyDescent="0.25">
      <c r="A656" s="764"/>
      <c r="B656" s="718"/>
      <c r="C656" s="718"/>
      <c r="D656" s="561"/>
      <c r="E656" s="561"/>
      <c r="F656" s="561"/>
      <c r="G656" s="563"/>
      <c r="H656" s="686" t="s">
        <v>34</v>
      </c>
      <c r="I656" s="727"/>
      <c r="J656" s="702">
        <v>0</v>
      </c>
      <c r="K656" s="566"/>
      <c r="L656" s="574"/>
      <c r="M656" s="566"/>
      <c r="N656" s="1085"/>
      <c r="O656" s="566"/>
      <c r="P656" s="566"/>
      <c r="Q656" s="566"/>
      <c r="R656" s="566"/>
      <c r="S656" s="1085"/>
      <c r="T656" s="566"/>
      <c r="U656" s="566"/>
    </row>
    <row r="657" spans="1:21" ht="18.75" x14ac:dyDescent="0.25">
      <c r="A657" s="764"/>
      <c r="B657" s="718"/>
      <c r="C657" s="718"/>
      <c r="D657" s="561"/>
      <c r="E657" s="561"/>
      <c r="F657" s="561"/>
      <c r="G657" s="563"/>
      <c r="H657" s="686" t="s">
        <v>46</v>
      </c>
      <c r="I657" s="1084">
        <f ca="1">IFERROR(__xludf.DUMMYFUNCTION("IMPORTRANGE(""https://docs.google.com/spreadsheets/d/1eHaY18a8A9IcSdp1K8H6x8fbOy06t2VsZHhMHf-1x7Y/edit?usp=sharing"",""แผน!II21"")"),10)</f>
        <v>10</v>
      </c>
      <c r="J657" s="702">
        <v>0</v>
      </c>
      <c r="K657" s="566"/>
      <c r="L657" s="574"/>
      <c r="M657" s="566"/>
      <c r="N657" s="1085"/>
      <c r="O657" s="566"/>
      <c r="P657" s="566"/>
      <c r="Q657" s="566"/>
      <c r="R657" s="566"/>
      <c r="S657" s="1085"/>
      <c r="T657" s="566"/>
      <c r="U657" s="566"/>
    </row>
    <row r="658" spans="1:21" ht="18.75" x14ac:dyDescent="0.25">
      <c r="A658" s="764"/>
      <c r="B658" s="718"/>
      <c r="C658" s="718"/>
      <c r="D658" s="561"/>
      <c r="E658" s="573" t="s">
        <v>241</v>
      </c>
      <c r="F658" s="561"/>
      <c r="G658" s="563"/>
      <c r="H658" s="686" t="s">
        <v>35</v>
      </c>
      <c r="I658" s="727"/>
      <c r="J658" s="702">
        <v>3</v>
      </c>
      <c r="K658" s="566"/>
      <c r="L658" s="574"/>
      <c r="M658" s="566"/>
      <c r="N658" s="1085"/>
      <c r="O658" s="566"/>
      <c r="P658" s="566"/>
      <c r="Q658" s="566"/>
      <c r="R658" s="566"/>
      <c r="S658" s="1085"/>
      <c r="T658" s="566"/>
      <c r="U658" s="566"/>
    </row>
    <row r="659" spans="1:21" ht="18.75" x14ac:dyDescent="0.25">
      <c r="A659" s="764"/>
      <c r="B659" s="718"/>
      <c r="C659" s="718"/>
      <c r="D659" s="561"/>
      <c r="E659" s="561"/>
      <c r="F659" s="561"/>
      <c r="G659" s="563"/>
      <c r="H659" s="686" t="s">
        <v>34</v>
      </c>
      <c r="I659" s="727"/>
      <c r="J659" s="702">
        <v>3</v>
      </c>
      <c r="K659" s="566"/>
      <c r="L659" s="574"/>
      <c r="M659" s="566"/>
      <c r="N659" s="1085"/>
      <c r="O659" s="566"/>
      <c r="P659" s="566"/>
      <c r="Q659" s="566"/>
      <c r="R659" s="566"/>
      <c r="S659" s="1085"/>
      <c r="T659" s="566"/>
      <c r="U659" s="566"/>
    </row>
    <row r="660" spans="1:21" ht="18.75" x14ac:dyDescent="0.25">
      <c r="A660" s="764"/>
      <c r="B660" s="718"/>
      <c r="C660" s="718"/>
      <c r="D660" s="561"/>
      <c r="E660" s="561"/>
      <c r="F660" s="561"/>
      <c r="G660" s="563"/>
      <c r="H660" s="686" t="s">
        <v>46</v>
      </c>
      <c r="I660" s="1084">
        <f ca="1">IFERROR(__xludf.DUMMYFUNCTION("IMPORTRANGE(""https://docs.google.com/spreadsheets/d/1eHaY18a8A9IcSdp1K8H6x8fbOy06t2VsZHhMHf-1x7Y/edit?usp=sharing"",""แผน!IJ21"")"),20)</f>
        <v>20</v>
      </c>
      <c r="J660" s="1281">
        <v>55.77</v>
      </c>
      <c r="K660" s="566"/>
      <c r="L660" s="574"/>
      <c r="M660" s="566"/>
      <c r="N660" s="1085"/>
      <c r="O660" s="566"/>
      <c r="P660" s="566"/>
      <c r="Q660" s="566"/>
      <c r="R660" s="566"/>
      <c r="S660" s="1085"/>
      <c r="T660" s="566"/>
      <c r="U660" s="566"/>
    </row>
    <row r="661" spans="1:21" ht="19.5" x14ac:dyDescent="0.3">
      <c r="A661" s="764"/>
      <c r="B661" s="718"/>
      <c r="C661" s="718"/>
      <c r="D661" s="987" t="s">
        <v>242</v>
      </c>
      <c r="E661" s="561"/>
      <c r="F661" s="561"/>
      <c r="G661" s="563"/>
      <c r="H661" s="1080" t="s">
        <v>46</v>
      </c>
      <c r="I661" s="1086">
        <f ca="1">IFERROR(__xludf.DUMMYFUNCTION("IMPORTRANGE(""https://docs.google.com/spreadsheets/d/1eHaY18a8A9IcSdp1K8H6x8fbOy06t2VsZHhMHf-1x7Y/edit?usp=sharing"",""แผน!IK21"")"),19)</f>
        <v>19</v>
      </c>
      <c r="J661" s="697">
        <f>J667+J670</f>
        <v>0</v>
      </c>
      <c r="K661" s="679">
        <f ca="1">IF(I661&gt;0,J661*100/I661,0)</f>
        <v>0</v>
      </c>
      <c r="L661" s="574"/>
      <c r="M661" s="566"/>
      <c r="N661" s="1085"/>
      <c r="O661" s="566"/>
      <c r="P661" s="566"/>
      <c r="Q661" s="566"/>
      <c r="R661" s="566"/>
      <c r="S661" s="1085"/>
      <c r="T661" s="566"/>
      <c r="U661" s="566"/>
    </row>
    <row r="662" spans="1:21" ht="18.75" x14ac:dyDescent="0.25">
      <c r="A662" s="764"/>
      <c r="B662" s="718"/>
      <c r="C662" s="718"/>
      <c r="D662" s="561"/>
      <c r="E662" s="573" t="s">
        <v>243</v>
      </c>
      <c r="F662" s="561"/>
      <c r="G662" s="563"/>
      <c r="H662" s="686" t="s">
        <v>34</v>
      </c>
      <c r="I662" s="727"/>
      <c r="J662" s="702">
        <v>0</v>
      </c>
      <c r="K662" s="566"/>
      <c r="L662" s="1087"/>
      <c r="M662" s="566"/>
      <c r="N662" s="1085"/>
      <c r="O662" s="566"/>
      <c r="P662" s="566"/>
      <c r="Q662" s="1085"/>
      <c r="R662" s="566"/>
      <c r="S662" s="1085"/>
      <c r="T662" s="566"/>
      <c r="U662" s="566"/>
    </row>
    <row r="663" spans="1:21" ht="18.75" x14ac:dyDescent="0.25">
      <c r="A663" s="764"/>
      <c r="B663" s="718"/>
      <c r="C663" s="718"/>
      <c r="D663" s="561"/>
      <c r="E663" s="561"/>
      <c r="F663" s="561"/>
      <c r="G663" s="563"/>
      <c r="H663" s="686" t="s">
        <v>46</v>
      </c>
      <c r="I663" s="727"/>
      <c r="J663" s="702">
        <v>0</v>
      </c>
      <c r="K663" s="566"/>
      <c r="L663" s="1087"/>
      <c r="M663" s="566"/>
      <c r="N663" s="1085"/>
      <c r="O663" s="566"/>
      <c r="P663" s="566"/>
      <c r="Q663" s="1085"/>
      <c r="R663" s="566"/>
      <c r="S663" s="1085"/>
      <c r="T663" s="566"/>
      <c r="U663" s="566"/>
    </row>
    <row r="664" spans="1:21" ht="18.75" x14ac:dyDescent="0.25">
      <c r="A664" s="764"/>
      <c r="B664" s="718"/>
      <c r="C664" s="718"/>
      <c r="D664" s="561"/>
      <c r="E664" s="573" t="s">
        <v>244</v>
      </c>
      <c r="F664" s="561"/>
      <c r="G664" s="563"/>
      <c r="H664" s="725"/>
      <c r="I664" s="727"/>
      <c r="J664" s="565"/>
      <c r="K664" s="566"/>
      <c r="L664" s="1087"/>
      <c r="M664" s="566"/>
      <c r="N664" s="1085"/>
      <c r="O664" s="566"/>
      <c r="P664" s="566"/>
      <c r="Q664" s="1085"/>
      <c r="R664" s="566"/>
      <c r="S664" s="1085"/>
      <c r="T664" s="566"/>
      <c r="U664" s="566"/>
    </row>
    <row r="665" spans="1:21" ht="18.75" x14ac:dyDescent="0.25">
      <c r="A665" s="764"/>
      <c r="B665" s="718"/>
      <c r="C665" s="718"/>
      <c r="D665" s="561"/>
      <c r="E665" s="561"/>
      <c r="F665" s="573" t="s">
        <v>245</v>
      </c>
      <c r="G665" s="563"/>
      <c r="H665" s="686" t="s">
        <v>35</v>
      </c>
      <c r="I665" s="727"/>
      <c r="J665" s="702">
        <v>0</v>
      </c>
      <c r="K665" s="566"/>
      <c r="L665" s="1087"/>
      <c r="M665" s="566"/>
      <c r="N665" s="1085"/>
      <c r="O665" s="566"/>
      <c r="P665" s="566"/>
      <c r="Q665" s="1085"/>
      <c r="R665" s="566"/>
      <c r="S665" s="1085"/>
      <c r="T665" s="566"/>
      <c r="U665" s="566"/>
    </row>
    <row r="666" spans="1:21" ht="18.75" x14ac:dyDescent="0.25">
      <c r="A666" s="764"/>
      <c r="B666" s="718"/>
      <c r="C666" s="718"/>
      <c r="D666" s="561"/>
      <c r="E666" s="561"/>
      <c r="F666" s="561"/>
      <c r="G666" s="563"/>
      <c r="H666" s="686" t="s">
        <v>34</v>
      </c>
      <c r="I666" s="727"/>
      <c r="J666" s="702">
        <v>0</v>
      </c>
      <c r="K666" s="566"/>
      <c r="L666" s="1087"/>
      <c r="M666" s="566"/>
      <c r="N666" s="1085"/>
      <c r="O666" s="566"/>
      <c r="P666" s="566"/>
      <c r="Q666" s="1085"/>
      <c r="R666" s="566"/>
      <c r="S666" s="1085"/>
      <c r="T666" s="566"/>
      <c r="U666" s="566"/>
    </row>
    <row r="667" spans="1:21" ht="18.75" x14ac:dyDescent="0.25">
      <c r="A667" s="764"/>
      <c r="B667" s="718"/>
      <c r="C667" s="718"/>
      <c r="D667" s="561"/>
      <c r="E667" s="561"/>
      <c r="F667" s="561"/>
      <c r="G667" s="563"/>
      <c r="H667" s="686" t="s">
        <v>46</v>
      </c>
      <c r="I667" s="727"/>
      <c r="J667" s="702">
        <v>0</v>
      </c>
      <c r="K667" s="566"/>
      <c r="L667" s="1087"/>
      <c r="M667" s="566"/>
      <c r="N667" s="1085"/>
      <c r="O667" s="566"/>
      <c r="P667" s="566"/>
      <c r="Q667" s="1085"/>
      <c r="R667" s="566"/>
      <c r="S667" s="1085"/>
      <c r="T667" s="566"/>
      <c r="U667" s="566"/>
    </row>
    <row r="668" spans="1:21" ht="18.75" x14ac:dyDescent="0.25">
      <c r="A668" s="764"/>
      <c r="B668" s="718"/>
      <c r="C668" s="718"/>
      <c r="D668" s="561"/>
      <c r="E668" s="561"/>
      <c r="F668" s="573" t="s">
        <v>246</v>
      </c>
      <c r="G668" s="563"/>
      <c r="H668" s="686" t="s">
        <v>35</v>
      </c>
      <c r="I668" s="727"/>
      <c r="J668" s="702">
        <v>0</v>
      </c>
      <c r="K668" s="566"/>
      <c r="L668" s="1087"/>
      <c r="M668" s="566"/>
      <c r="N668" s="1085"/>
      <c r="O668" s="566"/>
      <c r="P668" s="566"/>
      <c r="Q668" s="1085"/>
      <c r="R668" s="566"/>
      <c r="S668" s="1085"/>
      <c r="T668" s="566"/>
      <c r="U668" s="566"/>
    </row>
    <row r="669" spans="1:21" ht="18.75" x14ac:dyDescent="0.25">
      <c r="A669" s="764"/>
      <c r="B669" s="718"/>
      <c r="C669" s="718"/>
      <c r="D669" s="561"/>
      <c r="E669" s="561"/>
      <c r="F669" s="561"/>
      <c r="G669" s="563"/>
      <c r="H669" s="686" t="s">
        <v>34</v>
      </c>
      <c r="I669" s="727"/>
      <c r="J669" s="702">
        <v>0</v>
      </c>
      <c r="K669" s="566"/>
      <c r="L669" s="1087"/>
      <c r="M669" s="566"/>
      <c r="N669" s="1085"/>
      <c r="O669" s="566"/>
      <c r="P669" s="566"/>
      <c r="Q669" s="1085"/>
      <c r="R669" s="566"/>
      <c r="S669" s="1085"/>
      <c r="T669" s="566"/>
      <c r="U669" s="566"/>
    </row>
    <row r="670" spans="1:21" ht="18.75" x14ac:dyDescent="0.25">
      <c r="A670" s="764"/>
      <c r="B670" s="718"/>
      <c r="C670" s="718"/>
      <c r="D670" s="561"/>
      <c r="E670" s="561"/>
      <c r="F670" s="561"/>
      <c r="G670" s="563"/>
      <c r="H670" s="686" t="s">
        <v>46</v>
      </c>
      <c r="I670" s="727"/>
      <c r="J670" s="702">
        <v>0</v>
      </c>
      <c r="K670" s="566"/>
      <c r="L670" s="1087"/>
      <c r="M670" s="566"/>
      <c r="N670" s="1085"/>
      <c r="O670" s="566"/>
      <c r="P670" s="566"/>
      <c r="Q670" s="1085"/>
      <c r="R670" s="566"/>
      <c r="S670" s="1085"/>
      <c r="T670" s="566"/>
      <c r="U670" s="566"/>
    </row>
    <row r="671" spans="1:21" ht="18.75" x14ac:dyDescent="0.25">
      <c r="A671" s="764"/>
      <c r="B671" s="718"/>
      <c r="C671" s="718"/>
      <c r="D671" s="573" t="s">
        <v>247</v>
      </c>
      <c r="E671" s="561"/>
      <c r="F671" s="561"/>
      <c r="G671" s="563"/>
      <c r="H671" s="686" t="s">
        <v>35</v>
      </c>
      <c r="I671" s="727"/>
      <c r="J671" s="708">
        <f ca="1">IFERROR(__xludf.DUMMYFUNCTION("IMPORTRANGE(""https://docs.google.com/spreadsheets/d/1tdoBKaGub7dwA3U6UFTqxio9LNnvDCQjHKmttSEBsFQ/edit?usp=sharing"",""จัดที่ดิน!AY21"")"),0)</f>
        <v>0</v>
      </c>
      <c r="K671" s="566"/>
      <c r="L671" s="574"/>
      <c r="M671" s="566"/>
      <c r="N671" s="1085"/>
      <c r="O671" s="566"/>
      <c r="P671" s="566"/>
      <c r="Q671" s="566"/>
      <c r="R671" s="566"/>
      <c r="S671" s="1085"/>
      <c r="T671" s="566"/>
      <c r="U671" s="566"/>
    </row>
    <row r="672" spans="1:21" ht="18.75" x14ac:dyDescent="0.25">
      <c r="A672" s="764"/>
      <c r="B672" s="718"/>
      <c r="C672" s="718"/>
      <c r="D672" s="561"/>
      <c r="E672" s="561"/>
      <c r="F672" s="561"/>
      <c r="G672" s="563"/>
      <c r="H672" s="686" t="s">
        <v>34</v>
      </c>
      <c r="I672" s="727"/>
      <c r="J672" s="708">
        <f ca="1">IFERROR(__xludf.DUMMYFUNCTION("IMPORTRANGE(""https://docs.google.com/spreadsheets/d/1tdoBKaGub7dwA3U6UFTqxio9LNnvDCQjHKmttSEBsFQ/edit?usp=sharing"",""จัดที่ดิน!AZ21"")"),0)</f>
        <v>0</v>
      </c>
      <c r="K672" s="566"/>
      <c r="L672" s="1087"/>
      <c r="M672" s="566"/>
      <c r="N672" s="1085"/>
      <c r="O672" s="566"/>
      <c r="P672" s="566"/>
      <c r="Q672" s="1085"/>
      <c r="R672" s="566"/>
      <c r="S672" s="1085"/>
      <c r="T672" s="566"/>
      <c r="U672" s="566"/>
    </row>
    <row r="673" spans="1:21" ht="18.75" x14ac:dyDescent="0.25">
      <c r="A673" s="764"/>
      <c r="B673" s="718"/>
      <c r="C673" s="718"/>
      <c r="D673" s="561"/>
      <c r="E673" s="561"/>
      <c r="F673" s="561"/>
      <c r="G673" s="563"/>
      <c r="H673" s="686" t="s">
        <v>46</v>
      </c>
      <c r="I673" s="1084">
        <f ca="1">IFERROR(__xludf.DUMMYFUNCTION("IMPORTRANGE(""https://docs.google.com/spreadsheets/d/1eHaY18a8A9IcSdp1K8H6x8fbOy06t2VsZHhMHf-1x7Y/edit?usp=sharing"",""แผน!IL21"")"),20)</f>
        <v>20</v>
      </c>
      <c r="J673" s="708">
        <f ca="1">IFERROR(__xludf.DUMMYFUNCTION("IMPORTRANGE(""https://docs.google.com/spreadsheets/d/1tdoBKaGub7dwA3U6UFTqxio9LNnvDCQjHKmttSEBsFQ/edit?usp=sharing"",""จัดที่ดิน!BA21"")"),0)</f>
        <v>0</v>
      </c>
      <c r="K673" s="568">
        <f t="shared" ref="K673:K676" ca="1" si="408">IF(I673&gt;0,J673*100/I673,0)</f>
        <v>0</v>
      </c>
      <c r="L673" s="1087"/>
      <c r="M673" s="566"/>
      <c r="N673" s="1085"/>
      <c r="O673" s="566"/>
      <c r="P673" s="566"/>
      <c r="Q673" s="1085"/>
      <c r="R673" s="566"/>
      <c r="S673" s="1085"/>
      <c r="T673" s="566"/>
      <c r="U673" s="566"/>
    </row>
    <row r="674" spans="1:21" ht="19.5" x14ac:dyDescent="0.3">
      <c r="A674" s="764"/>
      <c r="B674" s="718"/>
      <c r="C674" s="718"/>
      <c r="D674" s="573" t="s">
        <v>248</v>
      </c>
      <c r="E674" s="561"/>
      <c r="F674" s="561"/>
      <c r="G674" s="563"/>
      <c r="H674" s="1080" t="s">
        <v>35</v>
      </c>
      <c r="I674" s="1086">
        <f ca="1">IFERROR(__xludf.DUMMYFUNCTION("IMPORTRANGE(""https://docs.google.com/spreadsheets/d/1eHaY18a8A9IcSdp1K8H6x8fbOy06t2VsZHhMHf-1x7Y/edit?usp=sharing"",""แผน!IM21"")"),10)</f>
        <v>10</v>
      </c>
      <c r="J674" s="697">
        <f ca="1">J676+J679</f>
        <v>5</v>
      </c>
      <c r="K674" s="679">
        <f t="shared" ca="1" si="408"/>
        <v>50</v>
      </c>
      <c r="L674" s="1087"/>
      <c r="M674" s="566"/>
      <c r="N674" s="1085"/>
      <c r="O674" s="566"/>
      <c r="P674" s="566"/>
      <c r="Q674" s="1085"/>
      <c r="R674" s="566"/>
      <c r="S674" s="1085"/>
      <c r="T674" s="566"/>
      <c r="U674" s="566"/>
    </row>
    <row r="675" spans="1:21" ht="19.5" x14ac:dyDescent="0.3">
      <c r="A675" s="764"/>
      <c r="B675" s="718"/>
      <c r="C675" s="718"/>
      <c r="D675" s="561"/>
      <c r="E675" s="561"/>
      <c r="F675" s="561"/>
      <c r="G675" s="563"/>
      <c r="H675" s="1080" t="s">
        <v>46</v>
      </c>
      <c r="I675" s="1086">
        <f ca="1">IFERROR(__xludf.DUMMYFUNCTION("IMPORTRANGE(""https://docs.google.com/spreadsheets/d/1eHaY18a8A9IcSdp1K8H6x8fbOy06t2VsZHhMHf-1x7Y/edit?usp=sharing"",""แผน!IN21"")"),100)</f>
        <v>100</v>
      </c>
      <c r="J675" s="697">
        <f ca="1">J678+J681</f>
        <v>116.54</v>
      </c>
      <c r="K675" s="679">
        <f t="shared" ca="1" si="408"/>
        <v>116.54</v>
      </c>
      <c r="L675" s="574"/>
      <c r="M675" s="566"/>
      <c r="N675" s="1085"/>
      <c r="O675" s="566"/>
      <c r="P675" s="566"/>
      <c r="Q675" s="566"/>
      <c r="R675" s="566"/>
      <c r="S675" s="1085"/>
      <c r="T675" s="566"/>
      <c r="U675" s="566"/>
    </row>
    <row r="676" spans="1:21" ht="18.75" x14ac:dyDescent="0.25">
      <c r="A676" s="764"/>
      <c r="B676" s="718"/>
      <c r="C676" s="718"/>
      <c r="D676" s="561"/>
      <c r="E676" s="573" t="s">
        <v>249</v>
      </c>
      <c r="F676" s="561"/>
      <c r="G676" s="563"/>
      <c r="H676" s="686" t="s">
        <v>35</v>
      </c>
      <c r="I676" s="1084">
        <f ca="1">IFERROR(__xludf.DUMMYFUNCTION("IMPORTRANGE(""https://docs.google.com/spreadsheets/d/1eHaY18a8A9IcSdp1K8H6x8fbOy06t2VsZHhMHf-1x7Y/edit?usp=sharing"",""แผน!IO21"")"),6)</f>
        <v>6</v>
      </c>
      <c r="J676" s="708">
        <f ca="1">IFERROR(__xludf.DUMMYFUNCTION("IMPORTRANGE(""https://docs.google.com/spreadsheets/d/1tdoBKaGub7dwA3U6UFTqxio9LNnvDCQjHKmttSEBsFQ/edit?usp=sharing"",""จัดที่ดิน!BF21"")"),5)</f>
        <v>5</v>
      </c>
      <c r="K676" s="568">
        <f t="shared" ca="1" si="408"/>
        <v>83.333333333333329</v>
      </c>
      <c r="L676" s="574"/>
      <c r="M676" s="566"/>
      <c r="N676" s="1085"/>
      <c r="O676" s="566"/>
      <c r="P676" s="566"/>
      <c r="Q676" s="566"/>
      <c r="R676" s="566"/>
      <c r="S676" s="1085"/>
      <c r="T676" s="566"/>
      <c r="U676" s="566"/>
    </row>
    <row r="677" spans="1:21" ht="18.75" x14ac:dyDescent="0.25">
      <c r="A677" s="764"/>
      <c r="B677" s="718"/>
      <c r="C677" s="718"/>
      <c r="D677" s="561"/>
      <c r="E677" s="561"/>
      <c r="F677" s="561"/>
      <c r="G677" s="563"/>
      <c r="H677" s="686" t="s">
        <v>34</v>
      </c>
      <c r="I677" s="727"/>
      <c r="J677" s="708">
        <f ca="1">IFERROR(__xludf.DUMMYFUNCTION("IMPORTRANGE(""https://docs.google.com/spreadsheets/d/1tdoBKaGub7dwA3U6UFTqxio9LNnvDCQjHKmttSEBsFQ/edit?usp=sharing"",""จัดที่ดิน!BG21"")"),6)</f>
        <v>6</v>
      </c>
      <c r="K677" s="566"/>
      <c r="L677" s="1087"/>
      <c r="M677" s="566"/>
      <c r="N677" s="1085"/>
      <c r="O677" s="566"/>
      <c r="P677" s="566"/>
      <c r="Q677" s="1085"/>
      <c r="R677" s="566"/>
      <c r="S677" s="1085"/>
      <c r="T677" s="566"/>
      <c r="U677" s="566"/>
    </row>
    <row r="678" spans="1:21" ht="18.75" x14ac:dyDescent="0.25">
      <c r="A678" s="764"/>
      <c r="B678" s="718"/>
      <c r="C678" s="718"/>
      <c r="D678" s="561"/>
      <c r="E678" s="561"/>
      <c r="F678" s="561"/>
      <c r="G678" s="563"/>
      <c r="H678" s="686" t="s">
        <v>46</v>
      </c>
      <c r="I678" s="1084">
        <f ca="1">IFERROR(__xludf.DUMMYFUNCTION("IMPORTRANGE(""https://docs.google.com/spreadsheets/d/1eHaY18a8A9IcSdp1K8H6x8fbOy06t2VsZHhMHf-1x7Y/edit?usp=sharing"",""แผน!IP21"")"),60)</f>
        <v>60</v>
      </c>
      <c r="J678" s="708">
        <f ca="1">IFERROR(__xludf.DUMMYFUNCTION("IMPORTRANGE(""https://docs.google.com/spreadsheets/d/1tdoBKaGub7dwA3U6UFTqxio9LNnvDCQjHKmttSEBsFQ/edit?usp=sharing"",""จัดที่ดิน!BH21"")"),116.54)</f>
        <v>116.54</v>
      </c>
      <c r="K678" s="568">
        <f t="shared" ref="K678:K679" ca="1" si="409">IF(I678&gt;0,J678*100/I678,0)</f>
        <v>194.23333333333332</v>
      </c>
      <c r="L678" s="1087"/>
      <c r="M678" s="566"/>
      <c r="N678" s="1085"/>
      <c r="O678" s="566"/>
      <c r="P678" s="566"/>
      <c r="Q678" s="1085"/>
      <c r="R678" s="566"/>
      <c r="S678" s="1085"/>
      <c r="T678" s="566"/>
      <c r="U678" s="566"/>
    </row>
    <row r="679" spans="1:21" ht="18.75" x14ac:dyDescent="0.25">
      <c r="A679" s="764"/>
      <c r="B679" s="718"/>
      <c r="C679" s="718"/>
      <c r="D679" s="561"/>
      <c r="E679" s="573" t="s">
        <v>250</v>
      </c>
      <c r="F679" s="561"/>
      <c r="G679" s="563"/>
      <c r="H679" s="686" t="s">
        <v>35</v>
      </c>
      <c r="I679" s="1084">
        <f ca="1">IFERROR(__xludf.DUMMYFUNCTION("IMPORTRANGE(""https://docs.google.com/spreadsheets/d/1eHaY18a8A9IcSdp1K8H6x8fbOy06t2VsZHhMHf-1x7Y/edit?usp=sharing"",""แผน!IQ21"")"),4)</f>
        <v>4</v>
      </c>
      <c r="J679" s="708">
        <f ca="1">IFERROR(__xludf.DUMMYFUNCTION("IMPORTRANGE(""https://docs.google.com/spreadsheets/d/1tdoBKaGub7dwA3U6UFTqxio9LNnvDCQjHKmttSEBsFQ/edit?usp=sharing"",""จัดที่ดิน!BK21"")"),0)</f>
        <v>0</v>
      </c>
      <c r="K679" s="568">
        <f t="shared" ca="1" si="409"/>
        <v>0</v>
      </c>
      <c r="L679" s="574"/>
      <c r="M679" s="566"/>
      <c r="N679" s="1085"/>
      <c r="O679" s="566"/>
      <c r="P679" s="566"/>
      <c r="Q679" s="566"/>
      <c r="R679" s="566"/>
      <c r="S679" s="1085"/>
      <c r="T679" s="566"/>
      <c r="U679" s="566"/>
    </row>
    <row r="680" spans="1:21" ht="18.75" x14ac:dyDescent="0.25">
      <c r="A680" s="764"/>
      <c r="B680" s="718"/>
      <c r="C680" s="718"/>
      <c r="D680" s="561"/>
      <c r="E680" s="561"/>
      <c r="F680" s="561"/>
      <c r="G680" s="563"/>
      <c r="H680" s="686" t="s">
        <v>34</v>
      </c>
      <c r="I680" s="727"/>
      <c r="J680" s="708">
        <f ca="1">IFERROR(__xludf.DUMMYFUNCTION("IMPORTRANGE(""https://docs.google.com/spreadsheets/d/1tdoBKaGub7dwA3U6UFTqxio9LNnvDCQjHKmttSEBsFQ/edit?usp=sharing"",""จัดที่ดิน!BL21"")"),0)</f>
        <v>0</v>
      </c>
      <c r="K680" s="566"/>
      <c r="L680" s="1087"/>
      <c r="M680" s="566"/>
      <c r="N680" s="1085"/>
      <c r="O680" s="566"/>
      <c r="P680" s="566"/>
      <c r="Q680" s="1085"/>
      <c r="R680" s="566"/>
      <c r="S680" s="1085"/>
      <c r="T680" s="566"/>
      <c r="U680" s="566"/>
    </row>
    <row r="681" spans="1:21" ht="18.75" x14ac:dyDescent="0.25">
      <c r="A681" s="764"/>
      <c r="B681" s="718"/>
      <c r="C681" s="718"/>
      <c r="D681" s="561"/>
      <c r="E681" s="561"/>
      <c r="F681" s="561"/>
      <c r="G681" s="563"/>
      <c r="H681" s="686" t="s">
        <v>46</v>
      </c>
      <c r="I681" s="1084">
        <f ca="1">IFERROR(__xludf.DUMMYFUNCTION("IMPORTRANGE(""https://docs.google.com/spreadsheets/d/1eHaY18a8A9IcSdp1K8H6x8fbOy06t2VsZHhMHf-1x7Y/edit?usp=sharing"",""แผน!IR21"")"),40)</f>
        <v>40</v>
      </c>
      <c r="J681" s="708">
        <f ca="1">IFERROR(__xludf.DUMMYFUNCTION("IMPORTRANGE(""https://docs.google.com/spreadsheets/d/1tdoBKaGub7dwA3U6UFTqxio9LNnvDCQjHKmttSEBsFQ/edit?usp=sharing"",""จัดที่ดิน!BM21"")"),0)</f>
        <v>0</v>
      </c>
      <c r="K681" s="568">
        <f t="shared" ref="K681:K682" ca="1" si="410">IF(I681&gt;0,J681*100/I681,0)</f>
        <v>0</v>
      </c>
      <c r="L681" s="1087"/>
      <c r="M681" s="566"/>
      <c r="N681" s="1085"/>
      <c r="O681" s="566"/>
      <c r="P681" s="566"/>
      <c r="Q681" s="1085"/>
      <c r="R681" s="566"/>
      <c r="S681" s="1085"/>
      <c r="T681" s="566"/>
      <c r="U681" s="566"/>
    </row>
    <row r="682" spans="1:21" ht="19.5" x14ac:dyDescent="0.3">
      <c r="A682" s="764"/>
      <c r="B682" s="718"/>
      <c r="C682" s="718"/>
      <c r="D682" s="573" t="s">
        <v>251</v>
      </c>
      <c r="E682" s="561"/>
      <c r="F682" s="561"/>
      <c r="G682" s="563"/>
      <c r="H682" s="1080" t="s">
        <v>46</v>
      </c>
      <c r="I682" s="1086">
        <f ca="1">IFERROR(__xludf.DUMMYFUNCTION("IMPORTRANGE(""https://docs.google.com/spreadsheets/d/1eHaY18a8A9IcSdp1K8H6x8fbOy06t2VsZHhMHf-1x7Y/edit?usp=sharing"",""แผน!IS21"")"),0)</f>
        <v>0</v>
      </c>
      <c r="J682" s="697">
        <f>J685+J688</f>
        <v>0</v>
      </c>
      <c r="K682" s="679">
        <f t="shared" ca="1" si="410"/>
        <v>0</v>
      </c>
      <c r="L682" s="574"/>
      <c r="M682" s="566"/>
      <c r="N682" s="1085"/>
      <c r="O682" s="566"/>
      <c r="P682" s="566"/>
      <c r="Q682" s="566"/>
      <c r="R682" s="566"/>
      <c r="S682" s="1085"/>
      <c r="T682" s="566"/>
      <c r="U682" s="566"/>
    </row>
    <row r="683" spans="1:21" ht="18.75" x14ac:dyDescent="0.25">
      <c r="A683" s="764"/>
      <c r="B683" s="718"/>
      <c r="C683" s="718"/>
      <c r="D683" s="561"/>
      <c r="E683" s="573" t="s">
        <v>252</v>
      </c>
      <c r="F683" s="561"/>
      <c r="G683" s="563"/>
      <c r="H683" s="686" t="s">
        <v>35</v>
      </c>
      <c r="I683" s="727"/>
      <c r="J683" s="702">
        <v>0</v>
      </c>
      <c r="K683" s="566"/>
      <c r="L683" s="1087"/>
      <c r="M683" s="566"/>
      <c r="N683" s="1085"/>
      <c r="O683" s="566"/>
      <c r="P683" s="566"/>
      <c r="Q683" s="1085"/>
      <c r="R683" s="566"/>
      <c r="S683" s="1085"/>
      <c r="T683" s="566"/>
      <c r="U683" s="566"/>
    </row>
    <row r="684" spans="1:21" ht="18.75" x14ac:dyDescent="0.25">
      <c r="A684" s="764"/>
      <c r="B684" s="718"/>
      <c r="C684" s="718"/>
      <c r="D684" s="561"/>
      <c r="E684" s="561"/>
      <c r="F684" s="561"/>
      <c r="G684" s="563"/>
      <c r="H684" s="686" t="s">
        <v>34</v>
      </c>
      <c r="I684" s="727"/>
      <c r="J684" s="702">
        <v>0</v>
      </c>
      <c r="K684" s="566"/>
      <c r="L684" s="1087"/>
      <c r="M684" s="566"/>
      <c r="N684" s="1085"/>
      <c r="O684" s="566"/>
      <c r="P684" s="566"/>
      <c r="Q684" s="1085"/>
      <c r="R684" s="566"/>
      <c r="S684" s="1085"/>
      <c r="T684" s="566"/>
      <c r="U684" s="566"/>
    </row>
    <row r="685" spans="1:21" ht="18.75" x14ac:dyDescent="0.25">
      <c r="A685" s="764"/>
      <c r="B685" s="718"/>
      <c r="C685" s="718"/>
      <c r="D685" s="561"/>
      <c r="E685" s="561"/>
      <c r="F685" s="561"/>
      <c r="G685" s="563"/>
      <c r="H685" s="686" t="s">
        <v>46</v>
      </c>
      <c r="I685" s="727"/>
      <c r="J685" s="702">
        <v>0</v>
      </c>
      <c r="K685" s="566"/>
      <c r="L685" s="1087"/>
      <c r="M685" s="566"/>
      <c r="N685" s="1085"/>
      <c r="O685" s="566"/>
      <c r="P685" s="566"/>
      <c r="Q685" s="1085"/>
      <c r="R685" s="566"/>
      <c r="S685" s="1085"/>
      <c r="T685" s="566"/>
      <c r="U685" s="566"/>
    </row>
    <row r="686" spans="1:21" ht="18.75" x14ac:dyDescent="0.25">
      <c r="A686" s="764"/>
      <c r="B686" s="718"/>
      <c r="C686" s="718"/>
      <c r="D686" s="561"/>
      <c r="E686" s="573" t="s">
        <v>253</v>
      </c>
      <c r="F686" s="561"/>
      <c r="G686" s="563"/>
      <c r="H686" s="686" t="s">
        <v>35</v>
      </c>
      <c r="I686" s="727"/>
      <c r="J686" s="702">
        <v>0</v>
      </c>
      <c r="K686" s="566"/>
      <c r="L686" s="1087"/>
      <c r="M686" s="566"/>
      <c r="N686" s="1085"/>
      <c r="O686" s="566"/>
      <c r="P686" s="566"/>
      <c r="Q686" s="1085"/>
      <c r="R686" s="566"/>
      <c r="S686" s="1085"/>
      <c r="T686" s="566"/>
      <c r="U686" s="566"/>
    </row>
    <row r="687" spans="1:21" ht="18.75" x14ac:dyDescent="0.25">
      <c r="A687" s="764"/>
      <c r="B687" s="718"/>
      <c r="C687" s="718"/>
      <c r="D687" s="561"/>
      <c r="E687" s="561"/>
      <c r="F687" s="561"/>
      <c r="G687" s="563"/>
      <c r="H687" s="686" t="s">
        <v>34</v>
      </c>
      <c r="I687" s="727"/>
      <c r="J687" s="702">
        <v>0</v>
      </c>
      <c r="K687" s="566"/>
      <c r="L687" s="1087"/>
      <c r="M687" s="566"/>
      <c r="N687" s="1085"/>
      <c r="O687" s="566"/>
      <c r="P687" s="566"/>
      <c r="Q687" s="1085"/>
      <c r="R687" s="566"/>
      <c r="S687" s="1085"/>
      <c r="T687" s="566"/>
      <c r="U687" s="566"/>
    </row>
    <row r="688" spans="1:21" ht="19.5" x14ac:dyDescent="0.3">
      <c r="A688" s="863"/>
      <c r="B688" s="1088" t="s">
        <v>254</v>
      </c>
      <c r="C688" s="864"/>
      <c r="D688" s="512"/>
      <c r="E688" s="512"/>
      <c r="F688" s="512"/>
      <c r="G688" s="866"/>
      <c r="H688" s="1089" t="s">
        <v>46</v>
      </c>
      <c r="I688" s="985"/>
      <c r="J688" s="990">
        <v>0</v>
      </c>
      <c r="K688" s="580"/>
      <c r="L688" s="1090"/>
      <c r="M688" s="580"/>
      <c r="N688" s="1091"/>
      <c r="O688" s="580"/>
      <c r="P688" s="580"/>
      <c r="Q688" s="1091"/>
      <c r="R688" s="580"/>
      <c r="S688" s="1091"/>
      <c r="T688" s="580"/>
      <c r="U688" s="580"/>
    </row>
    <row r="689" spans="1:21" ht="19.5" x14ac:dyDescent="0.3">
      <c r="A689" s="1061"/>
      <c r="B689" s="1062" t="s">
        <v>255</v>
      </c>
      <c r="C689" s="1061"/>
      <c r="D689" s="1063"/>
      <c r="E689" s="1063"/>
      <c r="F689" s="1063"/>
      <c r="G689" s="1064"/>
      <c r="H689" s="1092" t="s">
        <v>35</v>
      </c>
      <c r="I689" s="1093">
        <f t="shared" ref="I689:J689" ca="1" si="411">I707</f>
        <v>90</v>
      </c>
      <c r="J689" s="1093">
        <f t="shared" ca="1" si="411"/>
        <v>49</v>
      </c>
      <c r="K689" s="1094">
        <f ca="1">IF(I689&gt;0,J689*100/I689,0)</f>
        <v>54.444444444444443</v>
      </c>
      <c r="L689" s="1068"/>
      <c r="M689" s="1067"/>
      <c r="N689" s="1067"/>
      <c r="O689" s="1067"/>
      <c r="P689" s="1067"/>
      <c r="Q689" s="1067"/>
      <c r="R689" s="1067"/>
      <c r="S689" s="1067"/>
      <c r="T689" s="1067"/>
      <c r="U689" s="1067"/>
    </row>
    <row r="690" spans="1:21" ht="19.5" x14ac:dyDescent="0.3">
      <c r="A690" s="674"/>
      <c r="B690" s="718"/>
      <c r="C690" s="724" t="s">
        <v>18</v>
      </c>
      <c r="D690" s="1310" t="s">
        <v>19</v>
      </c>
      <c r="E690" s="1311"/>
      <c r="F690" s="1311"/>
      <c r="G690" s="1312"/>
      <c r="H690" s="780" t="s">
        <v>14</v>
      </c>
      <c r="I690" s="565"/>
      <c r="J690" s="565"/>
      <c r="K690" s="566"/>
      <c r="L690" s="678">
        <f t="shared" ref="L690:N690" si="412">L691+L692</f>
        <v>0</v>
      </c>
      <c r="M690" s="679">
        <f t="shared" si="412"/>
        <v>0</v>
      </c>
      <c r="N690" s="679">
        <f t="shared" si="412"/>
        <v>0</v>
      </c>
      <c r="O690" s="679">
        <f t="shared" ref="O690:O698" si="413">IF(L690&gt;0,N690*100/L690,0)</f>
        <v>0</v>
      </c>
      <c r="P690" s="679">
        <f t="shared" ref="P690:P698" si="414">IF(M690&gt;0,N690*100/M690,0)</f>
        <v>0</v>
      </c>
      <c r="Q690" s="679">
        <f t="shared" ref="Q690:S690" ca="1" si="415">Q691+Q692</f>
        <v>198670</v>
      </c>
      <c r="R690" s="679">
        <f t="shared" ca="1" si="415"/>
        <v>198670</v>
      </c>
      <c r="S690" s="679">
        <f t="shared" ca="1" si="415"/>
        <v>69008</v>
      </c>
      <c r="T690" s="679">
        <f t="shared" ref="T690:T698" ca="1" si="416">IF(Q690&gt;0,S690*100/Q690,0)</f>
        <v>34.734987667992151</v>
      </c>
      <c r="U690" s="679">
        <f t="shared" ref="U690:U698" ca="1" si="417">IF(R690&gt;0,S690*100/R690,0)</f>
        <v>34.734987667992151</v>
      </c>
    </row>
    <row r="691" spans="1:21" ht="18.75" x14ac:dyDescent="0.25">
      <c r="A691" s="674"/>
      <c r="B691" s="718"/>
      <c r="C691" s="718"/>
      <c r="D691" s="695"/>
      <c r="E691" s="569" t="s">
        <v>158</v>
      </c>
      <c r="F691" s="561"/>
      <c r="G691" s="563"/>
      <c r="H691" s="685" t="s">
        <v>14</v>
      </c>
      <c r="I691" s="565"/>
      <c r="J691" s="565"/>
      <c r="K691" s="566"/>
      <c r="L691" s="571">
        <f t="shared" ref="L691:N692" si="418">L694+L697</f>
        <v>0</v>
      </c>
      <c r="M691" s="572">
        <f t="shared" si="418"/>
        <v>0</v>
      </c>
      <c r="N691" s="572">
        <f t="shared" si="418"/>
        <v>0</v>
      </c>
      <c r="O691" s="572">
        <f t="shared" si="413"/>
        <v>0</v>
      </c>
      <c r="P691" s="572">
        <f t="shared" si="414"/>
        <v>0</v>
      </c>
      <c r="Q691" s="572">
        <f t="shared" ref="Q691:S692" si="419">Q694+Q697</f>
        <v>0</v>
      </c>
      <c r="R691" s="572">
        <f t="shared" si="419"/>
        <v>0</v>
      </c>
      <c r="S691" s="572">
        <f t="shared" si="419"/>
        <v>0</v>
      </c>
      <c r="T691" s="572">
        <f t="shared" si="416"/>
        <v>0</v>
      </c>
      <c r="U691" s="572">
        <f t="shared" si="417"/>
        <v>0</v>
      </c>
    </row>
    <row r="692" spans="1:21" ht="18.75" x14ac:dyDescent="0.25">
      <c r="A692" s="674"/>
      <c r="B692" s="718"/>
      <c r="C692" s="718"/>
      <c r="D692" s="695"/>
      <c r="E692" s="573" t="s">
        <v>159</v>
      </c>
      <c r="F692" s="561"/>
      <c r="G692" s="563"/>
      <c r="H692" s="682" t="s">
        <v>14</v>
      </c>
      <c r="I692" s="565"/>
      <c r="J692" s="565"/>
      <c r="K692" s="566"/>
      <c r="L692" s="567">
        <f t="shared" si="418"/>
        <v>0</v>
      </c>
      <c r="M692" s="568">
        <f t="shared" si="418"/>
        <v>0</v>
      </c>
      <c r="N692" s="568">
        <f t="shared" si="418"/>
        <v>0</v>
      </c>
      <c r="O692" s="568">
        <f t="shared" si="413"/>
        <v>0</v>
      </c>
      <c r="P692" s="568">
        <f t="shared" si="414"/>
        <v>0</v>
      </c>
      <c r="Q692" s="568">
        <f t="shared" ca="1" si="419"/>
        <v>198670</v>
      </c>
      <c r="R692" s="568">
        <f t="shared" ca="1" si="419"/>
        <v>198670</v>
      </c>
      <c r="S692" s="568">
        <f t="shared" ca="1" si="419"/>
        <v>69008</v>
      </c>
      <c r="T692" s="568">
        <f t="shared" ca="1" si="416"/>
        <v>34.734987667992151</v>
      </c>
      <c r="U692" s="568">
        <f t="shared" ca="1" si="417"/>
        <v>34.734987667992151</v>
      </c>
    </row>
    <row r="693" spans="1:21" ht="18.75" x14ac:dyDescent="0.25">
      <c r="A693" s="674"/>
      <c r="B693" s="718"/>
      <c r="C693" s="718"/>
      <c r="D693" s="562" t="s">
        <v>22</v>
      </c>
      <c r="E693" s="561"/>
      <c r="F693" s="561"/>
      <c r="G693" s="563"/>
      <c r="H693" s="682" t="s">
        <v>14</v>
      </c>
      <c r="I693" s="683"/>
      <c r="J693" s="683"/>
      <c r="K693" s="684"/>
      <c r="L693" s="567">
        <f t="shared" ref="L693:N693" si="420">L694+L695</f>
        <v>0</v>
      </c>
      <c r="M693" s="568">
        <f t="shared" si="420"/>
        <v>0</v>
      </c>
      <c r="N693" s="568">
        <f t="shared" si="420"/>
        <v>0</v>
      </c>
      <c r="O693" s="568">
        <f t="shared" si="413"/>
        <v>0</v>
      </c>
      <c r="P693" s="568">
        <f t="shared" si="414"/>
        <v>0</v>
      </c>
      <c r="Q693" s="568">
        <f t="shared" ref="Q693:S693" ca="1" si="421">Q694+Q695</f>
        <v>198670</v>
      </c>
      <c r="R693" s="568">
        <f t="shared" ca="1" si="421"/>
        <v>198670</v>
      </c>
      <c r="S693" s="568">
        <f t="shared" ca="1" si="421"/>
        <v>69008</v>
      </c>
      <c r="T693" s="568">
        <f t="shared" ca="1" si="416"/>
        <v>34.734987667992151</v>
      </c>
      <c r="U693" s="568">
        <f t="shared" ca="1" si="417"/>
        <v>34.734987667992151</v>
      </c>
    </row>
    <row r="694" spans="1:21" ht="18.75" x14ac:dyDescent="0.25">
      <c r="A694" s="674"/>
      <c r="B694" s="718"/>
      <c r="C694" s="718"/>
      <c r="D694" s="695"/>
      <c r="E694" s="569" t="s">
        <v>158</v>
      </c>
      <c r="F694" s="561"/>
      <c r="G694" s="563"/>
      <c r="H694" s="685" t="s">
        <v>14</v>
      </c>
      <c r="I694" s="565"/>
      <c r="J694" s="565"/>
      <c r="K694" s="566"/>
      <c r="L694" s="571">
        <v>0</v>
      </c>
      <c r="M694" s="572">
        <v>0</v>
      </c>
      <c r="N694" s="572">
        <v>0</v>
      </c>
      <c r="O694" s="572">
        <f t="shared" si="413"/>
        <v>0</v>
      </c>
      <c r="P694" s="572">
        <f t="shared" si="414"/>
        <v>0</v>
      </c>
      <c r="Q694" s="572">
        <v>0</v>
      </c>
      <c r="R694" s="572">
        <v>0</v>
      </c>
      <c r="S694" s="572">
        <v>0</v>
      </c>
      <c r="T694" s="572">
        <f t="shared" si="416"/>
        <v>0</v>
      </c>
      <c r="U694" s="572">
        <f t="shared" si="417"/>
        <v>0</v>
      </c>
    </row>
    <row r="695" spans="1:21" ht="18.75" x14ac:dyDescent="0.25">
      <c r="A695" s="674"/>
      <c r="B695" s="718"/>
      <c r="C695" s="718"/>
      <c r="D695" s="695"/>
      <c r="E695" s="573" t="s">
        <v>159</v>
      </c>
      <c r="F695" s="561"/>
      <c r="G695" s="563"/>
      <c r="H695" s="682" t="s">
        <v>14</v>
      </c>
      <c r="I695" s="565"/>
      <c r="J695" s="565"/>
      <c r="K695" s="566"/>
      <c r="L695" s="567">
        <v>0</v>
      </c>
      <c r="M695" s="568">
        <v>0</v>
      </c>
      <c r="N695" s="568">
        <v>0</v>
      </c>
      <c r="O695" s="568">
        <f t="shared" si="413"/>
        <v>0</v>
      </c>
      <c r="P695" s="568">
        <f t="shared" si="414"/>
        <v>0</v>
      </c>
      <c r="Q695" s="568">
        <f ca="1">IFERROR(__xludf.DUMMYFUNCTION("IMPORTRANGE(""https://docs.google.com/spreadsheets/d/1ItG2mGa2ceCfYo0BwxsXqNm01IGEUdYcSSLTEv9YCik/edit?usp=sharing"",""เบิกจ่ายกองทุน!L21"")"),198670)</f>
        <v>198670</v>
      </c>
      <c r="R695" s="568">
        <f ca="1">IFERROR(__xludf.DUMMYFUNCTION("IMPORTRANGE(""https://docs.google.com/spreadsheets/d/1ItG2mGa2ceCfYo0BwxsXqNm01IGEUdYcSSLTEv9YCik/edit?usp=sharing"",""เบิกจ่ายกองทุน!M21"")"),198670)</f>
        <v>198670</v>
      </c>
      <c r="S695" s="568">
        <f ca="1">IFERROR(__xludf.DUMMYFUNCTION("IMPORTRANGE(""https://docs.google.com/spreadsheets/d/1ItG2mGa2ceCfYo0BwxsXqNm01IGEUdYcSSLTEv9YCik/edit?usp=sharing"",""เบิกจ่ายกองทุน!N21"")"),69008)</f>
        <v>69008</v>
      </c>
      <c r="T695" s="568">
        <f t="shared" ca="1" si="416"/>
        <v>34.734987667992151</v>
      </c>
      <c r="U695" s="568">
        <f t="shared" ca="1" si="417"/>
        <v>34.734987667992151</v>
      </c>
    </row>
    <row r="696" spans="1:21" ht="18.75" x14ac:dyDescent="0.25">
      <c r="A696" s="674"/>
      <c r="B696" s="718"/>
      <c r="C696" s="718"/>
      <c r="D696" s="562" t="s">
        <v>23</v>
      </c>
      <c r="E696" s="561"/>
      <c r="F696" s="561"/>
      <c r="G696" s="563"/>
      <c r="H696" s="686" t="s">
        <v>14</v>
      </c>
      <c r="I696" s="683"/>
      <c r="J696" s="683"/>
      <c r="K696" s="684"/>
      <c r="L696" s="567">
        <f t="shared" ref="L696:N696" si="422">L697+L698</f>
        <v>0</v>
      </c>
      <c r="M696" s="568">
        <f t="shared" si="422"/>
        <v>0</v>
      </c>
      <c r="N696" s="568">
        <f t="shared" si="422"/>
        <v>0</v>
      </c>
      <c r="O696" s="568">
        <f t="shared" si="413"/>
        <v>0</v>
      </c>
      <c r="P696" s="568">
        <f t="shared" si="414"/>
        <v>0</v>
      </c>
      <c r="Q696" s="568">
        <f t="shared" ref="Q696:S696" si="423">Q697+Q698</f>
        <v>0</v>
      </c>
      <c r="R696" s="568">
        <f t="shared" si="423"/>
        <v>0</v>
      </c>
      <c r="S696" s="568">
        <f t="shared" si="423"/>
        <v>0</v>
      </c>
      <c r="T696" s="568">
        <f t="shared" si="416"/>
        <v>0</v>
      </c>
      <c r="U696" s="568">
        <f t="shared" si="417"/>
        <v>0</v>
      </c>
    </row>
    <row r="697" spans="1:21" ht="18.75" x14ac:dyDescent="0.25">
      <c r="A697" s="674"/>
      <c r="B697" s="718"/>
      <c r="C697" s="718"/>
      <c r="D697" s="561"/>
      <c r="E697" s="569" t="s">
        <v>20</v>
      </c>
      <c r="F697" s="561"/>
      <c r="G697" s="563"/>
      <c r="H697" s="685" t="s">
        <v>14</v>
      </c>
      <c r="I697" s="683"/>
      <c r="J697" s="683"/>
      <c r="K697" s="684"/>
      <c r="L697" s="571">
        <v>0</v>
      </c>
      <c r="M697" s="572">
        <v>0</v>
      </c>
      <c r="N697" s="572">
        <v>0</v>
      </c>
      <c r="O697" s="572">
        <f t="shared" si="413"/>
        <v>0</v>
      </c>
      <c r="P697" s="572">
        <f t="shared" si="414"/>
        <v>0</v>
      </c>
      <c r="Q697" s="572">
        <v>0</v>
      </c>
      <c r="R697" s="572">
        <v>0</v>
      </c>
      <c r="S697" s="572">
        <v>0</v>
      </c>
      <c r="T697" s="572">
        <f t="shared" si="416"/>
        <v>0</v>
      </c>
      <c r="U697" s="572">
        <f t="shared" si="417"/>
        <v>0</v>
      </c>
    </row>
    <row r="698" spans="1:21" ht="18.75" x14ac:dyDescent="0.25">
      <c r="A698" s="674"/>
      <c r="B698" s="718"/>
      <c r="C698" s="718"/>
      <c r="D698" s="561"/>
      <c r="E698" s="573" t="s">
        <v>21</v>
      </c>
      <c r="F698" s="561"/>
      <c r="G698" s="563"/>
      <c r="H698" s="686" t="s">
        <v>14</v>
      </c>
      <c r="I698" s="683"/>
      <c r="J698" s="683"/>
      <c r="K698" s="684"/>
      <c r="L698" s="567">
        <v>0</v>
      </c>
      <c r="M698" s="568">
        <v>0</v>
      </c>
      <c r="N698" s="568">
        <v>0</v>
      </c>
      <c r="O698" s="568">
        <f t="shared" si="413"/>
        <v>0</v>
      </c>
      <c r="P698" s="568">
        <f t="shared" si="414"/>
        <v>0</v>
      </c>
      <c r="Q698" s="568">
        <v>0</v>
      </c>
      <c r="R698" s="568">
        <v>0</v>
      </c>
      <c r="S698" s="568">
        <v>0</v>
      </c>
      <c r="T698" s="568">
        <f t="shared" si="416"/>
        <v>0</v>
      </c>
      <c r="U698" s="568">
        <f t="shared" si="417"/>
        <v>0</v>
      </c>
    </row>
    <row r="699" spans="1:21" ht="19.5" x14ac:dyDescent="0.3">
      <c r="A699" s="687"/>
      <c r="B699" s="688"/>
      <c r="C699" s="724" t="s">
        <v>18</v>
      </c>
      <c r="D699" s="689" t="s">
        <v>38</v>
      </c>
      <c r="E699" s="690"/>
      <c r="F699" s="690"/>
      <c r="G699" s="690"/>
      <c r="H699" s="725"/>
      <c r="I699" s="683"/>
      <c r="J699" s="683"/>
      <c r="K699" s="684"/>
      <c r="L699" s="574"/>
      <c r="M699" s="566"/>
      <c r="N699" s="566"/>
      <c r="O699" s="566"/>
      <c r="P699" s="566"/>
      <c r="Q699" s="566"/>
      <c r="R699" s="566"/>
      <c r="S699" s="566"/>
      <c r="T699" s="566"/>
      <c r="U699" s="566"/>
    </row>
    <row r="700" spans="1:21" ht="18.75" x14ac:dyDescent="0.25">
      <c r="A700" s="764"/>
      <c r="B700" s="718"/>
      <c r="C700" s="718"/>
      <c r="D700" s="695"/>
      <c r="E700" s="694" t="s">
        <v>256</v>
      </c>
      <c r="F700" s="695"/>
      <c r="G700" s="692"/>
      <c r="H700" s="686" t="s">
        <v>257</v>
      </c>
      <c r="I700" s="708">
        <f ca="1">IFERROR(__xludf.DUMMYFUNCTION("IMPORTRANGE(""https://docs.google.com/spreadsheets/d/1eHaY18a8A9IcSdp1K8H6x8fbOy06t2VsZHhMHf-1x7Y/edit?usp=sharing"",""แผน!LC21"")"),0)</f>
        <v>0</v>
      </c>
      <c r="J700" s="702">
        <v>0</v>
      </c>
      <c r="K700" s="703">
        <f t="shared" ref="K700:K710" ca="1" si="424">IF(I700&gt;0,J700*100/I700,0)</f>
        <v>0</v>
      </c>
      <c r="L700" s="693"/>
      <c r="M700" s="684"/>
      <c r="N700" s="566"/>
      <c r="O700" s="684"/>
      <c r="P700" s="684"/>
      <c r="Q700" s="684"/>
      <c r="R700" s="684"/>
      <c r="S700" s="566"/>
      <c r="T700" s="684"/>
      <c r="U700" s="684"/>
    </row>
    <row r="701" spans="1:21" ht="19.5" x14ac:dyDescent="0.3">
      <c r="A701" s="764"/>
      <c r="B701" s="718"/>
      <c r="C701" s="718"/>
      <c r="D701" s="695"/>
      <c r="E701" s="1095" t="s">
        <v>258</v>
      </c>
      <c r="F701" s="695"/>
      <c r="G701" s="692"/>
      <c r="H701" s="677" t="s">
        <v>35</v>
      </c>
      <c r="I701" s="697">
        <f t="shared" ref="I701:J701" ca="1" si="425">I703+I705</f>
        <v>94</v>
      </c>
      <c r="J701" s="697">
        <f t="shared" ca="1" si="425"/>
        <v>57</v>
      </c>
      <c r="K701" s="679">
        <f t="shared" ca="1" si="424"/>
        <v>60.638297872340424</v>
      </c>
      <c r="L701" s="693"/>
      <c r="M701" s="684"/>
      <c r="N701" s="684"/>
      <c r="O701" s="684"/>
      <c r="P701" s="684"/>
      <c r="Q701" s="684"/>
      <c r="R701" s="684"/>
      <c r="S701" s="684"/>
      <c r="T701" s="684"/>
      <c r="U701" s="684"/>
    </row>
    <row r="702" spans="1:21" ht="19.5" x14ac:dyDescent="0.3">
      <c r="A702" s="764"/>
      <c r="B702" s="718"/>
      <c r="C702" s="718"/>
      <c r="D702" s="695"/>
      <c r="E702" s="695"/>
      <c r="F702" s="695"/>
      <c r="G702" s="692"/>
      <c r="H702" s="677" t="s">
        <v>46</v>
      </c>
      <c r="I702" s="697">
        <v>0</v>
      </c>
      <c r="J702" s="697">
        <f ca="1">J704+J706</f>
        <v>40.299999999999997</v>
      </c>
      <c r="K702" s="679">
        <f t="shared" si="424"/>
        <v>0</v>
      </c>
      <c r="L702" s="693"/>
      <c r="M702" s="684"/>
      <c r="N702" s="684"/>
      <c r="O702" s="684"/>
      <c r="P702" s="684"/>
      <c r="Q702" s="684"/>
      <c r="R702" s="684"/>
      <c r="S702" s="684"/>
      <c r="T702" s="684"/>
      <c r="U702" s="684"/>
    </row>
    <row r="703" spans="1:21" ht="18.75" x14ac:dyDescent="0.25">
      <c r="A703" s="764"/>
      <c r="B703" s="718"/>
      <c r="C703" s="718"/>
      <c r="D703" s="695"/>
      <c r="E703" s="695"/>
      <c r="F703" s="694" t="s">
        <v>259</v>
      </c>
      <c r="G703" s="692"/>
      <c r="H703" s="686" t="s">
        <v>35</v>
      </c>
      <c r="I703" s="708">
        <f ca="1">IFERROR(__xludf.DUMMYFUNCTION("IMPORTRANGE(""https://docs.google.com/spreadsheets/d/1eHaY18a8A9IcSdp1K8H6x8fbOy06t2VsZHhMHf-1x7Y/edit?usp=sharing"",""แผน!LJ21"")"),90)</f>
        <v>90</v>
      </c>
      <c r="J703" s="708">
        <f ca="1">IFERROR(__xludf.DUMMYFUNCTION("IMPORTRANGE(""https://docs.google.com/spreadsheets/d/1tdoBKaGub7dwA3U6UFTqxio9LNnvDCQjHKmttSEBsFQ/edit?usp=sharing"",""จัดที่ดิน!AP21"")"),57)</f>
        <v>57</v>
      </c>
      <c r="K703" s="568">
        <f t="shared" ca="1" si="424"/>
        <v>63.333333333333336</v>
      </c>
      <c r="L703" s="693"/>
      <c r="M703" s="684"/>
      <c r="N703" s="684"/>
      <c r="O703" s="684"/>
      <c r="P703" s="684"/>
      <c r="Q703" s="684"/>
      <c r="R703" s="684"/>
      <c r="S703" s="684"/>
      <c r="T703" s="684"/>
      <c r="U703" s="684"/>
    </row>
    <row r="704" spans="1:21" ht="18.75" x14ac:dyDescent="0.25">
      <c r="A704" s="764"/>
      <c r="B704" s="718"/>
      <c r="C704" s="718"/>
      <c r="D704" s="695"/>
      <c r="E704" s="695"/>
      <c r="F704" s="695"/>
      <c r="G704" s="692"/>
      <c r="H704" s="686" t="s">
        <v>46</v>
      </c>
      <c r="I704" s="708">
        <v>0</v>
      </c>
      <c r="J704" s="708">
        <f ca="1">IFERROR(__xludf.DUMMYFUNCTION("IMPORTRANGE(""https://docs.google.com/spreadsheets/d/1tdoBKaGub7dwA3U6UFTqxio9LNnvDCQjHKmttSEBsFQ/edit?usp=sharing"",""จัดที่ดิน!AQ21"")"),40.3)</f>
        <v>40.299999999999997</v>
      </c>
      <c r="K704" s="568">
        <f t="shared" si="424"/>
        <v>0</v>
      </c>
      <c r="L704" s="693"/>
      <c r="M704" s="684"/>
      <c r="N704" s="684"/>
      <c r="O704" s="684"/>
      <c r="P704" s="684"/>
      <c r="Q704" s="684"/>
      <c r="R704" s="684"/>
      <c r="S704" s="684"/>
      <c r="T704" s="684"/>
      <c r="U704" s="684"/>
    </row>
    <row r="705" spans="1:21" ht="18.75" x14ac:dyDescent="0.25">
      <c r="A705" s="764"/>
      <c r="B705" s="718"/>
      <c r="C705" s="718"/>
      <c r="D705" s="695"/>
      <c r="E705" s="695"/>
      <c r="F705" s="694" t="s">
        <v>260</v>
      </c>
      <c r="G705" s="692"/>
      <c r="H705" s="686" t="s">
        <v>35</v>
      </c>
      <c r="I705" s="708">
        <f ca="1">IFERROR(__xludf.DUMMYFUNCTION("IMPORTRANGE(""https://docs.google.com/spreadsheets/d/1eHaY18a8A9IcSdp1K8H6x8fbOy06t2VsZHhMHf-1x7Y/edit?usp=sharing"",""แผน!LK21"")"),4)</f>
        <v>4</v>
      </c>
      <c r="J705" s="708">
        <f ca="1">IFERROR(__xludf.DUMMYFUNCTION("IMPORTRANGE(""https://docs.google.com/spreadsheets/d/1tdoBKaGub7dwA3U6UFTqxio9LNnvDCQjHKmttSEBsFQ/edit?usp=sharing"",""จัดที่ดิน!AR21"")"),0)</f>
        <v>0</v>
      </c>
      <c r="K705" s="703">
        <f t="shared" ca="1" si="424"/>
        <v>0</v>
      </c>
      <c r="L705" s="693"/>
      <c r="M705" s="684"/>
      <c r="N705" s="684"/>
      <c r="O705" s="684"/>
      <c r="P705" s="684"/>
      <c r="Q705" s="684"/>
      <c r="R705" s="684"/>
      <c r="S705" s="684"/>
      <c r="T705" s="684"/>
      <c r="U705" s="684"/>
    </row>
    <row r="706" spans="1:21" ht="18.75" x14ac:dyDescent="0.25">
      <c r="A706" s="764"/>
      <c r="B706" s="718"/>
      <c r="C706" s="718"/>
      <c r="D706" s="695"/>
      <c r="E706" s="695"/>
      <c r="F706" s="695"/>
      <c r="G706" s="692"/>
      <c r="H706" s="686" t="s">
        <v>46</v>
      </c>
      <c r="I706" s="708">
        <v>0</v>
      </c>
      <c r="J706" s="708">
        <f ca="1">IFERROR(__xludf.DUMMYFUNCTION("IMPORTRANGE(""https://docs.google.com/spreadsheets/d/1tdoBKaGub7dwA3U6UFTqxio9LNnvDCQjHKmttSEBsFQ/edit?usp=sharing"",""จัดที่ดิน!AS21"")"),0)</f>
        <v>0</v>
      </c>
      <c r="K706" s="568">
        <f t="shared" si="424"/>
        <v>0</v>
      </c>
      <c r="L706" s="693"/>
      <c r="M706" s="684"/>
      <c r="N706" s="684"/>
      <c r="O706" s="684"/>
      <c r="P706" s="684"/>
      <c r="Q706" s="684"/>
      <c r="R706" s="684"/>
      <c r="S706" s="684"/>
      <c r="T706" s="684"/>
      <c r="U706" s="684"/>
    </row>
    <row r="707" spans="1:21" ht="18.75" x14ac:dyDescent="0.25">
      <c r="A707" s="764"/>
      <c r="B707" s="718"/>
      <c r="C707" s="718"/>
      <c r="D707" s="695"/>
      <c r="E707" s="694" t="s">
        <v>261</v>
      </c>
      <c r="F707" s="695"/>
      <c r="G707" s="692"/>
      <c r="H707" s="682" t="s">
        <v>35</v>
      </c>
      <c r="I707" s="708">
        <f ca="1">IFERROR(__xludf.DUMMYFUNCTION("IMPORTRANGE(""https://docs.google.com/spreadsheets/d/1eHaY18a8A9IcSdp1K8H6x8fbOy06t2VsZHhMHf-1x7Y/edit?usp=sharing"",""แผน!LJ21"")"),90)</f>
        <v>90</v>
      </c>
      <c r="J707" s="708">
        <f ca="1">IFERROR(__xludf.DUMMYFUNCTION("IMPORTRANGE(""https://docs.google.com/spreadsheets/d/1tdoBKaGub7dwA3U6UFTqxio9LNnvDCQjHKmttSEBsFQ/edit?usp=sharing"",""จัดที่ดิน!BN21"")"),49)</f>
        <v>49</v>
      </c>
      <c r="K707" s="568">
        <f t="shared" ca="1" si="424"/>
        <v>54.444444444444443</v>
      </c>
      <c r="L707" s="693"/>
      <c r="M707" s="684"/>
      <c r="N707" s="684"/>
      <c r="O707" s="684"/>
      <c r="P707" s="684"/>
      <c r="Q707" s="684"/>
      <c r="R707" s="684"/>
      <c r="S707" s="684"/>
      <c r="T707" s="684"/>
      <c r="U707" s="684"/>
    </row>
    <row r="708" spans="1:21" ht="18.75" x14ac:dyDescent="0.25">
      <c r="A708" s="764"/>
      <c r="B708" s="718"/>
      <c r="C708" s="718"/>
      <c r="D708" s="695"/>
      <c r="E708" s="1096" t="s">
        <v>262</v>
      </c>
      <c r="F708" s="695"/>
      <c r="G708" s="692"/>
      <c r="H708" s="682" t="s">
        <v>46</v>
      </c>
      <c r="I708" s="708">
        <v>0</v>
      </c>
      <c r="J708" s="708">
        <f ca="1">IFERROR(__xludf.DUMMYFUNCTION("IMPORTRANGE(""https://docs.google.com/spreadsheets/d/1tdoBKaGub7dwA3U6UFTqxio9LNnvDCQjHKmttSEBsFQ/edit?usp=sharing"",""จัดที่ดิน!BO21"")"),35)</f>
        <v>35</v>
      </c>
      <c r="K708" s="568">
        <f t="shared" si="424"/>
        <v>0</v>
      </c>
      <c r="L708" s="693"/>
      <c r="M708" s="684"/>
      <c r="N708" s="684"/>
      <c r="O708" s="684"/>
      <c r="P708" s="684"/>
      <c r="Q708" s="684"/>
      <c r="R708" s="684"/>
      <c r="S708" s="684"/>
      <c r="T708" s="684"/>
      <c r="U708" s="684"/>
    </row>
    <row r="709" spans="1:21" ht="18.75" x14ac:dyDescent="0.25">
      <c r="A709" s="764"/>
      <c r="B709" s="718"/>
      <c r="C709" s="718"/>
      <c r="D709" s="561"/>
      <c r="E709" s="573" t="s">
        <v>263</v>
      </c>
      <c r="F709" s="561"/>
      <c r="G709" s="563"/>
      <c r="H709" s="722" t="s">
        <v>35</v>
      </c>
      <c r="I709" s="708">
        <f ca="1">IFERROR(__xludf.DUMMYFUNCTION("IMPORTRANGE(""https://docs.google.com/spreadsheets/d/1eHaY18a8A9IcSdp1K8H6x8fbOy06t2VsZHhMHf-1x7Y/edit?usp=sharing"",""แผน!LK21"")"),4)</f>
        <v>4</v>
      </c>
      <c r="J709" s="708">
        <f ca="1">IFERROR(__xludf.DUMMYFUNCTION("IMPORTRANGE(""https://docs.google.com/spreadsheets/d/1tdoBKaGub7dwA3U6UFTqxio9LNnvDCQjHKmttSEBsFQ/edit?usp=sharing"",""จัดที่ดิน!BP21"")"),0)</f>
        <v>0</v>
      </c>
      <c r="K709" s="568">
        <f t="shared" ca="1" si="424"/>
        <v>0</v>
      </c>
      <c r="L709" s="574"/>
      <c r="M709" s="566"/>
      <c r="N709" s="566"/>
      <c r="O709" s="566"/>
      <c r="P709" s="566"/>
      <c r="Q709" s="566"/>
      <c r="R709" s="566"/>
      <c r="S709" s="566"/>
      <c r="T709" s="566"/>
      <c r="U709" s="566"/>
    </row>
    <row r="710" spans="1:21" ht="18.75" x14ac:dyDescent="0.25">
      <c r="A710" s="764"/>
      <c r="B710" s="718"/>
      <c r="C710" s="718"/>
      <c r="D710" s="561"/>
      <c r="E710" s="1096" t="s">
        <v>264</v>
      </c>
      <c r="F710" s="561"/>
      <c r="G710" s="563"/>
      <c r="H710" s="722" t="s">
        <v>46</v>
      </c>
      <c r="I710" s="708">
        <v>0</v>
      </c>
      <c r="J710" s="708">
        <f ca="1">IFERROR(__xludf.DUMMYFUNCTION("IMPORTRANGE(""https://docs.google.com/spreadsheets/d/1tdoBKaGub7dwA3U6UFTqxio9LNnvDCQjHKmttSEBsFQ/edit?usp=sharing"",""จัดที่ดิน!BQ21"")"),0)</f>
        <v>0</v>
      </c>
      <c r="K710" s="568">
        <f t="shared" si="424"/>
        <v>0</v>
      </c>
      <c r="L710" s="574"/>
      <c r="M710" s="566"/>
      <c r="N710" s="566"/>
      <c r="O710" s="566"/>
      <c r="P710" s="566"/>
      <c r="Q710" s="566"/>
      <c r="R710" s="566"/>
      <c r="S710" s="566"/>
      <c r="T710" s="566"/>
      <c r="U710" s="566"/>
    </row>
    <row r="711" spans="1:21" ht="12.75" hidden="1" x14ac:dyDescent="0.2">
      <c r="A711" s="1027"/>
      <c r="B711" s="966"/>
      <c r="C711" s="966"/>
      <c r="D711" s="1028"/>
      <c r="E711" s="1028"/>
      <c r="F711" s="1028"/>
      <c r="G711" s="1029"/>
      <c r="H711" s="967"/>
      <c r="I711" s="968"/>
      <c r="J711" s="968"/>
      <c r="K711" s="969"/>
      <c r="L711" s="970"/>
      <c r="M711" s="969"/>
      <c r="N711" s="969"/>
      <c r="O711" s="969"/>
      <c r="P711" s="969"/>
      <c r="Q711" s="969"/>
      <c r="R711" s="969"/>
      <c r="S711" s="969"/>
      <c r="T711" s="969"/>
      <c r="U711" s="969"/>
    </row>
    <row r="712" spans="1:21" ht="19.5" hidden="1" x14ac:dyDescent="0.3">
      <c r="A712" s="1061"/>
      <c r="B712" s="1097" t="s">
        <v>265</v>
      </c>
      <c r="C712" s="1061"/>
      <c r="D712" s="1063"/>
      <c r="E712" s="1063"/>
      <c r="F712" s="1063"/>
      <c r="G712" s="1064"/>
      <c r="H712" s="1098" t="s">
        <v>46</v>
      </c>
      <c r="I712" s="1066"/>
      <c r="J712" s="1066">
        <f>J724</f>
        <v>0</v>
      </c>
      <c r="K712" s="1099">
        <f>IF(I712&gt;0,J712*100/I712,0)</f>
        <v>0</v>
      </c>
      <c r="L712" s="1068"/>
      <c r="M712" s="1067"/>
      <c r="N712" s="1067"/>
      <c r="O712" s="1067"/>
      <c r="P712" s="1067"/>
      <c r="Q712" s="1067"/>
      <c r="R712" s="1067"/>
      <c r="S712" s="1067"/>
      <c r="T712" s="1067"/>
      <c r="U712" s="1067"/>
    </row>
    <row r="713" spans="1:21" ht="19.5" hidden="1" x14ac:dyDescent="0.3">
      <c r="A713" s="1061"/>
      <c r="B713" s="1097" t="s">
        <v>266</v>
      </c>
      <c r="C713" s="1061"/>
      <c r="D713" s="1063"/>
      <c r="E713" s="1063"/>
      <c r="F713" s="1063"/>
      <c r="G713" s="1064"/>
      <c r="H713" s="1065"/>
      <c r="I713" s="1066"/>
      <c r="J713" s="1066"/>
      <c r="K713" s="1067"/>
      <c r="L713" s="1068"/>
      <c r="M713" s="1067"/>
      <c r="N713" s="1067"/>
      <c r="O713" s="1067"/>
      <c r="P713" s="1067"/>
      <c r="Q713" s="1067"/>
      <c r="R713" s="1067"/>
      <c r="S713" s="1067"/>
      <c r="T713" s="1067"/>
      <c r="U713" s="1067"/>
    </row>
    <row r="714" spans="1:21" ht="19.5" hidden="1" x14ac:dyDescent="0.3">
      <c r="A714" s="674"/>
      <c r="B714" s="718"/>
      <c r="C714" s="767" t="s">
        <v>18</v>
      </c>
      <c r="D714" s="1315" t="s">
        <v>19</v>
      </c>
      <c r="E714" s="1311"/>
      <c r="F714" s="1311"/>
      <c r="G714" s="1312"/>
      <c r="H714" s="799" t="s">
        <v>14</v>
      </c>
      <c r="I714" s="565"/>
      <c r="J714" s="565"/>
      <c r="K714" s="566"/>
      <c r="L714" s="678">
        <f t="shared" ref="L714:N714" si="426">L715+L716</f>
        <v>0</v>
      </c>
      <c r="M714" s="679">
        <f t="shared" si="426"/>
        <v>0</v>
      </c>
      <c r="N714" s="679">
        <f t="shared" si="426"/>
        <v>0</v>
      </c>
      <c r="O714" s="679">
        <f t="shared" ref="O714:O722" si="427">IF(L714&gt;0,N714*100/L714,0)</f>
        <v>0</v>
      </c>
      <c r="P714" s="679">
        <f t="shared" ref="P714:P722" si="428">IF(M714&gt;0,N714*100/M714,0)</f>
        <v>0</v>
      </c>
      <c r="Q714" s="679">
        <f t="shared" ref="Q714:S714" si="429">Q715+Q716</f>
        <v>0</v>
      </c>
      <c r="R714" s="679">
        <f t="shared" si="429"/>
        <v>0</v>
      </c>
      <c r="S714" s="679">
        <f t="shared" si="429"/>
        <v>0</v>
      </c>
      <c r="T714" s="679">
        <f t="shared" ref="T714:T722" si="430">IF(Q714&gt;0,S714*100/Q714,0)</f>
        <v>0</v>
      </c>
      <c r="U714" s="679">
        <f t="shared" ref="U714:U722" si="431">IF(R714&gt;0,S714*100/R714,0)</f>
        <v>0</v>
      </c>
    </row>
    <row r="715" spans="1:21" ht="18.75" hidden="1" x14ac:dyDescent="0.25">
      <c r="A715" s="674"/>
      <c r="B715" s="718"/>
      <c r="C715" s="718"/>
      <c r="D715" s="695"/>
      <c r="E715" s="569" t="s">
        <v>158</v>
      </c>
      <c r="F715" s="561"/>
      <c r="G715" s="563"/>
      <c r="H715" s="685" t="s">
        <v>14</v>
      </c>
      <c r="I715" s="565"/>
      <c r="J715" s="565"/>
      <c r="K715" s="566"/>
      <c r="L715" s="571">
        <f t="shared" ref="L715:N716" si="432">L718+L721</f>
        <v>0</v>
      </c>
      <c r="M715" s="572">
        <f t="shared" si="432"/>
        <v>0</v>
      </c>
      <c r="N715" s="572">
        <f t="shared" si="432"/>
        <v>0</v>
      </c>
      <c r="O715" s="572">
        <f t="shared" si="427"/>
        <v>0</v>
      </c>
      <c r="P715" s="572">
        <f t="shared" si="428"/>
        <v>0</v>
      </c>
      <c r="Q715" s="572">
        <f t="shared" ref="Q715:S716" si="433">Q718+Q721</f>
        <v>0</v>
      </c>
      <c r="R715" s="572">
        <f t="shared" si="433"/>
        <v>0</v>
      </c>
      <c r="S715" s="572">
        <f t="shared" si="433"/>
        <v>0</v>
      </c>
      <c r="T715" s="572">
        <f t="shared" si="430"/>
        <v>0</v>
      </c>
      <c r="U715" s="572">
        <f t="shared" si="431"/>
        <v>0</v>
      </c>
    </row>
    <row r="716" spans="1:21" ht="18.75" hidden="1" x14ac:dyDescent="0.25">
      <c r="A716" s="674"/>
      <c r="B716" s="718"/>
      <c r="C716" s="718"/>
      <c r="D716" s="695"/>
      <c r="E716" s="569" t="s">
        <v>159</v>
      </c>
      <c r="F716" s="561"/>
      <c r="G716" s="563"/>
      <c r="H716" s="685" t="s">
        <v>14</v>
      </c>
      <c r="I716" s="565"/>
      <c r="J716" s="565"/>
      <c r="K716" s="566"/>
      <c r="L716" s="567">
        <f t="shared" si="432"/>
        <v>0</v>
      </c>
      <c r="M716" s="568">
        <f t="shared" si="432"/>
        <v>0</v>
      </c>
      <c r="N716" s="568">
        <f t="shared" si="432"/>
        <v>0</v>
      </c>
      <c r="O716" s="568">
        <f t="shared" si="427"/>
        <v>0</v>
      </c>
      <c r="P716" s="568">
        <f t="shared" si="428"/>
        <v>0</v>
      </c>
      <c r="Q716" s="568">
        <f t="shared" si="433"/>
        <v>0</v>
      </c>
      <c r="R716" s="568">
        <f t="shared" si="433"/>
        <v>0</v>
      </c>
      <c r="S716" s="568">
        <f t="shared" si="433"/>
        <v>0</v>
      </c>
      <c r="T716" s="568">
        <f t="shared" si="430"/>
        <v>0</v>
      </c>
      <c r="U716" s="568">
        <f t="shared" si="431"/>
        <v>0</v>
      </c>
    </row>
    <row r="717" spans="1:21" ht="19.5" hidden="1" x14ac:dyDescent="0.3">
      <c r="A717" s="674"/>
      <c r="B717" s="718"/>
      <c r="C717" s="718"/>
      <c r="D717" s="798" t="s">
        <v>22</v>
      </c>
      <c r="E717" s="561"/>
      <c r="F717" s="561"/>
      <c r="G717" s="563"/>
      <c r="H717" s="799" t="s">
        <v>14</v>
      </c>
      <c r="I717" s="683"/>
      <c r="J717" s="683"/>
      <c r="K717" s="684"/>
      <c r="L717" s="567">
        <f t="shared" ref="L717:N717" si="434">L718+L719</f>
        <v>0</v>
      </c>
      <c r="M717" s="568">
        <f t="shared" si="434"/>
        <v>0</v>
      </c>
      <c r="N717" s="568">
        <f t="shared" si="434"/>
        <v>0</v>
      </c>
      <c r="O717" s="568">
        <f t="shared" si="427"/>
        <v>0</v>
      </c>
      <c r="P717" s="568">
        <f t="shared" si="428"/>
        <v>0</v>
      </c>
      <c r="Q717" s="568">
        <f t="shared" ref="Q717:S717" si="435">Q718+Q719</f>
        <v>0</v>
      </c>
      <c r="R717" s="568">
        <f t="shared" si="435"/>
        <v>0</v>
      </c>
      <c r="S717" s="568">
        <f t="shared" si="435"/>
        <v>0</v>
      </c>
      <c r="T717" s="568">
        <f t="shared" si="430"/>
        <v>0</v>
      </c>
      <c r="U717" s="568">
        <f t="shared" si="431"/>
        <v>0</v>
      </c>
    </row>
    <row r="718" spans="1:21" ht="18.75" hidden="1" x14ac:dyDescent="0.25">
      <c r="A718" s="674"/>
      <c r="B718" s="718"/>
      <c r="C718" s="718"/>
      <c r="D718" s="695"/>
      <c r="E718" s="569" t="s">
        <v>158</v>
      </c>
      <c r="F718" s="561"/>
      <c r="G718" s="563"/>
      <c r="H718" s="685" t="s">
        <v>14</v>
      </c>
      <c r="I718" s="565"/>
      <c r="J718" s="565"/>
      <c r="K718" s="566"/>
      <c r="L718" s="571">
        <v>0</v>
      </c>
      <c r="M718" s="572">
        <v>0</v>
      </c>
      <c r="N718" s="572">
        <v>0</v>
      </c>
      <c r="O718" s="572">
        <f t="shared" si="427"/>
        <v>0</v>
      </c>
      <c r="P718" s="572">
        <f t="shared" si="428"/>
        <v>0</v>
      </c>
      <c r="Q718" s="572">
        <v>0</v>
      </c>
      <c r="R718" s="572">
        <v>0</v>
      </c>
      <c r="S718" s="572">
        <v>0</v>
      </c>
      <c r="T718" s="572">
        <f t="shared" si="430"/>
        <v>0</v>
      </c>
      <c r="U718" s="572">
        <f t="shared" si="431"/>
        <v>0</v>
      </c>
    </row>
    <row r="719" spans="1:21" ht="18.75" hidden="1" x14ac:dyDescent="0.25">
      <c r="A719" s="674"/>
      <c r="B719" s="718"/>
      <c r="C719" s="718"/>
      <c r="D719" s="695"/>
      <c r="E719" s="569" t="s">
        <v>159</v>
      </c>
      <c r="F719" s="561"/>
      <c r="G719" s="563"/>
      <c r="H719" s="685" t="s">
        <v>14</v>
      </c>
      <c r="I719" s="565"/>
      <c r="J719" s="565"/>
      <c r="K719" s="566"/>
      <c r="L719" s="567">
        <v>0</v>
      </c>
      <c r="M719" s="568">
        <v>0</v>
      </c>
      <c r="N719" s="568">
        <v>0</v>
      </c>
      <c r="O719" s="568">
        <f t="shared" si="427"/>
        <v>0</v>
      </c>
      <c r="P719" s="568">
        <f t="shared" si="428"/>
        <v>0</v>
      </c>
      <c r="Q719" s="568">
        <v>0</v>
      </c>
      <c r="R719" s="568">
        <v>0</v>
      </c>
      <c r="S719" s="568">
        <v>0</v>
      </c>
      <c r="T719" s="568">
        <f t="shared" si="430"/>
        <v>0</v>
      </c>
      <c r="U719" s="568">
        <f t="shared" si="431"/>
        <v>0</v>
      </c>
    </row>
    <row r="720" spans="1:21" ht="19.5" hidden="1" x14ac:dyDescent="0.3">
      <c r="A720" s="674"/>
      <c r="B720" s="718"/>
      <c r="C720" s="718"/>
      <c r="D720" s="798" t="s">
        <v>23</v>
      </c>
      <c r="E720" s="561"/>
      <c r="F720" s="561"/>
      <c r="G720" s="563"/>
      <c r="H720" s="1041" t="s">
        <v>14</v>
      </c>
      <c r="I720" s="683"/>
      <c r="J720" s="683"/>
      <c r="K720" s="684"/>
      <c r="L720" s="567">
        <f t="shared" ref="L720:N720" si="436">L721+L722</f>
        <v>0</v>
      </c>
      <c r="M720" s="568">
        <f t="shared" si="436"/>
        <v>0</v>
      </c>
      <c r="N720" s="568">
        <f t="shared" si="436"/>
        <v>0</v>
      </c>
      <c r="O720" s="568">
        <f t="shared" si="427"/>
        <v>0</v>
      </c>
      <c r="P720" s="568">
        <f t="shared" si="428"/>
        <v>0</v>
      </c>
      <c r="Q720" s="568">
        <f t="shared" ref="Q720:S720" si="437">Q721+Q722</f>
        <v>0</v>
      </c>
      <c r="R720" s="568">
        <f t="shared" si="437"/>
        <v>0</v>
      </c>
      <c r="S720" s="568">
        <f t="shared" si="437"/>
        <v>0</v>
      </c>
      <c r="T720" s="568">
        <f t="shared" si="430"/>
        <v>0</v>
      </c>
      <c r="U720" s="568">
        <f t="shared" si="431"/>
        <v>0</v>
      </c>
    </row>
    <row r="721" spans="1:21" ht="18.75" hidden="1" x14ac:dyDescent="0.25">
      <c r="A721" s="674"/>
      <c r="B721" s="718"/>
      <c r="C721" s="718"/>
      <c r="D721" s="561"/>
      <c r="E721" s="569" t="s">
        <v>20</v>
      </c>
      <c r="F721" s="561"/>
      <c r="G721" s="563"/>
      <c r="H721" s="685" t="s">
        <v>14</v>
      </c>
      <c r="I721" s="683"/>
      <c r="J721" s="683"/>
      <c r="K721" s="684"/>
      <c r="L721" s="571">
        <v>0</v>
      </c>
      <c r="M721" s="572">
        <v>0</v>
      </c>
      <c r="N721" s="572">
        <v>0</v>
      </c>
      <c r="O721" s="572">
        <f t="shared" si="427"/>
        <v>0</v>
      </c>
      <c r="P721" s="572">
        <f t="shared" si="428"/>
        <v>0</v>
      </c>
      <c r="Q721" s="572">
        <v>0</v>
      </c>
      <c r="R721" s="572">
        <v>0</v>
      </c>
      <c r="S721" s="572">
        <v>0</v>
      </c>
      <c r="T721" s="572">
        <f t="shared" si="430"/>
        <v>0</v>
      </c>
      <c r="U721" s="572">
        <f t="shared" si="431"/>
        <v>0</v>
      </c>
    </row>
    <row r="722" spans="1:21" ht="18.75" hidden="1" x14ac:dyDescent="0.25">
      <c r="A722" s="674"/>
      <c r="B722" s="718"/>
      <c r="C722" s="718"/>
      <c r="D722" s="561"/>
      <c r="E722" s="569" t="s">
        <v>21</v>
      </c>
      <c r="F722" s="561"/>
      <c r="G722" s="563"/>
      <c r="H722" s="734" t="s">
        <v>14</v>
      </c>
      <c r="I722" s="683"/>
      <c r="J722" s="683"/>
      <c r="K722" s="684"/>
      <c r="L722" s="567">
        <v>0</v>
      </c>
      <c r="M722" s="568">
        <v>0</v>
      </c>
      <c r="N722" s="568">
        <v>0</v>
      </c>
      <c r="O722" s="568">
        <f t="shared" si="427"/>
        <v>0</v>
      </c>
      <c r="P722" s="568">
        <f t="shared" si="428"/>
        <v>0</v>
      </c>
      <c r="Q722" s="568">
        <v>0</v>
      </c>
      <c r="R722" s="568">
        <v>0</v>
      </c>
      <c r="S722" s="568">
        <v>0</v>
      </c>
      <c r="T722" s="568">
        <f t="shared" si="430"/>
        <v>0</v>
      </c>
      <c r="U722" s="568">
        <f t="shared" si="431"/>
        <v>0</v>
      </c>
    </row>
    <row r="723" spans="1:21" ht="19.5" hidden="1" x14ac:dyDescent="0.3">
      <c r="A723" s="687"/>
      <c r="B723" s="688"/>
      <c r="C723" s="767" t="s">
        <v>18</v>
      </c>
      <c r="D723" s="1100" t="s">
        <v>38</v>
      </c>
      <c r="E723" s="690"/>
      <c r="F723" s="690"/>
      <c r="G723" s="691"/>
      <c r="H723" s="725"/>
      <c r="I723" s="683"/>
      <c r="J723" s="683"/>
      <c r="K723" s="684"/>
      <c r="L723" s="693"/>
      <c r="M723" s="684"/>
      <c r="N723" s="684"/>
      <c r="O723" s="684"/>
      <c r="P723" s="684"/>
      <c r="Q723" s="684"/>
      <c r="R723" s="684"/>
      <c r="S723" s="684"/>
      <c r="T723" s="684"/>
      <c r="U723" s="684"/>
    </row>
    <row r="724" spans="1:21" ht="18.75" hidden="1" x14ac:dyDescent="0.25">
      <c r="A724" s="764"/>
      <c r="B724" s="718"/>
      <c r="C724" s="718"/>
      <c r="D724" s="561"/>
      <c r="E724" s="569" t="s">
        <v>267</v>
      </c>
      <c r="F724" s="561"/>
      <c r="G724" s="563"/>
      <c r="H724" s="685" t="s">
        <v>46</v>
      </c>
      <c r="I724" s="735">
        <v>0</v>
      </c>
      <c r="J724" s="565"/>
      <c r="K724" s="566"/>
      <c r="L724" s="574"/>
      <c r="M724" s="566"/>
      <c r="N724" s="566"/>
      <c r="O724" s="566"/>
      <c r="P724" s="566"/>
      <c r="Q724" s="566"/>
      <c r="R724" s="566"/>
      <c r="S724" s="566"/>
      <c r="T724" s="566"/>
      <c r="U724" s="566"/>
    </row>
    <row r="725" spans="1:21" ht="18.75" hidden="1" x14ac:dyDescent="0.25">
      <c r="A725" s="984"/>
      <c r="B725" s="514"/>
      <c r="C725" s="514"/>
      <c r="D725" s="513"/>
      <c r="E725" s="738" t="s">
        <v>268</v>
      </c>
      <c r="F725" s="513"/>
      <c r="G725" s="577"/>
      <c r="H725" s="1101" t="s">
        <v>46</v>
      </c>
      <c r="I725" s="740">
        <v>0</v>
      </c>
      <c r="J725" s="579"/>
      <c r="K725" s="580"/>
      <c r="L725" s="581"/>
      <c r="M725" s="580"/>
      <c r="N725" s="580"/>
      <c r="O725" s="580"/>
      <c r="P725" s="580"/>
      <c r="Q725" s="580"/>
      <c r="R725" s="580"/>
      <c r="S725" s="580"/>
      <c r="T725" s="580"/>
      <c r="U725" s="580"/>
    </row>
    <row r="726" spans="1:21" ht="19.5" x14ac:dyDescent="0.3">
      <c r="A726" s="1061"/>
      <c r="B726" s="1062" t="s">
        <v>269</v>
      </c>
      <c r="C726" s="1061"/>
      <c r="D726" s="1063"/>
      <c r="E726" s="1063"/>
      <c r="F726" s="1063"/>
      <c r="G726" s="1064"/>
      <c r="H726" s="1092" t="s">
        <v>35</v>
      </c>
      <c r="I726" s="1093">
        <f ca="1">IFERROR(__xludf.DUMMYFUNCTION("IMPORTRANGE(""https://docs.google.com/spreadsheets/d/1eHaY18a8A9IcSdp1K8H6x8fbOy06t2VsZHhMHf-1x7Y/edit?usp=sharing"",""แผน!GA21"")"),31)</f>
        <v>31</v>
      </c>
      <c r="J726" s="1093">
        <f>J742+J746+J749</f>
        <v>30</v>
      </c>
      <c r="K726" s="1094">
        <f t="shared" ref="K726:K727" ca="1" si="438">IF(I726&gt;0,J726*100/I726,0)</f>
        <v>96.774193548387103</v>
      </c>
      <c r="L726" s="1068"/>
      <c r="M726" s="1067"/>
      <c r="N726" s="1067"/>
      <c r="O726" s="1067"/>
      <c r="P726" s="1067"/>
      <c r="Q726" s="1067"/>
      <c r="R726" s="1067"/>
      <c r="S726" s="1067"/>
      <c r="T726" s="1067"/>
      <c r="U726" s="1067"/>
    </row>
    <row r="727" spans="1:21" ht="19.5" x14ac:dyDescent="0.3">
      <c r="A727" s="1102"/>
      <c r="B727" s="1061"/>
      <c r="C727" s="1061"/>
      <c r="D727" s="1063"/>
      <c r="E727" s="1063"/>
      <c r="F727" s="1063"/>
      <c r="G727" s="1064"/>
      <c r="H727" s="1092" t="s">
        <v>46</v>
      </c>
      <c r="I727" s="1093">
        <f ca="1">IFERROR(__xludf.DUMMYFUNCTION("IMPORTRANGE(""https://docs.google.com/spreadsheets/d/1eHaY18a8A9IcSdp1K8H6x8fbOy06t2VsZHhMHf-1x7Y/edit?usp=sharing"",""แผน!FZ21"")"),300)</f>
        <v>300</v>
      </c>
      <c r="J727" s="1093">
        <f>J752+J755</f>
        <v>0</v>
      </c>
      <c r="K727" s="1094">
        <f t="shared" ca="1" si="438"/>
        <v>0</v>
      </c>
      <c r="L727" s="1068"/>
      <c r="M727" s="1067"/>
      <c r="N727" s="1067"/>
      <c r="O727" s="1067"/>
      <c r="P727" s="1067"/>
      <c r="Q727" s="1067"/>
      <c r="R727" s="1067"/>
      <c r="S727" s="1067"/>
      <c r="T727" s="1067"/>
      <c r="U727" s="1067"/>
    </row>
    <row r="728" spans="1:21" ht="19.5" x14ac:dyDescent="0.3">
      <c r="A728" s="674"/>
      <c r="B728" s="718"/>
      <c r="C728" s="724" t="s">
        <v>18</v>
      </c>
      <c r="D728" s="1310" t="s">
        <v>19</v>
      </c>
      <c r="E728" s="1311"/>
      <c r="F728" s="1311"/>
      <c r="G728" s="1312"/>
      <c r="H728" s="780" t="s">
        <v>14</v>
      </c>
      <c r="I728" s="565"/>
      <c r="J728" s="565"/>
      <c r="K728" s="566"/>
      <c r="L728" s="678">
        <f t="shared" ref="L728:N728" si="439">L729+L730</f>
        <v>0</v>
      </c>
      <c r="M728" s="679">
        <f t="shared" si="439"/>
        <v>0</v>
      </c>
      <c r="N728" s="679">
        <f t="shared" si="439"/>
        <v>0</v>
      </c>
      <c r="O728" s="679">
        <f t="shared" ref="O728:O736" si="440">IF(L728&gt;0,N728*100/L728,0)</f>
        <v>0</v>
      </c>
      <c r="P728" s="679">
        <f t="shared" ref="P728:P736" si="441">IF(M728&gt;0,N728*100/M728,0)</f>
        <v>0</v>
      </c>
      <c r="Q728" s="679">
        <f t="shared" ref="Q728:S728" ca="1" si="442">Q729+Q730</f>
        <v>242546</v>
      </c>
      <c r="R728" s="679">
        <f t="shared" ca="1" si="442"/>
        <v>242546</v>
      </c>
      <c r="S728" s="679">
        <f t="shared" ca="1" si="442"/>
        <v>38920</v>
      </c>
      <c r="T728" s="679">
        <f t="shared" ref="T728:T736" ca="1" si="443">IF(Q728&gt;0,S728*100/Q728,0)</f>
        <v>16.046440675170896</v>
      </c>
      <c r="U728" s="679">
        <f t="shared" ref="U728:U736" ca="1" si="444">IF(R728&gt;0,S728*100/R728,0)</f>
        <v>16.046440675170896</v>
      </c>
    </row>
    <row r="729" spans="1:21" ht="18.75" x14ac:dyDescent="0.25">
      <c r="A729" s="674"/>
      <c r="B729" s="718"/>
      <c r="C729" s="718"/>
      <c r="D729" s="695"/>
      <c r="E729" s="569" t="s">
        <v>158</v>
      </c>
      <c r="F729" s="561"/>
      <c r="G729" s="563"/>
      <c r="H729" s="685" t="s">
        <v>14</v>
      </c>
      <c r="I729" s="565"/>
      <c r="J729" s="565"/>
      <c r="K729" s="566"/>
      <c r="L729" s="571">
        <f t="shared" ref="L729:N730" si="445">L732+L735</f>
        <v>0</v>
      </c>
      <c r="M729" s="572">
        <f t="shared" si="445"/>
        <v>0</v>
      </c>
      <c r="N729" s="572">
        <f t="shared" si="445"/>
        <v>0</v>
      </c>
      <c r="O729" s="572">
        <f t="shared" si="440"/>
        <v>0</v>
      </c>
      <c r="P729" s="572">
        <f t="shared" si="441"/>
        <v>0</v>
      </c>
      <c r="Q729" s="572">
        <f t="shared" ref="Q729:S730" si="446">Q732+Q735</f>
        <v>0</v>
      </c>
      <c r="R729" s="572">
        <f t="shared" si="446"/>
        <v>0</v>
      </c>
      <c r="S729" s="572">
        <f t="shared" si="446"/>
        <v>0</v>
      </c>
      <c r="T729" s="572">
        <f t="shared" si="443"/>
        <v>0</v>
      </c>
      <c r="U729" s="572">
        <f t="shared" si="444"/>
        <v>0</v>
      </c>
    </row>
    <row r="730" spans="1:21" ht="31.5" customHeight="1" x14ac:dyDescent="0.25">
      <c r="A730" s="674"/>
      <c r="B730" s="718"/>
      <c r="C730" s="718"/>
      <c r="D730" s="695"/>
      <c r="E730" s="573" t="s">
        <v>159</v>
      </c>
      <c r="F730" s="561"/>
      <c r="G730" s="563"/>
      <c r="H730" s="682" t="s">
        <v>14</v>
      </c>
      <c r="I730" s="565"/>
      <c r="J730" s="565"/>
      <c r="K730" s="566"/>
      <c r="L730" s="567">
        <f t="shared" si="445"/>
        <v>0</v>
      </c>
      <c r="M730" s="568">
        <f t="shared" si="445"/>
        <v>0</v>
      </c>
      <c r="N730" s="568">
        <f t="shared" si="445"/>
        <v>0</v>
      </c>
      <c r="O730" s="568">
        <f t="shared" si="440"/>
        <v>0</v>
      </c>
      <c r="P730" s="568">
        <f t="shared" si="441"/>
        <v>0</v>
      </c>
      <c r="Q730" s="568">
        <f t="shared" ca="1" si="446"/>
        <v>242546</v>
      </c>
      <c r="R730" s="568">
        <f t="shared" ca="1" si="446"/>
        <v>242546</v>
      </c>
      <c r="S730" s="568">
        <f t="shared" ca="1" si="446"/>
        <v>38920</v>
      </c>
      <c r="T730" s="568">
        <f t="shared" ca="1" si="443"/>
        <v>16.046440675170896</v>
      </c>
      <c r="U730" s="568">
        <f t="shared" ca="1" si="444"/>
        <v>16.046440675170896</v>
      </c>
    </row>
    <row r="731" spans="1:21" ht="18.75" x14ac:dyDescent="0.25">
      <c r="A731" s="674"/>
      <c r="B731" s="718"/>
      <c r="C731" s="718"/>
      <c r="D731" s="562" t="s">
        <v>22</v>
      </c>
      <c r="E731" s="561"/>
      <c r="F731" s="561"/>
      <c r="G731" s="563"/>
      <c r="H731" s="682" t="s">
        <v>14</v>
      </c>
      <c r="I731" s="683"/>
      <c r="J731" s="683"/>
      <c r="K731" s="684"/>
      <c r="L731" s="567">
        <f t="shared" ref="L731:N731" si="447">L732+L733</f>
        <v>0</v>
      </c>
      <c r="M731" s="568">
        <f t="shared" si="447"/>
        <v>0</v>
      </c>
      <c r="N731" s="568">
        <f t="shared" si="447"/>
        <v>0</v>
      </c>
      <c r="O731" s="568">
        <f t="shared" si="440"/>
        <v>0</v>
      </c>
      <c r="P731" s="568">
        <f t="shared" si="441"/>
        <v>0</v>
      </c>
      <c r="Q731" s="568">
        <f t="shared" ref="Q731:S731" ca="1" si="448">Q732+Q733</f>
        <v>242546</v>
      </c>
      <c r="R731" s="568">
        <f t="shared" ca="1" si="448"/>
        <v>242546</v>
      </c>
      <c r="S731" s="568">
        <f t="shared" ca="1" si="448"/>
        <v>38920</v>
      </c>
      <c r="T731" s="568">
        <f t="shared" ca="1" si="443"/>
        <v>16.046440675170896</v>
      </c>
      <c r="U731" s="568">
        <f t="shared" ca="1" si="444"/>
        <v>16.046440675170896</v>
      </c>
    </row>
    <row r="732" spans="1:21" ht="18.75" x14ac:dyDescent="0.25">
      <c r="A732" s="674"/>
      <c r="B732" s="718"/>
      <c r="C732" s="718"/>
      <c r="D732" s="695"/>
      <c r="E732" s="569" t="s">
        <v>158</v>
      </c>
      <c r="F732" s="561"/>
      <c r="G732" s="563"/>
      <c r="H732" s="685" t="s">
        <v>14</v>
      </c>
      <c r="I732" s="565"/>
      <c r="J732" s="565"/>
      <c r="K732" s="566"/>
      <c r="L732" s="571">
        <v>0</v>
      </c>
      <c r="M732" s="572">
        <v>0</v>
      </c>
      <c r="N732" s="572">
        <v>0</v>
      </c>
      <c r="O732" s="572">
        <f t="shared" si="440"/>
        <v>0</v>
      </c>
      <c r="P732" s="572">
        <f t="shared" si="441"/>
        <v>0</v>
      </c>
      <c r="Q732" s="572">
        <v>0</v>
      </c>
      <c r="R732" s="572">
        <v>0</v>
      </c>
      <c r="S732" s="572">
        <v>0</v>
      </c>
      <c r="T732" s="572">
        <f t="shared" si="443"/>
        <v>0</v>
      </c>
      <c r="U732" s="572">
        <f t="shared" si="444"/>
        <v>0</v>
      </c>
    </row>
    <row r="733" spans="1:21" ht="18.75" x14ac:dyDescent="0.25">
      <c r="A733" s="674"/>
      <c r="B733" s="718"/>
      <c r="C733" s="718"/>
      <c r="D733" s="695"/>
      <c r="E733" s="573" t="s">
        <v>159</v>
      </c>
      <c r="F733" s="561"/>
      <c r="G733" s="563"/>
      <c r="H733" s="682" t="s">
        <v>14</v>
      </c>
      <c r="I733" s="565"/>
      <c r="J733" s="565"/>
      <c r="K733" s="566"/>
      <c r="L733" s="567">
        <v>0</v>
      </c>
      <c r="M733" s="568">
        <v>0</v>
      </c>
      <c r="N733" s="568">
        <v>0</v>
      </c>
      <c r="O733" s="568">
        <f t="shared" si="440"/>
        <v>0</v>
      </c>
      <c r="P733" s="568">
        <f t="shared" si="441"/>
        <v>0</v>
      </c>
      <c r="Q733" s="568">
        <f ca="1">IFERROR(__xludf.DUMMYFUNCTION("IMPORTRANGE(""https://docs.google.com/spreadsheets/d/1ItG2mGa2ceCfYo0BwxsXqNm01IGEUdYcSSLTEv9YCik/edit?usp=sharing"",""เบิกจ่ายกองทุน!O21"")"),242546)</f>
        <v>242546</v>
      </c>
      <c r="R733" s="568">
        <f ca="1">IFERROR(__xludf.DUMMYFUNCTION("IMPORTRANGE(""https://docs.google.com/spreadsheets/d/1ItG2mGa2ceCfYo0BwxsXqNm01IGEUdYcSSLTEv9YCik/edit?usp=sharing"",""เบิกจ่ายกองทุน!P21"")"),242546)</f>
        <v>242546</v>
      </c>
      <c r="S733" s="568">
        <f ca="1">IFERROR(__xludf.DUMMYFUNCTION("IMPORTRANGE(""https://docs.google.com/spreadsheets/d/1ItG2mGa2ceCfYo0BwxsXqNm01IGEUdYcSSLTEv9YCik/edit?usp=sharing"",""เบิกจ่ายกองทุน!Q21"")"),38920)</f>
        <v>38920</v>
      </c>
      <c r="T733" s="568">
        <f t="shared" ca="1" si="443"/>
        <v>16.046440675170896</v>
      </c>
      <c r="U733" s="568">
        <f t="shared" ca="1" si="444"/>
        <v>16.046440675170896</v>
      </c>
    </row>
    <row r="734" spans="1:21" ht="18.75" x14ac:dyDescent="0.25">
      <c r="A734" s="674"/>
      <c r="B734" s="718"/>
      <c r="C734" s="718"/>
      <c r="D734" s="562" t="s">
        <v>23</v>
      </c>
      <c r="E734" s="718"/>
      <c r="F734" s="718"/>
      <c r="G734" s="563"/>
      <c r="H734" s="686" t="s">
        <v>14</v>
      </c>
      <c r="I734" s="683"/>
      <c r="J734" s="683"/>
      <c r="K734" s="684"/>
      <c r="L734" s="567">
        <f t="shared" ref="L734:N734" si="449">L735+L736</f>
        <v>0</v>
      </c>
      <c r="M734" s="568">
        <f t="shared" si="449"/>
        <v>0</v>
      </c>
      <c r="N734" s="568">
        <f t="shared" si="449"/>
        <v>0</v>
      </c>
      <c r="O734" s="568">
        <f t="shared" si="440"/>
        <v>0</v>
      </c>
      <c r="P734" s="568">
        <f t="shared" si="441"/>
        <v>0</v>
      </c>
      <c r="Q734" s="568">
        <f t="shared" ref="Q734:S734" si="450">Q735+Q736</f>
        <v>0</v>
      </c>
      <c r="R734" s="568">
        <f t="shared" si="450"/>
        <v>0</v>
      </c>
      <c r="S734" s="568">
        <f t="shared" si="450"/>
        <v>0</v>
      </c>
      <c r="T734" s="568">
        <f t="shared" si="443"/>
        <v>0</v>
      </c>
      <c r="U734" s="568">
        <f t="shared" si="444"/>
        <v>0</v>
      </c>
    </row>
    <row r="735" spans="1:21" ht="18.75" x14ac:dyDescent="0.25">
      <c r="A735" s="674"/>
      <c r="B735" s="718"/>
      <c r="C735" s="718"/>
      <c r="D735" s="718"/>
      <c r="E735" s="767" t="s">
        <v>20</v>
      </c>
      <c r="F735" s="718"/>
      <c r="G735" s="563"/>
      <c r="H735" s="685" t="s">
        <v>14</v>
      </c>
      <c r="I735" s="683"/>
      <c r="J735" s="683"/>
      <c r="K735" s="684"/>
      <c r="L735" s="571">
        <v>0</v>
      </c>
      <c r="M735" s="572">
        <v>0</v>
      </c>
      <c r="N735" s="572">
        <v>0</v>
      </c>
      <c r="O735" s="572">
        <f t="shared" si="440"/>
        <v>0</v>
      </c>
      <c r="P735" s="572">
        <f t="shared" si="441"/>
        <v>0</v>
      </c>
      <c r="Q735" s="572">
        <v>0</v>
      </c>
      <c r="R735" s="572">
        <v>0</v>
      </c>
      <c r="S735" s="572">
        <v>0</v>
      </c>
      <c r="T735" s="572">
        <f t="shared" si="443"/>
        <v>0</v>
      </c>
      <c r="U735" s="572">
        <f t="shared" si="444"/>
        <v>0</v>
      </c>
    </row>
    <row r="736" spans="1:21" ht="18.75" x14ac:dyDescent="0.25">
      <c r="A736" s="674"/>
      <c r="B736" s="718"/>
      <c r="C736" s="718"/>
      <c r="D736" s="718"/>
      <c r="E736" s="765" t="s">
        <v>21</v>
      </c>
      <c r="F736" s="718"/>
      <c r="G736" s="563"/>
      <c r="H736" s="686" t="s">
        <v>14</v>
      </c>
      <c r="I736" s="683"/>
      <c r="J736" s="683"/>
      <c r="K736" s="684"/>
      <c r="L736" s="567">
        <v>0</v>
      </c>
      <c r="M736" s="568">
        <v>0</v>
      </c>
      <c r="N736" s="568">
        <v>0</v>
      </c>
      <c r="O736" s="568">
        <f t="shared" si="440"/>
        <v>0</v>
      </c>
      <c r="P736" s="568">
        <f t="shared" si="441"/>
        <v>0</v>
      </c>
      <c r="Q736" s="568">
        <v>0</v>
      </c>
      <c r="R736" s="568">
        <v>0</v>
      </c>
      <c r="S736" s="568">
        <v>0</v>
      </c>
      <c r="T736" s="568">
        <f t="shared" si="443"/>
        <v>0</v>
      </c>
      <c r="U736" s="568">
        <f t="shared" si="444"/>
        <v>0</v>
      </c>
    </row>
    <row r="737" spans="1:21" ht="19.5" x14ac:dyDescent="0.3">
      <c r="A737" s="687"/>
      <c r="B737" s="688"/>
      <c r="C737" s="724" t="s">
        <v>18</v>
      </c>
      <c r="D737" s="956" t="s">
        <v>38</v>
      </c>
      <c r="E737" s="758"/>
      <c r="F737" s="690"/>
      <c r="G737" s="691"/>
      <c r="H737" s="725"/>
      <c r="I737" s="565"/>
      <c r="J737" s="565"/>
      <c r="K737" s="566"/>
      <c r="L737" s="574"/>
      <c r="M737" s="566"/>
      <c r="N737" s="566"/>
      <c r="O737" s="566"/>
      <c r="P737" s="566"/>
      <c r="Q737" s="566"/>
      <c r="R737" s="566"/>
      <c r="S737" s="566"/>
      <c r="T737" s="566"/>
      <c r="U737" s="566"/>
    </row>
    <row r="738" spans="1:21" ht="19.5" x14ac:dyDescent="0.3">
      <c r="A738" s="687"/>
      <c r="B738" s="688"/>
      <c r="C738" s="688"/>
      <c r="D738" s="1103" t="s">
        <v>121</v>
      </c>
      <c r="E738" s="688"/>
      <c r="F738" s="688"/>
      <c r="G738" s="692"/>
      <c r="H738" s="727"/>
      <c r="I738" s="565"/>
      <c r="J738" s="565"/>
      <c r="K738" s="566"/>
      <c r="L738" s="574"/>
      <c r="M738" s="566"/>
      <c r="N738" s="566"/>
      <c r="O738" s="566"/>
      <c r="P738" s="566"/>
      <c r="Q738" s="566"/>
      <c r="R738" s="566"/>
      <c r="S738" s="566"/>
      <c r="T738" s="566"/>
      <c r="U738" s="566"/>
    </row>
    <row r="739" spans="1:21" ht="18.75" x14ac:dyDescent="0.25">
      <c r="A739" s="687"/>
      <c r="B739" s="688"/>
      <c r="C739" s="688"/>
      <c r="D739" s="688"/>
      <c r="E739" s="1079" t="s">
        <v>270</v>
      </c>
      <c r="F739" s="688"/>
      <c r="G739" s="692"/>
      <c r="H739" s="727"/>
      <c r="I739" s="565"/>
      <c r="J739" s="565"/>
      <c r="K739" s="566"/>
      <c r="L739" s="574"/>
      <c r="M739" s="566"/>
      <c r="N739" s="566"/>
      <c r="O739" s="566"/>
      <c r="P739" s="566"/>
      <c r="Q739" s="566"/>
      <c r="R739" s="566"/>
      <c r="S739" s="566"/>
      <c r="T739" s="566"/>
      <c r="U739" s="566"/>
    </row>
    <row r="740" spans="1:21" ht="18.75" x14ac:dyDescent="0.25">
      <c r="A740" s="849"/>
      <c r="B740" s="850"/>
      <c r="C740" s="850"/>
      <c r="D740" s="850"/>
      <c r="E740" s="850"/>
      <c r="F740" s="1104" t="s">
        <v>271</v>
      </c>
      <c r="G740" s="852"/>
      <c r="H740" s="839" t="s">
        <v>46</v>
      </c>
      <c r="I740" s="960">
        <f ca="1">IFERROR(__xludf.DUMMYFUNCTION("IMPORTRANGE(""https://docs.google.com/spreadsheets/d/1eHaY18a8A9IcSdp1K8H6x8fbOy06t2VsZHhMHf-1x7Y/edit?usp=sharing"",""แผน!GB21"")"),240)</f>
        <v>240</v>
      </c>
      <c r="J740" s="1105">
        <v>0</v>
      </c>
      <c r="K740" s="841">
        <f ca="1">IF(I740&gt;0,J740*100/I740,0)</f>
        <v>0</v>
      </c>
      <c r="L740" s="1106"/>
      <c r="M740" s="830"/>
      <c r="N740" s="830"/>
      <c r="O740" s="830"/>
      <c r="P740" s="830"/>
      <c r="Q740" s="830"/>
      <c r="R740" s="830"/>
      <c r="S740" s="830"/>
      <c r="T740" s="830"/>
      <c r="U740" s="830"/>
    </row>
    <row r="741" spans="1:21" ht="18.75" x14ac:dyDescent="0.25">
      <c r="A741" s="849"/>
      <c r="B741" s="850"/>
      <c r="C741" s="850"/>
      <c r="D741" s="850"/>
      <c r="E741" s="850"/>
      <c r="F741" s="1104" t="s">
        <v>306</v>
      </c>
      <c r="G741" s="852"/>
      <c r="H741" s="839" t="s">
        <v>35</v>
      </c>
      <c r="I741" s="829"/>
      <c r="J741" s="1105">
        <v>0</v>
      </c>
      <c r="K741" s="830"/>
      <c r="L741" s="1106"/>
      <c r="M741" s="830"/>
      <c r="N741" s="830"/>
      <c r="O741" s="830"/>
      <c r="P741" s="830"/>
      <c r="Q741" s="830"/>
      <c r="R741" s="830"/>
      <c r="S741" s="830"/>
      <c r="T741" s="830"/>
      <c r="U741" s="830"/>
    </row>
    <row r="742" spans="1:21" ht="18.75" x14ac:dyDescent="0.25">
      <c r="A742" s="849"/>
      <c r="B742" s="850"/>
      <c r="C742" s="850"/>
      <c r="D742" s="850"/>
      <c r="E742" s="850"/>
      <c r="F742" s="1104" t="s">
        <v>307</v>
      </c>
      <c r="G742" s="852"/>
      <c r="H742" s="839" t="s">
        <v>35</v>
      </c>
      <c r="I742" s="960">
        <f ca="1">IFERROR(__xludf.DUMMYFUNCTION("IMPORTRANGE(""https://docs.google.com/spreadsheets/d/1eHaY18a8A9IcSdp1K8H6x8fbOy06t2VsZHhMHf-1x7Y/edit?usp=sharing"",""แผน!GC21"")"),24)</f>
        <v>24</v>
      </c>
      <c r="J742" s="1105">
        <v>24</v>
      </c>
      <c r="K742" s="841">
        <f ca="1">IF(I742&gt;0,J742*100/I742,0)</f>
        <v>100</v>
      </c>
      <c r="L742" s="1106"/>
      <c r="M742" s="830"/>
      <c r="N742" s="830"/>
      <c r="O742" s="830"/>
      <c r="P742" s="830"/>
      <c r="Q742" s="830"/>
      <c r="R742" s="830"/>
      <c r="S742" s="830"/>
      <c r="T742" s="830"/>
      <c r="U742" s="830"/>
    </row>
    <row r="743" spans="1:21" ht="18.75" x14ac:dyDescent="0.25">
      <c r="A743" s="849"/>
      <c r="B743" s="850"/>
      <c r="C743" s="850"/>
      <c r="D743" s="850"/>
      <c r="E743" s="1104" t="s">
        <v>274</v>
      </c>
      <c r="F743" s="850"/>
      <c r="G743" s="852"/>
      <c r="H743" s="959"/>
      <c r="I743" s="829"/>
      <c r="J743" s="829"/>
      <c r="K743" s="830"/>
      <c r="L743" s="1106"/>
      <c r="M743" s="830"/>
      <c r="N743" s="830"/>
      <c r="O743" s="830"/>
      <c r="P743" s="830"/>
      <c r="Q743" s="830"/>
      <c r="R743" s="830"/>
      <c r="S743" s="830"/>
      <c r="T743" s="830"/>
      <c r="U743" s="830"/>
    </row>
    <row r="744" spans="1:21" ht="18.75" x14ac:dyDescent="0.25">
      <c r="A744" s="849"/>
      <c r="B744" s="850"/>
      <c r="C744" s="850"/>
      <c r="D744" s="850"/>
      <c r="E744" s="850"/>
      <c r="F744" s="1104" t="s">
        <v>271</v>
      </c>
      <c r="G744" s="852"/>
      <c r="H744" s="839" t="s">
        <v>46</v>
      </c>
      <c r="I744" s="960">
        <f ca="1">IFERROR(__xludf.DUMMYFUNCTION("IMPORTRANGE(""https://docs.google.com/spreadsheets/d/1eHaY18a8A9IcSdp1K8H6x8fbOy06t2VsZHhMHf-1x7Y/edit?usp=sharing"",""แผน!GD21"")"),60)</f>
        <v>60</v>
      </c>
      <c r="J744" s="1105">
        <v>0</v>
      </c>
      <c r="K744" s="841">
        <f ca="1">IF(I744&gt;0,J744*100/I744,0)</f>
        <v>0</v>
      </c>
      <c r="L744" s="1106"/>
      <c r="M744" s="830"/>
      <c r="N744" s="830"/>
      <c r="O744" s="830"/>
      <c r="P744" s="830"/>
      <c r="Q744" s="830"/>
      <c r="R744" s="830"/>
      <c r="S744" s="830"/>
      <c r="T744" s="830"/>
      <c r="U744" s="830"/>
    </row>
    <row r="745" spans="1:21" ht="18.75" x14ac:dyDescent="0.25">
      <c r="A745" s="849"/>
      <c r="B745" s="850"/>
      <c r="C745" s="850"/>
      <c r="D745" s="850"/>
      <c r="E745" s="850"/>
      <c r="F745" s="1104" t="s">
        <v>308</v>
      </c>
      <c r="G745" s="852"/>
      <c r="H745" s="839" t="s">
        <v>35</v>
      </c>
      <c r="I745" s="829"/>
      <c r="J745" s="1105">
        <v>0</v>
      </c>
      <c r="K745" s="830"/>
      <c r="L745" s="1106"/>
      <c r="M745" s="830"/>
      <c r="N745" s="830"/>
      <c r="O745" s="830"/>
      <c r="P745" s="830"/>
      <c r="Q745" s="830"/>
      <c r="R745" s="830"/>
      <c r="S745" s="830"/>
      <c r="T745" s="830"/>
      <c r="U745" s="830"/>
    </row>
    <row r="746" spans="1:21" ht="18.75" x14ac:dyDescent="0.25">
      <c r="A746" s="849"/>
      <c r="B746" s="850"/>
      <c r="C746" s="850"/>
      <c r="D746" s="850"/>
      <c r="E746" s="850"/>
      <c r="F746" s="1104" t="s">
        <v>309</v>
      </c>
      <c r="G746" s="852"/>
      <c r="H746" s="839" t="s">
        <v>35</v>
      </c>
      <c r="I746" s="960">
        <f ca="1">IFERROR(__xludf.DUMMYFUNCTION("IMPORTRANGE(""https://docs.google.com/spreadsheets/d/1eHaY18a8A9IcSdp1K8H6x8fbOy06t2VsZHhMHf-1x7Y/edit?usp=sharing"",""แผน!GE21"")"),6)</f>
        <v>6</v>
      </c>
      <c r="J746" s="1105">
        <v>6</v>
      </c>
      <c r="K746" s="841">
        <f ca="1">IF(I746&gt;0,J746*100/I746,0)</f>
        <v>100</v>
      </c>
      <c r="L746" s="1106"/>
      <c r="M746" s="830"/>
      <c r="N746" s="830"/>
      <c r="O746" s="830"/>
      <c r="P746" s="830"/>
      <c r="Q746" s="830"/>
      <c r="R746" s="830"/>
      <c r="S746" s="830"/>
      <c r="T746" s="830"/>
      <c r="U746" s="830"/>
    </row>
    <row r="747" spans="1:21" ht="18.75" x14ac:dyDescent="0.25">
      <c r="A747" s="849"/>
      <c r="B747" s="850"/>
      <c r="C747" s="850"/>
      <c r="D747" s="850"/>
      <c r="E747" s="1104" t="s">
        <v>277</v>
      </c>
      <c r="F747" s="1107"/>
      <c r="G747" s="852"/>
      <c r="H747" s="959"/>
      <c r="I747" s="829"/>
      <c r="J747" s="829"/>
      <c r="K747" s="830"/>
      <c r="L747" s="1106"/>
      <c r="M747" s="830"/>
      <c r="N747" s="830"/>
      <c r="O747" s="830"/>
      <c r="P747" s="830"/>
      <c r="Q747" s="830"/>
      <c r="R747" s="830"/>
      <c r="S747" s="830"/>
      <c r="T747" s="830"/>
      <c r="U747" s="830"/>
    </row>
    <row r="748" spans="1:21" ht="18.75" x14ac:dyDescent="0.25">
      <c r="A748" s="849"/>
      <c r="B748" s="850"/>
      <c r="C748" s="850"/>
      <c r="D748" s="850"/>
      <c r="E748" s="850"/>
      <c r="F748" s="1104" t="s">
        <v>310</v>
      </c>
      <c r="G748" s="852"/>
      <c r="H748" s="839" t="s">
        <v>35</v>
      </c>
      <c r="I748" s="829"/>
      <c r="J748" s="1105">
        <v>0</v>
      </c>
      <c r="K748" s="830"/>
      <c r="L748" s="1106"/>
      <c r="M748" s="830"/>
      <c r="N748" s="830"/>
      <c r="O748" s="830"/>
      <c r="P748" s="830"/>
      <c r="Q748" s="830"/>
      <c r="R748" s="830"/>
      <c r="S748" s="830"/>
      <c r="T748" s="830"/>
      <c r="U748" s="830"/>
    </row>
    <row r="749" spans="1:21" ht="18.75" x14ac:dyDescent="0.25">
      <c r="A749" s="849"/>
      <c r="B749" s="850"/>
      <c r="C749" s="850"/>
      <c r="D749" s="850"/>
      <c r="E749" s="850"/>
      <c r="F749" s="1104" t="s">
        <v>311</v>
      </c>
      <c r="G749" s="852"/>
      <c r="H749" s="839" t="s">
        <v>35</v>
      </c>
      <c r="I749" s="960">
        <f ca="1">IFERROR(__xludf.DUMMYFUNCTION("IMPORTRANGE(""https://docs.google.com/spreadsheets/d/1eHaY18a8A9IcSdp1K8H6x8fbOy06t2VsZHhMHf-1x7Y/edit?usp=sharing"",""แผน!GF21"")"),1)</f>
        <v>1</v>
      </c>
      <c r="J749" s="1105">
        <v>0</v>
      </c>
      <c r="K749" s="841">
        <f ca="1">IF(I749&gt;0,J749*100/I749,0)</f>
        <v>0</v>
      </c>
      <c r="L749" s="1106"/>
      <c r="M749" s="830"/>
      <c r="N749" s="830"/>
      <c r="O749" s="830"/>
      <c r="P749" s="830"/>
      <c r="Q749" s="830"/>
      <c r="R749" s="830"/>
      <c r="S749" s="830"/>
      <c r="T749" s="830"/>
      <c r="U749" s="830"/>
    </row>
    <row r="750" spans="1:21" ht="19.5" x14ac:dyDescent="0.3">
      <c r="A750" s="849"/>
      <c r="B750" s="850"/>
      <c r="C750" s="850"/>
      <c r="D750" s="1108" t="s">
        <v>50</v>
      </c>
      <c r="E750" s="850"/>
      <c r="F750" s="1107"/>
      <c r="G750" s="852"/>
      <c r="H750" s="959"/>
      <c r="I750" s="829"/>
      <c r="J750" s="829"/>
      <c r="K750" s="830"/>
      <c r="L750" s="1106"/>
      <c r="M750" s="830"/>
      <c r="N750" s="830"/>
      <c r="O750" s="830"/>
      <c r="P750" s="830"/>
      <c r="Q750" s="830"/>
      <c r="R750" s="830"/>
      <c r="S750" s="830"/>
      <c r="T750" s="830"/>
      <c r="U750" s="830"/>
    </row>
    <row r="751" spans="1:21" ht="18.75" x14ac:dyDescent="0.25">
      <c r="A751" s="849"/>
      <c r="B751" s="850"/>
      <c r="C751" s="850"/>
      <c r="D751" s="850"/>
      <c r="E751" s="1104" t="s">
        <v>270</v>
      </c>
      <c r="F751" s="1107"/>
      <c r="G751" s="852"/>
      <c r="H751" s="959"/>
      <c r="I751" s="829"/>
      <c r="J751" s="829"/>
      <c r="K751" s="830"/>
      <c r="L751" s="1106"/>
      <c r="M751" s="830"/>
      <c r="N751" s="830"/>
      <c r="O751" s="830"/>
      <c r="P751" s="830"/>
      <c r="Q751" s="830"/>
      <c r="R751" s="830"/>
      <c r="S751" s="830"/>
      <c r="T751" s="830"/>
      <c r="U751" s="830"/>
    </row>
    <row r="752" spans="1:21" ht="18.75" x14ac:dyDescent="0.25">
      <c r="A752" s="849"/>
      <c r="B752" s="850"/>
      <c r="C752" s="850"/>
      <c r="D752" s="850"/>
      <c r="E752" s="850"/>
      <c r="F752" s="1109" t="s">
        <v>312</v>
      </c>
      <c r="G752" s="852"/>
      <c r="H752" s="839" t="s">
        <v>46</v>
      </c>
      <c r="I752" s="960">
        <f ca="1">IFERROR(__xludf.DUMMYFUNCTION("IMPORTRANGE(""https://docs.google.com/spreadsheets/d/1eHaY18a8A9IcSdp1K8H6x8fbOy06t2VsZHhMHf-1x7Y/edit?usp=sharing"",""แผน!GB21"")"),240)</f>
        <v>240</v>
      </c>
      <c r="J752" s="1105">
        <v>0</v>
      </c>
      <c r="K752" s="841">
        <f ca="1">IF(I752&gt;0,J752*100/I752,0)</f>
        <v>0</v>
      </c>
      <c r="L752" s="1106"/>
      <c r="M752" s="830"/>
      <c r="N752" s="830"/>
      <c r="O752" s="830"/>
      <c r="P752" s="830"/>
      <c r="Q752" s="830"/>
      <c r="R752" s="830"/>
      <c r="S752" s="830"/>
      <c r="T752" s="830"/>
      <c r="U752" s="830"/>
    </row>
    <row r="753" spans="1:21" ht="18.75" x14ac:dyDescent="0.25">
      <c r="A753" s="849"/>
      <c r="B753" s="850"/>
      <c r="C753" s="850"/>
      <c r="D753" s="850"/>
      <c r="E753" s="850"/>
      <c r="F753" s="1109" t="s">
        <v>313</v>
      </c>
      <c r="G753" s="852"/>
      <c r="H753" s="839" t="s">
        <v>46</v>
      </c>
      <c r="I753" s="829"/>
      <c r="J753" s="1105">
        <v>0</v>
      </c>
      <c r="K753" s="830"/>
      <c r="L753" s="1106"/>
      <c r="M753" s="830"/>
      <c r="N753" s="830"/>
      <c r="O753" s="830"/>
      <c r="P753" s="830"/>
      <c r="Q753" s="830"/>
      <c r="R753" s="830"/>
      <c r="S753" s="830"/>
      <c r="T753" s="830"/>
      <c r="U753" s="830"/>
    </row>
    <row r="754" spans="1:21" ht="18.75" x14ac:dyDescent="0.25">
      <c r="A754" s="849"/>
      <c r="B754" s="850"/>
      <c r="C754" s="850"/>
      <c r="D754" s="850"/>
      <c r="E754" s="1104" t="s">
        <v>274</v>
      </c>
      <c r="F754" s="1107"/>
      <c r="G754" s="852"/>
      <c r="H754" s="959"/>
      <c r="I754" s="829"/>
      <c r="J754" s="829"/>
      <c r="K754" s="830"/>
      <c r="L754" s="1106"/>
      <c r="M754" s="830"/>
      <c r="N754" s="830"/>
      <c r="O754" s="830"/>
      <c r="P754" s="830"/>
      <c r="Q754" s="830"/>
      <c r="R754" s="830"/>
      <c r="S754" s="830"/>
      <c r="T754" s="830"/>
      <c r="U754" s="830"/>
    </row>
    <row r="755" spans="1:21" ht="18.75" x14ac:dyDescent="0.25">
      <c r="A755" s="849"/>
      <c r="B755" s="850"/>
      <c r="C755" s="850"/>
      <c r="D755" s="850"/>
      <c r="E755" s="1107"/>
      <c r="F755" s="1109" t="s">
        <v>314</v>
      </c>
      <c r="G755" s="852"/>
      <c r="H755" s="839" t="s">
        <v>46</v>
      </c>
      <c r="I755" s="960">
        <f ca="1">IFERROR(__xludf.DUMMYFUNCTION("IMPORTRANGE(""https://docs.google.com/spreadsheets/d/1eHaY18a8A9IcSdp1K8H6x8fbOy06t2VsZHhMHf-1x7Y/edit?usp=sharing"",""แผน!GD21"")"),60)</f>
        <v>60</v>
      </c>
      <c r="J755" s="1105">
        <v>0</v>
      </c>
      <c r="K755" s="841">
        <f ca="1">IF(I755&gt;0,J755*100/I755,0)</f>
        <v>0</v>
      </c>
      <c r="L755" s="1106"/>
      <c r="M755" s="830"/>
      <c r="N755" s="830"/>
      <c r="O755" s="830"/>
      <c r="P755" s="830"/>
      <c r="Q755" s="830"/>
      <c r="R755" s="830"/>
      <c r="S755" s="830"/>
      <c r="T755" s="830"/>
      <c r="U755" s="830"/>
    </row>
    <row r="756" spans="1:21" ht="18.75" x14ac:dyDescent="0.25">
      <c r="A756" s="849"/>
      <c r="B756" s="850"/>
      <c r="C756" s="850"/>
      <c r="D756" s="850"/>
      <c r="E756" s="1107"/>
      <c r="F756" s="1109" t="s">
        <v>315</v>
      </c>
      <c r="G756" s="852"/>
      <c r="H756" s="839" t="s">
        <v>46</v>
      </c>
      <c r="I756" s="829"/>
      <c r="J756" s="1105">
        <v>0</v>
      </c>
      <c r="K756" s="830"/>
      <c r="L756" s="1106"/>
      <c r="M756" s="830"/>
      <c r="N756" s="830"/>
      <c r="O756" s="830"/>
      <c r="P756" s="830"/>
      <c r="Q756" s="830"/>
      <c r="R756" s="830"/>
      <c r="S756" s="830"/>
      <c r="T756" s="830"/>
      <c r="U756" s="830"/>
    </row>
    <row r="757" spans="1:21" ht="18.75" x14ac:dyDescent="0.25">
      <c r="A757" s="1110"/>
      <c r="B757" s="1110"/>
      <c r="C757" s="1110"/>
      <c r="D757" s="1110"/>
      <c r="E757" s="1111" t="s">
        <v>284</v>
      </c>
      <c r="F757" s="1112"/>
      <c r="G757" s="1113"/>
      <c r="H757" s="1114" t="s">
        <v>35</v>
      </c>
      <c r="I757" s="1115"/>
      <c r="J757" s="861">
        <v>0</v>
      </c>
      <c r="K757" s="1116"/>
      <c r="L757" s="1116"/>
      <c r="M757" s="1116"/>
      <c r="N757" s="1116"/>
      <c r="O757" s="1116"/>
      <c r="P757" s="1116"/>
      <c r="Q757" s="1116"/>
      <c r="R757" s="1116"/>
      <c r="S757" s="1116"/>
      <c r="T757" s="1116"/>
      <c r="U757" s="1116"/>
    </row>
    <row r="758" spans="1:21" ht="19.5" x14ac:dyDescent="0.3">
      <c r="A758" s="1061"/>
      <c r="B758" s="1062" t="s">
        <v>285</v>
      </c>
      <c r="C758" s="1061"/>
      <c r="D758" s="1063"/>
      <c r="E758" s="1063"/>
      <c r="F758" s="1063"/>
      <c r="G758" s="1064"/>
      <c r="H758" s="1092" t="s">
        <v>35</v>
      </c>
      <c r="I758" s="1093">
        <f t="shared" ref="I758:J758" ca="1" si="451">I772</f>
        <v>55</v>
      </c>
      <c r="J758" s="1093">
        <f t="shared" si="451"/>
        <v>0</v>
      </c>
      <c r="K758" s="1094">
        <f t="shared" ref="K758:K759" ca="1" si="452">IF(I758&gt;0,J758*100/I758,0)</f>
        <v>0</v>
      </c>
      <c r="L758" s="1068"/>
      <c r="M758" s="1067"/>
      <c r="N758" s="1067"/>
      <c r="O758" s="1067"/>
      <c r="P758" s="1067"/>
      <c r="Q758" s="1067"/>
      <c r="R758" s="1067"/>
      <c r="S758" s="1067"/>
      <c r="T758" s="1067"/>
      <c r="U758" s="1067"/>
    </row>
    <row r="759" spans="1:21" ht="19.5" x14ac:dyDescent="0.3">
      <c r="A759" s="1102"/>
      <c r="B759" s="1061"/>
      <c r="C759" s="1061"/>
      <c r="D759" s="1063"/>
      <c r="E759" s="1063"/>
      <c r="F759" s="1063"/>
      <c r="G759" s="1064"/>
      <c r="H759" s="1092" t="s">
        <v>46</v>
      </c>
      <c r="I759" s="1093">
        <f t="shared" ref="I759:J759" ca="1" si="453">I774</f>
        <v>110</v>
      </c>
      <c r="J759" s="1093">
        <f t="shared" si="453"/>
        <v>0</v>
      </c>
      <c r="K759" s="1094">
        <f t="shared" ca="1" si="452"/>
        <v>0</v>
      </c>
      <c r="L759" s="1068"/>
      <c r="M759" s="1067"/>
      <c r="N759" s="1067"/>
      <c r="O759" s="1067"/>
      <c r="P759" s="1067"/>
      <c r="Q759" s="1067"/>
      <c r="R759" s="1067"/>
      <c r="S759" s="1067"/>
      <c r="T759" s="1067"/>
      <c r="U759" s="1067"/>
    </row>
    <row r="760" spans="1:21" ht="19.5" x14ac:dyDescent="0.3">
      <c r="A760" s="674"/>
      <c r="B760" s="718"/>
      <c r="C760" s="724" t="s">
        <v>18</v>
      </c>
      <c r="D760" s="1310" t="s">
        <v>19</v>
      </c>
      <c r="E760" s="1311"/>
      <c r="F760" s="1311"/>
      <c r="G760" s="1312"/>
      <c r="H760" s="780" t="s">
        <v>14</v>
      </c>
      <c r="I760" s="565"/>
      <c r="J760" s="565"/>
      <c r="K760" s="566"/>
      <c r="L760" s="678">
        <f t="shared" ref="L760:N760" si="454">L761+L762</f>
        <v>0</v>
      </c>
      <c r="M760" s="679">
        <f t="shared" si="454"/>
        <v>0</v>
      </c>
      <c r="N760" s="679">
        <f t="shared" si="454"/>
        <v>0</v>
      </c>
      <c r="O760" s="679">
        <f t="shared" ref="O760:O768" si="455">IF(L760&gt;0,N760*100/L760,0)</f>
        <v>0</v>
      </c>
      <c r="P760" s="679">
        <f t="shared" ref="P760:P768" si="456">IF(M760&gt;0,N760*100/M760,0)</f>
        <v>0</v>
      </c>
      <c r="Q760" s="679">
        <f t="shared" ref="Q760:S760" ca="1" si="457">Q761+Q762</f>
        <v>400950</v>
      </c>
      <c r="R760" s="679">
        <f t="shared" ca="1" si="457"/>
        <v>400950</v>
      </c>
      <c r="S760" s="679">
        <f t="shared" ca="1" si="457"/>
        <v>39620</v>
      </c>
      <c r="T760" s="679">
        <f t="shared" ref="T760:T768" ca="1" si="458">IF(Q760&gt;0,S760*100/Q760,0)</f>
        <v>9.8815313630128436</v>
      </c>
      <c r="U760" s="679">
        <f t="shared" ref="U760:U768" ca="1" si="459">IF(R760&gt;0,S760*100/R760,0)</f>
        <v>9.8815313630128436</v>
      </c>
    </row>
    <row r="761" spans="1:21" ht="18.75" x14ac:dyDescent="0.25">
      <c r="A761" s="674"/>
      <c r="B761" s="718"/>
      <c r="C761" s="718"/>
      <c r="D761" s="695"/>
      <c r="E761" s="569" t="s">
        <v>158</v>
      </c>
      <c r="F761" s="561"/>
      <c r="G761" s="563"/>
      <c r="H761" s="685" t="s">
        <v>14</v>
      </c>
      <c r="I761" s="565"/>
      <c r="J761" s="565"/>
      <c r="K761" s="566"/>
      <c r="L761" s="571">
        <f t="shared" ref="L761:N762" si="460">L764+L767</f>
        <v>0</v>
      </c>
      <c r="M761" s="572">
        <f t="shared" si="460"/>
        <v>0</v>
      </c>
      <c r="N761" s="572">
        <f t="shared" si="460"/>
        <v>0</v>
      </c>
      <c r="O761" s="572">
        <f t="shared" si="455"/>
        <v>0</v>
      </c>
      <c r="P761" s="572">
        <f t="shared" si="456"/>
        <v>0</v>
      </c>
      <c r="Q761" s="572">
        <f t="shared" ref="Q761:S762" si="461">Q764+Q767</f>
        <v>0</v>
      </c>
      <c r="R761" s="572">
        <f t="shared" si="461"/>
        <v>0</v>
      </c>
      <c r="S761" s="572">
        <f t="shared" si="461"/>
        <v>0</v>
      </c>
      <c r="T761" s="572">
        <f t="shared" si="458"/>
        <v>0</v>
      </c>
      <c r="U761" s="572">
        <f t="shared" si="459"/>
        <v>0</v>
      </c>
    </row>
    <row r="762" spans="1:21" ht="18.75" x14ac:dyDescent="0.25">
      <c r="A762" s="674"/>
      <c r="B762" s="718"/>
      <c r="C762" s="720"/>
      <c r="D762" s="695"/>
      <c r="E762" s="573" t="s">
        <v>159</v>
      </c>
      <c r="F762" s="561"/>
      <c r="G762" s="563"/>
      <c r="H762" s="682" t="s">
        <v>14</v>
      </c>
      <c r="I762" s="565"/>
      <c r="J762" s="565"/>
      <c r="K762" s="566"/>
      <c r="L762" s="567">
        <f t="shared" si="460"/>
        <v>0</v>
      </c>
      <c r="M762" s="568">
        <f t="shared" si="460"/>
        <v>0</v>
      </c>
      <c r="N762" s="568">
        <f t="shared" si="460"/>
        <v>0</v>
      </c>
      <c r="O762" s="568">
        <f t="shared" si="455"/>
        <v>0</v>
      </c>
      <c r="P762" s="568">
        <f t="shared" si="456"/>
        <v>0</v>
      </c>
      <c r="Q762" s="568">
        <f t="shared" ca="1" si="461"/>
        <v>400950</v>
      </c>
      <c r="R762" s="568">
        <f t="shared" ca="1" si="461"/>
        <v>400950</v>
      </c>
      <c r="S762" s="568">
        <f t="shared" ca="1" si="461"/>
        <v>39620</v>
      </c>
      <c r="T762" s="568">
        <f t="shared" ca="1" si="458"/>
        <v>9.8815313630128436</v>
      </c>
      <c r="U762" s="568">
        <f t="shared" ca="1" si="459"/>
        <v>9.8815313630128436</v>
      </c>
    </row>
    <row r="763" spans="1:21" ht="18.75" x14ac:dyDescent="0.25">
      <c r="A763" s="674"/>
      <c r="B763" s="718"/>
      <c r="C763" s="720"/>
      <c r="D763" s="562" t="s">
        <v>22</v>
      </c>
      <c r="E763" s="561"/>
      <c r="F763" s="561"/>
      <c r="G763" s="563"/>
      <c r="H763" s="682" t="s">
        <v>14</v>
      </c>
      <c r="I763" s="683"/>
      <c r="J763" s="683"/>
      <c r="K763" s="684"/>
      <c r="L763" s="567">
        <f t="shared" ref="L763:N763" si="462">L764+L765</f>
        <v>0</v>
      </c>
      <c r="M763" s="568">
        <f t="shared" si="462"/>
        <v>0</v>
      </c>
      <c r="N763" s="568">
        <f t="shared" si="462"/>
        <v>0</v>
      </c>
      <c r="O763" s="568">
        <f t="shared" si="455"/>
        <v>0</v>
      </c>
      <c r="P763" s="568">
        <f t="shared" si="456"/>
        <v>0</v>
      </c>
      <c r="Q763" s="568">
        <f t="shared" ref="Q763:S763" ca="1" si="463">Q764+Q765</f>
        <v>400950</v>
      </c>
      <c r="R763" s="568">
        <f t="shared" ca="1" si="463"/>
        <v>400950</v>
      </c>
      <c r="S763" s="568">
        <f t="shared" ca="1" si="463"/>
        <v>39620</v>
      </c>
      <c r="T763" s="568">
        <f t="shared" ca="1" si="458"/>
        <v>9.8815313630128436</v>
      </c>
      <c r="U763" s="568">
        <f t="shared" ca="1" si="459"/>
        <v>9.8815313630128436</v>
      </c>
    </row>
    <row r="764" spans="1:21" ht="18.75" x14ac:dyDescent="0.25">
      <c r="A764" s="674"/>
      <c r="B764" s="718"/>
      <c r="C764" s="720"/>
      <c r="D764" s="695"/>
      <c r="E764" s="569" t="s">
        <v>158</v>
      </c>
      <c r="F764" s="561"/>
      <c r="G764" s="563"/>
      <c r="H764" s="685" t="s">
        <v>14</v>
      </c>
      <c r="I764" s="565"/>
      <c r="J764" s="565"/>
      <c r="K764" s="566"/>
      <c r="L764" s="571">
        <v>0</v>
      </c>
      <c r="M764" s="572">
        <v>0</v>
      </c>
      <c r="N764" s="572">
        <v>0</v>
      </c>
      <c r="O764" s="572">
        <f t="shared" si="455"/>
        <v>0</v>
      </c>
      <c r="P764" s="572">
        <f t="shared" si="456"/>
        <v>0</v>
      </c>
      <c r="Q764" s="572">
        <v>0</v>
      </c>
      <c r="R764" s="572">
        <v>0</v>
      </c>
      <c r="S764" s="572">
        <v>0</v>
      </c>
      <c r="T764" s="572">
        <f t="shared" si="458"/>
        <v>0</v>
      </c>
      <c r="U764" s="572">
        <f t="shared" si="459"/>
        <v>0</v>
      </c>
    </row>
    <row r="765" spans="1:21" ht="18.75" x14ac:dyDescent="0.25">
      <c r="A765" s="674"/>
      <c r="B765" s="718"/>
      <c r="C765" s="720"/>
      <c r="D765" s="695"/>
      <c r="E765" s="573" t="s">
        <v>159</v>
      </c>
      <c r="F765" s="561"/>
      <c r="G765" s="563"/>
      <c r="H765" s="682" t="s">
        <v>14</v>
      </c>
      <c r="I765" s="565"/>
      <c r="J765" s="565"/>
      <c r="K765" s="566"/>
      <c r="L765" s="567">
        <v>0</v>
      </c>
      <c r="M765" s="568">
        <v>0</v>
      </c>
      <c r="N765" s="568">
        <v>0</v>
      </c>
      <c r="O765" s="568">
        <f t="shared" si="455"/>
        <v>0</v>
      </c>
      <c r="P765" s="568">
        <f t="shared" si="456"/>
        <v>0</v>
      </c>
      <c r="Q765" s="568">
        <f ca="1">IFERROR(__xludf.DUMMYFUNCTION("IMPORTRANGE(""https://docs.google.com/spreadsheets/d/1ItG2mGa2ceCfYo0BwxsXqNm01IGEUdYcSSLTEv9YCik/edit?usp=sharing"",""เบิกจ่ายกองทุน!AA21"")"),400950)</f>
        <v>400950</v>
      </c>
      <c r="R765" s="568">
        <f ca="1">IFERROR(__xludf.DUMMYFUNCTION("IMPORTRANGE(""https://docs.google.com/spreadsheets/d/1ItG2mGa2ceCfYo0BwxsXqNm01IGEUdYcSSLTEv9YCik/edit?usp=sharing"",""เบิกจ่ายกองทุน!AB21"")"),400950)</f>
        <v>400950</v>
      </c>
      <c r="S765" s="568">
        <f ca="1">IFERROR(__xludf.DUMMYFUNCTION("IMPORTRANGE(""https://docs.google.com/spreadsheets/d/1ItG2mGa2ceCfYo0BwxsXqNm01IGEUdYcSSLTEv9YCik/edit?usp=sharing"",""เบิกจ่ายกองทุน!AC21"")"),39620)</f>
        <v>39620</v>
      </c>
      <c r="T765" s="568">
        <f t="shared" ca="1" si="458"/>
        <v>9.8815313630128436</v>
      </c>
      <c r="U765" s="568">
        <f t="shared" ca="1" si="459"/>
        <v>9.8815313630128436</v>
      </c>
    </row>
    <row r="766" spans="1:21" ht="18.75" x14ac:dyDescent="0.25">
      <c r="A766" s="674"/>
      <c r="B766" s="718"/>
      <c r="C766" s="718"/>
      <c r="D766" s="562" t="s">
        <v>23</v>
      </c>
      <c r="E766" s="718"/>
      <c r="F766" s="561"/>
      <c r="G766" s="563"/>
      <c r="H766" s="686" t="s">
        <v>14</v>
      </c>
      <c r="I766" s="683"/>
      <c r="J766" s="683"/>
      <c r="K766" s="684"/>
      <c r="L766" s="567">
        <f t="shared" ref="L766:N766" si="464">L767+L768</f>
        <v>0</v>
      </c>
      <c r="M766" s="568">
        <f t="shared" si="464"/>
        <v>0</v>
      </c>
      <c r="N766" s="568">
        <f t="shared" si="464"/>
        <v>0</v>
      </c>
      <c r="O766" s="568">
        <f t="shared" si="455"/>
        <v>0</v>
      </c>
      <c r="P766" s="568">
        <f t="shared" si="456"/>
        <v>0</v>
      </c>
      <c r="Q766" s="568">
        <f t="shared" ref="Q766:S766" si="465">Q767+Q768</f>
        <v>0</v>
      </c>
      <c r="R766" s="568">
        <f t="shared" si="465"/>
        <v>0</v>
      </c>
      <c r="S766" s="568">
        <f t="shared" si="465"/>
        <v>0</v>
      </c>
      <c r="T766" s="568">
        <f t="shared" si="458"/>
        <v>0</v>
      </c>
      <c r="U766" s="568">
        <f t="shared" si="459"/>
        <v>0</v>
      </c>
    </row>
    <row r="767" spans="1:21" ht="18.75" x14ac:dyDescent="0.25">
      <c r="A767" s="674"/>
      <c r="B767" s="718"/>
      <c r="C767" s="718"/>
      <c r="D767" s="718"/>
      <c r="E767" s="767" t="s">
        <v>20</v>
      </c>
      <c r="F767" s="561"/>
      <c r="G767" s="563"/>
      <c r="H767" s="685" t="s">
        <v>14</v>
      </c>
      <c r="I767" s="683"/>
      <c r="J767" s="683"/>
      <c r="K767" s="684"/>
      <c r="L767" s="571">
        <v>0</v>
      </c>
      <c r="M767" s="572">
        <v>0</v>
      </c>
      <c r="N767" s="572">
        <v>0</v>
      </c>
      <c r="O767" s="572">
        <f t="shared" si="455"/>
        <v>0</v>
      </c>
      <c r="P767" s="572">
        <f t="shared" si="456"/>
        <v>0</v>
      </c>
      <c r="Q767" s="572">
        <v>0</v>
      </c>
      <c r="R767" s="572">
        <v>0</v>
      </c>
      <c r="S767" s="572">
        <v>0</v>
      </c>
      <c r="T767" s="572">
        <f t="shared" si="458"/>
        <v>0</v>
      </c>
      <c r="U767" s="572">
        <f t="shared" si="459"/>
        <v>0</v>
      </c>
    </row>
    <row r="768" spans="1:21" ht="18.75" x14ac:dyDescent="0.25">
      <c r="A768" s="674"/>
      <c r="B768" s="718"/>
      <c r="C768" s="718"/>
      <c r="D768" s="718"/>
      <c r="E768" s="765" t="s">
        <v>21</v>
      </c>
      <c r="F768" s="561"/>
      <c r="G768" s="563"/>
      <c r="H768" s="686" t="s">
        <v>14</v>
      </c>
      <c r="I768" s="683"/>
      <c r="J768" s="683"/>
      <c r="K768" s="684"/>
      <c r="L768" s="567">
        <v>0</v>
      </c>
      <c r="M768" s="568">
        <v>0</v>
      </c>
      <c r="N768" s="568">
        <v>0</v>
      </c>
      <c r="O768" s="568">
        <f t="shared" si="455"/>
        <v>0</v>
      </c>
      <c r="P768" s="568">
        <f t="shared" si="456"/>
        <v>0</v>
      </c>
      <c r="Q768" s="568">
        <v>0</v>
      </c>
      <c r="R768" s="568">
        <v>0</v>
      </c>
      <c r="S768" s="568">
        <v>0</v>
      </c>
      <c r="T768" s="568">
        <f t="shared" si="458"/>
        <v>0</v>
      </c>
      <c r="U768" s="568">
        <f t="shared" si="459"/>
        <v>0</v>
      </c>
    </row>
    <row r="769" spans="1:21" ht="19.5" x14ac:dyDescent="0.3">
      <c r="A769" s="687"/>
      <c r="B769" s="688"/>
      <c r="C769" s="1117" t="s">
        <v>18</v>
      </c>
      <c r="D769" s="1078" t="s">
        <v>38</v>
      </c>
      <c r="E769" s="758"/>
      <c r="F769" s="690"/>
      <c r="G769" s="691"/>
      <c r="H769" s="725"/>
      <c r="I769" s="565"/>
      <c r="J769" s="565"/>
      <c r="K769" s="566"/>
      <c r="L769" s="574"/>
      <c r="M769" s="566"/>
      <c r="N769" s="566"/>
      <c r="O769" s="566"/>
      <c r="P769" s="566"/>
      <c r="Q769" s="566"/>
      <c r="R769" s="566"/>
      <c r="S769" s="566"/>
      <c r="T769" s="566"/>
      <c r="U769" s="566"/>
    </row>
    <row r="770" spans="1:21" ht="18.75" x14ac:dyDescent="0.25">
      <c r="A770" s="687"/>
      <c r="B770" s="688"/>
      <c r="C770" s="688"/>
      <c r="D770" s="1042" t="s">
        <v>286</v>
      </c>
      <c r="E770" s="688"/>
      <c r="F770" s="695"/>
      <c r="G770" s="692"/>
      <c r="H770" s="734" t="s">
        <v>35</v>
      </c>
      <c r="I770" s="735">
        <f ca="1">IFERROR(__xludf.DUMMYFUNCTION("IMPORTRANGE(""https://docs.google.com/spreadsheets/d/1eHaY18a8A9IcSdp1K8H6x8fbOy06t2VsZHhMHf-1x7Y/edit?usp=sharing"",""แผน!FI21"")"),0)</f>
        <v>0</v>
      </c>
      <c r="J770" s="735">
        <v>0</v>
      </c>
      <c r="K770" s="572">
        <f ca="1">IF(I770&gt;0,J770*100/I770,0)</f>
        <v>0</v>
      </c>
      <c r="L770" s="574"/>
      <c r="M770" s="566"/>
      <c r="N770" s="566"/>
      <c r="O770" s="566"/>
      <c r="P770" s="566"/>
      <c r="Q770" s="566"/>
      <c r="R770" s="566"/>
      <c r="S770" s="566"/>
      <c r="T770" s="566"/>
      <c r="U770" s="566"/>
    </row>
    <row r="771" spans="1:21" ht="18.75" x14ac:dyDescent="0.25">
      <c r="A771" s="687"/>
      <c r="B771" s="688"/>
      <c r="C771" s="688"/>
      <c r="D771" s="1042" t="s">
        <v>287</v>
      </c>
      <c r="E771" s="688"/>
      <c r="F771" s="695"/>
      <c r="G771" s="692"/>
      <c r="H771" s="725"/>
      <c r="I771" s="565"/>
      <c r="J771" s="565"/>
      <c r="K771" s="566"/>
      <c r="L771" s="574"/>
      <c r="M771" s="566"/>
      <c r="N771" s="566"/>
      <c r="O771" s="566"/>
      <c r="P771" s="566"/>
      <c r="Q771" s="566"/>
      <c r="R771" s="566"/>
      <c r="S771" s="566"/>
      <c r="T771" s="566"/>
      <c r="U771" s="566"/>
    </row>
    <row r="772" spans="1:21" ht="18.75" x14ac:dyDescent="0.25">
      <c r="A772" s="687"/>
      <c r="B772" s="688"/>
      <c r="C772" s="688"/>
      <c r="D772" s="1079" t="s">
        <v>288</v>
      </c>
      <c r="E772" s="688"/>
      <c r="F772" s="695"/>
      <c r="G772" s="692"/>
      <c r="H772" s="686" t="s">
        <v>35</v>
      </c>
      <c r="I772" s="708">
        <f ca="1">IFERROR(__xludf.DUMMYFUNCTION("IMPORTRANGE(""https://docs.google.com/spreadsheets/d/1eHaY18a8A9IcSdp1K8H6x8fbOy06t2VsZHhMHf-1x7Y/edit?usp=sharing"",""แผน!FQ21"")"),55)</f>
        <v>55</v>
      </c>
      <c r="J772" s="702">
        <v>0</v>
      </c>
      <c r="K772" s="568">
        <f ca="1">IF(I772&gt;0,J772*100/I772,0)</f>
        <v>0</v>
      </c>
      <c r="L772" s="574"/>
      <c r="M772" s="566"/>
      <c r="N772" s="566"/>
      <c r="O772" s="566"/>
      <c r="P772" s="566"/>
      <c r="Q772" s="566"/>
      <c r="R772" s="566"/>
      <c r="S772" s="566"/>
      <c r="T772" s="566"/>
      <c r="U772" s="566"/>
    </row>
    <row r="773" spans="1:21" ht="18.75" x14ac:dyDescent="0.25">
      <c r="A773" s="687"/>
      <c r="B773" s="688"/>
      <c r="C773" s="688"/>
      <c r="D773" s="1079" t="s">
        <v>289</v>
      </c>
      <c r="E773" s="688"/>
      <c r="F773" s="695"/>
      <c r="G773" s="692"/>
      <c r="H773" s="725"/>
      <c r="I773" s="565"/>
      <c r="J773" s="565"/>
      <c r="K773" s="566"/>
      <c r="L773" s="574"/>
      <c r="M773" s="566"/>
      <c r="N773" s="566"/>
      <c r="O773" s="566"/>
      <c r="P773" s="566"/>
      <c r="Q773" s="566"/>
      <c r="R773" s="566"/>
      <c r="S773" s="566"/>
      <c r="T773" s="566"/>
      <c r="U773" s="566"/>
    </row>
    <row r="774" spans="1:21" ht="18.75" x14ac:dyDescent="0.25">
      <c r="A774" s="687"/>
      <c r="B774" s="688"/>
      <c r="C774" s="688"/>
      <c r="D774" s="1079" t="s">
        <v>290</v>
      </c>
      <c r="E774" s="688"/>
      <c r="F774" s="695"/>
      <c r="G774" s="692"/>
      <c r="H774" s="686" t="s">
        <v>46</v>
      </c>
      <c r="I774" s="708">
        <f ca="1">IFERROR(__xludf.DUMMYFUNCTION("IMPORTRANGE(""https://docs.google.com/spreadsheets/d/1eHaY18a8A9IcSdp1K8H6x8fbOy06t2VsZHhMHf-1x7Y/edit?usp=sharing"",""แผน!FR21"")"),110)</f>
        <v>110</v>
      </c>
      <c r="J774" s="702">
        <v>0</v>
      </c>
      <c r="K774" s="568">
        <f ca="1">IF(I774&gt;0,J774*100/I774,0)</f>
        <v>0</v>
      </c>
      <c r="L774" s="574"/>
      <c r="M774" s="566"/>
      <c r="N774" s="566"/>
      <c r="O774" s="566"/>
      <c r="P774" s="566"/>
      <c r="Q774" s="566"/>
      <c r="R774" s="566"/>
      <c r="S774" s="566"/>
      <c r="T774" s="566"/>
      <c r="U774" s="566"/>
    </row>
    <row r="775" spans="1:21" ht="18.75" x14ac:dyDescent="0.25">
      <c r="A775" s="687"/>
      <c r="B775" s="688"/>
      <c r="C775" s="688"/>
      <c r="D775" s="1079" t="s">
        <v>50</v>
      </c>
      <c r="E775" s="695"/>
      <c r="F775" s="561"/>
      <c r="G775" s="563"/>
      <c r="H775" s="686" t="s">
        <v>46</v>
      </c>
      <c r="I775" s="708">
        <f ca="1">IFERROR(__xludf.DUMMYFUNCTION("IMPORTRANGE(""https://docs.google.com/spreadsheets/d/1eHaY18a8A9IcSdp1K8H6x8fbOy06t2VsZHhMHf-1x7Y/edit?usp=sharing"",""แผน!FS21"")"),110)</f>
        <v>110</v>
      </c>
      <c r="J775" s="702">
        <v>0</v>
      </c>
      <c r="K775" s="566"/>
      <c r="L775" s="574"/>
      <c r="M775" s="566"/>
      <c r="N775" s="566"/>
      <c r="O775" s="566"/>
      <c r="P775" s="566"/>
      <c r="Q775" s="566"/>
      <c r="R775" s="566"/>
      <c r="S775" s="566"/>
      <c r="T775" s="566"/>
      <c r="U775" s="566"/>
    </row>
    <row r="776" spans="1:21" ht="18.75" x14ac:dyDescent="0.25">
      <c r="A776" s="863"/>
      <c r="B776" s="864"/>
      <c r="C776" s="864"/>
      <c r="D776" s="864"/>
      <c r="E776" s="512"/>
      <c r="F776" s="512"/>
      <c r="G776" s="577"/>
      <c r="H776" s="1089" t="s">
        <v>35</v>
      </c>
      <c r="I776" s="989">
        <f ca="1">IFERROR(__xludf.DUMMYFUNCTION("IMPORTRANGE(""https://docs.google.com/spreadsheets/d/1eHaY18a8A9IcSdp1K8H6x8fbOy06t2VsZHhMHf-1x7Y/edit?usp=sharing"",""แผน!FT21"")"),55)</f>
        <v>55</v>
      </c>
      <c r="J776" s="990">
        <v>0</v>
      </c>
      <c r="K776" s="580"/>
      <c r="L776" s="581"/>
      <c r="M776" s="580"/>
      <c r="N776" s="580"/>
      <c r="O776" s="580"/>
      <c r="P776" s="580"/>
      <c r="Q776" s="580"/>
      <c r="R776" s="580"/>
      <c r="S776" s="580"/>
      <c r="T776" s="580"/>
      <c r="U776" s="580"/>
    </row>
    <row r="777" spans="1:21" ht="19.5" x14ac:dyDescent="0.3">
      <c r="A777" s="1118" t="s">
        <v>291</v>
      </c>
      <c r="B777" s="1119"/>
      <c r="C777" s="1119"/>
      <c r="D777" s="1120"/>
      <c r="E777" s="1119"/>
      <c r="F777" s="1119"/>
      <c r="G777" s="1121"/>
      <c r="H777" s="112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1123"/>
      <c r="J777" s="1124"/>
      <c r="K777" s="1125"/>
      <c r="L777" s="1125"/>
      <c r="M777" s="1125"/>
      <c r="N777" s="1125"/>
      <c r="O777" s="1125"/>
      <c r="P777" s="1125"/>
      <c r="Q777" s="1125"/>
      <c r="R777" s="1125"/>
      <c r="S777" s="1125"/>
      <c r="T777" s="1125"/>
      <c r="U777" s="1125"/>
    </row>
    <row r="778" spans="1:21" ht="18.75" x14ac:dyDescent="0.25">
      <c r="A778" s="560"/>
      <c r="B778" s="573" t="s">
        <v>292</v>
      </c>
      <c r="C778" s="561"/>
      <c r="D778" s="718"/>
      <c r="E778" s="561"/>
      <c r="F778" s="561"/>
      <c r="G778" s="563"/>
      <c r="H778" s="564" t="s">
        <v>14</v>
      </c>
      <c r="I778" s="708">
        <f ca="1">IFERROR(__xludf.DUMMYFUNCTION("IMPORTRANGE(""https://docs.google.com/spreadsheets/d/10OvvATaaLtwErnr3qtWFcTmtbfpFEt5Bsqel9sXx0uE/edit?usp=sharing"",""งานกองทุน!D21"")"),2630000)</f>
        <v>2630000</v>
      </c>
      <c r="J778" s="708">
        <f ca="1">IFERROR(__xludf.DUMMYFUNCTION("IMPORTRANGE(""https://docs.google.com/spreadsheets/d/10OvvATaaLtwErnr3qtWFcTmtbfpFEt5Bsqel9sXx0uE/edit?usp=sharing"",""งานกองทุน!F21"")"),1398709.18)</f>
        <v>1398709.18</v>
      </c>
      <c r="K778" s="568">
        <f t="shared" ref="K778:K785" ca="1" si="466">IF(I778&gt;0,J778*100/I778,0)</f>
        <v>53.18285855513308</v>
      </c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</row>
    <row r="779" spans="1:21" ht="18.75" x14ac:dyDescent="0.25">
      <c r="A779" s="560"/>
      <c r="B779" s="561"/>
      <c r="C779" s="561"/>
      <c r="D779" s="718"/>
      <c r="E779" s="561"/>
      <c r="F779" s="561"/>
      <c r="G779" s="563"/>
      <c r="H779" s="564" t="s">
        <v>35</v>
      </c>
      <c r="I779" s="708">
        <f ca="1">IFERROR(__xludf.DUMMYFUNCTION("IMPORTRANGE(""https://docs.google.com/spreadsheets/d/10OvvATaaLtwErnr3qtWFcTmtbfpFEt5Bsqel9sXx0uE/edit?usp=sharing"",""งานกองทุน!C21"")"),102)</f>
        <v>102</v>
      </c>
      <c r="J779" s="708">
        <f ca="1">IFERROR(__xludf.DUMMYFUNCTION("IMPORTRANGE(""https://docs.google.com/spreadsheets/d/10OvvATaaLtwErnr3qtWFcTmtbfpFEt5Bsqel9sXx0uE/edit?usp=sharing"",""งานกองทุน!E21"")"),60)</f>
        <v>60</v>
      </c>
      <c r="K779" s="568">
        <f t="shared" ca="1" si="466"/>
        <v>58.823529411764703</v>
      </c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</row>
    <row r="780" spans="1:21" ht="18.75" x14ac:dyDescent="0.25">
      <c r="A780" s="560"/>
      <c r="B780" s="573" t="s">
        <v>293</v>
      </c>
      <c r="C780" s="561"/>
      <c r="D780" s="718"/>
      <c r="E780" s="561"/>
      <c r="F780" s="561"/>
      <c r="G780" s="563"/>
      <c r="H780" s="564" t="s">
        <v>14</v>
      </c>
      <c r="I780" s="708">
        <f ca="1">IFERROR(__xludf.DUMMYFUNCTION("IMPORTRANGE(""https://docs.google.com/spreadsheets/d/10OvvATaaLtwErnr3qtWFcTmtbfpFEt5Bsqel9sXx0uE/edit?usp=sharing"",""งานกองทุน!I21"")"),327133.2)</f>
        <v>327133.2</v>
      </c>
      <c r="J780" s="708">
        <f ca="1">IFERROR(__xludf.DUMMYFUNCTION("IMPORTRANGE(""https://docs.google.com/spreadsheets/d/10OvvATaaLtwErnr3qtWFcTmtbfpFEt5Bsqel9sXx0uE/edit?usp=sharing"",""งานกองทุน!K21"")"),252958.25)</f>
        <v>252958.25</v>
      </c>
      <c r="K780" s="568">
        <f t="shared" ca="1" si="466"/>
        <v>77.325765162325311</v>
      </c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</row>
    <row r="781" spans="1:21" ht="18.75" x14ac:dyDescent="0.25">
      <c r="A781" s="560"/>
      <c r="B781" s="561"/>
      <c r="C781" s="561"/>
      <c r="D781" s="718"/>
      <c r="E781" s="561"/>
      <c r="F781" s="561"/>
      <c r="G781" s="563"/>
      <c r="H781" s="564" t="s">
        <v>35</v>
      </c>
      <c r="I781" s="708">
        <f ca="1">IFERROR(__xludf.DUMMYFUNCTION("IMPORTRANGE(""https://docs.google.com/spreadsheets/d/10OvvATaaLtwErnr3qtWFcTmtbfpFEt5Bsqel9sXx0uE/edit?usp=sharing"",""งานกองทุน!H21"")"),17)</f>
        <v>17</v>
      </c>
      <c r="J781" s="708">
        <f ca="1">IFERROR(__xludf.DUMMYFUNCTION("IMPORTRANGE(""https://docs.google.com/spreadsheets/d/10OvvATaaLtwErnr3qtWFcTmtbfpFEt5Bsqel9sXx0uE/edit?usp=sharing"",""งานกองทุน!J21"")"),16)</f>
        <v>16</v>
      </c>
      <c r="K781" s="568">
        <f t="shared" ca="1" si="466"/>
        <v>94.117647058823536</v>
      </c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</row>
    <row r="782" spans="1:21" ht="18.75" x14ac:dyDescent="0.25">
      <c r="A782" s="560"/>
      <c r="B782" s="573" t="s">
        <v>294</v>
      </c>
      <c r="C782" s="561"/>
      <c r="D782" s="718"/>
      <c r="E782" s="561"/>
      <c r="F782" s="561"/>
      <c r="G782" s="563"/>
      <c r="H782" s="564" t="s">
        <v>14</v>
      </c>
      <c r="I782" s="708">
        <f ca="1">IFERROR(__xludf.DUMMYFUNCTION("IMPORTRANGE(""https://docs.google.com/spreadsheets/d/10OvvATaaLtwErnr3qtWFcTmtbfpFEt5Bsqel9sXx0uE/edit?usp=sharing"",""งานกองทุน!N21"")"),3891338.12)</f>
        <v>3891338.12</v>
      </c>
      <c r="J782" s="708">
        <f ca="1">IFERROR(__xludf.DUMMYFUNCTION("IMPORTRANGE(""https://docs.google.com/spreadsheets/d/10OvvATaaLtwErnr3qtWFcTmtbfpFEt5Bsqel9sXx0uE/edit?usp=sharing"",""งานกองทุน!P21"")"),2014750.4)</f>
        <v>2014750.4</v>
      </c>
      <c r="K782" s="568">
        <f t="shared" ca="1" si="466"/>
        <v>51.775259251951098</v>
      </c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</row>
    <row r="783" spans="1:21" ht="18.75" x14ac:dyDescent="0.25">
      <c r="A783" s="560"/>
      <c r="B783" s="561"/>
      <c r="C783" s="561"/>
      <c r="D783" s="718"/>
      <c r="E783" s="561"/>
      <c r="F783" s="561"/>
      <c r="G783" s="563"/>
      <c r="H783" s="564" t="s">
        <v>35</v>
      </c>
      <c r="I783" s="708">
        <f ca="1">IFERROR(__xludf.DUMMYFUNCTION("IMPORTRANGE(""https://docs.google.com/spreadsheets/d/10OvvATaaLtwErnr3qtWFcTmtbfpFEt5Bsqel9sXx0uE/edit?usp=sharing"",""งานกองทุน!M21"")"),412)</f>
        <v>412</v>
      </c>
      <c r="J783" s="708">
        <f ca="1">IFERROR(__xludf.DUMMYFUNCTION("IMPORTRANGE(""https://docs.google.com/spreadsheets/d/10OvvATaaLtwErnr3qtWFcTmtbfpFEt5Bsqel9sXx0uE/edit?usp=sharing"",""งานกองทุน!O21"")"),349)</f>
        <v>349</v>
      </c>
      <c r="K783" s="568">
        <f t="shared" ca="1" si="466"/>
        <v>84.708737864077676</v>
      </c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</row>
    <row r="784" spans="1:21" ht="18.75" x14ac:dyDescent="0.25">
      <c r="A784" s="560"/>
      <c r="B784" s="573" t="s">
        <v>295</v>
      </c>
      <c r="C784" s="561"/>
      <c r="D784" s="718"/>
      <c r="E784" s="561"/>
      <c r="F784" s="561"/>
      <c r="G784" s="563"/>
      <c r="H784" s="564" t="s">
        <v>14</v>
      </c>
      <c r="I784" s="708">
        <f ca="1">IFERROR(__xludf.DUMMYFUNCTION("IMPORTRANGE(""https://docs.google.com/spreadsheets/d/10OvvATaaLtwErnr3qtWFcTmtbfpFEt5Bsqel9sXx0uE/edit?usp=sharing"",""งานกองทุน!S21"")"),3220000)</f>
        <v>3220000</v>
      </c>
      <c r="J784" s="708">
        <f ca="1">IFERROR(__xludf.DUMMYFUNCTION("IMPORTRANGE(""https://docs.google.com/spreadsheets/d/10OvvATaaLtwErnr3qtWFcTmtbfpFEt5Bsqel9sXx0uE/edit?usp=sharing"",""งานกองทุน!U21"")"),1300000)</f>
        <v>1300000</v>
      </c>
      <c r="K784" s="568">
        <f t="shared" ca="1" si="466"/>
        <v>40.372670807453417</v>
      </c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</row>
    <row r="785" spans="1:21" ht="18.75" x14ac:dyDescent="0.25">
      <c r="A785" s="575"/>
      <c r="B785" s="513"/>
      <c r="C785" s="513"/>
      <c r="D785" s="514"/>
      <c r="E785" s="513"/>
      <c r="F785" s="513"/>
      <c r="G785" s="577"/>
      <c r="H785" s="578" t="s">
        <v>35</v>
      </c>
      <c r="I785" s="989">
        <f ca="1">IFERROR(__xludf.DUMMYFUNCTION("IMPORTRANGE(""https://docs.google.com/spreadsheets/d/10OvvATaaLtwErnr3qtWFcTmtbfpFEt5Bsqel9sXx0uE/edit?usp=sharing"",""งานกองทุน!R21"")"),115)</f>
        <v>115</v>
      </c>
      <c r="J785" s="989">
        <f ca="1">IFERROR(__xludf.DUMMYFUNCTION("IMPORTRANGE(""https://docs.google.com/spreadsheets/d/10OvvATaaLtwErnr3qtWFcTmtbfpFEt5Bsqel9sXx0uE/edit?usp=sharing"",""งานกองทุน!T21"")"),47)</f>
        <v>47</v>
      </c>
      <c r="K785" s="655">
        <f t="shared" ca="1" si="466"/>
        <v>40.869565217391305</v>
      </c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</row>
    <row r="786" spans="1:21" ht="12.75" x14ac:dyDescent="0.2">
      <c r="A786" s="510"/>
      <c r="B786" s="510"/>
      <c r="C786" s="510"/>
      <c r="D786" s="510"/>
      <c r="E786" s="510"/>
      <c r="F786" s="510"/>
      <c r="G786" s="510"/>
      <c r="H786" s="510"/>
      <c r="I786" s="510"/>
      <c r="J786" s="510"/>
      <c r="K786" s="510"/>
      <c r="L786" s="510"/>
      <c r="M786" s="510"/>
      <c r="N786" s="510"/>
      <c r="O786" s="510"/>
      <c r="P786" s="510"/>
      <c r="Q786" s="510"/>
      <c r="R786" s="510"/>
      <c r="S786" s="510"/>
      <c r="T786" s="510"/>
      <c r="U786" s="510"/>
    </row>
    <row r="787" spans="1:21" ht="16.5" x14ac:dyDescent="0.25">
      <c r="A787" s="1126" t="s">
        <v>296</v>
      </c>
      <c r="B787" s="510"/>
      <c r="C787" s="510"/>
      <c r="D787" s="510"/>
      <c r="E787" s="510"/>
      <c r="F787" s="510"/>
      <c r="G787" s="510"/>
      <c r="H787" s="510"/>
      <c r="I787" s="510"/>
      <c r="J787" s="510"/>
      <c r="K787" s="510"/>
      <c r="L787" s="510"/>
      <c r="M787" s="510"/>
      <c r="N787" s="510"/>
      <c r="O787" s="510"/>
      <c r="P787" s="510"/>
      <c r="Q787" s="510"/>
      <c r="R787" s="510"/>
      <c r="S787" s="510"/>
      <c r="T787" s="510"/>
      <c r="U787" s="510"/>
    </row>
    <row r="788" spans="1:21" ht="16.5" x14ac:dyDescent="0.25">
      <c r="A788" s="112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510"/>
      <c r="C788" s="510"/>
      <c r="D788" s="510"/>
      <c r="E788" s="510"/>
      <c r="F788" s="510"/>
      <c r="G788" s="510"/>
      <c r="H788" s="510"/>
      <c r="I788" s="510"/>
      <c r="J788" s="510"/>
      <c r="K788" s="510"/>
      <c r="L788" s="510"/>
      <c r="M788" s="510"/>
      <c r="N788" s="510"/>
      <c r="O788" s="510"/>
      <c r="P788" s="510"/>
      <c r="Q788" s="510"/>
      <c r="R788" s="510"/>
      <c r="S788" s="510"/>
      <c r="T788" s="510"/>
      <c r="U788" s="510"/>
    </row>
    <row r="789" spans="1:21" ht="16.5" x14ac:dyDescent="0.25">
      <c r="A789" s="112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510"/>
      <c r="C789" s="510"/>
      <c r="D789" s="510"/>
      <c r="E789" s="510"/>
      <c r="F789" s="510"/>
      <c r="G789" s="510"/>
      <c r="H789" s="510"/>
      <c r="I789" s="510"/>
      <c r="J789" s="510"/>
      <c r="K789" s="510"/>
      <c r="L789" s="510"/>
      <c r="M789" s="510"/>
      <c r="N789" s="510"/>
      <c r="O789" s="510"/>
      <c r="P789" s="510"/>
      <c r="Q789" s="510"/>
      <c r="R789" s="510"/>
      <c r="S789" s="510"/>
      <c r="T789" s="510"/>
      <c r="U789" s="510"/>
    </row>
  </sheetData>
  <mergeCells count="25">
    <mergeCell ref="Q4:U4"/>
    <mergeCell ref="A5:G6"/>
    <mergeCell ref="I5:K5"/>
    <mergeCell ref="L5:M5"/>
    <mergeCell ref="N5:P5"/>
    <mergeCell ref="Q5:R5"/>
    <mergeCell ref="B57:G57"/>
    <mergeCell ref="L4:P4"/>
    <mergeCell ref="A1:U1"/>
    <mergeCell ref="A2:U2"/>
    <mergeCell ref="A3:U3"/>
    <mergeCell ref="S5:U5"/>
    <mergeCell ref="A7:G7"/>
    <mergeCell ref="A17:G17"/>
    <mergeCell ref="A30:G30"/>
    <mergeCell ref="A56:G56"/>
    <mergeCell ref="D714:G714"/>
    <mergeCell ref="D728:G728"/>
    <mergeCell ref="D760:G760"/>
    <mergeCell ref="D413:G413"/>
    <mergeCell ref="D493:F493"/>
    <mergeCell ref="D599:G599"/>
    <mergeCell ref="D616:G616"/>
    <mergeCell ref="D642:G642"/>
    <mergeCell ref="D690:G690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E5B8-A3B7-4ED2-9E8B-4F2B3CD14676}">
  <sheetPr>
    <outlinePr summaryBelow="0" summaryRight="0"/>
  </sheetPr>
  <dimension ref="A1:U789"/>
  <sheetViews>
    <sheetView view="pageBreakPreview" zoomScale="60" zoomScaleNormal="100" workbookViewId="0">
      <pane xSplit="8" ySplit="6" topLeftCell="I449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style="511" customWidth="1"/>
    <col min="7" max="7" width="61.42578125" style="511" customWidth="1"/>
    <col min="8" max="8" width="9.42578125" style="511" customWidth="1"/>
    <col min="9" max="11" width="15.140625" style="511" customWidth="1"/>
    <col min="12" max="14" width="21.28515625" style="511" bestFit="1" customWidth="1"/>
    <col min="15" max="15" width="19.28515625" style="511" bestFit="1" customWidth="1"/>
    <col min="16" max="16" width="20.85546875" style="511" bestFit="1" customWidth="1"/>
    <col min="17" max="18" width="21.28515625" style="511" bestFit="1" customWidth="1"/>
    <col min="19" max="19" width="18.7109375" style="511" bestFit="1" customWidth="1"/>
    <col min="20" max="20" width="19.28515625" style="511" bestFit="1" customWidth="1"/>
    <col min="21" max="21" width="20.85546875" style="511" bestFit="1" customWidth="1"/>
    <col min="22" max="16384" width="12.5703125" style="511"/>
  </cols>
  <sheetData>
    <row r="1" spans="1:21" ht="15.75" customHeight="1" x14ac:dyDescent="0.3">
      <c r="A1" s="1321" t="s">
        <v>0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  <c r="R1" s="1321"/>
      <c r="S1" s="1321"/>
      <c r="T1" s="1321"/>
      <c r="U1" s="1321"/>
    </row>
    <row r="2" spans="1:21" ht="15.75" customHeight="1" x14ac:dyDescent="0.3">
      <c r="A2" s="1321" t="s">
        <v>330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</row>
    <row r="3" spans="1:21" ht="15.75" customHeight="1" x14ac:dyDescent="0.3">
      <c r="A3" s="1321" t="s">
        <v>350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</row>
    <row r="4" spans="1:21" ht="15.75" customHeight="1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4"/>
      <c r="K4" s="515"/>
      <c r="L4" s="1323" t="s">
        <v>2</v>
      </c>
      <c r="M4" s="1314"/>
      <c r="N4" s="1314"/>
      <c r="O4" s="1314"/>
      <c r="P4" s="1317"/>
      <c r="Q4" s="1324" t="s">
        <v>3</v>
      </c>
      <c r="R4" s="1314"/>
      <c r="S4" s="1314"/>
      <c r="T4" s="1314"/>
      <c r="U4" s="1317"/>
    </row>
    <row r="5" spans="1:21" ht="15.75" customHeight="1" x14ac:dyDescent="0.3">
      <c r="A5" s="1325" t="s">
        <v>4</v>
      </c>
      <c r="B5" s="1322"/>
      <c r="C5" s="1322"/>
      <c r="D5" s="1322"/>
      <c r="E5" s="1322"/>
      <c r="F5" s="1322"/>
      <c r="G5" s="1326"/>
      <c r="H5" s="1243" t="s">
        <v>5</v>
      </c>
      <c r="I5" s="1328" t="s">
        <v>6</v>
      </c>
      <c r="J5" s="1314"/>
      <c r="K5" s="1317"/>
      <c r="L5" s="1329" t="s">
        <v>7</v>
      </c>
      <c r="M5" s="1317"/>
      <c r="N5" s="1330" t="s">
        <v>8</v>
      </c>
      <c r="O5" s="1314"/>
      <c r="P5" s="1317"/>
      <c r="Q5" s="1331" t="s">
        <v>7</v>
      </c>
      <c r="R5" s="1317"/>
      <c r="S5" s="1330" t="s">
        <v>8</v>
      </c>
      <c r="T5" s="1314"/>
      <c r="U5" s="1317"/>
    </row>
    <row r="6" spans="1:21" ht="15.75" customHeight="1" x14ac:dyDescent="0.3">
      <c r="A6" s="1327"/>
      <c r="B6" s="1314"/>
      <c r="C6" s="1314"/>
      <c r="D6" s="1314"/>
      <c r="E6" s="1314"/>
      <c r="F6" s="1314"/>
      <c r="G6" s="1317"/>
      <c r="H6" s="1244"/>
      <c r="I6" s="518" t="s">
        <v>9</v>
      </c>
      <c r="J6" s="519" t="s">
        <v>10</v>
      </c>
      <c r="K6" s="518" t="s">
        <v>11</v>
      </c>
      <c r="L6" s="520" t="s">
        <v>12</v>
      </c>
      <c r="M6" s="521" t="s">
        <v>13</v>
      </c>
      <c r="N6" s="522" t="s">
        <v>14</v>
      </c>
      <c r="O6" s="523" t="s">
        <v>15</v>
      </c>
      <c r="P6" s="524" t="s">
        <v>16</v>
      </c>
      <c r="Q6" s="525" t="s">
        <v>12</v>
      </c>
      <c r="R6" s="521" t="s">
        <v>13</v>
      </c>
      <c r="S6" s="522" t="s">
        <v>14</v>
      </c>
      <c r="T6" s="523" t="s">
        <v>15</v>
      </c>
      <c r="U6" s="524" t="s">
        <v>16</v>
      </c>
    </row>
    <row r="7" spans="1:21" ht="12.75" hidden="1" x14ac:dyDescent="0.2">
      <c r="A7" s="1316"/>
      <c r="B7" s="1314"/>
      <c r="C7" s="1314"/>
      <c r="D7" s="1314"/>
      <c r="E7" s="1314"/>
      <c r="F7" s="1314"/>
      <c r="G7" s="1317"/>
      <c r="H7" s="526"/>
      <c r="I7" s="527"/>
      <c r="J7" s="527"/>
      <c r="K7" s="528"/>
      <c r="L7" s="529"/>
      <c r="M7" s="528"/>
      <c r="N7" s="528"/>
      <c r="O7" s="528"/>
      <c r="P7" s="528"/>
      <c r="Q7" s="528"/>
      <c r="R7" s="528"/>
      <c r="S7" s="528"/>
      <c r="T7" s="528"/>
      <c r="U7" s="528"/>
    </row>
    <row r="8" spans="1:21" ht="12.75" hidden="1" x14ac:dyDescent="0.2">
      <c r="A8" s="530"/>
      <c r="B8" s="531"/>
      <c r="C8" s="531"/>
      <c r="D8" s="531"/>
      <c r="E8" s="531"/>
      <c r="F8" s="531"/>
      <c r="G8" s="532"/>
      <c r="H8" s="532"/>
      <c r="I8" s="533"/>
      <c r="J8" s="533"/>
      <c r="K8" s="534"/>
      <c r="L8" s="535"/>
      <c r="M8" s="534"/>
      <c r="N8" s="534"/>
      <c r="O8" s="534"/>
      <c r="P8" s="534"/>
      <c r="Q8" s="534"/>
      <c r="R8" s="534"/>
      <c r="S8" s="534"/>
      <c r="T8" s="534"/>
      <c r="U8" s="534"/>
    </row>
    <row r="9" spans="1:21" ht="12.75" hidden="1" x14ac:dyDescent="0.2">
      <c r="A9" s="530"/>
      <c r="B9" s="531"/>
      <c r="C9" s="531"/>
      <c r="D9" s="531"/>
      <c r="E9" s="531"/>
      <c r="F9" s="531"/>
      <c r="G9" s="532"/>
      <c r="H9" s="532"/>
      <c r="I9" s="533"/>
      <c r="J9" s="533"/>
      <c r="K9" s="534"/>
      <c r="L9" s="535"/>
      <c r="M9" s="534"/>
      <c r="N9" s="534"/>
      <c r="O9" s="534"/>
      <c r="P9" s="534"/>
      <c r="Q9" s="534"/>
      <c r="R9" s="534"/>
      <c r="S9" s="534"/>
      <c r="T9" s="534"/>
      <c r="U9" s="534"/>
    </row>
    <row r="10" spans="1:21" ht="12.75" hidden="1" x14ac:dyDescent="0.2">
      <c r="A10" s="530"/>
      <c r="B10" s="531"/>
      <c r="C10" s="531"/>
      <c r="D10" s="531"/>
      <c r="E10" s="531"/>
      <c r="F10" s="531"/>
      <c r="G10" s="532"/>
      <c r="H10" s="532"/>
      <c r="I10" s="533"/>
      <c r="J10" s="533"/>
      <c r="K10" s="534"/>
      <c r="L10" s="535"/>
      <c r="M10" s="534"/>
      <c r="N10" s="534"/>
      <c r="O10" s="534"/>
      <c r="P10" s="534"/>
      <c r="Q10" s="534"/>
      <c r="R10" s="534"/>
      <c r="S10" s="534"/>
      <c r="T10" s="534"/>
      <c r="U10" s="534"/>
    </row>
    <row r="11" spans="1:21" ht="12.75" hidden="1" x14ac:dyDescent="0.2">
      <c r="A11" s="530"/>
      <c r="B11" s="531"/>
      <c r="C11" s="531"/>
      <c r="D11" s="531"/>
      <c r="E11" s="531"/>
      <c r="F11" s="531"/>
      <c r="G11" s="532"/>
      <c r="H11" s="532"/>
      <c r="I11" s="533"/>
      <c r="J11" s="533"/>
      <c r="K11" s="534"/>
      <c r="L11" s="535"/>
      <c r="M11" s="534"/>
      <c r="N11" s="534"/>
      <c r="O11" s="534"/>
      <c r="P11" s="534"/>
      <c r="Q11" s="534"/>
      <c r="R11" s="534"/>
      <c r="S11" s="534"/>
      <c r="T11" s="534"/>
      <c r="U11" s="534"/>
    </row>
    <row r="12" spans="1:21" ht="12.75" hidden="1" x14ac:dyDescent="0.2">
      <c r="A12" s="530"/>
      <c r="B12" s="531"/>
      <c r="C12" s="531"/>
      <c r="D12" s="531"/>
      <c r="E12" s="531"/>
      <c r="F12" s="531"/>
      <c r="G12" s="532"/>
      <c r="H12" s="532"/>
      <c r="I12" s="533"/>
      <c r="J12" s="533"/>
      <c r="K12" s="534"/>
      <c r="L12" s="535"/>
      <c r="M12" s="534"/>
      <c r="N12" s="534"/>
      <c r="O12" s="534"/>
      <c r="P12" s="534"/>
      <c r="Q12" s="534"/>
      <c r="R12" s="534"/>
      <c r="S12" s="534"/>
      <c r="T12" s="534"/>
      <c r="U12" s="534"/>
    </row>
    <row r="13" spans="1:21" ht="12.75" hidden="1" x14ac:dyDescent="0.2">
      <c r="A13" s="530"/>
      <c r="B13" s="531"/>
      <c r="C13" s="531"/>
      <c r="D13" s="531"/>
      <c r="E13" s="531"/>
      <c r="F13" s="531"/>
      <c r="G13" s="532"/>
      <c r="H13" s="532"/>
      <c r="I13" s="533"/>
      <c r="J13" s="533"/>
      <c r="K13" s="534"/>
      <c r="L13" s="535"/>
      <c r="M13" s="534"/>
      <c r="N13" s="534"/>
      <c r="O13" s="534"/>
      <c r="P13" s="534"/>
      <c r="Q13" s="534"/>
      <c r="R13" s="534"/>
      <c r="S13" s="534"/>
      <c r="T13" s="534"/>
      <c r="U13" s="534"/>
    </row>
    <row r="14" spans="1:21" ht="12.75" hidden="1" x14ac:dyDescent="0.2">
      <c r="A14" s="530"/>
      <c r="B14" s="531"/>
      <c r="C14" s="531"/>
      <c r="D14" s="531"/>
      <c r="E14" s="531"/>
      <c r="F14" s="531"/>
      <c r="G14" s="532"/>
      <c r="H14" s="532"/>
      <c r="I14" s="533"/>
      <c r="J14" s="533"/>
      <c r="K14" s="534"/>
      <c r="L14" s="535"/>
      <c r="M14" s="534"/>
      <c r="N14" s="534"/>
      <c r="O14" s="534"/>
      <c r="P14" s="534"/>
      <c r="Q14" s="534"/>
      <c r="R14" s="534"/>
      <c r="S14" s="534"/>
      <c r="T14" s="534"/>
      <c r="U14" s="534"/>
    </row>
    <row r="15" spans="1:21" ht="12.75" hidden="1" x14ac:dyDescent="0.2">
      <c r="A15" s="530"/>
      <c r="B15" s="531"/>
      <c r="C15" s="531"/>
      <c r="D15" s="531"/>
      <c r="E15" s="531"/>
      <c r="F15" s="531"/>
      <c r="G15" s="532"/>
      <c r="H15" s="532"/>
      <c r="I15" s="533"/>
      <c r="J15" s="533"/>
      <c r="K15" s="534"/>
      <c r="L15" s="535"/>
      <c r="M15" s="534"/>
      <c r="N15" s="534"/>
      <c r="O15" s="534"/>
      <c r="P15" s="534"/>
      <c r="Q15" s="534"/>
      <c r="R15" s="534"/>
      <c r="S15" s="534"/>
      <c r="T15" s="534"/>
      <c r="U15" s="534"/>
    </row>
    <row r="16" spans="1:21" ht="12.75" hidden="1" x14ac:dyDescent="0.2">
      <c r="A16" s="536"/>
      <c r="B16" s="537"/>
      <c r="C16" s="537"/>
      <c r="D16" s="537"/>
      <c r="E16" s="537"/>
      <c r="F16" s="537"/>
      <c r="G16" s="526"/>
      <c r="H16" s="526"/>
      <c r="I16" s="527"/>
      <c r="J16" s="527"/>
      <c r="K16" s="528"/>
      <c r="L16" s="529"/>
      <c r="M16" s="528"/>
      <c r="N16" s="528"/>
      <c r="O16" s="528"/>
      <c r="P16" s="528"/>
      <c r="Q16" s="528"/>
      <c r="R16" s="528"/>
      <c r="S16" s="528"/>
      <c r="T16" s="528"/>
      <c r="U16" s="528"/>
    </row>
    <row r="17" spans="1:21" ht="15.75" customHeight="1" x14ac:dyDescent="0.3">
      <c r="A17" s="1318" t="s">
        <v>298</v>
      </c>
      <c r="B17" s="1314"/>
      <c r="C17" s="1314"/>
      <c r="D17" s="1314"/>
      <c r="E17" s="1314"/>
      <c r="F17" s="1314"/>
      <c r="G17" s="1317"/>
      <c r="H17" s="538"/>
      <c r="I17" s="539"/>
      <c r="J17" s="539"/>
      <c r="K17" s="540"/>
      <c r="L17" s="541"/>
      <c r="M17" s="540"/>
      <c r="N17" s="540"/>
      <c r="O17" s="540"/>
      <c r="P17" s="540"/>
      <c r="Q17" s="540"/>
      <c r="R17" s="540"/>
      <c r="S17" s="540"/>
      <c r="T17" s="540"/>
      <c r="U17" s="540"/>
    </row>
    <row r="18" spans="1:21" ht="15.75" customHeight="1" x14ac:dyDescent="0.3">
      <c r="A18" s="542"/>
      <c r="B18" s="543"/>
      <c r="C18" s="544" t="s">
        <v>18</v>
      </c>
      <c r="D18" s="545" t="s">
        <v>19</v>
      </c>
      <c r="E18" s="543"/>
      <c r="F18" s="543"/>
      <c r="G18" s="546"/>
      <c r="H18" s="547" t="s">
        <v>14</v>
      </c>
      <c r="I18" s="548"/>
      <c r="J18" s="548"/>
      <c r="K18" s="549"/>
      <c r="L18" s="550">
        <f t="shared" ref="L18:N18" ca="1" si="0">L19+L20</f>
        <v>6943080</v>
      </c>
      <c r="M18" s="551">
        <f t="shared" ca="1" si="0"/>
        <v>6946628</v>
      </c>
      <c r="N18" s="551">
        <f t="shared" ca="1" si="0"/>
        <v>1956070.08</v>
      </c>
      <c r="O18" s="551">
        <f t="shared" ref="O18:O26" ca="1" si="1">IF(L18&gt;0,N18*100/L18,0)</f>
        <v>28.172944572149536</v>
      </c>
      <c r="P18" s="551">
        <f t="shared" ref="P18:P26" ca="1" si="2">IF(M18&gt;0,N18*100/M18,0)</f>
        <v>28.158555201170984</v>
      </c>
      <c r="Q18" s="551">
        <f t="shared" ref="Q18:S18" ca="1" si="3">Q19+Q20</f>
        <v>3010673.39</v>
      </c>
      <c r="R18" s="551">
        <f t="shared" ca="1" si="3"/>
        <v>3010673</v>
      </c>
      <c r="S18" s="551">
        <f t="shared" ca="1" si="3"/>
        <v>328432.95</v>
      </c>
      <c r="T18" s="551">
        <f t="shared" ref="T18:T26" ca="1" si="4">IF(Q18&gt;0,S18*100/Q18,0)</f>
        <v>10.908953162800564</v>
      </c>
      <c r="U18" s="551">
        <f t="shared" ref="U18:U26" ca="1" si="5">IF(R18&gt;0,S18*100/R18,0)</f>
        <v>10.908954575937008</v>
      </c>
    </row>
    <row r="19" spans="1:21" ht="15.75" customHeight="1" x14ac:dyDescent="0.25">
      <c r="A19" s="542"/>
      <c r="B19" s="543"/>
      <c r="C19" s="543"/>
      <c r="D19" s="543"/>
      <c r="E19" s="552" t="s">
        <v>20</v>
      </c>
      <c r="F19" s="543"/>
      <c r="G19" s="546"/>
      <c r="H19" s="553" t="s">
        <v>14</v>
      </c>
      <c r="I19" s="548"/>
      <c r="J19" s="548"/>
      <c r="K19" s="549"/>
      <c r="L19" s="554">
        <f t="shared" ref="L19:N20" si="6">L22+L25</f>
        <v>0</v>
      </c>
      <c r="M19" s="555">
        <f t="shared" si="6"/>
        <v>0</v>
      </c>
      <c r="N19" s="555">
        <f t="shared" si="6"/>
        <v>0</v>
      </c>
      <c r="O19" s="555">
        <f t="shared" si="1"/>
        <v>0</v>
      </c>
      <c r="P19" s="555">
        <f t="shared" si="2"/>
        <v>0</v>
      </c>
      <c r="Q19" s="555">
        <f t="shared" ref="Q19:S20" si="7">Q22+Q25</f>
        <v>0</v>
      </c>
      <c r="R19" s="555">
        <f t="shared" si="7"/>
        <v>0</v>
      </c>
      <c r="S19" s="555">
        <f t="shared" si="7"/>
        <v>0</v>
      </c>
      <c r="T19" s="555">
        <f t="shared" si="4"/>
        <v>0</v>
      </c>
      <c r="U19" s="555">
        <f t="shared" si="5"/>
        <v>0</v>
      </c>
    </row>
    <row r="20" spans="1:21" ht="15.75" customHeight="1" x14ac:dyDescent="0.25">
      <c r="A20" s="542"/>
      <c r="B20" s="543"/>
      <c r="C20" s="543"/>
      <c r="D20" s="543"/>
      <c r="E20" s="556" t="s">
        <v>21</v>
      </c>
      <c r="F20" s="543"/>
      <c r="G20" s="546"/>
      <c r="H20" s="557" t="s">
        <v>14</v>
      </c>
      <c r="I20" s="548"/>
      <c r="J20" s="548"/>
      <c r="K20" s="549"/>
      <c r="L20" s="558">
        <f t="shared" ca="1" si="6"/>
        <v>6943080</v>
      </c>
      <c r="M20" s="559">
        <f t="shared" ca="1" si="6"/>
        <v>6946628</v>
      </c>
      <c r="N20" s="559">
        <f t="shared" ca="1" si="6"/>
        <v>1956070.08</v>
      </c>
      <c r="O20" s="559">
        <f t="shared" ca="1" si="1"/>
        <v>28.172944572149536</v>
      </c>
      <c r="P20" s="559">
        <f t="shared" ca="1" si="2"/>
        <v>28.158555201170984</v>
      </c>
      <c r="Q20" s="559">
        <f t="shared" ca="1" si="7"/>
        <v>3010673.39</v>
      </c>
      <c r="R20" s="559">
        <f t="shared" ca="1" si="7"/>
        <v>3010673</v>
      </c>
      <c r="S20" s="559">
        <f t="shared" ca="1" si="7"/>
        <v>328432.95</v>
      </c>
      <c r="T20" s="559">
        <f t="shared" ca="1" si="4"/>
        <v>10.908953162800564</v>
      </c>
      <c r="U20" s="559">
        <f t="shared" ca="1" si="5"/>
        <v>10.908954575937008</v>
      </c>
    </row>
    <row r="21" spans="1:21" ht="15.75" customHeight="1" x14ac:dyDescent="0.25">
      <c r="A21" s="560"/>
      <c r="B21" s="561"/>
      <c r="C21" s="561"/>
      <c r="D21" s="562" t="s">
        <v>22</v>
      </c>
      <c r="E21" s="561"/>
      <c r="F21" s="561"/>
      <c r="G21" s="563"/>
      <c r="H21" s="564" t="s">
        <v>14</v>
      </c>
      <c r="I21" s="565"/>
      <c r="J21" s="565"/>
      <c r="K21" s="566"/>
      <c r="L21" s="567">
        <f t="shared" ref="L21:N21" ca="1" si="8">L22+L23</f>
        <v>2723080</v>
      </c>
      <c r="M21" s="568">
        <f t="shared" ca="1" si="8"/>
        <v>2726628</v>
      </c>
      <c r="N21" s="568">
        <f t="shared" ca="1" si="8"/>
        <v>1956070.08</v>
      </c>
      <c r="O21" s="568">
        <f t="shared" ca="1" si="1"/>
        <v>71.833000866665685</v>
      </c>
      <c r="P21" s="568">
        <f t="shared" ca="1" si="2"/>
        <v>71.73952882461414</v>
      </c>
      <c r="Q21" s="568">
        <f t="shared" ref="Q21:S21" ca="1" si="9">Q22+Q23</f>
        <v>3010673.39</v>
      </c>
      <c r="R21" s="568">
        <f t="shared" ca="1" si="9"/>
        <v>3010673</v>
      </c>
      <c r="S21" s="568">
        <f t="shared" ca="1" si="9"/>
        <v>328432.95</v>
      </c>
      <c r="T21" s="568">
        <f t="shared" ca="1" si="4"/>
        <v>10.908953162800564</v>
      </c>
      <c r="U21" s="568">
        <f t="shared" ca="1" si="5"/>
        <v>10.908954575937008</v>
      </c>
    </row>
    <row r="22" spans="1:21" ht="15.75" customHeight="1" x14ac:dyDescent="0.25">
      <c r="A22" s="560"/>
      <c r="B22" s="561"/>
      <c r="C22" s="561"/>
      <c r="D22" s="561"/>
      <c r="E22" s="569" t="s">
        <v>20</v>
      </c>
      <c r="F22" s="561"/>
      <c r="G22" s="563"/>
      <c r="H22" s="570" t="s">
        <v>14</v>
      </c>
      <c r="I22" s="565"/>
      <c r="J22" s="565"/>
      <c r="K22" s="566"/>
      <c r="L22" s="571">
        <f t="shared" ref="L22:N23" si="10">L48+L63+L76+L98+L129+L143+L161+L190+L177+L270+L286+L307+L324+L337+L360+L517</f>
        <v>0</v>
      </c>
      <c r="M22" s="572">
        <f t="shared" si="10"/>
        <v>0</v>
      </c>
      <c r="N22" s="572">
        <f t="shared" si="10"/>
        <v>0</v>
      </c>
      <c r="O22" s="572">
        <f t="shared" si="1"/>
        <v>0</v>
      </c>
      <c r="P22" s="572">
        <f t="shared" si="2"/>
        <v>0</v>
      </c>
      <c r="Q22" s="572">
        <f t="shared" ref="Q22:S23" si="11">Q76+Q98+Q121+Q143+Q161+Q177+Q190+Q270+Q286+Q307+Q337+Q379+Q396+Q417+Q497+Q603+Q620+Q646+Q694+Q718+Q732+Q764</f>
        <v>0</v>
      </c>
      <c r="R22" s="572">
        <f t="shared" si="11"/>
        <v>0</v>
      </c>
      <c r="S22" s="572">
        <f t="shared" si="11"/>
        <v>0</v>
      </c>
      <c r="T22" s="572">
        <f t="shared" si="4"/>
        <v>0</v>
      </c>
      <c r="U22" s="572">
        <f t="shared" si="5"/>
        <v>0</v>
      </c>
    </row>
    <row r="23" spans="1:21" ht="15.75" customHeight="1" x14ac:dyDescent="0.25">
      <c r="A23" s="560"/>
      <c r="B23" s="561"/>
      <c r="C23" s="561"/>
      <c r="D23" s="561"/>
      <c r="E23" s="573" t="s">
        <v>21</v>
      </c>
      <c r="F23" s="561"/>
      <c r="G23" s="563"/>
      <c r="H23" s="564" t="s">
        <v>14</v>
      </c>
      <c r="I23" s="565"/>
      <c r="J23" s="565"/>
      <c r="K23" s="566"/>
      <c r="L23" s="567">
        <f t="shared" ca="1" si="10"/>
        <v>2723080</v>
      </c>
      <c r="M23" s="568">
        <f t="shared" ca="1" si="10"/>
        <v>2726628</v>
      </c>
      <c r="N23" s="568">
        <f t="shared" ca="1" si="10"/>
        <v>1956070.08</v>
      </c>
      <c r="O23" s="568">
        <f t="shared" ca="1" si="1"/>
        <v>71.833000866665685</v>
      </c>
      <c r="P23" s="568">
        <f t="shared" ca="1" si="2"/>
        <v>71.73952882461414</v>
      </c>
      <c r="Q23" s="568">
        <f t="shared" ca="1" si="11"/>
        <v>3010673.39</v>
      </c>
      <c r="R23" s="568">
        <f t="shared" ca="1" si="11"/>
        <v>3010673</v>
      </c>
      <c r="S23" s="568">
        <f t="shared" ca="1" si="11"/>
        <v>328432.95</v>
      </c>
      <c r="T23" s="568">
        <f t="shared" ca="1" si="4"/>
        <v>10.908953162800564</v>
      </c>
      <c r="U23" s="568">
        <f t="shared" ca="1" si="5"/>
        <v>10.908954575937008</v>
      </c>
    </row>
    <row r="24" spans="1:21" ht="15.75" customHeight="1" x14ac:dyDescent="0.25">
      <c r="A24" s="560"/>
      <c r="B24" s="561"/>
      <c r="C24" s="561"/>
      <c r="D24" s="562" t="s">
        <v>23</v>
      </c>
      <c r="E24" s="561"/>
      <c r="F24" s="561"/>
      <c r="G24" s="563"/>
      <c r="H24" s="564" t="s">
        <v>14</v>
      </c>
      <c r="I24" s="565"/>
      <c r="J24" s="565"/>
      <c r="K24" s="566"/>
      <c r="L24" s="567">
        <f t="shared" ref="L24:N24" ca="1" si="12">L25+L26</f>
        <v>4220000</v>
      </c>
      <c r="M24" s="568">
        <f t="shared" ca="1" si="12"/>
        <v>4220000</v>
      </c>
      <c r="N24" s="568">
        <f t="shared" ca="1" si="12"/>
        <v>0</v>
      </c>
      <c r="O24" s="568">
        <f t="shared" ca="1" si="1"/>
        <v>0</v>
      </c>
      <c r="P24" s="568">
        <f t="shared" ca="1" si="2"/>
        <v>0</v>
      </c>
      <c r="Q24" s="568">
        <f t="shared" ref="Q24:S24" ca="1" si="13">Q25+Q26</f>
        <v>0</v>
      </c>
      <c r="R24" s="568">
        <f t="shared" ca="1" si="13"/>
        <v>0</v>
      </c>
      <c r="S24" s="568">
        <f t="shared" ca="1" si="13"/>
        <v>0</v>
      </c>
      <c r="T24" s="568">
        <f t="shared" ca="1" si="4"/>
        <v>0</v>
      </c>
      <c r="U24" s="568">
        <f t="shared" ca="1" si="5"/>
        <v>0</v>
      </c>
    </row>
    <row r="25" spans="1:21" ht="15.75" customHeight="1" x14ac:dyDescent="0.25">
      <c r="A25" s="560"/>
      <c r="B25" s="561"/>
      <c r="C25" s="561"/>
      <c r="D25" s="561"/>
      <c r="E25" s="569" t="s">
        <v>20</v>
      </c>
      <c r="F25" s="561"/>
      <c r="G25" s="563"/>
      <c r="H25" s="570" t="s">
        <v>14</v>
      </c>
      <c r="I25" s="565"/>
      <c r="J25" s="565"/>
      <c r="K25" s="566"/>
      <c r="L25" s="571">
        <f t="shared" ref="L25:N26" si="14">L51+L66+L79+L101+L132+L146+L164+L193+L180+L273+L289+L310+L327+L340+L363+L520</f>
        <v>0</v>
      </c>
      <c r="M25" s="572">
        <f t="shared" si="14"/>
        <v>0</v>
      </c>
      <c r="N25" s="572">
        <f t="shared" si="14"/>
        <v>0</v>
      </c>
      <c r="O25" s="572">
        <f t="shared" si="1"/>
        <v>0</v>
      </c>
      <c r="P25" s="572">
        <f t="shared" si="2"/>
        <v>0</v>
      </c>
      <c r="Q25" s="572">
        <f t="shared" ref="Q25:S26" si="15">Q79+Q101+Q124+Q146+Q164+Q180+Q193+Q273+Q289+Q310+Q340+Q382+Q399+Q420+Q500+Q606+Q623+Q649+Q697+Q721+Q735+Q767</f>
        <v>0</v>
      </c>
      <c r="R25" s="572">
        <f t="shared" si="15"/>
        <v>0</v>
      </c>
      <c r="S25" s="572">
        <f t="shared" si="15"/>
        <v>0</v>
      </c>
      <c r="T25" s="572">
        <f t="shared" si="4"/>
        <v>0</v>
      </c>
      <c r="U25" s="572">
        <f t="shared" si="5"/>
        <v>0</v>
      </c>
    </row>
    <row r="26" spans="1:21" ht="15.75" customHeight="1" x14ac:dyDescent="0.25">
      <c r="A26" s="560"/>
      <c r="B26" s="561"/>
      <c r="C26" s="561"/>
      <c r="D26" s="561"/>
      <c r="E26" s="573" t="s">
        <v>21</v>
      </c>
      <c r="F26" s="561"/>
      <c r="G26" s="563"/>
      <c r="H26" s="564" t="s">
        <v>14</v>
      </c>
      <c r="I26" s="565"/>
      <c r="J26" s="565"/>
      <c r="K26" s="566"/>
      <c r="L26" s="567">
        <f t="shared" ca="1" si="14"/>
        <v>4220000</v>
      </c>
      <c r="M26" s="568">
        <f t="shared" ca="1" si="14"/>
        <v>4220000</v>
      </c>
      <c r="N26" s="568">
        <f t="shared" ca="1" si="14"/>
        <v>0</v>
      </c>
      <c r="O26" s="568">
        <f t="shared" ca="1" si="1"/>
        <v>0</v>
      </c>
      <c r="P26" s="568">
        <f t="shared" ca="1" si="2"/>
        <v>0</v>
      </c>
      <c r="Q26" s="572">
        <f t="shared" ca="1" si="15"/>
        <v>0</v>
      </c>
      <c r="R26" s="572">
        <f t="shared" ca="1" si="15"/>
        <v>0</v>
      </c>
      <c r="S26" s="572">
        <f t="shared" ca="1" si="15"/>
        <v>0</v>
      </c>
      <c r="T26" s="568">
        <f t="shared" ca="1" si="4"/>
        <v>0</v>
      </c>
      <c r="U26" s="568">
        <f t="shared" ca="1" si="5"/>
        <v>0</v>
      </c>
    </row>
    <row r="27" spans="1:21" ht="15.75" customHeight="1" x14ac:dyDescent="0.25">
      <c r="A27" s="560"/>
      <c r="B27" s="561"/>
      <c r="C27" s="561"/>
      <c r="D27" s="562" t="s">
        <v>24</v>
      </c>
      <c r="E27" s="561"/>
      <c r="F27" s="561"/>
      <c r="G27" s="563"/>
      <c r="H27" s="564" t="s">
        <v>14</v>
      </c>
      <c r="I27" s="565"/>
      <c r="J27" s="565"/>
      <c r="K27" s="566"/>
      <c r="L27" s="574"/>
      <c r="M27" s="566"/>
      <c r="N27" s="566"/>
      <c r="O27" s="566"/>
      <c r="P27" s="566"/>
      <c r="Q27" s="566"/>
      <c r="R27" s="566"/>
      <c r="S27" s="566"/>
      <c r="T27" s="566"/>
      <c r="U27" s="566"/>
    </row>
    <row r="28" spans="1:21" ht="15.75" customHeight="1" x14ac:dyDescent="0.25">
      <c r="A28" s="560"/>
      <c r="B28" s="561"/>
      <c r="C28" s="561"/>
      <c r="D28" s="561"/>
      <c r="E28" s="569" t="s">
        <v>20</v>
      </c>
      <c r="F28" s="561"/>
      <c r="G28" s="563"/>
      <c r="H28" s="570" t="s">
        <v>14</v>
      </c>
      <c r="I28" s="565"/>
      <c r="J28" s="565"/>
      <c r="K28" s="566"/>
      <c r="L28" s="574"/>
      <c r="M28" s="566"/>
      <c r="N28" s="566"/>
      <c r="O28" s="566"/>
      <c r="P28" s="566"/>
      <c r="Q28" s="566"/>
      <c r="R28" s="566"/>
      <c r="S28" s="566"/>
      <c r="T28" s="566"/>
      <c r="U28" s="566"/>
    </row>
    <row r="29" spans="1:21" ht="15.75" customHeight="1" x14ac:dyDescent="0.25">
      <c r="A29" s="575"/>
      <c r="B29" s="513"/>
      <c r="C29" s="513"/>
      <c r="D29" s="513"/>
      <c r="E29" s="576" t="s">
        <v>21</v>
      </c>
      <c r="F29" s="513"/>
      <c r="G29" s="577"/>
      <c r="H29" s="578" t="s">
        <v>14</v>
      </c>
      <c r="I29" s="579"/>
      <c r="J29" s="579"/>
      <c r="K29" s="580"/>
      <c r="L29" s="581"/>
      <c r="M29" s="580"/>
      <c r="N29" s="580"/>
      <c r="O29" s="580"/>
      <c r="P29" s="580"/>
      <c r="Q29" s="580"/>
      <c r="R29" s="580"/>
      <c r="S29" s="580"/>
      <c r="T29" s="580"/>
      <c r="U29" s="580"/>
    </row>
    <row r="30" spans="1:21" ht="12.75" hidden="1" x14ac:dyDescent="0.2">
      <c r="A30" s="1316"/>
      <c r="B30" s="1314"/>
      <c r="C30" s="1314"/>
      <c r="D30" s="1314"/>
      <c r="E30" s="1314"/>
      <c r="F30" s="1314"/>
      <c r="G30" s="1317"/>
      <c r="H30" s="526"/>
      <c r="I30" s="527"/>
      <c r="J30" s="527"/>
      <c r="K30" s="528"/>
      <c r="L30" s="529"/>
      <c r="M30" s="528"/>
      <c r="N30" s="528"/>
      <c r="O30" s="528"/>
      <c r="P30" s="528"/>
      <c r="Q30" s="528"/>
      <c r="R30" s="528"/>
      <c r="S30" s="528"/>
      <c r="T30" s="528"/>
      <c r="U30" s="528"/>
    </row>
    <row r="31" spans="1:21" ht="12.75" hidden="1" x14ac:dyDescent="0.2">
      <c r="A31" s="530"/>
      <c r="B31" s="531"/>
      <c r="C31" s="531"/>
      <c r="D31" s="531"/>
      <c r="E31" s="531"/>
      <c r="F31" s="531"/>
      <c r="G31" s="532"/>
      <c r="H31" s="532"/>
      <c r="I31" s="533"/>
      <c r="J31" s="533"/>
      <c r="K31" s="534"/>
      <c r="L31" s="535"/>
      <c r="M31" s="534"/>
      <c r="N31" s="534"/>
      <c r="O31" s="534"/>
      <c r="P31" s="534"/>
      <c r="Q31" s="534"/>
      <c r="R31" s="534"/>
      <c r="S31" s="534"/>
      <c r="T31" s="534"/>
      <c r="U31" s="534"/>
    </row>
    <row r="32" spans="1:21" ht="12.75" hidden="1" x14ac:dyDescent="0.2">
      <c r="A32" s="530"/>
      <c r="B32" s="531"/>
      <c r="C32" s="531"/>
      <c r="D32" s="531"/>
      <c r="E32" s="531"/>
      <c r="F32" s="531"/>
      <c r="G32" s="532"/>
      <c r="H32" s="532"/>
      <c r="I32" s="533"/>
      <c r="J32" s="533"/>
      <c r="K32" s="534"/>
      <c r="L32" s="535"/>
      <c r="M32" s="534"/>
      <c r="N32" s="534"/>
      <c r="O32" s="534"/>
      <c r="P32" s="534"/>
      <c r="Q32" s="534"/>
      <c r="R32" s="534"/>
      <c r="S32" s="534"/>
      <c r="T32" s="534"/>
      <c r="U32" s="534"/>
    </row>
    <row r="33" spans="1:21" ht="12.75" hidden="1" x14ac:dyDescent="0.2">
      <c r="A33" s="530"/>
      <c r="B33" s="531"/>
      <c r="C33" s="531"/>
      <c r="D33" s="531"/>
      <c r="E33" s="531"/>
      <c r="F33" s="531"/>
      <c r="G33" s="532"/>
      <c r="H33" s="532"/>
      <c r="I33" s="533"/>
      <c r="J33" s="533"/>
      <c r="K33" s="534"/>
      <c r="L33" s="535"/>
      <c r="M33" s="534"/>
      <c r="N33" s="534"/>
      <c r="O33" s="534"/>
      <c r="P33" s="534"/>
      <c r="Q33" s="534"/>
      <c r="R33" s="534"/>
      <c r="S33" s="534"/>
      <c r="T33" s="534"/>
      <c r="U33" s="534"/>
    </row>
    <row r="34" spans="1:21" ht="12.75" hidden="1" x14ac:dyDescent="0.2">
      <c r="A34" s="530"/>
      <c r="B34" s="531"/>
      <c r="C34" s="531"/>
      <c r="D34" s="531"/>
      <c r="E34" s="531"/>
      <c r="F34" s="531"/>
      <c r="G34" s="532"/>
      <c r="H34" s="532"/>
      <c r="I34" s="533"/>
      <c r="J34" s="533"/>
      <c r="K34" s="534"/>
      <c r="L34" s="535"/>
      <c r="M34" s="534"/>
      <c r="N34" s="534"/>
      <c r="O34" s="534"/>
      <c r="P34" s="534"/>
      <c r="Q34" s="534"/>
      <c r="R34" s="534"/>
      <c r="S34" s="534"/>
      <c r="T34" s="534"/>
      <c r="U34" s="534"/>
    </row>
    <row r="35" spans="1:21" ht="12.75" hidden="1" x14ac:dyDescent="0.2">
      <c r="A35" s="530"/>
      <c r="B35" s="531"/>
      <c r="C35" s="531"/>
      <c r="D35" s="531"/>
      <c r="E35" s="531"/>
      <c r="F35" s="531"/>
      <c r="G35" s="532"/>
      <c r="H35" s="532"/>
      <c r="I35" s="533"/>
      <c r="J35" s="533"/>
      <c r="K35" s="534"/>
      <c r="L35" s="535"/>
      <c r="M35" s="534"/>
      <c r="N35" s="534"/>
      <c r="O35" s="534"/>
      <c r="P35" s="534"/>
      <c r="Q35" s="534"/>
      <c r="R35" s="534"/>
      <c r="S35" s="534"/>
      <c r="T35" s="534"/>
      <c r="U35" s="534"/>
    </row>
    <row r="36" spans="1:21" ht="12.75" hidden="1" x14ac:dyDescent="0.2">
      <c r="A36" s="530"/>
      <c r="B36" s="531"/>
      <c r="C36" s="531"/>
      <c r="D36" s="531"/>
      <c r="E36" s="531"/>
      <c r="F36" s="531"/>
      <c r="G36" s="532"/>
      <c r="H36" s="532"/>
      <c r="I36" s="533"/>
      <c r="J36" s="533"/>
      <c r="K36" s="534"/>
      <c r="L36" s="535"/>
      <c r="M36" s="534"/>
      <c r="N36" s="534"/>
      <c r="O36" s="534"/>
      <c r="P36" s="534"/>
      <c r="Q36" s="534"/>
      <c r="R36" s="534"/>
      <c r="S36" s="534"/>
      <c r="T36" s="534"/>
      <c r="U36" s="534"/>
    </row>
    <row r="37" spans="1:21" ht="12.75" hidden="1" x14ac:dyDescent="0.2">
      <c r="A37" s="530"/>
      <c r="B37" s="531"/>
      <c r="C37" s="531"/>
      <c r="D37" s="531"/>
      <c r="E37" s="531"/>
      <c r="F37" s="531"/>
      <c r="G37" s="532"/>
      <c r="H37" s="532"/>
      <c r="I37" s="533"/>
      <c r="J37" s="533"/>
      <c r="K37" s="534"/>
      <c r="L37" s="535"/>
      <c r="M37" s="534"/>
      <c r="N37" s="534"/>
      <c r="O37" s="534"/>
      <c r="P37" s="534"/>
      <c r="Q37" s="534"/>
      <c r="R37" s="534"/>
      <c r="S37" s="534"/>
      <c r="T37" s="534"/>
      <c r="U37" s="534"/>
    </row>
    <row r="38" spans="1:21" ht="12.75" hidden="1" x14ac:dyDescent="0.2">
      <c r="A38" s="530"/>
      <c r="B38" s="531"/>
      <c r="C38" s="531"/>
      <c r="D38" s="531"/>
      <c r="E38" s="531"/>
      <c r="F38" s="531"/>
      <c r="G38" s="532"/>
      <c r="H38" s="532"/>
      <c r="I38" s="533"/>
      <c r="J38" s="533"/>
      <c r="K38" s="534"/>
      <c r="L38" s="535"/>
      <c r="M38" s="534"/>
      <c r="N38" s="534"/>
      <c r="O38" s="534"/>
      <c r="P38" s="534"/>
      <c r="Q38" s="534"/>
      <c r="R38" s="534"/>
      <c r="S38" s="534"/>
      <c r="T38" s="534"/>
      <c r="U38" s="534"/>
    </row>
    <row r="39" spans="1:21" ht="12.75" hidden="1" x14ac:dyDescent="0.2">
      <c r="A39" s="536"/>
      <c r="B39" s="537"/>
      <c r="C39" s="537"/>
      <c r="D39" s="537"/>
      <c r="E39" s="537"/>
      <c r="F39" s="537"/>
      <c r="G39" s="526"/>
      <c r="H39" s="526"/>
      <c r="I39" s="527"/>
      <c r="J39" s="527"/>
      <c r="K39" s="528"/>
      <c r="L39" s="529"/>
      <c r="M39" s="528"/>
      <c r="N39" s="528"/>
      <c r="O39" s="528"/>
      <c r="P39" s="528"/>
      <c r="Q39" s="528"/>
      <c r="R39" s="528"/>
      <c r="S39" s="528"/>
      <c r="T39" s="528"/>
      <c r="U39" s="528"/>
    </row>
    <row r="40" spans="1:21" ht="19.5" x14ac:dyDescent="0.3">
      <c r="A40" s="582" t="s">
        <v>25</v>
      </c>
      <c r="B40" s="583"/>
      <c r="C40" s="583"/>
      <c r="D40" s="583"/>
      <c r="E40" s="583"/>
      <c r="F40" s="583"/>
      <c r="G40" s="584"/>
      <c r="H40" s="584"/>
      <c r="I40" s="585"/>
      <c r="J40" s="585"/>
      <c r="K40" s="586"/>
      <c r="L40" s="587">
        <f t="shared" ref="L40:N40" ca="1" si="16">L44+L59+L72+L94+L125+L139+L157+L173+L186+L266+L282+L303+L320+L333+L356</f>
        <v>6943080</v>
      </c>
      <c r="M40" s="588">
        <f t="shared" ca="1" si="16"/>
        <v>6946628</v>
      </c>
      <c r="N40" s="588">
        <f t="shared" ca="1" si="16"/>
        <v>1956070.08</v>
      </c>
      <c r="O40" s="588">
        <f ca="1">IF(L40&gt;0,N40*100/L40,0)</f>
        <v>28.172944572149536</v>
      </c>
      <c r="P40" s="588">
        <f ca="1">IF(M40&gt;0,N40*100/M40,0)</f>
        <v>28.158555201170984</v>
      </c>
      <c r="Q40" s="586"/>
      <c r="R40" s="586"/>
      <c r="S40" s="586"/>
      <c r="T40" s="586"/>
      <c r="U40" s="586"/>
    </row>
    <row r="41" spans="1:21" ht="19.5" x14ac:dyDescent="0.3">
      <c r="A41" s="589" t="s">
        <v>26</v>
      </c>
      <c r="B41" s="590"/>
      <c r="C41" s="590"/>
      <c r="D41" s="590"/>
      <c r="E41" s="590"/>
      <c r="F41" s="590"/>
      <c r="G41" s="590"/>
      <c r="H41" s="590"/>
      <c r="I41" s="591"/>
      <c r="J41" s="591"/>
      <c r="K41" s="592"/>
      <c r="L41" s="592"/>
      <c r="M41" s="592"/>
      <c r="N41" s="592"/>
      <c r="O41" s="592"/>
      <c r="P41" s="593"/>
      <c r="Q41" s="592"/>
      <c r="R41" s="592"/>
      <c r="S41" s="592"/>
      <c r="T41" s="592"/>
      <c r="U41" s="593"/>
    </row>
    <row r="42" spans="1:21" ht="19.5" x14ac:dyDescent="0.3">
      <c r="A42" s="594"/>
      <c r="B42" s="595" t="s">
        <v>27</v>
      </c>
      <c r="C42" s="594"/>
      <c r="D42" s="594"/>
      <c r="E42" s="594"/>
      <c r="F42" s="594"/>
      <c r="G42" s="596"/>
      <c r="H42" s="596"/>
      <c r="I42" s="597"/>
      <c r="J42" s="597"/>
      <c r="K42" s="598"/>
      <c r="L42" s="599"/>
      <c r="M42" s="598"/>
      <c r="N42" s="598"/>
      <c r="O42" s="598"/>
      <c r="P42" s="598"/>
      <c r="Q42" s="598"/>
      <c r="R42" s="598"/>
      <c r="S42" s="598"/>
      <c r="T42" s="598"/>
      <c r="U42" s="598"/>
    </row>
    <row r="43" spans="1:21" ht="12.75" hidden="1" x14ac:dyDescent="0.2">
      <c r="A43" s="530"/>
      <c r="B43" s="531"/>
      <c r="C43" s="531"/>
      <c r="D43" s="531"/>
      <c r="E43" s="531"/>
      <c r="F43" s="531"/>
      <c r="G43" s="532"/>
      <c r="H43" s="532"/>
      <c r="I43" s="533"/>
      <c r="J43" s="533"/>
      <c r="K43" s="534"/>
      <c r="L43" s="535"/>
      <c r="M43" s="534"/>
      <c r="N43" s="534"/>
      <c r="O43" s="534"/>
      <c r="P43" s="534"/>
      <c r="Q43" s="534"/>
      <c r="R43" s="534"/>
      <c r="S43" s="534"/>
      <c r="T43" s="534"/>
      <c r="U43" s="534"/>
    </row>
    <row r="44" spans="1:21" ht="19.5" x14ac:dyDescent="0.3">
      <c r="A44" s="600"/>
      <c r="B44" s="601"/>
      <c r="C44" s="602" t="s">
        <v>18</v>
      </c>
      <c r="D44" s="603" t="s">
        <v>19</v>
      </c>
      <c r="E44" s="601"/>
      <c r="F44" s="601"/>
      <c r="G44" s="604"/>
      <c r="H44" s="605" t="s">
        <v>14</v>
      </c>
      <c r="I44" s="606"/>
      <c r="J44" s="606"/>
      <c r="K44" s="607"/>
      <c r="L44" s="608">
        <f t="shared" ref="L44:N44" ca="1" si="17">L45+L46</f>
        <v>461800</v>
      </c>
      <c r="M44" s="609">
        <f t="shared" ca="1" si="17"/>
        <v>463703</v>
      </c>
      <c r="N44" s="609">
        <f t="shared" ca="1" si="17"/>
        <v>322090</v>
      </c>
      <c r="O44" s="609">
        <f t="shared" ref="O44:O52" ca="1" si="18">IF(L44&gt;0,N44*100/L44,0)</f>
        <v>69.74664356864443</v>
      </c>
      <c r="P44" s="609">
        <f t="shared" ref="P44:P52" ca="1" si="19">IF(M44&gt;0,N44*100/M44,0)</f>
        <v>69.460408925540705</v>
      </c>
      <c r="Q44" s="609">
        <f t="shared" ref="Q44:S44" si="20">Q45+Q46</f>
        <v>0</v>
      </c>
      <c r="R44" s="609">
        <f t="shared" si="20"/>
        <v>0</v>
      </c>
      <c r="S44" s="609">
        <f t="shared" si="20"/>
        <v>0</v>
      </c>
      <c r="T44" s="609">
        <f t="shared" ref="T44:T52" si="21">IF(Q44&gt;0,S44*100/Q44,0)</f>
        <v>0</v>
      </c>
      <c r="U44" s="609">
        <f t="shared" ref="U44:U52" si="22">IF(R44&gt;0,S44*100/R44,0)</f>
        <v>0</v>
      </c>
    </row>
    <row r="45" spans="1:21" ht="18.75" x14ac:dyDescent="0.25">
      <c r="A45" s="600"/>
      <c r="B45" s="601"/>
      <c r="C45" s="601"/>
      <c r="D45" s="601"/>
      <c r="E45" s="610" t="s">
        <v>20</v>
      </c>
      <c r="F45" s="601"/>
      <c r="G45" s="604"/>
      <c r="H45" s="611" t="s">
        <v>14</v>
      </c>
      <c r="I45" s="606"/>
      <c r="J45" s="606"/>
      <c r="K45" s="607"/>
      <c r="L45" s="612">
        <f t="shared" ref="L45:N46" si="23">L48+L51</f>
        <v>0</v>
      </c>
      <c r="M45" s="613">
        <f t="shared" si="23"/>
        <v>0</v>
      </c>
      <c r="N45" s="613">
        <f t="shared" si="23"/>
        <v>0</v>
      </c>
      <c r="O45" s="613">
        <f t="shared" si="18"/>
        <v>0</v>
      </c>
      <c r="P45" s="613">
        <f t="shared" si="19"/>
        <v>0</v>
      </c>
      <c r="Q45" s="613">
        <f t="shared" ref="Q45:S46" si="24">Q48+Q51</f>
        <v>0</v>
      </c>
      <c r="R45" s="613">
        <f t="shared" si="24"/>
        <v>0</v>
      </c>
      <c r="S45" s="613">
        <f t="shared" si="24"/>
        <v>0</v>
      </c>
      <c r="T45" s="613">
        <f t="shared" si="21"/>
        <v>0</v>
      </c>
      <c r="U45" s="613">
        <f t="shared" si="22"/>
        <v>0</v>
      </c>
    </row>
    <row r="46" spans="1:21" ht="18.75" x14ac:dyDescent="0.25">
      <c r="A46" s="600"/>
      <c r="B46" s="601"/>
      <c r="C46" s="601"/>
      <c r="D46" s="601"/>
      <c r="E46" s="614" t="s">
        <v>21</v>
      </c>
      <c r="F46" s="601"/>
      <c r="G46" s="604"/>
      <c r="H46" s="615" t="s">
        <v>14</v>
      </c>
      <c r="I46" s="606"/>
      <c r="J46" s="606"/>
      <c r="K46" s="607"/>
      <c r="L46" s="616">
        <f t="shared" ca="1" si="23"/>
        <v>461800</v>
      </c>
      <c r="M46" s="617">
        <f t="shared" ca="1" si="23"/>
        <v>463703</v>
      </c>
      <c r="N46" s="617">
        <f t="shared" ca="1" si="23"/>
        <v>322090</v>
      </c>
      <c r="O46" s="617">
        <f t="shared" ca="1" si="18"/>
        <v>69.74664356864443</v>
      </c>
      <c r="P46" s="617">
        <f t="shared" ca="1" si="19"/>
        <v>69.460408925540705</v>
      </c>
      <c r="Q46" s="617">
        <f t="shared" si="24"/>
        <v>0</v>
      </c>
      <c r="R46" s="617">
        <f t="shared" si="24"/>
        <v>0</v>
      </c>
      <c r="S46" s="617">
        <f t="shared" si="24"/>
        <v>0</v>
      </c>
      <c r="T46" s="617">
        <f t="shared" si="21"/>
        <v>0</v>
      </c>
      <c r="U46" s="617">
        <f t="shared" si="22"/>
        <v>0</v>
      </c>
    </row>
    <row r="47" spans="1:21" ht="18.75" x14ac:dyDescent="0.25">
      <c r="A47" s="560"/>
      <c r="B47" s="561"/>
      <c r="C47" s="561"/>
      <c r="D47" s="562" t="s">
        <v>22</v>
      </c>
      <c r="E47" s="561"/>
      <c r="F47" s="561"/>
      <c r="G47" s="563"/>
      <c r="H47" s="564" t="s">
        <v>14</v>
      </c>
      <c r="I47" s="565"/>
      <c r="J47" s="565"/>
      <c r="K47" s="566"/>
      <c r="L47" s="567">
        <f t="shared" ref="L47:N47" ca="1" si="25">L48+L49</f>
        <v>461800</v>
      </c>
      <c r="M47" s="568">
        <f t="shared" ca="1" si="25"/>
        <v>463703</v>
      </c>
      <c r="N47" s="568">
        <f t="shared" ca="1" si="25"/>
        <v>322090</v>
      </c>
      <c r="O47" s="568">
        <f t="shared" ca="1" si="18"/>
        <v>69.74664356864443</v>
      </c>
      <c r="P47" s="568">
        <f t="shared" ca="1" si="19"/>
        <v>69.460408925540705</v>
      </c>
      <c r="Q47" s="568">
        <f t="shared" ref="Q47:S47" si="26">Q48+Q49</f>
        <v>0</v>
      </c>
      <c r="R47" s="568">
        <f t="shared" si="26"/>
        <v>0</v>
      </c>
      <c r="S47" s="568">
        <f t="shared" si="26"/>
        <v>0</v>
      </c>
      <c r="T47" s="568">
        <f t="shared" si="21"/>
        <v>0</v>
      </c>
      <c r="U47" s="568">
        <f t="shared" si="22"/>
        <v>0</v>
      </c>
    </row>
    <row r="48" spans="1:21" ht="18.75" x14ac:dyDescent="0.25">
      <c r="A48" s="560"/>
      <c r="B48" s="561"/>
      <c r="C48" s="561"/>
      <c r="D48" s="561"/>
      <c r="E48" s="569" t="s">
        <v>20</v>
      </c>
      <c r="F48" s="561"/>
      <c r="G48" s="563"/>
      <c r="H48" s="570" t="s">
        <v>14</v>
      </c>
      <c r="I48" s="565"/>
      <c r="J48" s="565"/>
      <c r="K48" s="566"/>
      <c r="L48" s="571">
        <v>0</v>
      </c>
      <c r="M48" s="572">
        <v>0</v>
      </c>
      <c r="N48" s="572">
        <v>0</v>
      </c>
      <c r="O48" s="572">
        <f t="shared" si="18"/>
        <v>0</v>
      </c>
      <c r="P48" s="572">
        <f t="shared" si="19"/>
        <v>0</v>
      </c>
      <c r="Q48" s="572">
        <v>0</v>
      </c>
      <c r="R48" s="572">
        <v>0</v>
      </c>
      <c r="S48" s="572">
        <v>0</v>
      </c>
      <c r="T48" s="572">
        <f t="shared" si="21"/>
        <v>0</v>
      </c>
      <c r="U48" s="572">
        <f t="shared" si="22"/>
        <v>0</v>
      </c>
    </row>
    <row r="49" spans="1:21" ht="18.75" x14ac:dyDescent="0.25">
      <c r="A49" s="560"/>
      <c r="B49" s="561"/>
      <c r="C49" s="561"/>
      <c r="D49" s="561"/>
      <c r="E49" s="573" t="s">
        <v>21</v>
      </c>
      <c r="F49" s="561"/>
      <c r="G49" s="563"/>
      <c r="H49" s="564" t="s">
        <v>14</v>
      </c>
      <c r="I49" s="565"/>
      <c r="J49" s="565"/>
      <c r="K49" s="566"/>
      <c r="L49" s="567">
        <f ca="1">IFERROR(__xludf.DUMMYFUNCTION("IMPORTRANGE(""https://docs.google.com/spreadsheets/d/1-uDff_7J0KD5mKrp0Vvzr7lt3OU09vwQwhkpOPPYv2Y/edit?usp=sharing"",""งบพรบ!P22"")"),461800)</f>
        <v>461800</v>
      </c>
      <c r="M49" s="568">
        <f ca="1">IFERROR(__xludf.DUMMYFUNCTION("IMPORTRANGE(""https://docs.google.com/spreadsheets/d/1-uDff_7J0KD5mKrp0Vvzr7lt3OU09vwQwhkpOPPYv2Y/edit?usp=sharing"",""งบพรบ!V22"")"),463703)</f>
        <v>463703</v>
      </c>
      <c r="N49" s="568">
        <f ca="1">IFERROR(__xludf.DUMMYFUNCTION("IMPORTRANGE(""https://docs.google.com/spreadsheets/d/1-uDff_7J0KD5mKrp0Vvzr7lt3OU09vwQwhkpOPPYv2Y/edit?usp=sharing"",""งบพรบ!Y22"")"),322090)</f>
        <v>322090</v>
      </c>
      <c r="O49" s="568">
        <f t="shared" ca="1" si="18"/>
        <v>69.74664356864443</v>
      </c>
      <c r="P49" s="568">
        <f t="shared" ca="1" si="19"/>
        <v>69.460408925540705</v>
      </c>
      <c r="Q49" s="568">
        <v>0</v>
      </c>
      <c r="R49" s="568">
        <v>0</v>
      </c>
      <c r="S49" s="568">
        <v>0</v>
      </c>
      <c r="T49" s="568">
        <f t="shared" si="21"/>
        <v>0</v>
      </c>
      <c r="U49" s="568">
        <f t="shared" si="22"/>
        <v>0</v>
      </c>
    </row>
    <row r="50" spans="1:21" ht="18.75" x14ac:dyDescent="0.25">
      <c r="A50" s="560"/>
      <c r="B50" s="561"/>
      <c r="C50" s="561"/>
      <c r="D50" s="562" t="s">
        <v>23</v>
      </c>
      <c r="E50" s="561"/>
      <c r="F50" s="561"/>
      <c r="G50" s="563"/>
      <c r="H50" s="564" t="s">
        <v>14</v>
      </c>
      <c r="I50" s="565"/>
      <c r="J50" s="565"/>
      <c r="K50" s="566"/>
      <c r="L50" s="567">
        <f t="shared" ref="L50:N50" ca="1" si="27">L51+L52</f>
        <v>0</v>
      </c>
      <c r="M50" s="568">
        <f t="shared" ca="1" si="27"/>
        <v>0</v>
      </c>
      <c r="N50" s="568">
        <f t="shared" ca="1" si="27"/>
        <v>0</v>
      </c>
      <c r="O50" s="568">
        <f t="shared" ca="1" si="18"/>
        <v>0</v>
      </c>
      <c r="P50" s="568">
        <f t="shared" ca="1" si="19"/>
        <v>0</v>
      </c>
      <c r="Q50" s="568">
        <f t="shared" ref="Q50:S50" si="28">Q51+Q52</f>
        <v>0</v>
      </c>
      <c r="R50" s="568">
        <f t="shared" si="28"/>
        <v>0</v>
      </c>
      <c r="S50" s="568">
        <f t="shared" si="28"/>
        <v>0</v>
      </c>
      <c r="T50" s="568">
        <f t="shared" si="21"/>
        <v>0</v>
      </c>
      <c r="U50" s="568">
        <f t="shared" si="22"/>
        <v>0</v>
      </c>
    </row>
    <row r="51" spans="1:21" ht="18.75" x14ac:dyDescent="0.25">
      <c r="A51" s="560"/>
      <c r="B51" s="561"/>
      <c r="C51" s="561"/>
      <c r="D51" s="561"/>
      <c r="E51" s="569" t="s">
        <v>20</v>
      </c>
      <c r="F51" s="561"/>
      <c r="G51" s="563"/>
      <c r="H51" s="570" t="s">
        <v>14</v>
      </c>
      <c r="I51" s="565"/>
      <c r="J51" s="565"/>
      <c r="K51" s="566"/>
      <c r="L51" s="571">
        <v>0</v>
      </c>
      <c r="M51" s="572">
        <v>0</v>
      </c>
      <c r="N51" s="572">
        <v>0</v>
      </c>
      <c r="O51" s="572">
        <f t="shared" si="18"/>
        <v>0</v>
      </c>
      <c r="P51" s="572">
        <f t="shared" si="19"/>
        <v>0</v>
      </c>
      <c r="Q51" s="572">
        <v>0</v>
      </c>
      <c r="R51" s="572">
        <v>0</v>
      </c>
      <c r="S51" s="572">
        <v>0</v>
      </c>
      <c r="T51" s="572">
        <f t="shared" si="21"/>
        <v>0</v>
      </c>
      <c r="U51" s="572">
        <f t="shared" si="22"/>
        <v>0</v>
      </c>
    </row>
    <row r="52" spans="1:21" ht="18.75" x14ac:dyDescent="0.25">
      <c r="A52" s="560"/>
      <c r="B52" s="561"/>
      <c r="C52" s="561"/>
      <c r="D52" s="561"/>
      <c r="E52" s="573" t="s">
        <v>21</v>
      </c>
      <c r="F52" s="561"/>
      <c r="G52" s="563"/>
      <c r="H52" s="564" t="s">
        <v>14</v>
      </c>
      <c r="I52" s="565"/>
      <c r="J52" s="565"/>
      <c r="K52" s="566"/>
      <c r="L52" s="567">
        <f ca="1">IFERROR(__xludf.DUMMYFUNCTION("IMPORTRANGE(""https://docs.google.com/spreadsheets/d/1-uDff_7J0KD5mKrp0Vvzr7lt3OU09vwQwhkpOPPYv2Y/edit?usp=sharing"",""งบพรบ!S22"")"),0)</f>
        <v>0</v>
      </c>
      <c r="M52" s="568">
        <f ca="1">IFERROR(__xludf.DUMMYFUNCTION("IMPORTRANGE(""https://docs.google.com/spreadsheets/d/1-uDff_7J0KD5mKrp0Vvzr7lt3OU09vwQwhkpOPPYv2Y/edit?usp=sharing"",""งบพรบ!W22"")"),0)</f>
        <v>0</v>
      </c>
      <c r="N52" s="568">
        <f ca="1">IFERROR(__xludf.DUMMYFUNCTION("IMPORTRANGE(""https://docs.google.com/spreadsheets/d/1-uDff_7J0KD5mKrp0Vvzr7lt3OU09vwQwhkpOPPYv2Y/edit?usp=sharing"",""งบพรบ!Z22"")"),0)</f>
        <v>0</v>
      </c>
      <c r="O52" s="568">
        <f t="shared" ca="1" si="18"/>
        <v>0</v>
      </c>
      <c r="P52" s="568">
        <f t="shared" ca="1" si="19"/>
        <v>0</v>
      </c>
      <c r="Q52" s="568">
        <v>0</v>
      </c>
      <c r="R52" s="568">
        <v>0</v>
      </c>
      <c r="S52" s="568">
        <v>0</v>
      </c>
      <c r="T52" s="568">
        <f t="shared" si="21"/>
        <v>0</v>
      </c>
      <c r="U52" s="568">
        <f t="shared" si="22"/>
        <v>0</v>
      </c>
    </row>
    <row r="53" spans="1:21" ht="18.75" x14ac:dyDescent="0.25">
      <c r="A53" s="560"/>
      <c r="B53" s="561"/>
      <c r="C53" s="561"/>
      <c r="D53" s="562" t="s">
        <v>24</v>
      </c>
      <c r="E53" s="561"/>
      <c r="F53" s="561"/>
      <c r="G53" s="563"/>
      <c r="H53" s="564" t="s">
        <v>14</v>
      </c>
      <c r="I53" s="565"/>
      <c r="J53" s="565"/>
      <c r="K53" s="566"/>
      <c r="L53" s="574"/>
      <c r="M53" s="566"/>
      <c r="N53" s="566"/>
      <c r="O53" s="566"/>
      <c r="P53" s="566"/>
      <c r="Q53" s="566"/>
      <c r="R53" s="566"/>
      <c r="S53" s="566"/>
      <c r="T53" s="566"/>
      <c r="U53" s="566"/>
    </row>
    <row r="54" spans="1:21" ht="18.75" x14ac:dyDescent="0.25">
      <c r="A54" s="560"/>
      <c r="B54" s="561"/>
      <c r="C54" s="561"/>
      <c r="D54" s="561"/>
      <c r="E54" s="569" t="s">
        <v>20</v>
      </c>
      <c r="F54" s="561"/>
      <c r="G54" s="563"/>
      <c r="H54" s="570" t="s">
        <v>14</v>
      </c>
      <c r="I54" s="565"/>
      <c r="J54" s="565"/>
      <c r="K54" s="566"/>
      <c r="L54" s="574"/>
      <c r="M54" s="566"/>
      <c r="N54" s="566"/>
      <c r="O54" s="566"/>
      <c r="P54" s="566"/>
      <c r="Q54" s="566"/>
      <c r="R54" s="566"/>
      <c r="S54" s="566"/>
      <c r="T54" s="566"/>
      <c r="U54" s="566"/>
    </row>
    <row r="55" spans="1:21" ht="18.75" x14ac:dyDescent="0.25">
      <c r="A55" s="575"/>
      <c r="B55" s="513"/>
      <c r="C55" s="513"/>
      <c r="D55" s="513"/>
      <c r="E55" s="576" t="s">
        <v>21</v>
      </c>
      <c r="F55" s="513"/>
      <c r="G55" s="577"/>
      <c r="H55" s="578" t="s">
        <v>14</v>
      </c>
      <c r="I55" s="579"/>
      <c r="J55" s="579"/>
      <c r="K55" s="580"/>
      <c r="L55" s="581"/>
      <c r="M55" s="580"/>
      <c r="N55" s="580"/>
      <c r="O55" s="580"/>
      <c r="P55" s="580"/>
      <c r="Q55" s="580"/>
      <c r="R55" s="580"/>
      <c r="S55" s="580"/>
      <c r="T55" s="580"/>
      <c r="U55" s="580"/>
    </row>
    <row r="56" spans="1:21" ht="19.5" x14ac:dyDescent="0.3">
      <c r="A56" s="1319" t="s">
        <v>28</v>
      </c>
      <c r="B56" s="1314"/>
      <c r="C56" s="1314"/>
      <c r="D56" s="1314"/>
      <c r="E56" s="1314"/>
      <c r="F56" s="1314"/>
      <c r="G56" s="1317"/>
      <c r="H56" s="618"/>
      <c r="I56" s="619"/>
      <c r="J56" s="619"/>
      <c r="K56" s="620"/>
      <c r="L56" s="620"/>
      <c r="M56" s="620"/>
      <c r="N56" s="620"/>
      <c r="O56" s="620"/>
      <c r="P56" s="621"/>
      <c r="Q56" s="620"/>
      <c r="R56" s="620"/>
      <c r="S56" s="620"/>
      <c r="T56" s="620"/>
      <c r="U56" s="621"/>
    </row>
    <row r="57" spans="1:21" ht="19.5" x14ac:dyDescent="0.3">
      <c r="A57" s="622"/>
      <c r="B57" s="1320" t="s">
        <v>29</v>
      </c>
      <c r="C57" s="1311"/>
      <c r="D57" s="1311"/>
      <c r="E57" s="1311"/>
      <c r="F57" s="1311"/>
      <c r="G57" s="1312"/>
      <c r="H57" s="625"/>
      <c r="I57" s="626"/>
      <c r="J57" s="626"/>
      <c r="K57" s="627"/>
      <c r="L57" s="628"/>
      <c r="M57" s="627"/>
      <c r="N57" s="627"/>
      <c r="O57" s="627"/>
      <c r="P57" s="627"/>
      <c r="Q57" s="627"/>
      <c r="R57" s="627"/>
      <c r="S57" s="627"/>
      <c r="T57" s="627"/>
      <c r="U57" s="627"/>
    </row>
    <row r="58" spans="1:21" ht="19.5" x14ac:dyDescent="0.3">
      <c r="A58" s="629"/>
      <c r="B58" s="630" t="s">
        <v>30</v>
      </c>
      <c r="C58" s="631"/>
      <c r="D58" s="631"/>
      <c r="E58" s="631"/>
      <c r="F58" s="631"/>
      <c r="G58" s="632"/>
      <c r="H58" s="632"/>
      <c r="I58" s="633"/>
      <c r="J58" s="633"/>
      <c r="K58" s="634"/>
      <c r="L58" s="635"/>
      <c r="M58" s="634"/>
      <c r="N58" s="634"/>
      <c r="O58" s="634"/>
      <c r="P58" s="634"/>
      <c r="Q58" s="634"/>
      <c r="R58" s="634"/>
      <c r="S58" s="634"/>
      <c r="T58" s="634"/>
      <c r="U58" s="634"/>
    </row>
    <row r="59" spans="1:21" ht="19.5" x14ac:dyDescent="0.3">
      <c r="A59" s="636"/>
      <c r="B59" s="637"/>
      <c r="C59" s="638" t="s">
        <v>18</v>
      </c>
      <c r="D59" s="639" t="s">
        <v>19</v>
      </c>
      <c r="E59" s="637"/>
      <c r="F59" s="637"/>
      <c r="G59" s="640"/>
      <c r="H59" s="641" t="s">
        <v>14</v>
      </c>
      <c r="I59" s="642"/>
      <c r="J59" s="642"/>
      <c r="K59" s="643"/>
      <c r="L59" s="644">
        <f t="shared" ref="L59:N59" ca="1" si="29">L60+L61</f>
        <v>5205500</v>
      </c>
      <c r="M59" s="645">
        <f t="shared" ca="1" si="29"/>
        <v>5302870</v>
      </c>
      <c r="N59" s="645">
        <f t="shared" ca="1" si="29"/>
        <v>775346.39</v>
      </c>
      <c r="O59" s="645">
        <f t="shared" ref="O59:O67" ca="1" si="30">IF(L59&gt;0,N59*100/L59,0)</f>
        <v>14.894753433868024</v>
      </c>
      <c r="P59" s="645">
        <f t="shared" ref="P59:P67" ca="1" si="31">IF(M59&gt;0,N59*100/M59,0)</f>
        <v>14.621259619790793</v>
      </c>
      <c r="Q59" s="645">
        <f t="shared" ref="Q59:S59" si="32">Q60+Q61</f>
        <v>0</v>
      </c>
      <c r="R59" s="645">
        <f t="shared" si="32"/>
        <v>0</v>
      </c>
      <c r="S59" s="645">
        <f t="shared" si="32"/>
        <v>0</v>
      </c>
      <c r="T59" s="645">
        <f t="shared" ref="T59:T67" si="33">IF(Q59&gt;0,S59*100/Q59,0)</f>
        <v>0</v>
      </c>
      <c r="U59" s="645">
        <f t="shared" ref="U59:U67" si="34">IF(R59&gt;0,S59*100/R59,0)</f>
        <v>0</v>
      </c>
    </row>
    <row r="60" spans="1:21" ht="18.75" x14ac:dyDescent="0.25">
      <c r="A60" s="636"/>
      <c r="B60" s="637"/>
      <c r="C60" s="637"/>
      <c r="D60" s="637"/>
      <c r="E60" s="646" t="s">
        <v>20</v>
      </c>
      <c r="F60" s="637"/>
      <c r="G60" s="640"/>
      <c r="H60" s="647" t="s">
        <v>14</v>
      </c>
      <c r="I60" s="642"/>
      <c r="J60" s="642"/>
      <c r="K60" s="643"/>
      <c r="L60" s="648">
        <f t="shared" ref="L60:N61" si="35">L63+L66</f>
        <v>0</v>
      </c>
      <c r="M60" s="649">
        <f t="shared" si="35"/>
        <v>0</v>
      </c>
      <c r="N60" s="649">
        <f t="shared" si="35"/>
        <v>0</v>
      </c>
      <c r="O60" s="649">
        <f t="shared" si="30"/>
        <v>0</v>
      </c>
      <c r="P60" s="649">
        <f t="shared" si="31"/>
        <v>0</v>
      </c>
      <c r="Q60" s="649">
        <f t="shared" ref="Q60:S61" si="36">Q63+Q66</f>
        <v>0</v>
      </c>
      <c r="R60" s="649">
        <f t="shared" si="36"/>
        <v>0</v>
      </c>
      <c r="S60" s="649">
        <f t="shared" si="36"/>
        <v>0</v>
      </c>
      <c r="T60" s="649">
        <f t="shared" si="33"/>
        <v>0</v>
      </c>
      <c r="U60" s="649">
        <f t="shared" si="34"/>
        <v>0</v>
      </c>
    </row>
    <row r="61" spans="1:21" ht="18.75" x14ac:dyDescent="0.25">
      <c r="A61" s="636"/>
      <c r="B61" s="637"/>
      <c r="C61" s="637"/>
      <c r="D61" s="637"/>
      <c r="E61" s="650" t="s">
        <v>21</v>
      </c>
      <c r="F61" s="637"/>
      <c r="G61" s="640"/>
      <c r="H61" s="651" t="s">
        <v>14</v>
      </c>
      <c r="I61" s="642"/>
      <c r="J61" s="642"/>
      <c r="K61" s="643"/>
      <c r="L61" s="652">
        <f t="shared" ca="1" si="35"/>
        <v>5205500</v>
      </c>
      <c r="M61" s="653">
        <f t="shared" ca="1" si="35"/>
        <v>5302870</v>
      </c>
      <c r="N61" s="653">
        <f t="shared" ca="1" si="35"/>
        <v>775346.39</v>
      </c>
      <c r="O61" s="653">
        <f t="shared" ca="1" si="30"/>
        <v>14.894753433868024</v>
      </c>
      <c r="P61" s="653">
        <f t="shared" ca="1" si="31"/>
        <v>14.621259619790793</v>
      </c>
      <c r="Q61" s="653">
        <f t="shared" si="36"/>
        <v>0</v>
      </c>
      <c r="R61" s="653">
        <f t="shared" si="36"/>
        <v>0</v>
      </c>
      <c r="S61" s="653">
        <f t="shared" si="36"/>
        <v>0</v>
      </c>
      <c r="T61" s="653">
        <f t="shared" si="33"/>
        <v>0</v>
      </c>
      <c r="U61" s="653">
        <f t="shared" si="34"/>
        <v>0</v>
      </c>
    </row>
    <row r="62" spans="1:21" ht="18.75" x14ac:dyDescent="0.25">
      <c r="A62" s="560"/>
      <c r="B62" s="561"/>
      <c r="C62" s="561"/>
      <c r="D62" s="562" t="s">
        <v>22</v>
      </c>
      <c r="E62" s="561"/>
      <c r="F62" s="561"/>
      <c r="G62" s="563"/>
      <c r="H62" s="564" t="s">
        <v>14</v>
      </c>
      <c r="I62" s="565"/>
      <c r="J62" s="565"/>
      <c r="K62" s="566"/>
      <c r="L62" s="567">
        <f t="shared" ref="L62:N62" ca="1" si="37">L63+L64</f>
        <v>985500</v>
      </c>
      <c r="M62" s="568">
        <f t="shared" ca="1" si="37"/>
        <v>1082870</v>
      </c>
      <c r="N62" s="568">
        <f t="shared" ca="1" si="37"/>
        <v>775346.39</v>
      </c>
      <c r="O62" s="568">
        <f t="shared" ca="1" si="30"/>
        <v>78.675432775240992</v>
      </c>
      <c r="P62" s="568">
        <f t="shared" ca="1" si="31"/>
        <v>71.601059222251976</v>
      </c>
      <c r="Q62" s="568">
        <f t="shared" ref="Q62:S62" si="38">Q63+Q64</f>
        <v>0</v>
      </c>
      <c r="R62" s="568">
        <f t="shared" si="38"/>
        <v>0</v>
      </c>
      <c r="S62" s="568">
        <f t="shared" si="38"/>
        <v>0</v>
      </c>
      <c r="T62" s="568">
        <f t="shared" si="33"/>
        <v>0</v>
      </c>
      <c r="U62" s="568">
        <f t="shared" si="34"/>
        <v>0</v>
      </c>
    </row>
    <row r="63" spans="1:21" ht="18.75" x14ac:dyDescent="0.25">
      <c r="A63" s="560"/>
      <c r="B63" s="561"/>
      <c r="C63" s="561"/>
      <c r="D63" s="561"/>
      <c r="E63" s="569" t="s">
        <v>20</v>
      </c>
      <c r="F63" s="561"/>
      <c r="G63" s="563"/>
      <c r="H63" s="570" t="s">
        <v>14</v>
      </c>
      <c r="I63" s="565"/>
      <c r="J63" s="565"/>
      <c r="K63" s="566"/>
      <c r="L63" s="571">
        <v>0</v>
      </c>
      <c r="M63" s="572">
        <v>0</v>
      </c>
      <c r="N63" s="572">
        <v>0</v>
      </c>
      <c r="O63" s="572">
        <f t="shared" si="30"/>
        <v>0</v>
      </c>
      <c r="P63" s="572">
        <f t="shared" si="31"/>
        <v>0</v>
      </c>
      <c r="Q63" s="572">
        <v>0</v>
      </c>
      <c r="R63" s="572">
        <v>0</v>
      </c>
      <c r="S63" s="572">
        <v>0</v>
      </c>
      <c r="T63" s="572">
        <f t="shared" si="33"/>
        <v>0</v>
      </c>
      <c r="U63" s="572">
        <f t="shared" si="34"/>
        <v>0</v>
      </c>
    </row>
    <row r="64" spans="1:21" ht="18.75" x14ac:dyDescent="0.25">
      <c r="A64" s="560"/>
      <c r="B64" s="561"/>
      <c r="C64" s="561"/>
      <c r="D64" s="561"/>
      <c r="E64" s="573" t="s">
        <v>21</v>
      </c>
      <c r="F64" s="561"/>
      <c r="G64" s="563"/>
      <c r="H64" s="564" t="s">
        <v>14</v>
      </c>
      <c r="I64" s="565"/>
      <c r="J64" s="565"/>
      <c r="K64" s="566"/>
      <c r="L64" s="567">
        <f ca="1">IFERROR(__xludf.DUMMYFUNCTION("IMPORTRANGE(""https://docs.google.com/spreadsheets/d/1-uDff_7J0KD5mKrp0Vvzr7lt3OU09vwQwhkpOPPYv2Y/edit?usp=sharing"",""งบพรบ!AC22"")"),985500)</f>
        <v>985500</v>
      </c>
      <c r="M64" s="568">
        <f ca="1">IFERROR(__xludf.DUMMYFUNCTION("IMPORTRANGE(""https://docs.google.com/spreadsheets/d/1-uDff_7J0KD5mKrp0Vvzr7lt3OU09vwQwhkpOPPYv2Y/edit?usp=sharing"",""งบพรบ!AH22"")"),1082870)</f>
        <v>1082870</v>
      </c>
      <c r="N64" s="568">
        <f ca="1">IFERROR(__xludf.DUMMYFUNCTION("IMPORTRANGE(""https://docs.google.com/spreadsheets/d/1-uDff_7J0KD5mKrp0Vvzr7lt3OU09vwQwhkpOPPYv2Y/edit?usp=sharing"",""งบพรบ!AJ22"")"),775346.39)</f>
        <v>775346.39</v>
      </c>
      <c r="O64" s="568">
        <f t="shared" ca="1" si="30"/>
        <v>78.675432775240992</v>
      </c>
      <c r="P64" s="568">
        <f t="shared" ca="1" si="31"/>
        <v>71.601059222251976</v>
      </c>
      <c r="Q64" s="568">
        <v>0</v>
      </c>
      <c r="R64" s="568">
        <v>0</v>
      </c>
      <c r="S64" s="568">
        <v>0</v>
      </c>
      <c r="T64" s="568">
        <f t="shared" si="33"/>
        <v>0</v>
      </c>
      <c r="U64" s="568">
        <f t="shared" si="34"/>
        <v>0</v>
      </c>
    </row>
    <row r="65" spans="1:21" ht="18.75" x14ac:dyDescent="0.25">
      <c r="A65" s="560"/>
      <c r="B65" s="561"/>
      <c r="C65" s="561"/>
      <c r="D65" s="562" t="s">
        <v>23</v>
      </c>
      <c r="E65" s="561"/>
      <c r="F65" s="561"/>
      <c r="G65" s="563"/>
      <c r="H65" s="564" t="s">
        <v>14</v>
      </c>
      <c r="I65" s="565"/>
      <c r="J65" s="565"/>
      <c r="K65" s="566"/>
      <c r="L65" s="567">
        <f t="shared" ref="L65:N65" ca="1" si="39">L66+L67</f>
        <v>4220000</v>
      </c>
      <c r="M65" s="568">
        <f t="shared" ca="1" si="39"/>
        <v>4220000</v>
      </c>
      <c r="N65" s="568">
        <f t="shared" ca="1" si="39"/>
        <v>0</v>
      </c>
      <c r="O65" s="568">
        <f t="shared" ca="1" si="30"/>
        <v>0</v>
      </c>
      <c r="P65" s="568">
        <f t="shared" ca="1" si="31"/>
        <v>0</v>
      </c>
      <c r="Q65" s="568">
        <f t="shared" ref="Q65:S65" si="40">Q66+Q67</f>
        <v>0</v>
      </c>
      <c r="R65" s="568">
        <f t="shared" si="40"/>
        <v>0</v>
      </c>
      <c r="S65" s="568">
        <f t="shared" si="40"/>
        <v>0</v>
      </c>
      <c r="T65" s="568">
        <f t="shared" si="33"/>
        <v>0</v>
      </c>
      <c r="U65" s="568">
        <f t="shared" si="34"/>
        <v>0</v>
      </c>
    </row>
    <row r="66" spans="1:21" ht="18.75" x14ac:dyDescent="0.25">
      <c r="A66" s="560"/>
      <c r="B66" s="561"/>
      <c r="C66" s="561"/>
      <c r="D66" s="561"/>
      <c r="E66" s="569" t="s">
        <v>20</v>
      </c>
      <c r="F66" s="561"/>
      <c r="G66" s="563"/>
      <c r="H66" s="570" t="s">
        <v>14</v>
      </c>
      <c r="I66" s="565"/>
      <c r="J66" s="565"/>
      <c r="K66" s="566"/>
      <c r="L66" s="571">
        <v>0</v>
      </c>
      <c r="M66" s="572">
        <v>0</v>
      </c>
      <c r="N66" s="572">
        <v>0</v>
      </c>
      <c r="O66" s="572">
        <f t="shared" si="30"/>
        <v>0</v>
      </c>
      <c r="P66" s="572">
        <f t="shared" si="31"/>
        <v>0</v>
      </c>
      <c r="Q66" s="572">
        <v>0</v>
      </c>
      <c r="R66" s="572">
        <v>0</v>
      </c>
      <c r="S66" s="572">
        <v>0</v>
      </c>
      <c r="T66" s="572">
        <f t="shared" si="33"/>
        <v>0</v>
      </c>
      <c r="U66" s="572">
        <f t="shared" si="34"/>
        <v>0</v>
      </c>
    </row>
    <row r="67" spans="1:21" ht="18.75" x14ac:dyDescent="0.25">
      <c r="A67" s="575"/>
      <c r="B67" s="513"/>
      <c r="C67" s="513"/>
      <c r="D67" s="513"/>
      <c r="E67" s="576" t="s">
        <v>21</v>
      </c>
      <c r="F67" s="513"/>
      <c r="G67" s="577"/>
      <c r="H67" s="578" t="s">
        <v>14</v>
      </c>
      <c r="I67" s="579"/>
      <c r="J67" s="579"/>
      <c r="K67" s="580"/>
      <c r="L67" s="654">
        <f ca="1">IFERROR(__xludf.DUMMYFUNCTION("IMPORTRANGE(""https://docs.google.com/spreadsheets/d/1-uDff_7J0KD5mKrp0Vvzr7lt3OU09vwQwhkpOPPYv2Y/edit?usp=sharing"",""งบพรบ!AF22"")"),4220000)</f>
        <v>4220000</v>
      </c>
      <c r="M67" s="655">
        <f ca="1">IFERROR(__xludf.DUMMYFUNCTION("IMPORTRANGE(""https://docs.google.com/spreadsheets/d/1-uDff_7J0KD5mKrp0Vvzr7lt3OU09vwQwhkpOPPYv2Y/edit?usp=sharing"",""งบพรบ!AI22"")"),4220000)</f>
        <v>4220000</v>
      </c>
      <c r="N67" s="655">
        <f ca="1">IFERROR(__xludf.DUMMYFUNCTION("IMPORTRANGE(""https://docs.google.com/spreadsheets/d/1-uDff_7J0KD5mKrp0Vvzr7lt3OU09vwQwhkpOPPYv2Y/edit?usp=sharing"",""งบพรบ!AK22"")"),0)</f>
        <v>0</v>
      </c>
      <c r="O67" s="655">
        <f t="shared" ca="1" si="30"/>
        <v>0</v>
      </c>
      <c r="P67" s="655">
        <f t="shared" ca="1" si="31"/>
        <v>0</v>
      </c>
      <c r="Q67" s="655">
        <v>0</v>
      </c>
      <c r="R67" s="655">
        <v>0</v>
      </c>
      <c r="S67" s="655">
        <v>0</v>
      </c>
      <c r="T67" s="655">
        <f t="shared" si="33"/>
        <v>0</v>
      </c>
      <c r="U67" s="655">
        <f t="shared" si="34"/>
        <v>0</v>
      </c>
    </row>
    <row r="68" spans="1:21" ht="19.5" x14ac:dyDescent="0.3">
      <c r="A68" s="656" t="s">
        <v>31</v>
      </c>
      <c r="B68" s="657"/>
      <c r="C68" s="657"/>
      <c r="D68" s="657"/>
      <c r="E68" s="658"/>
      <c r="F68" s="658"/>
      <c r="G68" s="658"/>
      <c r="H68" s="658"/>
      <c r="I68" s="659"/>
      <c r="J68" s="659"/>
      <c r="K68" s="660"/>
      <c r="L68" s="660"/>
      <c r="M68" s="660"/>
      <c r="N68" s="660"/>
      <c r="O68" s="660"/>
      <c r="P68" s="661"/>
      <c r="Q68" s="660"/>
      <c r="R68" s="660"/>
      <c r="S68" s="660"/>
      <c r="T68" s="660"/>
      <c r="U68" s="661"/>
    </row>
    <row r="69" spans="1:21" ht="19.5" x14ac:dyDescent="0.3">
      <c r="A69" s="662" t="s">
        <v>32</v>
      </c>
      <c r="B69" s="663"/>
      <c r="C69" s="664"/>
      <c r="D69" s="663"/>
      <c r="E69" s="663"/>
      <c r="F69" s="663"/>
      <c r="G69" s="665"/>
      <c r="H69" s="665"/>
      <c r="I69" s="666"/>
      <c r="J69" s="666"/>
      <c r="K69" s="667"/>
      <c r="L69" s="668"/>
      <c r="M69" s="667"/>
      <c r="N69" s="667"/>
      <c r="O69" s="667"/>
      <c r="P69" s="667"/>
      <c r="Q69" s="667"/>
      <c r="R69" s="667"/>
      <c r="S69" s="667"/>
      <c r="T69" s="667"/>
      <c r="U69" s="667"/>
    </row>
    <row r="70" spans="1:21" ht="19.5" x14ac:dyDescent="0.3">
      <c r="A70" s="669"/>
      <c r="B70" s="544" t="s">
        <v>33</v>
      </c>
      <c r="C70" s="543"/>
      <c r="D70" s="670"/>
      <c r="E70" s="543"/>
      <c r="F70" s="543"/>
      <c r="G70" s="546"/>
      <c r="H70" s="671" t="s">
        <v>34</v>
      </c>
      <c r="I70" s="672">
        <f t="shared" ref="I70:J71" ca="1" si="41">I82</f>
        <v>2</v>
      </c>
      <c r="J70" s="672">
        <f t="shared" si="41"/>
        <v>0</v>
      </c>
      <c r="K70" s="551">
        <f t="shared" ref="K70:K71" ca="1" si="42">IF(I70&gt;0,J70*100/I70,0)</f>
        <v>0</v>
      </c>
      <c r="L70" s="673"/>
      <c r="M70" s="549"/>
      <c r="N70" s="549"/>
      <c r="O70" s="549"/>
      <c r="P70" s="549"/>
      <c r="Q70" s="549"/>
      <c r="R70" s="549"/>
      <c r="S70" s="549"/>
      <c r="T70" s="549"/>
      <c r="U70" s="549"/>
    </row>
    <row r="71" spans="1:21" ht="19.5" x14ac:dyDescent="0.3">
      <c r="A71" s="669"/>
      <c r="B71" s="543"/>
      <c r="C71" s="543"/>
      <c r="D71" s="670"/>
      <c r="E71" s="543"/>
      <c r="F71" s="543"/>
      <c r="G71" s="546"/>
      <c r="H71" s="671" t="s">
        <v>35</v>
      </c>
      <c r="I71" s="672">
        <f t="shared" ca="1" si="41"/>
        <v>98</v>
      </c>
      <c r="J71" s="672">
        <f t="shared" si="41"/>
        <v>0</v>
      </c>
      <c r="K71" s="551">
        <f t="shared" ca="1" si="42"/>
        <v>0</v>
      </c>
      <c r="L71" s="673"/>
      <c r="M71" s="549"/>
      <c r="N71" s="549"/>
      <c r="O71" s="549"/>
      <c r="P71" s="549"/>
      <c r="Q71" s="549"/>
      <c r="R71" s="549"/>
      <c r="S71" s="549"/>
      <c r="T71" s="549"/>
      <c r="U71" s="549"/>
    </row>
    <row r="72" spans="1:21" ht="19.5" x14ac:dyDescent="0.3">
      <c r="A72" s="674"/>
      <c r="B72" s="561"/>
      <c r="C72" s="675" t="s">
        <v>18</v>
      </c>
      <c r="D72" s="676" t="s">
        <v>19</v>
      </c>
      <c r="E72" s="561"/>
      <c r="F72" s="561"/>
      <c r="G72" s="563"/>
      <c r="H72" s="677" t="s">
        <v>14</v>
      </c>
      <c r="I72" s="565"/>
      <c r="J72" s="565"/>
      <c r="K72" s="566"/>
      <c r="L72" s="678">
        <f t="shared" ref="L72:N72" ca="1" si="43">L73+L74</f>
        <v>150000</v>
      </c>
      <c r="M72" s="679">
        <f t="shared" ca="1" si="43"/>
        <v>150000</v>
      </c>
      <c r="N72" s="679">
        <f t="shared" ca="1" si="43"/>
        <v>123566.67</v>
      </c>
      <c r="O72" s="679">
        <f t="shared" ref="O72:O80" ca="1" si="44">IF(L72&gt;0,N72*100/L72,0)</f>
        <v>82.377780000000001</v>
      </c>
      <c r="P72" s="679">
        <f t="shared" ref="P72:P80" ca="1" si="45">IF(M72&gt;0,N72*100/M72,0)</f>
        <v>82.377780000000001</v>
      </c>
      <c r="Q72" s="679">
        <f t="shared" ref="Q72:S72" ca="1" si="46">Q73+Q74</f>
        <v>996060</v>
      </c>
      <c r="R72" s="679">
        <f t="shared" ca="1" si="46"/>
        <v>996060</v>
      </c>
      <c r="S72" s="679">
        <f t="shared" ca="1" si="46"/>
        <v>108010</v>
      </c>
      <c r="T72" s="679">
        <f t="shared" ref="T72:T80" ca="1" si="47">IF(Q72&gt;0,S72*100/Q72,0)</f>
        <v>10.843724273638134</v>
      </c>
      <c r="U72" s="679">
        <f t="shared" ref="U72:U80" ca="1" si="48">IF(R72&gt;0,S72*100/R72,0)</f>
        <v>10.843724273638134</v>
      </c>
    </row>
    <row r="73" spans="1:21" ht="18.75" x14ac:dyDescent="0.25">
      <c r="A73" s="674"/>
      <c r="B73" s="561"/>
      <c r="C73" s="561"/>
      <c r="D73" s="561"/>
      <c r="E73" s="569" t="s">
        <v>20</v>
      </c>
      <c r="F73" s="561"/>
      <c r="G73" s="563"/>
      <c r="H73" s="680" t="s">
        <v>14</v>
      </c>
      <c r="I73" s="565"/>
      <c r="J73" s="565"/>
      <c r="K73" s="566"/>
      <c r="L73" s="571">
        <f t="shared" ref="L73:N74" si="49">L76+L79</f>
        <v>0</v>
      </c>
      <c r="M73" s="572">
        <f t="shared" si="49"/>
        <v>0</v>
      </c>
      <c r="N73" s="572">
        <f t="shared" si="49"/>
        <v>0</v>
      </c>
      <c r="O73" s="572">
        <f t="shared" si="44"/>
        <v>0</v>
      </c>
      <c r="P73" s="572">
        <f t="shared" si="45"/>
        <v>0</v>
      </c>
      <c r="Q73" s="572">
        <f t="shared" ref="Q73:S74" si="50">Q76+Q79</f>
        <v>0</v>
      </c>
      <c r="R73" s="572">
        <f t="shared" si="50"/>
        <v>0</v>
      </c>
      <c r="S73" s="572">
        <f t="shared" si="50"/>
        <v>0</v>
      </c>
      <c r="T73" s="572">
        <f t="shared" si="47"/>
        <v>0</v>
      </c>
      <c r="U73" s="572">
        <f t="shared" si="48"/>
        <v>0</v>
      </c>
    </row>
    <row r="74" spans="1:21" ht="18.75" x14ac:dyDescent="0.25">
      <c r="A74" s="674"/>
      <c r="B74" s="561"/>
      <c r="C74" s="561"/>
      <c r="D74" s="561"/>
      <c r="E74" s="573" t="s">
        <v>21</v>
      </c>
      <c r="F74" s="561"/>
      <c r="G74" s="563"/>
      <c r="H74" s="681" t="s">
        <v>14</v>
      </c>
      <c r="I74" s="565"/>
      <c r="J74" s="565"/>
      <c r="K74" s="566"/>
      <c r="L74" s="567">
        <f t="shared" ca="1" si="49"/>
        <v>150000</v>
      </c>
      <c r="M74" s="568">
        <f t="shared" ca="1" si="49"/>
        <v>150000</v>
      </c>
      <c r="N74" s="568">
        <f t="shared" ca="1" si="49"/>
        <v>123566.67</v>
      </c>
      <c r="O74" s="568">
        <f t="shared" ca="1" si="44"/>
        <v>82.377780000000001</v>
      </c>
      <c r="P74" s="568">
        <f t="shared" ca="1" si="45"/>
        <v>82.377780000000001</v>
      </c>
      <c r="Q74" s="568">
        <f t="shared" ca="1" si="50"/>
        <v>996060</v>
      </c>
      <c r="R74" s="568">
        <f t="shared" ca="1" si="50"/>
        <v>996060</v>
      </c>
      <c r="S74" s="568">
        <f t="shared" ca="1" si="50"/>
        <v>108010</v>
      </c>
      <c r="T74" s="568">
        <f t="shared" ca="1" si="47"/>
        <v>10.843724273638134</v>
      </c>
      <c r="U74" s="568">
        <f t="shared" ca="1" si="48"/>
        <v>10.843724273638134</v>
      </c>
    </row>
    <row r="75" spans="1:21" ht="18.75" x14ac:dyDescent="0.25">
      <c r="A75" s="674"/>
      <c r="B75" s="561"/>
      <c r="C75" s="561"/>
      <c r="D75" s="562" t="s">
        <v>22</v>
      </c>
      <c r="E75" s="561"/>
      <c r="F75" s="561"/>
      <c r="G75" s="563"/>
      <c r="H75" s="682" t="s">
        <v>14</v>
      </c>
      <c r="I75" s="683"/>
      <c r="J75" s="683"/>
      <c r="K75" s="684"/>
      <c r="L75" s="567">
        <f t="shared" ref="L75:N75" ca="1" si="51">L76+L77</f>
        <v>150000</v>
      </c>
      <c r="M75" s="568">
        <f t="shared" ca="1" si="51"/>
        <v>150000</v>
      </c>
      <c r="N75" s="568">
        <f t="shared" ca="1" si="51"/>
        <v>123566.67</v>
      </c>
      <c r="O75" s="568">
        <f t="shared" ca="1" si="44"/>
        <v>82.377780000000001</v>
      </c>
      <c r="P75" s="568">
        <f t="shared" ca="1" si="45"/>
        <v>82.377780000000001</v>
      </c>
      <c r="Q75" s="568">
        <f t="shared" ref="Q75:S75" ca="1" si="52">Q76+Q77</f>
        <v>996060</v>
      </c>
      <c r="R75" s="568">
        <f t="shared" ca="1" si="52"/>
        <v>996060</v>
      </c>
      <c r="S75" s="568">
        <f t="shared" ca="1" si="52"/>
        <v>108010</v>
      </c>
      <c r="T75" s="568">
        <f t="shared" ca="1" si="47"/>
        <v>10.843724273638134</v>
      </c>
      <c r="U75" s="568">
        <f t="shared" ca="1" si="48"/>
        <v>10.843724273638134</v>
      </c>
    </row>
    <row r="76" spans="1:21" ht="18.75" x14ac:dyDescent="0.25">
      <c r="A76" s="674"/>
      <c r="B76" s="561"/>
      <c r="C76" s="561"/>
      <c r="D76" s="561"/>
      <c r="E76" s="569" t="s">
        <v>36</v>
      </c>
      <c r="F76" s="561"/>
      <c r="G76" s="563"/>
      <c r="H76" s="685" t="s">
        <v>14</v>
      </c>
      <c r="I76" s="683"/>
      <c r="J76" s="683"/>
      <c r="K76" s="684"/>
      <c r="L76" s="571">
        <v>0</v>
      </c>
      <c r="M76" s="572">
        <v>0</v>
      </c>
      <c r="N76" s="572">
        <v>0</v>
      </c>
      <c r="O76" s="572">
        <f t="shared" si="44"/>
        <v>0</v>
      </c>
      <c r="P76" s="572">
        <f t="shared" si="45"/>
        <v>0</v>
      </c>
      <c r="Q76" s="572">
        <v>0</v>
      </c>
      <c r="R76" s="572">
        <v>0</v>
      </c>
      <c r="S76" s="572">
        <v>0</v>
      </c>
      <c r="T76" s="572">
        <f t="shared" si="47"/>
        <v>0</v>
      </c>
      <c r="U76" s="572">
        <f t="shared" si="48"/>
        <v>0</v>
      </c>
    </row>
    <row r="77" spans="1:21" ht="18.75" x14ac:dyDescent="0.25">
      <c r="A77" s="674"/>
      <c r="B77" s="561"/>
      <c r="C77" s="561"/>
      <c r="D77" s="561"/>
      <c r="E77" s="573" t="s">
        <v>37</v>
      </c>
      <c r="F77" s="561"/>
      <c r="G77" s="563"/>
      <c r="H77" s="682" t="s">
        <v>14</v>
      </c>
      <c r="I77" s="683"/>
      <c r="J77" s="683"/>
      <c r="K77" s="684"/>
      <c r="L77" s="567">
        <f ca="1">IFERROR(__xludf.DUMMYFUNCTION("IMPORTRANGE(""https://docs.google.com/spreadsheets/d/1-uDff_7J0KD5mKrp0Vvzr7lt3OU09vwQwhkpOPPYv2Y/edit?usp=sharing"",""งบพรบ!AM22"")"),150000)</f>
        <v>150000</v>
      </c>
      <c r="M77" s="568">
        <f ca="1">IFERROR(__xludf.DUMMYFUNCTION("IMPORTRANGE(""https://docs.google.com/spreadsheets/d/1-uDff_7J0KD5mKrp0Vvzr7lt3OU09vwQwhkpOPPYv2Y/edit?usp=sharing"",""งบพรบ!AR22"")"),150000)</f>
        <v>150000</v>
      </c>
      <c r="N77" s="568">
        <f ca="1">IFERROR(__xludf.DUMMYFUNCTION("IMPORTRANGE(""https://docs.google.com/spreadsheets/d/1-uDff_7J0KD5mKrp0Vvzr7lt3OU09vwQwhkpOPPYv2Y/edit?usp=sharing"",""งบพรบ!AT22"")"),123566.67)</f>
        <v>123566.67</v>
      </c>
      <c r="O77" s="568">
        <f t="shared" ca="1" si="44"/>
        <v>82.377780000000001</v>
      </c>
      <c r="P77" s="568">
        <f t="shared" ca="1" si="45"/>
        <v>82.377780000000001</v>
      </c>
      <c r="Q77" s="568">
        <f ca="1">IFERROR(__xludf.DUMMYFUNCTION("IMPORTRANGE(""https://docs.google.com/spreadsheets/d/1ItG2mGa2ceCfYo0BwxsXqNm01IGEUdYcSSLTEv9YCik/edit?usp=sharing"",""เบิกจ่ายกองทุน!BH22"")"),996060)</f>
        <v>996060</v>
      </c>
      <c r="R77" s="568">
        <f ca="1">IFERROR(__xludf.DUMMYFUNCTION("IMPORTRANGE(""https://docs.google.com/spreadsheets/d/1ItG2mGa2ceCfYo0BwxsXqNm01IGEUdYcSSLTEv9YCik/edit?usp=sharing"",""เบิกจ่ายกองทุน!BI22"")"),996060)</f>
        <v>996060</v>
      </c>
      <c r="S77" s="568">
        <f ca="1">IFERROR(__xludf.DUMMYFUNCTION("IMPORTRANGE(""https://docs.google.com/spreadsheets/d/1ItG2mGa2ceCfYo0BwxsXqNm01IGEUdYcSSLTEv9YCik/edit?usp=sharing"",""เบิกจ่ายกองทุน!BJ22"")"),108010)</f>
        <v>108010</v>
      </c>
      <c r="T77" s="568">
        <f t="shared" ca="1" si="47"/>
        <v>10.843724273638134</v>
      </c>
      <c r="U77" s="568">
        <f t="shared" ca="1" si="48"/>
        <v>10.843724273638134</v>
      </c>
    </row>
    <row r="78" spans="1:21" ht="18.75" x14ac:dyDescent="0.25">
      <c r="A78" s="674"/>
      <c r="B78" s="561"/>
      <c r="C78" s="561"/>
      <c r="D78" s="562" t="s">
        <v>23</v>
      </c>
      <c r="E78" s="561"/>
      <c r="F78" s="561"/>
      <c r="G78" s="563"/>
      <c r="H78" s="686" t="s">
        <v>14</v>
      </c>
      <c r="I78" s="683"/>
      <c r="J78" s="683"/>
      <c r="K78" s="684"/>
      <c r="L78" s="567">
        <f t="shared" ref="L78:N78" ca="1" si="53">L79+L80</f>
        <v>0</v>
      </c>
      <c r="M78" s="568">
        <f t="shared" ca="1" si="53"/>
        <v>0</v>
      </c>
      <c r="N78" s="568">
        <f t="shared" ca="1" si="53"/>
        <v>0</v>
      </c>
      <c r="O78" s="568">
        <f t="shared" ca="1" si="44"/>
        <v>0</v>
      </c>
      <c r="P78" s="568">
        <f t="shared" ca="1" si="45"/>
        <v>0</v>
      </c>
      <c r="Q78" s="568">
        <f t="shared" ref="Q78:S78" ca="1" si="54">Q79+Q80</f>
        <v>0</v>
      </c>
      <c r="R78" s="568">
        <f t="shared" ca="1" si="54"/>
        <v>0</v>
      </c>
      <c r="S78" s="568">
        <f t="shared" ca="1" si="54"/>
        <v>0</v>
      </c>
      <c r="T78" s="568">
        <f t="shared" ca="1" si="47"/>
        <v>0</v>
      </c>
      <c r="U78" s="568">
        <f t="shared" ca="1" si="48"/>
        <v>0</v>
      </c>
    </row>
    <row r="79" spans="1:21" ht="18.75" x14ac:dyDescent="0.25">
      <c r="A79" s="674"/>
      <c r="B79" s="561"/>
      <c r="C79" s="561"/>
      <c r="D79" s="561"/>
      <c r="E79" s="569" t="s">
        <v>20</v>
      </c>
      <c r="F79" s="561"/>
      <c r="G79" s="563"/>
      <c r="H79" s="685" t="s">
        <v>14</v>
      </c>
      <c r="I79" s="683"/>
      <c r="J79" s="683"/>
      <c r="K79" s="684"/>
      <c r="L79" s="571">
        <v>0</v>
      </c>
      <c r="M79" s="568">
        <v>0</v>
      </c>
      <c r="N79" s="568">
        <v>0</v>
      </c>
      <c r="O79" s="572">
        <f t="shared" si="44"/>
        <v>0</v>
      </c>
      <c r="P79" s="572">
        <f t="shared" si="45"/>
        <v>0</v>
      </c>
      <c r="Q79" s="572">
        <v>0</v>
      </c>
      <c r="R79" s="568">
        <v>0</v>
      </c>
      <c r="S79" s="568">
        <v>0</v>
      </c>
      <c r="T79" s="572">
        <f t="shared" si="47"/>
        <v>0</v>
      </c>
      <c r="U79" s="572">
        <f t="shared" si="48"/>
        <v>0</v>
      </c>
    </row>
    <row r="80" spans="1:21" ht="18.75" x14ac:dyDescent="0.25">
      <c r="A80" s="674"/>
      <c r="B80" s="561"/>
      <c r="C80" s="561"/>
      <c r="D80" s="561"/>
      <c r="E80" s="573" t="s">
        <v>21</v>
      </c>
      <c r="F80" s="561"/>
      <c r="G80" s="563"/>
      <c r="H80" s="686" t="s">
        <v>14</v>
      </c>
      <c r="I80" s="683"/>
      <c r="J80" s="683"/>
      <c r="K80" s="684"/>
      <c r="L80" s="567">
        <f ca="1">IFERROR(__xludf.DUMMYFUNCTION("IMPORTRANGE(""https://docs.google.com/spreadsheets/d/1-uDff_7J0KD5mKrp0Vvzr7lt3OU09vwQwhkpOPPYv2Y/edit?usp=sharing"",""งบพรบ!AP22"")"),0)</f>
        <v>0</v>
      </c>
      <c r="M80" s="568">
        <f ca="1">IFERROR(__xludf.DUMMYFUNCTION("IMPORTRANGE(""https://docs.google.com/spreadsheets/d/1-uDff_7J0KD5mKrp0Vvzr7lt3OU09vwQwhkpOPPYv2Y/edit?usp=sharing"",""งบพรบ!AS22"")"),0)</f>
        <v>0</v>
      </c>
      <c r="N80" s="568">
        <f ca="1">IFERROR(__xludf.DUMMYFUNCTION("IMPORTRANGE(""https://docs.google.com/spreadsheets/d/1-uDff_7J0KD5mKrp0Vvzr7lt3OU09vwQwhkpOPPYv2Y/edit?usp=sharing"",""งบพรบ!AU22"")"),0)</f>
        <v>0</v>
      </c>
      <c r="O80" s="568">
        <f t="shared" ca="1" si="44"/>
        <v>0</v>
      </c>
      <c r="P80" s="568">
        <f t="shared" ca="1" si="45"/>
        <v>0</v>
      </c>
      <c r="Q80" s="568">
        <f ca="1">IFERROR(__xludf.DUMMYFUNCTION("IMPORTRANGE(""https://docs.google.com/spreadsheets/d/1ItG2mGa2ceCfYo0BwxsXqNm01IGEUdYcSSLTEv9YCik/edit?usp=sharing"",""เบิกจ่ายกองทุน!BK22"")"),0)</f>
        <v>0</v>
      </c>
      <c r="R80" s="568">
        <f ca="1">IFERROR(__xludf.DUMMYFUNCTION("IMPORTRANGE(""https://docs.google.com/spreadsheets/d/1ItG2mGa2ceCfYo0BwxsXqNm01IGEUdYcSSLTEv9YCik/edit?usp=sharing"",""เบิกจ่ายกองทุน!BL22"")"),0)</f>
        <v>0</v>
      </c>
      <c r="S80" s="568">
        <f ca="1">IFERROR(__xludf.DUMMYFUNCTION("IMPORTRANGE(""https://docs.google.com/spreadsheets/d/1ItG2mGa2ceCfYo0BwxsXqNm01IGEUdYcSSLTEv9YCik/edit?usp=sharing"",""เบิกจ่ายกองทุน!BM22"")"),0)</f>
        <v>0</v>
      </c>
      <c r="T80" s="568">
        <f t="shared" ca="1" si="47"/>
        <v>0</v>
      </c>
      <c r="U80" s="568">
        <f t="shared" ca="1" si="48"/>
        <v>0</v>
      </c>
    </row>
    <row r="81" spans="1:21" ht="19.5" x14ac:dyDescent="0.3">
      <c r="A81" s="687"/>
      <c r="B81" s="688"/>
      <c r="C81" s="675" t="s">
        <v>18</v>
      </c>
      <c r="D81" s="689" t="s">
        <v>38</v>
      </c>
      <c r="E81" s="690"/>
      <c r="F81" s="690"/>
      <c r="G81" s="691"/>
      <c r="H81" s="692"/>
      <c r="I81" s="683"/>
      <c r="J81" s="683"/>
      <c r="K81" s="684"/>
      <c r="L81" s="693"/>
      <c r="M81" s="684"/>
      <c r="N81" s="684"/>
      <c r="O81" s="684"/>
      <c r="P81" s="684"/>
      <c r="Q81" s="684"/>
      <c r="R81" s="684"/>
      <c r="S81" s="684"/>
      <c r="T81" s="684"/>
      <c r="U81" s="684"/>
    </row>
    <row r="82" spans="1:21" ht="19.5" x14ac:dyDescent="0.3">
      <c r="A82" s="687"/>
      <c r="B82" s="688"/>
      <c r="C82" s="688"/>
      <c r="D82" s="694" t="s">
        <v>39</v>
      </c>
      <c r="E82" s="695"/>
      <c r="F82" s="695"/>
      <c r="G82" s="692"/>
      <c r="H82" s="696" t="s">
        <v>34</v>
      </c>
      <c r="I82" s="697">
        <f t="shared" ref="I82:J83" ca="1" si="55">I84+I86+I88</f>
        <v>2</v>
      </c>
      <c r="J82" s="697">
        <f t="shared" si="55"/>
        <v>0</v>
      </c>
      <c r="K82" s="698">
        <f t="shared" ref="K82:K90" ca="1" si="56">IF(I82&gt;0,J82*100/I82,0)</f>
        <v>0</v>
      </c>
      <c r="L82" s="693"/>
      <c r="M82" s="684"/>
      <c r="N82" s="684"/>
      <c r="O82" s="684"/>
      <c r="P82" s="684"/>
      <c r="Q82" s="684"/>
      <c r="R82" s="684"/>
      <c r="S82" s="684"/>
      <c r="T82" s="684"/>
      <c r="U82" s="684"/>
    </row>
    <row r="83" spans="1:21" ht="19.5" x14ac:dyDescent="0.3">
      <c r="A83" s="687"/>
      <c r="B83" s="688"/>
      <c r="C83" s="688"/>
      <c r="D83" s="688"/>
      <c r="E83" s="695"/>
      <c r="F83" s="695"/>
      <c r="G83" s="692"/>
      <c r="H83" s="696" t="s">
        <v>35</v>
      </c>
      <c r="I83" s="697">
        <f t="shared" ca="1" si="55"/>
        <v>98</v>
      </c>
      <c r="J83" s="697">
        <f t="shared" si="55"/>
        <v>0</v>
      </c>
      <c r="K83" s="698">
        <f t="shared" ca="1" si="56"/>
        <v>0</v>
      </c>
      <c r="L83" s="693"/>
      <c r="M83" s="684"/>
      <c r="N83" s="684"/>
      <c r="O83" s="684"/>
      <c r="P83" s="684"/>
      <c r="Q83" s="684"/>
      <c r="R83" s="684"/>
      <c r="S83" s="684"/>
      <c r="T83" s="684"/>
      <c r="U83" s="684"/>
    </row>
    <row r="84" spans="1:21" ht="18.75" x14ac:dyDescent="0.25">
      <c r="A84" s="687"/>
      <c r="B84" s="688"/>
      <c r="C84" s="688"/>
      <c r="D84" s="688"/>
      <c r="E84" s="699" t="s">
        <v>40</v>
      </c>
      <c r="F84" s="695"/>
      <c r="G84" s="692"/>
      <c r="H84" s="700" t="s">
        <v>34</v>
      </c>
      <c r="I84" s="701">
        <f ca="1">IFERROR(__xludf.DUMMYFUNCTION("IMPORTRANGE(""https://docs.google.com/spreadsheets/d/1eHaY18a8A9IcSdp1K8H6x8fbOy06t2VsZHhMHf-1x7Y/edit?usp=sharing"",""แผน!H22"")"),0)</f>
        <v>0</v>
      </c>
      <c r="J84" s="702">
        <v>0</v>
      </c>
      <c r="K84" s="703">
        <f t="shared" ca="1" si="56"/>
        <v>0</v>
      </c>
      <c r="L84" s="693"/>
      <c r="M84" s="684"/>
      <c r="N84" s="684"/>
      <c r="O84" s="684"/>
      <c r="P84" s="684"/>
      <c r="Q84" s="684"/>
      <c r="R84" s="684"/>
      <c r="S84" s="684"/>
      <c r="T84" s="684"/>
      <c r="U84" s="684"/>
    </row>
    <row r="85" spans="1:21" ht="18.75" x14ac:dyDescent="0.25">
      <c r="A85" s="687"/>
      <c r="B85" s="688"/>
      <c r="C85" s="688"/>
      <c r="D85" s="688"/>
      <c r="E85" s="695"/>
      <c r="F85" s="695"/>
      <c r="G85" s="692"/>
      <c r="H85" s="700" t="s">
        <v>35</v>
      </c>
      <c r="I85" s="701">
        <f ca="1">IFERROR(__xludf.DUMMYFUNCTION("IMPORTRANGE(""https://docs.google.com/spreadsheets/d/1eHaY18a8A9IcSdp1K8H6x8fbOy06t2VsZHhMHf-1x7Y/edit?usp=sharing"",""แผน!I22"")"),0)</f>
        <v>0</v>
      </c>
      <c r="J85" s="702">
        <v>0</v>
      </c>
      <c r="K85" s="703">
        <f t="shared" ca="1" si="56"/>
        <v>0</v>
      </c>
      <c r="L85" s="693"/>
      <c r="M85" s="684"/>
      <c r="N85" s="684"/>
      <c r="O85" s="684"/>
      <c r="P85" s="684"/>
      <c r="Q85" s="684"/>
      <c r="R85" s="684"/>
      <c r="S85" s="684"/>
      <c r="T85" s="684"/>
      <c r="U85" s="684"/>
    </row>
    <row r="86" spans="1:21" ht="18.75" x14ac:dyDescent="0.25">
      <c r="A86" s="687"/>
      <c r="B86" s="688"/>
      <c r="C86" s="688"/>
      <c r="D86" s="688"/>
      <c r="E86" s="699" t="s">
        <v>41</v>
      </c>
      <c r="F86" s="695"/>
      <c r="G86" s="692"/>
      <c r="H86" s="700" t="s">
        <v>34</v>
      </c>
      <c r="I86" s="701">
        <f ca="1">IFERROR(__xludf.DUMMYFUNCTION("IMPORTRANGE(""https://docs.google.com/spreadsheets/d/1eHaY18a8A9IcSdp1K8H6x8fbOy06t2VsZHhMHf-1x7Y/edit?usp=sharing"",""แผน!F22"")"),2)</f>
        <v>2</v>
      </c>
      <c r="J86" s="702">
        <v>0</v>
      </c>
      <c r="K86" s="703">
        <f t="shared" ca="1" si="56"/>
        <v>0</v>
      </c>
      <c r="L86" s="693"/>
      <c r="M86" s="684"/>
      <c r="N86" s="684"/>
      <c r="O86" s="684"/>
      <c r="P86" s="684"/>
      <c r="Q86" s="684"/>
      <c r="R86" s="684"/>
      <c r="S86" s="684"/>
      <c r="T86" s="684"/>
      <c r="U86" s="684"/>
    </row>
    <row r="87" spans="1:21" ht="18.75" x14ac:dyDescent="0.25">
      <c r="A87" s="687"/>
      <c r="B87" s="688"/>
      <c r="C87" s="688"/>
      <c r="D87" s="688"/>
      <c r="E87" s="695"/>
      <c r="F87" s="695"/>
      <c r="G87" s="692"/>
      <c r="H87" s="700" t="s">
        <v>35</v>
      </c>
      <c r="I87" s="701">
        <f ca="1">IFERROR(__xludf.DUMMYFUNCTION("IMPORTRANGE(""https://docs.google.com/spreadsheets/d/1eHaY18a8A9IcSdp1K8H6x8fbOy06t2VsZHhMHf-1x7Y/edit?usp=sharing"",""แผน!G22"")"),98)</f>
        <v>98</v>
      </c>
      <c r="J87" s="702">
        <v>0</v>
      </c>
      <c r="K87" s="703">
        <f t="shared" ca="1" si="56"/>
        <v>0</v>
      </c>
      <c r="L87" s="693"/>
      <c r="M87" s="684"/>
      <c r="N87" s="684"/>
      <c r="O87" s="684"/>
      <c r="P87" s="684"/>
      <c r="Q87" s="684"/>
      <c r="R87" s="684"/>
      <c r="S87" s="684"/>
      <c r="T87" s="684"/>
      <c r="U87" s="684"/>
    </row>
    <row r="88" spans="1:21" ht="18.75" x14ac:dyDescent="0.25">
      <c r="A88" s="687"/>
      <c r="B88" s="688"/>
      <c r="C88" s="688"/>
      <c r="D88" s="688"/>
      <c r="E88" s="699" t="s">
        <v>42</v>
      </c>
      <c r="F88" s="695"/>
      <c r="G88" s="692"/>
      <c r="H88" s="700" t="s">
        <v>34</v>
      </c>
      <c r="I88" s="701">
        <f ca="1">IFERROR(__xludf.DUMMYFUNCTION("IMPORTRANGE(""https://docs.google.com/spreadsheets/d/1eHaY18a8A9IcSdp1K8H6x8fbOy06t2VsZHhMHf-1x7Y/edit?usp=sharing"",""แผน!D22"")"),0)</f>
        <v>0</v>
      </c>
      <c r="J88" s="702">
        <v>0</v>
      </c>
      <c r="K88" s="703">
        <f t="shared" ca="1" si="56"/>
        <v>0</v>
      </c>
      <c r="L88" s="693"/>
      <c r="M88" s="684"/>
      <c r="N88" s="684"/>
      <c r="O88" s="684"/>
      <c r="P88" s="684"/>
      <c r="Q88" s="684"/>
      <c r="R88" s="684"/>
      <c r="S88" s="684"/>
      <c r="T88" s="684"/>
      <c r="U88" s="684"/>
    </row>
    <row r="89" spans="1:21" ht="18.75" x14ac:dyDescent="0.25">
      <c r="A89" s="687"/>
      <c r="B89" s="688"/>
      <c r="C89" s="688"/>
      <c r="D89" s="688"/>
      <c r="E89" s="695"/>
      <c r="F89" s="695"/>
      <c r="G89" s="692"/>
      <c r="H89" s="700" t="s">
        <v>35</v>
      </c>
      <c r="I89" s="701">
        <f ca="1">IFERROR(__xludf.DUMMYFUNCTION("IMPORTRANGE(""https://docs.google.com/spreadsheets/d/1eHaY18a8A9IcSdp1K8H6x8fbOy06t2VsZHhMHf-1x7Y/edit?usp=sharing"",""แผน!E22"")"),0)</f>
        <v>0</v>
      </c>
      <c r="J89" s="702">
        <v>0</v>
      </c>
      <c r="K89" s="703">
        <f t="shared" ca="1" si="56"/>
        <v>0</v>
      </c>
      <c r="L89" s="693"/>
      <c r="M89" s="684"/>
      <c r="N89" s="684"/>
      <c r="O89" s="684"/>
      <c r="P89" s="684"/>
      <c r="Q89" s="684"/>
      <c r="R89" s="684"/>
      <c r="S89" s="684"/>
      <c r="T89" s="684"/>
      <c r="U89" s="684"/>
    </row>
    <row r="90" spans="1:21" ht="18.75" x14ac:dyDescent="0.25">
      <c r="A90" s="687"/>
      <c r="B90" s="688"/>
      <c r="C90" s="688"/>
      <c r="D90" s="694" t="s">
        <v>43</v>
      </c>
      <c r="E90" s="695"/>
      <c r="F90" s="695"/>
      <c r="G90" s="692"/>
      <c r="H90" s="704" t="s">
        <v>34</v>
      </c>
      <c r="I90" s="701">
        <f ca="1">IFERROR(__xludf.DUMMYFUNCTION("IMPORTRANGE(""https://docs.google.com/spreadsheets/d/1eHaY18a8A9IcSdp1K8H6x8fbOy06t2VsZHhMHf-1x7Y/edit?usp=sharing"",""แผน!J22"")"),2)</f>
        <v>2</v>
      </c>
      <c r="J90" s="702">
        <v>0</v>
      </c>
      <c r="K90" s="703">
        <f t="shared" ca="1" si="56"/>
        <v>0</v>
      </c>
      <c r="L90" s="693"/>
      <c r="M90" s="684"/>
      <c r="N90" s="684"/>
      <c r="O90" s="684"/>
      <c r="P90" s="684"/>
      <c r="Q90" s="684"/>
      <c r="R90" s="684"/>
      <c r="S90" s="684"/>
      <c r="T90" s="684"/>
      <c r="U90" s="684"/>
    </row>
    <row r="91" spans="1:21" ht="19.5" x14ac:dyDescent="0.3">
      <c r="A91" s="662" t="s">
        <v>44</v>
      </c>
      <c r="B91" s="663"/>
      <c r="C91" s="664"/>
      <c r="D91" s="663"/>
      <c r="E91" s="663"/>
      <c r="F91" s="663"/>
      <c r="G91" s="665"/>
      <c r="H91" s="665"/>
      <c r="I91" s="666"/>
      <c r="J91" s="666"/>
      <c r="K91" s="667"/>
      <c r="L91" s="668"/>
      <c r="M91" s="667"/>
      <c r="N91" s="667"/>
      <c r="O91" s="667"/>
      <c r="P91" s="667"/>
      <c r="Q91" s="667"/>
      <c r="R91" s="667"/>
      <c r="S91" s="667"/>
      <c r="T91" s="667"/>
      <c r="U91" s="667"/>
    </row>
    <row r="92" spans="1:21" ht="19.5" x14ac:dyDescent="0.3">
      <c r="A92" s="669"/>
      <c r="B92" s="544" t="s">
        <v>45</v>
      </c>
      <c r="C92" s="543"/>
      <c r="D92" s="670"/>
      <c r="E92" s="543"/>
      <c r="F92" s="543"/>
      <c r="G92" s="546"/>
      <c r="H92" s="671" t="s">
        <v>46</v>
      </c>
      <c r="I92" s="672">
        <f t="shared" ref="I92:J93" ca="1" si="57">I108</f>
        <v>60</v>
      </c>
      <c r="J92" s="672">
        <f t="shared" si="57"/>
        <v>0</v>
      </c>
      <c r="K92" s="551">
        <f t="shared" ref="K92:K93" ca="1" si="58">IF(I92&gt;0,J92*100/I92,0)</f>
        <v>0</v>
      </c>
      <c r="L92" s="673"/>
      <c r="M92" s="549"/>
      <c r="N92" s="549"/>
      <c r="O92" s="549"/>
      <c r="P92" s="549"/>
      <c r="Q92" s="549"/>
      <c r="R92" s="549"/>
      <c r="S92" s="549"/>
      <c r="T92" s="549"/>
      <c r="U92" s="549"/>
    </row>
    <row r="93" spans="1:21" ht="19.5" x14ac:dyDescent="0.3">
      <c r="A93" s="669"/>
      <c r="B93" s="543"/>
      <c r="C93" s="543"/>
      <c r="D93" s="670"/>
      <c r="E93" s="543"/>
      <c r="F93" s="543"/>
      <c r="G93" s="546"/>
      <c r="H93" s="671" t="s">
        <v>35</v>
      </c>
      <c r="I93" s="672">
        <f t="shared" ca="1" si="57"/>
        <v>20</v>
      </c>
      <c r="J93" s="672">
        <f t="shared" si="57"/>
        <v>0</v>
      </c>
      <c r="K93" s="551">
        <f t="shared" ca="1" si="58"/>
        <v>0</v>
      </c>
      <c r="L93" s="673"/>
      <c r="M93" s="549"/>
      <c r="N93" s="549"/>
      <c r="O93" s="549"/>
      <c r="P93" s="549"/>
      <c r="Q93" s="549"/>
      <c r="R93" s="549"/>
      <c r="S93" s="549"/>
      <c r="T93" s="549"/>
      <c r="U93" s="549"/>
    </row>
    <row r="94" spans="1:21" ht="19.5" x14ac:dyDescent="0.3">
      <c r="A94" s="674"/>
      <c r="B94" s="561"/>
      <c r="C94" s="675" t="s">
        <v>18</v>
      </c>
      <c r="D94" s="676" t="s">
        <v>19</v>
      </c>
      <c r="E94" s="561"/>
      <c r="F94" s="561"/>
      <c r="G94" s="563"/>
      <c r="H94" s="677" t="s">
        <v>14</v>
      </c>
      <c r="I94" s="565"/>
      <c r="J94" s="565"/>
      <c r="K94" s="566"/>
      <c r="L94" s="678">
        <f t="shared" ref="L94:N94" ca="1" si="59">L95+L96</f>
        <v>0</v>
      </c>
      <c r="M94" s="679">
        <f t="shared" ca="1" si="59"/>
        <v>39000</v>
      </c>
      <c r="N94" s="679">
        <f t="shared" ca="1" si="59"/>
        <v>39000</v>
      </c>
      <c r="O94" s="679">
        <f t="shared" ref="O94:O102" ca="1" si="60">IF(L94&gt;0,N94*100/L94,0)</f>
        <v>0</v>
      </c>
      <c r="P94" s="679">
        <f t="shared" ref="P94:P102" ca="1" si="61">IF(M94&gt;0,N94*100/M94,0)</f>
        <v>100</v>
      </c>
      <c r="Q94" s="679">
        <f t="shared" ref="Q94:S94" ca="1" si="62">Q95+Q96</f>
        <v>129840</v>
      </c>
      <c r="R94" s="679">
        <f t="shared" ca="1" si="62"/>
        <v>129840</v>
      </c>
      <c r="S94" s="679">
        <f t="shared" ca="1" si="62"/>
        <v>40980</v>
      </c>
      <c r="T94" s="679">
        <f t="shared" ref="T94:T102" ca="1" si="63">IF(Q94&gt;0,S94*100/Q94,0)</f>
        <v>31.561922365988909</v>
      </c>
      <c r="U94" s="679">
        <f t="shared" ref="U94:U102" ca="1" si="64">IF(R94&gt;0,S94*100/R94,0)</f>
        <v>31.561922365988909</v>
      </c>
    </row>
    <row r="95" spans="1:21" ht="18.75" x14ac:dyDescent="0.25">
      <c r="A95" s="674"/>
      <c r="B95" s="561"/>
      <c r="C95" s="561"/>
      <c r="D95" s="561"/>
      <c r="E95" s="569" t="s">
        <v>20</v>
      </c>
      <c r="F95" s="561"/>
      <c r="G95" s="563"/>
      <c r="H95" s="680" t="s">
        <v>14</v>
      </c>
      <c r="I95" s="565"/>
      <c r="J95" s="565"/>
      <c r="K95" s="566"/>
      <c r="L95" s="571">
        <f t="shared" ref="L95:N96" si="65">L98+L101</f>
        <v>0</v>
      </c>
      <c r="M95" s="572">
        <f t="shared" si="65"/>
        <v>0</v>
      </c>
      <c r="N95" s="572">
        <f t="shared" si="65"/>
        <v>0</v>
      </c>
      <c r="O95" s="572">
        <f t="shared" si="60"/>
        <v>0</v>
      </c>
      <c r="P95" s="572">
        <f t="shared" si="61"/>
        <v>0</v>
      </c>
      <c r="Q95" s="572">
        <f t="shared" ref="Q95:S96" si="66">Q98+Q101</f>
        <v>0</v>
      </c>
      <c r="R95" s="572">
        <f t="shared" si="66"/>
        <v>0</v>
      </c>
      <c r="S95" s="572">
        <f t="shared" si="66"/>
        <v>0</v>
      </c>
      <c r="T95" s="572">
        <f t="shared" si="63"/>
        <v>0</v>
      </c>
      <c r="U95" s="572">
        <f t="shared" si="64"/>
        <v>0</v>
      </c>
    </row>
    <row r="96" spans="1:21" ht="18.75" x14ac:dyDescent="0.25">
      <c r="A96" s="674"/>
      <c r="B96" s="561"/>
      <c r="C96" s="561"/>
      <c r="D96" s="561"/>
      <c r="E96" s="573" t="s">
        <v>21</v>
      </c>
      <c r="F96" s="561"/>
      <c r="G96" s="563"/>
      <c r="H96" s="681" t="s">
        <v>14</v>
      </c>
      <c r="I96" s="565"/>
      <c r="J96" s="565"/>
      <c r="K96" s="566"/>
      <c r="L96" s="567">
        <f t="shared" ca="1" si="65"/>
        <v>0</v>
      </c>
      <c r="M96" s="568">
        <f t="shared" ca="1" si="65"/>
        <v>39000</v>
      </c>
      <c r="N96" s="568">
        <f t="shared" ca="1" si="65"/>
        <v>39000</v>
      </c>
      <c r="O96" s="568">
        <f t="shared" ca="1" si="60"/>
        <v>0</v>
      </c>
      <c r="P96" s="568">
        <f t="shared" ca="1" si="61"/>
        <v>100</v>
      </c>
      <c r="Q96" s="568">
        <f t="shared" ca="1" si="66"/>
        <v>129840</v>
      </c>
      <c r="R96" s="568">
        <f t="shared" ca="1" si="66"/>
        <v>129840</v>
      </c>
      <c r="S96" s="568">
        <f t="shared" ca="1" si="66"/>
        <v>40980</v>
      </c>
      <c r="T96" s="568">
        <f t="shared" ca="1" si="63"/>
        <v>31.561922365988909</v>
      </c>
      <c r="U96" s="568">
        <f t="shared" ca="1" si="64"/>
        <v>31.561922365988909</v>
      </c>
    </row>
    <row r="97" spans="1:21" ht="18.75" x14ac:dyDescent="0.25">
      <c r="A97" s="674"/>
      <c r="B97" s="561"/>
      <c r="C97" s="561"/>
      <c r="D97" s="562" t="s">
        <v>22</v>
      </c>
      <c r="E97" s="561"/>
      <c r="F97" s="561"/>
      <c r="G97" s="563"/>
      <c r="H97" s="682" t="s">
        <v>14</v>
      </c>
      <c r="I97" s="683"/>
      <c r="J97" s="683"/>
      <c r="K97" s="684"/>
      <c r="L97" s="567">
        <f t="shared" ref="L97:N97" ca="1" si="67">L98+L99</f>
        <v>0</v>
      </c>
      <c r="M97" s="568">
        <f t="shared" ca="1" si="67"/>
        <v>39000</v>
      </c>
      <c r="N97" s="568">
        <f t="shared" ca="1" si="67"/>
        <v>39000</v>
      </c>
      <c r="O97" s="568">
        <f t="shared" ca="1" si="60"/>
        <v>0</v>
      </c>
      <c r="P97" s="568">
        <f t="shared" ca="1" si="61"/>
        <v>100</v>
      </c>
      <c r="Q97" s="568">
        <f t="shared" ref="Q97:S97" ca="1" si="68">Q98+Q99</f>
        <v>129840</v>
      </c>
      <c r="R97" s="568">
        <f t="shared" ca="1" si="68"/>
        <v>129840</v>
      </c>
      <c r="S97" s="568">
        <f t="shared" ca="1" si="68"/>
        <v>40980</v>
      </c>
      <c r="T97" s="568">
        <f t="shared" ca="1" si="63"/>
        <v>31.561922365988909</v>
      </c>
      <c r="U97" s="568">
        <f t="shared" ca="1" si="64"/>
        <v>31.561922365988909</v>
      </c>
    </row>
    <row r="98" spans="1:21" ht="18.75" x14ac:dyDescent="0.25">
      <c r="A98" s="674"/>
      <c r="B98" s="561"/>
      <c r="C98" s="561"/>
      <c r="D98" s="561"/>
      <c r="E98" s="569" t="s">
        <v>36</v>
      </c>
      <c r="F98" s="561"/>
      <c r="G98" s="563"/>
      <c r="H98" s="685" t="s">
        <v>14</v>
      </c>
      <c r="I98" s="683"/>
      <c r="J98" s="683"/>
      <c r="K98" s="684"/>
      <c r="L98" s="571">
        <v>0</v>
      </c>
      <c r="M98" s="572">
        <v>0</v>
      </c>
      <c r="N98" s="572">
        <v>0</v>
      </c>
      <c r="O98" s="572">
        <f t="shared" si="60"/>
        <v>0</v>
      </c>
      <c r="P98" s="572">
        <f t="shared" si="61"/>
        <v>0</v>
      </c>
      <c r="Q98" s="572">
        <v>0</v>
      </c>
      <c r="R98" s="572">
        <v>0</v>
      </c>
      <c r="S98" s="572">
        <v>0</v>
      </c>
      <c r="T98" s="572">
        <f t="shared" si="63"/>
        <v>0</v>
      </c>
      <c r="U98" s="572">
        <f t="shared" si="64"/>
        <v>0</v>
      </c>
    </row>
    <row r="99" spans="1:21" ht="18.75" x14ac:dyDescent="0.25">
      <c r="A99" s="674"/>
      <c r="B99" s="561"/>
      <c r="C99" s="561"/>
      <c r="D99" s="561"/>
      <c r="E99" s="573" t="s">
        <v>37</v>
      </c>
      <c r="F99" s="561"/>
      <c r="G99" s="563"/>
      <c r="H99" s="682" t="s">
        <v>14</v>
      </c>
      <c r="I99" s="683"/>
      <c r="J99" s="683"/>
      <c r="K99" s="684"/>
      <c r="L99" s="567">
        <f ca="1">IFERROR(__xludf.DUMMYFUNCTION("IMPORTRANGE(""https://docs.google.com/spreadsheets/d/1-uDff_7J0KD5mKrp0Vvzr7lt3OU09vwQwhkpOPPYv2Y/edit?usp=sharing"",""งบพรบ!AW22"")"),0)</f>
        <v>0</v>
      </c>
      <c r="M99" s="568">
        <f ca="1">IFERROR(__xludf.DUMMYFUNCTION("IMPORTRANGE(""https://docs.google.com/spreadsheets/d/1-uDff_7J0KD5mKrp0Vvzr7lt3OU09vwQwhkpOPPYv2Y/edit?usp=sharing"",""งบพรบ!BB22"")"),39000)</f>
        <v>39000</v>
      </c>
      <c r="N99" s="568">
        <f ca="1">IFERROR(__xludf.DUMMYFUNCTION("IMPORTRANGE(""https://docs.google.com/spreadsheets/d/1-uDff_7J0KD5mKrp0Vvzr7lt3OU09vwQwhkpOPPYv2Y/edit?usp=sharing"",""งบพรบ!BD22"")"),39000)</f>
        <v>39000</v>
      </c>
      <c r="O99" s="568">
        <f t="shared" ca="1" si="60"/>
        <v>0</v>
      </c>
      <c r="P99" s="568">
        <f t="shared" ca="1" si="61"/>
        <v>100</v>
      </c>
      <c r="Q99" s="568">
        <f ca="1">IFERROR(__xludf.DUMMYFUNCTION("IMPORTRANGE(""https://docs.google.com/spreadsheets/d/1ItG2mGa2ceCfYo0BwxsXqNm01IGEUdYcSSLTEv9YCik/edit?usp=sharing"",""เบิกจ่ายกองทุน!AJ22"")"),129840)</f>
        <v>129840</v>
      </c>
      <c r="R99" s="568">
        <f ca="1">IFERROR(__xludf.DUMMYFUNCTION("IMPORTRANGE(""https://docs.google.com/spreadsheets/d/1ItG2mGa2ceCfYo0BwxsXqNm01IGEUdYcSSLTEv9YCik/edit?usp=sharing"",""เบิกจ่ายกองทุน!AK22"")"),129840)</f>
        <v>129840</v>
      </c>
      <c r="S99" s="568">
        <f ca="1">IFERROR(__xludf.DUMMYFUNCTION("IMPORTRANGE(""https://docs.google.com/spreadsheets/d/1ItG2mGa2ceCfYo0BwxsXqNm01IGEUdYcSSLTEv9YCik/edit?usp=sharing"",""เบิกจ่ายกองทุน!AL22"")"),40980)</f>
        <v>40980</v>
      </c>
      <c r="T99" s="568">
        <f t="shared" ca="1" si="63"/>
        <v>31.561922365988909</v>
      </c>
      <c r="U99" s="568">
        <f t="shared" ca="1" si="64"/>
        <v>31.561922365988909</v>
      </c>
    </row>
    <row r="100" spans="1:21" ht="18.75" x14ac:dyDescent="0.25">
      <c r="A100" s="674"/>
      <c r="B100" s="561"/>
      <c r="C100" s="561"/>
      <c r="D100" s="562" t="s">
        <v>23</v>
      </c>
      <c r="E100" s="561"/>
      <c r="F100" s="561"/>
      <c r="G100" s="563"/>
      <c r="H100" s="686" t="s">
        <v>14</v>
      </c>
      <c r="I100" s="683"/>
      <c r="J100" s="683"/>
      <c r="K100" s="684"/>
      <c r="L100" s="567">
        <f t="shared" ref="L100:N100" ca="1" si="69">L101+L102</f>
        <v>0</v>
      </c>
      <c r="M100" s="568">
        <f t="shared" ca="1" si="69"/>
        <v>0</v>
      </c>
      <c r="N100" s="568">
        <f t="shared" ca="1" si="69"/>
        <v>0</v>
      </c>
      <c r="O100" s="568">
        <f t="shared" ca="1" si="60"/>
        <v>0</v>
      </c>
      <c r="P100" s="568">
        <f t="shared" ca="1" si="61"/>
        <v>0</v>
      </c>
      <c r="Q100" s="568">
        <f t="shared" ref="Q100:S100" si="70">Q101+Q102</f>
        <v>0</v>
      </c>
      <c r="R100" s="568">
        <f t="shared" si="70"/>
        <v>0</v>
      </c>
      <c r="S100" s="568">
        <f t="shared" si="70"/>
        <v>0</v>
      </c>
      <c r="T100" s="568">
        <f t="shared" si="63"/>
        <v>0</v>
      </c>
      <c r="U100" s="568">
        <f t="shared" si="64"/>
        <v>0</v>
      </c>
    </row>
    <row r="101" spans="1:21" ht="18.75" x14ac:dyDescent="0.25">
      <c r="A101" s="674"/>
      <c r="B101" s="561"/>
      <c r="C101" s="561"/>
      <c r="D101" s="561"/>
      <c r="E101" s="569" t="s">
        <v>20</v>
      </c>
      <c r="F101" s="561"/>
      <c r="G101" s="563"/>
      <c r="H101" s="685" t="s">
        <v>14</v>
      </c>
      <c r="I101" s="683"/>
      <c r="J101" s="683"/>
      <c r="K101" s="684"/>
      <c r="L101" s="571">
        <v>0</v>
      </c>
      <c r="M101" s="572">
        <v>0</v>
      </c>
      <c r="N101" s="572">
        <v>0</v>
      </c>
      <c r="O101" s="572">
        <f t="shared" si="60"/>
        <v>0</v>
      </c>
      <c r="P101" s="572">
        <f t="shared" si="61"/>
        <v>0</v>
      </c>
      <c r="Q101" s="572">
        <v>0</v>
      </c>
      <c r="R101" s="572">
        <v>0</v>
      </c>
      <c r="S101" s="572">
        <v>0</v>
      </c>
      <c r="T101" s="572">
        <f t="shared" si="63"/>
        <v>0</v>
      </c>
      <c r="U101" s="572">
        <f t="shared" si="64"/>
        <v>0</v>
      </c>
    </row>
    <row r="102" spans="1:21" ht="18.75" x14ac:dyDescent="0.25">
      <c r="A102" s="674"/>
      <c r="B102" s="561"/>
      <c r="C102" s="561"/>
      <c r="D102" s="561"/>
      <c r="E102" s="573" t="s">
        <v>21</v>
      </c>
      <c r="F102" s="561"/>
      <c r="G102" s="563"/>
      <c r="H102" s="686" t="s">
        <v>14</v>
      </c>
      <c r="I102" s="683"/>
      <c r="J102" s="683"/>
      <c r="K102" s="684"/>
      <c r="L102" s="567">
        <f ca="1">IFERROR(__xludf.DUMMYFUNCTION("IMPORTRANGE(""https://docs.google.com/spreadsheets/d/1-uDff_7J0KD5mKrp0Vvzr7lt3OU09vwQwhkpOPPYv2Y/edit?usp=sharing"",""งบพรบ!AZ22"")"),0)</f>
        <v>0</v>
      </c>
      <c r="M102" s="568">
        <f ca="1">IFERROR(__xludf.DUMMYFUNCTION("IMPORTRANGE(""https://docs.google.com/spreadsheets/d/1-uDff_7J0KD5mKrp0Vvzr7lt3OU09vwQwhkpOPPYv2Y/edit?usp=sharing"",""งบพรบ!BC22"")"),0)</f>
        <v>0</v>
      </c>
      <c r="N102" s="568">
        <f ca="1">IFERROR(__xludf.DUMMYFUNCTION("IMPORTRANGE(""https://docs.google.com/spreadsheets/d/1-uDff_7J0KD5mKrp0Vvzr7lt3OU09vwQwhkpOPPYv2Y/edit?usp=sharing"",""งบพรบ!BE22"")"),0)</f>
        <v>0</v>
      </c>
      <c r="O102" s="568">
        <f t="shared" ca="1" si="60"/>
        <v>0</v>
      </c>
      <c r="P102" s="568">
        <f t="shared" ca="1" si="61"/>
        <v>0</v>
      </c>
      <c r="Q102" s="568">
        <v>0</v>
      </c>
      <c r="R102" s="568">
        <v>0</v>
      </c>
      <c r="S102" s="568">
        <v>0</v>
      </c>
      <c r="T102" s="568">
        <f t="shared" si="63"/>
        <v>0</v>
      </c>
      <c r="U102" s="568">
        <f t="shared" si="64"/>
        <v>0</v>
      </c>
    </row>
    <row r="103" spans="1:21" ht="19.5" x14ac:dyDescent="0.3">
      <c r="A103" s="687"/>
      <c r="B103" s="688"/>
      <c r="C103" s="675" t="s">
        <v>18</v>
      </c>
      <c r="D103" s="689" t="s">
        <v>38</v>
      </c>
      <c r="E103" s="690"/>
      <c r="F103" s="690"/>
      <c r="G103" s="691"/>
      <c r="H103" s="692"/>
      <c r="I103" s="683"/>
      <c r="J103" s="565"/>
      <c r="K103" s="566"/>
      <c r="L103" s="574"/>
      <c r="M103" s="566"/>
      <c r="N103" s="566"/>
      <c r="O103" s="684"/>
      <c r="P103" s="684"/>
      <c r="Q103" s="566"/>
      <c r="R103" s="566"/>
      <c r="S103" s="566"/>
      <c r="T103" s="684"/>
      <c r="U103" s="684"/>
    </row>
    <row r="104" spans="1:21" ht="12.75" hidden="1" x14ac:dyDescent="0.2">
      <c r="A104" s="705"/>
      <c r="B104" s="706"/>
      <c r="C104" s="706"/>
      <c r="D104" s="531"/>
      <c r="E104" s="531"/>
      <c r="F104" s="531"/>
      <c r="G104" s="532"/>
      <c r="H104" s="532"/>
      <c r="I104" s="533"/>
      <c r="J104" s="533"/>
      <c r="K104" s="534"/>
      <c r="L104" s="535"/>
      <c r="M104" s="534"/>
      <c r="N104" s="534"/>
      <c r="O104" s="534"/>
      <c r="P104" s="534"/>
      <c r="Q104" s="534"/>
      <c r="R104" s="534"/>
      <c r="S104" s="534"/>
      <c r="T104" s="534"/>
      <c r="U104" s="534"/>
    </row>
    <row r="105" spans="1:21" ht="12.75" hidden="1" x14ac:dyDescent="0.2">
      <c r="A105" s="705"/>
      <c r="B105" s="706"/>
      <c r="C105" s="706"/>
      <c r="D105" s="531"/>
      <c r="E105" s="531"/>
      <c r="F105" s="531"/>
      <c r="G105" s="532"/>
      <c r="H105" s="532"/>
      <c r="I105" s="533"/>
      <c r="J105" s="533"/>
      <c r="K105" s="534"/>
      <c r="L105" s="535"/>
      <c r="M105" s="534"/>
      <c r="N105" s="534"/>
      <c r="O105" s="534"/>
      <c r="P105" s="534"/>
      <c r="Q105" s="534"/>
      <c r="R105" s="534"/>
      <c r="S105" s="534"/>
      <c r="T105" s="534"/>
      <c r="U105" s="534"/>
    </row>
    <row r="106" spans="1:21" ht="12.75" hidden="1" x14ac:dyDescent="0.2">
      <c r="A106" s="705"/>
      <c r="B106" s="706"/>
      <c r="C106" s="706"/>
      <c r="D106" s="706"/>
      <c r="E106" s="531"/>
      <c r="F106" s="531"/>
      <c r="G106" s="532"/>
      <c r="H106" s="532"/>
      <c r="I106" s="533"/>
      <c r="J106" s="533"/>
      <c r="K106" s="534"/>
      <c r="L106" s="535"/>
      <c r="M106" s="534"/>
      <c r="N106" s="534"/>
      <c r="O106" s="534"/>
      <c r="P106" s="534"/>
      <c r="Q106" s="534"/>
      <c r="R106" s="534"/>
      <c r="S106" s="534"/>
      <c r="T106" s="534"/>
      <c r="U106" s="534"/>
    </row>
    <row r="107" spans="1:21" ht="19.5" x14ac:dyDescent="0.3">
      <c r="A107" s="687"/>
      <c r="B107" s="688"/>
      <c r="C107" s="688"/>
      <c r="D107" s="707" t="s">
        <v>47</v>
      </c>
      <c r="E107" s="510"/>
      <c r="F107" s="695"/>
      <c r="G107" s="692"/>
      <c r="H107" s="563"/>
      <c r="I107" s="565"/>
      <c r="J107" s="565"/>
      <c r="K107" s="566"/>
      <c r="L107" s="574"/>
      <c r="M107" s="566"/>
      <c r="N107" s="566"/>
      <c r="O107" s="684"/>
      <c r="P107" s="684"/>
      <c r="Q107" s="566"/>
      <c r="R107" s="566"/>
      <c r="S107" s="566"/>
      <c r="T107" s="684"/>
      <c r="U107" s="684"/>
    </row>
    <row r="108" spans="1:21" ht="18.75" x14ac:dyDescent="0.25">
      <c r="A108" s="687"/>
      <c r="B108" s="688"/>
      <c r="C108" s="688"/>
      <c r="D108" s="699" t="s">
        <v>48</v>
      </c>
      <c r="E108" s="695"/>
      <c r="F108" s="695"/>
      <c r="G108" s="692"/>
      <c r="H108" s="564" t="s">
        <v>46</v>
      </c>
      <c r="I108" s="708">
        <f ca="1">IFERROR(__xludf.DUMMYFUNCTION("IMPORTRANGE(""https://docs.google.com/spreadsheets/d/1eHaY18a8A9IcSdp1K8H6x8fbOy06t2VsZHhMHf-1x7Y/edit?usp=sharing"",""แผน!N22"")"),60)</f>
        <v>60</v>
      </c>
      <c r="J108" s="702">
        <v>0</v>
      </c>
      <c r="K108" s="568">
        <f t="shared" ref="K108:K109" ca="1" si="71">IF(I108&gt;0,J108*100/I108,0)</f>
        <v>0</v>
      </c>
      <c r="L108" s="574"/>
      <c r="M108" s="566"/>
      <c r="N108" s="566"/>
      <c r="O108" s="684"/>
      <c r="P108" s="684"/>
      <c r="Q108" s="566"/>
      <c r="R108" s="566"/>
      <c r="S108" s="566"/>
      <c r="T108" s="684"/>
      <c r="U108" s="684"/>
    </row>
    <row r="109" spans="1:21" ht="18.75" x14ac:dyDescent="0.25">
      <c r="A109" s="687"/>
      <c r="B109" s="688"/>
      <c r="C109" s="688"/>
      <c r="D109" s="699" t="s">
        <v>49</v>
      </c>
      <c r="E109" s="695"/>
      <c r="F109" s="695"/>
      <c r="G109" s="692"/>
      <c r="H109" s="564" t="s">
        <v>35</v>
      </c>
      <c r="I109" s="708">
        <f ca="1">IFERROR(__xludf.DUMMYFUNCTION("IMPORTRANGE(""https://docs.google.com/spreadsheets/d/1eHaY18a8A9IcSdp1K8H6x8fbOy06t2VsZHhMHf-1x7Y/edit?usp=sharing"",""แผน!O22"")"),20)</f>
        <v>20</v>
      </c>
      <c r="J109" s="702">
        <v>0</v>
      </c>
      <c r="K109" s="568">
        <f t="shared" ca="1" si="71"/>
        <v>0</v>
      </c>
      <c r="L109" s="574"/>
      <c r="M109" s="566"/>
      <c r="N109" s="566"/>
      <c r="O109" s="684"/>
      <c r="P109" s="684"/>
      <c r="Q109" s="566"/>
      <c r="R109" s="566"/>
      <c r="S109" s="566"/>
      <c r="T109" s="684"/>
      <c r="U109" s="684"/>
    </row>
    <row r="110" spans="1:21" ht="12.75" hidden="1" x14ac:dyDescent="0.2">
      <c r="A110" s="705"/>
      <c r="B110" s="706"/>
      <c r="C110" s="706"/>
      <c r="D110" s="531"/>
      <c r="E110" s="531"/>
      <c r="F110" s="531"/>
      <c r="G110" s="532"/>
      <c r="H110" s="532"/>
      <c r="I110" s="533"/>
      <c r="J110" s="533"/>
      <c r="K110" s="534"/>
      <c r="L110" s="535"/>
      <c r="M110" s="534"/>
      <c r="N110" s="534"/>
      <c r="O110" s="534"/>
      <c r="P110" s="534"/>
      <c r="Q110" s="534"/>
      <c r="R110" s="534"/>
      <c r="S110" s="534"/>
      <c r="T110" s="534"/>
      <c r="U110" s="534"/>
    </row>
    <row r="111" spans="1:21" ht="12.75" hidden="1" x14ac:dyDescent="0.2">
      <c r="A111" s="705"/>
      <c r="B111" s="706"/>
      <c r="C111" s="706"/>
      <c r="D111" s="531"/>
      <c r="E111" s="531"/>
      <c r="F111" s="531"/>
      <c r="G111" s="532"/>
      <c r="H111" s="532"/>
      <c r="I111" s="533"/>
      <c r="J111" s="533"/>
      <c r="K111" s="534"/>
      <c r="L111" s="535"/>
      <c r="M111" s="534"/>
      <c r="N111" s="534"/>
      <c r="O111" s="534"/>
      <c r="P111" s="534"/>
      <c r="Q111" s="534"/>
      <c r="R111" s="534"/>
      <c r="S111" s="534"/>
      <c r="T111" s="534"/>
      <c r="U111" s="534"/>
    </row>
    <row r="112" spans="1:21" ht="12.75" hidden="1" x14ac:dyDescent="0.2">
      <c r="A112" s="705"/>
      <c r="B112" s="706"/>
      <c r="C112" s="706"/>
      <c r="D112" s="531"/>
      <c r="E112" s="531"/>
      <c r="F112" s="531"/>
      <c r="G112" s="532"/>
      <c r="H112" s="532"/>
      <c r="I112" s="533"/>
      <c r="J112" s="533"/>
      <c r="K112" s="534"/>
      <c r="L112" s="535"/>
      <c r="M112" s="534"/>
      <c r="N112" s="534"/>
      <c r="O112" s="534"/>
      <c r="P112" s="534"/>
      <c r="Q112" s="534"/>
      <c r="R112" s="534"/>
      <c r="S112" s="534"/>
      <c r="T112" s="534"/>
      <c r="U112" s="534"/>
    </row>
    <row r="113" spans="1:21" ht="18.75" x14ac:dyDescent="0.25">
      <c r="A113" s="1131"/>
      <c r="B113" s="1110"/>
      <c r="C113" s="1110"/>
      <c r="D113" s="1132" t="s">
        <v>50</v>
      </c>
      <c r="E113" s="1112"/>
      <c r="F113" s="1112"/>
      <c r="G113" s="1113"/>
      <c r="H113" s="1133" t="s">
        <v>46</v>
      </c>
      <c r="I113" s="1134">
        <f ca="1">IFERROR(__xludf.DUMMYFUNCTION("IMPORTRANGE(""https://docs.google.com/spreadsheets/d/1eHaY18a8A9IcSdp1K8H6x8fbOy06t2VsZHhMHf-1x7Y/edit?usp=sharing"",""แผน!N22"")"),60)</f>
        <v>60</v>
      </c>
      <c r="J113" s="861">
        <v>0</v>
      </c>
      <c r="K113" s="862">
        <f t="shared" ref="K113:K114" ca="1" si="72">IF(I113&gt;0,J113*100/I113,0)</f>
        <v>0</v>
      </c>
      <c r="L113" s="784"/>
      <c r="M113" s="784"/>
      <c r="N113" s="784"/>
      <c r="O113" s="1116"/>
      <c r="P113" s="1116"/>
      <c r="Q113" s="784"/>
      <c r="R113" s="784"/>
      <c r="S113" s="784"/>
      <c r="T113" s="1116"/>
      <c r="U113" s="1116"/>
    </row>
    <row r="114" spans="1:21" ht="18.75" x14ac:dyDescent="0.25">
      <c r="A114" s="687"/>
      <c r="B114" s="688"/>
      <c r="C114" s="688"/>
      <c r="D114" s="695"/>
      <c r="E114" s="695"/>
      <c r="F114" s="695"/>
      <c r="G114" s="692"/>
      <c r="H114" s="700" t="s">
        <v>35</v>
      </c>
      <c r="I114" s="701">
        <f ca="1">IFERROR(__xludf.DUMMYFUNCTION("IMPORTRANGE(""https://docs.google.com/spreadsheets/d/1eHaY18a8A9IcSdp1K8H6x8fbOy06t2VsZHhMHf-1x7Y/edit?usp=sharing"",""แผน!O22"")"),20)</f>
        <v>20</v>
      </c>
      <c r="J114" s="702">
        <v>0</v>
      </c>
      <c r="K114" s="568">
        <f t="shared" ca="1" si="72"/>
        <v>0</v>
      </c>
      <c r="L114" s="566"/>
      <c r="M114" s="566"/>
      <c r="N114" s="566"/>
      <c r="O114" s="684"/>
      <c r="P114" s="684"/>
      <c r="Q114" s="566"/>
      <c r="R114" s="566"/>
      <c r="S114" s="566"/>
      <c r="T114" s="684"/>
      <c r="U114" s="684"/>
    </row>
    <row r="115" spans="1:21" ht="19.5" x14ac:dyDescent="0.3">
      <c r="A115" s="709" t="s">
        <v>51</v>
      </c>
      <c r="B115" s="710"/>
      <c r="C115" s="711"/>
      <c r="D115" s="712"/>
      <c r="E115" s="712"/>
      <c r="F115" s="712"/>
      <c r="G115" s="712"/>
      <c r="H115" s="710"/>
      <c r="I115" s="713"/>
      <c r="J115" s="713"/>
      <c r="K115" s="714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</row>
    <row r="116" spans="1:21" ht="19.5" x14ac:dyDescent="0.3">
      <c r="A116" s="669"/>
      <c r="B116" s="715" t="s">
        <v>52</v>
      </c>
      <c r="C116" s="716"/>
      <c r="D116" s="670"/>
      <c r="E116" s="543"/>
      <c r="F116" s="543"/>
      <c r="G116" s="546"/>
      <c r="H116" s="717" t="s">
        <v>35</v>
      </c>
      <c r="I116" s="672">
        <f t="shared" ref="I116:J116" ca="1" si="73">I127</f>
        <v>20</v>
      </c>
      <c r="J116" s="672">
        <f t="shared" si="73"/>
        <v>0</v>
      </c>
      <c r="K116" s="551">
        <f ca="1">IF(I116&gt;0,J116*100/I116,0)</f>
        <v>0</v>
      </c>
      <c r="L116" s="673"/>
      <c r="M116" s="549"/>
      <c r="N116" s="549"/>
      <c r="O116" s="549"/>
      <c r="P116" s="549"/>
      <c r="Q116" s="549"/>
      <c r="R116" s="549"/>
      <c r="S116" s="549"/>
      <c r="T116" s="549"/>
      <c r="U116" s="549"/>
    </row>
    <row r="117" spans="1:21" ht="19.5" x14ac:dyDescent="0.3">
      <c r="A117" s="674"/>
      <c r="B117" s="718"/>
      <c r="C117" s="719" t="s">
        <v>18</v>
      </c>
      <c r="D117" s="676" t="s">
        <v>19</v>
      </c>
      <c r="E117" s="561"/>
      <c r="F117" s="561"/>
      <c r="G117" s="563"/>
      <c r="H117" s="677" t="s">
        <v>14</v>
      </c>
      <c r="I117" s="565"/>
      <c r="J117" s="565"/>
      <c r="K117" s="566"/>
      <c r="L117" s="678">
        <f t="shared" ref="L117:N117" ca="1" si="74">L118+L119</f>
        <v>0</v>
      </c>
      <c r="M117" s="679">
        <f t="shared" ca="1" si="74"/>
        <v>0</v>
      </c>
      <c r="N117" s="679">
        <f t="shared" ca="1" si="74"/>
        <v>0</v>
      </c>
      <c r="O117" s="679">
        <f t="shared" ref="O117:O125" ca="1" si="75">IF(L117&gt;0,N117*100/L117,0)</f>
        <v>0</v>
      </c>
      <c r="P117" s="679">
        <f t="shared" ref="P117:P125" ca="1" si="76">IF(M117&gt;0,N117*100/M117,0)</f>
        <v>0</v>
      </c>
      <c r="Q117" s="679">
        <f t="shared" ref="Q117:S117" ca="1" si="77">Q118+Q119</f>
        <v>209360</v>
      </c>
      <c r="R117" s="679">
        <f t="shared" ca="1" si="77"/>
        <v>209360</v>
      </c>
      <c r="S117" s="679">
        <f t="shared" ca="1" si="77"/>
        <v>108861.3</v>
      </c>
      <c r="T117" s="679">
        <f t="shared" ref="T117:T125" ca="1" si="78">IF(Q117&gt;0,S117*100/Q117,0)</f>
        <v>51.997181887657625</v>
      </c>
      <c r="U117" s="679">
        <f t="shared" ref="U117:U125" ca="1" si="79">IF(R117&gt;0,S117*100/R117,0)</f>
        <v>51.997181887657625</v>
      </c>
    </row>
    <row r="118" spans="1:21" ht="18.75" x14ac:dyDescent="0.25">
      <c r="A118" s="674"/>
      <c r="B118" s="718"/>
      <c r="C118" s="718"/>
      <c r="D118" s="718"/>
      <c r="E118" s="569" t="s">
        <v>20</v>
      </c>
      <c r="F118" s="561"/>
      <c r="G118" s="563"/>
      <c r="H118" s="680" t="s">
        <v>14</v>
      </c>
      <c r="I118" s="565"/>
      <c r="J118" s="565"/>
      <c r="K118" s="566"/>
      <c r="L118" s="571">
        <f t="shared" ref="L118:N119" si="80">L121+L124</f>
        <v>0</v>
      </c>
      <c r="M118" s="572">
        <f t="shared" si="80"/>
        <v>0</v>
      </c>
      <c r="N118" s="572">
        <f t="shared" si="80"/>
        <v>0</v>
      </c>
      <c r="O118" s="572">
        <f t="shared" si="75"/>
        <v>0</v>
      </c>
      <c r="P118" s="572">
        <f t="shared" si="76"/>
        <v>0</v>
      </c>
      <c r="Q118" s="572">
        <f t="shared" ref="Q118:S119" si="81">Q121+Q124</f>
        <v>0</v>
      </c>
      <c r="R118" s="572">
        <f t="shared" si="81"/>
        <v>0</v>
      </c>
      <c r="S118" s="572">
        <f t="shared" si="81"/>
        <v>0</v>
      </c>
      <c r="T118" s="572">
        <f t="shared" si="78"/>
        <v>0</v>
      </c>
      <c r="U118" s="572">
        <f t="shared" si="79"/>
        <v>0</v>
      </c>
    </row>
    <row r="119" spans="1:21" ht="18.75" x14ac:dyDescent="0.25">
      <c r="A119" s="674"/>
      <c r="B119" s="718"/>
      <c r="C119" s="718"/>
      <c r="D119" s="718"/>
      <c r="E119" s="573" t="s">
        <v>21</v>
      </c>
      <c r="F119" s="561"/>
      <c r="G119" s="563"/>
      <c r="H119" s="681" t="s">
        <v>14</v>
      </c>
      <c r="I119" s="565"/>
      <c r="J119" s="565"/>
      <c r="K119" s="566"/>
      <c r="L119" s="567">
        <f t="shared" ca="1" si="80"/>
        <v>0</v>
      </c>
      <c r="M119" s="568">
        <f t="shared" ca="1" si="80"/>
        <v>0</v>
      </c>
      <c r="N119" s="568">
        <f t="shared" ca="1" si="80"/>
        <v>0</v>
      </c>
      <c r="O119" s="568">
        <f t="shared" ca="1" si="75"/>
        <v>0</v>
      </c>
      <c r="P119" s="568">
        <f t="shared" ca="1" si="76"/>
        <v>0</v>
      </c>
      <c r="Q119" s="568">
        <f t="shared" ca="1" si="81"/>
        <v>209360</v>
      </c>
      <c r="R119" s="568">
        <f t="shared" ca="1" si="81"/>
        <v>209360</v>
      </c>
      <c r="S119" s="568">
        <f t="shared" ca="1" si="81"/>
        <v>108861.3</v>
      </c>
      <c r="T119" s="568">
        <f t="shared" ca="1" si="78"/>
        <v>51.997181887657625</v>
      </c>
      <c r="U119" s="568">
        <f t="shared" ca="1" si="79"/>
        <v>51.997181887657625</v>
      </c>
    </row>
    <row r="120" spans="1:21" ht="18.75" x14ac:dyDescent="0.25">
      <c r="A120" s="674"/>
      <c r="B120" s="718"/>
      <c r="C120" s="720"/>
      <c r="D120" s="721" t="s">
        <v>22</v>
      </c>
      <c r="E120" s="561"/>
      <c r="F120" s="561"/>
      <c r="G120" s="563"/>
      <c r="H120" s="722" t="s">
        <v>14</v>
      </c>
      <c r="I120" s="565"/>
      <c r="J120" s="565"/>
      <c r="K120" s="566"/>
      <c r="L120" s="567">
        <f t="shared" ref="L120:N120" ca="1" si="82">L121+L122</f>
        <v>0</v>
      </c>
      <c r="M120" s="568">
        <f t="shared" ca="1" si="82"/>
        <v>0</v>
      </c>
      <c r="N120" s="568">
        <f t="shared" ca="1" si="82"/>
        <v>0</v>
      </c>
      <c r="O120" s="568">
        <f t="shared" ca="1" si="75"/>
        <v>0</v>
      </c>
      <c r="P120" s="568">
        <f t="shared" ca="1" si="76"/>
        <v>0</v>
      </c>
      <c r="Q120" s="568">
        <f t="shared" ref="Q120:S120" ca="1" si="83">Q121+Q122</f>
        <v>209360</v>
      </c>
      <c r="R120" s="568">
        <f t="shared" ca="1" si="83"/>
        <v>209360</v>
      </c>
      <c r="S120" s="568">
        <f t="shared" ca="1" si="83"/>
        <v>108861.3</v>
      </c>
      <c r="T120" s="568">
        <f t="shared" ca="1" si="78"/>
        <v>51.997181887657625</v>
      </c>
      <c r="U120" s="568">
        <f t="shared" ca="1" si="79"/>
        <v>51.997181887657625</v>
      </c>
    </row>
    <row r="121" spans="1:21" ht="18.75" x14ac:dyDescent="0.25">
      <c r="A121" s="674"/>
      <c r="B121" s="718"/>
      <c r="C121" s="720"/>
      <c r="D121" s="718"/>
      <c r="E121" s="569" t="s">
        <v>36</v>
      </c>
      <c r="F121" s="561"/>
      <c r="G121" s="563"/>
      <c r="H121" s="723" t="s">
        <v>14</v>
      </c>
      <c r="I121" s="565"/>
      <c r="J121" s="565"/>
      <c r="K121" s="566"/>
      <c r="L121" s="571">
        <v>0</v>
      </c>
      <c r="M121" s="572">
        <v>0</v>
      </c>
      <c r="N121" s="572">
        <v>0</v>
      </c>
      <c r="O121" s="572">
        <f t="shared" si="75"/>
        <v>0</v>
      </c>
      <c r="P121" s="572">
        <f t="shared" si="76"/>
        <v>0</v>
      </c>
      <c r="Q121" s="572">
        <v>0</v>
      </c>
      <c r="R121" s="572">
        <v>0</v>
      </c>
      <c r="S121" s="572">
        <v>0</v>
      </c>
      <c r="T121" s="572">
        <f t="shared" si="78"/>
        <v>0</v>
      </c>
      <c r="U121" s="572">
        <f t="shared" si="79"/>
        <v>0</v>
      </c>
    </row>
    <row r="122" spans="1:21" ht="18.75" x14ac:dyDescent="0.25">
      <c r="A122" s="674"/>
      <c r="B122" s="718"/>
      <c r="C122" s="720"/>
      <c r="D122" s="718"/>
      <c r="E122" s="573" t="s">
        <v>37</v>
      </c>
      <c r="F122" s="561"/>
      <c r="G122" s="563"/>
      <c r="H122" s="722" t="s">
        <v>14</v>
      </c>
      <c r="I122" s="565"/>
      <c r="J122" s="565"/>
      <c r="K122" s="566"/>
      <c r="L122" s="567">
        <f ca="1">IFERROR(__xludf.DUMMYFUNCTION("IMPORTRANGE(""https://docs.google.com/spreadsheets/d/1-uDff_7J0KD5mKrp0Vvzr7lt3OU09vwQwhkpOPPYv2Y/edit?usp=sharing"",""งบพรบ!BG22"")"),0)</f>
        <v>0</v>
      </c>
      <c r="M122" s="568">
        <f ca="1">IFERROR(__xludf.DUMMYFUNCTION("IMPORTRANGE(""https://docs.google.com/spreadsheets/d/1-uDff_7J0KD5mKrp0Vvzr7lt3OU09vwQwhkpOPPYv2Y/edit?usp=sharing"",""งบพรบ!BL22"")"),0)</f>
        <v>0</v>
      </c>
      <c r="N122" s="568">
        <f ca="1">IFERROR(__xludf.DUMMYFUNCTION("IMPORTRANGE(""https://docs.google.com/spreadsheets/d/1-uDff_7J0KD5mKrp0Vvzr7lt3OU09vwQwhkpOPPYv2Y/edit?usp=sharing"",""งบพรบ!BN22"")"),0)</f>
        <v>0</v>
      </c>
      <c r="O122" s="568">
        <f t="shared" ca="1" si="75"/>
        <v>0</v>
      </c>
      <c r="P122" s="568">
        <f t="shared" ca="1" si="76"/>
        <v>0</v>
      </c>
      <c r="Q122" s="568">
        <f ca="1">IFERROR(__xludf.DUMMYFUNCTION("IMPORTRANGE(""https://docs.google.com/spreadsheets/d/1ItG2mGa2ceCfYo0BwxsXqNm01IGEUdYcSSLTEv9YCik/edit?usp=sharing"",""เบิกจ่ายกองทุน!U22"")"),209360)</f>
        <v>209360</v>
      </c>
      <c r="R122" s="568">
        <f ca="1">IFERROR(__xludf.DUMMYFUNCTION("IMPORTRANGE(""https://docs.google.com/spreadsheets/d/1ItG2mGa2ceCfYo0BwxsXqNm01IGEUdYcSSLTEv9YCik/edit?usp=sharing"",""เบิกจ่ายกองทุน!V22"")"),209360)</f>
        <v>209360</v>
      </c>
      <c r="S122" s="568">
        <f ca="1">IFERROR(__xludf.DUMMYFUNCTION("IMPORTRANGE(""https://docs.google.com/spreadsheets/d/1ItG2mGa2ceCfYo0BwxsXqNm01IGEUdYcSSLTEv9YCik/edit?usp=sharing"",""เบิกจ่ายกองทุน!W22"")"),108861.3)</f>
        <v>108861.3</v>
      </c>
      <c r="T122" s="568">
        <f t="shared" ca="1" si="78"/>
        <v>51.997181887657625</v>
      </c>
      <c r="U122" s="568">
        <f t="shared" ca="1" si="79"/>
        <v>51.997181887657625</v>
      </c>
    </row>
    <row r="123" spans="1:21" ht="18.75" x14ac:dyDescent="0.25">
      <c r="A123" s="674"/>
      <c r="B123" s="561"/>
      <c r="C123" s="720"/>
      <c r="D123" s="721" t="s">
        <v>23</v>
      </c>
      <c r="E123" s="561"/>
      <c r="F123" s="561"/>
      <c r="G123" s="563"/>
      <c r="H123" s="681" t="s">
        <v>14</v>
      </c>
      <c r="I123" s="565"/>
      <c r="J123" s="565"/>
      <c r="K123" s="566"/>
      <c r="L123" s="567">
        <f t="shared" ref="L123:N123" ca="1" si="84">L124+L125</f>
        <v>0</v>
      </c>
      <c r="M123" s="568">
        <f t="shared" ca="1" si="84"/>
        <v>0</v>
      </c>
      <c r="N123" s="568">
        <f t="shared" ca="1" si="84"/>
        <v>0</v>
      </c>
      <c r="O123" s="568">
        <f t="shared" ca="1" si="75"/>
        <v>0</v>
      </c>
      <c r="P123" s="568">
        <f t="shared" ca="1" si="76"/>
        <v>0</v>
      </c>
      <c r="Q123" s="568">
        <f t="shared" ref="Q123:S123" ca="1" si="85">Q124+Q125</f>
        <v>0</v>
      </c>
      <c r="R123" s="568">
        <f t="shared" ca="1" si="85"/>
        <v>0</v>
      </c>
      <c r="S123" s="568">
        <f t="shared" ca="1" si="85"/>
        <v>0</v>
      </c>
      <c r="T123" s="568">
        <f t="shared" ca="1" si="78"/>
        <v>0</v>
      </c>
      <c r="U123" s="568">
        <f t="shared" ca="1" si="79"/>
        <v>0</v>
      </c>
    </row>
    <row r="124" spans="1:21" ht="18.75" x14ac:dyDescent="0.25">
      <c r="A124" s="674"/>
      <c r="B124" s="561"/>
      <c r="C124" s="720"/>
      <c r="D124" s="718"/>
      <c r="E124" s="569" t="s">
        <v>20</v>
      </c>
      <c r="F124" s="561"/>
      <c r="G124" s="563"/>
      <c r="H124" s="723" t="s">
        <v>14</v>
      </c>
      <c r="I124" s="565"/>
      <c r="J124" s="565"/>
      <c r="K124" s="566"/>
      <c r="L124" s="571">
        <v>0</v>
      </c>
      <c r="M124" s="572">
        <v>0</v>
      </c>
      <c r="N124" s="572">
        <v>0</v>
      </c>
      <c r="O124" s="572">
        <f t="shared" si="75"/>
        <v>0</v>
      </c>
      <c r="P124" s="572">
        <f t="shared" si="76"/>
        <v>0</v>
      </c>
      <c r="Q124" s="572">
        <v>0</v>
      </c>
      <c r="R124" s="572">
        <v>0</v>
      </c>
      <c r="S124" s="572">
        <v>0</v>
      </c>
      <c r="T124" s="572">
        <f t="shared" si="78"/>
        <v>0</v>
      </c>
      <c r="U124" s="572">
        <f t="shared" si="79"/>
        <v>0</v>
      </c>
    </row>
    <row r="125" spans="1:21" ht="18.75" x14ac:dyDescent="0.25">
      <c r="A125" s="674"/>
      <c r="B125" s="561"/>
      <c r="C125" s="561"/>
      <c r="D125" s="561"/>
      <c r="E125" s="573" t="s">
        <v>21</v>
      </c>
      <c r="F125" s="561"/>
      <c r="G125" s="563"/>
      <c r="H125" s="681" t="s">
        <v>14</v>
      </c>
      <c r="I125" s="565"/>
      <c r="J125" s="565"/>
      <c r="K125" s="566"/>
      <c r="L125" s="567">
        <f ca="1">IFERROR(__xludf.DUMMYFUNCTION("IMPORTRANGE(""https://docs.google.com/spreadsheets/d/1-uDff_7J0KD5mKrp0Vvzr7lt3OU09vwQwhkpOPPYv2Y/edit?usp=sharing"",""งบพรบ!BJ22"")"),0)</f>
        <v>0</v>
      </c>
      <c r="M125" s="568">
        <f ca="1">IFERROR(__xludf.DUMMYFUNCTION("IMPORTRANGE(""https://docs.google.com/spreadsheets/d/1-uDff_7J0KD5mKrp0Vvzr7lt3OU09vwQwhkpOPPYv2Y/edit?usp=sharing"",""งบพรบ!BM22"")"),0)</f>
        <v>0</v>
      </c>
      <c r="N125" s="568">
        <f ca="1">IFERROR(__xludf.DUMMYFUNCTION("IMPORTRANGE(""https://docs.google.com/spreadsheets/d/1-uDff_7J0KD5mKrp0Vvzr7lt3OU09vwQwhkpOPPYv2Y/edit?usp=sharing"",""งบพรบ!BO22"")"),0)</f>
        <v>0</v>
      </c>
      <c r="O125" s="568">
        <f t="shared" ca="1" si="75"/>
        <v>0</v>
      </c>
      <c r="P125" s="568">
        <f t="shared" ca="1" si="76"/>
        <v>0</v>
      </c>
      <c r="Q125" s="568">
        <f ca="1">IFERROR(__xludf.DUMMYFUNCTION("IMPORTRANGE(""https://docs.google.com/spreadsheets/d/1ItG2mGa2ceCfYo0BwxsXqNm01IGEUdYcSSLTEv9YCik/edit?usp=sharing"",""เบิกจ่ายกองทุน!X22"")"),0)</f>
        <v>0</v>
      </c>
      <c r="R125" s="568">
        <f ca="1">IFERROR(__xludf.DUMMYFUNCTION("IMPORTRANGE(""https://docs.google.com/spreadsheets/d/1ItG2mGa2ceCfYo0BwxsXqNm01IGEUdYcSSLTEv9YCik/edit?usp=sharing"",""เบิกจ่ายกองทุน!Y22"")"),0)</f>
        <v>0</v>
      </c>
      <c r="S125" s="568">
        <f ca="1">IFERROR(__xludf.DUMMYFUNCTION("IMPORTRANGE(""https://docs.google.com/spreadsheets/d/1ItG2mGa2ceCfYo0BwxsXqNm01IGEUdYcSSLTEv9YCik/edit?usp=sharing"",""เบิกจ่ายกองทุน!Z22"")"),0)</f>
        <v>0</v>
      </c>
      <c r="T125" s="568">
        <f t="shared" ca="1" si="78"/>
        <v>0</v>
      </c>
      <c r="U125" s="568">
        <f t="shared" ca="1" si="79"/>
        <v>0</v>
      </c>
    </row>
    <row r="126" spans="1:21" ht="19.5" x14ac:dyDescent="0.3">
      <c r="A126" s="687"/>
      <c r="B126" s="688"/>
      <c r="C126" s="724" t="s">
        <v>18</v>
      </c>
      <c r="D126" s="689" t="s">
        <v>38</v>
      </c>
      <c r="E126" s="690"/>
      <c r="F126" s="690"/>
      <c r="G126" s="691"/>
      <c r="H126" s="725"/>
      <c r="I126" s="565"/>
      <c r="J126" s="565"/>
      <c r="K126" s="566"/>
      <c r="L126" s="574"/>
      <c r="M126" s="566"/>
      <c r="N126" s="566"/>
      <c r="O126" s="566"/>
      <c r="P126" s="566"/>
      <c r="Q126" s="566"/>
      <c r="R126" s="566"/>
      <c r="S126" s="566"/>
      <c r="T126" s="566"/>
      <c r="U126" s="566"/>
    </row>
    <row r="127" spans="1:21" ht="18.75" x14ac:dyDescent="0.25">
      <c r="A127" s="687"/>
      <c r="B127" s="688"/>
      <c r="C127" s="688"/>
      <c r="D127" s="699" t="s">
        <v>53</v>
      </c>
      <c r="E127" s="695"/>
      <c r="F127" s="695"/>
      <c r="G127" s="692"/>
      <c r="H127" s="681" t="s">
        <v>35</v>
      </c>
      <c r="I127" s="708">
        <f ca="1">IFERROR(__xludf.DUMMYFUNCTION("IMPORTRANGE(""https://docs.google.com/spreadsheets/d/1eHaY18a8A9IcSdp1K8H6x8fbOy06t2VsZHhMHf-1x7Y/edit?usp=sharing"",""แผน!FF22"")"),20)</f>
        <v>20</v>
      </c>
      <c r="J127" s="702">
        <v>0</v>
      </c>
      <c r="K127" s="568">
        <f t="shared" ref="K127:K130" ca="1" si="86">IF(I127&gt;0,J127*100/I127,0)</f>
        <v>0</v>
      </c>
      <c r="L127" s="574"/>
      <c r="M127" s="566"/>
      <c r="N127" s="566"/>
      <c r="O127" s="566"/>
      <c r="P127" s="566"/>
      <c r="Q127" s="566"/>
      <c r="R127" s="566"/>
      <c r="S127" s="566"/>
      <c r="T127" s="566"/>
      <c r="U127" s="566"/>
    </row>
    <row r="128" spans="1:21" ht="18.75" x14ac:dyDescent="0.25">
      <c r="A128" s="687"/>
      <c r="B128" s="688"/>
      <c r="C128" s="688"/>
      <c r="D128" s="695"/>
      <c r="E128" s="695"/>
      <c r="F128" s="695"/>
      <c r="G128" s="692"/>
      <c r="H128" s="681" t="s">
        <v>54</v>
      </c>
      <c r="I128" s="708">
        <f ca="1">IFERROR(__xludf.DUMMYFUNCTION("IMPORTRANGE(""https://docs.google.com/spreadsheets/d/1eHaY18a8A9IcSdp1K8H6x8fbOy06t2VsZHhMHf-1x7Y/edit?usp=sharing"",""แผน!FG22"")"),0)</f>
        <v>0</v>
      </c>
      <c r="J128" s="702">
        <v>0</v>
      </c>
      <c r="K128" s="568">
        <f t="shared" ca="1" si="86"/>
        <v>0</v>
      </c>
      <c r="L128" s="574"/>
      <c r="M128" s="566"/>
      <c r="N128" s="566"/>
      <c r="O128" s="566"/>
      <c r="P128" s="566"/>
      <c r="Q128" s="566"/>
      <c r="R128" s="566"/>
      <c r="S128" s="566"/>
      <c r="T128" s="566"/>
      <c r="U128" s="566"/>
    </row>
    <row r="129" spans="1:21" ht="18.75" x14ac:dyDescent="0.25">
      <c r="A129" s="687"/>
      <c r="B129" s="688"/>
      <c r="C129" s="688"/>
      <c r="D129" s="699" t="s">
        <v>55</v>
      </c>
      <c r="E129" s="695"/>
      <c r="F129" s="695"/>
      <c r="G129" s="692"/>
      <c r="H129" s="681" t="s">
        <v>35</v>
      </c>
      <c r="I129" s="708">
        <f ca="1">IFERROR(__xludf.DUMMYFUNCTION("IMPORTRANGE(""https://docs.google.com/spreadsheets/d/1eHaY18a8A9IcSdp1K8H6x8fbOy06t2VsZHhMHf-1x7Y/edit?usp=sharing"",""แผน!FH22"")"),20)</f>
        <v>20</v>
      </c>
      <c r="J129" s="702">
        <v>0</v>
      </c>
      <c r="K129" s="568">
        <f t="shared" ca="1" si="86"/>
        <v>0</v>
      </c>
      <c r="L129" s="574"/>
      <c r="M129" s="566"/>
      <c r="N129" s="566"/>
      <c r="O129" s="566"/>
      <c r="P129" s="566"/>
      <c r="Q129" s="566"/>
      <c r="R129" s="566"/>
      <c r="S129" s="566"/>
      <c r="T129" s="566"/>
      <c r="U129" s="566"/>
    </row>
    <row r="130" spans="1:21" ht="18.75" x14ac:dyDescent="0.25">
      <c r="A130" s="687"/>
      <c r="B130" s="688"/>
      <c r="C130" s="688"/>
      <c r="D130" s="695"/>
      <c r="E130" s="695"/>
      <c r="F130" s="695"/>
      <c r="G130" s="692"/>
      <c r="H130" s="681" t="s">
        <v>54</v>
      </c>
      <c r="I130" s="708">
        <f ca="1">IFERROR(__xludf.DUMMYFUNCTION("IMPORTRANGE(""https://docs.google.com/spreadsheets/d/1eHaY18a8A9IcSdp1K8H6x8fbOy06t2VsZHhMHf-1x7Y/edit?usp=sharing"",""แผน!FI22"")"),0)</f>
        <v>0</v>
      </c>
      <c r="J130" s="702">
        <v>0</v>
      </c>
      <c r="K130" s="568">
        <f t="shared" ca="1" si="86"/>
        <v>0</v>
      </c>
      <c r="L130" s="574"/>
      <c r="M130" s="566"/>
      <c r="N130" s="566"/>
      <c r="O130" s="566"/>
      <c r="P130" s="566"/>
      <c r="Q130" s="566"/>
      <c r="R130" s="566"/>
      <c r="S130" s="566"/>
      <c r="T130" s="566"/>
      <c r="U130" s="566"/>
    </row>
    <row r="131" spans="1:21" ht="18.75" hidden="1" x14ac:dyDescent="0.25">
      <c r="A131" s="687"/>
      <c r="B131" s="688"/>
      <c r="C131" s="688"/>
      <c r="D131" s="726" t="s">
        <v>56</v>
      </c>
      <c r="E131" s="695"/>
      <c r="F131" s="695"/>
      <c r="G131" s="692"/>
      <c r="H131" s="680" t="s">
        <v>35</v>
      </c>
      <c r="I131" s="565"/>
      <c r="J131" s="565"/>
      <c r="K131" s="566"/>
      <c r="L131" s="574"/>
      <c r="M131" s="566"/>
      <c r="N131" s="566"/>
      <c r="O131" s="566"/>
      <c r="P131" s="566"/>
      <c r="Q131" s="566"/>
      <c r="R131" s="566"/>
      <c r="S131" s="566"/>
      <c r="T131" s="566"/>
      <c r="U131" s="566"/>
    </row>
    <row r="132" spans="1:21" ht="18.75" hidden="1" x14ac:dyDescent="0.25">
      <c r="A132" s="687"/>
      <c r="B132" s="688"/>
      <c r="C132" s="688"/>
      <c r="D132" s="726" t="s">
        <v>57</v>
      </c>
      <c r="E132" s="695"/>
      <c r="F132" s="695"/>
      <c r="G132" s="692"/>
      <c r="H132" s="727"/>
      <c r="I132" s="565"/>
      <c r="J132" s="565"/>
      <c r="K132" s="566"/>
      <c r="L132" s="574"/>
      <c r="M132" s="566"/>
      <c r="N132" s="566"/>
      <c r="O132" s="566"/>
      <c r="P132" s="566"/>
      <c r="Q132" s="566"/>
      <c r="R132" s="566"/>
      <c r="S132" s="566"/>
      <c r="T132" s="566"/>
      <c r="U132" s="566"/>
    </row>
    <row r="133" spans="1:21" ht="12.75" hidden="1" x14ac:dyDescent="0.2">
      <c r="A133" s="705"/>
      <c r="B133" s="706"/>
      <c r="C133" s="706"/>
      <c r="D133" s="531"/>
      <c r="E133" s="531"/>
      <c r="F133" s="531"/>
      <c r="G133" s="532"/>
      <c r="H133" s="728"/>
      <c r="I133" s="533"/>
      <c r="J133" s="533"/>
      <c r="K133" s="534"/>
      <c r="L133" s="535"/>
      <c r="M133" s="534"/>
      <c r="N133" s="534"/>
      <c r="O133" s="534"/>
      <c r="P133" s="534"/>
      <c r="Q133" s="534"/>
      <c r="R133" s="534"/>
      <c r="S133" s="534"/>
      <c r="T133" s="534"/>
      <c r="U133" s="534"/>
    </row>
    <row r="134" spans="1:21" ht="19.5" hidden="1" x14ac:dyDescent="0.3">
      <c r="A134" s="662" t="s">
        <v>58</v>
      </c>
      <c r="B134" s="663"/>
      <c r="C134" s="729"/>
      <c r="D134" s="663"/>
      <c r="E134" s="663"/>
      <c r="F134" s="663"/>
      <c r="G134" s="663"/>
      <c r="H134" s="663"/>
      <c r="I134" s="730"/>
      <c r="J134" s="730"/>
      <c r="K134" s="731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</row>
    <row r="135" spans="1:21" ht="19.5" hidden="1" x14ac:dyDescent="0.3">
      <c r="A135" s="669"/>
      <c r="B135" s="544" t="s">
        <v>59</v>
      </c>
      <c r="C135" s="716"/>
      <c r="D135" s="670"/>
      <c r="E135" s="543"/>
      <c r="F135" s="543"/>
      <c r="G135" s="543"/>
      <c r="H135" s="543"/>
      <c r="I135" s="732"/>
      <c r="J135" s="548"/>
      <c r="K135" s="549"/>
      <c r="L135" s="673"/>
      <c r="M135" s="549"/>
      <c r="N135" s="549"/>
      <c r="O135" s="549"/>
      <c r="P135" s="549"/>
      <c r="Q135" s="549"/>
      <c r="R135" s="549"/>
      <c r="S135" s="549"/>
      <c r="T135" s="549"/>
      <c r="U135" s="549"/>
    </row>
    <row r="136" spans="1:21" ht="19.5" hidden="1" x14ac:dyDescent="0.3">
      <c r="A136" s="669"/>
      <c r="B136" s="543"/>
      <c r="C136" s="733" t="s">
        <v>60</v>
      </c>
      <c r="D136" s="670"/>
      <c r="E136" s="543"/>
      <c r="F136" s="543"/>
      <c r="G136" s="546"/>
      <c r="H136" s="671" t="s">
        <v>61</v>
      </c>
      <c r="I136" s="672">
        <f t="shared" ref="I136:J136" ca="1" si="87">I154</f>
        <v>0</v>
      </c>
      <c r="J136" s="672">
        <f t="shared" si="87"/>
        <v>0</v>
      </c>
      <c r="K136" s="551">
        <f t="shared" ref="K136:K138" ca="1" si="88">IF(I136&gt;0,J136*100/I136,0)</f>
        <v>0</v>
      </c>
      <c r="L136" s="673"/>
      <c r="M136" s="549"/>
      <c r="N136" s="549"/>
      <c r="O136" s="549"/>
      <c r="P136" s="549"/>
      <c r="Q136" s="549"/>
      <c r="R136" s="549"/>
      <c r="S136" s="549"/>
      <c r="T136" s="549"/>
      <c r="U136" s="549"/>
    </row>
    <row r="137" spans="1:21" ht="19.5" hidden="1" x14ac:dyDescent="0.3">
      <c r="A137" s="669"/>
      <c r="B137" s="543"/>
      <c r="C137" s="733" t="s">
        <v>62</v>
      </c>
      <c r="D137" s="670"/>
      <c r="E137" s="543"/>
      <c r="F137" s="543"/>
      <c r="G137" s="546"/>
      <c r="H137" s="671" t="s">
        <v>35</v>
      </c>
      <c r="I137" s="672">
        <f t="shared" ref="I137:J138" ca="1" si="89">I152</f>
        <v>0</v>
      </c>
      <c r="J137" s="672">
        <f t="shared" si="89"/>
        <v>0</v>
      </c>
      <c r="K137" s="551">
        <f t="shared" ca="1" si="88"/>
        <v>0</v>
      </c>
      <c r="L137" s="673"/>
      <c r="M137" s="549"/>
      <c r="N137" s="549"/>
      <c r="O137" s="549"/>
      <c r="P137" s="549"/>
      <c r="Q137" s="549"/>
      <c r="R137" s="549"/>
      <c r="S137" s="549"/>
      <c r="T137" s="549"/>
      <c r="U137" s="549"/>
    </row>
    <row r="138" spans="1:21" ht="19.5" hidden="1" x14ac:dyDescent="0.3">
      <c r="A138" s="669"/>
      <c r="B138" s="543"/>
      <c r="C138" s="716"/>
      <c r="D138" s="670"/>
      <c r="E138" s="543"/>
      <c r="F138" s="543"/>
      <c r="G138" s="546"/>
      <c r="H138" s="671" t="s">
        <v>54</v>
      </c>
      <c r="I138" s="672">
        <f t="shared" ca="1" si="89"/>
        <v>0</v>
      </c>
      <c r="J138" s="672">
        <f t="shared" si="89"/>
        <v>0</v>
      </c>
      <c r="K138" s="551">
        <f t="shared" ca="1" si="88"/>
        <v>0</v>
      </c>
      <c r="L138" s="673"/>
      <c r="M138" s="549"/>
      <c r="N138" s="549"/>
      <c r="O138" s="549"/>
      <c r="P138" s="549"/>
      <c r="Q138" s="549"/>
      <c r="R138" s="549"/>
      <c r="S138" s="549"/>
      <c r="T138" s="549"/>
      <c r="U138" s="549"/>
    </row>
    <row r="139" spans="1:21" ht="19.5" hidden="1" x14ac:dyDescent="0.3">
      <c r="A139" s="674"/>
      <c r="B139" s="561"/>
      <c r="C139" s="675" t="s">
        <v>18</v>
      </c>
      <c r="D139" s="676" t="s">
        <v>19</v>
      </c>
      <c r="E139" s="561"/>
      <c r="F139" s="561"/>
      <c r="G139" s="563"/>
      <c r="H139" s="677" t="s">
        <v>14</v>
      </c>
      <c r="I139" s="565"/>
      <c r="J139" s="565"/>
      <c r="K139" s="566"/>
      <c r="L139" s="678">
        <f t="shared" ref="L139:N139" ca="1" si="90">L140+L141</f>
        <v>0</v>
      </c>
      <c r="M139" s="679">
        <f t="shared" ca="1" si="90"/>
        <v>0</v>
      </c>
      <c r="N139" s="679">
        <f t="shared" ca="1" si="90"/>
        <v>0</v>
      </c>
      <c r="O139" s="679">
        <f t="shared" ref="O139:O147" ca="1" si="91">IF(L139&gt;0,N139*100/L139,0)</f>
        <v>0</v>
      </c>
      <c r="P139" s="679">
        <f t="shared" ref="P139:P147" ca="1" si="92">IF(M139&gt;0,N139*100/M139,0)</f>
        <v>0</v>
      </c>
      <c r="Q139" s="679">
        <f t="shared" ref="Q139:S139" ca="1" si="93">Q140+Q141</f>
        <v>0</v>
      </c>
      <c r="R139" s="679">
        <f t="shared" ca="1" si="93"/>
        <v>0</v>
      </c>
      <c r="S139" s="679">
        <f t="shared" ca="1" si="93"/>
        <v>0</v>
      </c>
      <c r="T139" s="679">
        <f t="shared" ref="T139:T147" ca="1" si="94">IF(Q139&gt;0,S139*100/Q139,0)</f>
        <v>0</v>
      </c>
      <c r="U139" s="679">
        <f t="shared" ref="U139:U147" ca="1" si="95">IF(R139&gt;0,S139*100/R139,0)</f>
        <v>0</v>
      </c>
    </row>
    <row r="140" spans="1:21" ht="18.75" hidden="1" x14ac:dyDescent="0.25">
      <c r="A140" s="674"/>
      <c r="B140" s="561"/>
      <c r="C140" s="561"/>
      <c r="D140" s="561"/>
      <c r="E140" s="569" t="s">
        <v>20</v>
      </c>
      <c r="F140" s="561"/>
      <c r="G140" s="563"/>
      <c r="H140" s="680" t="s">
        <v>14</v>
      </c>
      <c r="I140" s="565"/>
      <c r="J140" s="565"/>
      <c r="K140" s="566"/>
      <c r="L140" s="571">
        <f t="shared" ref="L140:N141" si="96">L143+L146</f>
        <v>0</v>
      </c>
      <c r="M140" s="572">
        <f t="shared" si="96"/>
        <v>0</v>
      </c>
      <c r="N140" s="572">
        <f t="shared" si="96"/>
        <v>0</v>
      </c>
      <c r="O140" s="572">
        <f t="shared" si="91"/>
        <v>0</v>
      </c>
      <c r="P140" s="572">
        <f t="shared" si="92"/>
        <v>0</v>
      </c>
      <c r="Q140" s="572">
        <f t="shared" ref="Q140:S141" si="97">Q143+Q146</f>
        <v>0</v>
      </c>
      <c r="R140" s="572">
        <f t="shared" si="97"/>
        <v>0</v>
      </c>
      <c r="S140" s="572">
        <f t="shared" si="97"/>
        <v>0</v>
      </c>
      <c r="T140" s="572">
        <f t="shared" si="94"/>
        <v>0</v>
      </c>
      <c r="U140" s="572">
        <f t="shared" si="95"/>
        <v>0</v>
      </c>
    </row>
    <row r="141" spans="1:21" ht="18.75" hidden="1" x14ac:dyDescent="0.25">
      <c r="A141" s="674"/>
      <c r="B141" s="561"/>
      <c r="C141" s="561"/>
      <c r="D141" s="561"/>
      <c r="E141" s="573" t="s">
        <v>21</v>
      </c>
      <c r="F141" s="561"/>
      <c r="G141" s="563"/>
      <c r="H141" s="681" t="s">
        <v>14</v>
      </c>
      <c r="I141" s="565"/>
      <c r="J141" s="565"/>
      <c r="K141" s="566"/>
      <c r="L141" s="567">
        <f t="shared" ca="1" si="96"/>
        <v>0</v>
      </c>
      <c r="M141" s="568">
        <f t="shared" ca="1" si="96"/>
        <v>0</v>
      </c>
      <c r="N141" s="568">
        <f t="shared" ca="1" si="96"/>
        <v>0</v>
      </c>
      <c r="O141" s="568">
        <f t="shared" ca="1" si="91"/>
        <v>0</v>
      </c>
      <c r="P141" s="568">
        <f t="shared" ca="1" si="92"/>
        <v>0</v>
      </c>
      <c r="Q141" s="568">
        <f t="shared" ca="1" si="97"/>
        <v>0</v>
      </c>
      <c r="R141" s="568">
        <f t="shared" ca="1" si="97"/>
        <v>0</v>
      </c>
      <c r="S141" s="568">
        <f t="shared" ca="1" si="97"/>
        <v>0</v>
      </c>
      <c r="T141" s="568">
        <f t="shared" ca="1" si="94"/>
        <v>0</v>
      </c>
      <c r="U141" s="568">
        <f t="shared" ca="1" si="95"/>
        <v>0</v>
      </c>
    </row>
    <row r="142" spans="1:21" ht="18.75" hidden="1" x14ac:dyDescent="0.25">
      <c r="A142" s="674"/>
      <c r="B142" s="561"/>
      <c r="C142" s="561"/>
      <c r="D142" s="562" t="s">
        <v>22</v>
      </c>
      <c r="E142" s="561"/>
      <c r="F142" s="561"/>
      <c r="G142" s="563"/>
      <c r="H142" s="682" t="s">
        <v>14</v>
      </c>
      <c r="I142" s="683"/>
      <c r="J142" s="683"/>
      <c r="K142" s="684"/>
      <c r="L142" s="567">
        <f t="shared" ref="L142:N142" ca="1" si="98">L143+L144</f>
        <v>0</v>
      </c>
      <c r="M142" s="568">
        <f t="shared" ca="1" si="98"/>
        <v>0</v>
      </c>
      <c r="N142" s="568">
        <f t="shared" ca="1" si="98"/>
        <v>0</v>
      </c>
      <c r="O142" s="568">
        <f t="shared" ca="1" si="91"/>
        <v>0</v>
      </c>
      <c r="P142" s="568">
        <f t="shared" ca="1" si="92"/>
        <v>0</v>
      </c>
      <c r="Q142" s="568">
        <f t="shared" ref="Q142:S142" ca="1" si="99">Q143+Q144</f>
        <v>0</v>
      </c>
      <c r="R142" s="568">
        <f t="shared" ca="1" si="99"/>
        <v>0</v>
      </c>
      <c r="S142" s="568">
        <f t="shared" ca="1" si="99"/>
        <v>0</v>
      </c>
      <c r="T142" s="568">
        <f t="shared" ca="1" si="94"/>
        <v>0</v>
      </c>
      <c r="U142" s="568">
        <f t="shared" ca="1" si="95"/>
        <v>0</v>
      </c>
    </row>
    <row r="143" spans="1:21" ht="18.75" hidden="1" x14ac:dyDescent="0.25">
      <c r="A143" s="674"/>
      <c r="B143" s="561"/>
      <c r="C143" s="561"/>
      <c r="D143" s="561"/>
      <c r="E143" s="569" t="s">
        <v>36</v>
      </c>
      <c r="F143" s="561"/>
      <c r="G143" s="563"/>
      <c r="H143" s="685" t="s">
        <v>14</v>
      </c>
      <c r="I143" s="683"/>
      <c r="J143" s="683"/>
      <c r="K143" s="684"/>
      <c r="L143" s="571">
        <v>0</v>
      </c>
      <c r="M143" s="572">
        <v>0</v>
      </c>
      <c r="N143" s="572">
        <v>0</v>
      </c>
      <c r="O143" s="572">
        <f t="shared" si="91"/>
        <v>0</v>
      </c>
      <c r="P143" s="572">
        <f t="shared" si="92"/>
        <v>0</v>
      </c>
      <c r="Q143" s="572">
        <v>0</v>
      </c>
      <c r="R143" s="572">
        <v>0</v>
      </c>
      <c r="S143" s="572">
        <v>0</v>
      </c>
      <c r="T143" s="572">
        <f t="shared" si="94"/>
        <v>0</v>
      </c>
      <c r="U143" s="572">
        <f t="shared" si="95"/>
        <v>0</v>
      </c>
    </row>
    <row r="144" spans="1:21" ht="18.75" hidden="1" x14ac:dyDescent="0.25">
      <c r="A144" s="674"/>
      <c r="B144" s="561"/>
      <c r="C144" s="561"/>
      <c r="D144" s="561"/>
      <c r="E144" s="573" t="s">
        <v>37</v>
      </c>
      <c r="F144" s="561"/>
      <c r="G144" s="563"/>
      <c r="H144" s="682" t="s">
        <v>14</v>
      </c>
      <c r="I144" s="683"/>
      <c r="J144" s="683"/>
      <c r="K144" s="684"/>
      <c r="L144" s="567">
        <f ca="1">IFERROR(__xludf.DUMMYFUNCTION("IMPORTRANGE(""https://docs.google.com/spreadsheets/d/1-uDff_7J0KD5mKrp0Vvzr7lt3OU09vwQwhkpOPPYv2Y/edit?usp=sharing"",""งบพรบ!BQ22"")"),0)</f>
        <v>0</v>
      </c>
      <c r="M144" s="568">
        <f ca="1">IFERROR(__xludf.DUMMYFUNCTION("IMPORTRANGE(""https://docs.google.com/spreadsheets/d/1-uDff_7J0KD5mKrp0Vvzr7lt3OU09vwQwhkpOPPYv2Y/edit?usp=sharing"",""งบพรบ!BV22"")"),0)</f>
        <v>0</v>
      </c>
      <c r="N144" s="568">
        <f ca="1">IFERROR(__xludf.DUMMYFUNCTION("IMPORTRANGE(""https://docs.google.com/spreadsheets/d/1-uDff_7J0KD5mKrp0Vvzr7lt3OU09vwQwhkpOPPYv2Y/edit?usp=sharing"",""งบพรบ!BX22"")"),0)</f>
        <v>0</v>
      </c>
      <c r="O144" s="568">
        <f t="shared" ca="1" si="91"/>
        <v>0</v>
      </c>
      <c r="P144" s="568">
        <f t="shared" ca="1" si="92"/>
        <v>0</v>
      </c>
      <c r="Q144" s="568">
        <f ca="1">IFERROR(__xludf.DUMMYFUNCTION("IMPORTRANGE(""https://docs.google.com/spreadsheets/d/1ItG2mGa2ceCfYo0BwxsXqNm01IGEUdYcSSLTEv9YCik/edit?usp=sharing"",""เบิกจ่ายกองทุน!CF22"")"),0)</f>
        <v>0</v>
      </c>
      <c r="R144" s="568">
        <f ca="1">IFERROR(__xludf.DUMMYFUNCTION("IMPORTRANGE(""https://docs.google.com/spreadsheets/d/1ItG2mGa2ceCfYo0BwxsXqNm01IGEUdYcSSLTEv9YCik/edit?usp=sharing"",""เบิกจ่ายกองทุน!CG22"")"),0)</f>
        <v>0</v>
      </c>
      <c r="S144" s="568">
        <f ca="1">IFERROR(__xludf.DUMMYFUNCTION("IMPORTRANGE(""https://docs.google.com/spreadsheets/d/1ItG2mGa2ceCfYo0BwxsXqNm01IGEUdYcSSLTEv9YCik/edit?usp=sharing"",""เบิกจ่ายกองทุน!CH22"")"),0)</f>
        <v>0</v>
      </c>
      <c r="T144" s="568">
        <f t="shared" ca="1" si="94"/>
        <v>0</v>
      </c>
      <c r="U144" s="568">
        <f t="shared" ca="1" si="95"/>
        <v>0</v>
      </c>
    </row>
    <row r="145" spans="1:21" ht="18.75" hidden="1" x14ac:dyDescent="0.25">
      <c r="A145" s="674"/>
      <c r="B145" s="561"/>
      <c r="C145" s="561"/>
      <c r="D145" s="562" t="s">
        <v>23</v>
      </c>
      <c r="E145" s="561"/>
      <c r="F145" s="561"/>
      <c r="G145" s="563"/>
      <c r="H145" s="686" t="s">
        <v>14</v>
      </c>
      <c r="I145" s="683"/>
      <c r="J145" s="683"/>
      <c r="K145" s="684"/>
      <c r="L145" s="567">
        <f t="shared" ref="L145:N145" ca="1" si="100">L146+L147</f>
        <v>0</v>
      </c>
      <c r="M145" s="568">
        <f t="shared" ca="1" si="100"/>
        <v>0</v>
      </c>
      <c r="N145" s="568">
        <f t="shared" ca="1" si="100"/>
        <v>0</v>
      </c>
      <c r="O145" s="568">
        <f t="shared" ca="1" si="91"/>
        <v>0</v>
      </c>
      <c r="P145" s="568">
        <f t="shared" ca="1" si="92"/>
        <v>0</v>
      </c>
      <c r="Q145" s="568">
        <f t="shared" ref="Q145:S145" ca="1" si="101">Q146+Q147</f>
        <v>0</v>
      </c>
      <c r="R145" s="568">
        <f t="shared" ca="1" si="101"/>
        <v>0</v>
      </c>
      <c r="S145" s="568">
        <f t="shared" ca="1" si="101"/>
        <v>0</v>
      </c>
      <c r="T145" s="568">
        <f t="shared" ca="1" si="94"/>
        <v>0</v>
      </c>
      <c r="U145" s="568">
        <f t="shared" ca="1" si="95"/>
        <v>0</v>
      </c>
    </row>
    <row r="146" spans="1:21" ht="18.75" hidden="1" x14ac:dyDescent="0.25">
      <c r="A146" s="674"/>
      <c r="B146" s="561"/>
      <c r="C146" s="561"/>
      <c r="D146" s="561"/>
      <c r="E146" s="569" t="s">
        <v>20</v>
      </c>
      <c r="F146" s="561"/>
      <c r="G146" s="563"/>
      <c r="H146" s="685" t="s">
        <v>14</v>
      </c>
      <c r="I146" s="683"/>
      <c r="J146" s="683"/>
      <c r="K146" s="684"/>
      <c r="L146" s="571">
        <v>0</v>
      </c>
      <c r="M146" s="572">
        <v>0</v>
      </c>
      <c r="N146" s="572">
        <v>0</v>
      </c>
      <c r="O146" s="572">
        <f t="shared" si="91"/>
        <v>0</v>
      </c>
      <c r="P146" s="572">
        <f t="shared" si="92"/>
        <v>0</v>
      </c>
      <c r="Q146" s="572">
        <v>0</v>
      </c>
      <c r="R146" s="572">
        <v>0</v>
      </c>
      <c r="S146" s="572">
        <v>0</v>
      </c>
      <c r="T146" s="572">
        <f t="shared" si="94"/>
        <v>0</v>
      </c>
      <c r="U146" s="572">
        <f t="shared" si="95"/>
        <v>0</v>
      </c>
    </row>
    <row r="147" spans="1:21" ht="18.75" hidden="1" x14ac:dyDescent="0.25">
      <c r="A147" s="674"/>
      <c r="B147" s="561"/>
      <c r="C147" s="561"/>
      <c r="D147" s="561"/>
      <c r="E147" s="573" t="s">
        <v>21</v>
      </c>
      <c r="F147" s="561"/>
      <c r="G147" s="563"/>
      <c r="H147" s="686" t="s">
        <v>14</v>
      </c>
      <c r="I147" s="683"/>
      <c r="J147" s="683"/>
      <c r="K147" s="684"/>
      <c r="L147" s="567">
        <f ca="1">IFERROR(__xludf.DUMMYFUNCTION("IMPORTRANGE(""https://docs.google.com/spreadsheets/d/1-uDff_7J0KD5mKrp0Vvzr7lt3OU09vwQwhkpOPPYv2Y/edit?usp=sharing"",""งบพรบ!BT22"")"),0)</f>
        <v>0</v>
      </c>
      <c r="M147" s="568">
        <f ca="1">IFERROR(__xludf.DUMMYFUNCTION("IMPORTRANGE(""https://docs.google.com/spreadsheets/d/1-uDff_7J0KD5mKrp0Vvzr7lt3OU09vwQwhkpOPPYv2Y/edit?usp=sharing"",""งบพรบ!BW22"")"),0)</f>
        <v>0</v>
      </c>
      <c r="N147" s="568">
        <f ca="1">IFERROR(__xludf.DUMMYFUNCTION("IMPORTRANGE(""https://docs.google.com/spreadsheets/d/1-uDff_7J0KD5mKrp0Vvzr7lt3OU09vwQwhkpOPPYv2Y/edit?usp=sharing"",""งบพรบ!BY22"")"),0)</f>
        <v>0</v>
      </c>
      <c r="O147" s="568">
        <f t="shared" ca="1" si="91"/>
        <v>0</v>
      </c>
      <c r="P147" s="568">
        <f t="shared" ca="1" si="92"/>
        <v>0</v>
      </c>
      <c r="Q147" s="568">
        <f ca="1">IFERROR(__xludf.DUMMYFUNCTION("IMPORTRANGE(""https://docs.google.com/spreadsheets/d/1ItG2mGa2ceCfYo0BwxsXqNm01IGEUdYcSSLTEv9YCik/edit?usp=sharing"",""เบิกจ่ายกองทุน!CI22"")"),0)</f>
        <v>0</v>
      </c>
      <c r="R147" s="568">
        <f ca="1">IFERROR(__xludf.DUMMYFUNCTION("IMPORTRANGE(""https://docs.google.com/spreadsheets/d/1ItG2mGa2ceCfYo0BwxsXqNm01IGEUdYcSSLTEv9YCik/edit?usp=sharing"",""เบิกจ่ายกองทุน!CJ22"")"),0)</f>
        <v>0</v>
      </c>
      <c r="S147" s="568">
        <f ca="1">IFERROR(__xludf.DUMMYFUNCTION("IMPORTRANGE(""https://docs.google.com/spreadsheets/d/1ItG2mGa2ceCfYo0BwxsXqNm01IGEUdYcSSLTEv9YCik/edit?usp=sharing"",""เบิกจ่ายกองทุน!CK22"")"),0)</f>
        <v>0</v>
      </c>
      <c r="T147" s="568">
        <f t="shared" ca="1" si="94"/>
        <v>0</v>
      </c>
      <c r="U147" s="568">
        <f t="shared" ca="1" si="95"/>
        <v>0</v>
      </c>
    </row>
    <row r="148" spans="1:21" ht="19.5" hidden="1" x14ac:dyDescent="0.3">
      <c r="A148" s="687"/>
      <c r="B148" s="688"/>
      <c r="C148" s="675" t="s">
        <v>18</v>
      </c>
      <c r="D148" s="689" t="s">
        <v>38</v>
      </c>
      <c r="E148" s="690"/>
      <c r="F148" s="690"/>
      <c r="G148" s="691"/>
      <c r="H148" s="725"/>
      <c r="I148" s="565"/>
      <c r="J148" s="565"/>
      <c r="K148" s="566"/>
      <c r="L148" s="574"/>
      <c r="M148" s="566"/>
      <c r="N148" s="566"/>
      <c r="O148" s="566"/>
      <c r="P148" s="566"/>
      <c r="Q148" s="566"/>
      <c r="R148" s="566"/>
      <c r="S148" s="566"/>
      <c r="T148" s="566"/>
      <c r="U148" s="566"/>
    </row>
    <row r="149" spans="1:21" ht="18.75" hidden="1" x14ac:dyDescent="0.25">
      <c r="A149" s="674"/>
      <c r="B149" s="561"/>
      <c r="C149" s="561"/>
      <c r="D149" s="573" t="s">
        <v>63</v>
      </c>
      <c r="E149" s="561"/>
      <c r="F149" s="561"/>
      <c r="G149" s="563"/>
      <c r="H149" s="725"/>
      <c r="I149" s="565"/>
      <c r="J149" s="702">
        <v>0</v>
      </c>
      <c r="K149" s="566"/>
      <c r="L149" s="574"/>
      <c r="M149" s="566"/>
      <c r="N149" s="566"/>
      <c r="O149" s="566"/>
      <c r="P149" s="566"/>
      <c r="Q149" s="566"/>
      <c r="R149" s="566"/>
      <c r="S149" s="566"/>
      <c r="T149" s="566"/>
      <c r="U149" s="566"/>
    </row>
    <row r="150" spans="1:21" ht="19.5" hidden="1" x14ac:dyDescent="0.3">
      <c r="A150" s="674"/>
      <c r="B150" s="561"/>
      <c r="C150" s="561"/>
      <c r="D150" s="695"/>
      <c r="E150" s="675" t="s">
        <v>299</v>
      </c>
      <c r="F150" s="561"/>
      <c r="G150" s="563"/>
      <c r="H150" s="686" t="s">
        <v>35</v>
      </c>
      <c r="I150" s="708">
        <f ca="1">IFERROR(__xludf.DUMMYFUNCTION("IMPORTRANGE(""https://docs.google.com/spreadsheets/d/1eHaY18a8A9IcSdp1K8H6x8fbOy06t2VsZHhMHf-1x7Y/edit?usp=sharing"",""แผน!U22"")"),0)</f>
        <v>0</v>
      </c>
      <c r="J150" s="702">
        <v>0</v>
      </c>
      <c r="K150" s="568">
        <f t="shared" ref="K150:K154" ca="1" si="102">IF(I150&gt;0,J150*100/I150,0)</f>
        <v>0</v>
      </c>
      <c r="L150" s="574"/>
      <c r="M150" s="566"/>
      <c r="N150" s="566"/>
      <c r="O150" s="566"/>
      <c r="P150" s="566"/>
      <c r="Q150" s="566"/>
      <c r="R150" s="566"/>
      <c r="S150" s="566"/>
      <c r="T150" s="566"/>
      <c r="U150" s="566"/>
    </row>
    <row r="151" spans="1:21" ht="18.75" hidden="1" x14ac:dyDescent="0.25">
      <c r="A151" s="674"/>
      <c r="B151" s="561"/>
      <c r="C151" s="561"/>
      <c r="D151" s="695"/>
      <c r="E151" s="561"/>
      <c r="F151" s="561"/>
      <c r="G151" s="563"/>
      <c r="H151" s="686" t="s">
        <v>54</v>
      </c>
      <c r="I151" s="708">
        <f ca="1">IFERROR(__xludf.DUMMYFUNCTION("IMPORTRANGE(""https://docs.google.com/spreadsheets/d/1eHaY18a8A9IcSdp1K8H6x8fbOy06t2VsZHhMHf-1x7Y/edit?usp=sharing"",""แผน!V22"")"),0)</f>
        <v>0</v>
      </c>
      <c r="J151" s="702">
        <v>0</v>
      </c>
      <c r="K151" s="568">
        <f t="shared" ca="1" si="102"/>
        <v>0</v>
      </c>
      <c r="L151" s="574"/>
      <c r="M151" s="566"/>
      <c r="N151" s="566"/>
      <c r="O151" s="566"/>
      <c r="P151" s="566"/>
      <c r="Q151" s="566"/>
      <c r="R151" s="566"/>
      <c r="S151" s="566"/>
      <c r="T151" s="566"/>
      <c r="U151" s="566"/>
    </row>
    <row r="152" spans="1:21" ht="19.5" hidden="1" x14ac:dyDescent="0.3">
      <c r="A152" s="674"/>
      <c r="B152" s="561"/>
      <c r="C152" s="561"/>
      <c r="D152" s="695"/>
      <c r="E152" s="675" t="s">
        <v>300</v>
      </c>
      <c r="F152" s="561"/>
      <c r="G152" s="563"/>
      <c r="H152" s="686" t="s">
        <v>35</v>
      </c>
      <c r="I152" s="708">
        <f ca="1">IFERROR(__xludf.DUMMYFUNCTION("IMPORTRANGE(""https://docs.google.com/spreadsheets/d/1eHaY18a8A9IcSdp1K8H6x8fbOy06t2VsZHhMHf-1x7Y/edit?usp=sharing"",""แผน!W22"")"),0)</f>
        <v>0</v>
      </c>
      <c r="J152" s="702">
        <v>0</v>
      </c>
      <c r="K152" s="568">
        <f t="shared" ca="1" si="102"/>
        <v>0</v>
      </c>
      <c r="L152" s="574"/>
      <c r="M152" s="566"/>
      <c r="N152" s="566"/>
      <c r="O152" s="566"/>
      <c r="P152" s="566"/>
      <c r="Q152" s="566"/>
      <c r="R152" s="566"/>
      <c r="S152" s="566"/>
      <c r="T152" s="566"/>
      <c r="U152" s="566"/>
    </row>
    <row r="153" spans="1:21" ht="18.75" hidden="1" x14ac:dyDescent="0.25">
      <c r="A153" s="674"/>
      <c r="B153" s="561"/>
      <c r="C153" s="561"/>
      <c r="D153" s="561"/>
      <c r="E153" s="561"/>
      <c r="F153" s="561"/>
      <c r="G153" s="563"/>
      <c r="H153" s="686" t="s">
        <v>54</v>
      </c>
      <c r="I153" s="708">
        <f ca="1">IFERROR(__xludf.DUMMYFUNCTION("IMPORTRANGE(""https://docs.google.com/spreadsheets/d/1eHaY18a8A9IcSdp1K8H6x8fbOy06t2VsZHhMHf-1x7Y/edit?usp=sharing"",""แผน!X22"")"),0)</f>
        <v>0</v>
      </c>
      <c r="J153" s="702">
        <v>0</v>
      </c>
      <c r="K153" s="568">
        <f t="shared" ca="1" si="102"/>
        <v>0</v>
      </c>
      <c r="L153" s="574"/>
      <c r="M153" s="566"/>
      <c r="N153" s="566"/>
      <c r="O153" s="566"/>
      <c r="P153" s="566"/>
      <c r="Q153" s="566"/>
      <c r="R153" s="566"/>
      <c r="S153" s="566"/>
      <c r="T153" s="566"/>
      <c r="U153" s="566"/>
    </row>
    <row r="154" spans="1:21" ht="18.75" hidden="1" x14ac:dyDescent="0.25">
      <c r="A154" s="674"/>
      <c r="B154" s="561"/>
      <c r="C154" s="561"/>
      <c r="D154" s="573" t="s">
        <v>66</v>
      </c>
      <c r="E154" s="561"/>
      <c r="F154" s="561"/>
      <c r="G154" s="563"/>
      <c r="H154" s="686" t="s">
        <v>61</v>
      </c>
      <c r="I154" s="708">
        <f ca="1">IFERROR(__xludf.DUMMYFUNCTION("IMPORTRANGE(""https://docs.google.com/spreadsheets/d/1eHaY18a8A9IcSdp1K8H6x8fbOy06t2VsZHhMHf-1x7Y/edit?usp=sharing"",""แผน!Y22"")"),0)</f>
        <v>0</v>
      </c>
      <c r="J154" s="702">
        <v>0</v>
      </c>
      <c r="K154" s="568">
        <f t="shared" ca="1" si="102"/>
        <v>0</v>
      </c>
      <c r="L154" s="574"/>
      <c r="M154" s="566"/>
      <c r="N154" s="566"/>
      <c r="O154" s="566"/>
      <c r="P154" s="566"/>
      <c r="Q154" s="566"/>
      <c r="R154" s="566"/>
      <c r="S154" s="566"/>
      <c r="T154" s="566"/>
      <c r="U154" s="566"/>
    </row>
    <row r="155" spans="1:21" ht="19.5" x14ac:dyDescent="0.3">
      <c r="A155" s="662" t="s">
        <v>67</v>
      </c>
      <c r="B155" s="663"/>
      <c r="C155" s="729"/>
      <c r="D155" s="663"/>
      <c r="E155" s="663"/>
      <c r="F155" s="663"/>
      <c r="G155" s="663"/>
      <c r="H155" s="663"/>
      <c r="I155" s="730"/>
      <c r="J155" s="730"/>
      <c r="K155" s="731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</row>
    <row r="156" spans="1:21" ht="19.5" x14ac:dyDescent="0.3">
      <c r="A156" s="669"/>
      <c r="B156" s="544" t="s">
        <v>68</v>
      </c>
      <c r="C156" s="543"/>
      <c r="D156" s="543"/>
      <c r="E156" s="543"/>
      <c r="F156" s="543"/>
      <c r="G156" s="546"/>
      <c r="H156" s="717" t="s">
        <v>35</v>
      </c>
      <c r="I156" s="672">
        <f t="shared" ref="I156:J156" ca="1" si="103">I169</f>
        <v>0</v>
      </c>
      <c r="J156" s="672">
        <f t="shared" si="103"/>
        <v>0</v>
      </c>
      <c r="K156" s="551">
        <f ca="1">IF(I156&gt;0,J156*100/I156,0)</f>
        <v>0</v>
      </c>
      <c r="L156" s="673"/>
      <c r="M156" s="549"/>
      <c r="N156" s="549"/>
      <c r="O156" s="549"/>
      <c r="P156" s="549"/>
      <c r="Q156" s="549"/>
      <c r="R156" s="549"/>
      <c r="S156" s="549"/>
      <c r="T156" s="549"/>
      <c r="U156" s="549"/>
    </row>
    <row r="157" spans="1:21" ht="19.5" x14ac:dyDescent="0.3">
      <c r="A157" s="674"/>
      <c r="B157" s="561"/>
      <c r="C157" s="675" t="s">
        <v>18</v>
      </c>
      <c r="D157" s="676" t="s">
        <v>19</v>
      </c>
      <c r="E157" s="561"/>
      <c r="F157" s="561"/>
      <c r="G157" s="563"/>
      <c r="H157" s="677" t="s">
        <v>14</v>
      </c>
      <c r="I157" s="565"/>
      <c r="J157" s="565"/>
      <c r="K157" s="566"/>
      <c r="L157" s="678">
        <f t="shared" ref="L157:N157" ca="1" si="104">L158+L159</f>
        <v>0</v>
      </c>
      <c r="M157" s="679">
        <f t="shared" ca="1" si="104"/>
        <v>1040</v>
      </c>
      <c r="N157" s="679">
        <f t="shared" ca="1" si="104"/>
        <v>680</v>
      </c>
      <c r="O157" s="679">
        <f t="shared" ref="O157:O165" ca="1" si="105">IF(L157&gt;0,N157*100/L157,0)</f>
        <v>0</v>
      </c>
      <c r="P157" s="679">
        <f t="shared" ref="P157:P165" ca="1" si="106">IF(M157&gt;0,N157*100/M157,0)</f>
        <v>65.384615384615387</v>
      </c>
      <c r="Q157" s="679">
        <f t="shared" ref="Q157:S157" ca="1" si="107">Q158+Q159</f>
        <v>0</v>
      </c>
      <c r="R157" s="679">
        <f t="shared" ca="1" si="107"/>
        <v>0</v>
      </c>
      <c r="S157" s="679">
        <f t="shared" ca="1" si="107"/>
        <v>0</v>
      </c>
      <c r="T157" s="679">
        <f t="shared" ref="T157:T165" ca="1" si="108">IF(Q157&gt;0,S157*100/Q157,0)</f>
        <v>0</v>
      </c>
      <c r="U157" s="679">
        <f t="shared" ref="U157:U165" ca="1" si="109">IF(R157&gt;0,S157*100/R157,0)</f>
        <v>0</v>
      </c>
    </row>
    <row r="158" spans="1:21" ht="18.75" x14ac:dyDescent="0.25">
      <c r="A158" s="674"/>
      <c r="B158" s="561"/>
      <c r="C158" s="561"/>
      <c r="D158" s="561"/>
      <c r="E158" s="569" t="s">
        <v>20</v>
      </c>
      <c r="F158" s="561"/>
      <c r="G158" s="563"/>
      <c r="H158" s="680" t="s">
        <v>14</v>
      </c>
      <c r="I158" s="565"/>
      <c r="J158" s="565"/>
      <c r="K158" s="566"/>
      <c r="L158" s="571">
        <f t="shared" ref="L158:N159" si="110">L161+L164</f>
        <v>0</v>
      </c>
      <c r="M158" s="572">
        <f t="shared" si="110"/>
        <v>0</v>
      </c>
      <c r="N158" s="572">
        <f t="shared" si="110"/>
        <v>0</v>
      </c>
      <c r="O158" s="572">
        <f t="shared" si="105"/>
        <v>0</v>
      </c>
      <c r="P158" s="572">
        <f t="shared" si="106"/>
        <v>0</v>
      </c>
      <c r="Q158" s="572">
        <f t="shared" ref="Q158:S159" si="111">Q161+Q164</f>
        <v>0</v>
      </c>
      <c r="R158" s="572">
        <f t="shared" si="111"/>
        <v>0</v>
      </c>
      <c r="S158" s="572">
        <f t="shared" si="111"/>
        <v>0</v>
      </c>
      <c r="T158" s="572">
        <f t="shared" si="108"/>
        <v>0</v>
      </c>
      <c r="U158" s="572">
        <f t="shared" si="109"/>
        <v>0</v>
      </c>
    </row>
    <row r="159" spans="1:21" ht="18.75" x14ac:dyDescent="0.25">
      <c r="A159" s="674"/>
      <c r="B159" s="561"/>
      <c r="C159" s="561"/>
      <c r="D159" s="561"/>
      <c r="E159" s="573" t="s">
        <v>21</v>
      </c>
      <c r="F159" s="561"/>
      <c r="G159" s="563"/>
      <c r="H159" s="681" t="s">
        <v>14</v>
      </c>
      <c r="I159" s="565"/>
      <c r="J159" s="565"/>
      <c r="K159" s="566"/>
      <c r="L159" s="567">
        <f t="shared" ca="1" si="110"/>
        <v>0</v>
      </c>
      <c r="M159" s="568">
        <f t="shared" ca="1" si="110"/>
        <v>1040</v>
      </c>
      <c r="N159" s="568">
        <f t="shared" ca="1" si="110"/>
        <v>680</v>
      </c>
      <c r="O159" s="568">
        <f t="shared" ca="1" si="105"/>
        <v>0</v>
      </c>
      <c r="P159" s="568">
        <f t="shared" ca="1" si="106"/>
        <v>65.384615384615387</v>
      </c>
      <c r="Q159" s="568">
        <f t="shared" ca="1" si="111"/>
        <v>0</v>
      </c>
      <c r="R159" s="568">
        <f t="shared" ca="1" si="111"/>
        <v>0</v>
      </c>
      <c r="S159" s="568">
        <f t="shared" ca="1" si="111"/>
        <v>0</v>
      </c>
      <c r="T159" s="568">
        <f t="shared" ca="1" si="108"/>
        <v>0</v>
      </c>
      <c r="U159" s="568">
        <f t="shared" ca="1" si="109"/>
        <v>0</v>
      </c>
    </row>
    <row r="160" spans="1:21" ht="18.75" x14ac:dyDescent="0.25">
      <c r="A160" s="674"/>
      <c r="B160" s="561"/>
      <c r="C160" s="561"/>
      <c r="D160" s="562" t="s">
        <v>22</v>
      </c>
      <c r="E160" s="561"/>
      <c r="F160" s="561"/>
      <c r="G160" s="563"/>
      <c r="H160" s="682" t="s">
        <v>14</v>
      </c>
      <c r="I160" s="683"/>
      <c r="J160" s="683"/>
      <c r="K160" s="684"/>
      <c r="L160" s="567">
        <f t="shared" ref="L160:N160" ca="1" si="112">L161+L162</f>
        <v>0</v>
      </c>
      <c r="M160" s="568">
        <f t="shared" ca="1" si="112"/>
        <v>1040</v>
      </c>
      <c r="N160" s="568">
        <f t="shared" ca="1" si="112"/>
        <v>680</v>
      </c>
      <c r="O160" s="568">
        <f t="shared" ca="1" si="105"/>
        <v>0</v>
      </c>
      <c r="P160" s="568">
        <f t="shared" ca="1" si="106"/>
        <v>65.384615384615387</v>
      </c>
      <c r="Q160" s="568">
        <f t="shared" ref="Q160:S160" ca="1" si="113">Q161+Q162</f>
        <v>0</v>
      </c>
      <c r="R160" s="568">
        <f t="shared" ca="1" si="113"/>
        <v>0</v>
      </c>
      <c r="S160" s="568">
        <f t="shared" ca="1" si="113"/>
        <v>0</v>
      </c>
      <c r="T160" s="568">
        <f t="shared" ca="1" si="108"/>
        <v>0</v>
      </c>
      <c r="U160" s="568">
        <f t="shared" ca="1" si="109"/>
        <v>0</v>
      </c>
    </row>
    <row r="161" spans="1:21" ht="18.75" x14ac:dyDescent="0.25">
      <c r="A161" s="674"/>
      <c r="B161" s="561"/>
      <c r="C161" s="561"/>
      <c r="D161" s="561"/>
      <c r="E161" s="569" t="s">
        <v>36</v>
      </c>
      <c r="F161" s="561"/>
      <c r="G161" s="563"/>
      <c r="H161" s="685" t="s">
        <v>14</v>
      </c>
      <c r="I161" s="683"/>
      <c r="J161" s="683"/>
      <c r="K161" s="684"/>
      <c r="L161" s="571">
        <v>0</v>
      </c>
      <c r="M161" s="572">
        <v>0</v>
      </c>
      <c r="N161" s="572">
        <v>0</v>
      </c>
      <c r="O161" s="572">
        <f t="shared" si="105"/>
        <v>0</v>
      </c>
      <c r="P161" s="572">
        <f t="shared" si="106"/>
        <v>0</v>
      </c>
      <c r="Q161" s="572">
        <v>0</v>
      </c>
      <c r="R161" s="572">
        <v>0</v>
      </c>
      <c r="S161" s="572">
        <v>0</v>
      </c>
      <c r="T161" s="572">
        <f t="shared" si="108"/>
        <v>0</v>
      </c>
      <c r="U161" s="572">
        <f t="shared" si="109"/>
        <v>0</v>
      </c>
    </row>
    <row r="162" spans="1:21" ht="18.75" x14ac:dyDescent="0.25">
      <c r="A162" s="674"/>
      <c r="B162" s="561"/>
      <c r="C162" s="561"/>
      <c r="D162" s="561"/>
      <c r="E162" s="573" t="s">
        <v>37</v>
      </c>
      <c r="F162" s="561"/>
      <c r="G162" s="563"/>
      <c r="H162" s="682" t="s">
        <v>14</v>
      </c>
      <c r="I162" s="683"/>
      <c r="J162" s="683"/>
      <c r="K162" s="684"/>
      <c r="L162" s="567">
        <f ca="1">IFERROR(__xludf.DUMMYFUNCTION("IMPORTRANGE(""https://docs.google.com/spreadsheets/d/1-uDff_7J0KD5mKrp0Vvzr7lt3OU09vwQwhkpOPPYv2Y/edit?usp=sharing"",""งบพรบ!CA22"")"),0)</f>
        <v>0</v>
      </c>
      <c r="M162" s="568">
        <f ca="1">IFERROR(__xludf.DUMMYFUNCTION("IMPORTRANGE(""https://docs.google.com/spreadsheets/d/1-uDff_7J0KD5mKrp0Vvzr7lt3OU09vwQwhkpOPPYv2Y/edit?usp=sharing"",""งบพรบ!CF22"")"),1040)</f>
        <v>1040</v>
      </c>
      <c r="N162" s="568">
        <f ca="1">IFERROR(__xludf.DUMMYFUNCTION("IMPORTRANGE(""https://docs.google.com/spreadsheets/d/1-uDff_7J0KD5mKrp0Vvzr7lt3OU09vwQwhkpOPPYv2Y/edit?usp=sharing"",""งบพรบ!CH22"")"),680)</f>
        <v>680</v>
      </c>
      <c r="O162" s="568">
        <f t="shared" ca="1" si="105"/>
        <v>0</v>
      </c>
      <c r="P162" s="568">
        <f t="shared" ca="1" si="106"/>
        <v>65.384615384615387</v>
      </c>
      <c r="Q162" s="568">
        <f ca="1">IFERROR(__xludf.DUMMYFUNCTION("IMPORTRANGE(""https://docs.google.com/spreadsheets/d/1ItG2mGa2ceCfYo0BwxsXqNm01IGEUdYcSSLTEv9YCik/edit?usp=sharing"",""เบิกจ่ายกองทุน!AM22"")"),0)</f>
        <v>0</v>
      </c>
      <c r="R162" s="568">
        <f ca="1">IFERROR(__xludf.DUMMYFUNCTION("IMPORTRANGE(""https://docs.google.com/spreadsheets/d/1ItG2mGa2ceCfYo0BwxsXqNm01IGEUdYcSSLTEv9YCik/edit?usp=sharing"",""เบิกจ่ายกองทุน!AN22"")"),0)</f>
        <v>0</v>
      </c>
      <c r="S162" s="568">
        <f ca="1">IFERROR(__xludf.DUMMYFUNCTION("IMPORTRANGE(""https://docs.google.com/spreadsheets/d/1ItG2mGa2ceCfYo0BwxsXqNm01IGEUdYcSSLTEv9YCik/edit?usp=sharing"",""เบิกจ่ายกองทุน!AO22"")"),0)</f>
        <v>0</v>
      </c>
      <c r="T162" s="568">
        <f t="shared" ca="1" si="108"/>
        <v>0</v>
      </c>
      <c r="U162" s="568">
        <f t="shared" ca="1" si="109"/>
        <v>0</v>
      </c>
    </row>
    <row r="163" spans="1:21" ht="18.75" x14ac:dyDescent="0.25">
      <c r="A163" s="674"/>
      <c r="B163" s="561"/>
      <c r="C163" s="561"/>
      <c r="D163" s="562" t="s">
        <v>23</v>
      </c>
      <c r="E163" s="561"/>
      <c r="F163" s="561"/>
      <c r="G163" s="563"/>
      <c r="H163" s="686" t="s">
        <v>14</v>
      </c>
      <c r="I163" s="683"/>
      <c r="J163" s="683"/>
      <c r="K163" s="684"/>
      <c r="L163" s="567">
        <f t="shared" ref="L163:N163" ca="1" si="114">L164+L165</f>
        <v>0</v>
      </c>
      <c r="M163" s="568">
        <f t="shared" ca="1" si="114"/>
        <v>0</v>
      </c>
      <c r="N163" s="568">
        <f t="shared" ca="1" si="114"/>
        <v>0</v>
      </c>
      <c r="O163" s="568">
        <f t="shared" ca="1" si="105"/>
        <v>0</v>
      </c>
      <c r="P163" s="568">
        <f t="shared" ca="1" si="106"/>
        <v>0</v>
      </c>
      <c r="Q163" s="568">
        <f t="shared" ref="Q163:S163" si="115">Q164+Q165</f>
        <v>0</v>
      </c>
      <c r="R163" s="568">
        <f t="shared" si="115"/>
        <v>0</v>
      </c>
      <c r="S163" s="568">
        <f t="shared" si="115"/>
        <v>0</v>
      </c>
      <c r="T163" s="568">
        <f t="shared" si="108"/>
        <v>0</v>
      </c>
      <c r="U163" s="568">
        <f t="shared" si="109"/>
        <v>0</v>
      </c>
    </row>
    <row r="164" spans="1:21" ht="18.75" x14ac:dyDescent="0.25">
      <c r="A164" s="674"/>
      <c r="B164" s="561"/>
      <c r="C164" s="561"/>
      <c r="D164" s="561"/>
      <c r="E164" s="569" t="s">
        <v>20</v>
      </c>
      <c r="F164" s="561"/>
      <c r="G164" s="563"/>
      <c r="H164" s="685" t="s">
        <v>14</v>
      </c>
      <c r="I164" s="683"/>
      <c r="J164" s="683"/>
      <c r="K164" s="684"/>
      <c r="L164" s="571">
        <v>0</v>
      </c>
      <c r="M164" s="572">
        <v>0</v>
      </c>
      <c r="N164" s="572">
        <v>0</v>
      </c>
      <c r="O164" s="572">
        <f t="shared" si="105"/>
        <v>0</v>
      </c>
      <c r="P164" s="572">
        <f t="shared" si="106"/>
        <v>0</v>
      </c>
      <c r="Q164" s="572">
        <v>0</v>
      </c>
      <c r="R164" s="572">
        <v>0</v>
      </c>
      <c r="S164" s="572">
        <v>0</v>
      </c>
      <c r="T164" s="572">
        <f t="shared" si="108"/>
        <v>0</v>
      </c>
      <c r="U164" s="572">
        <f t="shared" si="109"/>
        <v>0</v>
      </c>
    </row>
    <row r="165" spans="1:21" ht="18.75" x14ac:dyDescent="0.25">
      <c r="A165" s="674"/>
      <c r="B165" s="561"/>
      <c r="C165" s="561"/>
      <c r="D165" s="561"/>
      <c r="E165" s="573" t="s">
        <v>21</v>
      </c>
      <c r="F165" s="561"/>
      <c r="G165" s="563"/>
      <c r="H165" s="686" t="s">
        <v>14</v>
      </c>
      <c r="I165" s="683"/>
      <c r="J165" s="683"/>
      <c r="K165" s="684"/>
      <c r="L165" s="567">
        <f ca="1">IFERROR(__xludf.DUMMYFUNCTION("IMPORTRANGE(""https://docs.google.com/spreadsheets/d/1-uDff_7J0KD5mKrp0Vvzr7lt3OU09vwQwhkpOPPYv2Y/edit?usp=sharing"",""งบพรบ!CD22"")"),0)</f>
        <v>0</v>
      </c>
      <c r="M165" s="568">
        <f ca="1">IFERROR(__xludf.DUMMYFUNCTION("IMPORTRANGE(""https://docs.google.com/spreadsheets/d/1-uDff_7J0KD5mKrp0Vvzr7lt3OU09vwQwhkpOPPYv2Y/edit?usp=sharing"",""งบพรบ!CG22"")"),0)</f>
        <v>0</v>
      </c>
      <c r="N165" s="568">
        <f ca="1">IFERROR(__xludf.DUMMYFUNCTION("IMPORTRANGE(""https://docs.google.com/spreadsheets/d/1-uDff_7J0KD5mKrp0Vvzr7lt3OU09vwQwhkpOPPYv2Y/edit?usp=sharing"",""งบพรบ!CI22"")"),0)</f>
        <v>0</v>
      </c>
      <c r="O165" s="568">
        <f t="shared" ca="1" si="105"/>
        <v>0</v>
      </c>
      <c r="P165" s="568">
        <f t="shared" ca="1" si="106"/>
        <v>0</v>
      </c>
      <c r="Q165" s="568">
        <v>0</v>
      </c>
      <c r="R165" s="568">
        <v>0</v>
      </c>
      <c r="S165" s="568">
        <v>0</v>
      </c>
      <c r="T165" s="568">
        <f t="shared" si="108"/>
        <v>0</v>
      </c>
      <c r="U165" s="568">
        <f t="shared" si="109"/>
        <v>0</v>
      </c>
    </row>
    <row r="166" spans="1:21" ht="19.5" x14ac:dyDescent="0.3">
      <c r="A166" s="687"/>
      <c r="B166" s="688"/>
      <c r="C166" s="675" t="s">
        <v>18</v>
      </c>
      <c r="D166" s="689" t="s">
        <v>38</v>
      </c>
      <c r="E166" s="690"/>
      <c r="F166" s="690"/>
      <c r="G166" s="691"/>
      <c r="H166" s="725"/>
      <c r="I166" s="565"/>
      <c r="J166" s="565"/>
      <c r="K166" s="566"/>
      <c r="L166" s="574"/>
      <c r="M166" s="566"/>
      <c r="N166" s="566"/>
      <c r="O166" s="566"/>
      <c r="P166" s="566"/>
      <c r="Q166" s="566"/>
      <c r="R166" s="566"/>
      <c r="S166" s="566"/>
      <c r="T166" s="566"/>
      <c r="U166" s="566"/>
    </row>
    <row r="167" spans="1:21" ht="18.75" x14ac:dyDescent="0.25">
      <c r="A167" s="674"/>
      <c r="B167" s="561"/>
      <c r="C167" s="561"/>
      <c r="D167" s="573" t="s">
        <v>69</v>
      </c>
      <c r="E167" s="561"/>
      <c r="F167" s="561"/>
      <c r="G167" s="563"/>
      <c r="H167" s="686" t="s">
        <v>35</v>
      </c>
      <c r="I167" s="708">
        <f ca="1">IFERROR(__xludf.DUMMYFUNCTION("IMPORTRANGE(""https://docs.google.com/spreadsheets/d/1eHaY18a8A9IcSdp1K8H6x8fbOy06t2VsZHhMHf-1x7Y/edit?usp=sharing"",""แผน!Z22"")"),0)</f>
        <v>0</v>
      </c>
      <c r="J167" s="702">
        <v>0</v>
      </c>
      <c r="K167" s="568">
        <f t="shared" ref="K167:K169" ca="1" si="116">IF(I167&gt;0,J167*100/I167,0)</f>
        <v>0</v>
      </c>
      <c r="L167" s="574"/>
      <c r="M167" s="566"/>
      <c r="N167" s="566"/>
      <c r="O167" s="566"/>
      <c r="P167" s="566"/>
      <c r="Q167" s="566"/>
      <c r="R167" s="566"/>
      <c r="S167" s="566"/>
      <c r="T167" s="566"/>
      <c r="U167" s="566"/>
    </row>
    <row r="168" spans="1:21" ht="18.75" x14ac:dyDescent="0.25">
      <c r="A168" s="674"/>
      <c r="B168" s="561"/>
      <c r="C168" s="561"/>
      <c r="D168" s="569" t="s">
        <v>70</v>
      </c>
      <c r="E168" s="561"/>
      <c r="F168" s="561"/>
      <c r="G168" s="563"/>
      <c r="H168" s="734" t="s">
        <v>35</v>
      </c>
      <c r="I168" s="735">
        <f ca="1">IFERROR(__xludf.DUMMYFUNCTION("IMPORTRANGE(""https://docs.google.com/spreadsheets/d/1eHaY18a8A9IcSdp1K8H6x8fbOy06t2VsZHhMHf-1x7Y/edit?usp=sharing"",""แผน!Z22"")"),0)</f>
        <v>0</v>
      </c>
      <c r="J168" s="736">
        <v>0</v>
      </c>
      <c r="K168" s="572">
        <f t="shared" ca="1" si="116"/>
        <v>0</v>
      </c>
      <c r="L168" s="574"/>
      <c r="M168" s="566"/>
      <c r="N168" s="566"/>
      <c r="O168" s="566"/>
      <c r="P168" s="566"/>
      <c r="Q168" s="566"/>
      <c r="R168" s="566"/>
      <c r="S168" s="566"/>
      <c r="T168" s="566"/>
      <c r="U168" s="566"/>
    </row>
    <row r="169" spans="1:21" ht="18.75" x14ac:dyDescent="0.25">
      <c r="A169" s="737"/>
      <c r="B169" s="513"/>
      <c r="C169" s="513"/>
      <c r="D169" s="738" t="s">
        <v>71</v>
      </c>
      <c r="E169" s="513"/>
      <c r="F169" s="513"/>
      <c r="G169" s="577"/>
      <c r="H169" s="739" t="s">
        <v>35</v>
      </c>
      <c r="I169" s="740">
        <f ca="1">IFERROR(__xludf.DUMMYFUNCTION("IMPORTRANGE(""https://docs.google.com/spreadsheets/d/1eHaY18a8A9IcSdp1K8H6x8fbOy06t2VsZHhMHf-1x7Y/edit?usp=sharing"",""แผน!Z22"")"),0)</f>
        <v>0</v>
      </c>
      <c r="J169" s="741">
        <v>0</v>
      </c>
      <c r="K169" s="742">
        <f t="shared" ca="1" si="116"/>
        <v>0</v>
      </c>
      <c r="L169" s="581"/>
      <c r="M169" s="580"/>
      <c r="N169" s="580"/>
      <c r="O169" s="580"/>
      <c r="P169" s="580"/>
      <c r="Q169" s="580"/>
      <c r="R169" s="580"/>
      <c r="S169" s="580"/>
      <c r="T169" s="580"/>
      <c r="U169" s="580"/>
    </row>
    <row r="170" spans="1:21" ht="19.5" x14ac:dyDescent="0.3">
      <c r="A170" s="743" t="s">
        <v>72</v>
      </c>
      <c r="B170" s="744"/>
      <c r="C170" s="744"/>
      <c r="D170" s="744"/>
      <c r="E170" s="745"/>
      <c r="F170" s="745"/>
      <c r="G170" s="745"/>
      <c r="H170" s="745"/>
      <c r="I170" s="746"/>
      <c r="J170" s="746"/>
      <c r="K170" s="747"/>
      <c r="L170" s="747"/>
      <c r="M170" s="747"/>
      <c r="N170" s="747"/>
      <c r="O170" s="747"/>
      <c r="P170" s="748"/>
      <c r="Q170" s="747"/>
      <c r="R170" s="747"/>
      <c r="S170" s="747"/>
      <c r="T170" s="747"/>
      <c r="U170" s="748"/>
    </row>
    <row r="171" spans="1:21" ht="19.5" x14ac:dyDescent="0.3">
      <c r="A171" s="749" t="s">
        <v>73</v>
      </c>
      <c r="B171" s="750"/>
      <c r="C171" s="750"/>
      <c r="D171" s="751"/>
      <c r="E171" s="751"/>
      <c r="F171" s="751"/>
      <c r="G171" s="751"/>
      <c r="H171" s="752"/>
      <c r="I171" s="753"/>
      <c r="J171" s="753"/>
      <c r="K171" s="754"/>
      <c r="L171" s="755"/>
      <c r="M171" s="754"/>
      <c r="N171" s="754"/>
      <c r="O171" s="754"/>
      <c r="P171" s="754"/>
      <c r="Q171" s="754"/>
      <c r="R171" s="754"/>
      <c r="S171" s="754"/>
      <c r="T171" s="754"/>
      <c r="U171" s="754"/>
    </row>
    <row r="172" spans="1:21" ht="19.5" x14ac:dyDescent="0.3">
      <c r="A172" s="756"/>
      <c r="B172" s="757" t="s">
        <v>74</v>
      </c>
      <c r="C172" s="758"/>
      <c r="D172" s="690"/>
      <c r="E172" s="690"/>
      <c r="F172" s="690"/>
      <c r="G172" s="691"/>
      <c r="H172" s="759" t="s">
        <v>35</v>
      </c>
      <c r="I172" s="760">
        <f t="shared" ref="I172:J172" ca="1" si="117">I183+I184</f>
        <v>7</v>
      </c>
      <c r="J172" s="760">
        <f t="shared" si="117"/>
        <v>7</v>
      </c>
      <c r="K172" s="761">
        <f ca="1">IF(I172&gt;0,J172*100/I172,0)</f>
        <v>100</v>
      </c>
      <c r="L172" s="762"/>
      <c r="M172" s="763"/>
      <c r="N172" s="763"/>
      <c r="O172" s="763"/>
      <c r="P172" s="763"/>
      <c r="Q172" s="763"/>
      <c r="R172" s="763"/>
      <c r="S172" s="763"/>
      <c r="T172" s="763"/>
      <c r="U172" s="763"/>
    </row>
    <row r="173" spans="1:21" ht="19.5" x14ac:dyDescent="0.3">
      <c r="A173" s="674"/>
      <c r="B173" s="561"/>
      <c r="C173" s="675" t="s">
        <v>18</v>
      </c>
      <c r="D173" s="676" t="s">
        <v>19</v>
      </c>
      <c r="E173" s="561"/>
      <c r="F173" s="561"/>
      <c r="G173" s="563"/>
      <c r="H173" s="677" t="s">
        <v>14</v>
      </c>
      <c r="I173" s="565"/>
      <c r="J173" s="565"/>
      <c r="K173" s="566"/>
      <c r="L173" s="678">
        <f t="shared" ref="L173:N173" ca="1" si="118">L174+L175</f>
        <v>19590</v>
      </c>
      <c r="M173" s="679">
        <f t="shared" ca="1" si="118"/>
        <v>31390</v>
      </c>
      <c r="N173" s="679">
        <f t="shared" ca="1" si="118"/>
        <v>30070</v>
      </c>
      <c r="O173" s="679">
        <f t="shared" ref="O173:O181" ca="1" si="119">IF(L173&gt;0,N173*100/L173,0)</f>
        <v>153.49668198060235</v>
      </c>
      <c r="P173" s="679">
        <f t="shared" ref="P173:P181" ca="1" si="120">IF(M173&gt;0,N173*100/M173,0)</f>
        <v>95.794839120739084</v>
      </c>
      <c r="Q173" s="679">
        <f t="shared" ref="Q173:S173" ca="1" si="121">Q174+Q175</f>
        <v>0</v>
      </c>
      <c r="R173" s="679">
        <f t="shared" ca="1" si="121"/>
        <v>0</v>
      </c>
      <c r="S173" s="679">
        <f t="shared" ca="1" si="121"/>
        <v>0</v>
      </c>
      <c r="T173" s="679">
        <f t="shared" ref="T173:T181" ca="1" si="122">IF(Q173&gt;0,S173*100/Q173,0)</f>
        <v>0</v>
      </c>
      <c r="U173" s="679">
        <f t="shared" ref="U173:U181" ca="1" si="123">IF(R173&gt;0,S173*100/R173,0)</f>
        <v>0</v>
      </c>
    </row>
    <row r="174" spans="1:21" ht="18.75" x14ac:dyDescent="0.25">
      <c r="A174" s="674"/>
      <c r="B174" s="561"/>
      <c r="C174" s="561"/>
      <c r="D174" s="561"/>
      <c r="E174" s="569" t="s">
        <v>20</v>
      </c>
      <c r="F174" s="561"/>
      <c r="G174" s="563"/>
      <c r="H174" s="680" t="s">
        <v>14</v>
      </c>
      <c r="I174" s="565"/>
      <c r="J174" s="565"/>
      <c r="K174" s="566"/>
      <c r="L174" s="571">
        <f t="shared" ref="L174:N175" si="124">L177+L180</f>
        <v>0</v>
      </c>
      <c r="M174" s="572">
        <f t="shared" si="124"/>
        <v>0</v>
      </c>
      <c r="N174" s="572">
        <f t="shared" si="124"/>
        <v>0</v>
      </c>
      <c r="O174" s="572">
        <f t="shared" si="119"/>
        <v>0</v>
      </c>
      <c r="P174" s="572">
        <f t="shared" si="120"/>
        <v>0</v>
      </c>
      <c r="Q174" s="572">
        <f t="shared" ref="Q174:S175" si="125">Q177+Q180</f>
        <v>0</v>
      </c>
      <c r="R174" s="572">
        <f t="shared" si="125"/>
        <v>0</v>
      </c>
      <c r="S174" s="572">
        <f t="shared" si="125"/>
        <v>0</v>
      </c>
      <c r="T174" s="572">
        <f t="shared" si="122"/>
        <v>0</v>
      </c>
      <c r="U174" s="572">
        <f t="shared" si="123"/>
        <v>0</v>
      </c>
    </row>
    <row r="175" spans="1:21" ht="18.75" x14ac:dyDescent="0.25">
      <c r="A175" s="674"/>
      <c r="B175" s="561"/>
      <c r="C175" s="561"/>
      <c r="D175" s="561"/>
      <c r="E175" s="573" t="s">
        <v>21</v>
      </c>
      <c r="F175" s="561"/>
      <c r="G175" s="563"/>
      <c r="H175" s="681" t="s">
        <v>14</v>
      </c>
      <c r="I175" s="565"/>
      <c r="J175" s="565"/>
      <c r="K175" s="566"/>
      <c r="L175" s="567">
        <f t="shared" ca="1" si="124"/>
        <v>19590</v>
      </c>
      <c r="M175" s="568">
        <f t="shared" ca="1" si="124"/>
        <v>31390</v>
      </c>
      <c r="N175" s="568">
        <f t="shared" ca="1" si="124"/>
        <v>30070</v>
      </c>
      <c r="O175" s="568">
        <f t="shared" ca="1" si="119"/>
        <v>153.49668198060235</v>
      </c>
      <c r="P175" s="568">
        <f t="shared" ca="1" si="120"/>
        <v>95.794839120739084</v>
      </c>
      <c r="Q175" s="568">
        <f t="shared" ca="1" si="125"/>
        <v>0</v>
      </c>
      <c r="R175" s="568">
        <f t="shared" ca="1" si="125"/>
        <v>0</v>
      </c>
      <c r="S175" s="568">
        <f t="shared" ca="1" si="125"/>
        <v>0</v>
      </c>
      <c r="T175" s="568">
        <f t="shared" ca="1" si="122"/>
        <v>0</v>
      </c>
      <c r="U175" s="568">
        <f t="shared" ca="1" si="123"/>
        <v>0</v>
      </c>
    </row>
    <row r="176" spans="1:21" ht="18.75" x14ac:dyDescent="0.25">
      <c r="A176" s="674"/>
      <c r="B176" s="561"/>
      <c r="C176" s="561"/>
      <c r="D176" s="562" t="s">
        <v>22</v>
      </c>
      <c r="E176" s="561"/>
      <c r="F176" s="561"/>
      <c r="G176" s="563"/>
      <c r="H176" s="682" t="s">
        <v>14</v>
      </c>
      <c r="I176" s="683"/>
      <c r="J176" s="683"/>
      <c r="K176" s="684"/>
      <c r="L176" s="567">
        <f t="shared" ref="L176:N176" ca="1" si="126">L177+L178</f>
        <v>19590</v>
      </c>
      <c r="M176" s="568">
        <f t="shared" ca="1" si="126"/>
        <v>31390</v>
      </c>
      <c r="N176" s="568">
        <f t="shared" ca="1" si="126"/>
        <v>30070</v>
      </c>
      <c r="O176" s="568">
        <f t="shared" ca="1" si="119"/>
        <v>153.49668198060235</v>
      </c>
      <c r="P176" s="568">
        <f t="shared" ca="1" si="120"/>
        <v>95.794839120739084</v>
      </c>
      <c r="Q176" s="568">
        <f t="shared" ref="Q176:S176" ca="1" si="127">Q177+Q178</f>
        <v>0</v>
      </c>
      <c r="R176" s="568">
        <f t="shared" ca="1" si="127"/>
        <v>0</v>
      </c>
      <c r="S176" s="568">
        <f t="shared" ca="1" si="127"/>
        <v>0</v>
      </c>
      <c r="T176" s="568">
        <f t="shared" ca="1" si="122"/>
        <v>0</v>
      </c>
      <c r="U176" s="568">
        <f t="shared" ca="1" si="123"/>
        <v>0</v>
      </c>
    </row>
    <row r="177" spans="1:21" ht="18.75" x14ac:dyDescent="0.25">
      <c r="A177" s="674"/>
      <c r="B177" s="561"/>
      <c r="C177" s="561"/>
      <c r="D177" s="561"/>
      <c r="E177" s="569" t="s">
        <v>36</v>
      </c>
      <c r="F177" s="561"/>
      <c r="G177" s="563"/>
      <c r="H177" s="685" t="s">
        <v>14</v>
      </c>
      <c r="I177" s="683"/>
      <c r="J177" s="683"/>
      <c r="K177" s="684"/>
      <c r="L177" s="571">
        <v>0</v>
      </c>
      <c r="M177" s="572">
        <v>0</v>
      </c>
      <c r="N177" s="572">
        <v>0</v>
      </c>
      <c r="O177" s="572">
        <f t="shared" si="119"/>
        <v>0</v>
      </c>
      <c r="P177" s="572">
        <f t="shared" si="120"/>
        <v>0</v>
      </c>
      <c r="Q177" s="572">
        <v>0</v>
      </c>
      <c r="R177" s="572">
        <v>0</v>
      </c>
      <c r="S177" s="572">
        <v>0</v>
      </c>
      <c r="T177" s="572">
        <f t="shared" si="122"/>
        <v>0</v>
      </c>
      <c r="U177" s="572">
        <f t="shared" si="123"/>
        <v>0</v>
      </c>
    </row>
    <row r="178" spans="1:21" ht="18.75" x14ac:dyDescent="0.25">
      <c r="A178" s="674"/>
      <c r="B178" s="561"/>
      <c r="C178" s="561"/>
      <c r="D178" s="561"/>
      <c r="E178" s="573" t="s">
        <v>37</v>
      </c>
      <c r="F178" s="561"/>
      <c r="G178" s="563"/>
      <c r="H178" s="682" t="s">
        <v>14</v>
      </c>
      <c r="I178" s="683"/>
      <c r="J178" s="683"/>
      <c r="K178" s="684"/>
      <c r="L178" s="567">
        <f ca="1">IFERROR(__xludf.DUMMYFUNCTION("IMPORTRANGE(""https://docs.google.com/spreadsheets/d/1-uDff_7J0KD5mKrp0Vvzr7lt3OU09vwQwhkpOPPYv2Y/edit?usp=sharing"",""งบพรบ!CK22"")"),19590)</f>
        <v>19590</v>
      </c>
      <c r="M178" s="568">
        <f ca="1">IFERROR(__xludf.DUMMYFUNCTION("IMPORTRANGE(""https://docs.google.com/spreadsheets/d/1-uDff_7J0KD5mKrp0Vvzr7lt3OU09vwQwhkpOPPYv2Y/edit?usp=sharing"",""งบพรบ!CP22"")"),31390)</f>
        <v>31390</v>
      </c>
      <c r="N178" s="568">
        <f ca="1">IFERROR(__xludf.DUMMYFUNCTION("IMPORTRANGE(""https://docs.google.com/spreadsheets/d/1-uDff_7J0KD5mKrp0Vvzr7lt3OU09vwQwhkpOPPYv2Y/edit?usp=sharing"",""งบพรบ!CR22"")"),30070)</f>
        <v>30070</v>
      </c>
      <c r="O178" s="568">
        <f t="shared" ca="1" si="119"/>
        <v>153.49668198060235</v>
      </c>
      <c r="P178" s="568">
        <f t="shared" ca="1" si="120"/>
        <v>95.794839120739084</v>
      </c>
      <c r="Q178" s="568">
        <f ca="1">IFERROR(__xludf.DUMMYFUNCTION("IMPORTRANGE(""https://docs.google.com/spreadsheets/d/1ItG2mGa2ceCfYo0BwxsXqNm01IGEUdYcSSLTEv9YCik/edit?usp=sharing"",""เบิกจ่ายกองทุน!DG22"")"),0)</f>
        <v>0</v>
      </c>
      <c r="R178" s="568">
        <f ca="1">IFERROR(__xludf.DUMMYFUNCTION("IMPORTRANGE(""https://docs.google.com/spreadsheets/d/1ItG2mGa2ceCfYo0BwxsXqNm01IGEUdYcSSLTEv9YCik/edit?usp=sharing"",""เบิกจ่ายกองทุน!DH22"")"),0)</f>
        <v>0</v>
      </c>
      <c r="S178" s="568">
        <f ca="1">IFERROR(__xludf.DUMMYFUNCTION("IMPORTRANGE(""https://docs.google.com/spreadsheets/d/1ItG2mGa2ceCfYo0BwxsXqNm01IGEUdYcSSLTEv9YCik/edit?usp=sharing"",""เบิกจ่ายกองทุน!DI22"")"),0)</f>
        <v>0</v>
      </c>
      <c r="T178" s="568">
        <f t="shared" ca="1" si="122"/>
        <v>0</v>
      </c>
      <c r="U178" s="568">
        <f t="shared" ca="1" si="123"/>
        <v>0</v>
      </c>
    </row>
    <row r="179" spans="1:21" ht="18.75" x14ac:dyDescent="0.25">
      <c r="A179" s="674"/>
      <c r="B179" s="561"/>
      <c r="C179" s="561"/>
      <c r="D179" s="562" t="s">
        <v>23</v>
      </c>
      <c r="E179" s="561"/>
      <c r="F179" s="561"/>
      <c r="G179" s="563"/>
      <c r="H179" s="686" t="s">
        <v>14</v>
      </c>
      <c r="I179" s="683"/>
      <c r="J179" s="683"/>
      <c r="K179" s="684"/>
      <c r="L179" s="567">
        <f t="shared" ref="L179:N179" ca="1" si="128">L180+L181</f>
        <v>0</v>
      </c>
      <c r="M179" s="568">
        <f t="shared" ca="1" si="128"/>
        <v>0</v>
      </c>
      <c r="N179" s="568">
        <f t="shared" ca="1" si="128"/>
        <v>0</v>
      </c>
      <c r="O179" s="568">
        <f t="shared" ca="1" si="119"/>
        <v>0</v>
      </c>
      <c r="P179" s="568">
        <f t="shared" ca="1" si="120"/>
        <v>0</v>
      </c>
      <c r="Q179" s="568">
        <f t="shared" ref="Q179:S179" si="129">Q180+Q181</f>
        <v>0</v>
      </c>
      <c r="R179" s="568">
        <f t="shared" si="129"/>
        <v>0</v>
      </c>
      <c r="S179" s="568">
        <f t="shared" si="129"/>
        <v>0</v>
      </c>
      <c r="T179" s="568">
        <f t="shared" si="122"/>
        <v>0</v>
      </c>
      <c r="U179" s="568">
        <f t="shared" si="123"/>
        <v>0</v>
      </c>
    </row>
    <row r="180" spans="1:21" ht="18.75" x14ac:dyDescent="0.25">
      <c r="A180" s="674"/>
      <c r="B180" s="561"/>
      <c r="C180" s="561"/>
      <c r="D180" s="561"/>
      <c r="E180" s="569" t="s">
        <v>20</v>
      </c>
      <c r="F180" s="561"/>
      <c r="G180" s="563"/>
      <c r="H180" s="685" t="s">
        <v>14</v>
      </c>
      <c r="I180" s="683"/>
      <c r="J180" s="683"/>
      <c r="K180" s="684"/>
      <c r="L180" s="571">
        <v>0</v>
      </c>
      <c r="M180" s="572">
        <v>0</v>
      </c>
      <c r="N180" s="572">
        <v>0</v>
      </c>
      <c r="O180" s="572">
        <f t="shared" si="119"/>
        <v>0</v>
      </c>
      <c r="P180" s="572">
        <f t="shared" si="120"/>
        <v>0</v>
      </c>
      <c r="Q180" s="572">
        <v>0</v>
      </c>
      <c r="R180" s="572">
        <v>0</v>
      </c>
      <c r="S180" s="572">
        <v>0</v>
      </c>
      <c r="T180" s="572">
        <f t="shared" si="122"/>
        <v>0</v>
      </c>
      <c r="U180" s="572">
        <f t="shared" si="123"/>
        <v>0</v>
      </c>
    </row>
    <row r="181" spans="1:21" ht="18.75" x14ac:dyDescent="0.25">
      <c r="A181" s="674"/>
      <c r="B181" s="561"/>
      <c r="C181" s="561"/>
      <c r="D181" s="561"/>
      <c r="E181" s="573" t="s">
        <v>21</v>
      </c>
      <c r="F181" s="561"/>
      <c r="G181" s="563"/>
      <c r="H181" s="686" t="s">
        <v>14</v>
      </c>
      <c r="I181" s="683"/>
      <c r="J181" s="683"/>
      <c r="K181" s="684"/>
      <c r="L181" s="567">
        <f ca="1">IFERROR(__xludf.DUMMYFUNCTION("IMPORTRANGE(""https://docs.google.com/spreadsheets/d/1-uDff_7J0KD5mKrp0Vvzr7lt3OU09vwQwhkpOPPYv2Y/edit?usp=sharing"",""งบพรบ!CN22"")"),0)</f>
        <v>0</v>
      </c>
      <c r="M181" s="568">
        <f ca="1">IFERROR(__xludf.DUMMYFUNCTION("IMPORTRANGE(""https://docs.google.com/spreadsheets/d/1-uDff_7J0KD5mKrp0Vvzr7lt3OU09vwQwhkpOPPYv2Y/edit?usp=sharing"",""งบพรบ!CQ22"")"),0)</f>
        <v>0</v>
      </c>
      <c r="N181" s="568">
        <f ca="1">IFERROR(__xludf.DUMMYFUNCTION("IMPORTRANGE(""https://docs.google.com/spreadsheets/d/1-uDff_7J0KD5mKrp0Vvzr7lt3OU09vwQwhkpOPPYv2Y/edit?usp=sharing"",""งบพรบ!CS22"")"),0)</f>
        <v>0</v>
      </c>
      <c r="O181" s="568">
        <f t="shared" ca="1" si="119"/>
        <v>0</v>
      </c>
      <c r="P181" s="568">
        <f t="shared" ca="1" si="120"/>
        <v>0</v>
      </c>
      <c r="Q181" s="568">
        <v>0</v>
      </c>
      <c r="R181" s="568">
        <v>0</v>
      </c>
      <c r="S181" s="568">
        <v>0</v>
      </c>
      <c r="T181" s="568">
        <f t="shared" si="122"/>
        <v>0</v>
      </c>
      <c r="U181" s="568">
        <f t="shared" si="123"/>
        <v>0</v>
      </c>
    </row>
    <row r="182" spans="1:21" ht="19.5" x14ac:dyDescent="0.3">
      <c r="A182" s="687"/>
      <c r="B182" s="688"/>
      <c r="C182" s="675" t="s">
        <v>18</v>
      </c>
      <c r="D182" s="689" t="s">
        <v>38</v>
      </c>
      <c r="E182" s="690"/>
      <c r="F182" s="690"/>
      <c r="G182" s="691"/>
      <c r="H182" s="725"/>
      <c r="I182" s="565"/>
      <c r="J182" s="565"/>
      <c r="K182" s="566"/>
      <c r="L182" s="574"/>
      <c r="M182" s="566"/>
      <c r="N182" s="566"/>
      <c r="O182" s="566"/>
      <c r="P182" s="566"/>
      <c r="Q182" s="566"/>
      <c r="R182" s="566"/>
      <c r="S182" s="566"/>
      <c r="T182" s="566"/>
      <c r="U182" s="566"/>
    </row>
    <row r="183" spans="1:21" ht="18.75" x14ac:dyDescent="0.25">
      <c r="A183" s="764"/>
      <c r="B183" s="561"/>
      <c r="C183" s="718"/>
      <c r="D183" s="765" t="s">
        <v>75</v>
      </c>
      <c r="E183" s="561"/>
      <c r="F183" s="561"/>
      <c r="G183" s="563"/>
      <c r="H183" s="766" t="s">
        <v>35</v>
      </c>
      <c r="I183" s="708">
        <f ca="1">IFERROR(__xludf.DUMMYFUNCTION("IMPORTRANGE(""https://docs.google.com/spreadsheets/d/1eHaY18a8A9IcSdp1K8H6x8fbOy06t2VsZHhMHf-1x7Y/edit?usp=sharing"",""แผน!AA22"")"),7)</f>
        <v>7</v>
      </c>
      <c r="J183" s="702">
        <v>7</v>
      </c>
      <c r="K183" s="568">
        <f t="shared" ref="K183:K185" ca="1" si="130">IF(I183&gt;0,J183*100/I183,0)</f>
        <v>100</v>
      </c>
      <c r="L183" s="574"/>
      <c r="M183" s="566"/>
      <c r="N183" s="566"/>
      <c r="O183" s="566"/>
      <c r="P183" s="566"/>
      <c r="Q183" s="566"/>
      <c r="R183" s="566"/>
      <c r="S183" s="566"/>
      <c r="T183" s="566"/>
      <c r="U183" s="566"/>
    </row>
    <row r="184" spans="1:21" ht="18.75" x14ac:dyDescent="0.25">
      <c r="A184" s="764"/>
      <c r="B184" s="718"/>
      <c r="C184" s="718"/>
      <c r="D184" s="767" t="s">
        <v>76</v>
      </c>
      <c r="E184" s="561"/>
      <c r="F184" s="561"/>
      <c r="G184" s="563"/>
      <c r="H184" s="768" t="s">
        <v>35</v>
      </c>
      <c r="I184" s="735">
        <v>0</v>
      </c>
      <c r="J184" s="735">
        <v>0</v>
      </c>
      <c r="K184" s="572">
        <f t="shared" si="130"/>
        <v>0</v>
      </c>
      <c r="L184" s="574"/>
      <c r="M184" s="566"/>
      <c r="N184" s="566"/>
      <c r="O184" s="566"/>
      <c r="P184" s="566"/>
      <c r="Q184" s="566"/>
      <c r="R184" s="566"/>
      <c r="S184" s="566"/>
      <c r="T184" s="566"/>
      <c r="U184" s="566"/>
    </row>
    <row r="185" spans="1:21" ht="19.5" x14ac:dyDescent="0.3">
      <c r="A185" s="756"/>
      <c r="B185" s="757" t="s">
        <v>77</v>
      </c>
      <c r="C185" s="758"/>
      <c r="D185" s="690"/>
      <c r="E185" s="690"/>
      <c r="F185" s="690"/>
      <c r="G185" s="691"/>
      <c r="H185" s="759" t="s">
        <v>35</v>
      </c>
      <c r="I185" s="760">
        <f t="shared" ref="I185:J185" ca="1" si="131">I230+I231</f>
        <v>0</v>
      </c>
      <c r="J185" s="760">
        <f t="shared" si="131"/>
        <v>0</v>
      </c>
      <c r="K185" s="761">
        <f t="shared" ca="1" si="130"/>
        <v>0</v>
      </c>
      <c r="L185" s="762"/>
      <c r="M185" s="763"/>
      <c r="N185" s="763"/>
      <c r="O185" s="763"/>
      <c r="P185" s="763"/>
      <c r="Q185" s="763"/>
      <c r="R185" s="763"/>
      <c r="S185" s="763"/>
      <c r="T185" s="763"/>
      <c r="U185" s="763"/>
    </row>
    <row r="186" spans="1:21" ht="19.5" x14ac:dyDescent="0.3">
      <c r="A186" s="674"/>
      <c r="B186" s="561"/>
      <c r="C186" s="675" t="s">
        <v>18</v>
      </c>
      <c r="D186" s="676" t="s">
        <v>19</v>
      </c>
      <c r="E186" s="561"/>
      <c r="F186" s="561"/>
      <c r="G186" s="563"/>
      <c r="H186" s="677" t="s">
        <v>14</v>
      </c>
      <c r="I186" s="565"/>
      <c r="J186" s="565"/>
      <c r="K186" s="566"/>
      <c r="L186" s="678">
        <f t="shared" ref="L186:N186" ca="1" si="132">L187+L188</f>
        <v>211500</v>
      </c>
      <c r="M186" s="679">
        <f t="shared" ca="1" si="132"/>
        <v>217200</v>
      </c>
      <c r="N186" s="679">
        <f t="shared" ca="1" si="132"/>
        <v>171353.02</v>
      </c>
      <c r="O186" s="679">
        <f t="shared" ref="O186:O194" ca="1" si="133">IF(L186&gt;0,N186*100/L186,0)</f>
        <v>81.017976359338064</v>
      </c>
      <c r="P186" s="679">
        <f t="shared" ref="P186:P194" ca="1" si="134">IF(M186&gt;0,N186*100/M186,0)</f>
        <v>78.891813996316756</v>
      </c>
      <c r="Q186" s="679">
        <f t="shared" ref="Q186:S186" ca="1" si="135">Q187+Q188</f>
        <v>42000</v>
      </c>
      <c r="R186" s="679">
        <f t="shared" ca="1" si="135"/>
        <v>42000</v>
      </c>
      <c r="S186" s="679">
        <f t="shared" ca="1" si="135"/>
        <v>0</v>
      </c>
      <c r="T186" s="679">
        <f t="shared" ref="T186:T194" ca="1" si="136">IF(Q186&gt;0,S186*100/Q186,0)</f>
        <v>0</v>
      </c>
      <c r="U186" s="679">
        <f t="shared" ref="U186:U194" ca="1" si="137">IF(R186&gt;0,S186*100/R186,0)</f>
        <v>0</v>
      </c>
    </row>
    <row r="187" spans="1:21" ht="18.75" x14ac:dyDescent="0.25">
      <c r="A187" s="674"/>
      <c r="B187" s="561"/>
      <c r="C187" s="561"/>
      <c r="D187" s="561"/>
      <c r="E187" s="569" t="s">
        <v>20</v>
      </c>
      <c r="F187" s="561"/>
      <c r="G187" s="563"/>
      <c r="H187" s="680" t="s">
        <v>14</v>
      </c>
      <c r="I187" s="565"/>
      <c r="J187" s="565"/>
      <c r="K187" s="566"/>
      <c r="L187" s="571">
        <f t="shared" ref="L187:N188" si="138">L190+L193</f>
        <v>0</v>
      </c>
      <c r="M187" s="572">
        <f t="shared" si="138"/>
        <v>0</v>
      </c>
      <c r="N187" s="572">
        <f t="shared" si="138"/>
        <v>0</v>
      </c>
      <c r="O187" s="572">
        <f t="shared" si="133"/>
        <v>0</v>
      </c>
      <c r="P187" s="572">
        <f t="shared" si="134"/>
        <v>0</v>
      </c>
      <c r="Q187" s="572">
        <f t="shared" ref="Q187:S188" si="139">Q190+Q193</f>
        <v>0</v>
      </c>
      <c r="R187" s="572">
        <f t="shared" si="139"/>
        <v>0</v>
      </c>
      <c r="S187" s="572">
        <f t="shared" si="139"/>
        <v>0</v>
      </c>
      <c r="T187" s="572">
        <f t="shared" si="136"/>
        <v>0</v>
      </c>
      <c r="U187" s="572">
        <f t="shared" si="137"/>
        <v>0</v>
      </c>
    </row>
    <row r="188" spans="1:21" ht="18.75" x14ac:dyDescent="0.25">
      <c r="A188" s="674"/>
      <c r="B188" s="561"/>
      <c r="C188" s="561"/>
      <c r="D188" s="561"/>
      <c r="E188" s="573" t="s">
        <v>21</v>
      </c>
      <c r="F188" s="561"/>
      <c r="G188" s="563"/>
      <c r="H188" s="681" t="s">
        <v>14</v>
      </c>
      <c r="I188" s="565"/>
      <c r="J188" s="565"/>
      <c r="K188" s="566"/>
      <c r="L188" s="567">
        <f t="shared" ca="1" si="138"/>
        <v>211500</v>
      </c>
      <c r="M188" s="568">
        <f t="shared" ca="1" si="138"/>
        <v>217200</v>
      </c>
      <c r="N188" s="568">
        <f t="shared" ca="1" si="138"/>
        <v>171353.02</v>
      </c>
      <c r="O188" s="568">
        <f t="shared" ca="1" si="133"/>
        <v>81.017976359338064</v>
      </c>
      <c r="P188" s="568">
        <f t="shared" ca="1" si="134"/>
        <v>78.891813996316756</v>
      </c>
      <c r="Q188" s="568">
        <f t="shared" ca="1" si="139"/>
        <v>42000</v>
      </c>
      <c r="R188" s="568">
        <f t="shared" ca="1" si="139"/>
        <v>42000</v>
      </c>
      <c r="S188" s="568">
        <f t="shared" ca="1" si="139"/>
        <v>0</v>
      </c>
      <c r="T188" s="568">
        <f t="shared" ca="1" si="136"/>
        <v>0</v>
      </c>
      <c r="U188" s="568">
        <f t="shared" ca="1" si="137"/>
        <v>0</v>
      </c>
    </row>
    <row r="189" spans="1:21" ht="18.75" x14ac:dyDescent="0.25">
      <c r="A189" s="674"/>
      <c r="B189" s="561"/>
      <c r="C189" s="561"/>
      <c r="D189" s="562" t="s">
        <v>22</v>
      </c>
      <c r="E189" s="561"/>
      <c r="F189" s="561"/>
      <c r="G189" s="563"/>
      <c r="H189" s="682" t="s">
        <v>14</v>
      </c>
      <c r="I189" s="683"/>
      <c r="J189" s="683"/>
      <c r="K189" s="684"/>
      <c r="L189" s="567">
        <f t="shared" ref="L189:N189" ca="1" si="140">L190+L191</f>
        <v>211500</v>
      </c>
      <c r="M189" s="568">
        <f t="shared" ca="1" si="140"/>
        <v>217200</v>
      </c>
      <c r="N189" s="568">
        <f t="shared" ca="1" si="140"/>
        <v>171353.02</v>
      </c>
      <c r="O189" s="568">
        <f t="shared" ca="1" si="133"/>
        <v>81.017976359338064</v>
      </c>
      <c r="P189" s="568">
        <f t="shared" ca="1" si="134"/>
        <v>78.891813996316756</v>
      </c>
      <c r="Q189" s="568">
        <f t="shared" ref="Q189:S189" ca="1" si="141">Q190+Q191</f>
        <v>42000</v>
      </c>
      <c r="R189" s="568">
        <f t="shared" ca="1" si="141"/>
        <v>42000</v>
      </c>
      <c r="S189" s="568">
        <f t="shared" ca="1" si="141"/>
        <v>0</v>
      </c>
      <c r="T189" s="568">
        <f t="shared" ca="1" si="136"/>
        <v>0</v>
      </c>
      <c r="U189" s="568">
        <f t="shared" ca="1" si="137"/>
        <v>0</v>
      </c>
    </row>
    <row r="190" spans="1:21" ht="18.75" x14ac:dyDescent="0.25">
      <c r="A190" s="674"/>
      <c r="B190" s="561"/>
      <c r="C190" s="561"/>
      <c r="D190" s="561"/>
      <c r="E190" s="569" t="s">
        <v>36</v>
      </c>
      <c r="F190" s="561"/>
      <c r="G190" s="563"/>
      <c r="H190" s="685" t="s">
        <v>14</v>
      </c>
      <c r="I190" s="683"/>
      <c r="J190" s="683"/>
      <c r="K190" s="684"/>
      <c r="L190" s="571">
        <v>0</v>
      </c>
      <c r="M190" s="572">
        <v>0</v>
      </c>
      <c r="N190" s="572">
        <v>0</v>
      </c>
      <c r="O190" s="572">
        <f t="shared" si="133"/>
        <v>0</v>
      </c>
      <c r="P190" s="572">
        <f t="shared" si="134"/>
        <v>0</v>
      </c>
      <c r="Q190" s="572">
        <v>0</v>
      </c>
      <c r="R190" s="572">
        <v>0</v>
      </c>
      <c r="S190" s="572">
        <v>0</v>
      </c>
      <c r="T190" s="572">
        <f t="shared" si="136"/>
        <v>0</v>
      </c>
      <c r="U190" s="572">
        <f t="shared" si="137"/>
        <v>0</v>
      </c>
    </row>
    <row r="191" spans="1:21" ht="18.75" x14ac:dyDescent="0.25">
      <c r="A191" s="674"/>
      <c r="B191" s="561"/>
      <c r="C191" s="561"/>
      <c r="D191" s="561"/>
      <c r="E191" s="573" t="s">
        <v>37</v>
      </c>
      <c r="F191" s="561"/>
      <c r="G191" s="563"/>
      <c r="H191" s="682" t="s">
        <v>14</v>
      </c>
      <c r="I191" s="683"/>
      <c r="J191" s="683"/>
      <c r="K191" s="684"/>
      <c r="L191" s="567">
        <f ca="1">IFERROR(__xludf.DUMMYFUNCTION("IMPORTRANGE(""https://docs.google.com/spreadsheets/d/1-uDff_7J0KD5mKrp0Vvzr7lt3OU09vwQwhkpOPPYv2Y/edit?usp=sharing"",""งบพรบ!CU22"")"),211500)</f>
        <v>211500</v>
      </c>
      <c r="M191" s="568">
        <f ca="1">IFERROR(__xludf.DUMMYFUNCTION("IMPORTRANGE(""https://docs.google.com/spreadsheets/d/1-uDff_7J0KD5mKrp0Vvzr7lt3OU09vwQwhkpOPPYv2Y/edit?usp=sharing"",""งบพรบ!CZ22"")"),217200)</f>
        <v>217200</v>
      </c>
      <c r="N191" s="568">
        <f ca="1">IFERROR(__xludf.DUMMYFUNCTION("IMPORTRANGE(""https://docs.google.com/spreadsheets/d/1-uDff_7J0KD5mKrp0Vvzr7lt3OU09vwQwhkpOPPYv2Y/edit?usp=sharing"",""งบพรบ!DB22"")"),171353.02)</f>
        <v>171353.02</v>
      </c>
      <c r="O191" s="568">
        <f t="shared" ca="1" si="133"/>
        <v>81.017976359338064</v>
      </c>
      <c r="P191" s="568">
        <f t="shared" ca="1" si="134"/>
        <v>78.891813996316756</v>
      </c>
      <c r="Q191" s="568">
        <f ca="1">IFERROR(__xludf.DUMMYFUNCTION("IMPORTRANGE(""https://docs.google.com/spreadsheets/d/1ItG2mGa2ceCfYo0BwxsXqNm01IGEUdYcSSLTEv9YCik/edit?usp=sharing"",""เบิกจ่ายกองทุน!BQ22"")"),42000)</f>
        <v>42000</v>
      </c>
      <c r="R191" s="568">
        <f ca="1">IFERROR(__xludf.DUMMYFUNCTION("IMPORTRANGE(""https://docs.google.com/spreadsheets/d/1ItG2mGa2ceCfYo0BwxsXqNm01IGEUdYcSSLTEv9YCik/edit?usp=sharing"",""เบิกจ่ายกองทุน!BR22"")"),42000)</f>
        <v>42000</v>
      </c>
      <c r="S191" s="568">
        <f ca="1">IFERROR(__xludf.DUMMYFUNCTION("IMPORTRANGE(""https://docs.google.com/spreadsheets/d/1ItG2mGa2ceCfYo0BwxsXqNm01IGEUdYcSSLTEv9YCik/edit?usp=sharing"",""เบิกจ่ายกองทุน!BS22"")"),0)</f>
        <v>0</v>
      </c>
      <c r="T191" s="568">
        <f t="shared" ca="1" si="136"/>
        <v>0</v>
      </c>
      <c r="U191" s="568">
        <f t="shared" ca="1" si="137"/>
        <v>0</v>
      </c>
    </row>
    <row r="192" spans="1:21" ht="18.75" x14ac:dyDescent="0.25">
      <c r="A192" s="674"/>
      <c r="B192" s="561"/>
      <c r="C192" s="561"/>
      <c r="D192" s="562" t="s">
        <v>23</v>
      </c>
      <c r="E192" s="561"/>
      <c r="F192" s="561"/>
      <c r="G192" s="563"/>
      <c r="H192" s="686" t="s">
        <v>14</v>
      </c>
      <c r="I192" s="683"/>
      <c r="J192" s="683"/>
      <c r="K192" s="684"/>
      <c r="L192" s="567">
        <f t="shared" ref="L192:N192" ca="1" si="142">L193+L194</f>
        <v>0</v>
      </c>
      <c r="M192" s="568">
        <f t="shared" ca="1" si="142"/>
        <v>0</v>
      </c>
      <c r="N192" s="568">
        <f t="shared" ca="1" si="142"/>
        <v>0</v>
      </c>
      <c r="O192" s="568">
        <f t="shared" ca="1" si="133"/>
        <v>0</v>
      </c>
      <c r="P192" s="568">
        <f t="shared" ca="1" si="134"/>
        <v>0</v>
      </c>
      <c r="Q192" s="568">
        <f t="shared" ref="Q192:S192" ca="1" si="143">Q193+Q194</f>
        <v>0</v>
      </c>
      <c r="R192" s="568">
        <f t="shared" ca="1" si="143"/>
        <v>0</v>
      </c>
      <c r="S192" s="568">
        <f t="shared" ca="1" si="143"/>
        <v>0</v>
      </c>
      <c r="T192" s="568">
        <f t="shared" ca="1" si="136"/>
        <v>0</v>
      </c>
      <c r="U192" s="568">
        <f t="shared" ca="1" si="137"/>
        <v>0</v>
      </c>
    </row>
    <row r="193" spans="1:21" ht="18.75" x14ac:dyDescent="0.25">
      <c r="A193" s="674"/>
      <c r="B193" s="561"/>
      <c r="C193" s="561"/>
      <c r="D193" s="561"/>
      <c r="E193" s="569" t="s">
        <v>20</v>
      </c>
      <c r="F193" s="561"/>
      <c r="G193" s="563"/>
      <c r="H193" s="685" t="s">
        <v>14</v>
      </c>
      <c r="I193" s="683"/>
      <c r="J193" s="683"/>
      <c r="K193" s="684"/>
      <c r="L193" s="571">
        <v>0</v>
      </c>
      <c r="M193" s="572">
        <v>0</v>
      </c>
      <c r="N193" s="572">
        <v>0</v>
      </c>
      <c r="O193" s="572">
        <f t="shared" si="133"/>
        <v>0</v>
      </c>
      <c r="P193" s="572">
        <f t="shared" si="134"/>
        <v>0</v>
      </c>
      <c r="Q193" s="572">
        <v>0</v>
      </c>
      <c r="R193" s="572">
        <v>0</v>
      </c>
      <c r="S193" s="572">
        <v>0</v>
      </c>
      <c r="T193" s="572">
        <f t="shared" si="136"/>
        <v>0</v>
      </c>
      <c r="U193" s="572">
        <f t="shared" si="137"/>
        <v>0</v>
      </c>
    </row>
    <row r="194" spans="1:21" ht="18.75" x14ac:dyDescent="0.25">
      <c r="A194" s="674"/>
      <c r="B194" s="561"/>
      <c r="C194" s="561"/>
      <c r="D194" s="561"/>
      <c r="E194" s="573" t="s">
        <v>21</v>
      </c>
      <c r="F194" s="561"/>
      <c r="G194" s="563"/>
      <c r="H194" s="686" t="s">
        <v>14</v>
      </c>
      <c r="I194" s="683"/>
      <c r="J194" s="683"/>
      <c r="K194" s="684"/>
      <c r="L194" s="567">
        <f ca="1">IFERROR(__xludf.DUMMYFUNCTION("IMPORTRANGE(""https://docs.google.com/spreadsheets/d/1-uDff_7J0KD5mKrp0Vvzr7lt3OU09vwQwhkpOPPYv2Y/edit?usp=sharing"",""งบพรบ!CX22"")"),0)</f>
        <v>0</v>
      </c>
      <c r="M194" s="568">
        <f ca="1">IFERROR(__xludf.DUMMYFUNCTION("IMPORTRANGE(""https://docs.google.com/spreadsheets/d/1-uDff_7J0KD5mKrp0Vvzr7lt3OU09vwQwhkpOPPYv2Y/edit?usp=sharing"",""งบพรบ!DA22"")"),0)</f>
        <v>0</v>
      </c>
      <c r="N194" s="568">
        <f ca="1">IFERROR(__xludf.DUMMYFUNCTION("IMPORTRANGE(""https://docs.google.com/spreadsheets/d/1-uDff_7J0KD5mKrp0Vvzr7lt3OU09vwQwhkpOPPYv2Y/edit?usp=sharing"",""งบพรบ!DC22"")"),0)</f>
        <v>0</v>
      </c>
      <c r="O194" s="568">
        <f t="shared" ca="1" si="133"/>
        <v>0</v>
      </c>
      <c r="P194" s="568">
        <f t="shared" ca="1" si="134"/>
        <v>0</v>
      </c>
      <c r="Q194" s="568">
        <f ca="1">IFERROR(__xludf.DUMMYFUNCTION("IMPORTRANGE(""https://docs.google.com/spreadsheets/d/1ItG2mGa2ceCfYo0BwxsXqNm01IGEUdYcSSLTEv9YCik/edit?usp=sharing"",""เบิกจ่ายกองทุน!BT22"")"),0)</f>
        <v>0</v>
      </c>
      <c r="R194" s="568">
        <f ca="1">IFERROR(__xludf.DUMMYFUNCTION("IMPORTRANGE(""https://docs.google.com/spreadsheets/d/1ItG2mGa2ceCfYo0BwxsXqNm01IGEUdYcSSLTEv9YCik/edit?usp=sharing"",""เบิกจ่ายกองทุน!BU22"")"),0)</f>
        <v>0</v>
      </c>
      <c r="S194" s="568">
        <f ca="1">IFERROR(__xludf.DUMMYFUNCTION("IMPORTRANGE(""https://docs.google.com/spreadsheets/d/1ItG2mGa2ceCfYo0BwxsXqNm01IGEUdYcSSLTEv9YCik/edit?usp=sharing"",""เบิกจ่ายกองทุน!BV22"")"),0)</f>
        <v>0</v>
      </c>
      <c r="T194" s="568">
        <f t="shared" ca="1" si="136"/>
        <v>0</v>
      </c>
      <c r="U194" s="568">
        <f t="shared" ca="1" si="137"/>
        <v>0</v>
      </c>
    </row>
    <row r="195" spans="1:21" ht="19.5" x14ac:dyDescent="0.3">
      <c r="A195" s="769"/>
      <c r="B195" s="770"/>
      <c r="C195" s="771" t="s">
        <v>78</v>
      </c>
      <c r="D195" s="772"/>
      <c r="E195" s="772"/>
      <c r="F195" s="772"/>
      <c r="G195" s="773"/>
      <c r="H195" s="774" t="s">
        <v>79</v>
      </c>
      <c r="I195" s="775">
        <f t="shared" ref="I195:J195" ca="1" si="144">I198</f>
        <v>4</v>
      </c>
      <c r="J195" s="775">
        <f t="shared" si="144"/>
        <v>0</v>
      </c>
      <c r="K195" s="776">
        <f ca="1">IF(I195&gt;0,J195*100/I195,0)</f>
        <v>0</v>
      </c>
      <c r="L195" s="777"/>
      <c r="M195" s="778"/>
      <c r="N195" s="778"/>
      <c r="O195" s="778"/>
      <c r="P195" s="778"/>
      <c r="Q195" s="778"/>
      <c r="R195" s="778"/>
      <c r="S195" s="778"/>
      <c r="T195" s="778"/>
      <c r="U195" s="778"/>
    </row>
    <row r="196" spans="1:21" ht="19.5" x14ac:dyDescent="0.3">
      <c r="A196" s="674"/>
      <c r="B196" s="561"/>
      <c r="C196" s="675" t="s">
        <v>18</v>
      </c>
      <c r="D196" s="779" t="s">
        <v>19</v>
      </c>
      <c r="E196" s="561"/>
      <c r="F196" s="561"/>
      <c r="G196" s="563"/>
      <c r="H196" s="780" t="s">
        <v>14</v>
      </c>
      <c r="I196" s="565"/>
      <c r="J196" s="565"/>
      <c r="K196" s="566"/>
      <c r="L196" s="678">
        <f ca="1">IFERROR(__xludf.DUMMYFUNCTION("IMPORTRANGE(""https://docs.google.com/spreadsheets/d/1eHaY18a8A9IcSdp1K8H6x8fbOy06t2VsZHhMHf-1x7Y/edit?usp=sharing"",""แผน!AB22"")"),6000)</f>
        <v>6000</v>
      </c>
      <c r="M196" s="566"/>
      <c r="N196" s="781">
        <v>0</v>
      </c>
      <c r="O196" s="679">
        <f ca="1">IF(L196&gt;0,N196*100/L196,0)</f>
        <v>0</v>
      </c>
      <c r="P196" s="679">
        <f>IF(M196&gt;0,N196*100/M196,0)</f>
        <v>0</v>
      </c>
      <c r="Q196" s="566"/>
      <c r="R196" s="566"/>
      <c r="S196" s="566"/>
      <c r="T196" s="566"/>
      <c r="U196" s="566"/>
    </row>
    <row r="197" spans="1:21" ht="19.5" x14ac:dyDescent="0.3">
      <c r="A197" s="687"/>
      <c r="B197" s="688"/>
      <c r="C197" s="675" t="s">
        <v>18</v>
      </c>
      <c r="D197" s="689" t="s">
        <v>38</v>
      </c>
      <c r="E197" s="690"/>
      <c r="F197" s="690"/>
      <c r="G197" s="691"/>
      <c r="H197" s="692"/>
      <c r="I197" s="565"/>
      <c r="J197" s="565"/>
      <c r="K197" s="566"/>
      <c r="L197" s="574"/>
      <c r="M197" s="566"/>
      <c r="N197" s="566"/>
      <c r="O197" s="566"/>
      <c r="P197" s="566"/>
      <c r="Q197" s="566"/>
      <c r="R197" s="566"/>
      <c r="S197" s="566"/>
      <c r="T197" s="566"/>
      <c r="U197" s="566"/>
    </row>
    <row r="198" spans="1:21" ht="18.75" x14ac:dyDescent="0.25">
      <c r="A198" s="687"/>
      <c r="B198" s="688"/>
      <c r="C198" s="688"/>
      <c r="D198" s="699" t="s">
        <v>80</v>
      </c>
      <c r="E198" s="695"/>
      <c r="F198" s="695"/>
      <c r="G198" s="692"/>
      <c r="H198" s="700" t="s">
        <v>79</v>
      </c>
      <c r="I198" s="708">
        <f ca="1">IFERROR(__xludf.DUMMYFUNCTION("IMPORTRANGE(""https://docs.google.com/spreadsheets/d/1eHaY18a8A9IcSdp1K8H6x8fbOy06t2VsZHhMHf-1x7Y/edit?usp=sharing"",""แผน!AE22"")"),4)</f>
        <v>4</v>
      </c>
      <c r="J198" s="702">
        <v>0</v>
      </c>
      <c r="K198" s="568">
        <f ca="1">IF(I198&gt;0,J198*100/I198,0)</f>
        <v>0</v>
      </c>
      <c r="L198" s="574"/>
      <c r="M198" s="566"/>
      <c r="N198" s="566"/>
      <c r="O198" s="566"/>
      <c r="P198" s="566"/>
      <c r="Q198" s="566"/>
      <c r="R198" s="566"/>
      <c r="S198" s="566"/>
      <c r="T198" s="566"/>
      <c r="U198" s="566"/>
    </row>
    <row r="199" spans="1:21" ht="18.75" x14ac:dyDescent="0.25">
      <c r="A199" s="687"/>
      <c r="B199" s="688"/>
      <c r="C199" s="688"/>
      <c r="D199" s="699" t="s">
        <v>81</v>
      </c>
      <c r="E199" s="695"/>
      <c r="F199" s="695"/>
      <c r="G199" s="692"/>
      <c r="H199" s="766" t="s">
        <v>35</v>
      </c>
      <c r="I199" s="565"/>
      <c r="J199" s="708">
        <f>J200+J201</f>
        <v>0</v>
      </c>
      <c r="K199" s="566"/>
      <c r="L199" s="574"/>
      <c r="M199" s="566"/>
      <c r="N199" s="566"/>
      <c r="O199" s="566"/>
      <c r="P199" s="566"/>
      <c r="Q199" s="566"/>
      <c r="R199" s="566"/>
      <c r="S199" s="566"/>
      <c r="T199" s="566"/>
      <c r="U199" s="566"/>
    </row>
    <row r="200" spans="1:21" ht="18.75" x14ac:dyDescent="0.25">
      <c r="A200" s="687"/>
      <c r="B200" s="688"/>
      <c r="C200" s="688"/>
      <c r="D200" s="688"/>
      <c r="E200" s="699" t="s">
        <v>82</v>
      </c>
      <c r="F200" s="695"/>
      <c r="G200" s="692"/>
      <c r="H200" s="766" t="s">
        <v>35</v>
      </c>
      <c r="I200" s="565"/>
      <c r="J200" s="702">
        <v>0</v>
      </c>
      <c r="K200" s="566"/>
      <c r="L200" s="574"/>
      <c r="M200" s="566"/>
      <c r="N200" s="566"/>
      <c r="O200" s="566"/>
      <c r="P200" s="566"/>
      <c r="Q200" s="566"/>
      <c r="R200" s="566"/>
      <c r="S200" s="566"/>
      <c r="T200" s="566"/>
      <c r="U200" s="566"/>
    </row>
    <row r="201" spans="1:21" ht="18.75" x14ac:dyDescent="0.25">
      <c r="A201" s="687"/>
      <c r="B201" s="688"/>
      <c r="C201" s="688"/>
      <c r="D201" s="688"/>
      <c r="E201" s="699" t="s">
        <v>83</v>
      </c>
      <c r="F201" s="695"/>
      <c r="G201" s="692"/>
      <c r="H201" s="766" t="s">
        <v>35</v>
      </c>
      <c r="I201" s="565"/>
      <c r="J201" s="702">
        <v>0</v>
      </c>
      <c r="K201" s="566"/>
      <c r="L201" s="574"/>
      <c r="M201" s="566"/>
      <c r="N201" s="566"/>
      <c r="O201" s="566"/>
      <c r="P201" s="566"/>
      <c r="Q201" s="566"/>
      <c r="R201" s="566"/>
      <c r="S201" s="566"/>
      <c r="T201" s="566"/>
      <c r="U201" s="566"/>
    </row>
    <row r="202" spans="1:21" ht="19.5" x14ac:dyDescent="0.3">
      <c r="A202" s="769"/>
      <c r="B202" s="770"/>
      <c r="C202" s="771" t="s">
        <v>84</v>
      </c>
      <c r="D202" s="772"/>
      <c r="E202" s="772"/>
      <c r="F202" s="772"/>
      <c r="G202" s="773"/>
      <c r="H202" s="782" t="s">
        <v>85</v>
      </c>
      <c r="I202" s="775">
        <f t="shared" ref="I202:J202" ca="1" si="145">I209</f>
        <v>3</v>
      </c>
      <c r="J202" s="775">
        <f t="shared" si="145"/>
        <v>0</v>
      </c>
      <c r="K202" s="776">
        <f ca="1">IF(I202&gt;0,J202*100/I202,0)</f>
        <v>0</v>
      </c>
      <c r="L202" s="777"/>
      <c r="M202" s="778"/>
      <c r="N202" s="778"/>
      <c r="O202" s="778"/>
      <c r="P202" s="778"/>
      <c r="Q202" s="778"/>
      <c r="R202" s="778"/>
      <c r="S202" s="778"/>
      <c r="T202" s="778"/>
      <c r="U202" s="778"/>
    </row>
    <row r="203" spans="1:21" ht="19.5" x14ac:dyDescent="0.3">
      <c r="A203" s="674"/>
      <c r="B203" s="561"/>
      <c r="C203" s="675" t="s">
        <v>18</v>
      </c>
      <c r="D203" s="779" t="s">
        <v>19</v>
      </c>
      <c r="E203" s="561"/>
      <c r="F203" s="561"/>
      <c r="G203" s="563"/>
      <c r="H203" s="780" t="s">
        <v>14</v>
      </c>
      <c r="I203" s="683"/>
      <c r="J203" s="683"/>
      <c r="K203" s="684"/>
      <c r="L203" s="678">
        <f ca="1">L204+L205+L206+L207</f>
        <v>10000</v>
      </c>
      <c r="M203" s="566"/>
      <c r="N203" s="679">
        <f>N204+N205+N206+N207</f>
        <v>0</v>
      </c>
      <c r="O203" s="679">
        <f ca="1">IF(L203&gt;0,N203*100/L203,0)</f>
        <v>0</v>
      </c>
      <c r="P203" s="679">
        <f>IF(M203&gt;0,N203*100/M203,0)</f>
        <v>0</v>
      </c>
      <c r="Q203" s="783">
        <f ca="1">Q204+Q205+Q206+Q207</f>
        <v>42000</v>
      </c>
      <c r="R203" s="784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 x14ac:dyDescent="0.25">
      <c r="A204" s="674"/>
      <c r="B204" s="718"/>
      <c r="C204" s="561"/>
      <c r="D204" s="788" t="s">
        <v>317</v>
      </c>
      <c r="E204" s="561"/>
      <c r="F204" s="561"/>
      <c r="G204" s="563"/>
      <c r="H204" s="682" t="s">
        <v>14</v>
      </c>
      <c r="I204" s="683"/>
      <c r="J204" s="683"/>
      <c r="K204" s="684"/>
      <c r="L204" s="567">
        <f ca="1">IFERROR(__xludf.DUMMYFUNCTION("IMPORTRANGE(""https://docs.google.com/spreadsheets/d/1eHaY18a8A9IcSdp1K8H6x8fbOy06t2VsZHhMHf-1x7Y/edit?usp=sharing"",""แผน!AG22"")"),2000)</f>
        <v>2000</v>
      </c>
      <c r="M204" s="566"/>
      <c r="N204" s="786">
        <v>0</v>
      </c>
      <c r="O204" s="684"/>
      <c r="P204" s="566"/>
      <c r="Q204" s="567">
        <v>0</v>
      </c>
      <c r="R204" s="566"/>
      <c r="S204" s="568">
        <v>0</v>
      </c>
      <c r="T204" s="684"/>
      <c r="U204" s="566"/>
    </row>
    <row r="205" spans="1:21" ht="18.75" x14ac:dyDescent="0.25">
      <c r="A205" s="764"/>
      <c r="B205" s="718"/>
      <c r="C205" s="561"/>
      <c r="D205" s="573" t="s">
        <v>301</v>
      </c>
      <c r="E205" s="561"/>
      <c r="F205" s="561"/>
      <c r="G205" s="563"/>
      <c r="H205" s="564" t="s">
        <v>14</v>
      </c>
      <c r="I205" s="565"/>
      <c r="J205" s="565"/>
      <c r="K205" s="566"/>
      <c r="L205" s="567">
        <f ca="1">IFERROR(__xludf.DUMMYFUNCTION("IMPORTRANGE(""https://docs.google.com/spreadsheets/d/1eHaY18a8A9IcSdp1K8H6x8fbOy06t2VsZHhMHf-1x7Y/edit?usp=sharing"",""แผน!AH22"")"),0)</f>
        <v>0</v>
      </c>
      <c r="M205" s="566"/>
      <c r="N205" s="786">
        <v>0</v>
      </c>
      <c r="O205" s="684"/>
      <c r="P205" s="566"/>
      <c r="Q205" s="567">
        <v>0</v>
      </c>
      <c r="R205" s="566"/>
      <c r="S205" s="568">
        <v>0</v>
      </c>
      <c r="T205" s="684"/>
      <c r="U205" s="566"/>
    </row>
    <row r="206" spans="1:21" ht="18.75" x14ac:dyDescent="0.25">
      <c r="A206" s="764"/>
      <c r="B206" s="718"/>
      <c r="C206" s="561"/>
      <c r="D206" s="573" t="s">
        <v>88</v>
      </c>
      <c r="E206" s="561"/>
      <c r="F206" s="561"/>
      <c r="G206" s="563"/>
      <c r="H206" s="564" t="s">
        <v>14</v>
      </c>
      <c r="I206" s="565"/>
      <c r="J206" s="565"/>
      <c r="K206" s="566"/>
      <c r="L206" s="567">
        <f ca="1">IFERROR(__xludf.DUMMYFUNCTION("IMPORTRANGE(""https://docs.google.com/spreadsheets/d/1eHaY18a8A9IcSdp1K8H6x8fbOy06t2VsZHhMHf-1x7Y/edit?usp=sharing"",""แผน!AI22"")"),0)</f>
        <v>0</v>
      </c>
      <c r="M206" s="566"/>
      <c r="N206" s="786">
        <v>0</v>
      </c>
      <c r="O206" s="684"/>
      <c r="P206" s="566"/>
      <c r="Q206" s="567">
        <f ca="1">IFERROR(__xludf.DUMMYFUNCTION("IMPORTRANGE(""https://docs.google.com/spreadsheets/d/1eHaY18a8A9IcSdp1K8H6x8fbOy06t2VsZHhMHf-1x7Y/edit?usp=sharing"",""แผน!LV22"")"),42000)</f>
        <v>42000</v>
      </c>
      <c r="R206" s="566"/>
      <c r="S206" s="786">
        <v>0</v>
      </c>
      <c r="T206" s="684"/>
      <c r="U206" s="566"/>
    </row>
    <row r="207" spans="1:21" ht="18.75" x14ac:dyDescent="0.25">
      <c r="A207" s="764"/>
      <c r="B207" s="718"/>
      <c r="C207" s="561"/>
      <c r="D207" s="573" t="s">
        <v>89</v>
      </c>
      <c r="E207" s="561"/>
      <c r="F207" s="561"/>
      <c r="G207" s="563"/>
      <c r="H207" s="564" t="s">
        <v>14</v>
      </c>
      <c r="I207" s="565"/>
      <c r="J207" s="565"/>
      <c r="K207" s="566"/>
      <c r="L207" s="567">
        <f ca="1">IFERROR(__xludf.DUMMYFUNCTION("IMPORTRANGE(""https://docs.google.com/spreadsheets/d/1eHaY18a8A9IcSdp1K8H6x8fbOy06t2VsZHhMHf-1x7Y/edit?usp=sharing"",""แผน!AJ22"")"),8000)</f>
        <v>8000</v>
      </c>
      <c r="M207" s="566"/>
      <c r="N207" s="786">
        <v>0</v>
      </c>
      <c r="O207" s="684"/>
      <c r="P207" s="566"/>
      <c r="Q207" s="567">
        <v>0</v>
      </c>
      <c r="R207" s="566"/>
      <c r="S207" s="568">
        <v>0</v>
      </c>
      <c r="T207" s="684"/>
      <c r="U207" s="566"/>
    </row>
    <row r="208" spans="1:21" ht="19.5" x14ac:dyDescent="0.3">
      <c r="A208" s="687"/>
      <c r="B208" s="688"/>
      <c r="C208" s="675" t="s">
        <v>18</v>
      </c>
      <c r="D208" s="689" t="s">
        <v>38</v>
      </c>
      <c r="E208" s="690"/>
      <c r="F208" s="690"/>
      <c r="G208" s="691"/>
      <c r="H208" s="692"/>
      <c r="I208" s="683"/>
      <c r="J208" s="683"/>
      <c r="K208" s="684"/>
      <c r="L208" s="693"/>
      <c r="M208" s="684"/>
      <c r="N208" s="684"/>
      <c r="O208" s="684"/>
      <c r="P208" s="684"/>
      <c r="Q208" s="693"/>
      <c r="R208" s="684"/>
      <c r="S208" s="684"/>
      <c r="T208" s="684"/>
      <c r="U208" s="684"/>
    </row>
    <row r="209" spans="1:21" ht="18.75" x14ac:dyDescent="0.25">
      <c r="A209" s="687"/>
      <c r="B209" s="688"/>
      <c r="C209" s="688"/>
      <c r="D209" s="694" t="s">
        <v>90</v>
      </c>
      <c r="E209" s="695"/>
      <c r="F209" s="695"/>
      <c r="G209" s="692"/>
      <c r="H209" s="787" t="s">
        <v>85</v>
      </c>
      <c r="I209" s="708">
        <f ca="1">IFERROR(__xludf.DUMMYFUNCTION("IMPORTRANGE(""https://docs.google.com/spreadsheets/d/1eHaY18a8A9IcSdp1K8H6x8fbOy06t2VsZHhMHf-1x7Y/edit?usp=sharing"",""แผน!AK22"")"),3)</f>
        <v>3</v>
      </c>
      <c r="J209" s="702">
        <v>0</v>
      </c>
      <c r="K209" s="703">
        <f ca="1">IF(I209&gt;0,J209*100/I209,0)</f>
        <v>0</v>
      </c>
      <c r="L209" s="574"/>
      <c r="M209" s="566"/>
      <c r="N209" s="566"/>
      <c r="O209" s="566"/>
      <c r="P209" s="566"/>
      <c r="Q209" s="574"/>
      <c r="R209" s="566"/>
      <c r="S209" s="566"/>
      <c r="T209" s="566"/>
      <c r="U209" s="566"/>
    </row>
    <row r="210" spans="1:21" ht="18.75" x14ac:dyDescent="0.25">
      <c r="A210" s="687"/>
      <c r="B210" s="688"/>
      <c r="C210" s="688"/>
      <c r="D210" s="699" t="s">
        <v>50</v>
      </c>
      <c r="E210" s="695"/>
      <c r="F210" s="695"/>
      <c r="G210" s="692"/>
      <c r="H210" s="692"/>
      <c r="I210" s="565"/>
      <c r="J210" s="565"/>
      <c r="K210" s="684"/>
      <c r="L210" s="574"/>
      <c r="M210" s="566"/>
      <c r="N210" s="566"/>
      <c r="O210" s="566"/>
      <c r="P210" s="566"/>
      <c r="Q210" s="574"/>
      <c r="R210" s="566"/>
      <c r="S210" s="566"/>
      <c r="T210" s="566"/>
      <c r="U210" s="566"/>
    </row>
    <row r="211" spans="1:21" ht="18.75" x14ac:dyDescent="0.25">
      <c r="A211" s="687"/>
      <c r="B211" s="688"/>
      <c r="C211" s="688"/>
      <c r="D211" s="695"/>
      <c r="E211" s="699" t="s">
        <v>91</v>
      </c>
      <c r="F211" s="695"/>
      <c r="G211" s="692"/>
      <c r="H211" s="787" t="s">
        <v>85</v>
      </c>
      <c r="I211" s="708">
        <f ca="1">IFERROR(__xludf.DUMMYFUNCTION("IMPORTRANGE(""https://docs.google.com/spreadsheets/d/1eHaY18a8A9IcSdp1K8H6x8fbOy06t2VsZHhMHf-1x7Y/edit?usp=sharing"",""แผน!JX22"")"),2)</f>
        <v>2</v>
      </c>
      <c r="J211" s="702">
        <v>0</v>
      </c>
      <c r="K211" s="703">
        <f t="shared" ref="K211:K213" ca="1" si="146">IF(I211&gt;0,J211*100/I211,0)</f>
        <v>0</v>
      </c>
      <c r="L211" s="574"/>
      <c r="M211" s="566"/>
      <c r="N211" s="566"/>
      <c r="O211" s="566"/>
      <c r="P211" s="566"/>
      <c r="Q211" s="574"/>
      <c r="R211" s="566"/>
      <c r="S211" s="566"/>
      <c r="T211" s="566"/>
      <c r="U211" s="566"/>
    </row>
    <row r="212" spans="1:21" ht="18.75" x14ac:dyDescent="0.25">
      <c r="A212" s="687"/>
      <c r="B212" s="688"/>
      <c r="C212" s="688"/>
      <c r="D212" s="695"/>
      <c r="E212" s="699" t="s">
        <v>92</v>
      </c>
      <c r="F212" s="695"/>
      <c r="G212" s="695"/>
      <c r="H212" s="700" t="s">
        <v>93</v>
      </c>
      <c r="I212" s="708">
        <f ca="1">IFERROR(__xludf.DUMMYFUNCTION("IMPORTRANGE(""https://docs.google.com/spreadsheets/d/1eHaY18a8A9IcSdp1K8H6x8fbOy06t2VsZHhMHf-1x7Y/edit?usp=sharing"",""แผน!JY22"")"),0)</f>
        <v>0</v>
      </c>
      <c r="J212" s="702">
        <v>0</v>
      </c>
      <c r="K212" s="703">
        <f t="shared" ca="1" si="146"/>
        <v>0</v>
      </c>
      <c r="L212" s="574"/>
      <c r="M212" s="566"/>
      <c r="N212" s="566"/>
      <c r="O212" s="566"/>
      <c r="P212" s="566"/>
      <c r="Q212" s="574"/>
      <c r="R212" s="566"/>
      <c r="S212" s="566"/>
      <c r="T212" s="566"/>
      <c r="U212" s="566"/>
    </row>
    <row r="213" spans="1:21" ht="19.5" x14ac:dyDescent="0.3">
      <c r="A213" s="769"/>
      <c r="B213" s="770"/>
      <c r="C213" s="771" t="s">
        <v>94</v>
      </c>
      <c r="D213" s="772"/>
      <c r="E213" s="772"/>
      <c r="F213" s="772"/>
      <c r="G213" s="773"/>
      <c r="H213" s="782" t="s">
        <v>85</v>
      </c>
      <c r="I213" s="775">
        <f t="shared" ref="I213:J213" ca="1" si="147">I220</f>
        <v>0</v>
      </c>
      <c r="J213" s="775">
        <f t="shared" si="147"/>
        <v>0</v>
      </c>
      <c r="K213" s="776">
        <f t="shared" ca="1" si="146"/>
        <v>0</v>
      </c>
      <c r="L213" s="777"/>
      <c r="M213" s="778"/>
      <c r="N213" s="778"/>
      <c r="O213" s="778"/>
      <c r="P213" s="778"/>
      <c r="Q213" s="777"/>
      <c r="R213" s="778"/>
      <c r="S213" s="778"/>
      <c r="T213" s="778"/>
      <c r="U213" s="778"/>
    </row>
    <row r="214" spans="1:21" ht="19.5" x14ac:dyDescent="0.3">
      <c r="A214" s="674"/>
      <c r="B214" s="561"/>
      <c r="C214" s="675" t="s">
        <v>18</v>
      </c>
      <c r="D214" s="779" t="s">
        <v>19</v>
      </c>
      <c r="E214" s="561"/>
      <c r="F214" s="561"/>
      <c r="G214" s="563"/>
      <c r="H214" s="780" t="s">
        <v>14</v>
      </c>
      <c r="I214" s="683"/>
      <c r="J214" s="683"/>
      <c r="K214" s="684"/>
      <c r="L214" s="678">
        <f ca="1">L215+L216+L217</f>
        <v>0</v>
      </c>
      <c r="M214" s="566"/>
      <c r="N214" s="679">
        <f>N215+N216+N217</f>
        <v>0</v>
      </c>
      <c r="O214" s="679">
        <f ca="1">IF(L214&gt;0,N214*100/L214,0)</f>
        <v>0</v>
      </c>
      <c r="P214" s="679">
        <f>IF(M214&gt;0,N214*100/M214,0)</f>
        <v>0</v>
      </c>
      <c r="Q214" s="678">
        <f ca="1">Q215+Q216+Q217</f>
        <v>0</v>
      </c>
      <c r="R214" s="566"/>
      <c r="S214" s="679">
        <f>S215+S216+S217</f>
        <v>229220</v>
      </c>
      <c r="T214" s="679">
        <f ca="1">IF(Q214&gt;0,S214*100/Q214,0)</f>
        <v>0</v>
      </c>
      <c r="U214" s="679">
        <f>IF(R214&gt;0,S214*100/R214,0)</f>
        <v>0</v>
      </c>
    </row>
    <row r="215" spans="1:21" ht="18.75" x14ac:dyDescent="0.25">
      <c r="A215" s="674"/>
      <c r="B215" s="718"/>
      <c r="C215" s="561"/>
      <c r="D215" s="573" t="s">
        <v>86</v>
      </c>
      <c r="E215" s="561"/>
      <c r="F215" s="561"/>
      <c r="G215" s="563"/>
      <c r="H215" s="682" t="s">
        <v>14</v>
      </c>
      <c r="I215" s="683"/>
      <c r="J215" s="683"/>
      <c r="K215" s="684"/>
      <c r="L215" s="567">
        <f ca="1">IFERROR(__xludf.DUMMYFUNCTION("IMPORTRANGE(""https://docs.google.com/spreadsheets/d/1eHaY18a8A9IcSdp1K8H6x8fbOy06t2VsZHhMHf-1x7Y/edit?usp=sharing"",""แผน!AM22"")"),0)</f>
        <v>0</v>
      </c>
      <c r="M215" s="566"/>
      <c r="N215" s="786">
        <v>0</v>
      </c>
      <c r="O215" s="684"/>
      <c r="P215" s="566"/>
      <c r="Q215" s="567">
        <v>0</v>
      </c>
      <c r="R215" s="566"/>
      <c r="S215" s="568">
        <v>0</v>
      </c>
      <c r="T215" s="684"/>
      <c r="U215" s="566"/>
    </row>
    <row r="216" spans="1:21" ht="18.75" x14ac:dyDescent="0.25">
      <c r="A216" s="764"/>
      <c r="B216" s="718"/>
      <c r="C216" s="718"/>
      <c r="D216" s="573" t="s">
        <v>95</v>
      </c>
      <c r="E216" s="561"/>
      <c r="F216" s="561"/>
      <c r="G216" s="563"/>
      <c r="H216" s="682" t="s">
        <v>14</v>
      </c>
      <c r="I216" s="565"/>
      <c r="J216" s="565"/>
      <c r="K216" s="566"/>
      <c r="L216" s="567">
        <f ca="1">IFERROR(__xludf.DUMMYFUNCTION("IMPORTRANGE(""https://docs.google.com/spreadsheets/d/1eHaY18a8A9IcSdp1K8H6x8fbOy06t2VsZHhMHf-1x7Y/edit?usp=sharing"",""แผน!AN22"")"),0)</f>
        <v>0</v>
      </c>
      <c r="M216" s="566"/>
      <c r="N216" s="786">
        <v>0</v>
      </c>
      <c r="O216" s="684"/>
      <c r="P216" s="566"/>
      <c r="Q216" s="567">
        <v>0</v>
      </c>
      <c r="R216" s="566"/>
      <c r="S216" s="568">
        <v>0</v>
      </c>
      <c r="T216" s="684"/>
      <c r="U216" s="566"/>
    </row>
    <row r="217" spans="1:21" ht="18.75" x14ac:dyDescent="0.25">
      <c r="A217" s="764"/>
      <c r="B217" s="718"/>
      <c r="C217" s="718"/>
      <c r="D217" s="573" t="s">
        <v>88</v>
      </c>
      <c r="E217" s="561"/>
      <c r="F217" s="561"/>
      <c r="G217" s="563"/>
      <c r="H217" s="682" t="s">
        <v>14</v>
      </c>
      <c r="I217" s="565"/>
      <c r="J217" s="565"/>
      <c r="K217" s="566"/>
      <c r="L217" s="567">
        <f ca="1">IFERROR(__xludf.DUMMYFUNCTION("IMPORTRANGE(""https://docs.google.com/spreadsheets/d/1eHaY18a8A9IcSdp1K8H6x8fbOy06t2VsZHhMHf-1x7Y/edit?usp=sharing"",""แผน!AO22"")"),0)</f>
        <v>0</v>
      </c>
      <c r="M217" s="566"/>
      <c r="N217" s="786">
        <v>0</v>
      </c>
      <c r="O217" s="684"/>
      <c r="P217" s="566"/>
      <c r="Q217" s="567">
        <f ca="1">IFERROR(__xludf.DUMMYFUNCTION("IMPORTRANGE(""https://docs.google.com/spreadsheets/d/1eHaY18a8A9IcSdp1K8H6x8fbOy06t2VsZHhMHf-1x7Y/edit?usp=sharing"",""แผน!LY22"")"),0)</f>
        <v>0</v>
      </c>
      <c r="R217" s="566"/>
      <c r="S217" s="786">
        <v>229220</v>
      </c>
      <c r="T217" s="684"/>
      <c r="U217" s="566"/>
    </row>
    <row r="218" spans="1:21" ht="19.5" x14ac:dyDescent="0.3">
      <c r="A218" s="687"/>
      <c r="B218" s="688"/>
      <c r="C218" s="719" t="s">
        <v>18</v>
      </c>
      <c r="D218" s="689" t="s">
        <v>38</v>
      </c>
      <c r="E218" s="690"/>
      <c r="F218" s="690"/>
      <c r="G218" s="691"/>
      <c r="H218" s="692"/>
      <c r="I218" s="683"/>
      <c r="J218" s="565"/>
      <c r="K218" s="566"/>
      <c r="L218" s="574"/>
      <c r="M218" s="566"/>
      <c r="N218" s="566"/>
      <c r="O218" s="684"/>
      <c r="P218" s="684"/>
      <c r="Q218" s="574"/>
      <c r="R218" s="566"/>
      <c r="S218" s="566"/>
      <c r="T218" s="684"/>
      <c r="U218" s="684"/>
    </row>
    <row r="219" spans="1:21" ht="18.75" x14ac:dyDescent="0.25">
      <c r="A219" s="687"/>
      <c r="B219" s="688"/>
      <c r="C219" s="688"/>
      <c r="D219" s="694" t="s">
        <v>96</v>
      </c>
      <c r="E219" s="695"/>
      <c r="F219" s="695"/>
      <c r="G219" s="692"/>
      <c r="H219" s="787" t="s">
        <v>85</v>
      </c>
      <c r="I219" s="708">
        <f ca="1">IFERROR(__xludf.DUMMYFUNCTION("IMPORTRANGE(""https://docs.google.com/spreadsheets/d/1eHaY18a8A9IcSdp1K8H6x8fbOy06t2VsZHhMHf-1x7Y/edit?usp=sharing"",""แผน!AP22"")"),0)</f>
        <v>0</v>
      </c>
      <c r="J219" s="702">
        <v>0</v>
      </c>
      <c r="K219" s="568">
        <f t="shared" ref="K219:K221" ca="1" si="148">IF(I219&gt;0,J219*100/I219,0)</f>
        <v>0</v>
      </c>
      <c r="L219" s="574"/>
      <c r="M219" s="566"/>
      <c r="N219" s="566"/>
      <c r="O219" s="566"/>
      <c r="P219" s="566"/>
      <c r="Q219" s="574"/>
      <c r="R219" s="566"/>
      <c r="S219" s="566"/>
      <c r="T219" s="566"/>
      <c r="U219" s="566"/>
    </row>
    <row r="220" spans="1:21" ht="18.75" x14ac:dyDescent="0.25">
      <c r="A220" s="687"/>
      <c r="B220" s="688"/>
      <c r="C220" s="688"/>
      <c r="D220" s="694" t="s">
        <v>97</v>
      </c>
      <c r="E220" s="695"/>
      <c r="F220" s="695"/>
      <c r="G220" s="692"/>
      <c r="H220" s="787" t="s">
        <v>85</v>
      </c>
      <c r="I220" s="708">
        <f ca="1">IFERROR(__xludf.DUMMYFUNCTION("IMPORTRANGE(""https://docs.google.com/spreadsheets/d/1eHaY18a8A9IcSdp1K8H6x8fbOy06t2VsZHhMHf-1x7Y/edit?usp=sharing"",""แผน!AP22"")"),0)</f>
        <v>0</v>
      </c>
      <c r="J220" s="702">
        <v>0</v>
      </c>
      <c r="K220" s="568">
        <f t="shared" ca="1" si="148"/>
        <v>0</v>
      </c>
      <c r="L220" s="574"/>
      <c r="M220" s="566"/>
      <c r="N220" s="566"/>
      <c r="O220" s="566"/>
      <c r="P220" s="566"/>
      <c r="Q220" s="574"/>
      <c r="R220" s="566"/>
      <c r="S220" s="566"/>
      <c r="T220" s="566"/>
      <c r="U220" s="566"/>
    </row>
    <row r="221" spans="1:21" ht="19.5" x14ac:dyDescent="0.3">
      <c r="A221" s="769"/>
      <c r="B221" s="770"/>
      <c r="C221" s="771" t="s">
        <v>98</v>
      </c>
      <c r="D221" s="772"/>
      <c r="E221" s="772"/>
      <c r="F221" s="772"/>
      <c r="G221" s="773"/>
      <c r="H221" s="774" t="s">
        <v>99</v>
      </c>
      <c r="I221" s="775">
        <f t="shared" ref="I221:J221" ca="1" si="149">I229</f>
        <v>50000</v>
      </c>
      <c r="J221" s="775">
        <f t="shared" si="149"/>
        <v>0</v>
      </c>
      <c r="K221" s="776">
        <f t="shared" ca="1" si="148"/>
        <v>0</v>
      </c>
      <c r="L221" s="777"/>
      <c r="M221" s="778"/>
      <c r="N221" s="778"/>
      <c r="O221" s="778"/>
      <c r="P221" s="778"/>
      <c r="Q221" s="778"/>
      <c r="R221" s="778"/>
      <c r="S221" s="778"/>
      <c r="T221" s="778"/>
      <c r="U221" s="778"/>
    </row>
    <row r="222" spans="1:21" ht="19.5" x14ac:dyDescent="0.3">
      <c r="A222" s="674"/>
      <c r="B222" s="561"/>
      <c r="C222" s="675" t="s">
        <v>18</v>
      </c>
      <c r="D222" s="779" t="s">
        <v>19</v>
      </c>
      <c r="E222" s="561"/>
      <c r="F222" s="561"/>
      <c r="G222" s="563"/>
      <c r="H222" s="780" t="s">
        <v>14</v>
      </c>
      <c r="I222" s="683"/>
      <c r="J222" s="683"/>
      <c r="K222" s="684"/>
      <c r="L222" s="678">
        <f ca="1">L223+L224+L225</f>
        <v>8500</v>
      </c>
      <c r="M222" s="566"/>
      <c r="N222" s="679">
        <f>N223+N224+N225</f>
        <v>0</v>
      </c>
      <c r="O222" s="679">
        <f ca="1">IF(L222&gt;0,N222*100/L222,0)</f>
        <v>0</v>
      </c>
      <c r="P222" s="679">
        <f>IF(M222&gt;0,N222*100/M222,0)</f>
        <v>0</v>
      </c>
      <c r="Q222" s="566"/>
      <c r="R222" s="566"/>
      <c r="S222" s="566"/>
      <c r="T222" s="566"/>
      <c r="U222" s="566"/>
    </row>
    <row r="223" spans="1:21" ht="18.75" x14ac:dyDescent="0.25">
      <c r="A223" s="674"/>
      <c r="B223" s="718"/>
      <c r="C223" s="561"/>
      <c r="D223" s="788" t="s">
        <v>302</v>
      </c>
      <c r="E223" s="561"/>
      <c r="F223" s="561"/>
      <c r="G223" s="563"/>
      <c r="H223" s="682" t="s">
        <v>14</v>
      </c>
      <c r="I223" s="683"/>
      <c r="J223" s="683"/>
      <c r="K223" s="684"/>
      <c r="L223" s="567">
        <f ca="1">IFERROR(__xludf.DUMMYFUNCTION("IMPORTRANGE(""https://docs.google.com/spreadsheets/d/1eHaY18a8A9IcSdp1K8H6x8fbOy06t2VsZHhMHf-1x7Y/edit?usp=sharing"",""แผน!AR22"")"),2500)</f>
        <v>2500</v>
      </c>
      <c r="M223" s="566"/>
      <c r="N223" s="786">
        <v>0</v>
      </c>
      <c r="O223" s="684"/>
      <c r="P223" s="566"/>
      <c r="Q223" s="566"/>
      <c r="R223" s="566"/>
      <c r="S223" s="566"/>
      <c r="T223" s="684"/>
      <c r="U223" s="566"/>
    </row>
    <row r="224" spans="1:21" ht="18.75" x14ac:dyDescent="0.25">
      <c r="A224" s="764"/>
      <c r="B224" s="718"/>
      <c r="C224" s="718"/>
      <c r="D224" s="573" t="s">
        <v>301</v>
      </c>
      <c r="E224" s="561"/>
      <c r="F224" s="561"/>
      <c r="G224" s="563"/>
      <c r="H224" s="682" t="s">
        <v>14</v>
      </c>
      <c r="I224" s="565"/>
      <c r="J224" s="565"/>
      <c r="K224" s="566"/>
      <c r="L224" s="567">
        <f ca="1">IFERROR(__xludf.DUMMYFUNCTION("IMPORTRANGE(""https://docs.google.com/spreadsheets/d/1eHaY18a8A9IcSdp1K8H6x8fbOy06t2VsZHhMHf-1x7Y/edit?usp=sharing"",""แผน!AS22"")"),6000)</f>
        <v>6000</v>
      </c>
      <c r="M224" s="566"/>
      <c r="N224" s="786">
        <v>0</v>
      </c>
      <c r="O224" s="684"/>
      <c r="P224" s="566"/>
      <c r="Q224" s="566"/>
      <c r="R224" s="566"/>
      <c r="S224" s="566"/>
      <c r="T224" s="684"/>
      <c r="U224" s="566"/>
    </row>
    <row r="225" spans="1:21" ht="18.75" x14ac:dyDescent="0.25">
      <c r="A225" s="764"/>
      <c r="B225" s="718"/>
      <c r="C225" s="718"/>
      <c r="D225" s="573" t="s">
        <v>88</v>
      </c>
      <c r="E225" s="561"/>
      <c r="F225" s="561"/>
      <c r="G225" s="563"/>
      <c r="H225" s="682" t="s">
        <v>14</v>
      </c>
      <c r="I225" s="565"/>
      <c r="J225" s="565"/>
      <c r="K225" s="566"/>
      <c r="L225" s="567">
        <f ca="1">IFERROR(__xludf.DUMMYFUNCTION("IMPORTRANGE(""https://docs.google.com/spreadsheets/d/1eHaY18a8A9IcSdp1K8H6x8fbOy06t2VsZHhMHf-1x7Y/edit?usp=sharing"",""แผน!AT22"")"),0)</f>
        <v>0</v>
      </c>
      <c r="M225" s="566"/>
      <c r="N225" s="786">
        <v>0</v>
      </c>
      <c r="O225" s="684"/>
      <c r="P225" s="566"/>
      <c r="Q225" s="566"/>
      <c r="R225" s="566"/>
      <c r="S225" s="566"/>
      <c r="T225" s="684"/>
      <c r="U225" s="566"/>
    </row>
    <row r="226" spans="1:21" ht="19.5" x14ac:dyDescent="0.3">
      <c r="A226" s="687"/>
      <c r="B226" s="688"/>
      <c r="C226" s="719" t="s">
        <v>18</v>
      </c>
      <c r="D226" s="689" t="s">
        <v>38</v>
      </c>
      <c r="E226" s="690"/>
      <c r="F226" s="690"/>
      <c r="G226" s="691"/>
      <c r="H226" s="692"/>
      <c r="I226" s="683"/>
      <c r="J226" s="683"/>
      <c r="K226" s="684"/>
      <c r="L226" s="693"/>
      <c r="M226" s="684"/>
      <c r="N226" s="684"/>
      <c r="O226" s="684"/>
      <c r="P226" s="684"/>
      <c r="Q226" s="684"/>
      <c r="R226" s="684"/>
      <c r="S226" s="684"/>
      <c r="T226" s="684"/>
      <c r="U226" s="684"/>
    </row>
    <row r="227" spans="1:21" ht="18.75" x14ac:dyDescent="0.25">
      <c r="A227" s="687"/>
      <c r="B227" s="688"/>
      <c r="C227" s="688"/>
      <c r="D227" s="573" t="s">
        <v>101</v>
      </c>
      <c r="E227" s="695"/>
      <c r="F227" s="695"/>
      <c r="G227" s="692"/>
      <c r="H227" s="692"/>
      <c r="I227" s="565"/>
      <c r="J227" s="565"/>
      <c r="K227" s="684"/>
      <c r="L227" s="693"/>
      <c r="M227" s="684"/>
      <c r="N227" s="684"/>
      <c r="O227" s="684"/>
      <c r="P227" s="684"/>
      <c r="Q227" s="684"/>
      <c r="R227" s="684"/>
      <c r="S227" s="684"/>
      <c r="T227" s="684"/>
      <c r="U227" s="684"/>
    </row>
    <row r="228" spans="1:21" ht="18.75" x14ac:dyDescent="0.25">
      <c r="A228" s="687"/>
      <c r="B228" s="688"/>
      <c r="C228" s="688"/>
      <c r="D228" s="688"/>
      <c r="E228" s="694" t="s">
        <v>102</v>
      </c>
      <c r="F228" s="695"/>
      <c r="G228" s="692"/>
      <c r="H228" s="700" t="s">
        <v>99</v>
      </c>
      <c r="I228" s="708">
        <f ca="1">IFERROR(__xludf.DUMMYFUNCTION("IMPORTRANGE(""https://docs.google.com/spreadsheets/d/1eHaY18a8A9IcSdp1K8H6x8fbOy06t2VsZHhMHf-1x7Y/edit?usp=sharing"",""แผน!AV22"")"),50000)</f>
        <v>50000</v>
      </c>
      <c r="J228" s="702">
        <v>0</v>
      </c>
      <c r="K228" s="703">
        <f t="shared" ref="K228:K231" ca="1" si="150">IF(I228&gt;0,J228*100/I228,0)</f>
        <v>0</v>
      </c>
      <c r="L228" s="693"/>
      <c r="M228" s="684"/>
      <c r="N228" s="684"/>
      <c r="O228" s="684"/>
      <c r="P228" s="684"/>
      <c r="Q228" s="684"/>
      <c r="R228" s="684"/>
      <c r="S228" s="684"/>
      <c r="T228" s="684"/>
      <c r="U228" s="684"/>
    </row>
    <row r="229" spans="1:21" ht="18.75" x14ac:dyDescent="0.25">
      <c r="A229" s="687"/>
      <c r="B229" s="688"/>
      <c r="C229" s="688"/>
      <c r="D229" s="688"/>
      <c r="E229" s="694" t="s">
        <v>103</v>
      </c>
      <c r="F229" s="695"/>
      <c r="G229" s="692"/>
      <c r="H229" s="700" t="s">
        <v>99</v>
      </c>
      <c r="I229" s="708">
        <f ca="1">IFERROR(__xludf.DUMMYFUNCTION("IMPORTRANGE(""https://docs.google.com/spreadsheets/d/1eHaY18a8A9IcSdp1K8H6x8fbOy06t2VsZHhMHf-1x7Y/edit?usp=sharing"",""แผน!AV22"")"),50000)</f>
        <v>50000</v>
      </c>
      <c r="J229" s="702">
        <v>0</v>
      </c>
      <c r="K229" s="703">
        <f t="shared" ca="1" si="150"/>
        <v>0</v>
      </c>
      <c r="L229" s="574"/>
      <c r="M229" s="566"/>
      <c r="N229" s="566"/>
      <c r="O229" s="566"/>
      <c r="P229" s="566"/>
      <c r="Q229" s="566"/>
      <c r="R229" s="566"/>
      <c r="S229" s="566"/>
      <c r="T229" s="566"/>
      <c r="U229" s="566"/>
    </row>
    <row r="230" spans="1:21" ht="18.75" x14ac:dyDescent="0.25">
      <c r="A230" s="687"/>
      <c r="B230" s="688"/>
      <c r="C230" s="688"/>
      <c r="D230" s="573" t="s">
        <v>104</v>
      </c>
      <c r="E230" s="695"/>
      <c r="F230" s="695"/>
      <c r="G230" s="692"/>
      <c r="H230" s="700" t="s">
        <v>35</v>
      </c>
      <c r="I230" s="708">
        <f ca="1">IFERROR(__xludf.DUMMYFUNCTION("IMPORTRANGE(""https://docs.google.com/spreadsheets/d/1eHaY18a8A9IcSdp1K8H6x8fbOy06t2VsZHhMHf-1x7Y/edit?usp=sharing"",""แผน!AU22"")"),0)</f>
        <v>0</v>
      </c>
      <c r="J230" s="702">
        <v>0</v>
      </c>
      <c r="K230" s="703">
        <f t="shared" ca="1" si="150"/>
        <v>0</v>
      </c>
      <c r="L230" s="574"/>
      <c r="M230" s="566"/>
      <c r="N230" s="566"/>
      <c r="O230" s="566"/>
      <c r="P230" s="566"/>
      <c r="Q230" s="566"/>
      <c r="R230" s="566"/>
      <c r="S230" s="566"/>
      <c r="T230" s="566"/>
      <c r="U230" s="566"/>
    </row>
    <row r="231" spans="1:21" ht="19.5" hidden="1" x14ac:dyDescent="0.3">
      <c r="A231" s="769"/>
      <c r="B231" s="770"/>
      <c r="C231" s="771" t="s">
        <v>105</v>
      </c>
      <c r="D231" s="772"/>
      <c r="E231" s="772"/>
      <c r="F231" s="772"/>
      <c r="G231" s="773"/>
      <c r="H231" s="774" t="s">
        <v>35</v>
      </c>
      <c r="I231" s="775">
        <f t="shared" ref="I231:J231" ca="1" si="151">I242+I253</f>
        <v>0</v>
      </c>
      <c r="J231" s="775">
        <f t="shared" si="151"/>
        <v>0</v>
      </c>
      <c r="K231" s="776">
        <f t="shared" ca="1" si="150"/>
        <v>0</v>
      </c>
      <c r="L231" s="777"/>
      <c r="M231" s="778"/>
      <c r="N231" s="778"/>
      <c r="O231" s="778"/>
      <c r="P231" s="778"/>
      <c r="Q231" s="778"/>
      <c r="R231" s="778"/>
      <c r="S231" s="778"/>
      <c r="T231" s="778"/>
      <c r="U231" s="778"/>
    </row>
    <row r="232" spans="1:21" ht="19.5" hidden="1" x14ac:dyDescent="0.3">
      <c r="A232" s="674"/>
      <c r="B232" s="561"/>
      <c r="C232" s="675" t="s">
        <v>18</v>
      </c>
      <c r="D232" s="676" t="s">
        <v>19</v>
      </c>
      <c r="E232" s="561"/>
      <c r="F232" s="561"/>
      <c r="G232" s="563"/>
      <c r="H232" s="780" t="s">
        <v>14</v>
      </c>
      <c r="I232" s="683"/>
      <c r="J232" s="683"/>
      <c r="K232" s="684"/>
      <c r="L232" s="789">
        <f t="shared" ref="L232:L236" ca="1" si="152">L243+L254</f>
        <v>0</v>
      </c>
      <c r="M232" s="566"/>
      <c r="N232" s="790">
        <f t="shared" ref="N232:N236" si="153">N243+N254</f>
        <v>0</v>
      </c>
      <c r="O232" s="566"/>
      <c r="P232" s="566"/>
      <c r="Q232" s="566"/>
      <c r="R232" s="566"/>
      <c r="S232" s="566"/>
      <c r="T232" s="566"/>
      <c r="U232" s="566"/>
    </row>
    <row r="233" spans="1:21" ht="18.75" hidden="1" x14ac:dyDescent="0.25">
      <c r="A233" s="674"/>
      <c r="B233" s="718"/>
      <c r="C233" s="561"/>
      <c r="D233" s="573" t="s">
        <v>86</v>
      </c>
      <c r="E233" s="561"/>
      <c r="F233" s="561"/>
      <c r="G233" s="563"/>
      <c r="H233" s="682" t="s">
        <v>14</v>
      </c>
      <c r="I233" s="683"/>
      <c r="J233" s="683"/>
      <c r="K233" s="684"/>
      <c r="L233" s="571">
        <f t="shared" ca="1" si="152"/>
        <v>0</v>
      </c>
      <c r="M233" s="566"/>
      <c r="N233" s="572">
        <f t="shared" si="153"/>
        <v>0</v>
      </c>
      <c r="O233" s="566"/>
      <c r="P233" s="566"/>
      <c r="Q233" s="1127">
        <v>0</v>
      </c>
      <c r="R233" s="1128">
        <v>0</v>
      </c>
      <c r="S233" s="1128">
        <v>0</v>
      </c>
      <c r="T233" s="566"/>
      <c r="U233" s="566"/>
    </row>
    <row r="234" spans="1:21" ht="18.75" hidden="1" x14ac:dyDescent="0.25">
      <c r="A234" s="764"/>
      <c r="B234" s="718"/>
      <c r="C234" s="718"/>
      <c r="D234" s="573" t="s">
        <v>88</v>
      </c>
      <c r="E234" s="561"/>
      <c r="F234" s="561"/>
      <c r="G234" s="563"/>
      <c r="H234" s="682" t="s">
        <v>14</v>
      </c>
      <c r="I234" s="565"/>
      <c r="J234" s="565"/>
      <c r="K234" s="566"/>
      <c r="L234" s="571">
        <f t="shared" ca="1" si="152"/>
        <v>0</v>
      </c>
      <c r="M234" s="566"/>
      <c r="N234" s="572">
        <f t="shared" si="153"/>
        <v>0</v>
      </c>
      <c r="O234" s="566"/>
      <c r="P234" s="566"/>
      <c r="Q234" s="1129">
        <v>0</v>
      </c>
      <c r="R234" s="1130">
        <v>0</v>
      </c>
      <c r="S234" s="1130">
        <v>0</v>
      </c>
      <c r="T234" s="566"/>
      <c r="U234" s="566"/>
    </row>
    <row r="235" spans="1:21" ht="18.75" hidden="1" x14ac:dyDescent="0.25">
      <c r="A235" s="764"/>
      <c r="B235" s="718"/>
      <c r="C235" s="718"/>
      <c r="D235" s="573" t="s">
        <v>106</v>
      </c>
      <c r="E235" s="561"/>
      <c r="F235" s="561"/>
      <c r="G235" s="563"/>
      <c r="H235" s="682" t="s">
        <v>14</v>
      </c>
      <c r="I235" s="565"/>
      <c r="J235" s="565"/>
      <c r="K235" s="566"/>
      <c r="L235" s="571">
        <f t="shared" ca="1" si="152"/>
        <v>0</v>
      </c>
      <c r="M235" s="566"/>
      <c r="N235" s="572">
        <f t="shared" si="153"/>
        <v>0</v>
      </c>
      <c r="O235" s="566"/>
      <c r="P235" s="566"/>
      <c r="Q235" s="1129">
        <v>0</v>
      </c>
      <c r="R235" s="1130">
        <v>0</v>
      </c>
      <c r="S235" s="1130">
        <v>0</v>
      </c>
      <c r="T235" s="566"/>
      <c r="U235" s="566"/>
    </row>
    <row r="236" spans="1:21" ht="18.75" hidden="1" x14ac:dyDescent="0.25">
      <c r="A236" s="764"/>
      <c r="B236" s="718"/>
      <c r="C236" s="718"/>
      <c r="D236" s="573" t="s">
        <v>107</v>
      </c>
      <c r="E236" s="561"/>
      <c r="F236" s="561"/>
      <c r="G236" s="563"/>
      <c r="H236" s="682" t="s">
        <v>14</v>
      </c>
      <c r="I236" s="565"/>
      <c r="J236" s="565"/>
      <c r="K236" s="566"/>
      <c r="L236" s="571">
        <f t="shared" ca="1" si="152"/>
        <v>0</v>
      </c>
      <c r="M236" s="566"/>
      <c r="N236" s="572">
        <f t="shared" si="153"/>
        <v>0</v>
      </c>
      <c r="O236" s="566"/>
      <c r="P236" s="566"/>
      <c r="Q236" s="1129">
        <v>0</v>
      </c>
      <c r="R236" s="1130">
        <v>0</v>
      </c>
      <c r="S236" s="1130">
        <v>0</v>
      </c>
      <c r="T236" s="566"/>
      <c r="U236" s="566"/>
    </row>
    <row r="237" spans="1:21" ht="19.5" hidden="1" x14ac:dyDescent="0.3">
      <c r="A237" s="687"/>
      <c r="B237" s="688"/>
      <c r="C237" s="719" t="s">
        <v>18</v>
      </c>
      <c r="D237" s="689" t="s">
        <v>38</v>
      </c>
      <c r="E237" s="690"/>
      <c r="F237" s="690"/>
      <c r="G237" s="691"/>
      <c r="H237" s="692"/>
      <c r="I237" s="683"/>
      <c r="J237" s="565"/>
      <c r="K237" s="566"/>
      <c r="L237" s="574"/>
      <c r="M237" s="566"/>
      <c r="N237" s="566"/>
      <c r="O237" s="684"/>
      <c r="P237" s="684"/>
      <c r="Q237" s="566"/>
      <c r="R237" s="566"/>
      <c r="S237" s="566"/>
      <c r="T237" s="684"/>
      <c r="U237" s="684"/>
    </row>
    <row r="238" spans="1:21" ht="18.75" hidden="1" x14ac:dyDescent="0.25">
      <c r="A238" s="687"/>
      <c r="B238" s="688"/>
      <c r="C238" s="688"/>
      <c r="D238" s="699" t="s">
        <v>108</v>
      </c>
      <c r="E238" s="695"/>
      <c r="F238" s="695"/>
      <c r="G238" s="692"/>
      <c r="H238" s="700" t="s">
        <v>35</v>
      </c>
      <c r="I238" s="708">
        <f t="shared" ref="I238:J238" ca="1" si="154">I249+I260</f>
        <v>0</v>
      </c>
      <c r="J238" s="708">
        <f t="shared" si="154"/>
        <v>0</v>
      </c>
      <c r="K238" s="568">
        <f ca="1">IF(I238&gt;0,J238*100/I238,0)</f>
        <v>0</v>
      </c>
      <c r="L238" s="574"/>
      <c r="M238" s="566"/>
      <c r="N238" s="566"/>
      <c r="O238" s="566"/>
      <c r="P238" s="566"/>
      <c r="Q238" s="566"/>
      <c r="R238" s="566"/>
      <c r="S238" s="566"/>
      <c r="T238" s="566"/>
      <c r="U238" s="566"/>
    </row>
    <row r="239" spans="1:21" ht="18.75" hidden="1" x14ac:dyDescent="0.25">
      <c r="A239" s="687"/>
      <c r="B239" s="688"/>
      <c r="C239" s="688"/>
      <c r="D239" s="792" t="s">
        <v>43</v>
      </c>
      <c r="E239" s="695"/>
      <c r="F239" s="695"/>
      <c r="G239" s="692"/>
      <c r="H239" s="692"/>
      <c r="I239" s="565"/>
      <c r="J239" s="565"/>
      <c r="K239" s="566"/>
      <c r="L239" s="574"/>
      <c r="M239" s="566"/>
      <c r="N239" s="566"/>
      <c r="O239" s="684"/>
      <c r="P239" s="684"/>
      <c r="Q239" s="566"/>
      <c r="R239" s="566"/>
      <c r="S239" s="566"/>
      <c r="T239" s="684"/>
      <c r="U239" s="684"/>
    </row>
    <row r="240" spans="1:21" ht="18.75" hidden="1" x14ac:dyDescent="0.25">
      <c r="A240" s="687"/>
      <c r="B240" s="688"/>
      <c r="C240" s="688"/>
      <c r="D240" s="688"/>
      <c r="E240" s="694" t="s">
        <v>109</v>
      </c>
      <c r="F240" s="695"/>
      <c r="G240" s="692"/>
      <c r="H240" s="700" t="s">
        <v>35</v>
      </c>
      <c r="I240" s="708">
        <f t="shared" ref="I240:J241" si="155">I251+I262</f>
        <v>0</v>
      </c>
      <c r="J240" s="708">
        <f t="shared" si="155"/>
        <v>0</v>
      </c>
      <c r="K240" s="568">
        <f t="shared" ref="K240:K242" si="156">IF(I240&gt;0,J240*100/I240,0)</f>
        <v>0</v>
      </c>
      <c r="L240" s="574"/>
      <c r="M240" s="566"/>
      <c r="N240" s="566"/>
      <c r="O240" s="566"/>
      <c r="P240" s="566"/>
      <c r="Q240" s="566"/>
      <c r="R240" s="566"/>
      <c r="S240" s="566"/>
      <c r="T240" s="566"/>
      <c r="U240" s="566"/>
    </row>
    <row r="241" spans="1:21" ht="18.75" hidden="1" x14ac:dyDescent="0.25">
      <c r="A241" s="687"/>
      <c r="B241" s="688"/>
      <c r="C241" s="688"/>
      <c r="D241" s="688"/>
      <c r="E241" s="694" t="s">
        <v>110</v>
      </c>
      <c r="F241" s="695"/>
      <c r="G241" s="692"/>
      <c r="H241" s="700" t="s">
        <v>61</v>
      </c>
      <c r="I241" s="708">
        <f t="shared" si="155"/>
        <v>0</v>
      </c>
      <c r="J241" s="708">
        <f t="shared" si="155"/>
        <v>0</v>
      </c>
      <c r="K241" s="568">
        <f t="shared" si="156"/>
        <v>0</v>
      </c>
      <c r="L241" s="574"/>
      <c r="M241" s="566"/>
      <c r="N241" s="566"/>
      <c r="O241" s="566"/>
      <c r="P241" s="566"/>
      <c r="Q241" s="566"/>
      <c r="R241" s="566"/>
      <c r="S241" s="566"/>
      <c r="T241" s="566"/>
      <c r="U241" s="566"/>
    </row>
    <row r="242" spans="1:21" ht="19.5" hidden="1" x14ac:dyDescent="0.3">
      <c r="A242" s="769"/>
      <c r="B242" s="770"/>
      <c r="C242" s="793" t="s">
        <v>111</v>
      </c>
      <c r="D242" s="772"/>
      <c r="E242" s="772"/>
      <c r="F242" s="772"/>
      <c r="G242" s="773"/>
      <c r="H242" s="794" t="s">
        <v>35</v>
      </c>
      <c r="I242" s="795">
        <f t="shared" ref="I242:J242" ca="1" si="157">I249</f>
        <v>0</v>
      </c>
      <c r="J242" s="795">
        <f t="shared" si="157"/>
        <v>0</v>
      </c>
      <c r="K242" s="796">
        <f t="shared" ca="1" si="156"/>
        <v>0</v>
      </c>
      <c r="L242" s="777"/>
      <c r="M242" s="778"/>
      <c r="N242" s="778"/>
      <c r="O242" s="778"/>
      <c r="P242" s="778"/>
      <c r="Q242" s="778"/>
      <c r="R242" s="778"/>
      <c r="S242" s="778"/>
      <c r="T242" s="778"/>
      <c r="U242" s="778"/>
    </row>
    <row r="243" spans="1:21" ht="19.5" hidden="1" x14ac:dyDescent="0.3">
      <c r="A243" s="674"/>
      <c r="B243" s="561"/>
      <c r="C243" s="797" t="s">
        <v>18</v>
      </c>
      <c r="D243" s="798" t="s">
        <v>19</v>
      </c>
      <c r="E243" s="561"/>
      <c r="F243" s="561"/>
      <c r="G243" s="563"/>
      <c r="H243" s="799" t="s">
        <v>14</v>
      </c>
      <c r="I243" s="683"/>
      <c r="J243" s="683"/>
      <c r="K243" s="684"/>
      <c r="L243" s="678">
        <f ca="1">L244+L245+L246+L247</f>
        <v>0</v>
      </c>
      <c r="M243" s="566"/>
      <c r="N243" s="679">
        <f>N244+N245+N246+N247</f>
        <v>0</v>
      </c>
      <c r="O243" s="679">
        <f ca="1">IF(L243&gt;0,N243*100/L243,0)</f>
        <v>0</v>
      </c>
      <c r="P243" s="679">
        <f>IF(M243&gt;0,N243*100/M243,0)</f>
        <v>0</v>
      </c>
      <c r="Q243" s="566"/>
      <c r="R243" s="566"/>
      <c r="S243" s="566"/>
      <c r="T243" s="566"/>
      <c r="U243" s="566"/>
    </row>
    <row r="244" spans="1:21" ht="18.75" hidden="1" x14ac:dyDescent="0.25">
      <c r="A244" s="674"/>
      <c r="B244" s="718"/>
      <c r="C244" s="561"/>
      <c r="D244" s="569" t="s">
        <v>86</v>
      </c>
      <c r="E244" s="561"/>
      <c r="F244" s="561"/>
      <c r="G244" s="563"/>
      <c r="H244" s="685" t="s">
        <v>14</v>
      </c>
      <c r="I244" s="683"/>
      <c r="J244" s="683"/>
      <c r="K244" s="684"/>
      <c r="L244" s="567">
        <f ca="1">IFERROR(__xludf.DUMMYFUNCTION("IMPORTRANGE(""https://docs.google.com/spreadsheets/d/1eHaY18a8A9IcSdp1K8H6x8fbOy06t2VsZHhMHf-1x7Y/edit?usp=sharing"",""แผน!AX22"")"),0)</f>
        <v>0</v>
      </c>
      <c r="M244" s="566"/>
      <c r="N244" s="786">
        <v>0</v>
      </c>
      <c r="O244" s="566"/>
      <c r="P244" s="566"/>
      <c r="Q244" s="566"/>
      <c r="R244" s="566"/>
      <c r="S244" s="566"/>
      <c r="T244" s="566"/>
      <c r="U244" s="566"/>
    </row>
    <row r="245" spans="1:21" ht="18.75" hidden="1" x14ac:dyDescent="0.25">
      <c r="A245" s="764"/>
      <c r="B245" s="718"/>
      <c r="C245" s="718"/>
      <c r="D245" s="569" t="s">
        <v>88</v>
      </c>
      <c r="E245" s="561"/>
      <c r="F245" s="561"/>
      <c r="G245" s="563"/>
      <c r="H245" s="685" t="s">
        <v>14</v>
      </c>
      <c r="I245" s="565"/>
      <c r="J245" s="565"/>
      <c r="K245" s="566"/>
      <c r="L245" s="567">
        <f ca="1">IFERROR(__xludf.DUMMYFUNCTION("IMPORTRANGE(""https://docs.google.com/spreadsheets/d/1eHaY18a8A9IcSdp1K8H6x8fbOy06t2VsZHhMHf-1x7Y/edit?usp=sharing"",""แผน!AY22"")"),0)</f>
        <v>0</v>
      </c>
      <c r="M245" s="566"/>
      <c r="N245" s="786">
        <v>0</v>
      </c>
      <c r="O245" s="566"/>
      <c r="P245" s="566"/>
      <c r="Q245" s="566"/>
      <c r="R245" s="566"/>
      <c r="S245" s="566"/>
      <c r="T245" s="566"/>
      <c r="U245" s="566"/>
    </row>
    <row r="246" spans="1:21" ht="18.75" hidden="1" x14ac:dyDescent="0.25">
      <c r="A246" s="764"/>
      <c r="B246" s="718"/>
      <c r="C246" s="718"/>
      <c r="D246" s="569" t="s">
        <v>106</v>
      </c>
      <c r="E246" s="561"/>
      <c r="F246" s="561"/>
      <c r="G246" s="563"/>
      <c r="H246" s="685" t="s">
        <v>14</v>
      </c>
      <c r="I246" s="565"/>
      <c r="J246" s="565"/>
      <c r="K246" s="566"/>
      <c r="L246" s="567">
        <f ca="1">IFERROR(__xludf.DUMMYFUNCTION("IMPORTRANGE(""https://docs.google.com/spreadsheets/d/1eHaY18a8A9IcSdp1K8H6x8fbOy06t2VsZHhMHf-1x7Y/edit?usp=sharing"",""แผน!AZ22"")"),0)</f>
        <v>0</v>
      </c>
      <c r="M246" s="566"/>
      <c r="N246" s="786">
        <v>0</v>
      </c>
      <c r="O246" s="566"/>
      <c r="P246" s="566"/>
      <c r="Q246" s="566"/>
      <c r="R246" s="566"/>
      <c r="S246" s="566"/>
      <c r="T246" s="566"/>
      <c r="U246" s="566"/>
    </row>
    <row r="247" spans="1:21" ht="18.75" hidden="1" x14ac:dyDescent="0.25">
      <c r="A247" s="764"/>
      <c r="B247" s="718"/>
      <c r="C247" s="718"/>
      <c r="D247" s="569" t="s">
        <v>107</v>
      </c>
      <c r="E247" s="561"/>
      <c r="F247" s="561"/>
      <c r="G247" s="563"/>
      <c r="H247" s="685" t="s">
        <v>14</v>
      </c>
      <c r="I247" s="565"/>
      <c r="J247" s="565"/>
      <c r="K247" s="566"/>
      <c r="L247" s="567">
        <f ca="1">IFERROR(__xludf.DUMMYFUNCTION("IMPORTRANGE(""https://docs.google.com/spreadsheets/d/1eHaY18a8A9IcSdp1K8H6x8fbOy06t2VsZHhMHf-1x7Y/edit?usp=sharing"",""แผน!BA22"")"),0)</f>
        <v>0</v>
      </c>
      <c r="M247" s="566"/>
      <c r="N247" s="786">
        <v>0</v>
      </c>
      <c r="O247" s="566"/>
      <c r="P247" s="566"/>
      <c r="Q247" s="566"/>
      <c r="R247" s="566"/>
      <c r="S247" s="566"/>
      <c r="T247" s="566"/>
      <c r="U247" s="566"/>
    </row>
    <row r="248" spans="1:21" ht="19.5" hidden="1" x14ac:dyDescent="0.3">
      <c r="A248" s="687"/>
      <c r="B248" s="688"/>
      <c r="C248" s="800" t="s">
        <v>18</v>
      </c>
      <c r="D248" s="801" t="s">
        <v>38</v>
      </c>
      <c r="E248" s="690"/>
      <c r="F248" s="690"/>
      <c r="G248" s="691"/>
      <c r="H248" s="692"/>
      <c r="I248" s="683"/>
      <c r="J248" s="565"/>
      <c r="K248" s="566"/>
      <c r="L248" s="574"/>
      <c r="M248" s="566"/>
      <c r="N248" s="566"/>
      <c r="O248" s="684"/>
      <c r="P248" s="684"/>
      <c r="Q248" s="566"/>
      <c r="R248" s="566"/>
      <c r="S248" s="566"/>
      <c r="T248" s="684"/>
      <c r="U248" s="684"/>
    </row>
    <row r="249" spans="1:21" ht="18.75" hidden="1" x14ac:dyDescent="0.25">
      <c r="A249" s="687"/>
      <c r="B249" s="688"/>
      <c r="C249" s="688"/>
      <c r="D249" s="726" t="s">
        <v>108</v>
      </c>
      <c r="E249" s="695"/>
      <c r="F249" s="695"/>
      <c r="G249" s="692"/>
      <c r="H249" s="802" t="s">
        <v>35</v>
      </c>
      <c r="I249" s="735">
        <f ca="1">IFERROR(__xludf.DUMMYFUNCTION("IMPORTRANGE(""https://docs.google.com/spreadsheets/d/1eHaY18a8A9IcSdp1K8H6x8fbOy06t2VsZHhMHf-1x7Y/edit?usp=sharing"",""แผน!BG22"")"),0)</f>
        <v>0</v>
      </c>
      <c r="J249" s="736">
        <v>0</v>
      </c>
      <c r="K249" s="572">
        <f ca="1">IF(I249&gt;0,J249*100/I249,0)</f>
        <v>0</v>
      </c>
      <c r="L249" s="574"/>
      <c r="M249" s="566"/>
      <c r="N249" s="566"/>
      <c r="O249" s="566"/>
      <c r="P249" s="566"/>
      <c r="Q249" s="566"/>
      <c r="R249" s="566"/>
      <c r="S249" s="566"/>
      <c r="T249" s="566"/>
      <c r="U249" s="566"/>
    </row>
    <row r="250" spans="1:21" ht="18.75" hidden="1" x14ac:dyDescent="0.25">
      <c r="A250" s="687"/>
      <c r="B250" s="688"/>
      <c r="C250" s="688"/>
      <c r="D250" s="803" t="s">
        <v>43</v>
      </c>
      <c r="E250" s="695"/>
      <c r="F250" s="695"/>
      <c r="G250" s="692"/>
      <c r="H250" s="692"/>
      <c r="I250" s="565"/>
      <c r="J250" s="565"/>
      <c r="K250" s="566"/>
      <c r="L250" s="574"/>
      <c r="M250" s="566"/>
      <c r="N250" s="566"/>
      <c r="O250" s="684"/>
      <c r="P250" s="684"/>
      <c r="Q250" s="566"/>
      <c r="R250" s="566"/>
      <c r="S250" s="566"/>
      <c r="T250" s="684"/>
      <c r="U250" s="684"/>
    </row>
    <row r="251" spans="1:21" ht="18.75" hidden="1" x14ac:dyDescent="0.25">
      <c r="A251" s="687"/>
      <c r="B251" s="688"/>
      <c r="C251" s="688"/>
      <c r="D251" s="688"/>
      <c r="E251" s="804" t="s">
        <v>109</v>
      </c>
      <c r="F251" s="695"/>
      <c r="G251" s="692"/>
      <c r="H251" s="802" t="s">
        <v>35</v>
      </c>
      <c r="I251" s="735">
        <v>0</v>
      </c>
      <c r="J251" s="736">
        <v>0</v>
      </c>
      <c r="K251" s="572">
        <f t="shared" ref="K251:K253" si="158">IF(I251&gt;0,J251*100/I251,0)</f>
        <v>0</v>
      </c>
      <c r="L251" s="574"/>
      <c r="M251" s="566"/>
      <c r="N251" s="566"/>
      <c r="O251" s="566"/>
      <c r="P251" s="566"/>
      <c r="Q251" s="566"/>
      <c r="R251" s="566"/>
      <c r="S251" s="566"/>
      <c r="T251" s="566"/>
      <c r="U251" s="566"/>
    </row>
    <row r="252" spans="1:21" ht="18.75" hidden="1" x14ac:dyDescent="0.25">
      <c r="A252" s="687"/>
      <c r="B252" s="688"/>
      <c r="C252" s="688"/>
      <c r="D252" s="688"/>
      <c r="E252" s="804" t="s">
        <v>110</v>
      </c>
      <c r="F252" s="695"/>
      <c r="G252" s="692"/>
      <c r="H252" s="802" t="s">
        <v>61</v>
      </c>
      <c r="I252" s="735">
        <v>0</v>
      </c>
      <c r="J252" s="736">
        <v>0</v>
      </c>
      <c r="K252" s="572">
        <f t="shared" si="158"/>
        <v>0</v>
      </c>
      <c r="L252" s="574"/>
      <c r="M252" s="566"/>
      <c r="N252" s="566"/>
      <c r="O252" s="566"/>
      <c r="P252" s="566"/>
      <c r="Q252" s="566"/>
      <c r="R252" s="566"/>
      <c r="S252" s="566"/>
      <c r="T252" s="566"/>
      <c r="U252" s="566"/>
    </row>
    <row r="253" spans="1:21" ht="19.5" hidden="1" x14ac:dyDescent="0.3">
      <c r="A253" s="769"/>
      <c r="B253" s="770"/>
      <c r="C253" s="793" t="s">
        <v>112</v>
      </c>
      <c r="D253" s="772"/>
      <c r="E253" s="772"/>
      <c r="F253" s="772"/>
      <c r="G253" s="773"/>
      <c r="H253" s="794" t="s">
        <v>35</v>
      </c>
      <c r="I253" s="795">
        <f t="shared" ref="I253:J253" ca="1" si="159">I260</f>
        <v>0</v>
      </c>
      <c r="J253" s="795">
        <f t="shared" si="159"/>
        <v>0</v>
      </c>
      <c r="K253" s="796">
        <f t="shared" ca="1" si="158"/>
        <v>0</v>
      </c>
      <c r="L253" s="777"/>
      <c r="M253" s="778"/>
      <c r="N253" s="778"/>
      <c r="O253" s="778"/>
      <c r="P253" s="778"/>
      <c r="Q253" s="778"/>
      <c r="R253" s="778"/>
      <c r="S253" s="778"/>
      <c r="T253" s="778"/>
      <c r="U253" s="778"/>
    </row>
    <row r="254" spans="1:21" ht="19.5" hidden="1" x14ac:dyDescent="0.3">
      <c r="A254" s="674"/>
      <c r="B254" s="561"/>
      <c r="C254" s="797" t="s">
        <v>18</v>
      </c>
      <c r="D254" s="805" t="s">
        <v>19</v>
      </c>
      <c r="E254" s="561"/>
      <c r="F254" s="561"/>
      <c r="G254" s="563"/>
      <c r="H254" s="799" t="s">
        <v>14</v>
      </c>
      <c r="I254" s="683"/>
      <c r="J254" s="683"/>
      <c r="K254" s="684"/>
      <c r="L254" s="678">
        <f ca="1">L255+L256+L257+L258</f>
        <v>0</v>
      </c>
      <c r="M254" s="566"/>
      <c r="N254" s="679">
        <f>N255+N256+N257+N258</f>
        <v>0</v>
      </c>
      <c r="O254" s="679">
        <f ca="1">IF(L254&gt;0,N254*100/L254,0)</f>
        <v>0</v>
      </c>
      <c r="P254" s="679">
        <f>IF(M254&gt;0,N254*100/M254,0)</f>
        <v>0</v>
      </c>
      <c r="Q254" s="566"/>
      <c r="R254" s="566"/>
      <c r="S254" s="566"/>
      <c r="T254" s="566"/>
      <c r="U254" s="566"/>
    </row>
    <row r="255" spans="1:21" ht="18.75" hidden="1" x14ac:dyDescent="0.25">
      <c r="A255" s="674"/>
      <c r="B255" s="718"/>
      <c r="C255" s="561"/>
      <c r="D255" s="569" t="s">
        <v>86</v>
      </c>
      <c r="E255" s="561"/>
      <c r="F255" s="561"/>
      <c r="G255" s="563"/>
      <c r="H255" s="685" t="s">
        <v>14</v>
      </c>
      <c r="I255" s="683"/>
      <c r="J255" s="683"/>
      <c r="K255" s="684"/>
      <c r="L255" s="567">
        <f ca="1">IFERROR(__xludf.DUMMYFUNCTION("IMPORTRANGE(""https://docs.google.com/spreadsheets/d/1eHaY18a8A9IcSdp1K8H6x8fbOy06t2VsZHhMHf-1x7Y/edit?usp=sharing"",""แผน!BB22"")"),0)</f>
        <v>0</v>
      </c>
      <c r="M255" s="566"/>
      <c r="N255" s="786">
        <v>0</v>
      </c>
      <c r="O255" s="566"/>
      <c r="P255" s="566"/>
      <c r="Q255" s="566"/>
      <c r="R255" s="566"/>
      <c r="S255" s="566"/>
      <c r="T255" s="566"/>
      <c r="U255" s="566"/>
    </row>
    <row r="256" spans="1:21" ht="18.75" hidden="1" x14ac:dyDescent="0.25">
      <c r="A256" s="764"/>
      <c r="B256" s="718"/>
      <c r="C256" s="718"/>
      <c r="D256" s="569" t="s">
        <v>88</v>
      </c>
      <c r="E256" s="561"/>
      <c r="F256" s="561"/>
      <c r="G256" s="563"/>
      <c r="H256" s="685" t="s">
        <v>14</v>
      </c>
      <c r="I256" s="565"/>
      <c r="J256" s="565"/>
      <c r="K256" s="566"/>
      <c r="L256" s="567">
        <f ca="1">IFERROR(__xludf.DUMMYFUNCTION("IMPORTRANGE(""https://docs.google.com/spreadsheets/d/1eHaY18a8A9IcSdp1K8H6x8fbOy06t2VsZHhMHf-1x7Y/edit?usp=sharing"",""แผน!BC22"")"),0)</f>
        <v>0</v>
      </c>
      <c r="M256" s="566"/>
      <c r="N256" s="786">
        <v>0</v>
      </c>
      <c r="O256" s="566"/>
      <c r="P256" s="566"/>
      <c r="Q256" s="566"/>
      <c r="R256" s="566"/>
      <c r="S256" s="566"/>
      <c r="T256" s="566"/>
      <c r="U256" s="566"/>
    </row>
    <row r="257" spans="1:21" ht="18.75" hidden="1" x14ac:dyDescent="0.25">
      <c r="A257" s="764"/>
      <c r="B257" s="718"/>
      <c r="C257" s="718"/>
      <c r="D257" s="569" t="s">
        <v>106</v>
      </c>
      <c r="E257" s="561"/>
      <c r="F257" s="561"/>
      <c r="G257" s="563"/>
      <c r="H257" s="685" t="s">
        <v>14</v>
      </c>
      <c r="I257" s="565"/>
      <c r="J257" s="565"/>
      <c r="K257" s="566"/>
      <c r="L257" s="567">
        <f ca="1">IFERROR(__xludf.DUMMYFUNCTION("IMPORTRANGE(""https://docs.google.com/spreadsheets/d/1eHaY18a8A9IcSdp1K8H6x8fbOy06t2VsZHhMHf-1x7Y/edit?usp=sharing"",""แผน!BD22"")"),0)</f>
        <v>0</v>
      </c>
      <c r="M257" s="566"/>
      <c r="N257" s="786">
        <v>0</v>
      </c>
      <c r="O257" s="566"/>
      <c r="P257" s="566"/>
      <c r="Q257" s="566"/>
      <c r="R257" s="566"/>
      <c r="S257" s="566"/>
      <c r="T257" s="566"/>
      <c r="U257" s="566"/>
    </row>
    <row r="258" spans="1:21" ht="18.75" hidden="1" x14ac:dyDescent="0.25">
      <c r="A258" s="764"/>
      <c r="B258" s="718"/>
      <c r="C258" s="718"/>
      <c r="D258" s="569" t="s">
        <v>107</v>
      </c>
      <c r="E258" s="561"/>
      <c r="F258" s="561"/>
      <c r="G258" s="563"/>
      <c r="H258" s="685" t="s">
        <v>14</v>
      </c>
      <c r="I258" s="565"/>
      <c r="J258" s="565"/>
      <c r="K258" s="566"/>
      <c r="L258" s="567">
        <f ca="1">IFERROR(__xludf.DUMMYFUNCTION("IMPORTRANGE(""https://docs.google.com/spreadsheets/d/1eHaY18a8A9IcSdp1K8H6x8fbOy06t2VsZHhMHf-1x7Y/edit?usp=sharing"",""แผน!BE22"")"),0)</f>
        <v>0</v>
      </c>
      <c r="M258" s="566"/>
      <c r="N258" s="786">
        <v>0</v>
      </c>
      <c r="O258" s="566"/>
      <c r="P258" s="566"/>
      <c r="Q258" s="566"/>
      <c r="R258" s="566"/>
      <c r="S258" s="566"/>
      <c r="T258" s="566"/>
      <c r="U258" s="566"/>
    </row>
    <row r="259" spans="1:21" ht="19.5" hidden="1" x14ac:dyDescent="0.3">
      <c r="A259" s="687"/>
      <c r="B259" s="688"/>
      <c r="C259" s="800" t="s">
        <v>18</v>
      </c>
      <c r="D259" s="801" t="s">
        <v>38</v>
      </c>
      <c r="E259" s="690"/>
      <c r="F259" s="690"/>
      <c r="G259" s="691"/>
      <c r="H259" s="692"/>
      <c r="I259" s="683"/>
      <c r="J259" s="565"/>
      <c r="K259" s="566"/>
      <c r="L259" s="574"/>
      <c r="M259" s="566"/>
      <c r="N259" s="566"/>
      <c r="O259" s="684"/>
      <c r="P259" s="684"/>
      <c r="Q259" s="566"/>
      <c r="R259" s="566"/>
      <c r="S259" s="566"/>
      <c r="T259" s="684"/>
      <c r="U259" s="684"/>
    </row>
    <row r="260" spans="1:21" ht="18.75" hidden="1" x14ac:dyDescent="0.25">
      <c r="A260" s="687"/>
      <c r="B260" s="688"/>
      <c r="C260" s="688"/>
      <c r="D260" s="726" t="s">
        <v>108</v>
      </c>
      <c r="E260" s="695"/>
      <c r="F260" s="695"/>
      <c r="G260" s="692"/>
      <c r="H260" s="802" t="s">
        <v>35</v>
      </c>
      <c r="I260" s="735">
        <f ca="1">IFERROR(__xludf.DUMMYFUNCTION("IMPORTRANGE(""https://docs.google.com/spreadsheets/d/1eHaY18a8A9IcSdp1K8H6x8fbOy06t2VsZHhMHf-1x7Y/edit?usp=sharing"",""แผน!BH22"")"),0)</f>
        <v>0</v>
      </c>
      <c r="J260" s="736">
        <v>0</v>
      </c>
      <c r="K260" s="572">
        <f ca="1">IF(I260&gt;0,J260*100/I260,0)</f>
        <v>0</v>
      </c>
      <c r="L260" s="574"/>
      <c r="M260" s="566"/>
      <c r="N260" s="566"/>
      <c r="O260" s="566"/>
      <c r="P260" s="566"/>
      <c r="Q260" s="566"/>
      <c r="R260" s="566"/>
      <c r="S260" s="566"/>
      <c r="T260" s="566"/>
      <c r="U260" s="566"/>
    </row>
    <row r="261" spans="1:21" ht="18.75" hidden="1" x14ac:dyDescent="0.25">
      <c r="A261" s="687"/>
      <c r="B261" s="688"/>
      <c r="C261" s="688"/>
      <c r="D261" s="803" t="s">
        <v>43</v>
      </c>
      <c r="E261" s="695"/>
      <c r="F261" s="695"/>
      <c r="G261" s="692"/>
      <c r="H261" s="692"/>
      <c r="I261" s="565"/>
      <c r="J261" s="565"/>
      <c r="K261" s="566"/>
      <c r="L261" s="574"/>
      <c r="M261" s="566"/>
      <c r="N261" s="566"/>
      <c r="O261" s="684"/>
      <c r="P261" s="684"/>
      <c r="Q261" s="566"/>
      <c r="R261" s="566"/>
      <c r="S261" s="566"/>
      <c r="T261" s="684"/>
      <c r="U261" s="684"/>
    </row>
    <row r="262" spans="1:21" ht="18.75" hidden="1" x14ac:dyDescent="0.25">
      <c r="A262" s="687"/>
      <c r="B262" s="688"/>
      <c r="C262" s="688"/>
      <c r="D262" s="688"/>
      <c r="E262" s="804" t="s">
        <v>109</v>
      </c>
      <c r="F262" s="695"/>
      <c r="G262" s="692"/>
      <c r="H262" s="802" t="s">
        <v>35</v>
      </c>
      <c r="I262" s="565"/>
      <c r="J262" s="736">
        <v>0</v>
      </c>
      <c r="K262" s="572">
        <f t="shared" ref="K262:K263" si="160">IF(I262&gt;0,J262*100/I262,0)</f>
        <v>0</v>
      </c>
      <c r="L262" s="574"/>
      <c r="M262" s="566"/>
      <c r="N262" s="566"/>
      <c r="O262" s="566"/>
      <c r="P262" s="566"/>
      <c r="Q262" s="566"/>
      <c r="R262" s="566"/>
      <c r="S262" s="566"/>
      <c r="T262" s="566"/>
      <c r="U262" s="566"/>
    </row>
    <row r="263" spans="1:21" ht="18.75" hidden="1" x14ac:dyDescent="0.25">
      <c r="A263" s="687"/>
      <c r="B263" s="688"/>
      <c r="C263" s="688"/>
      <c r="D263" s="688"/>
      <c r="E263" s="804" t="s">
        <v>110</v>
      </c>
      <c r="F263" s="695"/>
      <c r="G263" s="692"/>
      <c r="H263" s="802" t="s">
        <v>61</v>
      </c>
      <c r="I263" s="565"/>
      <c r="J263" s="736">
        <v>0</v>
      </c>
      <c r="K263" s="572">
        <f t="shared" si="160"/>
        <v>0</v>
      </c>
      <c r="L263" s="574"/>
      <c r="M263" s="566"/>
      <c r="N263" s="566"/>
      <c r="O263" s="566"/>
      <c r="P263" s="566"/>
      <c r="Q263" s="566"/>
      <c r="R263" s="566"/>
      <c r="S263" s="566"/>
      <c r="T263" s="566"/>
      <c r="U263" s="566"/>
    </row>
    <row r="264" spans="1:21" ht="19.5" x14ac:dyDescent="0.3">
      <c r="A264" s="806" t="s">
        <v>113</v>
      </c>
      <c r="B264" s="807"/>
      <c r="C264" s="807"/>
      <c r="D264" s="808"/>
      <c r="E264" s="808"/>
      <c r="F264" s="808"/>
      <c r="G264" s="809"/>
      <c r="H264" s="809"/>
      <c r="I264" s="810"/>
      <c r="J264" s="810"/>
      <c r="K264" s="811"/>
      <c r="L264" s="812"/>
      <c r="M264" s="811"/>
      <c r="N264" s="811"/>
      <c r="O264" s="811"/>
      <c r="P264" s="811"/>
      <c r="Q264" s="811"/>
      <c r="R264" s="811"/>
      <c r="S264" s="811"/>
      <c r="T264" s="811"/>
      <c r="U264" s="811"/>
    </row>
    <row r="265" spans="1:21" ht="19.5" x14ac:dyDescent="0.3">
      <c r="A265" s="813"/>
      <c r="B265" s="814" t="s">
        <v>114</v>
      </c>
      <c r="C265" s="815"/>
      <c r="D265" s="816"/>
      <c r="E265" s="816"/>
      <c r="F265" s="816"/>
      <c r="G265" s="817"/>
      <c r="H265" s="818" t="s">
        <v>35</v>
      </c>
      <c r="I265" s="819">
        <f t="shared" ref="I265:J265" ca="1" si="161">I276</f>
        <v>24</v>
      </c>
      <c r="J265" s="819">
        <f t="shared" si="161"/>
        <v>0</v>
      </c>
      <c r="K265" s="820">
        <f ca="1">IF(I265&gt;0,J265*100/I265,0)</f>
        <v>0</v>
      </c>
      <c r="L265" s="821"/>
      <c r="M265" s="822"/>
      <c r="N265" s="822"/>
      <c r="O265" s="822"/>
      <c r="P265" s="822"/>
      <c r="Q265" s="822"/>
      <c r="R265" s="822"/>
      <c r="S265" s="822"/>
      <c r="T265" s="822"/>
      <c r="U265" s="822"/>
    </row>
    <row r="266" spans="1:21" ht="19.5" x14ac:dyDescent="0.3">
      <c r="A266" s="823"/>
      <c r="B266" s="824"/>
      <c r="C266" s="825" t="s">
        <v>18</v>
      </c>
      <c r="D266" s="826" t="s">
        <v>19</v>
      </c>
      <c r="E266" s="824"/>
      <c r="F266" s="824"/>
      <c r="G266" s="827"/>
      <c r="H266" s="828" t="s">
        <v>14</v>
      </c>
      <c r="I266" s="829"/>
      <c r="J266" s="829"/>
      <c r="K266" s="830"/>
      <c r="L266" s="831">
        <f t="shared" ref="L266:N266" ca="1" si="162">L267+L268</f>
        <v>5000</v>
      </c>
      <c r="M266" s="832">
        <f t="shared" ca="1" si="162"/>
        <v>5000</v>
      </c>
      <c r="N266" s="832">
        <f t="shared" ca="1" si="162"/>
        <v>5000</v>
      </c>
      <c r="O266" s="832">
        <f t="shared" ref="O266:O274" ca="1" si="163">IF(L266&gt;0,N266*100/L266,0)</f>
        <v>100</v>
      </c>
      <c r="P266" s="832">
        <f t="shared" ref="P266:P274" ca="1" si="164">IF(M266&gt;0,N266*100/M266,0)</f>
        <v>100</v>
      </c>
      <c r="Q266" s="832">
        <f t="shared" ref="Q266:S266" ca="1" si="165">Q267+Q268</f>
        <v>53440</v>
      </c>
      <c r="R266" s="832">
        <f t="shared" ca="1" si="165"/>
        <v>53440</v>
      </c>
      <c r="S266" s="832">
        <f t="shared" ca="1" si="165"/>
        <v>13160</v>
      </c>
      <c r="T266" s="832">
        <f t="shared" ref="T266:T274" ca="1" si="166">IF(Q266&gt;0,S266*100/Q266,0)</f>
        <v>24.625748502994011</v>
      </c>
      <c r="U266" s="832">
        <f t="shared" ref="U266:U274" ca="1" si="167">IF(R266&gt;0,S266*100/R266,0)</f>
        <v>24.625748502994011</v>
      </c>
    </row>
    <row r="267" spans="1:21" ht="18.75" x14ac:dyDescent="0.25">
      <c r="A267" s="833"/>
      <c r="B267" s="834"/>
      <c r="C267" s="834"/>
      <c r="D267" s="834"/>
      <c r="E267" s="569" t="s">
        <v>20</v>
      </c>
      <c r="F267" s="834"/>
      <c r="G267" s="835"/>
      <c r="H267" s="680" t="s">
        <v>14</v>
      </c>
      <c r="I267" s="836"/>
      <c r="J267" s="836"/>
      <c r="K267" s="837"/>
      <c r="L267" s="571">
        <f t="shared" ref="L267:N268" si="168">L270+L273</f>
        <v>0</v>
      </c>
      <c r="M267" s="572">
        <f t="shared" si="168"/>
        <v>0</v>
      </c>
      <c r="N267" s="572">
        <f t="shared" si="168"/>
        <v>0</v>
      </c>
      <c r="O267" s="572">
        <f t="shared" si="163"/>
        <v>0</v>
      </c>
      <c r="P267" s="572">
        <f t="shared" si="164"/>
        <v>0</v>
      </c>
      <c r="Q267" s="572">
        <f t="shared" ref="Q267:S268" si="169">Q270+Q273</f>
        <v>0</v>
      </c>
      <c r="R267" s="572">
        <f t="shared" si="169"/>
        <v>0</v>
      </c>
      <c r="S267" s="572">
        <f t="shared" si="169"/>
        <v>0</v>
      </c>
      <c r="T267" s="572">
        <f t="shared" si="166"/>
        <v>0</v>
      </c>
      <c r="U267" s="572">
        <f t="shared" si="167"/>
        <v>0</v>
      </c>
    </row>
    <row r="268" spans="1:21" ht="18.75" x14ac:dyDescent="0.25">
      <c r="A268" s="823"/>
      <c r="B268" s="824"/>
      <c r="C268" s="824"/>
      <c r="D268" s="824"/>
      <c r="E268" s="838" t="s">
        <v>21</v>
      </c>
      <c r="F268" s="824"/>
      <c r="G268" s="827"/>
      <c r="H268" s="839" t="s">
        <v>14</v>
      </c>
      <c r="I268" s="829"/>
      <c r="J268" s="829"/>
      <c r="K268" s="830"/>
      <c r="L268" s="840">
        <f t="shared" ca="1" si="168"/>
        <v>5000</v>
      </c>
      <c r="M268" s="841">
        <f t="shared" ca="1" si="168"/>
        <v>5000</v>
      </c>
      <c r="N268" s="841">
        <f t="shared" ca="1" si="168"/>
        <v>5000</v>
      </c>
      <c r="O268" s="841">
        <f t="shared" ca="1" si="163"/>
        <v>100</v>
      </c>
      <c r="P268" s="841">
        <f t="shared" ca="1" si="164"/>
        <v>100</v>
      </c>
      <c r="Q268" s="841">
        <f t="shared" ca="1" si="169"/>
        <v>53440</v>
      </c>
      <c r="R268" s="841">
        <f t="shared" ca="1" si="169"/>
        <v>53440</v>
      </c>
      <c r="S268" s="841">
        <f t="shared" ca="1" si="169"/>
        <v>13160</v>
      </c>
      <c r="T268" s="841">
        <f t="shared" ca="1" si="166"/>
        <v>24.625748502994011</v>
      </c>
      <c r="U268" s="841">
        <f t="shared" ca="1" si="167"/>
        <v>24.625748502994011</v>
      </c>
    </row>
    <row r="269" spans="1:21" ht="18.75" x14ac:dyDescent="0.25">
      <c r="A269" s="823"/>
      <c r="B269" s="824"/>
      <c r="C269" s="824"/>
      <c r="D269" s="842" t="s">
        <v>22</v>
      </c>
      <c r="E269" s="824"/>
      <c r="F269" s="824"/>
      <c r="G269" s="827"/>
      <c r="H269" s="843" t="s">
        <v>14</v>
      </c>
      <c r="I269" s="844"/>
      <c r="J269" s="844"/>
      <c r="K269" s="845"/>
      <c r="L269" s="840">
        <f t="shared" ref="L269:N269" ca="1" si="170">L270+L271</f>
        <v>5000</v>
      </c>
      <c r="M269" s="841">
        <f t="shared" ca="1" si="170"/>
        <v>5000</v>
      </c>
      <c r="N269" s="841">
        <f t="shared" ca="1" si="170"/>
        <v>5000</v>
      </c>
      <c r="O269" s="841">
        <f t="shared" ca="1" si="163"/>
        <v>100</v>
      </c>
      <c r="P269" s="841">
        <f t="shared" ca="1" si="164"/>
        <v>100</v>
      </c>
      <c r="Q269" s="841">
        <f t="shared" ref="Q269:S269" ca="1" si="171">Q270+Q271</f>
        <v>53440</v>
      </c>
      <c r="R269" s="841">
        <f t="shared" ca="1" si="171"/>
        <v>53440</v>
      </c>
      <c r="S269" s="841">
        <f t="shared" ca="1" si="171"/>
        <v>13160</v>
      </c>
      <c r="T269" s="841">
        <f t="shared" ca="1" si="166"/>
        <v>24.625748502994011</v>
      </c>
      <c r="U269" s="841">
        <f t="shared" ca="1" si="167"/>
        <v>24.625748502994011</v>
      </c>
    </row>
    <row r="270" spans="1:21" ht="18.75" x14ac:dyDescent="0.25">
      <c r="A270" s="833"/>
      <c r="B270" s="834"/>
      <c r="C270" s="834"/>
      <c r="D270" s="834"/>
      <c r="E270" s="569" t="s">
        <v>36</v>
      </c>
      <c r="F270" s="834"/>
      <c r="G270" s="835"/>
      <c r="H270" s="685" t="s">
        <v>14</v>
      </c>
      <c r="I270" s="846"/>
      <c r="J270" s="846"/>
      <c r="K270" s="847"/>
      <c r="L270" s="571">
        <v>0</v>
      </c>
      <c r="M270" s="572">
        <v>0</v>
      </c>
      <c r="N270" s="572">
        <v>0</v>
      </c>
      <c r="O270" s="572">
        <f t="shared" si="163"/>
        <v>0</v>
      </c>
      <c r="P270" s="572">
        <f t="shared" si="164"/>
        <v>0</v>
      </c>
      <c r="Q270" s="572">
        <v>0</v>
      </c>
      <c r="R270" s="572">
        <v>0</v>
      </c>
      <c r="S270" s="572">
        <v>0</v>
      </c>
      <c r="T270" s="572">
        <f t="shared" si="166"/>
        <v>0</v>
      </c>
      <c r="U270" s="572">
        <f t="shared" si="167"/>
        <v>0</v>
      </c>
    </row>
    <row r="271" spans="1:21" ht="18.75" x14ac:dyDescent="0.25">
      <c r="A271" s="823"/>
      <c r="B271" s="824"/>
      <c r="C271" s="824"/>
      <c r="D271" s="824"/>
      <c r="E271" s="838" t="s">
        <v>37</v>
      </c>
      <c r="F271" s="824"/>
      <c r="G271" s="827"/>
      <c r="H271" s="843" t="s">
        <v>14</v>
      </c>
      <c r="I271" s="844"/>
      <c r="J271" s="844"/>
      <c r="K271" s="845"/>
      <c r="L271" s="840">
        <f ca="1">IFERROR(__xludf.DUMMYFUNCTION("IMPORTRANGE(""https://docs.google.com/spreadsheets/d/1-uDff_7J0KD5mKrp0Vvzr7lt3OU09vwQwhkpOPPYv2Y/edit?usp=sharing"",""งบพรบ!DE22"")"),5000)</f>
        <v>5000</v>
      </c>
      <c r="M271" s="841">
        <f ca="1">IFERROR(__xludf.DUMMYFUNCTION("IMPORTRANGE(""https://docs.google.com/spreadsheets/d/1-uDff_7J0KD5mKrp0Vvzr7lt3OU09vwQwhkpOPPYv2Y/edit?usp=sharing"",""งบพรบ!DJ22"")"),5000)</f>
        <v>5000</v>
      </c>
      <c r="N271" s="841">
        <f ca="1">IFERROR(__xludf.DUMMYFUNCTION("IMPORTRANGE(""https://docs.google.com/spreadsheets/d/1-uDff_7J0KD5mKrp0Vvzr7lt3OU09vwQwhkpOPPYv2Y/edit?usp=sharing"",""งบพรบ!DL22"")"),5000)</f>
        <v>5000</v>
      </c>
      <c r="O271" s="841">
        <f t="shared" ca="1" si="163"/>
        <v>100</v>
      </c>
      <c r="P271" s="841">
        <f t="shared" ca="1" si="164"/>
        <v>100</v>
      </c>
      <c r="Q271" s="841">
        <f ca="1">IFERROR(__xludf.DUMMYFUNCTION("IMPORTRANGE(""https://docs.google.com/spreadsheets/d/1ItG2mGa2ceCfYo0BwxsXqNm01IGEUdYcSSLTEv9YCik/edit?usp=sharing"",""เบิกจ่ายกองทุน!AP22"")"),53440)</f>
        <v>53440</v>
      </c>
      <c r="R271" s="841">
        <f ca="1">IFERROR(__xludf.DUMMYFUNCTION("IMPORTRANGE(""https://docs.google.com/spreadsheets/d/1ItG2mGa2ceCfYo0BwxsXqNm01IGEUdYcSSLTEv9YCik/edit?usp=sharing"",""เบิกจ่ายกองทุน!AQ22"")"),53440)</f>
        <v>53440</v>
      </c>
      <c r="S271" s="841">
        <f ca="1">IFERROR(__xludf.DUMMYFUNCTION("IMPORTRANGE(""https://docs.google.com/spreadsheets/d/1ItG2mGa2ceCfYo0BwxsXqNm01IGEUdYcSSLTEv9YCik/edit?usp=sharing"",""เบิกจ่ายกองทุน!AR22"")"),13160)</f>
        <v>13160</v>
      </c>
      <c r="T271" s="841">
        <f t="shared" ca="1" si="166"/>
        <v>24.625748502994011</v>
      </c>
      <c r="U271" s="841">
        <f t="shared" ca="1" si="167"/>
        <v>24.625748502994011</v>
      </c>
    </row>
    <row r="272" spans="1:21" ht="18.75" x14ac:dyDescent="0.25">
      <c r="A272" s="823"/>
      <c r="B272" s="824"/>
      <c r="C272" s="824"/>
      <c r="D272" s="842" t="s">
        <v>23</v>
      </c>
      <c r="E272" s="824"/>
      <c r="F272" s="824"/>
      <c r="G272" s="827"/>
      <c r="H272" s="848" t="s">
        <v>14</v>
      </c>
      <c r="I272" s="844"/>
      <c r="J272" s="844"/>
      <c r="K272" s="845"/>
      <c r="L272" s="840">
        <f t="shared" ref="L272:N272" ca="1" si="172">L273+L274</f>
        <v>0</v>
      </c>
      <c r="M272" s="841">
        <f t="shared" ca="1" si="172"/>
        <v>0</v>
      </c>
      <c r="N272" s="841">
        <f t="shared" ca="1" si="172"/>
        <v>0</v>
      </c>
      <c r="O272" s="841">
        <f t="shared" ca="1" si="163"/>
        <v>0</v>
      </c>
      <c r="P272" s="841">
        <f t="shared" ca="1" si="164"/>
        <v>0</v>
      </c>
      <c r="Q272" s="841">
        <f t="shared" ref="Q272:S272" si="173">Q273+Q274</f>
        <v>0</v>
      </c>
      <c r="R272" s="841">
        <f t="shared" si="173"/>
        <v>0</v>
      </c>
      <c r="S272" s="841">
        <f t="shared" si="173"/>
        <v>0</v>
      </c>
      <c r="T272" s="841">
        <f t="shared" si="166"/>
        <v>0</v>
      </c>
      <c r="U272" s="841">
        <f t="shared" si="167"/>
        <v>0</v>
      </c>
    </row>
    <row r="273" spans="1:21" ht="18.75" x14ac:dyDescent="0.25">
      <c r="A273" s="833"/>
      <c r="B273" s="834"/>
      <c r="C273" s="834"/>
      <c r="D273" s="834"/>
      <c r="E273" s="569" t="s">
        <v>20</v>
      </c>
      <c r="F273" s="834"/>
      <c r="G273" s="835"/>
      <c r="H273" s="685" t="s">
        <v>14</v>
      </c>
      <c r="I273" s="846"/>
      <c r="J273" s="846"/>
      <c r="K273" s="847"/>
      <c r="L273" s="571">
        <v>0</v>
      </c>
      <c r="M273" s="572">
        <v>0</v>
      </c>
      <c r="N273" s="572">
        <v>0</v>
      </c>
      <c r="O273" s="572">
        <f t="shared" si="163"/>
        <v>0</v>
      </c>
      <c r="P273" s="572">
        <f t="shared" si="164"/>
        <v>0</v>
      </c>
      <c r="Q273" s="572">
        <v>0</v>
      </c>
      <c r="R273" s="572">
        <v>0</v>
      </c>
      <c r="S273" s="572">
        <v>0</v>
      </c>
      <c r="T273" s="572">
        <f t="shared" si="166"/>
        <v>0</v>
      </c>
      <c r="U273" s="572">
        <f t="shared" si="167"/>
        <v>0</v>
      </c>
    </row>
    <row r="274" spans="1:21" ht="18.75" x14ac:dyDescent="0.25">
      <c r="A274" s="823"/>
      <c r="B274" s="824"/>
      <c r="C274" s="824"/>
      <c r="D274" s="824"/>
      <c r="E274" s="838" t="s">
        <v>21</v>
      </c>
      <c r="F274" s="824"/>
      <c r="G274" s="827"/>
      <c r="H274" s="848" t="s">
        <v>14</v>
      </c>
      <c r="I274" s="844"/>
      <c r="J274" s="844"/>
      <c r="K274" s="845"/>
      <c r="L274" s="840">
        <f ca="1">IFERROR(__xludf.DUMMYFUNCTION("IMPORTRANGE(""https://docs.google.com/spreadsheets/d/1-uDff_7J0KD5mKrp0Vvzr7lt3OU09vwQwhkpOPPYv2Y/edit?usp=sharing"",""งบพรบ!DH22"")"),0)</f>
        <v>0</v>
      </c>
      <c r="M274" s="841">
        <f ca="1">IFERROR(__xludf.DUMMYFUNCTION("IMPORTRANGE(""https://docs.google.com/spreadsheets/d/1-uDff_7J0KD5mKrp0Vvzr7lt3OU09vwQwhkpOPPYv2Y/edit?usp=sharing"",""งบพรบ!DK22"")"),0)</f>
        <v>0</v>
      </c>
      <c r="N274" s="841">
        <f ca="1">IFERROR(__xludf.DUMMYFUNCTION("IMPORTRANGE(""https://docs.google.com/spreadsheets/d/1-uDff_7J0KD5mKrp0Vvzr7lt3OU09vwQwhkpOPPYv2Y/edit?usp=sharing"",""งบพรบ!DM22"")"),0)</f>
        <v>0</v>
      </c>
      <c r="O274" s="841">
        <f t="shared" ca="1" si="163"/>
        <v>0</v>
      </c>
      <c r="P274" s="841">
        <f t="shared" ca="1" si="164"/>
        <v>0</v>
      </c>
      <c r="Q274" s="841">
        <v>0</v>
      </c>
      <c r="R274" s="841">
        <v>0</v>
      </c>
      <c r="S274" s="841">
        <v>0</v>
      </c>
      <c r="T274" s="841">
        <f t="shared" si="166"/>
        <v>0</v>
      </c>
      <c r="U274" s="841">
        <f t="shared" si="167"/>
        <v>0</v>
      </c>
    </row>
    <row r="275" spans="1:21" ht="19.5" x14ac:dyDescent="0.3">
      <c r="A275" s="849"/>
      <c r="B275" s="850"/>
      <c r="C275" s="838" t="s">
        <v>18</v>
      </c>
      <c r="D275" s="851" t="s">
        <v>38</v>
      </c>
      <c r="E275" s="816"/>
      <c r="F275" s="816"/>
      <c r="G275" s="817"/>
      <c r="H275" s="852"/>
      <c r="I275" s="844"/>
      <c r="J275" s="844"/>
      <c r="K275" s="845"/>
      <c r="L275" s="853"/>
      <c r="M275" s="845"/>
      <c r="N275" s="845"/>
      <c r="O275" s="845"/>
      <c r="P275" s="845"/>
      <c r="Q275" s="845"/>
      <c r="R275" s="845"/>
      <c r="S275" s="845"/>
      <c r="T275" s="845"/>
      <c r="U275" s="845"/>
    </row>
    <row r="276" spans="1:21" ht="18.75" x14ac:dyDescent="0.25">
      <c r="A276" s="854"/>
      <c r="B276" s="855"/>
      <c r="C276" s="855"/>
      <c r="D276" s="856" t="s">
        <v>115</v>
      </c>
      <c r="E276" s="857"/>
      <c r="F276" s="857"/>
      <c r="G276" s="858"/>
      <c r="H276" s="859" t="s">
        <v>35</v>
      </c>
      <c r="I276" s="860">
        <f ca="1">IFERROR(__xludf.DUMMYFUNCTION("IMPORTRANGE(""https://docs.google.com/spreadsheets/d/1eHaY18a8A9IcSdp1K8H6x8fbOy06t2VsZHhMHf-1x7Y/edit?usp=sharing"",""แผน!EC22"")"),24)</f>
        <v>24</v>
      </c>
      <c r="J276" s="861">
        <v>0</v>
      </c>
      <c r="K276" s="862">
        <f ca="1">IF(I276&gt;0,J276*100/I276,0)</f>
        <v>0</v>
      </c>
      <c r="L276" s="574"/>
      <c r="M276" s="566"/>
      <c r="N276" s="566"/>
      <c r="O276" s="566"/>
      <c r="P276" s="566"/>
      <c r="Q276" s="566"/>
      <c r="R276" s="566"/>
      <c r="S276" s="566"/>
      <c r="T276" s="566"/>
      <c r="U276" s="566"/>
    </row>
    <row r="277" spans="1:21" ht="18.75" x14ac:dyDescent="0.25">
      <c r="A277" s="863"/>
      <c r="B277" s="864"/>
      <c r="C277" s="864"/>
      <c r="D277" s="865" t="s">
        <v>116</v>
      </c>
      <c r="E277" s="512"/>
      <c r="F277" s="512"/>
      <c r="G277" s="866"/>
      <c r="H277" s="867" t="s">
        <v>35</v>
      </c>
      <c r="I277" s="740">
        <v>0</v>
      </c>
      <c r="J277" s="740">
        <v>0</v>
      </c>
      <c r="K277" s="868">
        <v>0</v>
      </c>
      <c r="L277" s="869"/>
      <c r="M277" s="870"/>
      <c r="N277" s="870"/>
      <c r="O277" s="870"/>
      <c r="P277" s="870"/>
      <c r="Q277" s="870"/>
      <c r="R277" s="870"/>
      <c r="S277" s="870"/>
      <c r="T277" s="870"/>
      <c r="U277" s="870"/>
    </row>
    <row r="278" spans="1:21" ht="19.5" x14ac:dyDescent="0.3">
      <c r="A278" s="871" t="s">
        <v>117</v>
      </c>
      <c r="B278" s="872"/>
      <c r="C278" s="872"/>
      <c r="D278" s="872"/>
      <c r="E278" s="873"/>
      <c r="F278" s="873"/>
      <c r="G278" s="873"/>
      <c r="H278" s="873"/>
      <c r="I278" s="874"/>
      <c r="J278" s="874"/>
      <c r="K278" s="875"/>
      <c r="L278" s="875"/>
      <c r="M278" s="875"/>
      <c r="N278" s="875"/>
      <c r="O278" s="875"/>
      <c r="P278" s="876"/>
      <c r="Q278" s="875"/>
      <c r="R278" s="875"/>
      <c r="S278" s="875"/>
      <c r="T278" s="875"/>
      <c r="U278" s="876"/>
    </row>
    <row r="279" spans="1:21" ht="19.5" x14ac:dyDescent="0.3">
      <c r="A279" s="877" t="s">
        <v>118</v>
      </c>
      <c r="B279" s="878"/>
      <c r="C279" s="879"/>
      <c r="D279" s="878"/>
      <c r="E279" s="878"/>
      <c r="F279" s="878"/>
      <c r="G279" s="878"/>
      <c r="H279" s="878"/>
      <c r="I279" s="880"/>
      <c r="J279" s="881"/>
      <c r="K279" s="882"/>
      <c r="L279" s="883"/>
      <c r="M279" s="882"/>
      <c r="N279" s="882"/>
      <c r="O279" s="882"/>
      <c r="P279" s="882"/>
      <c r="Q279" s="882"/>
      <c r="R279" s="882"/>
      <c r="S279" s="882"/>
      <c r="T279" s="882"/>
      <c r="U279" s="882"/>
    </row>
    <row r="280" spans="1:21" ht="19.5" x14ac:dyDescent="0.3">
      <c r="A280" s="884"/>
      <c r="B280" s="885" t="s">
        <v>119</v>
      </c>
      <c r="C280" s="886"/>
      <c r="D280" s="887"/>
      <c r="E280" s="886"/>
      <c r="F280" s="886"/>
      <c r="G280" s="888"/>
      <c r="H280" s="889" t="s">
        <v>35</v>
      </c>
      <c r="I280" s="890">
        <f t="shared" ref="I280:J280" ca="1" si="174">I293</f>
        <v>10</v>
      </c>
      <c r="J280" s="890">
        <f t="shared" si="174"/>
        <v>0</v>
      </c>
      <c r="K280" s="891">
        <f t="shared" ref="K280:K281" ca="1" si="175">IF(I280&gt;0,J280*100/I280,0)</f>
        <v>0</v>
      </c>
      <c r="L280" s="892"/>
      <c r="M280" s="893"/>
      <c r="N280" s="893"/>
      <c r="O280" s="893"/>
      <c r="P280" s="893"/>
      <c r="Q280" s="893"/>
      <c r="R280" s="893"/>
      <c r="S280" s="893"/>
      <c r="T280" s="893"/>
      <c r="U280" s="893"/>
    </row>
    <row r="281" spans="1:21" ht="19.5" x14ac:dyDescent="0.3">
      <c r="A281" s="884"/>
      <c r="B281" s="886"/>
      <c r="C281" s="886"/>
      <c r="D281" s="887"/>
      <c r="E281" s="886"/>
      <c r="F281" s="886"/>
      <c r="G281" s="888"/>
      <c r="H281" s="889" t="s">
        <v>46</v>
      </c>
      <c r="I281" s="890">
        <f t="shared" ref="I281:J281" ca="1" si="176">I292</f>
        <v>100</v>
      </c>
      <c r="J281" s="890">
        <f t="shared" si="176"/>
        <v>0</v>
      </c>
      <c r="K281" s="891">
        <f t="shared" ca="1" si="175"/>
        <v>0</v>
      </c>
      <c r="L281" s="892"/>
      <c r="M281" s="893"/>
      <c r="N281" s="893"/>
      <c r="O281" s="893"/>
      <c r="P281" s="893"/>
      <c r="Q281" s="893"/>
      <c r="R281" s="893"/>
      <c r="S281" s="893"/>
      <c r="T281" s="893"/>
      <c r="U281" s="893"/>
    </row>
    <row r="282" spans="1:21" ht="19.5" x14ac:dyDescent="0.3">
      <c r="A282" s="674"/>
      <c r="B282" s="561"/>
      <c r="C282" s="675" t="s">
        <v>18</v>
      </c>
      <c r="D282" s="676" t="s">
        <v>19</v>
      </c>
      <c r="E282" s="561"/>
      <c r="F282" s="561"/>
      <c r="G282" s="563"/>
      <c r="H282" s="677" t="s">
        <v>14</v>
      </c>
      <c r="I282" s="565"/>
      <c r="J282" s="565"/>
      <c r="K282" s="566"/>
      <c r="L282" s="678">
        <f t="shared" ref="L282:N282" ca="1" si="177">L283+L284</f>
        <v>187220</v>
      </c>
      <c r="M282" s="679">
        <f t="shared" ca="1" si="177"/>
        <v>187220</v>
      </c>
      <c r="N282" s="679">
        <f t="shared" ca="1" si="177"/>
        <v>81536.77</v>
      </c>
      <c r="O282" s="679">
        <f t="shared" ref="O282:O290" ca="1" si="178">IF(L282&gt;0,N282*100/L282,0)</f>
        <v>43.551313962183528</v>
      </c>
      <c r="P282" s="679">
        <f t="shared" ref="P282:P290" ca="1" si="179">IF(M282&gt;0,N282*100/M282,0)</f>
        <v>43.551313962183528</v>
      </c>
      <c r="Q282" s="679">
        <f t="shared" ref="Q282:S282" si="180">Q283+Q284</f>
        <v>0</v>
      </c>
      <c r="R282" s="679">
        <f t="shared" si="180"/>
        <v>0</v>
      </c>
      <c r="S282" s="679">
        <f t="shared" si="180"/>
        <v>0</v>
      </c>
      <c r="T282" s="679">
        <f t="shared" ref="T282:T290" si="181">IF(Q282&gt;0,S282*100/Q282,0)</f>
        <v>0</v>
      </c>
      <c r="U282" s="679">
        <f t="shared" ref="U282:U290" si="182">IF(R282&gt;0,S282*100/R282,0)</f>
        <v>0</v>
      </c>
    </row>
    <row r="283" spans="1:21" ht="18.75" x14ac:dyDescent="0.25">
      <c r="A283" s="674"/>
      <c r="B283" s="561"/>
      <c r="C283" s="561"/>
      <c r="D283" s="561"/>
      <c r="E283" s="569" t="s">
        <v>20</v>
      </c>
      <c r="F283" s="561"/>
      <c r="G283" s="563"/>
      <c r="H283" s="680" t="s">
        <v>14</v>
      </c>
      <c r="I283" s="565"/>
      <c r="J283" s="565"/>
      <c r="K283" s="566"/>
      <c r="L283" s="571">
        <f t="shared" ref="L283:N284" si="183">L286+L289</f>
        <v>0</v>
      </c>
      <c r="M283" s="572">
        <f t="shared" si="183"/>
        <v>0</v>
      </c>
      <c r="N283" s="572">
        <f t="shared" si="183"/>
        <v>0</v>
      </c>
      <c r="O283" s="572">
        <f t="shared" si="178"/>
        <v>0</v>
      </c>
      <c r="P283" s="572">
        <f t="shared" si="179"/>
        <v>0</v>
      </c>
      <c r="Q283" s="572">
        <f t="shared" ref="Q283:S284" si="184">Q286+Q289</f>
        <v>0</v>
      </c>
      <c r="R283" s="572">
        <f t="shared" si="184"/>
        <v>0</v>
      </c>
      <c r="S283" s="572">
        <f t="shared" si="184"/>
        <v>0</v>
      </c>
      <c r="T283" s="572">
        <f t="shared" si="181"/>
        <v>0</v>
      </c>
      <c r="U283" s="572">
        <f t="shared" si="182"/>
        <v>0</v>
      </c>
    </row>
    <row r="284" spans="1:21" ht="18.75" x14ac:dyDescent="0.25">
      <c r="A284" s="674"/>
      <c r="B284" s="561"/>
      <c r="C284" s="561"/>
      <c r="D284" s="561"/>
      <c r="E284" s="573" t="s">
        <v>21</v>
      </c>
      <c r="F284" s="561"/>
      <c r="G284" s="563"/>
      <c r="H284" s="681" t="s">
        <v>14</v>
      </c>
      <c r="I284" s="565"/>
      <c r="J284" s="565"/>
      <c r="K284" s="566"/>
      <c r="L284" s="567">
        <f t="shared" ca="1" si="183"/>
        <v>187220</v>
      </c>
      <c r="M284" s="568">
        <f t="shared" ca="1" si="183"/>
        <v>187220</v>
      </c>
      <c r="N284" s="568">
        <f t="shared" ca="1" si="183"/>
        <v>81536.77</v>
      </c>
      <c r="O284" s="568">
        <f t="shared" ca="1" si="178"/>
        <v>43.551313962183528</v>
      </c>
      <c r="P284" s="568">
        <f t="shared" ca="1" si="179"/>
        <v>43.551313962183528</v>
      </c>
      <c r="Q284" s="568">
        <f t="shared" si="184"/>
        <v>0</v>
      </c>
      <c r="R284" s="568">
        <f t="shared" si="184"/>
        <v>0</v>
      </c>
      <c r="S284" s="568">
        <f t="shared" si="184"/>
        <v>0</v>
      </c>
      <c r="T284" s="568">
        <f t="shared" si="181"/>
        <v>0</v>
      </c>
      <c r="U284" s="568">
        <f t="shared" si="182"/>
        <v>0</v>
      </c>
    </row>
    <row r="285" spans="1:21" ht="18.75" x14ac:dyDescent="0.25">
      <c r="A285" s="674"/>
      <c r="B285" s="561"/>
      <c r="C285" s="561"/>
      <c r="D285" s="562" t="s">
        <v>22</v>
      </c>
      <c r="E285" s="561"/>
      <c r="F285" s="561"/>
      <c r="G285" s="563"/>
      <c r="H285" s="682" t="s">
        <v>14</v>
      </c>
      <c r="I285" s="683"/>
      <c r="J285" s="683"/>
      <c r="K285" s="684"/>
      <c r="L285" s="567">
        <f t="shared" ref="L285:N285" ca="1" si="185">L286+L287</f>
        <v>187220</v>
      </c>
      <c r="M285" s="568">
        <f t="shared" ca="1" si="185"/>
        <v>187220</v>
      </c>
      <c r="N285" s="568">
        <f t="shared" ca="1" si="185"/>
        <v>81536.77</v>
      </c>
      <c r="O285" s="568">
        <f t="shared" ca="1" si="178"/>
        <v>43.551313962183528</v>
      </c>
      <c r="P285" s="568">
        <f t="shared" ca="1" si="179"/>
        <v>43.551313962183528</v>
      </c>
      <c r="Q285" s="568">
        <f t="shared" ref="Q285:S285" si="186">Q286+Q287</f>
        <v>0</v>
      </c>
      <c r="R285" s="568">
        <f t="shared" si="186"/>
        <v>0</v>
      </c>
      <c r="S285" s="568">
        <f t="shared" si="186"/>
        <v>0</v>
      </c>
      <c r="T285" s="568">
        <f t="shared" si="181"/>
        <v>0</v>
      </c>
      <c r="U285" s="568">
        <f t="shared" si="182"/>
        <v>0</v>
      </c>
    </row>
    <row r="286" spans="1:21" ht="18.75" x14ac:dyDescent="0.25">
      <c r="A286" s="674"/>
      <c r="B286" s="561"/>
      <c r="C286" s="561"/>
      <c r="D286" s="561"/>
      <c r="E286" s="569" t="s">
        <v>36</v>
      </c>
      <c r="F286" s="561"/>
      <c r="G286" s="563"/>
      <c r="H286" s="685" t="s">
        <v>14</v>
      </c>
      <c r="I286" s="683"/>
      <c r="J286" s="683"/>
      <c r="K286" s="684"/>
      <c r="L286" s="571">
        <v>0</v>
      </c>
      <c r="M286" s="572">
        <v>0</v>
      </c>
      <c r="N286" s="572">
        <v>0</v>
      </c>
      <c r="O286" s="572">
        <f t="shared" si="178"/>
        <v>0</v>
      </c>
      <c r="P286" s="572">
        <f t="shared" si="179"/>
        <v>0</v>
      </c>
      <c r="Q286" s="572">
        <v>0</v>
      </c>
      <c r="R286" s="572">
        <v>0</v>
      </c>
      <c r="S286" s="572">
        <v>0</v>
      </c>
      <c r="T286" s="572">
        <f t="shared" si="181"/>
        <v>0</v>
      </c>
      <c r="U286" s="572">
        <f t="shared" si="182"/>
        <v>0</v>
      </c>
    </row>
    <row r="287" spans="1:21" ht="18.75" x14ac:dyDescent="0.25">
      <c r="A287" s="674"/>
      <c r="B287" s="561"/>
      <c r="C287" s="561"/>
      <c r="D287" s="561"/>
      <c r="E287" s="573" t="s">
        <v>37</v>
      </c>
      <c r="F287" s="561"/>
      <c r="G287" s="563"/>
      <c r="H287" s="682" t="s">
        <v>14</v>
      </c>
      <c r="I287" s="683"/>
      <c r="J287" s="683"/>
      <c r="K287" s="684"/>
      <c r="L287" s="567">
        <f ca="1">IFERROR(__xludf.DUMMYFUNCTION("IMPORTRANGE(""https://docs.google.com/spreadsheets/d/1-uDff_7J0KD5mKrp0Vvzr7lt3OU09vwQwhkpOPPYv2Y/edit?usp=sharing"",""งบพรบ!DO22"")"),187220)</f>
        <v>187220</v>
      </c>
      <c r="M287" s="568">
        <f ca="1">IFERROR(__xludf.DUMMYFUNCTION("IMPORTRANGE(""https://docs.google.com/spreadsheets/d/1-uDff_7J0KD5mKrp0Vvzr7lt3OU09vwQwhkpOPPYv2Y/edit?usp=sharing"",""งบพรบ!DT22"")"),187220)</f>
        <v>187220</v>
      </c>
      <c r="N287" s="568">
        <f ca="1">IFERROR(__xludf.DUMMYFUNCTION("IMPORTRANGE(""https://docs.google.com/spreadsheets/d/1-uDff_7J0KD5mKrp0Vvzr7lt3OU09vwQwhkpOPPYv2Y/edit?usp=sharing"",""งบพรบ!DV22"")"),81536.77)</f>
        <v>81536.77</v>
      </c>
      <c r="O287" s="568">
        <f t="shared" ca="1" si="178"/>
        <v>43.551313962183528</v>
      </c>
      <c r="P287" s="568">
        <f t="shared" ca="1" si="179"/>
        <v>43.551313962183528</v>
      </c>
      <c r="Q287" s="568">
        <v>0</v>
      </c>
      <c r="R287" s="568">
        <v>0</v>
      </c>
      <c r="S287" s="568">
        <v>0</v>
      </c>
      <c r="T287" s="572">
        <f t="shared" si="181"/>
        <v>0</v>
      </c>
      <c r="U287" s="572">
        <f t="shared" si="182"/>
        <v>0</v>
      </c>
    </row>
    <row r="288" spans="1:21" ht="18.75" x14ac:dyDescent="0.25">
      <c r="A288" s="674"/>
      <c r="B288" s="561"/>
      <c r="C288" s="561"/>
      <c r="D288" s="562" t="s">
        <v>23</v>
      </c>
      <c r="E288" s="561"/>
      <c r="F288" s="561"/>
      <c r="G288" s="563"/>
      <c r="H288" s="686" t="s">
        <v>14</v>
      </c>
      <c r="I288" s="683"/>
      <c r="J288" s="683"/>
      <c r="K288" s="684"/>
      <c r="L288" s="567">
        <f t="shared" ref="L288:N288" ca="1" si="187">L289+L290</f>
        <v>0</v>
      </c>
      <c r="M288" s="568">
        <f t="shared" ca="1" si="187"/>
        <v>0</v>
      </c>
      <c r="N288" s="568">
        <f t="shared" ca="1" si="187"/>
        <v>0</v>
      </c>
      <c r="O288" s="568">
        <f t="shared" ca="1" si="178"/>
        <v>0</v>
      </c>
      <c r="P288" s="568">
        <f t="shared" ca="1" si="179"/>
        <v>0</v>
      </c>
      <c r="Q288" s="568">
        <f t="shared" ref="Q288:S288" si="188">Q289+Q290</f>
        <v>0</v>
      </c>
      <c r="R288" s="568">
        <f t="shared" si="188"/>
        <v>0</v>
      </c>
      <c r="S288" s="568">
        <f t="shared" si="188"/>
        <v>0</v>
      </c>
      <c r="T288" s="568">
        <f t="shared" si="181"/>
        <v>0</v>
      </c>
      <c r="U288" s="568">
        <f t="shared" si="182"/>
        <v>0</v>
      </c>
    </row>
    <row r="289" spans="1:21" ht="18.75" x14ac:dyDescent="0.25">
      <c r="A289" s="674"/>
      <c r="B289" s="561"/>
      <c r="C289" s="561"/>
      <c r="D289" s="561"/>
      <c r="E289" s="569" t="s">
        <v>20</v>
      </c>
      <c r="F289" s="561"/>
      <c r="G289" s="563"/>
      <c r="H289" s="685" t="s">
        <v>14</v>
      </c>
      <c r="I289" s="683"/>
      <c r="J289" s="683"/>
      <c r="K289" s="684"/>
      <c r="L289" s="571">
        <v>0</v>
      </c>
      <c r="M289" s="572">
        <v>0</v>
      </c>
      <c r="N289" s="572">
        <v>0</v>
      </c>
      <c r="O289" s="572">
        <f t="shared" si="178"/>
        <v>0</v>
      </c>
      <c r="P289" s="572">
        <f t="shared" si="179"/>
        <v>0</v>
      </c>
      <c r="Q289" s="572">
        <v>0</v>
      </c>
      <c r="R289" s="572">
        <v>0</v>
      </c>
      <c r="S289" s="572">
        <v>0</v>
      </c>
      <c r="T289" s="572">
        <f t="shared" si="181"/>
        <v>0</v>
      </c>
      <c r="U289" s="572">
        <f t="shared" si="182"/>
        <v>0</v>
      </c>
    </row>
    <row r="290" spans="1:21" ht="18.75" x14ac:dyDescent="0.25">
      <c r="A290" s="674"/>
      <c r="B290" s="561"/>
      <c r="C290" s="561"/>
      <c r="D290" s="561"/>
      <c r="E290" s="573" t="s">
        <v>21</v>
      </c>
      <c r="F290" s="561"/>
      <c r="G290" s="563"/>
      <c r="H290" s="686" t="s">
        <v>14</v>
      </c>
      <c r="I290" s="683"/>
      <c r="J290" s="683"/>
      <c r="K290" s="684"/>
      <c r="L290" s="567">
        <f ca="1">IFERROR(__xludf.DUMMYFUNCTION("IMPORTRANGE(""https://docs.google.com/spreadsheets/d/1-uDff_7J0KD5mKrp0Vvzr7lt3OU09vwQwhkpOPPYv2Y/edit?usp=sharing"",""งบพรบ!DR22"")"),0)</f>
        <v>0</v>
      </c>
      <c r="M290" s="568">
        <f ca="1">IFERROR(__xludf.DUMMYFUNCTION("IMPORTRANGE(""https://docs.google.com/spreadsheets/d/1-uDff_7J0KD5mKrp0Vvzr7lt3OU09vwQwhkpOPPYv2Y/edit?usp=sharing"",""งบพรบ!DU22"")"),0)</f>
        <v>0</v>
      </c>
      <c r="N290" s="568">
        <f ca="1">IFERROR(__xludf.DUMMYFUNCTION("IMPORTRANGE(""https://docs.google.com/spreadsheets/d/1-uDff_7J0KD5mKrp0Vvzr7lt3OU09vwQwhkpOPPYv2Y/edit?usp=sharing"",""งบพรบ!DW22"")"),0)</f>
        <v>0</v>
      </c>
      <c r="O290" s="568">
        <f t="shared" ca="1" si="178"/>
        <v>0</v>
      </c>
      <c r="P290" s="568">
        <f t="shared" ca="1" si="179"/>
        <v>0</v>
      </c>
      <c r="Q290" s="568">
        <v>0</v>
      </c>
      <c r="R290" s="568">
        <v>0</v>
      </c>
      <c r="S290" s="568">
        <v>0</v>
      </c>
      <c r="T290" s="568">
        <f t="shared" si="181"/>
        <v>0</v>
      </c>
      <c r="U290" s="568">
        <f t="shared" si="182"/>
        <v>0</v>
      </c>
    </row>
    <row r="291" spans="1:21" ht="19.5" x14ac:dyDescent="0.3">
      <c r="A291" s="687"/>
      <c r="B291" s="688"/>
      <c r="C291" s="675" t="s">
        <v>18</v>
      </c>
      <c r="D291" s="689" t="s">
        <v>38</v>
      </c>
      <c r="E291" s="690"/>
      <c r="F291" s="690"/>
      <c r="G291" s="691"/>
      <c r="H291" s="692"/>
      <c r="I291" s="683"/>
      <c r="J291" s="683"/>
      <c r="K291" s="684"/>
      <c r="L291" s="693"/>
      <c r="M291" s="684"/>
      <c r="N291" s="684"/>
      <c r="O291" s="684"/>
      <c r="P291" s="684"/>
      <c r="Q291" s="684"/>
      <c r="R291" s="684"/>
      <c r="S291" s="684"/>
      <c r="T291" s="684"/>
      <c r="U291" s="684"/>
    </row>
    <row r="292" spans="1:21" ht="18.75" x14ac:dyDescent="0.25">
      <c r="A292" s="687"/>
      <c r="B292" s="688"/>
      <c r="C292" s="688"/>
      <c r="D292" s="699" t="s">
        <v>120</v>
      </c>
      <c r="E292" s="688"/>
      <c r="F292" s="695"/>
      <c r="G292" s="692"/>
      <c r="H292" s="704" t="s">
        <v>46</v>
      </c>
      <c r="I292" s="708">
        <f ca="1">IFERROR(__xludf.DUMMYFUNCTION("IMPORTRANGE(""https://docs.google.com/spreadsheets/d/1eHaY18a8A9IcSdp1K8H6x8fbOy06t2VsZHhMHf-1x7Y/edit?usp=sharing"",""แผน!EE22"")"),100)</f>
        <v>100</v>
      </c>
      <c r="J292" s="702">
        <v>0</v>
      </c>
      <c r="K292" s="703">
        <f t="shared" ref="K292:K293" ca="1" si="189">IF(I292&gt;0,J292*100/I292,0)</f>
        <v>0</v>
      </c>
      <c r="L292" s="693"/>
      <c r="M292" s="684"/>
      <c r="N292" s="684"/>
      <c r="O292" s="684"/>
      <c r="P292" s="684"/>
      <c r="Q292" s="684"/>
      <c r="R292" s="684"/>
      <c r="S292" s="684"/>
      <c r="T292" s="684"/>
      <c r="U292" s="684"/>
    </row>
    <row r="293" spans="1:21" ht="19.5" x14ac:dyDescent="0.3">
      <c r="A293" s="687"/>
      <c r="B293" s="688"/>
      <c r="C293" s="688"/>
      <c r="D293" s="699" t="s">
        <v>121</v>
      </c>
      <c r="E293" s="688"/>
      <c r="F293" s="695"/>
      <c r="G293" s="692"/>
      <c r="H293" s="696" t="s">
        <v>35</v>
      </c>
      <c r="I293" s="697">
        <f ca="1">IFERROR(__xludf.DUMMYFUNCTION("IMPORTRANGE(""https://docs.google.com/spreadsheets/d/1eHaY18a8A9IcSdp1K8H6x8fbOy06t2VsZHhMHf-1x7Y/edit?usp=sharing"",""แผน!ED22"")"),10)</f>
        <v>10</v>
      </c>
      <c r="J293" s="697">
        <f>J296</f>
        <v>0</v>
      </c>
      <c r="K293" s="698">
        <f t="shared" ca="1" si="189"/>
        <v>0</v>
      </c>
      <c r="L293" s="693"/>
      <c r="M293" s="684"/>
      <c r="N293" s="684"/>
      <c r="O293" s="684"/>
      <c r="P293" s="684"/>
      <c r="Q293" s="684"/>
      <c r="R293" s="684"/>
      <c r="S293" s="684"/>
      <c r="T293" s="684"/>
      <c r="U293" s="684"/>
    </row>
    <row r="294" spans="1:21" ht="19.5" x14ac:dyDescent="0.3">
      <c r="A294" s="687"/>
      <c r="B294" s="688"/>
      <c r="C294" s="688"/>
      <c r="D294" s="695"/>
      <c r="E294" s="707" t="s">
        <v>303</v>
      </c>
      <c r="F294" s="695"/>
      <c r="G294" s="692"/>
      <c r="H294" s="692"/>
      <c r="I294" s="683"/>
      <c r="J294" s="565"/>
      <c r="K294" s="684"/>
      <c r="L294" s="693"/>
      <c r="M294" s="684"/>
      <c r="N294" s="684"/>
      <c r="O294" s="684"/>
      <c r="P294" s="684"/>
      <c r="Q294" s="684"/>
      <c r="R294" s="684"/>
      <c r="S294" s="684"/>
      <c r="T294" s="684"/>
      <c r="U294" s="684"/>
    </row>
    <row r="295" spans="1:21" ht="19.5" x14ac:dyDescent="0.3">
      <c r="A295" s="687"/>
      <c r="B295" s="688"/>
      <c r="C295" s="688"/>
      <c r="D295" s="695"/>
      <c r="E295" s="699" t="s">
        <v>304</v>
      </c>
      <c r="F295" s="695"/>
      <c r="G295" s="692"/>
      <c r="H295" s="700" t="s">
        <v>35</v>
      </c>
      <c r="I295" s="701">
        <f ca="1">IFERROR(__xludf.DUMMYFUNCTION("IMPORTRANGE(""https://docs.google.com/spreadsheets/d/1eHaY18a8A9IcSdp1K8H6x8fbOy06t2VsZHhMHf-1x7Y/edit?usp=sharing"",""แผน!ED22"")"),10)</f>
        <v>10</v>
      </c>
      <c r="J295" s="702">
        <v>0</v>
      </c>
      <c r="K295" s="703">
        <f t="shared" ref="K295:K296" ca="1" si="190">IF(I295&gt;0,J295*100/I295,0)</f>
        <v>0</v>
      </c>
      <c r="L295" s="693"/>
      <c r="M295" s="684"/>
      <c r="N295" s="684"/>
      <c r="O295" s="684"/>
      <c r="P295" s="684"/>
      <c r="Q295" s="684"/>
      <c r="R295" s="684"/>
      <c r="S295" s="684"/>
      <c r="T295" s="684"/>
      <c r="U295" s="684"/>
    </row>
    <row r="296" spans="1:21" ht="19.5" x14ac:dyDescent="0.3">
      <c r="A296" s="687"/>
      <c r="B296" s="688"/>
      <c r="C296" s="688"/>
      <c r="D296" s="695"/>
      <c r="E296" s="699" t="s">
        <v>305</v>
      </c>
      <c r="F296" s="695"/>
      <c r="G296" s="692"/>
      <c r="H296" s="700" t="s">
        <v>35</v>
      </c>
      <c r="I296" s="701">
        <f ca="1">IFERROR(__xludf.DUMMYFUNCTION("IMPORTRANGE(""https://docs.google.com/spreadsheets/d/1eHaY18a8A9IcSdp1K8H6x8fbOy06t2VsZHhMHf-1x7Y/edit?usp=sharing"",""แผน!ED22"")"),10)</f>
        <v>10</v>
      </c>
      <c r="J296" s="702">
        <v>0</v>
      </c>
      <c r="K296" s="703">
        <f t="shared" ca="1" si="190"/>
        <v>0</v>
      </c>
      <c r="L296" s="693"/>
      <c r="M296" s="684"/>
      <c r="N296" s="684"/>
      <c r="O296" s="684"/>
      <c r="P296" s="684"/>
      <c r="Q296" s="684"/>
      <c r="R296" s="684"/>
      <c r="S296" s="684"/>
      <c r="T296" s="684"/>
      <c r="U296" s="684"/>
    </row>
    <row r="297" spans="1:21" ht="12.75" hidden="1" x14ac:dyDescent="0.2">
      <c r="A297" s="705"/>
      <c r="B297" s="706"/>
      <c r="C297" s="706"/>
      <c r="D297" s="531"/>
      <c r="E297" s="531"/>
      <c r="F297" s="531"/>
      <c r="G297" s="532"/>
      <c r="H297" s="532"/>
      <c r="I297" s="533"/>
      <c r="J297" s="533"/>
      <c r="K297" s="534"/>
      <c r="L297" s="535"/>
      <c r="M297" s="534"/>
      <c r="N297" s="534"/>
      <c r="O297" s="534"/>
      <c r="P297" s="534"/>
      <c r="Q297" s="534"/>
      <c r="R297" s="534"/>
      <c r="S297" s="534"/>
      <c r="T297" s="534"/>
      <c r="U297" s="534"/>
    </row>
    <row r="298" spans="1:21" ht="12.75" hidden="1" x14ac:dyDescent="0.2">
      <c r="A298" s="705"/>
      <c r="B298" s="706"/>
      <c r="C298" s="706"/>
      <c r="D298" s="531"/>
      <c r="E298" s="531"/>
      <c r="F298" s="531"/>
      <c r="G298" s="532"/>
      <c r="H298" s="532"/>
      <c r="I298" s="533"/>
      <c r="J298" s="533"/>
      <c r="K298" s="534"/>
      <c r="L298" s="535"/>
      <c r="M298" s="534"/>
      <c r="N298" s="534"/>
      <c r="O298" s="534"/>
      <c r="P298" s="534"/>
      <c r="Q298" s="534"/>
      <c r="R298" s="534"/>
      <c r="S298" s="534"/>
      <c r="T298" s="534"/>
      <c r="U298" s="534"/>
    </row>
    <row r="299" spans="1:21" ht="12.75" hidden="1" x14ac:dyDescent="0.2">
      <c r="A299" s="894"/>
      <c r="B299" s="895"/>
      <c r="C299" s="895"/>
      <c r="D299" s="537"/>
      <c r="E299" s="537"/>
      <c r="F299" s="537"/>
      <c r="G299" s="526"/>
      <c r="H299" s="526"/>
      <c r="I299" s="527"/>
      <c r="J299" s="527"/>
      <c r="K299" s="528"/>
      <c r="L299" s="529"/>
      <c r="M299" s="528"/>
      <c r="N299" s="528"/>
      <c r="O299" s="528"/>
      <c r="P299" s="528"/>
      <c r="Q299" s="528"/>
      <c r="R299" s="528"/>
      <c r="S299" s="528"/>
      <c r="T299" s="528"/>
      <c r="U299" s="528"/>
    </row>
    <row r="300" spans="1:21" ht="19.5" x14ac:dyDescent="0.3">
      <c r="A300" s="896" t="s">
        <v>125</v>
      </c>
      <c r="B300" s="897"/>
      <c r="C300" s="897"/>
      <c r="D300" s="897"/>
      <c r="E300" s="898"/>
      <c r="F300" s="898"/>
      <c r="G300" s="898"/>
      <c r="H300" s="898"/>
      <c r="I300" s="899"/>
      <c r="J300" s="899"/>
      <c r="K300" s="900"/>
      <c r="L300" s="900"/>
      <c r="M300" s="900"/>
      <c r="N300" s="900"/>
      <c r="O300" s="900"/>
      <c r="P300" s="901"/>
      <c r="Q300" s="900"/>
      <c r="R300" s="900"/>
      <c r="S300" s="900"/>
      <c r="T300" s="900"/>
      <c r="U300" s="901"/>
    </row>
    <row r="301" spans="1:21" ht="19.5" x14ac:dyDescent="0.3">
      <c r="A301" s="902" t="s">
        <v>126</v>
      </c>
      <c r="B301" s="903"/>
      <c r="C301" s="903"/>
      <c r="D301" s="904"/>
      <c r="E301" s="904"/>
      <c r="F301" s="904"/>
      <c r="G301" s="905"/>
      <c r="H301" s="905"/>
      <c r="I301" s="906"/>
      <c r="J301" s="906"/>
      <c r="K301" s="907"/>
      <c r="L301" s="908"/>
      <c r="M301" s="907"/>
      <c r="N301" s="907"/>
      <c r="O301" s="907"/>
      <c r="P301" s="907"/>
      <c r="Q301" s="907"/>
      <c r="R301" s="907"/>
      <c r="S301" s="907"/>
      <c r="T301" s="907"/>
      <c r="U301" s="907"/>
    </row>
    <row r="302" spans="1:21" ht="19.5" x14ac:dyDescent="0.3">
      <c r="A302" s="909"/>
      <c r="B302" s="910" t="s">
        <v>127</v>
      </c>
      <c r="C302" s="911"/>
      <c r="D302" s="911"/>
      <c r="E302" s="911"/>
      <c r="F302" s="911"/>
      <c r="G302" s="912"/>
      <c r="H302" s="913" t="s">
        <v>35</v>
      </c>
      <c r="I302" s="914">
        <f t="shared" ref="I302:J302" ca="1" si="191">I314</f>
        <v>30</v>
      </c>
      <c r="J302" s="914">
        <f t="shared" si="191"/>
        <v>0</v>
      </c>
      <c r="K302" s="915">
        <f ca="1">IF(I302&gt;0,J302*100/I302,0)</f>
        <v>0</v>
      </c>
      <c r="L302" s="916"/>
      <c r="M302" s="917"/>
      <c r="N302" s="917"/>
      <c r="O302" s="917"/>
      <c r="P302" s="917"/>
      <c r="Q302" s="917"/>
      <c r="R302" s="917"/>
      <c r="S302" s="917"/>
      <c r="T302" s="917"/>
      <c r="U302" s="917"/>
    </row>
    <row r="303" spans="1:21" ht="19.5" x14ac:dyDescent="0.3">
      <c r="A303" s="674"/>
      <c r="B303" s="561"/>
      <c r="C303" s="675" t="s">
        <v>18</v>
      </c>
      <c r="D303" s="676" t="s">
        <v>19</v>
      </c>
      <c r="E303" s="561"/>
      <c r="F303" s="561"/>
      <c r="G303" s="563"/>
      <c r="H303" s="677" t="s">
        <v>14</v>
      </c>
      <c r="I303" s="565"/>
      <c r="J303" s="565"/>
      <c r="K303" s="566"/>
      <c r="L303" s="678">
        <f t="shared" ref="L303:N303" ca="1" si="192">L304+L305</f>
        <v>0</v>
      </c>
      <c r="M303" s="679">
        <f t="shared" ca="1" si="192"/>
        <v>0</v>
      </c>
      <c r="N303" s="679">
        <f t="shared" ca="1" si="192"/>
        <v>0</v>
      </c>
      <c r="O303" s="679">
        <f t="shared" ref="O303:O311" ca="1" si="193">IF(L303&gt;0,N303*100/L303,0)</f>
        <v>0</v>
      </c>
      <c r="P303" s="679">
        <f t="shared" ref="P303:P311" ca="1" si="194">IF(M303&gt;0,N303*100/M303,0)</f>
        <v>0</v>
      </c>
      <c r="Q303" s="679">
        <f t="shared" ref="Q303:S303" ca="1" si="195">Q304+Q305</f>
        <v>260958.39</v>
      </c>
      <c r="R303" s="679">
        <f t="shared" ca="1" si="195"/>
        <v>260958</v>
      </c>
      <c r="S303" s="679">
        <f t="shared" ca="1" si="195"/>
        <v>0</v>
      </c>
      <c r="T303" s="679">
        <f t="shared" ref="T303:T311" ca="1" si="196">IF(Q303&gt;0,S303*100/Q303,0)</f>
        <v>0</v>
      </c>
      <c r="U303" s="679">
        <f t="shared" ref="U303:U311" ca="1" si="197">IF(R303&gt;0,S303*100/R303,0)</f>
        <v>0</v>
      </c>
    </row>
    <row r="304" spans="1:21" ht="18.75" x14ac:dyDescent="0.25">
      <c r="A304" s="674"/>
      <c r="B304" s="561"/>
      <c r="C304" s="561"/>
      <c r="D304" s="561"/>
      <c r="E304" s="569" t="s">
        <v>20</v>
      </c>
      <c r="F304" s="561"/>
      <c r="G304" s="563"/>
      <c r="H304" s="680" t="s">
        <v>14</v>
      </c>
      <c r="I304" s="565"/>
      <c r="J304" s="565"/>
      <c r="K304" s="566"/>
      <c r="L304" s="571">
        <f t="shared" ref="L304:N305" si="198">L307+L310</f>
        <v>0</v>
      </c>
      <c r="M304" s="572">
        <f t="shared" si="198"/>
        <v>0</v>
      </c>
      <c r="N304" s="572">
        <f t="shared" si="198"/>
        <v>0</v>
      </c>
      <c r="O304" s="572">
        <f t="shared" si="193"/>
        <v>0</v>
      </c>
      <c r="P304" s="572">
        <f t="shared" si="194"/>
        <v>0</v>
      </c>
      <c r="Q304" s="572">
        <f t="shared" ref="Q304:S305" si="199">Q307+Q310</f>
        <v>0</v>
      </c>
      <c r="R304" s="572">
        <f t="shared" si="199"/>
        <v>0</v>
      </c>
      <c r="S304" s="572">
        <f t="shared" si="199"/>
        <v>0</v>
      </c>
      <c r="T304" s="572">
        <f t="shared" si="196"/>
        <v>0</v>
      </c>
      <c r="U304" s="572">
        <f t="shared" si="197"/>
        <v>0</v>
      </c>
    </row>
    <row r="305" spans="1:21" ht="18.75" x14ac:dyDescent="0.25">
      <c r="A305" s="674"/>
      <c r="B305" s="561"/>
      <c r="C305" s="561"/>
      <c r="D305" s="561"/>
      <c r="E305" s="573" t="s">
        <v>21</v>
      </c>
      <c r="F305" s="561"/>
      <c r="G305" s="563"/>
      <c r="H305" s="681" t="s">
        <v>14</v>
      </c>
      <c r="I305" s="565"/>
      <c r="J305" s="565"/>
      <c r="K305" s="566"/>
      <c r="L305" s="567">
        <f t="shared" ca="1" si="198"/>
        <v>0</v>
      </c>
      <c r="M305" s="568">
        <f t="shared" ca="1" si="198"/>
        <v>0</v>
      </c>
      <c r="N305" s="568">
        <f t="shared" ca="1" si="198"/>
        <v>0</v>
      </c>
      <c r="O305" s="568">
        <f t="shared" ca="1" si="193"/>
        <v>0</v>
      </c>
      <c r="P305" s="568">
        <f t="shared" ca="1" si="194"/>
        <v>0</v>
      </c>
      <c r="Q305" s="568">
        <f t="shared" ca="1" si="199"/>
        <v>260958.39</v>
      </c>
      <c r="R305" s="568">
        <f t="shared" ca="1" si="199"/>
        <v>260958</v>
      </c>
      <c r="S305" s="568">
        <f t="shared" ca="1" si="199"/>
        <v>0</v>
      </c>
      <c r="T305" s="568">
        <f t="shared" ca="1" si="196"/>
        <v>0</v>
      </c>
      <c r="U305" s="568">
        <f t="shared" ca="1" si="197"/>
        <v>0</v>
      </c>
    </row>
    <row r="306" spans="1:21" ht="18.75" x14ac:dyDescent="0.25">
      <c r="A306" s="674"/>
      <c r="B306" s="561"/>
      <c r="C306" s="561"/>
      <c r="D306" s="562" t="s">
        <v>22</v>
      </c>
      <c r="E306" s="561"/>
      <c r="F306" s="561"/>
      <c r="G306" s="563"/>
      <c r="H306" s="682" t="s">
        <v>14</v>
      </c>
      <c r="I306" s="683"/>
      <c r="J306" s="683"/>
      <c r="K306" s="684"/>
      <c r="L306" s="567">
        <f t="shared" ref="L306:N306" ca="1" si="200">L307+L308</f>
        <v>0</v>
      </c>
      <c r="M306" s="568">
        <f t="shared" ca="1" si="200"/>
        <v>0</v>
      </c>
      <c r="N306" s="568">
        <f t="shared" ca="1" si="200"/>
        <v>0</v>
      </c>
      <c r="O306" s="568">
        <f t="shared" ca="1" si="193"/>
        <v>0</v>
      </c>
      <c r="P306" s="568">
        <f t="shared" ca="1" si="194"/>
        <v>0</v>
      </c>
      <c r="Q306" s="568">
        <f t="shared" ref="Q306:S306" ca="1" si="201">Q307+Q308</f>
        <v>260958.39</v>
      </c>
      <c r="R306" s="568">
        <f t="shared" ca="1" si="201"/>
        <v>260958</v>
      </c>
      <c r="S306" s="568">
        <f t="shared" ca="1" si="201"/>
        <v>0</v>
      </c>
      <c r="T306" s="568">
        <f t="shared" ca="1" si="196"/>
        <v>0</v>
      </c>
      <c r="U306" s="568">
        <f t="shared" ca="1" si="197"/>
        <v>0</v>
      </c>
    </row>
    <row r="307" spans="1:21" ht="18.75" x14ac:dyDescent="0.25">
      <c r="A307" s="674"/>
      <c r="B307" s="561"/>
      <c r="C307" s="561"/>
      <c r="D307" s="561"/>
      <c r="E307" s="569" t="s">
        <v>36</v>
      </c>
      <c r="F307" s="561"/>
      <c r="G307" s="563"/>
      <c r="H307" s="685" t="s">
        <v>14</v>
      </c>
      <c r="I307" s="683"/>
      <c r="J307" s="683"/>
      <c r="K307" s="684"/>
      <c r="L307" s="571">
        <v>0</v>
      </c>
      <c r="M307" s="572">
        <v>0</v>
      </c>
      <c r="N307" s="572">
        <v>0</v>
      </c>
      <c r="O307" s="572">
        <f t="shared" si="193"/>
        <v>0</v>
      </c>
      <c r="P307" s="572">
        <f t="shared" si="194"/>
        <v>0</v>
      </c>
      <c r="Q307" s="572">
        <v>0</v>
      </c>
      <c r="R307" s="572">
        <v>0</v>
      </c>
      <c r="S307" s="572">
        <v>0</v>
      </c>
      <c r="T307" s="572">
        <f t="shared" si="196"/>
        <v>0</v>
      </c>
      <c r="U307" s="572">
        <f t="shared" si="197"/>
        <v>0</v>
      </c>
    </row>
    <row r="308" spans="1:21" ht="18.75" x14ac:dyDescent="0.25">
      <c r="A308" s="674"/>
      <c r="B308" s="561"/>
      <c r="C308" s="561"/>
      <c r="D308" s="561"/>
      <c r="E308" s="573" t="s">
        <v>37</v>
      </c>
      <c r="F308" s="561"/>
      <c r="G308" s="563"/>
      <c r="H308" s="682" t="s">
        <v>14</v>
      </c>
      <c r="I308" s="683"/>
      <c r="J308" s="683"/>
      <c r="K308" s="684"/>
      <c r="L308" s="567">
        <f ca="1">IFERROR(__xludf.DUMMYFUNCTION("IMPORTRANGE(""https://docs.google.com/spreadsheets/d/1-uDff_7J0KD5mKrp0Vvzr7lt3OU09vwQwhkpOPPYv2Y/edit?usp=sharing"",""งบพรบ!DY22"")"),0)</f>
        <v>0</v>
      </c>
      <c r="M308" s="568">
        <f ca="1">IFERROR(__xludf.DUMMYFUNCTION("IMPORTRANGE(""https://docs.google.com/spreadsheets/d/1-uDff_7J0KD5mKrp0Vvzr7lt3OU09vwQwhkpOPPYv2Y/edit?usp=sharing"",""งบพรบ!ED22"")"),0)</f>
        <v>0</v>
      </c>
      <c r="N308" s="568">
        <f ca="1">IFERROR(__xludf.DUMMYFUNCTION("IMPORTRANGE(""https://docs.google.com/spreadsheets/d/1-uDff_7J0KD5mKrp0Vvzr7lt3OU09vwQwhkpOPPYv2Y/edit?usp=sharing"",""งบพรบ!EF22"")"),0)</f>
        <v>0</v>
      </c>
      <c r="O308" s="568">
        <f t="shared" ca="1" si="193"/>
        <v>0</v>
      </c>
      <c r="P308" s="568">
        <f t="shared" ca="1" si="194"/>
        <v>0</v>
      </c>
      <c r="Q308" s="568">
        <f ca="1">IFERROR(__xludf.DUMMYFUNCTION("IMPORTRANGE(""https://docs.google.com/spreadsheets/d/1ItG2mGa2ceCfYo0BwxsXqNm01IGEUdYcSSLTEv9YCik/edit?usp=sharing"",""เบิกจ่ายกองทุน!BB22"")"),260958.39)</f>
        <v>260958.39</v>
      </c>
      <c r="R308" s="568">
        <f ca="1">IFERROR(__xludf.DUMMYFUNCTION("IMPORTRANGE(""https://docs.google.com/spreadsheets/d/1ItG2mGa2ceCfYo0BwxsXqNm01IGEUdYcSSLTEv9YCik/edit?usp=sharing"",""เบิกจ่ายกองทุน!BC22"")"),260958)</f>
        <v>260958</v>
      </c>
      <c r="S308" s="568">
        <f ca="1">IFERROR(__xludf.DUMMYFUNCTION("IMPORTRANGE(""https://docs.google.com/spreadsheets/d/1ItG2mGa2ceCfYo0BwxsXqNm01IGEUdYcSSLTEv9YCik/edit?usp=sharing"",""เบิกจ่ายกองทุน!BD22"")"),0)</f>
        <v>0</v>
      </c>
      <c r="T308" s="568">
        <f t="shared" ca="1" si="196"/>
        <v>0</v>
      </c>
      <c r="U308" s="568">
        <f t="shared" ca="1" si="197"/>
        <v>0</v>
      </c>
    </row>
    <row r="309" spans="1:21" ht="18.75" x14ac:dyDescent="0.25">
      <c r="A309" s="674"/>
      <c r="B309" s="561"/>
      <c r="C309" s="561"/>
      <c r="D309" s="562" t="s">
        <v>23</v>
      </c>
      <c r="E309" s="561"/>
      <c r="F309" s="561"/>
      <c r="G309" s="563"/>
      <c r="H309" s="686" t="s">
        <v>14</v>
      </c>
      <c r="I309" s="683"/>
      <c r="J309" s="683"/>
      <c r="K309" s="684"/>
      <c r="L309" s="567">
        <f t="shared" ref="L309:N309" ca="1" si="202">L310+L311</f>
        <v>0</v>
      </c>
      <c r="M309" s="568">
        <f t="shared" ca="1" si="202"/>
        <v>0</v>
      </c>
      <c r="N309" s="568">
        <f t="shared" ca="1" si="202"/>
        <v>0</v>
      </c>
      <c r="O309" s="568">
        <f t="shared" ca="1" si="193"/>
        <v>0</v>
      </c>
      <c r="P309" s="568">
        <f t="shared" ca="1" si="194"/>
        <v>0</v>
      </c>
      <c r="Q309" s="568">
        <f t="shared" ref="Q309:S309" si="203">Q310+Q311</f>
        <v>0</v>
      </c>
      <c r="R309" s="568">
        <f t="shared" si="203"/>
        <v>0</v>
      </c>
      <c r="S309" s="568">
        <f t="shared" si="203"/>
        <v>0</v>
      </c>
      <c r="T309" s="568">
        <f t="shared" si="196"/>
        <v>0</v>
      </c>
      <c r="U309" s="568">
        <f t="shared" si="197"/>
        <v>0</v>
      </c>
    </row>
    <row r="310" spans="1:21" ht="18.75" x14ac:dyDescent="0.25">
      <c r="A310" s="674"/>
      <c r="B310" s="561"/>
      <c r="C310" s="561"/>
      <c r="D310" s="561"/>
      <c r="E310" s="569" t="s">
        <v>20</v>
      </c>
      <c r="F310" s="561"/>
      <c r="G310" s="563"/>
      <c r="H310" s="685" t="s">
        <v>14</v>
      </c>
      <c r="I310" s="683"/>
      <c r="J310" s="683"/>
      <c r="K310" s="684"/>
      <c r="L310" s="571">
        <v>0</v>
      </c>
      <c r="M310" s="572">
        <v>0</v>
      </c>
      <c r="N310" s="572">
        <v>0</v>
      </c>
      <c r="O310" s="572">
        <f t="shared" si="193"/>
        <v>0</v>
      </c>
      <c r="P310" s="572">
        <f t="shared" si="194"/>
        <v>0</v>
      </c>
      <c r="Q310" s="572">
        <v>0</v>
      </c>
      <c r="R310" s="572">
        <v>0</v>
      </c>
      <c r="S310" s="572">
        <v>0</v>
      </c>
      <c r="T310" s="572">
        <f t="shared" si="196"/>
        <v>0</v>
      </c>
      <c r="U310" s="572">
        <f t="shared" si="197"/>
        <v>0</v>
      </c>
    </row>
    <row r="311" spans="1:21" ht="18.75" x14ac:dyDescent="0.25">
      <c r="A311" s="674"/>
      <c r="B311" s="561"/>
      <c r="C311" s="561"/>
      <c r="D311" s="561"/>
      <c r="E311" s="573" t="s">
        <v>21</v>
      </c>
      <c r="F311" s="561"/>
      <c r="G311" s="563"/>
      <c r="H311" s="686" t="s">
        <v>14</v>
      </c>
      <c r="I311" s="683"/>
      <c r="J311" s="683"/>
      <c r="K311" s="684"/>
      <c r="L311" s="567">
        <f ca="1">IFERROR(__xludf.DUMMYFUNCTION("IMPORTRANGE(""https://docs.google.com/spreadsheets/d/1-uDff_7J0KD5mKrp0Vvzr7lt3OU09vwQwhkpOPPYv2Y/edit?usp=sharing"",""งบพรบ!EB22"")"),0)</f>
        <v>0</v>
      </c>
      <c r="M311" s="568">
        <f ca="1">IFERROR(__xludf.DUMMYFUNCTION("IMPORTRANGE(""https://docs.google.com/spreadsheets/d/1-uDff_7J0KD5mKrp0Vvzr7lt3OU09vwQwhkpOPPYv2Y/edit?usp=sharing"",""งบพรบ!EE22"")"),0)</f>
        <v>0</v>
      </c>
      <c r="N311" s="568">
        <f ca="1">IFERROR(__xludf.DUMMYFUNCTION("IMPORTRANGE(""https://docs.google.com/spreadsheets/d/1-uDff_7J0KD5mKrp0Vvzr7lt3OU09vwQwhkpOPPYv2Y/edit?usp=sharing"",""งบพรบ!EG22"")"),0)</f>
        <v>0</v>
      </c>
      <c r="O311" s="568">
        <f t="shared" ca="1" si="193"/>
        <v>0</v>
      </c>
      <c r="P311" s="568">
        <f t="shared" ca="1" si="194"/>
        <v>0</v>
      </c>
      <c r="Q311" s="568">
        <v>0</v>
      </c>
      <c r="R311" s="568">
        <v>0</v>
      </c>
      <c r="S311" s="568">
        <v>0</v>
      </c>
      <c r="T311" s="568">
        <f t="shared" si="196"/>
        <v>0</v>
      </c>
      <c r="U311" s="568">
        <f t="shared" si="197"/>
        <v>0</v>
      </c>
    </row>
    <row r="312" spans="1:21" ht="19.5" x14ac:dyDescent="0.3">
      <c r="A312" s="687"/>
      <c r="B312" s="688"/>
      <c r="C312" s="675" t="s">
        <v>18</v>
      </c>
      <c r="D312" s="689" t="s">
        <v>38</v>
      </c>
      <c r="E312" s="690"/>
      <c r="F312" s="690"/>
      <c r="G312" s="691"/>
      <c r="H312" s="692"/>
      <c r="I312" s="565"/>
      <c r="J312" s="565"/>
      <c r="K312" s="566"/>
      <c r="L312" s="574"/>
      <c r="M312" s="566"/>
      <c r="N312" s="566"/>
      <c r="O312" s="566"/>
      <c r="P312" s="566"/>
      <c r="Q312" s="566"/>
      <c r="R312" s="566"/>
      <c r="S312" s="566"/>
      <c r="T312" s="566"/>
      <c r="U312" s="566"/>
    </row>
    <row r="313" spans="1:21" ht="18.75" hidden="1" x14ac:dyDescent="0.25">
      <c r="A313" s="705"/>
      <c r="B313" s="706"/>
      <c r="C313" s="706"/>
      <c r="D313" s="918"/>
      <c r="E313" s="531"/>
      <c r="F313" s="531"/>
      <c r="G313" s="532"/>
      <c r="H313" s="532"/>
      <c r="I313" s="533"/>
      <c r="J313" s="919"/>
      <c r="K313" s="534"/>
      <c r="L313" s="535"/>
      <c r="M313" s="534"/>
      <c r="N313" s="534"/>
      <c r="O313" s="534"/>
      <c r="P313" s="534"/>
      <c r="Q313" s="534"/>
      <c r="R313" s="534"/>
      <c r="S313" s="534"/>
      <c r="T313" s="534"/>
      <c r="U313" s="534"/>
    </row>
    <row r="314" spans="1:21" ht="18.75" x14ac:dyDescent="0.25">
      <c r="A314" s="687"/>
      <c r="B314" s="688"/>
      <c r="C314" s="688"/>
      <c r="D314" s="699" t="s">
        <v>121</v>
      </c>
      <c r="E314" s="695"/>
      <c r="F314" s="695"/>
      <c r="G314" s="692"/>
      <c r="H314" s="700" t="s">
        <v>35</v>
      </c>
      <c r="I314" s="708">
        <f ca="1">IFERROR(__xludf.DUMMYFUNCTION("IMPORTRANGE(""https://docs.google.com/spreadsheets/d/1eHaY18a8A9IcSdp1K8H6x8fbOy06t2VsZHhMHf-1x7Y/edit?usp=sharing"",""แผน!EF22"")"),30)</f>
        <v>30</v>
      </c>
      <c r="J314" s="702">
        <v>0</v>
      </c>
      <c r="K314" s="568">
        <f ca="1">IF(I314&gt;0,J314*100/I314,0)</f>
        <v>0</v>
      </c>
      <c r="L314" s="574"/>
      <c r="M314" s="566"/>
      <c r="N314" s="566"/>
      <c r="O314" s="566"/>
      <c r="P314" s="566"/>
      <c r="Q314" s="566"/>
      <c r="R314" s="566"/>
      <c r="S314" s="566"/>
      <c r="T314" s="566"/>
      <c r="U314" s="566"/>
    </row>
    <row r="315" spans="1:21" ht="18.75" hidden="1" x14ac:dyDescent="0.25">
      <c r="A315" s="705"/>
      <c r="B315" s="706"/>
      <c r="C315" s="706"/>
      <c r="D315" s="918"/>
      <c r="E315" s="531"/>
      <c r="F315" s="531"/>
      <c r="G315" s="532"/>
      <c r="H315" s="920"/>
      <c r="I315" s="919"/>
      <c r="J315" s="919"/>
      <c r="K315" s="921"/>
      <c r="L315" s="535"/>
      <c r="M315" s="534"/>
      <c r="N315" s="534"/>
      <c r="O315" s="534"/>
      <c r="P315" s="534"/>
      <c r="Q315" s="534"/>
      <c r="R315" s="534"/>
      <c r="S315" s="534"/>
      <c r="T315" s="534"/>
      <c r="U315" s="534"/>
    </row>
    <row r="316" spans="1:21" ht="18.75" hidden="1" x14ac:dyDescent="0.25">
      <c r="A316" s="705"/>
      <c r="B316" s="706"/>
      <c r="C316" s="706"/>
      <c r="D316" s="918"/>
      <c r="E316" s="531"/>
      <c r="F316" s="531"/>
      <c r="G316" s="532"/>
      <c r="H316" s="920"/>
      <c r="I316" s="919"/>
      <c r="J316" s="919"/>
      <c r="K316" s="921"/>
      <c r="L316" s="535"/>
      <c r="M316" s="534"/>
      <c r="N316" s="534"/>
      <c r="O316" s="534"/>
      <c r="P316" s="534"/>
      <c r="Q316" s="534"/>
      <c r="R316" s="534"/>
      <c r="S316" s="534"/>
      <c r="T316" s="534"/>
      <c r="U316" s="534"/>
    </row>
    <row r="317" spans="1:21" ht="18.75" hidden="1" x14ac:dyDescent="0.25">
      <c r="A317" s="705"/>
      <c r="B317" s="706"/>
      <c r="C317" s="706"/>
      <c r="D317" s="922"/>
      <c r="E317" s="531"/>
      <c r="F317" s="531"/>
      <c r="G317" s="532"/>
      <c r="H317" s="923"/>
      <c r="I317" s="924"/>
      <c r="J317" s="924"/>
      <c r="K317" s="925"/>
      <c r="L317" s="535"/>
      <c r="M317" s="534"/>
      <c r="N317" s="534"/>
      <c r="O317" s="534"/>
      <c r="P317" s="534"/>
      <c r="Q317" s="534"/>
      <c r="R317" s="534"/>
      <c r="S317" s="534"/>
      <c r="T317" s="534"/>
      <c r="U317" s="534"/>
    </row>
    <row r="318" spans="1:21" ht="19.5" hidden="1" x14ac:dyDescent="0.3">
      <c r="A318" s="902" t="s">
        <v>131</v>
      </c>
      <c r="B318" s="903"/>
      <c r="C318" s="903"/>
      <c r="D318" s="904"/>
      <c r="E318" s="903"/>
      <c r="F318" s="903"/>
      <c r="G318" s="903"/>
      <c r="H318" s="904"/>
      <c r="I318" s="906"/>
      <c r="J318" s="906"/>
      <c r="K318" s="907"/>
      <c r="L318" s="908"/>
      <c r="M318" s="907"/>
      <c r="N318" s="907"/>
      <c r="O318" s="907"/>
      <c r="P318" s="907"/>
      <c r="Q318" s="907"/>
      <c r="R318" s="907"/>
      <c r="S318" s="907"/>
      <c r="T318" s="907"/>
      <c r="U318" s="907"/>
    </row>
    <row r="319" spans="1:21" ht="19.5" hidden="1" x14ac:dyDescent="0.3">
      <c r="A319" s="926"/>
      <c r="B319" s="910" t="s">
        <v>132</v>
      </c>
      <c r="C319" s="927"/>
      <c r="D319" s="928"/>
      <c r="E319" s="911"/>
      <c r="F319" s="911"/>
      <c r="G319" s="912"/>
      <c r="H319" s="913" t="s">
        <v>133</v>
      </c>
      <c r="I319" s="914">
        <f t="shared" ref="I319:J319" ca="1" si="204">I330</f>
        <v>0</v>
      </c>
      <c r="J319" s="914">
        <f t="shared" si="204"/>
        <v>0</v>
      </c>
      <c r="K319" s="915">
        <f ca="1">IF(I319&gt;0,J319*100/I319,0)</f>
        <v>0</v>
      </c>
      <c r="L319" s="916"/>
      <c r="M319" s="917"/>
      <c r="N319" s="917"/>
      <c r="O319" s="917"/>
      <c r="P319" s="917"/>
      <c r="Q319" s="917"/>
      <c r="R319" s="917"/>
      <c r="S319" s="917"/>
      <c r="T319" s="917"/>
      <c r="U319" s="917"/>
    </row>
    <row r="320" spans="1:21" ht="19.5" hidden="1" x14ac:dyDescent="0.3">
      <c r="A320" s="674"/>
      <c r="B320" s="561"/>
      <c r="C320" s="675" t="s">
        <v>18</v>
      </c>
      <c r="D320" s="676" t="s">
        <v>19</v>
      </c>
      <c r="E320" s="561"/>
      <c r="F320" s="561"/>
      <c r="G320" s="563"/>
      <c r="H320" s="677" t="s">
        <v>14</v>
      </c>
      <c r="I320" s="565"/>
      <c r="J320" s="565"/>
      <c r="K320" s="566"/>
      <c r="L320" s="678">
        <f t="shared" ref="L320:N320" ca="1" si="205">L321+L322</f>
        <v>0</v>
      </c>
      <c r="M320" s="679">
        <f t="shared" ca="1" si="205"/>
        <v>0</v>
      </c>
      <c r="N320" s="679">
        <f t="shared" ca="1" si="205"/>
        <v>0</v>
      </c>
      <c r="O320" s="679">
        <f t="shared" ref="O320:O328" ca="1" si="206">IF(L320&gt;0,N320*100/L320,0)</f>
        <v>0</v>
      </c>
      <c r="P320" s="679">
        <f t="shared" ref="P320:P328" ca="1" si="207">IF(M320&gt;0,N320*100/M320,0)</f>
        <v>0</v>
      </c>
      <c r="Q320" s="679">
        <f t="shared" ref="Q320:S320" si="208">Q321+Q322</f>
        <v>0</v>
      </c>
      <c r="R320" s="679">
        <f t="shared" si="208"/>
        <v>0</v>
      </c>
      <c r="S320" s="679">
        <f t="shared" si="208"/>
        <v>0</v>
      </c>
      <c r="T320" s="679">
        <f t="shared" ref="T320:T328" si="209">IF(Q320&gt;0,S320*100/Q320,0)</f>
        <v>0</v>
      </c>
      <c r="U320" s="679">
        <f t="shared" ref="U320:U328" si="210">IF(R320&gt;0,S320*100/R320,0)</f>
        <v>0</v>
      </c>
    </row>
    <row r="321" spans="1:21" ht="18.75" hidden="1" x14ac:dyDescent="0.25">
      <c r="A321" s="674"/>
      <c r="B321" s="561"/>
      <c r="C321" s="561"/>
      <c r="D321" s="561"/>
      <c r="E321" s="569" t="s">
        <v>20</v>
      </c>
      <c r="F321" s="561"/>
      <c r="G321" s="563"/>
      <c r="H321" s="680" t="s">
        <v>14</v>
      </c>
      <c r="I321" s="565"/>
      <c r="J321" s="565"/>
      <c r="K321" s="566"/>
      <c r="L321" s="571">
        <f t="shared" ref="L321:N322" si="211">L324+L327</f>
        <v>0</v>
      </c>
      <c r="M321" s="572">
        <f t="shared" si="211"/>
        <v>0</v>
      </c>
      <c r="N321" s="572">
        <f t="shared" si="211"/>
        <v>0</v>
      </c>
      <c r="O321" s="572">
        <f t="shared" si="206"/>
        <v>0</v>
      </c>
      <c r="P321" s="572">
        <f t="shared" si="207"/>
        <v>0</v>
      </c>
      <c r="Q321" s="572">
        <f t="shared" ref="Q321:S322" si="212">Q324+Q327</f>
        <v>0</v>
      </c>
      <c r="R321" s="572">
        <f t="shared" si="212"/>
        <v>0</v>
      </c>
      <c r="S321" s="572">
        <f t="shared" si="212"/>
        <v>0</v>
      </c>
      <c r="T321" s="572">
        <f t="shared" si="209"/>
        <v>0</v>
      </c>
      <c r="U321" s="572">
        <f t="shared" si="210"/>
        <v>0</v>
      </c>
    </row>
    <row r="322" spans="1:21" ht="18.75" hidden="1" x14ac:dyDescent="0.25">
      <c r="A322" s="674"/>
      <c r="B322" s="561"/>
      <c r="C322" s="561"/>
      <c r="D322" s="561"/>
      <c r="E322" s="573" t="s">
        <v>21</v>
      </c>
      <c r="F322" s="561"/>
      <c r="G322" s="563"/>
      <c r="H322" s="681" t="s">
        <v>14</v>
      </c>
      <c r="I322" s="565"/>
      <c r="J322" s="565"/>
      <c r="K322" s="566"/>
      <c r="L322" s="567">
        <f t="shared" ca="1" si="211"/>
        <v>0</v>
      </c>
      <c r="M322" s="568">
        <f t="shared" ca="1" si="211"/>
        <v>0</v>
      </c>
      <c r="N322" s="568">
        <f t="shared" ca="1" si="211"/>
        <v>0</v>
      </c>
      <c r="O322" s="568">
        <f t="shared" ca="1" si="206"/>
        <v>0</v>
      </c>
      <c r="P322" s="568">
        <f t="shared" ca="1" si="207"/>
        <v>0</v>
      </c>
      <c r="Q322" s="568">
        <f t="shared" si="212"/>
        <v>0</v>
      </c>
      <c r="R322" s="568">
        <f t="shared" si="212"/>
        <v>0</v>
      </c>
      <c r="S322" s="568">
        <f t="shared" si="212"/>
        <v>0</v>
      </c>
      <c r="T322" s="568">
        <f t="shared" si="209"/>
        <v>0</v>
      </c>
      <c r="U322" s="568">
        <f t="shared" si="210"/>
        <v>0</v>
      </c>
    </row>
    <row r="323" spans="1:21" ht="18.75" hidden="1" x14ac:dyDescent="0.25">
      <c r="A323" s="674"/>
      <c r="B323" s="561"/>
      <c r="C323" s="561"/>
      <c r="D323" s="562" t="s">
        <v>22</v>
      </c>
      <c r="E323" s="561"/>
      <c r="F323" s="561"/>
      <c r="G323" s="563"/>
      <c r="H323" s="682" t="s">
        <v>14</v>
      </c>
      <c r="I323" s="683"/>
      <c r="J323" s="683"/>
      <c r="K323" s="684"/>
      <c r="L323" s="567">
        <f t="shared" ref="L323:N323" ca="1" si="213">L324+L325</f>
        <v>0</v>
      </c>
      <c r="M323" s="568">
        <f t="shared" ca="1" si="213"/>
        <v>0</v>
      </c>
      <c r="N323" s="568">
        <f t="shared" ca="1" si="213"/>
        <v>0</v>
      </c>
      <c r="O323" s="568">
        <f t="shared" ca="1" si="206"/>
        <v>0</v>
      </c>
      <c r="P323" s="568">
        <f t="shared" ca="1" si="207"/>
        <v>0</v>
      </c>
      <c r="Q323" s="568">
        <f t="shared" ref="Q323:S323" si="214">Q324+Q325</f>
        <v>0</v>
      </c>
      <c r="R323" s="568">
        <f t="shared" si="214"/>
        <v>0</v>
      </c>
      <c r="S323" s="568">
        <f t="shared" si="214"/>
        <v>0</v>
      </c>
      <c r="T323" s="568">
        <f t="shared" si="209"/>
        <v>0</v>
      </c>
      <c r="U323" s="568">
        <f t="shared" si="210"/>
        <v>0</v>
      </c>
    </row>
    <row r="324" spans="1:21" ht="18.75" hidden="1" x14ac:dyDescent="0.25">
      <c r="A324" s="674"/>
      <c r="B324" s="561"/>
      <c r="C324" s="561"/>
      <c r="D324" s="561"/>
      <c r="E324" s="569" t="s">
        <v>36</v>
      </c>
      <c r="F324" s="561"/>
      <c r="G324" s="563"/>
      <c r="H324" s="685" t="s">
        <v>14</v>
      </c>
      <c r="I324" s="683"/>
      <c r="J324" s="683"/>
      <c r="K324" s="684"/>
      <c r="L324" s="571">
        <v>0</v>
      </c>
      <c r="M324" s="572">
        <v>0</v>
      </c>
      <c r="N324" s="572">
        <v>0</v>
      </c>
      <c r="O324" s="572">
        <f t="shared" si="206"/>
        <v>0</v>
      </c>
      <c r="P324" s="572">
        <f t="shared" si="207"/>
        <v>0</v>
      </c>
      <c r="Q324" s="572">
        <v>0</v>
      </c>
      <c r="R324" s="572">
        <v>0</v>
      </c>
      <c r="S324" s="572">
        <v>0</v>
      </c>
      <c r="T324" s="572">
        <f t="shared" si="209"/>
        <v>0</v>
      </c>
      <c r="U324" s="572">
        <f t="shared" si="210"/>
        <v>0</v>
      </c>
    </row>
    <row r="325" spans="1:21" ht="18.75" hidden="1" x14ac:dyDescent="0.25">
      <c r="A325" s="674"/>
      <c r="B325" s="561"/>
      <c r="C325" s="561"/>
      <c r="D325" s="561"/>
      <c r="E325" s="573" t="s">
        <v>37</v>
      </c>
      <c r="F325" s="561"/>
      <c r="G325" s="563"/>
      <c r="H325" s="682" t="s">
        <v>14</v>
      </c>
      <c r="I325" s="683"/>
      <c r="J325" s="683"/>
      <c r="K325" s="684"/>
      <c r="L325" s="567">
        <f ca="1">IFERROR(__xludf.DUMMYFUNCTION("IMPORTRANGE(""https://docs.google.com/spreadsheets/d/1-uDff_7J0KD5mKrp0Vvzr7lt3OU09vwQwhkpOPPYv2Y/edit?usp=sharing"",""งบพรบ!EI22"")"),0)</f>
        <v>0</v>
      </c>
      <c r="M325" s="568">
        <f ca="1">IFERROR(__xludf.DUMMYFUNCTION("IMPORTRANGE(""https://docs.google.com/spreadsheets/d/1-uDff_7J0KD5mKrp0Vvzr7lt3OU09vwQwhkpOPPYv2Y/edit?usp=sharing"",""งบพรบ!EN22"")"),0)</f>
        <v>0</v>
      </c>
      <c r="N325" s="568">
        <f ca="1">IFERROR(__xludf.DUMMYFUNCTION("IMPORTRANGE(""https://docs.google.com/spreadsheets/d/1-uDff_7J0KD5mKrp0Vvzr7lt3OU09vwQwhkpOPPYv2Y/edit?usp=sharing"",""งบพรบ!EP22"")"),0)</f>
        <v>0</v>
      </c>
      <c r="O325" s="568">
        <f t="shared" ca="1" si="206"/>
        <v>0</v>
      </c>
      <c r="P325" s="568">
        <f t="shared" ca="1" si="207"/>
        <v>0</v>
      </c>
      <c r="Q325" s="568">
        <v>0</v>
      </c>
      <c r="R325" s="568">
        <v>0</v>
      </c>
      <c r="S325" s="568">
        <v>0</v>
      </c>
      <c r="T325" s="568">
        <f t="shared" si="209"/>
        <v>0</v>
      </c>
      <c r="U325" s="568">
        <f t="shared" si="210"/>
        <v>0</v>
      </c>
    </row>
    <row r="326" spans="1:21" ht="18.75" hidden="1" x14ac:dyDescent="0.25">
      <c r="A326" s="674"/>
      <c r="B326" s="561"/>
      <c r="C326" s="561"/>
      <c r="D326" s="562" t="s">
        <v>23</v>
      </c>
      <c r="E326" s="561"/>
      <c r="F326" s="561"/>
      <c r="G326" s="563"/>
      <c r="H326" s="686" t="s">
        <v>14</v>
      </c>
      <c r="I326" s="683"/>
      <c r="J326" s="683"/>
      <c r="K326" s="684"/>
      <c r="L326" s="567">
        <f t="shared" ref="L326:N326" ca="1" si="215">L327+L328</f>
        <v>0</v>
      </c>
      <c r="M326" s="568">
        <f t="shared" ca="1" si="215"/>
        <v>0</v>
      </c>
      <c r="N326" s="568">
        <f t="shared" ca="1" si="215"/>
        <v>0</v>
      </c>
      <c r="O326" s="568">
        <f t="shared" ca="1" si="206"/>
        <v>0</v>
      </c>
      <c r="P326" s="568">
        <f t="shared" ca="1" si="207"/>
        <v>0</v>
      </c>
      <c r="Q326" s="568">
        <f t="shared" ref="Q326:S326" si="216">Q327+Q328</f>
        <v>0</v>
      </c>
      <c r="R326" s="568">
        <f t="shared" si="216"/>
        <v>0</v>
      </c>
      <c r="S326" s="568">
        <f t="shared" si="216"/>
        <v>0</v>
      </c>
      <c r="T326" s="568">
        <f t="shared" si="209"/>
        <v>0</v>
      </c>
      <c r="U326" s="568">
        <f t="shared" si="210"/>
        <v>0</v>
      </c>
    </row>
    <row r="327" spans="1:21" ht="18.75" hidden="1" x14ac:dyDescent="0.25">
      <c r="A327" s="674"/>
      <c r="B327" s="561"/>
      <c r="C327" s="561"/>
      <c r="D327" s="561"/>
      <c r="E327" s="569" t="s">
        <v>20</v>
      </c>
      <c r="F327" s="561"/>
      <c r="G327" s="563"/>
      <c r="H327" s="685" t="s">
        <v>14</v>
      </c>
      <c r="I327" s="683"/>
      <c r="J327" s="683"/>
      <c r="K327" s="684"/>
      <c r="L327" s="571">
        <v>0</v>
      </c>
      <c r="M327" s="572">
        <v>0</v>
      </c>
      <c r="N327" s="572">
        <v>0</v>
      </c>
      <c r="O327" s="572">
        <f t="shared" si="206"/>
        <v>0</v>
      </c>
      <c r="P327" s="572">
        <f t="shared" si="207"/>
        <v>0</v>
      </c>
      <c r="Q327" s="572">
        <v>0</v>
      </c>
      <c r="R327" s="572">
        <v>0</v>
      </c>
      <c r="S327" s="572">
        <v>0</v>
      </c>
      <c r="T327" s="572">
        <f t="shared" si="209"/>
        <v>0</v>
      </c>
      <c r="U327" s="572">
        <f t="shared" si="210"/>
        <v>0</v>
      </c>
    </row>
    <row r="328" spans="1:21" ht="18.75" hidden="1" x14ac:dyDescent="0.25">
      <c r="A328" s="674"/>
      <c r="B328" s="561"/>
      <c r="C328" s="561"/>
      <c r="D328" s="561"/>
      <c r="E328" s="573" t="s">
        <v>21</v>
      </c>
      <c r="F328" s="561"/>
      <c r="G328" s="563"/>
      <c r="H328" s="686" t="s">
        <v>14</v>
      </c>
      <c r="I328" s="683"/>
      <c r="J328" s="683"/>
      <c r="K328" s="684"/>
      <c r="L328" s="567">
        <f ca="1">IFERROR(__xludf.DUMMYFUNCTION("IMPORTRANGE(""https://docs.google.com/spreadsheets/d/1-uDff_7J0KD5mKrp0Vvzr7lt3OU09vwQwhkpOPPYv2Y/edit?usp=sharing"",""งบพรบ!EL22"")"),0)</f>
        <v>0</v>
      </c>
      <c r="M328" s="568">
        <f ca="1">IFERROR(__xludf.DUMMYFUNCTION("IMPORTRANGE(""https://docs.google.com/spreadsheets/d/1-uDff_7J0KD5mKrp0Vvzr7lt3OU09vwQwhkpOPPYv2Y/edit?usp=sharing"",""งบพรบ!EO22"")"),0)</f>
        <v>0</v>
      </c>
      <c r="N328" s="568">
        <f ca="1">IFERROR(__xludf.DUMMYFUNCTION("IMPORTRANGE(""https://docs.google.com/spreadsheets/d/1-uDff_7J0KD5mKrp0Vvzr7lt3OU09vwQwhkpOPPYv2Y/edit?usp=sharing"",""งบพรบ!EQ22"")"),0)</f>
        <v>0</v>
      </c>
      <c r="O328" s="568">
        <f t="shared" ca="1" si="206"/>
        <v>0</v>
      </c>
      <c r="P328" s="568">
        <f t="shared" ca="1" si="207"/>
        <v>0</v>
      </c>
      <c r="Q328" s="568">
        <v>0</v>
      </c>
      <c r="R328" s="568">
        <v>0</v>
      </c>
      <c r="S328" s="568">
        <v>0</v>
      </c>
      <c r="T328" s="568">
        <f t="shared" si="209"/>
        <v>0</v>
      </c>
      <c r="U328" s="568">
        <f t="shared" si="210"/>
        <v>0</v>
      </c>
    </row>
    <row r="329" spans="1:21" ht="19.5" hidden="1" x14ac:dyDescent="0.3">
      <c r="A329" s="687"/>
      <c r="B329" s="688"/>
      <c r="C329" s="675" t="s">
        <v>18</v>
      </c>
      <c r="D329" s="689" t="s">
        <v>38</v>
      </c>
      <c r="E329" s="690"/>
      <c r="F329" s="690"/>
      <c r="G329" s="691"/>
      <c r="H329" s="692"/>
      <c r="I329" s="683"/>
      <c r="J329" s="565"/>
      <c r="K329" s="566"/>
      <c r="L329" s="574"/>
      <c r="M329" s="566"/>
      <c r="N329" s="566"/>
      <c r="O329" s="684"/>
      <c r="P329" s="684"/>
      <c r="Q329" s="566"/>
      <c r="R329" s="566"/>
      <c r="S329" s="566"/>
      <c r="T329" s="684"/>
      <c r="U329" s="684"/>
    </row>
    <row r="330" spans="1:21" ht="18.75" hidden="1" x14ac:dyDescent="0.25">
      <c r="A330" s="687"/>
      <c r="B330" s="688"/>
      <c r="C330" s="688"/>
      <c r="D330" s="694" t="s">
        <v>134</v>
      </c>
      <c r="E330" s="695"/>
      <c r="F330" s="695"/>
      <c r="G330" s="692"/>
      <c r="H330" s="564" t="s">
        <v>133</v>
      </c>
      <c r="I330" s="708">
        <f ca="1">IFERROR(__xludf.DUMMYFUNCTION("IMPORTRANGE(""https://docs.google.com/spreadsheets/d/1eHaY18a8A9IcSdp1K8H6x8fbOy06t2VsZHhMHf-1x7Y/edit?usp=sharing"",""แผน!EJ22"")"),0)</f>
        <v>0</v>
      </c>
      <c r="J330" s="702">
        <v>0</v>
      </c>
      <c r="K330" s="568">
        <f ca="1">IF(I330&gt;0,J330*100/I330,0)</f>
        <v>0</v>
      </c>
      <c r="L330" s="574"/>
      <c r="M330" s="566"/>
      <c r="N330" s="566"/>
      <c r="O330" s="684"/>
      <c r="P330" s="684"/>
      <c r="Q330" s="566"/>
      <c r="R330" s="566"/>
      <c r="S330" s="566"/>
      <c r="T330" s="684"/>
      <c r="U330" s="684"/>
    </row>
    <row r="331" spans="1:21" ht="19.5" x14ac:dyDescent="0.3">
      <c r="A331" s="902" t="s">
        <v>135</v>
      </c>
      <c r="B331" s="903"/>
      <c r="C331" s="903"/>
      <c r="D331" s="904"/>
      <c r="E331" s="903"/>
      <c r="F331" s="903"/>
      <c r="G331" s="903"/>
      <c r="H331" s="904"/>
      <c r="I331" s="906"/>
      <c r="J331" s="906"/>
      <c r="K331" s="907"/>
      <c r="L331" s="908"/>
      <c r="M331" s="907"/>
      <c r="N331" s="907"/>
      <c r="O331" s="907"/>
      <c r="P331" s="907"/>
      <c r="Q331" s="907"/>
      <c r="R331" s="907"/>
      <c r="S331" s="907"/>
      <c r="T331" s="907"/>
      <c r="U331" s="907"/>
    </row>
    <row r="332" spans="1:21" ht="19.5" x14ac:dyDescent="0.3">
      <c r="A332" s="909"/>
      <c r="B332" s="910" t="s">
        <v>136</v>
      </c>
      <c r="C332" s="928"/>
      <c r="D332" s="911"/>
      <c r="E332" s="911"/>
      <c r="F332" s="911"/>
      <c r="G332" s="912"/>
      <c r="H332" s="913" t="s">
        <v>35</v>
      </c>
      <c r="I332" s="929">
        <f ca="1">I344</f>
        <v>1060</v>
      </c>
      <c r="J332" s="930">
        <f ca="1">J344+J347+J348+J349+J353</f>
        <v>2965</v>
      </c>
      <c r="K332" s="931">
        <f ca="1">IF(I332&gt;0,J332*100/I332,0)</f>
        <v>279.71698113207549</v>
      </c>
      <c r="L332" s="916"/>
      <c r="M332" s="917"/>
      <c r="N332" s="917"/>
      <c r="O332" s="917"/>
      <c r="P332" s="917"/>
      <c r="Q332" s="917"/>
      <c r="R332" s="917"/>
      <c r="S332" s="917"/>
      <c r="T332" s="917"/>
      <c r="U332" s="917"/>
    </row>
    <row r="333" spans="1:21" ht="19.5" x14ac:dyDescent="0.3">
      <c r="A333" s="674"/>
      <c r="B333" s="561"/>
      <c r="C333" s="675" t="s">
        <v>18</v>
      </c>
      <c r="D333" s="676" t="s">
        <v>19</v>
      </c>
      <c r="E333" s="561"/>
      <c r="F333" s="561"/>
      <c r="G333" s="563"/>
      <c r="H333" s="677" t="s">
        <v>14</v>
      </c>
      <c r="I333" s="565"/>
      <c r="J333" s="565"/>
      <c r="K333" s="566"/>
      <c r="L333" s="678">
        <f t="shared" ref="L333:N333" ca="1" si="217">L334+L335</f>
        <v>189000</v>
      </c>
      <c r="M333" s="679">
        <f t="shared" ca="1" si="217"/>
        <v>115000</v>
      </c>
      <c r="N333" s="679">
        <f t="shared" ca="1" si="217"/>
        <v>101812.33</v>
      </c>
      <c r="O333" s="679">
        <f t="shared" ref="O333:O341" ca="1" si="218">IF(L333&gt;0,N333*100/L333,0)</f>
        <v>53.868957671957673</v>
      </c>
      <c r="P333" s="679">
        <f t="shared" ref="P333:P341" ca="1" si="219">IF(M333&gt;0,N333*100/M333,0)</f>
        <v>88.532460869565213</v>
      </c>
      <c r="Q333" s="679">
        <f t="shared" ref="Q333:S333" si="220">Q334+Q335</f>
        <v>0</v>
      </c>
      <c r="R333" s="679">
        <f t="shared" si="220"/>
        <v>0</v>
      </c>
      <c r="S333" s="679">
        <f t="shared" si="220"/>
        <v>0</v>
      </c>
      <c r="T333" s="679">
        <f t="shared" ref="T333:T341" si="221">IF(Q333&gt;0,S333*100/Q333,0)</f>
        <v>0</v>
      </c>
      <c r="U333" s="679">
        <f t="shared" ref="U333:U341" si="222">IF(R333&gt;0,S333*100/R333,0)</f>
        <v>0</v>
      </c>
    </row>
    <row r="334" spans="1:21" ht="18.75" x14ac:dyDescent="0.25">
      <c r="A334" s="674"/>
      <c r="B334" s="561"/>
      <c r="C334" s="561"/>
      <c r="D334" s="561"/>
      <c r="E334" s="569" t="s">
        <v>20</v>
      </c>
      <c r="F334" s="561"/>
      <c r="G334" s="563"/>
      <c r="H334" s="680" t="s">
        <v>14</v>
      </c>
      <c r="I334" s="565"/>
      <c r="J334" s="565"/>
      <c r="K334" s="566"/>
      <c r="L334" s="571">
        <f t="shared" ref="L334:N335" si="223">L337+L340</f>
        <v>0</v>
      </c>
      <c r="M334" s="572">
        <f t="shared" si="223"/>
        <v>0</v>
      </c>
      <c r="N334" s="572">
        <f t="shared" si="223"/>
        <v>0</v>
      </c>
      <c r="O334" s="572">
        <f t="shared" si="218"/>
        <v>0</v>
      </c>
      <c r="P334" s="572">
        <f t="shared" si="219"/>
        <v>0</v>
      </c>
      <c r="Q334" s="572">
        <f t="shared" ref="Q334:S335" si="224">Q337+Q340</f>
        <v>0</v>
      </c>
      <c r="R334" s="572">
        <f t="shared" si="224"/>
        <v>0</v>
      </c>
      <c r="S334" s="572">
        <f t="shared" si="224"/>
        <v>0</v>
      </c>
      <c r="T334" s="572">
        <f t="shared" si="221"/>
        <v>0</v>
      </c>
      <c r="U334" s="572">
        <f t="shared" si="222"/>
        <v>0</v>
      </c>
    </row>
    <row r="335" spans="1:21" ht="18.75" x14ac:dyDescent="0.25">
      <c r="A335" s="674"/>
      <c r="B335" s="561"/>
      <c r="C335" s="561"/>
      <c r="D335" s="561"/>
      <c r="E335" s="573" t="s">
        <v>21</v>
      </c>
      <c r="F335" s="561"/>
      <c r="G335" s="563"/>
      <c r="H335" s="681" t="s">
        <v>14</v>
      </c>
      <c r="I335" s="565"/>
      <c r="J335" s="565"/>
      <c r="K335" s="566"/>
      <c r="L335" s="567">
        <f t="shared" ca="1" si="223"/>
        <v>189000</v>
      </c>
      <c r="M335" s="568">
        <f t="shared" ca="1" si="223"/>
        <v>115000</v>
      </c>
      <c r="N335" s="568">
        <f t="shared" ca="1" si="223"/>
        <v>101812.33</v>
      </c>
      <c r="O335" s="568">
        <f t="shared" ca="1" si="218"/>
        <v>53.868957671957673</v>
      </c>
      <c r="P335" s="568">
        <f t="shared" ca="1" si="219"/>
        <v>88.532460869565213</v>
      </c>
      <c r="Q335" s="568">
        <f t="shared" si="224"/>
        <v>0</v>
      </c>
      <c r="R335" s="568">
        <f t="shared" si="224"/>
        <v>0</v>
      </c>
      <c r="S335" s="568">
        <f t="shared" si="224"/>
        <v>0</v>
      </c>
      <c r="T335" s="568">
        <f t="shared" si="221"/>
        <v>0</v>
      </c>
      <c r="U335" s="568">
        <f t="shared" si="222"/>
        <v>0</v>
      </c>
    </row>
    <row r="336" spans="1:21" ht="18.75" x14ac:dyDescent="0.25">
      <c r="A336" s="674"/>
      <c r="B336" s="561"/>
      <c r="C336" s="561"/>
      <c r="D336" s="562" t="s">
        <v>22</v>
      </c>
      <c r="E336" s="561"/>
      <c r="F336" s="561"/>
      <c r="G336" s="563"/>
      <c r="H336" s="682" t="s">
        <v>14</v>
      </c>
      <c r="I336" s="683"/>
      <c r="J336" s="683"/>
      <c r="K336" s="684"/>
      <c r="L336" s="567">
        <f t="shared" ref="L336:N336" ca="1" si="225">L337+L338</f>
        <v>189000</v>
      </c>
      <c r="M336" s="568">
        <f t="shared" ca="1" si="225"/>
        <v>115000</v>
      </c>
      <c r="N336" s="568">
        <f t="shared" ca="1" si="225"/>
        <v>101812.33</v>
      </c>
      <c r="O336" s="568">
        <f t="shared" ca="1" si="218"/>
        <v>53.868957671957673</v>
      </c>
      <c r="P336" s="568">
        <f t="shared" ca="1" si="219"/>
        <v>88.532460869565213</v>
      </c>
      <c r="Q336" s="568">
        <f t="shared" ref="Q336:S336" si="226">Q337+Q338</f>
        <v>0</v>
      </c>
      <c r="R336" s="568">
        <f t="shared" si="226"/>
        <v>0</v>
      </c>
      <c r="S336" s="568">
        <f t="shared" si="226"/>
        <v>0</v>
      </c>
      <c r="T336" s="568">
        <f t="shared" si="221"/>
        <v>0</v>
      </c>
      <c r="U336" s="568">
        <f t="shared" si="222"/>
        <v>0</v>
      </c>
    </row>
    <row r="337" spans="1:21" ht="18.75" x14ac:dyDescent="0.25">
      <c r="A337" s="674"/>
      <c r="B337" s="561"/>
      <c r="C337" s="561"/>
      <c r="D337" s="561"/>
      <c r="E337" s="569" t="s">
        <v>36</v>
      </c>
      <c r="F337" s="561"/>
      <c r="G337" s="563"/>
      <c r="H337" s="685" t="s">
        <v>14</v>
      </c>
      <c r="I337" s="683"/>
      <c r="J337" s="683"/>
      <c r="K337" s="684"/>
      <c r="L337" s="571">
        <v>0</v>
      </c>
      <c r="M337" s="572">
        <v>0</v>
      </c>
      <c r="N337" s="572">
        <v>0</v>
      </c>
      <c r="O337" s="572">
        <f t="shared" si="218"/>
        <v>0</v>
      </c>
      <c r="P337" s="572">
        <f t="shared" si="219"/>
        <v>0</v>
      </c>
      <c r="Q337" s="572">
        <v>0</v>
      </c>
      <c r="R337" s="572">
        <v>0</v>
      </c>
      <c r="S337" s="572">
        <v>0</v>
      </c>
      <c r="T337" s="572">
        <f t="shared" si="221"/>
        <v>0</v>
      </c>
      <c r="U337" s="572">
        <f t="shared" si="222"/>
        <v>0</v>
      </c>
    </row>
    <row r="338" spans="1:21" ht="18.75" x14ac:dyDescent="0.25">
      <c r="A338" s="674"/>
      <c r="B338" s="561"/>
      <c r="C338" s="561"/>
      <c r="D338" s="561"/>
      <c r="E338" s="573" t="s">
        <v>37</v>
      </c>
      <c r="F338" s="561"/>
      <c r="G338" s="563"/>
      <c r="H338" s="682" t="s">
        <v>14</v>
      </c>
      <c r="I338" s="683"/>
      <c r="J338" s="683"/>
      <c r="K338" s="684"/>
      <c r="L338" s="567">
        <f ca="1">IFERROR(__xludf.DUMMYFUNCTION("IMPORTRANGE(""https://docs.google.com/spreadsheets/d/1-uDff_7J0KD5mKrp0Vvzr7lt3OU09vwQwhkpOPPYv2Y/edit?usp=sharing"",""งบพรบ!ES22"")"),189000)</f>
        <v>189000</v>
      </c>
      <c r="M338" s="568">
        <f ca="1">IFERROR(__xludf.DUMMYFUNCTION("IMPORTRANGE(""https://docs.google.com/spreadsheets/d/1-uDff_7J0KD5mKrp0Vvzr7lt3OU09vwQwhkpOPPYv2Y/edit?usp=sharing"",""งบพรบ!EX22"")"),115000)</f>
        <v>115000</v>
      </c>
      <c r="N338" s="568">
        <f ca="1">IFERROR(__xludf.DUMMYFUNCTION("IMPORTRANGE(""https://docs.google.com/spreadsheets/d/1-uDff_7J0KD5mKrp0Vvzr7lt3OU09vwQwhkpOPPYv2Y/edit?usp=sharing"",""งบพรบ!EZ22"")"),101812.33)</f>
        <v>101812.33</v>
      </c>
      <c r="O338" s="568">
        <f t="shared" ca="1" si="218"/>
        <v>53.868957671957673</v>
      </c>
      <c r="P338" s="568">
        <f t="shared" ca="1" si="219"/>
        <v>88.532460869565213</v>
      </c>
      <c r="Q338" s="568">
        <v>0</v>
      </c>
      <c r="R338" s="568">
        <v>0</v>
      </c>
      <c r="S338" s="568">
        <v>0</v>
      </c>
      <c r="T338" s="568">
        <f t="shared" si="221"/>
        <v>0</v>
      </c>
      <c r="U338" s="568">
        <f t="shared" si="222"/>
        <v>0</v>
      </c>
    </row>
    <row r="339" spans="1:21" ht="18.75" x14ac:dyDescent="0.25">
      <c r="A339" s="674"/>
      <c r="B339" s="561"/>
      <c r="C339" s="561"/>
      <c r="D339" s="562" t="s">
        <v>23</v>
      </c>
      <c r="E339" s="561"/>
      <c r="F339" s="561"/>
      <c r="G339" s="563"/>
      <c r="H339" s="686" t="s">
        <v>14</v>
      </c>
      <c r="I339" s="683"/>
      <c r="J339" s="683"/>
      <c r="K339" s="684"/>
      <c r="L339" s="567">
        <f t="shared" ref="L339:N339" ca="1" si="227">L340+L341</f>
        <v>0</v>
      </c>
      <c r="M339" s="568">
        <f t="shared" ca="1" si="227"/>
        <v>0</v>
      </c>
      <c r="N339" s="568">
        <f t="shared" ca="1" si="227"/>
        <v>0</v>
      </c>
      <c r="O339" s="568">
        <f t="shared" ca="1" si="218"/>
        <v>0</v>
      </c>
      <c r="P339" s="568">
        <f t="shared" ca="1" si="219"/>
        <v>0</v>
      </c>
      <c r="Q339" s="568">
        <f t="shared" ref="Q339:S339" si="228">Q340+Q341</f>
        <v>0</v>
      </c>
      <c r="R339" s="568">
        <f t="shared" si="228"/>
        <v>0</v>
      </c>
      <c r="S339" s="568">
        <f t="shared" si="228"/>
        <v>0</v>
      </c>
      <c r="T339" s="568">
        <f t="shared" si="221"/>
        <v>0</v>
      </c>
      <c r="U339" s="568">
        <f t="shared" si="222"/>
        <v>0</v>
      </c>
    </row>
    <row r="340" spans="1:21" ht="18.75" x14ac:dyDescent="0.25">
      <c r="A340" s="674"/>
      <c r="B340" s="561"/>
      <c r="C340" s="561"/>
      <c r="D340" s="561"/>
      <c r="E340" s="569" t="s">
        <v>20</v>
      </c>
      <c r="F340" s="561"/>
      <c r="G340" s="563"/>
      <c r="H340" s="685" t="s">
        <v>14</v>
      </c>
      <c r="I340" s="683"/>
      <c r="J340" s="683"/>
      <c r="K340" s="684"/>
      <c r="L340" s="571">
        <v>0</v>
      </c>
      <c r="M340" s="572">
        <v>0</v>
      </c>
      <c r="N340" s="572">
        <v>0</v>
      </c>
      <c r="O340" s="572">
        <f t="shared" si="218"/>
        <v>0</v>
      </c>
      <c r="P340" s="572">
        <f t="shared" si="219"/>
        <v>0</v>
      </c>
      <c r="Q340" s="572">
        <v>0</v>
      </c>
      <c r="R340" s="572">
        <v>0</v>
      </c>
      <c r="S340" s="572">
        <v>0</v>
      </c>
      <c r="T340" s="572">
        <f t="shared" si="221"/>
        <v>0</v>
      </c>
      <c r="U340" s="572">
        <f t="shared" si="222"/>
        <v>0</v>
      </c>
    </row>
    <row r="341" spans="1:21" ht="18.75" x14ac:dyDescent="0.25">
      <c r="A341" s="674"/>
      <c r="B341" s="561"/>
      <c r="C341" s="561"/>
      <c r="D341" s="561"/>
      <c r="E341" s="573" t="s">
        <v>21</v>
      </c>
      <c r="F341" s="561"/>
      <c r="G341" s="563"/>
      <c r="H341" s="686" t="s">
        <v>14</v>
      </c>
      <c r="I341" s="683"/>
      <c r="J341" s="683"/>
      <c r="K341" s="684"/>
      <c r="L341" s="567">
        <f ca="1">IFERROR(__xludf.DUMMYFUNCTION("IMPORTRANGE(""https://docs.google.com/spreadsheets/d/1-uDff_7J0KD5mKrp0Vvzr7lt3OU09vwQwhkpOPPYv2Y/edit?usp=sharing"",""งบพรบ!EV22"")"),0)</f>
        <v>0</v>
      </c>
      <c r="M341" s="568">
        <f ca="1">IFERROR(__xludf.DUMMYFUNCTION("IMPORTRANGE(""https://docs.google.com/spreadsheets/d/1-uDff_7J0KD5mKrp0Vvzr7lt3OU09vwQwhkpOPPYv2Y/edit?usp=sharing"",""งบพรบ!EY22"")"),0)</f>
        <v>0</v>
      </c>
      <c r="N341" s="568">
        <f ca="1">IFERROR(__xludf.DUMMYFUNCTION("IMPORTRANGE(""https://docs.google.com/spreadsheets/d/1-uDff_7J0KD5mKrp0Vvzr7lt3OU09vwQwhkpOPPYv2Y/edit?usp=sharing"",""งบพรบ!FA22"")"),0)</f>
        <v>0</v>
      </c>
      <c r="O341" s="568">
        <f t="shared" ca="1" si="218"/>
        <v>0</v>
      </c>
      <c r="P341" s="568">
        <f t="shared" ca="1" si="219"/>
        <v>0</v>
      </c>
      <c r="Q341" s="568">
        <v>0</v>
      </c>
      <c r="R341" s="568">
        <v>0</v>
      </c>
      <c r="S341" s="568">
        <v>0</v>
      </c>
      <c r="T341" s="568">
        <f t="shared" si="221"/>
        <v>0</v>
      </c>
      <c r="U341" s="568">
        <f t="shared" si="222"/>
        <v>0</v>
      </c>
    </row>
    <row r="342" spans="1:21" ht="19.5" x14ac:dyDescent="0.3">
      <c r="A342" s="687"/>
      <c r="B342" s="688"/>
      <c r="C342" s="675" t="s">
        <v>18</v>
      </c>
      <c r="D342" s="757" t="s">
        <v>38</v>
      </c>
      <c r="E342" s="690"/>
      <c r="F342" s="690"/>
      <c r="G342" s="691"/>
      <c r="H342" s="563"/>
      <c r="I342" s="565"/>
      <c r="J342" s="565"/>
      <c r="K342" s="566"/>
      <c r="L342" s="574"/>
      <c r="M342" s="566"/>
      <c r="N342" s="566"/>
      <c r="O342" s="684"/>
      <c r="P342" s="684"/>
      <c r="Q342" s="566"/>
      <c r="R342" s="566"/>
      <c r="S342" s="566"/>
      <c r="T342" s="684"/>
      <c r="U342" s="684"/>
    </row>
    <row r="343" spans="1:21" ht="19.5" x14ac:dyDescent="0.3">
      <c r="A343" s="932"/>
      <c r="B343" s="933"/>
      <c r="C343" s="934"/>
      <c r="D343" s="933"/>
      <c r="E343" s="935" t="s">
        <v>137</v>
      </c>
      <c r="F343" s="933"/>
      <c r="G343" s="936"/>
      <c r="H343" s="937" t="s">
        <v>35</v>
      </c>
      <c r="I343" s="938">
        <v>0</v>
      </c>
      <c r="J343" s="938">
        <f ca="1">J344+J347+J348+J349</f>
        <v>1404</v>
      </c>
      <c r="K343" s="939">
        <v>0</v>
      </c>
      <c r="L343" s="777"/>
      <c r="M343" s="778"/>
      <c r="N343" s="778"/>
      <c r="O343" s="778"/>
      <c r="P343" s="778"/>
      <c r="Q343" s="778"/>
      <c r="R343" s="778"/>
      <c r="S343" s="778"/>
      <c r="T343" s="778"/>
      <c r="U343" s="778"/>
    </row>
    <row r="344" spans="1:21" ht="18.75" x14ac:dyDescent="0.25">
      <c r="A344" s="764"/>
      <c r="B344" s="561"/>
      <c r="C344" s="718"/>
      <c r="D344" s="695"/>
      <c r="E344" s="699" t="s">
        <v>138</v>
      </c>
      <c r="F344" s="561"/>
      <c r="G344" s="563"/>
      <c r="H344" s="766" t="s">
        <v>35</v>
      </c>
      <c r="I344" s="708">
        <f ca="1">IFERROR(__xludf.DUMMYFUNCTION("IMPORTRANGE(""https://docs.google.com/spreadsheets/d/1eHaY18a8A9IcSdp1K8H6x8fbOy06t2VsZHhMHf-1x7Y/edit?usp=sharing"",""แผน!EK22"")"),1060)</f>
        <v>1060</v>
      </c>
      <c r="J344" s="708">
        <f ca="1">IFERROR(__xludf.DUMMYFUNCTION("IMPORTRANGE(""https://docs.google.com/spreadsheets/d/1awYsYK3VOup2i3Pq_Yjnu8DRu_mYwSBnCR2QPthd0rU/edit?usp=sharing"",""ศูนย์ยกเว้นโฉนด!D22"")"),1331)</f>
        <v>1331</v>
      </c>
      <c r="K344" s="568">
        <f ca="1">IF(I344&gt;0,J344*100/I344,0)</f>
        <v>125.56603773584905</v>
      </c>
      <c r="L344" s="574"/>
      <c r="M344" s="566"/>
      <c r="N344" s="566"/>
      <c r="O344" s="566"/>
      <c r="P344" s="566"/>
      <c r="Q344" s="566"/>
      <c r="R344" s="566"/>
      <c r="S344" s="566"/>
      <c r="T344" s="566"/>
      <c r="U344" s="566"/>
    </row>
    <row r="345" spans="1:21" ht="18.75" x14ac:dyDescent="0.25">
      <c r="A345" s="764"/>
      <c r="B345" s="561"/>
      <c r="C345" s="718"/>
      <c r="D345" s="695"/>
      <c r="E345" s="699" t="s">
        <v>139</v>
      </c>
      <c r="F345" s="561"/>
      <c r="G345" s="563"/>
      <c r="H345" s="727"/>
      <c r="I345" s="565"/>
      <c r="J345" s="565"/>
      <c r="K345" s="566"/>
      <c r="L345" s="574"/>
      <c r="M345" s="566"/>
      <c r="N345" s="566"/>
      <c r="O345" s="566"/>
      <c r="P345" s="566"/>
      <c r="Q345" s="566"/>
      <c r="R345" s="566"/>
      <c r="S345" s="566"/>
      <c r="T345" s="566"/>
      <c r="U345" s="566"/>
    </row>
    <row r="346" spans="1:21" ht="18.75" x14ac:dyDescent="0.25">
      <c r="A346" s="764"/>
      <c r="B346" s="561"/>
      <c r="C346" s="718"/>
      <c r="D346" s="695"/>
      <c r="E346" s="695"/>
      <c r="F346" s="699" t="s">
        <v>140</v>
      </c>
      <c r="G346" s="563"/>
      <c r="H346" s="722" t="s">
        <v>141</v>
      </c>
      <c r="I346" s="708">
        <f ca="1">IFERROR(__xludf.DUMMYFUNCTION("IMPORTRANGE(""https://docs.google.com/spreadsheets/d/1eHaY18a8A9IcSdp1K8H6x8fbOy06t2VsZHhMHf-1x7Y/edit?usp=sharing"",""แผน!EL22"")"),5)</f>
        <v>5</v>
      </c>
      <c r="J346" s="708">
        <f ca="1">IFERROR(__xludf.DUMMYFUNCTION("IMPORTRANGE(""https://docs.google.com/spreadsheets/d/1awYsYK3VOup2i3Pq_Yjnu8DRu_mYwSBnCR2QPthd0rU/edit?usp=sharing"",""ศูนย์รวม!E22"")"),6)</f>
        <v>6</v>
      </c>
      <c r="K346" s="568">
        <f ca="1">IF(I346&gt;0,J346*100/I346,0)</f>
        <v>120</v>
      </c>
      <c r="L346" s="574"/>
      <c r="M346" s="566"/>
      <c r="N346" s="566"/>
      <c r="O346" s="566"/>
      <c r="P346" s="566"/>
      <c r="Q346" s="566"/>
      <c r="R346" s="566"/>
      <c r="S346" s="566"/>
      <c r="T346" s="566"/>
      <c r="U346" s="566"/>
    </row>
    <row r="347" spans="1:21" ht="18.75" x14ac:dyDescent="0.25">
      <c r="A347" s="764"/>
      <c r="B347" s="561"/>
      <c r="C347" s="718"/>
      <c r="D347" s="695"/>
      <c r="E347" s="695"/>
      <c r="F347" s="699" t="s">
        <v>142</v>
      </c>
      <c r="G347" s="563"/>
      <c r="H347" s="722" t="s">
        <v>35</v>
      </c>
      <c r="I347" s="565"/>
      <c r="J347" s="708">
        <f ca="1">IFERROR(__xludf.DUMMYFUNCTION("IMPORTRANGE(""https://docs.google.com/spreadsheets/d/1awYsYK3VOup2i3Pq_Yjnu8DRu_mYwSBnCR2QPthd0rU/edit?usp=sharing"",""ศูนย์ยกเว้นโฉนด!F22"")"),69)</f>
        <v>69</v>
      </c>
      <c r="K347" s="566"/>
      <c r="L347" s="574"/>
      <c r="M347" s="566"/>
      <c r="N347" s="566"/>
      <c r="O347" s="566"/>
      <c r="P347" s="566"/>
      <c r="Q347" s="566"/>
      <c r="R347" s="566"/>
      <c r="S347" s="566"/>
      <c r="T347" s="566"/>
      <c r="U347" s="566"/>
    </row>
    <row r="348" spans="1:21" ht="18.75" x14ac:dyDescent="0.25">
      <c r="A348" s="764"/>
      <c r="B348" s="561"/>
      <c r="C348" s="718"/>
      <c r="D348" s="695"/>
      <c r="E348" s="699" t="s">
        <v>143</v>
      </c>
      <c r="F348" s="695"/>
      <c r="G348" s="563"/>
      <c r="H348" s="722" t="s">
        <v>35</v>
      </c>
      <c r="I348" s="565"/>
      <c r="J348" s="708">
        <f ca="1">IFERROR(__xludf.DUMMYFUNCTION("IMPORTRANGE(""https://docs.google.com/spreadsheets/d/1awYsYK3VOup2i3Pq_Yjnu8DRu_mYwSBnCR2QPthd0rU/edit?usp=sharing"",""ศูนย์ยกเว้นโฉนด!G22"")"),2)</f>
        <v>2</v>
      </c>
      <c r="K348" s="566"/>
      <c r="L348" s="574"/>
      <c r="M348" s="566"/>
      <c r="N348" s="566"/>
      <c r="O348" s="566"/>
      <c r="P348" s="566"/>
      <c r="Q348" s="566"/>
      <c r="R348" s="566"/>
      <c r="S348" s="566"/>
      <c r="T348" s="566"/>
      <c r="U348" s="566"/>
    </row>
    <row r="349" spans="1:21" ht="18.75" x14ac:dyDescent="0.25">
      <c r="A349" s="764"/>
      <c r="B349" s="561"/>
      <c r="C349" s="718"/>
      <c r="D349" s="688"/>
      <c r="E349" s="699" t="s">
        <v>144</v>
      </c>
      <c r="F349" s="695"/>
      <c r="G349" s="563"/>
      <c r="H349" s="722" t="s">
        <v>35</v>
      </c>
      <c r="I349" s="565"/>
      <c r="J349" s="708">
        <f ca="1">IFERROR(__xludf.DUMMYFUNCTION("IMPORTRANGE(""https://docs.google.com/spreadsheets/d/1awYsYK3VOup2i3Pq_Yjnu8DRu_mYwSBnCR2QPthd0rU/edit?usp=sharing"",""ศูนย์ยกเว้นโฉนด!H22"")"),2)</f>
        <v>2</v>
      </c>
      <c r="K349" s="566"/>
      <c r="L349" s="574"/>
      <c r="M349" s="566"/>
      <c r="N349" s="566"/>
      <c r="O349" s="566"/>
      <c r="P349" s="566"/>
      <c r="Q349" s="566"/>
      <c r="R349" s="566"/>
      <c r="S349" s="566"/>
      <c r="T349" s="566"/>
      <c r="U349" s="566"/>
    </row>
    <row r="350" spans="1:21" ht="16.5" x14ac:dyDescent="0.25">
      <c r="A350" s="718"/>
      <c r="B350" s="561"/>
      <c r="C350" s="718"/>
      <c r="D350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61"/>
      <c r="F350" s="561"/>
      <c r="G350" s="563"/>
      <c r="H350" s="727"/>
      <c r="I350" s="565"/>
      <c r="J350" s="565"/>
      <c r="K350" s="566"/>
      <c r="L350" s="574"/>
      <c r="M350" s="566"/>
      <c r="N350" s="566"/>
      <c r="O350" s="566"/>
      <c r="P350" s="566"/>
      <c r="Q350" s="566"/>
      <c r="R350" s="566"/>
      <c r="S350" s="566"/>
      <c r="T350" s="566"/>
      <c r="U350" s="566"/>
    </row>
    <row r="351" spans="1:21" ht="19.5" x14ac:dyDescent="0.3">
      <c r="A351" s="769"/>
      <c r="B351" s="772"/>
      <c r="C351" s="770"/>
      <c r="D351" s="772"/>
      <c r="E351" s="941" t="s">
        <v>145</v>
      </c>
      <c r="F351" s="772"/>
      <c r="G351" s="773"/>
      <c r="H351" s="774" t="s">
        <v>35</v>
      </c>
      <c r="I351" s="775">
        <v>0</v>
      </c>
      <c r="J351" s="775">
        <f ca="1">J352+J353</f>
        <v>3080</v>
      </c>
      <c r="K351" s="776">
        <v>0</v>
      </c>
      <c r="L351" s="777"/>
      <c r="M351" s="778"/>
      <c r="N351" s="778"/>
      <c r="O351" s="778"/>
      <c r="P351" s="778"/>
      <c r="Q351" s="778"/>
      <c r="R351" s="778"/>
      <c r="S351" s="778"/>
      <c r="T351" s="778"/>
      <c r="U351" s="778"/>
    </row>
    <row r="352" spans="1:21" ht="18.75" x14ac:dyDescent="0.25">
      <c r="A352" s="718"/>
      <c r="B352" s="561"/>
      <c r="C352" s="718"/>
      <c r="D352" s="695"/>
      <c r="E352" s="699" t="s">
        <v>146</v>
      </c>
      <c r="F352" s="561"/>
      <c r="G352" s="563"/>
      <c r="H352" s="681" t="s">
        <v>35</v>
      </c>
      <c r="I352" s="565"/>
      <c r="J352" s="708">
        <f ca="1">IFERROR(__xludf.DUMMYFUNCTION("IMPORTRANGE(""https://docs.google.com/spreadsheets/d/1awYsYK3VOup2i3Pq_Yjnu8DRu_mYwSBnCR2QPthd0rU/edit?usp=sharing"",""โฉนดM3!G22"")"),1519)</f>
        <v>1519</v>
      </c>
      <c r="K352" s="566"/>
      <c r="L352" s="574"/>
      <c r="M352" s="566"/>
      <c r="N352" s="566"/>
      <c r="O352" s="566"/>
      <c r="P352" s="566"/>
      <c r="Q352" s="566"/>
      <c r="R352" s="566"/>
      <c r="S352" s="566"/>
      <c r="T352" s="566"/>
      <c r="U352" s="566"/>
    </row>
    <row r="353" spans="1:21" ht="18.75" x14ac:dyDescent="0.25">
      <c r="A353" s="718"/>
      <c r="B353" s="561"/>
      <c r="C353" s="718"/>
      <c r="D353" s="695"/>
      <c r="E353" s="699" t="s">
        <v>147</v>
      </c>
      <c r="F353" s="561"/>
      <c r="G353" s="563"/>
      <c r="H353" s="681" t="s">
        <v>35</v>
      </c>
      <c r="I353" s="565"/>
      <c r="J353" s="708">
        <f ca="1">IFERROR(__xludf.DUMMYFUNCTION("IMPORTRANGE(""https://docs.google.com/spreadsheets/d/1awYsYK3VOup2i3Pq_Yjnu8DRu_mYwSBnCR2QPthd0rU/edit?usp=sharing"",""โฉนดM3!H22"")"),1561)</f>
        <v>1561</v>
      </c>
      <c r="K353" s="566"/>
      <c r="L353" s="574"/>
      <c r="M353" s="566"/>
      <c r="N353" s="566"/>
      <c r="O353" s="566"/>
      <c r="P353" s="566"/>
      <c r="Q353" s="566"/>
      <c r="R353" s="566"/>
      <c r="S353" s="566"/>
      <c r="T353" s="566"/>
      <c r="U353" s="566"/>
    </row>
    <row r="354" spans="1:21" ht="16.5" x14ac:dyDescent="0.25">
      <c r="A354" s="718"/>
      <c r="B354" s="561"/>
      <c r="C354" s="718"/>
      <c r="D354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61"/>
      <c r="F354" s="561"/>
      <c r="G354" s="563"/>
      <c r="H354" s="727"/>
      <c r="I354" s="565"/>
      <c r="J354" s="565"/>
      <c r="K354" s="566"/>
      <c r="L354" s="574"/>
      <c r="M354" s="566"/>
      <c r="N354" s="566"/>
      <c r="O354" s="566"/>
      <c r="P354" s="566"/>
      <c r="Q354" s="566"/>
      <c r="R354" s="566"/>
      <c r="S354" s="566"/>
      <c r="T354" s="566"/>
      <c r="U354" s="566"/>
    </row>
    <row r="355" spans="1:21" ht="19.5" x14ac:dyDescent="0.3">
      <c r="A355" s="909"/>
      <c r="B355" s="910" t="s">
        <v>148</v>
      </c>
      <c r="C355" s="928"/>
      <c r="D355" s="911"/>
      <c r="E355" s="911"/>
      <c r="F355" s="911"/>
      <c r="G355" s="912"/>
      <c r="H355" s="912"/>
      <c r="I355" s="942"/>
      <c r="J355" s="942"/>
      <c r="K355" s="917"/>
      <c r="L355" s="916"/>
      <c r="M355" s="917"/>
      <c r="N355" s="917"/>
      <c r="O355" s="917"/>
      <c r="P355" s="917"/>
      <c r="Q355" s="917"/>
      <c r="R355" s="917"/>
      <c r="S355" s="917"/>
      <c r="T355" s="917"/>
      <c r="U355" s="917"/>
    </row>
    <row r="356" spans="1:21" ht="19.5" x14ac:dyDescent="0.3">
      <c r="A356" s="674"/>
      <c r="B356" s="561"/>
      <c r="C356" s="675" t="s">
        <v>18</v>
      </c>
      <c r="D356" s="676" t="s">
        <v>19</v>
      </c>
      <c r="E356" s="561"/>
      <c r="F356" s="561"/>
      <c r="G356" s="563"/>
      <c r="H356" s="677" t="s">
        <v>14</v>
      </c>
      <c r="I356" s="565"/>
      <c r="J356" s="565"/>
      <c r="K356" s="566"/>
      <c r="L356" s="678">
        <f t="shared" ref="L356:N356" ca="1" si="229">L357+L358</f>
        <v>513470</v>
      </c>
      <c r="M356" s="679">
        <f t="shared" ca="1" si="229"/>
        <v>434205</v>
      </c>
      <c r="N356" s="679">
        <f t="shared" ca="1" si="229"/>
        <v>305614.90000000002</v>
      </c>
      <c r="O356" s="679">
        <f t="shared" ref="O356:O364" ca="1" si="230">IF(L356&gt;0,N356*100/L356,0)</f>
        <v>59.519524022825102</v>
      </c>
      <c r="P356" s="679">
        <f t="shared" ref="P356:P364" ca="1" si="231">IF(M356&gt;0,N356*100/M356,0)</f>
        <v>70.384933384000647</v>
      </c>
      <c r="Q356" s="679">
        <f t="shared" ref="Q356:S356" si="232">Q357+Q358</f>
        <v>0</v>
      </c>
      <c r="R356" s="679">
        <f t="shared" si="232"/>
        <v>0</v>
      </c>
      <c r="S356" s="679">
        <f t="shared" si="232"/>
        <v>0</v>
      </c>
      <c r="T356" s="679">
        <f t="shared" ref="T356:T364" si="233">IF(Q356&gt;0,S356*100/Q356,0)</f>
        <v>0</v>
      </c>
      <c r="U356" s="679">
        <f t="shared" ref="U356:U364" si="234">IF(R356&gt;0,S356*100/R356,0)</f>
        <v>0</v>
      </c>
    </row>
    <row r="357" spans="1:21" ht="18.75" x14ac:dyDescent="0.25">
      <c r="A357" s="674"/>
      <c r="B357" s="561"/>
      <c r="C357" s="561"/>
      <c r="D357" s="561"/>
      <c r="E357" s="569" t="s">
        <v>20</v>
      </c>
      <c r="F357" s="561"/>
      <c r="G357" s="563"/>
      <c r="H357" s="680" t="s">
        <v>14</v>
      </c>
      <c r="I357" s="565"/>
      <c r="J357" s="565"/>
      <c r="K357" s="566"/>
      <c r="L357" s="571">
        <f t="shared" ref="L357:N358" si="235">L360+L363</f>
        <v>0</v>
      </c>
      <c r="M357" s="572">
        <f t="shared" si="235"/>
        <v>0</v>
      </c>
      <c r="N357" s="572">
        <f t="shared" si="235"/>
        <v>0</v>
      </c>
      <c r="O357" s="572">
        <f t="shared" si="230"/>
        <v>0</v>
      </c>
      <c r="P357" s="572">
        <f t="shared" si="231"/>
        <v>0</v>
      </c>
      <c r="Q357" s="572">
        <f t="shared" ref="Q357:S358" si="236">Q360+Q363</f>
        <v>0</v>
      </c>
      <c r="R357" s="572">
        <f t="shared" si="236"/>
        <v>0</v>
      </c>
      <c r="S357" s="572">
        <f t="shared" si="236"/>
        <v>0</v>
      </c>
      <c r="T357" s="572">
        <f t="shared" si="233"/>
        <v>0</v>
      </c>
      <c r="U357" s="572">
        <f t="shared" si="234"/>
        <v>0</v>
      </c>
    </row>
    <row r="358" spans="1:21" ht="18.75" x14ac:dyDescent="0.25">
      <c r="A358" s="674"/>
      <c r="B358" s="561"/>
      <c r="C358" s="561"/>
      <c r="D358" s="561"/>
      <c r="E358" s="573" t="s">
        <v>21</v>
      </c>
      <c r="F358" s="561"/>
      <c r="G358" s="563"/>
      <c r="H358" s="681" t="s">
        <v>14</v>
      </c>
      <c r="I358" s="565"/>
      <c r="J358" s="565"/>
      <c r="K358" s="566"/>
      <c r="L358" s="567">
        <f t="shared" ca="1" si="235"/>
        <v>513470</v>
      </c>
      <c r="M358" s="568">
        <f t="shared" ca="1" si="235"/>
        <v>434205</v>
      </c>
      <c r="N358" s="568">
        <f t="shared" ca="1" si="235"/>
        <v>305614.90000000002</v>
      </c>
      <c r="O358" s="568">
        <f t="shared" ca="1" si="230"/>
        <v>59.519524022825102</v>
      </c>
      <c r="P358" s="568">
        <f t="shared" ca="1" si="231"/>
        <v>70.384933384000647</v>
      </c>
      <c r="Q358" s="568">
        <f t="shared" si="236"/>
        <v>0</v>
      </c>
      <c r="R358" s="568">
        <f t="shared" si="236"/>
        <v>0</v>
      </c>
      <c r="S358" s="568">
        <f t="shared" si="236"/>
        <v>0</v>
      </c>
      <c r="T358" s="568">
        <f t="shared" si="233"/>
        <v>0</v>
      </c>
      <c r="U358" s="568">
        <f t="shared" si="234"/>
        <v>0</v>
      </c>
    </row>
    <row r="359" spans="1:21" ht="18.75" x14ac:dyDescent="0.25">
      <c r="A359" s="674"/>
      <c r="B359" s="561"/>
      <c r="C359" s="561"/>
      <c r="D359" s="562" t="s">
        <v>22</v>
      </c>
      <c r="E359" s="561"/>
      <c r="F359" s="561"/>
      <c r="G359" s="563"/>
      <c r="H359" s="682" t="s">
        <v>14</v>
      </c>
      <c r="I359" s="683"/>
      <c r="J359" s="683"/>
      <c r="K359" s="684"/>
      <c r="L359" s="567">
        <f t="shared" ref="L359:N359" ca="1" si="237">L360+L361</f>
        <v>513470</v>
      </c>
      <c r="M359" s="568">
        <f t="shared" ca="1" si="237"/>
        <v>434205</v>
      </c>
      <c r="N359" s="568">
        <f t="shared" ca="1" si="237"/>
        <v>305614.90000000002</v>
      </c>
      <c r="O359" s="568">
        <f t="shared" ca="1" si="230"/>
        <v>59.519524022825102</v>
      </c>
      <c r="P359" s="568">
        <f t="shared" ca="1" si="231"/>
        <v>70.384933384000647</v>
      </c>
      <c r="Q359" s="568">
        <f t="shared" ref="Q359:S359" si="238">Q360+Q361</f>
        <v>0</v>
      </c>
      <c r="R359" s="568">
        <f t="shared" si="238"/>
        <v>0</v>
      </c>
      <c r="S359" s="568">
        <f t="shared" si="238"/>
        <v>0</v>
      </c>
      <c r="T359" s="568">
        <f t="shared" si="233"/>
        <v>0</v>
      </c>
      <c r="U359" s="568">
        <f t="shared" si="234"/>
        <v>0</v>
      </c>
    </row>
    <row r="360" spans="1:21" ht="18.75" x14ac:dyDescent="0.25">
      <c r="A360" s="674"/>
      <c r="B360" s="561"/>
      <c r="C360" s="561"/>
      <c r="D360" s="561"/>
      <c r="E360" s="569" t="s">
        <v>36</v>
      </c>
      <c r="F360" s="561"/>
      <c r="G360" s="563"/>
      <c r="H360" s="685" t="s">
        <v>14</v>
      </c>
      <c r="I360" s="683"/>
      <c r="J360" s="683"/>
      <c r="K360" s="684"/>
      <c r="L360" s="571">
        <v>0</v>
      </c>
      <c r="M360" s="572">
        <v>0</v>
      </c>
      <c r="N360" s="572">
        <v>0</v>
      </c>
      <c r="O360" s="572">
        <f t="shared" si="230"/>
        <v>0</v>
      </c>
      <c r="P360" s="572">
        <f t="shared" si="231"/>
        <v>0</v>
      </c>
      <c r="Q360" s="572">
        <v>0</v>
      </c>
      <c r="R360" s="572">
        <v>0</v>
      </c>
      <c r="S360" s="572">
        <v>0</v>
      </c>
      <c r="T360" s="572">
        <f t="shared" si="233"/>
        <v>0</v>
      </c>
      <c r="U360" s="572">
        <f t="shared" si="234"/>
        <v>0</v>
      </c>
    </row>
    <row r="361" spans="1:21" ht="18.75" x14ac:dyDescent="0.25">
      <c r="A361" s="674"/>
      <c r="B361" s="561"/>
      <c r="C361" s="561"/>
      <c r="D361" s="561"/>
      <c r="E361" s="573" t="s">
        <v>37</v>
      </c>
      <c r="F361" s="561"/>
      <c r="G361" s="563"/>
      <c r="H361" s="682" t="s">
        <v>14</v>
      </c>
      <c r="I361" s="683"/>
      <c r="J361" s="683"/>
      <c r="K361" s="684"/>
      <c r="L361" s="567">
        <f ca="1">IFERROR(__xludf.DUMMYFUNCTION("IMPORTRANGE(""https://docs.google.com/spreadsheets/d/1-uDff_7J0KD5mKrp0Vvzr7lt3OU09vwQwhkpOPPYv2Y/edit?usp=sharing"",""งบพรบ!FC22"")"),513470)</f>
        <v>513470</v>
      </c>
      <c r="M361" s="568">
        <f ca="1">IFERROR(__xludf.DUMMYFUNCTION("IMPORTRANGE(""https://docs.google.com/spreadsheets/d/1-uDff_7J0KD5mKrp0Vvzr7lt3OU09vwQwhkpOPPYv2Y/edit?usp=sharing"",""งบพรบ!FH22"")"),434205)</f>
        <v>434205</v>
      </c>
      <c r="N361" s="568">
        <f ca="1">IFERROR(__xludf.DUMMYFUNCTION("IMPORTRANGE(""https://docs.google.com/spreadsheets/d/1-uDff_7J0KD5mKrp0Vvzr7lt3OU09vwQwhkpOPPYv2Y/edit?usp=sharing"",""งบพรบ!FJ22"")"),305614.9)</f>
        <v>305614.90000000002</v>
      </c>
      <c r="O361" s="568">
        <f t="shared" ca="1" si="230"/>
        <v>59.519524022825102</v>
      </c>
      <c r="P361" s="568">
        <f t="shared" ca="1" si="231"/>
        <v>70.384933384000647</v>
      </c>
      <c r="Q361" s="568">
        <v>0</v>
      </c>
      <c r="R361" s="568">
        <v>0</v>
      </c>
      <c r="S361" s="568">
        <v>0</v>
      </c>
      <c r="T361" s="568">
        <f t="shared" si="233"/>
        <v>0</v>
      </c>
      <c r="U361" s="568">
        <f t="shared" si="234"/>
        <v>0</v>
      </c>
    </row>
    <row r="362" spans="1:21" ht="18.75" x14ac:dyDescent="0.25">
      <c r="A362" s="674"/>
      <c r="B362" s="561"/>
      <c r="C362" s="561"/>
      <c r="D362" s="562" t="s">
        <v>23</v>
      </c>
      <c r="E362" s="561"/>
      <c r="F362" s="561"/>
      <c r="G362" s="563"/>
      <c r="H362" s="686" t="s">
        <v>14</v>
      </c>
      <c r="I362" s="683"/>
      <c r="J362" s="683"/>
      <c r="K362" s="684"/>
      <c r="L362" s="567">
        <f t="shared" ref="L362:N362" ca="1" si="239">L363+L364</f>
        <v>0</v>
      </c>
      <c r="M362" s="568">
        <f t="shared" ca="1" si="239"/>
        <v>0</v>
      </c>
      <c r="N362" s="568">
        <f t="shared" ca="1" si="239"/>
        <v>0</v>
      </c>
      <c r="O362" s="568">
        <f t="shared" ca="1" si="230"/>
        <v>0</v>
      </c>
      <c r="P362" s="568">
        <f t="shared" ca="1" si="231"/>
        <v>0</v>
      </c>
      <c r="Q362" s="568">
        <f t="shared" ref="Q362:S362" si="240">Q363+Q364</f>
        <v>0</v>
      </c>
      <c r="R362" s="568">
        <f t="shared" si="240"/>
        <v>0</v>
      </c>
      <c r="S362" s="568">
        <f t="shared" si="240"/>
        <v>0</v>
      </c>
      <c r="T362" s="568">
        <f t="shared" si="233"/>
        <v>0</v>
      </c>
      <c r="U362" s="568">
        <f t="shared" si="234"/>
        <v>0</v>
      </c>
    </row>
    <row r="363" spans="1:21" ht="18.75" x14ac:dyDescent="0.25">
      <c r="A363" s="674"/>
      <c r="B363" s="561"/>
      <c r="C363" s="561"/>
      <c r="D363" s="561"/>
      <c r="E363" s="569" t="s">
        <v>20</v>
      </c>
      <c r="F363" s="561"/>
      <c r="G363" s="563"/>
      <c r="H363" s="685" t="s">
        <v>14</v>
      </c>
      <c r="I363" s="683"/>
      <c r="J363" s="683"/>
      <c r="K363" s="684"/>
      <c r="L363" s="571">
        <v>0</v>
      </c>
      <c r="M363" s="572">
        <v>0</v>
      </c>
      <c r="N363" s="572">
        <v>0</v>
      </c>
      <c r="O363" s="572">
        <f t="shared" si="230"/>
        <v>0</v>
      </c>
      <c r="P363" s="572">
        <f t="shared" si="231"/>
        <v>0</v>
      </c>
      <c r="Q363" s="572">
        <v>0</v>
      </c>
      <c r="R363" s="572">
        <v>0</v>
      </c>
      <c r="S363" s="572">
        <v>0</v>
      </c>
      <c r="T363" s="572">
        <f t="shared" si="233"/>
        <v>0</v>
      </c>
      <c r="U363" s="572">
        <f t="shared" si="234"/>
        <v>0</v>
      </c>
    </row>
    <row r="364" spans="1:21" ht="18.75" x14ac:dyDescent="0.25">
      <c r="A364" s="674"/>
      <c r="B364" s="561"/>
      <c r="C364" s="561"/>
      <c r="D364" s="561"/>
      <c r="E364" s="573" t="s">
        <v>21</v>
      </c>
      <c r="F364" s="561"/>
      <c r="G364" s="563"/>
      <c r="H364" s="686" t="s">
        <v>14</v>
      </c>
      <c r="I364" s="683"/>
      <c r="J364" s="683"/>
      <c r="K364" s="684"/>
      <c r="L364" s="567">
        <f ca="1">IFERROR(__xludf.DUMMYFUNCTION("IMPORTRANGE(""https://docs.google.com/spreadsheets/d/1-uDff_7J0KD5mKrp0Vvzr7lt3OU09vwQwhkpOPPYv2Y/edit?usp=sharing"",""งบพรบ!FF22"")"),0)</f>
        <v>0</v>
      </c>
      <c r="M364" s="568">
        <f ca="1">IFERROR(__xludf.DUMMYFUNCTION("IMPORTRANGE(""https://docs.google.com/spreadsheets/d/1-uDff_7J0KD5mKrp0Vvzr7lt3OU09vwQwhkpOPPYv2Y/edit?usp=sharing"",""งบพรบ!FI22"")"),0)</f>
        <v>0</v>
      </c>
      <c r="N364" s="568">
        <f ca="1">IFERROR(__xludf.DUMMYFUNCTION("IMPORTRANGE(""https://docs.google.com/spreadsheets/d/1-uDff_7J0KD5mKrp0Vvzr7lt3OU09vwQwhkpOPPYv2Y/edit?usp=sharing"",""งบพรบ!FK22"")"),0)</f>
        <v>0</v>
      </c>
      <c r="O364" s="568">
        <f t="shared" ca="1" si="230"/>
        <v>0</v>
      </c>
      <c r="P364" s="568">
        <f t="shared" ca="1" si="231"/>
        <v>0</v>
      </c>
      <c r="Q364" s="568">
        <v>0</v>
      </c>
      <c r="R364" s="568">
        <v>0</v>
      </c>
      <c r="S364" s="568">
        <v>0</v>
      </c>
      <c r="T364" s="568">
        <f t="shared" si="233"/>
        <v>0</v>
      </c>
      <c r="U364" s="568">
        <f t="shared" si="234"/>
        <v>0</v>
      </c>
    </row>
    <row r="365" spans="1:21" ht="19.5" x14ac:dyDescent="0.3">
      <c r="A365" s="769"/>
      <c r="B365" s="770"/>
      <c r="C365" s="772"/>
      <c r="D365" s="941" t="s">
        <v>149</v>
      </c>
      <c r="E365" s="772"/>
      <c r="F365" s="772"/>
      <c r="G365" s="773"/>
      <c r="H365" s="782" t="s">
        <v>35</v>
      </c>
      <c r="I365" s="775">
        <f t="shared" ref="I365:J365" ca="1" si="241">I371</f>
        <v>157</v>
      </c>
      <c r="J365" s="775">
        <f t="shared" ca="1" si="241"/>
        <v>65</v>
      </c>
      <c r="K365" s="776">
        <f ca="1">IF(I365&gt;0,J365*100/I365,0)</f>
        <v>41.401273885350321</v>
      </c>
      <c r="L365" s="777"/>
      <c r="M365" s="778"/>
      <c r="N365" s="778"/>
      <c r="O365" s="778"/>
      <c r="P365" s="778"/>
      <c r="Q365" s="778"/>
      <c r="R365" s="778"/>
      <c r="S365" s="778"/>
      <c r="T365" s="778"/>
      <c r="U365" s="778"/>
    </row>
    <row r="366" spans="1:21" ht="19.5" x14ac:dyDescent="0.3">
      <c r="A366" s="687"/>
      <c r="B366" s="688"/>
      <c r="C366" s="675" t="s">
        <v>18</v>
      </c>
      <c r="D366" s="689" t="s">
        <v>38</v>
      </c>
      <c r="E366" s="690"/>
      <c r="F366" s="690"/>
      <c r="G366" s="691"/>
      <c r="H366" s="692"/>
      <c r="I366" s="565"/>
      <c r="J366" s="565"/>
      <c r="K366" s="566"/>
      <c r="L366" s="693"/>
      <c r="M366" s="684"/>
      <c r="N366" s="684"/>
      <c r="O366" s="684"/>
      <c r="P366" s="684"/>
      <c r="Q366" s="684"/>
      <c r="R366" s="684"/>
      <c r="S366" s="684"/>
      <c r="T366" s="684"/>
      <c r="U366" s="684"/>
    </row>
    <row r="367" spans="1:21" ht="18.75" x14ac:dyDescent="0.25">
      <c r="A367" s="687"/>
      <c r="B367" s="695"/>
      <c r="C367" s="688"/>
      <c r="D367" s="695"/>
      <c r="E367" s="694" t="s">
        <v>150</v>
      </c>
      <c r="F367" s="695"/>
      <c r="G367" s="692"/>
      <c r="H367" s="704" t="s">
        <v>35</v>
      </c>
      <c r="I367" s="708">
        <v>0</v>
      </c>
      <c r="J367" s="708">
        <f ca="1">IFERROR(__xludf.DUMMYFUNCTION("IMPORTRANGE(""https://docs.google.com/spreadsheets/d/1tdoBKaGub7dwA3U6UFTqxio9LNnvDCQjHKmttSEBsFQ/edit?usp=sharing"",""จัดที่ดิน!AB22"")"),11)</f>
        <v>11</v>
      </c>
      <c r="K367" s="568">
        <f t="shared" ref="K367:K372" si="242">IF(I367&gt;0,J367*100/I367,0)</f>
        <v>0</v>
      </c>
      <c r="L367" s="693"/>
      <c r="M367" s="684"/>
      <c r="N367" s="684"/>
      <c r="O367" s="684"/>
      <c r="P367" s="684"/>
      <c r="Q367" s="684"/>
      <c r="R367" s="684"/>
      <c r="S367" s="684"/>
      <c r="T367" s="684"/>
      <c r="U367" s="684"/>
    </row>
    <row r="368" spans="1:21" ht="18.75" x14ac:dyDescent="0.25">
      <c r="A368" s="687"/>
      <c r="B368" s="695"/>
      <c r="C368" s="688"/>
      <c r="D368" s="695"/>
      <c r="E368" s="695"/>
      <c r="F368" s="695"/>
      <c r="G368" s="692"/>
      <c r="H368" s="704" t="s">
        <v>46</v>
      </c>
      <c r="I368" s="708">
        <f ca="1">IFERROR(__xludf.DUMMYFUNCTION("IMPORTRANGE(""https://docs.google.com/spreadsheets/d/1eHaY18a8A9IcSdp1K8H6x8fbOy06t2VsZHhMHf-1x7Y/edit?usp=sharing"",""แผน!EW22"")"),605)</f>
        <v>605</v>
      </c>
      <c r="J368" s="943">
        <f ca="1">IFERROR(__xludf.DUMMYFUNCTION("IMPORTRANGE(""https://docs.google.com/spreadsheets/d/1tdoBKaGub7dwA3U6UFTqxio9LNnvDCQjHKmttSEBsFQ/edit?usp=sharing"",""จัดที่ดิน!AC22"")"),52.65)</f>
        <v>52.65</v>
      </c>
      <c r="K368" s="568">
        <f t="shared" ca="1" si="242"/>
        <v>8.7024793388429753</v>
      </c>
      <c r="L368" s="693"/>
      <c r="M368" s="684"/>
      <c r="N368" s="684"/>
      <c r="O368" s="684"/>
      <c r="P368" s="684"/>
      <c r="Q368" s="684"/>
      <c r="R368" s="684"/>
      <c r="S368" s="684"/>
      <c r="T368" s="684"/>
      <c r="U368" s="684"/>
    </row>
    <row r="369" spans="1:21" ht="18.75" x14ac:dyDescent="0.25">
      <c r="A369" s="687"/>
      <c r="B369" s="695"/>
      <c r="C369" s="688"/>
      <c r="D369" s="695"/>
      <c r="E369" s="694" t="s">
        <v>151</v>
      </c>
      <c r="F369" s="695"/>
      <c r="G369" s="692"/>
      <c r="H369" s="700" t="s">
        <v>35</v>
      </c>
      <c r="I369" s="708">
        <f ca="1">IFERROR(__xludf.DUMMYFUNCTION("IMPORTRANGE(""https://docs.google.com/spreadsheets/d/1eHaY18a8A9IcSdp1K8H6x8fbOy06t2VsZHhMHf-1x7Y/edit?usp=sharing"",""แผน!EX22"")"),157)</f>
        <v>157</v>
      </c>
      <c r="J369" s="708">
        <f ca="1">IFERROR(__xludf.DUMMYFUNCTION("IMPORTRANGE(""https://docs.google.com/spreadsheets/d/1tdoBKaGub7dwA3U6UFTqxio9LNnvDCQjHKmttSEBsFQ/edit?usp=sharing"",""จัดที่ดิน!AD22"")"),65)</f>
        <v>65</v>
      </c>
      <c r="K369" s="568">
        <f t="shared" ca="1" si="242"/>
        <v>41.401273885350321</v>
      </c>
      <c r="L369" s="693"/>
      <c r="M369" s="684"/>
      <c r="N369" s="684"/>
      <c r="O369" s="684"/>
      <c r="P369" s="684"/>
      <c r="Q369" s="684"/>
      <c r="R369" s="684"/>
      <c r="S369" s="684"/>
      <c r="T369" s="684"/>
      <c r="U369" s="684"/>
    </row>
    <row r="370" spans="1:21" ht="18.75" x14ac:dyDescent="0.25">
      <c r="A370" s="687"/>
      <c r="B370" s="695"/>
      <c r="C370" s="688"/>
      <c r="D370" s="695"/>
      <c r="E370" s="695"/>
      <c r="F370" s="695"/>
      <c r="G370" s="692"/>
      <c r="H370" s="700" t="s">
        <v>46</v>
      </c>
      <c r="I370" s="708">
        <v>0</v>
      </c>
      <c r="J370" s="943">
        <f ca="1">IFERROR(__xludf.DUMMYFUNCTION("IMPORTRANGE(""https://docs.google.com/spreadsheets/d/1tdoBKaGub7dwA3U6UFTqxio9LNnvDCQjHKmttSEBsFQ/edit?usp=sharing"",""จัดที่ดิน!AE22"")"),1014.2)</f>
        <v>1014.2</v>
      </c>
      <c r="K370" s="568">
        <f t="shared" si="242"/>
        <v>0</v>
      </c>
      <c r="L370" s="693"/>
      <c r="M370" s="684"/>
      <c r="N370" s="684"/>
      <c r="O370" s="684"/>
      <c r="P370" s="684"/>
      <c r="Q370" s="684"/>
      <c r="R370" s="684"/>
      <c r="S370" s="684"/>
      <c r="T370" s="684"/>
      <c r="U370" s="684"/>
    </row>
    <row r="371" spans="1:21" ht="18.75" x14ac:dyDescent="0.25">
      <c r="A371" s="687"/>
      <c r="B371" s="695"/>
      <c r="C371" s="688"/>
      <c r="D371" s="695"/>
      <c r="E371" s="944" t="s">
        <v>152</v>
      </c>
      <c r="F371" s="695"/>
      <c r="G371" s="692"/>
      <c r="H371" s="700" t="s">
        <v>35</v>
      </c>
      <c r="I371" s="708">
        <f ca="1">IFERROR(__xludf.DUMMYFUNCTION("IMPORTRANGE(""https://docs.google.com/spreadsheets/d/1eHaY18a8A9IcSdp1K8H6x8fbOy06t2VsZHhMHf-1x7Y/edit?usp=sharing"",""แผน!EY22"")"),157)</f>
        <v>157</v>
      </c>
      <c r="J371" s="708">
        <f ca="1">IFERROR(__xludf.DUMMYFUNCTION("IMPORTRANGE(""https://docs.google.com/spreadsheets/d/1tdoBKaGub7dwA3U6UFTqxio9LNnvDCQjHKmttSEBsFQ/edit?usp=sharing"",""จัดที่ดิน!AF22"")"),65)</f>
        <v>65</v>
      </c>
      <c r="K371" s="568">
        <f t="shared" ca="1" si="242"/>
        <v>41.401273885350321</v>
      </c>
      <c r="L371" s="693"/>
      <c r="M371" s="684"/>
      <c r="N371" s="684"/>
      <c r="O371" s="684"/>
      <c r="P371" s="684"/>
      <c r="Q371" s="684"/>
      <c r="R371" s="684"/>
      <c r="S371" s="684"/>
      <c r="T371" s="684"/>
      <c r="U371" s="684"/>
    </row>
    <row r="372" spans="1:21" ht="18.75" x14ac:dyDescent="0.25">
      <c r="A372" s="687"/>
      <c r="B372" s="695"/>
      <c r="C372" s="688"/>
      <c r="D372" s="695"/>
      <c r="E372" s="695"/>
      <c r="F372" s="695"/>
      <c r="G372" s="692"/>
      <c r="H372" s="700" t="s">
        <v>46</v>
      </c>
      <c r="I372" s="708">
        <v>0</v>
      </c>
      <c r="J372" s="943">
        <f ca="1">IFERROR(__xludf.DUMMYFUNCTION("IMPORTRANGE(""https://docs.google.com/spreadsheets/d/1tdoBKaGub7dwA3U6UFTqxio9LNnvDCQjHKmttSEBsFQ/edit?usp=sharing"",""จัดที่ดิน!AG22"")"),1014.2)</f>
        <v>1014.2</v>
      </c>
      <c r="K372" s="568">
        <f t="shared" si="242"/>
        <v>0</v>
      </c>
      <c r="L372" s="693"/>
      <c r="M372" s="684"/>
      <c r="N372" s="684"/>
      <c r="O372" s="684"/>
      <c r="P372" s="684"/>
      <c r="Q372" s="684"/>
      <c r="R372" s="684"/>
      <c r="S372" s="684"/>
      <c r="T372" s="684"/>
      <c r="U372" s="684"/>
    </row>
    <row r="373" spans="1:21" ht="16.5" x14ac:dyDescent="0.25">
      <c r="A373" s="514"/>
      <c r="B373" s="513"/>
      <c r="C373" s="514"/>
      <c r="D373" s="9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513"/>
      <c r="F373" s="513"/>
      <c r="G373" s="577"/>
      <c r="H373" s="577"/>
      <c r="I373" s="579"/>
      <c r="J373" s="579"/>
      <c r="K373" s="580"/>
      <c r="L373" s="581"/>
      <c r="M373" s="580"/>
      <c r="N373" s="580"/>
      <c r="O373" s="580"/>
      <c r="P373" s="580"/>
      <c r="Q373" s="580"/>
      <c r="R373" s="580"/>
      <c r="S373" s="580"/>
      <c r="T373" s="580"/>
      <c r="U373" s="580"/>
    </row>
    <row r="374" spans="1:21" ht="19.5" x14ac:dyDescent="0.3">
      <c r="A374" s="946"/>
      <c r="B374" s="947" t="s">
        <v>153</v>
      </c>
      <c r="C374" s="948"/>
      <c r="D374" s="949"/>
      <c r="E374" s="950"/>
      <c r="F374" s="950"/>
      <c r="G374" s="951"/>
      <c r="H374" s="952" t="s">
        <v>46</v>
      </c>
      <c r="I374" s="953">
        <f t="shared" ref="I374:J374" ca="1" si="243">I386+I388</f>
        <v>1000</v>
      </c>
      <c r="J374" s="953">
        <f t="shared" ca="1" si="243"/>
        <v>0</v>
      </c>
      <c r="K374" s="954">
        <f ca="1">IF(I374&gt;0,J374*100/I374,0)</f>
        <v>0</v>
      </c>
      <c r="L374" s="916"/>
      <c r="M374" s="917"/>
      <c r="N374" s="917"/>
      <c r="O374" s="917"/>
      <c r="P374" s="917"/>
      <c r="Q374" s="917"/>
      <c r="R374" s="917"/>
      <c r="S374" s="917"/>
      <c r="T374" s="917"/>
      <c r="U374" s="917"/>
    </row>
    <row r="375" spans="1:21" ht="19.5" x14ac:dyDescent="0.3">
      <c r="A375" s="674"/>
      <c r="B375" s="718"/>
      <c r="C375" s="719" t="s">
        <v>18</v>
      </c>
      <c r="D375" s="955" t="s">
        <v>19</v>
      </c>
      <c r="E375" s="561"/>
      <c r="F375" s="561"/>
      <c r="G375" s="563"/>
      <c r="H375" s="677" t="s">
        <v>14</v>
      </c>
      <c r="I375" s="565"/>
      <c r="J375" s="565"/>
      <c r="K375" s="566"/>
      <c r="L375" s="678">
        <f t="shared" ref="L375:N375" ca="1" si="244">L376+L377</f>
        <v>0</v>
      </c>
      <c r="M375" s="679">
        <f t="shared" ca="1" si="244"/>
        <v>0</v>
      </c>
      <c r="N375" s="679">
        <f t="shared" ca="1" si="244"/>
        <v>0</v>
      </c>
      <c r="O375" s="679">
        <f t="shared" ref="O375:O383" ca="1" si="245">IF(L375&gt;0,N375*100/L375,0)</f>
        <v>0</v>
      </c>
      <c r="P375" s="679">
        <f t="shared" ref="P375:P383" ca="1" si="246">IF(M375&gt;0,N375*100/M375,0)</f>
        <v>0</v>
      </c>
      <c r="Q375" s="679">
        <f t="shared" ref="Q375:S375" ca="1" si="247">Q376+Q377</f>
        <v>62500</v>
      </c>
      <c r="R375" s="679">
        <f t="shared" ca="1" si="247"/>
        <v>62500</v>
      </c>
      <c r="S375" s="679">
        <f t="shared" ca="1" si="247"/>
        <v>0</v>
      </c>
      <c r="T375" s="679">
        <f t="shared" ref="T375:T383" ca="1" si="248">IF(Q375&gt;0,S375*100/Q375,0)</f>
        <v>0</v>
      </c>
      <c r="U375" s="679">
        <f t="shared" ref="U375:U383" ca="1" si="249">IF(R375&gt;0,S375*100/R375,0)</f>
        <v>0</v>
      </c>
    </row>
    <row r="376" spans="1:21" ht="18.75" x14ac:dyDescent="0.25">
      <c r="A376" s="674"/>
      <c r="B376" s="718"/>
      <c r="C376" s="718"/>
      <c r="D376" s="718"/>
      <c r="E376" s="569" t="s">
        <v>20</v>
      </c>
      <c r="F376" s="561"/>
      <c r="G376" s="563"/>
      <c r="H376" s="680" t="s">
        <v>14</v>
      </c>
      <c r="I376" s="565"/>
      <c r="J376" s="565"/>
      <c r="K376" s="566"/>
      <c r="L376" s="571">
        <f t="shared" ref="L376:N377" si="250">L379+L382</f>
        <v>0</v>
      </c>
      <c r="M376" s="572">
        <f t="shared" si="250"/>
        <v>0</v>
      </c>
      <c r="N376" s="572">
        <f t="shared" si="250"/>
        <v>0</v>
      </c>
      <c r="O376" s="572">
        <f t="shared" si="245"/>
        <v>0</v>
      </c>
      <c r="P376" s="572">
        <f t="shared" si="246"/>
        <v>0</v>
      </c>
      <c r="Q376" s="572">
        <f t="shared" ref="Q376:S377" si="251">Q379+Q382</f>
        <v>0</v>
      </c>
      <c r="R376" s="572">
        <f t="shared" si="251"/>
        <v>0</v>
      </c>
      <c r="S376" s="572">
        <f t="shared" si="251"/>
        <v>0</v>
      </c>
      <c r="T376" s="572">
        <f t="shared" si="248"/>
        <v>0</v>
      </c>
      <c r="U376" s="572">
        <f t="shared" si="249"/>
        <v>0</v>
      </c>
    </row>
    <row r="377" spans="1:21" ht="18.75" x14ac:dyDescent="0.25">
      <c r="A377" s="674"/>
      <c r="B377" s="718"/>
      <c r="C377" s="718"/>
      <c r="D377" s="718"/>
      <c r="E377" s="573" t="s">
        <v>21</v>
      </c>
      <c r="F377" s="561"/>
      <c r="G377" s="563"/>
      <c r="H377" s="681" t="s">
        <v>14</v>
      </c>
      <c r="I377" s="565"/>
      <c r="J377" s="565"/>
      <c r="K377" s="566"/>
      <c r="L377" s="567">
        <f t="shared" ca="1" si="250"/>
        <v>0</v>
      </c>
      <c r="M377" s="568">
        <f t="shared" ca="1" si="250"/>
        <v>0</v>
      </c>
      <c r="N377" s="568">
        <f t="shared" ca="1" si="250"/>
        <v>0</v>
      </c>
      <c r="O377" s="568">
        <f t="shared" ca="1" si="245"/>
        <v>0</v>
      </c>
      <c r="P377" s="568">
        <f t="shared" ca="1" si="246"/>
        <v>0</v>
      </c>
      <c r="Q377" s="568">
        <f t="shared" ca="1" si="251"/>
        <v>62500</v>
      </c>
      <c r="R377" s="568">
        <f t="shared" ca="1" si="251"/>
        <v>62500</v>
      </c>
      <c r="S377" s="568">
        <f t="shared" ca="1" si="251"/>
        <v>0</v>
      </c>
      <c r="T377" s="568">
        <f t="shared" ca="1" si="248"/>
        <v>0</v>
      </c>
      <c r="U377" s="568">
        <f t="shared" ca="1" si="249"/>
        <v>0</v>
      </c>
    </row>
    <row r="378" spans="1:21" ht="18.75" x14ac:dyDescent="0.25">
      <c r="A378" s="674"/>
      <c r="B378" s="718"/>
      <c r="C378" s="718"/>
      <c r="D378" s="721" t="s">
        <v>22</v>
      </c>
      <c r="E378" s="561"/>
      <c r="F378" s="561"/>
      <c r="G378" s="563"/>
      <c r="H378" s="682" t="s">
        <v>14</v>
      </c>
      <c r="I378" s="683"/>
      <c r="J378" s="683"/>
      <c r="K378" s="684"/>
      <c r="L378" s="567">
        <f t="shared" ref="L378:N378" ca="1" si="252">L379+L380</f>
        <v>0</v>
      </c>
      <c r="M378" s="568">
        <f t="shared" ca="1" si="252"/>
        <v>0</v>
      </c>
      <c r="N378" s="568">
        <f t="shared" ca="1" si="252"/>
        <v>0</v>
      </c>
      <c r="O378" s="568">
        <f t="shared" ca="1" si="245"/>
        <v>0</v>
      </c>
      <c r="P378" s="568">
        <f t="shared" ca="1" si="246"/>
        <v>0</v>
      </c>
      <c r="Q378" s="568">
        <f t="shared" ref="Q378:S378" ca="1" si="253">Q379+Q380</f>
        <v>62500</v>
      </c>
      <c r="R378" s="568">
        <f t="shared" ca="1" si="253"/>
        <v>62500</v>
      </c>
      <c r="S378" s="568">
        <f t="shared" ca="1" si="253"/>
        <v>0</v>
      </c>
      <c r="T378" s="568">
        <f t="shared" ca="1" si="248"/>
        <v>0</v>
      </c>
      <c r="U378" s="568">
        <f t="shared" ca="1" si="249"/>
        <v>0</v>
      </c>
    </row>
    <row r="379" spans="1:21" ht="18.75" x14ac:dyDescent="0.25">
      <c r="A379" s="674"/>
      <c r="B379" s="718"/>
      <c r="C379" s="718"/>
      <c r="D379" s="718"/>
      <c r="E379" s="569" t="s">
        <v>36</v>
      </c>
      <c r="F379" s="561"/>
      <c r="G379" s="563"/>
      <c r="H379" s="685" t="s">
        <v>14</v>
      </c>
      <c r="I379" s="683"/>
      <c r="J379" s="683"/>
      <c r="K379" s="684"/>
      <c r="L379" s="571">
        <v>0</v>
      </c>
      <c r="M379" s="572">
        <v>0</v>
      </c>
      <c r="N379" s="572">
        <v>0</v>
      </c>
      <c r="O379" s="572">
        <f t="shared" si="245"/>
        <v>0</v>
      </c>
      <c r="P379" s="572">
        <f t="shared" si="246"/>
        <v>0</v>
      </c>
      <c r="Q379" s="572">
        <v>0</v>
      </c>
      <c r="R379" s="572">
        <v>0</v>
      </c>
      <c r="S379" s="572">
        <v>0</v>
      </c>
      <c r="T379" s="572">
        <f t="shared" si="248"/>
        <v>0</v>
      </c>
      <c r="U379" s="572">
        <f t="shared" si="249"/>
        <v>0</v>
      </c>
    </row>
    <row r="380" spans="1:21" ht="18.75" x14ac:dyDescent="0.25">
      <c r="A380" s="674"/>
      <c r="B380" s="718"/>
      <c r="C380" s="718"/>
      <c r="D380" s="718"/>
      <c r="E380" s="765" t="s">
        <v>37</v>
      </c>
      <c r="F380" s="718"/>
      <c r="G380" s="727"/>
      <c r="H380" s="682" t="s">
        <v>14</v>
      </c>
      <c r="I380" s="683"/>
      <c r="J380" s="683"/>
      <c r="K380" s="684"/>
      <c r="L380" s="567">
        <f ca="1">IFERROR(__xludf.DUMMYFUNCTION("IMPORTRANGE(""https://docs.google.com/spreadsheets/d/1-uDff_7J0KD5mKrp0Vvzr7lt3OU09vwQwhkpOPPYv2Y/edit?usp=sharing"",""งบพรบ!IE22"")"),0)</f>
        <v>0</v>
      </c>
      <c r="M380" s="568">
        <f ca="1">IFERROR(__xludf.DUMMYFUNCTION("IMPORTRANGE(""https://docs.google.com/spreadsheets/d/1-uDff_7J0KD5mKrp0Vvzr7lt3OU09vwQwhkpOPPYv2Y/edit?usp=sharing"",""งบพรบ!IJ22"")"),0)</f>
        <v>0</v>
      </c>
      <c r="N380" s="568">
        <f ca="1">IFERROR(__xludf.DUMMYFUNCTION("IMPORTRANGE(""https://docs.google.com/spreadsheets/d/1-uDff_7J0KD5mKrp0Vvzr7lt3OU09vwQwhkpOPPYv2Y/edit?usp=sharing"",""งบพรบ!IL22"")"),0)</f>
        <v>0</v>
      </c>
      <c r="O380" s="568">
        <f t="shared" ca="1" si="245"/>
        <v>0</v>
      </c>
      <c r="P380" s="568">
        <f t="shared" ca="1" si="246"/>
        <v>0</v>
      </c>
      <c r="Q380" s="568">
        <f ca="1">IFERROR(__xludf.DUMMYFUNCTION("IMPORTRANGE(""https://docs.google.com/spreadsheets/d/1ItG2mGa2ceCfYo0BwxsXqNm01IGEUdYcSSLTEv9YCik/edit?usp=sharing"",""เบิกจ่ายกองทุน!BW22"")"),62500)</f>
        <v>62500</v>
      </c>
      <c r="R380" s="568">
        <f ca="1">IFERROR(__xludf.DUMMYFUNCTION("IMPORTRANGE(""https://docs.google.com/spreadsheets/d/1ItG2mGa2ceCfYo0BwxsXqNm01IGEUdYcSSLTEv9YCik/edit?usp=sharing"",""เบิกจ่ายกองทุน!BX22"")"),62500)</f>
        <v>62500</v>
      </c>
      <c r="S380" s="568">
        <f ca="1">IFERROR(__xludf.DUMMYFUNCTION("IMPORTRANGE(""https://docs.google.com/spreadsheets/d/1ItG2mGa2ceCfYo0BwxsXqNm01IGEUdYcSSLTEv9YCik/edit?usp=sharing"",""เบิกจ่ายกองทุน!BY22"")"),0)</f>
        <v>0</v>
      </c>
      <c r="T380" s="568">
        <f t="shared" ca="1" si="248"/>
        <v>0</v>
      </c>
      <c r="U380" s="568">
        <f t="shared" ca="1" si="249"/>
        <v>0</v>
      </c>
    </row>
    <row r="381" spans="1:21" ht="18.75" x14ac:dyDescent="0.25">
      <c r="A381" s="674"/>
      <c r="B381" s="718"/>
      <c r="C381" s="718"/>
      <c r="D381" s="721" t="s">
        <v>23</v>
      </c>
      <c r="E381" s="561"/>
      <c r="F381" s="561"/>
      <c r="G381" s="563"/>
      <c r="H381" s="686" t="s">
        <v>14</v>
      </c>
      <c r="I381" s="683"/>
      <c r="J381" s="683"/>
      <c r="K381" s="684"/>
      <c r="L381" s="567">
        <f t="shared" ref="L381:N381" ca="1" si="254">L382+L383</f>
        <v>0</v>
      </c>
      <c r="M381" s="568">
        <f t="shared" ca="1" si="254"/>
        <v>0</v>
      </c>
      <c r="N381" s="568">
        <f t="shared" ca="1" si="254"/>
        <v>0</v>
      </c>
      <c r="O381" s="568">
        <f t="shared" ca="1" si="245"/>
        <v>0</v>
      </c>
      <c r="P381" s="568">
        <f t="shared" ca="1" si="246"/>
        <v>0</v>
      </c>
      <c r="Q381" s="568">
        <f t="shared" ref="Q381:S381" si="255">Q382+Q383</f>
        <v>0</v>
      </c>
      <c r="R381" s="568">
        <f t="shared" si="255"/>
        <v>0</v>
      </c>
      <c r="S381" s="568">
        <f t="shared" si="255"/>
        <v>0</v>
      </c>
      <c r="T381" s="568">
        <f t="shared" si="248"/>
        <v>0</v>
      </c>
      <c r="U381" s="568">
        <f t="shared" si="249"/>
        <v>0</v>
      </c>
    </row>
    <row r="382" spans="1:21" ht="18.75" x14ac:dyDescent="0.25">
      <c r="A382" s="674"/>
      <c r="B382" s="718"/>
      <c r="C382" s="718"/>
      <c r="D382" s="718"/>
      <c r="E382" s="569" t="s">
        <v>20</v>
      </c>
      <c r="F382" s="561"/>
      <c r="G382" s="563"/>
      <c r="H382" s="685" t="s">
        <v>14</v>
      </c>
      <c r="I382" s="683"/>
      <c r="J382" s="683"/>
      <c r="K382" s="684"/>
      <c r="L382" s="571">
        <v>0</v>
      </c>
      <c r="M382" s="572">
        <v>0</v>
      </c>
      <c r="N382" s="572">
        <v>0</v>
      </c>
      <c r="O382" s="572">
        <f t="shared" si="245"/>
        <v>0</v>
      </c>
      <c r="P382" s="572">
        <f t="shared" si="246"/>
        <v>0</v>
      </c>
      <c r="Q382" s="572">
        <v>0</v>
      </c>
      <c r="R382" s="572">
        <v>0</v>
      </c>
      <c r="S382" s="572">
        <v>0</v>
      </c>
      <c r="T382" s="572">
        <f t="shared" si="248"/>
        <v>0</v>
      </c>
      <c r="U382" s="572">
        <f t="shared" si="249"/>
        <v>0</v>
      </c>
    </row>
    <row r="383" spans="1:21" ht="18.75" x14ac:dyDescent="0.25">
      <c r="A383" s="674"/>
      <c r="B383" s="718"/>
      <c r="C383" s="718"/>
      <c r="D383" s="718"/>
      <c r="E383" s="573" t="s">
        <v>21</v>
      </c>
      <c r="F383" s="561"/>
      <c r="G383" s="563"/>
      <c r="H383" s="686" t="s">
        <v>14</v>
      </c>
      <c r="I383" s="683"/>
      <c r="J383" s="683"/>
      <c r="K383" s="684"/>
      <c r="L383" s="567">
        <f ca="1">IFERROR(__xludf.DUMMYFUNCTION("IMPORTRANGE(""https://docs.google.com/spreadsheets/d/1-uDff_7J0KD5mKrp0Vvzr7lt3OU09vwQwhkpOPPYv2Y/edit?usp=sharing"",""งบพรบ!IH22"")"),0)</f>
        <v>0</v>
      </c>
      <c r="M383" s="568">
        <f ca="1">IFERROR(__xludf.DUMMYFUNCTION("IMPORTRANGE(""https://docs.google.com/spreadsheets/d/1-uDff_7J0KD5mKrp0Vvzr7lt3OU09vwQwhkpOPPYv2Y/edit?usp=sharing"",""งบพรบ!IK22"")"),0)</f>
        <v>0</v>
      </c>
      <c r="N383" s="568">
        <f ca="1">IFERROR(__xludf.DUMMYFUNCTION("IMPORTRANGE(""https://docs.google.com/spreadsheets/d/1-uDff_7J0KD5mKrp0Vvzr7lt3OU09vwQwhkpOPPYv2Y/edit?usp=sharing"",""งบพรบ!IM22"")"),0)</f>
        <v>0</v>
      </c>
      <c r="O383" s="568">
        <f t="shared" ca="1" si="245"/>
        <v>0</v>
      </c>
      <c r="P383" s="568">
        <f t="shared" ca="1" si="246"/>
        <v>0</v>
      </c>
      <c r="Q383" s="568">
        <v>0</v>
      </c>
      <c r="R383" s="568">
        <v>0</v>
      </c>
      <c r="S383" s="568">
        <v>0</v>
      </c>
      <c r="T383" s="568">
        <f t="shared" si="248"/>
        <v>0</v>
      </c>
      <c r="U383" s="568">
        <f t="shared" si="249"/>
        <v>0</v>
      </c>
    </row>
    <row r="384" spans="1:21" ht="19.5" x14ac:dyDescent="0.3">
      <c r="A384" s="687"/>
      <c r="B384" s="688"/>
      <c r="C384" s="719" t="s">
        <v>18</v>
      </c>
      <c r="D384" s="956" t="s">
        <v>38</v>
      </c>
      <c r="E384" s="690"/>
      <c r="F384" s="690"/>
      <c r="G384" s="691"/>
      <c r="H384" s="725"/>
      <c r="I384" s="683"/>
      <c r="J384" s="565"/>
      <c r="K384" s="566"/>
      <c r="L384" s="574"/>
      <c r="M384" s="566"/>
      <c r="N384" s="566"/>
      <c r="O384" s="684"/>
      <c r="P384" s="684"/>
      <c r="Q384" s="566"/>
      <c r="R384" s="566"/>
      <c r="S384" s="566"/>
      <c r="T384" s="684"/>
      <c r="U384" s="684"/>
    </row>
    <row r="385" spans="1:21" ht="18.75" x14ac:dyDescent="0.25">
      <c r="A385" s="764"/>
      <c r="B385" s="718"/>
      <c r="C385" s="718"/>
      <c r="D385" s="718"/>
      <c r="E385" s="573" t="s">
        <v>154</v>
      </c>
      <c r="F385" s="561"/>
      <c r="G385" s="563"/>
      <c r="H385" s="681" t="s">
        <v>34</v>
      </c>
      <c r="I385" s="708">
        <v>0</v>
      </c>
      <c r="J385" s="708">
        <f ca="1">IFERROR(__xludf.DUMMYFUNCTION("IMPORTRANGE(""https://docs.google.com/spreadsheets/d/1w5rwWK1o49a35cNtocGL0gxDwhFSTZUQu90BiH9_zqM/edit?usp=sharing"",""RTK!H22"")"),0)</f>
        <v>0</v>
      </c>
      <c r="K385" s="568">
        <f t="shared" ref="K385:K388" si="256">IF(I385&gt;0,J385*100/I385,0)</f>
        <v>0</v>
      </c>
      <c r="L385" s="574"/>
      <c r="M385" s="566"/>
      <c r="N385" s="566"/>
      <c r="O385" s="566"/>
      <c r="P385" s="566"/>
      <c r="Q385" s="566"/>
      <c r="R385" s="566"/>
      <c r="S385" s="566"/>
      <c r="T385" s="566"/>
      <c r="U385" s="566"/>
    </row>
    <row r="386" spans="1:21" ht="18.75" x14ac:dyDescent="0.25">
      <c r="A386" s="718"/>
      <c r="B386" s="718"/>
      <c r="C386" s="718"/>
      <c r="D386" s="718"/>
      <c r="E386" s="718"/>
      <c r="F386" s="718"/>
      <c r="G386" s="727"/>
      <c r="H386" s="681" t="s">
        <v>46</v>
      </c>
      <c r="I386" s="708">
        <f ca="1">IFERROR(__xludf.DUMMYFUNCTION("IMPORTRANGE(""https://docs.google.com/spreadsheets/d/1w5rwWK1o49a35cNtocGL0gxDwhFSTZUQu90BiH9_zqM/edit?usp=sharing"",""RTK!G22"")"),1000)</f>
        <v>1000</v>
      </c>
      <c r="J386" s="708">
        <f ca="1">IFERROR(__xludf.DUMMYFUNCTION("IMPORTRANGE(""https://docs.google.com/spreadsheets/d/1w5rwWK1o49a35cNtocGL0gxDwhFSTZUQu90BiH9_zqM/edit?usp=sharing"",""RTK!I22"")"),0)</f>
        <v>0</v>
      </c>
      <c r="K386" s="568">
        <f t="shared" ca="1" si="256"/>
        <v>0</v>
      </c>
      <c r="L386" s="574"/>
      <c r="M386" s="566"/>
      <c r="N386" s="566"/>
      <c r="O386" s="566"/>
      <c r="P386" s="566"/>
      <c r="Q386" s="566"/>
      <c r="R386" s="566"/>
      <c r="S386" s="566"/>
      <c r="T386" s="566"/>
      <c r="U386" s="566"/>
    </row>
    <row r="387" spans="1:21" ht="18.75" x14ac:dyDescent="0.25">
      <c r="A387" s="957"/>
      <c r="B387" s="957"/>
      <c r="C387" s="957"/>
      <c r="D387" s="957"/>
      <c r="E387" s="958" t="s">
        <v>155</v>
      </c>
      <c r="F387" s="957"/>
      <c r="G387" s="959"/>
      <c r="H387" s="839" t="s">
        <v>34</v>
      </c>
      <c r="I387" s="960">
        <v>0</v>
      </c>
      <c r="J387" s="960">
        <f ca="1">IFERROR(__xludf.DUMMYFUNCTION("IMPORTRANGE(""https://docs.google.com/spreadsheets/d/1w5rwWK1o49a35cNtocGL0gxDwhFSTZUQu90BiH9_zqM/edit?usp=sharing"",""RTK!L22"")"),0)</f>
        <v>0</v>
      </c>
      <c r="K387" s="841">
        <f t="shared" si="256"/>
        <v>0</v>
      </c>
      <c r="L387" s="1106"/>
      <c r="M387" s="830"/>
      <c r="N387" s="830"/>
      <c r="O387" s="830"/>
      <c r="P387" s="830"/>
      <c r="Q387" s="830"/>
      <c r="R387" s="830"/>
      <c r="S387" s="830"/>
      <c r="T387" s="830"/>
      <c r="U387" s="830"/>
    </row>
    <row r="388" spans="1:21" ht="18.75" x14ac:dyDescent="0.25">
      <c r="A388" s="957"/>
      <c r="B388" s="957"/>
      <c r="C388" s="957"/>
      <c r="D388" s="957"/>
      <c r="E388" s="957"/>
      <c r="F388" s="957"/>
      <c r="G388" s="959"/>
      <c r="H388" s="839" t="s">
        <v>46</v>
      </c>
      <c r="I388" s="960">
        <f ca="1">IFERROR(__xludf.DUMMYFUNCTION("IMPORTRANGE(""https://docs.google.com/spreadsheets/d/1w5rwWK1o49a35cNtocGL0gxDwhFSTZUQu90BiH9_zqM/edit?usp=sharing"",""RTK!K22"")"),0)</f>
        <v>0</v>
      </c>
      <c r="J388" s="960">
        <f ca="1">IFERROR(__xludf.DUMMYFUNCTION("IMPORTRANGE(""https://docs.google.com/spreadsheets/d/1w5rwWK1o49a35cNtocGL0gxDwhFSTZUQu90BiH9_zqM/edit?usp=sharing"",""RTK!M22"")"),0)</f>
        <v>0</v>
      </c>
      <c r="K388" s="841">
        <f t="shared" ca="1" si="256"/>
        <v>0</v>
      </c>
      <c r="L388" s="1106"/>
      <c r="M388" s="830"/>
      <c r="N388" s="830"/>
      <c r="O388" s="830"/>
      <c r="P388" s="830"/>
      <c r="Q388" s="830"/>
      <c r="R388" s="830"/>
      <c r="S388" s="830"/>
      <c r="T388" s="830"/>
      <c r="U388" s="830"/>
    </row>
    <row r="389" spans="1:21" ht="12.75" hidden="1" x14ac:dyDescent="0.2">
      <c r="A389" s="961"/>
      <c r="B389" s="961"/>
      <c r="C389" s="961"/>
      <c r="D389" s="961"/>
      <c r="E389" s="961"/>
      <c r="F389" s="961"/>
      <c r="G389" s="962"/>
      <c r="H389" s="962"/>
      <c r="I389" s="963"/>
      <c r="J389" s="963"/>
      <c r="K389" s="964"/>
      <c r="L389" s="965"/>
      <c r="M389" s="964"/>
      <c r="N389" s="964"/>
      <c r="O389" s="964"/>
      <c r="P389" s="964"/>
      <c r="Q389" s="964"/>
      <c r="R389" s="964"/>
      <c r="S389" s="964"/>
      <c r="T389" s="964"/>
      <c r="U389" s="964"/>
    </row>
    <row r="390" spans="1:21" ht="12.75" hidden="1" x14ac:dyDescent="0.2">
      <c r="A390" s="966"/>
      <c r="B390" s="966"/>
      <c r="C390" s="966"/>
      <c r="D390" s="966"/>
      <c r="E390" s="966"/>
      <c r="F390" s="966"/>
      <c r="G390" s="967"/>
      <c r="H390" s="967"/>
      <c r="I390" s="968"/>
      <c r="J390" s="968"/>
      <c r="K390" s="969"/>
      <c r="L390" s="970"/>
      <c r="M390" s="969"/>
      <c r="N390" s="969"/>
      <c r="O390" s="969"/>
      <c r="P390" s="969"/>
      <c r="Q390" s="969"/>
      <c r="R390" s="969"/>
      <c r="S390" s="969"/>
      <c r="T390" s="969"/>
      <c r="U390" s="969"/>
    </row>
    <row r="391" spans="1:21" ht="19.5" hidden="1" x14ac:dyDescent="0.3">
      <c r="A391" s="926"/>
      <c r="B391" s="971" t="s">
        <v>156</v>
      </c>
      <c r="C391" s="927"/>
      <c r="D391" s="928"/>
      <c r="E391" s="911"/>
      <c r="F391" s="911"/>
      <c r="G391" s="912"/>
      <c r="H391" s="972" t="s">
        <v>61</v>
      </c>
      <c r="I391" s="942">
        <f t="shared" ref="I391:J391" si="257">I402</f>
        <v>0</v>
      </c>
      <c r="J391" s="942">
        <f t="shared" si="257"/>
        <v>0</v>
      </c>
      <c r="K391" s="915">
        <f>IF(I391&gt;0,J391*100/I391,0)</f>
        <v>0</v>
      </c>
      <c r="L391" s="916"/>
      <c r="M391" s="917"/>
      <c r="N391" s="917"/>
      <c r="O391" s="917"/>
      <c r="P391" s="917"/>
      <c r="Q391" s="917"/>
      <c r="R391" s="917"/>
      <c r="S391" s="917"/>
      <c r="T391" s="917"/>
      <c r="U391" s="917"/>
    </row>
    <row r="392" spans="1:21" ht="19.5" hidden="1" x14ac:dyDescent="0.3">
      <c r="A392" s="674"/>
      <c r="B392" s="718"/>
      <c r="C392" s="719" t="s">
        <v>18</v>
      </c>
      <c r="D392" s="955" t="s">
        <v>19</v>
      </c>
      <c r="E392" s="561"/>
      <c r="F392" s="561"/>
      <c r="G392" s="563"/>
      <c r="H392" s="677" t="s">
        <v>14</v>
      </c>
      <c r="I392" s="565"/>
      <c r="J392" s="565"/>
      <c r="K392" s="566"/>
      <c r="L392" s="678">
        <f t="shared" ref="L392:N392" si="258">L393+L394</f>
        <v>0</v>
      </c>
      <c r="M392" s="679">
        <f t="shared" si="258"/>
        <v>0</v>
      </c>
      <c r="N392" s="679">
        <f t="shared" si="258"/>
        <v>0</v>
      </c>
      <c r="O392" s="679">
        <f t="shared" ref="O392:O400" si="259">IF(L392&gt;0,N392*100/L392,0)</f>
        <v>0</v>
      </c>
      <c r="P392" s="679">
        <f t="shared" ref="P392:P400" si="260">IF(M392&gt;0,N392*100/M392,0)</f>
        <v>0</v>
      </c>
      <c r="Q392" s="679">
        <f t="shared" ref="Q392:S392" ca="1" si="261">Q393+Q394</f>
        <v>0</v>
      </c>
      <c r="R392" s="679">
        <f t="shared" ca="1" si="261"/>
        <v>0</v>
      </c>
      <c r="S392" s="679">
        <f t="shared" ca="1" si="261"/>
        <v>0</v>
      </c>
      <c r="T392" s="679">
        <f t="shared" ref="T392:T400" ca="1" si="262">IF(Q392&gt;0,S392*100/Q392,0)</f>
        <v>0</v>
      </c>
      <c r="U392" s="679">
        <f t="shared" ref="U392:U400" ca="1" si="263">IF(R392&gt;0,S392*100/R392,0)</f>
        <v>0</v>
      </c>
    </row>
    <row r="393" spans="1:21" ht="18.75" hidden="1" x14ac:dyDescent="0.25">
      <c r="A393" s="674"/>
      <c r="B393" s="718"/>
      <c r="C393" s="718"/>
      <c r="D393" s="718"/>
      <c r="E393" s="569" t="s">
        <v>20</v>
      </c>
      <c r="F393" s="561"/>
      <c r="G393" s="563"/>
      <c r="H393" s="680" t="s">
        <v>14</v>
      </c>
      <c r="I393" s="565"/>
      <c r="J393" s="565"/>
      <c r="K393" s="566"/>
      <c r="L393" s="571">
        <f t="shared" ref="L393:N394" si="264">L396+L399</f>
        <v>0</v>
      </c>
      <c r="M393" s="572">
        <f t="shared" si="264"/>
        <v>0</v>
      </c>
      <c r="N393" s="572">
        <f t="shared" si="264"/>
        <v>0</v>
      </c>
      <c r="O393" s="572">
        <f t="shared" si="259"/>
        <v>0</v>
      </c>
      <c r="P393" s="572">
        <f t="shared" si="260"/>
        <v>0</v>
      </c>
      <c r="Q393" s="572">
        <f t="shared" ref="Q393:S394" si="265">Q396+Q399</f>
        <v>0</v>
      </c>
      <c r="R393" s="572">
        <f t="shared" si="265"/>
        <v>0</v>
      </c>
      <c r="S393" s="572">
        <f t="shared" si="265"/>
        <v>0</v>
      </c>
      <c r="T393" s="572">
        <f t="shared" si="262"/>
        <v>0</v>
      </c>
      <c r="U393" s="572">
        <f t="shared" si="263"/>
        <v>0</v>
      </c>
    </row>
    <row r="394" spans="1:21" ht="18.75" hidden="1" x14ac:dyDescent="0.25">
      <c r="A394" s="674"/>
      <c r="B394" s="718"/>
      <c r="C394" s="718"/>
      <c r="D394" s="718"/>
      <c r="E394" s="573" t="s">
        <v>21</v>
      </c>
      <c r="F394" s="561"/>
      <c r="G394" s="563"/>
      <c r="H394" s="681" t="s">
        <v>14</v>
      </c>
      <c r="I394" s="565"/>
      <c r="J394" s="565"/>
      <c r="K394" s="566"/>
      <c r="L394" s="567">
        <f t="shared" si="264"/>
        <v>0</v>
      </c>
      <c r="M394" s="568">
        <f t="shared" si="264"/>
        <v>0</v>
      </c>
      <c r="N394" s="568">
        <f t="shared" si="264"/>
        <v>0</v>
      </c>
      <c r="O394" s="568">
        <f t="shared" si="259"/>
        <v>0</v>
      </c>
      <c r="P394" s="568">
        <f t="shared" si="260"/>
        <v>0</v>
      </c>
      <c r="Q394" s="568">
        <f t="shared" ca="1" si="265"/>
        <v>0</v>
      </c>
      <c r="R394" s="568">
        <f t="shared" ca="1" si="265"/>
        <v>0</v>
      </c>
      <c r="S394" s="568">
        <f t="shared" ca="1" si="265"/>
        <v>0</v>
      </c>
      <c r="T394" s="568">
        <f t="shared" ca="1" si="262"/>
        <v>0</v>
      </c>
      <c r="U394" s="568">
        <f t="shared" ca="1" si="263"/>
        <v>0</v>
      </c>
    </row>
    <row r="395" spans="1:21" ht="18.75" hidden="1" x14ac:dyDescent="0.25">
      <c r="A395" s="674"/>
      <c r="B395" s="718"/>
      <c r="C395" s="718"/>
      <c r="D395" s="721" t="s">
        <v>22</v>
      </c>
      <c r="E395" s="561"/>
      <c r="F395" s="561"/>
      <c r="G395" s="563"/>
      <c r="H395" s="682" t="s">
        <v>14</v>
      </c>
      <c r="I395" s="683"/>
      <c r="J395" s="683"/>
      <c r="K395" s="684"/>
      <c r="L395" s="567">
        <f t="shared" ref="L395:N395" si="266">L396+L397</f>
        <v>0</v>
      </c>
      <c r="M395" s="568">
        <f t="shared" si="266"/>
        <v>0</v>
      </c>
      <c r="N395" s="568">
        <f t="shared" si="266"/>
        <v>0</v>
      </c>
      <c r="O395" s="568">
        <f t="shared" si="259"/>
        <v>0</v>
      </c>
      <c r="P395" s="568">
        <f t="shared" si="260"/>
        <v>0</v>
      </c>
      <c r="Q395" s="568">
        <f t="shared" ref="Q395:S395" ca="1" si="267">Q396+Q397</f>
        <v>0</v>
      </c>
      <c r="R395" s="568">
        <f t="shared" ca="1" si="267"/>
        <v>0</v>
      </c>
      <c r="S395" s="568">
        <f t="shared" ca="1" si="267"/>
        <v>0</v>
      </c>
      <c r="T395" s="568">
        <f t="shared" ca="1" si="262"/>
        <v>0</v>
      </c>
      <c r="U395" s="568">
        <f t="shared" ca="1" si="263"/>
        <v>0</v>
      </c>
    </row>
    <row r="396" spans="1:21" ht="18.75" hidden="1" x14ac:dyDescent="0.25">
      <c r="A396" s="674"/>
      <c r="B396" s="718"/>
      <c r="C396" s="718"/>
      <c r="D396" s="718"/>
      <c r="E396" s="569" t="s">
        <v>36</v>
      </c>
      <c r="F396" s="561"/>
      <c r="G396" s="563"/>
      <c r="H396" s="685" t="s">
        <v>14</v>
      </c>
      <c r="I396" s="683"/>
      <c r="J396" s="683"/>
      <c r="K396" s="684"/>
      <c r="L396" s="571">
        <v>0</v>
      </c>
      <c r="M396" s="572">
        <v>0</v>
      </c>
      <c r="N396" s="572">
        <v>0</v>
      </c>
      <c r="O396" s="572">
        <f t="shared" si="259"/>
        <v>0</v>
      </c>
      <c r="P396" s="572">
        <f t="shared" si="260"/>
        <v>0</v>
      </c>
      <c r="Q396" s="572">
        <v>0</v>
      </c>
      <c r="R396" s="572">
        <v>0</v>
      </c>
      <c r="S396" s="572">
        <v>0</v>
      </c>
      <c r="T396" s="572">
        <f t="shared" si="262"/>
        <v>0</v>
      </c>
      <c r="U396" s="572">
        <f t="shared" si="263"/>
        <v>0</v>
      </c>
    </row>
    <row r="397" spans="1:21" ht="18.75" hidden="1" x14ac:dyDescent="0.25">
      <c r="A397" s="674"/>
      <c r="B397" s="718"/>
      <c r="C397" s="718"/>
      <c r="D397" s="718"/>
      <c r="E397" s="765" t="s">
        <v>37</v>
      </c>
      <c r="F397" s="718"/>
      <c r="G397" s="727"/>
      <c r="H397" s="682" t="s">
        <v>14</v>
      </c>
      <c r="I397" s="683"/>
      <c r="J397" s="683"/>
      <c r="K397" s="684"/>
      <c r="L397" s="567">
        <v>0</v>
      </c>
      <c r="M397" s="568">
        <v>0</v>
      </c>
      <c r="N397" s="568">
        <v>0</v>
      </c>
      <c r="O397" s="568">
        <f t="shared" si="259"/>
        <v>0</v>
      </c>
      <c r="P397" s="568">
        <f t="shared" si="260"/>
        <v>0</v>
      </c>
      <c r="Q397" s="568">
        <f ca="1">IFERROR(__xludf.DUMMYFUNCTION("IMPORTRANGE(""https://docs.google.com/spreadsheets/d/1ItG2mGa2ceCfYo0BwxsXqNm01IGEUdYcSSLTEv9YCik/edit?usp=sharing"",""เบิกจ่ายกองทุน!CL22"")"),0)</f>
        <v>0</v>
      </c>
      <c r="R397" s="568">
        <f ca="1">IFERROR(__xludf.DUMMYFUNCTION("IMPORTRANGE(""https://docs.google.com/spreadsheets/d/1ItG2mGa2ceCfYo0BwxsXqNm01IGEUdYcSSLTEv9YCik/edit?usp=sharing"",""เบิกจ่ายกองทุน!CM22"")"),0)</f>
        <v>0</v>
      </c>
      <c r="S397" s="568">
        <f ca="1">IFERROR(__xludf.DUMMYFUNCTION("IMPORTRANGE(""https://docs.google.com/spreadsheets/d/1ItG2mGa2ceCfYo0BwxsXqNm01IGEUdYcSSLTEv9YCik/edit?usp=sharing"",""เบิกจ่ายกองทุน!CN22"")"),0)</f>
        <v>0</v>
      </c>
      <c r="T397" s="568">
        <f t="shared" ca="1" si="262"/>
        <v>0</v>
      </c>
      <c r="U397" s="568">
        <f t="shared" ca="1" si="263"/>
        <v>0</v>
      </c>
    </row>
    <row r="398" spans="1:21" ht="18.75" hidden="1" x14ac:dyDescent="0.25">
      <c r="A398" s="674"/>
      <c r="B398" s="718"/>
      <c r="C398" s="718"/>
      <c r="D398" s="721" t="s">
        <v>23</v>
      </c>
      <c r="E398" s="561"/>
      <c r="F398" s="561"/>
      <c r="G398" s="563"/>
      <c r="H398" s="686" t="s">
        <v>14</v>
      </c>
      <c r="I398" s="683"/>
      <c r="J398" s="683"/>
      <c r="K398" s="684"/>
      <c r="L398" s="567">
        <f t="shared" ref="L398:N398" si="268">L399+L400</f>
        <v>0</v>
      </c>
      <c r="M398" s="568">
        <f t="shared" si="268"/>
        <v>0</v>
      </c>
      <c r="N398" s="568">
        <f t="shared" si="268"/>
        <v>0</v>
      </c>
      <c r="O398" s="568">
        <f t="shared" si="259"/>
        <v>0</v>
      </c>
      <c r="P398" s="568">
        <f t="shared" si="260"/>
        <v>0</v>
      </c>
      <c r="Q398" s="568">
        <f t="shared" ref="Q398:S398" si="269">Q399+Q400</f>
        <v>0</v>
      </c>
      <c r="R398" s="568">
        <f t="shared" si="269"/>
        <v>0</v>
      </c>
      <c r="S398" s="568">
        <f t="shared" si="269"/>
        <v>0</v>
      </c>
      <c r="T398" s="568">
        <f t="shared" si="262"/>
        <v>0</v>
      </c>
      <c r="U398" s="568">
        <f t="shared" si="263"/>
        <v>0</v>
      </c>
    </row>
    <row r="399" spans="1:21" ht="18.75" hidden="1" x14ac:dyDescent="0.25">
      <c r="A399" s="674"/>
      <c r="B399" s="718"/>
      <c r="C399" s="718"/>
      <c r="D399" s="718"/>
      <c r="E399" s="569" t="s">
        <v>20</v>
      </c>
      <c r="F399" s="561"/>
      <c r="G399" s="563"/>
      <c r="H399" s="685" t="s">
        <v>14</v>
      </c>
      <c r="I399" s="683"/>
      <c r="J399" s="683"/>
      <c r="K399" s="684"/>
      <c r="L399" s="571">
        <v>0</v>
      </c>
      <c r="M399" s="572">
        <v>0</v>
      </c>
      <c r="N399" s="572">
        <v>0</v>
      </c>
      <c r="O399" s="572">
        <f t="shared" si="259"/>
        <v>0</v>
      </c>
      <c r="P399" s="572">
        <f t="shared" si="260"/>
        <v>0</v>
      </c>
      <c r="Q399" s="572">
        <v>0</v>
      </c>
      <c r="R399" s="572">
        <v>0</v>
      </c>
      <c r="S399" s="572">
        <v>0</v>
      </c>
      <c r="T399" s="572">
        <f t="shared" si="262"/>
        <v>0</v>
      </c>
      <c r="U399" s="572">
        <f t="shared" si="263"/>
        <v>0</v>
      </c>
    </row>
    <row r="400" spans="1:21" ht="18.75" hidden="1" x14ac:dyDescent="0.25">
      <c r="A400" s="674"/>
      <c r="B400" s="718"/>
      <c r="C400" s="718"/>
      <c r="D400" s="718"/>
      <c r="E400" s="573" t="s">
        <v>21</v>
      </c>
      <c r="F400" s="561"/>
      <c r="G400" s="563"/>
      <c r="H400" s="686" t="s">
        <v>14</v>
      </c>
      <c r="I400" s="683"/>
      <c r="J400" s="683"/>
      <c r="K400" s="684"/>
      <c r="L400" s="567">
        <v>0</v>
      </c>
      <c r="M400" s="568">
        <v>0</v>
      </c>
      <c r="N400" s="568">
        <v>0</v>
      </c>
      <c r="O400" s="568">
        <f t="shared" si="259"/>
        <v>0</v>
      </c>
      <c r="P400" s="568">
        <f t="shared" si="260"/>
        <v>0</v>
      </c>
      <c r="Q400" s="568">
        <v>0</v>
      </c>
      <c r="R400" s="568">
        <v>0</v>
      </c>
      <c r="S400" s="568">
        <v>0</v>
      </c>
      <c r="T400" s="568">
        <f t="shared" si="262"/>
        <v>0</v>
      </c>
      <c r="U400" s="568">
        <f t="shared" si="263"/>
        <v>0</v>
      </c>
    </row>
    <row r="401" spans="1:21" ht="19.5" hidden="1" x14ac:dyDescent="0.3">
      <c r="A401" s="687"/>
      <c r="B401" s="688"/>
      <c r="C401" s="719" t="s">
        <v>18</v>
      </c>
      <c r="D401" s="956" t="s">
        <v>38</v>
      </c>
      <c r="E401" s="690"/>
      <c r="F401" s="690"/>
      <c r="G401" s="691"/>
      <c r="H401" s="725"/>
      <c r="I401" s="683"/>
      <c r="J401" s="565"/>
      <c r="K401" s="566"/>
      <c r="L401" s="574"/>
      <c r="M401" s="566"/>
      <c r="N401" s="566"/>
      <c r="O401" s="684"/>
      <c r="P401" s="684"/>
      <c r="Q401" s="566"/>
      <c r="R401" s="566"/>
      <c r="S401" s="566"/>
      <c r="T401" s="684"/>
      <c r="U401" s="684"/>
    </row>
    <row r="402" spans="1:21" ht="12.75" hidden="1" x14ac:dyDescent="0.2">
      <c r="A402" s="973"/>
      <c r="B402" s="961"/>
      <c r="C402" s="961"/>
      <c r="D402" s="961"/>
      <c r="E402" s="974"/>
      <c r="F402" s="974"/>
      <c r="G402" s="975"/>
      <c r="H402" s="962"/>
      <c r="I402" s="963"/>
      <c r="J402" s="963"/>
      <c r="K402" s="964"/>
      <c r="L402" s="965"/>
      <c r="M402" s="964"/>
      <c r="N402" s="964"/>
      <c r="O402" s="964"/>
      <c r="P402" s="964"/>
      <c r="Q402" s="964"/>
      <c r="R402" s="964"/>
      <c r="S402" s="964"/>
      <c r="T402" s="964"/>
      <c r="U402" s="964"/>
    </row>
    <row r="403" spans="1:21" ht="12.75" hidden="1" x14ac:dyDescent="0.2">
      <c r="A403" s="961"/>
      <c r="B403" s="961"/>
      <c r="C403" s="961"/>
      <c r="D403" s="961"/>
      <c r="E403" s="961"/>
      <c r="F403" s="961"/>
      <c r="G403" s="962"/>
      <c r="H403" s="962"/>
      <c r="I403" s="963"/>
      <c r="J403" s="963"/>
      <c r="K403" s="964"/>
      <c r="L403" s="965"/>
      <c r="M403" s="964"/>
      <c r="N403" s="964"/>
      <c r="O403" s="964"/>
      <c r="P403" s="964"/>
      <c r="Q403" s="964"/>
      <c r="R403" s="964"/>
      <c r="S403" s="964"/>
      <c r="T403" s="964"/>
      <c r="U403" s="964"/>
    </row>
    <row r="404" spans="1:21" ht="12.75" hidden="1" x14ac:dyDescent="0.2">
      <c r="A404" s="961"/>
      <c r="B404" s="961"/>
      <c r="C404" s="961"/>
      <c r="D404" s="961"/>
      <c r="E404" s="961"/>
      <c r="F404" s="961"/>
      <c r="G404" s="962"/>
      <c r="H404" s="962"/>
      <c r="I404" s="963"/>
      <c r="J404" s="963"/>
      <c r="K404" s="964"/>
      <c r="L404" s="965"/>
      <c r="M404" s="964"/>
      <c r="N404" s="964"/>
      <c r="O404" s="964"/>
      <c r="P404" s="964"/>
      <c r="Q404" s="964"/>
      <c r="R404" s="964"/>
      <c r="S404" s="964"/>
      <c r="T404" s="964"/>
      <c r="U404" s="964"/>
    </row>
    <row r="405" spans="1:21" ht="12.75" hidden="1" x14ac:dyDescent="0.2">
      <c r="A405" s="961"/>
      <c r="B405" s="961"/>
      <c r="C405" s="961"/>
      <c r="D405" s="961"/>
      <c r="E405" s="961"/>
      <c r="F405" s="961"/>
      <c r="G405" s="962"/>
      <c r="H405" s="962"/>
      <c r="I405" s="963"/>
      <c r="J405" s="963"/>
      <c r="K405" s="964"/>
      <c r="L405" s="965"/>
      <c r="M405" s="964"/>
      <c r="N405" s="964"/>
      <c r="O405" s="964"/>
      <c r="P405" s="964"/>
      <c r="Q405" s="964"/>
      <c r="R405" s="964"/>
      <c r="S405" s="964"/>
      <c r="T405" s="964"/>
      <c r="U405" s="964"/>
    </row>
    <row r="406" spans="1:21" ht="12.75" hidden="1" x14ac:dyDescent="0.2">
      <c r="A406" s="961"/>
      <c r="B406" s="961"/>
      <c r="C406" s="961"/>
      <c r="D406" s="961"/>
      <c r="E406" s="961"/>
      <c r="F406" s="961"/>
      <c r="G406" s="962"/>
      <c r="H406" s="962"/>
      <c r="I406" s="963"/>
      <c r="J406" s="963"/>
      <c r="K406" s="964"/>
      <c r="L406" s="965"/>
      <c r="M406" s="964"/>
      <c r="N406" s="964"/>
      <c r="O406" s="964"/>
      <c r="P406" s="964"/>
      <c r="Q406" s="964"/>
      <c r="R406" s="964"/>
      <c r="S406" s="964"/>
      <c r="T406" s="964"/>
      <c r="U406" s="964"/>
    </row>
    <row r="407" spans="1:21" ht="12.75" hidden="1" x14ac:dyDescent="0.2">
      <c r="A407" s="961"/>
      <c r="B407" s="961"/>
      <c r="C407" s="961"/>
      <c r="D407" s="961"/>
      <c r="E407" s="961"/>
      <c r="F407" s="961"/>
      <c r="G407" s="962"/>
      <c r="H407" s="962"/>
      <c r="I407" s="963"/>
      <c r="J407" s="963"/>
      <c r="K407" s="964"/>
      <c r="L407" s="965"/>
      <c r="M407" s="964"/>
      <c r="N407" s="964"/>
      <c r="O407" s="964"/>
      <c r="P407" s="964"/>
      <c r="Q407" s="964"/>
      <c r="R407" s="964"/>
      <c r="S407" s="964"/>
      <c r="T407" s="964"/>
      <c r="U407" s="964"/>
    </row>
    <row r="408" spans="1:21" ht="12.75" hidden="1" x14ac:dyDescent="0.2">
      <c r="A408" s="961"/>
      <c r="B408" s="961"/>
      <c r="C408" s="961"/>
      <c r="D408" s="961"/>
      <c r="E408" s="961"/>
      <c r="F408" s="961"/>
      <c r="G408" s="962"/>
      <c r="H408" s="962"/>
      <c r="I408" s="963"/>
      <c r="J408" s="963"/>
      <c r="K408" s="964"/>
      <c r="L408" s="965"/>
      <c r="M408" s="964"/>
      <c r="N408" s="964"/>
      <c r="O408" s="964"/>
      <c r="P408" s="964"/>
      <c r="Q408" s="964"/>
      <c r="R408" s="964"/>
      <c r="S408" s="964"/>
      <c r="T408" s="964"/>
      <c r="U408" s="964"/>
    </row>
    <row r="409" spans="1:21" ht="12.75" hidden="1" x14ac:dyDescent="0.2">
      <c r="A409" s="961"/>
      <c r="B409" s="961"/>
      <c r="C409" s="961"/>
      <c r="D409" s="961"/>
      <c r="E409" s="961"/>
      <c r="F409" s="961"/>
      <c r="G409" s="962"/>
      <c r="H409" s="962"/>
      <c r="I409" s="963"/>
      <c r="J409" s="963"/>
      <c r="K409" s="964"/>
      <c r="L409" s="965"/>
      <c r="M409" s="964"/>
      <c r="N409" s="964"/>
      <c r="O409" s="964"/>
      <c r="P409" s="964"/>
      <c r="Q409" s="964"/>
      <c r="R409" s="964"/>
      <c r="S409" s="964"/>
      <c r="T409" s="964"/>
      <c r="U409" s="964"/>
    </row>
    <row r="410" spans="1:21" ht="12.75" hidden="1" x14ac:dyDescent="0.2">
      <c r="A410" s="961"/>
      <c r="B410" s="961"/>
      <c r="C410" s="961"/>
      <c r="D410" s="961"/>
      <c r="E410" s="961"/>
      <c r="F410" s="961"/>
      <c r="G410" s="962"/>
      <c r="H410" s="962"/>
      <c r="I410" s="963"/>
      <c r="J410" s="963"/>
      <c r="K410" s="964"/>
      <c r="L410" s="965"/>
      <c r="M410" s="964"/>
      <c r="N410" s="964"/>
      <c r="O410" s="964"/>
      <c r="P410" s="964"/>
      <c r="Q410" s="964"/>
      <c r="R410" s="964"/>
      <c r="S410" s="964"/>
      <c r="T410" s="964"/>
      <c r="U410" s="964"/>
    </row>
    <row r="411" spans="1:21" ht="12.75" hidden="1" x14ac:dyDescent="0.2">
      <c r="A411" s="966"/>
      <c r="B411" s="966"/>
      <c r="C411" s="966"/>
      <c r="D411" s="966"/>
      <c r="E411" s="966"/>
      <c r="F411" s="966"/>
      <c r="G411" s="967"/>
      <c r="H411" s="967"/>
      <c r="I411" s="968"/>
      <c r="J411" s="968"/>
      <c r="K411" s="969"/>
      <c r="L411" s="970"/>
      <c r="M411" s="969"/>
      <c r="N411" s="969"/>
      <c r="O411" s="969"/>
      <c r="P411" s="969"/>
      <c r="Q411" s="969"/>
      <c r="R411" s="969"/>
      <c r="S411" s="969"/>
      <c r="T411" s="969"/>
      <c r="U411" s="969"/>
    </row>
    <row r="412" spans="1:21" ht="19.5" x14ac:dyDescent="0.3">
      <c r="A412" s="928"/>
      <c r="B412" s="971" t="s">
        <v>157</v>
      </c>
      <c r="C412" s="928"/>
      <c r="D412" s="928"/>
      <c r="E412" s="928"/>
      <c r="F412" s="928"/>
      <c r="G412" s="976"/>
      <c r="H412" s="977" t="s">
        <v>46</v>
      </c>
      <c r="I412" s="914">
        <f t="shared" ref="I412:J412" ca="1" si="270">I423</f>
        <v>11325</v>
      </c>
      <c r="J412" s="914">
        <f t="shared" si="270"/>
        <v>0</v>
      </c>
      <c r="K412" s="915">
        <f ca="1">IF(I412&gt;0,J412*100/I412,0)</f>
        <v>0</v>
      </c>
      <c r="L412" s="916"/>
      <c r="M412" s="917"/>
      <c r="N412" s="917"/>
      <c r="O412" s="917"/>
      <c r="P412" s="917"/>
      <c r="Q412" s="917"/>
      <c r="R412" s="917"/>
      <c r="S412" s="917"/>
      <c r="T412" s="917"/>
      <c r="U412" s="917"/>
    </row>
    <row r="413" spans="1:21" ht="19.5" x14ac:dyDescent="0.3">
      <c r="A413" s="674"/>
      <c r="B413" s="718"/>
      <c r="C413" s="978" t="s">
        <v>18</v>
      </c>
      <c r="D413" s="1313" t="s">
        <v>19</v>
      </c>
      <c r="E413" s="1314"/>
      <c r="F413" s="1314"/>
      <c r="G413" s="1317"/>
      <c r="H413" s="979" t="s">
        <v>14</v>
      </c>
      <c r="I413" s="565"/>
      <c r="J413" s="565"/>
      <c r="K413" s="566"/>
      <c r="L413" s="678">
        <f t="shared" ref="L413:N413" ca="1" si="271">L414+L415</f>
        <v>299610</v>
      </c>
      <c r="M413" s="679">
        <f t="shared" ca="1" si="271"/>
        <v>180000</v>
      </c>
      <c r="N413" s="679">
        <f t="shared" ca="1" si="271"/>
        <v>0</v>
      </c>
      <c r="O413" s="679">
        <f t="shared" ref="O413:O421" ca="1" si="272">IF(L413&gt;0,N413*100/L413,0)</f>
        <v>0</v>
      </c>
      <c r="P413" s="679">
        <f t="shared" ref="P413:P421" ca="1" si="273">IF(M413&gt;0,N413*100/M413,0)</f>
        <v>0</v>
      </c>
      <c r="Q413" s="679">
        <f t="shared" ref="Q413:S413" ca="1" si="274">Q414+Q415</f>
        <v>34470</v>
      </c>
      <c r="R413" s="679">
        <f t="shared" ca="1" si="274"/>
        <v>34470</v>
      </c>
      <c r="S413" s="679">
        <f t="shared" ca="1" si="274"/>
        <v>0</v>
      </c>
      <c r="T413" s="679">
        <f t="shared" ref="T413:T421" ca="1" si="275">IF(Q413&gt;0,S413*100/Q413,0)</f>
        <v>0</v>
      </c>
      <c r="U413" s="679">
        <f t="shared" ref="U413:U421" ca="1" si="276">IF(R413&gt;0,S413*100/R413,0)</f>
        <v>0</v>
      </c>
    </row>
    <row r="414" spans="1:21" ht="18.75" x14ac:dyDescent="0.25">
      <c r="A414" s="674"/>
      <c r="B414" s="718"/>
      <c r="C414" s="718"/>
      <c r="D414" s="718"/>
      <c r="E414" s="767" t="s">
        <v>158</v>
      </c>
      <c r="F414" s="718"/>
      <c r="G414" s="727"/>
      <c r="H414" s="723" t="s">
        <v>14</v>
      </c>
      <c r="I414" s="565"/>
      <c r="J414" s="565"/>
      <c r="K414" s="566"/>
      <c r="L414" s="571">
        <f t="shared" ref="L414:N415" si="277">L417+L420</f>
        <v>0</v>
      </c>
      <c r="M414" s="572">
        <f t="shared" si="277"/>
        <v>0</v>
      </c>
      <c r="N414" s="572">
        <f t="shared" si="277"/>
        <v>0</v>
      </c>
      <c r="O414" s="572">
        <f t="shared" si="272"/>
        <v>0</v>
      </c>
      <c r="P414" s="572">
        <f t="shared" si="273"/>
        <v>0</v>
      </c>
      <c r="Q414" s="572">
        <f t="shared" ref="Q414:S415" si="278">Q417+Q420</f>
        <v>0</v>
      </c>
      <c r="R414" s="572">
        <f t="shared" si="278"/>
        <v>0</v>
      </c>
      <c r="S414" s="572">
        <f t="shared" si="278"/>
        <v>0</v>
      </c>
      <c r="T414" s="572">
        <f t="shared" si="275"/>
        <v>0</v>
      </c>
      <c r="U414" s="572">
        <f t="shared" si="276"/>
        <v>0</v>
      </c>
    </row>
    <row r="415" spans="1:21" ht="18.75" x14ac:dyDescent="0.25">
      <c r="A415" s="674"/>
      <c r="B415" s="718"/>
      <c r="C415" s="718"/>
      <c r="D415" s="718"/>
      <c r="E415" s="765" t="s">
        <v>159</v>
      </c>
      <c r="F415" s="718"/>
      <c r="G415" s="727"/>
      <c r="H415" s="722" t="s">
        <v>14</v>
      </c>
      <c r="I415" s="565"/>
      <c r="J415" s="565"/>
      <c r="K415" s="566"/>
      <c r="L415" s="567">
        <f t="shared" ca="1" si="277"/>
        <v>299610</v>
      </c>
      <c r="M415" s="568">
        <f t="shared" ca="1" si="277"/>
        <v>180000</v>
      </c>
      <c r="N415" s="568">
        <f t="shared" ca="1" si="277"/>
        <v>0</v>
      </c>
      <c r="O415" s="568">
        <f t="shared" ca="1" si="272"/>
        <v>0</v>
      </c>
      <c r="P415" s="568">
        <f t="shared" ca="1" si="273"/>
        <v>0</v>
      </c>
      <c r="Q415" s="568">
        <f t="shared" ca="1" si="278"/>
        <v>34470</v>
      </c>
      <c r="R415" s="568">
        <f t="shared" ca="1" si="278"/>
        <v>34470</v>
      </c>
      <c r="S415" s="568">
        <f t="shared" ca="1" si="278"/>
        <v>0</v>
      </c>
      <c r="T415" s="568">
        <f t="shared" ca="1" si="275"/>
        <v>0</v>
      </c>
      <c r="U415" s="568">
        <f t="shared" ca="1" si="276"/>
        <v>0</v>
      </c>
    </row>
    <row r="416" spans="1:21" ht="19.5" x14ac:dyDescent="0.3">
      <c r="A416" s="674"/>
      <c r="B416" s="718"/>
      <c r="C416" s="718"/>
      <c r="D416" s="955" t="s">
        <v>22</v>
      </c>
      <c r="E416" s="718"/>
      <c r="F416" s="718"/>
      <c r="G416" s="727"/>
      <c r="H416" s="979" t="s">
        <v>14</v>
      </c>
      <c r="I416" s="565"/>
      <c r="J416" s="565"/>
      <c r="K416" s="566"/>
      <c r="L416" s="567">
        <f t="shared" ref="L416:N416" ca="1" si="279">L417+L418</f>
        <v>299610</v>
      </c>
      <c r="M416" s="568">
        <f t="shared" ca="1" si="279"/>
        <v>180000</v>
      </c>
      <c r="N416" s="568">
        <f t="shared" ca="1" si="279"/>
        <v>0</v>
      </c>
      <c r="O416" s="568">
        <f t="shared" ca="1" si="272"/>
        <v>0</v>
      </c>
      <c r="P416" s="568">
        <f t="shared" ca="1" si="273"/>
        <v>0</v>
      </c>
      <c r="Q416" s="568">
        <f t="shared" ref="Q416:S416" ca="1" si="280">Q417+Q418</f>
        <v>34470</v>
      </c>
      <c r="R416" s="568">
        <f t="shared" ca="1" si="280"/>
        <v>34470</v>
      </c>
      <c r="S416" s="568">
        <f t="shared" ca="1" si="280"/>
        <v>0</v>
      </c>
      <c r="T416" s="568">
        <f t="shared" ca="1" si="275"/>
        <v>0</v>
      </c>
      <c r="U416" s="568">
        <f t="shared" ca="1" si="276"/>
        <v>0</v>
      </c>
    </row>
    <row r="417" spans="1:21" ht="18.75" x14ac:dyDescent="0.25">
      <c r="A417" s="674"/>
      <c r="B417" s="718"/>
      <c r="C417" s="718"/>
      <c r="D417" s="718"/>
      <c r="E417" s="767" t="s">
        <v>158</v>
      </c>
      <c r="F417" s="718"/>
      <c r="G417" s="727"/>
      <c r="H417" s="723" t="s">
        <v>14</v>
      </c>
      <c r="I417" s="565"/>
      <c r="J417" s="565"/>
      <c r="K417" s="566"/>
      <c r="L417" s="571">
        <v>0</v>
      </c>
      <c r="M417" s="572">
        <v>0</v>
      </c>
      <c r="N417" s="572">
        <v>0</v>
      </c>
      <c r="O417" s="572">
        <f t="shared" si="272"/>
        <v>0</v>
      </c>
      <c r="P417" s="572">
        <f t="shared" si="273"/>
        <v>0</v>
      </c>
      <c r="Q417" s="572">
        <v>0</v>
      </c>
      <c r="R417" s="572">
        <v>0</v>
      </c>
      <c r="S417" s="572">
        <v>0</v>
      </c>
      <c r="T417" s="572">
        <f t="shared" si="275"/>
        <v>0</v>
      </c>
      <c r="U417" s="572">
        <f t="shared" si="276"/>
        <v>0</v>
      </c>
    </row>
    <row r="418" spans="1:21" ht="18.75" x14ac:dyDescent="0.25">
      <c r="A418" s="674"/>
      <c r="B418" s="718"/>
      <c r="C418" s="718"/>
      <c r="D418" s="718"/>
      <c r="E418" s="765" t="s">
        <v>159</v>
      </c>
      <c r="F418" s="718"/>
      <c r="G418" s="727"/>
      <c r="H418" s="722" t="s">
        <v>14</v>
      </c>
      <c r="I418" s="565"/>
      <c r="J418" s="565"/>
      <c r="K418" s="566"/>
      <c r="L418" s="567">
        <f ca="1">IFERROR(__xludf.DUMMYFUNCTION("IMPORTRANGE(""https://docs.google.com/spreadsheets/d/1-uDff_7J0KD5mKrp0Vvzr7lt3OU09vwQwhkpOPPYv2Y/edit?usp=sharing"",""งบพรบ!IO22"")"),299610)</f>
        <v>299610</v>
      </c>
      <c r="M418" s="568">
        <f ca="1">IFERROR(__xludf.DUMMYFUNCTION("IMPORTRANGE(""https://docs.google.com/spreadsheets/d/1-uDff_7J0KD5mKrp0Vvzr7lt3OU09vwQwhkpOPPYv2Y/edit?usp=sharing"",""งบพรบ!IT22"")"),180000)</f>
        <v>180000</v>
      </c>
      <c r="N418" s="568">
        <f ca="1">IFERROR(__xludf.DUMMYFUNCTION("IMPORTRANGE(""https://docs.google.com/spreadsheets/d/1-uDff_7J0KD5mKrp0Vvzr7lt3OU09vwQwhkpOPPYv2Y/edit?usp=sharing"",""งบพรบ!IV22"")"),0)</f>
        <v>0</v>
      </c>
      <c r="O418" s="568">
        <f t="shared" ca="1" si="272"/>
        <v>0</v>
      </c>
      <c r="P418" s="568">
        <f t="shared" ca="1" si="273"/>
        <v>0</v>
      </c>
      <c r="Q418" s="568">
        <f ca="1">IFERROR(__xludf.DUMMYFUNCTION("IMPORTRANGE(""https://docs.google.com/spreadsheets/d/1ItG2mGa2ceCfYo0BwxsXqNm01IGEUdYcSSLTEv9YCik/edit?usp=sharing"",""เบิกจ่ายกองทุน!BZ22"")"),34470)</f>
        <v>34470</v>
      </c>
      <c r="R418" s="568">
        <f ca="1">IFERROR(__xludf.DUMMYFUNCTION("IMPORTRANGE(""https://docs.google.com/spreadsheets/d/1ItG2mGa2ceCfYo0BwxsXqNm01IGEUdYcSSLTEv9YCik/edit?usp=sharing"",""เบิกจ่ายกองทุน!CA22"")"),34470)</f>
        <v>34470</v>
      </c>
      <c r="S418" s="568">
        <f ca="1">IFERROR(__xludf.DUMMYFUNCTION("IMPORTRANGE(""https://docs.google.com/spreadsheets/d/1ItG2mGa2ceCfYo0BwxsXqNm01IGEUdYcSSLTEv9YCik/edit?usp=sharing"",""เบิกจ่ายกองทุน!CB22"")"),0)</f>
        <v>0</v>
      </c>
      <c r="T418" s="568">
        <f t="shared" ca="1" si="275"/>
        <v>0</v>
      </c>
      <c r="U418" s="568">
        <f t="shared" ca="1" si="276"/>
        <v>0</v>
      </c>
    </row>
    <row r="419" spans="1:21" ht="19.5" x14ac:dyDescent="0.3">
      <c r="A419" s="674"/>
      <c r="B419" s="718"/>
      <c r="C419" s="718"/>
      <c r="D419" s="955" t="s">
        <v>23</v>
      </c>
      <c r="E419" s="718"/>
      <c r="F419" s="718"/>
      <c r="G419" s="727"/>
      <c r="H419" s="677" t="s">
        <v>14</v>
      </c>
      <c r="I419" s="565"/>
      <c r="J419" s="565"/>
      <c r="K419" s="566"/>
      <c r="L419" s="567">
        <f t="shared" ref="L419:N419" ca="1" si="281">L420+L421</f>
        <v>0</v>
      </c>
      <c r="M419" s="568">
        <f t="shared" ca="1" si="281"/>
        <v>0</v>
      </c>
      <c r="N419" s="568">
        <f t="shared" ca="1" si="281"/>
        <v>0</v>
      </c>
      <c r="O419" s="568">
        <f t="shared" ca="1" si="272"/>
        <v>0</v>
      </c>
      <c r="P419" s="568">
        <f t="shared" ca="1" si="273"/>
        <v>0</v>
      </c>
      <c r="Q419" s="568">
        <f t="shared" ref="Q419:S419" si="282">Q420+Q421</f>
        <v>0</v>
      </c>
      <c r="R419" s="568">
        <f t="shared" si="282"/>
        <v>0</v>
      </c>
      <c r="S419" s="568">
        <f t="shared" si="282"/>
        <v>0</v>
      </c>
      <c r="T419" s="568">
        <f t="shared" si="275"/>
        <v>0</v>
      </c>
      <c r="U419" s="568">
        <f t="shared" si="276"/>
        <v>0</v>
      </c>
    </row>
    <row r="420" spans="1:21" ht="18.75" x14ac:dyDescent="0.25">
      <c r="A420" s="674"/>
      <c r="B420" s="718"/>
      <c r="C420" s="718"/>
      <c r="D420" s="718"/>
      <c r="E420" s="767" t="s">
        <v>20</v>
      </c>
      <c r="F420" s="718"/>
      <c r="G420" s="727"/>
      <c r="H420" s="723" t="s">
        <v>14</v>
      </c>
      <c r="I420" s="565"/>
      <c r="J420" s="565"/>
      <c r="K420" s="566"/>
      <c r="L420" s="571">
        <v>0</v>
      </c>
      <c r="M420" s="572">
        <v>0</v>
      </c>
      <c r="N420" s="572">
        <v>0</v>
      </c>
      <c r="O420" s="572">
        <f t="shared" si="272"/>
        <v>0</v>
      </c>
      <c r="P420" s="572">
        <f t="shared" si="273"/>
        <v>0</v>
      </c>
      <c r="Q420" s="572">
        <v>0</v>
      </c>
      <c r="R420" s="572">
        <v>0</v>
      </c>
      <c r="S420" s="572">
        <v>0</v>
      </c>
      <c r="T420" s="572">
        <f t="shared" si="275"/>
        <v>0</v>
      </c>
      <c r="U420" s="572">
        <f t="shared" si="276"/>
        <v>0</v>
      </c>
    </row>
    <row r="421" spans="1:21" ht="18.75" x14ac:dyDescent="0.25">
      <c r="A421" s="674"/>
      <c r="B421" s="718"/>
      <c r="C421" s="718"/>
      <c r="D421" s="718"/>
      <c r="E421" s="765" t="s">
        <v>21</v>
      </c>
      <c r="F421" s="718"/>
      <c r="G421" s="727"/>
      <c r="H421" s="681" t="s">
        <v>14</v>
      </c>
      <c r="I421" s="565"/>
      <c r="J421" s="565"/>
      <c r="K421" s="566"/>
      <c r="L421" s="567">
        <f ca="1">IFERROR(__xludf.DUMMYFUNCTION("IMPORTRANGE(""https://docs.google.com/spreadsheets/d/1-uDff_7J0KD5mKrp0Vvzr7lt3OU09vwQwhkpOPPYv2Y/edit?usp=sharing"",""งบพรบ!IR22"")"),0)</f>
        <v>0</v>
      </c>
      <c r="M421" s="568">
        <f ca="1">IFERROR(__xludf.DUMMYFUNCTION("IMPORTRANGE(""https://docs.google.com/spreadsheets/d/1-uDff_7J0KD5mKrp0Vvzr7lt3OU09vwQwhkpOPPYv2Y/edit?usp=sharing"",""งบพรบ!IU22"")"),0)</f>
        <v>0</v>
      </c>
      <c r="N421" s="568">
        <f ca="1">IFERROR(__xludf.DUMMYFUNCTION("IMPORTRANGE(""https://docs.google.com/spreadsheets/d/1-uDff_7J0KD5mKrp0Vvzr7lt3OU09vwQwhkpOPPYv2Y/edit?usp=sharing"",""งบพรบ!IW22"")"),0)</f>
        <v>0</v>
      </c>
      <c r="O421" s="568">
        <f t="shared" ca="1" si="272"/>
        <v>0</v>
      </c>
      <c r="P421" s="568">
        <f t="shared" ca="1" si="273"/>
        <v>0</v>
      </c>
      <c r="Q421" s="568">
        <v>0</v>
      </c>
      <c r="R421" s="568">
        <v>0</v>
      </c>
      <c r="S421" s="568">
        <v>0</v>
      </c>
      <c r="T421" s="568">
        <f t="shared" si="275"/>
        <v>0</v>
      </c>
      <c r="U421" s="568">
        <f t="shared" si="276"/>
        <v>0</v>
      </c>
    </row>
    <row r="422" spans="1:21" ht="19.5" x14ac:dyDescent="0.3">
      <c r="A422" s="764"/>
      <c r="B422" s="718"/>
      <c r="C422" s="978" t="s">
        <v>18</v>
      </c>
      <c r="D422" s="980" t="s">
        <v>38</v>
      </c>
      <c r="E422" s="718"/>
      <c r="F422" s="718"/>
      <c r="G422" s="727"/>
      <c r="H422" s="727"/>
      <c r="I422" s="565"/>
      <c r="J422" s="565"/>
      <c r="K422" s="566"/>
      <c r="L422" s="574"/>
      <c r="M422" s="566"/>
      <c r="N422" s="566"/>
      <c r="O422" s="566"/>
      <c r="P422" s="566"/>
      <c r="Q422" s="566"/>
      <c r="R422" s="566"/>
      <c r="S422" s="566"/>
      <c r="T422" s="566"/>
      <c r="U422" s="566"/>
    </row>
    <row r="423" spans="1:21" ht="19.5" x14ac:dyDescent="0.3">
      <c r="A423" s="764"/>
      <c r="B423" s="719" t="s">
        <v>160</v>
      </c>
      <c r="C423" s="718"/>
      <c r="D423" s="718"/>
      <c r="E423" s="718"/>
      <c r="F423" s="718"/>
      <c r="G423" s="727"/>
      <c r="H423" s="979" t="s">
        <v>46</v>
      </c>
      <c r="I423" s="697">
        <f t="shared" ref="I423:J423" ca="1" si="283">I440</f>
        <v>11325</v>
      </c>
      <c r="J423" s="697">
        <f t="shared" si="283"/>
        <v>0</v>
      </c>
      <c r="K423" s="679">
        <f t="shared" ref="K423:K425" ca="1" si="284">IF(I423&gt;0,J423*100/I423,0)</f>
        <v>0</v>
      </c>
      <c r="L423" s="574"/>
      <c r="M423" s="566"/>
      <c r="N423" s="566"/>
      <c r="O423" s="566"/>
      <c r="P423" s="566"/>
      <c r="Q423" s="566"/>
      <c r="R423" s="566"/>
      <c r="S423" s="566"/>
      <c r="T423" s="566"/>
      <c r="U423" s="566"/>
    </row>
    <row r="424" spans="1:21" ht="19.5" x14ac:dyDescent="0.3">
      <c r="A424" s="764"/>
      <c r="B424" s="718"/>
      <c r="C424" s="719" t="s">
        <v>161</v>
      </c>
      <c r="D424" s="718"/>
      <c r="E424" s="718"/>
      <c r="F424" s="718"/>
      <c r="G424" s="727"/>
      <c r="H424" s="677" t="s">
        <v>46</v>
      </c>
      <c r="I424" s="697">
        <f ca="1">IFERROR(__xludf.DUMMYFUNCTION("IMPORTRANGE(""https://docs.google.com/spreadsheets/d/1eHaY18a8A9IcSdp1K8H6x8fbOy06t2VsZHhMHf-1x7Y/edit?usp=sharing"",""แผน!HJ22"")"),11325)</f>
        <v>11325</v>
      </c>
      <c r="J424" s="697">
        <f t="shared" ref="J424:J425" si="285">J426+J428+J430</f>
        <v>0</v>
      </c>
      <c r="K424" s="679">
        <f t="shared" ca="1" si="284"/>
        <v>0</v>
      </c>
      <c r="L424" s="574"/>
      <c r="M424" s="566"/>
      <c r="N424" s="566"/>
      <c r="O424" s="566"/>
      <c r="P424" s="566"/>
      <c r="Q424" s="566"/>
      <c r="R424" s="566"/>
      <c r="S424" s="566"/>
      <c r="T424" s="566"/>
      <c r="U424" s="566"/>
    </row>
    <row r="425" spans="1:21" ht="19.5" x14ac:dyDescent="0.3">
      <c r="A425" s="764"/>
      <c r="B425" s="718"/>
      <c r="C425" s="718"/>
      <c r="D425" s="718"/>
      <c r="E425" s="718"/>
      <c r="F425" s="718"/>
      <c r="G425" s="727"/>
      <c r="H425" s="677" t="s">
        <v>34</v>
      </c>
      <c r="I425" s="697">
        <f ca="1">IFERROR(__xludf.DUMMYFUNCTION("IMPORTRANGE(""https://docs.google.com/spreadsheets/d/1eHaY18a8A9IcSdp1K8H6x8fbOy06t2VsZHhMHf-1x7Y/edit?usp=sharing"",""แผน!HK22"")"),1138)</f>
        <v>1138</v>
      </c>
      <c r="J425" s="697">
        <f t="shared" si="285"/>
        <v>0</v>
      </c>
      <c r="K425" s="679">
        <f t="shared" ca="1" si="284"/>
        <v>0</v>
      </c>
      <c r="L425" s="574"/>
      <c r="M425" s="566"/>
      <c r="N425" s="566"/>
      <c r="O425" s="566"/>
      <c r="P425" s="566"/>
      <c r="Q425" s="566"/>
      <c r="R425" s="566"/>
      <c r="S425" s="566"/>
      <c r="T425" s="566"/>
      <c r="U425" s="566"/>
    </row>
    <row r="426" spans="1:21" ht="18.75" x14ac:dyDescent="0.25">
      <c r="A426" s="764"/>
      <c r="B426" s="718"/>
      <c r="C426" s="718"/>
      <c r="D426" s="765" t="s">
        <v>162</v>
      </c>
      <c r="E426" s="718"/>
      <c r="F426" s="718"/>
      <c r="G426" s="727"/>
      <c r="H426" s="681" t="s">
        <v>46</v>
      </c>
      <c r="I426" s="565"/>
      <c r="J426" s="565"/>
      <c r="K426" s="566"/>
      <c r="L426" s="574"/>
      <c r="M426" s="566"/>
      <c r="N426" s="566"/>
      <c r="O426" s="566"/>
      <c r="P426" s="566"/>
      <c r="Q426" s="566"/>
      <c r="R426" s="566"/>
      <c r="S426" s="566"/>
      <c r="T426" s="566"/>
      <c r="U426" s="566"/>
    </row>
    <row r="427" spans="1:21" ht="18.75" x14ac:dyDescent="0.25">
      <c r="A427" s="764"/>
      <c r="B427" s="718"/>
      <c r="C427" s="718"/>
      <c r="D427" s="718"/>
      <c r="E427" s="718"/>
      <c r="F427" s="718"/>
      <c r="G427" s="727"/>
      <c r="H427" s="681" t="s">
        <v>34</v>
      </c>
      <c r="I427" s="565"/>
      <c r="J427" s="565"/>
      <c r="K427" s="566"/>
      <c r="L427" s="574"/>
      <c r="M427" s="566"/>
      <c r="N427" s="566"/>
      <c r="O427" s="566"/>
      <c r="P427" s="566"/>
      <c r="Q427" s="566"/>
      <c r="R427" s="566"/>
      <c r="S427" s="566"/>
      <c r="T427" s="566"/>
      <c r="U427" s="566"/>
    </row>
    <row r="428" spans="1:21" ht="18.75" x14ac:dyDescent="0.25">
      <c r="A428" s="764"/>
      <c r="B428" s="718"/>
      <c r="C428" s="718"/>
      <c r="D428" s="765" t="s">
        <v>163</v>
      </c>
      <c r="E428" s="718"/>
      <c r="F428" s="718"/>
      <c r="G428" s="727"/>
      <c r="H428" s="681" t="s">
        <v>46</v>
      </c>
      <c r="I428" s="565"/>
      <c r="J428" s="565"/>
      <c r="K428" s="566"/>
      <c r="L428" s="574"/>
      <c r="M428" s="566"/>
      <c r="N428" s="566"/>
      <c r="O428" s="566"/>
      <c r="P428" s="566"/>
      <c r="Q428" s="566"/>
      <c r="R428" s="566"/>
      <c r="S428" s="566"/>
      <c r="T428" s="566"/>
      <c r="U428" s="566"/>
    </row>
    <row r="429" spans="1:21" ht="18.75" x14ac:dyDescent="0.25">
      <c r="A429" s="764"/>
      <c r="B429" s="718"/>
      <c r="C429" s="718"/>
      <c r="D429" s="718"/>
      <c r="E429" s="718"/>
      <c r="F429" s="718"/>
      <c r="G429" s="727"/>
      <c r="H429" s="681" t="s">
        <v>34</v>
      </c>
      <c r="I429" s="565"/>
      <c r="J429" s="565"/>
      <c r="K429" s="566"/>
      <c r="L429" s="574"/>
      <c r="M429" s="566"/>
      <c r="N429" s="566"/>
      <c r="O429" s="566"/>
      <c r="P429" s="566"/>
      <c r="Q429" s="566"/>
      <c r="R429" s="566"/>
      <c r="S429" s="566"/>
      <c r="T429" s="566"/>
      <c r="U429" s="566"/>
    </row>
    <row r="430" spans="1:21" ht="18.75" x14ac:dyDescent="0.25">
      <c r="A430" s="764"/>
      <c r="B430" s="718"/>
      <c r="C430" s="718"/>
      <c r="D430" s="765" t="s">
        <v>164</v>
      </c>
      <c r="E430" s="718"/>
      <c r="F430" s="718"/>
      <c r="G430" s="727"/>
      <c r="H430" s="681" t="s">
        <v>46</v>
      </c>
      <c r="I430" s="565"/>
      <c r="J430" s="565"/>
      <c r="K430" s="566"/>
      <c r="L430" s="574"/>
      <c r="M430" s="566"/>
      <c r="N430" s="566"/>
      <c r="O430" s="566"/>
      <c r="P430" s="566"/>
      <c r="Q430" s="566"/>
      <c r="R430" s="566"/>
      <c r="S430" s="566"/>
      <c r="T430" s="566"/>
      <c r="U430" s="566"/>
    </row>
    <row r="431" spans="1:21" ht="18.75" x14ac:dyDescent="0.25">
      <c r="A431" s="764"/>
      <c r="B431" s="718"/>
      <c r="C431" s="718"/>
      <c r="D431" s="718"/>
      <c r="E431" s="718"/>
      <c r="F431" s="718"/>
      <c r="G431" s="727"/>
      <c r="H431" s="681" t="s">
        <v>34</v>
      </c>
      <c r="I431" s="565"/>
      <c r="J431" s="565"/>
      <c r="K431" s="566"/>
      <c r="L431" s="574"/>
      <c r="M431" s="566"/>
      <c r="N431" s="566"/>
      <c r="O431" s="566"/>
      <c r="P431" s="566"/>
      <c r="Q431" s="566"/>
      <c r="R431" s="566"/>
      <c r="S431" s="566"/>
      <c r="T431" s="566"/>
      <c r="U431" s="566"/>
    </row>
    <row r="432" spans="1:21" ht="19.5" x14ac:dyDescent="0.3">
      <c r="A432" s="764"/>
      <c r="B432" s="718"/>
      <c r="C432" s="719" t="s">
        <v>165</v>
      </c>
      <c r="D432" s="718"/>
      <c r="E432" s="718"/>
      <c r="F432" s="718"/>
      <c r="G432" s="727"/>
      <c r="H432" s="677" t="s">
        <v>46</v>
      </c>
      <c r="I432" s="697">
        <f ca="1">IFERROR(__xludf.DUMMYFUNCTION("IMPORTRANGE(""https://docs.google.com/spreadsheets/d/1eHaY18a8A9IcSdp1K8H6x8fbOy06t2VsZHhMHf-1x7Y/edit?usp=sharing"",""แผน!HJ22"")"),11325)</f>
        <v>11325</v>
      </c>
      <c r="J432" s="697">
        <f t="shared" ref="J432:J433" si="286">J434+J436+J438</f>
        <v>0</v>
      </c>
      <c r="K432" s="679">
        <f t="shared" ref="K432:K433" ca="1" si="287">IF(I432&gt;0,J432*100/I432,0)</f>
        <v>0</v>
      </c>
      <c r="L432" s="574"/>
      <c r="M432" s="566"/>
      <c r="N432" s="566"/>
      <c r="O432" s="566"/>
      <c r="P432" s="566"/>
      <c r="Q432" s="566"/>
      <c r="R432" s="566"/>
      <c r="S432" s="566"/>
      <c r="T432" s="566"/>
      <c r="U432" s="566"/>
    </row>
    <row r="433" spans="1:21" ht="19.5" x14ac:dyDescent="0.3">
      <c r="A433" s="764"/>
      <c r="B433" s="718"/>
      <c r="C433" s="718"/>
      <c r="D433" s="718"/>
      <c r="E433" s="718"/>
      <c r="F433" s="718"/>
      <c r="G433" s="727"/>
      <c r="H433" s="677" t="s">
        <v>34</v>
      </c>
      <c r="I433" s="697">
        <f ca="1">IFERROR(__xludf.DUMMYFUNCTION("IMPORTRANGE(""https://docs.google.com/spreadsheets/d/1eHaY18a8A9IcSdp1K8H6x8fbOy06t2VsZHhMHf-1x7Y/edit?usp=sharing"",""แผน!HK22"")"),1138)</f>
        <v>1138</v>
      </c>
      <c r="J433" s="697">
        <f t="shared" si="286"/>
        <v>0</v>
      </c>
      <c r="K433" s="679">
        <f t="shared" ca="1" si="287"/>
        <v>0</v>
      </c>
      <c r="L433" s="574"/>
      <c r="M433" s="566"/>
      <c r="N433" s="566"/>
      <c r="O433" s="566"/>
      <c r="P433" s="566"/>
      <c r="Q433" s="566"/>
      <c r="R433" s="566"/>
      <c r="S433" s="566"/>
      <c r="T433" s="566"/>
      <c r="U433" s="566"/>
    </row>
    <row r="434" spans="1:21" ht="18.75" x14ac:dyDescent="0.25">
      <c r="A434" s="764"/>
      <c r="B434" s="718"/>
      <c r="C434" s="718"/>
      <c r="D434" s="765" t="s">
        <v>166</v>
      </c>
      <c r="E434" s="718"/>
      <c r="F434" s="718"/>
      <c r="G434" s="727"/>
      <c r="H434" s="681" t="s">
        <v>46</v>
      </c>
      <c r="I434" s="565"/>
      <c r="J434" s="565"/>
      <c r="K434" s="566"/>
      <c r="L434" s="574"/>
      <c r="M434" s="566"/>
      <c r="N434" s="566"/>
      <c r="O434" s="566"/>
      <c r="P434" s="566"/>
      <c r="Q434" s="566"/>
      <c r="R434" s="566"/>
      <c r="S434" s="566"/>
      <c r="T434" s="566"/>
      <c r="U434" s="566"/>
    </row>
    <row r="435" spans="1:21" ht="18.75" x14ac:dyDescent="0.25">
      <c r="A435" s="764"/>
      <c r="B435" s="718"/>
      <c r="C435" s="718"/>
      <c r="D435" s="718"/>
      <c r="E435" s="718"/>
      <c r="F435" s="718"/>
      <c r="G435" s="727"/>
      <c r="H435" s="681" t="s">
        <v>34</v>
      </c>
      <c r="I435" s="565"/>
      <c r="J435" s="565"/>
      <c r="K435" s="566"/>
      <c r="L435" s="574"/>
      <c r="M435" s="566"/>
      <c r="N435" s="566"/>
      <c r="O435" s="566"/>
      <c r="P435" s="566"/>
      <c r="Q435" s="566"/>
      <c r="R435" s="566"/>
      <c r="S435" s="566"/>
      <c r="T435" s="566"/>
      <c r="U435" s="566"/>
    </row>
    <row r="436" spans="1:21" ht="18.75" x14ac:dyDescent="0.25">
      <c r="A436" s="764"/>
      <c r="B436" s="718"/>
      <c r="C436" s="718"/>
      <c r="D436" s="765" t="s">
        <v>167</v>
      </c>
      <c r="E436" s="718"/>
      <c r="F436" s="718"/>
      <c r="G436" s="727"/>
      <c r="H436" s="681" t="s">
        <v>46</v>
      </c>
      <c r="I436" s="565"/>
      <c r="J436" s="565"/>
      <c r="K436" s="566"/>
      <c r="L436" s="574"/>
      <c r="M436" s="566"/>
      <c r="N436" s="566"/>
      <c r="O436" s="566"/>
      <c r="P436" s="566"/>
      <c r="Q436" s="566"/>
      <c r="R436" s="566"/>
      <c r="S436" s="566"/>
      <c r="T436" s="566"/>
      <c r="U436" s="566"/>
    </row>
    <row r="437" spans="1:21" ht="18.75" x14ac:dyDescent="0.25">
      <c r="A437" s="764"/>
      <c r="B437" s="718"/>
      <c r="C437" s="718"/>
      <c r="D437" s="718"/>
      <c r="E437" s="718"/>
      <c r="F437" s="718"/>
      <c r="G437" s="727"/>
      <c r="H437" s="681" t="s">
        <v>34</v>
      </c>
      <c r="I437" s="565"/>
      <c r="J437" s="565"/>
      <c r="K437" s="566"/>
      <c r="L437" s="574"/>
      <c r="M437" s="566"/>
      <c r="N437" s="566"/>
      <c r="O437" s="566"/>
      <c r="P437" s="566"/>
      <c r="Q437" s="566"/>
      <c r="R437" s="566"/>
      <c r="S437" s="566"/>
      <c r="T437" s="566"/>
      <c r="U437" s="566"/>
    </row>
    <row r="438" spans="1:21" ht="18.75" x14ac:dyDescent="0.25">
      <c r="A438" s="764"/>
      <c r="B438" s="718"/>
      <c r="C438" s="718"/>
      <c r="D438" s="765" t="s">
        <v>168</v>
      </c>
      <c r="E438" s="718"/>
      <c r="F438" s="718"/>
      <c r="G438" s="727"/>
      <c r="H438" s="681" t="s">
        <v>46</v>
      </c>
      <c r="I438" s="565"/>
      <c r="J438" s="565"/>
      <c r="K438" s="566"/>
      <c r="L438" s="574"/>
      <c r="M438" s="566"/>
      <c r="N438" s="566"/>
      <c r="O438" s="566"/>
      <c r="P438" s="566"/>
      <c r="Q438" s="566"/>
      <c r="R438" s="566"/>
      <c r="S438" s="566"/>
      <c r="T438" s="566"/>
      <c r="U438" s="566"/>
    </row>
    <row r="439" spans="1:21" ht="18.75" x14ac:dyDescent="0.25">
      <c r="A439" s="764"/>
      <c r="B439" s="718"/>
      <c r="C439" s="718"/>
      <c r="D439" s="718"/>
      <c r="E439" s="718"/>
      <c r="F439" s="718"/>
      <c r="G439" s="727"/>
      <c r="H439" s="681" t="s">
        <v>34</v>
      </c>
      <c r="I439" s="565"/>
      <c r="J439" s="565"/>
      <c r="K439" s="566"/>
      <c r="L439" s="574"/>
      <c r="M439" s="566"/>
      <c r="N439" s="566"/>
      <c r="O439" s="566"/>
      <c r="P439" s="566"/>
      <c r="Q439" s="566"/>
      <c r="R439" s="566"/>
      <c r="S439" s="566"/>
      <c r="T439" s="566"/>
      <c r="U439" s="566"/>
    </row>
    <row r="440" spans="1:21" ht="19.5" x14ac:dyDescent="0.3">
      <c r="A440" s="764"/>
      <c r="B440" s="718"/>
      <c r="C440" s="719" t="s">
        <v>169</v>
      </c>
      <c r="D440" s="718"/>
      <c r="E440" s="718"/>
      <c r="F440" s="718"/>
      <c r="G440" s="727"/>
      <c r="H440" s="677" t="s">
        <v>46</v>
      </c>
      <c r="I440" s="697">
        <f ca="1">IFERROR(__xludf.DUMMYFUNCTION("IMPORTRANGE(""https://docs.google.com/spreadsheets/d/1eHaY18a8A9IcSdp1K8H6x8fbOy06t2VsZHhMHf-1x7Y/edit?usp=sharing"",""แผน!HJ22"")"),11325)</f>
        <v>11325</v>
      </c>
      <c r="J440" s="697">
        <f t="shared" ref="J440:J441" si="288">J442+J444+J446+J452+J454</f>
        <v>0</v>
      </c>
      <c r="K440" s="679">
        <f t="shared" ref="K440:K441" ca="1" si="289">IF(I440&gt;0,J440*100/I440,0)</f>
        <v>0</v>
      </c>
      <c r="L440" s="574"/>
      <c r="M440" s="566"/>
      <c r="N440" s="566"/>
      <c r="O440" s="566"/>
      <c r="P440" s="566"/>
      <c r="Q440" s="566"/>
      <c r="R440" s="566"/>
      <c r="S440" s="566"/>
      <c r="T440" s="566"/>
      <c r="U440" s="566"/>
    </row>
    <row r="441" spans="1:21" ht="19.5" x14ac:dyDescent="0.3">
      <c r="A441" s="764"/>
      <c r="B441" s="718"/>
      <c r="C441" s="718"/>
      <c r="D441" s="718"/>
      <c r="E441" s="718"/>
      <c r="F441" s="718"/>
      <c r="G441" s="727"/>
      <c r="H441" s="677" t="s">
        <v>34</v>
      </c>
      <c r="I441" s="697">
        <f ca="1">IFERROR(__xludf.DUMMYFUNCTION("IMPORTRANGE(""https://docs.google.com/spreadsheets/d/1eHaY18a8A9IcSdp1K8H6x8fbOy06t2VsZHhMHf-1x7Y/edit?usp=sharing"",""แผน!HK22"")"),1138)</f>
        <v>1138</v>
      </c>
      <c r="J441" s="697">
        <f t="shared" si="288"/>
        <v>0</v>
      </c>
      <c r="K441" s="679">
        <f t="shared" ca="1" si="289"/>
        <v>0</v>
      </c>
      <c r="L441" s="574"/>
      <c r="M441" s="566"/>
      <c r="N441" s="566"/>
      <c r="O441" s="566"/>
      <c r="P441" s="566"/>
      <c r="Q441" s="566"/>
      <c r="R441" s="566"/>
      <c r="S441" s="566"/>
      <c r="T441" s="566"/>
      <c r="U441" s="566"/>
    </row>
    <row r="442" spans="1:21" ht="18.75" x14ac:dyDescent="0.25">
      <c r="A442" s="764"/>
      <c r="B442" s="718"/>
      <c r="C442" s="718"/>
      <c r="D442" s="765" t="s">
        <v>170</v>
      </c>
      <c r="E442" s="718"/>
      <c r="F442" s="718"/>
      <c r="G442" s="727"/>
      <c r="H442" s="681" t="s">
        <v>46</v>
      </c>
      <c r="I442" s="565"/>
      <c r="J442" s="565"/>
      <c r="K442" s="566"/>
      <c r="L442" s="574"/>
      <c r="M442" s="566"/>
      <c r="N442" s="566"/>
      <c r="O442" s="566"/>
      <c r="P442" s="566"/>
      <c r="Q442" s="566"/>
      <c r="R442" s="566"/>
      <c r="S442" s="566"/>
      <c r="T442" s="566"/>
      <c r="U442" s="566"/>
    </row>
    <row r="443" spans="1:21" ht="18.75" x14ac:dyDescent="0.25">
      <c r="A443" s="764"/>
      <c r="B443" s="718"/>
      <c r="C443" s="718"/>
      <c r="D443" s="718"/>
      <c r="E443" s="718"/>
      <c r="F443" s="718"/>
      <c r="G443" s="727"/>
      <c r="H443" s="681" t="s">
        <v>34</v>
      </c>
      <c r="I443" s="565"/>
      <c r="J443" s="565"/>
      <c r="K443" s="566"/>
      <c r="L443" s="574"/>
      <c r="M443" s="566"/>
      <c r="N443" s="566"/>
      <c r="O443" s="566"/>
      <c r="P443" s="566"/>
      <c r="Q443" s="566"/>
      <c r="R443" s="566"/>
      <c r="S443" s="566"/>
      <c r="T443" s="566"/>
      <c r="U443" s="566"/>
    </row>
    <row r="444" spans="1:21" ht="18.75" x14ac:dyDescent="0.25">
      <c r="A444" s="764"/>
      <c r="B444" s="718"/>
      <c r="C444" s="718"/>
      <c r="D444" s="765" t="s">
        <v>171</v>
      </c>
      <c r="E444" s="718"/>
      <c r="F444" s="718"/>
      <c r="G444" s="727"/>
      <c r="H444" s="681" t="s">
        <v>46</v>
      </c>
      <c r="I444" s="565"/>
      <c r="J444" s="565"/>
      <c r="K444" s="566"/>
      <c r="L444" s="574"/>
      <c r="M444" s="566"/>
      <c r="N444" s="566"/>
      <c r="O444" s="566"/>
      <c r="P444" s="566"/>
      <c r="Q444" s="566"/>
      <c r="R444" s="566"/>
      <c r="S444" s="566"/>
      <c r="T444" s="566"/>
      <c r="U444" s="566"/>
    </row>
    <row r="445" spans="1:21" ht="18.75" x14ac:dyDescent="0.25">
      <c r="A445" s="764"/>
      <c r="B445" s="718"/>
      <c r="C445" s="718"/>
      <c r="D445" s="718"/>
      <c r="E445" s="718"/>
      <c r="F445" s="718"/>
      <c r="G445" s="727"/>
      <c r="H445" s="681" t="s">
        <v>34</v>
      </c>
      <c r="I445" s="565"/>
      <c r="J445" s="565"/>
      <c r="K445" s="566"/>
      <c r="L445" s="574"/>
      <c r="M445" s="566"/>
      <c r="N445" s="566"/>
      <c r="O445" s="566"/>
      <c r="P445" s="566"/>
      <c r="Q445" s="566"/>
      <c r="R445" s="566"/>
      <c r="S445" s="566"/>
      <c r="T445" s="566"/>
      <c r="U445" s="566"/>
    </row>
    <row r="446" spans="1:21" ht="19.5" x14ac:dyDescent="0.3">
      <c r="A446" s="764"/>
      <c r="B446" s="718"/>
      <c r="C446" s="718"/>
      <c r="D446" s="765" t="s">
        <v>172</v>
      </c>
      <c r="E446" s="718"/>
      <c r="F446" s="718"/>
      <c r="G446" s="727"/>
      <c r="H446" s="681" t="s">
        <v>46</v>
      </c>
      <c r="I446" s="565"/>
      <c r="J446" s="697">
        <f t="shared" ref="J446:J447" si="290">J448+J450</f>
        <v>0</v>
      </c>
      <c r="K446" s="566"/>
      <c r="L446" s="574"/>
      <c r="M446" s="566"/>
      <c r="N446" s="566"/>
      <c r="O446" s="566"/>
      <c r="P446" s="566"/>
      <c r="Q446" s="566"/>
      <c r="R446" s="566"/>
      <c r="S446" s="566"/>
      <c r="T446" s="566"/>
      <c r="U446" s="566"/>
    </row>
    <row r="447" spans="1:21" ht="19.5" x14ac:dyDescent="0.3">
      <c r="A447" s="764"/>
      <c r="B447" s="718"/>
      <c r="C447" s="718"/>
      <c r="D447" s="718"/>
      <c r="E447" s="718"/>
      <c r="F447" s="718"/>
      <c r="G447" s="727"/>
      <c r="H447" s="681" t="s">
        <v>34</v>
      </c>
      <c r="I447" s="565"/>
      <c r="J447" s="697">
        <f t="shared" si="290"/>
        <v>0</v>
      </c>
      <c r="K447" s="566"/>
      <c r="L447" s="574"/>
      <c r="M447" s="566"/>
      <c r="N447" s="566"/>
      <c r="O447" s="566"/>
      <c r="P447" s="566"/>
      <c r="Q447" s="566"/>
      <c r="R447" s="566"/>
      <c r="S447" s="566"/>
      <c r="T447" s="566"/>
      <c r="U447" s="566"/>
    </row>
    <row r="448" spans="1:21" ht="18.75" x14ac:dyDescent="0.25">
      <c r="A448" s="764"/>
      <c r="B448" s="718"/>
      <c r="C448" s="718"/>
      <c r="D448" s="718"/>
      <c r="E448" s="765" t="s">
        <v>173</v>
      </c>
      <c r="F448" s="718"/>
      <c r="G448" s="727"/>
      <c r="H448" s="681" t="s">
        <v>46</v>
      </c>
      <c r="I448" s="565"/>
      <c r="J448" s="565"/>
      <c r="K448" s="566"/>
      <c r="L448" s="574"/>
      <c r="M448" s="566"/>
      <c r="N448" s="566"/>
      <c r="O448" s="566"/>
      <c r="P448" s="566"/>
      <c r="Q448" s="566"/>
      <c r="R448" s="566"/>
      <c r="S448" s="566"/>
      <c r="T448" s="566"/>
      <c r="U448" s="566"/>
    </row>
    <row r="449" spans="1:21" ht="18.75" x14ac:dyDescent="0.25">
      <c r="A449" s="764"/>
      <c r="B449" s="718"/>
      <c r="C449" s="718"/>
      <c r="D449" s="718"/>
      <c r="E449" s="718"/>
      <c r="F449" s="718"/>
      <c r="G449" s="727"/>
      <c r="H449" s="681" t="s">
        <v>34</v>
      </c>
      <c r="I449" s="565"/>
      <c r="J449" s="565"/>
      <c r="K449" s="566"/>
      <c r="L449" s="574"/>
      <c r="M449" s="566"/>
      <c r="N449" s="566"/>
      <c r="O449" s="566"/>
      <c r="P449" s="566"/>
      <c r="Q449" s="566"/>
      <c r="R449" s="566"/>
      <c r="S449" s="566"/>
      <c r="T449" s="566"/>
      <c r="U449" s="566"/>
    </row>
    <row r="450" spans="1:21" ht="18.75" x14ac:dyDescent="0.25">
      <c r="A450" s="764"/>
      <c r="B450" s="718"/>
      <c r="C450" s="718"/>
      <c r="D450" s="718"/>
      <c r="E450" s="765" t="s">
        <v>174</v>
      </c>
      <c r="F450" s="718"/>
      <c r="G450" s="727"/>
      <c r="H450" s="681" t="s">
        <v>46</v>
      </c>
      <c r="I450" s="565"/>
      <c r="J450" s="565"/>
      <c r="K450" s="566"/>
      <c r="L450" s="574"/>
      <c r="M450" s="566"/>
      <c r="N450" s="566"/>
      <c r="O450" s="566"/>
      <c r="P450" s="566"/>
      <c r="Q450" s="566"/>
      <c r="R450" s="566"/>
      <c r="S450" s="566"/>
      <c r="T450" s="566"/>
      <c r="U450" s="566"/>
    </row>
    <row r="451" spans="1:21" ht="18.75" x14ac:dyDescent="0.25">
      <c r="A451" s="764"/>
      <c r="B451" s="718"/>
      <c r="C451" s="718"/>
      <c r="D451" s="718"/>
      <c r="E451" s="718"/>
      <c r="F451" s="718"/>
      <c r="G451" s="727"/>
      <c r="H451" s="681" t="s">
        <v>34</v>
      </c>
      <c r="I451" s="565"/>
      <c r="J451" s="565"/>
      <c r="K451" s="566"/>
      <c r="L451" s="574"/>
      <c r="M451" s="566"/>
      <c r="N451" s="566"/>
      <c r="O451" s="566"/>
      <c r="P451" s="566"/>
      <c r="Q451" s="566"/>
      <c r="R451" s="566"/>
      <c r="S451" s="566"/>
      <c r="T451" s="566"/>
      <c r="U451" s="566"/>
    </row>
    <row r="452" spans="1:21" ht="18.75" x14ac:dyDescent="0.25">
      <c r="A452" s="764"/>
      <c r="B452" s="718"/>
      <c r="C452" s="718"/>
      <c r="D452" s="765" t="s">
        <v>175</v>
      </c>
      <c r="E452" s="718"/>
      <c r="F452" s="718"/>
      <c r="G452" s="727"/>
      <c r="H452" s="681" t="s">
        <v>46</v>
      </c>
      <c r="I452" s="565"/>
      <c r="J452" s="565"/>
      <c r="K452" s="566"/>
      <c r="L452" s="574"/>
      <c r="M452" s="566"/>
      <c r="N452" s="566"/>
      <c r="O452" s="566"/>
      <c r="P452" s="566"/>
      <c r="Q452" s="566"/>
      <c r="R452" s="566"/>
      <c r="S452" s="566"/>
      <c r="T452" s="566"/>
      <c r="U452" s="566"/>
    </row>
    <row r="453" spans="1:21" ht="18.75" x14ac:dyDescent="0.25">
      <c r="A453" s="764"/>
      <c r="B453" s="718"/>
      <c r="C453" s="718"/>
      <c r="D453" s="718"/>
      <c r="E453" s="718"/>
      <c r="F453" s="718"/>
      <c r="G453" s="727"/>
      <c r="H453" s="681" t="s">
        <v>34</v>
      </c>
      <c r="I453" s="565"/>
      <c r="J453" s="565"/>
      <c r="K453" s="566"/>
      <c r="L453" s="574"/>
      <c r="M453" s="566"/>
      <c r="N453" s="566"/>
      <c r="O453" s="566"/>
      <c r="P453" s="566"/>
      <c r="Q453" s="566"/>
      <c r="R453" s="566"/>
      <c r="S453" s="566"/>
      <c r="T453" s="566"/>
      <c r="U453" s="566"/>
    </row>
    <row r="454" spans="1:21" ht="18.75" x14ac:dyDescent="0.25">
      <c r="A454" s="764"/>
      <c r="B454" s="718"/>
      <c r="C454" s="718"/>
      <c r="D454" s="765" t="s">
        <v>176</v>
      </c>
      <c r="E454" s="718"/>
      <c r="F454" s="718"/>
      <c r="G454" s="727"/>
      <c r="H454" s="681" t="s">
        <v>46</v>
      </c>
      <c r="I454" s="565"/>
      <c r="J454" s="981"/>
      <c r="K454" s="566"/>
      <c r="L454" s="574"/>
      <c r="M454" s="566"/>
      <c r="N454" s="566"/>
      <c r="O454" s="566"/>
      <c r="P454" s="566"/>
      <c r="Q454" s="566"/>
      <c r="R454" s="566"/>
      <c r="S454" s="566"/>
      <c r="T454" s="566"/>
      <c r="U454" s="566"/>
    </row>
    <row r="455" spans="1:21" ht="18.75" x14ac:dyDescent="0.25">
      <c r="A455" s="764"/>
      <c r="B455" s="718"/>
      <c r="C455" s="718"/>
      <c r="D455" s="718"/>
      <c r="E455" s="718"/>
      <c r="F455" s="718"/>
      <c r="G455" s="727"/>
      <c r="H455" s="681" t="s">
        <v>34</v>
      </c>
      <c r="I455" s="565"/>
      <c r="J455" s="565"/>
      <c r="K455" s="566"/>
      <c r="L455" s="574"/>
      <c r="M455" s="566"/>
      <c r="N455" s="566"/>
      <c r="O455" s="566"/>
      <c r="P455" s="566"/>
      <c r="Q455" s="566"/>
      <c r="R455" s="566"/>
      <c r="S455" s="566"/>
      <c r="T455" s="566"/>
      <c r="U455" s="566"/>
    </row>
    <row r="456" spans="1:21" ht="19.5" x14ac:dyDescent="0.3">
      <c r="A456" s="764"/>
      <c r="B456" s="719" t="s">
        <v>177</v>
      </c>
      <c r="C456" s="718"/>
      <c r="D456" s="718"/>
      <c r="E456" s="718"/>
      <c r="F456" s="718"/>
      <c r="G456" s="727"/>
      <c r="H456" s="979" t="s">
        <v>46</v>
      </c>
      <c r="I456" s="697">
        <f t="shared" ref="I456:J456" ca="1" si="291">I457</f>
        <v>30</v>
      </c>
      <c r="J456" s="697">
        <f t="shared" si="291"/>
        <v>0</v>
      </c>
      <c r="K456" s="679">
        <f t="shared" ref="K456:K458" ca="1" si="292">IF(I456&gt;0,J456*100/I456,0)</f>
        <v>0</v>
      </c>
      <c r="L456" s="574"/>
      <c r="M456" s="566"/>
      <c r="N456" s="566"/>
      <c r="O456" s="566"/>
      <c r="P456" s="566"/>
      <c r="Q456" s="566"/>
      <c r="R456" s="566"/>
      <c r="S456" s="566"/>
      <c r="T456" s="566"/>
      <c r="U456" s="566"/>
    </row>
    <row r="457" spans="1:21" ht="19.5" x14ac:dyDescent="0.3">
      <c r="A457" s="764"/>
      <c r="B457" s="718"/>
      <c r="C457" s="719" t="s">
        <v>178</v>
      </c>
      <c r="D457" s="718"/>
      <c r="E457" s="718"/>
      <c r="F457" s="718"/>
      <c r="G457" s="727"/>
      <c r="H457" s="677" t="s">
        <v>46</v>
      </c>
      <c r="I457" s="697">
        <f ca="1">IFERROR(__xludf.DUMMYFUNCTION("IMPORTRANGE(""https://docs.google.com/spreadsheets/d/1eHaY18a8A9IcSdp1K8H6x8fbOy06t2VsZHhMHf-1x7Y/edit?usp=sharing"",""แผน!HL22"")"),30)</f>
        <v>30</v>
      </c>
      <c r="J457" s="697">
        <f t="shared" ref="J457:J458" si="293">J459+J467+J473</f>
        <v>0</v>
      </c>
      <c r="K457" s="679">
        <f t="shared" ca="1" si="292"/>
        <v>0</v>
      </c>
      <c r="L457" s="574"/>
      <c r="M457" s="566"/>
      <c r="N457" s="566"/>
      <c r="O457" s="566"/>
      <c r="P457" s="566"/>
      <c r="Q457" s="566"/>
      <c r="R457" s="566"/>
      <c r="S457" s="566"/>
      <c r="T457" s="566"/>
      <c r="U457" s="566"/>
    </row>
    <row r="458" spans="1:21" ht="19.5" x14ac:dyDescent="0.3">
      <c r="A458" s="764"/>
      <c r="B458" s="718"/>
      <c r="C458" s="718"/>
      <c r="D458" s="718"/>
      <c r="E458" s="718"/>
      <c r="F458" s="718"/>
      <c r="G458" s="727"/>
      <c r="H458" s="677" t="s">
        <v>34</v>
      </c>
      <c r="I458" s="697">
        <f ca="1">IFERROR(__xludf.DUMMYFUNCTION("IMPORTRANGE(""https://docs.google.com/spreadsheets/d/1eHaY18a8A9IcSdp1K8H6x8fbOy06t2VsZHhMHf-1x7Y/edit?usp=sharing"",""แผน!HM22"")"),0)</f>
        <v>0</v>
      </c>
      <c r="J458" s="697">
        <f t="shared" si="293"/>
        <v>0</v>
      </c>
      <c r="K458" s="679">
        <f t="shared" ca="1" si="292"/>
        <v>0</v>
      </c>
      <c r="L458" s="574"/>
      <c r="M458" s="566"/>
      <c r="N458" s="566"/>
      <c r="O458" s="566"/>
      <c r="P458" s="566"/>
      <c r="Q458" s="566"/>
      <c r="R458" s="566"/>
      <c r="S458" s="566"/>
      <c r="T458" s="566"/>
      <c r="U458" s="566"/>
    </row>
    <row r="459" spans="1:21" ht="18.75" x14ac:dyDescent="0.25">
      <c r="A459" s="764"/>
      <c r="B459" s="718"/>
      <c r="C459" s="765" t="s">
        <v>179</v>
      </c>
      <c r="D459" s="718"/>
      <c r="E459" s="718"/>
      <c r="F459" s="718"/>
      <c r="G459" s="727"/>
      <c r="H459" s="681" t="s">
        <v>46</v>
      </c>
      <c r="I459" s="565"/>
      <c r="J459" s="708">
        <f t="shared" ref="J459:J460" si="294">J461+J463</f>
        <v>0</v>
      </c>
      <c r="K459" s="566"/>
      <c r="L459" s="574"/>
      <c r="M459" s="566"/>
      <c r="N459" s="566"/>
      <c r="O459" s="566"/>
      <c r="P459" s="566"/>
      <c r="Q459" s="566"/>
      <c r="R459" s="566"/>
      <c r="S459" s="566"/>
      <c r="T459" s="566"/>
      <c r="U459" s="566"/>
    </row>
    <row r="460" spans="1:21" ht="18.75" x14ac:dyDescent="0.25">
      <c r="A460" s="764"/>
      <c r="B460" s="718"/>
      <c r="C460" s="718"/>
      <c r="D460" s="718"/>
      <c r="E460" s="718"/>
      <c r="F460" s="718"/>
      <c r="G460" s="727"/>
      <c r="H460" s="681" t="s">
        <v>34</v>
      </c>
      <c r="I460" s="565"/>
      <c r="J460" s="708">
        <f t="shared" si="294"/>
        <v>0</v>
      </c>
      <c r="K460" s="566"/>
      <c r="L460" s="574"/>
      <c r="M460" s="566"/>
      <c r="N460" s="566"/>
      <c r="O460" s="566"/>
      <c r="P460" s="566"/>
      <c r="Q460" s="566"/>
      <c r="R460" s="566"/>
      <c r="S460" s="566"/>
      <c r="T460" s="566"/>
      <c r="U460" s="566"/>
    </row>
    <row r="461" spans="1:21" ht="18.75" x14ac:dyDescent="0.25">
      <c r="A461" s="764"/>
      <c r="B461" s="718"/>
      <c r="C461" s="718"/>
      <c r="D461" s="982" t="s">
        <v>180</v>
      </c>
      <c r="E461" s="718"/>
      <c r="F461" s="718"/>
      <c r="G461" s="727"/>
      <c r="H461" s="681" t="s">
        <v>46</v>
      </c>
      <c r="I461" s="565"/>
      <c r="J461" s="565"/>
      <c r="K461" s="566"/>
      <c r="L461" s="574"/>
      <c r="M461" s="566"/>
      <c r="N461" s="566"/>
      <c r="O461" s="566"/>
      <c r="P461" s="566"/>
      <c r="Q461" s="566"/>
      <c r="R461" s="566"/>
      <c r="S461" s="566"/>
      <c r="T461" s="566"/>
      <c r="U461" s="566"/>
    </row>
    <row r="462" spans="1:21" ht="18.75" x14ac:dyDescent="0.25">
      <c r="A462" s="764"/>
      <c r="B462" s="718"/>
      <c r="C462" s="718"/>
      <c r="D462" s="718"/>
      <c r="E462" s="718"/>
      <c r="F462" s="718"/>
      <c r="G462" s="727"/>
      <c r="H462" s="681" t="s">
        <v>34</v>
      </c>
      <c r="I462" s="565"/>
      <c r="J462" s="565"/>
      <c r="K462" s="566"/>
      <c r="L462" s="574"/>
      <c r="M462" s="566"/>
      <c r="N462" s="566"/>
      <c r="O462" s="566"/>
      <c r="P462" s="566"/>
      <c r="Q462" s="566"/>
      <c r="R462" s="566"/>
      <c r="S462" s="566"/>
      <c r="T462" s="566"/>
      <c r="U462" s="566"/>
    </row>
    <row r="463" spans="1:21" ht="18.75" x14ac:dyDescent="0.25">
      <c r="A463" s="764"/>
      <c r="B463" s="718"/>
      <c r="C463" s="718"/>
      <c r="D463" s="982" t="s">
        <v>181</v>
      </c>
      <c r="E463" s="718"/>
      <c r="F463" s="718"/>
      <c r="G463" s="727"/>
      <c r="H463" s="681" t="s">
        <v>46</v>
      </c>
      <c r="I463" s="565"/>
      <c r="J463" s="565"/>
      <c r="K463" s="566"/>
      <c r="L463" s="574"/>
      <c r="M463" s="566"/>
      <c r="N463" s="566"/>
      <c r="O463" s="566"/>
      <c r="P463" s="566"/>
      <c r="Q463" s="566"/>
      <c r="R463" s="566"/>
      <c r="S463" s="566"/>
      <c r="T463" s="566"/>
      <c r="U463" s="566"/>
    </row>
    <row r="464" spans="1:21" ht="18.75" x14ac:dyDescent="0.25">
      <c r="A464" s="764"/>
      <c r="B464" s="718"/>
      <c r="C464" s="718"/>
      <c r="D464" s="718"/>
      <c r="E464" s="718"/>
      <c r="F464" s="718"/>
      <c r="G464" s="727"/>
      <c r="H464" s="681" t="s">
        <v>34</v>
      </c>
      <c r="I464" s="565"/>
      <c r="J464" s="565"/>
      <c r="K464" s="566"/>
      <c r="L464" s="574"/>
      <c r="M464" s="566"/>
      <c r="N464" s="566"/>
      <c r="O464" s="566"/>
      <c r="P464" s="566"/>
      <c r="Q464" s="566"/>
      <c r="R464" s="566"/>
      <c r="S464" s="566"/>
      <c r="T464" s="566"/>
      <c r="U464" s="566"/>
    </row>
    <row r="465" spans="1:21" ht="18.75" x14ac:dyDescent="0.25">
      <c r="A465" s="764"/>
      <c r="B465" s="718"/>
      <c r="C465" s="718"/>
      <c r="D465" s="982" t="s">
        <v>182</v>
      </c>
      <c r="E465" s="718"/>
      <c r="F465" s="718"/>
      <c r="G465" s="727"/>
      <c r="H465" s="681" t="s">
        <v>46</v>
      </c>
      <c r="I465" s="565"/>
      <c r="J465" s="565"/>
      <c r="K465" s="566"/>
      <c r="L465" s="574"/>
      <c r="M465" s="566"/>
      <c r="N465" s="566"/>
      <c r="O465" s="566"/>
      <c r="P465" s="566"/>
      <c r="Q465" s="566"/>
      <c r="R465" s="566"/>
      <c r="S465" s="566"/>
      <c r="T465" s="566"/>
      <c r="U465" s="566"/>
    </row>
    <row r="466" spans="1:21" ht="18.75" x14ac:dyDescent="0.25">
      <c r="A466" s="764"/>
      <c r="B466" s="718"/>
      <c r="C466" s="718"/>
      <c r="D466" s="718"/>
      <c r="E466" s="718"/>
      <c r="F466" s="718"/>
      <c r="G466" s="727"/>
      <c r="H466" s="681" t="s">
        <v>34</v>
      </c>
      <c r="I466" s="565"/>
      <c r="J466" s="565"/>
      <c r="K466" s="566"/>
      <c r="L466" s="574"/>
      <c r="M466" s="566"/>
      <c r="N466" s="566"/>
      <c r="O466" s="566"/>
      <c r="P466" s="566"/>
      <c r="Q466" s="566"/>
      <c r="R466" s="566"/>
      <c r="S466" s="566"/>
      <c r="T466" s="566"/>
      <c r="U466" s="566"/>
    </row>
    <row r="467" spans="1:21" ht="18.75" x14ac:dyDescent="0.25">
      <c r="A467" s="764"/>
      <c r="B467" s="718"/>
      <c r="C467" s="982" t="s">
        <v>183</v>
      </c>
      <c r="D467" s="718"/>
      <c r="E467" s="718"/>
      <c r="F467" s="718"/>
      <c r="G467" s="727"/>
      <c r="H467" s="681" t="s">
        <v>46</v>
      </c>
      <c r="I467" s="565"/>
      <c r="J467" s="708">
        <f t="shared" ref="J467:J468" si="295">J469+J471</f>
        <v>0</v>
      </c>
      <c r="K467" s="566"/>
      <c r="L467" s="574"/>
      <c r="M467" s="566"/>
      <c r="N467" s="566"/>
      <c r="O467" s="566"/>
      <c r="P467" s="566"/>
      <c r="Q467" s="566"/>
      <c r="R467" s="566"/>
      <c r="S467" s="566"/>
      <c r="T467" s="566"/>
      <c r="U467" s="566"/>
    </row>
    <row r="468" spans="1:21" ht="18.75" x14ac:dyDescent="0.25">
      <c r="A468" s="764"/>
      <c r="B468" s="718"/>
      <c r="C468" s="718"/>
      <c r="D468" s="718"/>
      <c r="E468" s="718"/>
      <c r="F468" s="718"/>
      <c r="G468" s="727"/>
      <c r="H468" s="681" t="s">
        <v>34</v>
      </c>
      <c r="I468" s="565"/>
      <c r="J468" s="708">
        <f t="shared" si="295"/>
        <v>0</v>
      </c>
      <c r="K468" s="566"/>
      <c r="L468" s="574"/>
      <c r="M468" s="566"/>
      <c r="N468" s="566"/>
      <c r="O468" s="566"/>
      <c r="P468" s="566"/>
      <c r="Q468" s="566"/>
      <c r="R468" s="566"/>
      <c r="S468" s="566"/>
      <c r="T468" s="566"/>
      <c r="U468" s="566"/>
    </row>
    <row r="469" spans="1:21" ht="18.75" x14ac:dyDescent="0.25">
      <c r="A469" s="764"/>
      <c r="B469" s="718"/>
      <c r="C469" s="718"/>
      <c r="D469" s="982" t="s">
        <v>184</v>
      </c>
      <c r="E469" s="718"/>
      <c r="F469" s="718"/>
      <c r="G469" s="727"/>
      <c r="H469" s="681" t="s">
        <v>46</v>
      </c>
      <c r="I469" s="565"/>
      <c r="J469" s="565"/>
      <c r="K469" s="566"/>
      <c r="L469" s="574"/>
      <c r="M469" s="566"/>
      <c r="N469" s="566"/>
      <c r="O469" s="566"/>
      <c r="P469" s="566"/>
      <c r="Q469" s="566"/>
      <c r="R469" s="566"/>
      <c r="S469" s="566"/>
      <c r="T469" s="566"/>
      <c r="U469" s="566"/>
    </row>
    <row r="470" spans="1:21" ht="18.75" x14ac:dyDescent="0.25">
      <c r="A470" s="764"/>
      <c r="B470" s="718"/>
      <c r="C470" s="718"/>
      <c r="D470" s="718"/>
      <c r="E470" s="718"/>
      <c r="F470" s="718"/>
      <c r="G470" s="727"/>
      <c r="H470" s="681" t="s">
        <v>34</v>
      </c>
      <c r="I470" s="565"/>
      <c r="J470" s="565"/>
      <c r="K470" s="566"/>
      <c r="L470" s="574"/>
      <c r="M470" s="566"/>
      <c r="N470" s="566"/>
      <c r="O470" s="566"/>
      <c r="P470" s="566"/>
      <c r="Q470" s="566"/>
      <c r="R470" s="566"/>
      <c r="S470" s="566"/>
      <c r="T470" s="566"/>
      <c r="U470" s="566"/>
    </row>
    <row r="471" spans="1:21" ht="18.75" x14ac:dyDescent="0.25">
      <c r="A471" s="764"/>
      <c r="B471" s="718"/>
      <c r="C471" s="718"/>
      <c r="D471" s="982" t="s">
        <v>185</v>
      </c>
      <c r="E471" s="718"/>
      <c r="F471" s="718"/>
      <c r="G471" s="727"/>
      <c r="H471" s="681" t="s">
        <v>46</v>
      </c>
      <c r="I471" s="565"/>
      <c r="J471" s="565"/>
      <c r="K471" s="566"/>
      <c r="L471" s="574"/>
      <c r="M471" s="566"/>
      <c r="N471" s="566"/>
      <c r="O471" s="566"/>
      <c r="P471" s="566"/>
      <c r="Q471" s="566"/>
      <c r="R471" s="566"/>
      <c r="S471" s="566"/>
      <c r="T471" s="566"/>
      <c r="U471" s="566"/>
    </row>
    <row r="472" spans="1:21" ht="18.75" x14ac:dyDescent="0.25">
      <c r="A472" s="764"/>
      <c r="B472" s="718"/>
      <c r="C472" s="718"/>
      <c r="D472" s="718"/>
      <c r="E472" s="718"/>
      <c r="F472" s="718"/>
      <c r="G472" s="727"/>
      <c r="H472" s="681" t="s">
        <v>34</v>
      </c>
      <c r="I472" s="565"/>
      <c r="J472" s="565"/>
      <c r="K472" s="566"/>
      <c r="L472" s="574"/>
      <c r="M472" s="566"/>
      <c r="N472" s="566"/>
      <c r="O472" s="566"/>
      <c r="P472" s="566"/>
      <c r="Q472" s="566"/>
      <c r="R472" s="566"/>
      <c r="S472" s="566"/>
      <c r="T472" s="566"/>
      <c r="U472" s="566"/>
    </row>
    <row r="473" spans="1:21" ht="18.75" x14ac:dyDescent="0.25">
      <c r="A473" s="764"/>
      <c r="B473" s="718"/>
      <c r="C473" s="765" t="s">
        <v>186</v>
      </c>
      <c r="D473" s="718"/>
      <c r="E473" s="718"/>
      <c r="F473" s="718"/>
      <c r="G473" s="727"/>
      <c r="H473" s="681" t="s">
        <v>46</v>
      </c>
      <c r="I473" s="565"/>
      <c r="J473" s="565"/>
      <c r="K473" s="566"/>
      <c r="L473" s="574"/>
      <c r="M473" s="566"/>
      <c r="N473" s="566"/>
      <c r="O473" s="566"/>
      <c r="P473" s="566"/>
      <c r="Q473" s="566"/>
      <c r="R473" s="566"/>
      <c r="S473" s="566"/>
      <c r="T473" s="566"/>
      <c r="U473" s="566"/>
    </row>
    <row r="474" spans="1:21" ht="18.75" x14ac:dyDescent="0.25">
      <c r="A474" s="764"/>
      <c r="B474" s="718"/>
      <c r="C474" s="718"/>
      <c r="D474" s="718"/>
      <c r="E474" s="718"/>
      <c r="F474" s="718"/>
      <c r="G474" s="727"/>
      <c r="H474" s="681" t="s">
        <v>34</v>
      </c>
      <c r="I474" s="565"/>
      <c r="J474" s="565"/>
      <c r="K474" s="566"/>
      <c r="L474" s="574"/>
      <c r="M474" s="566"/>
      <c r="N474" s="566"/>
      <c r="O474" s="566"/>
      <c r="P474" s="566"/>
      <c r="Q474" s="566"/>
      <c r="R474" s="566"/>
      <c r="S474" s="566"/>
      <c r="T474" s="566"/>
      <c r="U474" s="566"/>
    </row>
    <row r="475" spans="1:21" ht="19.5" x14ac:dyDescent="0.3">
      <c r="A475" s="764"/>
      <c r="B475" s="983" t="s">
        <v>187</v>
      </c>
      <c r="C475" s="718"/>
      <c r="D475" s="718"/>
      <c r="E475" s="718"/>
      <c r="F475" s="718"/>
      <c r="G475" s="727"/>
      <c r="H475" s="677" t="s">
        <v>46</v>
      </c>
      <c r="I475" s="697">
        <v>0</v>
      </c>
      <c r="J475" s="697">
        <f>J478+J480</f>
        <v>0</v>
      </c>
      <c r="K475" s="679">
        <f t="shared" ref="K475:K477" si="296">IF(I475&gt;0,J475*100/I475,0)</f>
        <v>0</v>
      </c>
      <c r="L475" s="574"/>
      <c r="M475" s="566"/>
      <c r="N475" s="566"/>
      <c r="O475" s="566"/>
      <c r="P475" s="566"/>
      <c r="Q475" s="566"/>
      <c r="R475" s="566"/>
      <c r="S475" s="566"/>
      <c r="T475" s="566"/>
      <c r="U475" s="566"/>
    </row>
    <row r="476" spans="1:21" ht="19.5" x14ac:dyDescent="0.3">
      <c r="A476" s="764"/>
      <c r="B476" s="718"/>
      <c r="C476" s="719" t="s">
        <v>188</v>
      </c>
      <c r="D476" s="718"/>
      <c r="E476" s="718"/>
      <c r="F476" s="718"/>
      <c r="G476" s="727"/>
      <c r="H476" s="677" t="s">
        <v>46</v>
      </c>
      <c r="I476" s="697">
        <v>0</v>
      </c>
      <c r="J476" s="697">
        <f t="shared" ref="J476:J477" si="297">J478+J480</f>
        <v>0</v>
      </c>
      <c r="K476" s="679">
        <f t="shared" si="296"/>
        <v>0</v>
      </c>
      <c r="L476" s="574"/>
      <c r="M476" s="566"/>
      <c r="N476" s="566"/>
      <c r="O476" s="566"/>
      <c r="P476" s="566"/>
      <c r="Q476" s="566"/>
      <c r="R476" s="566"/>
      <c r="S476" s="566"/>
      <c r="T476" s="566"/>
      <c r="U476" s="566"/>
    </row>
    <row r="477" spans="1:21" ht="19.5" x14ac:dyDescent="0.3">
      <c r="A477" s="764"/>
      <c r="B477" s="718"/>
      <c r="C477" s="765" t="s">
        <v>189</v>
      </c>
      <c r="D477" s="718"/>
      <c r="E477" s="718"/>
      <c r="F477" s="718"/>
      <c r="G477" s="727"/>
      <c r="H477" s="677" t="s">
        <v>34</v>
      </c>
      <c r="I477" s="697">
        <v>0</v>
      </c>
      <c r="J477" s="697">
        <f t="shared" si="297"/>
        <v>0</v>
      </c>
      <c r="K477" s="679">
        <f t="shared" si="296"/>
        <v>0</v>
      </c>
      <c r="L477" s="574"/>
      <c r="M477" s="566"/>
      <c r="N477" s="566"/>
      <c r="O477" s="566"/>
      <c r="P477" s="566"/>
      <c r="Q477" s="566"/>
      <c r="R477" s="566"/>
      <c r="S477" s="566"/>
      <c r="T477" s="566"/>
      <c r="U477" s="566"/>
    </row>
    <row r="478" spans="1:21" ht="18.75" x14ac:dyDescent="0.25">
      <c r="A478" s="764"/>
      <c r="B478" s="718"/>
      <c r="C478" s="718"/>
      <c r="D478" s="765" t="s">
        <v>190</v>
      </c>
      <c r="E478" s="718"/>
      <c r="F478" s="718"/>
      <c r="G478" s="727"/>
      <c r="H478" s="681" t="s">
        <v>46</v>
      </c>
      <c r="I478" s="565"/>
      <c r="J478" s="565"/>
      <c r="K478" s="566"/>
      <c r="L478" s="574"/>
      <c r="M478" s="566"/>
      <c r="N478" s="566"/>
      <c r="O478" s="566"/>
      <c r="P478" s="566"/>
      <c r="Q478" s="566"/>
      <c r="R478" s="566"/>
      <c r="S478" s="566"/>
      <c r="T478" s="566"/>
      <c r="U478" s="566"/>
    </row>
    <row r="479" spans="1:21" ht="18.75" x14ac:dyDescent="0.25">
      <c r="A479" s="764"/>
      <c r="B479" s="718"/>
      <c r="C479" s="718"/>
      <c r="D479" s="718"/>
      <c r="E479" s="718"/>
      <c r="F479" s="718"/>
      <c r="G479" s="727"/>
      <c r="H479" s="681" t="s">
        <v>34</v>
      </c>
      <c r="I479" s="565"/>
      <c r="J479" s="565"/>
      <c r="K479" s="566"/>
      <c r="L479" s="574"/>
      <c r="M479" s="566"/>
      <c r="N479" s="566"/>
      <c r="O479" s="566"/>
      <c r="P479" s="566"/>
      <c r="Q479" s="566"/>
      <c r="R479" s="566"/>
      <c r="S479" s="566"/>
      <c r="T479" s="566"/>
      <c r="U479" s="566"/>
    </row>
    <row r="480" spans="1:21" ht="18.75" x14ac:dyDescent="0.25">
      <c r="A480" s="764"/>
      <c r="B480" s="718"/>
      <c r="C480" s="718"/>
      <c r="D480" s="982" t="s">
        <v>191</v>
      </c>
      <c r="E480" s="718"/>
      <c r="F480" s="718"/>
      <c r="G480" s="727"/>
      <c r="H480" s="681" t="s">
        <v>46</v>
      </c>
      <c r="I480" s="565"/>
      <c r="J480" s="565"/>
      <c r="K480" s="566"/>
      <c r="L480" s="574"/>
      <c r="M480" s="566"/>
      <c r="N480" s="566"/>
      <c r="O480" s="566"/>
      <c r="P480" s="566"/>
      <c r="Q480" s="566"/>
      <c r="R480" s="566"/>
      <c r="S480" s="566"/>
      <c r="T480" s="566"/>
      <c r="U480" s="566"/>
    </row>
    <row r="481" spans="1:21" ht="18.75" x14ac:dyDescent="0.25">
      <c r="A481" s="764"/>
      <c r="B481" s="718"/>
      <c r="C481" s="718"/>
      <c r="D481" s="718"/>
      <c r="E481" s="718"/>
      <c r="F481" s="718"/>
      <c r="G481" s="727"/>
      <c r="H481" s="681" t="s">
        <v>34</v>
      </c>
      <c r="I481" s="565"/>
      <c r="J481" s="565"/>
      <c r="K481" s="566"/>
      <c r="L481" s="574"/>
      <c r="M481" s="566"/>
      <c r="N481" s="566"/>
      <c r="O481" s="566"/>
      <c r="P481" s="566"/>
      <c r="Q481" s="566"/>
      <c r="R481" s="566"/>
      <c r="S481" s="566"/>
      <c r="T481" s="566"/>
      <c r="U481" s="566"/>
    </row>
    <row r="482" spans="1:21" ht="18.75" x14ac:dyDescent="0.25">
      <c r="A482" s="764"/>
      <c r="B482" s="718"/>
      <c r="C482" s="718"/>
      <c r="D482" s="982" t="s">
        <v>192</v>
      </c>
      <c r="E482" s="718"/>
      <c r="F482" s="718"/>
      <c r="G482" s="727"/>
      <c r="H482" s="681" t="s">
        <v>46</v>
      </c>
      <c r="I482" s="565"/>
      <c r="J482" s="708">
        <f ca="1">IFERROR(__xludf.DUMMYFUNCTION("IMPORTRANGE(""https://docs.google.com/spreadsheets/d/1eHaY18a8A9IcSdp1K8H6x8fbOy06t2VsZHhMHf-1x7Y/edit?usp=sharing"",""แผน!HN22"")"),0)</f>
        <v>0</v>
      </c>
      <c r="K482" s="566"/>
      <c r="L482" s="574"/>
      <c r="M482" s="566"/>
      <c r="N482" s="566"/>
      <c r="O482" s="566"/>
      <c r="P482" s="566"/>
      <c r="Q482" s="566"/>
      <c r="R482" s="566"/>
      <c r="S482" s="566"/>
      <c r="T482" s="566"/>
      <c r="U482" s="566"/>
    </row>
    <row r="483" spans="1:21" ht="18.75" x14ac:dyDescent="0.25">
      <c r="A483" s="764"/>
      <c r="B483" s="718"/>
      <c r="C483" s="718"/>
      <c r="D483" s="718"/>
      <c r="E483" s="718"/>
      <c r="F483" s="718"/>
      <c r="G483" s="727"/>
      <c r="H483" s="681" t="s">
        <v>34</v>
      </c>
      <c r="I483" s="565"/>
      <c r="J483" s="708">
        <f ca="1">IFERROR(__xludf.DUMMYFUNCTION("IMPORTRANGE(""https://docs.google.com/spreadsheets/d/1eHaY18a8A9IcSdp1K8H6x8fbOy06t2VsZHhMHf-1x7Y/edit?usp=sharing"",""แผน!HO22"")"),0)</f>
        <v>0</v>
      </c>
      <c r="K483" s="566"/>
      <c r="L483" s="574"/>
      <c r="M483" s="566"/>
      <c r="N483" s="566"/>
      <c r="O483" s="566"/>
      <c r="P483" s="566"/>
      <c r="Q483" s="566"/>
      <c r="R483" s="566"/>
      <c r="S483" s="566"/>
      <c r="T483" s="566"/>
      <c r="U483" s="566"/>
    </row>
    <row r="484" spans="1:21" ht="19.5" x14ac:dyDescent="0.3">
      <c r="A484" s="764"/>
      <c r="B484" s="718"/>
      <c r="C484" s="719" t="s">
        <v>193</v>
      </c>
      <c r="D484" s="718"/>
      <c r="E484" s="718"/>
      <c r="F484" s="718"/>
      <c r="G484" s="727"/>
      <c r="H484" s="677" t="s">
        <v>46</v>
      </c>
      <c r="I484" s="565">
        <f t="shared" ref="I484:I485" si="298">J480</f>
        <v>0</v>
      </c>
      <c r="J484" s="697">
        <f t="shared" ref="J484:J485" si="299">J486+J488+J490</f>
        <v>0</v>
      </c>
      <c r="K484" s="679">
        <f t="shared" ref="K484:K485" si="300">IF(I484&gt;0,J484*100/I484,0)</f>
        <v>0</v>
      </c>
      <c r="L484" s="574"/>
      <c r="M484" s="566"/>
      <c r="N484" s="566"/>
      <c r="O484" s="566"/>
      <c r="P484" s="566"/>
      <c r="Q484" s="566"/>
      <c r="R484" s="566"/>
      <c r="S484" s="566"/>
      <c r="T484" s="566"/>
      <c r="U484" s="566"/>
    </row>
    <row r="485" spans="1:21" ht="19.5" x14ac:dyDescent="0.3">
      <c r="A485" s="764"/>
      <c r="B485" s="718"/>
      <c r="C485" s="765" t="s">
        <v>194</v>
      </c>
      <c r="D485" s="718"/>
      <c r="E485" s="718"/>
      <c r="F485" s="718"/>
      <c r="G485" s="727"/>
      <c r="H485" s="677" t="s">
        <v>34</v>
      </c>
      <c r="I485" s="565">
        <f t="shared" si="298"/>
        <v>0</v>
      </c>
      <c r="J485" s="697">
        <f t="shared" si="299"/>
        <v>0</v>
      </c>
      <c r="K485" s="679">
        <f t="shared" si="300"/>
        <v>0</v>
      </c>
      <c r="L485" s="574"/>
      <c r="M485" s="566"/>
      <c r="N485" s="566"/>
      <c r="O485" s="566"/>
      <c r="P485" s="566"/>
      <c r="Q485" s="566"/>
      <c r="R485" s="566"/>
      <c r="S485" s="566"/>
      <c r="T485" s="566"/>
      <c r="U485" s="566"/>
    </row>
    <row r="486" spans="1:21" ht="18.75" x14ac:dyDescent="0.25">
      <c r="A486" s="764"/>
      <c r="B486" s="718"/>
      <c r="C486" s="718"/>
      <c r="D486" s="982" t="s">
        <v>195</v>
      </c>
      <c r="E486" s="718"/>
      <c r="F486" s="718"/>
      <c r="G486" s="727"/>
      <c r="H486" s="681" t="s">
        <v>46</v>
      </c>
      <c r="I486" s="565"/>
      <c r="J486" s="565"/>
      <c r="K486" s="566"/>
      <c r="L486" s="574"/>
      <c r="M486" s="566"/>
      <c r="N486" s="566"/>
      <c r="O486" s="566"/>
      <c r="P486" s="566"/>
      <c r="Q486" s="566"/>
      <c r="R486" s="566"/>
      <c r="S486" s="566"/>
      <c r="T486" s="566"/>
      <c r="U486" s="566"/>
    </row>
    <row r="487" spans="1:21" ht="18.75" x14ac:dyDescent="0.25">
      <c r="A487" s="764"/>
      <c r="B487" s="718"/>
      <c r="C487" s="718"/>
      <c r="D487" s="718"/>
      <c r="E487" s="718"/>
      <c r="F487" s="718"/>
      <c r="G487" s="727"/>
      <c r="H487" s="681" t="s">
        <v>34</v>
      </c>
      <c r="I487" s="565"/>
      <c r="J487" s="565"/>
      <c r="K487" s="566"/>
      <c r="L487" s="574"/>
      <c r="M487" s="566"/>
      <c r="N487" s="566"/>
      <c r="O487" s="566"/>
      <c r="P487" s="566"/>
      <c r="Q487" s="566"/>
      <c r="R487" s="566"/>
      <c r="S487" s="566"/>
      <c r="T487" s="566"/>
      <c r="U487" s="566"/>
    </row>
    <row r="488" spans="1:21" ht="18.75" x14ac:dyDescent="0.25">
      <c r="A488" s="764"/>
      <c r="B488" s="718"/>
      <c r="C488" s="718"/>
      <c r="D488" s="982" t="s">
        <v>196</v>
      </c>
      <c r="E488" s="718"/>
      <c r="F488" s="718"/>
      <c r="G488" s="727"/>
      <c r="H488" s="681" t="s">
        <v>46</v>
      </c>
      <c r="I488" s="565"/>
      <c r="J488" s="565"/>
      <c r="K488" s="566"/>
      <c r="L488" s="574"/>
      <c r="M488" s="566"/>
      <c r="N488" s="566"/>
      <c r="O488" s="566"/>
      <c r="P488" s="566"/>
      <c r="Q488" s="566"/>
      <c r="R488" s="566"/>
      <c r="S488" s="566"/>
      <c r="T488" s="566"/>
      <c r="U488" s="566"/>
    </row>
    <row r="489" spans="1:21" ht="18.75" x14ac:dyDescent="0.25">
      <c r="A489" s="764"/>
      <c r="B489" s="718"/>
      <c r="C489" s="718"/>
      <c r="D489" s="718"/>
      <c r="E489" s="718"/>
      <c r="F489" s="718"/>
      <c r="G489" s="727"/>
      <c r="H489" s="681" t="s">
        <v>34</v>
      </c>
      <c r="I489" s="565"/>
      <c r="J489" s="565"/>
      <c r="K489" s="566"/>
      <c r="L489" s="574"/>
      <c r="M489" s="566"/>
      <c r="N489" s="566"/>
      <c r="O489" s="566"/>
      <c r="P489" s="566"/>
      <c r="Q489" s="566"/>
      <c r="R489" s="566"/>
      <c r="S489" s="566"/>
      <c r="T489" s="566"/>
      <c r="U489" s="566"/>
    </row>
    <row r="490" spans="1:21" ht="18.75" x14ac:dyDescent="0.25">
      <c r="A490" s="764"/>
      <c r="B490" s="718"/>
      <c r="C490" s="718"/>
      <c r="D490" s="982" t="s">
        <v>197</v>
      </c>
      <c r="E490" s="718"/>
      <c r="F490" s="718"/>
      <c r="G490" s="727"/>
      <c r="H490" s="681" t="s">
        <v>46</v>
      </c>
      <c r="I490" s="565"/>
      <c r="J490" s="565"/>
      <c r="K490" s="566"/>
      <c r="L490" s="574"/>
      <c r="M490" s="566"/>
      <c r="N490" s="566"/>
      <c r="O490" s="566"/>
      <c r="P490" s="566"/>
      <c r="Q490" s="566"/>
      <c r="R490" s="566"/>
      <c r="S490" s="566"/>
      <c r="T490" s="566"/>
      <c r="U490" s="566"/>
    </row>
    <row r="491" spans="1:21" ht="18.75" x14ac:dyDescent="0.25">
      <c r="A491" s="984"/>
      <c r="B491" s="514"/>
      <c r="C491" s="514"/>
      <c r="D491" s="514"/>
      <c r="E491" s="514"/>
      <c r="F491" s="514"/>
      <c r="G491" s="985"/>
      <c r="H491" s="986" t="s">
        <v>34</v>
      </c>
      <c r="I491" s="579"/>
      <c r="J491" s="579"/>
      <c r="K491" s="580"/>
      <c r="L491" s="581"/>
      <c r="M491" s="580"/>
      <c r="N491" s="580"/>
      <c r="O491" s="580"/>
      <c r="P491" s="580"/>
      <c r="Q491" s="580"/>
      <c r="R491" s="580"/>
      <c r="S491" s="580"/>
      <c r="T491" s="580"/>
      <c r="U491" s="580"/>
    </row>
    <row r="492" spans="1:21" ht="19.5" hidden="1" x14ac:dyDescent="0.3">
      <c r="A492" s="926"/>
      <c r="B492" s="971" t="s">
        <v>198</v>
      </c>
      <c r="C492" s="928"/>
      <c r="D492" s="928"/>
      <c r="E492" s="911"/>
      <c r="F492" s="911"/>
      <c r="G492" s="912"/>
      <c r="H492" s="977" t="s">
        <v>35</v>
      </c>
      <c r="I492" s="914">
        <f t="shared" ref="I492:J492" ca="1" si="301">I503</f>
        <v>0</v>
      </c>
      <c r="J492" s="914">
        <f t="shared" ca="1" si="301"/>
        <v>0</v>
      </c>
      <c r="K492" s="915">
        <f ca="1">IF(I492&gt;0,J492*100/I492,0)</f>
        <v>0</v>
      </c>
      <c r="L492" s="916"/>
      <c r="M492" s="917"/>
      <c r="N492" s="917"/>
      <c r="O492" s="917"/>
      <c r="P492" s="917"/>
      <c r="Q492" s="917"/>
      <c r="R492" s="917"/>
      <c r="S492" s="917"/>
      <c r="T492" s="917"/>
      <c r="U492" s="917"/>
    </row>
    <row r="493" spans="1:21" ht="19.5" hidden="1" x14ac:dyDescent="0.3">
      <c r="A493" s="674"/>
      <c r="B493" s="718"/>
      <c r="C493" s="724" t="s">
        <v>18</v>
      </c>
      <c r="D493" s="1313" t="s">
        <v>19</v>
      </c>
      <c r="E493" s="1314"/>
      <c r="F493" s="1314"/>
      <c r="G493" s="563"/>
      <c r="H493" s="780" t="s">
        <v>14</v>
      </c>
      <c r="I493" s="565"/>
      <c r="J493" s="565"/>
      <c r="K493" s="566"/>
      <c r="L493" s="678">
        <f t="shared" ref="L493:N493" ca="1" si="302">L494+L495</f>
        <v>0</v>
      </c>
      <c r="M493" s="679">
        <f t="shared" ca="1" si="302"/>
        <v>0</v>
      </c>
      <c r="N493" s="679">
        <f t="shared" ca="1" si="302"/>
        <v>0</v>
      </c>
      <c r="O493" s="679">
        <f t="shared" ref="O493:O501" ca="1" si="303">IF(L493&gt;0,N493*100/L493,0)</f>
        <v>0</v>
      </c>
      <c r="P493" s="679">
        <f t="shared" ref="P493:P501" ca="1" si="304">IF(M493&gt;0,N493*100/M493,0)</f>
        <v>0</v>
      </c>
      <c r="Q493" s="679">
        <f t="shared" ref="Q493:S493" ca="1" si="305">Q494+Q495</f>
        <v>0</v>
      </c>
      <c r="R493" s="679">
        <f t="shared" ca="1" si="305"/>
        <v>0</v>
      </c>
      <c r="S493" s="679">
        <f t="shared" ca="1" si="305"/>
        <v>0</v>
      </c>
      <c r="T493" s="679">
        <f t="shared" ref="T493:T501" ca="1" si="306">IF(Q493&gt;0,S493*100/Q493,0)</f>
        <v>0</v>
      </c>
      <c r="U493" s="679">
        <f t="shared" ref="U493:U501" ca="1" si="307">IF(R493&gt;0,S493*100/R493,0)</f>
        <v>0</v>
      </c>
    </row>
    <row r="494" spans="1:21" ht="18.75" hidden="1" x14ac:dyDescent="0.25">
      <c r="A494" s="674"/>
      <c r="B494" s="718"/>
      <c r="C494" s="718"/>
      <c r="D494" s="688"/>
      <c r="E494" s="569" t="s">
        <v>158</v>
      </c>
      <c r="F494" s="561"/>
      <c r="G494" s="563"/>
      <c r="H494" s="685" t="s">
        <v>14</v>
      </c>
      <c r="I494" s="565"/>
      <c r="J494" s="565"/>
      <c r="K494" s="566"/>
      <c r="L494" s="571">
        <f t="shared" ref="L494:N495" si="308">L497+L500</f>
        <v>0</v>
      </c>
      <c r="M494" s="572">
        <f t="shared" si="308"/>
        <v>0</v>
      </c>
      <c r="N494" s="572">
        <f t="shared" si="308"/>
        <v>0</v>
      </c>
      <c r="O494" s="572">
        <f t="shared" si="303"/>
        <v>0</v>
      </c>
      <c r="P494" s="572">
        <f t="shared" si="304"/>
        <v>0</v>
      </c>
      <c r="Q494" s="572">
        <f t="shared" ref="Q494:S495" si="309">Q497+Q500</f>
        <v>0</v>
      </c>
      <c r="R494" s="572">
        <f t="shared" si="309"/>
        <v>0</v>
      </c>
      <c r="S494" s="572">
        <f t="shared" si="309"/>
        <v>0</v>
      </c>
      <c r="T494" s="572">
        <f t="shared" si="306"/>
        <v>0</v>
      </c>
      <c r="U494" s="572">
        <f t="shared" si="307"/>
        <v>0</v>
      </c>
    </row>
    <row r="495" spans="1:21" ht="18.75" hidden="1" x14ac:dyDescent="0.25">
      <c r="A495" s="674"/>
      <c r="B495" s="718"/>
      <c r="C495" s="718"/>
      <c r="D495" s="688"/>
      <c r="E495" s="573" t="s">
        <v>159</v>
      </c>
      <c r="F495" s="561"/>
      <c r="G495" s="563"/>
      <c r="H495" s="682" t="s">
        <v>14</v>
      </c>
      <c r="I495" s="565"/>
      <c r="J495" s="565"/>
      <c r="K495" s="566"/>
      <c r="L495" s="567">
        <f t="shared" ca="1" si="308"/>
        <v>0</v>
      </c>
      <c r="M495" s="568">
        <f t="shared" ca="1" si="308"/>
        <v>0</v>
      </c>
      <c r="N495" s="568">
        <f t="shared" ca="1" si="308"/>
        <v>0</v>
      </c>
      <c r="O495" s="568">
        <f t="shared" ca="1" si="303"/>
        <v>0</v>
      </c>
      <c r="P495" s="568">
        <f t="shared" ca="1" si="304"/>
        <v>0</v>
      </c>
      <c r="Q495" s="568">
        <f t="shared" ca="1" si="309"/>
        <v>0</v>
      </c>
      <c r="R495" s="568">
        <f t="shared" ca="1" si="309"/>
        <v>0</v>
      </c>
      <c r="S495" s="568">
        <f t="shared" ca="1" si="309"/>
        <v>0</v>
      </c>
      <c r="T495" s="568">
        <f t="shared" ca="1" si="306"/>
        <v>0</v>
      </c>
      <c r="U495" s="568">
        <f t="shared" ca="1" si="307"/>
        <v>0</v>
      </c>
    </row>
    <row r="496" spans="1:21" ht="18.75" hidden="1" x14ac:dyDescent="0.25">
      <c r="A496" s="674"/>
      <c r="B496" s="718"/>
      <c r="C496" s="718"/>
      <c r="D496" s="721" t="s">
        <v>22</v>
      </c>
      <c r="E496" s="561"/>
      <c r="F496" s="561"/>
      <c r="G496" s="563"/>
      <c r="H496" s="682" t="s">
        <v>14</v>
      </c>
      <c r="I496" s="683"/>
      <c r="J496" s="683"/>
      <c r="K496" s="684"/>
      <c r="L496" s="567">
        <f t="shared" ref="L496:N496" ca="1" si="310">L497+L498</f>
        <v>0</v>
      </c>
      <c r="M496" s="568">
        <f t="shared" ca="1" si="310"/>
        <v>0</v>
      </c>
      <c r="N496" s="568">
        <f t="shared" ca="1" si="310"/>
        <v>0</v>
      </c>
      <c r="O496" s="568">
        <f t="shared" ca="1" si="303"/>
        <v>0</v>
      </c>
      <c r="P496" s="568">
        <f t="shared" ca="1" si="304"/>
        <v>0</v>
      </c>
      <c r="Q496" s="568">
        <f t="shared" ref="Q496:S496" ca="1" si="311">Q497+Q498</f>
        <v>0</v>
      </c>
      <c r="R496" s="568">
        <f t="shared" ca="1" si="311"/>
        <v>0</v>
      </c>
      <c r="S496" s="568">
        <f t="shared" ca="1" si="311"/>
        <v>0</v>
      </c>
      <c r="T496" s="568">
        <f t="shared" ca="1" si="306"/>
        <v>0</v>
      </c>
      <c r="U496" s="568">
        <f t="shared" ca="1" si="307"/>
        <v>0</v>
      </c>
    </row>
    <row r="497" spans="1:21" ht="18.75" hidden="1" x14ac:dyDescent="0.25">
      <c r="A497" s="674"/>
      <c r="B497" s="718"/>
      <c r="C497" s="718"/>
      <c r="D497" s="688"/>
      <c r="E497" s="569" t="s">
        <v>158</v>
      </c>
      <c r="F497" s="561"/>
      <c r="G497" s="563"/>
      <c r="H497" s="685" t="s">
        <v>14</v>
      </c>
      <c r="I497" s="565"/>
      <c r="J497" s="565"/>
      <c r="K497" s="566"/>
      <c r="L497" s="571">
        <v>0</v>
      </c>
      <c r="M497" s="572">
        <v>0</v>
      </c>
      <c r="N497" s="572">
        <v>0</v>
      </c>
      <c r="O497" s="572">
        <f t="shared" si="303"/>
        <v>0</v>
      </c>
      <c r="P497" s="572">
        <f t="shared" si="304"/>
        <v>0</v>
      </c>
      <c r="Q497" s="572">
        <v>0</v>
      </c>
      <c r="R497" s="572">
        <v>0</v>
      </c>
      <c r="S497" s="572">
        <v>0</v>
      </c>
      <c r="T497" s="572">
        <f t="shared" si="306"/>
        <v>0</v>
      </c>
      <c r="U497" s="572">
        <f t="shared" si="307"/>
        <v>0</v>
      </c>
    </row>
    <row r="498" spans="1:21" ht="18.75" hidden="1" x14ac:dyDescent="0.25">
      <c r="A498" s="674"/>
      <c r="B498" s="718"/>
      <c r="C498" s="718"/>
      <c r="D498" s="688"/>
      <c r="E498" s="573" t="s">
        <v>159</v>
      </c>
      <c r="F498" s="561"/>
      <c r="G498" s="563"/>
      <c r="H498" s="682" t="s">
        <v>14</v>
      </c>
      <c r="I498" s="565"/>
      <c r="J498" s="565"/>
      <c r="K498" s="566"/>
      <c r="L498" s="567">
        <f ca="1">IFERROR(__xludf.DUMMYFUNCTION("IMPORTRANGE(""https://docs.google.com/spreadsheets/d/1-uDff_7J0KD5mKrp0Vvzr7lt3OU09vwQwhkpOPPYv2Y/edit?usp=sharing"",""งบพรบ!HU22"")"),0)</f>
        <v>0</v>
      </c>
      <c r="M498" s="568">
        <f ca="1">IFERROR(__xludf.DUMMYFUNCTION("IMPORTRANGE(""https://docs.google.com/spreadsheets/d/1-uDff_7J0KD5mKrp0Vvzr7lt3OU09vwQwhkpOPPYv2Y/edit?usp=sharing"",""งบพรบ!HZ22"")"),0)</f>
        <v>0</v>
      </c>
      <c r="N498" s="568">
        <f ca="1">IFERROR(__xludf.DUMMYFUNCTION("IMPORTRANGE(""https://docs.google.com/spreadsheets/d/1-uDff_7J0KD5mKrp0Vvzr7lt3OU09vwQwhkpOPPYv2Y/edit?usp=sharing"",""งบพรบ!IB22"")"),0)</f>
        <v>0</v>
      </c>
      <c r="O498" s="568">
        <f t="shared" ca="1" si="303"/>
        <v>0</v>
      </c>
      <c r="P498" s="568">
        <f t="shared" ca="1" si="304"/>
        <v>0</v>
      </c>
      <c r="Q498" s="568">
        <f ca="1">IFERROR(__xludf.DUMMYFUNCTION("IMPORTRANGE(""https://docs.google.com/spreadsheets/d/1ItG2mGa2ceCfYo0BwxsXqNm01IGEUdYcSSLTEv9YCik/edit?usp=sharing"",""เบิกจ่ายกองทุน!AD22"")"),0)</f>
        <v>0</v>
      </c>
      <c r="R498" s="568">
        <f ca="1">IFERROR(__xludf.DUMMYFUNCTION("IMPORTRANGE(""https://docs.google.com/spreadsheets/d/1ItG2mGa2ceCfYo0BwxsXqNm01IGEUdYcSSLTEv9YCik/edit?usp=sharing"",""เบิกจ่ายกองทุน!AE22"")"),0)</f>
        <v>0</v>
      </c>
      <c r="S498" s="568">
        <f ca="1">IFERROR(__xludf.DUMMYFUNCTION("IMPORTRANGE(""https://docs.google.com/spreadsheets/d/1ItG2mGa2ceCfYo0BwxsXqNm01IGEUdYcSSLTEv9YCik/edit?usp=sharing"",""เบิกจ่ายกองทุน!AF22"")"),0)</f>
        <v>0</v>
      </c>
      <c r="T498" s="568">
        <f t="shared" ca="1" si="306"/>
        <v>0</v>
      </c>
      <c r="U498" s="568">
        <f t="shared" ca="1" si="307"/>
        <v>0</v>
      </c>
    </row>
    <row r="499" spans="1:21" ht="18.75" hidden="1" x14ac:dyDescent="0.25">
      <c r="A499" s="674"/>
      <c r="B499" s="718"/>
      <c r="C499" s="718"/>
      <c r="D499" s="721" t="s">
        <v>23</v>
      </c>
      <c r="E499" s="561"/>
      <c r="F499" s="561"/>
      <c r="G499" s="563"/>
      <c r="H499" s="686" t="s">
        <v>14</v>
      </c>
      <c r="I499" s="683"/>
      <c r="J499" s="683"/>
      <c r="K499" s="684"/>
      <c r="L499" s="567">
        <f t="shared" ref="L499:N499" ca="1" si="312">L500+L501</f>
        <v>0</v>
      </c>
      <c r="M499" s="568">
        <f t="shared" ca="1" si="312"/>
        <v>0</v>
      </c>
      <c r="N499" s="568">
        <f t="shared" ca="1" si="312"/>
        <v>0</v>
      </c>
      <c r="O499" s="568">
        <f t="shared" ca="1" si="303"/>
        <v>0</v>
      </c>
      <c r="P499" s="568">
        <f t="shared" ca="1" si="304"/>
        <v>0</v>
      </c>
      <c r="Q499" s="568">
        <f t="shared" ref="Q499:S499" si="313">Q500+Q501</f>
        <v>0</v>
      </c>
      <c r="R499" s="568">
        <f t="shared" si="313"/>
        <v>0</v>
      </c>
      <c r="S499" s="568">
        <f t="shared" si="313"/>
        <v>0</v>
      </c>
      <c r="T499" s="568">
        <f t="shared" si="306"/>
        <v>0</v>
      </c>
      <c r="U499" s="568">
        <f t="shared" si="307"/>
        <v>0</v>
      </c>
    </row>
    <row r="500" spans="1:21" ht="18.75" hidden="1" x14ac:dyDescent="0.25">
      <c r="A500" s="674"/>
      <c r="B500" s="718"/>
      <c r="C500" s="718"/>
      <c r="D500" s="718"/>
      <c r="E500" s="569" t="s">
        <v>20</v>
      </c>
      <c r="F500" s="561"/>
      <c r="G500" s="563"/>
      <c r="H500" s="685" t="s">
        <v>14</v>
      </c>
      <c r="I500" s="683"/>
      <c r="J500" s="683"/>
      <c r="K500" s="684"/>
      <c r="L500" s="571">
        <v>0</v>
      </c>
      <c r="M500" s="572">
        <v>0</v>
      </c>
      <c r="N500" s="572">
        <v>0</v>
      </c>
      <c r="O500" s="572">
        <f t="shared" si="303"/>
        <v>0</v>
      </c>
      <c r="P500" s="572">
        <f t="shared" si="304"/>
        <v>0</v>
      </c>
      <c r="Q500" s="572">
        <v>0</v>
      </c>
      <c r="R500" s="572">
        <v>0</v>
      </c>
      <c r="S500" s="572">
        <v>0</v>
      </c>
      <c r="T500" s="572">
        <f t="shared" si="306"/>
        <v>0</v>
      </c>
      <c r="U500" s="572">
        <f t="shared" si="307"/>
        <v>0</v>
      </c>
    </row>
    <row r="501" spans="1:21" ht="18.75" hidden="1" x14ac:dyDescent="0.25">
      <c r="A501" s="674"/>
      <c r="B501" s="718"/>
      <c r="C501" s="718"/>
      <c r="D501" s="718"/>
      <c r="E501" s="573" t="s">
        <v>21</v>
      </c>
      <c r="F501" s="561"/>
      <c r="G501" s="563"/>
      <c r="H501" s="686" t="s">
        <v>14</v>
      </c>
      <c r="I501" s="683"/>
      <c r="J501" s="683"/>
      <c r="K501" s="684"/>
      <c r="L501" s="567">
        <f ca="1">IFERROR(__xludf.DUMMYFUNCTION("IMPORTRANGE(""https://docs.google.com/spreadsheets/d/1-uDff_7J0KD5mKrp0Vvzr7lt3OU09vwQwhkpOPPYv2Y/edit?usp=sharing"",""งบพรบ!HX22"")"),0)</f>
        <v>0</v>
      </c>
      <c r="M501" s="568">
        <f ca="1">IFERROR(__xludf.DUMMYFUNCTION("IMPORTRANGE(""https://docs.google.com/spreadsheets/d/1-uDff_7J0KD5mKrp0Vvzr7lt3OU09vwQwhkpOPPYv2Y/edit?usp=sharing"",""งบพรบ!IA22"")"),0)</f>
        <v>0</v>
      </c>
      <c r="N501" s="568">
        <f ca="1">IFERROR(__xludf.DUMMYFUNCTION("IMPORTRANGE(""https://docs.google.com/spreadsheets/d/1-uDff_7J0KD5mKrp0Vvzr7lt3OU09vwQwhkpOPPYv2Y/edit?usp=sharing"",""งบพรบ!IC22"")"),0)</f>
        <v>0</v>
      </c>
      <c r="O501" s="568">
        <f t="shared" ca="1" si="303"/>
        <v>0</v>
      </c>
      <c r="P501" s="568">
        <f t="shared" ca="1" si="304"/>
        <v>0</v>
      </c>
      <c r="Q501" s="568">
        <v>0</v>
      </c>
      <c r="R501" s="568">
        <v>0</v>
      </c>
      <c r="S501" s="568">
        <v>0</v>
      </c>
      <c r="T501" s="568">
        <f t="shared" si="306"/>
        <v>0</v>
      </c>
      <c r="U501" s="568">
        <f t="shared" si="307"/>
        <v>0</v>
      </c>
    </row>
    <row r="502" spans="1:21" ht="19.5" hidden="1" x14ac:dyDescent="0.3">
      <c r="A502" s="687"/>
      <c r="B502" s="688"/>
      <c r="C502" s="724" t="s">
        <v>18</v>
      </c>
      <c r="D502" s="956" t="s">
        <v>38</v>
      </c>
      <c r="E502" s="690"/>
      <c r="F502" s="690"/>
      <c r="G502" s="691"/>
      <c r="H502" s="725"/>
      <c r="I502" s="683"/>
      <c r="J502" s="683"/>
      <c r="K502" s="684"/>
      <c r="L502" s="693"/>
      <c r="M502" s="684"/>
      <c r="N502" s="684"/>
      <c r="O502" s="684"/>
      <c r="P502" s="684"/>
      <c r="Q502" s="684"/>
      <c r="R502" s="684"/>
      <c r="S502" s="684"/>
      <c r="T502" s="684"/>
      <c r="U502" s="684"/>
    </row>
    <row r="503" spans="1:21" ht="19.5" hidden="1" x14ac:dyDescent="0.3">
      <c r="A503" s="764"/>
      <c r="B503" s="718"/>
      <c r="C503" s="718"/>
      <c r="D503" s="719" t="s">
        <v>199</v>
      </c>
      <c r="E503" s="561"/>
      <c r="F503" s="561"/>
      <c r="G503" s="563"/>
      <c r="H503" s="681" t="s">
        <v>35</v>
      </c>
      <c r="I503" s="697">
        <f ca="1">IFERROR(__xludf.DUMMYFUNCTION("IMPORTRANGE(""https://docs.google.com/spreadsheets/d/1eHaY18a8A9IcSdp1K8H6x8fbOy06t2VsZHhMHf-1x7Y/edit?usp=sharing"",""แผน!GX22"")"),0)</f>
        <v>0</v>
      </c>
      <c r="J503" s="697">
        <f ca="1">IF(AND(J504=I504,J505=I505,J506=I506,J507=I507),I503,0)</f>
        <v>0</v>
      </c>
      <c r="K503" s="679">
        <f t="shared" ref="K503:K509" ca="1" si="314">IF(I503&gt;0,J503*100/I503,0)</f>
        <v>0</v>
      </c>
      <c r="L503" s="574"/>
      <c r="M503" s="566"/>
      <c r="N503" s="566"/>
      <c r="O503" s="566"/>
      <c r="P503" s="566"/>
      <c r="Q503" s="566"/>
      <c r="R503" s="566"/>
      <c r="S503" s="566"/>
      <c r="T503" s="566"/>
      <c r="U503" s="566"/>
    </row>
    <row r="504" spans="1:21" ht="18.75" hidden="1" x14ac:dyDescent="0.25">
      <c r="A504" s="764"/>
      <c r="B504" s="718"/>
      <c r="C504" s="718"/>
      <c r="D504" s="718"/>
      <c r="E504" s="573" t="s">
        <v>200</v>
      </c>
      <c r="F504" s="561"/>
      <c r="G504" s="563"/>
      <c r="H504" s="681" t="s">
        <v>35</v>
      </c>
      <c r="I504" s="708">
        <f ca="1">IFERROR(__xludf.DUMMYFUNCTION("IMPORTRANGE(""https://docs.google.com/spreadsheets/d/1eHaY18a8A9IcSdp1K8H6x8fbOy06t2VsZHhMHf-1x7Y/edit?usp=sharing"",""แผน!GY22"")"),0)</f>
        <v>0</v>
      </c>
      <c r="J504" s="702">
        <v>0</v>
      </c>
      <c r="K504" s="568">
        <f t="shared" ca="1" si="314"/>
        <v>0</v>
      </c>
      <c r="L504" s="574"/>
      <c r="M504" s="566"/>
      <c r="N504" s="566"/>
      <c r="O504" s="566"/>
      <c r="P504" s="566"/>
      <c r="Q504" s="566"/>
      <c r="R504" s="566"/>
      <c r="S504" s="566"/>
      <c r="T504" s="566"/>
      <c r="U504" s="566"/>
    </row>
    <row r="505" spans="1:21" ht="18.75" hidden="1" x14ac:dyDescent="0.25">
      <c r="A505" s="764"/>
      <c r="B505" s="718"/>
      <c r="C505" s="718"/>
      <c r="D505" s="718"/>
      <c r="E505" s="573" t="s">
        <v>201</v>
      </c>
      <c r="F505" s="561"/>
      <c r="G505" s="563"/>
      <c r="H505" s="681" t="s">
        <v>35</v>
      </c>
      <c r="I505" s="708">
        <f ca="1">IFERROR(__xludf.DUMMYFUNCTION("IMPORTRANGE(""https://docs.google.com/spreadsheets/d/1eHaY18a8A9IcSdp1K8H6x8fbOy06t2VsZHhMHf-1x7Y/edit?usp=sharing"",""แผน!GZ22"")"),0)</f>
        <v>0</v>
      </c>
      <c r="J505" s="702">
        <v>0</v>
      </c>
      <c r="K505" s="568">
        <f t="shared" ca="1" si="314"/>
        <v>0</v>
      </c>
      <c r="L505" s="574"/>
      <c r="M505" s="566"/>
      <c r="N505" s="566"/>
      <c r="O505" s="566"/>
      <c r="P505" s="566"/>
      <c r="Q505" s="566"/>
      <c r="R505" s="566"/>
      <c r="S505" s="566"/>
      <c r="T505" s="566"/>
      <c r="U505" s="566"/>
    </row>
    <row r="506" spans="1:21" ht="18.75" hidden="1" x14ac:dyDescent="0.25">
      <c r="A506" s="764"/>
      <c r="B506" s="718"/>
      <c r="C506" s="718"/>
      <c r="D506" s="718"/>
      <c r="E506" s="573" t="s">
        <v>202</v>
      </c>
      <c r="F506" s="561"/>
      <c r="G506" s="563"/>
      <c r="H506" s="681" t="s">
        <v>35</v>
      </c>
      <c r="I506" s="708">
        <f ca="1">IFERROR(__xludf.DUMMYFUNCTION("IMPORTRANGE(""https://docs.google.com/spreadsheets/d/1eHaY18a8A9IcSdp1K8H6x8fbOy06t2VsZHhMHf-1x7Y/edit?usp=sharing"",""แผน!HA22"")"),0)</f>
        <v>0</v>
      </c>
      <c r="J506" s="702">
        <v>0</v>
      </c>
      <c r="K506" s="568">
        <f t="shared" ca="1" si="314"/>
        <v>0</v>
      </c>
      <c r="L506" s="574"/>
      <c r="M506" s="566"/>
      <c r="N506" s="566"/>
      <c r="O506" s="566"/>
      <c r="P506" s="566"/>
      <c r="Q506" s="566"/>
      <c r="R506" s="566"/>
      <c r="S506" s="566"/>
      <c r="T506" s="566"/>
      <c r="U506" s="566"/>
    </row>
    <row r="507" spans="1:21" ht="18.75" hidden="1" x14ac:dyDescent="0.25">
      <c r="A507" s="764"/>
      <c r="B507" s="718"/>
      <c r="C507" s="718"/>
      <c r="D507" s="718"/>
      <c r="E507" s="987" t="s">
        <v>203</v>
      </c>
      <c r="F507" s="561"/>
      <c r="G507" s="563"/>
      <c r="H507" s="681" t="s">
        <v>35</v>
      </c>
      <c r="I507" s="708">
        <f ca="1">IFERROR(__xludf.DUMMYFUNCTION("IMPORTRANGE(""https://docs.google.com/spreadsheets/d/1eHaY18a8A9IcSdp1K8H6x8fbOy06t2VsZHhMHf-1x7Y/edit?usp=sharing"",""แผน!HB22"")"),0)</f>
        <v>0</v>
      </c>
      <c r="J507" s="702">
        <v>0</v>
      </c>
      <c r="K507" s="568">
        <f t="shared" ca="1" si="314"/>
        <v>0</v>
      </c>
      <c r="L507" s="574"/>
      <c r="M507" s="566"/>
      <c r="N507" s="566"/>
      <c r="O507" s="566"/>
      <c r="P507" s="566"/>
      <c r="Q507" s="566"/>
      <c r="R507" s="566"/>
      <c r="S507" s="566"/>
      <c r="T507" s="566"/>
      <c r="U507" s="566"/>
    </row>
    <row r="508" spans="1:21" ht="18.75" hidden="1" x14ac:dyDescent="0.25">
      <c r="A508" s="764"/>
      <c r="B508" s="718"/>
      <c r="C508" s="718"/>
      <c r="D508" s="718"/>
      <c r="E508" s="573" t="s">
        <v>204</v>
      </c>
      <c r="F508" s="561"/>
      <c r="G508" s="563"/>
      <c r="H508" s="681" t="s">
        <v>35</v>
      </c>
      <c r="I508" s="708">
        <v>0</v>
      </c>
      <c r="J508" s="708">
        <v>0</v>
      </c>
      <c r="K508" s="568">
        <f t="shared" si="314"/>
        <v>0</v>
      </c>
      <c r="L508" s="574"/>
      <c r="M508" s="566"/>
      <c r="N508" s="566"/>
      <c r="O508" s="566"/>
      <c r="P508" s="566"/>
      <c r="Q508" s="566"/>
      <c r="R508" s="566"/>
      <c r="S508" s="566"/>
      <c r="T508" s="566"/>
      <c r="U508" s="566"/>
    </row>
    <row r="509" spans="1:21" ht="19.5" hidden="1" x14ac:dyDescent="0.3">
      <c r="A509" s="984"/>
      <c r="B509" s="514"/>
      <c r="C509" s="514"/>
      <c r="D509" s="988" t="s">
        <v>50</v>
      </c>
      <c r="E509" s="513"/>
      <c r="F509" s="513"/>
      <c r="G509" s="577"/>
      <c r="H509" s="986" t="s">
        <v>35</v>
      </c>
      <c r="I509" s="989">
        <f ca="1">IFERROR(__xludf.DUMMYFUNCTION("IMPORTRANGE(""https://docs.google.com/spreadsheets/d/1eHaY18a8A9IcSdp1K8H6x8fbOy06t2VsZHhMHf-1x7Y/edit?usp=sharing"",""แผน!HC22"")"),0)</f>
        <v>0</v>
      </c>
      <c r="J509" s="990">
        <v>0</v>
      </c>
      <c r="K509" s="655">
        <f t="shared" ca="1" si="314"/>
        <v>0</v>
      </c>
      <c r="L509" s="581"/>
      <c r="M509" s="580"/>
      <c r="N509" s="580"/>
      <c r="O509" s="580"/>
      <c r="P509" s="580"/>
      <c r="Q509" s="580"/>
      <c r="R509" s="580"/>
      <c r="S509" s="580"/>
      <c r="T509" s="580"/>
      <c r="U509" s="580"/>
    </row>
    <row r="510" spans="1:21" ht="19.5" hidden="1" x14ac:dyDescent="0.3">
      <c r="A510" s="991" t="s">
        <v>205</v>
      </c>
      <c r="B510" s="992"/>
      <c r="C510" s="992"/>
      <c r="D510" s="992"/>
      <c r="E510" s="993"/>
      <c r="F510" s="993"/>
      <c r="G510" s="993"/>
      <c r="H510" s="993"/>
      <c r="I510" s="994"/>
      <c r="J510" s="994"/>
      <c r="K510" s="995"/>
      <c r="L510" s="996"/>
      <c r="M510" s="997"/>
      <c r="N510" s="997"/>
      <c r="O510" s="997"/>
      <c r="P510" s="997"/>
      <c r="Q510" s="997"/>
      <c r="R510" s="997"/>
      <c r="S510" s="997"/>
      <c r="T510" s="997"/>
      <c r="U510" s="997"/>
    </row>
    <row r="511" spans="1:21" ht="19.5" hidden="1" x14ac:dyDescent="0.3">
      <c r="A511" s="998" t="s">
        <v>206</v>
      </c>
      <c r="B511" s="999"/>
      <c r="C511" s="999"/>
      <c r="D511" s="1000"/>
      <c r="E511" s="999"/>
      <c r="F511" s="999"/>
      <c r="G511" s="999"/>
      <c r="H511" s="1001"/>
      <c r="I511" s="1002"/>
      <c r="J511" s="1002"/>
      <c r="K511" s="1003"/>
      <c r="L511" s="1004"/>
      <c r="M511" s="1005"/>
      <c r="N511" s="1005"/>
      <c r="O511" s="1005"/>
      <c r="P511" s="1005"/>
      <c r="Q511" s="1005"/>
      <c r="R511" s="1005"/>
      <c r="S511" s="1005"/>
      <c r="T511" s="1005"/>
      <c r="U511" s="1005"/>
    </row>
    <row r="512" spans="1:21" ht="19.5" hidden="1" x14ac:dyDescent="0.3">
      <c r="A512" s="1006"/>
      <c r="B512" s="1007" t="s">
        <v>207</v>
      </c>
      <c r="C512" s="1008"/>
      <c r="D512" s="1009"/>
      <c r="E512" s="1009"/>
      <c r="F512" s="1009"/>
      <c r="G512" s="1010"/>
      <c r="H512" s="1011" t="s">
        <v>61</v>
      </c>
      <c r="I512" s="1012">
        <f t="shared" ref="I512:J512" si="315">I524</f>
        <v>0</v>
      </c>
      <c r="J512" s="1012">
        <f t="shared" si="315"/>
        <v>0</v>
      </c>
      <c r="K512" s="1013">
        <f>IF(I512&gt;0,J512*100/I512,0)</f>
        <v>0</v>
      </c>
      <c r="L512" s="1014"/>
      <c r="M512" s="1015"/>
      <c r="N512" s="1015"/>
      <c r="O512" s="1015"/>
      <c r="P512" s="1015"/>
      <c r="Q512" s="1015"/>
      <c r="R512" s="1015"/>
      <c r="S512" s="1015"/>
      <c r="T512" s="1015"/>
      <c r="U512" s="1015"/>
    </row>
    <row r="513" spans="1:21" ht="19.5" hidden="1" x14ac:dyDescent="0.3">
      <c r="A513" s="674"/>
      <c r="B513" s="561"/>
      <c r="C513" s="797" t="s">
        <v>18</v>
      </c>
      <c r="D513" s="798" t="s">
        <v>19</v>
      </c>
      <c r="E513" s="561"/>
      <c r="F513" s="561"/>
      <c r="G513" s="563"/>
      <c r="H513" s="1016" t="s">
        <v>14</v>
      </c>
      <c r="I513" s="565"/>
      <c r="J513" s="565"/>
      <c r="K513" s="566"/>
      <c r="L513" s="678">
        <f t="shared" ref="L513:N513" ca="1" si="316">L514+L515</f>
        <v>0</v>
      </c>
      <c r="M513" s="679">
        <f t="shared" ca="1" si="316"/>
        <v>0</v>
      </c>
      <c r="N513" s="679">
        <f t="shared" ca="1" si="316"/>
        <v>0</v>
      </c>
      <c r="O513" s="679">
        <f t="shared" ref="O513:O521" ca="1" si="317">IF(L513&gt;0,N513*100/L513,0)</f>
        <v>0</v>
      </c>
      <c r="P513" s="679">
        <f t="shared" ref="P513:P521" ca="1" si="318">IF(M513&gt;0,N513*100/M513,0)</f>
        <v>0</v>
      </c>
      <c r="Q513" s="679">
        <f t="shared" ref="Q513:S513" si="319">Q514+Q515</f>
        <v>0</v>
      </c>
      <c r="R513" s="679">
        <f t="shared" si="319"/>
        <v>0</v>
      </c>
      <c r="S513" s="679">
        <f t="shared" si="319"/>
        <v>0</v>
      </c>
      <c r="T513" s="679">
        <f t="shared" ref="T513:T521" si="320">IF(Q513&gt;0,S513*100/Q513,0)</f>
        <v>0</v>
      </c>
      <c r="U513" s="679">
        <f t="shared" ref="U513:U521" si="321">IF(R513&gt;0,S513*100/R513,0)</f>
        <v>0</v>
      </c>
    </row>
    <row r="514" spans="1:21" ht="18.75" hidden="1" x14ac:dyDescent="0.25">
      <c r="A514" s="674"/>
      <c r="B514" s="561"/>
      <c r="C514" s="561"/>
      <c r="D514" s="561"/>
      <c r="E514" s="569" t="s">
        <v>20</v>
      </c>
      <c r="F514" s="561"/>
      <c r="G514" s="563"/>
      <c r="H514" s="680" t="s">
        <v>14</v>
      </c>
      <c r="I514" s="565"/>
      <c r="J514" s="565"/>
      <c r="K514" s="566"/>
      <c r="L514" s="571">
        <f t="shared" ref="L514:N515" si="322">L517+L520</f>
        <v>0</v>
      </c>
      <c r="M514" s="572">
        <f t="shared" si="322"/>
        <v>0</v>
      </c>
      <c r="N514" s="572">
        <f t="shared" si="322"/>
        <v>0</v>
      </c>
      <c r="O514" s="572">
        <f t="shared" si="317"/>
        <v>0</v>
      </c>
      <c r="P514" s="572">
        <f t="shared" si="318"/>
        <v>0</v>
      </c>
      <c r="Q514" s="572">
        <f t="shared" ref="Q514:S515" si="323">Q517+Q520</f>
        <v>0</v>
      </c>
      <c r="R514" s="572">
        <f t="shared" si="323"/>
        <v>0</v>
      </c>
      <c r="S514" s="572">
        <f t="shared" si="323"/>
        <v>0</v>
      </c>
      <c r="T514" s="572">
        <f t="shared" si="320"/>
        <v>0</v>
      </c>
      <c r="U514" s="572">
        <f t="shared" si="321"/>
        <v>0</v>
      </c>
    </row>
    <row r="515" spans="1:21" ht="18.75" hidden="1" x14ac:dyDescent="0.25">
      <c r="A515" s="674"/>
      <c r="B515" s="561"/>
      <c r="C515" s="561"/>
      <c r="D515" s="561"/>
      <c r="E515" s="569" t="s">
        <v>21</v>
      </c>
      <c r="F515" s="561"/>
      <c r="G515" s="563"/>
      <c r="H515" s="680" t="s">
        <v>14</v>
      </c>
      <c r="I515" s="565"/>
      <c r="J515" s="565"/>
      <c r="K515" s="566"/>
      <c r="L515" s="567">
        <f t="shared" ca="1" si="322"/>
        <v>0</v>
      </c>
      <c r="M515" s="568">
        <f t="shared" ca="1" si="322"/>
        <v>0</v>
      </c>
      <c r="N515" s="568">
        <f t="shared" ca="1" si="322"/>
        <v>0</v>
      </c>
      <c r="O515" s="568">
        <f t="shared" ca="1" si="317"/>
        <v>0</v>
      </c>
      <c r="P515" s="568">
        <f t="shared" ca="1" si="318"/>
        <v>0</v>
      </c>
      <c r="Q515" s="568">
        <f t="shared" si="323"/>
        <v>0</v>
      </c>
      <c r="R515" s="568">
        <f t="shared" si="323"/>
        <v>0</v>
      </c>
      <c r="S515" s="568">
        <f t="shared" si="323"/>
        <v>0</v>
      </c>
      <c r="T515" s="568">
        <f t="shared" si="320"/>
        <v>0</v>
      </c>
      <c r="U515" s="568">
        <f t="shared" si="321"/>
        <v>0</v>
      </c>
    </row>
    <row r="516" spans="1:21" ht="18.75" hidden="1" x14ac:dyDescent="0.25">
      <c r="A516" s="674"/>
      <c r="B516" s="561"/>
      <c r="C516" s="561"/>
      <c r="D516" s="1017" t="s">
        <v>22</v>
      </c>
      <c r="E516" s="561"/>
      <c r="F516" s="561"/>
      <c r="G516" s="563"/>
      <c r="H516" s="685" t="s">
        <v>14</v>
      </c>
      <c r="I516" s="683"/>
      <c r="J516" s="683"/>
      <c r="K516" s="684"/>
      <c r="L516" s="567">
        <f t="shared" ref="L516:N516" ca="1" si="324">L517+L518</f>
        <v>0</v>
      </c>
      <c r="M516" s="568">
        <f t="shared" ca="1" si="324"/>
        <v>0</v>
      </c>
      <c r="N516" s="568">
        <f t="shared" ca="1" si="324"/>
        <v>0</v>
      </c>
      <c r="O516" s="568">
        <f t="shared" ca="1" si="317"/>
        <v>0</v>
      </c>
      <c r="P516" s="568">
        <f t="shared" ca="1" si="318"/>
        <v>0</v>
      </c>
      <c r="Q516" s="568">
        <f t="shared" ref="Q516:S516" si="325">Q517+Q518</f>
        <v>0</v>
      </c>
      <c r="R516" s="568">
        <f t="shared" si="325"/>
        <v>0</v>
      </c>
      <c r="S516" s="568">
        <f t="shared" si="325"/>
        <v>0</v>
      </c>
      <c r="T516" s="568">
        <f t="shared" si="320"/>
        <v>0</v>
      </c>
      <c r="U516" s="568">
        <f t="shared" si="321"/>
        <v>0</v>
      </c>
    </row>
    <row r="517" spans="1:21" ht="18.75" hidden="1" x14ac:dyDescent="0.25">
      <c r="A517" s="674"/>
      <c r="B517" s="561"/>
      <c r="C517" s="561"/>
      <c r="D517" s="561"/>
      <c r="E517" s="569" t="s">
        <v>36</v>
      </c>
      <c r="F517" s="561"/>
      <c r="G517" s="563"/>
      <c r="H517" s="685" t="s">
        <v>14</v>
      </c>
      <c r="I517" s="683"/>
      <c r="J517" s="683"/>
      <c r="K517" s="684"/>
      <c r="L517" s="571">
        <v>0</v>
      </c>
      <c r="M517" s="572">
        <v>0</v>
      </c>
      <c r="N517" s="572">
        <v>0</v>
      </c>
      <c r="O517" s="572">
        <f t="shared" si="317"/>
        <v>0</v>
      </c>
      <c r="P517" s="572">
        <f t="shared" si="318"/>
        <v>0</v>
      </c>
      <c r="Q517" s="572">
        <v>0</v>
      </c>
      <c r="R517" s="572">
        <v>0</v>
      </c>
      <c r="S517" s="572">
        <v>0</v>
      </c>
      <c r="T517" s="572">
        <f t="shared" si="320"/>
        <v>0</v>
      </c>
      <c r="U517" s="572">
        <f t="shared" si="321"/>
        <v>0</v>
      </c>
    </row>
    <row r="518" spans="1:21" ht="18.75" hidden="1" x14ac:dyDescent="0.25">
      <c r="A518" s="674"/>
      <c r="B518" s="561"/>
      <c r="C518" s="561"/>
      <c r="D518" s="561"/>
      <c r="E518" s="569" t="s">
        <v>37</v>
      </c>
      <c r="F518" s="561"/>
      <c r="G518" s="563"/>
      <c r="H518" s="685" t="s">
        <v>14</v>
      </c>
      <c r="I518" s="683"/>
      <c r="J518" s="683"/>
      <c r="K518" s="684"/>
      <c r="L518" s="567">
        <f ca="1">IFERROR(__xludf.DUMMYFUNCTION("IMPORTRANGE(""https://docs.google.com/spreadsheets/d/1-uDff_7J0KD5mKrp0Vvzr7lt3OU09vwQwhkpOPPYv2Y/edit?usp=sharing"",""งบพรบ!FM22"")"),0)</f>
        <v>0</v>
      </c>
      <c r="M518" s="568">
        <f ca="1">IFERROR(__xludf.DUMMYFUNCTION("IMPORTRANGE(""https://docs.google.com/spreadsheets/d/1-uDff_7J0KD5mKrp0Vvzr7lt3OU09vwQwhkpOPPYv2Y/edit?usp=sharing"",""งบพรบ!FR22"")"),0)</f>
        <v>0</v>
      </c>
      <c r="N518" s="568">
        <f ca="1">IFERROR(__xludf.DUMMYFUNCTION("IMPORTRANGE(""https://docs.google.com/spreadsheets/d/1-uDff_7J0KD5mKrp0Vvzr7lt3OU09vwQwhkpOPPYv2Y/edit?usp=sharing"",""งบพรบ!FT22"")"),0)</f>
        <v>0</v>
      </c>
      <c r="O518" s="568">
        <f t="shared" ca="1" si="317"/>
        <v>0</v>
      </c>
      <c r="P518" s="568">
        <f t="shared" ca="1" si="318"/>
        <v>0</v>
      </c>
      <c r="Q518" s="568">
        <v>0</v>
      </c>
      <c r="R518" s="568">
        <v>0</v>
      </c>
      <c r="S518" s="568">
        <v>0</v>
      </c>
      <c r="T518" s="568">
        <f t="shared" si="320"/>
        <v>0</v>
      </c>
      <c r="U518" s="568">
        <f t="shared" si="321"/>
        <v>0</v>
      </c>
    </row>
    <row r="519" spans="1:21" ht="18.75" hidden="1" x14ac:dyDescent="0.25">
      <c r="A519" s="674"/>
      <c r="B519" s="561"/>
      <c r="C519" s="561"/>
      <c r="D519" s="1017" t="s">
        <v>23</v>
      </c>
      <c r="E519" s="561"/>
      <c r="F519" s="561"/>
      <c r="G519" s="563"/>
      <c r="H519" s="734" t="s">
        <v>14</v>
      </c>
      <c r="I519" s="683"/>
      <c r="J519" s="683"/>
      <c r="K519" s="684"/>
      <c r="L519" s="567">
        <f t="shared" ref="L519:N519" ca="1" si="326">L520+L521</f>
        <v>0</v>
      </c>
      <c r="M519" s="568">
        <f t="shared" ca="1" si="326"/>
        <v>0</v>
      </c>
      <c r="N519" s="568">
        <f t="shared" ca="1" si="326"/>
        <v>0</v>
      </c>
      <c r="O519" s="568">
        <f t="shared" ca="1" si="317"/>
        <v>0</v>
      </c>
      <c r="P519" s="568">
        <f t="shared" ca="1" si="318"/>
        <v>0</v>
      </c>
      <c r="Q519" s="568">
        <f t="shared" ref="Q519:S519" si="327">Q520+Q521</f>
        <v>0</v>
      </c>
      <c r="R519" s="568">
        <f t="shared" si="327"/>
        <v>0</v>
      </c>
      <c r="S519" s="568">
        <f t="shared" si="327"/>
        <v>0</v>
      </c>
      <c r="T519" s="568">
        <f t="shared" si="320"/>
        <v>0</v>
      </c>
      <c r="U519" s="568">
        <f t="shared" si="321"/>
        <v>0</v>
      </c>
    </row>
    <row r="520" spans="1:21" ht="18.75" hidden="1" x14ac:dyDescent="0.25">
      <c r="A520" s="674"/>
      <c r="B520" s="561"/>
      <c r="C520" s="561"/>
      <c r="D520" s="561"/>
      <c r="E520" s="569" t="s">
        <v>20</v>
      </c>
      <c r="F520" s="561"/>
      <c r="G520" s="563"/>
      <c r="H520" s="685" t="s">
        <v>14</v>
      </c>
      <c r="I520" s="683"/>
      <c r="J520" s="683"/>
      <c r="K520" s="684"/>
      <c r="L520" s="571">
        <v>0</v>
      </c>
      <c r="M520" s="572">
        <v>0</v>
      </c>
      <c r="N520" s="572">
        <v>0</v>
      </c>
      <c r="O520" s="572">
        <f t="shared" si="317"/>
        <v>0</v>
      </c>
      <c r="P520" s="572">
        <f t="shared" si="318"/>
        <v>0</v>
      </c>
      <c r="Q520" s="572">
        <v>0</v>
      </c>
      <c r="R520" s="572">
        <v>0</v>
      </c>
      <c r="S520" s="572">
        <v>0</v>
      </c>
      <c r="T520" s="572">
        <f t="shared" si="320"/>
        <v>0</v>
      </c>
      <c r="U520" s="572">
        <f t="shared" si="321"/>
        <v>0</v>
      </c>
    </row>
    <row r="521" spans="1:21" ht="18.75" hidden="1" x14ac:dyDescent="0.25">
      <c r="A521" s="674"/>
      <c r="B521" s="561"/>
      <c r="C521" s="561"/>
      <c r="D521" s="561"/>
      <c r="E521" s="569" t="s">
        <v>21</v>
      </c>
      <c r="F521" s="561"/>
      <c r="G521" s="563"/>
      <c r="H521" s="734" t="s">
        <v>14</v>
      </c>
      <c r="I521" s="683"/>
      <c r="J521" s="683"/>
      <c r="K521" s="684"/>
      <c r="L521" s="567">
        <f ca="1">IFERROR(__xludf.DUMMYFUNCTION("IMPORTRANGE(""https://docs.google.com/spreadsheets/d/1-uDff_7J0KD5mKrp0Vvzr7lt3OU09vwQwhkpOPPYv2Y/edit?usp=sharing"",""งบพรบ!FP22"")"),0)</f>
        <v>0</v>
      </c>
      <c r="M521" s="568">
        <f ca="1">IFERROR(__xludf.DUMMYFUNCTION("IMPORTRANGE(""https://docs.google.com/spreadsheets/d/1-uDff_7J0KD5mKrp0Vvzr7lt3OU09vwQwhkpOPPYv2Y/edit?usp=sharing"",""งบพรบ!FS22"")"),0)</f>
        <v>0</v>
      </c>
      <c r="N521" s="568">
        <f ca="1">IFERROR(__xludf.DUMMYFUNCTION("IMPORTRANGE(""https://docs.google.com/spreadsheets/d/1-uDff_7J0KD5mKrp0Vvzr7lt3OU09vwQwhkpOPPYv2Y/edit?usp=sharing"",""งบพรบ!FU22"")"),0)</f>
        <v>0</v>
      </c>
      <c r="O521" s="568">
        <f t="shared" ca="1" si="317"/>
        <v>0</v>
      </c>
      <c r="P521" s="568">
        <f t="shared" ca="1" si="318"/>
        <v>0</v>
      </c>
      <c r="Q521" s="568">
        <v>0</v>
      </c>
      <c r="R521" s="568">
        <v>0</v>
      </c>
      <c r="S521" s="568">
        <v>0</v>
      </c>
      <c r="T521" s="568">
        <f t="shared" si="320"/>
        <v>0</v>
      </c>
      <c r="U521" s="568">
        <f t="shared" si="321"/>
        <v>0</v>
      </c>
    </row>
    <row r="522" spans="1:21" ht="19.5" hidden="1" x14ac:dyDescent="0.3">
      <c r="A522" s="687"/>
      <c r="B522" s="688"/>
      <c r="C522" s="797" t="s">
        <v>18</v>
      </c>
      <c r="D522" s="801" t="s">
        <v>38</v>
      </c>
      <c r="E522" s="690"/>
      <c r="F522" s="690"/>
      <c r="G522" s="691"/>
      <c r="H522" s="692"/>
      <c r="I522" s="683"/>
      <c r="J522" s="565"/>
      <c r="K522" s="566"/>
      <c r="L522" s="574"/>
      <c r="M522" s="566"/>
      <c r="N522" s="566"/>
      <c r="O522" s="684"/>
      <c r="P522" s="684"/>
      <c r="Q522" s="566"/>
      <c r="R522" s="566"/>
      <c r="S522" s="566"/>
      <c r="T522" s="684"/>
      <c r="U522" s="684"/>
    </row>
    <row r="523" spans="1:21" ht="18.75" hidden="1" x14ac:dyDescent="0.25">
      <c r="A523" s="764"/>
      <c r="B523" s="561"/>
      <c r="C523" s="718"/>
      <c r="D523" s="726" t="s">
        <v>208</v>
      </c>
      <c r="E523" s="688"/>
      <c r="F523" s="561"/>
      <c r="G523" s="563"/>
      <c r="H523" s="768" t="s">
        <v>11</v>
      </c>
      <c r="I523" s="735">
        <v>0</v>
      </c>
      <c r="J523" s="736">
        <v>0</v>
      </c>
      <c r="K523" s="572">
        <f t="shared" ref="K523:K524" si="328">IF(I523&gt;0,J523*100/I523,0)</f>
        <v>0</v>
      </c>
      <c r="L523" s="574"/>
      <c r="M523" s="566"/>
      <c r="N523" s="566"/>
      <c r="O523" s="566"/>
      <c r="P523" s="566"/>
      <c r="Q523" s="566"/>
      <c r="R523" s="566"/>
      <c r="S523" s="566"/>
      <c r="T523" s="566"/>
      <c r="U523" s="566"/>
    </row>
    <row r="524" spans="1:21" ht="18.75" hidden="1" x14ac:dyDescent="0.25">
      <c r="A524" s="984"/>
      <c r="B524" s="513"/>
      <c r="C524" s="514"/>
      <c r="D524" s="1018" t="s">
        <v>209</v>
      </c>
      <c r="E524" s="864"/>
      <c r="F524" s="513"/>
      <c r="G524" s="577"/>
      <c r="H524" s="1019" t="s">
        <v>61</v>
      </c>
      <c r="I524" s="740">
        <v>0</v>
      </c>
      <c r="J524" s="741">
        <v>0</v>
      </c>
      <c r="K524" s="742">
        <f t="shared" si="328"/>
        <v>0</v>
      </c>
      <c r="L524" s="574"/>
      <c r="M524" s="566"/>
      <c r="N524" s="566"/>
      <c r="O524" s="566"/>
      <c r="P524" s="566"/>
      <c r="Q524" s="566"/>
      <c r="R524" s="566"/>
      <c r="S524" s="566"/>
      <c r="T524" s="566"/>
      <c r="U524" s="566"/>
    </row>
    <row r="525" spans="1:21" ht="12.75" hidden="1" x14ac:dyDescent="0.2">
      <c r="A525" s="1020"/>
      <c r="B525" s="1021"/>
      <c r="C525" s="1021"/>
      <c r="D525" s="1022"/>
      <c r="E525" s="1022"/>
      <c r="F525" s="1022"/>
      <c r="G525" s="1023"/>
      <c r="H525" s="1024"/>
      <c r="I525" s="1025"/>
      <c r="J525" s="1025"/>
      <c r="K525" s="1026"/>
      <c r="L525" s="965"/>
      <c r="M525" s="964"/>
      <c r="N525" s="964"/>
      <c r="O525" s="964"/>
      <c r="P525" s="964"/>
      <c r="Q525" s="964"/>
      <c r="R525" s="964"/>
      <c r="S525" s="964"/>
      <c r="T525" s="964"/>
      <c r="U525" s="964"/>
    </row>
    <row r="526" spans="1:21" ht="12.75" hidden="1" x14ac:dyDescent="0.2">
      <c r="A526" s="973"/>
      <c r="B526" s="961"/>
      <c r="C526" s="961"/>
      <c r="D526" s="974"/>
      <c r="E526" s="974"/>
      <c r="F526" s="974"/>
      <c r="G526" s="975"/>
      <c r="H526" s="962"/>
      <c r="I526" s="963"/>
      <c r="J526" s="963"/>
      <c r="K526" s="964"/>
      <c r="L526" s="965"/>
      <c r="M526" s="964"/>
      <c r="N526" s="964"/>
      <c r="O526" s="964"/>
      <c r="P526" s="964"/>
      <c r="Q526" s="964"/>
      <c r="R526" s="964"/>
      <c r="S526" s="964"/>
      <c r="T526" s="964"/>
      <c r="U526" s="964"/>
    </row>
    <row r="527" spans="1:21" ht="12.75" hidden="1" x14ac:dyDescent="0.2">
      <c r="A527" s="973"/>
      <c r="B527" s="961"/>
      <c r="C527" s="961"/>
      <c r="D527" s="974"/>
      <c r="E527" s="974"/>
      <c r="F527" s="974"/>
      <c r="G527" s="975"/>
      <c r="H527" s="962"/>
      <c r="I527" s="963"/>
      <c r="J527" s="963"/>
      <c r="K527" s="964"/>
      <c r="L527" s="965"/>
      <c r="M527" s="964"/>
      <c r="N527" s="964"/>
      <c r="O527" s="964"/>
      <c r="P527" s="964"/>
      <c r="Q527" s="964"/>
      <c r="R527" s="964"/>
      <c r="S527" s="964"/>
      <c r="T527" s="964"/>
      <c r="U527" s="964"/>
    </row>
    <row r="528" spans="1:21" ht="12.75" hidden="1" x14ac:dyDescent="0.2">
      <c r="A528" s="973"/>
      <c r="B528" s="961"/>
      <c r="C528" s="961"/>
      <c r="D528" s="974"/>
      <c r="E528" s="974"/>
      <c r="F528" s="974"/>
      <c r="G528" s="975"/>
      <c r="H528" s="962"/>
      <c r="I528" s="963"/>
      <c r="J528" s="963"/>
      <c r="K528" s="964"/>
      <c r="L528" s="965"/>
      <c r="M528" s="964"/>
      <c r="N528" s="964"/>
      <c r="O528" s="964"/>
      <c r="P528" s="964"/>
      <c r="Q528" s="964"/>
      <c r="R528" s="964"/>
      <c r="S528" s="964"/>
      <c r="T528" s="964"/>
      <c r="U528" s="964"/>
    </row>
    <row r="529" spans="1:21" ht="12.75" hidden="1" x14ac:dyDescent="0.2">
      <c r="A529" s="973"/>
      <c r="B529" s="961"/>
      <c r="C529" s="961"/>
      <c r="D529" s="974"/>
      <c r="E529" s="974"/>
      <c r="F529" s="974"/>
      <c r="G529" s="975"/>
      <c r="H529" s="962"/>
      <c r="I529" s="963"/>
      <c r="J529" s="963"/>
      <c r="K529" s="964"/>
      <c r="L529" s="965"/>
      <c r="M529" s="964"/>
      <c r="N529" s="964"/>
      <c r="O529" s="964"/>
      <c r="P529" s="964"/>
      <c r="Q529" s="964"/>
      <c r="R529" s="964"/>
      <c r="S529" s="964"/>
      <c r="T529" s="964"/>
      <c r="U529" s="964"/>
    </row>
    <row r="530" spans="1:21" ht="12.75" hidden="1" x14ac:dyDescent="0.2">
      <c r="A530" s="973"/>
      <c r="B530" s="961"/>
      <c r="C530" s="961"/>
      <c r="D530" s="974"/>
      <c r="E530" s="974"/>
      <c r="F530" s="974"/>
      <c r="G530" s="975"/>
      <c r="H530" s="962"/>
      <c r="I530" s="963"/>
      <c r="J530" s="963"/>
      <c r="K530" s="964"/>
      <c r="L530" s="965"/>
      <c r="M530" s="964"/>
      <c r="N530" s="964"/>
      <c r="O530" s="964"/>
      <c r="P530" s="964"/>
      <c r="Q530" s="964"/>
      <c r="R530" s="964"/>
      <c r="S530" s="964"/>
      <c r="T530" s="964"/>
      <c r="U530" s="964"/>
    </row>
    <row r="531" spans="1:21" ht="12.75" hidden="1" x14ac:dyDescent="0.2">
      <c r="A531" s="973"/>
      <c r="B531" s="961"/>
      <c r="C531" s="961"/>
      <c r="D531" s="974"/>
      <c r="E531" s="974"/>
      <c r="F531" s="974"/>
      <c r="G531" s="975"/>
      <c r="H531" s="962"/>
      <c r="I531" s="963"/>
      <c r="J531" s="963"/>
      <c r="K531" s="964"/>
      <c r="L531" s="965"/>
      <c r="M531" s="964"/>
      <c r="N531" s="964"/>
      <c r="O531" s="964"/>
      <c r="P531" s="964"/>
      <c r="Q531" s="964"/>
      <c r="R531" s="964"/>
      <c r="S531" s="964"/>
      <c r="T531" s="964"/>
      <c r="U531" s="964"/>
    </row>
    <row r="532" spans="1:21" ht="12.75" hidden="1" x14ac:dyDescent="0.2">
      <c r="A532" s="1027"/>
      <c r="B532" s="966"/>
      <c r="C532" s="966"/>
      <c r="D532" s="1028"/>
      <c r="E532" s="1028"/>
      <c r="F532" s="1028"/>
      <c r="G532" s="1029"/>
      <c r="H532" s="967"/>
      <c r="I532" s="968"/>
      <c r="J532" s="968"/>
      <c r="K532" s="969"/>
      <c r="L532" s="970"/>
      <c r="M532" s="969"/>
      <c r="N532" s="969"/>
      <c r="O532" s="969"/>
      <c r="P532" s="969"/>
      <c r="Q532" s="969"/>
      <c r="R532" s="969"/>
      <c r="S532" s="969"/>
      <c r="T532" s="969"/>
      <c r="U532" s="969"/>
    </row>
    <row r="533" spans="1:21" ht="19.5" hidden="1" x14ac:dyDescent="0.3">
      <c r="A533" s="1006"/>
      <c r="B533" s="1030" t="s">
        <v>210</v>
      </c>
      <c r="C533" s="1008"/>
      <c r="D533" s="1009"/>
      <c r="E533" s="1009"/>
      <c r="F533" s="1009"/>
      <c r="G533" s="1010"/>
      <c r="H533" s="1031" t="s">
        <v>61</v>
      </c>
      <c r="I533" s="1032">
        <f t="shared" ref="I533:J533" si="329">I545</f>
        <v>0</v>
      </c>
      <c r="J533" s="1032">
        <f t="shared" si="329"/>
        <v>0</v>
      </c>
      <c r="K533" s="1033">
        <f>IF(I533&gt;0,J533*100/I533,0)</f>
        <v>0</v>
      </c>
      <c r="L533" s="1014"/>
      <c r="M533" s="1015"/>
      <c r="N533" s="1015"/>
      <c r="O533" s="1015"/>
      <c r="P533" s="1015"/>
      <c r="Q533" s="1015"/>
      <c r="R533" s="1015"/>
      <c r="S533" s="1015"/>
      <c r="T533" s="1015"/>
      <c r="U533" s="1015"/>
    </row>
    <row r="534" spans="1:21" ht="19.5" hidden="1" x14ac:dyDescent="0.3">
      <c r="A534" s="674"/>
      <c r="B534" s="561"/>
      <c r="C534" s="675" t="s">
        <v>18</v>
      </c>
      <c r="D534" s="676" t="s">
        <v>19</v>
      </c>
      <c r="E534" s="561"/>
      <c r="F534" s="561"/>
      <c r="G534" s="563"/>
      <c r="H534" s="677" t="s">
        <v>14</v>
      </c>
      <c r="I534" s="565"/>
      <c r="J534" s="565"/>
      <c r="K534" s="566"/>
      <c r="L534" s="678">
        <f t="shared" ref="L534:N534" ca="1" si="330">L535+L536</f>
        <v>0</v>
      </c>
      <c r="M534" s="679">
        <f t="shared" ca="1" si="330"/>
        <v>0</v>
      </c>
      <c r="N534" s="679">
        <f t="shared" ca="1" si="330"/>
        <v>0</v>
      </c>
      <c r="O534" s="679">
        <f t="shared" ref="O534:O542" ca="1" si="331">IF(L534&gt;0,N534*100/L534,0)</f>
        <v>0</v>
      </c>
      <c r="P534" s="679">
        <f t="shared" ref="P534:P542" ca="1" si="332">IF(M534&gt;0,N534*100/M534,0)</f>
        <v>0</v>
      </c>
      <c r="Q534" s="679">
        <f t="shared" ref="Q534:S534" si="333">Q535+Q536</f>
        <v>0</v>
      </c>
      <c r="R534" s="679">
        <f t="shared" si="333"/>
        <v>0</v>
      </c>
      <c r="S534" s="679">
        <f t="shared" si="333"/>
        <v>0</v>
      </c>
      <c r="T534" s="679">
        <f t="shared" ref="T534:T542" si="334">IF(Q534&gt;0,S534*100/Q534,0)</f>
        <v>0</v>
      </c>
      <c r="U534" s="679">
        <f t="shared" ref="U534:U542" si="335">IF(R534&gt;0,S534*100/R534,0)</f>
        <v>0</v>
      </c>
    </row>
    <row r="535" spans="1:21" ht="18.75" hidden="1" x14ac:dyDescent="0.25">
      <c r="A535" s="674"/>
      <c r="B535" s="718"/>
      <c r="C535" s="561"/>
      <c r="D535" s="561"/>
      <c r="E535" s="569" t="s">
        <v>20</v>
      </c>
      <c r="F535" s="561"/>
      <c r="G535" s="563"/>
      <c r="H535" s="680" t="s">
        <v>14</v>
      </c>
      <c r="I535" s="565"/>
      <c r="J535" s="565"/>
      <c r="K535" s="566"/>
      <c r="L535" s="571">
        <f t="shared" ref="L535:N536" si="336">L538+L541</f>
        <v>0</v>
      </c>
      <c r="M535" s="572">
        <f t="shared" si="336"/>
        <v>0</v>
      </c>
      <c r="N535" s="572">
        <f t="shared" si="336"/>
        <v>0</v>
      </c>
      <c r="O535" s="572">
        <f t="shared" si="331"/>
        <v>0</v>
      </c>
      <c r="P535" s="572">
        <f t="shared" si="332"/>
        <v>0</v>
      </c>
      <c r="Q535" s="572">
        <f t="shared" ref="Q535:S536" si="337">Q538+Q541</f>
        <v>0</v>
      </c>
      <c r="R535" s="572">
        <f t="shared" si="337"/>
        <v>0</v>
      </c>
      <c r="S535" s="572">
        <f t="shared" si="337"/>
        <v>0</v>
      </c>
      <c r="T535" s="572">
        <f t="shared" si="334"/>
        <v>0</v>
      </c>
      <c r="U535" s="572">
        <f t="shared" si="335"/>
        <v>0</v>
      </c>
    </row>
    <row r="536" spans="1:21" ht="18.75" hidden="1" x14ac:dyDescent="0.25">
      <c r="A536" s="674"/>
      <c r="B536" s="561"/>
      <c r="C536" s="718"/>
      <c r="D536" s="561"/>
      <c r="E536" s="765" t="s">
        <v>21</v>
      </c>
      <c r="F536" s="561"/>
      <c r="G536" s="563"/>
      <c r="H536" s="681" t="s">
        <v>14</v>
      </c>
      <c r="I536" s="565"/>
      <c r="J536" s="565"/>
      <c r="K536" s="566"/>
      <c r="L536" s="567">
        <f t="shared" ca="1" si="336"/>
        <v>0</v>
      </c>
      <c r="M536" s="568">
        <f t="shared" ca="1" si="336"/>
        <v>0</v>
      </c>
      <c r="N536" s="568">
        <f t="shared" ca="1" si="336"/>
        <v>0</v>
      </c>
      <c r="O536" s="568">
        <f t="shared" ca="1" si="331"/>
        <v>0</v>
      </c>
      <c r="P536" s="568">
        <f t="shared" ca="1" si="332"/>
        <v>0</v>
      </c>
      <c r="Q536" s="568">
        <f t="shared" si="337"/>
        <v>0</v>
      </c>
      <c r="R536" s="568">
        <f t="shared" si="337"/>
        <v>0</v>
      </c>
      <c r="S536" s="568">
        <f t="shared" si="337"/>
        <v>0</v>
      </c>
      <c r="T536" s="568">
        <f t="shared" si="334"/>
        <v>0</v>
      </c>
      <c r="U536" s="568">
        <f t="shared" si="335"/>
        <v>0</v>
      </c>
    </row>
    <row r="537" spans="1:21" ht="18.75" hidden="1" x14ac:dyDescent="0.25">
      <c r="A537" s="674"/>
      <c r="B537" s="561"/>
      <c r="C537" s="718"/>
      <c r="D537" s="562" t="s">
        <v>22</v>
      </c>
      <c r="E537" s="718"/>
      <c r="F537" s="561"/>
      <c r="G537" s="563"/>
      <c r="H537" s="682" t="s">
        <v>14</v>
      </c>
      <c r="I537" s="683"/>
      <c r="J537" s="683"/>
      <c r="K537" s="684"/>
      <c r="L537" s="567">
        <f t="shared" ref="L537:N537" ca="1" si="338">L538+L539</f>
        <v>0</v>
      </c>
      <c r="M537" s="568">
        <f t="shared" ca="1" si="338"/>
        <v>0</v>
      </c>
      <c r="N537" s="568">
        <f t="shared" ca="1" si="338"/>
        <v>0</v>
      </c>
      <c r="O537" s="568">
        <f t="shared" ca="1" si="331"/>
        <v>0</v>
      </c>
      <c r="P537" s="568">
        <f t="shared" ca="1" si="332"/>
        <v>0</v>
      </c>
      <c r="Q537" s="568">
        <f t="shared" ref="Q537:S537" si="339">Q538+Q539</f>
        <v>0</v>
      </c>
      <c r="R537" s="568">
        <f t="shared" si="339"/>
        <v>0</v>
      </c>
      <c r="S537" s="568">
        <f t="shared" si="339"/>
        <v>0</v>
      </c>
      <c r="T537" s="568">
        <f t="shared" si="334"/>
        <v>0</v>
      </c>
      <c r="U537" s="568">
        <f t="shared" si="335"/>
        <v>0</v>
      </c>
    </row>
    <row r="538" spans="1:21" ht="18.75" hidden="1" x14ac:dyDescent="0.25">
      <c r="A538" s="674"/>
      <c r="B538" s="561"/>
      <c r="C538" s="561"/>
      <c r="D538" s="561"/>
      <c r="E538" s="569" t="s">
        <v>36</v>
      </c>
      <c r="F538" s="561"/>
      <c r="G538" s="563"/>
      <c r="H538" s="685" t="s">
        <v>14</v>
      </c>
      <c r="I538" s="683"/>
      <c r="J538" s="683"/>
      <c r="K538" s="684"/>
      <c r="L538" s="571">
        <v>0</v>
      </c>
      <c r="M538" s="572">
        <v>0</v>
      </c>
      <c r="N538" s="572">
        <v>0</v>
      </c>
      <c r="O538" s="572">
        <f t="shared" si="331"/>
        <v>0</v>
      </c>
      <c r="P538" s="572">
        <f t="shared" si="332"/>
        <v>0</v>
      </c>
      <c r="Q538" s="572">
        <v>0</v>
      </c>
      <c r="R538" s="572">
        <v>0</v>
      </c>
      <c r="S538" s="572">
        <v>0</v>
      </c>
      <c r="T538" s="572">
        <f t="shared" si="334"/>
        <v>0</v>
      </c>
      <c r="U538" s="572">
        <f t="shared" si="335"/>
        <v>0</v>
      </c>
    </row>
    <row r="539" spans="1:21" ht="18.75" hidden="1" x14ac:dyDescent="0.25">
      <c r="A539" s="674"/>
      <c r="B539" s="561"/>
      <c r="C539" s="561"/>
      <c r="D539" s="561"/>
      <c r="E539" s="573" t="s">
        <v>37</v>
      </c>
      <c r="F539" s="561"/>
      <c r="G539" s="563"/>
      <c r="H539" s="682" t="s">
        <v>14</v>
      </c>
      <c r="I539" s="683"/>
      <c r="J539" s="683"/>
      <c r="K539" s="684"/>
      <c r="L539" s="567">
        <f ca="1">IFERROR(__xludf.DUMMYFUNCTION("IMPORTRANGE(""https://docs.google.com/spreadsheets/d/1-uDff_7J0KD5mKrp0Vvzr7lt3OU09vwQwhkpOPPYv2Y/edit?usp=sharing"",""งบพรบ!FW22"")"),0)</f>
        <v>0</v>
      </c>
      <c r="M539" s="568">
        <f ca="1">IFERROR(__xludf.DUMMYFUNCTION("IMPORTRANGE(""https://docs.google.com/spreadsheets/d/1-uDff_7J0KD5mKrp0Vvzr7lt3OU09vwQwhkpOPPYv2Y/edit?usp=sharing"",""งบพรบ!GB22"")"),0)</f>
        <v>0</v>
      </c>
      <c r="N539" s="568">
        <f ca="1">IFERROR(__xludf.DUMMYFUNCTION("IMPORTRANGE(""https://docs.google.com/spreadsheets/d/1-uDff_7J0KD5mKrp0Vvzr7lt3OU09vwQwhkpOPPYv2Y/edit?usp=sharing"",""งบพรบ!GD22"")"),0)</f>
        <v>0</v>
      </c>
      <c r="O539" s="568">
        <f t="shared" ca="1" si="331"/>
        <v>0</v>
      </c>
      <c r="P539" s="568">
        <f t="shared" ca="1" si="332"/>
        <v>0</v>
      </c>
      <c r="Q539" s="568">
        <v>0</v>
      </c>
      <c r="R539" s="568">
        <v>0</v>
      </c>
      <c r="S539" s="568">
        <v>0</v>
      </c>
      <c r="T539" s="568">
        <f t="shared" si="334"/>
        <v>0</v>
      </c>
      <c r="U539" s="568">
        <f t="shared" si="335"/>
        <v>0</v>
      </c>
    </row>
    <row r="540" spans="1:21" ht="18.75" hidden="1" x14ac:dyDescent="0.25">
      <c r="A540" s="674"/>
      <c r="B540" s="561"/>
      <c r="C540" s="561"/>
      <c r="D540" s="562" t="s">
        <v>23</v>
      </c>
      <c r="E540" s="561"/>
      <c r="F540" s="561"/>
      <c r="G540" s="563"/>
      <c r="H540" s="686" t="s">
        <v>14</v>
      </c>
      <c r="I540" s="683"/>
      <c r="J540" s="683"/>
      <c r="K540" s="684"/>
      <c r="L540" s="567">
        <f t="shared" ref="L540:N540" ca="1" si="340">L541+L542</f>
        <v>0</v>
      </c>
      <c r="M540" s="568">
        <f t="shared" ca="1" si="340"/>
        <v>0</v>
      </c>
      <c r="N540" s="568">
        <f t="shared" ca="1" si="340"/>
        <v>0</v>
      </c>
      <c r="O540" s="568">
        <f t="shared" ca="1" si="331"/>
        <v>0</v>
      </c>
      <c r="P540" s="568">
        <f t="shared" ca="1" si="332"/>
        <v>0</v>
      </c>
      <c r="Q540" s="568">
        <f t="shared" ref="Q540:S540" si="341">Q541+Q542</f>
        <v>0</v>
      </c>
      <c r="R540" s="568">
        <f t="shared" si="341"/>
        <v>0</v>
      </c>
      <c r="S540" s="568">
        <f t="shared" si="341"/>
        <v>0</v>
      </c>
      <c r="T540" s="568">
        <f t="shared" si="334"/>
        <v>0</v>
      </c>
      <c r="U540" s="568">
        <f t="shared" si="335"/>
        <v>0</v>
      </c>
    </row>
    <row r="541" spans="1:21" ht="18.75" hidden="1" x14ac:dyDescent="0.25">
      <c r="A541" s="674"/>
      <c r="B541" s="561"/>
      <c r="C541" s="561"/>
      <c r="D541" s="561"/>
      <c r="E541" s="569" t="s">
        <v>20</v>
      </c>
      <c r="F541" s="561"/>
      <c r="G541" s="563"/>
      <c r="H541" s="685" t="s">
        <v>14</v>
      </c>
      <c r="I541" s="683"/>
      <c r="J541" s="683"/>
      <c r="K541" s="684"/>
      <c r="L541" s="571">
        <v>0</v>
      </c>
      <c r="M541" s="572">
        <v>0</v>
      </c>
      <c r="N541" s="572">
        <v>0</v>
      </c>
      <c r="O541" s="572">
        <f t="shared" si="331"/>
        <v>0</v>
      </c>
      <c r="P541" s="572">
        <f t="shared" si="332"/>
        <v>0</v>
      </c>
      <c r="Q541" s="572">
        <v>0</v>
      </c>
      <c r="R541" s="572">
        <v>0</v>
      </c>
      <c r="S541" s="572">
        <v>0</v>
      </c>
      <c r="T541" s="572">
        <f t="shared" si="334"/>
        <v>0</v>
      </c>
      <c r="U541" s="572">
        <f t="shared" si="335"/>
        <v>0</v>
      </c>
    </row>
    <row r="542" spans="1:21" ht="18.75" hidden="1" x14ac:dyDescent="0.25">
      <c r="A542" s="674"/>
      <c r="B542" s="561"/>
      <c r="C542" s="561"/>
      <c r="D542" s="561"/>
      <c r="E542" s="573" t="s">
        <v>21</v>
      </c>
      <c r="F542" s="561"/>
      <c r="G542" s="563"/>
      <c r="H542" s="686" t="s">
        <v>14</v>
      </c>
      <c r="I542" s="683"/>
      <c r="J542" s="683"/>
      <c r="K542" s="684"/>
      <c r="L542" s="567">
        <f ca="1">IFERROR(__xludf.DUMMYFUNCTION("IMPORTRANGE(""https://docs.google.com/spreadsheets/d/1-uDff_7J0KD5mKrp0Vvzr7lt3OU09vwQwhkpOPPYv2Y/edit?usp=sharing"",""งบพรบ!FZ22"")"),0)</f>
        <v>0</v>
      </c>
      <c r="M542" s="568">
        <f ca="1">IFERROR(__xludf.DUMMYFUNCTION("IMPORTRANGE(""https://docs.google.com/spreadsheets/d/1-uDff_7J0KD5mKrp0Vvzr7lt3OU09vwQwhkpOPPYv2Y/edit?usp=sharing"",""งบพรบ!GC22"")"),0)</f>
        <v>0</v>
      </c>
      <c r="N542" s="568">
        <f ca="1">IFERROR(__xludf.DUMMYFUNCTION("IMPORTRANGE(""https://docs.google.com/spreadsheets/d/1-uDff_7J0KD5mKrp0Vvzr7lt3OU09vwQwhkpOPPYv2Y/edit?usp=sharing"",""งบพรบ!GE22"")"),0)</f>
        <v>0</v>
      </c>
      <c r="O542" s="568">
        <f t="shared" ca="1" si="331"/>
        <v>0</v>
      </c>
      <c r="P542" s="568">
        <f t="shared" ca="1" si="332"/>
        <v>0</v>
      </c>
      <c r="Q542" s="568">
        <v>0</v>
      </c>
      <c r="R542" s="568">
        <v>0</v>
      </c>
      <c r="S542" s="568">
        <v>0</v>
      </c>
      <c r="T542" s="568">
        <f t="shared" si="334"/>
        <v>0</v>
      </c>
      <c r="U542" s="568">
        <f t="shared" si="335"/>
        <v>0</v>
      </c>
    </row>
    <row r="543" spans="1:21" ht="19.5" hidden="1" x14ac:dyDescent="0.3">
      <c r="A543" s="687"/>
      <c r="B543" s="688"/>
      <c r="C543" s="1034" t="s">
        <v>18</v>
      </c>
      <c r="D543" s="689" t="s">
        <v>38</v>
      </c>
      <c r="E543" s="690"/>
      <c r="F543" s="690"/>
      <c r="G543" s="691"/>
      <c r="H543" s="692"/>
      <c r="I543" s="683"/>
      <c r="J543" s="565"/>
      <c r="K543" s="566"/>
      <c r="L543" s="574"/>
      <c r="M543" s="566"/>
      <c r="N543" s="566"/>
      <c r="O543" s="684"/>
      <c r="P543" s="684"/>
      <c r="Q543" s="566"/>
      <c r="R543" s="566"/>
      <c r="S543" s="566"/>
      <c r="T543" s="684"/>
      <c r="U543" s="684"/>
    </row>
    <row r="544" spans="1:21" ht="12.75" hidden="1" x14ac:dyDescent="0.2">
      <c r="A544" s="973"/>
      <c r="B544" s="974"/>
      <c r="C544" s="961"/>
      <c r="D544" s="974"/>
      <c r="E544" s="961"/>
      <c r="F544" s="974"/>
      <c r="G544" s="975"/>
      <c r="H544" s="975"/>
      <c r="I544" s="963"/>
      <c r="J544" s="963"/>
      <c r="K544" s="964"/>
      <c r="L544" s="965"/>
      <c r="M544" s="964"/>
      <c r="N544" s="964"/>
      <c r="O544" s="964"/>
      <c r="P544" s="964"/>
      <c r="Q544" s="964"/>
      <c r="R544" s="964"/>
      <c r="S544" s="964"/>
      <c r="T544" s="964"/>
      <c r="U544" s="964"/>
    </row>
    <row r="545" spans="1:21" ht="12.75" hidden="1" x14ac:dyDescent="0.2">
      <c r="A545" s="973"/>
      <c r="B545" s="974"/>
      <c r="C545" s="961"/>
      <c r="D545" s="974"/>
      <c r="E545" s="961"/>
      <c r="F545" s="974"/>
      <c r="G545" s="975"/>
      <c r="H545" s="975"/>
      <c r="I545" s="963"/>
      <c r="J545" s="963"/>
      <c r="K545" s="964"/>
      <c r="L545" s="965"/>
      <c r="M545" s="964"/>
      <c r="N545" s="964"/>
      <c r="O545" s="964"/>
      <c r="P545" s="964"/>
      <c r="Q545" s="964"/>
      <c r="R545" s="964"/>
      <c r="S545" s="964"/>
      <c r="T545" s="964"/>
      <c r="U545" s="964"/>
    </row>
    <row r="546" spans="1:21" ht="12.75" hidden="1" x14ac:dyDescent="0.2">
      <c r="A546" s="973"/>
      <c r="B546" s="961"/>
      <c r="C546" s="961"/>
      <c r="D546" s="974"/>
      <c r="E546" s="974"/>
      <c r="F546" s="974"/>
      <c r="G546" s="975"/>
      <c r="H546" s="962"/>
      <c r="I546" s="963"/>
      <c r="J546" s="963"/>
      <c r="K546" s="964"/>
      <c r="L546" s="965"/>
      <c r="M546" s="964"/>
      <c r="N546" s="964"/>
      <c r="O546" s="964"/>
      <c r="P546" s="964"/>
      <c r="Q546" s="964"/>
      <c r="R546" s="964"/>
      <c r="S546" s="964"/>
      <c r="T546" s="964"/>
      <c r="U546" s="964"/>
    </row>
    <row r="547" spans="1:21" ht="12.75" hidden="1" x14ac:dyDescent="0.2">
      <c r="A547" s="973"/>
      <c r="B547" s="961"/>
      <c r="C547" s="961"/>
      <c r="D547" s="974"/>
      <c r="E547" s="974"/>
      <c r="F547" s="974"/>
      <c r="G547" s="975"/>
      <c r="H547" s="962"/>
      <c r="I547" s="963"/>
      <c r="J547" s="963"/>
      <c r="K547" s="964"/>
      <c r="L547" s="965"/>
      <c r="M547" s="964"/>
      <c r="N547" s="964"/>
      <c r="O547" s="964"/>
      <c r="P547" s="964"/>
      <c r="Q547" s="964"/>
      <c r="R547" s="964"/>
      <c r="S547" s="964"/>
      <c r="T547" s="964"/>
      <c r="U547" s="964"/>
    </row>
    <row r="548" spans="1:21" ht="12.75" hidden="1" x14ac:dyDescent="0.2">
      <c r="A548" s="973"/>
      <c r="B548" s="961"/>
      <c r="C548" s="961"/>
      <c r="D548" s="974"/>
      <c r="E548" s="974"/>
      <c r="F548" s="974"/>
      <c r="G548" s="975"/>
      <c r="H548" s="962"/>
      <c r="I548" s="963"/>
      <c r="J548" s="963"/>
      <c r="K548" s="964"/>
      <c r="L548" s="965"/>
      <c r="M548" s="964"/>
      <c r="N548" s="964"/>
      <c r="O548" s="964"/>
      <c r="P548" s="964"/>
      <c r="Q548" s="964"/>
      <c r="R548" s="964"/>
      <c r="S548" s="964"/>
      <c r="T548" s="964"/>
      <c r="U548" s="964"/>
    </row>
    <row r="549" spans="1:21" ht="12.75" hidden="1" x14ac:dyDescent="0.2">
      <c r="A549" s="973"/>
      <c r="B549" s="961"/>
      <c r="C549" s="961"/>
      <c r="D549" s="974"/>
      <c r="E549" s="974"/>
      <c r="F549" s="974"/>
      <c r="G549" s="975"/>
      <c r="H549" s="962"/>
      <c r="I549" s="963"/>
      <c r="J549" s="963"/>
      <c r="K549" s="964"/>
      <c r="L549" s="965"/>
      <c r="M549" s="964"/>
      <c r="N549" s="964"/>
      <c r="O549" s="964"/>
      <c r="P549" s="964"/>
      <c r="Q549" s="964"/>
      <c r="R549" s="964"/>
      <c r="S549" s="964"/>
      <c r="T549" s="964"/>
      <c r="U549" s="964"/>
    </row>
    <row r="550" spans="1:21" ht="12.75" hidden="1" x14ac:dyDescent="0.2">
      <c r="A550" s="973"/>
      <c r="B550" s="961"/>
      <c r="C550" s="961"/>
      <c r="D550" s="974"/>
      <c r="E550" s="974"/>
      <c r="F550" s="974"/>
      <c r="G550" s="975"/>
      <c r="H550" s="962"/>
      <c r="I550" s="963"/>
      <c r="J550" s="963"/>
      <c r="K550" s="964"/>
      <c r="L550" s="965"/>
      <c r="M550" s="964"/>
      <c r="N550" s="964"/>
      <c r="O550" s="964"/>
      <c r="P550" s="964"/>
      <c r="Q550" s="964"/>
      <c r="R550" s="964"/>
      <c r="S550" s="964"/>
      <c r="T550" s="964"/>
      <c r="U550" s="964"/>
    </row>
    <row r="551" spans="1:21" ht="12.75" hidden="1" x14ac:dyDescent="0.2">
      <c r="A551" s="973"/>
      <c r="B551" s="961"/>
      <c r="C551" s="961"/>
      <c r="D551" s="974"/>
      <c r="E551" s="974"/>
      <c r="F551" s="974"/>
      <c r="G551" s="975"/>
      <c r="H551" s="962"/>
      <c r="I551" s="963"/>
      <c r="J551" s="963"/>
      <c r="K551" s="964"/>
      <c r="L551" s="965"/>
      <c r="M551" s="964"/>
      <c r="N551" s="964"/>
      <c r="O551" s="964"/>
      <c r="P551" s="964"/>
      <c r="Q551" s="964"/>
      <c r="R551" s="964"/>
      <c r="S551" s="964"/>
      <c r="T551" s="964"/>
      <c r="U551" s="964"/>
    </row>
    <row r="552" spans="1:21" ht="12.75" hidden="1" x14ac:dyDescent="0.2">
      <c r="A552" s="973"/>
      <c r="B552" s="961"/>
      <c r="C552" s="961"/>
      <c r="D552" s="974"/>
      <c r="E552" s="974"/>
      <c r="F552" s="974"/>
      <c r="G552" s="975"/>
      <c r="H552" s="962"/>
      <c r="I552" s="963"/>
      <c r="J552" s="963"/>
      <c r="K552" s="964"/>
      <c r="L552" s="965"/>
      <c r="M552" s="964"/>
      <c r="N552" s="964"/>
      <c r="O552" s="964"/>
      <c r="P552" s="964"/>
      <c r="Q552" s="964"/>
      <c r="R552" s="964"/>
      <c r="S552" s="964"/>
      <c r="T552" s="964"/>
      <c r="U552" s="964"/>
    </row>
    <row r="553" spans="1:21" ht="12.75" hidden="1" x14ac:dyDescent="0.2">
      <c r="A553" s="1027"/>
      <c r="B553" s="966"/>
      <c r="C553" s="966"/>
      <c r="D553" s="1028"/>
      <c r="E553" s="1028"/>
      <c r="F553" s="1028"/>
      <c r="G553" s="1029"/>
      <c r="H553" s="967"/>
      <c r="I553" s="968"/>
      <c r="J553" s="968"/>
      <c r="K553" s="969"/>
      <c r="L553" s="970"/>
      <c r="M553" s="969"/>
      <c r="N553" s="969"/>
      <c r="O553" s="969"/>
      <c r="P553" s="969"/>
      <c r="Q553" s="969"/>
      <c r="R553" s="969"/>
      <c r="S553" s="969"/>
      <c r="T553" s="969"/>
      <c r="U553" s="969"/>
    </row>
    <row r="554" spans="1:21" ht="19.5" hidden="1" x14ac:dyDescent="0.3">
      <c r="A554" s="1006"/>
      <c r="B554" s="1030" t="s">
        <v>211</v>
      </c>
      <c r="C554" s="1008"/>
      <c r="D554" s="1009"/>
      <c r="E554" s="1009"/>
      <c r="F554" s="1009"/>
      <c r="G554" s="1010"/>
      <c r="H554" s="1031" t="s">
        <v>61</v>
      </c>
      <c r="I554" s="1032">
        <f t="shared" ref="I554:J554" si="342">I566</f>
        <v>0</v>
      </c>
      <c r="J554" s="1032">
        <f t="shared" si="342"/>
        <v>0</v>
      </c>
      <c r="K554" s="1033">
        <f>IF(I554&gt;0,J554*100/I554,0)</f>
        <v>0</v>
      </c>
      <c r="L554" s="1014"/>
      <c r="M554" s="1015"/>
      <c r="N554" s="1015"/>
      <c r="O554" s="1015"/>
      <c r="P554" s="1015"/>
      <c r="Q554" s="1015"/>
      <c r="R554" s="1015"/>
      <c r="S554" s="1015"/>
      <c r="T554" s="1015"/>
      <c r="U554" s="1015"/>
    </row>
    <row r="555" spans="1:21" ht="19.5" hidden="1" x14ac:dyDescent="0.3">
      <c r="A555" s="674"/>
      <c r="B555" s="561"/>
      <c r="C555" s="675" t="s">
        <v>18</v>
      </c>
      <c r="D555" s="676" t="s">
        <v>19</v>
      </c>
      <c r="E555" s="561"/>
      <c r="F555" s="561"/>
      <c r="G555" s="563"/>
      <c r="H555" s="677" t="s">
        <v>14</v>
      </c>
      <c r="I555" s="565"/>
      <c r="J555" s="565"/>
      <c r="K555" s="566"/>
      <c r="L555" s="678">
        <f t="shared" ref="L555:N555" ca="1" si="343">L556+L557</f>
        <v>0</v>
      </c>
      <c r="M555" s="679">
        <f t="shared" ca="1" si="343"/>
        <v>0</v>
      </c>
      <c r="N555" s="679">
        <f t="shared" ca="1" si="343"/>
        <v>0</v>
      </c>
      <c r="O555" s="679">
        <f t="shared" ref="O555:O563" ca="1" si="344">IF(L555&gt;0,N555*100/L555,0)</f>
        <v>0</v>
      </c>
      <c r="P555" s="679">
        <f t="shared" ref="P555:P563" ca="1" si="345">IF(M555&gt;0,N555*100/M555,0)</f>
        <v>0</v>
      </c>
      <c r="Q555" s="679">
        <f t="shared" ref="Q555:S555" si="346">Q556+Q557</f>
        <v>0</v>
      </c>
      <c r="R555" s="679">
        <f t="shared" si="346"/>
        <v>0</v>
      </c>
      <c r="S555" s="679">
        <f t="shared" si="346"/>
        <v>0</v>
      </c>
      <c r="T555" s="679">
        <f t="shared" ref="T555:T563" si="347">IF(Q555&gt;0,S555*100/Q555,0)</f>
        <v>0</v>
      </c>
      <c r="U555" s="679">
        <f t="shared" ref="U555:U563" si="348">IF(R555&gt;0,S555*100/R555,0)</f>
        <v>0</v>
      </c>
    </row>
    <row r="556" spans="1:21" ht="18.75" hidden="1" x14ac:dyDescent="0.25">
      <c r="A556" s="674"/>
      <c r="B556" s="718"/>
      <c r="C556" s="561"/>
      <c r="D556" s="561"/>
      <c r="E556" s="569" t="s">
        <v>20</v>
      </c>
      <c r="F556" s="561"/>
      <c r="G556" s="563"/>
      <c r="H556" s="680" t="s">
        <v>14</v>
      </c>
      <c r="I556" s="565"/>
      <c r="J556" s="565"/>
      <c r="K556" s="566"/>
      <c r="L556" s="571">
        <f t="shared" ref="L556:N557" si="349">L559+L562</f>
        <v>0</v>
      </c>
      <c r="M556" s="572">
        <f t="shared" si="349"/>
        <v>0</v>
      </c>
      <c r="N556" s="572">
        <f t="shared" si="349"/>
        <v>0</v>
      </c>
      <c r="O556" s="572">
        <f t="shared" si="344"/>
        <v>0</v>
      </c>
      <c r="P556" s="572">
        <f t="shared" si="345"/>
        <v>0</v>
      </c>
      <c r="Q556" s="572">
        <f t="shared" ref="Q556:S557" si="350">Q559+Q562</f>
        <v>0</v>
      </c>
      <c r="R556" s="572">
        <f t="shared" si="350"/>
        <v>0</v>
      </c>
      <c r="S556" s="572">
        <f t="shared" si="350"/>
        <v>0</v>
      </c>
      <c r="T556" s="572">
        <f t="shared" si="347"/>
        <v>0</v>
      </c>
      <c r="U556" s="572">
        <f t="shared" si="348"/>
        <v>0</v>
      </c>
    </row>
    <row r="557" spans="1:21" ht="18.75" hidden="1" x14ac:dyDescent="0.25">
      <c r="A557" s="674"/>
      <c r="B557" s="561"/>
      <c r="C557" s="718"/>
      <c r="D557" s="561"/>
      <c r="E557" s="765" t="s">
        <v>21</v>
      </c>
      <c r="F557" s="561"/>
      <c r="G557" s="563"/>
      <c r="H557" s="681" t="s">
        <v>14</v>
      </c>
      <c r="I557" s="565"/>
      <c r="J557" s="565"/>
      <c r="K557" s="566"/>
      <c r="L557" s="567">
        <f t="shared" ca="1" si="349"/>
        <v>0</v>
      </c>
      <c r="M557" s="568">
        <f t="shared" ca="1" si="349"/>
        <v>0</v>
      </c>
      <c r="N557" s="568">
        <f t="shared" ca="1" si="349"/>
        <v>0</v>
      </c>
      <c r="O557" s="568">
        <f t="shared" ca="1" si="344"/>
        <v>0</v>
      </c>
      <c r="P557" s="568">
        <f t="shared" ca="1" si="345"/>
        <v>0</v>
      </c>
      <c r="Q557" s="568">
        <f t="shared" si="350"/>
        <v>0</v>
      </c>
      <c r="R557" s="568">
        <f t="shared" si="350"/>
        <v>0</v>
      </c>
      <c r="S557" s="568">
        <f t="shared" si="350"/>
        <v>0</v>
      </c>
      <c r="T557" s="568">
        <f t="shared" si="347"/>
        <v>0</v>
      </c>
      <c r="U557" s="568">
        <f t="shared" si="348"/>
        <v>0</v>
      </c>
    </row>
    <row r="558" spans="1:21" ht="18.75" hidden="1" x14ac:dyDescent="0.25">
      <c r="A558" s="674"/>
      <c r="B558" s="561"/>
      <c r="C558" s="718"/>
      <c r="D558" s="562" t="s">
        <v>22</v>
      </c>
      <c r="E558" s="718"/>
      <c r="F558" s="561"/>
      <c r="G558" s="563"/>
      <c r="H558" s="682" t="s">
        <v>14</v>
      </c>
      <c r="I558" s="683"/>
      <c r="J558" s="683"/>
      <c r="K558" s="684"/>
      <c r="L558" s="567">
        <f t="shared" ref="L558:N558" ca="1" si="351">L559+L560</f>
        <v>0</v>
      </c>
      <c r="M558" s="568">
        <f t="shared" ca="1" si="351"/>
        <v>0</v>
      </c>
      <c r="N558" s="568">
        <f t="shared" ca="1" si="351"/>
        <v>0</v>
      </c>
      <c r="O558" s="568">
        <f t="shared" ca="1" si="344"/>
        <v>0</v>
      </c>
      <c r="P558" s="568">
        <f t="shared" ca="1" si="345"/>
        <v>0</v>
      </c>
      <c r="Q558" s="568">
        <f t="shared" ref="Q558:S558" si="352">Q559+Q560</f>
        <v>0</v>
      </c>
      <c r="R558" s="568">
        <f t="shared" si="352"/>
        <v>0</v>
      </c>
      <c r="S558" s="568">
        <f t="shared" si="352"/>
        <v>0</v>
      </c>
      <c r="T558" s="568">
        <f t="shared" si="347"/>
        <v>0</v>
      </c>
      <c r="U558" s="568">
        <f t="shared" si="348"/>
        <v>0</v>
      </c>
    </row>
    <row r="559" spans="1:21" ht="18.75" hidden="1" x14ac:dyDescent="0.25">
      <c r="A559" s="674"/>
      <c r="B559" s="561"/>
      <c r="C559" s="561"/>
      <c r="D559" s="561"/>
      <c r="E559" s="569" t="s">
        <v>36</v>
      </c>
      <c r="F559" s="561"/>
      <c r="G559" s="563"/>
      <c r="H559" s="685" t="s">
        <v>14</v>
      </c>
      <c r="I559" s="683"/>
      <c r="J559" s="683"/>
      <c r="K559" s="684"/>
      <c r="L559" s="571">
        <v>0</v>
      </c>
      <c r="M559" s="572">
        <v>0</v>
      </c>
      <c r="N559" s="572">
        <v>0</v>
      </c>
      <c r="O559" s="572">
        <f t="shared" si="344"/>
        <v>0</v>
      </c>
      <c r="P559" s="572">
        <f t="shared" si="345"/>
        <v>0</v>
      </c>
      <c r="Q559" s="572">
        <v>0</v>
      </c>
      <c r="R559" s="572">
        <v>0</v>
      </c>
      <c r="S559" s="572">
        <v>0</v>
      </c>
      <c r="T559" s="572">
        <f t="shared" si="347"/>
        <v>0</v>
      </c>
      <c r="U559" s="572">
        <f t="shared" si="348"/>
        <v>0</v>
      </c>
    </row>
    <row r="560" spans="1:21" ht="18.75" hidden="1" x14ac:dyDescent="0.25">
      <c r="A560" s="674"/>
      <c r="B560" s="561"/>
      <c r="C560" s="561"/>
      <c r="D560" s="561"/>
      <c r="E560" s="573" t="s">
        <v>37</v>
      </c>
      <c r="F560" s="561"/>
      <c r="G560" s="563"/>
      <c r="H560" s="682" t="s">
        <v>14</v>
      </c>
      <c r="I560" s="683"/>
      <c r="J560" s="683"/>
      <c r="K560" s="684"/>
      <c r="L560" s="567">
        <f ca="1">IFERROR(__xludf.DUMMYFUNCTION("IMPORTRANGE(""https://docs.google.com/spreadsheets/d/1-uDff_7J0KD5mKrp0Vvzr7lt3OU09vwQwhkpOPPYv2Y/edit?usp=sharing"",""งบพรบ!GG22"")"),0)</f>
        <v>0</v>
      </c>
      <c r="M560" s="568">
        <f ca="1">IFERROR(__xludf.DUMMYFUNCTION("IMPORTRANGE(""https://docs.google.com/spreadsheets/d/1-uDff_7J0KD5mKrp0Vvzr7lt3OU09vwQwhkpOPPYv2Y/edit?usp=sharing"",""งบพรบ!GL22"")"),0)</f>
        <v>0</v>
      </c>
      <c r="N560" s="568">
        <f ca="1">IFERROR(__xludf.DUMMYFUNCTION("IMPORTRANGE(""https://docs.google.com/spreadsheets/d/1-uDff_7J0KD5mKrp0Vvzr7lt3OU09vwQwhkpOPPYv2Y/edit?usp=sharing"",""งบพรบ!GN22"")"),0)</f>
        <v>0</v>
      </c>
      <c r="O560" s="568">
        <f t="shared" ca="1" si="344"/>
        <v>0</v>
      </c>
      <c r="P560" s="568">
        <f t="shared" ca="1" si="345"/>
        <v>0</v>
      </c>
      <c r="Q560" s="568">
        <v>0</v>
      </c>
      <c r="R560" s="568">
        <v>0</v>
      </c>
      <c r="S560" s="568">
        <v>0</v>
      </c>
      <c r="T560" s="568">
        <f t="shared" si="347"/>
        <v>0</v>
      </c>
      <c r="U560" s="568">
        <f t="shared" si="348"/>
        <v>0</v>
      </c>
    </row>
    <row r="561" spans="1:21" ht="18.75" hidden="1" x14ac:dyDescent="0.25">
      <c r="A561" s="674"/>
      <c r="B561" s="561"/>
      <c r="C561" s="561"/>
      <c r="D561" s="562" t="s">
        <v>23</v>
      </c>
      <c r="E561" s="561"/>
      <c r="F561" s="561"/>
      <c r="G561" s="563"/>
      <c r="H561" s="686" t="s">
        <v>14</v>
      </c>
      <c r="I561" s="683"/>
      <c r="J561" s="683"/>
      <c r="K561" s="684"/>
      <c r="L561" s="567">
        <f t="shared" ref="L561:N561" ca="1" si="353">L562+L563</f>
        <v>0</v>
      </c>
      <c r="M561" s="568">
        <f t="shared" ca="1" si="353"/>
        <v>0</v>
      </c>
      <c r="N561" s="568">
        <f t="shared" ca="1" si="353"/>
        <v>0</v>
      </c>
      <c r="O561" s="568">
        <f t="shared" ca="1" si="344"/>
        <v>0</v>
      </c>
      <c r="P561" s="568">
        <f t="shared" ca="1" si="345"/>
        <v>0</v>
      </c>
      <c r="Q561" s="568">
        <f t="shared" ref="Q561:S561" si="354">Q562+Q563</f>
        <v>0</v>
      </c>
      <c r="R561" s="568">
        <f t="shared" si="354"/>
        <v>0</v>
      </c>
      <c r="S561" s="568">
        <f t="shared" si="354"/>
        <v>0</v>
      </c>
      <c r="T561" s="568">
        <f t="shared" si="347"/>
        <v>0</v>
      </c>
      <c r="U561" s="568">
        <f t="shared" si="348"/>
        <v>0</v>
      </c>
    </row>
    <row r="562" spans="1:21" ht="18.75" hidden="1" x14ac:dyDescent="0.25">
      <c r="A562" s="674"/>
      <c r="B562" s="561"/>
      <c r="C562" s="561"/>
      <c r="D562" s="561"/>
      <c r="E562" s="569" t="s">
        <v>20</v>
      </c>
      <c r="F562" s="561"/>
      <c r="G562" s="563"/>
      <c r="H562" s="685" t="s">
        <v>14</v>
      </c>
      <c r="I562" s="683"/>
      <c r="J562" s="683"/>
      <c r="K562" s="684"/>
      <c r="L562" s="571">
        <v>0</v>
      </c>
      <c r="M562" s="572">
        <v>0</v>
      </c>
      <c r="N562" s="572">
        <v>0</v>
      </c>
      <c r="O562" s="572">
        <f t="shared" si="344"/>
        <v>0</v>
      </c>
      <c r="P562" s="572">
        <f t="shared" si="345"/>
        <v>0</v>
      </c>
      <c r="Q562" s="572">
        <v>0</v>
      </c>
      <c r="R562" s="572">
        <v>0</v>
      </c>
      <c r="S562" s="572">
        <v>0</v>
      </c>
      <c r="T562" s="572">
        <f t="shared" si="347"/>
        <v>0</v>
      </c>
      <c r="U562" s="572">
        <f t="shared" si="348"/>
        <v>0</v>
      </c>
    </row>
    <row r="563" spans="1:21" ht="18.75" hidden="1" x14ac:dyDescent="0.25">
      <c r="A563" s="674"/>
      <c r="B563" s="561"/>
      <c r="C563" s="561"/>
      <c r="D563" s="561"/>
      <c r="E563" s="573" t="s">
        <v>21</v>
      </c>
      <c r="F563" s="561"/>
      <c r="G563" s="563"/>
      <c r="H563" s="686" t="s">
        <v>14</v>
      </c>
      <c r="I563" s="683"/>
      <c r="J563" s="683"/>
      <c r="K563" s="684"/>
      <c r="L563" s="567">
        <f ca="1">IFERROR(__xludf.DUMMYFUNCTION("IMPORTRANGE(""https://docs.google.com/spreadsheets/d/1-uDff_7J0KD5mKrp0Vvzr7lt3OU09vwQwhkpOPPYv2Y/edit?usp=sharing"",""งบพรบ!GJ22"")"),0)</f>
        <v>0</v>
      </c>
      <c r="M563" s="568">
        <f ca="1">IFERROR(__xludf.DUMMYFUNCTION("IMPORTRANGE(""https://docs.google.com/spreadsheets/d/1-uDff_7J0KD5mKrp0Vvzr7lt3OU09vwQwhkpOPPYv2Y/edit?usp=sharing"",""งบพรบ!GM22"")"),0)</f>
        <v>0</v>
      </c>
      <c r="N563" s="568">
        <f ca="1">IFERROR(__xludf.DUMMYFUNCTION("IMPORTRANGE(""https://docs.google.com/spreadsheets/d/1-uDff_7J0KD5mKrp0Vvzr7lt3OU09vwQwhkpOPPYv2Y/edit?usp=sharing"",""งบพรบ!GO22"")"),0)</f>
        <v>0</v>
      </c>
      <c r="O563" s="568">
        <f t="shared" ca="1" si="344"/>
        <v>0</v>
      </c>
      <c r="P563" s="568">
        <f t="shared" ca="1" si="345"/>
        <v>0</v>
      </c>
      <c r="Q563" s="568">
        <v>0</v>
      </c>
      <c r="R563" s="568">
        <v>0</v>
      </c>
      <c r="S563" s="568">
        <v>0</v>
      </c>
      <c r="T563" s="568">
        <f t="shared" si="347"/>
        <v>0</v>
      </c>
      <c r="U563" s="568">
        <f t="shared" si="348"/>
        <v>0</v>
      </c>
    </row>
    <row r="564" spans="1:21" ht="19.5" hidden="1" x14ac:dyDescent="0.3">
      <c r="A564" s="687"/>
      <c r="B564" s="688"/>
      <c r="C564" s="1034" t="s">
        <v>18</v>
      </c>
      <c r="D564" s="689" t="s">
        <v>38</v>
      </c>
      <c r="E564" s="690"/>
      <c r="F564" s="690"/>
      <c r="G564" s="691"/>
      <c r="H564" s="692"/>
      <c r="I564" s="683"/>
      <c r="J564" s="565"/>
      <c r="K564" s="566"/>
      <c r="L564" s="574"/>
      <c r="M564" s="566"/>
      <c r="N564" s="566"/>
      <c r="O564" s="684"/>
      <c r="P564" s="684"/>
      <c r="Q564" s="566"/>
      <c r="R564" s="566"/>
      <c r="S564" s="566"/>
      <c r="T564" s="684"/>
      <c r="U564" s="684"/>
    </row>
    <row r="565" spans="1:21" ht="12.75" hidden="1" x14ac:dyDescent="0.2">
      <c r="A565" s="973"/>
      <c r="B565" s="974"/>
      <c r="C565" s="961"/>
      <c r="D565" s="974"/>
      <c r="E565" s="961"/>
      <c r="F565" s="974"/>
      <c r="G565" s="975"/>
      <c r="H565" s="975"/>
      <c r="I565" s="963"/>
      <c r="J565" s="963"/>
      <c r="K565" s="964"/>
      <c r="L565" s="965"/>
      <c r="M565" s="964"/>
      <c r="N565" s="964"/>
      <c r="O565" s="964"/>
      <c r="P565" s="964"/>
      <c r="Q565" s="964"/>
      <c r="R565" s="964"/>
      <c r="S565" s="964"/>
      <c r="T565" s="964"/>
      <c r="U565" s="964"/>
    </row>
    <row r="566" spans="1:21" ht="12.75" hidden="1" x14ac:dyDescent="0.2">
      <c r="A566" s="973"/>
      <c r="B566" s="974"/>
      <c r="C566" s="961"/>
      <c r="D566" s="974"/>
      <c r="E566" s="961"/>
      <c r="F566" s="974"/>
      <c r="G566" s="975"/>
      <c r="H566" s="975"/>
      <c r="I566" s="963"/>
      <c r="J566" s="963"/>
      <c r="K566" s="964"/>
      <c r="L566" s="965"/>
      <c r="M566" s="964"/>
      <c r="N566" s="964"/>
      <c r="O566" s="964"/>
      <c r="P566" s="964"/>
      <c r="Q566" s="964"/>
      <c r="R566" s="964"/>
      <c r="S566" s="964"/>
      <c r="T566" s="964"/>
      <c r="U566" s="964"/>
    </row>
    <row r="567" spans="1:21" ht="12.75" hidden="1" x14ac:dyDescent="0.2">
      <c r="A567" s="973"/>
      <c r="B567" s="961"/>
      <c r="C567" s="961"/>
      <c r="D567" s="974"/>
      <c r="E567" s="974"/>
      <c r="F567" s="974"/>
      <c r="G567" s="975"/>
      <c r="H567" s="962"/>
      <c r="I567" s="963"/>
      <c r="J567" s="963"/>
      <c r="K567" s="964"/>
      <c r="L567" s="965"/>
      <c r="M567" s="964"/>
      <c r="N567" s="964"/>
      <c r="O567" s="964"/>
      <c r="P567" s="964"/>
      <c r="Q567" s="964"/>
      <c r="R567" s="964"/>
      <c r="S567" s="964"/>
      <c r="T567" s="964"/>
      <c r="U567" s="964"/>
    </row>
    <row r="568" spans="1:21" ht="12.75" hidden="1" x14ac:dyDescent="0.2">
      <c r="A568" s="973"/>
      <c r="B568" s="961"/>
      <c r="C568" s="961"/>
      <c r="D568" s="974"/>
      <c r="E568" s="974"/>
      <c r="F568" s="974"/>
      <c r="G568" s="975"/>
      <c r="H568" s="962"/>
      <c r="I568" s="963"/>
      <c r="J568" s="963"/>
      <c r="K568" s="964"/>
      <c r="L568" s="965"/>
      <c r="M568" s="964"/>
      <c r="N568" s="964"/>
      <c r="O568" s="964"/>
      <c r="P568" s="964"/>
      <c r="Q568" s="964"/>
      <c r="R568" s="964"/>
      <c r="S568" s="964"/>
      <c r="T568" s="964"/>
      <c r="U568" s="964"/>
    </row>
    <row r="569" spans="1:21" ht="12.75" hidden="1" x14ac:dyDescent="0.2">
      <c r="A569" s="973"/>
      <c r="B569" s="961"/>
      <c r="C569" s="961"/>
      <c r="D569" s="974"/>
      <c r="E569" s="974"/>
      <c r="F569" s="974"/>
      <c r="G569" s="975"/>
      <c r="H569" s="962"/>
      <c r="I569" s="963"/>
      <c r="J569" s="963"/>
      <c r="K569" s="964"/>
      <c r="L569" s="965"/>
      <c r="M569" s="964"/>
      <c r="N569" s="964"/>
      <c r="O569" s="964"/>
      <c r="P569" s="964"/>
      <c r="Q569" s="964"/>
      <c r="R569" s="964"/>
      <c r="S569" s="964"/>
      <c r="T569" s="964"/>
      <c r="U569" s="964"/>
    </row>
    <row r="570" spans="1:21" ht="12.75" hidden="1" x14ac:dyDescent="0.2">
      <c r="A570" s="973"/>
      <c r="B570" s="961"/>
      <c r="C570" s="961"/>
      <c r="D570" s="974"/>
      <c r="E570" s="974"/>
      <c r="F570" s="974"/>
      <c r="G570" s="975"/>
      <c r="H570" s="962"/>
      <c r="I570" s="963"/>
      <c r="J570" s="963"/>
      <c r="K570" s="964"/>
      <c r="L570" s="965"/>
      <c r="M570" s="964"/>
      <c r="N570" s="964"/>
      <c r="O570" s="964"/>
      <c r="P570" s="964"/>
      <c r="Q570" s="964"/>
      <c r="R570" s="964"/>
      <c r="S570" s="964"/>
      <c r="T570" s="964"/>
      <c r="U570" s="964"/>
    </row>
    <row r="571" spans="1:21" ht="12.75" hidden="1" x14ac:dyDescent="0.2">
      <c r="A571" s="973"/>
      <c r="B571" s="961"/>
      <c r="C571" s="961"/>
      <c r="D571" s="974"/>
      <c r="E571" s="974"/>
      <c r="F571" s="974"/>
      <c r="G571" s="975"/>
      <c r="H571" s="962"/>
      <c r="I571" s="963"/>
      <c r="J571" s="963"/>
      <c r="K571" s="964"/>
      <c r="L571" s="965"/>
      <c r="M571" s="964"/>
      <c r="N571" s="964"/>
      <c r="O571" s="964"/>
      <c r="P571" s="964"/>
      <c r="Q571" s="964"/>
      <c r="R571" s="964"/>
      <c r="S571" s="964"/>
      <c r="T571" s="964"/>
      <c r="U571" s="964"/>
    </row>
    <row r="572" spans="1:21" ht="12.75" hidden="1" x14ac:dyDescent="0.2">
      <c r="A572" s="973"/>
      <c r="B572" s="961"/>
      <c r="C572" s="961"/>
      <c r="D572" s="974"/>
      <c r="E572" s="974"/>
      <c r="F572" s="974"/>
      <c r="G572" s="975"/>
      <c r="H572" s="962"/>
      <c r="I572" s="963"/>
      <c r="J572" s="963"/>
      <c r="K572" s="964"/>
      <c r="L572" s="965"/>
      <c r="M572" s="964"/>
      <c r="N572" s="964"/>
      <c r="O572" s="964"/>
      <c r="P572" s="964"/>
      <c r="Q572" s="964"/>
      <c r="R572" s="964"/>
      <c r="S572" s="964"/>
      <c r="T572" s="964"/>
      <c r="U572" s="964"/>
    </row>
    <row r="573" spans="1:21" ht="12.75" hidden="1" x14ac:dyDescent="0.2">
      <c r="A573" s="973"/>
      <c r="B573" s="961"/>
      <c r="C573" s="961"/>
      <c r="D573" s="974"/>
      <c r="E573" s="974"/>
      <c r="F573" s="974"/>
      <c r="G573" s="975"/>
      <c r="H573" s="962"/>
      <c r="I573" s="963"/>
      <c r="J573" s="963"/>
      <c r="K573" s="964"/>
      <c r="L573" s="965"/>
      <c r="M573" s="964"/>
      <c r="N573" s="964"/>
      <c r="O573" s="964"/>
      <c r="P573" s="964"/>
      <c r="Q573" s="964"/>
      <c r="R573" s="964"/>
      <c r="S573" s="964"/>
      <c r="T573" s="964"/>
      <c r="U573" s="964"/>
    </row>
    <row r="574" spans="1:21" ht="12.75" hidden="1" x14ac:dyDescent="0.2">
      <c r="A574" s="1027"/>
      <c r="B574" s="966"/>
      <c r="C574" s="966"/>
      <c r="D574" s="1028"/>
      <c r="E574" s="1028"/>
      <c r="F574" s="1028"/>
      <c r="G574" s="1029"/>
      <c r="H574" s="967"/>
      <c r="I574" s="968"/>
      <c r="J574" s="968"/>
      <c r="K574" s="969"/>
      <c r="L574" s="970"/>
      <c r="M574" s="969"/>
      <c r="N574" s="969"/>
      <c r="O574" s="969"/>
      <c r="P574" s="969"/>
      <c r="Q574" s="969"/>
      <c r="R574" s="969"/>
      <c r="S574" s="969"/>
      <c r="T574" s="969"/>
      <c r="U574" s="969"/>
    </row>
    <row r="575" spans="1:21" ht="19.5" hidden="1" x14ac:dyDescent="0.3">
      <c r="A575" s="1006"/>
      <c r="B575" s="1030" t="s">
        <v>212</v>
      </c>
      <c r="C575" s="1008"/>
      <c r="D575" s="1009"/>
      <c r="E575" s="1009"/>
      <c r="F575" s="1009"/>
      <c r="G575" s="1010"/>
      <c r="H575" s="1031" t="s">
        <v>61</v>
      </c>
      <c r="I575" s="1032">
        <f t="shared" ref="I575:J575" si="355">I587</f>
        <v>0</v>
      </c>
      <c r="J575" s="1032">
        <f t="shared" si="355"/>
        <v>0</v>
      </c>
      <c r="K575" s="1033">
        <f>IF(I575&gt;0,J575*100/I575,0)</f>
        <v>0</v>
      </c>
      <c r="L575" s="1014"/>
      <c r="M575" s="1015"/>
      <c r="N575" s="1015"/>
      <c r="O575" s="1015"/>
      <c r="P575" s="1015"/>
      <c r="Q575" s="1015"/>
      <c r="R575" s="1015"/>
      <c r="S575" s="1015"/>
      <c r="T575" s="1015"/>
      <c r="U575" s="1015"/>
    </row>
    <row r="576" spans="1:21" ht="19.5" hidden="1" x14ac:dyDescent="0.3">
      <c r="A576" s="674"/>
      <c r="B576" s="561"/>
      <c r="C576" s="675" t="s">
        <v>18</v>
      </c>
      <c r="D576" s="676" t="s">
        <v>19</v>
      </c>
      <c r="E576" s="561"/>
      <c r="F576" s="561"/>
      <c r="G576" s="563"/>
      <c r="H576" s="677" t="s">
        <v>14</v>
      </c>
      <c r="I576" s="565"/>
      <c r="J576" s="565"/>
      <c r="K576" s="566"/>
      <c r="L576" s="678">
        <f t="shared" ref="L576:N576" ca="1" si="356">L577+L578</f>
        <v>0</v>
      </c>
      <c r="M576" s="679">
        <f t="shared" ca="1" si="356"/>
        <v>0</v>
      </c>
      <c r="N576" s="679">
        <f t="shared" ca="1" si="356"/>
        <v>0</v>
      </c>
      <c r="O576" s="679">
        <f t="shared" ref="O576:O584" ca="1" si="357">IF(L576&gt;0,N576*100/L576,0)</f>
        <v>0</v>
      </c>
      <c r="P576" s="679">
        <f t="shared" ref="P576:P584" ca="1" si="358">IF(M576&gt;0,N576*100/M576,0)</f>
        <v>0</v>
      </c>
      <c r="Q576" s="679">
        <f t="shared" ref="Q576:S576" si="359">Q577+Q578</f>
        <v>0</v>
      </c>
      <c r="R576" s="679">
        <f t="shared" si="359"/>
        <v>0</v>
      </c>
      <c r="S576" s="679">
        <f t="shared" si="359"/>
        <v>0</v>
      </c>
      <c r="T576" s="679">
        <f t="shared" ref="T576:T584" si="360">IF(Q576&gt;0,S576*100/Q576,0)</f>
        <v>0</v>
      </c>
      <c r="U576" s="679">
        <f t="shared" ref="U576:U584" si="361">IF(R576&gt;0,S576*100/R576,0)</f>
        <v>0</v>
      </c>
    </row>
    <row r="577" spans="1:21" ht="18.75" hidden="1" x14ac:dyDescent="0.25">
      <c r="A577" s="674"/>
      <c r="B577" s="718"/>
      <c r="C577" s="561"/>
      <c r="D577" s="561"/>
      <c r="E577" s="569" t="s">
        <v>20</v>
      </c>
      <c r="F577" s="561"/>
      <c r="G577" s="563"/>
      <c r="H577" s="680" t="s">
        <v>14</v>
      </c>
      <c r="I577" s="565"/>
      <c r="J577" s="565"/>
      <c r="K577" s="566"/>
      <c r="L577" s="571">
        <f t="shared" ref="L577:N578" si="362">L580+L583</f>
        <v>0</v>
      </c>
      <c r="M577" s="572">
        <f t="shared" si="362"/>
        <v>0</v>
      </c>
      <c r="N577" s="572">
        <f t="shared" si="362"/>
        <v>0</v>
      </c>
      <c r="O577" s="572">
        <f t="shared" si="357"/>
        <v>0</v>
      </c>
      <c r="P577" s="572">
        <f t="shared" si="358"/>
        <v>0</v>
      </c>
      <c r="Q577" s="572">
        <f t="shared" ref="Q577:S578" si="363">Q580+Q583</f>
        <v>0</v>
      </c>
      <c r="R577" s="572">
        <f t="shared" si="363"/>
        <v>0</v>
      </c>
      <c r="S577" s="572">
        <f t="shared" si="363"/>
        <v>0</v>
      </c>
      <c r="T577" s="572">
        <f t="shared" si="360"/>
        <v>0</v>
      </c>
      <c r="U577" s="572">
        <f t="shared" si="361"/>
        <v>0</v>
      </c>
    </row>
    <row r="578" spans="1:21" ht="18.75" hidden="1" x14ac:dyDescent="0.25">
      <c r="A578" s="674"/>
      <c r="B578" s="561"/>
      <c r="C578" s="718"/>
      <c r="D578" s="561"/>
      <c r="E578" s="765" t="s">
        <v>21</v>
      </c>
      <c r="F578" s="561"/>
      <c r="G578" s="563"/>
      <c r="H578" s="681" t="s">
        <v>14</v>
      </c>
      <c r="I578" s="565"/>
      <c r="J578" s="565"/>
      <c r="K578" s="566"/>
      <c r="L578" s="567">
        <f t="shared" ca="1" si="362"/>
        <v>0</v>
      </c>
      <c r="M578" s="568">
        <f t="shared" ca="1" si="362"/>
        <v>0</v>
      </c>
      <c r="N578" s="568">
        <f t="shared" ca="1" si="362"/>
        <v>0</v>
      </c>
      <c r="O578" s="568">
        <f t="shared" ca="1" si="357"/>
        <v>0</v>
      </c>
      <c r="P578" s="568">
        <f t="shared" ca="1" si="358"/>
        <v>0</v>
      </c>
      <c r="Q578" s="568">
        <f t="shared" si="363"/>
        <v>0</v>
      </c>
      <c r="R578" s="568">
        <f t="shared" si="363"/>
        <v>0</v>
      </c>
      <c r="S578" s="568">
        <f t="shared" si="363"/>
        <v>0</v>
      </c>
      <c r="T578" s="568">
        <f t="shared" si="360"/>
        <v>0</v>
      </c>
      <c r="U578" s="568">
        <f t="shared" si="361"/>
        <v>0</v>
      </c>
    </row>
    <row r="579" spans="1:21" ht="18.75" hidden="1" x14ac:dyDescent="0.25">
      <c r="A579" s="674"/>
      <c r="B579" s="561"/>
      <c r="C579" s="718"/>
      <c r="D579" s="562" t="s">
        <v>22</v>
      </c>
      <c r="E579" s="718"/>
      <c r="F579" s="561"/>
      <c r="G579" s="563"/>
      <c r="H579" s="682" t="s">
        <v>14</v>
      </c>
      <c r="I579" s="683"/>
      <c r="J579" s="683"/>
      <c r="K579" s="684"/>
      <c r="L579" s="567">
        <f t="shared" ref="L579:N579" ca="1" si="364">L580+L581</f>
        <v>0</v>
      </c>
      <c r="M579" s="568">
        <f t="shared" ca="1" si="364"/>
        <v>0</v>
      </c>
      <c r="N579" s="568">
        <f t="shared" ca="1" si="364"/>
        <v>0</v>
      </c>
      <c r="O579" s="568">
        <f t="shared" ca="1" si="357"/>
        <v>0</v>
      </c>
      <c r="P579" s="568">
        <f t="shared" ca="1" si="358"/>
        <v>0</v>
      </c>
      <c r="Q579" s="568">
        <f t="shared" ref="Q579:S579" si="365">Q580+Q581</f>
        <v>0</v>
      </c>
      <c r="R579" s="568">
        <f t="shared" si="365"/>
        <v>0</v>
      </c>
      <c r="S579" s="568">
        <f t="shared" si="365"/>
        <v>0</v>
      </c>
      <c r="T579" s="568">
        <f t="shared" si="360"/>
        <v>0</v>
      </c>
      <c r="U579" s="568">
        <f t="shared" si="361"/>
        <v>0</v>
      </c>
    </row>
    <row r="580" spans="1:21" ht="18.75" hidden="1" x14ac:dyDescent="0.25">
      <c r="A580" s="674"/>
      <c r="B580" s="561"/>
      <c r="C580" s="561"/>
      <c r="D580" s="561"/>
      <c r="E580" s="569" t="s">
        <v>36</v>
      </c>
      <c r="F580" s="561"/>
      <c r="G580" s="563"/>
      <c r="H580" s="685" t="s">
        <v>14</v>
      </c>
      <c r="I580" s="683"/>
      <c r="J580" s="683"/>
      <c r="K580" s="684"/>
      <c r="L580" s="571">
        <v>0</v>
      </c>
      <c r="M580" s="572">
        <v>0</v>
      </c>
      <c r="N580" s="572">
        <v>0</v>
      </c>
      <c r="O580" s="572">
        <f t="shared" si="357"/>
        <v>0</v>
      </c>
      <c r="P580" s="572">
        <f t="shared" si="358"/>
        <v>0</v>
      </c>
      <c r="Q580" s="572">
        <v>0</v>
      </c>
      <c r="R580" s="572">
        <v>0</v>
      </c>
      <c r="S580" s="572">
        <v>0</v>
      </c>
      <c r="T580" s="572">
        <f t="shared" si="360"/>
        <v>0</v>
      </c>
      <c r="U580" s="572">
        <f t="shared" si="361"/>
        <v>0</v>
      </c>
    </row>
    <row r="581" spans="1:21" ht="18.75" hidden="1" x14ac:dyDescent="0.25">
      <c r="A581" s="674"/>
      <c r="B581" s="561"/>
      <c r="C581" s="561"/>
      <c r="D581" s="561"/>
      <c r="E581" s="573" t="s">
        <v>37</v>
      </c>
      <c r="F581" s="561"/>
      <c r="G581" s="563"/>
      <c r="H581" s="682" t="s">
        <v>14</v>
      </c>
      <c r="I581" s="683"/>
      <c r="J581" s="683"/>
      <c r="K581" s="684"/>
      <c r="L581" s="567">
        <f ca="1">IFERROR(__xludf.DUMMYFUNCTION("IMPORTRANGE(""https://docs.google.com/spreadsheets/d/1-uDff_7J0KD5mKrp0Vvzr7lt3OU09vwQwhkpOPPYv2Y/edit?usp=sharing"",""งบพรบ!GQ22"")"),0)</f>
        <v>0</v>
      </c>
      <c r="M581" s="568">
        <f ca="1">IFERROR(__xludf.DUMMYFUNCTION("IMPORTRANGE(""https://docs.google.com/spreadsheets/d/1-uDff_7J0KD5mKrp0Vvzr7lt3OU09vwQwhkpOPPYv2Y/edit?usp=sharing"",""งบพรบ!GV22"")"),0)</f>
        <v>0</v>
      </c>
      <c r="N581" s="568">
        <f ca="1">IFERROR(__xludf.DUMMYFUNCTION("IMPORTRANGE(""https://docs.google.com/spreadsheets/d/1-uDff_7J0KD5mKrp0Vvzr7lt3OU09vwQwhkpOPPYv2Y/edit?usp=sharing"",""งบพรบ!GX22"")"),0)</f>
        <v>0</v>
      </c>
      <c r="O581" s="568">
        <f t="shared" ca="1" si="357"/>
        <v>0</v>
      </c>
      <c r="P581" s="568">
        <f t="shared" ca="1" si="358"/>
        <v>0</v>
      </c>
      <c r="Q581" s="568">
        <v>0</v>
      </c>
      <c r="R581" s="568">
        <v>0</v>
      </c>
      <c r="S581" s="568">
        <v>0</v>
      </c>
      <c r="T581" s="568">
        <f t="shared" si="360"/>
        <v>0</v>
      </c>
      <c r="U581" s="568">
        <f t="shared" si="361"/>
        <v>0</v>
      </c>
    </row>
    <row r="582" spans="1:21" ht="18.75" hidden="1" x14ac:dyDescent="0.25">
      <c r="A582" s="674"/>
      <c r="B582" s="561"/>
      <c r="C582" s="561"/>
      <c r="D582" s="562" t="s">
        <v>23</v>
      </c>
      <c r="E582" s="561"/>
      <c r="F582" s="561"/>
      <c r="G582" s="563"/>
      <c r="H582" s="686" t="s">
        <v>14</v>
      </c>
      <c r="I582" s="683"/>
      <c r="J582" s="683"/>
      <c r="K582" s="684"/>
      <c r="L582" s="567">
        <f t="shared" ref="L582:N582" ca="1" si="366">L583+L584</f>
        <v>0</v>
      </c>
      <c r="M582" s="568">
        <f t="shared" ca="1" si="366"/>
        <v>0</v>
      </c>
      <c r="N582" s="568">
        <f t="shared" ca="1" si="366"/>
        <v>0</v>
      </c>
      <c r="O582" s="568">
        <f t="shared" ca="1" si="357"/>
        <v>0</v>
      </c>
      <c r="P582" s="568">
        <f t="shared" ca="1" si="358"/>
        <v>0</v>
      </c>
      <c r="Q582" s="568">
        <f t="shared" ref="Q582:S582" si="367">Q583+Q584</f>
        <v>0</v>
      </c>
      <c r="R582" s="568">
        <f t="shared" si="367"/>
        <v>0</v>
      </c>
      <c r="S582" s="568">
        <f t="shared" si="367"/>
        <v>0</v>
      </c>
      <c r="T582" s="568">
        <f t="shared" si="360"/>
        <v>0</v>
      </c>
      <c r="U582" s="568">
        <f t="shared" si="361"/>
        <v>0</v>
      </c>
    </row>
    <row r="583" spans="1:21" ht="18.75" hidden="1" x14ac:dyDescent="0.25">
      <c r="A583" s="674"/>
      <c r="B583" s="561"/>
      <c r="C583" s="561"/>
      <c r="D583" s="561"/>
      <c r="E583" s="569" t="s">
        <v>20</v>
      </c>
      <c r="F583" s="561"/>
      <c r="G583" s="563"/>
      <c r="H583" s="685" t="s">
        <v>14</v>
      </c>
      <c r="I583" s="683"/>
      <c r="J583" s="683"/>
      <c r="K583" s="684"/>
      <c r="L583" s="571">
        <v>0</v>
      </c>
      <c r="M583" s="572">
        <v>0</v>
      </c>
      <c r="N583" s="572">
        <v>0</v>
      </c>
      <c r="O583" s="572">
        <f t="shared" si="357"/>
        <v>0</v>
      </c>
      <c r="P583" s="572">
        <f t="shared" si="358"/>
        <v>0</v>
      </c>
      <c r="Q583" s="572">
        <v>0</v>
      </c>
      <c r="R583" s="572">
        <v>0</v>
      </c>
      <c r="S583" s="572">
        <v>0</v>
      </c>
      <c r="T583" s="572">
        <f t="shared" si="360"/>
        <v>0</v>
      </c>
      <c r="U583" s="572">
        <f t="shared" si="361"/>
        <v>0</v>
      </c>
    </row>
    <row r="584" spans="1:21" ht="18.75" hidden="1" x14ac:dyDescent="0.25">
      <c r="A584" s="674"/>
      <c r="B584" s="561"/>
      <c r="C584" s="561"/>
      <c r="D584" s="561"/>
      <c r="E584" s="573" t="s">
        <v>21</v>
      </c>
      <c r="F584" s="561"/>
      <c r="G584" s="563"/>
      <c r="H584" s="686" t="s">
        <v>14</v>
      </c>
      <c r="I584" s="683"/>
      <c r="J584" s="683"/>
      <c r="K584" s="684"/>
      <c r="L584" s="567">
        <f ca="1">IFERROR(__xludf.DUMMYFUNCTION("IMPORTRANGE(""https://docs.google.com/spreadsheets/d/1-uDff_7J0KD5mKrp0Vvzr7lt3OU09vwQwhkpOPPYv2Y/edit?usp=sharing"",""งบพรบ!GT22"")"),0)</f>
        <v>0</v>
      </c>
      <c r="M584" s="568">
        <f ca="1">IFERROR(__xludf.DUMMYFUNCTION("IMPORTRANGE(""https://docs.google.com/spreadsheets/d/1-uDff_7J0KD5mKrp0Vvzr7lt3OU09vwQwhkpOPPYv2Y/edit?usp=sharing"",""งบพรบ!GW22"")"),0)</f>
        <v>0</v>
      </c>
      <c r="N584" s="568">
        <f ca="1">IFERROR(__xludf.DUMMYFUNCTION("IMPORTRANGE(""https://docs.google.com/spreadsheets/d/1-uDff_7J0KD5mKrp0Vvzr7lt3OU09vwQwhkpOPPYv2Y/edit?usp=sharing"",""งบพรบ!GY22"")"),0)</f>
        <v>0</v>
      </c>
      <c r="O584" s="568">
        <f t="shared" ca="1" si="357"/>
        <v>0</v>
      </c>
      <c r="P584" s="568">
        <f t="shared" ca="1" si="358"/>
        <v>0</v>
      </c>
      <c r="Q584" s="568">
        <v>0</v>
      </c>
      <c r="R584" s="568">
        <v>0</v>
      </c>
      <c r="S584" s="568">
        <v>0</v>
      </c>
      <c r="T584" s="568">
        <f t="shared" si="360"/>
        <v>0</v>
      </c>
      <c r="U584" s="568">
        <f t="shared" si="361"/>
        <v>0</v>
      </c>
    </row>
    <row r="585" spans="1:21" ht="19.5" hidden="1" x14ac:dyDescent="0.3">
      <c r="A585" s="687"/>
      <c r="B585" s="688"/>
      <c r="C585" s="1034" t="s">
        <v>18</v>
      </c>
      <c r="D585" s="689" t="s">
        <v>38</v>
      </c>
      <c r="E585" s="690"/>
      <c r="F585" s="690"/>
      <c r="G585" s="691"/>
      <c r="H585" s="692"/>
      <c r="I585" s="683"/>
      <c r="J585" s="565"/>
      <c r="K585" s="566"/>
      <c r="L585" s="574"/>
      <c r="M585" s="566"/>
      <c r="N585" s="566"/>
      <c r="O585" s="684"/>
      <c r="P585" s="684"/>
      <c r="Q585" s="566"/>
      <c r="R585" s="566"/>
      <c r="S585" s="566"/>
      <c r="T585" s="684"/>
      <c r="U585" s="684"/>
    </row>
    <row r="586" spans="1:21" ht="12.75" hidden="1" x14ac:dyDescent="0.2">
      <c r="A586" s="973"/>
      <c r="B586" s="974"/>
      <c r="C586" s="961"/>
      <c r="D586" s="974"/>
      <c r="E586" s="961"/>
      <c r="F586" s="974"/>
      <c r="G586" s="975"/>
      <c r="H586" s="975"/>
      <c r="I586" s="963"/>
      <c r="J586" s="963"/>
      <c r="K586" s="964"/>
      <c r="L586" s="965"/>
      <c r="M586" s="964"/>
      <c r="N586" s="964"/>
      <c r="O586" s="964"/>
      <c r="P586" s="964"/>
      <c r="Q586" s="964"/>
      <c r="R586" s="964"/>
      <c r="S586" s="964"/>
      <c r="T586" s="964"/>
      <c r="U586" s="964"/>
    </row>
    <row r="587" spans="1:21" ht="12.75" hidden="1" x14ac:dyDescent="0.2">
      <c r="A587" s="973"/>
      <c r="B587" s="974"/>
      <c r="C587" s="961"/>
      <c r="D587" s="974"/>
      <c r="E587" s="961"/>
      <c r="F587" s="974"/>
      <c r="G587" s="975"/>
      <c r="H587" s="975"/>
      <c r="I587" s="963"/>
      <c r="J587" s="963"/>
      <c r="K587" s="964"/>
      <c r="L587" s="965"/>
      <c r="M587" s="964"/>
      <c r="N587" s="964"/>
      <c r="O587" s="964"/>
      <c r="P587" s="964"/>
      <c r="Q587" s="964"/>
      <c r="R587" s="964"/>
      <c r="S587" s="964"/>
      <c r="T587" s="964"/>
      <c r="U587" s="964"/>
    </row>
    <row r="588" spans="1:21" ht="12.75" hidden="1" x14ac:dyDescent="0.2">
      <c r="A588" s="973"/>
      <c r="B588" s="961"/>
      <c r="C588" s="961"/>
      <c r="D588" s="974"/>
      <c r="E588" s="974"/>
      <c r="F588" s="974"/>
      <c r="G588" s="975"/>
      <c r="H588" s="962"/>
      <c r="I588" s="963"/>
      <c r="J588" s="963"/>
      <c r="K588" s="964"/>
      <c r="L588" s="965"/>
      <c r="M588" s="964"/>
      <c r="N588" s="964"/>
      <c r="O588" s="964"/>
      <c r="P588" s="964"/>
      <c r="Q588" s="964"/>
      <c r="R588" s="964"/>
      <c r="S588" s="964"/>
      <c r="T588" s="964"/>
      <c r="U588" s="964"/>
    </row>
    <row r="589" spans="1:21" ht="12.75" hidden="1" x14ac:dyDescent="0.2">
      <c r="A589" s="973"/>
      <c r="B589" s="961"/>
      <c r="C589" s="961"/>
      <c r="D589" s="974"/>
      <c r="E589" s="974"/>
      <c r="F589" s="974"/>
      <c r="G589" s="975"/>
      <c r="H589" s="962"/>
      <c r="I589" s="963"/>
      <c r="J589" s="963"/>
      <c r="K589" s="964"/>
      <c r="L589" s="965"/>
      <c r="M589" s="964"/>
      <c r="N589" s="964"/>
      <c r="O589" s="964"/>
      <c r="P589" s="964"/>
      <c r="Q589" s="964"/>
      <c r="R589" s="964"/>
      <c r="S589" s="964"/>
      <c r="T589" s="964"/>
      <c r="U589" s="964"/>
    </row>
    <row r="590" spans="1:21" ht="12.75" hidden="1" x14ac:dyDescent="0.2">
      <c r="A590" s="973"/>
      <c r="B590" s="961"/>
      <c r="C590" s="961"/>
      <c r="D590" s="974"/>
      <c r="E590" s="974"/>
      <c r="F590" s="974"/>
      <c r="G590" s="975"/>
      <c r="H590" s="962"/>
      <c r="I590" s="963"/>
      <c r="J590" s="963"/>
      <c r="K590" s="964"/>
      <c r="L590" s="965"/>
      <c r="M590" s="964"/>
      <c r="N590" s="964"/>
      <c r="O590" s="964"/>
      <c r="P590" s="964"/>
      <c r="Q590" s="964"/>
      <c r="R590" s="964"/>
      <c r="S590" s="964"/>
      <c r="T590" s="964"/>
      <c r="U590" s="964"/>
    </row>
    <row r="591" spans="1:21" ht="12.75" hidden="1" x14ac:dyDescent="0.2">
      <c r="A591" s="973"/>
      <c r="B591" s="961"/>
      <c r="C591" s="961"/>
      <c r="D591" s="974"/>
      <c r="E591" s="974"/>
      <c r="F591" s="974"/>
      <c r="G591" s="975"/>
      <c r="H591" s="962"/>
      <c r="I591" s="963"/>
      <c r="J591" s="963"/>
      <c r="K591" s="964"/>
      <c r="L591" s="965"/>
      <c r="M591" s="964"/>
      <c r="N591" s="964"/>
      <c r="O591" s="964"/>
      <c r="P591" s="964"/>
      <c r="Q591" s="964"/>
      <c r="R591" s="964"/>
      <c r="S591" s="964"/>
      <c r="T591" s="964"/>
      <c r="U591" s="964"/>
    </row>
    <row r="592" spans="1:21" ht="12.75" hidden="1" x14ac:dyDescent="0.2">
      <c r="A592" s="973"/>
      <c r="B592" s="961"/>
      <c r="C592" s="961"/>
      <c r="D592" s="974"/>
      <c r="E592" s="974"/>
      <c r="F592" s="974"/>
      <c r="G592" s="975"/>
      <c r="H592" s="962"/>
      <c r="I592" s="963"/>
      <c r="J592" s="963"/>
      <c r="K592" s="964"/>
      <c r="L592" s="965"/>
      <c r="M592" s="964"/>
      <c r="N592" s="964"/>
      <c r="O592" s="964"/>
      <c r="P592" s="964"/>
      <c r="Q592" s="964"/>
      <c r="R592" s="964"/>
      <c r="S592" s="964"/>
      <c r="T592" s="964"/>
      <c r="U592" s="964"/>
    </row>
    <row r="593" spans="1:21" ht="12.75" hidden="1" x14ac:dyDescent="0.2">
      <c r="A593" s="973"/>
      <c r="B593" s="961"/>
      <c r="C593" s="961"/>
      <c r="D593" s="974"/>
      <c r="E593" s="974"/>
      <c r="F593" s="974"/>
      <c r="G593" s="975"/>
      <c r="H593" s="962"/>
      <c r="I593" s="963"/>
      <c r="J593" s="963"/>
      <c r="K593" s="964"/>
      <c r="L593" s="965"/>
      <c r="M593" s="964"/>
      <c r="N593" s="964"/>
      <c r="O593" s="964"/>
      <c r="P593" s="964"/>
      <c r="Q593" s="964"/>
      <c r="R593" s="964"/>
      <c r="S593" s="964"/>
      <c r="T593" s="964"/>
      <c r="U593" s="964"/>
    </row>
    <row r="594" spans="1:21" ht="12.75" hidden="1" x14ac:dyDescent="0.2">
      <c r="A594" s="973"/>
      <c r="B594" s="961"/>
      <c r="C594" s="961"/>
      <c r="D594" s="974"/>
      <c r="E594" s="974"/>
      <c r="F594" s="974"/>
      <c r="G594" s="975"/>
      <c r="H594" s="962"/>
      <c r="I594" s="963"/>
      <c r="J594" s="963"/>
      <c r="K594" s="964"/>
      <c r="L594" s="965"/>
      <c r="M594" s="964"/>
      <c r="N594" s="964"/>
      <c r="O594" s="964"/>
      <c r="P594" s="964"/>
      <c r="Q594" s="964"/>
      <c r="R594" s="964"/>
      <c r="S594" s="964"/>
      <c r="T594" s="964"/>
      <c r="U594" s="964"/>
    </row>
    <row r="595" spans="1:21" ht="12.75" hidden="1" x14ac:dyDescent="0.2">
      <c r="A595" s="1027"/>
      <c r="B595" s="966"/>
      <c r="C595" s="966"/>
      <c r="D595" s="1028"/>
      <c r="E595" s="1028"/>
      <c r="F595" s="1028"/>
      <c r="G595" s="1029"/>
      <c r="H595" s="967"/>
      <c r="I595" s="968"/>
      <c r="J595" s="968"/>
      <c r="K595" s="969"/>
      <c r="L595" s="970"/>
      <c r="M595" s="969"/>
      <c r="N595" s="969"/>
      <c r="O595" s="969"/>
      <c r="P595" s="969"/>
      <c r="Q595" s="969"/>
      <c r="R595" s="969"/>
      <c r="S595" s="969"/>
      <c r="T595" s="969"/>
      <c r="U595" s="969"/>
    </row>
    <row r="596" spans="1:21" ht="19.5" hidden="1" x14ac:dyDescent="0.3">
      <c r="A596" s="1035" t="s">
        <v>213</v>
      </c>
      <c r="B596" s="663"/>
      <c r="C596" s="729"/>
      <c r="D596" s="663"/>
      <c r="E596" s="663"/>
      <c r="F596" s="663"/>
      <c r="G596" s="663"/>
      <c r="H596" s="664"/>
      <c r="I596" s="730"/>
      <c r="J596" s="730"/>
      <c r="K596" s="731"/>
      <c r="L596" s="667"/>
      <c r="M596" s="667"/>
      <c r="N596" s="667"/>
      <c r="O596" s="667"/>
      <c r="P596" s="667"/>
      <c r="Q596" s="667"/>
      <c r="R596" s="667"/>
      <c r="S596" s="667"/>
      <c r="T596" s="667"/>
      <c r="U596" s="667"/>
    </row>
    <row r="597" spans="1:21" ht="19.5" hidden="1" x14ac:dyDescent="0.3">
      <c r="A597" s="669"/>
      <c r="B597" s="1036" t="s">
        <v>214</v>
      </c>
      <c r="C597" s="716"/>
      <c r="D597" s="670"/>
      <c r="E597" s="543"/>
      <c r="F597" s="543"/>
      <c r="G597" s="543"/>
      <c r="H597" s="1037" t="s">
        <v>99</v>
      </c>
      <c r="I597" s="732"/>
      <c r="J597" s="548"/>
      <c r="K597" s="549"/>
      <c r="L597" s="673"/>
      <c r="M597" s="549"/>
      <c r="N597" s="549"/>
      <c r="O597" s="549"/>
      <c r="P597" s="549"/>
      <c r="Q597" s="549"/>
      <c r="R597" s="549"/>
      <c r="S597" s="549"/>
      <c r="T597" s="549"/>
      <c r="U597" s="549"/>
    </row>
    <row r="598" spans="1:21" ht="19.5" hidden="1" x14ac:dyDescent="0.3">
      <c r="A598" s="1038"/>
      <c r="B598" s="1039" t="s">
        <v>215</v>
      </c>
      <c r="C598" s="670"/>
      <c r="D598" s="543"/>
      <c r="E598" s="543"/>
      <c r="F598" s="543"/>
      <c r="G598" s="546"/>
      <c r="H598" s="1040" t="s">
        <v>35</v>
      </c>
      <c r="I598" s="548"/>
      <c r="J598" s="548"/>
      <c r="K598" s="549"/>
      <c r="L598" s="673"/>
      <c r="M598" s="549"/>
      <c r="N598" s="549"/>
      <c r="O598" s="549"/>
      <c r="P598" s="549"/>
      <c r="Q598" s="549"/>
      <c r="R598" s="549"/>
      <c r="S598" s="549"/>
      <c r="T598" s="549"/>
      <c r="U598" s="549"/>
    </row>
    <row r="599" spans="1:21" ht="19.5" hidden="1" x14ac:dyDescent="0.3">
      <c r="A599" s="674"/>
      <c r="B599" s="718"/>
      <c r="C599" s="724" t="s">
        <v>18</v>
      </c>
      <c r="D599" s="1315" t="s">
        <v>19</v>
      </c>
      <c r="E599" s="1311"/>
      <c r="F599" s="1311"/>
      <c r="G599" s="1312"/>
      <c r="H599" s="799" t="s">
        <v>14</v>
      </c>
      <c r="I599" s="565"/>
      <c r="J599" s="565"/>
      <c r="K599" s="566"/>
      <c r="L599" s="678">
        <f t="shared" ref="L599:N599" ca="1" si="368">L600+L601</f>
        <v>0</v>
      </c>
      <c r="M599" s="679">
        <f t="shared" ca="1" si="368"/>
        <v>0</v>
      </c>
      <c r="N599" s="679">
        <f t="shared" ca="1" si="368"/>
        <v>0</v>
      </c>
      <c r="O599" s="679">
        <f t="shared" ref="O599:O607" ca="1" si="369">IF(L599&gt;0,N599*100/L599,0)</f>
        <v>0</v>
      </c>
      <c r="P599" s="679">
        <f t="shared" ref="P599:P607" ca="1" si="370">IF(M599&gt;0,N599*100/M599,0)</f>
        <v>0</v>
      </c>
      <c r="Q599" s="679">
        <f t="shared" ref="Q599:S599" ca="1" si="371">Q600+Q601</f>
        <v>0</v>
      </c>
      <c r="R599" s="679">
        <f t="shared" ca="1" si="371"/>
        <v>0</v>
      </c>
      <c r="S599" s="679">
        <f t="shared" ca="1" si="371"/>
        <v>0</v>
      </c>
      <c r="T599" s="679">
        <f t="shared" ref="T599:T607" ca="1" si="372">IF(Q599&gt;0,S599*100/Q599,0)</f>
        <v>0</v>
      </c>
      <c r="U599" s="679">
        <f t="shared" ref="U599:U607" ca="1" si="373">IF(R599&gt;0,S599*100/R599,0)</f>
        <v>0</v>
      </c>
    </row>
    <row r="600" spans="1:21" ht="18.75" hidden="1" x14ac:dyDescent="0.25">
      <c r="A600" s="674"/>
      <c r="B600" s="718"/>
      <c r="C600" s="718"/>
      <c r="D600" s="695"/>
      <c r="E600" s="569" t="s">
        <v>158</v>
      </c>
      <c r="F600" s="561"/>
      <c r="G600" s="563"/>
      <c r="H600" s="685" t="s">
        <v>14</v>
      </c>
      <c r="I600" s="565"/>
      <c r="J600" s="565"/>
      <c r="K600" s="566"/>
      <c r="L600" s="571">
        <f t="shared" ref="L600:N601" si="374">L603+L606</f>
        <v>0</v>
      </c>
      <c r="M600" s="572">
        <f t="shared" si="374"/>
        <v>0</v>
      </c>
      <c r="N600" s="572">
        <f t="shared" si="374"/>
        <v>0</v>
      </c>
      <c r="O600" s="572">
        <f t="shared" si="369"/>
        <v>0</v>
      </c>
      <c r="P600" s="572">
        <f t="shared" si="370"/>
        <v>0</v>
      </c>
      <c r="Q600" s="572">
        <f t="shared" ref="Q600:S601" si="375">Q603+Q606</f>
        <v>0</v>
      </c>
      <c r="R600" s="572">
        <f t="shared" si="375"/>
        <v>0</v>
      </c>
      <c r="S600" s="572">
        <f t="shared" si="375"/>
        <v>0</v>
      </c>
      <c r="T600" s="572">
        <f t="shared" si="372"/>
        <v>0</v>
      </c>
      <c r="U600" s="572">
        <f t="shared" si="373"/>
        <v>0</v>
      </c>
    </row>
    <row r="601" spans="1:21" ht="18.75" hidden="1" x14ac:dyDescent="0.25">
      <c r="A601" s="674"/>
      <c r="B601" s="718"/>
      <c r="C601" s="718"/>
      <c r="D601" s="695"/>
      <c r="E601" s="569" t="s">
        <v>159</v>
      </c>
      <c r="F601" s="561"/>
      <c r="G601" s="563"/>
      <c r="H601" s="685" t="s">
        <v>14</v>
      </c>
      <c r="I601" s="565"/>
      <c r="J601" s="565"/>
      <c r="K601" s="566"/>
      <c r="L601" s="567">
        <f t="shared" ca="1" si="374"/>
        <v>0</v>
      </c>
      <c r="M601" s="568">
        <f t="shared" ca="1" si="374"/>
        <v>0</v>
      </c>
      <c r="N601" s="568">
        <f t="shared" ca="1" si="374"/>
        <v>0</v>
      </c>
      <c r="O601" s="568">
        <f t="shared" ca="1" si="369"/>
        <v>0</v>
      </c>
      <c r="P601" s="568">
        <f t="shared" ca="1" si="370"/>
        <v>0</v>
      </c>
      <c r="Q601" s="568">
        <f t="shared" ca="1" si="375"/>
        <v>0</v>
      </c>
      <c r="R601" s="568">
        <f t="shared" ca="1" si="375"/>
        <v>0</v>
      </c>
      <c r="S601" s="568">
        <f t="shared" ca="1" si="375"/>
        <v>0</v>
      </c>
      <c r="T601" s="568">
        <f t="shared" ca="1" si="372"/>
        <v>0</v>
      </c>
      <c r="U601" s="568">
        <f t="shared" ca="1" si="373"/>
        <v>0</v>
      </c>
    </row>
    <row r="602" spans="1:21" ht="19.5" hidden="1" x14ac:dyDescent="0.3">
      <c r="A602" s="674"/>
      <c r="B602" s="718"/>
      <c r="C602" s="718"/>
      <c r="D602" s="798" t="s">
        <v>22</v>
      </c>
      <c r="E602" s="561"/>
      <c r="F602" s="561"/>
      <c r="G602" s="563"/>
      <c r="H602" s="799" t="s">
        <v>14</v>
      </c>
      <c r="I602" s="683"/>
      <c r="J602" s="683"/>
      <c r="K602" s="684"/>
      <c r="L602" s="567">
        <f t="shared" ref="L602:N602" ca="1" si="376">L603+L604</f>
        <v>0</v>
      </c>
      <c r="M602" s="568">
        <f t="shared" ca="1" si="376"/>
        <v>0</v>
      </c>
      <c r="N602" s="568">
        <f t="shared" ca="1" si="376"/>
        <v>0</v>
      </c>
      <c r="O602" s="568">
        <f t="shared" ca="1" si="369"/>
        <v>0</v>
      </c>
      <c r="P602" s="568">
        <f t="shared" ca="1" si="370"/>
        <v>0</v>
      </c>
      <c r="Q602" s="568">
        <f t="shared" ref="Q602:S602" ca="1" si="377">Q603+Q604</f>
        <v>0</v>
      </c>
      <c r="R602" s="568">
        <f t="shared" ca="1" si="377"/>
        <v>0</v>
      </c>
      <c r="S602" s="568">
        <f t="shared" ca="1" si="377"/>
        <v>0</v>
      </c>
      <c r="T602" s="568">
        <f t="shared" ca="1" si="372"/>
        <v>0</v>
      </c>
      <c r="U602" s="568">
        <f t="shared" ca="1" si="373"/>
        <v>0</v>
      </c>
    </row>
    <row r="603" spans="1:21" ht="18.75" hidden="1" x14ac:dyDescent="0.25">
      <c r="A603" s="674"/>
      <c r="B603" s="718"/>
      <c r="C603" s="718"/>
      <c r="D603" s="695"/>
      <c r="E603" s="569" t="s">
        <v>158</v>
      </c>
      <c r="F603" s="561"/>
      <c r="G603" s="563"/>
      <c r="H603" s="685" t="s">
        <v>14</v>
      </c>
      <c r="I603" s="565"/>
      <c r="J603" s="565"/>
      <c r="K603" s="566"/>
      <c r="L603" s="571">
        <v>0</v>
      </c>
      <c r="M603" s="572">
        <v>0</v>
      </c>
      <c r="N603" s="572">
        <v>0</v>
      </c>
      <c r="O603" s="572">
        <f t="shared" si="369"/>
        <v>0</v>
      </c>
      <c r="P603" s="572">
        <f t="shared" si="370"/>
        <v>0</v>
      </c>
      <c r="Q603" s="572">
        <v>0</v>
      </c>
      <c r="R603" s="572">
        <v>0</v>
      </c>
      <c r="S603" s="572">
        <v>0</v>
      </c>
      <c r="T603" s="572">
        <f t="shared" si="372"/>
        <v>0</v>
      </c>
      <c r="U603" s="572">
        <f t="shared" si="373"/>
        <v>0</v>
      </c>
    </row>
    <row r="604" spans="1:21" ht="18.75" hidden="1" x14ac:dyDescent="0.25">
      <c r="A604" s="674"/>
      <c r="B604" s="718"/>
      <c r="C604" s="718"/>
      <c r="D604" s="695"/>
      <c r="E604" s="569" t="s">
        <v>159</v>
      </c>
      <c r="F604" s="561"/>
      <c r="G604" s="563"/>
      <c r="H604" s="685" t="s">
        <v>14</v>
      </c>
      <c r="I604" s="565"/>
      <c r="J604" s="565"/>
      <c r="K604" s="566"/>
      <c r="L604" s="567">
        <f ca="1">IFERROR(__xludf.DUMMYFUNCTION("IMPORTRANGE(""https://docs.google.com/spreadsheets/d/1-uDff_7J0KD5mKrp0Vvzr7lt3OU09vwQwhkpOPPYv2Y/edit?usp=sharing"",""งบพรบ!HK22"")"),0)</f>
        <v>0</v>
      </c>
      <c r="M604" s="568">
        <f ca="1">IFERROR(__xludf.DUMMYFUNCTION("IMPORTRANGE(""https://docs.google.com/spreadsheets/d/1-uDff_7J0KD5mKrp0Vvzr7lt3OU09vwQwhkpOPPYv2Y/edit?usp=sharing"",""งบพรบ!HP22"")"),0)</f>
        <v>0</v>
      </c>
      <c r="N604" s="568">
        <f ca="1">IFERROR(__xludf.DUMMYFUNCTION("IMPORTRANGE(""https://docs.google.com/spreadsheets/d/1-uDff_7J0KD5mKrp0Vvzr7lt3OU09vwQwhkpOPPYv2Y/edit?usp=sharing"",""งบพรบ!HR22"")"),0)</f>
        <v>0</v>
      </c>
      <c r="O604" s="568">
        <f t="shared" ca="1" si="369"/>
        <v>0</v>
      </c>
      <c r="P604" s="568">
        <f t="shared" ca="1" si="370"/>
        <v>0</v>
      </c>
      <c r="Q604" s="568">
        <f ca="1">IFERROR(__xludf.DUMMYFUNCTION("IMPORTRANGE(""https://docs.google.com/spreadsheets/d/1ItG2mGa2ceCfYo0BwxsXqNm01IGEUdYcSSLTEv9YCik/edit?usp=sharing"",""เบิกจ่ายกองทุน!AV22"")"),0)</f>
        <v>0</v>
      </c>
      <c r="R604" s="568">
        <f ca="1">IFERROR(__xludf.DUMMYFUNCTION("IMPORTRANGE(""https://docs.google.com/spreadsheets/d/1ItG2mGa2ceCfYo0BwxsXqNm01IGEUdYcSSLTEv9YCik/edit?usp=sharing"",""เบิกจ่ายกองทุน!AW22"")"),0)</f>
        <v>0</v>
      </c>
      <c r="S604" s="568">
        <f ca="1">IFERROR(__xludf.DUMMYFUNCTION("IMPORTRANGE(""https://docs.google.com/spreadsheets/d/1ItG2mGa2ceCfYo0BwxsXqNm01IGEUdYcSSLTEv9YCik/edit?usp=sharing"",""เบิกจ่ายกองทุน!AX22"")"),0)</f>
        <v>0</v>
      </c>
      <c r="T604" s="568">
        <f t="shared" ca="1" si="372"/>
        <v>0</v>
      </c>
      <c r="U604" s="568">
        <f t="shared" ca="1" si="373"/>
        <v>0</v>
      </c>
    </row>
    <row r="605" spans="1:21" ht="19.5" hidden="1" x14ac:dyDescent="0.3">
      <c r="A605" s="674"/>
      <c r="B605" s="718"/>
      <c r="C605" s="718"/>
      <c r="D605" s="798" t="s">
        <v>23</v>
      </c>
      <c r="E605" s="718"/>
      <c r="F605" s="561"/>
      <c r="G605" s="563"/>
      <c r="H605" s="1041" t="s">
        <v>14</v>
      </c>
      <c r="I605" s="683"/>
      <c r="J605" s="683"/>
      <c r="K605" s="684"/>
      <c r="L605" s="567">
        <f t="shared" ref="L605:N605" ca="1" si="378">L606+L607</f>
        <v>0</v>
      </c>
      <c r="M605" s="568">
        <f t="shared" ca="1" si="378"/>
        <v>0</v>
      </c>
      <c r="N605" s="568">
        <f t="shared" ca="1" si="378"/>
        <v>0</v>
      </c>
      <c r="O605" s="568">
        <f t="shared" ca="1" si="369"/>
        <v>0</v>
      </c>
      <c r="P605" s="568">
        <f t="shared" ca="1" si="370"/>
        <v>0</v>
      </c>
      <c r="Q605" s="568">
        <f t="shared" ref="Q605:S605" ca="1" si="379">Q606+Q607</f>
        <v>0</v>
      </c>
      <c r="R605" s="568">
        <f t="shared" ca="1" si="379"/>
        <v>0</v>
      </c>
      <c r="S605" s="568">
        <f t="shared" ca="1" si="379"/>
        <v>0</v>
      </c>
      <c r="T605" s="568">
        <f t="shared" ca="1" si="372"/>
        <v>0</v>
      </c>
      <c r="U605" s="568">
        <f t="shared" ca="1" si="373"/>
        <v>0</v>
      </c>
    </row>
    <row r="606" spans="1:21" ht="18.75" hidden="1" x14ac:dyDescent="0.25">
      <c r="A606" s="674"/>
      <c r="B606" s="718"/>
      <c r="C606" s="718"/>
      <c r="D606" s="718"/>
      <c r="E606" s="767" t="s">
        <v>20</v>
      </c>
      <c r="F606" s="561"/>
      <c r="G606" s="563"/>
      <c r="H606" s="685" t="s">
        <v>14</v>
      </c>
      <c r="I606" s="683"/>
      <c r="J606" s="683"/>
      <c r="K606" s="684"/>
      <c r="L606" s="571">
        <v>0</v>
      </c>
      <c r="M606" s="572">
        <v>0</v>
      </c>
      <c r="N606" s="572">
        <v>0</v>
      </c>
      <c r="O606" s="572">
        <f t="shared" si="369"/>
        <v>0</v>
      </c>
      <c r="P606" s="572">
        <f t="shared" si="370"/>
        <v>0</v>
      </c>
      <c r="Q606" s="572">
        <v>0</v>
      </c>
      <c r="R606" s="572">
        <v>0</v>
      </c>
      <c r="S606" s="572">
        <v>0</v>
      </c>
      <c r="T606" s="572">
        <f t="shared" si="372"/>
        <v>0</v>
      </c>
      <c r="U606" s="572">
        <f t="shared" si="373"/>
        <v>0</v>
      </c>
    </row>
    <row r="607" spans="1:21" ht="18.75" hidden="1" x14ac:dyDescent="0.25">
      <c r="A607" s="674"/>
      <c r="B607" s="718"/>
      <c r="C607" s="718"/>
      <c r="D607" s="561"/>
      <c r="E607" s="767" t="s">
        <v>21</v>
      </c>
      <c r="F607" s="561"/>
      <c r="G607" s="563"/>
      <c r="H607" s="734" t="s">
        <v>14</v>
      </c>
      <c r="I607" s="683"/>
      <c r="J607" s="683"/>
      <c r="K607" s="684"/>
      <c r="L607" s="567">
        <f ca="1">IFERROR(__xludf.DUMMYFUNCTION("IMPORTRANGE(""https://docs.google.com/spreadsheets/d/1-uDff_7J0KD5mKrp0Vvzr7lt3OU09vwQwhkpOPPYv2Y/edit?usp=sharing"",""งบพรบ!HN22"")"),0)</f>
        <v>0</v>
      </c>
      <c r="M607" s="568">
        <f ca="1">IFERROR(__xludf.DUMMYFUNCTION("IMPORTRANGE(""https://docs.google.com/spreadsheets/d/1-uDff_7J0KD5mKrp0Vvzr7lt3OU09vwQwhkpOPPYv2Y/edit?usp=sharing"",""งบพรบ!HQ22"")"),0)</f>
        <v>0</v>
      </c>
      <c r="N607" s="568">
        <f ca="1">IFERROR(__xludf.DUMMYFUNCTION("IMPORTRANGE(""https://docs.google.com/spreadsheets/d/1-uDff_7J0KD5mKrp0Vvzr7lt3OU09vwQwhkpOPPYv2Y/edit?usp=sharing"",""งบพรบ!HS22"")"),0)</f>
        <v>0</v>
      </c>
      <c r="O607" s="568">
        <f t="shared" ca="1" si="369"/>
        <v>0</v>
      </c>
      <c r="P607" s="568">
        <f t="shared" ca="1" si="370"/>
        <v>0</v>
      </c>
      <c r="Q607" s="568">
        <f ca="1">IFERROR(__xludf.DUMMYFUNCTION("IMPORTRANGE(""https://docs.google.com/spreadsheets/d/1ItG2mGa2ceCfYo0BwxsXqNm01IGEUdYcSSLTEv9YCik/edit?usp=sharing"",""เบิกจ่ายกองทุน!AY22"")"),0)</f>
        <v>0</v>
      </c>
      <c r="R607" s="568">
        <f ca="1">IFERROR(__xludf.DUMMYFUNCTION("IMPORTRANGE(""https://docs.google.com/spreadsheets/d/1ItG2mGa2ceCfYo0BwxsXqNm01IGEUdYcSSLTEv9YCik/edit?usp=sharing"",""เบิกจ่ายกองทุน!AZ22"")"),0)</f>
        <v>0</v>
      </c>
      <c r="S607" s="568">
        <f ca="1">IFERROR(__xludf.DUMMYFUNCTION("IMPORTRANGE(""https://docs.google.com/spreadsheets/d/1ItG2mGa2ceCfYo0BwxsXqNm01IGEUdYcSSLTEv9YCik/edit?usp=sharing"",""เบิกจ่ายกองทุน!BA22"")"),0)</f>
        <v>0</v>
      </c>
      <c r="T607" s="568">
        <f t="shared" ca="1" si="372"/>
        <v>0</v>
      </c>
      <c r="U607" s="568">
        <f t="shared" ca="1" si="373"/>
        <v>0</v>
      </c>
    </row>
    <row r="608" spans="1:21" ht="19.5" hidden="1" x14ac:dyDescent="0.3">
      <c r="A608" s="687"/>
      <c r="B608" s="688"/>
      <c r="C608" s="724" t="s">
        <v>18</v>
      </c>
      <c r="D608" s="801" t="s">
        <v>38</v>
      </c>
      <c r="E608" s="690"/>
      <c r="F608" s="690"/>
      <c r="G608" s="691"/>
      <c r="H608" s="725"/>
      <c r="I608" s="683"/>
      <c r="J608" s="683"/>
      <c r="K608" s="684"/>
      <c r="L608" s="574"/>
      <c r="M608" s="566"/>
      <c r="N608" s="566"/>
      <c r="O608" s="566"/>
      <c r="P608" s="566"/>
      <c r="Q608" s="566"/>
      <c r="R608" s="566"/>
      <c r="S608" s="566"/>
      <c r="T608" s="566"/>
      <c r="U608" s="566"/>
    </row>
    <row r="609" spans="1:21" ht="18.75" hidden="1" x14ac:dyDescent="0.25">
      <c r="A609" s="687"/>
      <c r="B609" s="688"/>
      <c r="C609" s="688"/>
      <c r="D609" s="1042" t="s">
        <v>216</v>
      </c>
      <c r="E609" s="695"/>
      <c r="F609" s="695"/>
      <c r="G609" s="692"/>
      <c r="H609" s="685" t="s">
        <v>99</v>
      </c>
      <c r="I609" s="565"/>
      <c r="J609" s="565"/>
      <c r="K609" s="684"/>
      <c r="L609" s="574"/>
      <c r="M609" s="566"/>
      <c r="N609" s="566"/>
      <c r="O609" s="566"/>
      <c r="P609" s="566"/>
      <c r="Q609" s="566"/>
      <c r="R609" s="566"/>
      <c r="S609" s="566"/>
      <c r="T609" s="566"/>
      <c r="U609" s="566"/>
    </row>
    <row r="610" spans="1:21" ht="19.5" hidden="1" x14ac:dyDescent="0.3">
      <c r="A610" s="687"/>
      <c r="B610" s="688"/>
      <c r="C610" s="688"/>
      <c r="D610" s="1042" t="s">
        <v>217</v>
      </c>
      <c r="E610" s="695"/>
      <c r="F610" s="695"/>
      <c r="G610" s="692"/>
      <c r="H610" s="799" t="s">
        <v>35</v>
      </c>
      <c r="I610" s="565"/>
      <c r="J610" s="565"/>
      <c r="K610" s="684"/>
      <c r="L610" s="574"/>
      <c r="M610" s="566"/>
      <c r="N610" s="566"/>
      <c r="O610" s="566"/>
      <c r="P610" s="566"/>
      <c r="Q610" s="566"/>
      <c r="R610" s="566"/>
      <c r="S610" s="566"/>
      <c r="T610" s="566"/>
      <c r="U610" s="566"/>
    </row>
    <row r="611" spans="1:21" ht="18.75" hidden="1" x14ac:dyDescent="0.25">
      <c r="A611" s="687"/>
      <c r="B611" s="688"/>
      <c r="C611" s="688"/>
      <c r="D611" s="688"/>
      <c r="E611" s="1042" t="s">
        <v>218</v>
      </c>
      <c r="F611" s="695"/>
      <c r="G611" s="692"/>
      <c r="H611" s="734" t="s">
        <v>35</v>
      </c>
      <c r="I611" s="565"/>
      <c r="J611" s="565"/>
      <c r="K611" s="684"/>
      <c r="L611" s="574"/>
      <c r="M611" s="566"/>
      <c r="N611" s="566"/>
      <c r="O611" s="566"/>
      <c r="P611" s="566"/>
      <c r="Q611" s="566"/>
      <c r="R611" s="566"/>
      <c r="S611" s="566"/>
      <c r="T611" s="566"/>
      <c r="U611" s="566"/>
    </row>
    <row r="612" spans="1:21" ht="19.5" hidden="1" thickBot="1" x14ac:dyDescent="0.3">
      <c r="A612" s="1043"/>
      <c r="B612" s="1044"/>
      <c r="C612" s="1044"/>
      <c r="D612" s="1044"/>
      <c r="E612" s="1045" t="s">
        <v>219</v>
      </c>
      <c r="F612" s="1046"/>
      <c r="G612" s="1047"/>
      <c r="H612" s="1048" t="s">
        <v>35</v>
      </c>
      <c r="I612" s="1049"/>
      <c r="J612" s="1049"/>
      <c r="K612" s="1050"/>
      <c r="L612" s="1051"/>
      <c r="M612" s="1052"/>
      <c r="N612" s="1052"/>
      <c r="O612" s="1052"/>
      <c r="P612" s="1052"/>
      <c r="Q612" s="1052"/>
      <c r="R612" s="1052"/>
      <c r="S612" s="1052"/>
      <c r="T612" s="1052"/>
      <c r="U612" s="1052"/>
    </row>
    <row r="613" spans="1:21" ht="19.5" x14ac:dyDescent="0.3">
      <c r="A613" s="1053" t="s">
        <v>220</v>
      </c>
      <c r="B613" s="1054"/>
      <c r="C613" s="1054"/>
      <c r="D613" s="1055"/>
      <c r="E613" s="1055"/>
      <c r="F613" s="1055"/>
      <c r="G613" s="1056"/>
      <c r="H613" s="1057"/>
      <c r="I613" s="1058"/>
      <c r="J613" s="1058"/>
      <c r="K613" s="1059"/>
      <c r="L613" s="1060"/>
      <c r="M613" s="1059"/>
      <c r="N613" s="1059"/>
      <c r="O613" s="1059"/>
      <c r="P613" s="1059"/>
      <c r="Q613" s="1059"/>
      <c r="R613" s="1059"/>
      <c r="S613" s="1059"/>
      <c r="T613" s="1059"/>
      <c r="U613" s="1059"/>
    </row>
    <row r="614" spans="1:21" ht="19.5" x14ac:dyDescent="0.3">
      <c r="A614" s="1061"/>
      <c r="B614" s="1062" t="s">
        <v>221</v>
      </c>
      <c r="C614" s="1061"/>
      <c r="D614" s="1063"/>
      <c r="E614" s="1063"/>
      <c r="F614" s="1063"/>
      <c r="G614" s="1064"/>
      <c r="H614" s="1065"/>
      <c r="I614" s="1066"/>
      <c r="J614" s="1066"/>
      <c r="K614" s="1067"/>
      <c r="L614" s="1068"/>
      <c r="M614" s="1067"/>
      <c r="N614" s="1067"/>
      <c r="O614" s="1067"/>
      <c r="P614" s="1067"/>
      <c r="Q614" s="1067"/>
      <c r="R614" s="1067"/>
      <c r="S614" s="1067"/>
      <c r="T614" s="1067"/>
      <c r="U614" s="1067"/>
    </row>
    <row r="615" spans="1:21" ht="19.5" x14ac:dyDescent="0.3">
      <c r="A615" s="1069"/>
      <c r="B615" s="1070" t="s">
        <v>222</v>
      </c>
      <c r="C615" s="1069"/>
      <c r="D615" s="1071"/>
      <c r="E615" s="1071"/>
      <c r="F615" s="1071"/>
      <c r="G615" s="1072"/>
      <c r="H615" s="1073" t="s">
        <v>46</v>
      </c>
      <c r="I615" s="1074">
        <f t="shared" ref="I615:J615" ca="1" si="380">I626</f>
        <v>50</v>
      </c>
      <c r="J615" s="1074">
        <f t="shared" si="380"/>
        <v>0</v>
      </c>
      <c r="K615" s="1075">
        <f ca="1">IF(I615&gt;0,J615*100/I615,0)</f>
        <v>0</v>
      </c>
      <c r="L615" s="1076"/>
      <c r="M615" s="1077"/>
      <c r="N615" s="1077"/>
      <c r="O615" s="1077"/>
      <c r="P615" s="1077"/>
      <c r="Q615" s="1077"/>
      <c r="R615" s="1077"/>
      <c r="S615" s="1077"/>
      <c r="T615" s="1077"/>
      <c r="U615" s="1077"/>
    </row>
    <row r="616" spans="1:21" ht="19.5" x14ac:dyDescent="0.3">
      <c r="A616" s="674"/>
      <c r="B616" s="718"/>
      <c r="C616" s="724" t="s">
        <v>18</v>
      </c>
      <c r="D616" s="1310" t="s">
        <v>19</v>
      </c>
      <c r="E616" s="1311"/>
      <c r="F616" s="1311"/>
      <c r="G616" s="1312"/>
      <c r="H616" s="780" t="s">
        <v>14</v>
      </c>
      <c r="I616" s="565"/>
      <c r="J616" s="565"/>
      <c r="K616" s="566"/>
      <c r="L616" s="678">
        <f t="shared" ref="L616:N616" si="381">L617+L618</f>
        <v>0</v>
      </c>
      <c r="M616" s="679">
        <f t="shared" si="381"/>
        <v>0</v>
      </c>
      <c r="N616" s="679">
        <f t="shared" si="381"/>
        <v>0</v>
      </c>
      <c r="O616" s="679">
        <f t="shared" ref="O616:O624" si="382">IF(L616&gt;0,N616*100/L616,0)</f>
        <v>0</v>
      </c>
      <c r="P616" s="679">
        <f t="shared" ref="P616:P624" si="383">IF(M616&gt;0,N616*100/M616,0)</f>
        <v>0</v>
      </c>
      <c r="Q616" s="679">
        <f t="shared" ref="Q616:S616" ca="1" si="384">Q617+Q618</f>
        <v>6725</v>
      </c>
      <c r="R616" s="679">
        <f t="shared" ca="1" si="384"/>
        <v>6725</v>
      </c>
      <c r="S616" s="679">
        <f t="shared" ca="1" si="384"/>
        <v>0</v>
      </c>
      <c r="T616" s="679">
        <f t="shared" ref="T616:T624" ca="1" si="385">IF(Q616&gt;0,S616*100/Q616,0)</f>
        <v>0</v>
      </c>
      <c r="U616" s="679">
        <f t="shared" ref="U616:U624" ca="1" si="386">IF(R616&gt;0,S616*100/R616,0)</f>
        <v>0</v>
      </c>
    </row>
    <row r="617" spans="1:21" ht="18.75" x14ac:dyDescent="0.25">
      <c r="A617" s="674"/>
      <c r="B617" s="718"/>
      <c r="C617" s="718"/>
      <c r="D617" s="695"/>
      <c r="E617" s="569" t="s">
        <v>158</v>
      </c>
      <c r="F617" s="561"/>
      <c r="G617" s="563"/>
      <c r="H617" s="685" t="s">
        <v>14</v>
      </c>
      <c r="I617" s="565"/>
      <c r="J617" s="565"/>
      <c r="K617" s="566"/>
      <c r="L617" s="571">
        <f t="shared" ref="L617:N618" si="387">L620+L623</f>
        <v>0</v>
      </c>
      <c r="M617" s="572">
        <f t="shared" si="387"/>
        <v>0</v>
      </c>
      <c r="N617" s="572">
        <f t="shared" si="387"/>
        <v>0</v>
      </c>
      <c r="O617" s="572">
        <f t="shared" si="382"/>
        <v>0</v>
      </c>
      <c r="P617" s="572">
        <f t="shared" si="383"/>
        <v>0</v>
      </c>
      <c r="Q617" s="572">
        <f t="shared" ref="Q617:S618" si="388">Q620+Q623</f>
        <v>0</v>
      </c>
      <c r="R617" s="572">
        <f t="shared" si="388"/>
        <v>0</v>
      </c>
      <c r="S617" s="572">
        <f t="shared" si="388"/>
        <v>0</v>
      </c>
      <c r="T617" s="572">
        <f t="shared" si="385"/>
        <v>0</v>
      </c>
      <c r="U617" s="572">
        <f t="shared" si="386"/>
        <v>0</v>
      </c>
    </row>
    <row r="618" spans="1:21" ht="18.75" x14ac:dyDescent="0.25">
      <c r="A618" s="674"/>
      <c r="B618" s="718"/>
      <c r="C618" s="718"/>
      <c r="D618" s="695"/>
      <c r="E618" s="573" t="s">
        <v>159</v>
      </c>
      <c r="F618" s="561"/>
      <c r="G618" s="563"/>
      <c r="H618" s="682" t="s">
        <v>14</v>
      </c>
      <c r="I618" s="565"/>
      <c r="J618" s="565"/>
      <c r="K618" s="566"/>
      <c r="L618" s="567">
        <f t="shared" si="387"/>
        <v>0</v>
      </c>
      <c r="M618" s="568">
        <f t="shared" si="387"/>
        <v>0</v>
      </c>
      <c r="N618" s="568">
        <f t="shared" si="387"/>
        <v>0</v>
      </c>
      <c r="O618" s="568">
        <f t="shared" si="382"/>
        <v>0</v>
      </c>
      <c r="P618" s="568">
        <f t="shared" si="383"/>
        <v>0</v>
      </c>
      <c r="Q618" s="568">
        <f t="shared" ca="1" si="388"/>
        <v>6725</v>
      </c>
      <c r="R618" s="568">
        <f t="shared" ca="1" si="388"/>
        <v>6725</v>
      </c>
      <c r="S618" s="568">
        <f t="shared" ca="1" si="388"/>
        <v>0</v>
      </c>
      <c r="T618" s="568">
        <f t="shared" ca="1" si="385"/>
        <v>0</v>
      </c>
      <c r="U618" s="568">
        <f t="shared" ca="1" si="386"/>
        <v>0</v>
      </c>
    </row>
    <row r="619" spans="1:21" ht="18.75" x14ac:dyDescent="0.25">
      <c r="A619" s="674"/>
      <c r="B619" s="718"/>
      <c r="C619" s="718"/>
      <c r="D619" s="562" t="s">
        <v>22</v>
      </c>
      <c r="E619" s="561"/>
      <c r="F619" s="561"/>
      <c r="G619" s="563"/>
      <c r="H619" s="682" t="s">
        <v>14</v>
      </c>
      <c r="I619" s="683"/>
      <c r="J619" s="683"/>
      <c r="K619" s="684"/>
      <c r="L619" s="567">
        <f t="shared" ref="L619:N619" si="389">L620+L621</f>
        <v>0</v>
      </c>
      <c r="M619" s="568">
        <f t="shared" si="389"/>
        <v>0</v>
      </c>
      <c r="N619" s="568">
        <f t="shared" si="389"/>
        <v>0</v>
      </c>
      <c r="O619" s="568">
        <f t="shared" si="382"/>
        <v>0</v>
      </c>
      <c r="P619" s="568">
        <f t="shared" si="383"/>
        <v>0</v>
      </c>
      <c r="Q619" s="568">
        <f t="shared" ref="Q619:S619" ca="1" si="390">Q620+Q621</f>
        <v>6725</v>
      </c>
      <c r="R619" s="568">
        <f t="shared" ca="1" si="390"/>
        <v>6725</v>
      </c>
      <c r="S619" s="568">
        <f t="shared" ca="1" si="390"/>
        <v>0</v>
      </c>
      <c r="T619" s="568">
        <f t="shared" ca="1" si="385"/>
        <v>0</v>
      </c>
      <c r="U619" s="568">
        <f t="shared" ca="1" si="386"/>
        <v>0</v>
      </c>
    </row>
    <row r="620" spans="1:21" ht="18.75" x14ac:dyDescent="0.25">
      <c r="A620" s="674"/>
      <c r="B620" s="718"/>
      <c r="C620" s="718"/>
      <c r="D620" s="695"/>
      <c r="E620" s="569" t="s">
        <v>158</v>
      </c>
      <c r="F620" s="561"/>
      <c r="G620" s="563"/>
      <c r="H620" s="685" t="s">
        <v>14</v>
      </c>
      <c r="I620" s="565"/>
      <c r="J620" s="565"/>
      <c r="K620" s="566"/>
      <c r="L620" s="571">
        <v>0</v>
      </c>
      <c r="M620" s="572">
        <v>0</v>
      </c>
      <c r="N620" s="572">
        <v>0</v>
      </c>
      <c r="O620" s="572">
        <f t="shared" si="382"/>
        <v>0</v>
      </c>
      <c r="P620" s="572">
        <f t="shared" si="383"/>
        <v>0</v>
      </c>
      <c r="Q620" s="572">
        <v>0</v>
      </c>
      <c r="R620" s="572">
        <v>0</v>
      </c>
      <c r="S620" s="572">
        <v>0</v>
      </c>
      <c r="T620" s="572">
        <f t="shared" si="385"/>
        <v>0</v>
      </c>
      <c r="U620" s="572">
        <f t="shared" si="386"/>
        <v>0</v>
      </c>
    </row>
    <row r="621" spans="1:21" ht="18.75" x14ac:dyDescent="0.25">
      <c r="A621" s="674"/>
      <c r="B621" s="718"/>
      <c r="C621" s="718"/>
      <c r="D621" s="695"/>
      <c r="E621" s="573" t="s">
        <v>159</v>
      </c>
      <c r="F621" s="561"/>
      <c r="G621" s="563"/>
      <c r="H621" s="682" t="s">
        <v>14</v>
      </c>
      <c r="I621" s="565"/>
      <c r="J621" s="565"/>
      <c r="K621" s="566"/>
      <c r="L621" s="567">
        <v>0</v>
      </c>
      <c r="M621" s="568">
        <v>0</v>
      </c>
      <c r="N621" s="568">
        <v>0</v>
      </c>
      <c r="O621" s="568">
        <f t="shared" si="382"/>
        <v>0</v>
      </c>
      <c r="P621" s="568">
        <f t="shared" si="383"/>
        <v>0</v>
      </c>
      <c r="Q621" s="568">
        <f ca="1">IFERROR(__xludf.DUMMYFUNCTION("IMPORTRANGE(""https://docs.google.com/spreadsheets/d/1ItG2mGa2ceCfYo0BwxsXqNm01IGEUdYcSSLTEv9YCik/edit?usp=sharing"",""เบิกจ่ายกองทุน!F22"")"),6725)</f>
        <v>6725</v>
      </c>
      <c r="R621" s="568">
        <f ca="1">IFERROR(__xludf.DUMMYFUNCTION("IMPORTRANGE(""https://docs.google.com/spreadsheets/d/1ItG2mGa2ceCfYo0BwxsXqNm01IGEUdYcSSLTEv9YCik/edit?usp=sharing"",""เบิกจ่ายกองทุน!G22"")"),6725)</f>
        <v>6725</v>
      </c>
      <c r="S621" s="568">
        <f ca="1">IFERROR(__xludf.DUMMYFUNCTION("IMPORTRANGE(""https://docs.google.com/spreadsheets/d/1ItG2mGa2ceCfYo0BwxsXqNm01IGEUdYcSSLTEv9YCik/edit?usp=sharing"",""เบิกจ่ายกองทุน!H22"")"),0)</f>
        <v>0</v>
      </c>
      <c r="T621" s="568">
        <f t="shared" ca="1" si="385"/>
        <v>0</v>
      </c>
      <c r="U621" s="568">
        <f t="shared" ca="1" si="386"/>
        <v>0</v>
      </c>
    </row>
    <row r="622" spans="1:21" ht="18.75" x14ac:dyDescent="0.25">
      <c r="A622" s="674"/>
      <c r="B622" s="718"/>
      <c r="C622" s="718"/>
      <c r="D622" s="562" t="s">
        <v>23</v>
      </c>
      <c r="E622" s="561"/>
      <c r="F622" s="561"/>
      <c r="G622" s="563"/>
      <c r="H622" s="686" t="s">
        <v>14</v>
      </c>
      <c r="I622" s="683"/>
      <c r="J622" s="683"/>
      <c r="K622" s="684"/>
      <c r="L622" s="567">
        <f t="shared" ref="L622:N622" si="391">L623+L624</f>
        <v>0</v>
      </c>
      <c r="M622" s="568">
        <f t="shared" si="391"/>
        <v>0</v>
      </c>
      <c r="N622" s="568">
        <f t="shared" si="391"/>
        <v>0</v>
      </c>
      <c r="O622" s="568">
        <f t="shared" si="382"/>
        <v>0</v>
      </c>
      <c r="P622" s="568">
        <f t="shared" si="383"/>
        <v>0</v>
      </c>
      <c r="Q622" s="568">
        <f t="shared" ref="Q622:S622" si="392">Q623+Q624</f>
        <v>0</v>
      </c>
      <c r="R622" s="568">
        <f t="shared" si="392"/>
        <v>0</v>
      </c>
      <c r="S622" s="568">
        <f t="shared" si="392"/>
        <v>0</v>
      </c>
      <c r="T622" s="568">
        <f t="shared" si="385"/>
        <v>0</v>
      </c>
      <c r="U622" s="568">
        <f t="shared" si="386"/>
        <v>0</v>
      </c>
    </row>
    <row r="623" spans="1:21" ht="18.75" x14ac:dyDescent="0.25">
      <c r="A623" s="674"/>
      <c r="B623" s="718"/>
      <c r="C623" s="718"/>
      <c r="D623" s="718"/>
      <c r="E623" s="569" t="s">
        <v>20</v>
      </c>
      <c r="F623" s="561"/>
      <c r="G623" s="563"/>
      <c r="H623" s="685" t="s">
        <v>14</v>
      </c>
      <c r="I623" s="683"/>
      <c r="J623" s="683"/>
      <c r="K623" s="684"/>
      <c r="L623" s="571">
        <v>0</v>
      </c>
      <c r="M623" s="572">
        <v>0</v>
      </c>
      <c r="N623" s="572">
        <v>0</v>
      </c>
      <c r="O623" s="572">
        <f t="shared" si="382"/>
        <v>0</v>
      </c>
      <c r="P623" s="572">
        <f t="shared" si="383"/>
        <v>0</v>
      </c>
      <c r="Q623" s="572">
        <v>0</v>
      </c>
      <c r="R623" s="572">
        <v>0</v>
      </c>
      <c r="S623" s="572">
        <v>0</v>
      </c>
      <c r="T623" s="572">
        <f t="shared" si="385"/>
        <v>0</v>
      </c>
      <c r="U623" s="572">
        <f t="shared" si="386"/>
        <v>0</v>
      </c>
    </row>
    <row r="624" spans="1:21" ht="18.75" x14ac:dyDescent="0.25">
      <c r="A624" s="674"/>
      <c r="B624" s="718"/>
      <c r="C624" s="718"/>
      <c r="D624" s="718"/>
      <c r="E624" s="573" t="s">
        <v>21</v>
      </c>
      <c r="F624" s="561"/>
      <c r="G624" s="563"/>
      <c r="H624" s="686" t="s">
        <v>14</v>
      </c>
      <c r="I624" s="683"/>
      <c r="J624" s="683"/>
      <c r="K624" s="684"/>
      <c r="L624" s="567">
        <v>0</v>
      </c>
      <c r="M624" s="568">
        <v>0</v>
      </c>
      <c r="N624" s="568">
        <v>0</v>
      </c>
      <c r="O624" s="568">
        <f t="shared" si="382"/>
        <v>0</v>
      </c>
      <c r="P624" s="568">
        <f t="shared" si="383"/>
        <v>0</v>
      </c>
      <c r="Q624" s="568">
        <v>0</v>
      </c>
      <c r="R624" s="568">
        <v>0</v>
      </c>
      <c r="S624" s="568">
        <v>0</v>
      </c>
      <c r="T624" s="568">
        <f t="shared" si="385"/>
        <v>0</v>
      </c>
      <c r="U624" s="568">
        <f t="shared" si="386"/>
        <v>0</v>
      </c>
    </row>
    <row r="625" spans="1:21" ht="19.5" x14ac:dyDescent="0.3">
      <c r="A625" s="687"/>
      <c r="B625" s="688"/>
      <c r="C625" s="724" t="s">
        <v>18</v>
      </c>
      <c r="D625" s="1078" t="s">
        <v>38</v>
      </c>
      <c r="E625" s="690"/>
      <c r="F625" s="690"/>
      <c r="G625" s="691"/>
      <c r="H625" s="725"/>
      <c r="I625" s="683"/>
      <c r="J625" s="683"/>
      <c r="K625" s="684"/>
      <c r="L625" s="693"/>
      <c r="M625" s="684"/>
      <c r="N625" s="684"/>
      <c r="O625" s="684"/>
      <c r="P625" s="684"/>
      <c r="Q625" s="684"/>
      <c r="R625" s="684"/>
      <c r="S625" s="684"/>
      <c r="T625" s="684"/>
      <c r="U625" s="684"/>
    </row>
    <row r="626" spans="1:21" ht="19.5" x14ac:dyDescent="0.3">
      <c r="A626" s="687"/>
      <c r="B626" s="688"/>
      <c r="C626" s="688"/>
      <c r="D626" s="1079" t="s">
        <v>223</v>
      </c>
      <c r="E626" s="695"/>
      <c r="F626" s="695"/>
      <c r="G626" s="692"/>
      <c r="H626" s="1080" t="s">
        <v>46</v>
      </c>
      <c r="I626" s="697">
        <f ca="1">IFERROR(__xludf.DUMMYFUNCTION("IMPORTRANGE(""https://docs.google.com/spreadsheets/d/1eHaY18a8A9IcSdp1K8H6x8fbOy06t2VsZHhMHf-1x7Y/edit?usp=sharing"",""แผน!ID22"")"),50)</f>
        <v>50</v>
      </c>
      <c r="J626" s="697">
        <f>J632</f>
        <v>0</v>
      </c>
      <c r="K626" s="679">
        <f ca="1">IF(I626&gt;0,J626*100/I626,0)</f>
        <v>0</v>
      </c>
      <c r="L626" s="693"/>
      <c r="M626" s="684"/>
      <c r="N626" s="684"/>
      <c r="O626" s="684"/>
      <c r="P626" s="684"/>
      <c r="Q626" s="684"/>
      <c r="R626" s="684"/>
      <c r="S626" s="684"/>
      <c r="T626" s="684"/>
      <c r="U626" s="684"/>
    </row>
    <row r="627" spans="1:21" ht="18.75" x14ac:dyDescent="0.25">
      <c r="A627" s="687"/>
      <c r="B627" s="688"/>
      <c r="C627" s="688"/>
      <c r="D627" s="688"/>
      <c r="E627" s="699" t="s">
        <v>224</v>
      </c>
      <c r="F627" s="695"/>
      <c r="G627" s="692"/>
      <c r="H627" s="686" t="s">
        <v>61</v>
      </c>
      <c r="I627" s="708">
        <f ca="1">IFERROR(__xludf.DUMMYFUNCTION("IMPORTRANGE(""https://docs.google.com/spreadsheets/d/1eHaY18a8A9IcSdp1K8H6x8fbOy06t2VsZHhMHf-1x7Y/edit?usp=sharing"",""แผน!IC22"")"),0)</f>
        <v>0</v>
      </c>
      <c r="J627" s="702">
        <v>0</v>
      </c>
      <c r="K627" s="568">
        <f t="shared" ref="K627:K628" ca="1" si="393">IF(I627&gt;0,(J627*100)/I627,0)</f>
        <v>0</v>
      </c>
      <c r="L627" s="693"/>
      <c r="M627" s="684"/>
      <c r="N627" s="684"/>
      <c r="O627" s="684"/>
      <c r="P627" s="684"/>
      <c r="Q627" s="684"/>
      <c r="R627" s="684"/>
      <c r="S627" s="684"/>
      <c r="T627" s="684"/>
      <c r="U627" s="684"/>
    </row>
    <row r="628" spans="1:21" ht="18.75" x14ac:dyDescent="0.25">
      <c r="A628" s="687"/>
      <c r="B628" s="688"/>
      <c r="C628" s="688"/>
      <c r="D628" s="688"/>
      <c r="E628" s="699" t="s">
        <v>225</v>
      </c>
      <c r="F628" s="695"/>
      <c r="G628" s="692"/>
      <c r="H628" s="686" t="s">
        <v>61</v>
      </c>
      <c r="I628" s="708">
        <f ca="1">IFERROR(__xludf.DUMMYFUNCTION("IMPORTRANGE(""https://docs.google.com/spreadsheets/d/1eHaY18a8A9IcSdp1K8H6x8fbOy06t2VsZHhMHf-1x7Y/edit?usp=sharing"",""แผน!IC22"")"),0)</f>
        <v>0</v>
      </c>
      <c r="J628" s="702">
        <v>0</v>
      </c>
      <c r="K628" s="568">
        <f t="shared" ca="1" si="393"/>
        <v>0</v>
      </c>
      <c r="L628" s="693"/>
      <c r="M628" s="684"/>
      <c r="N628" s="684"/>
      <c r="O628" s="684"/>
      <c r="P628" s="684"/>
      <c r="Q628" s="684"/>
      <c r="R628" s="684"/>
      <c r="S628" s="684"/>
      <c r="T628" s="684"/>
      <c r="U628" s="684"/>
    </row>
    <row r="629" spans="1:21" ht="18.75" x14ac:dyDescent="0.25">
      <c r="A629" s="687"/>
      <c r="B629" s="688"/>
      <c r="C629" s="688"/>
      <c r="D629" s="688"/>
      <c r="E629" s="699" t="s">
        <v>226</v>
      </c>
      <c r="F629" s="695"/>
      <c r="G629" s="692"/>
      <c r="H629" s="686" t="s">
        <v>46</v>
      </c>
      <c r="I629" s="565"/>
      <c r="J629" s="702">
        <v>0</v>
      </c>
      <c r="K629" s="568">
        <f t="shared" ref="K629:K631" ca="1" si="394">IF(I$626&gt;0,J629*100/I$626,0)</f>
        <v>0</v>
      </c>
      <c r="L629" s="693"/>
      <c r="M629" s="684"/>
      <c r="N629" s="684"/>
      <c r="O629" s="684"/>
      <c r="P629" s="684"/>
      <c r="Q629" s="684"/>
      <c r="R629" s="684"/>
      <c r="S629" s="684"/>
      <c r="T629" s="684"/>
      <c r="U629" s="684"/>
    </row>
    <row r="630" spans="1:21" ht="18.75" x14ac:dyDescent="0.25">
      <c r="A630" s="687"/>
      <c r="B630" s="688"/>
      <c r="C630" s="688"/>
      <c r="D630" s="688"/>
      <c r="E630" s="699" t="s">
        <v>227</v>
      </c>
      <c r="F630" s="695"/>
      <c r="G630" s="692"/>
      <c r="H630" s="686" t="s">
        <v>46</v>
      </c>
      <c r="I630" s="565"/>
      <c r="J630" s="702">
        <v>0</v>
      </c>
      <c r="K630" s="568">
        <f t="shared" ca="1" si="394"/>
        <v>0</v>
      </c>
      <c r="L630" s="693"/>
      <c r="M630" s="684"/>
      <c r="N630" s="684"/>
      <c r="O630" s="684"/>
      <c r="P630" s="684"/>
      <c r="Q630" s="684"/>
      <c r="R630" s="684"/>
      <c r="S630" s="684"/>
      <c r="T630" s="684"/>
      <c r="U630" s="684"/>
    </row>
    <row r="631" spans="1:21" ht="18.75" x14ac:dyDescent="0.25">
      <c r="A631" s="687"/>
      <c r="B631" s="688"/>
      <c r="C631" s="688"/>
      <c r="D631" s="688"/>
      <c r="E631" s="699" t="s">
        <v>228</v>
      </c>
      <c r="F631" s="695"/>
      <c r="G631" s="692"/>
      <c r="H631" s="686" t="s">
        <v>46</v>
      </c>
      <c r="I631" s="565"/>
      <c r="J631" s="702">
        <v>0</v>
      </c>
      <c r="K631" s="568">
        <f t="shared" ca="1" si="394"/>
        <v>0</v>
      </c>
      <c r="L631" s="693"/>
      <c r="M631" s="684"/>
      <c r="N631" s="684"/>
      <c r="O631" s="684"/>
      <c r="P631" s="684"/>
      <c r="Q631" s="684"/>
      <c r="R631" s="684"/>
      <c r="S631" s="684"/>
      <c r="T631" s="684"/>
      <c r="U631" s="684"/>
    </row>
    <row r="632" spans="1:21" ht="19.5" x14ac:dyDescent="0.3">
      <c r="A632" s="687"/>
      <c r="B632" s="688"/>
      <c r="C632" s="688"/>
      <c r="D632" s="688"/>
      <c r="E632" s="699" t="s">
        <v>229</v>
      </c>
      <c r="F632" s="695"/>
      <c r="G632" s="692"/>
      <c r="H632" s="686" t="s">
        <v>46</v>
      </c>
      <c r="I632" s="565"/>
      <c r="J632" s="697">
        <f>J633+J634</f>
        <v>0</v>
      </c>
      <c r="K632" s="679">
        <f ca="1">IF(I626&gt;0,J632*100/I626,0)</f>
        <v>0</v>
      </c>
      <c r="L632" s="693"/>
      <c r="M632" s="684"/>
      <c r="N632" s="684"/>
      <c r="O632" s="684"/>
      <c r="P632" s="684"/>
      <c r="Q632" s="684"/>
      <c r="R632" s="684"/>
      <c r="S632" s="684"/>
      <c r="T632" s="684"/>
      <c r="U632" s="684"/>
    </row>
    <row r="633" spans="1:21" ht="18.75" x14ac:dyDescent="0.25">
      <c r="A633" s="687"/>
      <c r="B633" s="688"/>
      <c r="C633" s="688"/>
      <c r="D633" s="688"/>
      <c r="E633" s="695"/>
      <c r="F633" s="699" t="s">
        <v>230</v>
      </c>
      <c r="G633" s="692"/>
      <c r="H633" s="686" t="s">
        <v>46</v>
      </c>
      <c r="I633" s="565"/>
      <c r="J633" s="702">
        <v>0</v>
      </c>
      <c r="K633" s="566"/>
      <c r="L633" s="693"/>
      <c r="M633" s="684"/>
      <c r="N633" s="684"/>
      <c r="O633" s="684"/>
      <c r="P633" s="684"/>
      <c r="Q633" s="684"/>
      <c r="R633" s="684"/>
      <c r="S633" s="684"/>
      <c r="T633" s="684"/>
      <c r="U633" s="684"/>
    </row>
    <row r="634" spans="1:21" ht="18.75" x14ac:dyDescent="0.25">
      <c r="A634" s="687"/>
      <c r="B634" s="688"/>
      <c r="C634" s="688"/>
      <c r="D634" s="688"/>
      <c r="E634" s="695"/>
      <c r="F634" s="699" t="s">
        <v>231</v>
      </c>
      <c r="G634" s="692"/>
      <c r="H634" s="686" t="s">
        <v>46</v>
      </c>
      <c r="I634" s="565"/>
      <c r="J634" s="702">
        <v>0</v>
      </c>
      <c r="K634" s="566"/>
      <c r="L634" s="693"/>
      <c r="M634" s="684"/>
      <c r="N634" s="684"/>
      <c r="O634" s="684"/>
      <c r="P634" s="684"/>
      <c r="Q634" s="684"/>
      <c r="R634" s="684"/>
      <c r="S634" s="684"/>
      <c r="T634" s="684"/>
      <c r="U634" s="684"/>
    </row>
    <row r="635" spans="1:21" ht="19.5" x14ac:dyDescent="0.3">
      <c r="A635" s="687"/>
      <c r="B635" s="688"/>
      <c r="C635" s="688"/>
      <c r="D635" s="1079" t="s">
        <v>232</v>
      </c>
      <c r="E635" s="695"/>
      <c r="F635" s="695"/>
      <c r="G635" s="692"/>
      <c r="H635" s="686" t="s">
        <v>46</v>
      </c>
      <c r="I635" s="697">
        <f ca="1">IFERROR(__xludf.DUMMYFUNCTION("IMPORTRANGE(""https://docs.google.com/spreadsheets/d/1eHaY18a8A9IcSdp1K8H6x8fbOy06t2VsZHhMHf-1x7Y/edit?usp=sharing"",""แผน!IE22"")"),0)</f>
        <v>0</v>
      </c>
      <c r="J635" s="697">
        <f>J636</f>
        <v>0</v>
      </c>
      <c r="K635" s="679">
        <f ca="1">IF(I635&gt;0,J635*100/I635,0)</f>
        <v>0</v>
      </c>
      <c r="L635" s="693"/>
      <c r="M635" s="684"/>
      <c r="N635" s="684"/>
      <c r="O635" s="684"/>
      <c r="P635" s="684"/>
      <c r="Q635" s="684"/>
      <c r="R635" s="684"/>
      <c r="S635" s="684"/>
      <c r="T635" s="684"/>
      <c r="U635" s="684"/>
    </row>
    <row r="636" spans="1:21" ht="18.75" x14ac:dyDescent="0.25">
      <c r="A636" s="687"/>
      <c r="B636" s="688"/>
      <c r="C636" s="688"/>
      <c r="D636" s="688"/>
      <c r="E636" s="699" t="s">
        <v>233</v>
      </c>
      <c r="F636" s="695"/>
      <c r="G636" s="692"/>
      <c r="H636" s="686" t="s">
        <v>46</v>
      </c>
      <c r="I636" s="565"/>
      <c r="J636" s="708">
        <f>J637+J638</f>
        <v>0</v>
      </c>
      <c r="K636" s="566"/>
      <c r="L636" s="693"/>
      <c r="M636" s="684"/>
      <c r="N636" s="684"/>
      <c r="O636" s="684"/>
      <c r="P636" s="684"/>
      <c r="Q636" s="684"/>
      <c r="R636" s="684"/>
      <c r="S636" s="684"/>
      <c r="T636" s="684"/>
      <c r="U636" s="684"/>
    </row>
    <row r="637" spans="1:21" ht="18.75" x14ac:dyDescent="0.25">
      <c r="A637" s="687"/>
      <c r="B637" s="688"/>
      <c r="C637" s="688"/>
      <c r="D637" s="688"/>
      <c r="E637" s="695"/>
      <c r="F637" s="699" t="s">
        <v>230</v>
      </c>
      <c r="G637" s="692"/>
      <c r="H637" s="686" t="s">
        <v>46</v>
      </c>
      <c r="I637" s="565"/>
      <c r="J637" s="702">
        <v>0</v>
      </c>
      <c r="K637" s="566"/>
      <c r="L637" s="693"/>
      <c r="M637" s="684"/>
      <c r="N637" s="684"/>
      <c r="O637" s="684"/>
      <c r="P637" s="684"/>
      <c r="Q637" s="684"/>
      <c r="R637" s="684"/>
      <c r="S637" s="684"/>
      <c r="T637" s="684"/>
      <c r="U637" s="684"/>
    </row>
    <row r="638" spans="1:21" ht="18.75" x14ac:dyDescent="0.25">
      <c r="A638" s="687"/>
      <c r="B638" s="688"/>
      <c r="C638" s="688"/>
      <c r="D638" s="688"/>
      <c r="E638" s="695"/>
      <c r="F638" s="699" t="s">
        <v>231</v>
      </c>
      <c r="G638" s="692"/>
      <c r="H638" s="686" t="s">
        <v>46</v>
      </c>
      <c r="I638" s="565"/>
      <c r="J638" s="702">
        <v>0</v>
      </c>
      <c r="K638" s="566"/>
      <c r="L638" s="693"/>
      <c r="M638" s="684"/>
      <c r="N638" s="684"/>
      <c r="O638" s="684"/>
      <c r="P638" s="684"/>
      <c r="Q638" s="684"/>
      <c r="R638" s="684"/>
      <c r="S638" s="684"/>
      <c r="T638" s="684"/>
      <c r="U638" s="684"/>
    </row>
    <row r="639" spans="1:21" ht="18.75" x14ac:dyDescent="0.25">
      <c r="A639" s="687"/>
      <c r="B639" s="688"/>
      <c r="C639" s="688"/>
      <c r="D639" s="688"/>
      <c r="E639" s="699" t="s">
        <v>234</v>
      </c>
      <c r="F639" s="695"/>
      <c r="G639" s="692"/>
      <c r="H639" s="686" t="s">
        <v>46</v>
      </c>
      <c r="I639" s="565"/>
      <c r="J639" s="702">
        <v>0</v>
      </c>
      <c r="K639" s="566"/>
      <c r="L639" s="693"/>
      <c r="M639" s="684"/>
      <c r="N639" s="684"/>
      <c r="O639" s="684"/>
      <c r="P639" s="684"/>
      <c r="Q639" s="684"/>
      <c r="R639" s="684"/>
      <c r="S639" s="684"/>
      <c r="T639" s="684"/>
      <c r="U639" s="684"/>
    </row>
    <row r="640" spans="1:21" ht="18.75" x14ac:dyDescent="0.25">
      <c r="A640" s="687"/>
      <c r="B640" s="688"/>
      <c r="C640" s="688"/>
      <c r="D640" s="688"/>
      <c r="E640" s="695"/>
      <c r="F640" s="699" t="s">
        <v>235</v>
      </c>
      <c r="G640" s="692"/>
      <c r="H640" s="686" t="s">
        <v>46</v>
      </c>
      <c r="I640" s="565"/>
      <c r="J640" s="702">
        <v>0</v>
      </c>
      <c r="K640" s="566"/>
      <c r="L640" s="693"/>
      <c r="M640" s="684"/>
      <c r="N640" s="684"/>
      <c r="O640" s="684"/>
      <c r="P640" s="684"/>
      <c r="Q640" s="684"/>
      <c r="R640" s="684"/>
      <c r="S640" s="684"/>
      <c r="T640" s="684"/>
      <c r="U640" s="684"/>
    </row>
    <row r="641" spans="1:21" ht="19.5" hidden="1" x14ac:dyDescent="0.3">
      <c r="A641" s="1069"/>
      <c r="B641" s="1070" t="s">
        <v>236</v>
      </c>
      <c r="C641" s="1069"/>
      <c r="D641" s="1071"/>
      <c r="E641" s="1071"/>
      <c r="F641" s="1071"/>
      <c r="G641" s="1072"/>
      <c r="H641" s="1081"/>
      <c r="I641" s="1082"/>
      <c r="J641" s="1082"/>
      <c r="K641" s="1077"/>
      <c r="L641" s="1076"/>
      <c r="M641" s="1077"/>
      <c r="N641" s="1077"/>
      <c r="O641" s="1077"/>
      <c r="P641" s="1077"/>
      <c r="Q641" s="1077"/>
      <c r="R641" s="1077"/>
      <c r="S641" s="1077"/>
      <c r="T641" s="1077"/>
      <c r="U641" s="1077"/>
    </row>
    <row r="642" spans="1:21" ht="19.5" hidden="1" x14ac:dyDescent="0.3">
      <c r="A642" s="674"/>
      <c r="B642" s="718"/>
      <c r="C642" s="765" t="s">
        <v>18</v>
      </c>
      <c r="D642" s="1310" t="s">
        <v>19</v>
      </c>
      <c r="E642" s="1311"/>
      <c r="F642" s="1311"/>
      <c r="G642" s="1312"/>
      <c r="H642" s="780" t="s">
        <v>14</v>
      </c>
      <c r="I642" s="565"/>
      <c r="J642" s="565"/>
      <c r="K642" s="566"/>
      <c r="L642" s="678">
        <f t="shared" ref="L642:N642" si="395">L643+L644</f>
        <v>0</v>
      </c>
      <c r="M642" s="679">
        <f t="shared" si="395"/>
        <v>0</v>
      </c>
      <c r="N642" s="679">
        <f t="shared" si="395"/>
        <v>0</v>
      </c>
      <c r="O642" s="679">
        <f t="shared" ref="O642:O650" si="396">IF(L642&gt;0,N642*100/L642,0)</f>
        <v>0</v>
      </c>
      <c r="P642" s="679">
        <f t="shared" ref="P642:P650" si="397">IF(M642&gt;0,N642*100/M642,0)</f>
        <v>0</v>
      </c>
      <c r="Q642" s="679">
        <f t="shared" ref="Q642:S642" ca="1" si="398">Q643+Q644</f>
        <v>0</v>
      </c>
      <c r="R642" s="679">
        <f t="shared" ca="1" si="398"/>
        <v>0</v>
      </c>
      <c r="S642" s="679">
        <f t="shared" ca="1" si="398"/>
        <v>0</v>
      </c>
      <c r="T642" s="679">
        <f t="shared" ref="T642:T650" ca="1" si="399">IF(Q642&gt;0,S642*100/Q642,0)</f>
        <v>0</v>
      </c>
      <c r="U642" s="679">
        <f t="shared" ref="U642:U650" ca="1" si="400">IF(R642&gt;0,S642*100/R642,0)</f>
        <v>0</v>
      </c>
    </row>
    <row r="643" spans="1:21" ht="18.75" hidden="1" x14ac:dyDescent="0.25">
      <c r="A643" s="674"/>
      <c r="B643" s="718"/>
      <c r="C643" s="718"/>
      <c r="D643" s="695"/>
      <c r="E643" s="569" t="s">
        <v>158</v>
      </c>
      <c r="F643" s="561"/>
      <c r="G643" s="563"/>
      <c r="H643" s="685" t="s">
        <v>14</v>
      </c>
      <c r="I643" s="565"/>
      <c r="J643" s="565"/>
      <c r="K643" s="566"/>
      <c r="L643" s="571">
        <f t="shared" ref="L643:N644" si="401">L646+L649</f>
        <v>0</v>
      </c>
      <c r="M643" s="572">
        <f t="shared" si="401"/>
        <v>0</v>
      </c>
      <c r="N643" s="572">
        <f t="shared" si="401"/>
        <v>0</v>
      </c>
      <c r="O643" s="572">
        <f t="shared" si="396"/>
        <v>0</v>
      </c>
      <c r="P643" s="572">
        <f t="shared" si="397"/>
        <v>0</v>
      </c>
      <c r="Q643" s="572">
        <f t="shared" ref="Q643:S644" si="402">Q646+Q649</f>
        <v>0</v>
      </c>
      <c r="R643" s="572">
        <f t="shared" si="402"/>
        <v>0</v>
      </c>
      <c r="S643" s="572">
        <f t="shared" si="402"/>
        <v>0</v>
      </c>
      <c r="T643" s="572">
        <f t="shared" si="399"/>
        <v>0</v>
      </c>
      <c r="U643" s="572">
        <f t="shared" si="400"/>
        <v>0</v>
      </c>
    </row>
    <row r="644" spans="1:21" ht="18.75" hidden="1" x14ac:dyDescent="0.25">
      <c r="A644" s="674"/>
      <c r="B644" s="718"/>
      <c r="C644" s="718"/>
      <c r="D644" s="695"/>
      <c r="E644" s="573" t="s">
        <v>159</v>
      </c>
      <c r="F644" s="561"/>
      <c r="G644" s="563"/>
      <c r="H644" s="682" t="s">
        <v>14</v>
      </c>
      <c r="I644" s="565"/>
      <c r="J644" s="565"/>
      <c r="K644" s="566"/>
      <c r="L644" s="567">
        <f t="shared" si="401"/>
        <v>0</v>
      </c>
      <c r="M644" s="568">
        <f t="shared" si="401"/>
        <v>0</v>
      </c>
      <c r="N644" s="568">
        <f t="shared" si="401"/>
        <v>0</v>
      </c>
      <c r="O644" s="568">
        <f t="shared" si="396"/>
        <v>0</v>
      </c>
      <c r="P644" s="568">
        <f t="shared" si="397"/>
        <v>0</v>
      </c>
      <c r="Q644" s="568">
        <f t="shared" ca="1" si="402"/>
        <v>0</v>
      </c>
      <c r="R644" s="568">
        <f t="shared" ca="1" si="402"/>
        <v>0</v>
      </c>
      <c r="S644" s="568">
        <f t="shared" ca="1" si="402"/>
        <v>0</v>
      </c>
      <c r="T644" s="568">
        <f t="shared" ca="1" si="399"/>
        <v>0</v>
      </c>
      <c r="U644" s="568">
        <f t="shared" ca="1" si="400"/>
        <v>0</v>
      </c>
    </row>
    <row r="645" spans="1:21" ht="18.75" hidden="1" x14ac:dyDescent="0.25">
      <c r="A645" s="674"/>
      <c r="B645" s="718"/>
      <c r="C645" s="718"/>
      <c r="D645" s="562" t="s">
        <v>22</v>
      </c>
      <c r="E645" s="561"/>
      <c r="F645" s="561"/>
      <c r="G645" s="563"/>
      <c r="H645" s="682" t="s">
        <v>14</v>
      </c>
      <c r="I645" s="683"/>
      <c r="J645" s="683"/>
      <c r="K645" s="684"/>
      <c r="L645" s="567">
        <f t="shared" ref="L645:N645" si="403">L646+L647</f>
        <v>0</v>
      </c>
      <c r="M645" s="568">
        <f t="shared" si="403"/>
        <v>0</v>
      </c>
      <c r="N645" s="568">
        <f t="shared" si="403"/>
        <v>0</v>
      </c>
      <c r="O645" s="568">
        <f t="shared" si="396"/>
        <v>0</v>
      </c>
      <c r="P645" s="568">
        <f t="shared" si="397"/>
        <v>0</v>
      </c>
      <c r="Q645" s="568">
        <f t="shared" ref="Q645:S645" ca="1" si="404">Q646+Q647</f>
        <v>0</v>
      </c>
      <c r="R645" s="568">
        <f t="shared" ca="1" si="404"/>
        <v>0</v>
      </c>
      <c r="S645" s="568">
        <f t="shared" ca="1" si="404"/>
        <v>0</v>
      </c>
      <c r="T645" s="568">
        <f t="shared" ca="1" si="399"/>
        <v>0</v>
      </c>
      <c r="U645" s="568">
        <f t="shared" ca="1" si="400"/>
        <v>0</v>
      </c>
    </row>
    <row r="646" spans="1:21" ht="18.75" hidden="1" x14ac:dyDescent="0.25">
      <c r="A646" s="674"/>
      <c r="B646" s="718"/>
      <c r="C646" s="718"/>
      <c r="D646" s="695"/>
      <c r="E646" s="569" t="s">
        <v>158</v>
      </c>
      <c r="F646" s="561"/>
      <c r="G646" s="563"/>
      <c r="H646" s="685" t="s">
        <v>14</v>
      </c>
      <c r="I646" s="565"/>
      <c r="J646" s="565"/>
      <c r="K646" s="566"/>
      <c r="L646" s="571">
        <v>0</v>
      </c>
      <c r="M646" s="572">
        <v>0</v>
      </c>
      <c r="N646" s="572">
        <v>0</v>
      </c>
      <c r="O646" s="572">
        <f t="shared" si="396"/>
        <v>0</v>
      </c>
      <c r="P646" s="572">
        <f t="shared" si="397"/>
        <v>0</v>
      </c>
      <c r="Q646" s="572">
        <v>0</v>
      </c>
      <c r="R646" s="572">
        <v>0</v>
      </c>
      <c r="S646" s="572">
        <v>0</v>
      </c>
      <c r="T646" s="572">
        <f t="shared" si="399"/>
        <v>0</v>
      </c>
      <c r="U646" s="572">
        <f t="shared" si="400"/>
        <v>0</v>
      </c>
    </row>
    <row r="647" spans="1:21" ht="18.75" hidden="1" x14ac:dyDescent="0.25">
      <c r="A647" s="674"/>
      <c r="B647" s="718"/>
      <c r="C647" s="718"/>
      <c r="D647" s="695"/>
      <c r="E647" s="573" t="s">
        <v>159</v>
      </c>
      <c r="F647" s="561"/>
      <c r="G647" s="563"/>
      <c r="H647" s="682" t="s">
        <v>14</v>
      </c>
      <c r="I647" s="565"/>
      <c r="J647" s="565"/>
      <c r="K647" s="566"/>
      <c r="L647" s="567">
        <v>0</v>
      </c>
      <c r="M647" s="568">
        <v>0</v>
      </c>
      <c r="N647" s="568">
        <v>0</v>
      </c>
      <c r="O647" s="568">
        <f t="shared" si="396"/>
        <v>0</v>
      </c>
      <c r="P647" s="568">
        <f t="shared" si="397"/>
        <v>0</v>
      </c>
      <c r="Q647" s="568">
        <f ca="1">IFERROR(__xludf.DUMMYFUNCTION("IMPORTRANGE(""https://docs.google.com/spreadsheets/d/1ItG2mGa2ceCfYo0BwxsXqNm01IGEUdYcSSLTEv9YCik/edit?usp=sharing"",""เบิกจ่ายกองทุน!I22"")"),0)</f>
        <v>0</v>
      </c>
      <c r="R647" s="568">
        <f ca="1">IFERROR(__xludf.DUMMYFUNCTION("IMPORTRANGE(""https://docs.google.com/spreadsheets/d/1ItG2mGa2ceCfYo0BwxsXqNm01IGEUdYcSSLTEv9YCik/edit?usp=sharing"",""เบิกจ่ายกองทุน!J22"")"),0)</f>
        <v>0</v>
      </c>
      <c r="S647" s="568">
        <f ca="1">IFERROR(__xludf.DUMMYFUNCTION("IMPORTRANGE(""https://docs.google.com/spreadsheets/d/1ItG2mGa2ceCfYo0BwxsXqNm01IGEUdYcSSLTEv9YCik/edit?usp=sharing"",""เบิกจ่ายกองทุน!K22"")"),0)</f>
        <v>0</v>
      </c>
      <c r="T647" s="568">
        <f t="shared" ca="1" si="399"/>
        <v>0</v>
      </c>
      <c r="U647" s="568">
        <f t="shared" ca="1" si="400"/>
        <v>0</v>
      </c>
    </row>
    <row r="648" spans="1:21" ht="18.75" hidden="1" x14ac:dyDescent="0.25">
      <c r="A648" s="674"/>
      <c r="B648" s="718"/>
      <c r="C648" s="718"/>
      <c r="D648" s="562" t="s">
        <v>23</v>
      </c>
      <c r="E648" s="561"/>
      <c r="F648" s="561"/>
      <c r="G648" s="563"/>
      <c r="H648" s="686" t="s">
        <v>14</v>
      </c>
      <c r="I648" s="683"/>
      <c r="J648" s="683"/>
      <c r="K648" s="684"/>
      <c r="L648" s="567">
        <f t="shared" ref="L648:N648" si="405">L649+L650</f>
        <v>0</v>
      </c>
      <c r="M648" s="568">
        <f t="shared" si="405"/>
        <v>0</v>
      </c>
      <c r="N648" s="568">
        <f t="shared" si="405"/>
        <v>0</v>
      </c>
      <c r="O648" s="568">
        <f t="shared" si="396"/>
        <v>0</v>
      </c>
      <c r="P648" s="568">
        <f t="shared" si="397"/>
        <v>0</v>
      </c>
      <c r="Q648" s="568">
        <f t="shared" ref="Q648:S648" si="406">Q649+Q650</f>
        <v>0</v>
      </c>
      <c r="R648" s="568">
        <f t="shared" si="406"/>
        <v>0</v>
      </c>
      <c r="S648" s="568">
        <f t="shared" si="406"/>
        <v>0</v>
      </c>
      <c r="T648" s="568">
        <f t="shared" si="399"/>
        <v>0</v>
      </c>
      <c r="U648" s="568">
        <f t="shared" si="400"/>
        <v>0</v>
      </c>
    </row>
    <row r="649" spans="1:21" ht="18.75" hidden="1" x14ac:dyDescent="0.25">
      <c r="A649" s="674"/>
      <c r="B649" s="718"/>
      <c r="C649" s="718"/>
      <c r="D649" s="561"/>
      <c r="E649" s="569" t="s">
        <v>20</v>
      </c>
      <c r="F649" s="561"/>
      <c r="G649" s="563"/>
      <c r="H649" s="685" t="s">
        <v>14</v>
      </c>
      <c r="I649" s="683"/>
      <c r="J649" s="683"/>
      <c r="K649" s="684"/>
      <c r="L649" s="571">
        <v>0</v>
      </c>
      <c r="M649" s="572">
        <v>0</v>
      </c>
      <c r="N649" s="572">
        <v>0</v>
      </c>
      <c r="O649" s="572">
        <f t="shared" si="396"/>
        <v>0</v>
      </c>
      <c r="P649" s="572">
        <f t="shared" si="397"/>
        <v>0</v>
      </c>
      <c r="Q649" s="572">
        <v>0</v>
      </c>
      <c r="R649" s="572">
        <v>0</v>
      </c>
      <c r="S649" s="572">
        <v>0</v>
      </c>
      <c r="T649" s="572">
        <f t="shared" si="399"/>
        <v>0</v>
      </c>
      <c r="U649" s="572">
        <f t="shared" si="400"/>
        <v>0</v>
      </c>
    </row>
    <row r="650" spans="1:21" ht="18.75" hidden="1" x14ac:dyDescent="0.25">
      <c r="A650" s="674"/>
      <c r="B650" s="718"/>
      <c r="C650" s="718"/>
      <c r="D650" s="561"/>
      <c r="E650" s="573" t="s">
        <v>21</v>
      </c>
      <c r="F650" s="561"/>
      <c r="G650" s="563"/>
      <c r="H650" s="686" t="s">
        <v>14</v>
      </c>
      <c r="I650" s="683"/>
      <c r="J650" s="683"/>
      <c r="K650" s="684"/>
      <c r="L650" s="567">
        <v>0</v>
      </c>
      <c r="M650" s="568">
        <v>0</v>
      </c>
      <c r="N650" s="568">
        <v>0</v>
      </c>
      <c r="O650" s="568">
        <f t="shared" si="396"/>
        <v>0</v>
      </c>
      <c r="P650" s="568">
        <f t="shared" si="397"/>
        <v>0</v>
      </c>
      <c r="Q650" s="568">
        <v>0</v>
      </c>
      <c r="R650" s="568">
        <v>0</v>
      </c>
      <c r="S650" s="568">
        <v>0</v>
      </c>
      <c r="T650" s="568">
        <f t="shared" si="399"/>
        <v>0</v>
      </c>
      <c r="U650" s="568">
        <f t="shared" si="400"/>
        <v>0</v>
      </c>
    </row>
    <row r="651" spans="1:21" ht="19.5" hidden="1" x14ac:dyDescent="0.3">
      <c r="A651" s="687"/>
      <c r="B651" s="688"/>
      <c r="C651" s="765" t="s">
        <v>18</v>
      </c>
      <c r="D651" s="1083" t="s">
        <v>38</v>
      </c>
      <c r="E651" s="690"/>
      <c r="F651" s="690"/>
      <c r="G651" s="691"/>
      <c r="H651" s="725"/>
      <c r="I651" s="683"/>
      <c r="J651" s="683"/>
      <c r="K651" s="684"/>
      <c r="L651" s="693"/>
      <c r="M651" s="684"/>
      <c r="N651" s="684"/>
      <c r="O651" s="684"/>
      <c r="P651" s="684"/>
      <c r="Q651" s="566"/>
      <c r="R651" s="566"/>
      <c r="S651" s="566"/>
      <c r="T651" s="684"/>
      <c r="U651" s="684"/>
    </row>
    <row r="652" spans="1:21" ht="18.75" hidden="1" x14ac:dyDescent="0.25">
      <c r="A652" s="764"/>
      <c r="B652" s="718"/>
      <c r="C652" s="718"/>
      <c r="D652" s="573" t="s">
        <v>237</v>
      </c>
      <c r="E652" s="561"/>
      <c r="F652" s="561"/>
      <c r="G652" s="563"/>
      <c r="H652" s="686" t="s">
        <v>46</v>
      </c>
      <c r="I652" s="1084">
        <f ca="1">IFERROR(__xludf.DUMMYFUNCTION("IMPORTRANGE(""https://docs.google.com/spreadsheets/d/1eHaY18a8A9IcSdp1K8H6x8fbOy06t2VsZHhMHf-1x7Y/edit?usp=sharing"",""แผน!IF22"")"),0)</f>
        <v>0</v>
      </c>
      <c r="J652" s="708">
        <f ca="1">IFERROR(__xludf.DUMMYFUNCTION("IMPORTRANGE(""https://docs.google.com/spreadsheets/d/1tdoBKaGub7dwA3U6UFTqxio9LNnvDCQjHKmttSEBsFQ/edit?usp=sharing"",""จัดที่ดิน!AU22"")"),0)</f>
        <v>0</v>
      </c>
      <c r="K652" s="568">
        <f t="shared" ref="K652:K654" ca="1" si="407">IF(I652&gt;0,J652*100/I652,0)</f>
        <v>0</v>
      </c>
      <c r="L652" s="574"/>
      <c r="M652" s="566"/>
      <c r="N652" s="1085"/>
      <c r="O652" s="566"/>
      <c r="P652" s="566"/>
      <c r="Q652" s="566"/>
      <c r="R652" s="566"/>
      <c r="S652" s="1085"/>
      <c r="T652" s="566"/>
      <c r="U652" s="566"/>
    </row>
    <row r="653" spans="1:21" ht="18.75" hidden="1" x14ac:dyDescent="0.25">
      <c r="A653" s="764"/>
      <c r="B653" s="718"/>
      <c r="C653" s="718"/>
      <c r="D653" s="573" t="s">
        <v>238</v>
      </c>
      <c r="E653" s="561"/>
      <c r="F653" s="561"/>
      <c r="G653" s="563"/>
      <c r="H653" s="686" t="s">
        <v>35</v>
      </c>
      <c r="I653" s="1084">
        <f ca="1">IFERROR(__xludf.DUMMYFUNCTION("IMPORTRANGE(""https://docs.google.com/spreadsheets/d/1eHaY18a8A9IcSdp1K8H6x8fbOy06t2VsZHhMHf-1x7Y/edit?usp=sharing"",""แผน!IG22"")"),0)</f>
        <v>0</v>
      </c>
      <c r="J653" s="708">
        <f ca="1">IFERROR(__xludf.DUMMYFUNCTION("IMPORTRANGE(""https://docs.google.com/spreadsheets/d/1tdoBKaGub7dwA3U6UFTqxio9LNnvDCQjHKmttSEBsFQ/edit?usp=sharing"",""จัดที่ดิน!AW22"")"),0)</f>
        <v>0</v>
      </c>
      <c r="K653" s="568">
        <f t="shared" ca="1" si="407"/>
        <v>0</v>
      </c>
      <c r="L653" s="574"/>
      <c r="M653" s="566"/>
      <c r="N653" s="1085"/>
      <c r="O653" s="566"/>
      <c r="P653" s="566"/>
      <c r="Q653" s="566"/>
      <c r="R653" s="566"/>
      <c r="S653" s="1085"/>
      <c r="T653" s="566"/>
      <c r="U653" s="566"/>
    </row>
    <row r="654" spans="1:21" ht="19.5" hidden="1" x14ac:dyDescent="0.3">
      <c r="A654" s="764"/>
      <c r="B654" s="718"/>
      <c r="C654" s="718"/>
      <c r="D654" s="573" t="s">
        <v>239</v>
      </c>
      <c r="E654" s="561"/>
      <c r="F654" s="561"/>
      <c r="G654" s="563"/>
      <c r="H654" s="1080" t="s">
        <v>46</v>
      </c>
      <c r="I654" s="1086">
        <f ca="1">IFERROR(__xludf.DUMMYFUNCTION("IMPORTRANGE(""https://docs.google.com/spreadsheets/d/1eHaY18a8A9IcSdp1K8H6x8fbOy06t2VsZHhMHf-1x7Y/edit?usp=sharing"",""แผน!IH22"")"),0)</f>
        <v>0</v>
      </c>
      <c r="J654" s="697">
        <f>J657+J660</f>
        <v>0</v>
      </c>
      <c r="K654" s="679">
        <f t="shared" ca="1" si="407"/>
        <v>0</v>
      </c>
      <c r="L654" s="574"/>
      <c r="M654" s="566"/>
      <c r="N654" s="1085"/>
      <c r="O654" s="566"/>
      <c r="P654" s="566"/>
      <c r="Q654" s="566"/>
      <c r="R654" s="566"/>
      <c r="S654" s="1085"/>
      <c r="T654" s="566"/>
      <c r="U654" s="566"/>
    </row>
    <row r="655" spans="1:21" ht="18.75" hidden="1" x14ac:dyDescent="0.25">
      <c r="A655" s="764"/>
      <c r="B655" s="718"/>
      <c r="C655" s="718"/>
      <c r="D655" s="561"/>
      <c r="E655" s="573" t="s">
        <v>240</v>
      </c>
      <c r="F655" s="561"/>
      <c r="G655" s="563"/>
      <c r="H655" s="686" t="s">
        <v>35</v>
      </c>
      <c r="I655" s="727"/>
      <c r="J655" s="702">
        <v>0</v>
      </c>
      <c r="K655" s="566"/>
      <c r="L655" s="574"/>
      <c r="M655" s="566"/>
      <c r="N655" s="1085"/>
      <c r="O655" s="566"/>
      <c r="P655" s="566"/>
      <c r="Q655" s="566"/>
      <c r="R655" s="566"/>
      <c r="S655" s="1085"/>
      <c r="T655" s="566"/>
      <c r="U655" s="566"/>
    </row>
    <row r="656" spans="1:21" ht="18.75" hidden="1" x14ac:dyDescent="0.25">
      <c r="A656" s="764"/>
      <c r="B656" s="718"/>
      <c r="C656" s="718"/>
      <c r="D656" s="561"/>
      <c r="E656" s="561"/>
      <c r="F656" s="561"/>
      <c r="G656" s="563"/>
      <c r="H656" s="686" t="s">
        <v>34</v>
      </c>
      <c r="I656" s="727"/>
      <c r="J656" s="702">
        <v>0</v>
      </c>
      <c r="K656" s="566"/>
      <c r="L656" s="574"/>
      <c r="M656" s="566"/>
      <c r="N656" s="1085"/>
      <c r="O656" s="566"/>
      <c r="P656" s="566"/>
      <c r="Q656" s="566"/>
      <c r="R656" s="566"/>
      <c r="S656" s="1085"/>
      <c r="T656" s="566"/>
      <c r="U656" s="566"/>
    </row>
    <row r="657" spans="1:21" ht="18.75" hidden="1" x14ac:dyDescent="0.25">
      <c r="A657" s="764"/>
      <c r="B657" s="718"/>
      <c r="C657" s="718"/>
      <c r="D657" s="561"/>
      <c r="E657" s="561"/>
      <c r="F657" s="561"/>
      <c r="G657" s="563"/>
      <c r="H657" s="686" t="s">
        <v>46</v>
      </c>
      <c r="I657" s="1084">
        <f ca="1">IFERROR(__xludf.DUMMYFUNCTION("IMPORTRANGE(""https://docs.google.com/spreadsheets/d/1eHaY18a8A9IcSdp1K8H6x8fbOy06t2VsZHhMHf-1x7Y/edit?usp=sharing"",""แผน!II22"")"),0)</f>
        <v>0</v>
      </c>
      <c r="J657" s="702">
        <v>0</v>
      </c>
      <c r="K657" s="566"/>
      <c r="L657" s="574"/>
      <c r="M657" s="566"/>
      <c r="N657" s="1085"/>
      <c r="O657" s="566"/>
      <c r="P657" s="566"/>
      <c r="Q657" s="566"/>
      <c r="R657" s="566"/>
      <c r="S657" s="1085"/>
      <c r="T657" s="566"/>
      <c r="U657" s="566"/>
    </row>
    <row r="658" spans="1:21" ht="18.75" hidden="1" x14ac:dyDescent="0.25">
      <c r="A658" s="764"/>
      <c r="B658" s="718"/>
      <c r="C658" s="718"/>
      <c r="D658" s="561"/>
      <c r="E658" s="573" t="s">
        <v>241</v>
      </c>
      <c r="F658" s="561"/>
      <c r="G658" s="563"/>
      <c r="H658" s="686" t="s">
        <v>35</v>
      </c>
      <c r="I658" s="727"/>
      <c r="J658" s="702">
        <v>0</v>
      </c>
      <c r="K658" s="566"/>
      <c r="L658" s="574"/>
      <c r="M658" s="566"/>
      <c r="N658" s="1085"/>
      <c r="O658" s="566"/>
      <c r="P658" s="566"/>
      <c r="Q658" s="566"/>
      <c r="R658" s="566"/>
      <c r="S658" s="1085"/>
      <c r="T658" s="566"/>
      <c r="U658" s="566"/>
    </row>
    <row r="659" spans="1:21" ht="18.75" hidden="1" x14ac:dyDescent="0.25">
      <c r="A659" s="764"/>
      <c r="B659" s="718"/>
      <c r="C659" s="718"/>
      <c r="D659" s="561"/>
      <c r="E659" s="561"/>
      <c r="F659" s="561"/>
      <c r="G659" s="563"/>
      <c r="H659" s="686" t="s">
        <v>34</v>
      </c>
      <c r="I659" s="727"/>
      <c r="J659" s="702">
        <v>0</v>
      </c>
      <c r="K659" s="566"/>
      <c r="L659" s="574"/>
      <c r="M659" s="566"/>
      <c r="N659" s="1085"/>
      <c r="O659" s="566"/>
      <c r="P659" s="566"/>
      <c r="Q659" s="566"/>
      <c r="R659" s="566"/>
      <c r="S659" s="1085"/>
      <c r="T659" s="566"/>
      <c r="U659" s="566"/>
    </row>
    <row r="660" spans="1:21" ht="18.75" hidden="1" x14ac:dyDescent="0.25">
      <c r="A660" s="764"/>
      <c r="B660" s="718"/>
      <c r="C660" s="718"/>
      <c r="D660" s="561"/>
      <c r="E660" s="561"/>
      <c r="F660" s="561"/>
      <c r="G660" s="563"/>
      <c r="H660" s="686" t="s">
        <v>46</v>
      </c>
      <c r="I660" s="1084">
        <f ca="1">IFERROR(__xludf.DUMMYFUNCTION("IMPORTRANGE(""https://docs.google.com/spreadsheets/d/1eHaY18a8A9IcSdp1K8H6x8fbOy06t2VsZHhMHf-1x7Y/edit?usp=sharing"",""แผน!IJ22"")"),0)</f>
        <v>0</v>
      </c>
      <c r="J660" s="702">
        <v>0</v>
      </c>
      <c r="K660" s="566"/>
      <c r="L660" s="574"/>
      <c r="M660" s="566"/>
      <c r="N660" s="1085"/>
      <c r="O660" s="566"/>
      <c r="P660" s="566"/>
      <c r="Q660" s="566"/>
      <c r="R660" s="566"/>
      <c r="S660" s="1085"/>
      <c r="T660" s="566"/>
      <c r="U660" s="566"/>
    </row>
    <row r="661" spans="1:21" ht="19.5" hidden="1" x14ac:dyDescent="0.3">
      <c r="A661" s="764"/>
      <c r="B661" s="718"/>
      <c r="C661" s="718"/>
      <c r="D661" s="987" t="s">
        <v>242</v>
      </c>
      <c r="E661" s="561"/>
      <c r="F661" s="561"/>
      <c r="G661" s="563"/>
      <c r="H661" s="1080" t="s">
        <v>46</v>
      </c>
      <c r="I661" s="1086">
        <f ca="1">IFERROR(__xludf.DUMMYFUNCTION("IMPORTRANGE(""https://docs.google.com/spreadsheets/d/1eHaY18a8A9IcSdp1K8H6x8fbOy06t2VsZHhMHf-1x7Y/edit?usp=sharing"",""แผน!IK22"")"),0)</f>
        <v>0</v>
      </c>
      <c r="J661" s="697">
        <f>J667+J670</f>
        <v>0</v>
      </c>
      <c r="K661" s="679">
        <f ca="1">IF(I661&gt;0,J661*100/I661,0)</f>
        <v>0</v>
      </c>
      <c r="L661" s="574"/>
      <c r="M661" s="566"/>
      <c r="N661" s="1085"/>
      <c r="O661" s="566"/>
      <c r="P661" s="566"/>
      <c r="Q661" s="566"/>
      <c r="R661" s="566"/>
      <c r="S661" s="1085"/>
      <c r="T661" s="566"/>
      <c r="U661" s="566"/>
    </row>
    <row r="662" spans="1:21" ht="18.75" hidden="1" x14ac:dyDescent="0.25">
      <c r="A662" s="764"/>
      <c r="B662" s="718"/>
      <c r="C662" s="718"/>
      <c r="D662" s="561"/>
      <c r="E662" s="573" t="s">
        <v>243</v>
      </c>
      <c r="F662" s="561"/>
      <c r="G662" s="563"/>
      <c r="H662" s="686" t="s">
        <v>34</v>
      </c>
      <c r="I662" s="727"/>
      <c r="J662" s="702">
        <v>0</v>
      </c>
      <c r="K662" s="566"/>
      <c r="L662" s="1087"/>
      <c r="M662" s="566"/>
      <c r="N662" s="1085"/>
      <c r="O662" s="566"/>
      <c r="P662" s="566"/>
      <c r="Q662" s="1085"/>
      <c r="R662" s="566"/>
      <c r="S662" s="1085"/>
      <c r="T662" s="566"/>
      <c r="U662" s="566"/>
    </row>
    <row r="663" spans="1:21" ht="18.75" hidden="1" x14ac:dyDescent="0.25">
      <c r="A663" s="764"/>
      <c r="B663" s="718"/>
      <c r="C663" s="718"/>
      <c r="D663" s="561"/>
      <c r="E663" s="561"/>
      <c r="F663" s="561"/>
      <c r="G663" s="563"/>
      <c r="H663" s="686" t="s">
        <v>46</v>
      </c>
      <c r="I663" s="727"/>
      <c r="J663" s="702">
        <v>0</v>
      </c>
      <c r="K663" s="566"/>
      <c r="L663" s="1087"/>
      <c r="M663" s="566"/>
      <c r="N663" s="1085"/>
      <c r="O663" s="566"/>
      <c r="P663" s="566"/>
      <c r="Q663" s="1085"/>
      <c r="R663" s="566"/>
      <c r="S663" s="1085"/>
      <c r="T663" s="566"/>
      <c r="U663" s="566"/>
    </row>
    <row r="664" spans="1:21" ht="18.75" hidden="1" x14ac:dyDescent="0.25">
      <c r="A664" s="764"/>
      <c r="B664" s="718"/>
      <c r="C664" s="718"/>
      <c r="D664" s="561"/>
      <c r="E664" s="573" t="s">
        <v>244</v>
      </c>
      <c r="F664" s="561"/>
      <c r="G664" s="563"/>
      <c r="H664" s="725"/>
      <c r="I664" s="727"/>
      <c r="J664" s="565"/>
      <c r="K664" s="566"/>
      <c r="L664" s="1087"/>
      <c r="M664" s="566"/>
      <c r="N664" s="1085"/>
      <c r="O664" s="566"/>
      <c r="P664" s="566"/>
      <c r="Q664" s="1085"/>
      <c r="R664" s="566"/>
      <c r="S664" s="1085"/>
      <c r="T664" s="566"/>
      <c r="U664" s="566"/>
    </row>
    <row r="665" spans="1:21" ht="18.75" hidden="1" x14ac:dyDescent="0.25">
      <c r="A665" s="764"/>
      <c r="B665" s="718"/>
      <c r="C665" s="718"/>
      <c r="D665" s="561"/>
      <c r="E665" s="561"/>
      <c r="F665" s="573" t="s">
        <v>245</v>
      </c>
      <c r="G665" s="563"/>
      <c r="H665" s="686" t="s">
        <v>35</v>
      </c>
      <c r="I665" s="727"/>
      <c r="J665" s="702">
        <v>0</v>
      </c>
      <c r="K665" s="566"/>
      <c r="L665" s="1087"/>
      <c r="M665" s="566"/>
      <c r="N665" s="1085"/>
      <c r="O665" s="566"/>
      <c r="P665" s="566"/>
      <c r="Q665" s="1085"/>
      <c r="R665" s="566"/>
      <c r="S665" s="1085"/>
      <c r="T665" s="566"/>
      <c r="U665" s="566"/>
    </row>
    <row r="666" spans="1:21" ht="18.75" hidden="1" x14ac:dyDescent="0.25">
      <c r="A666" s="764"/>
      <c r="B666" s="718"/>
      <c r="C666" s="718"/>
      <c r="D666" s="561"/>
      <c r="E666" s="561"/>
      <c r="F666" s="561"/>
      <c r="G666" s="563"/>
      <c r="H666" s="686" t="s">
        <v>34</v>
      </c>
      <c r="I666" s="727"/>
      <c r="J666" s="702">
        <v>0</v>
      </c>
      <c r="K666" s="566"/>
      <c r="L666" s="1087"/>
      <c r="M666" s="566"/>
      <c r="N666" s="1085"/>
      <c r="O666" s="566"/>
      <c r="P666" s="566"/>
      <c r="Q666" s="1085"/>
      <c r="R666" s="566"/>
      <c r="S666" s="1085"/>
      <c r="T666" s="566"/>
      <c r="U666" s="566"/>
    </row>
    <row r="667" spans="1:21" ht="18.75" hidden="1" x14ac:dyDescent="0.25">
      <c r="A667" s="764"/>
      <c r="B667" s="718"/>
      <c r="C667" s="718"/>
      <c r="D667" s="561"/>
      <c r="E667" s="561"/>
      <c r="F667" s="561"/>
      <c r="G667" s="563"/>
      <c r="H667" s="686" t="s">
        <v>46</v>
      </c>
      <c r="I667" s="727"/>
      <c r="J667" s="702">
        <v>0</v>
      </c>
      <c r="K667" s="566"/>
      <c r="L667" s="1087"/>
      <c r="M667" s="566"/>
      <c r="N667" s="1085"/>
      <c r="O667" s="566"/>
      <c r="P667" s="566"/>
      <c r="Q667" s="1085"/>
      <c r="R667" s="566"/>
      <c r="S667" s="1085"/>
      <c r="T667" s="566"/>
      <c r="U667" s="566"/>
    </row>
    <row r="668" spans="1:21" ht="18.75" hidden="1" x14ac:dyDescent="0.25">
      <c r="A668" s="764"/>
      <c r="B668" s="718"/>
      <c r="C668" s="718"/>
      <c r="D668" s="561"/>
      <c r="E668" s="561"/>
      <c r="F668" s="573" t="s">
        <v>246</v>
      </c>
      <c r="G668" s="563"/>
      <c r="H668" s="686" t="s">
        <v>35</v>
      </c>
      <c r="I668" s="727"/>
      <c r="J668" s="702">
        <v>0</v>
      </c>
      <c r="K668" s="566"/>
      <c r="L668" s="1087"/>
      <c r="M668" s="566"/>
      <c r="N668" s="1085"/>
      <c r="O668" s="566"/>
      <c r="P668" s="566"/>
      <c r="Q668" s="1085"/>
      <c r="R668" s="566"/>
      <c r="S668" s="1085"/>
      <c r="T668" s="566"/>
      <c r="U668" s="566"/>
    </row>
    <row r="669" spans="1:21" ht="18.75" hidden="1" x14ac:dyDescent="0.25">
      <c r="A669" s="764"/>
      <c r="B669" s="718"/>
      <c r="C669" s="718"/>
      <c r="D669" s="561"/>
      <c r="E669" s="561"/>
      <c r="F669" s="561"/>
      <c r="G669" s="563"/>
      <c r="H669" s="686" t="s">
        <v>34</v>
      </c>
      <c r="I669" s="727"/>
      <c r="J669" s="702">
        <v>0</v>
      </c>
      <c r="K669" s="566"/>
      <c r="L669" s="1087"/>
      <c r="M669" s="566"/>
      <c r="N669" s="1085"/>
      <c r="O669" s="566"/>
      <c r="P669" s="566"/>
      <c r="Q669" s="1085"/>
      <c r="R669" s="566"/>
      <c r="S669" s="1085"/>
      <c r="T669" s="566"/>
      <c r="U669" s="566"/>
    </row>
    <row r="670" spans="1:21" ht="18.75" hidden="1" x14ac:dyDescent="0.25">
      <c r="A670" s="764"/>
      <c r="B670" s="718"/>
      <c r="C670" s="718"/>
      <c r="D670" s="561"/>
      <c r="E670" s="561"/>
      <c r="F670" s="561"/>
      <c r="G670" s="563"/>
      <c r="H670" s="686" t="s">
        <v>46</v>
      </c>
      <c r="I670" s="727"/>
      <c r="J670" s="702">
        <v>0</v>
      </c>
      <c r="K670" s="566"/>
      <c r="L670" s="1087"/>
      <c r="M670" s="566"/>
      <c r="N670" s="1085"/>
      <c r="O670" s="566"/>
      <c r="P670" s="566"/>
      <c r="Q670" s="1085"/>
      <c r="R670" s="566"/>
      <c r="S670" s="1085"/>
      <c r="T670" s="566"/>
      <c r="U670" s="566"/>
    </row>
    <row r="671" spans="1:21" ht="18.75" hidden="1" x14ac:dyDescent="0.25">
      <c r="A671" s="764"/>
      <c r="B671" s="718"/>
      <c r="C671" s="718"/>
      <c r="D671" s="573" t="s">
        <v>247</v>
      </c>
      <c r="E671" s="561"/>
      <c r="F671" s="561"/>
      <c r="G671" s="563"/>
      <c r="H671" s="686" t="s">
        <v>35</v>
      </c>
      <c r="I671" s="727"/>
      <c r="J671" s="708">
        <f ca="1">IFERROR(__xludf.DUMMYFUNCTION("IMPORTRANGE(""https://docs.google.com/spreadsheets/d/1tdoBKaGub7dwA3U6UFTqxio9LNnvDCQjHKmttSEBsFQ/edit?usp=sharing"",""จัดที่ดิน!AY22"")"),0)</f>
        <v>0</v>
      </c>
      <c r="K671" s="566"/>
      <c r="L671" s="574"/>
      <c r="M671" s="566"/>
      <c r="N671" s="1085"/>
      <c r="O671" s="566"/>
      <c r="P671" s="566"/>
      <c r="Q671" s="566"/>
      <c r="R671" s="566"/>
      <c r="S671" s="1085"/>
      <c r="T671" s="566"/>
      <c r="U671" s="566"/>
    </row>
    <row r="672" spans="1:21" ht="18.75" hidden="1" x14ac:dyDescent="0.25">
      <c r="A672" s="764"/>
      <c r="B672" s="718"/>
      <c r="C672" s="718"/>
      <c r="D672" s="561"/>
      <c r="E672" s="561"/>
      <c r="F672" s="561"/>
      <c r="G672" s="563"/>
      <c r="H672" s="686" t="s">
        <v>34</v>
      </c>
      <c r="I672" s="727"/>
      <c r="J672" s="708">
        <f ca="1">IFERROR(__xludf.DUMMYFUNCTION("IMPORTRANGE(""https://docs.google.com/spreadsheets/d/1tdoBKaGub7dwA3U6UFTqxio9LNnvDCQjHKmttSEBsFQ/edit?usp=sharing"",""จัดที่ดิน!AZ22"")"),0)</f>
        <v>0</v>
      </c>
      <c r="K672" s="566"/>
      <c r="L672" s="1087"/>
      <c r="M672" s="566"/>
      <c r="N672" s="1085"/>
      <c r="O672" s="566"/>
      <c r="P672" s="566"/>
      <c r="Q672" s="1085"/>
      <c r="R672" s="566"/>
      <c r="S672" s="1085"/>
      <c r="T672" s="566"/>
      <c r="U672" s="566"/>
    </row>
    <row r="673" spans="1:21" ht="18.75" hidden="1" x14ac:dyDescent="0.25">
      <c r="A673" s="764"/>
      <c r="B673" s="718"/>
      <c r="C673" s="718"/>
      <c r="D673" s="561"/>
      <c r="E673" s="561"/>
      <c r="F673" s="561"/>
      <c r="G673" s="563"/>
      <c r="H673" s="686" t="s">
        <v>46</v>
      </c>
      <c r="I673" s="1084">
        <f ca="1">IFERROR(__xludf.DUMMYFUNCTION("IMPORTRANGE(""https://docs.google.com/spreadsheets/d/1eHaY18a8A9IcSdp1K8H6x8fbOy06t2VsZHhMHf-1x7Y/edit?usp=sharing"",""แผน!IL22"")"),0)</f>
        <v>0</v>
      </c>
      <c r="J673" s="708">
        <f ca="1">IFERROR(__xludf.DUMMYFUNCTION("IMPORTRANGE(""https://docs.google.com/spreadsheets/d/1tdoBKaGub7dwA3U6UFTqxio9LNnvDCQjHKmttSEBsFQ/edit?usp=sharing"",""จัดที่ดิน!BA22"")"),0)</f>
        <v>0</v>
      </c>
      <c r="K673" s="568">
        <f t="shared" ref="K673:K676" ca="1" si="408">IF(I673&gt;0,J673*100/I673,0)</f>
        <v>0</v>
      </c>
      <c r="L673" s="1087"/>
      <c r="M673" s="566"/>
      <c r="N673" s="1085"/>
      <c r="O673" s="566"/>
      <c r="P673" s="566"/>
      <c r="Q673" s="1085"/>
      <c r="R673" s="566"/>
      <c r="S673" s="1085"/>
      <c r="T673" s="566"/>
      <c r="U673" s="566"/>
    </row>
    <row r="674" spans="1:21" ht="19.5" hidden="1" x14ac:dyDescent="0.3">
      <c r="A674" s="764"/>
      <c r="B674" s="718"/>
      <c r="C674" s="718"/>
      <c r="D674" s="573" t="s">
        <v>248</v>
      </c>
      <c r="E674" s="561"/>
      <c r="F674" s="561"/>
      <c r="G674" s="563"/>
      <c r="H674" s="1080" t="s">
        <v>35</v>
      </c>
      <c r="I674" s="1086">
        <f ca="1">IFERROR(__xludf.DUMMYFUNCTION("IMPORTRANGE(""https://docs.google.com/spreadsheets/d/1eHaY18a8A9IcSdp1K8H6x8fbOy06t2VsZHhMHf-1x7Y/edit?usp=sharing"",""แผน!IM22"")"),0)</f>
        <v>0</v>
      </c>
      <c r="J674" s="697">
        <f ca="1">J676+J679</f>
        <v>0</v>
      </c>
      <c r="K674" s="679">
        <f t="shared" ca="1" si="408"/>
        <v>0</v>
      </c>
      <c r="L674" s="1087"/>
      <c r="M674" s="566"/>
      <c r="N674" s="1085"/>
      <c r="O674" s="566"/>
      <c r="P674" s="566"/>
      <c r="Q674" s="1085"/>
      <c r="R674" s="566"/>
      <c r="S674" s="1085"/>
      <c r="T674" s="566"/>
      <c r="U674" s="566"/>
    </row>
    <row r="675" spans="1:21" ht="19.5" hidden="1" x14ac:dyDescent="0.3">
      <c r="A675" s="764"/>
      <c r="B675" s="718"/>
      <c r="C675" s="718"/>
      <c r="D675" s="561"/>
      <c r="E675" s="561"/>
      <c r="F675" s="561"/>
      <c r="G675" s="563"/>
      <c r="H675" s="1080" t="s">
        <v>46</v>
      </c>
      <c r="I675" s="1086">
        <f ca="1">IFERROR(__xludf.DUMMYFUNCTION("IMPORTRANGE(""https://docs.google.com/spreadsheets/d/1eHaY18a8A9IcSdp1K8H6x8fbOy06t2VsZHhMHf-1x7Y/edit?usp=sharing"",""แผน!IN22"")"),0)</f>
        <v>0</v>
      </c>
      <c r="J675" s="697">
        <f ca="1">J678+J681</f>
        <v>0</v>
      </c>
      <c r="K675" s="679">
        <f t="shared" ca="1" si="408"/>
        <v>0</v>
      </c>
      <c r="L675" s="574"/>
      <c r="M675" s="566"/>
      <c r="N675" s="1085"/>
      <c r="O675" s="566"/>
      <c r="P675" s="566"/>
      <c r="Q675" s="566"/>
      <c r="R675" s="566"/>
      <c r="S675" s="1085"/>
      <c r="T675" s="566"/>
      <c r="U675" s="566"/>
    </row>
    <row r="676" spans="1:21" ht="18.75" hidden="1" x14ac:dyDescent="0.25">
      <c r="A676" s="764"/>
      <c r="B676" s="718"/>
      <c r="C676" s="718"/>
      <c r="D676" s="561"/>
      <c r="E676" s="573" t="s">
        <v>249</v>
      </c>
      <c r="F676" s="561"/>
      <c r="G676" s="563"/>
      <c r="H676" s="686" t="s">
        <v>35</v>
      </c>
      <c r="I676" s="1084">
        <f ca="1">IFERROR(__xludf.DUMMYFUNCTION("IMPORTRANGE(""https://docs.google.com/spreadsheets/d/1eHaY18a8A9IcSdp1K8H6x8fbOy06t2VsZHhMHf-1x7Y/edit?usp=sharing"",""แผน!IO22"")"),0)</f>
        <v>0</v>
      </c>
      <c r="J676" s="708">
        <f ca="1">IFERROR(__xludf.DUMMYFUNCTION("IMPORTRANGE(""https://docs.google.com/spreadsheets/d/1tdoBKaGub7dwA3U6UFTqxio9LNnvDCQjHKmttSEBsFQ/edit?usp=sharing"",""จัดที่ดิน!BF22"")"),0)</f>
        <v>0</v>
      </c>
      <c r="K676" s="568">
        <f t="shared" ca="1" si="408"/>
        <v>0</v>
      </c>
      <c r="L676" s="574"/>
      <c r="M676" s="566"/>
      <c r="N676" s="1085"/>
      <c r="O676" s="566"/>
      <c r="P676" s="566"/>
      <c r="Q676" s="566"/>
      <c r="R676" s="566"/>
      <c r="S676" s="1085"/>
      <c r="T676" s="566"/>
      <c r="U676" s="566"/>
    </row>
    <row r="677" spans="1:21" ht="18.75" hidden="1" x14ac:dyDescent="0.25">
      <c r="A677" s="764"/>
      <c r="B677" s="718"/>
      <c r="C677" s="718"/>
      <c r="D677" s="561"/>
      <c r="E677" s="561"/>
      <c r="F677" s="561"/>
      <c r="G677" s="563"/>
      <c r="H677" s="686" t="s">
        <v>34</v>
      </c>
      <c r="I677" s="727"/>
      <c r="J677" s="708">
        <f ca="1">IFERROR(__xludf.DUMMYFUNCTION("IMPORTRANGE(""https://docs.google.com/spreadsheets/d/1tdoBKaGub7dwA3U6UFTqxio9LNnvDCQjHKmttSEBsFQ/edit?usp=sharing"",""จัดที่ดิน!BG22"")"),0)</f>
        <v>0</v>
      </c>
      <c r="K677" s="566"/>
      <c r="L677" s="1087"/>
      <c r="M677" s="566"/>
      <c r="N677" s="1085"/>
      <c r="O677" s="566"/>
      <c r="P677" s="566"/>
      <c r="Q677" s="1085"/>
      <c r="R677" s="566"/>
      <c r="S677" s="1085"/>
      <c r="T677" s="566"/>
      <c r="U677" s="566"/>
    </row>
    <row r="678" spans="1:21" ht="18.75" hidden="1" x14ac:dyDescent="0.25">
      <c r="A678" s="764"/>
      <c r="B678" s="718"/>
      <c r="C678" s="718"/>
      <c r="D678" s="561"/>
      <c r="E678" s="561"/>
      <c r="F678" s="561"/>
      <c r="G678" s="563"/>
      <c r="H678" s="686" t="s">
        <v>46</v>
      </c>
      <c r="I678" s="1084">
        <f ca="1">IFERROR(__xludf.DUMMYFUNCTION("IMPORTRANGE(""https://docs.google.com/spreadsheets/d/1eHaY18a8A9IcSdp1K8H6x8fbOy06t2VsZHhMHf-1x7Y/edit?usp=sharing"",""แผน!IP22"")"),0)</f>
        <v>0</v>
      </c>
      <c r="J678" s="708">
        <f ca="1">IFERROR(__xludf.DUMMYFUNCTION("IMPORTRANGE(""https://docs.google.com/spreadsheets/d/1tdoBKaGub7dwA3U6UFTqxio9LNnvDCQjHKmttSEBsFQ/edit?usp=sharing"",""จัดที่ดิน!BH22"")"),0)</f>
        <v>0</v>
      </c>
      <c r="K678" s="568">
        <f t="shared" ref="K678:K679" ca="1" si="409">IF(I678&gt;0,J678*100/I678,0)</f>
        <v>0</v>
      </c>
      <c r="L678" s="1087"/>
      <c r="M678" s="566"/>
      <c r="N678" s="1085"/>
      <c r="O678" s="566"/>
      <c r="P678" s="566"/>
      <c r="Q678" s="1085"/>
      <c r="R678" s="566"/>
      <c r="S678" s="1085"/>
      <c r="T678" s="566"/>
      <c r="U678" s="566"/>
    </row>
    <row r="679" spans="1:21" ht="18.75" hidden="1" x14ac:dyDescent="0.25">
      <c r="A679" s="764"/>
      <c r="B679" s="718"/>
      <c r="C679" s="718"/>
      <c r="D679" s="561"/>
      <c r="E679" s="573" t="s">
        <v>250</v>
      </c>
      <c r="F679" s="561"/>
      <c r="G679" s="563"/>
      <c r="H679" s="686" t="s">
        <v>35</v>
      </c>
      <c r="I679" s="1084">
        <f ca="1">IFERROR(__xludf.DUMMYFUNCTION("IMPORTRANGE(""https://docs.google.com/spreadsheets/d/1eHaY18a8A9IcSdp1K8H6x8fbOy06t2VsZHhMHf-1x7Y/edit?usp=sharing"",""แผน!IQ22"")"),0)</f>
        <v>0</v>
      </c>
      <c r="J679" s="708">
        <f ca="1">IFERROR(__xludf.DUMMYFUNCTION("IMPORTRANGE(""https://docs.google.com/spreadsheets/d/1tdoBKaGub7dwA3U6UFTqxio9LNnvDCQjHKmttSEBsFQ/edit?usp=sharing"",""จัดที่ดิน!BK22"")"),0)</f>
        <v>0</v>
      </c>
      <c r="K679" s="568">
        <f t="shared" ca="1" si="409"/>
        <v>0</v>
      </c>
      <c r="L679" s="574"/>
      <c r="M679" s="566"/>
      <c r="N679" s="1085"/>
      <c r="O679" s="566"/>
      <c r="P679" s="566"/>
      <c r="Q679" s="566"/>
      <c r="R679" s="566"/>
      <c r="S679" s="1085"/>
      <c r="T679" s="566"/>
      <c r="U679" s="566"/>
    </row>
    <row r="680" spans="1:21" ht="18.75" hidden="1" x14ac:dyDescent="0.25">
      <c r="A680" s="764"/>
      <c r="B680" s="718"/>
      <c r="C680" s="718"/>
      <c r="D680" s="561"/>
      <c r="E680" s="561"/>
      <c r="F680" s="561"/>
      <c r="G680" s="563"/>
      <c r="H680" s="686" t="s">
        <v>34</v>
      </c>
      <c r="I680" s="727"/>
      <c r="J680" s="708">
        <f ca="1">IFERROR(__xludf.DUMMYFUNCTION("IMPORTRANGE(""https://docs.google.com/spreadsheets/d/1tdoBKaGub7dwA3U6UFTqxio9LNnvDCQjHKmttSEBsFQ/edit?usp=sharing"",""จัดที่ดิน!BL22"")"),0)</f>
        <v>0</v>
      </c>
      <c r="K680" s="566"/>
      <c r="L680" s="1087"/>
      <c r="M680" s="566"/>
      <c r="N680" s="1085"/>
      <c r="O680" s="566"/>
      <c r="P680" s="566"/>
      <c r="Q680" s="1085"/>
      <c r="R680" s="566"/>
      <c r="S680" s="1085"/>
      <c r="T680" s="566"/>
      <c r="U680" s="566"/>
    </row>
    <row r="681" spans="1:21" ht="18.75" hidden="1" x14ac:dyDescent="0.25">
      <c r="A681" s="764"/>
      <c r="B681" s="718"/>
      <c r="C681" s="718"/>
      <c r="D681" s="561"/>
      <c r="E681" s="561"/>
      <c r="F681" s="561"/>
      <c r="G681" s="563"/>
      <c r="H681" s="686" t="s">
        <v>46</v>
      </c>
      <c r="I681" s="1084">
        <f ca="1">IFERROR(__xludf.DUMMYFUNCTION("IMPORTRANGE(""https://docs.google.com/spreadsheets/d/1eHaY18a8A9IcSdp1K8H6x8fbOy06t2VsZHhMHf-1x7Y/edit?usp=sharing"",""แผน!IR22"")"),0)</f>
        <v>0</v>
      </c>
      <c r="J681" s="708">
        <f ca="1">IFERROR(__xludf.DUMMYFUNCTION("IMPORTRANGE(""https://docs.google.com/spreadsheets/d/1tdoBKaGub7dwA3U6UFTqxio9LNnvDCQjHKmttSEBsFQ/edit?usp=sharing"",""จัดที่ดิน!BM22"")"),0)</f>
        <v>0</v>
      </c>
      <c r="K681" s="568">
        <f t="shared" ref="K681:K682" ca="1" si="410">IF(I681&gt;0,J681*100/I681,0)</f>
        <v>0</v>
      </c>
      <c r="L681" s="1087"/>
      <c r="M681" s="566"/>
      <c r="N681" s="1085"/>
      <c r="O681" s="566"/>
      <c r="P681" s="566"/>
      <c r="Q681" s="1085"/>
      <c r="R681" s="566"/>
      <c r="S681" s="1085"/>
      <c r="T681" s="566"/>
      <c r="U681" s="566"/>
    </row>
    <row r="682" spans="1:21" ht="19.5" hidden="1" x14ac:dyDescent="0.3">
      <c r="A682" s="764"/>
      <c r="B682" s="718"/>
      <c r="C682" s="718"/>
      <c r="D682" s="573" t="s">
        <v>251</v>
      </c>
      <c r="E682" s="561"/>
      <c r="F682" s="561"/>
      <c r="G682" s="563"/>
      <c r="H682" s="1080" t="s">
        <v>46</v>
      </c>
      <c r="I682" s="1086">
        <f ca="1">IFERROR(__xludf.DUMMYFUNCTION("IMPORTRANGE(""https://docs.google.com/spreadsheets/d/1eHaY18a8A9IcSdp1K8H6x8fbOy06t2VsZHhMHf-1x7Y/edit?usp=sharing"",""แผน!IS22"")"),0)</f>
        <v>0</v>
      </c>
      <c r="J682" s="697">
        <f>J685+J688</f>
        <v>0</v>
      </c>
      <c r="K682" s="679">
        <f t="shared" ca="1" si="410"/>
        <v>0</v>
      </c>
      <c r="L682" s="574"/>
      <c r="M682" s="566"/>
      <c r="N682" s="1085"/>
      <c r="O682" s="566"/>
      <c r="P682" s="566"/>
      <c r="Q682" s="566"/>
      <c r="R682" s="566"/>
      <c r="S682" s="1085"/>
      <c r="T682" s="566"/>
      <c r="U682" s="566"/>
    </row>
    <row r="683" spans="1:21" ht="18.75" hidden="1" x14ac:dyDescent="0.25">
      <c r="A683" s="764"/>
      <c r="B683" s="718"/>
      <c r="C683" s="718"/>
      <c r="D683" s="561"/>
      <c r="E683" s="573" t="s">
        <v>252</v>
      </c>
      <c r="F683" s="561"/>
      <c r="G683" s="563"/>
      <c r="H683" s="686" t="s">
        <v>35</v>
      </c>
      <c r="I683" s="727"/>
      <c r="J683" s="702">
        <v>0</v>
      </c>
      <c r="K683" s="566"/>
      <c r="L683" s="1087"/>
      <c r="M683" s="566"/>
      <c r="N683" s="1085"/>
      <c r="O683" s="566"/>
      <c r="P683" s="566"/>
      <c r="Q683" s="1085"/>
      <c r="R683" s="566"/>
      <c r="S683" s="1085"/>
      <c r="T683" s="566"/>
      <c r="U683" s="566"/>
    </row>
    <row r="684" spans="1:21" ht="18.75" hidden="1" x14ac:dyDescent="0.25">
      <c r="A684" s="764"/>
      <c r="B684" s="718"/>
      <c r="C684" s="718"/>
      <c r="D684" s="561"/>
      <c r="E684" s="561"/>
      <c r="F684" s="561"/>
      <c r="G684" s="563"/>
      <c r="H684" s="686" t="s">
        <v>34</v>
      </c>
      <c r="I684" s="727"/>
      <c r="J684" s="702">
        <v>0</v>
      </c>
      <c r="K684" s="566"/>
      <c r="L684" s="1087"/>
      <c r="M684" s="566"/>
      <c r="N684" s="1085"/>
      <c r="O684" s="566"/>
      <c r="P684" s="566"/>
      <c r="Q684" s="1085"/>
      <c r="R684" s="566"/>
      <c r="S684" s="1085"/>
      <c r="T684" s="566"/>
      <c r="U684" s="566"/>
    </row>
    <row r="685" spans="1:21" ht="18.75" hidden="1" x14ac:dyDescent="0.25">
      <c r="A685" s="764"/>
      <c r="B685" s="718"/>
      <c r="C685" s="718"/>
      <c r="D685" s="561"/>
      <c r="E685" s="561"/>
      <c r="F685" s="561"/>
      <c r="G685" s="563"/>
      <c r="H685" s="686" t="s">
        <v>46</v>
      </c>
      <c r="I685" s="727"/>
      <c r="J685" s="702">
        <v>0</v>
      </c>
      <c r="K685" s="566"/>
      <c r="L685" s="1087"/>
      <c r="M685" s="566"/>
      <c r="N685" s="1085"/>
      <c r="O685" s="566"/>
      <c r="P685" s="566"/>
      <c r="Q685" s="1085"/>
      <c r="R685" s="566"/>
      <c r="S685" s="1085"/>
      <c r="T685" s="566"/>
      <c r="U685" s="566"/>
    </row>
    <row r="686" spans="1:21" ht="18.75" hidden="1" x14ac:dyDescent="0.25">
      <c r="A686" s="764"/>
      <c r="B686" s="718"/>
      <c r="C686" s="718"/>
      <c r="D686" s="561"/>
      <c r="E686" s="573" t="s">
        <v>253</v>
      </c>
      <c r="F686" s="561"/>
      <c r="G686" s="563"/>
      <c r="H686" s="686" t="s">
        <v>35</v>
      </c>
      <c r="I686" s="727"/>
      <c r="J686" s="702">
        <v>0</v>
      </c>
      <c r="K686" s="566"/>
      <c r="L686" s="1087"/>
      <c r="M686" s="566"/>
      <c r="N686" s="1085"/>
      <c r="O686" s="566"/>
      <c r="P686" s="566"/>
      <c r="Q686" s="1085"/>
      <c r="R686" s="566"/>
      <c r="S686" s="1085"/>
      <c r="T686" s="566"/>
      <c r="U686" s="566"/>
    </row>
    <row r="687" spans="1:21" ht="18.75" hidden="1" x14ac:dyDescent="0.25">
      <c r="A687" s="764"/>
      <c r="B687" s="718"/>
      <c r="C687" s="718"/>
      <c r="D687" s="561"/>
      <c r="E687" s="561"/>
      <c r="F687" s="561"/>
      <c r="G687" s="563"/>
      <c r="H687" s="686" t="s">
        <v>34</v>
      </c>
      <c r="I687" s="727"/>
      <c r="J687" s="702">
        <v>0</v>
      </c>
      <c r="K687" s="566"/>
      <c r="L687" s="1087"/>
      <c r="M687" s="566"/>
      <c r="N687" s="1085"/>
      <c r="O687" s="566"/>
      <c r="P687" s="566"/>
      <c r="Q687" s="1085"/>
      <c r="R687" s="566"/>
      <c r="S687" s="1085"/>
      <c r="T687" s="566"/>
      <c r="U687" s="566"/>
    </row>
    <row r="688" spans="1:21" ht="19.5" hidden="1" x14ac:dyDescent="0.3">
      <c r="A688" s="863"/>
      <c r="B688" s="1088" t="s">
        <v>254</v>
      </c>
      <c r="C688" s="864"/>
      <c r="D688" s="512"/>
      <c r="E688" s="512"/>
      <c r="F688" s="512"/>
      <c r="G688" s="866"/>
      <c r="H688" s="1089" t="s">
        <v>46</v>
      </c>
      <c r="I688" s="985"/>
      <c r="J688" s="990">
        <v>0</v>
      </c>
      <c r="K688" s="580"/>
      <c r="L688" s="1090"/>
      <c r="M688" s="580"/>
      <c r="N688" s="1091"/>
      <c r="O688" s="580"/>
      <c r="P688" s="580"/>
      <c r="Q688" s="1091"/>
      <c r="R688" s="580"/>
      <c r="S688" s="1091"/>
      <c r="T688" s="580"/>
      <c r="U688" s="580"/>
    </row>
    <row r="689" spans="1:21" ht="19.5" x14ac:dyDescent="0.3">
      <c r="A689" s="1061"/>
      <c r="B689" s="1062" t="s">
        <v>255</v>
      </c>
      <c r="C689" s="1061"/>
      <c r="D689" s="1063"/>
      <c r="E689" s="1063"/>
      <c r="F689" s="1063"/>
      <c r="G689" s="1064"/>
      <c r="H689" s="1238" t="s">
        <v>35</v>
      </c>
      <c r="I689" s="1239">
        <f t="shared" ref="I689:J689" ca="1" si="411">I707</f>
        <v>93</v>
      </c>
      <c r="J689" s="1239">
        <f t="shared" ca="1" si="411"/>
        <v>0</v>
      </c>
      <c r="K689" s="1094">
        <f ca="1">IF(I689&gt;0,J689*100/I689,0)</f>
        <v>0</v>
      </c>
      <c r="L689" s="1068"/>
      <c r="M689" s="1067"/>
      <c r="N689" s="1067"/>
      <c r="O689" s="1067"/>
      <c r="P689" s="1067"/>
      <c r="Q689" s="1067"/>
      <c r="R689" s="1067"/>
      <c r="S689" s="1067"/>
      <c r="T689" s="1067"/>
      <c r="U689" s="1067"/>
    </row>
    <row r="690" spans="1:21" ht="19.5" x14ac:dyDescent="0.3">
      <c r="A690" s="674"/>
      <c r="B690" s="718"/>
      <c r="C690" s="724" t="s">
        <v>18</v>
      </c>
      <c r="D690" s="1310" t="s">
        <v>19</v>
      </c>
      <c r="E690" s="1311"/>
      <c r="F690" s="1311"/>
      <c r="G690" s="1312"/>
      <c r="H690" s="780" t="s">
        <v>14</v>
      </c>
      <c r="I690" s="565"/>
      <c r="J690" s="565"/>
      <c r="K690" s="566"/>
      <c r="L690" s="678">
        <f t="shared" ref="L690:N690" si="412">L691+L692</f>
        <v>0</v>
      </c>
      <c r="M690" s="679">
        <f t="shared" si="412"/>
        <v>0</v>
      </c>
      <c r="N690" s="679">
        <f t="shared" si="412"/>
        <v>0</v>
      </c>
      <c r="O690" s="679">
        <f t="shared" ref="O690:O698" si="413">IF(L690&gt;0,N690*100/L690,0)</f>
        <v>0</v>
      </c>
      <c r="P690" s="679">
        <f t="shared" ref="P690:P698" si="414">IF(M690&gt;0,N690*100/M690,0)</f>
        <v>0</v>
      </c>
      <c r="Q690" s="679">
        <f t="shared" ref="Q690:S690" ca="1" si="415">Q691+Q692</f>
        <v>206850</v>
      </c>
      <c r="R690" s="679">
        <f t="shared" ca="1" si="415"/>
        <v>206850</v>
      </c>
      <c r="S690" s="679">
        <f t="shared" ca="1" si="415"/>
        <v>15541</v>
      </c>
      <c r="T690" s="679">
        <f t="shared" ref="T690:T698" ca="1" si="416">IF(Q690&gt;0,S690*100/Q690,0)</f>
        <v>7.5131737974377568</v>
      </c>
      <c r="U690" s="679">
        <f t="shared" ref="U690:U698" ca="1" si="417">IF(R690&gt;0,S690*100/R690,0)</f>
        <v>7.5131737974377568</v>
      </c>
    </row>
    <row r="691" spans="1:21" ht="18.75" x14ac:dyDescent="0.25">
      <c r="A691" s="674"/>
      <c r="B691" s="718"/>
      <c r="C691" s="718"/>
      <c r="D691" s="695"/>
      <c r="E691" s="569" t="s">
        <v>158</v>
      </c>
      <c r="F691" s="561"/>
      <c r="G691" s="563"/>
      <c r="H691" s="685" t="s">
        <v>14</v>
      </c>
      <c r="I691" s="565"/>
      <c r="J691" s="565"/>
      <c r="K691" s="566"/>
      <c r="L691" s="571">
        <f t="shared" ref="L691:N692" si="418">L694+L697</f>
        <v>0</v>
      </c>
      <c r="M691" s="572">
        <f t="shared" si="418"/>
        <v>0</v>
      </c>
      <c r="N691" s="572">
        <f t="shared" si="418"/>
        <v>0</v>
      </c>
      <c r="O691" s="572">
        <f t="shared" si="413"/>
        <v>0</v>
      </c>
      <c r="P691" s="572">
        <f t="shared" si="414"/>
        <v>0</v>
      </c>
      <c r="Q691" s="572">
        <f t="shared" ref="Q691:S692" si="419">Q694+Q697</f>
        <v>0</v>
      </c>
      <c r="R691" s="572">
        <f t="shared" si="419"/>
        <v>0</v>
      </c>
      <c r="S691" s="572">
        <f t="shared" si="419"/>
        <v>0</v>
      </c>
      <c r="T691" s="572">
        <f t="shared" si="416"/>
        <v>0</v>
      </c>
      <c r="U691" s="572">
        <f t="shared" si="417"/>
        <v>0</v>
      </c>
    </row>
    <row r="692" spans="1:21" ht="18.75" x14ac:dyDescent="0.25">
      <c r="A692" s="674"/>
      <c r="B692" s="718"/>
      <c r="C692" s="718"/>
      <c r="D692" s="695"/>
      <c r="E692" s="573" t="s">
        <v>159</v>
      </c>
      <c r="F692" s="561"/>
      <c r="G692" s="563"/>
      <c r="H692" s="682" t="s">
        <v>14</v>
      </c>
      <c r="I692" s="565"/>
      <c r="J692" s="565"/>
      <c r="K692" s="566"/>
      <c r="L692" s="567">
        <f t="shared" si="418"/>
        <v>0</v>
      </c>
      <c r="M692" s="568">
        <f t="shared" si="418"/>
        <v>0</v>
      </c>
      <c r="N692" s="568">
        <f t="shared" si="418"/>
        <v>0</v>
      </c>
      <c r="O692" s="568">
        <f t="shared" si="413"/>
        <v>0</v>
      </c>
      <c r="P692" s="568">
        <f t="shared" si="414"/>
        <v>0</v>
      </c>
      <c r="Q692" s="568">
        <f t="shared" ca="1" si="419"/>
        <v>206850</v>
      </c>
      <c r="R692" s="568">
        <f t="shared" ca="1" si="419"/>
        <v>206850</v>
      </c>
      <c r="S692" s="568">
        <f t="shared" ca="1" si="419"/>
        <v>15541</v>
      </c>
      <c r="T692" s="568">
        <f t="shared" ca="1" si="416"/>
        <v>7.5131737974377568</v>
      </c>
      <c r="U692" s="568">
        <f t="shared" ca="1" si="417"/>
        <v>7.5131737974377568</v>
      </c>
    </row>
    <row r="693" spans="1:21" ht="18.75" x14ac:dyDescent="0.25">
      <c r="A693" s="674"/>
      <c r="B693" s="718"/>
      <c r="C693" s="718"/>
      <c r="D693" s="562" t="s">
        <v>22</v>
      </c>
      <c r="E693" s="561"/>
      <c r="F693" s="561"/>
      <c r="G693" s="563"/>
      <c r="H693" s="682" t="s">
        <v>14</v>
      </c>
      <c r="I693" s="683"/>
      <c r="J693" s="683"/>
      <c r="K693" s="684"/>
      <c r="L693" s="567">
        <f t="shared" ref="L693:N693" si="420">L694+L695</f>
        <v>0</v>
      </c>
      <c r="M693" s="568">
        <f t="shared" si="420"/>
        <v>0</v>
      </c>
      <c r="N693" s="568">
        <f t="shared" si="420"/>
        <v>0</v>
      </c>
      <c r="O693" s="568">
        <f t="shared" si="413"/>
        <v>0</v>
      </c>
      <c r="P693" s="568">
        <f t="shared" si="414"/>
        <v>0</v>
      </c>
      <c r="Q693" s="568">
        <f t="shared" ref="Q693:S693" ca="1" si="421">Q694+Q695</f>
        <v>206850</v>
      </c>
      <c r="R693" s="568">
        <f t="shared" ca="1" si="421"/>
        <v>206850</v>
      </c>
      <c r="S693" s="568">
        <f t="shared" ca="1" si="421"/>
        <v>15541</v>
      </c>
      <c r="T693" s="568">
        <f t="shared" ca="1" si="416"/>
        <v>7.5131737974377568</v>
      </c>
      <c r="U693" s="568">
        <f t="shared" ca="1" si="417"/>
        <v>7.5131737974377568</v>
      </c>
    </row>
    <row r="694" spans="1:21" ht="18.75" x14ac:dyDescent="0.25">
      <c r="A694" s="674"/>
      <c r="B694" s="718"/>
      <c r="C694" s="718"/>
      <c r="D694" s="695"/>
      <c r="E694" s="569" t="s">
        <v>158</v>
      </c>
      <c r="F694" s="561"/>
      <c r="G694" s="563"/>
      <c r="H694" s="685" t="s">
        <v>14</v>
      </c>
      <c r="I694" s="565"/>
      <c r="J694" s="565"/>
      <c r="K694" s="566"/>
      <c r="L694" s="571">
        <v>0</v>
      </c>
      <c r="M694" s="572">
        <v>0</v>
      </c>
      <c r="N694" s="572">
        <v>0</v>
      </c>
      <c r="O694" s="572">
        <f t="shared" si="413"/>
        <v>0</v>
      </c>
      <c r="P694" s="572">
        <f t="shared" si="414"/>
        <v>0</v>
      </c>
      <c r="Q694" s="572">
        <v>0</v>
      </c>
      <c r="R694" s="572">
        <v>0</v>
      </c>
      <c r="S694" s="572">
        <v>0</v>
      </c>
      <c r="T694" s="572">
        <f t="shared" si="416"/>
        <v>0</v>
      </c>
      <c r="U694" s="572">
        <f t="shared" si="417"/>
        <v>0</v>
      </c>
    </row>
    <row r="695" spans="1:21" ht="18.75" x14ac:dyDescent="0.25">
      <c r="A695" s="674"/>
      <c r="B695" s="718"/>
      <c r="C695" s="718"/>
      <c r="D695" s="695"/>
      <c r="E695" s="573" t="s">
        <v>159</v>
      </c>
      <c r="F695" s="561"/>
      <c r="G695" s="563"/>
      <c r="H695" s="682" t="s">
        <v>14</v>
      </c>
      <c r="I695" s="565"/>
      <c r="J695" s="565"/>
      <c r="K695" s="566"/>
      <c r="L695" s="567">
        <v>0</v>
      </c>
      <c r="M695" s="568">
        <v>0</v>
      </c>
      <c r="N695" s="568">
        <v>0</v>
      </c>
      <c r="O695" s="568">
        <f t="shared" si="413"/>
        <v>0</v>
      </c>
      <c r="P695" s="568">
        <f t="shared" si="414"/>
        <v>0</v>
      </c>
      <c r="Q695" s="568">
        <f ca="1">IFERROR(__xludf.DUMMYFUNCTION("IMPORTRANGE(""https://docs.google.com/spreadsheets/d/1ItG2mGa2ceCfYo0BwxsXqNm01IGEUdYcSSLTEv9YCik/edit?usp=sharing"",""เบิกจ่ายกองทุน!L22"")"),206850)</f>
        <v>206850</v>
      </c>
      <c r="R695" s="568">
        <f ca="1">IFERROR(__xludf.DUMMYFUNCTION("IMPORTRANGE(""https://docs.google.com/spreadsheets/d/1ItG2mGa2ceCfYo0BwxsXqNm01IGEUdYcSSLTEv9YCik/edit?usp=sharing"",""เบิกจ่ายกองทุน!M22"")"),206850)</f>
        <v>206850</v>
      </c>
      <c r="S695" s="568">
        <f ca="1">IFERROR(__xludf.DUMMYFUNCTION("IMPORTRANGE(""https://docs.google.com/spreadsheets/d/1ItG2mGa2ceCfYo0BwxsXqNm01IGEUdYcSSLTEv9YCik/edit?usp=sharing"",""เบิกจ่ายกองทุน!N22"")"),15541)</f>
        <v>15541</v>
      </c>
      <c r="T695" s="568">
        <f t="shared" ca="1" si="416"/>
        <v>7.5131737974377568</v>
      </c>
      <c r="U695" s="568">
        <f t="shared" ca="1" si="417"/>
        <v>7.5131737974377568</v>
      </c>
    </row>
    <row r="696" spans="1:21" ht="18.75" x14ac:dyDescent="0.25">
      <c r="A696" s="674"/>
      <c r="B696" s="718"/>
      <c r="C696" s="718"/>
      <c r="D696" s="562" t="s">
        <v>23</v>
      </c>
      <c r="E696" s="561"/>
      <c r="F696" s="561"/>
      <c r="G696" s="563"/>
      <c r="H696" s="686" t="s">
        <v>14</v>
      </c>
      <c r="I696" s="683"/>
      <c r="J696" s="683"/>
      <c r="K696" s="684"/>
      <c r="L696" s="567">
        <f t="shared" ref="L696:N696" si="422">L697+L698</f>
        <v>0</v>
      </c>
      <c r="M696" s="568">
        <f t="shared" si="422"/>
        <v>0</v>
      </c>
      <c r="N696" s="568">
        <f t="shared" si="422"/>
        <v>0</v>
      </c>
      <c r="O696" s="568">
        <f t="shared" si="413"/>
        <v>0</v>
      </c>
      <c r="P696" s="568">
        <f t="shared" si="414"/>
        <v>0</v>
      </c>
      <c r="Q696" s="568">
        <f t="shared" ref="Q696:S696" si="423">Q697+Q698</f>
        <v>0</v>
      </c>
      <c r="R696" s="568">
        <f t="shared" si="423"/>
        <v>0</v>
      </c>
      <c r="S696" s="568">
        <f t="shared" si="423"/>
        <v>0</v>
      </c>
      <c r="T696" s="568">
        <f t="shared" si="416"/>
        <v>0</v>
      </c>
      <c r="U696" s="568">
        <f t="shared" si="417"/>
        <v>0</v>
      </c>
    </row>
    <row r="697" spans="1:21" ht="18.75" x14ac:dyDescent="0.25">
      <c r="A697" s="674"/>
      <c r="B697" s="718"/>
      <c r="C697" s="718"/>
      <c r="D697" s="561"/>
      <c r="E697" s="569" t="s">
        <v>20</v>
      </c>
      <c r="F697" s="561"/>
      <c r="G697" s="563"/>
      <c r="H697" s="685" t="s">
        <v>14</v>
      </c>
      <c r="I697" s="683"/>
      <c r="J697" s="683"/>
      <c r="K697" s="684"/>
      <c r="L697" s="571">
        <v>0</v>
      </c>
      <c r="M697" s="572">
        <v>0</v>
      </c>
      <c r="N697" s="572">
        <v>0</v>
      </c>
      <c r="O697" s="572">
        <f t="shared" si="413"/>
        <v>0</v>
      </c>
      <c r="P697" s="572">
        <f t="shared" si="414"/>
        <v>0</v>
      </c>
      <c r="Q697" s="572">
        <v>0</v>
      </c>
      <c r="R697" s="572">
        <v>0</v>
      </c>
      <c r="S697" s="572">
        <v>0</v>
      </c>
      <c r="T697" s="572">
        <f t="shared" si="416"/>
        <v>0</v>
      </c>
      <c r="U697" s="572">
        <f t="shared" si="417"/>
        <v>0</v>
      </c>
    </row>
    <row r="698" spans="1:21" ht="18.75" x14ac:dyDescent="0.25">
      <c r="A698" s="674"/>
      <c r="B698" s="718"/>
      <c r="C698" s="718"/>
      <c r="D698" s="561"/>
      <c r="E698" s="573" t="s">
        <v>21</v>
      </c>
      <c r="F698" s="561"/>
      <c r="G698" s="563"/>
      <c r="H698" s="686" t="s">
        <v>14</v>
      </c>
      <c r="I698" s="683"/>
      <c r="J698" s="683"/>
      <c r="K698" s="684"/>
      <c r="L698" s="567">
        <v>0</v>
      </c>
      <c r="M698" s="568">
        <v>0</v>
      </c>
      <c r="N698" s="568">
        <v>0</v>
      </c>
      <c r="O698" s="568">
        <f t="shared" si="413"/>
        <v>0</v>
      </c>
      <c r="P698" s="568">
        <f t="shared" si="414"/>
        <v>0</v>
      </c>
      <c r="Q698" s="568">
        <v>0</v>
      </c>
      <c r="R698" s="568">
        <v>0</v>
      </c>
      <c r="S698" s="568">
        <v>0</v>
      </c>
      <c r="T698" s="568">
        <f t="shared" si="416"/>
        <v>0</v>
      </c>
      <c r="U698" s="568">
        <f t="shared" si="417"/>
        <v>0</v>
      </c>
    </row>
    <row r="699" spans="1:21" ht="19.5" x14ac:dyDescent="0.3">
      <c r="A699" s="687"/>
      <c r="B699" s="688"/>
      <c r="C699" s="724" t="s">
        <v>18</v>
      </c>
      <c r="D699" s="689" t="s">
        <v>38</v>
      </c>
      <c r="E699" s="690"/>
      <c r="F699" s="690"/>
      <c r="G699" s="690"/>
      <c r="H699" s="725"/>
      <c r="I699" s="683"/>
      <c r="J699" s="683"/>
      <c r="K699" s="684"/>
      <c r="L699" s="574"/>
      <c r="M699" s="566"/>
      <c r="N699" s="566"/>
      <c r="O699" s="566"/>
      <c r="P699" s="566"/>
      <c r="Q699" s="566"/>
      <c r="R699" s="566"/>
      <c r="S699" s="566"/>
      <c r="T699" s="566"/>
      <c r="U699" s="566"/>
    </row>
    <row r="700" spans="1:21" ht="18.75" x14ac:dyDescent="0.25">
      <c r="A700" s="764"/>
      <c r="B700" s="718"/>
      <c r="C700" s="718"/>
      <c r="D700" s="695"/>
      <c r="E700" s="694" t="s">
        <v>256</v>
      </c>
      <c r="F700" s="695"/>
      <c r="G700" s="692"/>
      <c r="H700" s="686" t="s">
        <v>257</v>
      </c>
      <c r="I700" s="708">
        <f ca="1">IFERROR(__xludf.DUMMYFUNCTION("IMPORTRANGE(""https://docs.google.com/spreadsheets/d/1eHaY18a8A9IcSdp1K8H6x8fbOy06t2VsZHhMHf-1x7Y/edit?usp=sharing"",""แผน!LC22"")"),0)</f>
        <v>0</v>
      </c>
      <c r="J700" s="702">
        <v>0</v>
      </c>
      <c r="K700" s="703">
        <f t="shared" ref="K700:K710" ca="1" si="424">IF(I700&gt;0,J700*100/I700,0)</f>
        <v>0</v>
      </c>
      <c r="L700" s="693"/>
      <c r="M700" s="684"/>
      <c r="N700" s="566"/>
      <c r="O700" s="684"/>
      <c r="P700" s="684"/>
      <c r="Q700" s="684"/>
      <c r="R700" s="684"/>
      <c r="S700" s="566"/>
      <c r="T700" s="684"/>
      <c r="U700" s="684"/>
    </row>
    <row r="701" spans="1:21" ht="19.5" x14ac:dyDescent="0.3">
      <c r="A701" s="764"/>
      <c r="B701" s="718"/>
      <c r="C701" s="718"/>
      <c r="D701" s="695"/>
      <c r="E701" s="1095" t="s">
        <v>258</v>
      </c>
      <c r="F701" s="695"/>
      <c r="G701" s="692"/>
      <c r="H701" s="677" t="s">
        <v>35</v>
      </c>
      <c r="I701" s="697">
        <f t="shared" ref="I701:J701" ca="1" si="425">I703+I705</f>
        <v>98</v>
      </c>
      <c r="J701" s="697">
        <f t="shared" ca="1" si="425"/>
        <v>0</v>
      </c>
      <c r="K701" s="679">
        <f t="shared" ca="1" si="424"/>
        <v>0</v>
      </c>
      <c r="L701" s="693"/>
      <c r="M701" s="684"/>
      <c r="N701" s="684"/>
      <c r="O701" s="684"/>
      <c r="P701" s="684"/>
      <c r="Q701" s="684"/>
      <c r="R701" s="684"/>
      <c r="S701" s="684"/>
      <c r="T701" s="684"/>
      <c r="U701" s="684"/>
    </row>
    <row r="702" spans="1:21" ht="19.5" x14ac:dyDescent="0.3">
      <c r="A702" s="764"/>
      <c r="B702" s="718"/>
      <c r="C702" s="718"/>
      <c r="D702" s="695"/>
      <c r="E702" s="695"/>
      <c r="F702" s="695"/>
      <c r="G702" s="692"/>
      <c r="H702" s="677" t="s">
        <v>46</v>
      </c>
      <c r="I702" s="697">
        <v>0</v>
      </c>
      <c r="J702" s="697">
        <f ca="1">J704+J706</f>
        <v>0</v>
      </c>
      <c r="K702" s="679">
        <f t="shared" si="424"/>
        <v>0</v>
      </c>
      <c r="L702" s="693"/>
      <c r="M702" s="684"/>
      <c r="N702" s="684"/>
      <c r="O702" s="684"/>
      <c r="P702" s="684"/>
      <c r="Q702" s="684"/>
      <c r="R702" s="684"/>
      <c r="S702" s="684"/>
      <c r="T702" s="684"/>
      <c r="U702" s="684"/>
    </row>
    <row r="703" spans="1:21" ht="18.75" x14ac:dyDescent="0.25">
      <c r="A703" s="764"/>
      <c r="B703" s="718"/>
      <c r="C703" s="718"/>
      <c r="D703" s="695"/>
      <c r="E703" s="695"/>
      <c r="F703" s="694" t="s">
        <v>259</v>
      </c>
      <c r="G703" s="692"/>
      <c r="H703" s="686" t="s">
        <v>35</v>
      </c>
      <c r="I703" s="708">
        <f ca="1">IFERROR(__xludf.DUMMYFUNCTION("IMPORTRANGE(""https://docs.google.com/spreadsheets/d/1eHaY18a8A9IcSdp1K8H6x8fbOy06t2VsZHhMHf-1x7Y/edit?usp=sharing"",""แผน!LJ22"")"),93)</f>
        <v>93</v>
      </c>
      <c r="J703" s="708">
        <f ca="1">IFERROR(__xludf.DUMMYFUNCTION("IMPORTRANGE(""https://docs.google.com/spreadsheets/d/1tdoBKaGub7dwA3U6UFTqxio9LNnvDCQjHKmttSEBsFQ/edit?usp=sharing"",""จัดที่ดิน!AP22"")"),0)</f>
        <v>0</v>
      </c>
      <c r="K703" s="568">
        <f t="shared" ca="1" si="424"/>
        <v>0</v>
      </c>
      <c r="L703" s="693"/>
      <c r="M703" s="684"/>
      <c r="N703" s="684"/>
      <c r="O703" s="684"/>
      <c r="P703" s="684"/>
      <c r="Q703" s="684"/>
      <c r="R703" s="684"/>
      <c r="S703" s="684"/>
      <c r="T703" s="684"/>
      <c r="U703" s="684"/>
    </row>
    <row r="704" spans="1:21" ht="18.75" x14ac:dyDescent="0.25">
      <c r="A704" s="764"/>
      <c r="B704" s="718"/>
      <c r="C704" s="718"/>
      <c r="D704" s="695"/>
      <c r="E704" s="695"/>
      <c r="F704" s="695"/>
      <c r="G704" s="692"/>
      <c r="H704" s="686" t="s">
        <v>46</v>
      </c>
      <c r="I704" s="708">
        <v>0</v>
      </c>
      <c r="J704" s="708">
        <f ca="1">IFERROR(__xludf.DUMMYFUNCTION("IMPORTRANGE(""https://docs.google.com/spreadsheets/d/1tdoBKaGub7dwA3U6UFTqxio9LNnvDCQjHKmttSEBsFQ/edit?usp=sharing"",""จัดที่ดิน!AQ22"")"),0)</f>
        <v>0</v>
      </c>
      <c r="K704" s="568">
        <f t="shared" si="424"/>
        <v>0</v>
      </c>
      <c r="L704" s="693"/>
      <c r="M704" s="684"/>
      <c r="N704" s="684"/>
      <c r="O704" s="684"/>
      <c r="P704" s="684"/>
      <c r="Q704" s="684"/>
      <c r="R704" s="684"/>
      <c r="S704" s="684"/>
      <c r="T704" s="684"/>
      <c r="U704" s="684"/>
    </row>
    <row r="705" spans="1:21" ht="18.75" x14ac:dyDescent="0.25">
      <c r="A705" s="764"/>
      <c r="B705" s="718"/>
      <c r="C705" s="718"/>
      <c r="D705" s="695"/>
      <c r="E705" s="695"/>
      <c r="F705" s="694" t="s">
        <v>260</v>
      </c>
      <c r="G705" s="692"/>
      <c r="H705" s="686" t="s">
        <v>35</v>
      </c>
      <c r="I705" s="708">
        <f ca="1">IFERROR(__xludf.DUMMYFUNCTION("IMPORTRANGE(""https://docs.google.com/spreadsheets/d/1eHaY18a8A9IcSdp1K8H6x8fbOy06t2VsZHhMHf-1x7Y/edit?usp=sharing"",""แผน!LK22"")"),5)</f>
        <v>5</v>
      </c>
      <c r="J705" s="708">
        <f ca="1">IFERROR(__xludf.DUMMYFUNCTION("IMPORTRANGE(""https://docs.google.com/spreadsheets/d/1tdoBKaGub7dwA3U6UFTqxio9LNnvDCQjHKmttSEBsFQ/edit?usp=sharing"",""จัดที่ดิน!AR22"")"),0)</f>
        <v>0</v>
      </c>
      <c r="K705" s="703">
        <f t="shared" ca="1" si="424"/>
        <v>0</v>
      </c>
      <c r="L705" s="693"/>
      <c r="M705" s="684"/>
      <c r="N705" s="684"/>
      <c r="O705" s="684"/>
      <c r="P705" s="684"/>
      <c r="Q705" s="684"/>
      <c r="R705" s="684"/>
      <c r="S705" s="684"/>
      <c r="T705" s="684"/>
      <c r="U705" s="684"/>
    </row>
    <row r="706" spans="1:21" ht="18.75" x14ac:dyDescent="0.25">
      <c r="A706" s="764"/>
      <c r="B706" s="718"/>
      <c r="C706" s="718"/>
      <c r="D706" s="695"/>
      <c r="E706" s="695"/>
      <c r="F706" s="695"/>
      <c r="G706" s="692"/>
      <c r="H706" s="686" t="s">
        <v>46</v>
      </c>
      <c r="I706" s="708">
        <v>0</v>
      </c>
      <c r="J706" s="708">
        <f ca="1">IFERROR(__xludf.DUMMYFUNCTION("IMPORTRANGE(""https://docs.google.com/spreadsheets/d/1tdoBKaGub7dwA3U6UFTqxio9LNnvDCQjHKmttSEBsFQ/edit?usp=sharing"",""จัดที่ดิน!AS22"")"),0)</f>
        <v>0</v>
      </c>
      <c r="K706" s="568">
        <f t="shared" si="424"/>
        <v>0</v>
      </c>
      <c r="L706" s="693"/>
      <c r="M706" s="684"/>
      <c r="N706" s="684"/>
      <c r="O706" s="684"/>
      <c r="P706" s="684"/>
      <c r="Q706" s="684"/>
      <c r="R706" s="684"/>
      <c r="S706" s="684"/>
      <c r="T706" s="684"/>
      <c r="U706" s="684"/>
    </row>
    <row r="707" spans="1:21" ht="18.75" x14ac:dyDescent="0.25">
      <c r="A707" s="764"/>
      <c r="B707" s="718"/>
      <c r="C707" s="718"/>
      <c r="D707" s="695"/>
      <c r="E707" s="694" t="s">
        <v>261</v>
      </c>
      <c r="F707" s="695"/>
      <c r="G707" s="692"/>
      <c r="H707" s="682" t="s">
        <v>35</v>
      </c>
      <c r="I707" s="708">
        <f ca="1">IFERROR(__xludf.DUMMYFUNCTION("IMPORTRANGE(""https://docs.google.com/spreadsheets/d/1eHaY18a8A9IcSdp1K8H6x8fbOy06t2VsZHhMHf-1x7Y/edit?usp=sharing"",""แผน!LJ22"")"),93)</f>
        <v>93</v>
      </c>
      <c r="J707" s="708">
        <f ca="1">IFERROR(__xludf.DUMMYFUNCTION("IMPORTRANGE(""https://docs.google.com/spreadsheets/d/1tdoBKaGub7dwA3U6UFTqxio9LNnvDCQjHKmttSEBsFQ/edit?usp=sharing"",""จัดที่ดิน!BN22"")"),0)</f>
        <v>0</v>
      </c>
      <c r="K707" s="568">
        <f t="shared" ca="1" si="424"/>
        <v>0</v>
      </c>
      <c r="L707" s="693"/>
      <c r="M707" s="684"/>
      <c r="N707" s="684"/>
      <c r="O707" s="684"/>
      <c r="P707" s="684"/>
      <c r="Q707" s="684"/>
      <c r="R707" s="684"/>
      <c r="S707" s="684"/>
      <c r="T707" s="684"/>
      <c r="U707" s="684"/>
    </row>
    <row r="708" spans="1:21" ht="18.75" x14ac:dyDescent="0.25">
      <c r="A708" s="764"/>
      <c r="B708" s="718"/>
      <c r="C708" s="718"/>
      <c r="D708" s="695"/>
      <c r="E708" s="1096" t="s">
        <v>262</v>
      </c>
      <c r="F708" s="695"/>
      <c r="G708" s="692"/>
      <c r="H708" s="682" t="s">
        <v>46</v>
      </c>
      <c r="I708" s="708">
        <v>0</v>
      </c>
      <c r="J708" s="708">
        <f ca="1">IFERROR(__xludf.DUMMYFUNCTION("IMPORTRANGE(""https://docs.google.com/spreadsheets/d/1tdoBKaGub7dwA3U6UFTqxio9LNnvDCQjHKmttSEBsFQ/edit?usp=sharing"",""จัดที่ดิน!BO22"")"),0)</f>
        <v>0</v>
      </c>
      <c r="K708" s="568">
        <f t="shared" si="424"/>
        <v>0</v>
      </c>
      <c r="L708" s="693"/>
      <c r="M708" s="684"/>
      <c r="N708" s="684"/>
      <c r="O708" s="684"/>
      <c r="P708" s="684"/>
      <c r="Q708" s="684"/>
      <c r="R708" s="684"/>
      <c r="S708" s="684"/>
      <c r="T708" s="684"/>
      <c r="U708" s="684"/>
    </row>
    <row r="709" spans="1:21" ht="18.75" x14ac:dyDescent="0.25">
      <c r="A709" s="764"/>
      <c r="B709" s="718"/>
      <c r="C709" s="718"/>
      <c r="D709" s="561"/>
      <c r="E709" s="573" t="s">
        <v>263</v>
      </c>
      <c r="F709" s="561"/>
      <c r="G709" s="563"/>
      <c r="H709" s="722" t="s">
        <v>35</v>
      </c>
      <c r="I709" s="708">
        <f ca="1">IFERROR(__xludf.DUMMYFUNCTION("IMPORTRANGE(""https://docs.google.com/spreadsheets/d/1eHaY18a8A9IcSdp1K8H6x8fbOy06t2VsZHhMHf-1x7Y/edit?usp=sharing"",""แผน!LK22"")"),5)</f>
        <v>5</v>
      </c>
      <c r="J709" s="708">
        <f ca="1">IFERROR(__xludf.DUMMYFUNCTION("IMPORTRANGE(""https://docs.google.com/spreadsheets/d/1tdoBKaGub7dwA3U6UFTqxio9LNnvDCQjHKmttSEBsFQ/edit?usp=sharing"",""จัดที่ดิน!BP22"")"),6)</f>
        <v>6</v>
      </c>
      <c r="K709" s="568">
        <f t="shared" ca="1" si="424"/>
        <v>120</v>
      </c>
      <c r="L709" s="574"/>
      <c r="M709" s="566"/>
      <c r="N709" s="566"/>
      <c r="O709" s="566"/>
      <c r="P709" s="566"/>
      <c r="Q709" s="566"/>
      <c r="R709" s="566"/>
      <c r="S709" s="566"/>
      <c r="T709" s="566"/>
      <c r="U709" s="566"/>
    </row>
    <row r="710" spans="1:21" ht="18.75" x14ac:dyDescent="0.25">
      <c r="A710" s="764"/>
      <c r="B710" s="718"/>
      <c r="C710" s="718"/>
      <c r="D710" s="561"/>
      <c r="E710" s="1096" t="s">
        <v>264</v>
      </c>
      <c r="F710" s="561"/>
      <c r="G710" s="563"/>
      <c r="H710" s="722" t="s">
        <v>46</v>
      </c>
      <c r="I710" s="708">
        <v>0</v>
      </c>
      <c r="J710" s="708">
        <f ca="1">IFERROR(__xludf.DUMMYFUNCTION("IMPORTRANGE(""https://docs.google.com/spreadsheets/d/1tdoBKaGub7dwA3U6UFTqxio9LNnvDCQjHKmttSEBsFQ/edit?usp=sharing"",""จัดที่ดิน!BQ22"")"),0)</f>
        <v>0</v>
      </c>
      <c r="K710" s="568">
        <f t="shared" si="424"/>
        <v>0</v>
      </c>
      <c r="L710" s="574"/>
      <c r="M710" s="566"/>
      <c r="N710" s="566"/>
      <c r="O710" s="566"/>
      <c r="P710" s="566"/>
      <c r="Q710" s="566"/>
      <c r="R710" s="566"/>
      <c r="S710" s="566"/>
      <c r="T710" s="566"/>
      <c r="U710" s="566"/>
    </row>
    <row r="711" spans="1:21" ht="12.75" hidden="1" x14ac:dyDescent="0.2">
      <c r="A711" s="1027"/>
      <c r="B711" s="966"/>
      <c r="C711" s="966"/>
      <c r="D711" s="1028"/>
      <c r="E711" s="1028"/>
      <c r="F711" s="1028"/>
      <c r="G711" s="1029"/>
      <c r="H711" s="967"/>
      <c r="I711" s="968"/>
      <c r="J711" s="968"/>
      <c r="K711" s="969"/>
      <c r="L711" s="970"/>
      <c r="M711" s="969"/>
      <c r="N711" s="969"/>
      <c r="O711" s="969"/>
      <c r="P711" s="969"/>
      <c r="Q711" s="969"/>
      <c r="R711" s="969"/>
      <c r="S711" s="969"/>
      <c r="T711" s="969"/>
      <c r="U711" s="969"/>
    </row>
    <row r="712" spans="1:21" ht="19.5" hidden="1" x14ac:dyDescent="0.3">
      <c r="A712" s="1061"/>
      <c r="B712" s="1097" t="s">
        <v>265</v>
      </c>
      <c r="C712" s="1061"/>
      <c r="D712" s="1063"/>
      <c r="E712" s="1063"/>
      <c r="F712" s="1063"/>
      <c r="G712" s="1064"/>
      <c r="H712" s="1098" t="s">
        <v>46</v>
      </c>
      <c r="I712" s="1066"/>
      <c r="J712" s="1066">
        <f>J724</f>
        <v>0</v>
      </c>
      <c r="K712" s="1099">
        <f>IF(I712&gt;0,J712*100/I712,0)</f>
        <v>0</v>
      </c>
      <c r="L712" s="1068"/>
      <c r="M712" s="1067"/>
      <c r="N712" s="1067"/>
      <c r="O712" s="1067"/>
      <c r="P712" s="1067"/>
      <c r="Q712" s="1067"/>
      <c r="R712" s="1067"/>
      <c r="S712" s="1067"/>
      <c r="T712" s="1067"/>
      <c r="U712" s="1067"/>
    </row>
    <row r="713" spans="1:21" ht="19.5" hidden="1" x14ac:dyDescent="0.3">
      <c r="A713" s="1061"/>
      <c r="B713" s="1097" t="s">
        <v>266</v>
      </c>
      <c r="C713" s="1061"/>
      <c r="D713" s="1063"/>
      <c r="E713" s="1063"/>
      <c r="F713" s="1063"/>
      <c r="G713" s="1064"/>
      <c r="H713" s="1065"/>
      <c r="I713" s="1066"/>
      <c r="J713" s="1066"/>
      <c r="K713" s="1067"/>
      <c r="L713" s="1068"/>
      <c r="M713" s="1067"/>
      <c r="N713" s="1067"/>
      <c r="O713" s="1067"/>
      <c r="P713" s="1067"/>
      <c r="Q713" s="1067"/>
      <c r="R713" s="1067"/>
      <c r="S713" s="1067"/>
      <c r="T713" s="1067"/>
      <c r="U713" s="1067"/>
    </row>
    <row r="714" spans="1:21" ht="19.5" hidden="1" x14ac:dyDescent="0.3">
      <c r="A714" s="674"/>
      <c r="B714" s="718"/>
      <c r="C714" s="767" t="s">
        <v>18</v>
      </c>
      <c r="D714" s="1315" t="s">
        <v>19</v>
      </c>
      <c r="E714" s="1311"/>
      <c r="F714" s="1311"/>
      <c r="G714" s="1312"/>
      <c r="H714" s="799" t="s">
        <v>14</v>
      </c>
      <c r="I714" s="565"/>
      <c r="J714" s="565"/>
      <c r="K714" s="566"/>
      <c r="L714" s="678">
        <f t="shared" ref="L714:N714" si="426">L715+L716</f>
        <v>0</v>
      </c>
      <c r="M714" s="679">
        <f t="shared" si="426"/>
        <v>0</v>
      </c>
      <c r="N714" s="679">
        <f t="shared" si="426"/>
        <v>0</v>
      </c>
      <c r="O714" s="679">
        <f t="shared" ref="O714:O722" si="427">IF(L714&gt;0,N714*100/L714,0)</f>
        <v>0</v>
      </c>
      <c r="P714" s="679">
        <f t="shared" ref="P714:P722" si="428">IF(M714&gt;0,N714*100/M714,0)</f>
        <v>0</v>
      </c>
      <c r="Q714" s="679">
        <f t="shared" ref="Q714:S714" si="429">Q715+Q716</f>
        <v>0</v>
      </c>
      <c r="R714" s="679">
        <f t="shared" si="429"/>
        <v>0</v>
      </c>
      <c r="S714" s="679">
        <f t="shared" si="429"/>
        <v>0</v>
      </c>
      <c r="T714" s="679">
        <f t="shared" ref="T714:T722" si="430">IF(Q714&gt;0,S714*100/Q714,0)</f>
        <v>0</v>
      </c>
      <c r="U714" s="679">
        <f t="shared" ref="U714:U722" si="431">IF(R714&gt;0,S714*100/R714,0)</f>
        <v>0</v>
      </c>
    </row>
    <row r="715" spans="1:21" ht="18.75" hidden="1" x14ac:dyDescent="0.25">
      <c r="A715" s="674"/>
      <c r="B715" s="718"/>
      <c r="C715" s="718"/>
      <c r="D715" s="695"/>
      <c r="E715" s="569" t="s">
        <v>158</v>
      </c>
      <c r="F715" s="561"/>
      <c r="G715" s="563"/>
      <c r="H715" s="685" t="s">
        <v>14</v>
      </c>
      <c r="I715" s="565"/>
      <c r="J715" s="565"/>
      <c r="K715" s="566"/>
      <c r="L715" s="571">
        <f t="shared" ref="L715:N716" si="432">L718+L721</f>
        <v>0</v>
      </c>
      <c r="M715" s="572">
        <f t="shared" si="432"/>
        <v>0</v>
      </c>
      <c r="N715" s="572">
        <f t="shared" si="432"/>
        <v>0</v>
      </c>
      <c r="O715" s="572">
        <f t="shared" si="427"/>
        <v>0</v>
      </c>
      <c r="P715" s="572">
        <f t="shared" si="428"/>
        <v>0</v>
      </c>
      <c r="Q715" s="572">
        <f t="shared" ref="Q715:S716" si="433">Q718+Q721</f>
        <v>0</v>
      </c>
      <c r="R715" s="572">
        <f t="shared" si="433"/>
        <v>0</v>
      </c>
      <c r="S715" s="572">
        <f t="shared" si="433"/>
        <v>0</v>
      </c>
      <c r="T715" s="572">
        <f t="shared" si="430"/>
        <v>0</v>
      </c>
      <c r="U715" s="572">
        <f t="shared" si="431"/>
        <v>0</v>
      </c>
    </row>
    <row r="716" spans="1:21" ht="18.75" hidden="1" x14ac:dyDescent="0.25">
      <c r="A716" s="674"/>
      <c r="B716" s="718"/>
      <c r="C716" s="718"/>
      <c r="D716" s="695"/>
      <c r="E716" s="569" t="s">
        <v>159</v>
      </c>
      <c r="F716" s="561"/>
      <c r="G716" s="563"/>
      <c r="H716" s="685" t="s">
        <v>14</v>
      </c>
      <c r="I716" s="565"/>
      <c r="J716" s="565"/>
      <c r="K716" s="566"/>
      <c r="L716" s="567">
        <f t="shared" si="432"/>
        <v>0</v>
      </c>
      <c r="M716" s="568">
        <f t="shared" si="432"/>
        <v>0</v>
      </c>
      <c r="N716" s="568">
        <f t="shared" si="432"/>
        <v>0</v>
      </c>
      <c r="O716" s="568">
        <f t="shared" si="427"/>
        <v>0</v>
      </c>
      <c r="P716" s="568">
        <f t="shared" si="428"/>
        <v>0</v>
      </c>
      <c r="Q716" s="568">
        <f t="shared" si="433"/>
        <v>0</v>
      </c>
      <c r="R716" s="568">
        <f t="shared" si="433"/>
        <v>0</v>
      </c>
      <c r="S716" s="568">
        <f t="shared" si="433"/>
        <v>0</v>
      </c>
      <c r="T716" s="568">
        <f t="shared" si="430"/>
        <v>0</v>
      </c>
      <c r="U716" s="568">
        <f t="shared" si="431"/>
        <v>0</v>
      </c>
    </row>
    <row r="717" spans="1:21" ht="19.5" hidden="1" x14ac:dyDescent="0.3">
      <c r="A717" s="674"/>
      <c r="B717" s="718"/>
      <c r="C717" s="718"/>
      <c r="D717" s="798" t="s">
        <v>22</v>
      </c>
      <c r="E717" s="561"/>
      <c r="F717" s="561"/>
      <c r="G717" s="563"/>
      <c r="H717" s="799" t="s">
        <v>14</v>
      </c>
      <c r="I717" s="683"/>
      <c r="J717" s="683"/>
      <c r="K717" s="684"/>
      <c r="L717" s="567">
        <f t="shared" ref="L717:N717" si="434">L718+L719</f>
        <v>0</v>
      </c>
      <c r="M717" s="568">
        <f t="shared" si="434"/>
        <v>0</v>
      </c>
      <c r="N717" s="568">
        <f t="shared" si="434"/>
        <v>0</v>
      </c>
      <c r="O717" s="568">
        <f t="shared" si="427"/>
        <v>0</v>
      </c>
      <c r="P717" s="568">
        <f t="shared" si="428"/>
        <v>0</v>
      </c>
      <c r="Q717" s="568">
        <f t="shared" ref="Q717:S717" si="435">Q718+Q719</f>
        <v>0</v>
      </c>
      <c r="R717" s="568">
        <f t="shared" si="435"/>
        <v>0</v>
      </c>
      <c r="S717" s="568">
        <f t="shared" si="435"/>
        <v>0</v>
      </c>
      <c r="T717" s="568">
        <f t="shared" si="430"/>
        <v>0</v>
      </c>
      <c r="U717" s="568">
        <f t="shared" si="431"/>
        <v>0</v>
      </c>
    </row>
    <row r="718" spans="1:21" ht="18.75" hidden="1" x14ac:dyDescent="0.25">
      <c r="A718" s="674"/>
      <c r="B718" s="718"/>
      <c r="C718" s="718"/>
      <c r="D718" s="695"/>
      <c r="E718" s="569" t="s">
        <v>158</v>
      </c>
      <c r="F718" s="561"/>
      <c r="G718" s="563"/>
      <c r="H718" s="685" t="s">
        <v>14</v>
      </c>
      <c r="I718" s="565"/>
      <c r="J718" s="565"/>
      <c r="K718" s="566"/>
      <c r="L718" s="571">
        <v>0</v>
      </c>
      <c r="M718" s="572">
        <v>0</v>
      </c>
      <c r="N718" s="572">
        <v>0</v>
      </c>
      <c r="O718" s="572">
        <f t="shared" si="427"/>
        <v>0</v>
      </c>
      <c r="P718" s="572">
        <f t="shared" si="428"/>
        <v>0</v>
      </c>
      <c r="Q718" s="572">
        <v>0</v>
      </c>
      <c r="R718" s="572">
        <v>0</v>
      </c>
      <c r="S718" s="572">
        <v>0</v>
      </c>
      <c r="T718" s="572">
        <f t="shared" si="430"/>
        <v>0</v>
      </c>
      <c r="U718" s="572">
        <f t="shared" si="431"/>
        <v>0</v>
      </c>
    </row>
    <row r="719" spans="1:21" ht="18.75" hidden="1" x14ac:dyDescent="0.25">
      <c r="A719" s="674"/>
      <c r="B719" s="718"/>
      <c r="C719" s="718"/>
      <c r="D719" s="695"/>
      <c r="E719" s="569" t="s">
        <v>159</v>
      </c>
      <c r="F719" s="561"/>
      <c r="G719" s="563"/>
      <c r="H719" s="685" t="s">
        <v>14</v>
      </c>
      <c r="I719" s="565"/>
      <c r="J719" s="565"/>
      <c r="K719" s="566"/>
      <c r="L719" s="567">
        <v>0</v>
      </c>
      <c r="M719" s="568">
        <v>0</v>
      </c>
      <c r="N719" s="568">
        <v>0</v>
      </c>
      <c r="O719" s="568">
        <f t="shared" si="427"/>
        <v>0</v>
      </c>
      <c r="P719" s="568">
        <f t="shared" si="428"/>
        <v>0</v>
      </c>
      <c r="Q719" s="568">
        <v>0</v>
      </c>
      <c r="R719" s="568">
        <v>0</v>
      </c>
      <c r="S719" s="568">
        <v>0</v>
      </c>
      <c r="T719" s="568">
        <f t="shared" si="430"/>
        <v>0</v>
      </c>
      <c r="U719" s="568">
        <f t="shared" si="431"/>
        <v>0</v>
      </c>
    </row>
    <row r="720" spans="1:21" ht="19.5" hidden="1" x14ac:dyDescent="0.3">
      <c r="A720" s="674"/>
      <c r="B720" s="718"/>
      <c r="C720" s="718"/>
      <c r="D720" s="798" t="s">
        <v>23</v>
      </c>
      <c r="E720" s="561"/>
      <c r="F720" s="561"/>
      <c r="G720" s="563"/>
      <c r="H720" s="1041" t="s">
        <v>14</v>
      </c>
      <c r="I720" s="683"/>
      <c r="J720" s="683"/>
      <c r="K720" s="684"/>
      <c r="L720" s="567">
        <f t="shared" ref="L720:N720" si="436">L721+L722</f>
        <v>0</v>
      </c>
      <c r="M720" s="568">
        <f t="shared" si="436"/>
        <v>0</v>
      </c>
      <c r="N720" s="568">
        <f t="shared" si="436"/>
        <v>0</v>
      </c>
      <c r="O720" s="568">
        <f t="shared" si="427"/>
        <v>0</v>
      </c>
      <c r="P720" s="568">
        <f t="shared" si="428"/>
        <v>0</v>
      </c>
      <c r="Q720" s="568">
        <f t="shared" ref="Q720:S720" si="437">Q721+Q722</f>
        <v>0</v>
      </c>
      <c r="R720" s="568">
        <f t="shared" si="437"/>
        <v>0</v>
      </c>
      <c r="S720" s="568">
        <f t="shared" si="437"/>
        <v>0</v>
      </c>
      <c r="T720" s="568">
        <f t="shared" si="430"/>
        <v>0</v>
      </c>
      <c r="U720" s="568">
        <f t="shared" si="431"/>
        <v>0</v>
      </c>
    </row>
    <row r="721" spans="1:21" ht="18.75" hidden="1" x14ac:dyDescent="0.25">
      <c r="A721" s="674"/>
      <c r="B721" s="718"/>
      <c r="C721" s="718"/>
      <c r="D721" s="561"/>
      <c r="E721" s="569" t="s">
        <v>20</v>
      </c>
      <c r="F721" s="561"/>
      <c r="G721" s="563"/>
      <c r="H721" s="685" t="s">
        <v>14</v>
      </c>
      <c r="I721" s="683"/>
      <c r="J721" s="683"/>
      <c r="K721" s="684"/>
      <c r="L721" s="571">
        <v>0</v>
      </c>
      <c r="M721" s="572">
        <v>0</v>
      </c>
      <c r="N721" s="572">
        <v>0</v>
      </c>
      <c r="O721" s="572">
        <f t="shared" si="427"/>
        <v>0</v>
      </c>
      <c r="P721" s="572">
        <f t="shared" si="428"/>
        <v>0</v>
      </c>
      <c r="Q721" s="572">
        <v>0</v>
      </c>
      <c r="R721" s="572">
        <v>0</v>
      </c>
      <c r="S721" s="572">
        <v>0</v>
      </c>
      <c r="T721" s="572">
        <f t="shared" si="430"/>
        <v>0</v>
      </c>
      <c r="U721" s="572">
        <f t="shared" si="431"/>
        <v>0</v>
      </c>
    </row>
    <row r="722" spans="1:21" ht="18.75" hidden="1" x14ac:dyDescent="0.25">
      <c r="A722" s="674"/>
      <c r="B722" s="718"/>
      <c r="C722" s="718"/>
      <c r="D722" s="561"/>
      <c r="E722" s="569" t="s">
        <v>21</v>
      </c>
      <c r="F722" s="561"/>
      <c r="G722" s="563"/>
      <c r="H722" s="734" t="s">
        <v>14</v>
      </c>
      <c r="I722" s="683"/>
      <c r="J722" s="683"/>
      <c r="K722" s="684"/>
      <c r="L722" s="567">
        <v>0</v>
      </c>
      <c r="M722" s="568">
        <v>0</v>
      </c>
      <c r="N722" s="568">
        <v>0</v>
      </c>
      <c r="O722" s="568">
        <f t="shared" si="427"/>
        <v>0</v>
      </c>
      <c r="P722" s="568">
        <f t="shared" si="428"/>
        <v>0</v>
      </c>
      <c r="Q722" s="568">
        <v>0</v>
      </c>
      <c r="R722" s="568">
        <v>0</v>
      </c>
      <c r="S722" s="568">
        <v>0</v>
      </c>
      <c r="T722" s="568">
        <f t="shared" si="430"/>
        <v>0</v>
      </c>
      <c r="U722" s="568">
        <f t="shared" si="431"/>
        <v>0</v>
      </c>
    </row>
    <row r="723" spans="1:21" ht="19.5" hidden="1" x14ac:dyDescent="0.3">
      <c r="A723" s="687"/>
      <c r="B723" s="688"/>
      <c r="C723" s="767" t="s">
        <v>18</v>
      </c>
      <c r="D723" s="1100" t="s">
        <v>38</v>
      </c>
      <c r="E723" s="690"/>
      <c r="F723" s="690"/>
      <c r="G723" s="691"/>
      <c r="H723" s="725"/>
      <c r="I723" s="683"/>
      <c r="J723" s="683"/>
      <c r="K723" s="684"/>
      <c r="L723" s="693"/>
      <c r="M723" s="684"/>
      <c r="N723" s="684"/>
      <c r="O723" s="684"/>
      <c r="P723" s="684"/>
      <c r="Q723" s="684"/>
      <c r="R723" s="684"/>
      <c r="S723" s="684"/>
      <c r="T723" s="684"/>
      <c r="U723" s="684"/>
    </row>
    <row r="724" spans="1:21" ht="18.75" hidden="1" x14ac:dyDescent="0.25">
      <c r="A724" s="764"/>
      <c r="B724" s="718"/>
      <c r="C724" s="718"/>
      <c r="D724" s="561"/>
      <c r="E724" s="569" t="s">
        <v>267</v>
      </c>
      <c r="F724" s="561"/>
      <c r="G724" s="563"/>
      <c r="H724" s="685" t="s">
        <v>46</v>
      </c>
      <c r="I724" s="735">
        <v>0</v>
      </c>
      <c r="J724" s="565"/>
      <c r="K724" s="566"/>
      <c r="L724" s="574"/>
      <c r="M724" s="566"/>
      <c r="N724" s="566"/>
      <c r="O724" s="566"/>
      <c r="P724" s="566"/>
      <c r="Q724" s="566"/>
      <c r="R724" s="566"/>
      <c r="S724" s="566"/>
      <c r="T724" s="566"/>
      <c r="U724" s="566"/>
    </row>
    <row r="725" spans="1:21" ht="18.75" hidden="1" x14ac:dyDescent="0.25">
      <c r="A725" s="984"/>
      <c r="B725" s="514"/>
      <c r="C725" s="514"/>
      <c r="D725" s="513"/>
      <c r="E725" s="738" t="s">
        <v>268</v>
      </c>
      <c r="F725" s="513"/>
      <c r="G725" s="577"/>
      <c r="H725" s="1101" t="s">
        <v>46</v>
      </c>
      <c r="I725" s="740">
        <v>0</v>
      </c>
      <c r="J725" s="579"/>
      <c r="K725" s="580"/>
      <c r="L725" s="581"/>
      <c r="M725" s="580"/>
      <c r="N725" s="580"/>
      <c r="O725" s="580"/>
      <c r="P725" s="580"/>
      <c r="Q725" s="580"/>
      <c r="R725" s="580"/>
      <c r="S725" s="580"/>
      <c r="T725" s="580"/>
      <c r="U725" s="580"/>
    </row>
    <row r="726" spans="1:21" ht="19.5" x14ac:dyDescent="0.3">
      <c r="A726" s="1061"/>
      <c r="B726" s="1062" t="s">
        <v>269</v>
      </c>
      <c r="C726" s="1061"/>
      <c r="D726" s="1063"/>
      <c r="E726" s="1063"/>
      <c r="F726" s="1063"/>
      <c r="G726" s="1064"/>
      <c r="H726" s="1092" t="s">
        <v>35</v>
      </c>
      <c r="I726" s="1093">
        <f ca="1">IFERROR(__xludf.DUMMYFUNCTION("IMPORTRANGE(""https://docs.google.com/spreadsheets/d/1eHaY18a8A9IcSdp1K8H6x8fbOy06t2VsZHhMHf-1x7Y/edit?usp=sharing"",""แผน!GA22"")"),128)</f>
        <v>128</v>
      </c>
      <c r="J726" s="1093">
        <f>J742+J746+J749</f>
        <v>0</v>
      </c>
      <c r="K726" s="1094">
        <f t="shared" ref="K726:K727" ca="1" si="438">IF(I726&gt;0,J726*100/I726,0)</f>
        <v>0</v>
      </c>
      <c r="L726" s="1068"/>
      <c r="M726" s="1067"/>
      <c r="N726" s="1067"/>
      <c r="O726" s="1067"/>
      <c r="P726" s="1067"/>
      <c r="Q726" s="1067"/>
      <c r="R726" s="1067"/>
      <c r="S726" s="1067"/>
      <c r="T726" s="1067"/>
      <c r="U726" s="1067"/>
    </row>
    <row r="727" spans="1:21" ht="19.5" x14ac:dyDescent="0.3">
      <c r="A727" s="1102"/>
      <c r="B727" s="1061"/>
      <c r="C727" s="1061"/>
      <c r="D727" s="1063"/>
      <c r="E727" s="1063"/>
      <c r="F727" s="1063"/>
      <c r="G727" s="1064"/>
      <c r="H727" s="1092" t="s">
        <v>46</v>
      </c>
      <c r="I727" s="1093">
        <f ca="1">IFERROR(__xludf.DUMMYFUNCTION("IMPORTRANGE(""https://docs.google.com/spreadsheets/d/1eHaY18a8A9IcSdp1K8H6x8fbOy06t2VsZHhMHf-1x7Y/edit?usp=sharing"",""แผน!FZ22"")"),1250)</f>
        <v>1250</v>
      </c>
      <c r="J727" s="1093">
        <f>J752+J755</f>
        <v>0</v>
      </c>
      <c r="K727" s="1094">
        <f t="shared" ca="1" si="438"/>
        <v>0</v>
      </c>
      <c r="L727" s="1068"/>
      <c r="M727" s="1067"/>
      <c r="N727" s="1067"/>
      <c r="O727" s="1067"/>
      <c r="P727" s="1067"/>
      <c r="Q727" s="1067"/>
      <c r="R727" s="1067"/>
      <c r="S727" s="1067"/>
      <c r="T727" s="1067"/>
      <c r="U727" s="1067"/>
    </row>
    <row r="728" spans="1:21" ht="19.5" x14ac:dyDescent="0.3">
      <c r="A728" s="674"/>
      <c r="B728" s="718"/>
      <c r="C728" s="724" t="s">
        <v>18</v>
      </c>
      <c r="D728" s="1310" t="s">
        <v>19</v>
      </c>
      <c r="E728" s="1311"/>
      <c r="F728" s="1311"/>
      <c r="G728" s="1312"/>
      <c r="H728" s="780" t="s">
        <v>14</v>
      </c>
      <c r="I728" s="565"/>
      <c r="J728" s="565"/>
      <c r="K728" s="566"/>
      <c r="L728" s="678">
        <f t="shared" ref="L728:N728" si="439">L729+L730</f>
        <v>0</v>
      </c>
      <c r="M728" s="679">
        <f t="shared" si="439"/>
        <v>0</v>
      </c>
      <c r="N728" s="679">
        <f t="shared" si="439"/>
        <v>0</v>
      </c>
      <c r="O728" s="679">
        <f t="shared" ref="O728:O736" si="440">IF(L728&gt;0,N728*100/L728,0)</f>
        <v>0</v>
      </c>
      <c r="P728" s="679">
        <f t="shared" ref="P728:P736" si="441">IF(M728&gt;0,N728*100/M728,0)</f>
        <v>0</v>
      </c>
      <c r="Q728" s="679">
        <f t="shared" ref="Q728:S728" ca="1" si="442">Q729+Q730</f>
        <v>1008470</v>
      </c>
      <c r="R728" s="679">
        <f t="shared" ca="1" si="442"/>
        <v>1008470</v>
      </c>
      <c r="S728" s="679">
        <f t="shared" ca="1" si="442"/>
        <v>41880.65</v>
      </c>
      <c r="T728" s="679">
        <f t="shared" ref="T728:T736" ca="1" si="443">IF(Q728&gt;0,S728*100/Q728,0)</f>
        <v>4.1528900215177451</v>
      </c>
      <c r="U728" s="679">
        <f t="shared" ref="U728:U736" ca="1" si="444">IF(R728&gt;0,S728*100/R728,0)</f>
        <v>4.1528900215177451</v>
      </c>
    </row>
    <row r="729" spans="1:21" ht="18.75" x14ac:dyDescent="0.25">
      <c r="A729" s="674"/>
      <c r="B729" s="718"/>
      <c r="C729" s="718"/>
      <c r="D729" s="695"/>
      <c r="E729" s="569" t="s">
        <v>158</v>
      </c>
      <c r="F729" s="561"/>
      <c r="G729" s="563"/>
      <c r="H729" s="685" t="s">
        <v>14</v>
      </c>
      <c r="I729" s="565"/>
      <c r="J729" s="565"/>
      <c r="K729" s="566"/>
      <c r="L729" s="571">
        <f t="shared" ref="L729:N730" si="445">L732+L735</f>
        <v>0</v>
      </c>
      <c r="M729" s="572">
        <f t="shared" si="445"/>
        <v>0</v>
      </c>
      <c r="N729" s="572">
        <f t="shared" si="445"/>
        <v>0</v>
      </c>
      <c r="O729" s="572">
        <f t="shared" si="440"/>
        <v>0</v>
      </c>
      <c r="P729" s="572">
        <f t="shared" si="441"/>
        <v>0</v>
      </c>
      <c r="Q729" s="572">
        <f t="shared" ref="Q729:S730" si="446">Q732+Q735</f>
        <v>0</v>
      </c>
      <c r="R729" s="572">
        <f t="shared" si="446"/>
        <v>0</v>
      </c>
      <c r="S729" s="572">
        <f t="shared" si="446"/>
        <v>0</v>
      </c>
      <c r="T729" s="572">
        <f t="shared" si="443"/>
        <v>0</v>
      </c>
      <c r="U729" s="572">
        <f t="shared" si="444"/>
        <v>0</v>
      </c>
    </row>
    <row r="730" spans="1:21" ht="18.75" x14ac:dyDescent="0.25">
      <c r="A730" s="674"/>
      <c r="B730" s="718"/>
      <c r="C730" s="718"/>
      <c r="D730" s="695"/>
      <c r="E730" s="573" t="s">
        <v>159</v>
      </c>
      <c r="F730" s="561"/>
      <c r="G730" s="563"/>
      <c r="H730" s="682" t="s">
        <v>14</v>
      </c>
      <c r="I730" s="565"/>
      <c r="J730" s="565"/>
      <c r="K730" s="566"/>
      <c r="L730" s="567">
        <f t="shared" si="445"/>
        <v>0</v>
      </c>
      <c r="M730" s="568">
        <f t="shared" si="445"/>
        <v>0</v>
      </c>
      <c r="N730" s="568">
        <f t="shared" si="445"/>
        <v>0</v>
      </c>
      <c r="O730" s="568">
        <f t="shared" si="440"/>
        <v>0</v>
      </c>
      <c r="P730" s="568">
        <f t="shared" si="441"/>
        <v>0</v>
      </c>
      <c r="Q730" s="568">
        <f t="shared" ca="1" si="446"/>
        <v>1008470</v>
      </c>
      <c r="R730" s="568">
        <f t="shared" ca="1" si="446"/>
        <v>1008470</v>
      </c>
      <c r="S730" s="568">
        <f t="shared" ca="1" si="446"/>
        <v>41880.65</v>
      </c>
      <c r="T730" s="568">
        <f t="shared" ca="1" si="443"/>
        <v>4.1528900215177451</v>
      </c>
      <c r="U730" s="568">
        <f t="shared" ca="1" si="444"/>
        <v>4.1528900215177451</v>
      </c>
    </row>
    <row r="731" spans="1:21" ht="18.75" x14ac:dyDescent="0.25">
      <c r="A731" s="674"/>
      <c r="B731" s="718"/>
      <c r="C731" s="718"/>
      <c r="D731" s="562" t="s">
        <v>22</v>
      </c>
      <c r="E731" s="561"/>
      <c r="F731" s="561"/>
      <c r="G731" s="563"/>
      <c r="H731" s="682" t="s">
        <v>14</v>
      </c>
      <c r="I731" s="683"/>
      <c r="J731" s="683"/>
      <c r="K731" s="684"/>
      <c r="L731" s="567">
        <f t="shared" ref="L731:N731" si="447">L732+L733</f>
        <v>0</v>
      </c>
      <c r="M731" s="568">
        <f t="shared" si="447"/>
        <v>0</v>
      </c>
      <c r="N731" s="568">
        <f t="shared" si="447"/>
        <v>0</v>
      </c>
      <c r="O731" s="568">
        <f t="shared" si="440"/>
        <v>0</v>
      </c>
      <c r="P731" s="568">
        <f t="shared" si="441"/>
        <v>0</v>
      </c>
      <c r="Q731" s="568">
        <f t="shared" ref="Q731:S731" ca="1" si="448">Q732+Q733</f>
        <v>1008470</v>
      </c>
      <c r="R731" s="568">
        <f t="shared" ca="1" si="448"/>
        <v>1008470</v>
      </c>
      <c r="S731" s="568">
        <f t="shared" ca="1" si="448"/>
        <v>41880.65</v>
      </c>
      <c r="T731" s="568">
        <f t="shared" ca="1" si="443"/>
        <v>4.1528900215177451</v>
      </c>
      <c r="U731" s="568">
        <f t="shared" ca="1" si="444"/>
        <v>4.1528900215177451</v>
      </c>
    </row>
    <row r="732" spans="1:21" ht="18.75" x14ac:dyDescent="0.25">
      <c r="A732" s="674"/>
      <c r="B732" s="718"/>
      <c r="C732" s="718"/>
      <c r="D732" s="695"/>
      <c r="E732" s="569" t="s">
        <v>158</v>
      </c>
      <c r="F732" s="561"/>
      <c r="G732" s="563"/>
      <c r="H732" s="685" t="s">
        <v>14</v>
      </c>
      <c r="I732" s="565"/>
      <c r="J732" s="565"/>
      <c r="K732" s="566"/>
      <c r="L732" s="571">
        <v>0</v>
      </c>
      <c r="M732" s="572">
        <v>0</v>
      </c>
      <c r="N732" s="572">
        <v>0</v>
      </c>
      <c r="O732" s="572">
        <f t="shared" si="440"/>
        <v>0</v>
      </c>
      <c r="P732" s="572">
        <f t="shared" si="441"/>
        <v>0</v>
      </c>
      <c r="Q732" s="572">
        <v>0</v>
      </c>
      <c r="R732" s="572">
        <v>0</v>
      </c>
      <c r="S732" s="572">
        <v>0</v>
      </c>
      <c r="T732" s="572">
        <f t="shared" si="443"/>
        <v>0</v>
      </c>
      <c r="U732" s="572">
        <f t="shared" si="444"/>
        <v>0</v>
      </c>
    </row>
    <row r="733" spans="1:21" ht="18.75" x14ac:dyDescent="0.25">
      <c r="A733" s="674"/>
      <c r="B733" s="718"/>
      <c r="C733" s="718"/>
      <c r="D733" s="695"/>
      <c r="E733" s="573" t="s">
        <v>159</v>
      </c>
      <c r="F733" s="561"/>
      <c r="G733" s="563"/>
      <c r="H733" s="682" t="s">
        <v>14</v>
      </c>
      <c r="I733" s="565"/>
      <c r="J733" s="565"/>
      <c r="K733" s="566"/>
      <c r="L733" s="567">
        <v>0</v>
      </c>
      <c r="M733" s="568">
        <v>0</v>
      </c>
      <c r="N733" s="568">
        <v>0</v>
      </c>
      <c r="O733" s="568">
        <f t="shared" si="440"/>
        <v>0</v>
      </c>
      <c r="P733" s="568">
        <f t="shared" si="441"/>
        <v>0</v>
      </c>
      <c r="Q733" s="568">
        <f ca="1">IFERROR(__xludf.DUMMYFUNCTION("IMPORTRANGE(""https://docs.google.com/spreadsheets/d/1ItG2mGa2ceCfYo0BwxsXqNm01IGEUdYcSSLTEv9YCik/edit?usp=sharing"",""เบิกจ่ายกองทุน!O22"")"),1008470)</f>
        <v>1008470</v>
      </c>
      <c r="R733" s="568">
        <f ca="1">IFERROR(__xludf.DUMMYFUNCTION("IMPORTRANGE(""https://docs.google.com/spreadsheets/d/1ItG2mGa2ceCfYo0BwxsXqNm01IGEUdYcSSLTEv9YCik/edit?usp=sharing"",""เบิกจ่ายกองทุน!P22"")"),1008470)</f>
        <v>1008470</v>
      </c>
      <c r="S733" s="568">
        <f ca="1">IFERROR(__xludf.DUMMYFUNCTION("IMPORTRANGE(""https://docs.google.com/spreadsheets/d/1ItG2mGa2ceCfYo0BwxsXqNm01IGEUdYcSSLTEv9YCik/edit?usp=sharing"",""เบิกจ่ายกองทุน!Q22"")"),41880.65)</f>
        <v>41880.65</v>
      </c>
      <c r="T733" s="568">
        <f t="shared" ca="1" si="443"/>
        <v>4.1528900215177451</v>
      </c>
      <c r="U733" s="568">
        <f t="shared" ca="1" si="444"/>
        <v>4.1528900215177451</v>
      </c>
    </row>
    <row r="734" spans="1:21" ht="18.75" x14ac:dyDescent="0.25">
      <c r="A734" s="674"/>
      <c r="B734" s="718"/>
      <c r="C734" s="718"/>
      <c r="D734" s="562" t="s">
        <v>23</v>
      </c>
      <c r="E734" s="718"/>
      <c r="F734" s="718"/>
      <c r="G734" s="563"/>
      <c r="H734" s="686" t="s">
        <v>14</v>
      </c>
      <c r="I734" s="683"/>
      <c r="J734" s="683"/>
      <c r="K734" s="684"/>
      <c r="L734" s="567">
        <f t="shared" ref="L734:N734" si="449">L735+L736</f>
        <v>0</v>
      </c>
      <c r="M734" s="568">
        <f t="shared" si="449"/>
        <v>0</v>
      </c>
      <c r="N734" s="568">
        <f t="shared" si="449"/>
        <v>0</v>
      </c>
      <c r="O734" s="568">
        <f t="shared" si="440"/>
        <v>0</v>
      </c>
      <c r="P734" s="568">
        <f t="shared" si="441"/>
        <v>0</v>
      </c>
      <c r="Q734" s="568">
        <f t="shared" ref="Q734:S734" si="450">Q735+Q736</f>
        <v>0</v>
      </c>
      <c r="R734" s="568">
        <f t="shared" si="450"/>
        <v>0</v>
      </c>
      <c r="S734" s="568">
        <f t="shared" si="450"/>
        <v>0</v>
      </c>
      <c r="T734" s="568">
        <f t="shared" si="443"/>
        <v>0</v>
      </c>
      <c r="U734" s="568">
        <f t="shared" si="444"/>
        <v>0</v>
      </c>
    </row>
    <row r="735" spans="1:21" ht="18.75" x14ac:dyDescent="0.25">
      <c r="A735" s="674"/>
      <c r="B735" s="718"/>
      <c r="C735" s="718"/>
      <c r="D735" s="718"/>
      <c r="E735" s="767" t="s">
        <v>20</v>
      </c>
      <c r="F735" s="718"/>
      <c r="G735" s="563"/>
      <c r="H735" s="685" t="s">
        <v>14</v>
      </c>
      <c r="I735" s="683"/>
      <c r="J735" s="683"/>
      <c r="K735" s="684"/>
      <c r="L735" s="571">
        <v>0</v>
      </c>
      <c r="M735" s="572">
        <v>0</v>
      </c>
      <c r="N735" s="572">
        <v>0</v>
      </c>
      <c r="O735" s="572">
        <f t="shared" si="440"/>
        <v>0</v>
      </c>
      <c r="P735" s="572">
        <f t="shared" si="441"/>
        <v>0</v>
      </c>
      <c r="Q735" s="572">
        <v>0</v>
      </c>
      <c r="R735" s="572">
        <v>0</v>
      </c>
      <c r="S735" s="572">
        <v>0</v>
      </c>
      <c r="T735" s="572">
        <f t="shared" si="443"/>
        <v>0</v>
      </c>
      <c r="U735" s="572">
        <f t="shared" si="444"/>
        <v>0</v>
      </c>
    </row>
    <row r="736" spans="1:21" ht="18.75" x14ac:dyDescent="0.25">
      <c r="A736" s="674"/>
      <c r="B736" s="718"/>
      <c r="C736" s="718"/>
      <c r="D736" s="718"/>
      <c r="E736" s="765" t="s">
        <v>21</v>
      </c>
      <c r="F736" s="718"/>
      <c r="G736" s="563"/>
      <c r="H736" s="686" t="s">
        <v>14</v>
      </c>
      <c r="I736" s="683"/>
      <c r="J736" s="683"/>
      <c r="K736" s="684"/>
      <c r="L736" s="567">
        <v>0</v>
      </c>
      <c r="M736" s="568">
        <v>0</v>
      </c>
      <c r="N736" s="568">
        <v>0</v>
      </c>
      <c r="O736" s="568">
        <f t="shared" si="440"/>
        <v>0</v>
      </c>
      <c r="P736" s="568">
        <f t="shared" si="441"/>
        <v>0</v>
      </c>
      <c r="Q736" s="568">
        <v>0</v>
      </c>
      <c r="R736" s="568">
        <v>0</v>
      </c>
      <c r="S736" s="568">
        <v>0</v>
      </c>
      <c r="T736" s="568">
        <f t="shared" si="443"/>
        <v>0</v>
      </c>
      <c r="U736" s="568">
        <f t="shared" si="444"/>
        <v>0</v>
      </c>
    </row>
    <row r="737" spans="1:21" ht="19.5" x14ac:dyDescent="0.3">
      <c r="A737" s="687"/>
      <c r="B737" s="688"/>
      <c r="C737" s="724" t="s">
        <v>18</v>
      </c>
      <c r="D737" s="956" t="s">
        <v>38</v>
      </c>
      <c r="E737" s="758"/>
      <c r="F737" s="690"/>
      <c r="G737" s="691"/>
      <c r="H737" s="725"/>
      <c r="I737" s="565"/>
      <c r="J737" s="565"/>
      <c r="K737" s="566"/>
      <c r="L737" s="574"/>
      <c r="M737" s="566"/>
      <c r="N737" s="566"/>
      <c r="O737" s="566"/>
      <c r="P737" s="566"/>
      <c r="Q737" s="566"/>
      <c r="R737" s="566"/>
      <c r="S737" s="566"/>
      <c r="T737" s="566"/>
      <c r="U737" s="566"/>
    </row>
    <row r="738" spans="1:21" ht="19.5" x14ac:dyDescent="0.3">
      <c r="A738" s="687"/>
      <c r="B738" s="688"/>
      <c r="C738" s="688"/>
      <c r="D738" s="1103" t="s">
        <v>121</v>
      </c>
      <c r="E738" s="688"/>
      <c r="F738" s="688"/>
      <c r="G738" s="692"/>
      <c r="H738" s="727"/>
      <c r="I738" s="565"/>
      <c r="J738" s="565"/>
      <c r="K738" s="566"/>
      <c r="L738" s="574"/>
      <c r="M738" s="566"/>
      <c r="N738" s="566"/>
      <c r="O738" s="566"/>
      <c r="P738" s="566"/>
      <c r="Q738" s="566"/>
      <c r="R738" s="566"/>
      <c r="S738" s="566"/>
      <c r="T738" s="566"/>
      <c r="U738" s="566"/>
    </row>
    <row r="739" spans="1:21" ht="18.75" x14ac:dyDescent="0.25">
      <c r="A739" s="687"/>
      <c r="B739" s="688"/>
      <c r="C739" s="688"/>
      <c r="D739" s="688"/>
      <c r="E739" s="1079" t="s">
        <v>270</v>
      </c>
      <c r="F739" s="688"/>
      <c r="G739" s="692"/>
      <c r="H739" s="727"/>
      <c r="I739" s="565"/>
      <c r="J739" s="565"/>
      <c r="K739" s="566"/>
      <c r="L739" s="574"/>
      <c r="M739" s="566"/>
      <c r="N739" s="566"/>
      <c r="O739" s="566"/>
      <c r="P739" s="566"/>
      <c r="Q739" s="566"/>
      <c r="R739" s="566"/>
      <c r="S739" s="566"/>
      <c r="T739" s="566"/>
      <c r="U739" s="566"/>
    </row>
    <row r="740" spans="1:21" ht="18.75" x14ac:dyDescent="0.25">
      <c r="A740" s="849"/>
      <c r="B740" s="850"/>
      <c r="C740" s="850"/>
      <c r="D740" s="850"/>
      <c r="E740" s="850"/>
      <c r="F740" s="1104" t="s">
        <v>271</v>
      </c>
      <c r="G740" s="852"/>
      <c r="H740" s="839" t="s">
        <v>46</v>
      </c>
      <c r="I740" s="960">
        <f ca="1">IFERROR(__xludf.DUMMYFUNCTION("IMPORTRANGE(""https://docs.google.com/spreadsheets/d/1eHaY18a8A9IcSdp1K8H6x8fbOy06t2VsZHhMHf-1x7Y/edit?usp=sharing"",""แผน!GB22"")"),1000)</f>
        <v>1000</v>
      </c>
      <c r="J740" s="1105">
        <v>0</v>
      </c>
      <c r="K740" s="841">
        <f ca="1">IF(I740&gt;0,J740*100/I740,0)</f>
        <v>0</v>
      </c>
      <c r="L740" s="1106"/>
      <c r="M740" s="830"/>
      <c r="N740" s="830"/>
      <c r="O740" s="830"/>
      <c r="P740" s="830"/>
      <c r="Q740" s="830"/>
      <c r="R740" s="830"/>
      <c r="S740" s="830"/>
      <c r="T740" s="830"/>
      <c r="U740" s="830"/>
    </row>
    <row r="741" spans="1:21" ht="18.75" x14ac:dyDescent="0.25">
      <c r="A741" s="849"/>
      <c r="B741" s="850"/>
      <c r="C741" s="850"/>
      <c r="D741" s="850"/>
      <c r="E741" s="850"/>
      <c r="F741" s="1104" t="s">
        <v>306</v>
      </c>
      <c r="G741" s="852"/>
      <c r="H741" s="839" t="s">
        <v>35</v>
      </c>
      <c r="I741" s="829"/>
      <c r="J741" s="1105">
        <v>0</v>
      </c>
      <c r="K741" s="830"/>
      <c r="L741" s="1106"/>
      <c r="M741" s="830"/>
      <c r="N741" s="830"/>
      <c r="O741" s="830"/>
      <c r="P741" s="830"/>
      <c r="Q741" s="830"/>
      <c r="R741" s="830"/>
      <c r="S741" s="830"/>
      <c r="T741" s="830"/>
      <c r="U741" s="830"/>
    </row>
    <row r="742" spans="1:21" ht="18.75" x14ac:dyDescent="0.25">
      <c r="A742" s="849"/>
      <c r="B742" s="850"/>
      <c r="C742" s="850"/>
      <c r="D742" s="850"/>
      <c r="E742" s="850"/>
      <c r="F742" s="1104" t="s">
        <v>307</v>
      </c>
      <c r="G742" s="852"/>
      <c r="H742" s="839" t="s">
        <v>35</v>
      </c>
      <c r="I742" s="960">
        <f ca="1">IFERROR(__xludf.DUMMYFUNCTION("IMPORTRANGE(""https://docs.google.com/spreadsheets/d/1eHaY18a8A9IcSdp1K8H6x8fbOy06t2VsZHhMHf-1x7Y/edit?usp=sharing"",""แผน!GC22"")"),100)</f>
        <v>100</v>
      </c>
      <c r="J742" s="1105">
        <v>0</v>
      </c>
      <c r="K742" s="841">
        <f ca="1">IF(I742&gt;0,J742*100/I742,0)</f>
        <v>0</v>
      </c>
      <c r="L742" s="1106"/>
      <c r="M742" s="830"/>
      <c r="N742" s="830"/>
      <c r="O742" s="830"/>
      <c r="P742" s="830"/>
      <c r="Q742" s="830"/>
      <c r="R742" s="830"/>
      <c r="S742" s="830"/>
      <c r="T742" s="830"/>
      <c r="U742" s="830"/>
    </row>
    <row r="743" spans="1:21" ht="18.75" x14ac:dyDescent="0.25">
      <c r="A743" s="849"/>
      <c r="B743" s="850"/>
      <c r="C743" s="850"/>
      <c r="D743" s="850"/>
      <c r="E743" s="1104" t="s">
        <v>274</v>
      </c>
      <c r="F743" s="850"/>
      <c r="G743" s="852"/>
      <c r="H743" s="959"/>
      <c r="I743" s="829"/>
      <c r="J743" s="829"/>
      <c r="K743" s="830"/>
      <c r="L743" s="1106"/>
      <c r="M743" s="830"/>
      <c r="N743" s="830"/>
      <c r="O743" s="830"/>
      <c r="P743" s="830"/>
      <c r="Q743" s="830"/>
      <c r="R743" s="830"/>
      <c r="S743" s="830"/>
      <c r="T743" s="830"/>
      <c r="U743" s="830"/>
    </row>
    <row r="744" spans="1:21" ht="18.75" x14ac:dyDescent="0.25">
      <c r="A744" s="849"/>
      <c r="B744" s="850"/>
      <c r="C744" s="850"/>
      <c r="D744" s="850"/>
      <c r="E744" s="850"/>
      <c r="F744" s="1104" t="s">
        <v>271</v>
      </c>
      <c r="G744" s="852"/>
      <c r="H744" s="839" t="s">
        <v>46</v>
      </c>
      <c r="I744" s="960">
        <f ca="1">IFERROR(__xludf.DUMMYFUNCTION("IMPORTRANGE(""https://docs.google.com/spreadsheets/d/1eHaY18a8A9IcSdp1K8H6x8fbOy06t2VsZHhMHf-1x7Y/edit?usp=sharing"",""แผน!GD22"")"),250)</f>
        <v>250</v>
      </c>
      <c r="J744" s="1105">
        <v>0</v>
      </c>
      <c r="K744" s="841">
        <f ca="1">IF(I744&gt;0,J744*100/I744,0)</f>
        <v>0</v>
      </c>
      <c r="L744" s="1106"/>
      <c r="M744" s="830"/>
      <c r="N744" s="830"/>
      <c r="O744" s="830"/>
      <c r="P744" s="830"/>
      <c r="Q744" s="830"/>
      <c r="R744" s="830"/>
      <c r="S744" s="830"/>
      <c r="T744" s="830"/>
      <c r="U744" s="830"/>
    </row>
    <row r="745" spans="1:21" ht="18.75" x14ac:dyDescent="0.25">
      <c r="A745" s="849"/>
      <c r="B745" s="850"/>
      <c r="C745" s="850"/>
      <c r="D745" s="850"/>
      <c r="E745" s="850"/>
      <c r="F745" s="1104" t="s">
        <v>308</v>
      </c>
      <c r="G745" s="852"/>
      <c r="H745" s="839" t="s">
        <v>35</v>
      </c>
      <c r="I745" s="829"/>
      <c r="J745" s="1105">
        <v>0</v>
      </c>
      <c r="K745" s="830"/>
      <c r="L745" s="1106"/>
      <c r="M745" s="830"/>
      <c r="N745" s="830"/>
      <c r="O745" s="830"/>
      <c r="P745" s="830"/>
      <c r="Q745" s="830"/>
      <c r="R745" s="830"/>
      <c r="S745" s="830"/>
      <c r="T745" s="830"/>
      <c r="U745" s="830"/>
    </row>
    <row r="746" spans="1:21" ht="18.75" x14ac:dyDescent="0.25">
      <c r="A746" s="849"/>
      <c r="B746" s="850"/>
      <c r="C746" s="850"/>
      <c r="D746" s="850"/>
      <c r="E746" s="850"/>
      <c r="F746" s="1104" t="s">
        <v>309</v>
      </c>
      <c r="G746" s="852"/>
      <c r="H746" s="839" t="s">
        <v>35</v>
      </c>
      <c r="I746" s="960">
        <f ca="1">IFERROR(__xludf.DUMMYFUNCTION("IMPORTRANGE(""https://docs.google.com/spreadsheets/d/1eHaY18a8A9IcSdp1K8H6x8fbOy06t2VsZHhMHf-1x7Y/edit?usp=sharing"",""แผน!GE22"")"),25)</f>
        <v>25</v>
      </c>
      <c r="J746" s="1105">
        <v>0</v>
      </c>
      <c r="K746" s="841">
        <f ca="1">IF(I746&gt;0,J746*100/I746,0)</f>
        <v>0</v>
      </c>
      <c r="L746" s="1106"/>
      <c r="M746" s="830"/>
      <c r="N746" s="830"/>
      <c r="O746" s="830"/>
      <c r="P746" s="830"/>
      <c r="Q746" s="830"/>
      <c r="R746" s="830"/>
      <c r="S746" s="830"/>
      <c r="T746" s="830"/>
      <c r="U746" s="830"/>
    </row>
    <row r="747" spans="1:21" ht="18.75" x14ac:dyDescent="0.25">
      <c r="A747" s="849"/>
      <c r="B747" s="850"/>
      <c r="C747" s="850"/>
      <c r="D747" s="850"/>
      <c r="E747" s="1104" t="s">
        <v>277</v>
      </c>
      <c r="F747" s="1107"/>
      <c r="G747" s="852"/>
      <c r="H747" s="959"/>
      <c r="I747" s="829"/>
      <c r="J747" s="829"/>
      <c r="K747" s="830"/>
      <c r="L747" s="1106"/>
      <c r="M747" s="830"/>
      <c r="N747" s="830"/>
      <c r="O747" s="830"/>
      <c r="P747" s="830"/>
      <c r="Q747" s="830"/>
      <c r="R747" s="830"/>
      <c r="S747" s="830"/>
      <c r="T747" s="830"/>
      <c r="U747" s="830"/>
    </row>
    <row r="748" spans="1:21" ht="18.75" x14ac:dyDescent="0.25">
      <c r="A748" s="849"/>
      <c r="B748" s="850"/>
      <c r="C748" s="850"/>
      <c r="D748" s="850"/>
      <c r="E748" s="850"/>
      <c r="F748" s="1104" t="s">
        <v>310</v>
      </c>
      <c r="G748" s="852"/>
      <c r="H748" s="839" t="s">
        <v>35</v>
      </c>
      <c r="I748" s="829"/>
      <c r="J748" s="1105">
        <v>0</v>
      </c>
      <c r="K748" s="830"/>
      <c r="L748" s="1106"/>
      <c r="M748" s="830"/>
      <c r="N748" s="830"/>
      <c r="O748" s="830"/>
      <c r="P748" s="830"/>
      <c r="Q748" s="830"/>
      <c r="R748" s="830"/>
      <c r="S748" s="830"/>
      <c r="T748" s="830"/>
      <c r="U748" s="830"/>
    </row>
    <row r="749" spans="1:21" ht="18.75" x14ac:dyDescent="0.25">
      <c r="A749" s="849"/>
      <c r="B749" s="850"/>
      <c r="C749" s="850"/>
      <c r="D749" s="850"/>
      <c r="E749" s="850"/>
      <c r="F749" s="1104" t="s">
        <v>311</v>
      </c>
      <c r="G749" s="852"/>
      <c r="H749" s="839" t="s">
        <v>35</v>
      </c>
      <c r="I749" s="960">
        <f ca="1">IFERROR(__xludf.DUMMYFUNCTION("IMPORTRANGE(""https://docs.google.com/spreadsheets/d/1eHaY18a8A9IcSdp1K8H6x8fbOy06t2VsZHhMHf-1x7Y/edit?usp=sharing"",""แผน!GF22"")"),3)</f>
        <v>3</v>
      </c>
      <c r="J749" s="1105">
        <v>0</v>
      </c>
      <c r="K749" s="841">
        <f ca="1">IF(I749&gt;0,J749*100/I749,0)</f>
        <v>0</v>
      </c>
      <c r="L749" s="1106"/>
      <c r="M749" s="830"/>
      <c r="N749" s="830"/>
      <c r="O749" s="830"/>
      <c r="P749" s="830"/>
      <c r="Q749" s="830"/>
      <c r="R749" s="830"/>
      <c r="S749" s="830"/>
      <c r="T749" s="830"/>
      <c r="U749" s="830"/>
    </row>
    <row r="750" spans="1:21" ht="19.5" x14ac:dyDescent="0.3">
      <c r="A750" s="849"/>
      <c r="B750" s="850"/>
      <c r="C750" s="850"/>
      <c r="D750" s="1108" t="s">
        <v>50</v>
      </c>
      <c r="E750" s="850"/>
      <c r="F750" s="1107"/>
      <c r="G750" s="852"/>
      <c r="H750" s="959"/>
      <c r="I750" s="829"/>
      <c r="J750" s="829"/>
      <c r="K750" s="830"/>
      <c r="L750" s="1106"/>
      <c r="M750" s="830"/>
      <c r="N750" s="830"/>
      <c r="O750" s="830"/>
      <c r="P750" s="830"/>
      <c r="Q750" s="830"/>
      <c r="R750" s="830"/>
      <c r="S750" s="830"/>
      <c r="T750" s="830"/>
      <c r="U750" s="830"/>
    </row>
    <row r="751" spans="1:21" ht="18.75" x14ac:dyDescent="0.25">
      <c r="A751" s="849"/>
      <c r="B751" s="850"/>
      <c r="C751" s="850"/>
      <c r="D751" s="850"/>
      <c r="E751" s="1104" t="s">
        <v>270</v>
      </c>
      <c r="F751" s="1107"/>
      <c r="G751" s="852"/>
      <c r="H751" s="959"/>
      <c r="I751" s="829"/>
      <c r="J751" s="829"/>
      <c r="K751" s="830"/>
      <c r="L751" s="1106"/>
      <c r="M751" s="830"/>
      <c r="N751" s="830"/>
      <c r="O751" s="830"/>
      <c r="P751" s="830"/>
      <c r="Q751" s="830"/>
      <c r="R751" s="830"/>
      <c r="S751" s="830"/>
      <c r="T751" s="830"/>
      <c r="U751" s="830"/>
    </row>
    <row r="752" spans="1:21" ht="18.75" x14ac:dyDescent="0.25">
      <c r="A752" s="849"/>
      <c r="B752" s="850"/>
      <c r="C752" s="850"/>
      <c r="D752" s="850"/>
      <c r="E752" s="850"/>
      <c r="F752" s="1109" t="s">
        <v>312</v>
      </c>
      <c r="G752" s="852"/>
      <c r="H752" s="839" t="s">
        <v>46</v>
      </c>
      <c r="I752" s="960">
        <f ca="1">IFERROR(__xludf.DUMMYFUNCTION("IMPORTRANGE(""https://docs.google.com/spreadsheets/d/1eHaY18a8A9IcSdp1K8H6x8fbOy06t2VsZHhMHf-1x7Y/edit?usp=sharing"",""แผน!GB22"")"),1000)</f>
        <v>1000</v>
      </c>
      <c r="J752" s="1105">
        <v>0</v>
      </c>
      <c r="K752" s="841">
        <f ca="1">IF(I752&gt;0,J752*100/I752,0)</f>
        <v>0</v>
      </c>
      <c r="L752" s="1106"/>
      <c r="M752" s="830"/>
      <c r="N752" s="830"/>
      <c r="O752" s="830"/>
      <c r="P752" s="830"/>
      <c r="Q752" s="830"/>
      <c r="R752" s="830"/>
      <c r="S752" s="830"/>
      <c r="T752" s="830"/>
      <c r="U752" s="830"/>
    </row>
    <row r="753" spans="1:21" ht="18.75" x14ac:dyDescent="0.25">
      <c r="A753" s="849"/>
      <c r="B753" s="850"/>
      <c r="C753" s="850"/>
      <c r="D753" s="850"/>
      <c r="E753" s="850"/>
      <c r="F753" s="1109" t="s">
        <v>313</v>
      </c>
      <c r="G753" s="852"/>
      <c r="H753" s="839" t="s">
        <v>46</v>
      </c>
      <c r="I753" s="829"/>
      <c r="J753" s="1105">
        <v>0</v>
      </c>
      <c r="K753" s="830"/>
      <c r="L753" s="1106"/>
      <c r="M753" s="830"/>
      <c r="N753" s="830"/>
      <c r="O753" s="830"/>
      <c r="P753" s="830"/>
      <c r="Q753" s="830"/>
      <c r="R753" s="830"/>
      <c r="S753" s="830"/>
      <c r="T753" s="830"/>
      <c r="U753" s="830"/>
    </row>
    <row r="754" spans="1:21" ht="18.75" x14ac:dyDescent="0.25">
      <c r="A754" s="849"/>
      <c r="B754" s="850"/>
      <c r="C754" s="850"/>
      <c r="D754" s="850"/>
      <c r="E754" s="1104" t="s">
        <v>274</v>
      </c>
      <c r="F754" s="1107"/>
      <c r="G754" s="852"/>
      <c r="H754" s="959"/>
      <c r="I754" s="829"/>
      <c r="J754" s="829"/>
      <c r="K754" s="830"/>
      <c r="L754" s="1106"/>
      <c r="M754" s="830"/>
      <c r="N754" s="830"/>
      <c r="O754" s="830"/>
      <c r="P754" s="830"/>
      <c r="Q754" s="830"/>
      <c r="R754" s="830"/>
      <c r="S754" s="830"/>
      <c r="T754" s="830"/>
      <c r="U754" s="830"/>
    </row>
    <row r="755" spans="1:21" ht="18.75" x14ac:dyDescent="0.25">
      <c r="A755" s="849"/>
      <c r="B755" s="850"/>
      <c r="C755" s="850"/>
      <c r="D755" s="850"/>
      <c r="E755" s="1107"/>
      <c r="F755" s="1109" t="s">
        <v>314</v>
      </c>
      <c r="G755" s="852"/>
      <c r="H755" s="839" t="s">
        <v>46</v>
      </c>
      <c r="I755" s="960">
        <f ca="1">IFERROR(__xludf.DUMMYFUNCTION("IMPORTRANGE(""https://docs.google.com/spreadsheets/d/1eHaY18a8A9IcSdp1K8H6x8fbOy06t2VsZHhMHf-1x7Y/edit?usp=sharing"",""แผน!GD22"")"),250)</f>
        <v>250</v>
      </c>
      <c r="J755" s="1105">
        <v>0</v>
      </c>
      <c r="K755" s="841">
        <f ca="1">IF(I755&gt;0,J755*100/I755,0)</f>
        <v>0</v>
      </c>
      <c r="L755" s="1106"/>
      <c r="M755" s="830"/>
      <c r="N755" s="830"/>
      <c r="O755" s="830"/>
      <c r="P755" s="830"/>
      <c r="Q755" s="830"/>
      <c r="R755" s="830"/>
      <c r="S755" s="830"/>
      <c r="T755" s="830"/>
      <c r="U755" s="830"/>
    </row>
    <row r="756" spans="1:21" ht="18.75" x14ac:dyDescent="0.25">
      <c r="A756" s="849"/>
      <c r="B756" s="850"/>
      <c r="C756" s="850"/>
      <c r="D756" s="850"/>
      <c r="E756" s="1107"/>
      <c r="F756" s="1109" t="s">
        <v>315</v>
      </c>
      <c r="G756" s="852"/>
      <c r="H756" s="839" t="s">
        <v>46</v>
      </c>
      <c r="I756" s="829"/>
      <c r="J756" s="1105">
        <v>0</v>
      </c>
      <c r="K756" s="830"/>
      <c r="L756" s="1106"/>
      <c r="M756" s="830"/>
      <c r="N756" s="830"/>
      <c r="O756" s="830"/>
      <c r="P756" s="830"/>
      <c r="Q756" s="830"/>
      <c r="R756" s="830"/>
      <c r="S756" s="830"/>
      <c r="T756" s="830"/>
      <c r="U756" s="830"/>
    </row>
    <row r="757" spans="1:21" ht="18.75" x14ac:dyDescent="0.25">
      <c r="A757" s="1110"/>
      <c r="B757" s="1110"/>
      <c r="C757" s="1110"/>
      <c r="D757" s="1110"/>
      <c r="E757" s="1111" t="s">
        <v>284</v>
      </c>
      <c r="F757" s="1112"/>
      <c r="G757" s="1113"/>
      <c r="H757" s="1114" t="s">
        <v>35</v>
      </c>
      <c r="I757" s="1115"/>
      <c r="J757" s="861">
        <v>0</v>
      </c>
      <c r="K757" s="1116"/>
      <c r="L757" s="1116"/>
      <c r="M757" s="1116"/>
      <c r="N757" s="1116"/>
      <c r="O757" s="1116"/>
      <c r="P757" s="1116"/>
      <c r="Q757" s="1116"/>
      <c r="R757" s="1116"/>
      <c r="S757" s="1116"/>
      <c r="T757" s="1116"/>
      <c r="U757" s="1116"/>
    </row>
    <row r="758" spans="1:21" ht="19.5" hidden="1" x14ac:dyDescent="0.3">
      <c r="A758" s="1061"/>
      <c r="B758" s="1062" t="s">
        <v>285</v>
      </c>
      <c r="C758" s="1061"/>
      <c r="D758" s="1063"/>
      <c r="E758" s="1063"/>
      <c r="F758" s="1063"/>
      <c r="G758" s="1064"/>
      <c r="H758" s="1092" t="s">
        <v>35</v>
      </c>
      <c r="I758" s="1093">
        <f t="shared" ref="I758:J758" ca="1" si="451">I772</f>
        <v>0</v>
      </c>
      <c r="J758" s="1093">
        <f t="shared" si="451"/>
        <v>0</v>
      </c>
      <c r="K758" s="1094">
        <f t="shared" ref="K758:K759" ca="1" si="452">IF(I758&gt;0,J758*100/I758,0)</f>
        <v>0</v>
      </c>
      <c r="L758" s="1068"/>
      <c r="M758" s="1067"/>
      <c r="N758" s="1067"/>
      <c r="O758" s="1067"/>
      <c r="P758" s="1067"/>
      <c r="Q758" s="1067"/>
      <c r="R758" s="1067"/>
      <c r="S758" s="1067"/>
      <c r="T758" s="1067"/>
      <c r="U758" s="1067"/>
    </row>
    <row r="759" spans="1:21" ht="19.5" hidden="1" x14ac:dyDescent="0.3">
      <c r="A759" s="1102"/>
      <c r="B759" s="1061"/>
      <c r="C759" s="1061"/>
      <c r="D759" s="1063"/>
      <c r="E759" s="1063"/>
      <c r="F759" s="1063"/>
      <c r="G759" s="1064"/>
      <c r="H759" s="1092" t="s">
        <v>46</v>
      </c>
      <c r="I759" s="1093">
        <f t="shared" ref="I759:J759" ca="1" si="453">I774</f>
        <v>0</v>
      </c>
      <c r="J759" s="1093">
        <f t="shared" si="453"/>
        <v>0</v>
      </c>
      <c r="K759" s="1094">
        <f t="shared" ca="1" si="452"/>
        <v>0</v>
      </c>
      <c r="L759" s="1068"/>
      <c r="M759" s="1067"/>
      <c r="N759" s="1067"/>
      <c r="O759" s="1067"/>
      <c r="P759" s="1067"/>
      <c r="Q759" s="1067"/>
      <c r="R759" s="1067"/>
      <c r="S759" s="1067"/>
      <c r="T759" s="1067"/>
      <c r="U759" s="1067"/>
    </row>
    <row r="760" spans="1:21" ht="19.5" hidden="1" x14ac:dyDescent="0.3">
      <c r="A760" s="674"/>
      <c r="B760" s="718"/>
      <c r="C760" s="724" t="s">
        <v>18</v>
      </c>
      <c r="D760" s="1310" t="s">
        <v>19</v>
      </c>
      <c r="E760" s="1311"/>
      <c r="F760" s="1311"/>
      <c r="G760" s="1312"/>
      <c r="H760" s="780" t="s">
        <v>14</v>
      </c>
      <c r="I760" s="565"/>
      <c r="J760" s="565"/>
      <c r="K760" s="566"/>
      <c r="L760" s="678">
        <f t="shared" ref="L760:N760" si="454">L761+L762</f>
        <v>0</v>
      </c>
      <c r="M760" s="679">
        <f t="shared" si="454"/>
        <v>0</v>
      </c>
      <c r="N760" s="679">
        <f t="shared" si="454"/>
        <v>0</v>
      </c>
      <c r="O760" s="679">
        <f t="shared" ref="O760:O768" si="455">IF(L760&gt;0,N760*100/L760,0)</f>
        <v>0</v>
      </c>
      <c r="P760" s="679">
        <f t="shared" ref="P760:P768" si="456">IF(M760&gt;0,N760*100/M760,0)</f>
        <v>0</v>
      </c>
      <c r="Q760" s="679">
        <f t="shared" ref="Q760:S760" ca="1" si="457">Q761+Q762</f>
        <v>0</v>
      </c>
      <c r="R760" s="679">
        <f t="shared" ca="1" si="457"/>
        <v>0</v>
      </c>
      <c r="S760" s="679">
        <f t="shared" ca="1" si="457"/>
        <v>0</v>
      </c>
      <c r="T760" s="679">
        <f t="shared" ref="T760:T768" ca="1" si="458">IF(Q760&gt;0,S760*100/Q760,0)</f>
        <v>0</v>
      </c>
      <c r="U760" s="679">
        <f t="shared" ref="U760:U768" ca="1" si="459">IF(R760&gt;0,S760*100/R760,0)</f>
        <v>0</v>
      </c>
    </row>
    <row r="761" spans="1:21" ht="18.75" hidden="1" x14ac:dyDescent="0.25">
      <c r="A761" s="674"/>
      <c r="B761" s="718"/>
      <c r="C761" s="718"/>
      <c r="D761" s="695"/>
      <c r="E761" s="569" t="s">
        <v>158</v>
      </c>
      <c r="F761" s="561"/>
      <c r="G761" s="563"/>
      <c r="H761" s="685" t="s">
        <v>14</v>
      </c>
      <c r="I761" s="565"/>
      <c r="J761" s="565"/>
      <c r="K761" s="566"/>
      <c r="L761" s="571">
        <f t="shared" ref="L761:N762" si="460">L764+L767</f>
        <v>0</v>
      </c>
      <c r="M761" s="572">
        <f t="shared" si="460"/>
        <v>0</v>
      </c>
      <c r="N761" s="572">
        <f t="shared" si="460"/>
        <v>0</v>
      </c>
      <c r="O761" s="572">
        <f t="shared" si="455"/>
        <v>0</v>
      </c>
      <c r="P761" s="572">
        <f t="shared" si="456"/>
        <v>0</v>
      </c>
      <c r="Q761" s="572">
        <f t="shared" ref="Q761:S762" si="461">Q764+Q767</f>
        <v>0</v>
      </c>
      <c r="R761" s="572">
        <f t="shared" si="461"/>
        <v>0</v>
      </c>
      <c r="S761" s="572">
        <f t="shared" si="461"/>
        <v>0</v>
      </c>
      <c r="T761" s="572">
        <f t="shared" si="458"/>
        <v>0</v>
      </c>
      <c r="U761" s="572">
        <f t="shared" si="459"/>
        <v>0</v>
      </c>
    </row>
    <row r="762" spans="1:21" ht="18.75" hidden="1" x14ac:dyDescent="0.25">
      <c r="A762" s="674"/>
      <c r="B762" s="718"/>
      <c r="C762" s="720"/>
      <c r="D762" s="695"/>
      <c r="E762" s="573" t="s">
        <v>159</v>
      </c>
      <c r="F762" s="561"/>
      <c r="G762" s="563"/>
      <c r="H762" s="682" t="s">
        <v>14</v>
      </c>
      <c r="I762" s="565"/>
      <c r="J762" s="565"/>
      <c r="K762" s="566"/>
      <c r="L762" s="567">
        <f t="shared" si="460"/>
        <v>0</v>
      </c>
      <c r="M762" s="568">
        <f t="shared" si="460"/>
        <v>0</v>
      </c>
      <c r="N762" s="568">
        <f t="shared" si="460"/>
        <v>0</v>
      </c>
      <c r="O762" s="568">
        <f t="shared" si="455"/>
        <v>0</v>
      </c>
      <c r="P762" s="568">
        <f t="shared" si="456"/>
        <v>0</v>
      </c>
      <c r="Q762" s="568">
        <f t="shared" ca="1" si="461"/>
        <v>0</v>
      </c>
      <c r="R762" s="568">
        <f t="shared" ca="1" si="461"/>
        <v>0</v>
      </c>
      <c r="S762" s="568">
        <f t="shared" ca="1" si="461"/>
        <v>0</v>
      </c>
      <c r="T762" s="568">
        <f t="shared" ca="1" si="458"/>
        <v>0</v>
      </c>
      <c r="U762" s="568">
        <f t="shared" ca="1" si="459"/>
        <v>0</v>
      </c>
    </row>
    <row r="763" spans="1:21" ht="18.75" hidden="1" x14ac:dyDescent="0.25">
      <c r="A763" s="674"/>
      <c r="B763" s="718"/>
      <c r="C763" s="720"/>
      <c r="D763" s="562" t="s">
        <v>22</v>
      </c>
      <c r="E763" s="561"/>
      <c r="F763" s="561"/>
      <c r="G763" s="563"/>
      <c r="H763" s="682" t="s">
        <v>14</v>
      </c>
      <c r="I763" s="683"/>
      <c r="J763" s="683"/>
      <c r="K763" s="684"/>
      <c r="L763" s="567">
        <f t="shared" ref="L763:N763" si="462">L764+L765</f>
        <v>0</v>
      </c>
      <c r="M763" s="568">
        <f t="shared" si="462"/>
        <v>0</v>
      </c>
      <c r="N763" s="568">
        <f t="shared" si="462"/>
        <v>0</v>
      </c>
      <c r="O763" s="568">
        <f t="shared" si="455"/>
        <v>0</v>
      </c>
      <c r="P763" s="568">
        <f t="shared" si="456"/>
        <v>0</v>
      </c>
      <c r="Q763" s="568">
        <f t="shared" ref="Q763:S763" ca="1" si="463">Q764+Q765</f>
        <v>0</v>
      </c>
      <c r="R763" s="568">
        <f t="shared" ca="1" si="463"/>
        <v>0</v>
      </c>
      <c r="S763" s="568">
        <f t="shared" ca="1" si="463"/>
        <v>0</v>
      </c>
      <c r="T763" s="568">
        <f t="shared" ca="1" si="458"/>
        <v>0</v>
      </c>
      <c r="U763" s="568">
        <f t="shared" ca="1" si="459"/>
        <v>0</v>
      </c>
    </row>
    <row r="764" spans="1:21" ht="18.75" hidden="1" x14ac:dyDescent="0.25">
      <c r="A764" s="674"/>
      <c r="B764" s="718"/>
      <c r="C764" s="720"/>
      <c r="D764" s="695"/>
      <c r="E764" s="569" t="s">
        <v>158</v>
      </c>
      <c r="F764" s="561"/>
      <c r="G764" s="563"/>
      <c r="H764" s="685" t="s">
        <v>14</v>
      </c>
      <c r="I764" s="565"/>
      <c r="J764" s="565"/>
      <c r="K764" s="566"/>
      <c r="L764" s="571">
        <v>0</v>
      </c>
      <c r="M764" s="572">
        <v>0</v>
      </c>
      <c r="N764" s="572">
        <v>0</v>
      </c>
      <c r="O764" s="572">
        <f t="shared" si="455"/>
        <v>0</v>
      </c>
      <c r="P764" s="572">
        <f t="shared" si="456"/>
        <v>0</v>
      </c>
      <c r="Q764" s="572">
        <v>0</v>
      </c>
      <c r="R764" s="572">
        <v>0</v>
      </c>
      <c r="S764" s="572">
        <v>0</v>
      </c>
      <c r="T764" s="572">
        <f t="shared" si="458"/>
        <v>0</v>
      </c>
      <c r="U764" s="572">
        <f t="shared" si="459"/>
        <v>0</v>
      </c>
    </row>
    <row r="765" spans="1:21" ht="18.75" hidden="1" x14ac:dyDescent="0.25">
      <c r="A765" s="674"/>
      <c r="B765" s="718"/>
      <c r="C765" s="720"/>
      <c r="D765" s="695"/>
      <c r="E765" s="573" t="s">
        <v>159</v>
      </c>
      <c r="F765" s="561"/>
      <c r="G765" s="563"/>
      <c r="H765" s="682" t="s">
        <v>14</v>
      </c>
      <c r="I765" s="565"/>
      <c r="J765" s="565"/>
      <c r="K765" s="566"/>
      <c r="L765" s="567">
        <v>0</v>
      </c>
      <c r="M765" s="568">
        <v>0</v>
      </c>
      <c r="N765" s="568">
        <v>0</v>
      </c>
      <c r="O765" s="568">
        <f t="shared" si="455"/>
        <v>0</v>
      </c>
      <c r="P765" s="568">
        <f t="shared" si="456"/>
        <v>0</v>
      </c>
      <c r="Q765" s="568">
        <f ca="1">IFERROR(__xludf.DUMMYFUNCTION("IMPORTRANGE(""https://docs.google.com/spreadsheets/d/1ItG2mGa2ceCfYo0BwxsXqNm01IGEUdYcSSLTEv9YCik/edit?usp=sharing"",""เบิกจ่ายกองทุน!AA22"")"),0)</f>
        <v>0</v>
      </c>
      <c r="R765" s="568">
        <f ca="1">IFERROR(__xludf.DUMMYFUNCTION("IMPORTRANGE(""https://docs.google.com/spreadsheets/d/1ItG2mGa2ceCfYo0BwxsXqNm01IGEUdYcSSLTEv9YCik/edit?usp=sharing"",""เบิกจ่ายกองทุน!AB22"")"),0)</f>
        <v>0</v>
      </c>
      <c r="S765" s="568">
        <f ca="1">IFERROR(__xludf.DUMMYFUNCTION("IMPORTRANGE(""https://docs.google.com/spreadsheets/d/1ItG2mGa2ceCfYo0BwxsXqNm01IGEUdYcSSLTEv9YCik/edit?usp=sharing"",""เบิกจ่ายกองทุน!AC22"")"),0)</f>
        <v>0</v>
      </c>
      <c r="T765" s="568">
        <f t="shared" ca="1" si="458"/>
        <v>0</v>
      </c>
      <c r="U765" s="568">
        <f t="shared" ca="1" si="459"/>
        <v>0</v>
      </c>
    </row>
    <row r="766" spans="1:21" ht="18.75" hidden="1" x14ac:dyDescent="0.25">
      <c r="A766" s="674"/>
      <c r="B766" s="718"/>
      <c r="C766" s="718"/>
      <c r="D766" s="562" t="s">
        <v>23</v>
      </c>
      <c r="E766" s="718"/>
      <c r="F766" s="561"/>
      <c r="G766" s="563"/>
      <c r="H766" s="686" t="s">
        <v>14</v>
      </c>
      <c r="I766" s="683"/>
      <c r="J766" s="683"/>
      <c r="K766" s="684"/>
      <c r="L766" s="567">
        <f t="shared" ref="L766:N766" si="464">L767+L768</f>
        <v>0</v>
      </c>
      <c r="M766" s="568">
        <f t="shared" si="464"/>
        <v>0</v>
      </c>
      <c r="N766" s="568">
        <f t="shared" si="464"/>
        <v>0</v>
      </c>
      <c r="O766" s="568">
        <f t="shared" si="455"/>
        <v>0</v>
      </c>
      <c r="P766" s="568">
        <f t="shared" si="456"/>
        <v>0</v>
      </c>
      <c r="Q766" s="568">
        <f t="shared" ref="Q766:S766" si="465">Q767+Q768</f>
        <v>0</v>
      </c>
      <c r="R766" s="568">
        <f t="shared" si="465"/>
        <v>0</v>
      </c>
      <c r="S766" s="568">
        <f t="shared" si="465"/>
        <v>0</v>
      </c>
      <c r="T766" s="568">
        <f t="shared" si="458"/>
        <v>0</v>
      </c>
      <c r="U766" s="568">
        <f t="shared" si="459"/>
        <v>0</v>
      </c>
    </row>
    <row r="767" spans="1:21" ht="18.75" hidden="1" x14ac:dyDescent="0.25">
      <c r="A767" s="674"/>
      <c r="B767" s="718"/>
      <c r="C767" s="718"/>
      <c r="D767" s="718"/>
      <c r="E767" s="767" t="s">
        <v>20</v>
      </c>
      <c r="F767" s="561"/>
      <c r="G767" s="563"/>
      <c r="H767" s="685" t="s">
        <v>14</v>
      </c>
      <c r="I767" s="683"/>
      <c r="J767" s="683"/>
      <c r="K767" s="684"/>
      <c r="L767" s="571">
        <v>0</v>
      </c>
      <c r="M767" s="572">
        <v>0</v>
      </c>
      <c r="N767" s="572">
        <v>0</v>
      </c>
      <c r="O767" s="572">
        <f t="shared" si="455"/>
        <v>0</v>
      </c>
      <c r="P767" s="572">
        <f t="shared" si="456"/>
        <v>0</v>
      </c>
      <c r="Q767" s="572">
        <v>0</v>
      </c>
      <c r="R767" s="572">
        <v>0</v>
      </c>
      <c r="S767" s="572">
        <v>0</v>
      </c>
      <c r="T767" s="572">
        <f t="shared" si="458"/>
        <v>0</v>
      </c>
      <c r="U767" s="572">
        <f t="shared" si="459"/>
        <v>0</v>
      </c>
    </row>
    <row r="768" spans="1:21" ht="18.75" hidden="1" x14ac:dyDescent="0.25">
      <c r="A768" s="674"/>
      <c r="B768" s="718"/>
      <c r="C768" s="718"/>
      <c r="D768" s="718"/>
      <c r="E768" s="765" t="s">
        <v>21</v>
      </c>
      <c r="F768" s="561"/>
      <c r="G768" s="563"/>
      <c r="H768" s="686" t="s">
        <v>14</v>
      </c>
      <c r="I768" s="683"/>
      <c r="J768" s="683"/>
      <c r="K768" s="684"/>
      <c r="L768" s="567">
        <v>0</v>
      </c>
      <c r="M768" s="568">
        <v>0</v>
      </c>
      <c r="N768" s="568">
        <v>0</v>
      </c>
      <c r="O768" s="568">
        <f t="shared" si="455"/>
        <v>0</v>
      </c>
      <c r="P768" s="568">
        <f t="shared" si="456"/>
        <v>0</v>
      </c>
      <c r="Q768" s="568">
        <v>0</v>
      </c>
      <c r="R768" s="568">
        <v>0</v>
      </c>
      <c r="S768" s="568">
        <v>0</v>
      </c>
      <c r="T768" s="568">
        <f t="shared" si="458"/>
        <v>0</v>
      </c>
      <c r="U768" s="568">
        <f t="shared" si="459"/>
        <v>0</v>
      </c>
    </row>
    <row r="769" spans="1:21" ht="19.5" hidden="1" x14ac:dyDescent="0.3">
      <c r="A769" s="687"/>
      <c r="B769" s="688"/>
      <c r="C769" s="1117" t="s">
        <v>18</v>
      </c>
      <c r="D769" s="1078" t="s">
        <v>38</v>
      </c>
      <c r="E769" s="758"/>
      <c r="F769" s="690"/>
      <c r="G769" s="691"/>
      <c r="H769" s="725"/>
      <c r="I769" s="565"/>
      <c r="J769" s="565"/>
      <c r="K769" s="566"/>
      <c r="L769" s="574"/>
      <c r="M769" s="566"/>
      <c r="N769" s="566"/>
      <c r="O769" s="566"/>
      <c r="P769" s="566"/>
      <c r="Q769" s="566"/>
      <c r="R769" s="566"/>
      <c r="S769" s="566"/>
      <c r="T769" s="566"/>
      <c r="U769" s="566"/>
    </row>
    <row r="770" spans="1:21" ht="18.75" hidden="1" x14ac:dyDescent="0.25">
      <c r="A770" s="687"/>
      <c r="B770" s="688"/>
      <c r="C770" s="688"/>
      <c r="D770" s="1042" t="s">
        <v>286</v>
      </c>
      <c r="E770" s="688"/>
      <c r="F770" s="695"/>
      <c r="G770" s="692"/>
      <c r="H770" s="734" t="s">
        <v>35</v>
      </c>
      <c r="I770" s="735">
        <f ca="1">IFERROR(__xludf.DUMMYFUNCTION("IMPORTRANGE(""https://docs.google.com/spreadsheets/d/1eHaY18a8A9IcSdp1K8H6x8fbOy06t2VsZHhMHf-1x7Y/edit?usp=sharing"",""แผน!FI22"")"),0)</f>
        <v>0</v>
      </c>
      <c r="J770" s="735">
        <v>0</v>
      </c>
      <c r="K770" s="572">
        <f ca="1">IF(I770&gt;0,J770*100/I770,0)</f>
        <v>0</v>
      </c>
      <c r="L770" s="574"/>
      <c r="M770" s="566"/>
      <c r="N770" s="566"/>
      <c r="O770" s="566"/>
      <c r="P770" s="566"/>
      <c r="Q770" s="566"/>
      <c r="R770" s="566"/>
      <c r="S770" s="566"/>
      <c r="T770" s="566"/>
      <c r="U770" s="566"/>
    </row>
    <row r="771" spans="1:21" ht="18.75" hidden="1" x14ac:dyDescent="0.25">
      <c r="A771" s="687"/>
      <c r="B771" s="688"/>
      <c r="C771" s="688"/>
      <c r="D771" s="1042" t="s">
        <v>287</v>
      </c>
      <c r="E771" s="688"/>
      <c r="F771" s="695"/>
      <c r="G771" s="692"/>
      <c r="H771" s="725"/>
      <c r="I771" s="565"/>
      <c r="J771" s="565"/>
      <c r="K771" s="566"/>
      <c r="L771" s="574"/>
      <c r="M771" s="566"/>
      <c r="N771" s="566"/>
      <c r="O771" s="566"/>
      <c r="P771" s="566"/>
      <c r="Q771" s="566"/>
      <c r="R771" s="566"/>
      <c r="S771" s="566"/>
      <c r="T771" s="566"/>
      <c r="U771" s="566"/>
    </row>
    <row r="772" spans="1:21" ht="18.75" hidden="1" x14ac:dyDescent="0.25">
      <c r="A772" s="687"/>
      <c r="B772" s="688"/>
      <c r="C772" s="688"/>
      <c r="D772" s="1079" t="s">
        <v>288</v>
      </c>
      <c r="E772" s="688"/>
      <c r="F772" s="695"/>
      <c r="G772" s="692"/>
      <c r="H772" s="686" t="s">
        <v>35</v>
      </c>
      <c r="I772" s="708">
        <f ca="1">IFERROR(__xludf.DUMMYFUNCTION("IMPORTRANGE(""https://docs.google.com/spreadsheets/d/1eHaY18a8A9IcSdp1K8H6x8fbOy06t2VsZHhMHf-1x7Y/edit?usp=sharing"",""แผน!FQ22"")"),0)</f>
        <v>0</v>
      </c>
      <c r="J772" s="702">
        <v>0</v>
      </c>
      <c r="K772" s="568">
        <f ca="1">IF(I772&gt;0,J772*100/I772,0)</f>
        <v>0</v>
      </c>
      <c r="L772" s="574"/>
      <c r="M772" s="566"/>
      <c r="N772" s="566"/>
      <c r="O772" s="566"/>
      <c r="P772" s="566"/>
      <c r="Q772" s="566"/>
      <c r="R772" s="566"/>
      <c r="S772" s="566"/>
      <c r="T772" s="566"/>
      <c r="U772" s="566"/>
    </row>
    <row r="773" spans="1:21" ht="18.75" hidden="1" x14ac:dyDescent="0.25">
      <c r="A773" s="687"/>
      <c r="B773" s="688"/>
      <c r="C773" s="688"/>
      <c r="D773" s="1079" t="s">
        <v>289</v>
      </c>
      <c r="E773" s="688"/>
      <c r="F773" s="695"/>
      <c r="G773" s="692"/>
      <c r="H773" s="725"/>
      <c r="I773" s="565"/>
      <c r="J773" s="565"/>
      <c r="K773" s="566"/>
      <c r="L773" s="574"/>
      <c r="M773" s="566"/>
      <c r="N773" s="566"/>
      <c r="O773" s="566"/>
      <c r="P773" s="566"/>
      <c r="Q773" s="566"/>
      <c r="R773" s="566"/>
      <c r="S773" s="566"/>
      <c r="T773" s="566"/>
      <c r="U773" s="566"/>
    </row>
    <row r="774" spans="1:21" ht="18.75" hidden="1" x14ac:dyDescent="0.25">
      <c r="A774" s="687"/>
      <c r="B774" s="688"/>
      <c r="C774" s="688"/>
      <c r="D774" s="1079" t="s">
        <v>290</v>
      </c>
      <c r="E774" s="688"/>
      <c r="F774" s="695"/>
      <c r="G774" s="692"/>
      <c r="H774" s="686" t="s">
        <v>46</v>
      </c>
      <c r="I774" s="708">
        <f ca="1">IFERROR(__xludf.DUMMYFUNCTION("IMPORTRANGE(""https://docs.google.com/spreadsheets/d/1eHaY18a8A9IcSdp1K8H6x8fbOy06t2VsZHhMHf-1x7Y/edit?usp=sharing"",""แผน!FR22"")"),0)</f>
        <v>0</v>
      </c>
      <c r="J774" s="702">
        <v>0</v>
      </c>
      <c r="K774" s="568">
        <f ca="1">IF(I774&gt;0,J774*100/I774,0)</f>
        <v>0</v>
      </c>
      <c r="L774" s="574"/>
      <c r="M774" s="566"/>
      <c r="N774" s="566"/>
      <c r="O774" s="566"/>
      <c r="P774" s="566"/>
      <c r="Q774" s="566"/>
      <c r="R774" s="566"/>
      <c r="S774" s="566"/>
      <c r="T774" s="566"/>
      <c r="U774" s="566"/>
    </row>
    <row r="775" spans="1:21" ht="18.75" hidden="1" x14ac:dyDescent="0.25">
      <c r="A775" s="687"/>
      <c r="B775" s="688"/>
      <c r="C775" s="688"/>
      <c r="D775" s="1079" t="s">
        <v>50</v>
      </c>
      <c r="E775" s="695"/>
      <c r="F775" s="561"/>
      <c r="G775" s="563"/>
      <c r="H775" s="686" t="s">
        <v>46</v>
      </c>
      <c r="I775" s="708">
        <f ca="1">IFERROR(__xludf.DUMMYFUNCTION("IMPORTRANGE(""https://docs.google.com/spreadsheets/d/1eHaY18a8A9IcSdp1K8H6x8fbOy06t2VsZHhMHf-1x7Y/edit?usp=sharing"",""แผน!FS22"")"),0)</f>
        <v>0</v>
      </c>
      <c r="J775" s="702">
        <v>0</v>
      </c>
      <c r="K775" s="566"/>
      <c r="L775" s="574"/>
      <c r="M775" s="566"/>
      <c r="N775" s="566"/>
      <c r="O775" s="566"/>
      <c r="P775" s="566"/>
      <c r="Q775" s="566"/>
      <c r="R775" s="566"/>
      <c r="S775" s="566"/>
      <c r="T775" s="566"/>
      <c r="U775" s="566"/>
    </row>
    <row r="776" spans="1:21" ht="18.75" hidden="1" x14ac:dyDescent="0.25">
      <c r="A776" s="863"/>
      <c r="B776" s="864"/>
      <c r="C776" s="864"/>
      <c r="D776" s="864"/>
      <c r="E776" s="512"/>
      <c r="F776" s="512"/>
      <c r="G776" s="577"/>
      <c r="H776" s="1089" t="s">
        <v>35</v>
      </c>
      <c r="I776" s="989">
        <f ca="1">IFERROR(__xludf.DUMMYFUNCTION("IMPORTRANGE(""https://docs.google.com/spreadsheets/d/1eHaY18a8A9IcSdp1K8H6x8fbOy06t2VsZHhMHf-1x7Y/edit?usp=sharing"",""แผน!FT22"")"),0)</f>
        <v>0</v>
      </c>
      <c r="J776" s="990">
        <v>0</v>
      </c>
      <c r="K776" s="580"/>
      <c r="L776" s="581"/>
      <c r="M776" s="580"/>
      <c r="N776" s="580"/>
      <c r="O776" s="580"/>
      <c r="P776" s="580"/>
      <c r="Q776" s="580"/>
      <c r="R776" s="580"/>
      <c r="S776" s="580"/>
      <c r="T776" s="580"/>
      <c r="U776" s="580"/>
    </row>
    <row r="777" spans="1:21" ht="19.5" x14ac:dyDescent="0.3">
      <c r="A777" s="1118" t="s">
        <v>291</v>
      </c>
      <c r="B777" s="1119"/>
      <c r="C777" s="1119"/>
      <c r="D777" s="1120"/>
      <c r="E777" s="1119"/>
      <c r="F777" s="1119"/>
      <c r="G777" s="1121"/>
      <c r="H777" s="112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1123"/>
      <c r="J777" s="1124"/>
      <c r="K777" s="1125"/>
      <c r="L777" s="1125"/>
      <c r="M777" s="1125"/>
      <c r="N777" s="1125"/>
      <c r="O777" s="1125"/>
      <c r="P777" s="1125"/>
      <c r="Q777" s="1125"/>
      <c r="R777" s="1125"/>
      <c r="S777" s="1125"/>
      <c r="T777" s="1125"/>
      <c r="U777" s="1125"/>
    </row>
    <row r="778" spans="1:21" ht="18.75" x14ac:dyDescent="0.25">
      <c r="A778" s="560"/>
      <c r="B778" s="573" t="s">
        <v>292</v>
      </c>
      <c r="C778" s="561"/>
      <c r="D778" s="718"/>
      <c r="E778" s="561"/>
      <c r="F778" s="561"/>
      <c r="G778" s="563"/>
      <c r="H778" s="564" t="s">
        <v>14</v>
      </c>
      <c r="I778" s="708">
        <f ca="1">IFERROR(__xludf.DUMMYFUNCTION("IMPORTRANGE(""https://docs.google.com/spreadsheets/d/10OvvATaaLtwErnr3qtWFcTmtbfpFEt5Bsqel9sXx0uE/edit?usp=sharing"",""งานกองทุน!D22"")"),4046685.39)</f>
        <v>4046685.39</v>
      </c>
      <c r="J778" s="708">
        <f ca="1">IFERROR(__xludf.DUMMYFUNCTION("IMPORTRANGE(""https://docs.google.com/spreadsheets/d/10OvvATaaLtwErnr3qtWFcTmtbfpFEt5Bsqel9sXx0uE/edit?usp=sharing"",""งานกองทุน!F22"")"),518629.26)</f>
        <v>518629.26</v>
      </c>
      <c r="K778" s="568">
        <f t="shared" ref="K778:K785" ca="1" si="466">IF(I778&gt;0,J778*100/I778,0)</f>
        <v>12.816149762509706</v>
      </c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</row>
    <row r="779" spans="1:21" ht="18.75" x14ac:dyDescent="0.25">
      <c r="A779" s="560"/>
      <c r="B779" s="561"/>
      <c r="C779" s="561"/>
      <c r="D779" s="718"/>
      <c r="E779" s="561"/>
      <c r="F779" s="561"/>
      <c r="G779" s="563"/>
      <c r="H779" s="564" t="s">
        <v>35</v>
      </c>
      <c r="I779" s="708">
        <f ca="1">IFERROR(__xludf.DUMMYFUNCTION("IMPORTRANGE(""https://docs.google.com/spreadsheets/d/10OvvATaaLtwErnr3qtWFcTmtbfpFEt5Bsqel9sXx0uE/edit?usp=sharing"",""งานกองทุน!C22"")"),278)</f>
        <v>278</v>
      </c>
      <c r="J779" s="708">
        <f ca="1">IFERROR(__xludf.DUMMYFUNCTION("IMPORTRANGE(""https://docs.google.com/spreadsheets/d/10OvvATaaLtwErnr3qtWFcTmtbfpFEt5Bsqel9sXx0uE/edit?usp=sharing"",""งานกองทุน!E22"")"),33)</f>
        <v>33</v>
      </c>
      <c r="K779" s="568">
        <f t="shared" ca="1" si="466"/>
        <v>11.870503597122303</v>
      </c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</row>
    <row r="780" spans="1:21" ht="18.75" x14ac:dyDescent="0.25">
      <c r="A780" s="560"/>
      <c r="B780" s="573" t="s">
        <v>293</v>
      </c>
      <c r="C780" s="561"/>
      <c r="D780" s="718"/>
      <c r="E780" s="561"/>
      <c r="F780" s="561"/>
      <c r="G780" s="563"/>
      <c r="H780" s="564" t="s">
        <v>14</v>
      </c>
      <c r="I780" s="708">
        <f ca="1">IFERROR(__xludf.DUMMYFUNCTION("IMPORTRANGE(""https://docs.google.com/spreadsheets/d/10OvvATaaLtwErnr3qtWFcTmtbfpFEt5Bsqel9sXx0uE/edit?usp=sharing"",""งานกองทุน!I22"")"),2152334.62)</f>
        <v>2152334.62</v>
      </c>
      <c r="J780" s="708">
        <f ca="1">IFERROR(__xludf.DUMMYFUNCTION("IMPORTRANGE(""https://docs.google.com/spreadsheets/d/10OvvATaaLtwErnr3qtWFcTmtbfpFEt5Bsqel9sXx0uE/edit?usp=sharing"",""งานกองทุน!K22"")"),197793.59)</f>
        <v>197793.59</v>
      </c>
      <c r="K780" s="568">
        <f t="shared" ca="1" si="466"/>
        <v>9.18972301806863</v>
      </c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</row>
    <row r="781" spans="1:21" ht="18.75" x14ac:dyDescent="0.25">
      <c r="A781" s="560"/>
      <c r="B781" s="561"/>
      <c r="C781" s="561"/>
      <c r="D781" s="718"/>
      <c r="E781" s="561"/>
      <c r="F781" s="561"/>
      <c r="G781" s="563"/>
      <c r="H781" s="564" t="s">
        <v>35</v>
      </c>
      <c r="I781" s="708">
        <f ca="1">IFERROR(__xludf.DUMMYFUNCTION("IMPORTRANGE(""https://docs.google.com/spreadsheets/d/10OvvATaaLtwErnr3qtWFcTmtbfpFEt5Bsqel9sXx0uE/edit?usp=sharing"",""งานกองทุน!H22"")"),97)</f>
        <v>97</v>
      </c>
      <c r="J781" s="708">
        <f ca="1">IFERROR(__xludf.DUMMYFUNCTION("IMPORTRANGE(""https://docs.google.com/spreadsheets/d/10OvvATaaLtwErnr3qtWFcTmtbfpFEt5Bsqel9sXx0uE/edit?usp=sharing"",""งานกองทุน!J22"")"),33)</f>
        <v>33</v>
      </c>
      <c r="K781" s="568">
        <f t="shared" ca="1" si="466"/>
        <v>34.020618556701031</v>
      </c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</row>
    <row r="782" spans="1:21" ht="18.75" x14ac:dyDescent="0.25">
      <c r="A782" s="560"/>
      <c r="B782" s="573" t="s">
        <v>294</v>
      </c>
      <c r="C782" s="561"/>
      <c r="D782" s="718"/>
      <c r="E782" s="561"/>
      <c r="F782" s="561"/>
      <c r="G782" s="563"/>
      <c r="H782" s="564" t="s">
        <v>14</v>
      </c>
      <c r="I782" s="708">
        <f ca="1">IFERROR(__xludf.DUMMYFUNCTION("IMPORTRANGE(""https://docs.google.com/spreadsheets/d/10OvvATaaLtwErnr3qtWFcTmtbfpFEt5Bsqel9sXx0uE/edit?usp=sharing"",""งานกองทุน!N22"")"),0)</f>
        <v>0</v>
      </c>
      <c r="J782" s="708">
        <f ca="1">IFERROR(__xludf.DUMMYFUNCTION("IMPORTRANGE(""https://docs.google.com/spreadsheets/d/10OvvATaaLtwErnr3qtWFcTmtbfpFEt5Bsqel9sXx0uE/edit?usp=sharing"",""งานกองทุน!P22"")"),0)</f>
        <v>0</v>
      </c>
      <c r="K782" s="568">
        <f t="shared" ca="1" si="466"/>
        <v>0</v>
      </c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</row>
    <row r="783" spans="1:21" ht="18.75" x14ac:dyDescent="0.25">
      <c r="A783" s="560"/>
      <c r="B783" s="561"/>
      <c r="C783" s="561"/>
      <c r="D783" s="718"/>
      <c r="E783" s="561"/>
      <c r="F783" s="561"/>
      <c r="G783" s="563"/>
      <c r="H783" s="564" t="s">
        <v>35</v>
      </c>
      <c r="I783" s="708">
        <f ca="1">IFERROR(__xludf.DUMMYFUNCTION("IMPORTRANGE(""https://docs.google.com/spreadsheets/d/10OvvATaaLtwErnr3qtWFcTmtbfpFEt5Bsqel9sXx0uE/edit?usp=sharing"",""งานกองทุน!M22"")"),0)</f>
        <v>0</v>
      </c>
      <c r="J783" s="708">
        <f ca="1">IFERROR(__xludf.DUMMYFUNCTION("IMPORTRANGE(""https://docs.google.com/spreadsheets/d/10OvvATaaLtwErnr3qtWFcTmtbfpFEt5Bsqel9sXx0uE/edit?usp=sharing"",""งานกองทุน!O22"")"),0)</f>
        <v>0</v>
      </c>
      <c r="K783" s="568">
        <f t="shared" ca="1" si="466"/>
        <v>0</v>
      </c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</row>
    <row r="784" spans="1:21" ht="18.75" x14ac:dyDescent="0.25">
      <c r="A784" s="560"/>
      <c r="B784" s="573" t="s">
        <v>295</v>
      </c>
      <c r="C784" s="561"/>
      <c r="D784" s="718"/>
      <c r="E784" s="561"/>
      <c r="F784" s="561"/>
      <c r="G784" s="563"/>
      <c r="H784" s="564" t="s">
        <v>14</v>
      </c>
      <c r="I784" s="708">
        <f ca="1">IFERROR(__xludf.DUMMYFUNCTION("IMPORTRANGE(""https://docs.google.com/spreadsheets/d/10OvvATaaLtwErnr3qtWFcTmtbfpFEt5Bsqel9sXx0uE/edit?usp=sharing"",""งานกองทุน!S22"")"),4928000)</f>
        <v>4928000</v>
      </c>
      <c r="J784" s="708">
        <f ca="1">IFERROR(__xludf.DUMMYFUNCTION("IMPORTRANGE(""https://docs.google.com/spreadsheets/d/10OvvATaaLtwErnr3qtWFcTmtbfpFEt5Bsqel9sXx0uE/edit?usp=sharing"",""งานกองทุน!U22"")"),980000)</f>
        <v>980000</v>
      </c>
      <c r="K784" s="568">
        <f t="shared" ca="1" si="466"/>
        <v>19.886363636363637</v>
      </c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</row>
    <row r="785" spans="1:21" ht="18.75" x14ac:dyDescent="0.25">
      <c r="A785" s="575"/>
      <c r="B785" s="513"/>
      <c r="C785" s="513"/>
      <c r="D785" s="514"/>
      <c r="E785" s="513"/>
      <c r="F785" s="513"/>
      <c r="G785" s="577"/>
      <c r="H785" s="578" t="s">
        <v>35</v>
      </c>
      <c r="I785" s="989">
        <f ca="1">IFERROR(__xludf.DUMMYFUNCTION("IMPORTRANGE(""https://docs.google.com/spreadsheets/d/10OvvATaaLtwErnr3qtWFcTmtbfpFEt5Bsqel9sXx0uE/edit?usp=sharing"",""งานกองทุน!R22"")"),176)</f>
        <v>176</v>
      </c>
      <c r="J785" s="989">
        <f ca="1">IFERROR(__xludf.DUMMYFUNCTION("IMPORTRANGE(""https://docs.google.com/spreadsheets/d/10OvvATaaLtwErnr3qtWFcTmtbfpFEt5Bsqel9sXx0uE/edit?usp=sharing"",""งานกองทุน!T22"")"),35)</f>
        <v>35</v>
      </c>
      <c r="K785" s="655">
        <f t="shared" ca="1" si="466"/>
        <v>19.886363636363637</v>
      </c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</row>
    <row r="786" spans="1:21" ht="12.75" x14ac:dyDescent="0.2">
      <c r="A786" s="510"/>
      <c r="B786" s="510"/>
      <c r="C786" s="510"/>
      <c r="D786" s="510"/>
      <c r="E786" s="510"/>
      <c r="F786" s="510"/>
      <c r="G786" s="510"/>
      <c r="H786" s="510"/>
      <c r="I786" s="510"/>
      <c r="J786" s="510"/>
      <c r="K786" s="510"/>
      <c r="L786" s="510"/>
      <c r="M786" s="510"/>
      <c r="N786" s="510"/>
      <c r="O786" s="510"/>
      <c r="P786" s="510"/>
      <c r="Q786" s="510"/>
      <c r="R786" s="510"/>
      <c r="S786" s="510"/>
      <c r="T786" s="510"/>
      <c r="U786" s="510"/>
    </row>
    <row r="787" spans="1:21" ht="16.5" x14ac:dyDescent="0.25">
      <c r="A787" s="1126" t="s">
        <v>296</v>
      </c>
      <c r="B787" s="510"/>
      <c r="C787" s="510"/>
      <c r="D787" s="510"/>
      <c r="E787" s="510"/>
      <c r="F787" s="510"/>
      <c r="G787" s="510"/>
      <c r="H787" s="510"/>
      <c r="I787" s="510"/>
      <c r="J787" s="510"/>
      <c r="K787" s="510"/>
      <c r="L787" s="510"/>
      <c r="M787" s="510"/>
      <c r="N787" s="510"/>
      <c r="O787" s="510"/>
      <c r="P787" s="510"/>
      <c r="Q787" s="510"/>
      <c r="R787" s="510"/>
      <c r="S787" s="510"/>
      <c r="T787" s="510"/>
      <c r="U787" s="510"/>
    </row>
    <row r="788" spans="1:21" ht="16.5" x14ac:dyDescent="0.25">
      <c r="A788" s="112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510"/>
      <c r="C788" s="510"/>
      <c r="D788" s="510"/>
      <c r="E788" s="510"/>
      <c r="F788" s="510"/>
      <c r="G788" s="510"/>
      <c r="H788" s="510"/>
      <c r="I788" s="510"/>
      <c r="J788" s="510"/>
      <c r="K788" s="510"/>
      <c r="L788" s="510"/>
      <c r="M788" s="510"/>
      <c r="N788" s="510"/>
      <c r="O788" s="510"/>
      <c r="P788" s="510"/>
      <c r="Q788" s="510"/>
      <c r="R788" s="510"/>
      <c r="S788" s="510"/>
      <c r="T788" s="510"/>
      <c r="U788" s="510"/>
    </row>
    <row r="789" spans="1:21" ht="16.5" x14ac:dyDescent="0.25">
      <c r="A789" s="112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510"/>
      <c r="C789" s="510"/>
      <c r="D789" s="510"/>
      <c r="E789" s="510"/>
      <c r="F789" s="510"/>
      <c r="G789" s="510"/>
      <c r="H789" s="510"/>
      <c r="I789" s="510"/>
      <c r="J789" s="510"/>
      <c r="K789" s="510"/>
      <c r="L789" s="510"/>
      <c r="M789" s="510"/>
      <c r="N789" s="510"/>
      <c r="O789" s="510"/>
      <c r="P789" s="510"/>
      <c r="Q789" s="510"/>
      <c r="R789" s="510"/>
      <c r="S789" s="510"/>
      <c r="T789" s="510"/>
      <c r="U789" s="510"/>
    </row>
  </sheetData>
  <mergeCells count="25">
    <mergeCell ref="Q4:U4"/>
    <mergeCell ref="A5:G6"/>
    <mergeCell ref="I5:K5"/>
    <mergeCell ref="L5:M5"/>
    <mergeCell ref="N5:P5"/>
    <mergeCell ref="Q5:R5"/>
    <mergeCell ref="B57:G57"/>
    <mergeCell ref="L4:P4"/>
    <mergeCell ref="A1:U1"/>
    <mergeCell ref="A2:U2"/>
    <mergeCell ref="A3:U3"/>
    <mergeCell ref="S5:U5"/>
    <mergeCell ref="A7:G7"/>
    <mergeCell ref="A17:G17"/>
    <mergeCell ref="A30:G30"/>
    <mergeCell ref="A56:G56"/>
    <mergeCell ref="D714:G714"/>
    <mergeCell ref="D728:G728"/>
    <mergeCell ref="D760:G760"/>
    <mergeCell ref="D413:G413"/>
    <mergeCell ref="D493:F493"/>
    <mergeCell ref="D599:G599"/>
    <mergeCell ref="D616:G616"/>
    <mergeCell ref="D642:G642"/>
    <mergeCell ref="D690:G690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2E70-192A-44BF-940E-1ABF448918D4}">
  <sheetPr>
    <outlinePr summaryBelow="0" summaryRight="0"/>
  </sheetPr>
  <dimension ref="A1:U789"/>
  <sheetViews>
    <sheetView view="pageBreakPreview" zoomScale="60" zoomScaleNormal="100" workbookViewId="0">
      <pane xSplit="8" ySplit="6" topLeftCell="I538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style="511" customWidth="1"/>
    <col min="7" max="7" width="61.42578125" style="511" customWidth="1"/>
    <col min="8" max="8" width="9.42578125" style="511" customWidth="1"/>
    <col min="9" max="11" width="15.140625" style="511" customWidth="1"/>
    <col min="12" max="14" width="21.28515625" style="511" bestFit="1" customWidth="1"/>
    <col min="15" max="15" width="19.28515625" style="511" bestFit="1" customWidth="1"/>
    <col min="16" max="16" width="20.85546875" style="511" bestFit="1" customWidth="1"/>
    <col min="17" max="18" width="21.28515625" style="511" bestFit="1" customWidth="1"/>
    <col min="19" max="19" width="18.7109375" style="511" bestFit="1" customWidth="1"/>
    <col min="20" max="20" width="19.28515625" style="511" bestFit="1" customWidth="1"/>
    <col min="21" max="21" width="20.85546875" style="511" bestFit="1" customWidth="1"/>
    <col min="22" max="16384" width="12.5703125" style="511"/>
  </cols>
  <sheetData>
    <row r="1" spans="1:21" ht="15.75" customHeight="1" x14ac:dyDescent="0.3">
      <c r="A1" s="1321" t="s">
        <v>0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  <c r="R1" s="1321"/>
      <c r="S1" s="1321"/>
      <c r="T1" s="1321"/>
      <c r="U1" s="1321"/>
    </row>
    <row r="2" spans="1:21" ht="15.75" customHeight="1" x14ac:dyDescent="0.3">
      <c r="A2" s="1321" t="s">
        <v>331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</row>
    <row r="3" spans="1:21" ht="15.75" customHeight="1" x14ac:dyDescent="0.3">
      <c r="A3" s="1321" t="s">
        <v>350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</row>
    <row r="4" spans="1:21" ht="15.75" customHeight="1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4"/>
      <c r="K4" s="515"/>
      <c r="L4" s="1323" t="s">
        <v>2</v>
      </c>
      <c r="M4" s="1314"/>
      <c r="N4" s="1314"/>
      <c r="O4" s="1314"/>
      <c r="P4" s="1317"/>
      <c r="Q4" s="1324" t="s">
        <v>3</v>
      </c>
      <c r="R4" s="1314"/>
      <c r="S4" s="1314"/>
      <c r="T4" s="1314"/>
      <c r="U4" s="1317"/>
    </row>
    <row r="5" spans="1:21" ht="15.75" customHeight="1" x14ac:dyDescent="0.3">
      <c r="A5" s="1325" t="s">
        <v>4</v>
      </c>
      <c r="B5" s="1322"/>
      <c r="C5" s="1322"/>
      <c r="D5" s="1322"/>
      <c r="E5" s="1322"/>
      <c r="F5" s="1322"/>
      <c r="G5" s="1326"/>
      <c r="H5" s="1243" t="s">
        <v>5</v>
      </c>
      <c r="I5" s="1328" t="s">
        <v>6</v>
      </c>
      <c r="J5" s="1314"/>
      <c r="K5" s="1317"/>
      <c r="L5" s="1329" t="s">
        <v>7</v>
      </c>
      <c r="M5" s="1317"/>
      <c r="N5" s="1330" t="s">
        <v>8</v>
      </c>
      <c r="O5" s="1314"/>
      <c r="P5" s="1317"/>
      <c r="Q5" s="1331" t="s">
        <v>7</v>
      </c>
      <c r="R5" s="1317"/>
      <c r="S5" s="1330" t="s">
        <v>8</v>
      </c>
      <c r="T5" s="1314"/>
      <c r="U5" s="1317"/>
    </row>
    <row r="6" spans="1:21" ht="15.75" customHeight="1" x14ac:dyDescent="0.3">
      <c r="A6" s="1327"/>
      <c r="B6" s="1314"/>
      <c r="C6" s="1314"/>
      <c r="D6" s="1314"/>
      <c r="E6" s="1314"/>
      <c r="F6" s="1314"/>
      <c r="G6" s="1317"/>
      <c r="H6" s="1244"/>
      <c r="I6" s="518" t="s">
        <v>9</v>
      </c>
      <c r="J6" s="519" t="s">
        <v>10</v>
      </c>
      <c r="K6" s="518" t="s">
        <v>11</v>
      </c>
      <c r="L6" s="520" t="s">
        <v>12</v>
      </c>
      <c r="M6" s="521" t="s">
        <v>13</v>
      </c>
      <c r="N6" s="522" t="s">
        <v>14</v>
      </c>
      <c r="O6" s="523" t="s">
        <v>15</v>
      </c>
      <c r="P6" s="524" t="s">
        <v>16</v>
      </c>
      <c r="Q6" s="525" t="s">
        <v>12</v>
      </c>
      <c r="R6" s="521" t="s">
        <v>13</v>
      </c>
      <c r="S6" s="522" t="s">
        <v>14</v>
      </c>
      <c r="T6" s="523" t="s">
        <v>15</v>
      </c>
      <c r="U6" s="524" t="s">
        <v>16</v>
      </c>
    </row>
    <row r="7" spans="1:21" ht="12.75" hidden="1" x14ac:dyDescent="0.2">
      <c r="A7" s="1316"/>
      <c r="B7" s="1314"/>
      <c r="C7" s="1314"/>
      <c r="D7" s="1314"/>
      <c r="E7" s="1314"/>
      <c r="F7" s="1314"/>
      <c r="G7" s="1317"/>
      <c r="H7" s="526"/>
      <c r="I7" s="527"/>
      <c r="J7" s="527"/>
      <c r="K7" s="528"/>
      <c r="L7" s="529"/>
      <c r="M7" s="528"/>
      <c r="N7" s="528"/>
      <c r="O7" s="528"/>
      <c r="P7" s="528"/>
      <c r="Q7" s="528"/>
      <c r="R7" s="528"/>
      <c r="S7" s="528"/>
      <c r="T7" s="528"/>
      <c r="U7" s="528"/>
    </row>
    <row r="8" spans="1:21" ht="12.75" hidden="1" x14ac:dyDescent="0.2">
      <c r="A8" s="530"/>
      <c r="B8" s="531"/>
      <c r="C8" s="531"/>
      <c r="D8" s="531"/>
      <c r="E8" s="531"/>
      <c r="F8" s="531"/>
      <c r="G8" s="532"/>
      <c r="H8" s="532"/>
      <c r="I8" s="533"/>
      <c r="J8" s="533"/>
      <c r="K8" s="534"/>
      <c r="L8" s="535"/>
      <c r="M8" s="534"/>
      <c r="N8" s="534"/>
      <c r="O8" s="534"/>
      <c r="P8" s="534"/>
      <c r="Q8" s="534"/>
      <c r="R8" s="534"/>
      <c r="S8" s="534"/>
      <c r="T8" s="534"/>
      <c r="U8" s="534"/>
    </row>
    <row r="9" spans="1:21" ht="12.75" hidden="1" x14ac:dyDescent="0.2">
      <c r="A9" s="530"/>
      <c r="B9" s="531"/>
      <c r="C9" s="531"/>
      <c r="D9" s="531"/>
      <c r="E9" s="531"/>
      <c r="F9" s="531"/>
      <c r="G9" s="532"/>
      <c r="H9" s="532"/>
      <c r="I9" s="533"/>
      <c r="J9" s="533"/>
      <c r="K9" s="534"/>
      <c r="L9" s="535"/>
      <c r="M9" s="534"/>
      <c r="N9" s="534"/>
      <c r="O9" s="534"/>
      <c r="P9" s="534"/>
      <c r="Q9" s="534"/>
      <c r="R9" s="534"/>
      <c r="S9" s="534"/>
      <c r="T9" s="534"/>
      <c r="U9" s="534"/>
    </row>
    <row r="10" spans="1:21" ht="12.75" hidden="1" x14ac:dyDescent="0.2">
      <c r="A10" s="530"/>
      <c r="B10" s="531"/>
      <c r="C10" s="531"/>
      <c r="D10" s="531"/>
      <c r="E10" s="531"/>
      <c r="F10" s="531"/>
      <c r="G10" s="532"/>
      <c r="H10" s="532"/>
      <c r="I10" s="533"/>
      <c r="J10" s="533"/>
      <c r="K10" s="534"/>
      <c r="L10" s="535"/>
      <c r="M10" s="534"/>
      <c r="N10" s="534"/>
      <c r="O10" s="534"/>
      <c r="P10" s="534"/>
      <c r="Q10" s="534"/>
      <c r="R10" s="534"/>
      <c r="S10" s="534"/>
      <c r="T10" s="534"/>
      <c r="U10" s="534"/>
    </row>
    <row r="11" spans="1:21" ht="12.75" hidden="1" x14ac:dyDescent="0.2">
      <c r="A11" s="530"/>
      <c r="B11" s="531"/>
      <c r="C11" s="531"/>
      <c r="D11" s="531"/>
      <c r="E11" s="531"/>
      <c r="F11" s="531"/>
      <c r="G11" s="532"/>
      <c r="H11" s="532"/>
      <c r="I11" s="533"/>
      <c r="J11" s="533"/>
      <c r="K11" s="534"/>
      <c r="L11" s="535"/>
      <c r="M11" s="534"/>
      <c r="N11" s="534"/>
      <c r="O11" s="534"/>
      <c r="P11" s="534"/>
      <c r="Q11" s="534"/>
      <c r="R11" s="534"/>
      <c r="S11" s="534"/>
      <c r="T11" s="534"/>
      <c r="U11" s="534"/>
    </row>
    <row r="12" spans="1:21" ht="12.75" hidden="1" x14ac:dyDescent="0.2">
      <c r="A12" s="530"/>
      <c r="B12" s="531"/>
      <c r="C12" s="531"/>
      <c r="D12" s="531"/>
      <c r="E12" s="531"/>
      <c r="F12" s="531"/>
      <c r="G12" s="532"/>
      <c r="H12" s="532"/>
      <c r="I12" s="533"/>
      <c r="J12" s="533"/>
      <c r="K12" s="534"/>
      <c r="L12" s="535"/>
      <c r="M12" s="534"/>
      <c r="N12" s="534"/>
      <c r="O12" s="534"/>
      <c r="P12" s="534"/>
      <c r="Q12" s="534"/>
      <c r="R12" s="534"/>
      <c r="S12" s="534"/>
      <c r="T12" s="534"/>
      <c r="U12" s="534"/>
    </row>
    <row r="13" spans="1:21" ht="12.75" hidden="1" x14ac:dyDescent="0.2">
      <c r="A13" s="530"/>
      <c r="B13" s="531"/>
      <c r="C13" s="531"/>
      <c r="D13" s="531"/>
      <c r="E13" s="531"/>
      <c r="F13" s="531"/>
      <c r="G13" s="532"/>
      <c r="H13" s="532"/>
      <c r="I13" s="533"/>
      <c r="J13" s="533"/>
      <c r="K13" s="534"/>
      <c r="L13" s="535"/>
      <c r="M13" s="534"/>
      <c r="N13" s="534"/>
      <c r="O13" s="534"/>
      <c r="P13" s="534"/>
      <c r="Q13" s="534"/>
      <c r="R13" s="534"/>
      <c r="S13" s="534"/>
      <c r="T13" s="534"/>
      <c r="U13" s="534"/>
    </row>
    <row r="14" spans="1:21" ht="12.75" hidden="1" x14ac:dyDescent="0.2">
      <c r="A14" s="530"/>
      <c r="B14" s="531"/>
      <c r="C14" s="531"/>
      <c r="D14" s="531"/>
      <c r="E14" s="531"/>
      <c r="F14" s="531"/>
      <c r="G14" s="532"/>
      <c r="H14" s="532"/>
      <c r="I14" s="533"/>
      <c r="J14" s="533"/>
      <c r="K14" s="534"/>
      <c r="L14" s="535"/>
      <c r="M14" s="534"/>
      <c r="N14" s="534"/>
      <c r="O14" s="534"/>
      <c r="P14" s="534"/>
      <c r="Q14" s="534"/>
      <c r="R14" s="534"/>
      <c r="S14" s="534"/>
      <c r="T14" s="534"/>
      <c r="U14" s="534"/>
    </row>
    <row r="15" spans="1:21" ht="12.75" hidden="1" x14ac:dyDescent="0.2">
      <c r="A15" s="530"/>
      <c r="B15" s="531"/>
      <c r="C15" s="531"/>
      <c r="D15" s="531"/>
      <c r="E15" s="531"/>
      <c r="F15" s="531"/>
      <c r="G15" s="532"/>
      <c r="H15" s="532"/>
      <c r="I15" s="533"/>
      <c r="J15" s="533"/>
      <c r="K15" s="534"/>
      <c r="L15" s="535"/>
      <c r="M15" s="534"/>
      <c r="N15" s="534"/>
      <c r="O15" s="534"/>
      <c r="P15" s="534"/>
      <c r="Q15" s="534"/>
      <c r="R15" s="534"/>
      <c r="S15" s="534"/>
      <c r="T15" s="534"/>
      <c r="U15" s="534"/>
    </row>
    <row r="16" spans="1:21" ht="12.75" hidden="1" x14ac:dyDescent="0.2">
      <c r="A16" s="536"/>
      <c r="B16" s="537"/>
      <c r="C16" s="537"/>
      <c r="D16" s="537"/>
      <c r="E16" s="537"/>
      <c r="F16" s="537"/>
      <c r="G16" s="526"/>
      <c r="H16" s="526"/>
      <c r="I16" s="527"/>
      <c r="J16" s="527"/>
      <c r="K16" s="528"/>
      <c r="L16" s="529"/>
      <c r="M16" s="528"/>
      <c r="N16" s="528"/>
      <c r="O16" s="528"/>
      <c r="P16" s="528"/>
      <c r="Q16" s="528"/>
      <c r="R16" s="528"/>
      <c r="S16" s="528"/>
      <c r="T16" s="528"/>
      <c r="U16" s="528"/>
    </row>
    <row r="17" spans="1:21" ht="15.75" customHeight="1" x14ac:dyDescent="0.3">
      <c r="A17" s="1318" t="s">
        <v>298</v>
      </c>
      <c r="B17" s="1314"/>
      <c r="C17" s="1314"/>
      <c r="D17" s="1314"/>
      <c r="E17" s="1314"/>
      <c r="F17" s="1314"/>
      <c r="G17" s="1317"/>
      <c r="H17" s="538"/>
      <c r="I17" s="539"/>
      <c r="J17" s="539"/>
      <c r="K17" s="540"/>
      <c r="L17" s="541"/>
      <c r="M17" s="540"/>
      <c r="N17" s="540"/>
      <c r="O17" s="540"/>
      <c r="P17" s="540"/>
      <c r="Q17" s="540"/>
      <c r="R17" s="540"/>
      <c r="S17" s="540"/>
      <c r="T17" s="540"/>
      <c r="U17" s="540"/>
    </row>
    <row r="18" spans="1:21" ht="15.75" customHeight="1" x14ac:dyDescent="0.3">
      <c r="A18" s="542"/>
      <c r="B18" s="543"/>
      <c r="C18" s="544" t="s">
        <v>18</v>
      </c>
      <c r="D18" s="545" t="s">
        <v>19</v>
      </c>
      <c r="E18" s="543"/>
      <c r="F18" s="543"/>
      <c r="G18" s="546"/>
      <c r="H18" s="547" t="s">
        <v>14</v>
      </c>
      <c r="I18" s="548"/>
      <c r="J18" s="548"/>
      <c r="K18" s="549"/>
      <c r="L18" s="550">
        <f t="shared" ref="L18:N18" ca="1" si="0">L19+L20</f>
        <v>3330600</v>
      </c>
      <c r="M18" s="551">
        <f t="shared" ca="1" si="0"/>
        <v>3681020</v>
      </c>
      <c r="N18" s="551">
        <f t="shared" ca="1" si="0"/>
        <v>2351518.54</v>
      </c>
      <c r="O18" s="551">
        <f t="shared" ref="O18:O26" ca="1" si="1">IF(L18&gt;0,N18*100/L18,0)</f>
        <v>70.603451029844479</v>
      </c>
      <c r="P18" s="551">
        <f t="shared" ref="P18:P26" ca="1" si="2">IF(M18&gt;0,N18*100/M18,0)</f>
        <v>63.882253831818353</v>
      </c>
      <c r="Q18" s="551">
        <f t="shared" ref="Q18:S18" ca="1" si="3">Q19+Q20</f>
        <v>2808702.24</v>
      </c>
      <c r="R18" s="551">
        <f t="shared" ca="1" si="3"/>
        <v>2775002</v>
      </c>
      <c r="S18" s="551">
        <f t="shared" ca="1" si="3"/>
        <v>659936.5</v>
      </c>
      <c r="T18" s="551">
        <f t="shared" ref="T18:T26" ca="1" si="4">IF(Q18&gt;0,S18*100/Q18,0)</f>
        <v>23.496136066028843</v>
      </c>
      <c r="U18" s="551">
        <f t="shared" ref="U18:U26" ca="1" si="5">IF(R18&gt;0,S18*100/R18,0)</f>
        <v>23.781478355691274</v>
      </c>
    </row>
    <row r="19" spans="1:21" ht="15.75" customHeight="1" x14ac:dyDescent="0.25">
      <c r="A19" s="542"/>
      <c r="B19" s="543"/>
      <c r="C19" s="543"/>
      <c r="D19" s="543"/>
      <c r="E19" s="552" t="s">
        <v>20</v>
      </c>
      <c r="F19" s="543"/>
      <c r="G19" s="546"/>
      <c r="H19" s="553" t="s">
        <v>14</v>
      </c>
      <c r="I19" s="548"/>
      <c r="J19" s="548"/>
      <c r="K19" s="549"/>
      <c r="L19" s="554">
        <f t="shared" ref="L19:N20" si="6">L22+L25</f>
        <v>0</v>
      </c>
      <c r="M19" s="555">
        <f t="shared" si="6"/>
        <v>0</v>
      </c>
      <c r="N19" s="555">
        <f t="shared" si="6"/>
        <v>0</v>
      </c>
      <c r="O19" s="555">
        <f t="shared" si="1"/>
        <v>0</v>
      </c>
      <c r="P19" s="555">
        <f t="shared" si="2"/>
        <v>0</v>
      </c>
      <c r="Q19" s="555">
        <f t="shared" ref="Q19:S20" si="7">Q22+Q25</f>
        <v>0</v>
      </c>
      <c r="R19" s="555">
        <f t="shared" si="7"/>
        <v>0</v>
      </c>
      <c r="S19" s="555">
        <f t="shared" si="7"/>
        <v>0</v>
      </c>
      <c r="T19" s="555">
        <f t="shared" si="4"/>
        <v>0</v>
      </c>
      <c r="U19" s="555">
        <f t="shared" si="5"/>
        <v>0</v>
      </c>
    </row>
    <row r="20" spans="1:21" ht="15.75" customHeight="1" x14ac:dyDescent="0.25">
      <c r="A20" s="542"/>
      <c r="B20" s="543"/>
      <c r="C20" s="543"/>
      <c r="D20" s="543"/>
      <c r="E20" s="556" t="s">
        <v>21</v>
      </c>
      <c r="F20" s="543"/>
      <c r="G20" s="546"/>
      <c r="H20" s="557" t="s">
        <v>14</v>
      </c>
      <c r="I20" s="548"/>
      <c r="J20" s="548"/>
      <c r="K20" s="549"/>
      <c r="L20" s="558">
        <f t="shared" ca="1" si="6"/>
        <v>3330600</v>
      </c>
      <c r="M20" s="559">
        <f t="shared" ca="1" si="6"/>
        <v>3681020</v>
      </c>
      <c r="N20" s="559">
        <f t="shared" ca="1" si="6"/>
        <v>2351518.54</v>
      </c>
      <c r="O20" s="559">
        <f t="shared" ca="1" si="1"/>
        <v>70.603451029844479</v>
      </c>
      <c r="P20" s="559">
        <f t="shared" ca="1" si="2"/>
        <v>63.882253831818353</v>
      </c>
      <c r="Q20" s="559">
        <f t="shared" ca="1" si="7"/>
        <v>2808702.24</v>
      </c>
      <c r="R20" s="559">
        <f t="shared" ca="1" si="7"/>
        <v>2775002</v>
      </c>
      <c r="S20" s="559">
        <f t="shared" ca="1" si="7"/>
        <v>659936.5</v>
      </c>
      <c r="T20" s="559">
        <f t="shared" ca="1" si="4"/>
        <v>23.496136066028843</v>
      </c>
      <c r="U20" s="559">
        <f t="shared" ca="1" si="5"/>
        <v>23.781478355691274</v>
      </c>
    </row>
    <row r="21" spans="1:21" ht="15.75" customHeight="1" x14ac:dyDescent="0.25">
      <c r="A21" s="560"/>
      <c r="B21" s="561"/>
      <c r="C21" s="561"/>
      <c r="D21" s="562" t="s">
        <v>22</v>
      </c>
      <c r="E21" s="561"/>
      <c r="F21" s="561"/>
      <c r="G21" s="563"/>
      <c r="H21" s="564" t="s">
        <v>14</v>
      </c>
      <c r="I21" s="565"/>
      <c r="J21" s="565"/>
      <c r="K21" s="566"/>
      <c r="L21" s="567">
        <f t="shared" ref="L21:N21" ca="1" si="8">L22+L23</f>
        <v>3330600</v>
      </c>
      <c r="M21" s="568">
        <f t="shared" ca="1" si="8"/>
        <v>3681020</v>
      </c>
      <c r="N21" s="568">
        <f t="shared" ca="1" si="8"/>
        <v>2351518.54</v>
      </c>
      <c r="O21" s="568">
        <f t="shared" ca="1" si="1"/>
        <v>70.603451029844479</v>
      </c>
      <c r="P21" s="568">
        <f t="shared" ca="1" si="2"/>
        <v>63.882253831818353</v>
      </c>
      <c r="Q21" s="568">
        <f t="shared" ref="Q21:S21" ca="1" si="9">Q22+Q23</f>
        <v>2808702.24</v>
      </c>
      <c r="R21" s="568">
        <f t="shared" ca="1" si="9"/>
        <v>2775002</v>
      </c>
      <c r="S21" s="568">
        <f t="shared" ca="1" si="9"/>
        <v>659936.5</v>
      </c>
      <c r="T21" s="568">
        <f t="shared" ca="1" si="4"/>
        <v>23.496136066028843</v>
      </c>
      <c r="U21" s="568">
        <f t="shared" ca="1" si="5"/>
        <v>23.781478355691274</v>
      </c>
    </row>
    <row r="22" spans="1:21" ht="15.75" customHeight="1" x14ac:dyDescent="0.25">
      <c r="A22" s="560"/>
      <c r="B22" s="561"/>
      <c r="C22" s="561"/>
      <c r="D22" s="561"/>
      <c r="E22" s="569" t="s">
        <v>20</v>
      </c>
      <c r="F22" s="561"/>
      <c r="G22" s="563"/>
      <c r="H22" s="570" t="s">
        <v>14</v>
      </c>
      <c r="I22" s="565"/>
      <c r="J22" s="565"/>
      <c r="K22" s="566"/>
      <c r="L22" s="571">
        <f t="shared" ref="L22:N23" si="10">L48+L63+L76+L98+L129+L143+L161+L190+L177+L270+L286+L307+L324+L337+L360+L517</f>
        <v>0</v>
      </c>
      <c r="M22" s="572">
        <f t="shared" si="10"/>
        <v>0</v>
      </c>
      <c r="N22" s="572">
        <f t="shared" si="10"/>
        <v>0</v>
      </c>
      <c r="O22" s="572">
        <f t="shared" si="1"/>
        <v>0</v>
      </c>
      <c r="P22" s="572">
        <f t="shared" si="2"/>
        <v>0</v>
      </c>
      <c r="Q22" s="572">
        <f t="shared" ref="Q22:S23" si="11">Q76+Q98+Q121+Q143+Q161+Q177+Q190+Q270+Q286+Q307+Q337+Q379+Q396+Q417+Q497+Q603+Q620+Q646+Q694+Q718+Q732+Q764</f>
        <v>0</v>
      </c>
      <c r="R22" s="572">
        <f t="shared" si="11"/>
        <v>0</v>
      </c>
      <c r="S22" s="572">
        <f t="shared" si="11"/>
        <v>0</v>
      </c>
      <c r="T22" s="572">
        <f t="shared" si="4"/>
        <v>0</v>
      </c>
      <c r="U22" s="572">
        <f t="shared" si="5"/>
        <v>0</v>
      </c>
    </row>
    <row r="23" spans="1:21" ht="15.75" customHeight="1" x14ac:dyDescent="0.25">
      <c r="A23" s="560"/>
      <c r="B23" s="561"/>
      <c r="C23" s="561"/>
      <c r="D23" s="561"/>
      <c r="E23" s="573" t="s">
        <v>21</v>
      </c>
      <c r="F23" s="561"/>
      <c r="G23" s="563"/>
      <c r="H23" s="564" t="s">
        <v>14</v>
      </c>
      <c r="I23" s="565"/>
      <c r="J23" s="565"/>
      <c r="K23" s="566"/>
      <c r="L23" s="567">
        <f t="shared" ca="1" si="10"/>
        <v>3330600</v>
      </c>
      <c r="M23" s="568">
        <f t="shared" ca="1" si="10"/>
        <v>3681020</v>
      </c>
      <c r="N23" s="568">
        <f t="shared" ca="1" si="10"/>
        <v>2351518.54</v>
      </c>
      <c r="O23" s="568">
        <f t="shared" ca="1" si="1"/>
        <v>70.603451029844479</v>
      </c>
      <c r="P23" s="568">
        <f t="shared" ca="1" si="2"/>
        <v>63.882253831818353</v>
      </c>
      <c r="Q23" s="568">
        <f t="shared" ca="1" si="11"/>
        <v>2808702.24</v>
      </c>
      <c r="R23" s="568">
        <f t="shared" ca="1" si="11"/>
        <v>2775002</v>
      </c>
      <c r="S23" s="568">
        <f t="shared" ca="1" si="11"/>
        <v>659936.5</v>
      </c>
      <c r="T23" s="568">
        <f t="shared" ca="1" si="4"/>
        <v>23.496136066028843</v>
      </c>
      <c r="U23" s="568">
        <f t="shared" ca="1" si="5"/>
        <v>23.781478355691274</v>
      </c>
    </row>
    <row r="24" spans="1:21" ht="15.75" customHeight="1" x14ac:dyDescent="0.25">
      <c r="A24" s="560"/>
      <c r="B24" s="561"/>
      <c r="C24" s="561"/>
      <c r="D24" s="562" t="s">
        <v>23</v>
      </c>
      <c r="E24" s="561"/>
      <c r="F24" s="561"/>
      <c r="G24" s="563"/>
      <c r="H24" s="564" t="s">
        <v>14</v>
      </c>
      <c r="I24" s="565"/>
      <c r="J24" s="565"/>
      <c r="K24" s="566"/>
      <c r="L24" s="567">
        <f t="shared" ref="L24:N24" ca="1" si="12">L25+L26</f>
        <v>0</v>
      </c>
      <c r="M24" s="568">
        <f t="shared" ca="1" si="12"/>
        <v>0</v>
      </c>
      <c r="N24" s="568">
        <f t="shared" ca="1" si="12"/>
        <v>0</v>
      </c>
      <c r="O24" s="568">
        <f t="shared" ca="1" si="1"/>
        <v>0</v>
      </c>
      <c r="P24" s="568">
        <f t="shared" ca="1" si="2"/>
        <v>0</v>
      </c>
      <c r="Q24" s="568">
        <f t="shared" ref="Q24:S24" ca="1" si="13">Q25+Q26</f>
        <v>0</v>
      </c>
      <c r="R24" s="568">
        <f t="shared" ca="1" si="13"/>
        <v>0</v>
      </c>
      <c r="S24" s="568">
        <f t="shared" ca="1" si="13"/>
        <v>0</v>
      </c>
      <c r="T24" s="568">
        <f t="shared" ca="1" si="4"/>
        <v>0</v>
      </c>
      <c r="U24" s="568">
        <f t="shared" ca="1" si="5"/>
        <v>0</v>
      </c>
    </row>
    <row r="25" spans="1:21" ht="15.75" customHeight="1" x14ac:dyDescent="0.25">
      <c r="A25" s="560"/>
      <c r="B25" s="561"/>
      <c r="C25" s="561"/>
      <c r="D25" s="561"/>
      <c r="E25" s="569" t="s">
        <v>20</v>
      </c>
      <c r="F25" s="561"/>
      <c r="G25" s="563"/>
      <c r="H25" s="570" t="s">
        <v>14</v>
      </c>
      <c r="I25" s="565"/>
      <c r="J25" s="565"/>
      <c r="K25" s="566"/>
      <c r="L25" s="571">
        <f t="shared" ref="L25:N26" si="14">L51+L66+L79+L101+L132+L146+L164+L193+L180+L273+L289+L310+L327+L340+L363+L520</f>
        <v>0</v>
      </c>
      <c r="M25" s="572">
        <f t="shared" si="14"/>
        <v>0</v>
      </c>
      <c r="N25" s="572">
        <f t="shared" si="14"/>
        <v>0</v>
      </c>
      <c r="O25" s="572">
        <f t="shared" si="1"/>
        <v>0</v>
      </c>
      <c r="P25" s="572">
        <f t="shared" si="2"/>
        <v>0</v>
      </c>
      <c r="Q25" s="572">
        <f t="shared" ref="Q25:S26" si="15">Q79+Q101+Q124+Q146+Q164+Q180+Q193+Q273+Q289+Q310+Q340+Q382+Q399+Q420+Q500+Q606+Q623+Q649+Q697+Q721+Q735+Q767</f>
        <v>0</v>
      </c>
      <c r="R25" s="572">
        <f t="shared" si="15"/>
        <v>0</v>
      </c>
      <c r="S25" s="572">
        <f t="shared" si="15"/>
        <v>0</v>
      </c>
      <c r="T25" s="572">
        <f t="shared" si="4"/>
        <v>0</v>
      </c>
      <c r="U25" s="572">
        <f t="shared" si="5"/>
        <v>0</v>
      </c>
    </row>
    <row r="26" spans="1:21" ht="15.75" customHeight="1" x14ac:dyDescent="0.25">
      <c r="A26" s="560"/>
      <c r="B26" s="561"/>
      <c r="C26" s="561"/>
      <c r="D26" s="561"/>
      <c r="E26" s="573" t="s">
        <v>21</v>
      </c>
      <c r="F26" s="561"/>
      <c r="G26" s="563"/>
      <c r="H26" s="564" t="s">
        <v>14</v>
      </c>
      <c r="I26" s="565"/>
      <c r="J26" s="565"/>
      <c r="K26" s="566"/>
      <c r="L26" s="567">
        <f t="shared" ca="1" si="14"/>
        <v>0</v>
      </c>
      <c r="M26" s="568">
        <f t="shared" ca="1" si="14"/>
        <v>0</v>
      </c>
      <c r="N26" s="568">
        <f t="shared" ca="1" si="14"/>
        <v>0</v>
      </c>
      <c r="O26" s="568">
        <f t="shared" ca="1" si="1"/>
        <v>0</v>
      </c>
      <c r="P26" s="568">
        <f t="shared" ca="1" si="2"/>
        <v>0</v>
      </c>
      <c r="Q26" s="572">
        <f t="shared" ca="1" si="15"/>
        <v>0</v>
      </c>
      <c r="R26" s="572">
        <f t="shared" ca="1" si="15"/>
        <v>0</v>
      </c>
      <c r="S26" s="572">
        <f t="shared" ca="1" si="15"/>
        <v>0</v>
      </c>
      <c r="T26" s="568">
        <f t="shared" ca="1" si="4"/>
        <v>0</v>
      </c>
      <c r="U26" s="568">
        <f t="shared" ca="1" si="5"/>
        <v>0</v>
      </c>
    </row>
    <row r="27" spans="1:21" ht="15.75" customHeight="1" x14ac:dyDescent="0.25">
      <c r="A27" s="560"/>
      <c r="B27" s="561"/>
      <c r="C27" s="561"/>
      <c r="D27" s="562" t="s">
        <v>24</v>
      </c>
      <c r="E27" s="561"/>
      <c r="F27" s="561"/>
      <c r="G27" s="563"/>
      <c r="H27" s="564" t="s">
        <v>14</v>
      </c>
      <c r="I27" s="565"/>
      <c r="J27" s="565"/>
      <c r="K27" s="566"/>
      <c r="L27" s="574"/>
      <c r="M27" s="566"/>
      <c r="N27" s="566"/>
      <c r="O27" s="566"/>
      <c r="P27" s="566"/>
      <c r="Q27" s="566"/>
      <c r="R27" s="566"/>
      <c r="S27" s="566"/>
      <c r="T27" s="566"/>
      <c r="U27" s="566"/>
    </row>
    <row r="28" spans="1:21" ht="15.75" customHeight="1" x14ac:dyDescent="0.25">
      <c r="A28" s="560"/>
      <c r="B28" s="561"/>
      <c r="C28" s="561"/>
      <c r="D28" s="561"/>
      <c r="E28" s="569" t="s">
        <v>20</v>
      </c>
      <c r="F28" s="561"/>
      <c r="G28" s="563"/>
      <c r="H28" s="570" t="s">
        <v>14</v>
      </c>
      <c r="I28" s="565"/>
      <c r="J28" s="565"/>
      <c r="K28" s="566"/>
      <c r="L28" s="574"/>
      <c r="M28" s="566"/>
      <c r="N28" s="566"/>
      <c r="O28" s="566"/>
      <c r="P28" s="566"/>
      <c r="Q28" s="566"/>
      <c r="R28" s="566"/>
      <c r="S28" s="566"/>
      <c r="T28" s="566"/>
      <c r="U28" s="566"/>
    </row>
    <row r="29" spans="1:21" ht="15.75" customHeight="1" x14ac:dyDescent="0.25">
      <c r="A29" s="575"/>
      <c r="B29" s="513"/>
      <c r="C29" s="513"/>
      <c r="D29" s="513"/>
      <c r="E29" s="576" t="s">
        <v>21</v>
      </c>
      <c r="F29" s="513"/>
      <c r="G29" s="577"/>
      <c r="H29" s="578" t="s">
        <v>14</v>
      </c>
      <c r="I29" s="579"/>
      <c r="J29" s="579"/>
      <c r="K29" s="580"/>
      <c r="L29" s="581"/>
      <c r="M29" s="580"/>
      <c r="N29" s="580"/>
      <c r="O29" s="580"/>
      <c r="P29" s="580"/>
      <c r="Q29" s="580"/>
      <c r="R29" s="580"/>
      <c r="S29" s="580"/>
      <c r="T29" s="580"/>
      <c r="U29" s="580"/>
    </row>
    <row r="30" spans="1:21" ht="12.75" hidden="1" x14ac:dyDescent="0.2">
      <c r="A30" s="1316"/>
      <c r="B30" s="1314"/>
      <c r="C30" s="1314"/>
      <c r="D30" s="1314"/>
      <c r="E30" s="1314"/>
      <c r="F30" s="1314"/>
      <c r="G30" s="1317"/>
      <c r="H30" s="526"/>
      <c r="I30" s="527"/>
      <c r="J30" s="527"/>
      <c r="K30" s="528"/>
      <c r="L30" s="529"/>
      <c r="M30" s="528"/>
      <c r="N30" s="528"/>
      <c r="O30" s="528"/>
      <c r="P30" s="528"/>
      <c r="Q30" s="528"/>
      <c r="R30" s="528"/>
      <c r="S30" s="528"/>
      <c r="T30" s="528"/>
      <c r="U30" s="528"/>
    </row>
    <row r="31" spans="1:21" ht="12.75" hidden="1" x14ac:dyDescent="0.2">
      <c r="A31" s="530"/>
      <c r="B31" s="531"/>
      <c r="C31" s="531"/>
      <c r="D31" s="531"/>
      <c r="E31" s="531"/>
      <c r="F31" s="531"/>
      <c r="G31" s="532"/>
      <c r="H31" s="532"/>
      <c r="I31" s="533"/>
      <c r="J31" s="533"/>
      <c r="K31" s="534"/>
      <c r="L31" s="535"/>
      <c r="M31" s="534"/>
      <c r="N31" s="534"/>
      <c r="O31" s="534"/>
      <c r="P31" s="534"/>
      <c r="Q31" s="534"/>
      <c r="R31" s="534"/>
      <c r="S31" s="534"/>
      <c r="T31" s="534"/>
      <c r="U31" s="534"/>
    </row>
    <row r="32" spans="1:21" ht="12.75" hidden="1" x14ac:dyDescent="0.2">
      <c r="A32" s="530"/>
      <c r="B32" s="531"/>
      <c r="C32" s="531"/>
      <c r="D32" s="531"/>
      <c r="E32" s="531"/>
      <c r="F32" s="531"/>
      <c r="G32" s="532"/>
      <c r="H32" s="532"/>
      <c r="I32" s="533"/>
      <c r="J32" s="533"/>
      <c r="K32" s="534"/>
      <c r="L32" s="535"/>
      <c r="M32" s="534"/>
      <c r="N32" s="534"/>
      <c r="O32" s="534"/>
      <c r="P32" s="534"/>
      <c r="Q32" s="534"/>
      <c r="R32" s="534"/>
      <c r="S32" s="534"/>
      <c r="T32" s="534"/>
      <c r="U32" s="534"/>
    </row>
    <row r="33" spans="1:21" ht="12.75" hidden="1" x14ac:dyDescent="0.2">
      <c r="A33" s="530"/>
      <c r="B33" s="531"/>
      <c r="C33" s="531"/>
      <c r="D33" s="531"/>
      <c r="E33" s="531"/>
      <c r="F33" s="531"/>
      <c r="G33" s="532"/>
      <c r="H33" s="532"/>
      <c r="I33" s="533"/>
      <c r="J33" s="533"/>
      <c r="K33" s="534"/>
      <c r="L33" s="535"/>
      <c r="M33" s="534"/>
      <c r="N33" s="534"/>
      <c r="O33" s="534"/>
      <c r="P33" s="534"/>
      <c r="Q33" s="534"/>
      <c r="R33" s="534"/>
      <c r="S33" s="534"/>
      <c r="T33" s="534"/>
      <c r="U33" s="534"/>
    </row>
    <row r="34" spans="1:21" ht="12.75" hidden="1" x14ac:dyDescent="0.2">
      <c r="A34" s="530"/>
      <c r="B34" s="531"/>
      <c r="C34" s="531"/>
      <c r="D34" s="531"/>
      <c r="E34" s="531"/>
      <c r="F34" s="531"/>
      <c r="G34" s="532"/>
      <c r="H34" s="532"/>
      <c r="I34" s="533"/>
      <c r="J34" s="533"/>
      <c r="K34" s="534"/>
      <c r="L34" s="535"/>
      <c r="M34" s="534"/>
      <c r="N34" s="534"/>
      <c r="O34" s="534"/>
      <c r="P34" s="534"/>
      <c r="Q34" s="534"/>
      <c r="R34" s="534"/>
      <c r="S34" s="534"/>
      <c r="T34" s="534"/>
      <c r="U34" s="534"/>
    </row>
    <row r="35" spans="1:21" ht="12.75" hidden="1" x14ac:dyDescent="0.2">
      <c r="A35" s="530"/>
      <c r="B35" s="531"/>
      <c r="C35" s="531"/>
      <c r="D35" s="531"/>
      <c r="E35" s="531"/>
      <c r="F35" s="531"/>
      <c r="G35" s="532"/>
      <c r="H35" s="532"/>
      <c r="I35" s="533"/>
      <c r="J35" s="533"/>
      <c r="K35" s="534"/>
      <c r="L35" s="535"/>
      <c r="M35" s="534"/>
      <c r="N35" s="534"/>
      <c r="O35" s="534"/>
      <c r="P35" s="534"/>
      <c r="Q35" s="534"/>
      <c r="R35" s="534"/>
      <c r="S35" s="534"/>
      <c r="T35" s="534"/>
      <c r="U35" s="534"/>
    </row>
    <row r="36" spans="1:21" ht="12.75" hidden="1" x14ac:dyDescent="0.2">
      <c r="A36" s="530"/>
      <c r="B36" s="531"/>
      <c r="C36" s="531"/>
      <c r="D36" s="531"/>
      <c r="E36" s="531"/>
      <c r="F36" s="531"/>
      <c r="G36" s="532"/>
      <c r="H36" s="532"/>
      <c r="I36" s="533"/>
      <c r="J36" s="533"/>
      <c r="K36" s="534"/>
      <c r="L36" s="535"/>
      <c r="M36" s="534"/>
      <c r="N36" s="534"/>
      <c r="O36" s="534"/>
      <c r="P36" s="534"/>
      <c r="Q36" s="534"/>
      <c r="R36" s="534"/>
      <c r="S36" s="534"/>
      <c r="T36" s="534"/>
      <c r="U36" s="534"/>
    </row>
    <row r="37" spans="1:21" ht="12.75" hidden="1" x14ac:dyDescent="0.2">
      <c r="A37" s="530"/>
      <c r="B37" s="531"/>
      <c r="C37" s="531"/>
      <c r="D37" s="531"/>
      <c r="E37" s="531"/>
      <c r="F37" s="531"/>
      <c r="G37" s="532"/>
      <c r="H37" s="532"/>
      <c r="I37" s="533"/>
      <c r="J37" s="533"/>
      <c r="K37" s="534"/>
      <c r="L37" s="535"/>
      <c r="M37" s="534"/>
      <c r="N37" s="534"/>
      <c r="O37" s="534"/>
      <c r="P37" s="534"/>
      <c r="Q37" s="534"/>
      <c r="R37" s="534"/>
      <c r="S37" s="534"/>
      <c r="T37" s="534"/>
      <c r="U37" s="534"/>
    </row>
    <row r="38" spans="1:21" ht="12.75" hidden="1" x14ac:dyDescent="0.2">
      <c r="A38" s="530"/>
      <c r="B38" s="531"/>
      <c r="C38" s="531"/>
      <c r="D38" s="531"/>
      <c r="E38" s="531"/>
      <c r="F38" s="531"/>
      <c r="G38" s="532"/>
      <c r="H38" s="532"/>
      <c r="I38" s="533"/>
      <c r="J38" s="533"/>
      <c r="K38" s="534"/>
      <c r="L38" s="535"/>
      <c r="M38" s="534"/>
      <c r="N38" s="534"/>
      <c r="O38" s="534"/>
      <c r="P38" s="534"/>
      <c r="Q38" s="534"/>
      <c r="R38" s="534"/>
      <c r="S38" s="534"/>
      <c r="T38" s="534"/>
      <c r="U38" s="534"/>
    </row>
    <row r="39" spans="1:21" ht="12.75" hidden="1" x14ac:dyDescent="0.2">
      <c r="A39" s="536"/>
      <c r="B39" s="537"/>
      <c r="C39" s="537"/>
      <c r="D39" s="537"/>
      <c r="E39" s="537"/>
      <c r="F39" s="537"/>
      <c r="G39" s="526"/>
      <c r="H39" s="526"/>
      <c r="I39" s="527"/>
      <c r="J39" s="527"/>
      <c r="K39" s="528"/>
      <c r="L39" s="529"/>
      <c r="M39" s="528"/>
      <c r="N39" s="528"/>
      <c r="O39" s="528"/>
      <c r="P39" s="528"/>
      <c r="Q39" s="528"/>
      <c r="R39" s="528"/>
      <c r="S39" s="528"/>
      <c r="T39" s="528"/>
      <c r="U39" s="528"/>
    </row>
    <row r="40" spans="1:21" ht="19.5" x14ac:dyDescent="0.3">
      <c r="A40" s="582" t="s">
        <v>25</v>
      </c>
      <c r="B40" s="583"/>
      <c r="C40" s="583"/>
      <c r="D40" s="583"/>
      <c r="E40" s="583"/>
      <c r="F40" s="583"/>
      <c r="G40" s="584"/>
      <c r="H40" s="584"/>
      <c r="I40" s="585"/>
      <c r="J40" s="585"/>
      <c r="K40" s="586"/>
      <c r="L40" s="587">
        <f t="shared" ref="L40:N40" ca="1" si="16">L44+L59+L72+L94+L125+L139+L157+L173+L186+L266+L282+L303+L320+L333+L356</f>
        <v>3330600</v>
      </c>
      <c r="M40" s="588">
        <f t="shared" ca="1" si="16"/>
        <v>3681020</v>
      </c>
      <c r="N40" s="588">
        <f t="shared" ca="1" si="16"/>
        <v>2351518.54</v>
      </c>
      <c r="O40" s="588">
        <f ca="1">IF(L40&gt;0,N40*100/L40,0)</f>
        <v>70.603451029844479</v>
      </c>
      <c r="P40" s="588">
        <f ca="1">IF(M40&gt;0,N40*100/M40,0)</f>
        <v>63.882253831818353</v>
      </c>
      <c r="Q40" s="586"/>
      <c r="R40" s="586"/>
      <c r="S40" s="586"/>
      <c r="T40" s="586"/>
      <c r="U40" s="586"/>
    </row>
    <row r="41" spans="1:21" ht="19.5" x14ac:dyDescent="0.3">
      <c r="A41" s="589" t="s">
        <v>26</v>
      </c>
      <c r="B41" s="590"/>
      <c r="C41" s="590"/>
      <c r="D41" s="590"/>
      <c r="E41" s="590"/>
      <c r="F41" s="590"/>
      <c r="G41" s="590"/>
      <c r="H41" s="590"/>
      <c r="I41" s="591"/>
      <c r="J41" s="591"/>
      <c r="K41" s="592"/>
      <c r="L41" s="592"/>
      <c r="M41" s="592"/>
      <c r="N41" s="592"/>
      <c r="O41" s="592"/>
      <c r="P41" s="593"/>
      <c r="Q41" s="592"/>
      <c r="R41" s="592"/>
      <c r="S41" s="592"/>
      <c r="T41" s="592"/>
      <c r="U41" s="593"/>
    </row>
    <row r="42" spans="1:21" ht="19.5" x14ac:dyDescent="0.3">
      <c r="A42" s="594"/>
      <c r="B42" s="595" t="s">
        <v>27</v>
      </c>
      <c r="C42" s="594"/>
      <c r="D42" s="594"/>
      <c r="E42" s="594"/>
      <c r="F42" s="594"/>
      <c r="G42" s="596"/>
      <c r="H42" s="596"/>
      <c r="I42" s="597"/>
      <c r="J42" s="597"/>
      <c r="K42" s="598"/>
      <c r="L42" s="599"/>
      <c r="M42" s="598"/>
      <c r="N42" s="598"/>
      <c r="O42" s="598"/>
      <c r="P42" s="598"/>
      <c r="Q42" s="598"/>
      <c r="R42" s="598"/>
      <c r="S42" s="598"/>
      <c r="T42" s="598"/>
      <c r="U42" s="598"/>
    </row>
    <row r="43" spans="1:21" ht="12.75" hidden="1" x14ac:dyDescent="0.2">
      <c r="A43" s="530"/>
      <c r="B43" s="531"/>
      <c r="C43" s="531"/>
      <c r="D43" s="531"/>
      <c r="E43" s="531"/>
      <c r="F43" s="531"/>
      <c r="G43" s="532"/>
      <c r="H43" s="532"/>
      <c r="I43" s="533"/>
      <c r="J43" s="533"/>
      <c r="K43" s="534"/>
      <c r="L43" s="535"/>
      <c r="M43" s="534"/>
      <c r="N43" s="534"/>
      <c r="O43" s="534"/>
      <c r="P43" s="534"/>
      <c r="Q43" s="534"/>
      <c r="R43" s="534"/>
      <c r="S43" s="534"/>
      <c r="T43" s="534"/>
      <c r="U43" s="534"/>
    </row>
    <row r="44" spans="1:21" ht="19.5" x14ac:dyDescent="0.3">
      <c r="A44" s="600"/>
      <c r="B44" s="601"/>
      <c r="C44" s="602" t="s">
        <v>18</v>
      </c>
      <c r="D44" s="603" t="s">
        <v>19</v>
      </c>
      <c r="E44" s="601"/>
      <c r="F44" s="601"/>
      <c r="G44" s="604"/>
      <c r="H44" s="605" t="s">
        <v>14</v>
      </c>
      <c r="I44" s="606"/>
      <c r="J44" s="606"/>
      <c r="K44" s="607"/>
      <c r="L44" s="608">
        <f t="shared" ref="L44:N44" ca="1" si="17">L45+L46</f>
        <v>532000</v>
      </c>
      <c r="M44" s="609">
        <f t="shared" ca="1" si="17"/>
        <v>661675</v>
      </c>
      <c r="N44" s="609">
        <f t="shared" ca="1" si="17"/>
        <v>449525</v>
      </c>
      <c r="O44" s="609">
        <f t="shared" ref="O44:O52" ca="1" si="18">IF(L44&gt;0,N44*100/L44,0)</f>
        <v>84.497180451127818</v>
      </c>
      <c r="P44" s="609">
        <f t="shared" ref="P44:P52" ca="1" si="19">IF(M44&gt;0,N44*100/M44,0)</f>
        <v>67.937431518494733</v>
      </c>
      <c r="Q44" s="609">
        <f t="shared" ref="Q44:S44" si="20">Q45+Q46</f>
        <v>0</v>
      </c>
      <c r="R44" s="609">
        <f t="shared" si="20"/>
        <v>0</v>
      </c>
      <c r="S44" s="609">
        <f t="shared" si="20"/>
        <v>0</v>
      </c>
      <c r="T44" s="609">
        <f t="shared" ref="T44:T52" si="21">IF(Q44&gt;0,S44*100/Q44,0)</f>
        <v>0</v>
      </c>
      <c r="U44" s="609">
        <f t="shared" ref="U44:U52" si="22">IF(R44&gt;0,S44*100/R44,0)</f>
        <v>0</v>
      </c>
    </row>
    <row r="45" spans="1:21" ht="18.75" x14ac:dyDescent="0.25">
      <c r="A45" s="600"/>
      <c r="B45" s="601"/>
      <c r="C45" s="601"/>
      <c r="D45" s="601"/>
      <c r="E45" s="610" t="s">
        <v>20</v>
      </c>
      <c r="F45" s="601"/>
      <c r="G45" s="604"/>
      <c r="H45" s="611" t="s">
        <v>14</v>
      </c>
      <c r="I45" s="606"/>
      <c r="J45" s="606"/>
      <c r="K45" s="607"/>
      <c r="L45" s="612">
        <f t="shared" ref="L45:N46" si="23">L48+L51</f>
        <v>0</v>
      </c>
      <c r="M45" s="613">
        <f t="shared" si="23"/>
        <v>0</v>
      </c>
      <c r="N45" s="613">
        <f t="shared" si="23"/>
        <v>0</v>
      </c>
      <c r="O45" s="613">
        <f t="shared" si="18"/>
        <v>0</v>
      </c>
      <c r="P45" s="613">
        <f t="shared" si="19"/>
        <v>0</v>
      </c>
      <c r="Q45" s="613">
        <f t="shared" ref="Q45:S46" si="24">Q48+Q51</f>
        <v>0</v>
      </c>
      <c r="R45" s="613">
        <f t="shared" si="24"/>
        <v>0</v>
      </c>
      <c r="S45" s="613">
        <f t="shared" si="24"/>
        <v>0</v>
      </c>
      <c r="T45" s="613">
        <f t="shared" si="21"/>
        <v>0</v>
      </c>
      <c r="U45" s="613">
        <f t="shared" si="22"/>
        <v>0</v>
      </c>
    </row>
    <row r="46" spans="1:21" ht="18.75" x14ac:dyDescent="0.25">
      <c r="A46" s="600"/>
      <c r="B46" s="601"/>
      <c r="C46" s="601"/>
      <c r="D46" s="601"/>
      <c r="E46" s="614" t="s">
        <v>21</v>
      </c>
      <c r="F46" s="601"/>
      <c r="G46" s="604"/>
      <c r="H46" s="615" t="s">
        <v>14</v>
      </c>
      <c r="I46" s="606"/>
      <c r="J46" s="606"/>
      <c r="K46" s="607"/>
      <c r="L46" s="616">
        <f t="shared" ca="1" si="23"/>
        <v>532000</v>
      </c>
      <c r="M46" s="617">
        <f t="shared" ca="1" si="23"/>
        <v>661675</v>
      </c>
      <c r="N46" s="617">
        <f t="shared" ca="1" si="23"/>
        <v>449525</v>
      </c>
      <c r="O46" s="617">
        <f t="shared" ca="1" si="18"/>
        <v>84.497180451127818</v>
      </c>
      <c r="P46" s="617">
        <f t="shared" ca="1" si="19"/>
        <v>67.937431518494733</v>
      </c>
      <c r="Q46" s="617">
        <f t="shared" si="24"/>
        <v>0</v>
      </c>
      <c r="R46" s="617">
        <f t="shared" si="24"/>
        <v>0</v>
      </c>
      <c r="S46" s="617">
        <f t="shared" si="24"/>
        <v>0</v>
      </c>
      <c r="T46" s="617">
        <f t="shared" si="21"/>
        <v>0</v>
      </c>
      <c r="U46" s="617">
        <f t="shared" si="22"/>
        <v>0</v>
      </c>
    </row>
    <row r="47" spans="1:21" ht="18.75" x14ac:dyDescent="0.25">
      <c r="A47" s="560"/>
      <c r="B47" s="561"/>
      <c r="C47" s="561"/>
      <c r="D47" s="562" t="s">
        <v>22</v>
      </c>
      <c r="E47" s="561"/>
      <c r="F47" s="561"/>
      <c r="G47" s="563"/>
      <c r="H47" s="564" t="s">
        <v>14</v>
      </c>
      <c r="I47" s="565"/>
      <c r="J47" s="565"/>
      <c r="K47" s="566"/>
      <c r="L47" s="567">
        <f t="shared" ref="L47:N47" ca="1" si="25">L48+L49</f>
        <v>532000</v>
      </c>
      <c r="M47" s="568">
        <f t="shared" ca="1" si="25"/>
        <v>661675</v>
      </c>
      <c r="N47" s="568">
        <f t="shared" ca="1" si="25"/>
        <v>449525</v>
      </c>
      <c r="O47" s="568">
        <f t="shared" ca="1" si="18"/>
        <v>84.497180451127818</v>
      </c>
      <c r="P47" s="568">
        <f t="shared" ca="1" si="19"/>
        <v>67.937431518494733</v>
      </c>
      <c r="Q47" s="568">
        <f t="shared" ref="Q47:S47" si="26">Q48+Q49</f>
        <v>0</v>
      </c>
      <c r="R47" s="568">
        <f t="shared" si="26"/>
        <v>0</v>
      </c>
      <c r="S47" s="568">
        <f t="shared" si="26"/>
        <v>0</v>
      </c>
      <c r="T47" s="568">
        <f t="shared" si="21"/>
        <v>0</v>
      </c>
      <c r="U47" s="568">
        <f t="shared" si="22"/>
        <v>0</v>
      </c>
    </row>
    <row r="48" spans="1:21" ht="18.75" x14ac:dyDescent="0.25">
      <c r="A48" s="560"/>
      <c r="B48" s="561"/>
      <c r="C48" s="561"/>
      <c r="D48" s="561"/>
      <c r="E48" s="569" t="s">
        <v>20</v>
      </c>
      <c r="F48" s="561"/>
      <c r="G48" s="563"/>
      <c r="H48" s="570" t="s">
        <v>14</v>
      </c>
      <c r="I48" s="565"/>
      <c r="J48" s="565"/>
      <c r="K48" s="566"/>
      <c r="L48" s="571">
        <v>0</v>
      </c>
      <c r="M48" s="572">
        <v>0</v>
      </c>
      <c r="N48" s="572">
        <v>0</v>
      </c>
      <c r="O48" s="572">
        <f t="shared" si="18"/>
        <v>0</v>
      </c>
      <c r="P48" s="572">
        <f t="shared" si="19"/>
        <v>0</v>
      </c>
      <c r="Q48" s="572">
        <v>0</v>
      </c>
      <c r="R48" s="572">
        <v>0</v>
      </c>
      <c r="S48" s="572">
        <v>0</v>
      </c>
      <c r="T48" s="572">
        <f t="shared" si="21"/>
        <v>0</v>
      </c>
      <c r="U48" s="572">
        <f t="shared" si="22"/>
        <v>0</v>
      </c>
    </row>
    <row r="49" spans="1:21" ht="18.75" x14ac:dyDescent="0.25">
      <c r="A49" s="560"/>
      <c r="B49" s="561"/>
      <c r="C49" s="561"/>
      <c r="D49" s="561"/>
      <c r="E49" s="573" t="s">
        <v>21</v>
      </c>
      <c r="F49" s="561"/>
      <c r="G49" s="563"/>
      <c r="H49" s="564" t="s">
        <v>14</v>
      </c>
      <c r="I49" s="565"/>
      <c r="J49" s="565"/>
      <c r="K49" s="566"/>
      <c r="L49" s="567">
        <f ca="1">IFERROR(__xludf.DUMMYFUNCTION("IMPORTRANGE(""https://docs.google.com/spreadsheets/d/1-uDff_7J0KD5mKrp0Vvzr7lt3OU09vwQwhkpOPPYv2Y/edit?usp=sharing"",""งบพรบ!P23"")"),532000)</f>
        <v>532000</v>
      </c>
      <c r="M49" s="568">
        <f ca="1">IFERROR(__xludf.DUMMYFUNCTION("IMPORTRANGE(""https://docs.google.com/spreadsheets/d/1-uDff_7J0KD5mKrp0Vvzr7lt3OU09vwQwhkpOPPYv2Y/edit?usp=sharing"",""งบพรบ!V23"")"),661675)</f>
        <v>661675</v>
      </c>
      <c r="N49" s="568">
        <f ca="1">IFERROR(__xludf.DUMMYFUNCTION("IMPORTRANGE(""https://docs.google.com/spreadsheets/d/1-uDff_7J0KD5mKrp0Vvzr7lt3OU09vwQwhkpOPPYv2Y/edit?usp=sharing"",""งบพรบ!Y23"")"),449525)</f>
        <v>449525</v>
      </c>
      <c r="O49" s="568">
        <f t="shared" ca="1" si="18"/>
        <v>84.497180451127818</v>
      </c>
      <c r="P49" s="568">
        <f t="shared" ca="1" si="19"/>
        <v>67.937431518494733</v>
      </c>
      <c r="Q49" s="568">
        <v>0</v>
      </c>
      <c r="R49" s="568">
        <v>0</v>
      </c>
      <c r="S49" s="568">
        <v>0</v>
      </c>
      <c r="T49" s="568">
        <f t="shared" si="21"/>
        <v>0</v>
      </c>
      <c r="U49" s="568">
        <f t="shared" si="22"/>
        <v>0</v>
      </c>
    </row>
    <row r="50" spans="1:21" ht="18.75" x14ac:dyDescent="0.25">
      <c r="A50" s="560"/>
      <c r="B50" s="561"/>
      <c r="C50" s="561"/>
      <c r="D50" s="562" t="s">
        <v>23</v>
      </c>
      <c r="E50" s="561"/>
      <c r="F50" s="561"/>
      <c r="G50" s="563"/>
      <c r="H50" s="564" t="s">
        <v>14</v>
      </c>
      <c r="I50" s="565"/>
      <c r="J50" s="565"/>
      <c r="K50" s="566"/>
      <c r="L50" s="567">
        <f t="shared" ref="L50:N50" ca="1" si="27">L51+L52</f>
        <v>0</v>
      </c>
      <c r="M50" s="568">
        <f t="shared" ca="1" si="27"/>
        <v>0</v>
      </c>
      <c r="N50" s="568">
        <f t="shared" ca="1" si="27"/>
        <v>0</v>
      </c>
      <c r="O50" s="568">
        <f t="shared" ca="1" si="18"/>
        <v>0</v>
      </c>
      <c r="P50" s="568">
        <f t="shared" ca="1" si="19"/>
        <v>0</v>
      </c>
      <c r="Q50" s="568">
        <f t="shared" ref="Q50:S50" si="28">Q51+Q52</f>
        <v>0</v>
      </c>
      <c r="R50" s="568">
        <f t="shared" si="28"/>
        <v>0</v>
      </c>
      <c r="S50" s="568">
        <f t="shared" si="28"/>
        <v>0</v>
      </c>
      <c r="T50" s="568">
        <f t="shared" si="21"/>
        <v>0</v>
      </c>
      <c r="U50" s="568">
        <f t="shared" si="22"/>
        <v>0</v>
      </c>
    </row>
    <row r="51" spans="1:21" ht="18.75" x14ac:dyDescent="0.25">
      <c r="A51" s="560"/>
      <c r="B51" s="561"/>
      <c r="C51" s="561"/>
      <c r="D51" s="561"/>
      <c r="E51" s="569" t="s">
        <v>20</v>
      </c>
      <c r="F51" s="561"/>
      <c r="G51" s="563"/>
      <c r="H51" s="570" t="s">
        <v>14</v>
      </c>
      <c r="I51" s="565"/>
      <c r="J51" s="565"/>
      <c r="K51" s="566"/>
      <c r="L51" s="571">
        <v>0</v>
      </c>
      <c r="M51" s="572">
        <v>0</v>
      </c>
      <c r="N51" s="572">
        <v>0</v>
      </c>
      <c r="O51" s="572">
        <f t="shared" si="18"/>
        <v>0</v>
      </c>
      <c r="P51" s="572">
        <f t="shared" si="19"/>
        <v>0</v>
      </c>
      <c r="Q51" s="572">
        <v>0</v>
      </c>
      <c r="R51" s="572">
        <v>0</v>
      </c>
      <c r="S51" s="572">
        <v>0</v>
      </c>
      <c r="T51" s="572">
        <f t="shared" si="21"/>
        <v>0</v>
      </c>
      <c r="U51" s="572">
        <f t="shared" si="22"/>
        <v>0</v>
      </c>
    </row>
    <row r="52" spans="1:21" ht="18.75" x14ac:dyDescent="0.25">
      <c r="A52" s="560"/>
      <c r="B52" s="561"/>
      <c r="C52" s="561"/>
      <c r="D52" s="561"/>
      <c r="E52" s="573" t="s">
        <v>21</v>
      </c>
      <c r="F52" s="561"/>
      <c r="G52" s="563"/>
      <c r="H52" s="564" t="s">
        <v>14</v>
      </c>
      <c r="I52" s="565"/>
      <c r="J52" s="565"/>
      <c r="K52" s="566"/>
      <c r="L52" s="567">
        <f ca="1">IFERROR(__xludf.DUMMYFUNCTION("IMPORTRANGE(""https://docs.google.com/spreadsheets/d/1-uDff_7J0KD5mKrp0Vvzr7lt3OU09vwQwhkpOPPYv2Y/edit?usp=sharing"",""งบพรบ!S23"")"),0)</f>
        <v>0</v>
      </c>
      <c r="M52" s="568">
        <f ca="1">IFERROR(__xludf.DUMMYFUNCTION("IMPORTRANGE(""https://docs.google.com/spreadsheets/d/1-uDff_7J0KD5mKrp0Vvzr7lt3OU09vwQwhkpOPPYv2Y/edit?usp=sharing"",""งบพรบ!W23"")"),0)</f>
        <v>0</v>
      </c>
      <c r="N52" s="568">
        <f ca="1">IFERROR(__xludf.DUMMYFUNCTION("IMPORTRANGE(""https://docs.google.com/spreadsheets/d/1-uDff_7J0KD5mKrp0Vvzr7lt3OU09vwQwhkpOPPYv2Y/edit?usp=sharing"",""งบพรบ!Z23"")"),0)</f>
        <v>0</v>
      </c>
      <c r="O52" s="568">
        <f t="shared" ca="1" si="18"/>
        <v>0</v>
      </c>
      <c r="P52" s="568">
        <f t="shared" ca="1" si="19"/>
        <v>0</v>
      </c>
      <c r="Q52" s="568">
        <v>0</v>
      </c>
      <c r="R52" s="568">
        <v>0</v>
      </c>
      <c r="S52" s="568">
        <v>0</v>
      </c>
      <c r="T52" s="568">
        <f t="shared" si="21"/>
        <v>0</v>
      </c>
      <c r="U52" s="568">
        <f t="shared" si="22"/>
        <v>0</v>
      </c>
    </row>
    <row r="53" spans="1:21" ht="18.75" x14ac:dyDescent="0.25">
      <c r="A53" s="560"/>
      <c r="B53" s="561"/>
      <c r="C53" s="561"/>
      <c r="D53" s="562" t="s">
        <v>24</v>
      </c>
      <c r="E53" s="561"/>
      <c r="F53" s="561"/>
      <c r="G53" s="563"/>
      <c r="H53" s="564" t="s">
        <v>14</v>
      </c>
      <c r="I53" s="565"/>
      <c r="J53" s="565"/>
      <c r="K53" s="566"/>
      <c r="L53" s="574"/>
      <c r="M53" s="566"/>
      <c r="N53" s="566"/>
      <c r="O53" s="566"/>
      <c r="P53" s="566"/>
      <c r="Q53" s="566"/>
      <c r="R53" s="566"/>
      <c r="S53" s="566"/>
      <c r="T53" s="566"/>
      <c r="U53" s="566"/>
    </row>
    <row r="54" spans="1:21" ht="18.75" x14ac:dyDescent="0.25">
      <c r="A54" s="560"/>
      <c r="B54" s="561"/>
      <c r="C54" s="561"/>
      <c r="D54" s="561"/>
      <c r="E54" s="569" t="s">
        <v>20</v>
      </c>
      <c r="F54" s="561"/>
      <c r="G54" s="563"/>
      <c r="H54" s="570" t="s">
        <v>14</v>
      </c>
      <c r="I54" s="565"/>
      <c r="J54" s="565"/>
      <c r="K54" s="566"/>
      <c r="L54" s="574"/>
      <c r="M54" s="566"/>
      <c r="N54" s="566"/>
      <c r="O54" s="566"/>
      <c r="P54" s="566"/>
      <c r="Q54" s="566"/>
      <c r="R54" s="566"/>
      <c r="S54" s="566"/>
      <c r="T54" s="566"/>
      <c r="U54" s="566"/>
    </row>
    <row r="55" spans="1:21" ht="18.75" x14ac:dyDescent="0.25">
      <c r="A55" s="575"/>
      <c r="B55" s="513"/>
      <c r="C55" s="513"/>
      <c r="D55" s="513"/>
      <c r="E55" s="576" t="s">
        <v>21</v>
      </c>
      <c r="F55" s="513"/>
      <c r="G55" s="577"/>
      <c r="H55" s="578" t="s">
        <v>14</v>
      </c>
      <c r="I55" s="579"/>
      <c r="J55" s="579"/>
      <c r="K55" s="580"/>
      <c r="L55" s="581"/>
      <c r="M55" s="580"/>
      <c r="N55" s="580"/>
      <c r="O55" s="580"/>
      <c r="P55" s="580"/>
      <c r="Q55" s="580"/>
      <c r="R55" s="580"/>
      <c r="S55" s="580"/>
      <c r="T55" s="580"/>
      <c r="U55" s="580"/>
    </row>
    <row r="56" spans="1:21" ht="19.5" x14ac:dyDescent="0.3">
      <c r="A56" s="1319" t="s">
        <v>28</v>
      </c>
      <c r="B56" s="1314"/>
      <c r="C56" s="1314"/>
      <c r="D56" s="1314"/>
      <c r="E56" s="1314"/>
      <c r="F56" s="1314"/>
      <c r="G56" s="1317"/>
      <c r="H56" s="618"/>
      <c r="I56" s="619"/>
      <c r="J56" s="619"/>
      <c r="K56" s="620"/>
      <c r="L56" s="620"/>
      <c r="M56" s="620"/>
      <c r="N56" s="620"/>
      <c r="O56" s="620"/>
      <c r="P56" s="621"/>
      <c r="Q56" s="620"/>
      <c r="R56" s="620"/>
      <c r="S56" s="620"/>
      <c r="T56" s="620"/>
      <c r="U56" s="621"/>
    </row>
    <row r="57" spans="1:21" ht="19.5" x14ac:dyDescent="0.3">
      <c r="A57" s="622"/>
      <c r="B57" s="1320" t="s">
        <v>29</v>
      </c>
      <c r="C57" s="1311"/>
      <c r="D57" s="1311"/>
      <c r="E57" s="1311"/>
      <c r="F57" s="1311"/>
      <c r="G57" s="1312"/>
      <c r="H57" s="625"/>
      <c r="I57" s="626"/>
      <c r="J57" s="626"/>
      <c r="K57" s="627"/>
      <c r="L57" s="628"/>
      <c r="M57" s="627"/>
      <c r="N57" s="627"/>
      <c r="O57" s="627"/>
      <c r="P57" s="627"/>
      <c r="Q57" s="627"/>
      <c r="R57" s="627"/>
      <c r="S57" s="627"/>
      <c r="T57" s="627"/>
      <c r="U57" s="627"/>
    </row>
    <row r="58" spans="1:21" ht="19.5" x14ac:dyDescent="0.3">
      <c r="A58" s="629"/>
      <c r="B58" s="630" t="s">
        <v>30</v>
      </c>
      <c r="C58" s="631"/>
      <c r="D58" s="631"/>
      <c r="E58" s="631"/>
      <c r="F58" s="631"/>
      <c r="G58" s="632"/>
      <c r="H58" s="632"/>
      <c r="I58" s="633"/>
      <c r="J58" s="633"/>
      <c r="K58" s="634"/>
      <c r="L58" s="635"/>
      <c r="M58" s="634"/>
      <c r="N58" s="634"/>
      <c r="O58" s="634"/>
      <c r="P58" s="634"/>
      <c r="Q58" s="634"/>
      <c r="R58" s="634"/>
      <c r="S58" s="634"/>
      <c r="T58" s="634"/>
      <c r="U58" s="634"/>
    </row>
    <row r="59" spans="1:21" ht="19.5" x14ac:dyDescent="0.3">
      <c r="A59" s="636"/>
      <c r="B59" s="637"/>
      <c r="C59" s="638" t="s">
        <v>18</v>
      </c>
      <c r="D59" s="639" t="s">
        <v>19</v>
      </c>
      <c r="E59" s="637"/>
      <c r="F59" s="637"/>
      <c r="G59" s="640"/>
      <c r="H59" s="641" t="s">
        <v>14</v>
      </c>
      <c r="I59" s="642"/>
      <c r="J59" s="642"/>
      <c r="K59" s="643"/>
      <c r="L59" s="644">
        <f t="shared" ref="L59:N59" ca="1" si="29">L60+L61</f>
        <v>819600</v>
      </c>
      <c r="M59" s="645">
        <f t="shared" ca="1" si="29"/>
        <v>821100</v>
      </c>
      <c r="N59" s="645">
        <f t="shared" ca="1" si="29"/>
        <v>529084.25</v>
      </c>
      <c r="O59" s="645">
        <f t="shared" ref="O59:O67" ca="1" si="30">IF(L59&gt;0,N59*100/L59,0)</f>
        <v>64.553959248413861</v>
      </c>
      <c r="P59" s="645">
        <f t="shared" ref="P59:P67" ca="1" si="31">IF(M59&gt;0,N59*100/M59,0)</f>
        <v>64.436030934112779</v>
      </c>
      <c r="Q59" s="645">
        <f t="shared" ref="Q59:S59" si="32">Q60+Q61</f>
        <v>0</v>
      </c>
      <c r="R59" s="645">
        <f t="shared" si="32"/>
        <v>0</v>
      </c>
      <c r="S59" s="645">
        <f t="shared" si="32"/>
        <v>0</v>
      </c>
      <c r="T59" s="645">
        <f t="shared" ref="T59:T67" si="33">IF(Q59&gt;0,S59*100/Q59,0)</f>
        <v>0</v>
      </c>
      <c r="U59" s="645">
        <f t="shared" ref="U59:U67" si="34">IF(R59&gt;0,S59*100/R59,0)</f>
        <v>0</v>
      </c>
    </row>
    <row r="60" spans="1:21" ht="18.75" x14ac:dyDescent="0.25">
      <c r="A60" s="636"/>
      <c r="B60" s="637"/>
      <c r="C60" s="637"/>
      <c r="D60" s="637"/>
      <c r="E60" s="646" t="s">
        <v>20</v>
      </c>
      <c r="F60" s="637"/>
      <c r="G60" s="640"/>
      <c r="H60" s="647" t="s">
        <v>14</v>
      </c>
      <c r="I60" s="642"/>
      <c r="J60" s="642"/>
      <c r="K60" s="643"/>
      <c r="L60" s="648">
        <f t="shared" ref="L60:N61" si="35">L63+L66</f>
        <v>0</v>
      </c>
      <c r="M60" s="649">
        <f t="shared" si="35"/>
        <v>0</v>
      </c>
      <c r="N60" s="649">
        <f t="shared" si="35"/>
        <v>0</v>
      </c>
      <c r="O60" s="649">
        <f t="shared" si="30"/>
        <v>0</v>
      </c>
      <c r="P60" s="649">
        <f t="shared" si="31"/>
        <v>0</v>
      </c>
      <c r="Q60" s="649">
        <f t="shared" ref="Q60:S61" si="36">Q63+Q66</f>
        <v>0</v>
      </c>
      <c r="R60" s="649">
        <f t="shared" si="36"/>
        <v>0</v>
      </c>
      <c r="S60" s="649">
        <f t="shared" si="36"/>
        <v>0</v>
      </c>
      <c r="T60" s="649">
        <f t="shared" si="33"/>
        <v>0</v>
      </c>
      <c r="U60" s="649">
        <f t="shared" si="34"/>
        <v>0</v>
      </c>
    </row>
    <row r="61" spans="1:21" ht="18.75" x14ac:dyDescent="0.25">
      <c r="A61" s="636"/>
      <c r="B61" s="637"/>
      <c r="C61" s="637"/>
      <c r="D61" s="637"/>
      <c r="E61" s="650" t="s">
        <v>21</v>
      </c>
      <c r="F61" s="637"/>
      <c r="G61" s="640"/>
      <c r="H61" s="651" t="s">
        <v>14</v>
      </c>
      <c r="I61" s="642"/>
      <c r="J61" s="642"/>
      <c r="K61" s="643"/>
      <c r="L61" s="652">
        <f t="shared" ca="1" si="35"/>
        <v>819600</v>
      </c>
      <c r="M61" s="653">
        <f t="shared" ca="1" si="35"/>
        <v>821100</v>
      </c>
      <c r="N61" s="653">
        <f t="shared" ca="1" si="35"/>
        <v>529084.25</v>
      </c>
      <c r="O61" s="653">
        <f t="shared" ca="1" si="30"/>
        <v>64.553959248413861</v>
      </c>
      <c r="P61" s="653">
        <f t="shared" ca="1" si="31"/>
        <v>64.436030934112779</v>
      </c>
      <c r="Q61" s="653">
        <f t="shared" si="36"/>
        <v>0</v>
      </c>
      <c r="R61" s="653">
        <f t="shared" si="36"/>
        <v>0</v>
      </c>
      <c r="S61" s="653">
        <f t="shared" si="36"/>
        <v>0</v>
      </c>
      <c r="T61" s="653">
        <f t="shared" si="33"/>
        <v>0</v>
      </c>
      <c r="U61" s="653">
        <f t="shared" si="34"/>
        <v>0</v>
      </c>
    </row>
    <row r="62" spans="1:21" ht="18.75" x14ac:dyDescent="0.25">
      <c r="A62" s="560"/>
      <c r="B62" s="561"/>
      <c r="C62" s="561"/>
      <c r="D62" s="562" t="s">
        <v>22</v>
      </c>
      <c r="E62" s="561"/>
      <c r="F62" s="561"/>
      <c r="G62" s="563"/>
      <c r="H62" s="564" t="s">
        <v>14</v>
      </c>
      <c r="I62" s="565"/>
      <c r="J62" s="565"/>
      <c r="K62" s="566"/>
      <c r="L62" s="567">
        <f t="shared" ref="L62:N62" ca="1" si="37">L63+L64</f>
        <v>819600</v>
      </c>
      <c r="M62" s="568">
        <f t="shared" ca="1" si="37"/>
        <v>821100</v>
      </c>
      <c r="N62" s="568">
        <f t="shared" ca="1" si="37"/>
        <v>529084.25</v>
      </c>
      <c r="O62" s="568">
        <f t="shared" ca="1" si="30"/>
        <v>64.553959248413861</v>
      </c>
      <c r="P62" s="568">
        <f t="shared" ca="1" si="31"/>
        <v>64.436030934112779</v>
      </c>
      <c r="Q62" s="568">
        <f t="shared" ref="Q62:S62" si="38">Q63+Q64</f>
        <v>0</v>
      </c>
      <c r="R62" s="568">
        <f t="shared" si="38"/>
        <v>0</v>
      </c>
      <c r="S62" s="568">
        <f t="shared" si="38"/>
        <v>0</v>
      </c>
      <c r="T62" s="568">
        <f t="shared" si="33"/>
        <v>0</v>
      </c>
      <c r="U62" s="568">
        <f t="shared" si="34"/>
        <v>0</v>
      </c>
    </row>
    <row r="63" spans="1:21" ht="18.75" x14ac:dyDescent="0.25">
      <c r="A63" s="560"/>
      <c r="B63" s="561"/>
      <c r="C63" s="561"/>
      <c r="D63" s="561"/>
      <c r="E63" s="569" t="s">
        <v>20</v>
      </c>
      <c r="F63" s="561"/>
      <c r="G63" s="563"/>
      <c r="H63" s="570" t="s">
        <v>14</v>
      </c>
      <c r="I63" s="565"/>
      <c r="J63" s="565"/>
      <c r="K63" s="566"/>
      <c r="L63" s="571">
        <v>0</v>
      </c>
      <c r="M63" s="572">
        <v>0</v>
      </c>
      <c r="N63" s="572">
        <v>0</v>
      </c>
      <c r="O63" s="572">
        <f t="shared" si="30"/>
        <v>0</v>
      </c>
      <c r="P63" s="572">
        <f t="shared" si="31"/>
        <v>0</v>
      </c>
      <c r="Q63" s="572">
        <v>0</v>
      </c>
      <c r="R63" s="572">
        <v>0</v>
      </c>
      <c r="S63" s="572">
        <v>0</v>
      </c>
      <c r="T63" s="572">
        <f t="shared" si="33"/>
        <v>0</v>
      </c>
      <c r="U63" s="572">
        <f t="shared" si="34"/>
        <v>0</v>
      </c>
    </row>
    <row r="64" spans="1:21" ht="18.75" x14ac:dyDescent="0.25">
      <c r="A64" s="560"/>
      <c r="B64" s="561"/>
      <c r="C64" s="561"/>
      <c r="D64" s="561"/>
      <c r="E64" s="573" t="s">
        <v>21</v>
      </c>
      <c r="F64" s="561"/>
      <c r="G64" s="563"/>
      <c r="H64" s="564" t="s">
        <v>14</v>
      </c>
      <c r="I64" s="565"/>
      <c r="J64" s="565"/>
      <c r="K64" s="566"/>
      <c r="L64" s="567">
        <f ca="1">IFERROR(__xludf.DUMMYFUNCTION("IMPORTRANGE(""https://docs.google.com/spreadsheets/d/1-uDff_7J0KD5mKrp0Vvzr7lt3OU09vwQwhkpOPPYv2Y/edit?usp=sharing"",""งบพรบ!AC23"")"),819600)</f>
        <v>819600</v>
      </c>
      <c r="M64" s="568">
        <f ca="1">IFERROR(__xludf.DUMMYFUNCTION("IMPORTRANGE(""https://docs.google.com/spreadsheets/d/1-uDff_7J0KD5mKrp0Vvzr7lt3OU09vwQwhkpOPPYv2Y/edit?usp=sharing"",""งบพรบ!AH23"")"),821100)</f>
        <v>821100</v>
      </c>
      <c r="N64" s="568">
        <f ca="1">IFERROR(__xludf.DUMMYFUNCTION("IMPORTRANGE(""https://docs.google.com/spreadsheets/d/1-uDff_7J0KD5mKrp0Vvzr7lt3OU09vwQwhkpOPPYv2Y/edit?usp=sharing"",""งบพรบ!AJ23"")"),529084.25)</f>
        <v>529084.25</v>
      </c>
      <c r="O64" s="568">
        <f t="shared" ca="1" si="30"/>
        <v>64.553959248413861</v>
      </c>
      <c r="P64" s="568">
        <f t="shared" ca="1" si="31"/>
        <v>64.436030934112779</v>
      </c>
      <c r="Q64" s="568">
        <v>0</v>
      </c>
      <c r="R64" s="568">
        <v>0</v>
      </c>
      <c r="S64" s="568">
        <v>0</v>
      </c>
      <c r="T64" s="568">
        <f t="shared" si="33"/>
        <v>0</v>
      </c>
      <c r="U64" s="568">
        <f t="shared" si="34"/>
        <v>0</v>
      </c>
    </row>
    <row r="65" spans="1:21" ht="18.75" x14ac:dyDescent="0.25">
      <c r="A65" s="560"/>
      <c r="B65" s="561"/>
      <c r="C65" s="561"/>
      <c r="D65" s="562" t="s">
        <v>23</v>
      </c>
      <c r="E65" s="561"/>
      <c r="F65" s="561"/>
      <c r="G65" s="563"/>
      <c r="H65" s="564" t="s">
        <v>14</v>
      </c>
      <c r="I65" s="565"/>
      <c r="J65" s="565"/>
      <c r="K65" s="566"/>
      <c r="L65" s="567">
        <f t="shared" ref="L65:N65" ca="1" si="39">L66+L67</f>
        <v>0</v>
      </c>
      <c r="M65" s="568">
        <f t="shared" ca="1" si="39"/>
        <v>0</v>
      </c>
      <c r="N65" s="568">
        <f t="shared" ca="1" si="39"/>
        <v>0</v>
      </c>
      <c r="O65" s="568">
        <f t="shared" ca="1" si="30"/>
        <v>0</v>
      </c>
      <c r="P65" s="568">
        <f t="shared" ca="1" si="31"/>
        <v>0</v>
      </c>
      <c r="Q65" s="568">
        <f t="shared" ref="Q65:S65" si="40">Q66+Q67</f>
        <v>0</v>
      </c>
      <c r="R65" s="568">
        <f t="shared" si="40"/>
        <v>0</v>
      </c>
      <c r="S65" s="568">
        <f t="shared" si="40"/>
        <v>0</v>
      </c>
      <c r="T65" s="568">
        <f t="shared" si="33"/>
        <v>0</v>
      </c>
      <c r="U65" s="568">
        <f t="shared" si="34"/>
        <v>0</v>
      </c>
    </row>
    <row r="66" spans="1:21" ht="18.75" x14ac:dyDescent="0.25">
      <c r="A66" s="560"/>
      <c r="B66" s="561"/>
      <c r="C66" s="561"/>
      <c r="D66" s="561"/>
      <c r="E66" s="569" t="s">
        <v>20</v>
      </c>
      <c r="F66" s="561"/>
      <c r="G66" s="563"/>
      <c r="H66" s="570" t="s">
        <v>14</v>
      </c>
      <c r="I66" s="565"/>
      <c r="J66" s="565"/>
      <c r="K66" s="566"/>
      <c r="L66" s="571">
        <v>0</v>
      </c>
      <c r="M66" s="572">
        <v>0</v>
      </c>
      <c r="N66" s="572">
        <v>0</v>
      </c>
      <c r="O66" s="572">
        <f t="shared" si="30"/>
        <v>0</v>
      </c>
      <c r="P66" s="572">
        <f t="shared" si="31"/>
        <v>0</v>
      </c>
      <c r="Q66" s="572">
        <v>0</v>
      </c>
      <c r="R66" s="572">
        <v>0</v>
      </c>
      <c r="S66" s="572">
        <v>0</v>
      </c>
      <c r="T66" s="572">
        <f t="shared" si="33"/>
        <v>0</v>
      </c>
      <c r="U66" s="572">
        <f t="shared" si="34"/>
        <v>0</v>
      </c>
    </row>
    <row r="67" spans="1:21" ht="18.75" x14ac:dyDescent="0.25">
      <c r="A67" s="575"/>
      <c r="B67" s="513"/>
      <c r="C67" s="513"/>
      <c r="D67" s="513"/>
      <c r="E67" s="576" t="s">
        <v>21</v>
      </c>
      <c r="F67" s="513"/>
      <c r="G67" s="577"/>
      <c r="H67" s="578" t="s">
        <v>14</v>
      </c>
      <c r="I67" s="579"/>
      <c r="J67" s="579"/>
      <c r="K67" s="580"/>
      <c r="L67" s="654">
        <f ca="1">IFERROR(__xludf.DUMMYFUNCTION("IMPORTRANGE(""https://docs.google.com/spreadsheets/d/1-uDff_7J0KD5mKrp0Vvzr7lt3OU09vwQwhkpOPPYv2Y/edit?usp=sharing"",""งบพรบ!AF23"")"),0)</f>
        <v>0</v>
      </c>
      <c r="M67" s="655">
        <f ca="1">IFERROR(__xludf.DUMMYFUNCTION("IMPORTRANGE(""https://docs.google.com/spreadsheets/d/1-uDff_7J0KD5mKrp0Vvzr7lt3OU09vwQwhkpOPPYv2Y/edit?usp=sharing"",""งบพรบ!AI23"")"),0)</f>
        <v>0</v>
      </c>
      <c r="N67" s="655">
        <f ca="1">IFERROR(__xludf.DUMMYFUNCTION("IMPORTRANGE(""https://docs.google.com/spreadsheets/d/1-uDff_7J0KD5mKrp0Vvzr7lt3OU09vwQwhkpOPPYv2Y/edit?usp=sharing"",""งบพรบ!AK23"")"),0)</f>
        <v>0</v>
      </c>
      <c r="O67" s="655">
        <f t="shared" ca="1" si="30"/>
        <v>0</v>
      </c>
      <c r="P67" s="655">
        <f t="shared" ca="1" si="31"/>
        <v>0</v>
      </c>
      <c r="Q67" s="655">
        <v>0</v>
      </c>
      <c r="R67" s="655">
        <v>0</v>
      </c>
      <c r="S67" s="655">
        <v>0</v>
      </c>
      <c r="T67" s="655">
        <f t="shared" si="33"/>
        <v>0</v>
      </c>
      <c r="U67" s="655">
        <f t="shared" si="34"/>
        <v>0</v>
      </c>
    </row>
    <row r="68" spans="1:21" ht="19.5" x14ac:dyDescent="0.3">
      <c r="A68" s="656" t="s">
        <v>31</v>
      </c>
      <c r="B68" s="657"/>
      <c r="C68" s="657"/>
      <c r="D68" s="657"/>
      <c r="E68" s="658"/>
      <c r="F68" s="658"/>
      <c r="G68" s="658"/>
      <c r="H68" s="658"/>
      <c r="I68" s="659"/>
      <c r="J68" s="659"/>
      <c r="K68" s="660"/>
      <c r="L68" s="660"/>
      <c r="M68" s="660"/>
      <c r="N68" s="660"/>
      <c r="O68" s="660"/>
      <c r="P68" s="661"/>
      <c r="Q68" s="660"/>
      <c r="R68" s="660"/>
      <c r="S68" s="660"/>
      <c r="T68" s="660"/>
      <c r="U68" s="661"/>
    </row>
    <row r="69" spans="1:21" ht="19.5" x14ac:dyDescent="0.3">
      <c r="A69" s="662" t="s">
        <v>32</v>
      </c>
      <c r="B69" s="663"/>
      <c r="C69" s="664"/>
      <c r="D69" s="663"/>
      <c r="E69" s="663"/>
      <c r="F69" s="663"/>
      <c r="G69" s="665"/>
      <c r="H69" s="665"/>
      <c r="I69" s="666"/>
      <c r="J69" s="666"/>
      <c r="K69" s="667"/>
      <c r="L69" s="668"/>
      <c r="M69" s="667"/>
      <c r="N69" s="667"/>
      <c r="O69" s="667"/>
      <c r="P69" s="667"/>
      <c r="Q69" s="667"/>
      <c r="R69" s="667"/>
      <c r="S69" s="667"/>
      <c r="T69" s="667"/>
      <c r="U69" s="667"/>
    </row>
    <row r="70" spans="1:21" ht="19.5" x14ac:dyDescent="0.3">
      <c r="A70" s="669"/>
      <c r="B70" s="544" t="s">
        <v>33</v>
      </c>
      <c r="C70" s="543"/>
      <c r="D70" s="670"/>
      <c r="E70" s="543"/>
      <c r="F70" s="543"/>
      <c r="G70" s="546"/>
      <c r="H70" s="671" t="s">
        <v>34</v>
      </c>
      <c r="I70" s="672">
        <f t="shared" ref="I70:J71" ca="1" si="41">I82</f>
        <v>1</v>
      </c>
      <c r="J70" s="672">
        <f t="shared" si="41"/>
        <v>1</v>
      </c>
      <c r="K70" s="551">
        <f t="shared" ref="K70:K71" ca="1" si="42">IF(I70&gt;0,J70*100/I70,0)</f>
        <v>100</v>
      </c>
      <c r="L70" s="673"/>
      <c r="M70" s="549"/>
      <c r="N70" s="549"/>
      <c r="O70" s="549"/>
      <c r="P70" s="549"/>
      <c r="Q70" s="549"/>
      <c r="R70" s="549"/>
      <c r="S70" s="549"/>
      <c r="T70" s="549"/>
      <c r="U70" s="549"/>
    </row>
    <row r="71" spans="1:21" ht="19.5" x14ac:dyDescent="0.3">
      <c r="A71" s="669"/>
      <c r="B71" s="543"/>
      <c r="C71" s="543"/>
      <c r="D71" s="670"/>
      <c r="E71" s="543"/>
      <c r="F71" s="543"/>
      <c r="G71" s="546"/>
      <c r="H71" s="671" t="s">
        <v>35</v>
      </c>
      <c r="I71" s="672">
        <f t="shared" ca="1" si="41"/>
        <v>33</v>
      </c>
      <c r="J71" s="672">
        <f t="shared" si="41"/>
        <v>33</v>
      </c>
      <c r="K71" s="551">
        <f t="shared" ca="1" si="42"/>
        <v>100</v>
      </c>
      <c r="L71" s="673"/>
      <c r="M71" s="549"/>
      <c r="N71" s="549"/>
      <c r="O71" s="549"/>
      <c r="P71" s="549"/>
      <c r="Q71" s="549"/>
      <c r="R71" s="549"/>
      <c r="S71" s="549"/>
      <c r="T71" s="549"/>
      <c r="U71" s="549"/>
    </row>
    <row r="72" spans="1:21" ht="19.5" x14ac:dyDescent="0.3">
      <c r="A72" s="674"/>
      <c r="B72" s="561"/>
      <c r="C72" s="675" t="s">
        <v>18</v>
      </c>
      <c r="D72" s="676" t="s">
        <v>19</v>
      </c>
      <c r="E72" s="561"/>
      <c r="F72" s="561"/>
      <c r="G72" s="563"/>
      <c r="H72" s="677" t="s">
        <v>14</v>
      </c>
      <c r="I72" s="565"/>
      <c r="J72" s="565"/>
      <c r="K72" s="566"/>
      <c r="L72" s="678">
        <f t="shared" ref="L72:N72" ca="1" si="43">L73+L74</f>
        <v>90000</v>
      </c>
      <c r="M72" s="679">
        <f t="shared" ca="1" si="43"/>
        <v>90000</v>
      </c>
      <c r="N72" s="679">
        <f t="shared" ca="1" si="43"/>
        <v>50247</v>
      </c>
      <c r="O72" s="679">
        <f t="shared" ref="O72:O80" ca="1" si="44">IF(L72&gt;0,N72*100/L72,0)</f>
        <v>55.83</v>
      </c>
      <c r="P72" s="679">
        <f t="shared" ref="P72:P80" ca="1" si="45">IF(M72&gt;0,N72*100/M72,0)</f>
        <v>55.83</v>
      </c>
      <c r="Q72" s="679">
        <f t="shared" ref="Q72:S72" ca="1" si="46">Q73+Q74</f>
        <v>422960</v>
      </c>
      <c r="R72" s="679">
        <f t="shared" ca="1" si="46"/>
        <v>422960</v>
      </c>
      <c r="S72" s="679">
        <f t="shared" ca="1" si="46"/>
        <v>123710</v>
      </c>
      <c r="T72" s="679">
        <f t="shared" ref="T72:T80" ca="1" si="47">IF(Q72&gt;0,S72*100/Q72,0)</f>
        <v>29.248628711934934</v>
      </c>
      <c r="U72" s="679">
        <f t="shared" ref="U72:U80" ca="1" si="48">IF(R72&gt;0,S72*100/R72,0)</f>
        <v>29.248628711934934</v>
      </c>
    </row>
    <row r="73" spans="1:21" ht="18.75" x14ac:dyDescent="0.25">
      <c r="A73" s="674"/>
      <c r="B73" s="561"/>
      <c r="C73" s="561"/>
      <c r="D73" s="561"/>
      <c r="E73" s="569" t="s">
        <v>20</v>
      </c>
      <c r="F73" s="561"/>
      <c r="G73" s="563"/>
      <c r="H73" s="680" t="s">
        <v>14</v>
      </c>
      <c r="I73" s="565"/>
      <c r="J73" s="565"/>
      <c r="K73" s="566"/>
      <c r="L73" s="571">
        <f t="shared" ref="L73:N74" si="49">L76+L79</f>
        <v>0</v>
      </c>
      <c r="M73" s="572">
        <f t="shared" si="49"/>
        <v>0</v>
      </c>
      <c r="N73" s="572">
        <f t="shared" si="49"/>
        <v>0</v>
      </c>
      <c r="O73" s="572">
        <f t="shared" si="44"/>
        <v>0</v>
      </c>
      <c r="P73" s="572">
        <f t="shared" si="45"/>
        <v>0</v>
      </c>
      <c r="Q73" s="572">
        <f t="shared" ref="Q73:S74" si="50">Q76+Q79</f>
        <v>0</v>
      </c>
      <c r="R73" s="572">
        <f t="shared" si="50"/>
        <v>0</v>
      </c>
      <c r="S73" s="572">
        <f t="shared" si="50"/>
        <v>0</v>
      </c>
      <c r="T73" s="572">
        <f t="shared" si="47"/>
        <v>0</v>
      </c>
      <c r="U73" s="572">
        <f t="shared" si="48"/>
        <v>0</v>
      </c>
    </row>
    <row r="74" spans="1:21" ht="18.75" x14ac:dyDescent="0.25">
      <c r="A74" s="674"/>
      <c r="B74" s="561"/>
      <c r="C74" s="561"/>
      <c r="D74" s="561"/>
      <c r="E74" s="573" t="s">
        <v>21</v>
      </c>
      <c r="F74" s="561"/>
      <c r="G74" s="563"/>
      <c r="H74" s="681" t="s">
        <v>14</v>
      </c>
      <c r="I74" s="565"/>
      <c r="J74" s="565"/>
      <c r="K74" s="566"/>
      <c r="L74" s="567">
        <f t="shared" ca="1" si="49"/>
        <v>90000</v>
      </c>
      <c r="M74" s="568">
        <f t="shared" ca="1" si="49"/>
        <v>90000</v>
      </c>
      <c r="N74" s="568">
        <f t="shared" ca="1" si="49"/>
        <v>50247</v>
      </c>
      <c r="O74" s="568">
        <f t="shared" ca="1" si="44"/>
        <v>55.83</v>
      </c>
      <c r="P74" s="568">
        <f t="shared" ca="1" si="45"/>
        <v>55.83</v>
      </c>
      <c r="Q74" s="568">
        <f t="shared" ca="1" si="50"/>
        <v>422960</v>
      </c>
      <c r="R74" s="568">
        <f t="shared" ca="1" si="50"/>
        <v>422960</v>
      </c>
      <c r="S74" s="568">
        <f t="shared" ca="1" si="50"/>
        <v>123710</v>
      </c>
      <c r="T74" s="568">
        <f t="shared" ca="1" si="47"/>
        <v>29.248628711934934</v>
      </c>
      <c r="U74" s="568">
        <f t="shared" ca="1" si="48"/>
        <v>29.248628711934934</v>
      </c>
    </row>
    <row r="75" spans="1:21" ht="18.75" x14ac:dyDescent="0.25">
      <c r="A75" s="674"/>
      <c r="B75" s="561"/>
      <c r="C75" s="561"/>
      <c r="D75" s="562" t="s">
        <v>22</v>
      </c>
      <c r="E75" s="561"/>
      <c r="F75" s="561"/>
      <c r="G75" s="563"/>
      <c r="H75" s="682" t="s">
        <v>14</v>
      </c>
      <c r="I75" s="683"/>
      <c r="J75" s="683"/>
      <c r="K75" s="684"/>
      <c r="L75" s="567">
        <f t="shared" ref="L75:N75" ca="1" si="51">L76+L77</f>
        <v>90000</v>
      </c>
      <c r="M75" s="568">
        <f t="shared" ca="1" si="51"/>
        <v>90000</v>
      </c>
      <c r="N75" s="568">
        <f t="shared" ca="1" si="51"/>
        <v>50247</v>
      </c>
      <c r="O75" s="568">
        <f t="shared" ca="1" si="44"/>
        <v>55.83</v>
      </c>
      <c r="P75" s="568">
        <f t="shared" ca="1" si="45"/>
        <v>55.83</v>
      </c>
      <c r="Q75" s="568">
        <f t="shared" ref="Q75:S75" ca="1" si="52">Q76+Q77</f>
        <v>422960</v>
      </c>
      <c r="R75" s="568">
        <f t="shared" ca="1" si="52"/>
        <v>422960</v>
      </c>
      <c r="S75" s="568">
        <f t="shared" ca="1" si="52"/>
        <v>123710</v>
      </c>
      <c r="T75" s="568">
        <f t="shared" ca="1" si="47"/>
        <v>29.248628711934934</v>
      </c>
      <c r="U75" s="568">
        <f t="shared" ca="1" si="48"/>
        <v>29.248628711934934</v>
      </c>
    </row>
    <row r="76" spans="1:21" ht="18.75" x14ac:dyDescent="0.25">
      <c r="A76" s="674"/>
      <c r="B76" s="561"/>
      <c r="C76" s="561"/>
      <c r="D76" s="561"/>
      <c r="E76" s="569" t="s">
        <v>36</v>
      </c>
      <c r="F76" s="561"/>
      <c r="G76" s="563"/>
      <c r="H76" s="685" t="s">
        <v>14</v>
      </c>
      <c r="I76" s="683"/>
      <c r="J76" s="683"/>
      <c r="K76" s="684"/>
      <c r="L76" s="571">
        <v>0</v>
      </c>
      <c r="M76" s="572">
        <v>0</v>
      </c>
      <c r="N76" s="572">
        <v>0</v>
      </c>
      <c r="O76" s="572">
        <f t="shared" si="44"/>
        <v>0</v>
      </c>
      <c r="P76" s="572">
        <f t="shared" si="45"/>
        <v>0</v>
      </c>
      <c r="Q76" s="572">
        <v>0</v>
      </c>
      <c r="R76" s="572">
        <v>0</v>
      </c>
      <c r="S76" s="572">
        <v>0</v>
      </c>
      <c r="T76" s="572">
        <f t="shared" si="47"/>
        <v>0</v>
      </c>
      <c r="U76" s="572">
        <f t="shared" si="48"/>
        <v>0</v>
      </c>
    </row>
    <row r="77" spans="1:21" ht="18.75" x14ac:dyDescent="0.25">
      <c r="A77" s="674"/>
      <c r="B77" s="561"/>
      <c r="C77" s="561"/>
      <c r="D77" s="561"/>
      <c r="E77" s="573" t="s">
        <v>37</v>
      </c>
      <c r="F77" s="561"/>
      <c r="G77" s="563"/>
      <c r="H77" s="682" t="s">
        <v>14</v>
      </c>
      <c r="I77" s="683"/>
      <c r="J77" s="683"/>
      <c r="K77" s="684"/>
      <c r="L77" s="567">
        <f ca="1">IFERROR(__xludf.DUMMYFUNCTION("IMPORTRANGE(""https://docs.google.com/spreadsheets/d/1-uDff_7J0KD5mKrp0Vvzr7lt3OU09vwQwhkpOPPYv2Y/edit?usp=sharing"",""งบพรบ!AM23"")"),90000)</f>
        <v>90000</v>
      </c>
      <c r="M77" s="568">
        <f ca="1">IFERROR(__xludf.DUMMYFUNCTION("IMPORTRANGE(""https://docs.google.com/spreadsheets/d/1-uDff_7J0KD5mKrp0Vvzr7lt3OU09vwQwhkpOPPYv2Y/edit?usp=sharing"",""งบพรบ!AR23"")"),90000)</f>
        <v>90000</v>
      </c>
      <c r="N77" s="568">
        <f ca="1">IFERROR(__xludf.DUMMYFUNCTION("IMPORTRANGE(""https://docs.google.com/spreadsheets/d/1-uDff_7J0KD5mKrp0Vvzr7lt3OU09vwQwhkpOPPYv2Y/edit?usp=sharing"",""งบพรบ!AT23"")"),50247)</f>
        <v>50247</v>
      </c>
      <c r="O77" s="568">
        <f t="shared" ca="1" si="44"/>
        <v>55.83</v>
      </c>
      <c r="P77" s="568">
        <f t="shared" ca="1" si="45"/>
        <v>55.83</v>
      </c>
      <c r="Q77" s="568">
        <f ca="1">IFERROR(__xludf.DUMMYFUNCTION("IMPORTRANGE(""https://docs.google.com/spreadsheets/d/1ItG2mGa2ceCfYo0BwxsXqNm01IGEUdYcSSLTEv9YCik/edit?usp=sharing"",""เบิกจ่ายกองทุน!BH23"")"),422960)</f>
        <v>422960</v>
      </c>
      <c r="R77" s="568">
        <f ca="1">IFERROR(__xludf.DUMMYFUNCTION("IMPORTRANGE(""https://docs.google.com/spreadsheets/d/1ItG2mGa2ceCfYo0BwxsXqNm01IGEUdYcSSLTEv9YCik/edit?usp=sharing"",""เบิกจ่ายกองทุน!BI23"")"),422960)</f>
        <v>422960</v>
      </c>
      <c r="S77" s="568">
        <f ca="1">IFERROR(__xludf.DUMMYFUNCTION("IMPORTRANGE(""https://docs.google.com/spreadsheets/d/1ItG2mGa2ceCfYo0BwxsXqNm01IGEUdYcSSLTEv9YCik/edit?usp=sharing"",""เบิกจ่ายกองทุน!BJ23"")"),123710)</f>
        <v>123710</v>
      </c>
      <c r="T77" s="568">
        <f t="shared" ca="1" si="47"/>
        <v>29.248628711934934</v>
      </c>
      <c r="U77" s="568">
        <f t="shared" ca="1" si="48"/>
        <v>29.248628711934934</v>
      </c>
    </row>
    <row r="78" spans="1:21" ht="18.75" x14ac:dyDescent="0.25">
      <c r="A78" s="674"/>
      <c r="B78" s="561"/>
      <c r="C78" s="561"/>
      <c r="D78" s="562" t="s">
        <v>23</v>
      </c>
      <c r="E78" s="561"/>
      <c r="F78" s="561"/>
      <c r="G78" s="563"/>
      <c r="H78" s="686" t="s">
        <v>14</v>
      </c>
      <c r="I78" s="683"/>
      <c r="J78" s="683"/>
      <c r="K78" s="684"/>
      <c r="L78" s="567">
        <f t="shared" ref="L78:N78" ca="1" si="53">L79+L80</f>
        <v>0</v>
      </c>
      <c r="M78" s="568">
        <f t="shared" ca="1" si="53"/>
        <v>0</v>
      </c>
      <c r="N78" s="568">
        <f t="shared" ca="1" si="53"/>
        <v>0</v>
      </c>
      <c r="O78" s="568">
        <f t="shared" ca="1" si="44"/>
        <v>0</v>
      </c>
      <c r="P78" s="568">
        <f t="shared" ca="1" si="45"/>
        <v>0</v>
      </c>
      <c r="Q78" s="568">
        <f t="shared" ref="Q78:S78" ca="1" si="54">Q79+Q80</f>
        <v>0</v>
      </c>
      <c r="R78" s="568">
        <f t="shared" ca="1" si="54"/>
        <v>0</v>
      </c>
      <c r="S78" s="568">
        <f t="shared" ca="1" si="54"/>
        <v>0</v>
      </c>
      <c r="T78" s="568">
        <f t="shared" ca="1" si="47"/>
        <v>0</v>
      </c>
      <c r="U78" s="568">
        <f t="shared" ca="1" si="48"/>
        <v>0</v>
      </c>
    </row>
    <row r="79" spans="1:21" ht="18.75" x14ac:dyDescent="0.25">
      <c r="A79" s="674"/>
      <c r="B79" s="561"/>
      <c r="C79" s="561"/>
      <c r="D79" s="561"/>
      <c r="E79" s="569" t="s">
        <v>20</v>
      </c>
      <c r="F79" s="561"/>
      <c r="G79" s="563"/>
      <c r="H79" s="685" t="s">
        <v>14</v>
      </c>
      <c r="I79" s="683"/>
      <c r="J79" s="683"/>
      <c r="K79" s="684"/>
      <c r="L79" s="571">
        <v>0</v>
      </c>
      <c r="M79" s="568">
        <v>0</v>
      </c>
      <c r="N79" s="568">
        <v>0</v>
      </c>
      <c r="O79" s="572">
        <f t="shared" si="44"/>
        <v>0</v>
      </c>
      <c r="P79" s="572">
        <f t="shared" si="45"/>
        <v>0</v>
      </c>
      <c r="Q79" s="572">
        <v>0</v>
      </c>
      <c r="R79" s="568">
        <v>0</v>
      </c>
      <c r="S79" s="568">
        <v>0</v>
      </c>
      <c r="T79" s="572">
        <f t="shared" si="47"/>
        <v>0</v>
      </c>
      <c r="U79" s="572">
        <f t="shared" si="48"/>
        <v>0</v>
      </c>
    </row>
    <row r="80" spans="1:21" ht="18.75" x14ac:dyDescent="0.25">
      <c r="A80" s="674"/>
      <c r="B80" s="561"/>
      <c r="C80" s="561"/>
      <c r="D80" s="561"/>
      <c r="E80" s="573" t="s">
        <v>21</v>
      </c>
      <c r="F80" s="561"/>
      <c r="G80" s="563"/>
      <c r="H80" s="686" t="s">
        <v>14</v>
      </c>
      <c r="I80" s="683"/>
      <c r="J80" s="683"/>
      <c r="K80" s="684"/>
      <c r="L80" s="567">
        <f ca="1">IFERROR(__xludf.DUMMYFUNCTION("IMPORTRANGE(""https://docs.google.com/spreadsheets/d/1-uDff_7J0KD5mKrp0Vvzr7lt3OU09vwQwhkpOPPYv2Y/edit?usp=sharing"",""งบพรบ!AP23"")"),0)</f>
        <v>0</v>
      </c>
      <c r="M80" s="568">
        <f ca="1">IFERROR(__xludf.DUMMYFUNCTION("IMPORTRANGE(""https://docs.google.com/spreadsheets/d/1-uDff_7J0KD5mKrp0Vvzr7lt3OU09vwQwhkpOPPYv2Y/edit?usp=sharing"",""งบพรบ!AS23"")"),0)</f>
        <v>0</v>
      </c>
      <c r="N80" s="568">
        <f ca="1">IFERROR(__xludf.DUMMYFUNCTION("IMPORTRANGE(""https://docs.google.com/spreadsheets/d/1-uDff_7J0KD5mKrp0Vvzr7lt3OU09vwQwhkpOPPYv2Y/edit?usp=sharing"",""งบพรบ!AU23"")"),0)</f>
        <v>0</v>
      </c>
      <c r="O80" s="568">
        <f t="shared" ca="1" si="44"/>
        <v>0</v>
      </c>
      <c r="P80" s="568">
        <f t="shared" ca="1" si="45"/>
        <v>0</v>
      </c>
      <c r="Q80" s="568">
        <f ca="1">IFERROR(__xludf.DUMMYFUNCTION("IMPORTRANGE(""https://docs.google.com/spreadsheets/d/1ItG2mGa2ceCfYo0BwxsXqNm01IGEUdYcSSLTEv9YCik/edit?usp=sharing"",""เบิกจ่ายกองทุน!BK23"")"),0)</f>
        <v>0</v>
      </c>
      <c r="R80" s="568">
        <f ca="1">IFERROR(__xludf.DUMMYFUNCTION("IMPORTRANGE(""https://docs.google.com/spreadsheets/d/1ItG2mGa2ceCfYo0BwxsXqNm01IGEUdYcSSLTEv9YCik/edit?usp=sharing"",""เบิกจ่ายกองทุน!BL23"")"),0)</f>
        <v>0</v>
      </c>
      <c r="S80" s="568">
        <f ca="1">IFERROR(__xludf.DUMMYFUNCTION("IMPORTRANGE(""https://docs.google.com/spreadsheets/d/1ItG2mGa2ceCfYo0BwxsXqNm01IGEUdYcSSLTEv9YCik/edit?usp=sharing"",""เบิกจ่ายกองทุน!BM23"")"),0)</f>
        <v>0</v>
      </c>
      <c r="T80" s="568">
        <f t="shared" ca="1" si="47"/>
        <v>0</v>
      </c>
      <c r="U80" s="568">
        <f t="shared" ca="1" si="48"/>
        <v>0</v>
      </c>
    </row>
    <row r="81" spans="1:21" ht="19.5" x14ac:dyDescent="0.3">
      <c r="A81" s="687"/>
      <c r="B81" s="688"/>
      <c r="C81" s="675" t="s">
        <v>18</v>
      </c>
      <c r="D81" s="689" t="s">
        <v>38</v>
      </c>
      <c r="E81" s="690"/>
      <c r="F81" s="690"/>
      <c r="G81" s="691"/>
      <c r="H81" s="692"/>
      <c r="I81" s="683"/>
      <c r="J81" s="683"/>
      <c r="K81" s="684"/>
      <c r="L81" s="693"/>
      <c r="M81" s="684"/>
      <c r="N81" s="684"/>
      <c r="O81" s="684"/>
      <c r="P81" s="684"/>
      <c r="Q81" s="684"/>
      <c r="R81" s="684"/>
      <c r="S81" s="684"/>
      <c r="T81" s="684"/>
      <c r="U81" s="684"/>
    </row>
    <row r="82" spans="1:21" ht="19.5" x14ac:dyDescent="0.3">
      <c r="A82" s="687"/>
      <c r="B82" s="688"/>
      <c r="C82" s="688"/>
      <c r="D82" s="694" t="s">
        <v>39</v>
      </c>
      <c r="E82" s="695"/>
      <c r="F82" s="695"/>
      <c r="G82" s="692"/>
      <c r="H82" s="696" t="s">
        <v>34</v>
      </c>
      <c r="I82" s="697">
        <f t="shared" ref="I82:J83" ca="1" si="55">I84+I86+I88</f>
        <v>1</v>
      </c>
      <c r="J82" s="697">
        <f t="shared" si="55"/>
        <v>1</v>
      </c>
      <c r="K82" s="698">
        <f t="shared" ref="K82:K90" ca="1" si="56">IF(I82&gt;0,J82*100/I82,0)</f>
        <v>100</v>
      </c>
      <c r="L82" s="693"/>
      <c r="M82" s="684"/>
      <c r="N82" s="684"/>
      <c r="O82" s="684"/>
      <c r="P82" s="684"/>
      <c r="Q82" s="684"/>
      <c r="R82" s="684"/>
      <c r="S82" s="684"/>
      <c r="T82" s="684"/>
      <c r="U82" s="684"/>
    </row>
    <row r="83" spans="1:21" ht="19.5" x14ac:dyDescent="0.3">
      <c r="A83" s="687"/>
      <c r="B83" s="688"/>
      <c r="C83" s="688"/>
      <c r="D83" s="688"/>
      <c r="E83" s="695"/>
      <c r="F83" s="695"/>
      <c r="G83" s="692"/>
      <c r="H83" s="696" t="s">
        <v>35</v>
      </c>
      <c r="I83" s="697">
        <f t="shared" ca="1" si="55"/>
        <v>33</v>
      </c>
      <c r="J83" s="697">
        <f t="shared" si="55"/>
        <v>33</v>
      </c>
      <c r="K83" s="698">
        <f t="shared" ca="1" si="56"/>
        <v>100</v>
      </c>
      <c r="L83" s="693"/>
      <c r="M83" s="684"/>
      <c r="N83" s="684"/>
      <c r="O83" s="684"/>
      <c r="P83" s="684"/>
      <c r="Q83" s="684"/>
      <c r="R83" s="684"/>
      <c r="S83" s="684"/>
      <c r="T83" s="684"/>
      <c r="U83" s="684"/>
    </row>
    <row r="84" spans="1:21" ht="18.75" x14ac:dyDescent="0.25">
      <c r="A84" s="687"/>
      <c r="B84" s="688"/>
      <c r="C84" s="688"/>
      <c r="D84" s="688"/>
      <c r="E84" s="699" t="s">
        <v>40</v>
      </c>
      <c r="F84" s="695"/>
      <c r="G84" s="692"/>
      <c r="H84" s="700" t="s">
        <v>34</v>
      </c>
      <c r="I84" s="701">
        <f ca="1">IFERROR(__xludf.DUMMYFUNCTION("IMPORTRANGE(""https://docs.google.com/spreadsheets/d/1eHaY18a8A9IcSdp1K8H6x8fbOy06t2VsZHhMHf-1x7Y/edit?usp=sharing"",""แผน!H23"")"),1)</f>
        <v>1</v>
      </c>
      <c r="J84" s="702">
        <v>1</v>
      </c>
      <c r="K84" s="703">
        <f t="shared" ca="1" si="56"/>
        <v>100</v>
      </c>
      <c r="L84" s="693"/>
      <c r="M84" s="684"/>
      <c r="N84" s="684"/>
      <c r="O84" s="684"/>
      <c r="P84" s="684"/>
      <c r="Q84" s="684"/>
      <c r="R84" s="684"/>
      <c r="S84" s="684"/>
      <c r="T84" s="684"/>
      <c r="U84" s="684"/>
    </row>
    <row r="85" spans="1:21" ht="18.75" x14ac:dyDescent="0.25">
      <c r="A85" s="687"/>
      <c r="B85" s="688"/>
      <c r="C85" s="688"/>
      <c r="D85" s="688"/>
      <c r="E85" s="695"/>
      <c r="F85" s="695"/>
      <c r="G85" s="692"/>
      <c r="H85" s="700" t="s">
        <v>35</v>
      </c>
      <c r="I85" s="701">
        <f ca="1">IFERROR(__xludf.DUMMYFUNCTION("IMPORTRANGE(""https://docs.google.com/spreadsheets/d/1eHaY18a8A9IcSdp1K8H6x8fbOy06t2VsZHhMHf-1x7Y/edit?usp=sharing"",""แผน!I23"")"),33)</f>
        <v>33</v>
      </c>
      <c r="J85" s="702">
        <v>33</v>
      </c>
      <c r="K85" s="703">
        <f t="shared" ca="1" si="56"/>
        <v>100</v>
      </c>
      <c r="L85" s="693"/>
      <c r="M85" s="684"/>
      <c r="N85" s="684"/>
      <c r="O85" s="684"/>
      <c r="P85" s="684"/>
      <c r="Q85" s="684"/>
      <c r="R85" s="684"/>
      <c r="S85" s="684"/>
      <c r="T85" s="684"/>
      <c r="U85" s="684"/>
    </row>
    <row r="86" spans="1:21" ht="18.75" x14ac:dyDescent="0.25">
      <c r="A86" s="687"/>
      <c r="B86" s="688"/>
      <c r="C86" s="688"/>
      <c r="D86" s="688"/>
      <c r="E86" s="699" t="s">
        <v>41</v>
      </c>
      <c r="F86" s="695"/>
      <c r="G86" s="692"/>
      <c r="H86" s="700" t="s">
        <v>34</v>
      </c>
      <c r="I86" s="701">
        <f ca="1">IFERROR(__xludf.DUMMYFUNCTION("IMPORTRANGE(""https://docs.google.com/spreadsheets/d/1eHaY18a8A9IcSdp1K8H6x8fbOy06t2VsZHhMHf-1x7Y/edit?usp=sharing"",""แผน!F23"")"),0)</f>
        <v>0</v>
      </c>
      <c r="J86" s="702">
        <v>0</v>
      </c>
      <c r="K86" s="703">
        <f t="shared" ca="1" si="56"/>
        <v>0</v>
      </c>
      <c r="L86" s="693"/>
      <c r="M86" s="684"/>
      <c r="N86" s="684"/>
      <c r="O86" s="684"/>
      <c r="P86" s="684"/>
      <c r="Q86" s="684"/>
      <c r="R86" s="684"/>
      <c r="S86" s="684"/>
      <c r="T86" s="684"/>
      <c r="U86" s="684"/>
    </row>
    <row r="87" spans="1:21" ht="18.75" x14ac:dyDescent="0.25">
      <c r="A87" s="687"/>
      <c r="B87" s="688"/>
      <c r="C87" s="688"/>
      <c r="D87" s="688"/>
      <c r="E87" s="695"/>
      <c r="F87" s="695"/>
      <c r="G87" s="692"/>
      <c r="H87" s="700" t="s">
        <v>35</v>
      </c>
      <c r="I87" s="701">
        <f ca="1">IFERROR(__xludf.DUMMYFUNCTION("IMPORTRANGE(""https://docs.google.com/spreadsheets/d/1eHaY18a8A9IcSdp1K8H6x8fbOy06t2VsZHhMHf-1x7Y/edit?usp=sharing"",""แผน!G23"")"),0)</f>
        <v>0</v>
      </c>
      <c r="J87" s="702">
        <v>0</v>
      </c>
      <c r="K87" s="703">
        <f t="shared" ca="1" si="56"/>
        <v>0</v>
      </c>
      <c r="L87" s="693"/>
      <c r="M87" s="684"/>
      <c r="N87" s="684"/>
      <c r="O87" s="684"/>
      <c r="P87" s="684"/>
      <c r="Q87" s="684"/>
      <c r="R87" s="684"/>
      <c r="S87" s="684"/>
      <c r="T87" s="684"/>
      <c r="U87" s="684"/>
    </row>
    <row r="88" spans="1:21" ht="18.75" x14ac:dyDescent="0.25">
      <c r="A88" s="687"/>
      <c r="B88" s="688"/>
      <c r="C88" s="688"/>
      <c r="D88" s="688"/>
      <c r="E88" s="699" t="s">
        <v>42</v>
      </c>
      <c r="F88" s="695"/>
      <c r="G88" s="692"/>
      <c r="H88" s="700" t="s">
        <v>34</v>
      </c>
      <c r="I88" s="701">
        <f ca="1">IFERROR(__xludf.DUMMYFUNCTION("IMPORTRANGE(""https://docs.google.com/spreadsheets/d/1eHaY18a8A9IcSdp1K8H6x8fbOy06t2VsZHhMHf-1x7Y/edit?usp=sharing"",""แผน!D23"")"),0)</f>
        <v>0</v>
      </c>
      <c r="J88" s="702">
        <v>0</v>
      </c>
      <c r="K88" s="703">
        <f t="shared" ca="1" si="56"/>
        <v>0</v>
      </c>
      <c r="L88" s="693"/>
      <c r="M88" s="684"/>
      <c r="N88" s="684"/>
      <c r="O88" s="684"/>
      <c r="P88" s="684"/>
      <c r="Q88" s="684"/>
      <c r="R88" s="684"/>
      <c r="S88" s="684"/>
      <c r="T88" s="684"/>
      <c r="U88" s="684"/>
    </row>
    <row r="89" spans="1:21" ht="18.75" x14ac:dyDescent="0.25">
      <c r="A89" s="687"/>
      <c r="B89" s="688"/>
      <c r="C89" s="688"/>
      <c r="D89" s="688"/>
      <c r="E89" s="695"/>
      <c r="F89" s="695"/>
      <c r="G89" s="692"/>
      <c r="H89" s="700" t="s">
        <v>35</v>
      </c>
      <c r="I89" s="701">
        <f ca="1">IFERROR(__xludf.DUMMYFUNCTION("IMPORTRANGE(""https://docs.google.com/spreadsheets/d/1eHaY18a8A9IcSdp1K8H6x8fbOy06t2VsZHhMHf-1x7Y/edit?usp=sharing"",""แผน!E23"")"),0)</f>
        <v>0</v>
      </c>
      <c r="J89" s="702">
        <v>0</v>
      </c>
      <c r="K89" s="703">
        <f t="shared" ca="1" si="56"/>
        <v>0</v>
      </c>
      <c r="L89" s="693"/>
      <c r="M89" s="684"/>
      <c r="N89" s="684"/>
      <c r="O89" s="684"/>
      <c r="P89" s="684"/>
      <c r="Q89" s="684"/>
      <c r="R89" s="684"/>
      <c r="S89" s="684"/>
      <c r="T89" s="684"/>
      <c r="U89" s="684"/>
    </row>
    <row r="90" spans="1:21" ht="18.75" x14ac:dyDescent="0.25">
      <c r="A90" s="687"/>
      <c r="B90" s="688"/>
      <c r="C90" s="688"/>
      <c r="D90" s="694" t="s">
        <v>43</v>
      </c>
      <c r="E90" s="695"/>
      <c r="F90" s="695"/>
      <c r="G90" s="692"/>
      <c r="H90" s="704" t="s">
        <v>34</v>
      </c>
      <c r="I90" s="701">
        <f ca="1">IFERROR(__xludf.DUMMYFUNCTION("IMPORTRANGE(""https://docs.google.com/spreadsheets/d/1eHaY18a8A9IcSdp1K8H6x8fbOy06t2VsZHhMHf-1x7Y/edit?usp=sharing"",""แผน!J23"")"),1)</f>
        <v>1</v>
      </c>
      <c r="J90" s="702">
        <v>0</v>
      </c>
      <c r="K90" s="703">
        <f t="shared" ca="1" si="56"/>
        <v>0</v>
      </c>
      <c r="L90" s="693"/>
      <c r="M90" s="684"/>
      <c r="N90" s="684"/>
      <c r="O90" s="684"/>
      <c r="P90" s="684"/>
      <c r="Q90" s="684"/>
      <c r="R90" s="684"/>
      <c r="S90" s="684"/>
      <c r="T90" s="684"/>
      <c r="U90" s="684"/>
    </row>
    <row r="91" spans="1:21" ht="19.5" x14ac:dyDescent="0.3">
      <c r="A91" s="662" t="s">
        <v>44</v>
      </c>
      <c r="B91" s="663"/>
      <c r="C91" s="664"/>
      <c r="D91" s="663"/>
      <c r="E91" s="663"/>
      <c r="F91" s="663"/>
      <c r="G91" s="665"/>
      <c r="H91" s="665"/>
      <c r="I91" s="666"/>
      <c r="J91" s="666"/>
      <c r="K91" s="667"/>
      <c r="L91" s="668"/>
      <c r="M91" s="667"/>
      <c r="N91" s="667"/>
      <c r="O91" s="667"/>
      <c r="P91" s="667"/>
      <c r="Q91" s="667"/>
      <c r="R91" s="667"/>
      <c r="S91" s="667"/>
      <c r="T91" s="667"/>
      <c r="U91" s="667"/>
    </row>
    <row r="92" spans="1:21" ht="19.5" x14ac:dyDescent="0.3">
      <c r="A92" s="669"/>
      <c r="B92" s="544" t="s">
        <v>45</v>
      </c>
      <c r="C92" s="543"/>
      <c r="D92" s="670"/>
      <c r="E92" s="543"/>
      <c r="F92" s="543"/>
      <c r="G92" s="546"/>
      <c r="H92" s="671" t="s">
        <v>46</v>
      </c>
      <c r="I92" s="672">
        <f t="shared" ref="I92:J93" ca="1" si="57">I108</f>
        <v>60</v>
      </c>
      <c r="J92" s="672">
        <f t="shared" si="57"/>
        <v>0</v>
      </c>
      <c r="K92" s="551">
        <f t="shared" ref="K92:K93" ca="1" si="58">IF(I92&gt;0,J92*100/I92,0)</f>
        <v>0</v>
      </c>
      <c r="L92" s="673"/>
      <c r="M92" s="549"/>
      <c r="N92" s="549"/>
      <c r="O92" s="549"/>
      <c r="P92" s="549"/>
      <c r="Q92" s="549"/>
      <c r="R92" s="549"/>
      <c r="S92" s="549"/>
      <c r="T92" s="549"/>
      <c r="U92" s="549"/>
    </row>
    <row r="93" spans="1:21" ht="19.5" x14ac:dyDescent="0.3">
      <c r="A93" s="669"/>
      <c r="B93" s="543"/>
      <c r="C93" s="543"/>
      <c r="D93" s="670"/>
      <c r="E93" s="543"/>
      <c r="F93" s="543"/>
      <c r="G93" s="546"/>
      <c r="H93" s="671" t="s">
        <v>35</v>
      </c>
      <c r="I93" s="672">
        <f t="shared" ca="1" si="57"/>
        <v>20</v>
      </c>
      <c r="J93" s="672">
        <f t="shared" si="57"/>
        <v>0</v>
      </c>
      <c r="K93" s="551">
        <f t="shared" ca="1" si="58"/>
        <v>0</v>
      </c>
      <c r="L93" s="673"/>
      <c r="M93" s="549"/>
      <c r="N93" s="549"/>
      <c r="O93" s="549"/>
      <c r="P93" s="549"/>
      <c r="Q93" s="549"/>
      <c r="R93" s="549"/>
      <c r="S93" s="549"/>
      <c r="T93" s="549"/>
      <c r="U93" s="549"/>
    </row>
    <row r="94" spans="1:21" ht="19.5" x14ac:dyDescent="0.3">
      <c r="A94" s="674"/>
      <c r="B94" s="561"/>
      <c r="C94" s="675" t="s">
        <v>18</v>
      </c>
      <c r="D94" s="676" t="s">
        <v>19</v>
      </c>
      <c r="E94" s="561"/>
      <c r="F94" s="561"/>
      <c r="G94" s="563"/>
      <c r="H94" s="677" t="s">
        <v>14</v>
      </c>
      <c r="I94" s="565"/>
      <c r="J94" s="565"/>
      <c r="K94" s="566"/>
      <c r="L94" s="678">
        <f t="shared" ref="L94:N94" ca="1" si="59">L95+L96</f>
        <v>0</v>
      </c>
      <c r="M94" s="679">
        <f t="shared" ca="1" si="59"/>
        <v>39000</v>
      </c>
      <c r="N94" s="679">
        <f t="shared" ca="1" si="59"/>
        <v>0</v>
      </c>
      <c r="O94" s="679">
        <f t="shared" ref="O94:O102" ca="1" si="60">IF(L94&gt;0,N94*100/L94,0)</f>
        <v>0</v>
      </c>
      <c r="P94" s="679">
        <f t="shared" ref="P94:P102" ca="1" si="61">IF(M94&gt;0,N94*100/M94,0)</f>
        <v>0</v>
      </c>
      <c r="Q94" s="679">
        <f t="shared" ref="Q94:S94" ca="1" si="62">Q95+Q96</f>
        <v>129840</v>
      </c>
      <c r="R94" s="679">
        <f t="shared" ca="1" si="62"/>
        <v>129840</v>
      </c>
      <c r="S94" s="679">
        <f t="shared" ca="1" si="62"/>
        <v>33447.5</v>
      </c>
      <c r="T94" s="679">
        <f t="shared" ref="T94:T102" ca="1" si="63">IF(Q94&gt;0,S94*100/Q94,0)</f>
        <v>25.760551447935921</v>
      </c>
      <c r="U94" s="679">
        <f t="shared" ref="U94:U102" ca="1" si="64">IF(R94&gt;0,S94*100/R94,0)</f>
        <v>25.760551447935921</v>
      </c>
    </row>
    <row r="95" spans="1:21" ht="18.75" x14ac:dyDescent="0.25">
      <c r="A95" s="674"/>
      <c r="B95" s="561"/>
      <c r="C95" s="561"/>
      <c r="D95" s="561"/>
      <c r="E95" s="569" t="s">
        <v>20</v>
      </c>
      <c r="F95" s="561"/>
      <c r="G95" s="563"/>
      <c r="H95" s="680" t="s">
        <v>14</v>
      </c>
      <c r="I95" s="565"/>
      <c r="J95" s="565"/>
      <c r="K95" s="566"/>
      <c r="L95" s="571">
        <f t="shared" ref="L95:N96" si="65">L98+L101</f>
        <v>0</v>
      </c>
      <c r="M95" s="572">
        <f t="shared" si="65"/>
        <v>0</v>
      </c>
      <c r="N95" s="572">
        <f t="shared" si="65"/>
        <v>0</v>
      </c>
      <c r="O95" s="572">
        <f t="shared" si="60"/>
        <v>0</v>
      </c>
      <c r="P95" s="572">
        <f t="shared" si="61"/>
        <v>0</v>
      </c>
      <c r="Q95" s="572">
        <f t="shared" ref="Q95:S96" si="66">Q98+Q101</f>
        <v>0</v>
      </c>
      <c r="R95" s="572">
        <f t="shared" si="66"/>
        <v>0</v>
      </c>
      <c r="S95" s="572">
        <f t="shared" si="66"/>
        <v>0</v>
      </c>
      <c r="T95" s="572">
        <f t="shared" si="63"/>
        <v>0</v>
      </c>
      <c r="U95" s="572">
        <f t="shared" si="64"/>
        <v>0</v>
      </c>
    </row>
    <row r="96" spans="1:21" ht="18.75" x14ac:dyDescent="0.25">
      <c r="A96" s="674"/>
      <c r="B96" s="561"/>
      <c r="C96" s="561"/>
      <c r="D96" s="561"/>
      <c r="E96" s="573" t="s">
        <v>21</v>
      </c>
      <c r="F96" s="561"/>
      <c r="G96" s="563"/>
      <c r="H96" s="681" t="s">
        <v>14</v>
      </c>
      <c r="I96" s="565"/>
      <c r="J96" s="565"/>
      <c r="K96" s="566"/>
      <c r="L96" s="567">
        <f t="shared" ca="1" si="65"/>
        <v>0</v>
      </c>
      <c r="M96" s="568">
        <f t="shared" ca="1" si="65"/>
        <v>39000</v>
      </c>
      <c r="N96" s="568">
        <f t="shared" ca="1" si="65"/>
        <v>0</v>
      </c>
      <c r="O96" s="568">
        <f t="shared" ca="1" si="60"/>
        <v>0</v>
      </c>
      <c r="P96" s="568">
        <f t="shared" ca="1" si="61"/>
        <v>0</v>
      </c>
      <c r="Q96" s="568">
        <f t="shared" ca="1" si="66"/>
        <v>129840</v>
      </c>
      <c r="R96" s="568">
        <f t="shared" ca="1" si="66"/>
        <v>129840</v>
      </c>
      <c r="S96" s="568">
        <f t="shared" ca="1" si="66"/>
        <v>33447.5</v>
      </c>
      <c r="T96" s="568">
        <f t="shared" ca="1" si="63"/>
        <v>25.760551447935921</v>
      </c>
      <c r="U96" s="568">
        <f t="shared" ca="1" si="64"/>
        <v>25.760551447935921</v>
      </c>
    </row>
    <row r="97" spans="1:21" ht="18.75" x14ac:dyDescent="0.25">
      <c r="A97" s="674"/>
      <c r="B97" s="561"/>
      <c r="C97" s="561"/>
      <c r="D97" s="562" t="s">
        <v>22</v>
      </c>
      <c r="E97" s="561"/>
      <c r="F97" s="561"/>
      <c r="G97" s="563"/>
      <c r="H97" s="682" t="s">
        <v>14</v>
      </c>
      <c r="I97" s="683"/>
      <c r="J97" s="683"/>
      <c r="K97" s="684"/>
      <c r="L97" s="567">
        <f t="shared" ref="L97:N97" ca="1" si="67">L98+L99</f>
        <v>0</v>
      </c>
      <c r="M97" s="568">
        <f t="shared" ca="1" si="67"/>
        <v>39000</v>
      </c>
      <c r="N97" s="568">
        <f t="shared" ca="1" si="67"/>
        <v>0</v>
      </c>
      <c r="O97" s="568">
        <f t="shared" ca="1" si="60"/>
        <v>0</v>
      </c>
      <c r="P97" s="568">
        <f t="shared" ca="1" si="61"/>
        <v>0</v>
      </c>
      <c r="Q97" s="568">
        <f t="shared" ref="Q97:S97" ca="1" si="68">Q98+Q99</f>
        <v>129840</v>
      </c>
      <c r="R97" s="568">
        <f t="shared" ca="1" si="68"/>
        <v>129840</v>
      </c>
      <c r="S97" s="568">
        <f t="shared" ca="1" si="68"/>
        <v>33447.5</v>
      </c>
      <c r="T97" s="568">
        <f t="shared" ca="1" si="63"/>
        <v>25.760551447935921</v>
      </c>
      <c r="U97" s="568">
        <f t="shared" ca="1" si="64"/>
        <v>25.760551447935921</v>
      </c>
    </row>
    <row r="98" spans="1:21" ht="18.75" x14ac:dyDescent="0.25">
      <c r="A98" s="674"/>
      <c r="B98" s="561"/>
      <c r="C98" s="561"/>
      <c r="D98" s="561"/>
      <c r="E98" s="569" t="s">
        <v>36</v>
      </c>
      <c r="F98" s="561"/>
      <c r="G98" s="563"/>
      <c r="H98" s="685" t="s">
        <v>14</v>
      </c>
      <c r="I98" s="683"/>
      <c r="J98" s="683"/>
      <c r="K98" s="684"/>
      <c r="L98" s="571">
        <v>0</v>
      </c>
      <c r="M98" s="572">
        <v>0</v>
      </c>
      <c r="N98" s="572">
        <v>0</v>
      </c>
      <c r="O98" s="572">
        <f t="shared" si="60"/>
        <v>0</v>
      </c>
      <c r="P98" s="572">
        <f t="shared" si="61"/>
        <v>0</v>
      </c>
      <c r="Q98" s="572">
        <v>0</v>
      </c>
      <c r="R98" s="572">
        <v>0</v>
      </c>
      <c r="S98" s="572">
        <v>0</v>
      </c>
      <c r="T98" s="572">
        <f t="shared" si="63"/>
        <v>0</v>
      </c>
      <c r="U98" s="572">
        <f t="shared" si="64"/>
        <v>0</v>
      </c>
    </row>
    <row r="99" spans="1:21" ht="18.75" x14ac:dyDescent="0.25">
      <c r="A99" s="674"/>
      <c r="B99" s="561"/>
      <c r="C99" s="561"/>
      <c r="D99" s="561"/>
      <c r="E99" s="573" t="s">
        <v>37</v>
      </c>
      <c r="F99" s="561"/>
      <c r="G99" s="563"/>
      <c r="H99" s="682" t="s">
        <v>14</v>
      </c>
      <c r="I99" s="683"/>
      <c r="J99" s="683"/>
      <c r="K99" s="684"/>
      <c r="L99" s="567">
        <f ca="1">IFERROR(__xludf.DUMMYFUNCTION("IMPORTRANGE(""https://docs.google.com/spreadsheets/d/1-uDff_7J0KD5mKrp0Vvzr7lt3OU09vwQwhkpOPPYv2Y/edit?usp=sharing"",""งบพรบ!AW23"")"),0)</f>
        <v>0</v>
      </c>
      <c r="M99" s="568">
        <f ca="1">IFERROR(__xludf.DUMMYFUNCTION("IMPORTRANGE(""https://docs.google.com/spreadsheets/d/1-uDff_7J0KD5mKrp0Vvzr7lt3OU09vwQwhkpOPPYv2Y/edit?usp=sharing"",""งบพรบ!BB23"")"),39000)</f>
        <v>39000</v>
      </c>
      <c r="N99" s="568">
        <f ca="1">IFERROR(__xludf.DUMMYFUNCTION("IMPORTRANGE(""https://docs.google.com/spreadsheets/d/1-uDff_7J0KD5mKrp0Vvzr7lt3OU09vwQwhkpOPPYv2Y/edit?usp=sharing"",""งบพรบ!BD23"")"),0)</f>
        <v>0</v>
      </c>
      <c r="O99" s="568">
        <f t="shared" ca="1" si="60"/>
        <v>0</v>
      </c>
      <c r="P99" s="568">
        <f t="shared" ca="1" si="61"/>
        <v>0</v>
      </c>
      <c r="Q99" s="568">
        <f ca="1">IFERROR(__xludf.DUMMYFUNCTION("IMPORTRANGE(""https://docs.google.com/spreadsheets/d/1ItG2mGa2ceCfYo0BwxsXqNm01IGEUdYcSSLTEv9YCik/edit?usp=sharing"",""เบิกจ่ายกองทุน!AJ23"")"),129840)</f>
        <v>129840</v>
      </c>
      <c r="R99" s="568">
        <f ca="1">IFERROR(__xludf.DUMMYFUNCTION("IMPORTRANGE(""https://docs.google.com/spreadsheets/d/1ItG2mGa2ceCfYo0BwxsXqNm01IGEUdYcSSLTEv9YCik/edit?usp=sharing"",""เบิกจ่ายกองทุน!AK23"")"),129840)</f>
        <v>129840</v>
      </c>
      <c r="S99" s="568">
        <f ca="1">IFERROR(__xludf.DUMMYFUNCTION("IMPORTRANGE(""https://docs.google.com/spreadsheets/d/1ItG2mGa2ceCfYo0BwxsXqNm01IGEUdYcSSLTEv9YCik/edit?usp=sharing"",""เบิกจ่ายกองทุน!AL23"")"),33447.5)</f>
        <v>33447.5</v>
      </c>
      <c r="T99" s="568">
        <f t="shared" ca="1" si="63"/>
        <v>25.760551447935921</v>
      </c>
      <c r="U99" s="568">
        <f t="shared" ca="1" si="64"/>
        <v>25.760551447935921</v>
      </c>
    </row>
    <row r="100" spans="1:21" ht="18.75" x14ac:dyDescent="0.25">
      <c r="A100" s="674"/>
      <c r="B100" s="561"/>
      <c r="C100" s="561"/>
      <c r="D100" s="562" t="s">
        <v>23</v>
      </c>
      <c r="E100" s="561"/>
      <c r="F100" s="561"/>
      <c r="G100" s="563"/>
      <c r="H100" s="686" t="s">
        <v>14</v>
      </c>
      <c r="I100" s="683"/>
      <c r="J100" s="683"/>
      <c r="K100" s="684"/>
      <c r="L100" s="567">
        <f t="shared" ref="L100:N100" ca="1" si="69">L101+L102</f>
        <v>0</v>
      </c>
      <c r="M100" s="568">
        <f t="shared" ca="1" si="69"/>
        <v>0</v>
      </c>
      <c r="N100" s="568">
        <f t="shared" ca="1" si="69"/>
        <v>0</v>
      </c>
      <c r="O100" s="568">
        <f t="shared" ca="1" si="60"/>
        <v>0</v>
      </c>
      <c r="P100" s="568">
        <f t="shared" ca="1" si="61"/>
        <v>0</v>
      </c>
      <c r="Q100" s="568">
        <f t="shared" ref="Q100:S100" si="70">Q101+Q102</f>
        <v>0</v>
      </c>
      <c r="R100" s="568">
        <f t="shared" si="70"/>
        <v>0</v>
      </c>
      <c r="S100" s="568">
        <f t="shared" si="70"/>
        <v>0</v>
      </c>
      <c r="T100" s="568">
        <f t="shared" si="63"/>
        <v>0</v>
      </c>
      <c r="U100" s="568">
        <f t="shared" si="64"/>
        <v>0</v>
      </c>
    </row>
    <row r="101" spans="1:21" ht="18.75" x14ac:dyDescent="0.25">
      <c r="A101" s="674"/>
      <c r="B101" s="561"/>
      <c r="C101" s="561"/>
      <c r="D101" s="561"/>
      <c r="E101" s="569" t="s">
        <v>20</v>
      </c>
      <c r="F101" s="561"/>
      <c r="G101" s="563"/>
      <c r="H101" s="685" t="s">
        <v>14</v>
      </c>
      <c r="I101" s="683"/>
      <c r="J101" s="683"/>
      <c r="K101" s="684"/>
      <c r="L101" s="571">
        <v>0</v>
      </c>
      <c r="M101" s="572">
        <v>0</v>
      </c>
      <c r="N101" s="572">
        <v>0</v>
      </c>
      <c r="O101" s="572">
        <f t="shared" si="60"/>
        <v>0</v>
      </c>
      <c r="P101" s="572">
        <f t="shared" si="61"/>
        <v>0</v>
      </c>
      <c r="Q101" s="572">
        <v>0</v>
      </c>
      <c r="R101" s="572">
        <v>0</v>
      </c>
      <c r="S101" s="572">
        <v>0</v>
      </c>
      <c r="T101" s="572">
        <f t="shared" si="63"/>
        <v>0</v>
      </c>
      <c r="U101" s="572">
        <f t="shared" si="64"/>
        <v>0</v>
      </c>
    </row>
    <row r="102" spans="1:21" ht="18.75" x14ac:dyDescent="0.25">
      <c r="A102" s="674"/>
      <c r="B102" s="561"/>
      <c r="C102" s="561"/>
      <c r="D102" s="561"/>
      <c r="E102" s="573" t="s">
        <v>21</v>
      </c>
      <c r="F102" s="561"/>
      <c r="G102" s="563"/>
      <c r="H102" s="686" t="s">
        <v>14</v>
      </c>
      <c r="I102" s="683"/>
      <c r="J102" s="683"/>
      <c r="K102" s="684"/>
      <c r="L102" s="567">
        <f ca="1">IFERROR(__xludf.DUMMYFUNCTION("IMPORTRANGE(""https://docs.google.com/spreadsheets/d/1-uDff_7J0KD5mKrp0Vvzr7lt3OU09vwQwhkpOPPYv2Y/edit?usp=sharing"",""งบพรบ!AZ23"")"),0)</f>
        <v>0</v>
      </c>
      <c r="M102" s="568">
        <f ca="1">IFERROR(__xludf.DUMMYFUNCTION("IMPORTRANGE(""https://docs.google.com/spreadsheets/d/1-uDff_7J0KD5mKrp0Vvzr7lt3OU09vwQwhkpOPPYv2Y/edit?usp=sharing"",""งบพรบ!BC23"")"),0)</f>
        <v>0</v>
      </c>
      <c r="N102" s="568">
        <f ca="1">IFERROR(__xludf.DUMMYFUNCTION("IMPORTRANGE(""https://docs.google.com/spreadsheets/d/1-uDff_7J0KD5mKrp0Vvzr7lt3OU09vwQwhkpOPPYv2Y/edit?usp=sharing"",""งบพรบ!BE23"")"),0)</f>
        <v>0</v>
      </c>
      <c r="O102" s="568">
        <f t="shared" ca="1" si="60"/>
        <v>0</v>
      </c>
      <c r="P102" s="568">
        <f t="shared" ca="1" si="61"/>
        <v>0</v>
      </c>
      <c r="Q102" s="568">
        <v>0</v>
      </c>
      <c r="R102" s="568">
        <v>0</v>
      </c>
      <c r="S102" s="568">
        <v>0</v>
      </c>
      <c r="T102" s="568">
        <f t="shared" si="63"/>
        <v>0</v>
      </c>
      <c r="U102" s="568">
        <f t="shared" si="64"/>
        <v>0</v>
      </c>
    </row>
    <row r="103" spans="1:21" ht="19.5" x14ac:dyDescent="0.3">
      <c r="A103" s="687"/>
      <c r="B103" s="688"/>
      <c r="C103" s="675" t="s">
        <v>18</v>
      </c>
      <c r="D103" s="689" t="s">
        <v>38</v>
      </c>
      <c r="E103" s="690"/>
      <c r="F103" s="690"/>
      <c r="G103" s="691"/>
      <c r="H103" s="692"/>
      <c r="I103" s="683"/>
      <c r="J103" s="565"/>
      <c r="K103" s="566"/>
      <c r="L103" s="574"/>
      <c r="M103" s="566"/>
      <c r="N103" s="566"/>
      <c r="O103" s="684"/>
      <c r="P103" s="684"/>
      <c r="Q103" s="566"/>
      <c r="R103" s="566"/>
      <c r="S103" s="566"/>
      <c r="T103" s="684"/>
      <c r="U103" s="684"/>
    </row>
    <row r="104" spans="1:21" ht="12.75" hidden="1" x14ac:dyDescent="0.2">
      <c r="A104" s="705"/>
      <c r="B104" s="706"/>
      <c r="C104" s="706"/>
      <c r="D104" s="531"/>
      <c r="E104" s="531"/>
      <c r="F104" s="531"/>
      <c r="G104" s="532"/>
      <c r="H104" s="532"/>
      <c r="I104" s="533"/>
      <c r="J104" s="533"/>
      <c r="K104" s="534"/>
      <c r="L104" s="535"/>
      <c r="M104" s="534"/>
      <c r="N104" s="534"/>
      <c r="O104" s="534"/>
      <c r="P104" s="534"/>
      <c r="Q104" s="534"/>
      <c r="R104" s="534"/>
      <c r="S104" s="534"/>
      <c r="T104" s="534"/>
      <c r="U104" s="534"/>
    </row>
    <row r="105" spans="1:21" ht="12.75" hidden="1" x14ac:dyDescent="0.2">
      <c r="A105" s="705"/>
      <c r="B105" s="706"/>
      <c r="C105" s="706"/>
      <c r="D105" s="531"/>
      <c r="E105" s="531"/>
      <c r="F105" s="531"/>
      <c r="G105" s="532"/>
      <c r="H105" s="532"/>
      <c r="I105" s="533"/>
      <c r="J105" s="533"/>
      <c r="K105" s="534"/>
      <c r="L105" s="535"/>
      <c r="M105" s="534"/>
      <c r="N105" s="534"/>
      <c r="O105" s="534"/>
      <c r="P105" s="534"/>
      <c r="Q105" s="534"/>
      <c r="R105" s="534"/>
      <c r="S105" s="534"/>
      <c r="T105" s="534"/>
      <c r="U105" s="534"/>
    </row>
    <row r="106" spans="1:21" ht="12.75" hidden="1" x14ac:dyDescent="0.2">
      <c r="A106" s="705"/>
      <c r="B106" s="706"/>
      <c r="C106" s="706"/>
      <c r="D106" s="706"/>
      <c r="E106" s="531"/>
      <c r="F106" s="531"/>
      <c r="G106" s="532"/>
      <c r="H106" s="532"/>
      <c r="I106" s="533"/>
      <c r="J106" s="533"/>
      <c r="K106" s="534"/>
      <c r="L106" s="535"/>
      <c r="M106" s="534"/>
      <c r="N106" s="534"/>
      <c r="O106" s="534"/>
      <c r="P106" s="534"/>
      <c r="Q106" s="534"/>
      <c r="R106" s="534"/>
      <c r="S106" s="534"/>
      <c r="T106" s="534"/>
      <c r="U106" s="534"/>
    </row>
    <row r="107" spans="1:21" ht="19.5" x14ac:dyDescent="0.3">
      <c r="A107" s="687"/>
      <c r="B107" s="688"/>
      <c r="C107" s="688"/>
      <c r="D107" s="707" t="s">
        <v>47</v>
      </c>
      <c r="E107" s="510"/>
      <c r="F107" s="695"/>
      <c r="G107" s="692"/>
      <c r="H107" s="563"/>
      <c r="I107" s="565"/>
      <c r="J107" s="565"/>
      <c r="K107" s="566"/>
      <c r="L107" s="574"/>
      <c r="M107" s="566"/>
      <c r="N107" s="566"/>
      <c r="O107" s="684"/>
      <c r="P107" s="684"/>
      <c r="Q107" s="566"/>
      <c r="R107" s="566"/>
      <c r="S107" s="566"/>
      <c r="T107" s="684"/>
      <c r="U107" s="684"/>
    </row>
    <row r="108" spans="1:21" ht="18.75" x14ac:dyDescent="0.25">
      <c r="A108" s="687"/>
      <c r="B108" s="688"/>
      <c r="C108" s="688"/>
      <c r="D108" s="699" t="s">
        <v>48</v>
      </c>
      <c r="E108" s="695"/>
      <c r="F108" s="695"/>
      <c r="G108" s="692"/>
      <c r="H108" s="564" t="s">
        <v>46</v>
      </c>
      <c r="I108" s="708">
        <f ca="1">IFERROR(__xludf.DUMMYFUNCTION("IMPORTRANGE(""https://docs.google.com/spreadsheets/d/1eHaY18a8A9IcSdp1K8H6x8fbOy06t2VsZHhMHf-1x7Y/edit?usp=sharing"",""แผน!N23"")"),60)</f>
        <v>60</v>
      </c>
      <c r="J108" s="702">
        <v>0</v>
      </c>
      <c r="K108" s="568">
        <f t="shared" ref="K108:K109" ca="1" si="71">IF(I108&gt;0,J108*100/I108,0)</f>
        <v>0</v>
      </c>
      <c r="L108" s="574"/>
      <c r="M108" s="566"/>
      <c r="N108" s="566"/>
      <c r="O108" s="684"/>
      <c r="P108" s="684"/>
      <c r="Q108" s="566"/>
      <c r="R108" s="566"/>
      <c r="S108" s="566"/>
      <c r="T108" s="684"/>
      <c r="U108" s="684"/>
    </row>
    <row r="109" spans="1:21" ht="18.75" x14ac:dyDescent="0.25">
      <c r="A109" s="687"/>
      <c r="B109" s="688"/>
      <c r="C109" s="688"/>
      <c r="D109" s="699" t="s">
        <v>49</v>
      </c>
      <c r="E109" s="695"/>
      <c r="F109" s="695"/>
      <c r="G109" s="692"/>
      <c r="H109" s="564" t="s">
        <v>35</v>
      </c>
      <c r="I109" s="708">
        <f ca="1">IFERROR(__xludf.DUMMYFUNCTION("IMPORTRANGE(""https://docs.google.com/spreadsheets/d/1eHaY18a8A9IcSdp1K8H6x8fbOy06t2VsZHhMHf-1x7Y/edit?usp=sharing"",""แผน!O23"")"),20)</f>
        <v>20</v>
      </c>
      <c r="J109" s="702">
        <v>0</v>
      </c>
      <c r="K109" s="568">
        <f t="shared" ca="1" si="71"/>
        <v>0</v>
      </c>
      <c r="L109" s="574"/>
      <c r="M109" s="566"/>
      <c r="N109" s="566"/>
      <c r="O109" s="684"/>
      <c r="P109" s="684"/>
      <c r="Q109" s="566"/>
      <c r="R109" s="566"/>
      <c r="S109" s="566"/>
      <c r="T109" s="684"/>
      <c r="U109" s="684"/>
    </row>
    <row r="110" spans="1:21" ht="12.75" hidden="1" x14ac:dyDescent="0.2">
      <c r="A110" s="705"/>
      <c r="B110" s="706"/>
      <c r="C110" s="706"/>
      <c r="D110" s="531"/>
      <c r="E110" s="531"/>
      <c r="F110" s="531"/>
      <c r="G110" s="532"/>
      <c r="H110" s="532"/>
      <c r="I110" s="533"/>
      <c r="J110" s="533"/>
      <c r="K110" s="534"/>
      <c r="L110" s="535"/>
      <c r="M110" s="534"/>
      <c r="N110" s="534"/>
      <c r="O110" s="534"/>
      <c r="P110" s="534"/>
      <c r="Q110" s="534"/>
      <c r="R110" s="534"/>
      <c r="S110" s="534"/>
      <c r="T110" s="534"/>
      <c r="U110" s="534"/>
    </row>
    <row r="111" spans="1:21" ht="12.75" hidden="1" x14ac:dyDescent="0.2">
      <c r="A111" s="705"/>
      <c r="B111" s="706"/>
      <c r="C111" s="706"/>
      <c r="D111" s="531"/>
      <c r="E111" s="531"/>
      <c r="F111" s="531"/>
      <c r="G111" s="532"/>
      <c r="H111" s="532"/>
      <c r="I111" s="533"/>
      <c r="J111" s="533"/>
      <c r="K111" s="534"/>
      <c r="L111" s="535"/>
      <c r="M111" s="534"/>
      <c r="N111" s="534"/>
      <c r="O111" s="534"/>
      <c r="P111" s="534"/>
      <c r="Q111" s="534"/>
      <c r="R111" s="534"/>
      <c r="S111" s="534"/>
      <c r="T111" s="534"/>
      <c r="U111" s="534"/>
    </row>
    <row r="112" spans="1:21" ht="12.75" hidden="1" x14ac:dyDescent="0.2">
      <c r="A112" s="705"/>
      <c r="B112" s="706"/>
      <c r="C112" s="706"/>
      <c r="D112" s="531"/>
      <c r="E112" s="531"/>
      <c r="F112" s="531"/>
      <c r="G112" s="532"/>
      <c r="H112" s="532"/>
      <c r="I112" s="533"/>
      <c r="J112" s="533"/>
      <c r="K112" s="534"/>
      <c r="L112" s="535"/>
      <c r="M112" s="534"/>
      <c r="N112" s="534"/>
      <c r="O112" s="534"/>
      <c r="P112" s="534"/>
      <c r="Q112" s="534"/>
      <c r="R112" s="534"/>
      <c r="S112" s="534"/>
      <c r="T112" s="534"/>
      <c r="U112" s="534"/>
    </row>
    <row r="113" spans="1:21" ht="18.75" x14ac:dyDescent="0.25">
      <c r="A113" s="1131"/>
      <c r="B113" s="1110"/>
      <c r="C113" s="1110"/>
      <c r="D113" s="1132" t="s">
        <v>50</v>
      </c>
      <c r="E113" s="1112"/>
      <c r="F113" s="1112"/>
      <c r="G113" s="1113"/>
      <c r="H113" s="1133" t="s">
        <v>46</v>
      </c>
      <c r="I113" s="1134">
        <f ca="1">IFERROR(__xludf.DUMMYFUNCTION("IMPORTRANGE(""https://docs.google.com/spreadsheets/d/1eHaY18a8A9IcSdp1K8H6x8fbOy06t2VsZHhMHf-1x7Y/edit?usp=sharing"",""แผน!N23"")"),60)</f>
        <v>60</v>
      </c>
      <c r="J113" s="861">
        <v>0</v>
      </c>
      <c r="K113" s="862">
        <f t="shared" ref="K113:K114" ca="1" si="72">IF(I113&gt;0,J113*100/I113,0)</f>
        <v>0</v>
      </c>
      <c r="L113" s="784"/>
      <c r="M113" s="784"/>
      <c r="N113" s="784"/>
      <c r="O113" s="1116"/>
      <c r="P113" s="1116"/>
      <c r="Q113" s="784"/>
      <c r="R113" s="784"/>
      <c r="S113" s="784"/>
      <c r="T113" s="1116"/>
      <c r="U113" s="1116"/>
    </row>
    <row r="114" spans="1:21" ht="18.75" x14ac:dyDescent="0.25">
      <c r="A114" s="687"/>
      <c r="B114" s="688"/>
      <c r="C114" s="688"/>
      <c r="D114" s="695"/>
      <c r="E114" s="695"/>
      <c r="F114" s="695"/>
      <c r="G114" s="692"/>
      <c r="H114" s="700" t="s">
        <v>35</v>
      </c>
      <c r="I114" s="701">
        <f ca="1">IFERROR(__xludf.DUMMYFUNCTION("IMPORTRANGE(""https://docs.google.com/spreadsheets/d/1eHaY18a8A9IcSdp1K8H6x8fbOy06t2VsZHhMHf-1x7Y/edit?usp=sharing"",""แผน!O23"")"),20)</f>
        <v>20</v>
      </c>
      <c r="J114" s="702">
        <v>0</v>
      </c>
      <c r="K114" s="568">
        <f t="shared" ca="1" si="72"/>
        <v>0</v>
      </c>
      <c r="L114" s="566"/>
      <c r="M114" s="566"/>
      <c r="N114" s="566"/>
      <c r="O114" s="684"/>
      <c r="P114" s="684"/>
      <c r="Q114" s="566"/>
      <c r="R114" s="566"/>
      <c r="S114" s="566"/>
      <c r="T114" s="684"/>
      <c r="U114" s="684"/>
    </row>
    <row r="115" spans="1:21" ht="19.5" x14ac:dyDescent="0.3">
      <c r="A115" s="709" t="s">
        <v>51</v>
      </c>
      <c r="B115" s="710"/>
      <c r="C115" s="711"/>
      <c r="D115" s="712"/>
      <c r="E115" s="712"/>
      <c r="F115" s="712"/>
      <c r="G115" s="712"/>
      <c r="H115" s="710"/>
      <c r="I115" s="713"/>
      <c r="J115" s="713"/>
      <c r="K115" s="714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</row>
    <row r="116" spans="1:21" ht="19.5" x14ac:dyDescent="0.3">
      <c r="A116" s="669"/>
      <c r="B116" s="715" t="s">
        <v>52</v>
      </c>
      <c r="C116" s="716"/>
      <c r="D116" s="670"/>
      <c r="E116" s="543"/>
      <c r="F116" s="543"/>
      <c r="G116" s="546"/>
      <c r="H116" s="717" t="s">
        <v>35</v>
      </c>
      <c r="I116" s="672">
        <f t="shared" ref="I116:J116" ca="1" si="73">I127</f>
        <v>20</v>
      </c>
      <c r="J116" s="672">
        <f t="shared" si="73"/>
        <v>20</v>
      </c>
      <c r="K116" s="551">
        <f ca="1">IF(I116&gt;0,J116*100/I116,0)</f>
        <v>100</v>
      </c>
      <c r="L116" s="673"/>
      <c r="M116" s="549"/>
      <c r="N116" s="549"/>
      <c r="O116" s="549"/>
      <c r="P116" s="549"/>
      <c r="Q116" s="549"/>
      <c r="R116" s="549"/>
      <c r="S116" s="549"/>
      <c r="T116" s="549"/>
      <c r="U116" s="549"/>
    </row>
    <row r="117" spans="1:21" ht="19.5" x14ac:dyDescent="0.3">
      <c r="A117" s="674"/>
      <c r="B117" s="718"/>
      <c r="C117" s="719" t="s">
        <v>18</v>
      </c>
      <c r="D117" s="676" t="s">
        <v>19</v>
      </c>
      <c r="E117" s="561"/>
      <c r="F117" s="561"/>
      <c r="G117" s="563"/>
      <c r="H117" s="677" t="s">
        <v>14</v>
      </c>
      <c r="I117" s="565"/>
      <c r="J117" s="565"/>
      <c r="K117" s="566"/>
      <c r="L117" s="678">
        <f t="shared" ref="L117:N117" ca="1" si="74">L118+L119</f>
        <v>0</v>
      </c>
      <c r="M117" s="679">
        <f t="shared" ca="1" si="74"/>
        <v>0</v>
      </c>
      <c r="N117" s="679">
        <f t="shared" ca="1" si="74"/>
        <v>0</v>
      </c>
      <c r="O117" s="679">
        <f t="shared" ref="O117:O125" ca="1" si="75">IF(L117&gt;0,N117*100/L117,0)</f>
        <v>0</v>
      </c>
      <c r="P117" s="679">
        <f t="shared" ref="P117:P125" ca="1" si="76">IF(M117&gt;0,N117*100/M117,0)</f>
        <v>0</v>
      </c>
      <c r="Q117" s="679">
        <f t="shared" ref="Q117:S117" ca="1" si="77">Q118+Q119</f>
        <v>209360</v>
      </c>
      <c r="R117" s="679">
        <f t="shared" ca="1" si="77"/>
        <v>209360</v>
      </c>
      <c r="S117" s="679">
        <f t="shared" ca="1" si="77"/>
        <v>127050.5</v>
      </c>
      <c r="T117" s="679">
        <f t="shared" ref="T117:T125" ca="1" si="78">IF(Q117&gt;0,S117*100/Q117,0)</f>
        <v>60.685183416125334</v>
      </c>
      <c r="U117" s="679">
        <f t="shared" ref="U117:U125" ca="1" si="79">IF(R117&gt;0,S117*100/R117,0)</f>
        <v>60.685183416125334</v>
      </c>
    </row>
    <row r="118" spans="1:21" ht="18.75" x14ac:dyDescent="0.25">
      <c r="A118" s="674"/>
      <c r="B118" s="718"/>
      <c r="C118" s="718"/>
      <c r="D118" s="718"/>
      <c r="E118" s="569" t="s">
        <v>20</v>
      </c>
      <c r="F118" s="561"/>
      <c r="G118" s="563"/>
      <c r="H118" s="680" t="s">
        <v>14</v>
      </c>
      <c r="I118" s="565"/>
      <c r="J118" s="565"/>
      <c r="K118" s="566"/>
      <c r="L118" s="571">
        <f t="shared" ref="L118:N119" si="80">L121+L124</f>
        <v>0</v>
      </c>
      <c r="M118" s="572">
        <f t="shared" si="80"/>
        <v>0</v>
      </c>
      <c r="N118" s="572">
        <f t="shared" si="80"/>
        <v>0</v>
      </c>
      <c r="O118" s="572">
        <f t="shared" si="75"/>
        <v>0</v>
      </c>
      <c r="P118" s="572">
        <f t="shared" si="76"/>
        <v>0</v>
      </c>
      <c r="Q118" s="572">
        <f t="shared" ref="Q118:S119" si="81">Q121+Q124</f>
        <v>0</v>
      </c>
      <c r="R118" s="572">
        <f t="shared" si="81"/>
        <v>0</v>
      </c>
      <c r="S118" s="572">
        <f t="shared" si="81"/>
        <v>0</v>
      </c>
      <c r="T118" s="572">
        <f t="shared" si="78"/>
        <v>0</v>
      </c>
      <c r="U118" s="572">
        <f t="shared" si="79"/>
        <v>0</v>
      </c>
    </row>
    <row r="119" spans="1:21" ht="18.75" x14ac:dyDescent="0.25">
      <c r="A119" s="674"/>
      <c r="B119" s="718"/>
      <c r="C119" s="718"/>
      <c r="D119" s="718"/>
      <c r="E119" s="573" t="s">
        <v>21</v>
      </c>
      <c r="F119" s="561"/>
      <c r="G119" s="563"/>
      <c r="H119" s="681" t="s">
        <v>14</v>
      </c>
      <c r="I119" s="565"/>
      <c r="J119" s="565"/>
      <c r="K119" s="566"/>
      <c r="L119" s="567">
        <f t="shared" ca="1" si="80"/>
        <v>0</v>
      </c>
      <c r="M119" s="568">
        <f t="shared" ca="1" si="80"/>
        <v>0</v>
      </c>
      <c r="N119" s="568">
        <f t="shared" ca="1" si="80"/>
        <v>0</v>
      </c>
      <c r="O119" s="568">
        <f t="shared" ca="1" si="75"/>
        <v>0</v>
      </c>
      <c r="P119" s="568">
        <f t="shared" ca="1" si="76"/>
        <v>0</v>
      </c>
      <c r="Q119" s="568">
        <f t="shared" ca="1" si="81"/>
        <v>209360</v>
      </c>
      <c r="R119" s="568">
        <f t="shared" ca="1" si="81"/>
        <v>209360</v>
      </c>
      <c r="S119" s="568">
        <f t="shared" ca="1" si="81"/>
        <v>127050.5</v>
      </c>
      <c r="T119" s="568">
        <f t="shared" ca="1" si="78"/>
        <v>60.685183416125334</v>
      </c>
      <c r="U119" s="568">
        <f t="shared" ca="1" si="79"/>
        <v>60.685183416125334</v>
      </c>
    </row>
    <row r="120" spans="1:21" ht="18.75" x14ac:dyDescent="0.25">
      <c r="A120" s="674"/>
      <c r="B120" s="718"/>
      <c r="C120" s="720"/>
      <c r="D120" s="721" t="s">
        <v>22</v>
      </c>
      <c r="E120" s="561"/>
      <c r="F120" s="561"/>
      <c r="G120" s="563"/>
      <c r="H120" s="722" t="s">
        <v>14</v>
      </c>
      <c r="I120" s="565"/>
      <c r="J120" s="565"/>
      <c r="K120" s="566"/>
      <c r="L120" s="567">
        <f t="shared" ref="L120:N120" ca="1" si="82">L121+L122</f>
        <v>0</v>
      </c>
      <c r="M120" s="568">
        <f t="shared" ca="1" si="82"/>
        <v>0</v>
      </c>
      <c r="N120" s="568">
        <f t="shared" ca="1" si="82"/>
        <v>0</v>
      </c>
      <c r="O120" s="568">
        <f t="shared" ca="1" si="75"/>
        <v>0</v>
      </c>
      <c r="P120" s="568">
        <f t="shared" ca="1" si="76"/>
        <v>0</v>
      </c>
      <c r="Q120" s="568">
        <f t="shared" ref="Q120:S120" ca="1" si="83">Q121+Q122</f>
        <v>209360</v>
      </c>
      <c r="R120" s="568">
        <f t="shared" ca="1" si="83"/>
        <v>209360</v>
      </c>
      <c r="S120" s="568">
        <f t="shared" ca="1" si="83"/>
        <v>127050.5</v>
      </c>
      <c r="T120" s="568">
        <f t="shared" ca="1" si="78"/>
        <v>60.685183416125334</v>
      </c>
      <c r="U120" s="568">
        <f t="shared" ca="1" si="79"/>
        <v>60.685183416125334</v>
      </c>
    </row>
    <row r="121" spans="1:21" ht="18.75" x14ac:dyDescent="0.25">
      <c r="A121" s="674"/>
      <c r="B121" s="718"/>
      <c r="C121" s="720"/>
      <c r="D121" s="718"/>
      <c r="E121" s="569" t="s">
        <v>36</v>
      </c>
      <c r="F121" s="561"/>
      <c r="G121" s="563"/>
      <c r="H121" s="723" t="s">
        <v>14</v>
      </c>
      <c r="I121" s="565"/>
      <c r="J121" s="565"/>
      <c r="K121" s="566"/>
      <c r="L121" s="571">
        <v>0</v>
      </c>
      <c r="M121" s="572">
        <v>0</v>
      </c>
      <c r="N121" s="572">
        <v>0</v>
      </c>
      <c r="O121" s="572">
        <f t="shared" si="75"/>
        <v>0</v>
      </c>
      <c r="P121" s="572">
        <f t="shared" si="76"/>
        <v>0</v>
      </c>
      <c r="Q121" s="572">
        <v>0</v>
      </c>
      <c r="R121" s="572">
        <v>0</v>
      </c>
      <c r="S121" s="572">
        <v>0</v>
      </c>
      <c r="T121" s="572">
        <f t="shared" si="78"/>
        <v>0</v>
      </c>
      <c r="U121" s="572">
        <f t="shared" si="79"/>
        <v>0</v>
      </c>
    </row>
    <row r="122" spans="1:21" ht="18.75" x14ac:dyDescent="0.25">
      <c r="A122" s="674"/>
      <c r="B122" s="718"/>
      <c r="C122" s="720"/>
      <c r="D122" s="718"/>
      <c r="E122" s="573" t="s">
        <v>37</v>
      </c>
      <c r="F122" s="561"/>
      <c r="G122" s="563"/>
      <c r="H122" s="722" t="s">
        <v>14</v>
      </c>
      <c r="I122" s="565"/>
      <c r="J122" s="565"/>
      <c r="K122" s="566"/>
      <c r="L122" s="567">
        <f ca="1">IFERROR(__xludf.DUMMYFUNCTION("IMPORTRANGE(""https://docs.google.com/spreadsheets/d/1-uDff_7J0KD5mKrp0Vvzr7lt3OU09vwQwhkpOPPYv2Y/edit?usp=sharing"",""งบพรบ!BG23"")"),0)</f>
        <v>0</v>
      </c>
      <c r="M122" s="568">
        <f ca="1">IFERROR(__xludf.DUMMYFUNCTION("IMPORTRANGE(""https://docs.google.com/spreadsheets/d/1-uDff_7J0KD5mKrp0Vvzr7lt3OU09vwQwhkpOPPYv2Y/edit?usp=sharing"",""งบพรบ!BL23"")"),0)</f>
        <v>0</v>
      </c>
      <c r="N122" s="568">
        <f ca="1">IFERROR(__xludf.DUMMYFUNCTION("IMPORTRANGE(""https://docs.google.com/spreadsheets/d/1-uDff_7J0KD5mKrp0Vvzr7lt3OU09vwQwhkpOPPYv2Y/edit?usp=sharing"",""งบพรบ!BN23"")"),0)</f>
        <v>0</v>
      </c>
      <c r="O122" s="568">
        <f t="shared" ca="1" si="75"/>
        <v>0</v>
      </c>
      <c r="P122" s="568">
        <f t="shared" ca="1" si="76"/>
        <v>0</v>
      </c>
      <c r="Q122" s="568">
        <f ca="1">IFERROR(__xludf.DUMMYFUNCTION("IMPORTRANGE(""https://docs.google.com/spreadsheets/d/1ItG2mGa2ceCfYo0BwxsXqNm01IGEUdYcSSLTEv9YCik/edit?usp=sharing"",""เบิกจ่ายกองทุน!U23"")"),209360)</f>
        <v>209360</v>
      </c>
      <c r="R122" s="568">
        <f ca="1">IFERROR(__xludf.DUMMYFUNCTION("IMPORTRANGE(""https://docs.google.com/spreadsheets/d/1ItG2mGa2ceCfYo0BwxsXqNm01IGEUdYcSSLTEv9YCik/edit?usp=sharing"",""เบิกจ่ายกองทุน!V23"")"),209360)</f>
        <v>209360</v>
      </c>
      <c r="S122" s="568">
        <f ca="1">IFERROR(__xludf.DUMMYFUNCTION("IMPORTRANGE(""https://docs.google.com/spreadsheets/d/1ItG2mGa2ceCfYo0BwxsXqNm01IGEUdYcSSLTEv9YCik/edit?usp=sharing"",""เบิกจ่ายกองทุน!W23"")"),127050.5)</f>
        <v>127050.5</v>
      </c>
      <c r="T122" s="568">
        <f t="shared" ca="1" si="78"/>
        <v>60.685183416125334</v>
      </c>
      <c r="U122" s="568">
        <f t="shared" ca="1" si="79"/>
        <v>60.685183416125334</v>
      </c>
    </row>
    <row r="123" spans="1:21" ht="18.75" x14ac:dyDescent="0.25">
      <c r="A123" s="674"/>
      <c r="B123" s="561"/>
      <c r="C123" s="720"/>
      <c r="D123" s="721" t="s">
        <v>23</v>
      </c>
      <c r="E123" s="561"/>
      <c r="F123" s="561"/>
      <c r="G123" s="563"/>
      <c r="H123" s="681" t="s">
        <v>14</v>
      </c>
      <c r="I123" s="565"/>
      <c r="J123" s="565"/>
      <c r="K123" s="566"/>
      <c r="L123" s="567">
        <f t="shared" ref="L123:N123" ca="1" si="84">L124+L125</f>
        <v>0</v>
      </c>
      <c r="M123" s="568">
        <f t="shared" ca="1" si="84"/>
        <v>0</v>
      </c>
      <c r="N123" s="568">
        <f t="shared" ca="1" si="84"/>
        <v>0</v>
      </c>
      <c r="O123" s="568">
        <f t="shared" ca="1" si="75"/>
        <v>0</v>
      </c>
      <c r="P123" s="568">
        <f t="shared" ca="1" si="76"/>
        <v>0</v>
      </c>
      <c r="Q123" s="568">
        <f t="shared" ref="Q123:S123" ca="1" si="85">Q124+Q125</f>
        <v>0</v>
      </c>
      <c r="R123" s="568">
        <f t="shared" ca="1" si="85"/>
        <v>0</v>
      </c>
      <c r="S123" s="568">
        <f t="shared" ca="1" si="85"/>
        <v>0</v>
      </c>
      <c r="T123" s="568">
        <f t="shared" ca="1" si="78"/>
        <v>0</v>
      </c>
      <c r="U123" s="568">
        <f t="shared" ca="1" si="79"/>
        <v>0</v>
      </c>
    </row>
    <row r="124" spans="1:21" ht="18.75" x14ac:dyDescent="0.25">
      <c r="A124" s="674"/>
      <c r="B124" s="561"/>
      <c r="C124" s="720"/>
      <c r="D124" s="718"/>
      <c r="E124" s="569" t="s">
        <v>20</v>
      </c>
      <c r="F124" s="561"/>
      <c r="G124" s="563"/>
      <c r="H124" s="723" t="s">
        <v>14</v>
      </c>
      <c r="I124" s="565"/>
      <c r="J124" s="565"/>
      <c r="K124" s="566"/>
      <c r="L124" s="571">
        <v>0</v>
      </c>
      <c r="M124" s="572">
        <v>0</v>
      </c>
      <c r="N124" s="572">
        <v>0</v>
      </c>
      <c r="O124" s="572">
        <f t="shared" si="75"/>
        <v>0</v>
      </c>
      <c r="P124" s="572">
        <f t="shared" si="76"/>
        <v>0</v>
      </c>
      <c r="Q124" s="572">
        <v>0</v>
      </c>
      <c r="R124" s="572">
        <v>0</v>
      </c>
      <c r="S124" s="572">
        <v>0</v>
      </c>
      <c r="T124" s="572">
        <f t="shared" si="78"/>
        <v>0</v>
      </c>
      <c r="U124" s="572">
        <f t="shared" si="79"/>
        <v>0</v>
      </c>
    </row>
    <row r="125" spans="1:21" ht="18.75" x14ac:dyDescent="0.25">
      <c r="A125" s="674"/>
      <c r="B125" s="561"/>
      <c r="C125" s="561"/>
      <c r="D125" s="561"/>
      <c r="E125" s="573" t="s">
        <v>21</v>
      </c>
      <c r="F125" s="561"/>
      <c r="G125" s="563"/>
      <c r="H125" s="681" t="s">
        <v>14</v>
      </c>
      <c r="I125" s="565"/>
      <c r="J125" s="565"/>
      <c r="K125" s="566"/>
      <c r="L125" s="567">
        <f ca="1">IFERROR(__xludf.DUMMYFUNCTION("IMPORTRANGE(""https://docs.google.com/spreadsheets/d/1-uDff_7J0KD5mKrp0Vvzr7lt3OU09vwQwhkpOPPYv2Y/edit?usp=sharing"",""งบพรบ!BJ23"")"),0)</f>
        <v>0</v>
      </c>
      <c r="M125" s="568">
        <f ca="1">IFERROR(__xludf.DUMMYFUNCTION("IMPORTRANGE(""https://docs.google.com/spreadsheets/d/1-uDff_7J0KD5mKrp0Vvzr7lt3OU09vwQwhkpOPPYv2Y/edit?usp=sharing"",""งบพรบ!BM23"")"),0)</f>
        <v>0</v>
      </c>
      <c r="N125" s="568">
        <f ca="1">IFERROR(__xludf.DUMMYFUNCTION("IMPORTRANGE(""https://docs.google.com/spreadsheets/d/1-uDff_7J0KD5mKrp0Vvzr7lt3OU09vwQwhkpOPPYv2Y/edit?usp=sharing"",""งบพรบ!BO23"")"),0)</f>
        <v>0</v>
      </c>
      <c r="O125" s="568">
        <f t="shared" ca="1" si="75"/>
        <v>0</v>
      </c>
      <c r="P125" s="568">
        <f t="shared" ca="1" si="76"/>
        <v>0</v>
      </c>
      <c r="Q125" s="568">
        <f ca="1">IFERROR(__xludf.DUMMYFUNCTION("IMPORTRANGE(""https://docs.google.com/spreadsheets/d/1ItG2mGa2ceCfYo0BwxsXqNm01IGEUdYcSSLTEv9YCik/edit?usp=sharing"",""เบิกจ่ายกองทุน!X23"")"),0)</f>
        <v>0</v>
      </c>
      <c r="R125" s="568">
        <f ca="1">IFERROR(__xludf.DUMMYFUNCTION("IMPORTRANGE(""https://docs.google.com/spreadsheets/d/1ItG2mGa2ceCfYo0BwxsXqNm01IGEUdYcSSLTEv9YCik/edit?usp=sharing"",""เบิกจ่ายกองทุน!Y23"")"),0)</f>
        <v>0</v>
      </c>
      <c r="S125" s="568">
        <f ca="1">IFERROR(__xludf.DUMMYFUNCTION("IMPORTRANGE(""https://docs.google.com/spreadsheets/d/1ItG2mGa2ceCfYo0BwxsXqNm01IGEUdYcSSLTEv9YCik/edit?usp=sharing"",""เบิกจ่ายกองทุน!Z23"")"),0)</f>
        <v>0</v>
      </c>
      <c r="T125" s="568">
        <f t="shared" ca="1" si="78"/>
        <v>0</v>
      </c>
      <c r="U125" s="568">
        <f t="shared" ca="1" si="79"/>
        <v>0</v>
      </c>
    </row>
    <row r="126" spans="1:21" ht="19.5" x14ac:dyDescent="0.3">
      <c r="A126" s="687"/>
      <c r="B126" s="688"/>
      <c r="C126" s="724" t="s">
        <v>18</v>
      </c>
      <c r="D126" s="689" t="s">
        <v>38</v>
      </c>
      <c r="E126" s="690"/>
      <c r="F126" s="690"/>
      <c r="G126" s="691"/>
      <c r="H126" s="725"/>
      <c r="I126" s="565"/>
      <c r="J126" s="565"/>
      <c r="K126" s="566"/>
      <c r="L126" s="574"/>
      <c r="M126" s="566"/>
      <c r="N126" s="566"/>
      <c r="O126" s="566"/>
      <c r="P126" s="566"/>
      <c r="Q126" s="566"/>
      <c r="R126" s="566"/>
      <c r="S126" s="566"/>
      <c r="T126" s="566"/>
      <c r="U126" s="566"/>
    </row>
    <row r="127" spans="1:21" ht="18.75" x14ac:dyDescent="0.25">
      <c r="A127" s="687"/>
      <c r="B127" s="688"/>
      <c r="C127" s="688"/>
      <c r="D127" s="699" t="s">
        <v>53</v>
      </c>
      <c r="E127" s="695"/>
      <c r="F127" s="695"/>
      <c r="G127" s="692"/>
      <c r="H127" s="681" t="s">
        <v>35</v>
      </c>
      <c r="I127" s="708">
        <f ca="1">IFERROR(__xludf.DUMMYFUNCTION("IMPORTRANGE(""https://docs.google.com/spreadsheets/d/1eHaY18a8A9IcSdp1K8H6x8fbOy06t2VsZHhMHf-1x7Y/edit?usp=sharing"",""แผน!FF23"")"),20)</f>
        <v>20</v>
      </c>
      <c r="J127" s="702">
        <v>20</v>
      </c>
      <c r="K127" s="568">
        <f t="shared" ref="K127:K130" ca="1" si="86">IF(I127&gt;0,J127*100/I127,0)</f>
        <v>100</v>
      </c>
      <c r="L127" s="574"/>
      <c r="M127" s="566"/>
      <c r="N127" s="566"/>
      <c r="O127" s="566"/>
      <c r="P127" s="566"/>
      <c r="Q127" s="566"/>
      <c r="R127" s="566"/>
      <c r="S127" s="566"/>
      <c r="T127" s="566"/>
      <c r="U127" s="566"/>
    </row>
    <row r="128" spans="1:21" ht="18.75" x14ac:dyDescent="0.25">
      <c r="A128" s="687"/>
      <c r="B128" s="688"/>
      <c r="C128" s="688"/>
      <c r="D128" s="695"/>
      <c r="E128" s="695"/>
      <c r="F128" s="695"/>
      <c r="G128" s="692"/>
      <c r="H128" s="681" t="s">
        <v>54</v>
      </c>
      <c r="I128" s="708">
        <f ca="1">IFERROR(__xludf.DUMMYFUNCTION("IMPORTRANGE(""https://docs.google.com/spreadsheets/d/1eHaY18a8A9IcSdp1K8H6x8fbOy06t2VsZHhMHf-1x7Y/edit?usp=sharing"",""แผน!FG23"")"),0)</f>
        <v>0</v>
      </c>
      <c r="J128" s="702">
        <v>0</v>
      </c>
      <c r="K128" s="568">
        <f t="shared" ca="1" si="86"/>
        <v>0</v>
      </c>
      <c r="L128" s="574"/>
      <c r="M128" s="566"/>
      <c r="N128" s="566"/>
      <c r="O128" s="566"/>
      <c r="P128" s="566"/>
      <c r="Q128" s="566"/>
      <c r="R128" s="566"/>
      <c r="S128" s="566"/>
      <c r="T128" s="566"/>
      <c r="U128" s="566"/>
    </row>
    <row r="129" spans="1:21" ht="18.75" x14ac:dyDescent="0.25">
      <c r="A129" s="687"/>
      <c r="B129" s="688"/>
      <c r="C129" s="688"/>
      <c r="D129" s="699" t="s">
        <v>55</v>
      </c>
      <c r="E129" s="695"/>
      <c r="F129" s="695"/>
      <c r="G129" s="692"/>
      <c r="H129" s="681" t="s">
        <v>35</v>
      </c>
      <c r="I129" s="708">
        <f ca="1">IFERROR(__xludf.DUMMYFUNCTION("IMPORTRANGE(""https://docs.google.com/spreadsheets/d/1eHaY18a8A9IcSdp1K8H6x8fbOy06t2VsZHhMHf-1x7Y/edit?usp=sharing"",""แผน!FH23"")"),20)</f>
        <v>20</v>
      </c>
      <c r="J129" s="702">
        <v>20</v>
      </c>
      <c r="K129" s="568">
        <f t="shared" ca="1" si="86"/>
        <v>100</v>
      </c>
      <c r="L129" s="574"/>
      <c r="M129" s="566"/>
      <c r="N129" s="566"/>
      <c r="O129" s="566"/>
      <c r="P129" s="566"/>
      <c r="Q129" s="566"/>
      <c r="R129" s="566"/>
      <c r="S129" s="566"/>
      <c r="T129" s="566"/>
      <c r="U129" s="566"/>
    </row>
    <row r="130" spans="1:21" ht="18.75" x14ac:dyDescent="0.25">
      <c r="A130" s="687"/>
      <c r="B130" s="688"/>
      <c r="C130" s="688"/>
      <c r="D130" s="695"/>
      <c r="E130" s="695"/>
      <c r="F130" s="695"/>
      <c r="G130" s="692"/>
      <c r="H130" s="681" t="s">
        <v>54</v>
      </c>
      <c r="I130" s="708">
        <f ca="1">IFERROR(__xludf.DUMMYFUNCTION("IMPORTRANGE(""https://docs.google.com/spreadsheets/d/1eHaY18a8A9IcSdp1K8H6x8fbOy06t2VsZHhMHf-1x7Y/edit?usp=sharing"",""แผน!FI23"")"),0)</f>
        <v>0</v>
      </c>
      <c r="J130" s="702">
        <v>0</v>
      </c>
      <c r="K130" s="568">
        <f t="shared" ca="1" si="86"/>
        <v>0</v>
      </c>
      <c r="L130" s="574"/>
      <c r="M130" s="566"/>
      <c r="N130" s="566"/>
      <c r="O130" s="566"/>
      <c r="P130" s="566"/>
      <c r="Q130" s="566"/>
      <c r="R130" s="566"/>
      <c r="S130" s="566"/>
      <c r="T130" s="566"/>
      <c r="U130" s="566"/>
    </row>
    <row r="131" spans="1:21" ht="18.75" hidden="1" x14ac:dyDescent="0.25">
      <c r="A131" s="687"/>
      <c r="B131" s="688"/>
      <c r="C131" s="688"/>
      <c r="D131" s="726" t="s">
        <v>56</v>
      </c>
      <c r="E131" s="695"/>
      <c r="F131" s="695"/>
      <c r="G131" s="692"/>
      <c r="H131" s="680" t="s">
        <v>35</v>
      </c>
      <c r="I131" s="565"/>
      <c r="J131" s="565"/>
      <c r="K131" s="566"/>
      <c r="L131" s="574"/>
      <c r="M131" s="566"/>
      <c r="N131" s="566"/>
      <c r="O131" s="566"/>
      <c r="P131" s="566"/>
      <c r="Q131" s="566"/>
      <c r="R131" s="566"/>
      <c r="S131" s="566"/>
      <c r="T131" s="566"/>
      <c r="U131" s="566"/>
    </row>
    <row r="132" spans="1:21" ht="18.75" hidden="1" x14ac:dyDescent="0.25">
      <c r="A132" s="687"/>
      <c r="B132" s="688"/>
      <c r="C132" s="688"/>
      <c r="D132" s="726" t="s">
        <v>57</v>
      </c>
      <c r="E132" s="695"/>
      <c r="F132" s="695"/>
      <c r="G132" s="692"/>
      <c r="H132" s="727"/>
      <c r="I132" s="565"/>
      <c r="J132" s="565"/>
      <c r="K132" s="566"/>
      <c r="L132" s="574"/>
      <c r="M132" s="566"/>
      <c r="N132" s="566"/>
      <c r="O132" s="566"/>
      <c r="P132" s="566"/>
      <c r="Q132" s="566"/>
      <c r="R132" s="566"/>
      <c r="S132" s="566"/>
      <c r="T132" s="566"/>
      <c r="U132" s="566"/>
    </row>
    <row r="133" spans="1:21" ht="12.75" hidden="1" x14ac:dyDescent="0.2">
      <c r="A133" s="705"/>
      <c r="B133" s="706"/>
      <c r="C133" s="706"/>
      <c r="D133" s="531"/>
      <c r="E133" s="531"/>
      <c r="F133" s="531"/>
      <c r="G133" s="532"/>
      <c r="H133" s="728"/>
      <c r="I133" s="533"/>
      <c r="J133" s="533"/>
      <c r="K133" s="534"/>
      <c r="L133" s="535"/>
      <c r="M133" s="534"/>
      <c r="N133" s="534"/>
      <c r="O133" s="534"/>
      <c r="P133" s="534"/>
      <c r="Q133" s="534"/>
      <c r="R133" s="534"/>
      <c r="S133" s="534"/>
      <c r="T133" s="534"/>
      <c r="U133" s="534"/>
    </row>
    <row r="134" spans="1:21" ht="19.5" x14ac:dyDescent="0.3">
      <c r="A134" s="662" t="s">
        <v>58</v>
      </c>
      <c r="B134" s="663"/>
      <c r="C134" s="729"/>
      <c r="D134" s="663"/>
      <c r="E134" s="663"/>
      <c r="F134" s="663"/>
      <c r="G134" s="663"/>
      <c r="H134" s="663"/>
      <c r="I134" s="730"/>
      <c r="J134" s="730"/>
      <c r="K134" s="731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</row>
    <row r="135" spans="1:21" ht="19.5" x14ac:dyDescent="0.3">
      <c r="A135" s="669"/>
      <c r="B135" s="544" t="s">
        <v>59</v>
      </c>
      <c r="C135" s="716"/>
      <c r="D135" s="670"/>
      <c r="E135" s="543"/>
      <c r="F135" s="543"/>
      <c r="G135" s="543"/>
      <c r="H135" s="543"/>
      <c r="I135" s="732"/>
      <c r="J135" s="548"/>
      <c r="K135" s="549"/>
      <c r="L135" s="673"/>
      <c r="M135" s="549"/>
      <c r="N135" s="549"/>
      <c r="O135" s="549"/>
      <c r="P135" s="549"/>
      <c r="Q135" s="549"/>
      <c r="R135" s="549"/>
      <c r="S135" s="549"/>
      <c r="T135" s="549"/>
      <c r="U135" s="549"/>
    </row>
    <row r="136" spans="1:21" ht="19.5" x14ac:dyDescent="0.3">
      <c r="A136" s="669"/>
      <c r="B136" s="543"/>
      <c r="C136" s="733" t="s">
        <v>60</v>
      </c>
      <c r="D136" s="670"/>
      <c r="E136" s="543"/>
      <c r="F136" s="543"/>
      <c r="G136" s="546"/>
      <c r="H136" s="671" t="s">
        <v>61</v>
      </c>
      <c r="I136" s="672">
        <f t="shared" ref="I136:J136" ca="1" si="87">I154</f>
        <v>0</v>
      </c>
      <c r="J136" s="672">
        <f t="shared" si="87"/>
        <v>0</v>
      </c>
      <c r="K136" s="551">
        <f t="shared" ref="K136:K138" ca="1" si="88">IF(I136&gt;0,J136*100/I136,0)</f>
        <v>0</v>
      </c>
      <c r="L136" s="673"/>
      <c r="M136" s="549"/>
      <c r="N136" s="549"/>
      <c r="O136" s="549"/>
      <c r="P136" s="549"/>
      <c r="Q136" s="549"/>
      <c r="R136" s="549"/>
      <c r="S136" s="549"/>
      <c r="T136" s="549"/>
      <c r="U136" s="549"/>
    </row>
    <row r="137" spans="1:21" ht="19.5" x14ac:dyDescent="0.3">
      <c r="A137" s="669"/>
      <c r="B137" s="543"/>
      <c r="C137" s="733" t="s">
        <v>62</v>
      </c>
      <c r="D137" s="670"/>
      <c r="E137" s="543"/>
      <c r="F137" s="543"/>
      <c r="G137" s="546"/>
      <c r="H137" s="671" t="s">
        <v>35</v>
      </c>
      <c r="I137" s="672">
        <f t="shared" ref="I137:J138" ca="1" si="89">I152</f>
        <v>10</v>
      </c>
      <c r="J137" s="672">
        <f t="shared" si="89"/>
        <v>10</v>
      </c>
      <c r="K137" s="551">
        <f t="shared" ca="1" si="88"/>
        <v>100</v>
      </c>
      <c r="L137" s="673"/>
      <c r="M137" s="549"/>
      <c r="N137" s="549"/>
      <c r="O137" s="549"/>
      <c r="P137" s="549"/>
      <c r="Q137" s="549"/>
      <c r="R137" s="549"/>
      <c r="S137" s="549"/>
      <c r="T137" s="549"/>
      <c r="U137" s="549"/>
    </row>
    <row r="138" spans="1:21" ht="19.5" x14ac:dyDescent="0.3">
      <c r="A138" s="669"/>
      <c r="B138" s="543"/>
      <c r="C138" s="716"/>
      <c r="D138" s="670"/>
      <c r="E138" s="543"/>
      <c r="F138" s="543"/>
      <c r="G138" s="546"/>
      <c r="H138" s="671" t="s">
        <v>54</v>
      </c>
      <c r="I138" s="672">
        <f t="shared" ca="1" si="89"/>
        <v>1</v>
      </c>
      <c r="J138" s="672">
        <f t="shared" si="89"/>
        <v>1</v>
      </c>
      <c r="K138" s="551">
        <f t="shared" ca="1" si="88"/>
        <v>100</v>
      </c>
      <c r="L138" s="673"/>
      <c r="M138" s="549"/>
      <c r="N138" s="549"/>
      <c r="O138" s="549"/>
      <c r="P138" s="549"/>
      <c r="Q138" s="549"/>
      <c r="R138" s="549"/>
      <c r="S138" s="549"/>
      <c r="T138" s="549"/>
      <c r="U138" s="549"/>
    </row>
    <row r="139" spans="1:21" ht="19.5" x14ac:dyDescent="0.3">
      <c r="A139" s="674"/>
      <c r="B139" s="561"/>
      <c r="C139" s="675" t="s">
        <v>18</v>
      </c>
      <c r="D139" s="676" t="s">
        <v>19</v>
      </c>
      <c r="E139" s="561"/>
      <c r="F139" s="561"/>
      <c r="G139" s="563"/>
      <c r="H139" s="677" t="s">
        <v>14</v>
      </c>
      <c r="I139" s="565"/>
      <c r="J139" s="565"/>
      <c r="K139" s="566"/>
      <c r="L139" s="678">
        <f t="shared" ref="L139:N139" ca="1" si="90">L140+L141</f>
        <v>23300</v>
      </c>
      <c r="M139" s="679">
        <f t="shared" ca="1" si="90"/>
        <v>18300</v>
      </c>
      <c r="N139" s="679">
        <f t="shared" ca="1" si="90"/>
        <v>17920</v>
      </c>
      <c r="O139" s="679">
        <f t="shared" ref="O139:O147" ca="1" si="91">IF(L139&gt;0,N139*100/L139,0)</f>
        <v>76.909871244635198</v>
      </c>
      <c r="P139" s="679">
        <f t="shared" ref="P139:P147" ca="1" si="92">IF(M139&gt;0,N139*100/M139,0)</f>
        <v>97.923497267759558</v>
      </c>
      <c r="Q139" s="679">
        <f t="shared" ref="Q139:S139" ca="1" si="93">Q140+Q141</f>
        <v>33700</v>
      </c>
      <c r="R139" s="679">
        <f t="shared" ca="1" si="93"/>
        <v>0</v>
      </c>
      <c r="S139" s="679">
        <f t="shared" ca="1" si="93"/>
        <v>0</v>
      </c>
      <c r="T139" s="679">
        <f t="shared" ref="T139:T147" ca="1" si="94">IF(Q139&gt;0,S139*100/Q139,0)</f>
        <v>0</v>
      </c>
      <c r="U139" s="679">
        <f t="shared" ref="U139:U147" ca="1" si="95">IF(R139&gt;0,S139*100/R139,0)</f>
        <v>0</v>
      </c>
    </row>
    <row r="140" spans="1:21" ht="18.75" x14ac:dyDescent="0.25">
      <c r="A140" s="674"/>
      <c r="B140" s="561"/>
      <c r="C140" s="561"/>
      <c r="D140" s="561"/>
      <c r="E140" s="569" t="s">
        <v>20</v>
      </c>
      <c r="F140" s="561"/>
      <c r="G140" s="563"/>
      <c r="H140" s="680" t="s">
        <v>14</v>
      </c>
      <c r="I140" s="565"/>
      <c r="J140" s="565"/>
      <c r="K140" s="566"/>
      <c r="L140" s="571">
        <f t="shared" ref="L140:N141" si="96">L143+L146</f>
        <v>0</v>
      </c>
      <c r="M140" s="572">
        <f t="shared" si="96"/>
        <v>0</v>
      </c>
      <c r="N140" s="572">
        <f t="shared" si="96"/>
        <v>0</v>
      </c>
      <c r="O140" s="572">
        <f t="shared" si="91"/>
        <v>0</v>
      </c>
      <c r="P140" s="572">
        <f t="shared" si="92"/>
        <v>0</v>
      </c>
      <c r="Q140" s="572">
        <f t="shared" ref="Q140:S141" si="97">Q143+Q146</f>
        <v>0</v>
      </c>
      <c r="R140" s="572">
        <f t="shared" si="97"/>
        <v>0</v>
      </c>
      <c r="S140" s="572">
        <f t="shared" si="97"/>
        <v>0</v>
      </c>
      <c r="T140" s="572">
        <f t="shared" si="94"/>
        <v>0</v>
      </c>
      <c r="U140" s="572">
        <f t="shared" si="95"/>
        <v>0</v>
      </c>
    </row>
    <row r="141" spans="1:21" ht="18.75" x14ac:dyDescent="0.25">
      <c r="A141" s="674"/>
      <c r="B141" s="561"/>
      <c r="C141" s="561"/>
      <c r="D141" s="561"/>
      <c r="E141" s="573" t="s">
        <v>21</v>
      </c>
      <c r="F141" s="561"/>
      <c r="G141" s="563"/>
      <c r="H141" s="681" t="s">
        <v>14</v>
      </c>
      <c r="I141" s="565"/>
      <c r="J141" s="565"/>
      <c r="K141" s="566"/>
      <c r="L141" s="567">
        <f t="shared" ca="1" si="96"/>
        <v>23300</v>
      </c>
      <c r="M141" s="568">
        <f t="shared" ca="1" si="96"/>
        <v>18300</v>
      </c>
      <c r="N141" s="568">
        <f t="shared" ca="1" si="96"/>
        <v>17920</v>
      </c>
      <c r="O141" s="568">
        <f t="shared" ca="1" si="91"/>
        <v>76.909871244635198</v>
      </c>
      <c r="P141" s="568">
        <f t="shared" ca="1" si="92"/>
        <v>97.923497267759558</v>
      </c>
      <c r="Q141" s="568">
        <f t="shared" ca="1" si="97"/>
        <v>33700</v>
      </c>
      <c r="R141" s="568">
        <f t="shared" ca="1" si="97"/>
        <v>0</v>
      </c>
      <c r="S141" s="568">
        <f t="shared" ca="1" si="97"/>
        <v>0</v>
      </c>
      <c r="T141" s="568">
        <f t="shared" ca="1" si="94"/>
        <v>0</v>
      </c>
      <c r="U141" s="568">
        <f t="shared" ca="1" si="95"/>
        <v>0</v>
      </c>
    </row>
    <row r="142" spans="1:21" ht="18.75" x14ac:dyDescent="0.25">
      <c r="A142" s="674"/>
      <c r="B142" s="561"/>
      <c r="C142" s="561"/>
      <c r="D142" s="562" t="s">
        <v>22</v>
      </c>
      <c r="E142" s="561"/>
      <c r="F142" s="561"/>
      <c r="G142" s="563"/>
      <c r="H142" s="682" t="s">
        <v>14</v>
      </c>
      <c r="I142" s="683"/>
      <c r="J142" s="683"/>
      <c r="K142" s="684"/>
      <c r="L142" s="567">
        <f t="shared" ref="L142:N142" ca="1" si="98">L143+L144</f>
        <v>23300</v>
      </c>
      <c r="M142" s="568">
        <f t="shared" ca="1" si="98"/>
        <v>18300</v>
      </c>
      <c r="N142" s="568">
        <f t="shared" ca="1" si="98"/>
        <v>17920</v>
      </c>
      <c r="O142" s="568">
        <f t="shared" ca="1" si="91"/>
        <v>76.909871244635198</v>
      </c>
      <c r="P142" s="568">
        <f t="shared" ca="1" si="92"/>
        <v>97.923497267759558</v>
      </c>
      <c r="Q142" s="568">
        <f t="shared" ref="Q142:S142" ca="1" si="99">Q143+Q144</f>
        <v>33700</v>
      </c>
      <c r="R142" s="568">
        <f t="shared" ca="1" si="99"/>
        <v>0</v>
      </c>
      <c r="S142" s="568">
        <f t="shared" ca="1" si="99"/>
        <v>0</v>
      </c>
      <c r="T142" s="568">
        <f t="shared" ca="1" si="94"/>
        <v>0</v>
      </c>
      <c r="U142" s="568">
        <f t="shared" ca="1" si="95"/>
        <v>0</v>
      </c>
    </row>
    <row r="143" spans="1:21" ht="18.75" x14ac:dyDescent="0.25">
      <c r="A143" s="674"/>
      <c r="B143" s="561"/>
      <c r="C143" s="561"/>
      <c r="D143" s="561"/>
      <c r="E143" s="569" t="s">
        <v>36</v>
      </c>
      <c r="F143" s="561"/>
      <c r="G143" s="563"/>
      <c r="H143" s="685" t="s">
        <v>14</v>
      </c>
      <c r="I143" s="683"/>
      <c r="J143" s="683"/>
      <c r="K143" s="684"/>
      <c r="L143" s="571">
        <v>0</v>
      </c>
      <c r="M143" s="572">
        <v>0</v>
      </c>
      <c r="N143" s="572">
        <v>0</v>
      </c>
      <c r="O143" s="572">
        <f t="shared" si="91"/>
        <v>0</v>
      </c>
      <c r="P143" s="572">
        <f t="shared" si="92"/>
        <v>0</v>
      </c>
      <c r="Q143" s="572">
        <v>0</v>
      </c>
      <c r="R143" s="572">
        <v>0</v>
      </c>
      <c r="S143" s="572">
        <v>0</v>
      </c>
      <c r="T143" s="572">
        <f t="shared" si="94"/>
        <v>0</v>
      </c>
      <c r="U143" s="572">
        <f t="shared" si="95"/>
        <v>0</v>
      </c>
    </row>
    <row r="144" spans="1:21" ht="18.75" x14ac:dyDescent="0.25">
      <c r="A144" s="674"/>
      <c r="B144" s="561"/>
      <c r="C144" s="561"/>
      <c r="D144" s="561"/>
      <c r="E144" s="573" t="s">
        <v>37</v>
      </c>
      <c r="F144" s="561"/>
      <c r="G144" s="563"/>
      <c r="H144" s="682" t="s">
        <v>14</v>
      </c>
      <c r="I144" s="683"/>
      <c r="J144" s="683"/>
      <c r="K144" s="684"/>
      <c r="L144" s="567">
        <f ca="1">IFERROR(__xludf.DUMMYFUNCTION("IMPORTRANGE(""https://docs.google.com/spreadsheets/d/1-uDff_7J0KD5mKrp0Vvzr7lt3OU09vwQwhkpOPPYv2Y/edit?usp=sharing"",""งบพรบ!BQ23"")"),23300)</f>
        <v>23300</v>
      </c>
      <c r="M144" s="568">
        <f ca="1">IFERROR(__xludf.DUMMYFUNCTION("IMPORTRANGE(""https://docs.google.com/spreadsheets/d/1-uDff_7J0KD5mKrp0Vvzr7lt3OU09vwQwhkpOPPYv2Y/edit?usp=sharing"",""งบพรบ!BV23"")"),18300)</f>
        <v>18300</v>
      </c>
      <c r="N144" s="568">
        <f ca="1">IFERROR(__xludf.DUMMYFUNCTION("IMPORTRANGE(""https://docs.google.com/spreadsheets/d/1-uDff_7J0KD5mKrp0Vvzr7lt3OU09vwQwhkpOPPYv2Y/edit?usp=sharing"",""งบพรบ!BX23"")"),17920)</f>
        <v>17920</v>
      </c>
      <c r="O144" s="568">
        <f t="shared" ca="1" si="91"/>
        <v>76.909871244635198</v>
      </c>
      <c r="P144" s="568">
        <f t="shared" ca="1" si="92"/>
        <v>97.923497267759558</v>
      </c>
      <c r="Q144" s="568">
        <f ca="1">IFERROR(__xludf.DUMMYFUNCTION("IMPORTRANGE(""https://docs.google.com/spreadsheets/d/1ItG2mGa2ceCfYo0BwxsXqNm01IGEUdYcSSLTEv9YCik/edit?usp=sharing"",""เบิกจ่ายกองทุน!CF23"")"),33700)</f>
        <v>33700</v>
      </c>
      <c r="R144" s="568">
        <f ca="1">IFERROR(__xludf.DUMMYFUNCTION("IMPORTRANGE(""https://docs.google.com/spreadsheets/d/1ItG2mGa2ceCfYo0BwxsXqNm01IGEUdYcSSLTEv9YCik/edit?usp=sharing"",""เบิกจ่ายกองทุน!CG23"")"),0)</f>
        <v>0</v>
      </c>
      <c r="S144" s="568">
        <f ca="1">IFERROR(__xludf.DUMMYFUNCTION("IMPORTRANGE(""https://docs.google.com/spreadsheets/d/1ItG2mGa2ceCfYo0BwxsXqNm01IGEUdYcSSLTEv9YCik/edit?usp=sharing"",""เบิกจ่ายกองทุน!CH23"")"),0)</f>
        <v>0</v>
      </c>
      <c r="T144" s="568">
        <f t="shared" ca="1" si="94"/>
        <v>0</v>
      </c>
      <c r="U144" s="568">
        <f t="shared" ca="1" si="95"/>
        <v>0</v>
      </c>
    </row>
    <row r="145" spans="1:21" ht="18.75" x14ac:dyDescent="0.25">
      <c r="A145" s="674"/>
      <c r="B145" s="561"/>
      <c r="C145" s="561"/>
      <c r="D145" s="562" t="s">
        <v>23</v>
      </c>
      <c r="E145" s="561"/>
      <c r="F145" s="561"/>
      <c r="G145" s="563"/>
      <c r="H145" s="686" t="s">
        <v>14</v>
      </c>
      <c r="I145" s="683"/>
      <c r="J145" s="683"/>
      <c r="K145" s="684"/>
      <c r="L145" s="567">
        <f t="shared" ref="L145:N145" ca="1" si="100">L146+L147</f>
        <v>0</v>
      </c>
      <c r="M145" s="568">
        <f t="shared" ca="1" si="100"/>
        <v>0</v>
      </c>
      <c r="N145" s="568">
        <f t="shared" ca="1" si="100"/>
        <v>0</v>
      </c>
      <c r="O145" s="568">
        <f t="shared" ca="1" si="91"/>
        <v>0</v>
      </c>
      <c r="P145" s="568">
        <f t="shared" ca="1" si="92"/>
        <v>0</v>
      </c>
      <c r="Q145" s="568">
        <f t="shared" ref="Q145:S145" ca="1" si="101">Q146+Q147</f>
        <v>0</v>
      </c>
      <c r="R145" s="568">
        <f t="shared" ca="1" si="101"/>
        <v>0</v>
      </c>
      <c r="S145" s="568">
        <f t="shared" ca="1" si="101"/>
        <v>0</v>
      </c>
      <c r="T145" s="568">
        <f t="shared" ca="1" si="94"/>
        <v>0</v>
      </c>
      <c r="U145" s="568">
        <f t="shared" ca="1" si="95"/>
        <v>0</v>
      </c>
    </row>
    <row r="146" spans="1:21" ht="18.75" x14ac:dyDescent="0.25">
      <c r="A146" s="674"/>
      <c r="B146" s="561"/>
      <c r="C146" s="561"/>
      <c r="D146" s="561"/>
      <c r="E146" s="569" t="s">
        <v>20</v>
      </c>
      <c r="F146" s="561"/>
      <c r="G146" s="563"/>
      <c r="H146" s="685" t="s">
        <v>14</v>
      </c>
      <c r="I146" s="683"/>
      <c r="J146" s="683"/>
      <c r="K146" s="684"/>
      <c r="L146" s="571">
        <v>0</v>
      </c>
      <c r="M146" s="572">
        <v>0</v>
      </c>
      <c r="N146" s="572">
        <v>0</v>
      </c>
      <c r="O146" s="572">
        <f t="shared" si="91"/>
        <v>0</v>
      </c>
      <c r="P146" s="572">
        <f t="shared" si="92"/>
        <v>0</v>
      </c>
      <c r="Q146" s="572">
        <v>0</v>
      </c>
      <c r="R146" s="572">
        <v>0</v>
      </c>
      <c r="S146" s="572">
        <v>0</v>
      </c>
      <c r="T146" s="572">
        <f t="shared" si="94"/>
        <v>0</v>
      </c>
      <c r="U146" s="572">
        <f t="shared" si="95"/>
        <v>0</v>
      </c>
    </row>
    <row r="147" spans="1:21" ht="18.75" x14ac:dyDescent="0.25">
      <c r="A147" s="674"/>
      <c r="B147" s="561"/>
      <c r="C147" s="561"/>
      <c r="D147" s="561"/>
      <c r="E147" s="573" t="s">
        <v>21</v>
      </c>
      <c r="F147" s="561"/>
      <c r="G147" s="563"/>
      <c r="H147" s="686" t="s">
        <v>14</v>
      </c>
      <c r="I147" s="683"/>
      <c r="J147" s="683"/>
      <c r="K147" s="684"/>
      <c r="L147" s="567">
        <f ca="1">IFERROR(__xludf.DUMMYFUNCTION("IMPORTRANGE(""https://docs.google.com/spreadsheets/d/1-uDff_7J0KD5mKrp0Vvzr7lt3OU09vwQwhkpOPPYv2Y/edit?usp=sharing"",""งบพรบ!BT23"")"),0)</f>
        <v>0</v>
      </c>
      <c r="M147" s="568">
        <f ca="1">IFERROR(__xludf.DUMMYFUNCTION("IMPORTRANGE(""https://docs.google.com/spreadsheets/d/1-uDff_7J0KD5mKrp0Vvzr7lt3OU09vwQwhkpOPPYv2Y/edit?usp=sharing"",""งบพรบ!BW23"")"),0)</f>
        <v>0</v>
      </c>
      <c r="N147" s="568">
        <f ca="1">IFERROR(__xludf.DUMMYFUNCTION("IMPORTRANGE(""https://docs.google.com/spreadsheets/d/1-uDff_7J0KD5mKrp0Vvzr7lt3OU09vwQwhkpOPPYv2Y/edit?usp=sharing"",""งบพรบ!BY23"")"),0)</f>
        <v>0</v>
      </c>
      <c r="O147" s="568">
        <f t="shared" ca="1" si="91"/>
        <v>0</v>
      </c>
      <c r="P147" s="568">
        <f t="shared" ca="1" si="92"/>
        <v>0</v>
      </c>
      <c r="Q147" s="568">
        <f ca="1">IFERROR(__xludf.DUMMYFUNCTION("IMPORTRANGE(""https://docs.google.com/spreadsheets/d/1ItG2mGa2ceCfYo0BwxsXqNm01IGEUdYcSSLTEv9YCik/edit?usp=sharing"",""เบิกจ่ายกองทุน!CI23"")"),0)</f>
        <v>0</v>
      </c>
      <c r="R147" s="568">
        <f ca="1">IFERROR(__xludf.DUMMYFUNCTION("IMPORTRANGE(""https://docs.google.com/spreadsheets/d/1ItG2mGa2ceCfYo0BwxsXqNm01IGEUdYcSSLTEv9YCik/edit?usp=sharing"",""เบิกจ่ายกองทุน!CJ23"")"),0)</f>
        <v>0</v>
      </c>
      <c r="S147" s="568">
        <f ca="1">IFERROR(__xludf.DUMMYFUNCTION("IMPORTRANGE(""https://docs.google.com/spreadsheets/d/1ItG2mGa2ceCfYo0BwxsXqNm01IGEUdYcSSLTEv9YCik/edit?usp=sharing"",""เบิกจ่ายกองทุน!CK23"")"),0)</f>
        <v>0</v>
      </c>
      <c r="T147" s="568">
        <f t="shared" ca="1" si="94"/>
        <v>0</v>
      </c>
      <c r="U147" s="568">
        <f t="shared" ca="1" si="95"/>
        <v>0</v>
      </c>
    </row>
    <row r="148" spans="1:21" ht="19.5" x14ac:dyDescent="0.3">
      <c r="A148" s="687"/>
      <c r="B148" s="688"/>
      <c r="C148" s="675" t="s">
        <v>18</v>
      </c>
      <c r="D148" s="689" t="s">
        <v>38</v>
      </c>
      <c r="E148" s="690"/>
      <c r="F148" s="690"/>
      <c r="G148" s="691"/>
      <c r="H148" s="725"/>
      <c r="I148" s="565"/>
      <c r="J148" s="565"/>
      <c r="K148" s="566"/>
      <c r="L148" s="574"/>
      <c r="M148" s="566"/>
      <c r="N148" s="566"/>
      <c r="O148" s="566"/>
      <c r="P148" s="566"/>
      <c r="Q148" s="566"/>
      <c r="R148" s="566"/>
      <c r="S148" s="566"/>
      <c r="T148" s="566"/>
      <c r="U148" s="566"/>
    </row>
    <row r="149" spans="1:21" ht="18.75" x14ac:dyDescent="0.25">
      <c r="A149" s="674"/>
      <c r="B149" s="561"/>
      <c r="C149" s="561"/>
      <c r="D149" s="573" t="s">
        <v>63</v>
      </c>
      <c r="E149" s="561"/>
      <c r="F149" s="561"/>
      <c r="G149" s="563"/>
      <c r="H149" s="725"/>
      <c r="I149" s="565"/>
      <c r="J149" s="702">
        <v>0</v>
      </c>
      <c r="K149" s="566"/>
      <c r="L149" s="574"/>
      <c r="M149" s="566"/>
      <c r="N149" s="566"/>
      <c r="O149" s="566"/>
      <c r="P149" s="566"/>
      <c r="Q149" s="566"/>
      <c r="R149" s="566"/>
      <c r="S149" s="566"/>
      <c r="T149" s="566"/>
      <c r="U149" s="566"/>
    </row>
    <row r="150" spans="1:21" ht="19.5" x14ac:dyDescent="0.3">
      <c r="A150" s="674"/>
      <c r="B150" s="561"/>
      <c r="C150" s="561"/>
      <c r="D150" s="695"/>
      <c r="E150" s="675" t="s">
        <v>299</v>
      </c>
      <c r="F150" s="561"/>
      <c r="G150" s="563"/>
      <c r="H150" s="686" t="s">
        <v>35</v>
      </c>
      <c r="I150" s="708">
        <f ca="1">IFERROR(__xludf.DUMMYFUNCTION("IMPORTRANGE(""https://docs.google.com/spreadsheets/d/1eHaY18a8A9IcSdp1K8H6x8fbOy06t2VsZHhMHf-1x7Y/edit?usp=sharing"",""แผน!U23"")"),0)</f>
        <v>0</v>
      </c>
      <c r="J150" s="702">
        <v>0</v>
      </c>
      <c r="K150" s="568">
        <f t="shared" ref="K150:K154" ca="1" si="102">IF(I150&gt;0,J150*100/I150,0)</f>
        <v>0</v>
      </c>
      <c r="L150" s="574"/>
      <c r="M150" s="566"/>
      <c r="N150" s="566"/>
      <c r="O150" s="566"/>
      <c r="P150" s="566"/>
      <c r="Q150" s="566"/>
      <c r="R150" s="566"/>
      <c r="S150" s="566"/>
      <c r="T150" s="566"/>
      <c r="U150" s="566"/>
    </row>
    <row r="151" spans="1:21" ht="18.75" x14ac:dyDescent="0.25">
      <c r="A151" s="674"/>
      <c r="B151" s="561"/>
      <c r="C151" s="561"/>
      <c r="D151" s="695"/>
      <c r="E151" s="561"/>
      <c r="F151" s="561"/>
      <c r="G151" s="563"/>
      <c r="H151" s="686" t="s">
        <v>54</v>
      </c>
      <c r="I151" s="708">
        <f ca="1">IFERROR(__xludf.DUMMYFUNCTION("IMPORTRANGE(""https://docs.google.com/spreadsheets/d/1eHaY18a8A9IcSdp1K8H6x8fbOy06t2VsZHhMHf-1x7Y/edit?usp=sharing"",""แผน!V23"")"),0)</f>
        <v>0</v>
      </c>
      <c r="J151" s="702">
        <v>0</v>
      </c>
      <c r="K151" s="568">
        <f t="shared" ca="1" si="102"/>
        <v>0</v>
      </c>
      <c r="L151" s="574"/>
      <c r="M151" s="566"/>
      <c r="N151" s="566"/>
      <c r="O151" s="566"/>
      <c r="P151" s="566"/>
      <c r="Q151" s="566"/>
      <c r="R151" s="566"/>
      <c r="S151" s="566"/>
      <c r="T151" s="566"/>
      <c r="U151" s="566"/>
    </row>
    <row r="152" spans="1:21" ht="19.5" x14ac:dyDescent="0.3">
      <c r="A152" s="674"/>
      <c r="B152" s="561"/>
      <c r="C152" s="561"/>
      <c r="D152" s="695"/>
      <c r="E152" s="675" t="s">
        <v>300</v>
      </c>
      <c r="F152" s="561"/>
      <c r="G152" s="563"/>
      <c r="H152" s="686" t="s">
        <v>35</v>
      </c>
      <c r="I152" s="708">
        <f ca="1">IFERROR(__xludf.DUMMYFUNCTION("IMPORTRANGE(""https://docs.google.com/spreadsheets/d/1eHaY18a8A9IcSdp1K8H6x8fbOy06t2VsZHhMHf-1x7Y/edit?usp=sharing"",""แผน!W23"")"),10)</f>
        <v>10</v>
      </c>
      <c r="J152" s="702">
        <v>10</v>
      </c>
      <c r="K152" s="568">
        <f t="shared" ca="1" si="102"/>
        <v>100</v>
      </c>
      <c r="L152" s="574"/>
      <c r="M152" s="566"/>
      <c r="N152" s="566"/>
      <c r="O152" s="566"/>
      <c r="P152" s="566"/>
      <c r="Q152" s="566"/>
      <c r="R152" s="566"/>
      <c r="S152" s="566"/>
      <c r="T152" s="566"/>
      <c r="U152" s="566"/>
    </row>
    <row r="153" spans="1:21" ht="18.75" x14ac:dyDescent="0.25">
      <c r="A153" s="674"/>
      <c r="B153" s="561"/>
      <c r="C153" s="561"/>
      <c r="D153" s="561"/>
      <c r="E153" s="561"/>
      <c r="F153" s="561"/>
      <c r="G153" s="563"/>
      <c r="H153" s="686" t="s">
        <v>54</v>
      </c>
      <c r="I153" s="708">
        <f ca="1">IFERROR(__xludf.DUMMYFUNCTION("IMPORTRANGE(""https://docs.google.com/spreadsheets/d/1eHaY18a8A9IcSdp1K8H6x8fbOy06t2VsZHhMHf-1x7Y/edit?usp=sharing"",""แผน!X23"")"),1)</f>
        <v>1</v>
      </c>
      <c r="J153" s="702">
        <v>1</v>
      </c>
      <c r="K153" s="568">
        <f t="shared" ca="1" si="102"/>
        <v>100</v>
      </c>
      <c r="L153" s="574"/>
      <c r="M153" s="566"/>
      <c r="N153" s="566"/>
      <c r="O153" s="566"/>
      <c r="P153" s="566"/>
      <c r="Q153" s="566"/>
      <c r="R153" s="566"/>
      <c r="S153" s="566"/>
      <c r="T153" s="566"/>
      <c r="U153" s="566"/>
    </row>
    <row r="154" spans="1:21" ht="18.75" x14ac:dyDescent="0.25">
      <c r="A154" s="674"/>
      <c r="B154" s="561"/>
      <c r="C154" s="561"/>
      <c r="D154" s="573" t="s">
        <v>66</v>
      </c>
      <c r="E154" s="561"/>
      <c r="F154" s="561"/>
      <c r="G154" s="563"/>
      <c r="H154" s="686" t="s">
        <v>61</v>
      </c>
      <c r="I154" s="708">
        <f ca="1">IFERROR(__xludf.DUMMYFUNCTION("IMPORTRANGE(""https://docs.google.com/spreadsheets/d/1eHaY18a8A9IcSdp1K8H6x8fbOy06t2VsZHhMHf-1x7Y/edit?usp=sharing"",""แผน!Y23"")"),0)</f>
        <v>0</v>
      </c>
      <c r="J154" s="702">
        <v>0</v>
      </c>
      <c r="K154" s="568">
        <f t="shared" ca="1" si="102"/>
        <v>0</v>
      </c>
      <c r="L154" s="574"/>
      <c r="M154" s="566"/>
      <c r="N154" s="566"/>
      <c r="O154" s="566"/>
      <c r="P154" s="566"/>
      <c r="Q154" s="566"/>
      <c r="R154" s="566"/>
      <c r="S154" s="566"/>
      <c r="T154" s="566"/>
      <c r="U154" s="566"/>
    </row>
    <row r="155" spans="1:21" ht="19.5" x14ac:dyDescent="0.3">
      <c r="A155" s="662" t="s">
        <v>67</v>
      </c>
      <c r="B155" s="663"/>
      <c r="C155" s="729"/>
      <c r="D155" s="663"/>
      <c r="E155" s="663"/>
      <c r="F155" s="663"/>
      <c r="G155" s="663"/>
      <c r="H155" s="663"/>
      <c r="I155" s="730"/>
      <c r="J155" s="730"/>
      <c r="K155" s="731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</row>
    <row r="156" spans="1:21" ht="19.5" x14ac:dyDescent="0.3">
      <c r="A156" s="669"/>
      <c r="B156" s="544" t="s">
        <v>68</v>
      </c>
      <c r="C156" s="543"/>
      <c r="D156" s="543"/>
      <c r="E156" s="543"/>
      <c r="F156" s="543"/>
      <c r="G156" s="546"/>
      <c r="H156" s="717" t="s">
        <v>35</v>
      </c>
      <c r="I156" s="672">
        <f t="shared" ref="I156:J156" ca="1" si="103">I167</f>
        <v>30</v>
      </c>
      <c r="J156" s="672">
        <f t="shared" si="103"/>
        <v>30</v>
      </c>
      <c r="K156" s="551">
        <f ca="1">IF(I156&gt;0,J156*100/I156,0)</f>
        <v>100</v>
      </c>
      <c r="L156" s="673"/>
      <c r="M156" s="549"/>
      <c r="N156" s="549"/>
      <c r="O156" s="549"/>
      <c r="P156" s="549"/>
      <c r="Q156" s="549"/>
      <c r="R156" s="549"/>
      <c r="S156" s="549"/>
      <c r="T156" s="549"/>
      <c r="U156" s="549"/>
    </row>
    <row r="157" spans="1:21" ht="19.5" x14ac:dyDescent="0.3">
      <c r="A157" s="674"/>
      <c r="B157" s="561"/>
      <c r="C157" s="675" t="s">
        <v>18</v>
      </c>
      <c r="D157" s="676" t="s">
        <v>19</v>
      </c>
      <c r="E157" s="561"/>
      <c r="F157" s="561"/>
      <c r="G157" s="563"/>
      <c r="H157" s="677" t="s">
        <v>14</v>
      </c>
      <c r="I157" s="565"/>
      <c r="J157" s="565"/>
      <c r="K157" s="566"/>
      <c r="L157" s="678">
        <f t="shared" ref="L157:N157" ca="1" si="104">L158+L159</f>
        <v>9000</v>
      </c>
      <c r="M157" s="679">
        <f t="shared" ca="1" si="104"/>
        <v>6740</v>
      </c>
      <c r="N157" s="679">
        <f t="shared" ca="1" si="104"/>
        <v>0</v>
      </c>
      <c r="O157" s="679">
        <f t="shared" ref="O157:O165" ca="1" si="105">IF(L157&gt;0,N157*100/L157,0)</f>
        <v>0</v>
      </c>
      <c r="P157" s="679">
        <f t="shared" ref="P157:P165" ca="1" si="106">IF(M157&gt;0,N157*100/M157,0)</f>
        <v>0</v>
      </c>
      <c r="Q157" s="679">
        <f t="shared" ref="Q157:S157" ca="1" si="107">Q158+Q159</f>
        <v>0</v>
      </c>
      <c r="R157" s="679">
        <f t="shared" ca="1" si="107"/>
        <v>0</v>
      </c>
      <c r="S157" s="679">
        <f t="shared" ca="1" si="107"/>
        <v>0</v>
      </c>
      <c r="T157" s="679">
        <f t="shared" ref="T157:T165" ca="1" si="108">IF(Q157&gt;0,S157*100/Q157,0)</f>
        <v>0</v>
      </c>
      <c r="U157" s="679">
        <f t="shared" ref="U157:U165" ca="1" si="109">IF(R157&gt;0,S157*100/R157,0)</f>
        <v>0</v>
      </c>
    </row>
    <row r="158" spans="1:21" ht="18.75" x14ac:dyDescent="0.25">
      <c r="A158" s="674"/>
      <c r="B158" s="561"/>
      <c r="C158" s="561"/>
      <c r="D158" s="561"/>
      <c r="E158" s="569" t="s">
        <v>20</v>
      </c>
      <c r="F158" s="561"/>
      <c r="G158" s="563"/>
      <c r="H158" s="680" t="s">
        <v>14</v>
      </c>
      <c r="I158" s="565"/>
      <c r="J158" s="565"/>
      <c r="K158" s="566"/>
      <c r="L158" s="571">
        <f t="shared" ref="L158:N159" si="110">L161+L164</f>
        <v>0</v>
      </c>
      <c r="M158" s="572">
        <f t="shared" si="110"/>
        <v>0</v>
      </c>
      <c r="N158" s="572">
        <f t="shared" si="110"/>
        <v>0</v>
      </c>
      <c r="O158" s="572">
        <f t="shared" si="105"/>
        <v>0</v>
      </c>
      <c r="P158" s="572">
        <f t="shared" si="106"/>
        <v>0</v>
      </c>
      <c r="Q158" s="572">
        <f t="shared" ref="Q158:S159" si="111">Q161+Q164</f>
        <v>0</v>
      </c>
      <c r="R158" s="572">
        <f t="shared" si="111"/>
        <v>0</v>
      </c>
      <c r="S158" s="572">
        <f t="shared" si="111"/>
        <v>0</v>
      </c>
      <c r="T158" s="572">
        <f t="shared" si="108"/>
        <v>0</v>
      </c>
      <c r="U158" s="572">
        <f t="shared" si="109"/>
        <v>0</v>
      </c>
    </row>
    <row r="159" spans="1:21" ht="18.75" x14ac:dyDescent="0.25">
      <c r="A159" s="674"/>
      <c r="B159" s="561"/>
      <c r="C159" s="561"/>
      <c r="D159" s="561"/>
      <c r="E159" s="573" t="s">
        <v>21</v>
      </c>
      <c r="F159" s="561"/>
      <c r="G159" s="563"/>
      <c r="H159" s="681" t="s">
        <v>14</v>
      </c>
      <c r="I159" s="565"/>
      <c r="J159" s="565"/>
      <c r="K159" s="566"/>
      <c r="L159" s="567">
        <f t="shared" ca="1" si="110"/>
        <v>9000</v>
      </c>
      <c r="M159" s="568">
        <f t="shared" ca="1" si="110"/>
        <v>6740</v>
      </c>
      <c r="N159" s="568">
        <f t="shared" ca="1" si="110"/>
        <v>0</v>
      </c>
      <c r="O159" s="568">
        <f t="shared" ca="1" si="105"/>
        <v>0</v>
      </c>
      <c r="P159" s="568">
        <f t="shared" ca="1" si="106"/>
        <v>0</v>
      </c>
      <c r="Q159" s="568">
        <f t="shared" ca="1" si="111"/>
        <v>0</v>
      </c>
      <c r="R159" s="568">
        <f t="shared" ca="1" si="111"/>
        <v>0</v>
      </c>
      <c r="S159" s="568">
        <f t="shared" ca="1" si="111"/>
        <v>0</v>
      </c>
      <c r="T159" s="568">
        <f t="shared" ca="1" si="108"/>
        <v>0</v>
      </c>
      <c r="U159" s="568">
        <f t="shared" ca="1" si="109"/>
        <v>0</v>
      </c>
    </row>
    <row r="160" spans="1:21" ht="18.75" x14ac:dyDescent="0.25">
      <c r="A160" s="674"/>
      <c r="B160" s="561"/>
      <c r="C160" s="561"/>
      <c r="D160" s="562" t="s">
        <v>22</v>
      </c>
      <c r="E160" s="561"/>
      <c r="F160" s="561"/>
      <c r="G160" s="563"/>
      <c r="H160" s="682" t="s">
        <v>14</v>
      </c>
      <c r="I160" s="683"/>
      <c r="J160" s="683"/>
      <c r="K160" s="684"/>
      <c r="L160" s="567">
        <f t="shared" ref="L160:N160" ca="1" si="112">L161+L162</f>
        <v>9000</v>
      </c>
      <c r="M160" s="568">
        <f t="shared" ca="1" si="112"/>
        <v>6740</v>
      </c>
      <c r="N160" s="568">
        <f t="shared" ca="1" si="112"/>
        <v>0</v>
      </c>
      <c r="O160" s="568">
        <f t="shared" ca="1" si="105"/>
        <v>0</v>
      </c>
      <c r="P160" s="568">
        <f t="shared" ca="1" si="106"/>
        <v>0</v>
      </c>
      <c r="Q160" s="568">
        <f t="shared" ref="Q160:S160" ca="1" si="113">Q161+Q162</f>
        <v>0</v>
      </c>
      <c r="R160" s="568">
        <f t="shared" ca="1" si="113"/>
        <v>0</v>
      </c>
      <c r="S160" s="568">
        <f t="shared" ca="1" si="113"/>
        <v>0</v>
      </c>
      <c r="T160" s="568">
        <f t="shared" ca="1" si="108"/>
        <v>0</v>
      </c>
      <c r="U160" s="568">
        <f t="shared" ca="1" si="109"/>
        <v>0</v>
      </c>
    </row>
    <row r="161" spans="1:21" ht="18.75" x14ac:dyDescent="0.25">
      <c r="A161" s="674"/>
      <c r="B161" s="561"/>
      <c r="C161" s="561"/>
      <c r="D161" s="561"/>
      <c r="E161" s="569" t="s">
        <v>36</v>
      </c>
      <c r="F161" s="561"/>
      <c r="G161" s="563"/>
      <c r="H161" s="685" t="s">
        <v>14</v>
      </c>
      <c r="I161" s="683"/>
      <c r="J161" s="683"/>
      <c r="K161" s="684"/>
      <c r="L161" s="571">
        <v>0</v>
      </c>
      <c r="M161" s="572">
        <v>0</v>
      </c>
      <c r="N161" s="572">
        <v>0</v>
      </c>
      <c r="O161" s="572">
        <f t="shared" si="105"/>
        <v>0</v>
      </c>
      <c r="P161" s="572">
        <f t="shared" si="106"/>
        <v>0</v>
      </c>
      <c r="Q161" s="572">
        <v>0</v>
      </c>
      <c r="R161" s="572">
        <v>0</v>
      </c>
      <c r="S161" s="572">
        <v>0</v>
      </c>
      <c r="T161" s="572">
        <f t="shared" si="108"/>
        <v>0</v>
      </c>
      <c r="U161" s="572">
        <f t="shared" si="109"/>
        <v>0</v>
      </c>
    </row>
    <row r="162" spans="1:21" ht="18.75" x14ac:dyDescent="0.25">
      <c r="A162" s="674"/>
      <c r="B162" s="561"/>
      <c r="C162" s="561"/>
      <c r="D162" s="561"/>
      <c r="E162" s="573" t="s">
        <v>37</v>
      </c>
      <c r="F162" s="561"/>
      <c r="G162" s="563"/>
      <c r="H162" s="682" t="s">
        <v>14</v>
      </c>
      <c r="I162" s="683"/>
      <c r="J162" s="683"/>
      <c r="K162" s="684"/>
      <c r="L162" s="567">
        <f ca="1">IFERROR(__xludf.DUMMYFUNCTION("IMPORTRANGE(""https://docs.google.com/spreadsheets/d/1-uDff_7J0KD5mKrp0Vvzr7lt3OU09vwQwhkpOPPYv2Y/edit?usp=sharing"",""งบพรบ!CA23"")"),9000)</f>
        <v>9000</v>
      </c>
      <c r="M162" s="568">
        <f ca="1">IFERROR(__xludf.DUMMYFUNCTION("IMPORTRANGE(""https://docs.google.com/spreadsheets/d/1-uDff_7J0KD5mKrp0Vvzr7lt3OU09vwQwhkpOPPYv2Y/edit?usp=sharing"",""งบพรบ!CF23"")"),6740)</f>
        <v>6740</v>
      </c>
      <c r="N162" s="568">
        <f ca="1">IFERROR(__xludf.DUMMYFUNCTION("IMPORTRANGE(""https://docs.google.com/spreadsheets/d/1-uDff_7J0KD5mKrp0Vvzr7lt3OU09vwQwhkpOPPYv2Y/edit?usp=sharing"",""งบพรบ!CH23"")"),0)</f>
        <v>0</v>
      </c>
      <c r="O162" s="568">
        <f t="shared" ca="1" si="105"/>
        <v>0</v>
      </c>
      <c r="P162" s="568">
        <f t="shared" ca="1" si="106"/>
        <v>0</v>
      </c>
      <c r="Q162" s="568">
        <f ca="1">IFERROR(__xludf.DUMMYFUNCTION("IMPORTRANGE(""https://docs.google.com/spreadsheets/d/1ItG2mGa2ceCfYo0BwxsXqNm01IGEUdYcSSLTEv9YCik/edit?usp=sharing"",""เบิกจ่ายกองทุน!AM23"")"),0)</f>
        <v>0</v>
      </c>
      <c r="R162" s="568">
        <f ca="1">IFERROR(__xludf.DUMMYFUNCTION("IMPORTRANGE(""https://docs.google.com/spreadsheets/d/1ItG2mGa2ceCfYo0BwxsXqNm01IGEUdYcSSLTEv9YCik/edit?usp=sharing"",""เบิกจ่ายกองทุน!AN23"")"),0)</f>
        <v>0</v>
      </c>
      <c r="S162" s="568">
        <f ca="1">IFERROR(__xludf.DUMMYFUNCTION("IMPORTRANGE(""https://docs.google.com/spreadsheets/d/1ItG2mGa2ceCfYo0BwxsXqNm01IGEUdYcSSLTEv9YCik/edit?usp=sharing"",""เบิกจ่ายกองทุน!AO23"")"),0)</f>
        <v>0</v>
      </c>
      <c r="T162" s="568">
        <f t="shared" ca="1" si="108"/>
        <v>0</v>
      </c>
      <c r="U162" s="568">
        <f t="shared" ca="1" si="109"/>
        <v>0</v>
      </c>
    </row>
    <row r="163" spans="1:21" ht="18.75" x14ac:dyDescent="0.25">
      <c r="A163" s="674"/>
      <c r="B163" s="561"/>
      <c r="C163" s="561"/>
      <c r="D163" s="562" t="s">
        <v>23</v>
      </c>
      <c r="E163" s="561"/>
      <c r="F163" s="561"/>
      <c r="G163" s="563"/>
      <c r="H163" s="686" t="s">
        <v>14</v>
      </c>
      <c r="I163" s="683"/>
      <c r="J163" s="683"/>
      <c r="K163" s="684"/>
      <c r="L163" s="567">
        <f t="shared" ref="L163:N163" ca="1" si="114">L164+L165</f>
        <v>0</v>
      </c>
      <c r="M163" s="568">
        <f t="shared" ca="1" si="114"/>
        <v>0</v>
      </c>
      <c r="N163" s="568">
        <f t="shared" ca="1" si="114"/>
        <v>0</v>
      </c>
      <c r="O163" s="568">
        <f t="shared" ca="1" si="105"/>
        <v>0</v>
      </c>
      <c r="P163" s="568">
        <f t="shared" ca="1" si="106"/>
        <v>0</v>
      </c>
      <c r="Q163" s="568">
        <f t="shared" ref="Q163:S163" si="115">Q164+Q165</f>
        <v>0</v>
      </c>
      <c r="R163" s="568">
        <f t="shared" si="115"/>
        <v>0</v>
      </c>
      <c r="S163" s="568">
        <f t="shared" si="115"/>
        <v>0</v>
      </c>
      <c r="T163" s="568">
        <f t="shared" si="108"/>
        <v>0</v>
      </c>
      <c r="U163" s="568">
        <f t="shared" si="109"/>
        <v>0</v>
      </c>
    </row>
    <row r="164" spans="1:21" ht="18.75" x14ac:dyDescent="0.25">
      <c r="A164" s="674"/>
      <c r="B164" s="561"/>
      <c r="C164" s="561"/>
      <c r="D164" s="561"/>
      <c r="E164" s="569" t="s">
        <v>20</v>
      </c>
      <c r="F164" s="561"/>
      <c r="G164" s="563"/>
      <c r="H164" s="685" t="s">
        <v>14</v>
      </c>
      <c r="I164" s="683"/>
      <c r="J164" s="683"/>
      <c r="K164" s="684"/>
      <c r="L164" s="571">
        <v>0</v>
      </c>
      <c r="M164" s="572">
        <v>0</v>
      </c>
      <c r="N164" s="572">
        <v>0</v>
      </c>
      <c r="O164" s="572">
        <f t="shared" si="105"/>
        <v>0</v>
      </c>
      <c r="P164" s="572">
        <f t="shared" si="106"/>
        <v>0</v>
      </c>
      <c r="Q164" s="572">
        <v>0</v>
      </c>
      <c r="R164" s="572">
        <v>0</v>
      </c>
      <c r="S164" s="572">
        <v>0</v>
      </c>
      <c r="T164" s="572">
        <f t="shared" si="108"/>
        <v>0</v>
      </c>
      <c r="U164" s="572">
        <f t="shared" si="109"/>
        <v>0</v>
      </c>
    </row>
    <row r="165" spans="1:21" ht="18.75" x14ac:dyDescent="0.25">
      <c r="A165" s="674"/>
      <c r="B165" s="561"/>
      <c r="C165" s="561"/>
      <c r="D165" s="561"/>
      <c r="E165" s="573" t="s">
        <v>21</v>
      </c>
      <c r="F165" s="561"/>
      <c r="G165" s="563"/>
      <c r="H165" s="686" t="s">
        <v>14</v>
      </c>
      <c r="I165" s="683"/>
      <c r="J165" s="683"/>
      <c r="K165" s="684"/>
      <c r="L165" s="567">
        <f ca="1">IFERROR(__xludf.DUMMYFUNCTION("IMPORTRANGE(""https://docs.google.com/spreadsheets/d/1-uDff_7J0KD5mKrp0Vvzr7lt3OU09vwQwhkpOPPYv2Y/edit?usp=sharing"",""งบพรบ!CD23"")"),0)</f>
        <v>0</v>
      </c>
      <c r="M165" s="568">
        <f ca="1">IFERROR(__xludf.DUMMYFUNCTION("IMPORTRANGE(""https://docs.google.com/spreadsheets/d/1-uDff_7J0KD5mKrp0Vvzr7lt3OU09vwQwhkpOPPYv2Y/edit?usp=sharing"",""งบพรบ!CG23"")"),0)</f>
        <v>0</v>
      </c>
      <c r="N165" s="568">
        <f ca="1">IFERROR(__xludf.DUMMYFUNCTION("IMPORTRANGE(""https://docs.google.com/spreadsheets/d/1-uDff_7J0KD5mKrp0Vvzr7lt3OU09vwQwhkpOPPYv2Y/edit?usp=sharing"",""งบพรบ!CI23"")"),0)</f>
        <v>0</v>
      </c>
      <c r="O165" s="568">
        <f t="shared" ca="1" si="105"/>
        <v>0</v>
      </c>
      <c r="P165" s="568">
        <f t="shared" ca="1" si="106"/>
        <v>0</v>
      </c>
      <c r="Q165" s="568">
        <v>0</v>
      </c>
      <c r="R165" s="568">
        <v>0</v>
      </c>
      <c r="S165" s="568">
        <v>0</v>
      </c>
      <c r="T165" s="568">
        <f t="shared" si="108"/>
        <v>0</v>
      </c>
      <c r="U165" s="568">
        <f t="shared" si="109"/>
        <v>0</v>
      </c>
    </row>
    <row r="166" spans="1:21" ht="19.5" x14ac:dyDescent="0.3">
      <c r="A166" s="687"/>
      <c r="B166" s="688"/>
      <c r="C166" s="675" t="s">
        <v>18</v>
      </c>
      <c r="D166" s="689" t="s">
        <v>38</v>
      </c>
      <c r="E166" s="690"/>
      <c r="F166" s="690"/>
      <c r="G166" s="691"/>
      <c r="H166" s="725"/>
      <c r="I166" s="565"/>
      <c r="J166" s="565"/>
      <c r="K166" s="566"/>
      <c r="L166" s="574"/>
      <c r="M166" s="566"/>
      <c r="N166" s="566"/>
      <c r="O166" s="566"/>
      <c r="P166" s="566"/>
      <c r="Q166" s="566"/>
      <c r="R166" s="566"/>
      <c r="S166" s="566"/>
      <c r="T166" s="566"/>
      <c r="U166" s="566"/>
    </row>
    <row r="167" spans="1:21" ht="18.75" x14ac:dyDescent="0.25">
      <c r="A167" s="674"/>
      <c r="B167" s="561"/>
      <c r="C167" s="561"/>
      <c r="D167" s="573" t="s">
        <v>69</v>
      </c>
      <c r="E167" s="561"/>
      <c r="F167" s="561"/>
      <c r="G167" s="563"/>
      <c r="H167" s="686" t="s">
        <v>35</v>
      </c>
      <c r="I167" s="708">
        <f ca="1">IFERROR(__xludf.DUMMYFUNCTION("IMPORTRANGE(""https://docs.google.com/spreadsheets/d/1eHaY18a8A9IcSdp1K8H6x8fbOy06t2VsZHhMHf-1x7Y/edit?usp=sharing"",""แผน!Z23"")"),30)</f>
        <v>30</v>
      </c>
      <c r="J167" s="702">
        <v>30</v>
      </c>
      <c r="K167" s="568">
        <f t="shared" ref="K167:K169" ca="1" si="116">IF(I167&gt;0,J167*100/I167,0)</f>
        <v>100</v>
      </c>
      <c r="L167" s="574"/>
      <c r="M167" s="566"/>
      <c r="N167" s="566"/>
      <c r="O167" s="566"/>
      <c r="P167" s="566"/>
      <c r="Q167" s="566"/>
      <c r="R167" s="566"/>
      <c r="S167" s="566"/>
      <c r="T167" s="566"/>
      <c r="U167" s="566"/>
    </row>
    <row r="168" spans="1:21" ht="18.75" x14ac:dyDescent="0.25">
      <c r="A168" s="674"/>
      <c r="B168" s="561"/>
      <c r="C168" s="561"/>
      <c r="D168" s="569" t="s">
        <v>70</v>
      </c>
      <c r="E168" s="561"/>
      <c r="F168" s="561"/>
      <c r="G168" s="563"/>
      <c r="H168" s="734" t="s">
        <v>35</v>
      </c>
      <c r="I168" s="735">
        <f ca="1">I167</f>
        <v>30</v>
      </c>
      <c r="J168" s="736">
        <v>0</v>
      </c>
      <c r="K168" s="572">
        <f t="shared" ca="1" si="116"/>
        <v>0</v>
      </c>
      <c r="L168" s="574"/>
      <c r="M168" s="566"/>
      <c r="N168" s="566"/>
      <c r="O168" s="566"/>
      <c r="P168" s="566"/>
      <c r="Q168" s="566"/>
      <c r="R168" s="566"/>
      <c r="S168" s="566"/>
      <c r="T168" s="566"/>
      <c r="U168" s="566"/>
    </row>
    <row r="169" spans="1:21" ht="18.75" x14ac:dyDescent="0.25">
      <c r="A169" s="737"/>
      <c r="B169" s="513"/>
      <c r="C169" s="513"/>
      <c r="D169" s="738" t="s">
        <v>71</v>
      </c>
      <c r="E169" s="513"/>
      <c r="F169" s="513"/>
      <c r="G169" s="577"/>
      <c r="H169" s="739" t="s">
        <v>35</v>
      </c>
      <c r="I169" s="740">
        <f ca="1">I167</f>
        <v>30</v>
      </c>
      <c r="J169" s="741">
        <v>0</v>
      </c>
      <c r="K169" s="742">
        <f t="shared" ca="1" si="116"/>
        <v>0</v>
      </c>
      <c r="L169" s="581"/>
      <c r="M169" s="580"/>
      <c r="N169" s="580"/>
      <c r="O169" s="580"/>
      <c r="P169" s="580"/>
      <c r="Q169" s="580"/>
      <c r="R169" s="580"/>
      <c r="S169" s="580"/>
      <c r="T169" s="580"/>
      <c r="U169" s="580"/>
    </row>
    <row r="170" spans="1:21" ht="19.5" x14ac:dyDescent="0.3">
      <c r="A170" s="743" t="s">
        <v>72</v>
      </c>
      <c r="B170" s="744"/>
      <c r="C170" s="744"/>
      <c r="D170" s="744"/>
      <c r="E170" s="745"/>
      <c r="F170" s="745"/>
      <c r="G170" s="745"/>
      <c r="H170" s="745"/>
      <c r="I170" s="746"/>
      <c r="J170" s="746"/>
      <c r="K170" s="747"/>
      <c r="L170" s="747"/>
      <c r="M170" s="747"/>
      <c r="N170" s="747"/>
      <c r="O170" s="747"/>
      <c r="P170" s="748"/>
      <c r="Q170" s="747"/>
      <c r="R170" s="747"/>
      <c r="S170" s="747"/>
      <c r="T170" s="747"/>
      <c r="U170" s="748"/>
    </row>
    <row r="171" spans="1:21" ht="19.5" x14ac:dyDescent="0.3">
      <c r="A171" s="749" t="s">
        <v>73</v>
      </c>
      <c r="B171" s="750"/>
      <c r="C171" s="750"/>
      <c r="D171" s="751"/>
      <c r="E171" s="751"/>
      <c r="F171" s="751"/>
      <c r="G171" s="751"/>
      <c r="H171" s="752"/>
      <c r="I171" s="753"/>
      <c r="J171" s="753"/>
      <c r="K171" s="754"/>
      <c r="L171" s="755"/>
      <c r="M171" s="754"/>
      <c r="N171" s="754"/>
      <c r="O171" s="754"/>
      <c r="P171" s="754"/>
      <c r="Q171" s="754"/>
      <c r="R171" s="754"/>
      <c r="S171" s="754"/>
      <c r="T171" s="754"/>
      <c r="U171" s="754"/>
    </row>
    <row r="172" spans="1:21" ht="19.5" x14ac:dyDescent="0.3">
      <c r="A172" s="756"/>
      <c r="B172" s="757" t="s">
        <v>74</v>
      </c>
      <c r="C172" s="758"/>
      <c r="D172" s="690"/>
      <c r="E172" s="690"/>
      <c r="F172" s="690"/>
      <c r="G172" s="691"/>
      <c r="H172" s="759" t="s">
        <v>35</v>
      </c>
      <c r="I172" s="760">
        <f t="shared" ref="I172:J172" ca="1" si="117">I183+I184</f>
        <v>17</v>
      </c>
      <c r="J172" s="760">
        <f t="shared" si="117"/>
        <v>7</v>
      </c>
      <c r="K172" s="761">
        <f ca="1">IF(I172&gt;0,J172*100/I172,0)</f>
        <v>41.176470588235297</v>
      </c>
      <c r="L172" s="762"/>
      <c r="M172" s="763"/>
      <c r="N172" s="763"/>
      <c r="O172" s="763"/>
      <c r="P172" s="763"/>
      <c r="Q172" s="763"/>
      <c r="R172" s="763"/>
      <c r="S172" s="763"/>
      <c r="T172" s="763"/>
      <c r="U172" s="763"/>
    </row>
    <row r="173" spans="1:21" ht="19.5" x14ac:dyDescent="0.3">
      <c r="A173" s="674"/>
      <c r="B173" s="561"/>
      <c r="C173" s="675" t="s">
        <v>18</v>
      </c>
      <c r="D173" s="676" t="s">
        <v>19</v>
      </c>
      <c r="E173" s="561"/>
      <c r="F173" s="561"/>
      <c r="G173" s="563"/>
      <c r="H173" s="677" t="s">
        <v>14</v>
      </c>
      <c r="I173" s="565"/>
      <c r="J173" s="565"/>
      <c r="K173" s="566"/>
      <c r="L173" s="678">
        <f t="shared" ref="L173:N173" ca="1" si="118">L174+L175</f>
        <v>19590</v>
      </c>
      <c r="M173" s="679">
        <f t="shared" ca="1" si="118"/>
        <v>126640</v>
      </c>
      <c r="N173" s="679">
        <f t="shared" ca="1" si="118"/>
        <v>123450</v>
      </c>
      <c r="O173" s="679">
        <f t="shared" ref="O173:O181" ca="1" si="119">IF(L173&gt;0,N173*100/L173,0)</f>
        <v>630.16845329249622</v>
      </c>
      <c r="P173" s="679">
        <f t="shared" ref="P173:P181" ca="1" si="120">IF(M173&gt;0,N173*100/M173,0)</f>
        <v>97.481048641819328</v>
      </c>
      <c r="Q173" s="679">
        <f t="shared" ref="Q173:S173" ca="1" si="121">Q174+Q175</f>
        <v>0</v>
      </c>
      <c r="R173" s="679">
        <f t="shared" ca="1" si="121"/>
        <v>0</v>
      </c>
      <c r="S173" s="679">
        <f t="shared" ca="1" si="121"/>
        <v>0</v>
      </c>
      <c r="T173" s="679">
        <f t="shared" ref="T173:T181" ca="1" si="122">IF(Q173&gt;0,S173*100/Q173,0)</f>
        <v>0</v>
      </c>
      <c r="U173" s="679">
        <f t="shared" ref="U173:U181" ca="1" si="123">IF(R173&gt;0,S173*100/R173,0)</f>
        <v>0</v>
      </c>
    </row>
    <row r="174" spans="1:21" ht="18.75" x14ac:dyDescent="0.25">
      <c r="A174" s="674"/>
      <c r="B174" s="561"/>
      <c r="C174" s="561"/>
      <c r="D174" s="561"/>
      <c r="E174" s="569" t="s">
        <v>20</v>
      </c>
      <c r="F174" s="561"/>
      <c r="G174" s="563"/>
      <c r="H174" s="680" t="s">
        <v>14</v>
      </c>
      <c r="I174" s="565"/>
      <c r="J174" s="565"/>
      <c r="K174" s="566"/>
      <c r="L174" s="571">
        <f t="shared" ref="L174:N175" si="124">L177+L180</f>
        <v>0</v>
      </c>
      <c r="M174" s="572">
        <f t="shared" si="124"/>
        <v>0</v>
      </c>
      <c r="N174" s="572">
        <f t="shared" si="124"/>
        <v>0</v>
      </c>
      <c r="O174" s="572">
        <f t="shared" si="119"/>
        <v>0</v>
      </c>
      <c r="P174" s="572">
        <f t="shared" si="120"/>
        <v>0</v>
      </c>
      <c r="Q174" s="572">
        <f t="shared" ref="Q174:S175" si="125">Q177+Q180</f>
        <v>0</v>
      </c>
      <c r="R174" s="572">
        <f t="shared" si="125"/>
        <v>0</v>
      </c>
      <c r="S174" s="572">
        <f t="shared" si="125"/>
        <v>0</v>
      </c>
      <c r="T174" s="572">
        <f t="shared" si="122"/>
        <v>0</v>
      </c>
      <c r="U174" s="572">
        <f t="shared" si="123"/>
        <v>0</v>
      </c>
    </row>
    <row r="175" spans="1:21" ht="18.75" x14ac:dyDescent="0.25">
      <c r="A175" s="674"/>
      <c r="B175" s="561"/>
      <c r="C175" s="561"/>
      <c r="D175" s="561"/>
      <c r="E175" s="573" t="s">
        <v>21</v>
      </c>
      <c r="F175" s="561"/>
      <c r="G175" s="563"/>
      <c r="H175" s="681" t="s">
        <v>14</v>
      </c>
      <c r="I175" s="565"/>
      <c r="J175" s="565"/>
      <c r="K175" s="566"/>
      <c r="L175" s="567">
        <f t="shared" ca="1" si="124"/>
        <v>19590</v>
      </c>
      <c r="M175" s="568">
        <f t="shared" ca="1" si="124"/>
        <v>126640</v>
      </c>
      <c r="N175" s="568">
        <f t="shared" ca="1" si="124"/>
        <v>123450</v>
      </c>
      <c r="O175" s="568">
        <f t="shared" ca="1" si="119"/>
        <v>630.16845329249622</v>
      </c>
      <c r="P175" s="568">
        <f t="shared" ca="1" si="120"/>
        <v>97.481048641819328</v>
      </c>
      <c r="Q175" s="568">
        <f t="shared" ca="1" si="125"/>
        <v>0</v>
      </c>
      <c r="R175" s="568">
        <f t="shared" ca="1" si="125"/>
        <v>0</v>
      </c>
      <c r="S175" s="568">
        <f t="shared" ca="1" si="125"/>
        <v>0</v>
      </c>
      <c r="T175" s="568">
        <f t="shared" ca="1" si="122"/>
        <v>0</v>
      </c>
      <c r="U175" s="568">
        <f t="shared" ca="1" si="123"/>
        <v>0</v>
      </c>
    </row>
    <row r="176" spans="1:21" ht="18.75" x14ac:dyDescent="0.25">
      <c r="A176" s="674"/>
      <c r="B176" s="561"/>
      <c r="C176" s="561"/>
      <c r="D176" s="562" t="s">
        <v>22</v>
      </c>
      <c r="E176" s="561"/>
      <c r="F176" s="561"/>
      <c r="G176" s="563"/>
      <c r="H176" s="682" t="s">
        <v>14</v>
      </c>
      <c r="I176" s="683"/>
      <c r="J176" s="683"/>
      <c r="K176" s="684"/>
      <c r="L176" s="567">
        <f t="shared" ref="L176:N176" ca="1" si="126">L177+L178</f>
        <v>19590</v>
      </c>
      <c r="M176" s="568">
        <f t="shared" ca="1" si="126"/>
        <v>126640</v>
      </c>
      <c r="N176" s="568">
        <f t="shared" ca="1" si="126"/>
        <v>123450</v>
      </c>
      <c r="O176" s="568">
        <f t="shared" ca="1" si="119"/>
        <v>630.16845329249622</v>
      </c>
      <c r="P176" s="568">
        <f t="shared" ca="1" si="120"/>
        <v>97.481048641819328</v>
      </c>
      <c r="Q176" s="568">
        <f t="shared" ref="Q176:S176" ca="1" si="127">Q177+Q178</f>
        <v>0</v>
      </c>
      <c r="R176" s="568">
        <f t="shared" ca="1" si="127"/>
        <v>0</v>
      </c>
      <c r="S176" s="568">
        <f t="shared" ca="1" si="127"/>
        <v>0</v>
      </c>
      <c r="T176" s="568">
        <f t="shared" ca="1" si="122"/>
        <v>0</v>
      </c>
      <c r="U176" s="568">
        <f t="shared" ca="1" si="123"/>
        <v>0</v>
      </c>
    </row>
    <row r="177" spans="1:21" ht="18.75" x14ac:dyDescent="0.25">
      <c r="A177" s="674"/>
      <c r="B177" s="561"/>
      <c r="C177" s="561"/>
      <c r="D177" s="561"/>
      <c r="E177" s="569" t="s">
        <v>36</v>
      </c>
      <c r="F177" s="561"/>
      <c r="G177" s="563"/>
      <c r="H177" s="685" t="s">
        <v>14</v>
      </c>
      <c r="I177" s="683"/>
      <c r="J177" s="683"/>
      <c r="K177" s="684"/>
      <c r="L177" s="571">
        <v>0</v>
      </c>
      <c r="M177" s="572">
        <v>0</v>
      </c>
      <c r="N177" s="572">
        <v>0</v>
      </c>
      <c r="O177" s="572">
        <f t="shared" si="119"/>
        <v>0</v>
      </c>
      <c r="P177" s="572">
        <f t="shared" si="120"/>
        <v>0</v>
      </c>
      <c r="Q177" s="572">
        <v>0</v>
      </c>
      <c r="R177" s="572">
        <v>0</v>
      </c>
      <c r="S177" s="572">
        <v>0</v>
      </c>
      <c r="T177" s="572">
        <f t="shared" si="122"/>
        <v>0</v>
      </c>
      <c r="U177" s="572">
        <f t="shared" si="123"/>
        <v>0</v>
      </c>
    </row>
    <row r="178" spans="1:21" ht="18.75" x14ac:dyDescent="0.25">
      <c r="A178" s="674"/>
      <c r="B178" s="561"/>
      <c r="C178" s="561"/>
      <c r="D178" s="561"/>
      <c r="E178" s="573" t="s">
        <v>37</v>
      </c>
      <c r="F178" s="561"/>
      <c r="G178" s="563"/>
      <c r="H178" s="682" t="s">
        <v>14</v>
      </c>
      <c r="I178" s="683"/>
      <c r="J178" s="683"/>
      <c r="K178" s="684"/>
      <c r="L178" s="567">
        <f ca="1">IFERROR(__xludf.DUMMYFUNCTION("IMPORTRANGE(""https://docs.google.com/spreadsheets/d/1-uDff_7J0KD5mKrp0Vvzr7lt3OU09vwQwhkpOPPYv2Y/edit?usp=sharing"",""งบพรบ!CK23"")"),19590)</f>
        <v>19590</v>
      </c>
      <c r="M178" s="568">
        <f ca="1">IFERROR(__xludf.DUMMYFUNCTION("IMPORTRANGE(""https://docs.google.com/spreadsheets/d/1-uDff_7J0KD5mKrp0Vvzr7lt3OU09vwQwhkpOPPYv2Y/edit?usp=sharing"",""งบพรบ!CP23"")"),126640)</f>
        <v>126640</v>
      </c>
      <c r="N178" s="568">
        <f ca="1">IFERROR(__xludf.DUMMYFUNCTION("IMPORTRANGE(""https://docs.google.com/spreadsheets/d/1-uDff_7J0KD5mKrp0Vvzr7lt3OU09vwQwhkpOPPYv2Y/edit?usp=sharing"",""งบพรบ!CR23"")"),123450)</f>
        <v>123450</v>
      </c>
      <c r="O178" s="568">
        <f t="shared" ca="1" si="119"/>
        <v>630.16845329249622</v>
      </c>
      <c r="P178" s="568">
        <f t="shared" ca="1" si="120"/>
        <v>97.481048641819328</v>
      </c>
      <c r="Q178" s="568">
        <f ca="1">IFERROR(__xludf.DUMMYFUNCTION("IMPORTRANGE(""https://docs.google.com/spreadsheets/d/1ItG2mGa2ceCfYo0BwxsXqNm01IGEUdYcSSLTEv9YCik/edit?usp=sharing"",""เบิกจ่ายกองทุน!DG23"")"),0)</f>
        <v>0</v>
      </c>
      <c r="R178" s="568">
        <f ca="1">IFERROR(__xludf.DUMMYFUNCTION("IMPORTRANGE(""https://docs.google.com/spreadsheets/d/1ItG2mGa2ceCfYo0BwxsXqNm01IGEUdYcSSLTEv9YCik/edit?usp=sharing"",""เบิกจ่ายกองทุน!DH23"")"),0)</f>
        <v>0</v>
      </c>
      <c r="S178" s="568">
        <f ca="1">IFERROR(__xludf.DUMMYFUNCTION("IMPORTRANGE(""https://docs.google.com/spreadsheets/d/1ItG2mGa2ceCfYo0BwxsXqNm01IGEUdYcSSLTEv9YCik/edit?usp=sharing"",""เบิกจ่ายกองทุน!DI23"")"),0)</f>
        <v>0</v>
      </c>
      <c r="T178" s="568">
        <f t="shared" ca="1" si="122"/>
        <v>0</v>
      </c>
      <c r="U178" s="568">
        <f t="shared" ca="1" si="123"/>
        <v>0</v>
      </c>
    </row>
    <row r="179" spans="1:21" ht="18.75" x14ac:dyDescent="0.25">
      <c r="A179" s="674"/>
      <c r="B179" s="561"/>
      <c r="C179" s="561"/>
      <c r="D179" s="562" t="s">
        <v>23</v>
      </c>
      <c r="E179" s="561"/>
      <c r="F179" s="561"/>
      <c r="G179" s="563"/>
      <c r="H179" s="686" t="s">
        <v>14</v>
      </c>
      <c r="I179" s="683"/>
      <c r="J179" s="683"/>
      <c r="K179" s="684"/>
      <c r="L179" s="567">
        <f t="shared" ref="L179:N179" ca="1" si="128">L180+L181</f>
        <v>0</v>
      </c>
      <c r="M179" s="568">
        <f t="shared" ca="1" si="128"/>
        <v>0</v>
      </c>
      <c r="N179" s="568">
        <f t="shared" ca="1" si="128"/>
        <v>0</v>
      </c>
      <c r="O179" s="568">
        <f t="shared" ca="1" si="119"/>
        <v>0</v>
      </c>
      <c r="P179" s="568">
        <f t="shared" ca="1" si="120"/>
        <v>0</v>
      </c>
      <c r="Q179" s="568">
        <f t="shared" ref="Q179:S179" si="129">Q180+Q181</f>
        <v>0</v>
      </c>
      <c r="R179" s="568">
        <f t="shared" si="129"/>
        <v>0</v>
      </c>
      <c r="S179" s="568">
        <f t="shared" si="129"/>
        <v>0</v>
      </c>
      <c r="T179" s="568">
        <f t="shared" si="122"/>
        <v>0</v>
      </c>
      <c r="U179" s="568">
        <f t="shared" si="123"/>
        <v>0</v>
      </c>
    </row>
    <row r="180" spans="1:21" ht="18.75" x14ac:dyDescent="0.25">
      <c r="A180" s="674"/>
      <c r="B180" s="561"/>
      <c r="C180" s="561"/>
      <c r="D180" s="561"/>
      <c r="E180" s="569" t="s">
        <v>20</v>
      </c>
      <c r="F180" s="561"/>
      <c r="G180" s="563"/>
      <c r="H180" s="685" t="s">
        <v>14</v>
      </c>
      <c r="I180" s="683"/>
      <c r="J180" s="683"/>
      <c r="K180" s="684"/>
      <c r="L180" s="571">
        <v>0</v>
      </c>
      <c r="M180" s="572">
        <v>0</v>
      </c>
      <c r="N180" s="572">
        <v>0</v>
      </c>
      <c r="O180" s="572">
        <f t="shared" si="119"/>
        <v>0</v>
      </c>
      <c r="P180" s="572">
        <f t="shared" si="120"/>
        <v>0</v>
      </c>
      <c r="Q180" s="572">
        <v>0</v>
      </c>
      <c r="R180" s="572">
        <v>0</v>
      </c>
      <c r="S180" s="572">
        <v>0</v>
      </c>
      <c r="T180" s="572">
        <f t="shared" si="122"/>
        <v>0</v>
      </c>
      <c r="U180" s="572">
        <f t="shared" si="123"/>
        <v>0</v>
      </c>
    </row>
    <row r="181" spans="1:21" ht="18.75" x14ac:dyDescent="0.25">
      <c r="A181" s="674"/>
      <c r="B181" s="561"/>
      <c r="C181" s="561"/>
      <c r="D181" s="561"/>
      <c r="E181" s="573" t="s">
        <v>21</v>
      </c>
      <c r="F181" s="561"/>
      <c r="G181" s="563"/>
      <c r="H181" s="686" t="s">
        <v>14</v>
      </c>
      <c r="I181" s="683"/>
      <c r="J181" s="683"/>
      <c r="K181" s="684"/>
      <c r="L181" s="567">
        <f ca="1">IFERROR(__xludf.DUMMYFUNCTION("IMPORTRANGE(""https://docs.google.com/spreadsheets/d/1-uDff_7J0KD5mKrp0Vvzr7lt3OU09vwQwhkpOPPYv2Y/edit?usp=sharing"",""งบพรบ!CN23"")"),0)</f>
        <v>0</v>
      </c>
      <c r="M181" s="568">
        <f ca="1">IFERROR(__xludf.DUMMYFUNCTION("IMPORTRANGE(""https://docs.google.com/spreadsheets/d/1-uDff_7J0KD5mKrp0Vvzr7lt3OU09vwQwhkpOPPYv2Y/edit?usp=sharing"",""งบพรบ!CQ23"")"),0)</f>
        <v>0</v>
      </c>
      <c r="N181" s="568">
        <f ca="1">IFERROR(__xludf.DUMMYFUNCTION("IMPORTRANGE(""https://docs.google.com/spreadsheets/d/1-uDff_7J0KD5mKrp0Vvzr7lt3OU09vwQwhkpOPPYv2Y/edit?usp=sharing"",""งบพรบ!CS23"")"),0)</f>
        <v>0</v>
      </c>
      <c r="O181" s="568">
        <f t="shared" ca="1" si="119"/>
        <v>0</v>
      </c>
      <c r="P181" s="568">
        <f t="shared" ca="1" si="120"/>
        <v>0</v>
      </c>
      <c r="Q181" s="568">
        <v>0</v>
      </c>
      <c r="R181" s="568">
        <v>0</v>
      </c>
      <c r="S181" s="568">
        <v>0</v>
      </c>
      <c r="T181" s="568">
        <f t="shared" si="122"/>
        <v>0</v>
      </c>
      <c r="U181" s="568">
        <f t="shared" si="123"/>
        <v>0</v>
      </c>
    </row>
    <row r="182" spans="1:21" ht="19.5" x14ac:dyDescent="0.3">
      <c r="A182" s="687"/>
      <c r="B182" s="688"/>
      <c r="C182" s="675" t="s">
        <v>18</v>
      </c>
      <c r="D182" s="689" t="s">
        <v>38</v>
      </c>
      <c r="E182" s="690"/>
      <c r="F182" s="690"/>
      <c r="G182" s="691"/>
      <c r="H182" s="725"/>
      <c r="I182" s="565"/>
      <c r="J182" s="565"/>
      <c r="K182" s="566"/>
      <c r="L182" s="574"/>
      <c r="M182" s="566"/>
      <c r="N182" s="566"/>
      <c r="O182" s="566"/>
      <c r="P182" s="566"/>
      <c r="Q182" s="566"/>
      <c r="R182" s="566"/>
      <c r="S182" s="566"/>
      <c r="T182" s="566"/>
      <c r="U182" s="566"/>
    </row>
    <row r="183" spans="1:21" ht="18.75" x14ac:dyDescent="0.25">
      <c r="A183" s="764"/>
      <c r="B183" s="561"/>
      <c r="C183" s="718"/>
      <c r="D183" s="765" t="s">
        <v>75</v>
      </c>
      <c r="E183" s="561"/>
      <c r="F183" s="561"/>
      <c r="G183" s="563"/>
      <c r="H183" s="766" t="s">
        <v>35</v>
      </c>
      <c r="I183" s="708">
        <f ca="1">IFERROR(__xludf.DUMMYFUNCTION("IMPORTRANGE(""https://docs.google.com/spreadsheets/d/1eHaY18a8A9IcSdp1K8H6x8fbOy06t2VsZHhMHf-1x7Y/edit?usp=sharing"",""แผน!AA23"")"),17)</f>
        <v>17</v>
      </c>
      <c r="J183" s="702">
        <v>7</v>
      </c>
      <c r="K183" s="568">
        <f t="shared" ref="K183:K185" ca="1" si="130">IF(I183&gt;0,J183*100/I183,0)</f>
        <v>41.176470588235297</v>
      </c>
      <c r="L183" s="574"/>
      <c r="M183" s="566"/>
      <c r="N183" s="566"/>
      <c r="O183" s="566"/>
      <c r="P183" s="566"/>
      <c r="Q183" s="566"/>
      <c r="R183" s="566"/>
      <c r="S183" s="566"/>
      <c r="T183" s="566"/>
      <c r="U183" s="566"/>
    </row>
    <row r="184" spans="1:21" ht="18.75" x14ac:dyDescent="0.25">
      <c r="A184" s="764"/>
      <c r="B184" s="718"/>
      <c r="C184" s="718"/>
      <c r="D184" s="767" t="s">
        <v>76</v>
      </c>
      <c r="E184" s="561"/>
      <c r="F184" s="561"/>
      <c r="G184" s="563"/>
      <c r="H184" s="768" t="s">
        <v>35</v>
      </c>
      <c r="I184" s="735">
        <v>0</v>
      </c>
      <c r="J184" s="735">
        <v>0</v>
      </c>
      <c r="K184" s="572">
        <f t="shared" si="130"/>
        <v>0</v>
      </c>
      <c r="L184" s="574"/>
      <c r="M184" s="566"/>
      <c r="N184" s="566"/>
      <c r="O184" s="566"/>
      <c r="P184" s="566"/>
      <c r="Q184" s="566"/>
      <c r="R184" s="566"/>
      <c r="S184" s="566"/>
      <c r="T184" s="566"/>
      <c r="U184" s="566"/>
    </row>
    <row r="185" spans="1:21" ht="19.5" x14ac:dyDescent="0.3">
      <c r="A185" s="756"/>
      <c r="B185" s="757" t="s">
        <v>77</v>
      </c>
      <c r="C185" s="758"/>
      <c r="D185" s="690"/>
      <c r="E185" s="690"/>
      <c r="F185" s="690"/>
      <c r="G185" s="691"/>
      <c r="H185" s="759" t="s">
        <v>35</v>
      </c>
      <c r="I185" s="760">
        <f t="shared" ref="I185:J185" ca="1" si="131">I230+I231</f>
        <v>0</v>
      </c>
      <c r="J185" s="760">
        <f t="shared" si="131"/>
        <v>0</v>
      </c>
      <c r="K185" s="761">
        <f t="shared" ca="1" si="130"/>
        <v>0</v>
      </c>
      <c r="L185" s="762"/>
      <c r="M185" s="763"/>
      <c r="N185" s="763"/>
      <c r="O185" s="763"/>
      <c r="P185" s="763"/>
      <c r="Q185" s="763"/>
      <c r="R185" s="763"/>
      <c r="S185" s="763"/>
      <c r="T185" s="763"/>
      <c r="U185" s="763"/>
    </row>
    <row r="186" spans="1:21" ht="19.5" x14ac:dyDescent="0.3">
      <c r="A186" s="674"/>
      <c r="B186" s="561"/>
      <c r="C186" s="675" t="s">
        <v>18</v>
      </c>
      <c r="D186" s="676" t="s">
        <v>19</v>
      </c>
      <c r="E186" s="561"/>
      <c r="F186" s="561"/>
      <c r="G186" s="563"/>
      <c r="H186" s="677" t="s">
        <v>14</v>
      </c>
      <c r="I186" s="565"/>
      <c r="J186" s="565"/>
      <c r="K186" s="566"/>
      <c r="L186" s="678">
        <f t="shared" ref="L186:N186" ca="1" si="132">L187+L188</f>
        <v>150500</v>
      </c>
      <c r="M186" s="679">
        <f t="shared" ca="1" si="132"/>
        <v>156200</v>
      </c>
      <c r="N186" s="679">
        <f t="shared" ca="1" si="132"/>
        <v>98399.99</v>
      </c>
      <c r="O186" s="679">
        <f t="shared" ref="O186:O194" ca="1" si="133">IF(L186&gt;0,N186*100/L186,0)</f>
        <v>65.382053156146185</v>
      </c>
      <c r="P186" s="679">
        <f t="shared" ref="P186:P194" ca="1" si="134">IF(M186&gt;0,N186*100/M186,0)</f>
        <v>62.996152368758004</v>
      </c>
      <c r="Q186" s="679">
        <f t="shared" ref="Q186:S186" ca="1" si="135">Q187+Q188</f>
        <v>155400</v>
      </c>
      <c r="R186" s="679">
        <f t="shared" ca="1" si="135"/>
        <v>155400</v>
      </c>
      <c r="S186" s="679">
        <f t="shared" ca="1" si="135"/>
        <v>0</v>
      </c>
      <c r="T186" s="679">
        <f t="shared" ref="T186:T194" ca="1" si="136">IF(Q186&gt;0,S186*100/Q186,0)</f>
        <v>0</v>
      </c>
      <c r="U186" s="679">
        <f t="shared" ref="U186:U194" ca="1" si="137">IF(R186&gt;0,S186*100/R186,0)</f>
        <v>0</v>
      </c>
    </row>
    <row r="187" spans="1:21" ht="18.75" x14ac:dyDescent="0.25">
      <c r="A187" s="674"/>
      <c r="B187" s="561"/>
      <c r="C187" s="561"/>
      <c r="D187" s="561"/>
      <c r="E187" s="569" t="s">
        <v>20</v>
      </c>
      <c r="F187" s="561"/>
      <c r="G187" s="563"/>
      <c r="H187" s="680" t="s">
        <v>14</v>
      </c>
      <c r="I187" s="565"/>
      <c r="J187" s="565"/>
      <c r="K187" s="566"/>
      <c r="L187" s="571">
        <f t="shared" ref="L187:N188" si="138">L190+L193</f>
        <v>0</v>
      </c>
      <c r="M187" s="572">
        <f t="shared" si="138"/>
        <v>0</v>
      </c>
      <c r="N187" s="572">
        <f t="shared" si="138"/>
        <v>0</v>
      </c>
      <c r="O187" s="572">
        <f t="shared" si="133"/>
        <v>0</v>
      </c>
      <c r="P187" s="572">
        <f t="shared" si="134"/>
        <v>0</v>
      </c>
      <c r="Q187" s="572">
        <f t="shared" ref="Q187:S188" si="139">Q190+Q193</f>
        <v>0</v>
      </c>
      <c r="R187" s="572">
        <f t="shared" si="139"/>
        <v>0</v>
      </c>
      <c r="S187" s="572">
        <f t="shared" si="139"/>
        <v>0</v>
      </c>
      <c r="T187" s="572">
        <f t="shared" si="136"/>
        <v>0</v>
      </c>
      <c r="U187" s="572">
        <f t="shared" si="137"/>
        <v>0</v>
      </c>
    </row>
    <row r="188" spans="1:21" ht="18.75" x14ac:dyDescent="0.25">
      <c r="A188" s="674"/>
      <c r="B188" s="561"/>
      <c r="C188" s="561"/>
      <c r="D188" s="561"/>
      <c r="E188" s="573" t="s">
        <v>21</v>
      </c>
      <c r="F188" s="561"/>
      <c r="G188" s="563"/>
      <c r="H188" s="681" t="s">
        <v>14</v>
      </c>
      <c r="I188" s="565"/>
      <c r="J188" s="565"/>
      <c r="K188" s="566"/>
      <c r="L188" s="567">
        <f t="shared" ca="1" si="138"/>
        <v>150500</v>
      </c>
      <c r="M188" s="568">
        <f t="shared" ca="1" si="138"/>
        <v>156200</v>
      </c>
      <c r="N188" s="568">
        <f t="shared" ca="1" si="138"/>
        <v>98399.99</v>
      </c>
      <c r="O188" s="568">
        <f t="shared" ca="1" si="133"/>
        <v>65.382053156146185</v>
      </c>
      <c r="P188" s="568">
        <f t="shared" ca="1" si="134"/>
        <v>62.996152368758004</v>
      </c>
      <c r="Q188" s="568">
        <f t="shared" ca="1" si="139"/>
        <v>155400</v>
      </c>
      <c r="R188" s="568">
        <f t="shared" ca="1" si="139"/>
        <v>155400</v>
      </c>
      <c r="S188" s="568">
        <f t="shared" ca="1" si="139"/>
        <v>0</v>
      </c>
      <c r="T188" s="568">
        <f t="shared" ca="1" si="136"/>
        <v>0</v>
      </c>
      <c r="U188" s="568">
        <f t="shared" ca="1" si="137"/>
        <v>0</v>
      </c>
    </row>
    <row r="189" spans="1:21" ht="18.75" x14ac:dyDescent="0.25">
      <c r="A189" s="674"/>
      <c r="B189" s="561"/>
      <c r="C189" s="561"/>
      <c r="D189" s="562" t="s">
        <v>22</v>
      </c>
      <c r="E189" s="561"/>
      <c r="F189" s="561"/>
      <c r="G189" s="563"/>
      <c r="H189" s="682" t="s">
        <v>14</v>
      </c>
      <c r="I189" s="683"/>
      <c r="J189" s="683"/>
      <c r="K189" s="684"/>
      <c r="L189" s="567">
        <f t="shared" ref="L189:N189" ca="1" si="140">L190+L191</f>
        <v>150500</v>
      </c>
      <c r="M189" s="568">
        <f t="shared" ca="1" si="140"/>
        <v>156200</v>
      </c>
      <c r="N189" s="568">
        <f t="shared" ca="1" si="140"/>
        <v>98399.99</v>
      </c>
      <c r="O189" s="568">
        <f t="shared" ca="1" si="133"/>
        <v>65.382053156146185</v>
      </c>
      <c r="P189" s="568">
        <f t="shared" ca="1" si="134"/>
        <v>62.996152368758004</v>
      </c>
      <c r="Q189" s="568">
        <f t="shared" ref="Q189:S189" ca="1" si="141">Q190+Q191</f>
        <v>155400</v>
      </c>
      <c r="R189" s="568">
        <f t="shared" ca="1" si="141"/>
        <v>155400</v>
      </c>
      <c r="S189" s="568">
        <f t="shared" ca="1" si="141"/>
        <v>0</v>
      </c>
      <c r="T189" s="568">
        <f t="shared" ca="1" si="136"/>
        <v>0</v>
      </c>
      <c r="U189" s="568">
        <f t="shared" ca="1" si="137"/>
        <v>0</v>
      </c>
    </row>
    <row r="190" spans="1:21" ht="18.75" x14ac:dyDescent="0.25">
      <c r="A190" s="674"/>
      <c r="B190" s="561"/>
      <c r="C190" s="561"/>
      <c r="D190" s="561"/>
      <c r="E190" s="569" t="s">
        <v>36</v>
      </c>
      <c r="F190" s="561"/>
      <c r="G190" s="563"/>
      <c r="H190" s="685" t="s">
        <v>14</v>
      </c>
      <c r="I190" s="683"/>
      <c r="J190" s="683"/>
      <c r="K190" s="684"/>
      <c r="L190" s="571">
        <v>0</v>
      </c>
      <c r="M190" s="572">
        <v>0</v>
      </c>
      <c r="N190" s="572">
        <v>0</v>
      </c>
      <c r="O190" s="572">
        <f t="shared" si="133"/>
        <v>0</v>
      </c>
      <c r="P190" s="572">
        <f t="shared" si="134"/>
        <v>0</v>
      </c>
      <c r="Q190" s="572">
        <v>0</v>
      </c>
      <c r="R190" s="572">
        <v>0</v>
      </c>
      <c r="S190" s="572">
        <v>0</v>
      </c>
      <c r="T190" s="572">
        <f t="shared" si="136"/>
        <v>0</v>
      </c>
      <c r="U190" s="572">
        <f t="shared" si="137"/>
        <v>0</v>
      </c>
    </row>
    <row r="191" spans="1:21" ht="18.75" x14ac:dyDescent="0.25">
      <c r="A191" s="674"/>
      <c r="B191" s="561"/>
      <c r="C191" s="561"/>
      <c r="D191" s="561"/>
      <c r="E191" s="573" t="s">
        <v>37</v>
      </c>
      <c r="F191" s="561"/>
      <c r="G191" s="563"/>
      <c r="H191" s="682" t="s">
        <v>14</v>
      </c>
      <c r="I191" s="683"/>
      <c r="J191" s="683"/>
      <c r="K191" s="684"/>
      <c r="L191" s="567">
        <f ca="1">IFERROR(__xludf.DUMMYFUNCTION("IMPORTRANGE(""https://docs.google.com/spreadsheets/d/1-uDff_7J0KD5mKrp0Vvzr7lt3OU09vwQwhkpOPPYv2Y/edit?usp=sharing"",""งบพรบ!CU23"")"),150500)</f>
        <v>150500</v>
      </c>
      <c r="M191" s="568">
        <f ca="1">IFERROR(__xludf.DUMMYFUNCTION("IMPORTRANGE(""https://docs.google.com/spreadsheets/d/1-uDff_7J0KD5mKrp0Vvzr7lt3OU09vwQwhkpOPPYv2Y/edit?usp=sharing"",""งบพรบ!CZ23"")"),156200)</f>
        <v>156200</v>
      </c>
      <c r="N191" s="568">
        <f ca="1">IFERROR(__xludf.DUMMYFUNCTION("IMPORTRANGE(""https://docs.google.com/spreadsheets/d/1-uDff_7J0KD5mKrp0Vvzr7lt3OU09vwQwhkpOPPYv2Y/edit?usp=sharing"",""งบพรบ!DB23"")"),98399.99)</f>
        <v>98399.99</v>
      </c>
      <c r="O191" s="568">
        <f t="shared" ca="1" si="133"/>
        <v>65.382053156146185</v>
      </c>
      <c r="P191" s="568">
        <f t="shared" ca="1" si="134"/>
        <v>62.996152368758004</v>
      </c>
      <c r="Q191" s="568">
        <f ca="1">IFERROR(__xludf.DUMMYFUNCTION("IMPORTRANGE(""https://docs.google.com/spreadsheets/d/1ItG2mGa2ceCfYo0BwxsXqNm01IGEUdYcSSLTEv9YCik/edit?usp=sharing"",""เบิกจ่ายกองทุน!BQ23"")"),155400)</f>
        <v>155400</v>
      </c>
      <c r="R191" s="568">
        <f ca="1">IFERROR(__xludf.DUMMYFUNCTION("IMPORTRANGE(""https://docs.google.com/spreadsheets/d/1ItG2mGa2ceCfYo0BwxsXqNm01IGEUdYcSSLTEv9YCik/edit?usp=sharing"",""เบิกจ่ายกองทุน!BR23"")"),155400)</f>
        <v>155400</v>
      </c>
      <c r="S191" s="568">
        <f ca="1">IFERROR(__xludf.DUMMYFUNCTION("IMPORTRANGE(""https://docs.google.com/spreadsheets/d/1ItG2mGa2ceCfYo0BwxsXqNm01IGEUdYcSSLTEv9YCik/edit?usp=sharing"",""เบิกจ่ายกองทุน!BS23"")"),0)</f>
        <v>0</v>
      </c>
      <c r="T191" s="568">
        <f t="shared" ca="1" si="136"/>
        <v>0</v>
      </c>
      <c r="U191" s="568">
        <f t="shared" ca="1" si="137"/>
        <v>0</v>
      </c>
    </row>
    <row r="192" spans="1:21" ht="18.75" x14ac:dyDescent="0.25">
      <c r="A192" s="674"/>
      <c r="B192" s="561"/>
      <c r="C192" s="561"/>
      <c r="D192" s="562" t="s">
        <v>23</v>
      </c>
      <c r="E192" s="561"/>
      <c r="F192" s="561"/>
      <c r="G192" s="563"/>
      <c r="H192" s="686" t="s">
        <v>14</v>
      </c>
      <c r="I192" s="683"/>
      <c r="J192" s="683"/>
      <c r="K192" s="684"/>
      <c r="L192" s="567">
        <f t="shared" ref="L192:N192" ca="1" si="142">L193+L194</f>
        <v>0</v>
      </c>
      <c r="M192" s="568">
        <f t="shared" ca="1" si="142"/>
        <v>0</v>
      </c>
      <c r="N192" s="568">
        <f t="shared" ca="1" si="142"/>
        <v>0</v>
      </c>
      <c r="O192" s="568">
        <f t="shared" ca="1" si="133"/>
        <v>0</v>
      </c>
      <c r="P192" s="568">
        <f t="shared" ca="1" si="134"/>
        <v>0</v>
      </c>
      <c r="Q192" s="568">
        <f t="shared" ref="Q192:S192" ca="1" si="143">Q193+Q194</f>
        <v>0</v>
      </c>
      <c r="R192" s="568">
        <f t="shared" ca="1" si="143"/>
        <v>0</v>
      </c>
      <c r="S192" s="568">
        <f t="shared" ca="1" si="143"/>
        <v>0</v>
      </c>
      <c r="T192" s="568">
        <f t="shared" ca="1" si="136"/>
        <v>0</v>
      </c>
      <c r="U192" s="568">
        <f t="shared" ca="1" si="137"/>
        <v>0</v>
      </c>
    </row>
    <row r="193" spans="1:21" ht="18.75" x14ac:dyDescent="0.25">
      <c r="A193" s="674"/>
      <c r="B193" s="561"/>
      <c r="C193" s="561"/>
      <c r="D193" s="561"/>
      <c r="E193" s="569" t="s">
        <v>20</v>
      </c>
      <c r="F193" s="561"/>
      <c r="G193" s="563"/>
      <c r="H193" s="685" t="s">
        <v>14</v>
      </c>
      <c r="I193" s="683"/>
      <c r="J193" s="683"/>
      <c r="K193" s="684"/>
      <c r="L193" s="571">
        <v>0</v>
      </c>
      <c r="M193" s="572">
        <v>0</v>
      </c>
      <c r="N193" s="572">
        <v>0</v>
      </c>
      <c r="O193" s="572">
        <f t="shared" si="133"/>
        <v>0</v>
      </c>
      <c r="P193" s="572">
        <f t="shared" si="134"/>
        <v>0</v>
      </c>
      <c r="Q193" s="572">
        <v>0</v>
      </c>
      <c r="R193" s="572">
        <v>0</v>
      </c>
      <c r="S193" s="572">
        <v>0</v>
      </c>
      <c r="T193" s="572">
        <f t="shared" si="136"/>
        <v>0</v>
      </c>
      <c r="U193" s="572">
        <f t="shared" si="137"/>
        <v>0</v>
      </c>
    </row>
    <row r="194" spans="1:21" ht="18.75" x14ac:dyDescent="0.25">
      <c r="A194" s="674"/>
      <c r="B194" s="561"/>
      <c r="C194" s="561"/>
      <c r="D194" s="561"/>
      <c r="E194" s="573" t="s">
        <v>21</v>
      </c>
      <c r="F194" s="561"/>
      <c r="G194" s="563"/>
      <c r="H194" s="686" t="s">
        <v>14</v>
      </c>
      <c r="I194" s="683"/>
      <c r="J194" s="683"/>
      <c r="K194" s="684"/>
      <c r="L194" s="567">
        <f ca="1">IFERROR(__xludf.DUMMYFUNCTION("IMPORTRANGE(""https://docs.google.com/spreadsheets/d/1-uDff_7J0KD5mKrp0Vvzr7lt3OU09vwQwhkpOPPYv2Y/edit?usp=sharing"",""งบพรบ!CX23"")"),0)</f>
        <v>0</v>
      </c>
      <c r="M194" s="568">
        <f ca="1">IFERROR(__xludf.DUMMYFUNCTION("IMPORTRANGE(""https://docs.google.com/spreadsheets/d/1-uDff_7J0KD5mKrp0Vvzr7lt3OU09vwQwhkpOPPYv2Y/edit?usp=sharing"",""งบพรบ!DA23"")"),0)</f>
        <v>0</v>
      </c>
      <c r="N194" s="568">
        <f ca="1">IFERROR(__xludf.DUMMYFUNCTION("IMPORTRANGE(""https://docs.google.com/spreadsheets/d/1-uDff_7J0KD5mKrp0Vvzr7lt3OU09vwQwhkpOPPYv2Y/edit?usp=sharing"",""งบพรบ!DC23"")"),0)</f>
        <v>0</v>
      </c>
      <c r="O194" s="568">
        <f t="shared" ca="1" si="133"/>
        <v>0</v>
      </c>
      <c r="P194" s="568">
        <f t="shared" ca="1" si="134"/>
        <v>0</v>
      </c>
      <c r="Q194" s="568">
        <f ca="1">IFERROR(__xludf.DUMMYFUNCTION("IMPORTRANGE(""https://docs.google.com/spreadsheets/d/1ItG2mGa2ceCfYo0BwxsXqNm01IGEUdYcSSLTEv9YCik/edit?usp=sharing"",""เบิกจ่ายกองทุน!BT23"")"),0)</f>
        <v>0</v>
      </c>
      <c r="R194" s="568">
        <f ca="1">IFERROR(__xludf.DUMMYFUNCTION("IMPORTRANGE(""https://docs.google.com/spreadsheets/d/1ItG2mGa2ceCfYo0BwxsXqNm01IGEUdYcSSLTEv9YCik/edit?usp=sharing"",""เบิกจ่ายกองทุน!BU23"")"),0)</f>
        <v>0</v>
      </c>
      <c r="S194" s="568">
        <f ca="1">IFERROR(__xludf.DUMMYFUNCTION("IMPORTRANGE(""https://docs.google.com/spreadsheets/d/1ItG2mGa2ceCfYo0BwxsXqNm01IGEUdYcSSLTEv9YCik/edit?usp=sharing"",""เบิกจ่ายกองทุน!BV23"")"),0)</f>
        <v>0</v>
      </c>
      <c r="T194" s="568">
        <f t="shared" ca="1" si="136"/>
        <v>0</v>
      </c>
      <c r="U194" s="568">
        <f t="shared" ca="1" si="137"/>
        <v>0</v>
      </c>
    </row>
    <row r="195" spans="1:21" ht="19.5" x14ac:dyDescent="0.3">
      <c r="A195" s="769"/>
      <c r="B195" s="770"/>
      <c r="C195" s="771" t="s">
        <v>78</v>
      </c>
      <c r="D195" s="772"/>
      <c r="E195" s="772"/>
      <c r="F195" s="772"/>
      <c r="G195" s="773"/>
      <c r="H195" s="774" t="s">
        <v>79</v>
      </c>
      <c r="I195" s="775">
        <f t="shared" ref="I195:J195" ca="1" si="144">I198</f>
        <v>4</v>
      </c>
      <c r="J195" s="775">
        <f t="shared" si="144"/>
        <v>2</v>
      </c>
      <c r="K195" s="776">
        <f ca="1">IF(I195&gt;0,J195*100/I195,0)</f>
        <v>50</v>
      </c>
      <c r="L195" s="777"/>
      <c r="M195" s="778"/>
      <c r="N195" s="778"/>
      <c r="O195" s="778"/>
      <c r="P195" s="778"/>
      <c r="Q195" s="778"/>
      <c r="R195" s="778"/>
      <c r="S195" s="778"/>
      <c r="T195" s="778"/>
      <c r="U195" s="778"/>
    </row>
    <row r="196" spans="1:21" ht="19.5" x14ac:dyDescent="0.3">
      <c r="A196" s="674"/>
      <c r="B196" s="561"/>
      <c r="C196" s="675" t="s">
        <v>18</v>
      </c>
      <c r="D196" s="779" t="s">
        <v>19</v>
      </c>
      <c r="E196" s="561"/>
      <c r="F196" s="561"/>
      <c r="G196" s="563"/>
      <c r="H196" s="780" t="s">
        <v>14</v>
      </c>
      <c r="I196" s="565"/>
      <c r="J196" s="565"/>
      <c r="K196" s="566"/>
      <c r="L196" s="678">
        <f ca="1">IFERROR(__xludf.DUMMYFUNCTION("IMPORTRANGE(""https://docs.google.com/spreadsheets/d/1eHaY18a8A9IcSdp1K8H6x8fbOy06t2VsZHhMHf-1x7Y/edit?usp=sharing"",""แผน!AB23"")"),6000)</f>
        <v>6000</v>
      </c>
      <c r="M196" s="566"/>
      <c r="N196" s="781">
        <v>2260</v>
      </c>
      <c r="O196" s="679">
        <f ca="1">IF(L196&gt;0,N196*100/L196,0)</f>
        <v>37.666666666666664</v>
      </c>
      <c r="P196" s="679">
        <f>IF(M196&gt;0,N196*100/M196,0)</f>
        <v>0</v>
      </c>
      <c r="Q196" s="566"/>
      <c r="R196" s="566"/>
      <c r="S196" s="566"/>
      <c r="T196" s="566"/>
      <c r="U196" s="566"/>
    </row>
    <row r="197" spans="1:21" ht="19.5" x14ac:dyDescent="0.3">
      <c r="A197" s="687"/>
      <c r="B197" s="688"/>
      <c r="C197" s="675" t="s">
        <v>18</v>
      </c>
      <c r="D197" s="689" t="s">
        <v>38</v>
      </c>
      <c r="E197" s="690"/>
      <c r="F197" s="690"/>
      <c r="G197" s="691"/>
      <c r="H197" s="692"/>
      <c r="I197" s="565"/>
      <c r="J197" s="565"/>
      <c r="K197" s="566"/>
      <c r="L197" s="574"/>
      <c r="M197" s="566"/>
      <c r="N197" s="566"/>
      <c r="O197" s="566"/>
      <c r="P197" s="566"/>
      <c r="Q197" s="566"/>
      <c r="R197" s="566"/>
      <c r="S197" s="566"/>
      <c r="T197" s="566"/>
      <c r="U197" s="566"/>
    </row>
    <row r="198" spans="1:21" ht="18.75" x14ac:dyDescent="0.25">
      <c r="A198" s="687"/>
      <c r="B198" s="688"/>
      <c r="C198" s="688"/>
      <c r="D198" s="699" t="s">
        <v>80</v>
      </c>
      <c r="E198" s="695"/>
      <c r="F198" s="695"/>
      <c r="G198" s="692"/>
      <c r="H198" s="700" t="s">
        <v>79</v>
      </c>
      <c r="I198" s="708">
        <f ca="1">IFERROR(__xludf.DUMMYFUNCTION("IMPORTRANGE(""https://docs.google.com/spreadsheets/d/1eHaY18a8A9IcSdp1K8H6x8fbOy06t2VsZHhMHf-1x7Y/edit?usp=sharing"",""แผน!AE23"")"),4)</f>
        <v>4</v>
      </c>
      <c r="J198" s="702">
        <v>2</v>
      </c>
      <c r="K198" s="568">
        <f ca="1">IF(I198&gt;0,J198*100/I198,0)</f>
        <v>50</v>
      </c>
      <c r="L198" s="574"/>
      <c r="M198" s="566"/>
      <c r="N198" s="566"/>
      <c r="O198" s="566"/>
      <c r="P198" s="566"/>
      <c r="Q198" s="566"/>
      <c r="R198" s="566"/>
      <c r="S198" s="566"/>
      <c r="T198" s="566"/>
      <c r="U198" s="566"/>
    </row>
    <row r="199" spans="1:21" ht="18.75" x14ac:dyDescent="0.25">
      <c r="A199" s="687"/>
      <c r="B199" s="688"/>
      <c r="C199" s="688"/>
      <c r="D199" s="699" t="s">
        <v>81</v>
      </c>
      <c r="E199" s="695"/>
      <c r="F199" s="695"/>
      <c r="G199" s="692"/>
      <c r="H199" s="766" t="s">
        <v>35</v>
      </c>
      <c r="I199" s="565"/>
      <c r="J199" s="708">
        <f>J200+J201</f>
        <v>20</v>
      </c>
      <c r="K199" s="566"/>
      <c r="L199" s="574"/>
      <c r="M199" s="566"/>
      <c r="N199" s="566"/>
      <c r="O199" s="566"/>
      <c r="P199" s="566"/>
      <c r="Q199" s="566"/>
      <c r="R199" s="566"/>
      <c r="S199" s="566"/>
      <c r="T199" s="566"/>
      <c r="U199" s="566"/>
    </row>
    <row r="200" spans="1:21" ht="18.75" x14ac:dyDescent="0.25">
      <c r="A200" s="687"/>
      <c r="B200" s="688"/>
      <c r="C200" s="688"/>
      <c r="D200" s="688"/>
      <c r="E200" s="699" t="s">
        <v>82</v>
      </c>
      <c r="F200" s="695"/>
      <c r="G200" s="692"/>
      <c r="H200" s="766" t="s">
        <v>35</v>
      </c>
      <c r="I200" s="565"/>
      <c r="J200" s="702">
        <v>20</v>
      </c>
      <c r="K200" s="566"/>
      <c r="L200" s="574"/>
      <c r="M200" s="566"/>
      <c r="N200" s="566"/>
      <c r="O200" s="566"/>
      <c r="P200" s="566"/>
      <c r="Q200" s="566"/>
      <c r="R200" s="566"/>
      <c r="S200" s="566"/>
      <c r="T200" s="566"/>
      <c r="U200" s="566"/>
    </row>
    <row r="201" spans="1:21" ht="18.75" x14ac:dyDescent="0.25">
      <c r="A201" s="687"/>
      <c r="B201" s="688"/>
      <c r="C201" s="688"/>
      <c r="D201" s="688"/>
      <c r="E201" s="699" t="s">
        <v>83</v>
      </c>
      <c r="F201" s="695"/>
      <c r="G201" s="692"/>
      <c r="H201" s="766" t="s">
        <v>35</v>
      </c>
      <c r="I201" s="565"/>
      <c r="J201" s="702">
        <v>0</v>
      </c>
      <c r="K201" s="566"/>
      <c r="L201" s="574"/>
      <c r="M201" s="566"/>
      <c r="N201" s="566"/>
      <c r="O201" s="566"/>
      <c r="P201" s="566"/>
      <c r="Q201" s="566"/>
      <c r="R201" s="566"/>
      <c r="S201" s="566"/>
      <c r="T201" s="566"/>
      <c r="U201" s="566"/>
    </row>
    <row r="202" spans="1:21" ht="19.5" x14ac:dyDescent="0.3">
      <c r="A202" s="769"/>
      <c r="B202" s="770"/>
      <c r="C202" s="771" t="s">
        <v>84</v>
      </c>
      <c r="D202" s="772"/>
      <c r="E202" s="772"/>
      <c r="F202" s="772"/>
      <c r="G202" s="773"/>
      <c r="H202" s="782" t="s">
        <v>85</v>
      </c>
      <c r="I202" s="775">
        <f t="shared" ref="I202:J202" ca="1" si="145">I209</f>
        <v>4</v>
      </c>
      <c r="J202" s="775">
        <f t="shared" si="145"/>
        <v>0</v>
      </c>
      <c r="K202" s="776">
        <f ca="1">IF(I202&gt;0,J202*100/I202,0)</f>
        <v>0</v>
      </c>
      <c r="L202" s="777"/>
      <c r="M202" s="778"/>
      <c r="N202" s="778"/>
      <c r="O202" s="778"/>
      <c r="P202" s="778"/>
      <c r="Q202" s="778"/>
      <c r="R202" s="778"/>
      <c r="S202" s="778"/>
      <c r="T202" s="778"/>
      <c r="U202" s="778"/>
    </row>
    <row r="203" spans="1:21" ht="19.5" x14ac:dyDescent="0.3">
      <c r="A203" s="674"/>
      <c r="B203" s="561"/>
      <c r="C203" s="675" t="s">
        <v>18</v>
      </c>
      <c r="D203" s="779" t="s">
        <v>19</v>
      </c>
      <c r="E203" s="561"/>
      <c r="F203" s="561"/>
      <c r="G203" s="563"/>
      <c r="H203" s="780" t="s">
        <v>14</v>
      </c>
      <c r="I203" s="683"/>
      <c r="J203" s="683"/>
      <c r="K203" s="684"/>
      <c r="L203" s="678">
        <f ca="1">L204+L205+L206+L207</f>
        <v>25000</v>
      </c>
      <c r="M203" s="566"/>
      <c r="N203" s="679">
        <f>N204+N205+N206+N207</f>
        <v>0</v>
      </c>
      <c r="O203" s="679">
        <f ca="1">IF(L203&gt;0,N203*100/L203,0)</f>
        <v>0</v>
      </c>
      <c r="P203" s="679">
        <f>IF(M203&gt;0,N203*100/M203,0)</f>
        <v>0</v>
      </c>
      <c r="Q203" s="783">
        <f ca="1">Q204+Q205+Q206+Q207</f>
        <v>56000</v>
      </c>
      <c r="R203" s="784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 x14ac:dyDescent="0.25">
      <c r="A204" s="674"/>
      <c r="B204" s="718"/>
      <c r="C204" s="561"/>
      <c r="D204" s="788" t="s">
        <v>317</v>
      </c>
      <c r="E204" s="561"/>
      <c r="F204" s="561"/>
      <c r="G204" s="563"/>
      <c r="H204" s="682" t="s">
        <v>14</v>
      </c>
      <c r="I204" s="683"/>
      <c r="J204" s="683"/>
      <c r="K204" s="684"/>
      <c r="L204" s="567">
        <f ca="1">IFERROR(__xludf.DUMMYFUNCTION("IMPORTRANGE(""https://docs.google.com/spreadsheets/d/1eHaY18a8A9IcSdp1K8H6x8fbOy06t2VsZHhMHf-1x7Y/edit?usp=sharing"",""แผน!AG23"")"),4000)</f>
        <v>4000</v>
      </c>
      <c r="M204" s="566"/>
      <c r="N204" s="786">
        <v>0</v>
      </c>
      <c r="O204" s="684"/>
      <c r="P204" s="566"/>
      <c r="Q204" s="567">
        <v>0</v>
      </c>
      <c r="R204" s="566"/>
      <c r="S204" s="568">
        <v>0</v>
      </c>
      <c r="T204" s="684"/>
      <c r="U204" s="566"/>
    </row>
    <row r="205" spans="1:21" ht="18.75" x14ac:dyDescent="0.25">
      <c r="A205" s="764"/>
      <c r="B205" s="718"/>
      <c r="C205" s="561"/>
      <c r="D205" s="573" t="s">
        <v>301</v>
      </c>
      <c r="E205" s="561"/>
      <c r="F205" s="561"/>
      <c r="G205" s="563"/>
      <c r="H205" s="564" t="s">
        <v>14</v>
      </c>
      <c r="I205" s="565"/>
      <c r="J205" s="565"/>
      <c r="K205" s="566"/>
      <c r="L205" s="567">
        <f ca="1">IFERROR(__xludf.DUMMYFUNCTION("IMPORTRANGE(""https://docs.google.com/spreadsheets/d/1eHaY18a8A9IcSdp1K8H6x8fbOy06t2VsZHhMHf-1x7Y/edit?usp=sharing"",""แผน!AH23"")"),0)</f>
        <v>0</v>
      </c>
      <c r="M205" s="566"/>
      <c r="N205" s="786">
        <v>0</v>
      </c>
      <c r="O205" s="684"/>
      <c r="P205" s="566"/>
      <c r="Q205" s="567">
        <v>0</v>
      </c>
      <c r="R205" s="566"/>
      <c r="S205" s="568">
        <v>0</v>
      </c>
      <c r="T205" s="684"/>
      <c r="U205" s="566"/>
    </row>
    <row r="206" spans="1:21" ht="18.75" x14ac:dyDescent="0.25">
      <c r="A206" s="764"/>
      <c r="B206" s="718"/>
      <c r="C206" s="561"/>
      <c r="D206" s="573" t="s">
        <v>88</v>
      </c>
      <c r="E206" s="561"/>
      <c r="F206" s="561"/>
      <c r="G206" s="563"/>
      <c r="H206" s="564" t="s">
        <v>14</v>
      </c>
      <c r="I206" s="565"/>
      <c r="J206" s="565"/>
      <c r="K206" s="566"/>
      <c r="L206" s="567">
        <f ca="1">IFERROR(__xludf.DUMMYFUNCTION("IMPORTRANGE(""https://docs.google.com/spreadsheets/d/1eHaY18a8A9IcSdp1K8H6x8fbOy06t2VsZHhMHf-1x7Y/edit?usp=sharing"",""แผน!AI23"")"),0)</f>
        <v>0</v>
      </c>
      <c r="M206" s="566"/>
      <c r="N206" s="786">
        <v>0</v>
      </c>
      <c r="O206" s="684"/>
      <c r="P206" s="566"/>
      <c r="Q206" s="567">
        <f ca="1">IFERROR(__xludf.DUMMYFUNCTION("IMPORTRANGE(""https://docs.google.com/spreadsheets/d/1eHaY18a8A9IcSdp1K8H6x8fbOy06t2VsZHhMHf-1x7Y/edit?usp=sharing"",""แผน!LV23"")"),56000)</f>
        <v>56000</v>
      </c>
      <c r="R206" s="566"/>
      <c r="S206" s="786">
        <v>0</v>
      </c>
      <c r="T206" s="684"/>
      <c r="U206" s="566"/>
    </row>
    <row r="207" spans="1:21" ht="18.75" x14ac:dyDescent="0.25">
      <c r="A207" s="764"/>
      <c r="B207" s="718"/>
      <c r="C207" s="561"/>
      <c r="D207" s="573" t="s">
        <v>89</v>
      </c>
      <c r="E207" s="561"/>
      <c r="F207" s="561"/>
      <c r="G207" s="563"/>
      <c r="H207" s="564" t="s">
        <v>14</v>
      </c>
      <c r="I207" s="565"/>
      <c r="J207" s="565"/>
      <c r="K207" s="566"/>
      <c r="L207" s="567">
        <f ca="1">IFERROR(__xludf.DUMMYFUNCTION("IMPORTRANGE(""https://docs.google.com/spreadsheets/d/1eHaY18a8A9IcSdp1K8H6x8fbOy06t2VsZHhMHf-1x7Y/edit?usp=sharing"",""แผน!AJ23"")"),21000)</f>
        <v>21000</v>
      </c>
      <c r="M207" s="566"/>
      <c r="N207" s="786">
        <v>0</v>
      </c>
      <c r="O207" s="684"/>
      <c r="P207" s="566"/>
      <c r="Q207" s="567">
        <v>0</v>
      </c>
      <c r="R207" s="566"/>
      <c r="S207" s="568">
        <v>0</v>
      </c>
      <c r="T207" s="684"/>
      <c r="U207" s="566"/>
    </row>
    <row r="208" spans="1:21" ht="19.5" x14ac:dyDescent="0.3">
      <c r="A208" s="687"/>
      <c r="B208" s="688"/>
      <c r="C208" s="675" t="s">
        <v>18</v>
      </c>
      <c r="D208" s="689" t="s">
        <v>38</v>
      </c>
      <c r="E208" s="690"/>
      <c r="F208" s="690"/>
      <c r="G208" s="691"/>
      <c r="H208" s="692"/>
      <c r="I208" s="683"/>
      <c r="J208" s="683"/>
      <c r="K208" s="684"/>
      <c r="L208" s="693"/>
      <c r="M208" s="684"/>
      <c r="N208" s="684"/>
      <c r="O208" s="684"/>
      <c r="P208" s="684"/>
      <c r="Q208" s="693"/>
      <c r="R208" s="684"/>
      <c r="S208" s="684"/>
      <c r="T208" s="684"/>
      <c r="U208" s="684"/>
    </row>
    <row r="209" spans="1:21" ht="18.75" x14ac:dyDescent="0.25">
      <c r="A209" s="687"/>
      <c r="B209" s="688"/>
      <c r="C209" s="688"/>
      <c r="D209" s="694" t="s">
        <v>90</v>
      </c>
      <c r="E209" s="695"/>
      <c r="F209" s="695"/>
      <c r="G209" s="692"/>
      <c r="H209" s="787" t="s">
        <v>85</v>
      </c>
      <c r="I209" s="708">
        <f ca="1">IFERROR(__xludf.DUMMYFUNCTION("IMPORTRANGE(""https://docs.google.com/spreadsheets/d/1eHaY18a8A9IcSdp1K8H6x8fbOy06t2VsZHhMHf-1x7Y/edit?usp=sharing"",""แผน!AK23"")"),4)</f>
        <v>4</v>
      </c>
      <c r="J209" s="702">
        <v>0</v>
      </c>
      <c r="K209" s="703">
        <f ca="1">IF(I209&gt;0,J209*100/I209,0)</f>
        <v>0</v>
      </c>
      <c r="L209" s="574"/>
      <c r="M209" s="566"/>
      <c r="N209" s="566"/>
      <c r="O209" s="566"/>
      <c r="P209" s="566"/>
      <c r="Q209" s="574"/>
      <c r="R209" s="566"/>
      <c r="S209" s="566"/>
      <c r="T209" s="566"/>
      <c r="U209" s="566"/>
    </row>
    <row r="210" spans="1:21" ht="18.75" x14ac:dyDescent="0.25">
      <c r="A210" s="687"/>
      <c r="B210" s="688"/>
      <c r="C210" s="688"/>
      <c r="D210" s="699" t="s">
        <v>50</v>
      </c>
      <c r="E210" s="695"/>
      <c r="F210" s="695"/>
      <c r="G210" s="692"/>
      <c r="H210" s="692"/>
      <c r="I210" s="565"/>
      <c r="J210" s="565"/>
      <c r="K210" s="684"/>
      <c r="L210" s="574"/>
      <c r="M210" s="566"/>
      <c r="N210" s="566"/>
      <c r="O210" s="566"/>
      <c r="P210" s="566"/>
      <c r="Q210" s="574"/>
      <c r="R210" s="566"/>
      <c r="S210" s="566"/>
      <c r="T210" s="566"/>
      <c r="U210" s="566"/>
    </row>
    <row r="211" spans="1:21" ht="18.75" x14ac:dyDescent="0.25">
      <c r="A211" s="687"/>
      <c r="B211" s="688"/>
      <c r="C211" s="688"/>
      <c r="D211" s="695"/>
      <c r="E211" s="699" t="s">
        <v>91</v>
      </c>
      <c r="F211" s="695"/>
      <c r="G211" s="692"/>
      <c r="H211" s="787" t="s">
        <v>85</v>
      </c>
      <c r="I211" s="708">
        <f ca="1">IFERROR(__xludf.DUMMYFUNCTION("IMPORTRANGE(""https://docs.google.com/spreadsheets/d/1eHaY18a8A9IcSdp1K8H6x8fbOy06t2VsZHhMHf-1x7Y/edit?usp=sharing"",""แผน!JX23"")"),4)</f>
        <v>4</v>
      </c>
      <c r="J211" s="702">
        <v>0</v>
      </c>
      <c r="K211" s="703">
        <f t="shared" ref="K211:K213" ca="1" si="146">IF(I211&gt;0,J211*100/I211,0)</f>
        <v>0</v>
      </c>
      <c r="L211" s="574"/>
      <c r="M211" s="566"/>
      <c r="N211" s="566"/>
      <c r="O211" s="566"/>
      <c r="P211" s="566"/>
      <c r="Q211" s="574"/>
      <c r="R211" s="566"/>
      <c r="S211" s="566"/>
      <c r="T211" s="566"/>
      <c r="U211" s="566"/>
    </row>
    <row r="212" spans="1:21" ht="18.75" x14ac:dyDescent="0.25">
      <c r="A212" s="687"/>
      <c r="B212" s="688"/>
      <c r="C212" s="688"/>
      <c r="D212" s="695"/>
      <c r="E212" s="699" t="s">
        <v>92</v>
      </c>
      <c r="F212" s="695"/>
      <c r="G212" s="695"/>
      <c r="H212" s="700" t="s">
        <v>93</v>
      </c>
      <c r="I212" s="708">
        <f ca="1">IFERROR(__xludf.DUMMYFUNCTION("IMPORTRANGE(""https://docs.google.com/spreadsheets/d/1eHaY18a8A9IcSdp1K8H6x8fbOy06t2VsZHhMHf-1x7Y/edit?usp=sharing"",""แผน!JY23"")"),1)</f>
        <v>1</v>
      </c>
      <c r="J212" s="702">
        <v>0</v>
      </c>
      <c r="K212" s="703">
        <f t="shared" ca="1" si="146"/>
        <v>0</v>
      </c>
      <c r="L212" s="574"/>
      <c r="M212" s="566"/>
      <c r="N212" s="566"/>
      <c r="O212" s="566"/>
      <c r="P212" s="566"/>
      <c r="Q212" s="574"/>
      <c r="R212" s="566"/>
      <c r="S212" s="566"/>
      <c r="T212" s="566"/>
      <c r="U212" s="566"/>
    </row>
    <row r="213" spans="1:21" ht="19.5" x14ac:dyDescent="0.3">
      <c r="A213" s="769"/>
      <c r="B213" s="770"/>
      <c r="C213" s="771" t="s">
        <v>94</v>
      </c>
      <c r="D213" s="772"/>
      <c r="E213" s="772"/>
      <c r="F213" s="772"/>
      <c r="G213" s="773"/>
      <c r="H213" s="782" t="s">
        <v>85</v>
      </c>
      <c r="I213" s="775">
        <f t="shared" ref="I213:J213" ca="1" si="147">I220</f>
        <v>2</v>
      </c>
      <c r="J213" s="775">
        <f t="shared" si="147"/>
        <v>0</v>
      </c>
      <c r="K213" s="776">
        <f t="shared" ca="1" si="146"/>
        <v>0</v>
      </c>
      <c r="L213" s="777"/>
      <c r="M213" s="778"/>
      <c r="N213" s="778"/>
      <c r="O213" s="778"/>
      <c r="P213" s="778"/>
      <c r="Q213" s="777"/>
      <c r="R213" s="778"/>
      <c r="S213" s="778"/>
      <c r="T213" s="778"/>
      <c r="U213" s="778"/>
    </row>
    <row r="214" spans="1:21" ht="19.5" x14ac:dyDescent="0.3">
      <c r="A214" s="674"/>
      <c r="B214" s="561"/>
      <c r="C214" s="675" t="s">
        <v>18</v>
      </c>
      <c r="D214" s="779" t="s">
        <v>19</v>
      </c>
      <c r="E214" s="561"/>
      <c r="F214" s="561"/>
      <c r="G214" s="563"/>
      <c r="H214" s="780" t="s">
        <v>14</v>
      </c>
      <c r="I214" s="683"/>
      <c r="J214" s="683"/>
      <c r="K214" s="684"/>
      <c r="L214" s="678">
        <f ca="1">L215+L216+L217</f>
        <v>12000</v>
      </c>
      <c r="M214" s="566"/>
      <c r="N214" s="679">
        <f>N215+N216+N217</f>
        <v>0</v>
      </c>
      <c r="O214" s="679">
        <f ca="1">IF(L214&gt;0,N214*100/L214,0)</f>
        <v>0</v>
      </c>
      <c r="P214" s="679">
        <f>IF(M214&gt;0,N214*100/M214,0)</f>
        <v>0</v>
      </c>
      <c r="Q214" s="678">
        <f ca="1">Q215+Q216+Q217</f>
        <v>99400</v>
      </c>
      <c r="R214" s="566"/>
      <c r="S214" s="679">
        <f>S215+S216+S217</f>
        <v>229220</v>
      </c>
      <c r="T214" s="679">
        <f ca="1">IF(Q214&gt;0,S214*100/Q214,0)</f>
        <v>230.60362173038229</v>
      </c>
      <c r="U214" s="679">
        <f>IF(R214&gt;0,S214*100/R214,0)</f>
        <v>0</v>
      </c>
    </row>
    <row r="215" spans="1:21" ht="18.75" x14ac:dyDescent="0.25">
      <c r="A215" s="674"/>
      <c r="B215" s="718"/>
      <c r="C215" s="561"/>
      <c r="D215" s="573" t="s">
        <v>86</v>
      </c>
      <c r="E215" s="561"/>
      <c r="F215" s="561"/>
      <c r="G215" s="563"/>
      <c r="H215" s="682" t="s">
        <v>14</v>
      </c>
      <c r="I215" s="683"/>
      <c r="J215" s="683"/>
      <c r="K215" s="684"/>
      <c r="L215" s="567">
        <f ca="1">IFERROR(__xludf.DUMMYFUNCTION("IMPORTRANGE(""https://docs.google.com/spreadsheets/d/1eHaY18a8A9IcSdp1K8H6x8fbOy06t2VsZHhMHf-1x7Y/edit?usp=sharing"",""แผน!AM23"")"),2000)</f>
        <v>2000</v>
      </c>
      <c r="M215" s="566"/>
      <c r="N215" s="786">
        <v>0</v>
      </c>
      <c r="O215" s="684"/>
      <c r="P215" s="566"/>
      <c r="Q215" s="567">
        <v>0</v>
      </c>
      <c r="R215" s="566"/>
      <c r="S215" s="568">
        <v>0</v>
      </c>
      <c r="T215" s="684"/>
      <c r="U215" s="566"/>
    </row>
    <row r="216" spans="1:21" ht="18.75" x14ac:dyDescent="0.25">
      <c r="A216" s="764"/>
      <c r="B216" s="718"/>
      <c r="C216" s="718"/>
      <c r="D216" s="573" t="s">
        <v>95</v>
      </c>
      <c r="E216" s="561"/>
      <c r="F216" s="561"/>
      <c r="G216" s="563"/>
      <c r="H216" s="682" t="s">
        <v>14</v>
      </c>
      <c r="I216" s="565"/>
      <c r="J216" s="565"/>
      <c r="K216" s="566"/>
      <c r="L216" s="567">
        <f ca="1">IFERROR(__xludf.DUMMYFUNCTION("IMPORTRANGE(""https://docs.google.com/spreadsheets/d/1eHaY18a8A9IcSdp1K8H6x8fbOy06t2VsZHhMHf-1x7Y/edit?usp=sharing"",""แผน!AN23"")"),10000)</f>
        <v>10000</v>
      </c>
      <c r="M216" s="566"/>
      <c r="N216" s="786">
        <v>0</v>
      </c>
      <c r="O216" s="684"/>
      <c r="P216" s="566"/>
      <c r="Q216" s="567">
        <v>0</v>
      </c>
      <c r="R216" s="566"/>
      <c r="S216" s="568">
        <v>0</v>
      </c>
      <c r="T216" s="684"/>
      <c r="U216" s="566"/>
    </row>
    <row r="217" spans="1:21" ht="18.75" x14ac:dyDescent="0.25">
      <c r="A217" s="764"/>
      <c r="B217" s="718"/>
      <c r="C217" s="718"/>
      <c r="D217" s="573" t="s">
        <v>88</v>
      </c>
      <c r="E217" s="561"/>
      <c r="F217" s="561"/>
      <c r="G217" s="563"/>
      <c r="H217" s="682" t="s">
        <v>14</v>
      </c>
      <c r="I217" s="565"/>
      <c r="J217" s="565"/>
      <c r="K217" s="566"/>
      <c r="L217" s="567">
        <f ca="1">IFERROR(__xludf.DUMMYFUNCTION("IMPORTRANGE(""https://docs.google.com/spreadsheets/d/1eHaY18a8A9IcSdp1K8H6x8fbOy06t2VsZHhMHf-1x7Y/edit?usp=sharing"",""แผน!AO23"")"),0)</f>
        <v>0</v>
      </c>
      <c r="M217" s="566"/>
      <c r="N217" s="786">
        <v>0</v>
      </c>
      <c r="O217" s="684"/>
      <c r="P217" s="566"/>
      <c r="Q217" s="567">
        <f ca="1">IFERROR(__xludf.DUMMYFUNCTION("IMPORTRANGE(""https://docs.google.com/spreadsheets/d/1eHaY18a8A9IcSdp1K8H6x8fbOy06t2VsZHhMHf-1x7Y/edit?usp=sharing"",""แผน!LY23"")"),99400)</f>
        <v>99400</v>
      </c>
      <c r="R217" s="566"/>
      <c r="S217" s="786">
        <v>229220</v>
      </c>
      <c r="T217" s="684"/>
      <c r="U217" s="566"/>
    </row>
    <row r="218" spans="1:21" ht="19.5" x14ac:dyDescent="0.3">
      <c r="A218" s="687"/>
      <c r="B218" s="688"/>
      <c r="C218" s="719" t="s">
        <v>18</v>
      </c>
      <c r="D218" s="689" t="s">
        <v>38</v>
      </c>
      <c r="E218" s="690"/>
      <c r="F218" s="690"/>
      <c r="G218" s="691"/>
      <c r="H218" s="692"/>
      <c r="I218" s="683"/>
      <c r="J218" s="565"/>
      <c r="K218" s="566"/>
      <c r="L218" s="574"/>
      <c r="M218" s="566"/>
      <c r="N218" s="566"/>
      <c r="O218" s="684"/>
      <c r="P218" s="684"/>
      <c r="Q218" s="574"/>
      <c r="R218" s="566"/>
      <c r="S218" s="566"/>
      <c r="T218" s="684"/>
      <c r="U218" s="684"/>
    </row>
    <row r="219" spans="1:21" ht="18.75" x14ac:dyDescent="0.25">
      <c r="A219" s="687"/>
      <c r="B219" s="688"/>
      <c r="C219" s="688"/>
      <c r="D219" s="694" t="s">
        <v>96</v>
      </c>
      <c r="E219" s="695"/>
      <c r="F219" s="695"/>
      <c r="G219" s="692"/>
      <c r="H219" s="787" t="s">
        <v>85</v>
      </c>
      <c r="I219" s="708">
        <f ca="1">IFERROR(__xludf.DUMMYFUNCTION("IMPORTRANGE(""https://docs.google.com/spreadsheets/d/1eHaY18a8A9IcSdp1K8H6x8fbOy06t2VsZHhMHf-1x7Y/edit?usp=sharing"",""แผน!AP23"")"),2)</f>
        <v>2</v>
      </c>
      <c r="J219" s="702">
        <v>0</v>
      </c>
      <c r="K219" s="568">
        <f t="shared" ref="K219:K221" ca="1" si="148">IF(I219&gt;0,J219*100/I219,0)</f>
        <v>0</v>
      </c>
      <c r="L219" s="574"/>
      <c r="M219" s="566"/>
      <c r="N219" s="566"/>
      <c r="O219" s="566"/>
      <c r="P219" s="566"/>
      <c r="Q219" s="574"/>
      <c r="R219" s="566"/>
      <c r="S219" s="566"/>
      <c r="T219" s="566"/>
      <c r="U219" s="566"/>
    </row>
    <row r="220" spans="1:21" ht="18.75" x14ac:dyDescent="0.25">
      <c r="A220" s="687"/>
      <c r="B220" s="688"/>
      <c r="C220" s="688"/>
      <c r="D220" s="694" t="s">
        <v>97</v>
      </c>
      <c r="E220" s="695"/>
      <c r="F220" s="695"/>
      <c r="G220" s="692"/>
      <c r="H220" s="787" t="s">
        <v>85</v>
      </c>
      <c r="I220" s="708">
        <f ca="1">IFERROR(__xludf.DUMMYFUNCTION("IMPORTRANGE(""https://docs.google.com/spreadsheets/d/1eHaY18a8A9IcSdp1K8H6x8fbOy06t2VsZHhMHf-1x7Y/edit?usp=sharing"",""แผน!AP23"")"),2)</f>
        <v>2</v>
      </c>
      <c r="J220" s="702">
        <v>0</v>
      </c>
      <c r="K220" s="568">
        <f t="shared" ca="1" si="148"/>
        <v>0</v>
      </c>
      <c r="L220" s="574"/>
      <c r="M220" s="566"/>
      <c r="N220" s="566"/>
      <c r="O220" s="566"/>
      <c r="P220" s="566"/>
      <c r="Q220" s="574"/>
      <c r="R220" s="566"/>
      <c r="S220" s="566"/>
      <c r="T220" s="566"/>
      <c r="U220" s="566"/>
    </row>
    <row r="221" spans="1:21" ht="19.5" x14ac:dyDescent="0.3">
      <c r="A221" s="769"/>
      <c r="B221" s="770"/>
      <c r="C221" s="771" t="s">
        <v>98</v>
      </c>
      <c r="D221" s="772"/>
      <c r="E221" s="772"/>
      <c r="F221" s="772"/>
      <c r="G221" s="773"/>
      <c r="H221" s="774" t="s">
        <v>99</v>
      </c>
      <c r="I221" s="775">
        <f t="shared" ref="I221:J221" ca="1" si="149">I229</f>
        <v>128000</v>
      </c>
      <c r="J221" s="775">
        <f t="shared" si="149"/>
        <v>0</v>
      </c>
      <c r="K221" s="776">
        <f t="shared" ca="1" si="148"/>
        <v>0</v>
      </c>
      <c r="L221" s="777"/>
      <c r="M221" s="778"/>
      <c r="N221" s="778"/>
      <c r="O221" s="778"/>
      <c r="P221" s="778"/>
      <c r="Q221" s="778"/>
      <c r="R221" s="778"/>
      <c r="S221" s="778"/>
      <c r="T221" s="778"/>
      <c r="U221" s="778"/>
    </row>
    <row r="222" spans="1:21" ht="19.5" x14ac:dyDescent="0.3">
      <c r="A222" s="674"/>
      <c r="B222" s="561"/>
      <c r="C222" s="675" t="s">
        <v>18</v>
      </c>
      <c r="D222" s="779" t="s">
        <v>19</v>
      </c>
      <c r="E222" s="561"/>
      <c r="F222" s="561"/>
      <c r="G222" s="563"/>
      <c r="H222" s="780" t="s">
        <v>14</v>
      </c>
      <c r="I222" s="683"/>
      <c r="J222" s="683"/>
      <c r="K222" s="684"/>
      <c r="L222" s="678">
        <f ca="1">L223+L224+L225</f>
        <v>16500</v>
      </c>
      <c r="M222" s="566"/>
      <c r="N222" s="679">
        <f>N223+N224+N225</f>
        <v>0</v>
      </c>
      <c r="O222" s="679">
        <f ca="1">IF(L222&gt;0,N222*100/L222,0)</f>
        <v>0</v>
      </c>
      <c r="P222" s="679">
        <f>IF(M222&gt;0,N222*100/M222,0)</f>
        <v>0</v>
      </c>
      <c r="Q222" s="566"/>
      <c r="R222" s="566"/>
      <c r="S222" s="566"/>
      <c r="T222" s="566"/>
      <c r="U222" s="566"/>
    </row>
    <row r="223" spans="1:21" ht="18.75" x14ac:dyDescent="0.25">
      <c r="A223" s="674"/>
      <c r="B223" s="718"/>
      <c r="C223" s="561"/>
      <c r="D223" s="788" t="s">
        <v>302</v>
      </c>
      <c r="E223" s="561"/>
      <c r="F223" s="561"/>
      <c r="G223" s="563"/>
      <c r="H223" s="682" t="s">
        <v>14</v>
      </c>
      <c r="I223" s="683"/>
      <c r="J223" s="683"/>
      <c r="K223" s="684"/>
      <c r="L223" s="567">
        <f ca="1">IFERROR(__xludf.DUMMYFUNCTION("IMPORTRANGE(""https://docs.google.com/spreadsheets/d/1eHaY18a8A9IcSdp1K8H6x8fbOy06t2VsZHhMHf-1x7Y/edit?usp=sharing"",""แผน!AR23"")"),2500)</f>
        <v>2500</v>
      </c>
      <c r="M223" s="566"/>
      <c r="N223" s="786">
        <v>0</v>
      </c>
      <c r="O223" s="684"/>
      <c r="P223" s="566"/>
      <c r="Q223" s="566"/>
      <c r="R223" s="566"/>
      <c r="S223" s="566"/>
      <c r="T223" s="684"/>
      <c r="U223" s="566"/>
    </row>
    <row r="224" spans="1:21" ht="18.75" x14ac:dyDescent="0.25">
      <c r="A224" s="764"/>
      <c r="B224" s="718"/>
      <c r="C224" s="718"/>
      <c r="D224" s="573" t="s">
        <v>301</v>
      </c>
      <c r="E224" s="561"/>
      <c r="F224" s="561"/>
      <c r="G224" s="563"/>
      <c r="H224" s="682" t="s">
        <v>14</v>
      </c>
      <c r="I224" s="565"/>
      <c r="J224" s="565"/>
      <c r="K224" s="566"/>
      <c r="L224" s="567">
        <f ca="1">IFERROR(__xludf.DUMMYFUNCTION("IMPORTRANGE(""https://docs.google.com/spreadsheets/d/1eHaY18a8A9IcSdp1K8H6x8fbOy06t2VsZHhMHf-1x7Y/edit?usp=sharing"",""แผน!AS23"")"),14000)</f>
        <v>14000</v>
      </c>
      <c r="M224" s="566"/>
      <c r="N224" s="786">
        <v>0</v>
      </c>
      <c r="O224" s="684"/>
      <c r="P224" s="566"/>
      <c r="Q224" s="566"/>
      <c r="R224" s="566"/>
      <c r="S224" s="566"/>
      <c r="T224" s="684"/>
      <c r="U224" s="566"/>
    </row>
    <row r="225" spans="1:21" ht="18.75" x14ac:dyDescent="0.25">
      <c r="A225" s="764"/>
      <c r="B225" s="718"/>
      <c r="C225" s="718"/>
      <c r="D225" s="573" t="s">
        <v>88</v>
      </c>
      <c r="E225" s="561"/>
      <c r="F225" s="561"/>
      <c r="G225" s="563"/>
      <c r="H225" s="682" t="s">
        <v>14</v>
      </c>
      <c r="I225" s="565"/>
      <c r="J225" s="565"/>
      <c r="K225" s="566"/>
      <c r="L225" s="567">
        <f ca="1">IFERROR(__xludf.DUMMYFUNCTION("IMPORTRANGE(""https://docs.google.com/spreadsheets/d/1eHaY18a8A9IcSdp1K8H6x8fbOy06t2VsZHhMHf-1x7Y/edit?usp=sharing"",""แผน!AT23"")"),0)</f>
        <v>0</v>
      </c>
      <c r="M225" s="566"/>
      <c r="N225" s="786">
        <v>0</v>
      </c>
      <c r="O225" s="684"/>
      <c r="P225" s="566"/>
      <c r="Q225" s="566"/>
      <c r="R225" s="566"/>
      <c r="S225" s="566"/>
      <c r="T225" s="684"/>
      <c r="U225" s="566"/>
    </row>
    <row r="226" spans="1:21" ht="19.5" x14ac:dyDescent="0.3">
      <c r="A226" s="687"/>
      <c r="B226" s="688"/>
      <c r="C226" s="719" t="s">
        <v>18</v>
      </c>
      <c r="D226" s="689" t="s">
        <v>38</v>
      </c>
      <c r="E226" s="690"/>
      <c r="F226" s="690"/>
      <c r="G226" s="691"/>
      <c r="H226" s="692"/>
      <c r="I226" s="683"/>
      <c r="J226" s="683"/>
      <c r="K226" s="684"/>
      <c r="L226" s="693"/>
      <c r="M226" s="684"/>
      <c r="N226" s="684"/>
      <c r="O226" s="684"/>
      <c r="P226" s="684"/>
      <c r="Q226" s="684"/>
      <c r="R226" s="684"/>
      <c r="S226" s="684"/>
      <c r="T226" s="684"/>
      <c r="U226" s="684"/>
    </row>
    <row r="227" spans="1:21" ht="18.75" x14ac:dyDescent="0.25">
      <c r="A227" s="687"/>
      <c r="B227" s="688"/>
      <c r="C227" s="688"/>
      <c r="D227" s="573" t="s">
        <v>101</v>
      </c>
      <c r="E227" s="695"/>
      <c r="F227" s="695"/>
      <c r="G227" s="692"/>
      <c r="H227" s="692"/>
      <c r="I227" s="565"/>
      <c r="J227" s="565"/>
      <c r="K227" s="684"/>
      <c r="L227" s="693"/>
      <c r="M227" s="684"/>
      <c r="N227" s="684"/>
      <c r="O227" s="684"/>
      <c r="P227" s="684"/>
      <c r="Q227" s="684"/>
      <c r="R227" s="684"/>
      <c r="S227" s="684"/>
      <c r="T227" s="684"/>
      <c r="U227" s="684"/>
    </row>
    <row r="228" spans="1:21" ht="18.75" x14ac:dyDescent="0.25">
      <c r="A228" s="687"/>
      <c r="B228" s="688"/>
      <c r="C228" s="688"/>
      <c r="D228" s="688"/>
      <c r="E228" s="694" t="s">
        <v>102</v>
      </c>
      <c r="F228" s="695"/>
      <c r="G228" s="692"/>
      <c r="H228" s="700" t="s">
        <v>99</v>
      </c>
      <c r="I228" s="708">
        <f ca="1">IFERROR(__xludf.DUMMYFUNCTION("IMPORTRANGE(""https://docs.google.com/spreadsheets/d/1eHaY18a8A9IcSdp1K8H6x8fbOy06t2VsZHhMHf-1x7Y/edit?usp=sharing"",""แผน!AV23"")"),128000)</f>
        <v>128000</v>
      </c>
      <c r="J228" s="702">
        <v>128000</v>
      </c>
      <c r="K228" s="703">
        <f t="shared" ref="K228:K231" ca="1" si="150">IF(I228&gt;0,J228*100/I228,0)</f>
        <v>100</v>
      </c>
      <c r="L228" s="693"/>
      <c r="M228" s="684"/>
      <c r="N228" s="684"/>
      <c r="O228" s="684"/>
      <c r="P228" s="684"/>
      <c r="Q228" s="684"/>
      <c r="R228" s="684"/>
      <c r="S228" s="684"/>
      <c r="T228" s="684"/>
      <c r="U228" s="684"/>
    </row>
    <row r="229" spans="1:21" ht="18.75" x14ac:dyDescent="0.25">
      <c r="A229" s="687"/>
      <c r="B229" s="688"/>
      <c r="C229" s="688"/>
      <c r="D229" s="688"/>
      <c r="E229" s="694" t="s">
        <v>103</v>
      </c>
      <c r="F229" s="695"/>
      <c r="G229" s="692"/>
      <c r="H229" s="700" t="s">
        <v>99</v>
      </c>
      <c r="I229" s="708">
        <f ca="1">IFERROR(__xludf.DUMMYFUNCTION("IMPORTRANGE(""https://docs.google.com/spreadsheets/d/1eHaY18a8A9IcSdp1K8H6x8fbOy06t2VsZHhMHf-1x7Y/edit?usp=sharing"",""แผน!AV23"")"),128000)</f>
        <v>128000</v>
      </c>
      <c r="J229" s="702">
        <v>0</v>
      </c>
      <c r="K229" s="703">
        <f t="shared" ca="1" si="150"/>
        <v>0</v>
      </c>
      <c r="L229" s="574"/>
      <c r="M229" s="566"/>
      <c r="N229" s="566"/>
      <c r="O229" s="566"/>
      <c r="P229" s="566"/>
      <c r="Q229" s="566"/>
      <c r="R229" s="566"/>
      <c r="S229" s="566"/>
      <c r="T229" s="566"/>
      <c r="U229" s="566"/>
    </row>
    <row r="230" spans="1:21" ht="18.75" x14ac:dyDescent="0.25">
      <c r="A230" s="687"/>
      <c r="B230" s="688"/>
      <c r="C230" s="688"/>
      <c r="D230" s="573" t="s">
        <v>104</v>
      </c>
      <c r="E230" s="695"/>
      <c r="F230" s="695"/>
      <c r="G230" s="692"/>
      <c r="H230" s="700" t="s">
        <v>35</v>
      </c>
      <c r="I230" s="708">
        <f ca="1">IFERROR(__xludf.DUMMYFUNCTION("IMPORTRANGE(""https://docs.google.com/spreadsheets/d/1eHaY18a8A9IcSdp1K8H6x8fbOy06t2VsZHhMHf-1x7Y/edit?usp=sharing"",""แผน!AU23"")"),0)</f>
        <v>0</v>
      </c>
      <c r="J230" s="702">
        <v>0</v>
      </c>
      <c r="K230" s="703">
        <f t="shared" ca="1" si="150"/>
        <v>0</v>
      </c>
      <c r="L230" s="574"/>
      <c r="M230" s="566"/>
      <c r="N230" s="566"/>
      <c r="O230" s="566"/>
      <c r="P230" s="566"/>
      <c r="Q230" s="566"/>
      <c r="R230" s="566"/>
      <c r="S230" s="566"/>
      <c r="T230" s="566"/>
      <c r="U230" s="566"/>
    </row>
    <row r="231" spans="1:21" ht="19.5" hidden="1" x14ac:dyDescent="0.3">
      <c r="A231" s="769"/>
      <c r="B231" s="770"/>
      <c r="C231" s="771" t="s">
        <v>105</v>
      </c>
      <c r="D231" s="772"/>
      <c r="E231" s="772"/>
      <c r="F231" s="772"/>
      <c r="G231" s="773"/>
      <c r="H231" s="774" t="s">
        <v>35</v>
      </c>
      <c r="I231" s="775">
        <f t="shared" ref="I231:J231" ca="1" si="151">I242+I253</f>
        <v>0</v>
      </c>
      <c r="J231" s="775">
        <f t="shared" si="151"/>
        <v>0</v>
      </c>
      <c r="K231" s="776">
        <f t="shared" ca="1" si="150"/>
        <v>0</v>
      </c>
      <c r="L231" s="777"/>
      <c r="M231" s="778"/>
      <c r="N231" s="778"/>
      <c r="O231" s="778"/>
      <c r="P231" s="778"/>
      <c r="Q231" s="778"/>
      <c r="R231" s="778"/>
      <c r="S231" s="778"/>
      <c r="T231" s="778"/>
      <c r="U231" s="778"/>
    </row>
    <row r="232" spans="1:21" ht="19.5" hidden="1" x14ac:dyDescent="0.3">
      <c r="A232" s="674"/>
      <c r="B232" s="561"/>
      <c r="C232" s="675" t="s">
        <v>18</v>
      </c>
      <c r="D232" s="676" t="s">
        <v>19</v>
      </c>
      <c r="E232" s="561"/>
      <c r="F232" s="561"/>
      <c r="G232" s="563"/>
      <c r="H232" s="780" t="s">
        <v>14</v>
      </c>
      <c r="I232" s="683"/>
      <c r="J232" s="683"/>
      <c r="K232" s="684"/>
      <c r="L232" s="789">
        <f t="shared" ref="L232:L236" ca="1" si="152">L243+L254</f>
        <v>0</v>
      </c>
      <c r="M232" s="566"/>
      <c r="N232" s="790">
        <f t="shared" ref="N232:N236" si="153">N243+N254</f>
        <v>0</v>
      </c>
      <c r="O232" s="566"/>
      <c r="P232" s="566"/>
      <c r="Q232" s="566"/>
      <c r="R232" s="566"/>
      <c r="S232" s="566"/>
      <c r="T232" s="566"/>
      <c r="U232" s="566"/>
    </row>
    <row r="233" spans="1:21" ht="18.75" hidden="1" x14ac:dyDescent="0.25">
      <c r="A233" s="674"/>
      <c r="B233" s="718"/>
      <c r="C233" s="561"/>
      <c r="D233" s="573" t="s">
        <v>86</v>
      </c>
      <c r="E233" s="561"/>
      <c r="F233" s="561"/>
      <c r="G233" s="563"/>
      <c r="H233" s="682" t="s">
        <v>14</v>
      </c>
      <c r="I233" s="683"/>
      <c r="J233" s="683"/>
      <c r="K233" s="684"/>
      <c r="L233" s="571">
        <f t="shared" ca="1" si="152"/>
        <v>0</v>
      </c>
      <c r="M233" s="566"/>
      <c r="N233" s="572">
        <f t="shared" si="153"/>
        <v>0</v>
      </c>
      <c r="O233" s="566"/>
      <c r="P233" s="566"/>
      <c r="Q233" s="1127">
        <v>0</v>
      </c>
      <c r="R233" s="1128">
        <v>0</v>
      </c>
      <c r="S233" s="1128">
        <v>0</v>
      </c>
      <c r="T233" s="566"/>
      <c r="U233" s="566"/>
    </row>
    <row r="234" spans="1:21" ht="18.75" hidden="1" x14ac:dyDescent="0.25">
      <c r="A234" s="764"/>
      <c r="B234" s="718"/>
      <c r="C234" s="718"/>
      <c r="D234" s="573" t="s">
        <v>88</v>
      </c>
      <c r="E234" s="561"/>
      <c r="F234" s="561"/>
      <c r="G234" s="563"/>
      <c r="H234" s="682" t="s">
        <v>14</v>
      </c>
      <c r="I234" s="565"/>
      <c r="J234" s="565"/>
      <c r="K234" s="566"/>
      <c r="L234" s="571">
        <f t="shared" ca="1" si="152"/>
        <v>0</v>
      </c>
      <c r="M234" s="566"/>
      <c r="N234" s="572">
        <f t="shared" si="153"/>
        <v>0</v>
      </c>
      <c r="O234" s="566"/>
      <c r="P234" s="566"/>
      <c r="Q234" s="1129">
        <v>0</v>
      </c>
      <c r="R234" s="1130">
        <v>0</v>
      </c>
      <c r="S234" s="1130">
        <v>0</v>
      </c>
      <c r="T234" s="566"/>
      <c r="U234" s="566"/>
    </row>
    <row r="235" spans="1:21" ht="18.75" hidden="1" x14ac:dyDescent="0.25">
      <c r="A235" s="764"/>
      <c r="B235" s="718"/>
      <c r="C235" s="718"/>
      <c r="D235" s="573" t="s">
        <v>106</v>
      </c>
      <c r="E235" s="561"/>
      <c r="F235" s="561"/>
      <c r="G235" s="563"/>
      <c r="H235" s="682" t="s">
        <v>14</v>
      </c>
      <c r="I235" s="565"/>
      <c r="J235" s="565"/>
      <c r="K235" s="566"/>
      <c r="L235" s="571">
        <f t="shared" ca="1" si="152"/>
        <v>0</v>
      </c>
      <c r="M235" s="566"/>
      <c r="N235" s="572">
        <f t="shared" si="153"/>
        <v>0</v>
      </c>
      <c r="O235" s="566"/>
      <c r="P235" s="566"/>
      <c r="Q235" s="1129">
        <v>0</v>
      </c>
      <c r="R235" s="1130">
        <v>0</v>
      </c>
      <c r="S235" s="1130">
        <v>0</v>
      </c>
      <c r="T235" s="566"/>
      <c r="U235" s="566"/>
    </row>
    <row r="236" spans="1:21" ht="18.75" hidden="1" x14ac:dyDescent="0.25">
      <c r="A236" s="764"/>
      <c r="B236" s="718"/>
      <c r="C236" s="718"/>
      <c r="D236" s="573" t="s">
        <v>107</v>
      </c>
      <c r="E236" s="561"/>
      <c r="F236" s="561"/>
      <c r="G236" s="563"/>
      <c r="H236" s="682" t="s">
        <v>14</v>
      </c>
      <c r="I236" s="565"/>
      <c r="J236" s="565"/>
      <c r="K236" s="566"/>
      <c r="L236" s="571">
        <f t="shared" ca="1" si="152"/>
        <v>0</v>
      </c>
      <c r="M236" s="566"/>
      <c r="N236" s="572">
        <f t="shared" si="153"/>
        <v>0</v>
      </c>
      <c r="O236" s="566"/>
      <c r="P236" s="566"/>
      <c r="Q236" s="1129">
        <v>0</v>
      </c>
      <c r="R236" s="1130">
        <v>0</v>
      </c>
      <c r="S236" s="1130">
        <v>0</v>
      </c>
      <c r="T236" s="566"/>
      <c r="U236" s="566"/>
    </row>
    <row r="237" spans="1:21" ht="19.5" hidden="1" x14ac:dyDescent="0.3">
      <c r="A237" s="687"/>
      <c r="B237" s="688"/>
      <c r="C237" s="719" t="s">
        <v>18</v>
      </c>
      <c r="D237" s="689" t="s">
        <v>38</v>
      </c>
      <c r="E237" s="690"/>
      <c r="F237" s="690"/>
      <c r="G237" s="691"/>
      <c r="H237" s="692"/>
      <c r="I237" s="683"/>
      <c r="J237" s="565"/>
      <c r="K237" s="566"/>
      <c r="L237" s="574"/>
      <c r="M237" s="566"/>
      <c r="N237" s="566"/>
      <c r="O237" s="684"/>
      <c r="P237" s="684"/>
      <c r="Q237" s="566"/>
      <c r="R237" s="566"/>
      <c r="S237" s="566"/>
      <c r="T237" s="684"/>
      <c r="U237" s="684"/>
    </row>
    <row r="238" spans="1:21" ht="18.75" hidden="1" x14ac:dyDescent="0.25">
      <c r="A238" s="687"/>
      <c r="B238" s="688"/>
      <c r="C238" s="688"/>
      <c r="D238" s="699" t="s">
        <v>108</v>
      </c>
      <c r="E238" s="695"/>
      <c r="F238" s="695"/>
      <c r="G238" s="692"/>
      <c r="H238" s="700" t="s">
        <v>35</v>
      </c>
      <c r="I238" s="708">
        <f t="shared" ref="I238:J238" ca="1" si="154">I249+I260</f>
        <v>0</v>
      </c>
      <c r="J238" s="708">
        <f t="shared" si="154"/>
        <v>0</v>
      </c>
      <c r="K238" s="568">
        <f ca="1">IF(I238&gt;0,J238*100/I238,0)</f>
        <v>0</v>
      </c>
      <c r="L238" s="574"/>
      <c r="M238" s="566"/>
      <c r="N238" s="566"/>
      <c r="O238" s="566"/>
      <c r="P238" s="566"/>
      <c r="Q238" s="566"/>
      <c r="R238" s="566"/>
      <c r="S238" s="566"/>
      <c r="T238" s="566"/>
      <c r="U238" s="566"/>
    </row>
    <row r="239" spans="1:21" ht="18.75" hidden="1" x14ac:dyDescent="0.25">
      <c r="A239" s="687"/>
      <c r="B239" s="688"/>
      <c r="C239" s="688"/>
      <c r="D239" s="792" t="s">
        <v>43</v>
      </c>
      <c r="E239" s="695"/>
      <c r="F239" s="695"/>
      <c r="G239" s="692"/>
      <c r="H239" s="692"/>
      <c r="I239" s="565"/>
      <c r="J239" s="565"/>
      <c r="K239" s="566"/>
      <c r="L239" s="574"/>
      <c r="M239" s="566"/>
      <c r="N239" s="566"/>
      <c r="O239" s="684"/>
      <c r="P239" s="684"/>
      <c r="Q239" s="566"/>
      <c r="R239" s="566"/>
      <c r="S239" s="566"/>
      <c r="T239" s="684"/>
      <c r="U239" s="684"/>
    </row>
    <row r="240" spans="1:21" ht="18.75" hidden="1" x14ac:dyDescent="0.25">
      <c r="A240" s="687"/>
      <c r="B240" s="688"/>
      <c r="C240" s="688"/>
      <c r="D240" s="688"/>
      <c r="E240" s="694" t="s">
        <v>109</v>
      </c>
      <c r="F240" s="695"/>
      <c r="G240" s="692"/>
      <c r="H240" s="700" t="s">
        <v>35</v>
      </c>
      <c r="I240" s="708">
        <f t="shared" ref="I240:J241" si="155">I251+I262</f>
        <v>0</v>
      </c>
      <c r="J240" s="708">
        <f t="shared" si="155"/>
        <v>0</v>
      </c>
      <c r="K240" s="568">
        <f t="shared" ref="K240:K242" si="156">IF(I240&gt;0,J240*100/I240,0)</f>
        <v>0</v>
      </c>
      <c r="L240" s="574"/>
      <c r="M240" s="566"/>
      <c r="N240" s="566"/>
      <c r="O240" s="566"/>
      <c r="P240" s="566"/>
      <c r="Q240" s="566"/>
      <c r="R240" s="566"/>
      <c r="S240" s="566"/>
      <c r="T240" s="566"/>
      <c r="U240" s="566"/>
    </row>
    <row r="241" spans="1:21" ht="18.75" hidden="1" x14ac:dyDescent="0.25">
      <c r="A241" s="687"/>
      <c r="B241" s="688"/>
      <c r="C241" s="688"/>
      <c r="D241" s="688"/>
      <c r="E241" s="694" t="s">
        <v>110</v>
      </c>
      <c r="F241" s="695"/>
      <c r="G241" s="692"/>
      <c r="H241" s="700" t="s">
        <v>61</v>
      </c>
      <c r="I241" s="708">
        <f t="shared" si="155"/>
        <v>0</v>
      </c>
      <c r="J241" s="708">
        <f t="shared" si="155"/>
        <v>0</v>
      </c>
      <c r="K241" s="568">
        <f t="shared" si="156"/>
        <v>0</v>
      </c>
      <c r="L241" s="574"/>
      <c r="M241" s="566"/>
      <c r="N241" s="566"/>
      <c r="O241" s="566"/>
      <c r="P241" s="566"/>
      <c r="Q241" s="566"/>
      <c r="R241" s="566"/>
      <c r="S241" s="566"/>
      <c r="T241" s="566"/>
      <c r="U241" s="566"/>
    </row>
    <row r="242" spans="1:21" ht="19.5" hidden="1" x14ac:dyDescent="0.3">
      <c r="A242" s="769"/>
      <c r="B242" s="770"/>
      <c r="C242" s="793" t="s">
        <v>111</v>
      </c>
      <c r="D242" s="772"/>
      <c r="E242" s="772"/>
      <c r="F242" s="772"/>
      <c r="G242" s="773"/>
      <c r="H242" s="794" t="s">
        <v>35</v>
      </c>
      <c r="I242" s="795">
        <f t="shared" ref="I242:J242" ca="1" si="157">I249</f>
        <v>0</v>
      </c>
      <c r="J242" s="795">
        <f t="shared" si="157"/>
        <v>0</v>
      </c>
      <c r="K242" s="796">
        <f t="shared" ca="1" si="156"/>
        <v>0</v>
      </c>
      <c r="L242" s="777"/>
      <c r="M242" s="778"/>
      <c r="N242" s="778"/>
      <c r="O242" s="778"/>
      <c r="P242" s="778"/>
      <c r="Q242" s="778"/>
      <c r="R242" s="778"/>
      <c r="S242" s="778"/>
      <c r="T242" s="778"/>
      <c r="U242" s="778"/>
    </row>
    <row r="243" spans="1:21" ht="19.5" hidden="1" x14ac:dyDescent="0.3">
      <c r="A243" s="674"/>
      <c r="B243" s="561"/>
      <c r="C243" s="797" t="s">
        <v>18</v>
      </c>
      <c r="D243" s="798" t="s">
        <v>19</v>
      </c>
      <c r="E243" s="561"/>
      <c r="F243" s="561"/>
      <c r="G243" s="563"/>
      <c r="H243" s="799" t="s">
        <v>14</v>
      </c>
      <c r="I243" s="683"/>
      <c r="J243" s="683"/>
      <c r="K243" s="684"/>
      <c r="L243" s="678">
        <f ca="1">L244+L245+L246+L247</f>
        <v>0</v>
      </c>
      <c r="M243" s="566"/>
      <c r="N243" s="679">
        <f>N244+N245+N246+N247</f>
        <v>0</v>
      </c>
      <c r="O243" s="679">
        <f ca="1">IF(L243&gt;0,N243*100/L243,0)</f>
        <v>0</v>
      </c>
      <c r="P243" s="679">
        <f>IF(M243&gt;0,N243*100/M243,0)</f>
        <v>0</v>
      </c>
      <c r="Q243" s="566"/>
      <c r="R243" s="566"/>
      <c r="S243" s="566"/>
      <c r="T243" s="566"/>
      <c r="U243" s="566"/>
    </row>
    <row r="244" spans="1:21" ht="18.75" hidden="1" x14ac:dyDescent="0.25">
      <c r="A244" s="674"/>
      <c r="B244" s="718"/>
      <c r="C244" s="561"/>
      <c r="D244" s="569" t="s">
        <v>86</v>
      </c>
      <c r="E244" s="561"/>
      <c r="F244" s="561"/>
      <c r="G244" s="563"/>
      <c r="H244" s="685" t="s">
        <v>14</v>
      </c>
      <c r="I244" s="683"/>
      <c r="J244" s="683"/>
      <c r="K244" s="684"/>
      <c r="L244" s="567">
        <f ca="1">IFERROR(__xludf.DUMMYFUNCTION("IMPORTRANGE(""https://docs.google.com/spreadsheets/d/1eHaY18a8A9IcSdp1K8H6x8fbOy06t2VsZHhMHf-1x7Y/edit?usp=sharing"",""แผน!AX23"")"),0)</f>
        <v>0</v>
      </c>
      <c r="M244" s="566"/>
      <c r="N244" s="786">
        <v>0</v>
      </c>
      <c r="O244" s="566"/>
      <c r="P244" s="566"/>
      <c r="Q244" s="566"/>
      <c r="R244" s="566"/>
      <c r="S244" s="566"/>
      <c r="T244" s="566"/>
      <c r="U244" s="566"/>
    </row>
    <row r="245" spans="1:21" ht="18.75" hidden="1" x14ac:dyDescent="0.25">
      <c r="A245" s="764"/>
      <c r="B245" s="718"/>
      <c r="C245" s="718"/>
      <c r="D245" s="569" t="s">
        <v>88</v>
      </c>
      <c r="E245" s="561"/>
      <c r="F245" s="561"/>
      <c r="G245" s="563"/>
      <c r="H245" s="685" t="s">
        <v>14</v>
      </c>
      <c r="I245" s="565"/>
      <c r="J245" s="565"/>
      <c r="K245" s="566"/>
      <c r="L245" s="567">
        <f ca="1">IFERROR(__xludf.DUMMYFUNCTION("IMPORTRANGE(""https://docs.google.com/spreadsheets/d/1eHaY18a8A9IcSdp1K8H6x8fbOy06t2VsZHhMHf-1x7Y/edit?usp=sharing"",""แผน!AY23"")"),0)</f>
        <v>0</v>
      </c>
      <c r="M245" s="566"/>
      <c r="N245" s="786">
        <v>0</v>
      </c>
      <c r="O245" s="566"/>
      <c r="P245" s="566"/>
      <c r="Q245" s="566"/>
      <c r="R245" s="566"/>
      <c r="S245" s="566"/>
      <c r="T245" s="566"/>
      <c r="U245" s="566"/>
    </row>
    <row r="246" spans="1:21" ht="18.75" hidden="1" x14ac:dyDescent="0.25">
      <c r="A246" s="764"/>
      <c r="B246" s="718"/>
      <c r="C246" s="718"/>
      <c r="D246" s="569" t="s">
        <v>106</v>
      </c>
      <c r="E246" s="561"/>
      <c r="F246" s="561"/>
      <c r="G246" s="563"/>
      <c r="H246" s="685" t="s">
        <v>14</v>
      </c>
      <c r="I246" s="565"/>
      <c r="J246" s="565"/>
      <c r="K246" s="566"/>
      <c r="L246" s="567">
        <f ca="1">IFERROR(__xludf.DUMMYFUNCTION("IMPORTRANGE(""https://docs.google.com/spreadsheets/d/1eHaY18a8A9IcSdp1K8H6x8fbOy06t2VsZHhMHf-1x7Y/edit?usp=sharing"",""แผน!AZ23"")"),0)</f>
        <v>0</v>
      </c>
      <c r="M246" s="566"/>
      <c r="N246" s="786">
        <v>0</v>
      </c>
      <c r="O246" s="566"/>
      <c r="P246" s="566"/>
      <c r="Q246" s="566"/>
      <c r="R246" s="566"/>
      <c r="S246" s="566"/>
      <c r="T246" s="566"/>
      <c r="U246" s="566"/>
    </row>
    <row r="247" spans="1:21" ht="18.75" hidden="1" x14ac:dyDescent="0.25">
      <c r="A247" s="764"/>
      <c r="B247" s="718"/>
      <c r="C247" s="718"/>
      <c r="D247" s="569" t="s">
        <v>107</v>
      </c>
      <c r="E247" s="561"/>
      <c r="F247" s="561"/>
      <c r="G247" s="563"/>
      <c r="H247" s="685" t="s">
        <v>14</v>
      </c>
      <c r="I247" s="565"/>
      <c r="J247" s="565"/>
      <c r="K247" s="566"/>
      <c r="L247" s="567">
        <f ca="1">IFERROR(__xludf.DUMMYFUNCTION("IMPORTRANGE(""https://docs.google.com/spreadsheets/d/1eHaY18a8A9IcSdp1K8H6x8fbOy06t2VsZHhMHf-1x7Y/edit?usp=sharing"",""แผน!BA23"")"),0)</f>
        <v>0</v>
      </c>
      <c r="M247" s="566"/>
      <c r="N247" s="786">
        <v>0</v>
      </c>
      <c r="O247" s="566"/>
      <c r="P247" s="566"/>
      <c r="Q247" s="566"/>
      <c r="R247" s="566"/>
      <c r="S247" s="566"/>
      <c r="T247" s="566"/>
      <c r="U247" s="566"/>
    </row>
    <row r="248" spans="1:21" ht="19.5" hidden="1" x14ac:dyDescent="0.3">
      <c r="A248" s="687"/>
      <c r="B248" s="688"/>
      <c r="C248" s="800" t="s">
        <v>18</v>
      </c>
      <c r="D248" s="801" t="s">
        <v>38</v>
      </c>
      <c r="E248" s="690"/>
      <c r="F248" s="690"/>
      <c r="G248" s="691"/>
      <c r="H248" s="692"/>
      <c r="I248" s="683"/>
      <c r="J248" s="565"/>
      <c r="K248" s="566"/>
      <c r="L248" s="574"/>
      <c r="M248" s="566"/>
      <c r="N248" s="566"/>
      <c r="O248" s="684"/>
      <c r="P248" s="684"/>
      <c r="Q248" s="566"/>
      <c r="R248" s="566"/>
      <c r="S248" s="566"/>
      <c r="T248" s="684"/>
      <c r="U248" s="684"/>
    </row>
    <row r="249" spans="1:21" ht="18.75" hidden="1" x14ac:dyDescent="0.25">
      <c r="A249" s="687"/>
      <c r="B249" s="688"/>
      <c r="C249" s="688"/>
      <c r="D249" s="726" t="s">
        <v>108</v>
      </c>
      <c r="E249" s="695"/>
      <c r="F249" s="695"/>
      <c r="G249" s="692"/>
      <c r="H249" s="802" t="s">
        <v>35</v>
      </c>
      <c r="I249" s="735">
        <f ca="1">IFERROR(__xludf.DUMMYFUNCTION("IMPORTRANGE(""https://docs.google.com/spreadsheets/d/1eHaY18a8A9IcSdp1K8H6x8fbOy06t2VsZHhMHf-1x7Y/edit?usp=sharing"",""แผน!BG23"")"),0)</f>
        <v>0</v>
      </c>
      <c r="J249" s="736">
        <v>0</v>
      </c>
      <c r="K249" s="572">
        <f ca="1">IF(I249&gt;0,J249*100/I249,0)</f>
        <v>0</v>
      </c>
      <c r="L249" s="574"/>
      <c r="M249" s="566"/>
      <c r="N249" s="566"/>
      <c r="O249" s="566"/>
      <c r="P249" s="566"/>
      <c r="Q249" s="566"/>
      <c r="R249" s="566"/>
      <c r="S249" s="566"/>
      <c r="T249" s="566"/>
      <c r="U249" s="566"/>
    </row>
    <row r="250" spans="1:21" ht="18.75" hidden="1" x14ac:dyDescent="0.25">
      <c r="A250" s="687"/>
      <c r="B250" s="688"/>
      <c r="C250" s="688"/>
      <c r="D250" s="803" t="s">
        <v>43</v>
      </c>
      <c r="E250" s="695"/>
      <c r="F250" s="695"/>
      <c r="G250" s="692"/>
      <c r="H250" s="692"/>
      <c r="I250" s="565"/>
      <c r="J250" s="565"/>
      <c r="K250" s="566"/>
      <c r="L250" s="574"/>
      <c r="M250" s="566"/>
      <c r="N250" s="566"/>
      <c r="O250" s="684"/>
      <c r="P250" s="684"/>
      <c r="Q250" s="566"/>
      <c r="R250" s="566"/>
      <c r="S250" s="566"/>
      <c r="T250" s="684"/>
      <c r="U250" s="684"/>
    </row>
    <row r="251" spans="1:21" ht="18.75" hidden="1" x14ac:dyDescent="0.25">
      <c r="A251" s="687"/>
      <c r="B251" s="688"/>
      <c r="C251" s="688"/>
      <c r="D251" s="688"/>
      <c r="E251" s="804" t="s">
        <v>109</v>
      </c>
      <c r="F251" s="695"/>
      <c r="G251" s="692"/>
      <c r="H251" s="802" t="s">
        <v>35</v>
      </c>
      <c r="I251" s="735">
        <v>0</v>
      </c>
      <c r="J251" s="736">
        <v>0</v>
      </c>
      <c r="K251" s="572">
        <f t="shared" ref="K251:K253" si="158">IF(I251&gt;0,J251*100/I251,0)</f>
        <v>0</v>
      </c>
      <c r="L251" s="574"/>
      <c r="M251" s="566"/>
      <c r="N251" s="566"/>
      <c r="O251" s="566"/>
      <c r="P251" s="566"/>
      <c r="Q251" s="566"/>
      <c r="R251" s="566"/>
      <c r="S251" s="566"/>
      <c r="T251" s="566"/>
      <c r="U251" s="566"/>
    </row>
    <row r="252" spans="1:21" ht="18.75" hidden="1" x14ac:dyDescent="0.25">
      <c r="A252" s="687"/>
      <c r="B252" s="688"/>
      <c r="C252" s="688"/>
      <c r="D252" s="688"/>
      <c r="E252" s="804" t="s">
        <v>110</v>
      </c>
      <c r="F252" s="695"/>
      <c r="G252" s="692"/>
      <c r="H252" s="802" t="s">
        <v>61</v>
      </c>
      <c r="I252" s="735">
        <v>0</v>
      </c>
      <c r="J252" s="736">
        <v>0</v>
      </c>
      <c r="K252" s="572">
        <f t="shared" si="158"/>
        <v>0</v>
      </c>
      <c r="L252" s="574"/>
      <c r="M252" s="566"/>
      <c r="N252" s="566"/>
      <c r="O252" s="566"/>
      <c r="P252" s="566"/>
      <c r="Q252" s="566"/>
      <c r="R252" s="566"/>
      <c r="S252" s="566"/>
      <c r="T252" s="566"/>
      <c r="U252" s="566"/>
    </row>
    <row r="253" spans="1:21" ht="19.5" hidden="1" x14ac:dyDescent="0.3">
      <c r="A253" s="769"/>
      <c r="B253" s="770"/>
      <c r="C253" s="793" t="s">
        <v>112</v>
      </c>
      <c r="D253" s="772"/>
      <c r="E253" s="772"/>
      <c r="F253" s="772"/>
      <c r="G253" s="773"/>
      <c r="H253" s="794" t="s">
        <v>35</v>
      </c>
      <c r="I253" s="795">
        <f t="shared" ref="I253:J253" ca="1" si="159">I260</f>
        <v>0</v>
      </c>
      <c r="J253" s="795">
        <f t="shared" si="159"/>
        <v>0</v>
      </c>
      <c r="K253" s="796">
        <f t="shared" ca="1" si="158"/>
        <v>0</v>
      </c>
      <c r="L253" s="777"/>
      <c r="M253" s="778"/>
      <c r="N253" s="778"/>
      <c r="O253" s="778"/>
      <c r="P253" s="778"/>
      <c r="Q253" s="778"/>
      <c r="R253" s="778"/>
      <c r="S253" s="778"/>
      <c r="T253" s="778"/>
      <c r="U253" s="778"/>
    </row>
    <row r="254" spans="1:21" ht="19.5" hidden="1" x14ac:dyDescent="0.3">
      <c r="A254" s="674"/>
      <c r="B254" s="561"/>
      <c r="C254" s="797" t="s">
        <v>18</v>
      </c>
      <c r="D254" s="805" t="s">
        <v>19</v>
      </c>
      <c r="E254" s="561"/>
      <c r="F254" s="561"/>
      <c r="G254" s="563"/>
      <c r="H254" s="799" t="s">
        <v>14</v>
      </c>
      <c r="I254" s="683"/>
      <c r="J254" s="683"/>
      <c r="K254" s="684"/>
      <c r="L254" s="678">
        <f ca="1">L255+L256+L257+L258</f>
        <v>0</v>
      </c>
      <c r="M254" s="566"/>
      <c r="N254" s="679">
        <f>N255+N256+N257+N258</f>
        <v>0</v>
      </c>
      <c r="O254" s="679">
        <f ca="1">IF(L254&gt;0,N254*100/L254,0)</f>
        <v>0</v>
      </c>
      <c r="P254" s="679">
        <f>IF(M254&gt;0,N254*100/M254,0)</f>
        <v>0</v>
      </c>
      <c r="Q254" s="566"/>
      <c r="R254" s="566"/>
      <c r="S254" s="566"/>
      <c r="T254" s="566"/>
      <c r="U254" s="566"/>
    </row>
    <row r="255" spans="1:21" ht="18.75" hidden="1" x14ac:dyDescent="0.25">
      <c r="A255" s="674"/>
      <c r="B255" s="718"/>
      <c r="C255" s="561"/>
      <c r="D255" s="569" t="s">
        <v>86</v>
      </c>
      <c r="E255" s="561"/>
      <c r="F255" s="561"/>
      <c r="G255" s="563"/>
      <c r="H255" s="685" t="s">
        <v>14</v>
      </c>
      <c r="I255" s="683"/>
      <c r="J255" s="683"/>
      <c r="K255" s="684"/>
      <c r="L255" s="567">
        <f ca="1">IFERROR(__xludf.DUMMYFUNCTION("IMPORTRANGE(""https://docs.google.com/spreadsheets/d/1eHaY18a8A9IcSdp1K8H6x8fbOy06t2VsZHhMHf-1x7Y/edit?usp=sharing"",""แผน!BB23"")"),0)</f>
        <v>0</v>
      </c>
      <c r="M255" s="566"/>
      <c r="N255" s="786">
        <v>0</v>
      </c>
      <c r="O255" s="566"/>
      <c r="P255" s="566"/>
      <c r="Q255" s="566"/>
      <c r="R255" s="566"/>
      <c r="S255" s="566"/>
      <c r="T255" s="566"/>
      <c r="U255" s="566"/>
    </row>
    <row r="256" spans="1:21" ht="18.75" hidden="1" x14ac:dyDescent="0.25">
      <c r="A256" s="764"/>
      <c r="B256" s="718"/>
      <c r="C256" s="718"/>
      <c r="D256" s="569" t="s">
        <v>88</v>
      </c>
      <c r="E256" s="561"/>
      <c r="F256" s="561"/>
      <c r="G256" s="563"/>
      <c r="H256" s="685" t="s">
        <v>14</v>
      </c>
      <c r="I256" s="565"/>
      <c r="J256" s="565"/>
      <c r="K256" s="566"/>
      <c r="L256" s="567">
        <f ca="1">IFERROR(__xludf.DUMMYFUNCTION("IMPORTRANGE(""https://docs.google.com/spreadsheets/d/1eHaY18a8A9IcSdp1K8H6x8fbOy06t2VsZHhMHf-1x7Y/edit?usp=sharing"",""แผน!BC23"")"),0)</f>
        <v>0</v>
      </c>
      <c r="M256" s="566"/>
      <c r="N256" s="786">
        <v>0</v>
      </c>
      <c r="O256" s="566"/>
      <c r="P256" s="566"/>
      <c r="Q256" s="566"/>
      <c r="R256" s="566"/>
      <c r="S256" s="566"/>
      <c r="T256" s="566"/>
      <c r="U256" s="566"/>
    </row>
    <row r="257" spans="1:21" ht="18.75" hidden="1" x14ac:dyDescent="0.25">
      <c r="A257" s="764"/>
      <c r="B257" s="718"/>
      <c r="C257" s="718"/>
      <c r="D257" s="569" t="s">
        <v>106</v>
      </c>
      <c r="E257" s="561"/>
      <c r="F257" s="561"/>
      <c r="G257" s="563"/>
      <c r="H257" s="685" t="s">
        <v>14</v>
      </c>
      <c r="I257" s="565"/>
      <c r="J257" s="565"/>
      <c r="K257" s="566"/>
      <c r="L257" s="567">
        <f ca="1">IFERROR(__xludf.DUMMYFUNCTION("IMPORTRANGE(""https://docs.google.com/spreadsheets/d/1eHaY18a8A9IcSdp1K8H6x8fbOy06t2VsZHhMHf-1x7Y/edit?usp=sharing"",""แผน!BD23"")"),0)</f>
        <v>0</v>
      </c>
      <c r="M257" s="566"/>
      <c r="N257" s="786">
        <v>0</v>
      </c>
      <c r="O257" s="566"/>
      <c r="P257" s="566"/>
      <c r="Q257" s="566"/>
      <c r="R257" s="566"/>
      <c r="S257" s="566"/>
      <c r="T257" s="566"/>
      <c r="U257" s="566"/>
    </row>
    <row r="258" spans="1:21" ht="18.75" hidden="1" x14ac:dyDescent="0.25">
      <c r="A258" s="764"/>
      <c r="B258" s="718"/>
      <c r="C258" s="718"/>
      <c r="D258" s="569" t="s">
        <v>107</v>
      </c>
      <c r="E258" s="561"/>
      <c r="F258" s="561"/>
      <c r="G258" s="563"/>
      <c r="H258" s="685" t="s">
        <v>14</v>
      </c>
      <c r="I258" s="565"/>
      <c r="J258" s="565"/>
      <c r="K258" s="566"/>
      <c r="L258" s="567">
        <f ca="1">IFERROR(__xludf.DUMMYFUNCTION("IMPORTRANGE(""https://docs.google.com/spreadsheets/d/1eHaY18a8A9IcSdp1K8H6x8fbOy06t2VsZHhMHf-1x7Y/edit?usp=sharing"",""แผน!BE23"")"),0)</f>
        <v>0</v>
      </c>
      <c r="M258" s="566"/>
      <c r="N258" s="786">
        <v>0</v>
      </c>
      <c r="O258" s="566"/>
      <c r="P258" s="566"/>
      <c r="Q258" s="566"/>
      <c r="R258" s="566"/>
      <c r="S258" s="566"/>
      <c r="T258" s="566"/>
      <c r="U258" s="566"/>
    </row>
    <row r="259" spans="1:21" ht="19.5" hidden="1" x14ac:dyDescent="0.3">
      <c r="A259" s="687"/>
      <c r="B259" s="688"/>
      <c r="C259" s="800" t="s">
        <v>18</v>
      </c>
      <c r="D259" s="801" t="s">
        <v>38</v>
      </c>
      <c r="E259" s="690"/>
      <c r="F259" s="690"/>
      <c r="G259" s="691"/>
      <c r="H259" s="692"/>
      <c r="I259" s="683"/>
      <c r="J259" s="565"/>
      <c r="K259" s="566"/>
      <c r="L259" s="574"/>
      <c r="M259" s="566"/>
      <c r="N259" s="566"/>
      <c r="O259" s="684"/>
      <c r="P259" s="684"/>
      <c r="Q259" s="566"/>
      <c r="R259" s="566"/>
      <c r="S259" s="566"/>
      <c r="T259" s="684"/>
      <c r="U259" s="684"/>
    </row>
    <row r="260" spans="1:21" ht="18.75" hidden="1" x14ac:dyDescent="0.25">
      <c r="A260" s="687"/>
      <c r="B260" s="688"/>
      <c r="C260" s="688"/>
      <c r="D260" s="726" t="s">
        <v>108</v>
      </c>
      <c r="E260" s="695"/>
      <c r="F260" s="695"/>
      <c r="G260" s="692"/>
      <c r="H260" s="802" t="s">
        <v>35</v>
      </c>
      <c r="I260" s="735">
        <f ca="1">IFERROR(__xludf.DUMMYFUNCTION("IMPORTRANGE(""https://docs.google.com/spreadsheets/d/1eHaY18a8A9IcSdp1K8H6x8fbOy06t2VsZHhMHf-1x7Y/edit?usp=sharing"",""แผน!BH23"")"),0)</f>
        <v>0</v>
      </c>
      <c r="J260" s="736">
        <v>0</v>
      </c>
      <c r="K260" s="572">
        <f ca="1">IF(I260&gt;0,J260*100/I260,0)</f>
        <v>0</v>
      </c>
      <c r="L260" s="574"/>
      <c r="M260" s="566"/>
      <c r="N260" s="566"/>
      <c r="O260" s="566"/>
      <c r="P260" s="566"/>
      <c r="Q260" s="566"/>
      <c r="R260" s="566"/>
      <c r="S260" s="566"/>
      <c r="T260" s="566"/>
      <c r="U260" s="566"/>
    </row>
    <row r="261" spans="1:21" ht="18.75" hidden="1" x14ac:dyDescent="0.25">
      <c r="A261" s="687"/>
      <c r="B261" s="688"/>
      <c r="C261" s="688"/>
      <c r="D261" s="803" t="s">
        <v>43</v>
      </c>
      <c r="E261" s="695"/>
      <c r="F261" s="695"/>
      <c r="G261" s="692"/>
      <c r="H261" s="692"/>
      <c r="I261" s="565"/>
      <c r="J261" s="565"/>
      <c r="K261" s="566"/>
      <c r="L261" s="574"/>
      <c r="M261" s="566"/>
      <c r="N261" s="566"/>
      <c r="O261" s="684"/>
      <c r="P261" s="684"/>
      <c r="Q261" s="566"/>
      <c r="R261" s="566"/>
      <c r="S261" s="566"/>
      <c r="T261" s="684"/>
      <c r="U261" s="684"/>
    </row>
    <row r="262" spans="1:21" ht="18.75" hidden="1" x14ac:dyDescent="0.25">
      <c r="A262" s="687"/>
      <c r="B262" s="688"/>
      <c r="C262" s="688"/>
      <c r="D262" s="688"/>
      <c r="E262" s="804" t="s">
        <v>109</v>
      </c>
      <c r="F262" s="695"/>
      <c r="G262" s="692"/>
      <c r="H262" s="802" t="s">
        <v>35</v>
      </c>
      <c r="I262" s="565"/>
      <c r="J262" s="736">
        <v>0</v>
      </c>
      <c r="K262" s="572">
        <f t="shared" ref="K262:K263" si="160">IF(I262&gt;0,J262*100/I262,0)</f>
        <v>0</v>
      </c>
      <c r="L262" s="574"/>
      <c r="M262" s="566"/>
      <c r="N262" s="566"/>
      <c r="O262" s="566"/>
      <c r="P262" s="566"/>
      <c r="Q262" s="566"/>
      <c r="R262" s="566"/>
      <c r="S262" s="566"/>
      <c r="T262" s="566"/>
      <c r="U262" s="566"/>
    </row>
    <row r="263" spans="1:21" ht="18.75" hidden="1" x14ac:dyDescent="0.25">
      <c r="A263" s="687"/>
      <c r="B263" s="688"/>
      <c r="C263" s="688"/>
      <c r="D263" s="688"/>
      <c r="E263" s="804" t="s">
        <v>110</v>
      </c>
      <c r="F263" s="695"/>
      <c r="G263" s="692"/>
      <c r="H263" s="802" t="s">
        <v>61</v>
      </c>
      <c r="I263" s="565"/>
      <c r="J263" s="736">
        <v>0</v>
      </c>
      <c r="K263" s="572">
        <f t="shared" si="160"/>
        <v>0</v>
      </c>
      <c r="L263" s="574"/>
      <c r="M263" s="566"/>
      <c r="N263" s="566"/>
      <c r="O263" s="566"/>
      <c r="P263" s="566"/>
      <c r="Q263" s="566"/>
      <c r="R263" s="566"/>
      <c r="S263" s="566"/>
      <c r="T263" s="566"/>
      <c r="U263" s="566"/>
    </row>
    <row r="264" spans="1:21" ht="19.5" x14ac:dyDescent="0.3">
      <c r="A264" s="806" t="s">
        <v>113</v>
      </c>
      <c r="B264" s="807"/>
      <c r="C264" s="807"/>
      <c r="D264" s="808"/>
      <c r="E264" s="808"/>
      <c r="F264" s="808"/>
      <c r="G264" s="809"/>
      <c r="H264" s="809"/>
      <c r="I264" s="810"/>
      <c r="J264" s="810"/>
      <c r="K264" s="811"/>
      <c r="L264" s="755"/>
      <c r="M264" s="754"/>
      <c r="N264" s="754"/>
      <c r="O264" s="754"/>
      <c r="P264" s="754"/>
      <c r="Q264" s="754"/>
      <c r="R264" s="754"/>
      <c r="S264" s="754"/>
      <c r="T264" s="754"/>
      <c r="U264" s="754"/>
    </row>
    <row r="265" spans="1:21" ht="19.5" x14ac:dyDescent="0.3">
      <c r="A265" s="813"/>
      <c r="B265" s="814" t="s">
        <v>114</v>
      </c>
      <c r="C265" s="815"/>
      <c r="D265" s="816"/>
      <c r="E265" s="816"/>
      <c r="F265" s="816"/>
      <c r="G265" s="817"/>
      <c r="H265" s="818" t="s">
        <v>35</v>
      </c>
      <c r="I265" s="819">
        <f t="shared" ref="I265:J265" ca="1" si="161">I276</f>
        <v>22</v>
      </c>
      <c r="J265" s="819">
        <f t="shared" si="161"/>
        <v>22</v>
      </c>
      <c r="K265" s="820">
        <f ca="1">IF(I265&gt;0,J265*100/I265,0)</f>
        <v>100</v>
      </c>
      <c r="L265" s="762"/>
      <c r="M265" s="763"/>
      <c r="N265" s="763"/>
      <c r="O265" s="763"/>
      <c r="P265" s="763"/>
      <c r="Q265" s="763"/>
      <c r="R265" s="763"/>
      <c r="S265" s="763"/>
      <c r="T265" s="763"/>
      <c r="U265" s="763"/>
    </row>
    <row r="266" spans="1:21" ht="19.5" x14ac:dyDescent="0.3">
      <c r="A266" s="823"/>
      <c r="B266" s="824"/>
      <c r="C266" s="825" t="s">
        <v>18</v>
      </c>
      <c r="D266" s="826" t="s">
        <v>19</v>
      </c>
      <c r="E266" s="824"/>
      <c r="F266" s="824"/>
      <c r="G266" s="827"/>
      <c r="H266" s="828" t="s">
        <v>14</v>
      </c>
      <c r="I266" s="829"/>
      <c r="J266" s="829"/>
      <c r="K266" s="830"/>
      <c r="L266" s="678">
        <f t="shared" ref="L266:N266" ca="1" si="162">L267+L268</f>
        <v>5000</v>
      </c>
      <c r="M266" s="679">
        <f t="shared" ca="1" si="162"/>
        <v>5000</v>
      </c>
      <c r="N266" s="679">
        <f t="shared" ca="1" si="162"/>
        <v>0</v>
      </c>
      <c r="O266" s="679">
        <f t="shared" ref="O266:O274" ca="1" si="163">IF(L266&gt;0,N266*100/L266,0)</f>
        <v>0</v>
      </c>
      <c r="P266" s="679">
        <f t="shared" ref="P266:P274" ca="1" si="164">IF(M266&gt;0,N266*100/M266,0)</f>
        <v>0</v>
      </c>
      <c r="Q266" s="679">
        <f t="shared" ref="Q266:S266" ca="1" si="165">Q267+Q268</f>
        <v>50660</v>
      </c>
      <c r="R266" s="679">
        <f t="shared" ca="1" si="165"/>
        <v>50660</v>
      </c>
      <c r="S266" s="679">
        <f t="shared" ca="1" si="165"/>
        <v>38093.5</v>
      </c>
      <c r="T266" s="679">
        <f t="shared" ref="T266:T274" ca="1" si="166">IF(Q266&gt;0,S266*100/Q266,0)</f>
        <v>75.194433478089223</v>
      </c>
      <c r="U266" s="679">
        <f t="shared" ref="U266:U274" ca="1" si="167">IF(R266&gt;0,S266*100/R266,0)</f>
        <v>75.194433478089223</v>
      </c>
    </row>
    <row r="267" spans="1:21" ht="18.75" x14ac:dyDescent="0.25">
      <c r="A267" s="674"/>
      <c r="B267" s="561"/>
      <c r="C267" s="561"/>
      <c r="D267" s="561"/>
      <c r="E267" s="569" t="s">
        <v>20</v>
      </c>
      <c r="F267" s="561"/>
      <c r="G267" s="563"/>
      <c r="H267" s="680" t="s">
        <v>14</v>
      </c>
      <c r="I267" s="565"/>
      <c r="J267" s="565"/>
      <c r="K267" s="566"/>
      <c r="L267" s="571">
        <f t="shared" ref="L267:N268" si="168">L270+L273</f>
        <v>0</v>
      </c>
      <c r="M267" s="572">
        <f t="shared" si="168"/>
        <v>0</v>
      </c>
      <c r="N267" s="572">
        <f t="shared" si="168"/>
        <v>0</v>
      </c>
      <c r="O267" s="572">
        <f t="shared" si="163"/>
        <v>0</v>
      </c>
      <c r="P267" s="572">
        <f t="shared" si="164"/>
        <v>0</v>
      </c>
      <c r="Q267" s="572">
        <f t="shared" ref="Q267:S268" si="169">Q270+Q273</f>
        <v>0</v>
      </c>
      <c r="R267" s="572">
        <f t="shared" si="169"/>
        <v>0</v>
      </c>
      <c r="S267" s="572">
        <f t="shared" si="169"/>
        <v>0</v>
      </c>
      <c r="T267" s="572">
        <f t="shared" si="166"/>
        <v>0</v>
      </c>
      <c r="U267" s="572">
        <f t="shared" si="167"/>
        <v>0</v>
      </c>
    </row>
    <row r="268" spans="1:21" ht="18.75" x14ac:dyDescent="0.25">
      <c r="A268" s="823"/>
      <c r="B268" s="824"/>
      <c r="C268" s="824"/>
      <c r="D268" s="824"/>
      <c r="E268" s="838" t="s">
        <v>21</v>
      </c>
      <c r="F268" s="824"/>
      <c r="G268" s="827"/>
      <c r="H268" s="839" t="s">
        <v>14</v>
      </c>
      <c r="I268" s="829"/>
      <c r="J268" s="829"/>
      <c r="K268" s="830"/>
      <c r="L268" s="567">
        <f t="shared" ca="1" si="168"/>
        <v>5000</v>
      </c>
      <c r="M268" s="568">
        <f t="shared" ca="1" si="168"/>
        <v>5000</v>
      </c>
      <c r="N268" s="568">
        <f t="shared" ca="1" si="168"/>
        <v>0</v>
      </c>
      <c r="O268" s="568">
        <f t="shared" ca="1" si="163"/>
        <v>0</v>
      </c>
      <c r="P268" s="568">
        <f t="shared" ca="1" si="164"/>
        <v>0</v>
      </c>
      <c r="Q268" s="568">
        <f t="shared" ca="1" si="169"/>
        <v>50660</v>
      </c>
      <c r="R268" s="568">
        <f t="shared" ca="1" si="169"/>
        <v>50660</v>
      </c>
      <c r="S268" s="568">
        <f t="shared" ca="1" si="169"/>
        <v>38093.5</v>
      </c>
      <c r="T268" s="568">
        <f t="shared" ca="1" si="166"/>
        <v>75.194433478089223</v>
      </c>
      <c r="U268" s="568">
        <f t="shared" ca="1" si="167"/>
        <v>75.194433478089223</v>
      </c>
    </row>
    <row r="269" spans="1:21" ht="18.75" x14ac:dyDescent="0.25">
      <c r="A269" s="823"/>
      <c r="B269" s="824"/>
      <c r="C269" s="824"/>
      <c r="D269" s="842" t="s">
        <v>22</v>
      </c>
      <c r="E269" s="824"/>
      <c r="F269" s="824"/>
      <c r="G269" s="827"/>
      <c r="H269" s="843" t="s">
        <v>14</v>
      </c>
      <c r="I269" s="844"/>
      <c r="J269" s="844"/>
      <c r="K269" s="845"/>
      <c r="L269" s="567">
        <f t="shared" ref="L269:N269" ca="1" si="170">L270+L271</f>
        <v>5000</v>
      </c>
      <c r="M269" s="568">
        <f t="shared" ca="1" si="170"/>
        <v>5000</v>
      </c>
      <c r="N269" s="568">
        <f t="shared" ca="1" si="170"/>
        <v>0</v>
      </c>
      <c r="O269" s="568">
        <f t="shared" ca="1" si="163"/>
        <v>0</v>
      </c>
      <c r="P269" s="568">
        <f t="shared" ca="1" si="164"/>
        <v>0</v>
      </c>
      <c r="Q269" s="568">
        <f t="shared" ref="Q269:S269" ca="1" si="171">Q270+Q271</f>
        <v>50660</v>
      </c>
      <c r="R269" s="568">
        <f t="shared" ca="1" si="171"/>
        <v>50660</v>
      </c>
      <c r="S269" s="568">
        <f t="shared" ca="1" si="171"/>
        <v>38093.5</v>
      </c>
      <c r="T269" s="568">
        <f t="shared" ca="1" si="166"/>
        <v>75.194433478089223</v>
      </c>
      <c r="U269" s="568">
        <f t="shared" ca="1" si="167"/>
        <v>75.194433478089223</v>
      </c>
    </row>
    <row r="270" spans="1:21" ht="18.75" x14ac:dyDescent="0.25">
      <c r="A270" s="674"/>
      <c r="B270" s="561"/>
      <c r="C270" s="561"/>
      <c r="D270" s="561"/>
      <c r="E270" s="569" t="s">
        <v>36</v>
      </c>
      <c r="F270" s="561"/>
      <c r="G270" s="563"/>
      <c r="H270" s="685" t="s">
        <v>14</v>
      </c>
      <c r="I270" s="683"/>
      <c r="J270" s="683"/>
      <c r="K270" s="684"/>
      <c r="L270" s="571">
        <v>0</v>
      </c>
      <c r="M270" s="572">
        <v>0</v>
      </c>
      <c r="N270" s="572">
        <v>0</v>
      </c>
      <c r="O270" s="572">
        <f t="shared" si="163"/>
        <v>0</v>
      </c>
      <c r="P270" s="572">
        <f t="shared" si="164"/>
        <v>0</v>
      </c>
      <c r="Q270" s="572">
        <v>0</v>
      </c>
      <c r="R270" s="572">
        <v>0</v>
      </c>
      <c r="S270" s="572">
        <v>0</v>
      </c>
      <c r="T270" s="572">
        <f t="shared" si="166"/>
        <v>0</v>
      </c>
      <c r="U270" s="572">
        <f t="shared" si="167"/>
        <v>0</v>
      </c>
    </row>
    <row r="271" spans="1:21" ht="18.75" x14ac:dyDescent="0.25">
      <c r="A271" s="823"/>
      <c r="B271" s="824"/>
      <c r="C271" s="824"/>
      <c r="D271" s="824"/>
      <c r="E271" s="838" t="s">
        <v>37</v>
      </c>
      <c r="F271" s="824"/>
      <c r="G271" s="827"/>
      <c r="H271" s="843" t="s">
        <v>14</v>
      </c>
      <c r="I271" s="844"/>
      <c r="J271" s="844"/>
      <c r="K271" s="845"/>
      <c r="L271" s="567">
        <f ca="1">IFERROR(__xludf.DUMMYFUNCTION("IMPORTRANGE(""https://docs.google.com/spreadsheets/d/1-uDff_7J0KD5mKrp0Vvzr7lt3OU09vwQwhkpOPPYv2Y/edit?usp=sharing"",""งบพรบ!DE23"")"),5000)</f>
        <v>5000</v>
      </c>
      <c r="M271" s="568">
        <f ca="1">IFERROR(__xludf.DUMMYFUNCTION("IMPORTRANGE(""https://docs.google.com/spreadsheets/d/1-uDff_7J0KD5mKrp0Vvzr7lt3OU09vwQwhkpOPPYv2Y/edit?usp=sharing"",""งบพรบ!DJ23"")"),5000)</f>
        <v>5000</v>
      </c>
      <c r="N271" s="568">
        <f ca="1">IFERROR(__xludf.DUMMYFUNCTION("IMPORTRANGE(""https://docs.google.com/spreadsheets/d/1-uDff_7J0KD5mKrp0Vvzr7lt3OU09vwQwhkpOPPYv2Y/edit?usp=sharing"",""งบพรบ!DL23"")"),0)</f>
        <v>0</v>
      </c>
      <c r="O271" s="568">
        <f t="shared" ca="1" si="163"/>
        <v>0</v>
      </c>
      <c r="P271" s="568">
        <f t="shared" ca="1" si="164"/>
        <v>0</v>
      </c>
      <c r="Q271" s="568">
        <f ca="1">IFERROR(__xludf.DUMMYFUNCTION("IMPORTRANGE(""https://docs.google.com/spreadsheets/d/1ItG2mGa2ceCfYo0BwxsXqNm01IGEUdYcSSLTEv9YCik/edit?usp=sharing"",""เบิกจ่ายกองทุน!AP23"")"),50660)</f>
        <v>50660</v>
      </c>
      <c r="R271" s="568">
        <f ca="1">IFERROR(__xludf.DUMMYFUNCTION("IMPORTRANGE(""https://docs.google.com/spreadsheets/d/1ItG2mGa2ceCfYo0BwxsXqNm01IGEUdYcSSLTEv9YCik/edit?usp=sharing"",""เบิกจ่ายกองทุน!AQ23"")"),50660)</f>
        <v>50660</v>
      </c>
      <c r="S271" s="568">
        <f ca="1">IFERROR(__xludf.DUMMYFUNCTION("IMPORTRANGE(""https://docs.google.com/spreadsheets/d/1ItG2mGa2ceCfYo0BwxsXqNm01IGEUdYcSSLTEv9YCik/edit?usp=sharing"",""เบิกจ่ายกองทุน!AR23"")"),38093.5)</f>
        <v>38093.5</v>
      </c>
      <c r="T271" s="568">
        <f t="shared" ca="1" si="166"/>
        <v>75.194433478089223</v>
      </c>
      <c r="U271" s="568">
        <f t="shared" ca="1" si="167"/>
        <v>75.194433478089223</v>
      </c>
    </row>
    <row r="272" spans="1:21" ht="18.75" x14ac:dyDescent="0.25">
      <c r="A272" s="823"/>
      <c r="B272" s="824"/>
      <c r="C272" s="824"/>
      <c r="D272" s="842" t="s">
        <v>23</v>
      </c>
      <c r="E272" s="824"/>
      <c r="F272" s="824"/>
      <c r="G272" s="827"/>
      <c r="H272" s="848" t="s">
        <v>14</v>
      </c>
      <c r="I272" s="844"/>
      <c r="J272" s="844"/>
      <c r="K272" s="845"/>
      <c r="L272" s="567">
        <f t="shared" ref="L272:N272" ca="1" si="172">L273+L274</f>
        <v>0</v>
      </c>
      <c r="M272" s="568">
        <f t="shared" ca="1" si="172"/>
        <v>0</v>
      </c>
      <c r="N272" s="568">
        <f t="shared" ca="1" si="172"/>
        <v>0</v>
      </c>
      <c r="O272" s="568">
        <f t="shared" ca="1" si="163"/>
        <v>0</v>
      </c>
      <c r="P272" s="568">
        <f t="shared" ca="1" si="164"/>
        <v>0</v>
      </c>
      <c r="Q272" s="568">
        <f t="shared" ref="Q272:S272" si="173">Q273+Q274</f>
        <v>0</v>
      </c>
      <c r="R272" s="568">
        <f t="shared" si="173"/>
        <v>0</v>
      </c>
      <c r="S272" s="568">
        <f t="shared" si="173"/>
        <v>0</v>
      </c>
      <c r="T272" s="568">
        <f t="shared" si="166"/>
        <v>0</v>
      </c>
      <c r="U272" s="568">
        <f t="shared" si="167"/>
        <v>0</v>
      </c>
    </row>
    <row r="273" spans="1:21" ht="18.75" x14ac:dyDescent="0.25">
      <c r="A273" s="674"/>
      <c r="B273" s="561"/>
      <c r="C273" s="561"/>
      <c r="D273" s="561"/>
      <c r="E273" s="569" t="s">
        <v>20</v>
      </c>
      <c r="F273" s="561"/>
      <c r="G273" s="563"/>
      <c r="H273" s="685" t="s">
        <v>14</v>
      </c>
      <c r="I273" s="683"/>
      <c r="J273" s="683"/>
      <c r="K273" s="684"/>
      <c r="L273" s="571">
        <v>0</v>
      </c>
      <c r="M273" s="572">
        <v>0</v>
      </c>
      <c r="N273" s="572">
        <v>0</v>
      </c>
      <c r="O273" s="572">
        <f t="shared" si="163"/>
        <v>0</v>
      </c>
      <c r="P273" s="572">
        <f t="shared" si="164"/>
        <v>0</v>
      </c>
      <c r="Q273" s="572">
        <v>0</v>
      </c>
      <c r="R273" s="572">
        <v>0</v>
      </c>
      <c r="S273" s="572">
        <v>0</v>
      </c>
      <c r="T273" s="572">
        <f t="shared" si="166"/>
        <v>0</v>
      </c>
      <c r="U273" s="572">
        <f t="shared" si="167"/>
        <v>0</v>
      </c>
    </row>
    <row r="274" spans="1:21" ht="18.75" x14ac:dyDescent="0.25">
      <c r="A274" s="823"/>
      <c r="B274" s="824"/>
      <c r="C274" s="824"/>
      <c r="D274" s="824"/>
      <c r="E274" s="838" t="s">
        <v>21</v>
      </c>
      <c r="F274" s="824"/>
      <c r="G274" s="827"/>
      <c r="H274" s="848" t="s">
        <v>14</v>
      </c>
      <c r="I274" s="844"/>
      <c r="J274" s="844"/>
      <c r="K274" s="845"/>
      <c r="L274" s="567">
        <f ca="1">IFERROR(__xludf.DUMMYFUNCTION("IMPORTRANGE(""https://docs.google.com/spreadsheets/d/1-uDff_7J0KD5mKrp0Vvzr7lt3OU09vwQwhkpOPPYv2Y/edit?usp=sharing"",""งบพรบ!DH23"")"),0)</f>
        <v>0</v>
      </c>
      <c r="M274" s="568">
        <f ca="1">IFERROR(__xludf.DUMMYFUNCTION("IMPORTRANGE(""https://docs.google.com/spreadsheets/d/1-uDff_7J0KD5mKrp0Vvzr7lt3OU09vwQwhkpOPPYv2Y/edit?usp=sharing"",""งบพรบ!DK23"")"),0)</f>
        <v>0</v>
      </c>
      <c r="N274" s="568">
        <f ca="1">IFERROR(__xludf.DUMMYFUNCTION("IMPORTRANGE(""https://docs.google.com/spreadsheets/d/1-uDff_7J0KD5mKrp0Vvzr7lt3OU09vwQwhkpOPPYv2Y/edit?usp=sharing"",""งบพรบ!DM23"")"),0)</f>
        <v>0</v>
      </c>
      <c r="O274" s="568">
        <f t="shared" ca="1" si="163"/>
        <v>0</v>
      </c>
      <c r="P274" s="568">
        <f t="shared" ca="1" si="164"/>
        <v>0</v>
      </c>
      <c r="Q274" s="568">
        <v>0</v>
      </c>
      <c r="R274" s="568">
        <v>0</v>
      </c>
      <c r="S274" s="568">
        <v>0</v>
      </c>
      <c r="T274" s="568">
        <f t="shared" si="166"/>
        <v>0</v>
      </c>
      <c r="U274" s="568">
        <f t="shared" si="167"/>
        <v>0</v>
      </c>
    </row>
    <row r="275" spans="1:21" ht="19.5" x14ac:dyDescent="0.3">
      <c r="A275" s="849"/>
      <c r="B275" s="850"/>
      <c r="C275" s="838" t="s">
        <v>18</v>
      </c>
      <c r="D275" s="851" t="s">
        <v>38</v>
      </c>
      <c r="E275" s="816"/>
      <c r="F275" s="816"/>
      <c r="G275" s="817"/>
      <c r="H275" s="852"/>
      <c r="I275" s="844"/>
      <c r="J275" s="844"/>
      <c r="K275" s="845"/>
      <c r="L275" s="693"/>
      <c r="M275" s="684"/>
      <c r="N275" s="684"/>
      <c r="O275" s="684"/>
      <c r="P275" s="684"/>
      <c r="Q275" s="684"/>
      <c r="R275" s="684"/>
      <c r="S275" s="684"/>
      <c r="T275" s="684"/>
      <c r="U275" s="684"/>
    </row>
    <row r="276" spans="1:21" ht="18.75" x14ac:dyDescent="0.25">
      <c r="A276" s="854"/>
      <c r="B276" s="855"/>
      <c r="C276" s="855"/>
      <c r="D276" s="856" t="s">
        <v>115</v>
      </c>
      <c r="E276" s="857"/>
      <c r="F276" s="857"/>
      <c r="G276" s="858"/>
      <c r="H276" s="859" t="s">
        <v>35</v>
      </c>
      <c r="I276" s="860">
        <f ca="1">IFERROR(__xludf.DUMMYFUNCTION("IMPORTRANGE(""https://docs.google.com/spreadsheets/d/1eHaY18a8A9IcSdp1K8H6x8fbOy06t2VsZHhMHf-1x7Y/edit?usp=sharing"",""แผน!EC23"")"),22)</f>
        <v>22</v>
      </c>
      <c r="J276" s="861">
        <v>22</v>
      </c>
      <c r="K276" s="862">
        <f ca="1">IF(I276&gt;0,J276*100/I276,0)</f>
        <v>100</v>
      </c>
      <c r="L276" s="574"/>
      <c r="M276" s="566"/>
      <c r="N276" s="566"/>
      <c r="O276" s="566"/>
      <c r="P276" s="566"/>
      <c r="Q276" s="566"/>
      <c r="R276" s="566"/>
      <c r="S276" s="566"/>
      <c r="T276" s="566"/>
      <c r="U276" s="566"/>
    </row>
    <row r="277" spans="1:21" ht="18.75" x14ac:dyDescent="0.25">
      <c r="A277" s="863"/>
      <c r="B277" s="864"/>
      <c r="C277" s="864"/>
      <c r="D277" s="865" t="s">
        <v>116</v>
      </c>
      <c r="E277" s="512"/>
      <c r="F277" s="512"/>
      <c r="G277" s="866"/>
      <c r="H277" s="867" t="s">
        <v>35</v>
      </c>
      <c r="I277" s="740">
        <v>0</v>
      </c>
      <c r="J277" s="740">
        <v>0</v>
      </c>
      <c r="K277" s="868">
        <v>0</v>
      </c>
      <c r="L277" s="869"/>
      <c r="M277" s="870"/>
      <c r="N277" s="870"/>
      <c r="O277" s="870"/>
      <c r="P277" s="870"/>
      <c r="Q277" s="870"/>
      <c r="R277" s="870"/>
      <c r="S277" s="870"/>
      <c r="T277" s="870"/>
      <c r="U277" s="870"/>
    </row>
    <row r="278" spans="1:21" ht="19.5" x14ac:dyDescent="0.3">
      <c r="A278" s="871" t="s">
        <v>117</v>
      </c>
      <c r="B278" s="872"/>
      <c r="C278" s="872"/>
      <c r="D278" s="872"/>
      <c r="E278" s="873"/>
      <c r="F278" s="873"/>
      <c r="G278" s="873"/>
      <c r="H278" s="873"/>
      <c r="I278" s="874"/>
      <c r="J278" s="874"/>
      <c r="K278" s="875"/>
      <c r="L278" s="875"/>
      <c r="M278" s="875"/>
      <c r="N278" s="875"/>
      <c r="O278" s="875"/>
      <c r="P278" s="876"/>
      <c r="Q278" s="875"/>
      <c r="R278" s="875"/>
      <c r="S278" s="875"/>
      <c r="T278" s="875"/>
      <c r="U278" s="876"/>
    </row>
    <row r="279" spans="1:21" ht="19.5" x14ac:dyDescent="0.3">
      <c r="A279" s="877" t="s">
        <v>118</v>
      </c>
      <c r="B279" s="878"/>
      <c r="C279" s="879"/>
      <c r="D279" s="878"/>
      <c r="E279" s="878"/>
      <c r="F279" s="878"/>
      <c r="G279" s="878"/>
      <c r="H279" s="878"/>
      <c r="I279" s="880"/>
      <c r="J279" s="881"/>
      <c r="K279" s="882"/>
      <c r="L279" s="883"/>
      <c r="M279" s="882"/>
      <c r="N279" s="882"/>
      <c r="O279" s="882"/>
      <c r="P279" s="882"/>
      <c r="Q279" s="882"/>
      <c r="R279" s="882"/>
      <c r="S279" s="882"/>
      <c r="T279" s="882"/>
      <c r="U279" s="882"/>
    </row>
    <row r="280" spans="1:21" ht="19.5" x14ac:dyDescent="0.3">
      <c r="A280" s="884"/>
      <c r="B280" s="885" t="s">
        <v>119</v>
      </c>
      <c r="C280" s="886"/>
      <c r="D280" s="887"/>
      <c r="E280" s="886"/>
      <c r="F280" s="886"/>
      <c r="G280" s="888"/>
      <c r="H280" s="889" t="s">
        <v>35</v>
      </c>
      <c r="I280" s="890">
        <f t="shared" ref="I280:J280" ca="1" si="174">I293</f>
        <v>70</v>
      </c>
      <c r="J280" s="890">
        <f t="shared" si="174"/>
        <v>70</v>
      </c>
      <c r="K280" s="891">
        <f t="shared" ref="K280:K281" ca="1" si="175">IF(I280&gt;0,J280*100/I280,0)</f>
        <v>100</v>
      </c>
      <c r="L280" s="892"/>
      <c r="M280" s="893"/>
      <c r="N280" s="893"/>
      <c r="O280" s="893"/>
      <c r="P280" s="893"/>
      <c r="Q280" s="893"/>
      <c r="R280" s="893"/>
      <c r="S280" s="893"/>
      <c r="T280" s="893"/>
      <c r="U280" s="893"/>
    </row>
    <row r="281" spans="1:21" ht="19.5" x14ac:dyDescent="0.3">
      <c r="A281" s="884"/>
      <c r="B281" s="886"/>
      <c r="C281" s="886"/>
      <c r="D281" s="887"/>
      <c r="E281" s="886"/>
      <c r="F281" s="886"/>
      <c r="G281" s="888"/>
      <c r="H281" s="889" t="s">
        <v>46</v>
      </c>
      <c r="I281" s="890">
        <f t="shared" ref="I281:J281" ca="1" si="176">I292</f>
        <v>700</v>
      </c>
      <c r="J281" s="890">
        <f t="shared" si="176"/>
        <v>700</v>
      </c>
      <c r="K281" s="891">
        <f t="shared" ca="1" si="175"/>
        <v>100</v>
      </c>
      <c r="L281" s="892"/>
      <c r="M281" s="893"/>
      <c r="N281" s="893"/>
      <c r="O281" s="893"/>
      <c r="P281" s="893"/>
      <c r="Q281" s="893"/>
      <c r="R281" s="893"/>
      <c r="S281" s="893"/>
      <c r="T281" s="893"/>
      <c r="U281" s="893"/>
    </row>
    <row r="282" spans="1:21" ht="19.5" x14ac:dyDescent="0.3">
      <c r="A282" s="674"/>
      <c r="B282" s="561"/>
      <c r="C282" s="675" t="s">
        <v>18</v>
      </c>
      <c r="D282" s="676" t="s">
        <v>19</v>
      </c>
      <c r="E282" s="561"/>
      <c r="F282" s="561"/>
      <c r="G282" s="563"/>
      <c r="H282" s="677" t="s">
        <v>14</v>
      </c>
      <c r="I282" s="565"/>
      <c r="J282" s="565"/>
      <c r="K282" s="566"/>
      <c r="L282" s="678">
        <f t="shared" ref="L282:N282" ca="1" si="177">L283+L284</f>
        <v>265720</v>
      </c>
      <c r="M282" s="679">
        <f t="shared" ca="1" si="177"/>
        <v>265720</v>
      </c>
      <c r="N282" s="679">
        <f t="shared" ca="1" si="177"/>
        <v>218166.3</v>
      </c>
      <c r="O282" s="679">
        <f t="shared" ref="O282:O290" ca="1" si="178">IF(L282&gt;0,N282*100/L282,0)</f>
        <v>82.103831100406438</v>
      </c>
      <c r="P282" s="679">
        <f t="shared" ref="P282:P290" ca="1" si="179">IF(M282&gt;0,N282*100/M282,0)</f>
        <v>82.103831100406438</v>
      </c>
      <c r="Q282" s="679">
        <f t="shared" ref="Q282:S282" si="180">Q283+Q284</f>
        <v>0</v>
      </c>
      <c r="R282" s="679">
        <f t="shared" si="180"/>
        <v>0</v>
      </c>
      <c r="S282" s="679">
        <f t="shared" si="180"/>
        <v>0</v>
      </c>
      <c r="T282" s="679">
        <f t="shared" ref="T282:T290" si="181">IF(Q282&gt;0,S282*100/Q282,0)</f>
        <v>0</v>
      </c>
      <c r="U282" s="679">
        <f t="shared" ref="U282:U290" si="182">IF(R282&gt;0,S282*100/R282,0)</f>
        <v>0</v>
      </c>
    </row>
    <row r="283" spans="1:21" ht="18.75" x14ac:dyDescent="0.25">
      <c r="A283" s="674"/>
      <c r="B283" s="561"/>
      <c r="C283" s="561"/>
      <c r="D283" s="561"/>
      <c r="E283" s="569" t="s">
        <v>20</v>
      </c>
      <c r="F283" s="561"/>
      <c r="G283" s="563"/>
      <c r="H283" s="680" t="s">
        <v>14</v>
      </c>
      <c r="I283" s="565"/>
      <c r="J283" s="565"/>
      <c r="K283" s="566"/>
      <c r="L283" s="571">
        <f t="shared" ref="L283:N284" si="183">L286+L289</f>
        <v>0</v>
      </c>
      <c r="M283" s="572">
        <f t="shared" si="183"/>
        <v>0</v>
      </c>
      <c r="N283" s="572">
        <f t="shared" si="183"/>
        <v>0</v>
      </c>
      <c r="O283" s="572">
        <f t="shared" si="178"/>
        <v>0</v>
      </c>
      <c r="P283" s="572">
        <f t="shared" si="179"/>
        <v>0</v>
      </c>
      <c r="Q283" s="572">
        <f t="shared" ref="Q283:S284" si="184">Q286+Q289</f>
        <v>0</v>
      </c>
      <c r="R283" s="572">
        <f t="shared" si="184"/>
        <v>0</v>
      </c>
      <c r="S283" s="572">
        <f t="shared" si="184"/>
        <v>0</v>
      </c>
      <c r="T283" s="572">
        <f t="shared" si="181"/>
        <v>0</v>
      </c>
      <c r="U283" s="572">
        <f t="shared" si="182"/>
        <v>0</v>
      </c>
    </row>
    <row r="284" spans="1:21" ht="18.75" x14ac:dyDescent="0.25">
      <c r="A284" s="674"/>
      <c r="B284" s="561"/>
      <c r="C284" s="561"/>
      <c r="D284" s="561"/>
      <c r="E284" s="573" t="s">
        <v>21</v>
      </c>
      <c r="F284" s="561"/>
      <c r="G284" s="563"/>
      <c r="H284" s="681" t="s">
        <v>14</v>
      </c>
      <c r="I284" s="565"/>
      <c r="J284" s="565"/>
      <c r="K284" s="566"/>
      <c r="L284" s="567">
        <f t="shared" ca="1" si="183"/>
        <v>265720</v>
      </c>
      <c r="M284" s="568">
        <f t="shared" ca="1" si="183"/>
        <v>265720</v>
      </c>
      <c r="N284" s="568">
        <f t="shared" ca="1" si="183"/>
        <v>218166.3</v>
      </c>
      <c r="O284" s="568">
        <f t="shared" ca="1" si="178"/>
        <v>82.103831100406438</v>
      </c>
      <c r="P284" s="568">
        <f t="shared" ca="1" si="179"/>
        <v>82.103831100406438</v>
      </c>
      <c r="Q284" s="568">
        <f t="shared" si="184"/>
        <v>0</v>
      </c>
      <c r="R284" s="568">
        <f t="shared" si="184"/>
        <v>0</v>
      </c>
      <c r="S284" s="568">
        <f t="shared" si="184"/>
        <v>0</v>
      </c>
      <c r="T284" s="568">
        <f t="shared" si="181"/>
        <v>0</v>
      </c>
      <c r="U284" s="568">
        <f t="shared" si="182"/>
        <v>0</v>
      </c>
    </row>
    <row r="285" spans="1:21" ht="18.75" x14ac:dyDescent="0.25">
      <c r="A285" s="674"/>
      <c r="B285" s="561"/>
      <c r="C285" s="561"/>
      <c r="D285" s="562" t="s">
        <v>22</v>
      </c>
      <c r="E285" s="561"/>
      <c r="F285" s="561"/>
      <c r="G285" s="563"/>
      <c r="H285" s="682" t="s">
        <v>14</v>
      </c>
      <c r="I285" s="683"/>
      <c r="J285" s="683"/>
      <c r="K285" s="684"/>
      <c r="L285" s="567">
        <f t="shared" ref="L285:N285" ca="1" si="185">L286+L287</f>
        <v>265720</v>
      </c>
      <c r="M285" s="568">
        <f t="shared" ca="1" si="185"/>
        <v>265720</v>
      </c>
      <c r="N285" s="568">
        <f t="shared" ca="1" si="185"/>
        <v>218166.3</v>
      </c>
      <c r="O285" s="568">
        <f t="shared" ca="1" si="178"/>
        <v>82.103831100406438</v>
      </c>
      <c r="P285" s="568">
        <f t="shared" ca="1" si="179"/>
        <v>82.103831100406438</v>
      </c>
      <c r="Q285" s="568">
        <f t="shared" ref="Q285:S285" si="186">Q286+Q287</f>
        <v>0</v>
      </c>
      <c r="R285" s="568">
        <f t="shared" si="186"/>
        <v>0</v>
      </c>
      <c r="S285" s="568">
        <f t="shared" si="186"/>
        <v>0</v>
      </c>
      <c r="T285" s="568">
        <f t="shared" si="181"/>
        <v>0</v>
      </c>
      <c r="U285" s="568">
        <f t="shared" si="182"/>
        <v>0</v>
      </c>
    </row>
    <row r="286" spans="1:21" ht="18.75" x14ac:dyDescent="0.25">
      <c r="A286" s="674"/>
      <c r="B286" s="561"/>
      <c r="C286" s="561"/>
      <c r="D286" s="561"/>
      <c r="E286" s="569" t="s">
        <v>36</v>
      </c>
      <c r="F286" s="561"/>
      <c r="G286" s="563"/>
      <c r="H286" s="685" t="s">
        <v>14</v>
      </c>
      <c r="I286" s="683"/>
      <c r="J286" s="683"/>
      <c r="K286" s="684"/>
      <c r="L286" s="571">
        <v>0</v>
      </c>
      <c r="M286" s="572">
        <v>0</v>
      </c>
      <c r="N286" s="572">
        <v>0</v>
      </c>
      <c r="O286" s="572">
        <f t="shared" si="178"/>
        <v>0</v>
      </c>
      <c r="P286" s="572">
        <f t="shared" si="179"/>
        <v>0</v>
      </c>
      <c r="Q286" s="572">
        <v>0</v>
      </c>
      <c r="R286" s="572">
        <v>0</v>
      </c>
      <c r="S286" s="572">
        <v>0</v>
      </c>
      <c r="T286" s="572">
        <f t="shared" si="181"/>
        <v>0</v>
      </c>
      <c r="U286" s="572">
        <f t="shared" si="182"/>
        <v>0</v>
      </c>
    </row>
    <row r="287" spans="1:21" ht="18.75" x14ac:dyDescent="0.25">
      <c r="A287" s="674"/>
      <c r="B287" s="561"/>
      <c r="C287" s="561"/>
      <c r="D287" s="561"/>
      <c r="E287" s="573" t="s">
        <v>37</v>
      </c>
      <c r="F287" s="561"/>
      <c r="G287" s="563"/>
      <c r="H287" s="682" t="s">
        <v>14</v>
      </c>
      <c r="I287" s="683"/>
      <c r="J287" s="683"/>
      <c r="K287" s="684"/>
      <c r="L287" s="567">
        <f ca="1">IFERROR(__xludf.DUMMYFUNCTION("IMPORTRANGE(""https://docs.google.com/spreadsheets/d/1-uDff_7J0KD5mKrp0Vvzr7lt3OU09vwQwhkpOPPYv2Y/edit?usp=sharing"",""งบพรบ!DO23"")"),265720)</f>
        <v>265720</v>
      </c>
      <c r="M287" s="568">
        <f ca="1">IFERROR(__xludf.DUMMYFUNCTION("IMPORTRANGE(""https://docs.google.com/spreadsheets/d/1-uDff_7J0KD5mKrp0Vvzr7lt3OU09vwQwhkpOPPYv2Y/edit?usp=sharing"",""งบพรบ!DT23"")"),265720)</f>
        <v>265720</v>
      </c>
      <c r="N287" s="568">
        <f ca="1">IFERROR(__xludf.DUMMYFUNCTION("IMPORTRANGE(""https://docs.google.com/spreadsheets/d/1-uDff_7J0KD5mKrp0Vvzr7lt3OU09vwQwhkpOPPYv2Y/edit?usp=sharing"",""งบพรบ!DV23"")"),218166.3)</f>
        <v>218166.3</v>
      </c>
      <c r="O287" s="568">
        <f t="shared" ca="1" si="178"/>
        <v>82.103831100406438</v>
      </c>
      <c r="P287" s="568">
        <f t="shared" ca="1" si="179"/>
        <v>82.103831100406438</v>
      </c>
      <c r="Q287" s="568">
        <v>0</v>
      </c>
      <c r="R287" s="568">
        <v>0</v>
      </c>
      <c r="S287" s="568">
        <v>0</v>
      </c>
      <c r="T287" s="572">
        <f t="shared" si="181"/>
        <v>0</v>
      </c>
      <c r="U287" s="572">
        <f t="shared" si="182"/>
        <v>0</v>
      </c>
    </row>
    <row r="288" spans="1:21" ht="18.75" x14ac:dyDescent="0.25">
      <c r="A288" s="674"/>
      <c r="B288" s="561"/>
      <c r="C288" s="561"/>
      <c r="D288" s="562" t="s">
        <v>23</v>
      </c>
      <c r="E288" s="561"/>
      <c r="F288" s="561"/>
      <c r="G288" s="563"/>
      <c r="H288" s="686" t="s">
        <v>14</v>
      </c>
      <c r="I288" s="683"/>
      <c r="J288" s="683"/>
      <c r="K288" s="684"/>
      <c r="L288" s="567">
        <f t="shared" ref="L288:N288" ca="1" si="187">L289+L290</f>
        <v>0</v>
      </c>
      <c r="M288" s="568">
        <f t="shared" ca="1" si="187"/>
        <v>0</v>
      </c>
      <c r="N288" s="568">
        <f t="shared" ca="1" si="187"/>
        <v>0</v>
      </c>
      <c r="O288" s="568">
        <f t="shared" ca="1" si="178"/>
        <v>0</v>
      </c>
      <c r="P288" s="568">
        <f t="shared" ca="1" si="179"/>
        <v>0</v>
      </c>
      <c r="Q288" s="568">
        <f t="shared" ref="Q288:S288" si="188">Q289+Q290</f>
        <v>0</v>
      </c>
      <c r="R288" s="568">
        <f t="shared" si="188"/>
        <v>0</v>
      </c>
      <c r="S288" s="568">
        <f t="shared" si="188"/>
        <v>0</v>
      </c>
      <c r="T288" s="568">
        <f t="shared" si="181"/>
        <v>0</v>
      </c>
      <c r="U288" s="568">
        <f t="shared" si="182"/>
        <v>0</v>
      </c>
    </row>
    <row r="289" spans="1:21" ht="18.75" x14ac:dyDescent="0.25">
      <c r="A289" s="674"/>
      <c r="B289" s="561"/>
      <c r="C289" s="561"/>
      <c r="D289" s="561"/>
      <c r="E289" s="569" t="s">
        <v>20</v>
      </c>
      <c r="F289" s="561"/>
      <c r="G289" s="563"/>
      <c r="H289" s="685" t="s">
        <v>14</v>
      </c>
      <c r="I289" s="683"/>
      <c r="J289" s="683"/>
      <c r="K289" s="684"/>
      <c r="L289" s="571">
        <v>0</v>
      </c>
      <c r="M289" s="572">
        <v>0</v>
      </c>
      <c r="N289" s="572">
        <v>0</v>
      </c>
      <c r="O289" s="572">
        <f t="shared" si="178"/>
        <v>0</v>
      </c>
      <c r="P289" s="572">
        <f t="shared" si="179"/>
        <v>0</v>
      </c>
      <c r="Q289" s="572">
        <v>0</v>
      </c>
      <c r="R289" s="572">
        <v>0</v>
      </c>
      <c r="S289" s="572">
        <v>0</v>
      </c>
      <c r="T289" s="572">
        <f t="shared" si="181"/>
        <v>0</v>
      </c>
      <c r="U289" s="572">
        <f t="shared" si="182"/>
        <v>0</v>
      </c>
    </row>
    <row r="290" spans="1:21" ht="18.75" x14ac:dyDescent="0.25">
      <c r="A290" s="674"/>
      <c r="B290" s="561"/>
      <c r="C290" s="561"/>
      <c r="D290" s="561"/>
      <c r="E290" s="573" t="s">
        <v>21</v>
      </c>
      <c r="F290" s="561"/>
      <c r="G290" s="563"/>
      <c r="H290" s="686" t="s">
        <v>14</v>
      </c>
      <c r="I290" s="683"/>
      <c r="J290" s="683"/>
      <c r="K290" s="684"/>
      <c r="L290" s="567">
        <f ca="1">IFERROR(__xludf.DUMMYFUNCTION("IMPORTRANGE(""https://docs.google.com/spreadsheets/d/1-uDff_7J0KD5mKrp0Vvzr7lt3OU09vwQwhkpOPPYv2Y/edit?usp=sharing"",""งบพรบ!DR23"")"),0)</f>
        <v>0</v>
      </c>
      <c r="M290" s="568">
        <f ca="1">IFERROR(__xludf.DUMMYFUNCTION("IMPORTRANGE(""https://docs.google.com/spreadsheets/d/1-uDff_7J0KD5mKrp0Vvzr7lt3OU09vwQwhkpOPPYv2Y/edit?usp=sharing"",""งบพรบ!DU23"")"),0)</f>
        <v>0</v>
      </c>
      <c r="N290" s="568">
        <f ca="1">IFERROR(__xludf.DUMMYFUNCTION("IMPORTRANGE(""https://docs.google.com/spreadsheets/d/1-uDff_7J0KD5mKrp0Vvzr7lt3OU09vwQwhkpOPPYv2Y/edit?usp=sharing"",""งบพรบ!DW23"")"),0)</f>
        <v>0</v>
      </c>
      <c r="O290" s="568">
        <f t="shared" ca="1" si="178"/>
        <v>0</v>
      </c>
      <c r="P290" s="568">
        <f t="shared" ca="1" si="179"/>
        <v>0</v>
      </c>
      <c r="Q290" s="568">
        <v>0</v>
      </c>
      <c r="R290" s="568">
        <v>0</v>
      </c>
      <c r="S290" s="568">
        <v>0</v>
      </c>
      <c r="T290" s="568">
        <f t="shared" si="181"/>
        <v>0</v>
      </c>
      <c r="U290" s="568">
        <f t="shared" si="182"/>
        <v>0</v>
      </c>
    </row>
    <row r="291" spans="1:21" ht="19.5" x14ac:dyDescent="0.3">
      <c r="A291" s="687"/>
      <c r="B291" s="688"/>
      <c r="C291" s="675" t="s">
        <v>18</v>
      </c>
      <c r="D291" s="689" t="s">
        <v>38</v>
      </c>
      <c r="E291" s="690"/>
      <c r="F291" s="690"/>
      <c r="G291" s="691"/>
      <c r="H291" s="692"/>
      <c r="I291" s="683"/>
      <c r="J291" s="683"/>
      <c r="K291" s="684"/>
      <c r="L291" s="693"/>
      <c r="M291" s="684"/>
      <c r="N291" s="684"/>
      <c r="O291" s="684"/>
      <c r="P291" s="684"/>
      <c r="Q291" s="684"/>
      <c r="R291" s="684"/>
      <c r="S291" s="684"/>
      <c r="T291" s="684"/>
      <c r="U291" s="684"/>
    </row>
    <row r="292" spans="1:21" ht="18.75" x14ac:dyDescent="0.25">
      <c r="A292" s="687"/>
      <c r="B292" s="688"/>
      <c r="C292" s="688"/>
      <c r="D292" s="699" t="s">
        <v>120</v>
      </c>
      <c r="E292" s="688"/>
      <c r="F292" s="695"/>
      <c r="G292" s="692"/>
      <c r="H292" s="704" t="s">
        <v>46</v>
      </c>
      <c r="I292" s="708">
        <f ca="1">IFERROR(__xludf.DUMMYFUNCTION("IMPORTRANGE(""https://docs.google.com/spreadsheets/d/1eHaY18a8A9IcSdp1K8H6x8fbOy06t2VsZHhMHf-1x7Y/edit?usp=sharing"",""แผน!EE23"")"),700)</f>
        <v>700</v>
      </c>
      <c r="J292" s="702">
        <v>700</v>
      </c>
      <c r="K292" s="703">
        <f t="shared" ref="K292:K293" ca="1" si="189">IF(I292&gt;0,J292*100/I292,0)</f>
        <v>100</v>
      </c>
      <c r="L292" s="693"/>
      <c r="M292" s="684"/>
      <c r="N292" s="684"/>
      <c r="O292" s="684"/>
      <c r="P292" s="684"/>
      <c r="Q292" s="684"/>
      <c r="R292" s="684"/>
      <c r="S292" s="684"/>
      <c r="T292" s="684"/>
      <c r="U292" s="684"/>
    </row>
    <row r="293" spans="1:21" ht="19.5" x14ac:dyDescent="0.3">
      <c r="A293" s="687"/>
      <c r="B293" s="688"/>
      <c r="C293" s="688"/>
      <c r="D293" s="699" t="s">
        <v>121</v>
      </c>
      <c r="E293" s="688"/>
      <c r="F293" s="695"/>
      <c r="G293" s="692"/>
      <c r="H293" s="696" t="s">
        <v>35</v>
      </c>
      <c r="I293" s="697">
        <f ca="1">IFERROR(__xludf.DUMMYFUNCTION("IMPORTRANGE(""https://docs.google.com/spreadsheets/d/1eHaY18a8A9IcSdp1K8H6x8fbOy06t2VsZHhMHf-1x7Y/edit?usp=sharing"",""แผน!ED23"")"),70)</f>
        <v>70</v>
      </c>
      <c r="J293" s="697">
        <f>J296</f>
        <v>70</v>
      </c>
      <c r="K293" s="698">
        <f t="shared" ca="1" si="189"/>
        <v>100</v>
      </c>
      <c r="L293" s="693"/>
      <c r="M293" s="684"/>
      <c r="N293" s="684"/>
      <c r="O293" s="684"/>
      <c r="P293" s="684"/>
      <c r="Q293" s="684"/>
      <c r="R293" s="684"/>
      <c r="S293" s="684"/>
      <c r="T293" s="684"/>
      <c r="U293" s="684"/>
    </row>
    <row r="294" spans="1:21" ht="19.5" x14ac:dyDescent="0.3">
      <c r="A294" s="687"/>
      <c r="B294" s="688"/>
      <c r="C294" s="688"/>
      <c r="D294" s="695"/>
      <c r="E294" s="707" t="s">
        <v>303</v>
      </c>
      <c r="F294" s="695"/>
      <c r="G294" s="692"/>
      <c r="H294" s="692"/>
      <c r="I294" s="683"/>
      <c r="J294" s="565"/>
      <c r="K294" s="684"/>
      <c r="L294" s="693"/>
      <c r="M294" s="684"/>
      <c r="N294" s="684"/>
      <c r="O294" s="684"/>
      <c r="P294" s="684"/>
      <c r="Q294" s="684"/>
      <c r="R294" s="684"/>
      <c r="S294" s="684"/>
      <c r="T294" s="684"/>
      <c r="U294" s="684"/>
    </row>
    <row r="295" spans="1:21" ht="19.5" x14ac:dyDescent="0.3">
      <c r="A295" s="687"/>
      <c r="B295" s="688"/>
      <c r="C295" s="688"/>
      <c r="D295" s="695"/>
      <c r="E295" s="699" t="s">
        <v>304</v>
      </c>
      <c r="F295" s="695"/>
      <c r="G295" s="692"/>
      <c r="H295" s="700" t="s">
        <v>35</v>
      </c>
      <c r="I295" s="701">
        <f ca="1">IFERROR(__xludf.DUMMYFUNCTION("IMPORTRANGE(""https://docs.google.com/spreadsheets/d/1eHaY18a8A9IcSdp1K8H6x8fbOy06t2VsZHhMHf-1x7Y/edit?usp=sharing"",""แผน!ED23"")"),70)</f>
        <v>70</v>
      </c>
      <c r="J295" s="702">
        <v>70</v>
      </c>
      <c r="K295" s="703">
        <f t="shared" ref="K295:K296" ca="1" si="190">IF(I295&gt;0,J295*100/I295,0)</f>
        <v>100</v>
      </c>
      <c r="L295" s="693"/>
      <c r="M295" s="684"/>
      <c r="N295" s="684"/>
      <c r="O295" s="684"/>
      <c r="P295" s="684"/>
      <c r="Q295" s="684"/>
      <c r="R295" s="684"/>
      <c r="S295" s="684"/>
      <c r="T295" s="684"/>
      <c r="U295" s="684"/>
    </row>
    <row r="296" spans="1:21" ht="19.5" x14ac:dyDescent="0.3">
      <c r="A296" s="687"/>
      <c r="B296" s="688"/>
      <c r="C296" s="688"/>
      <c r="D296" s="695"/>
      <c r="E296" s="699" t="s">
        <v>305</v>
      </c>
      <c r="F296" s="695"/>
      <c r="G296" s="692"/>
      <c r="H296" s="700" t="s">
        <v>35</v>
      </c>
      <c r="I296" s="701">
        <f ca="1">IFERROR(__xludf.DUMMYFUNCTION("IMPORTRANGE(""https://docs.google.com/spreadsheets/d/1eHaY18a8A9IcSdp1K8H6x8fbOy06t2VsZHhMHf-1x7Y/edit?usp=sharing"",""แผน!ED23"")"),70)</f>
        <v>70</v>
      </c>
      <c r="J296" s="702">
        <v>70</v>
      </c>
      <c r="K296" s="703">
        <f t="shared" ca="1" si="190"/>
        <v>100</v>
      </c>
      <c r="L296" s="693"/>
      <c r="M296" s="684"/>
      <c r="N296" s="684"/>
      <c r="O296" s="684"/>
      <c r="P296" s="684"/>
      <c r="Q296" s="684"/>
      <c r="R296" s="684"/>
      <c r="S296" s="684"/>
      <c r="T296" s="684"/>
      <c r="U296" s="684"/>
    </row>
    <row r="297" spans="1:21" ht="12.75" hidden="1" x14ac:dyDescent="0.2">
      <c r="A297" s="705"/>
      <c r="B297" s="706"/>
      <c r="C297" s="706"/>
      <c r="D297" s="531"/>
      <c r="E297" s="531"/>
      <c r="F297" s="531"/>
      <c r="G297" s="532"/>
      <c r="H297" s="532"/>
      <c r="I297" s="533"/>
      <c r="J297" s="533"/>
      <c r="K297" s="534"/>
      <c r="L297" s="535"/>
      <c r="M297" s="534"/>
      <c r="N297" s="534"/>
      <c r="O297" s="534"/>
      <c r="P297" s="534"/>
      <c r="Q297" s="534"/>
      <c r="R297" s="534"/>
      <c r="S297" s="534"/>
      <c r="T297" s="534"/>
      <c r="U297" s="534"/>
    </row>
    <row r="298" spans="1:21" ht="12.75" hidden="1" x14ac:dyDescent="0.2">
      <c r="A298" s="705"/>
      <c r="B298" s="706"/>
      <c r="C298" s="706"/>
      <c r="D298" s="531"/>
      <c r="E298" s="531"/>
      <c r="F298" s="531"/>
      <c r="G298" s="532"/>
      <c r="H298" s="532"/>
      <c r="I298" s="533"/>
      <c r="J298" s="533"/>
      <c r="K298" s="534"/>
      <c r="L298" s="535"/>
      <c r="M298" s="534"/>
      <c r="N298" s="534"/>
      <c r="O298" s="534"/>
      <c r="P298" s="534"/>
      <c r="Q298" s="534"/>
      <c r="R298" s="534"/>
      <c r="S298" s="534"/>
      <c r="T298" s="534"/>
      <c r="U298" s="534"/>
    </row>
    <row r="299" spans="1:21" ht="12.75" hidden="1" x14ac:dyDescent="0.2">
      <c r="A299" s="894"/>
      <c r="B299" s="895"/>
      <c r="C299" s="895"/>
      <c r="D299" s="537"/>
      <c r="E299" s="537"/>
      <c r="F299" s="537"/>
      <c r="G299" s="526"/>
      <c r="H299" s="526"/>
      <c r="I299" s="527"/>
      <c r="J299" s="527"/>
      <c r="K299" s="528"/>
      <c r="L299" s="529"/>
      <c r="M299" s="528"/>
      <c r="N299" s="528"/>
      <c r="O299" s="528"/>
      <c r="P299" s="528"/>
      <c r="Q299" s="528"/>
      <c r="R299" s="528"/>
      <c r="S299" s="528"/>
      <c r="T299" s="528"/>
      <c r="U299" s="528"/>
    </row>
    <row r="300" spans="1:21" ht="19.5" x14ac:dyDescent="0.3">
      <c r="A300" s="896" t="s">
        <v>125</v>
      </c>
      <c r="B300" s="897"/>
      <c r="C300" s="897"/>
      <c r="D300" s="897"/>
      <c r="E300" s="898"/>
      <c r="F300" s="898"/>
      <c r="G300" s="898"/>
      <c r="H300" s="898"/>
      <c r="I300" s="899"/>
      <c r="J300" s="899"/>
      <c r="K300" s="900"/>
      <c r="L300" s="900"/>
      <c r="M300" s="900"/>
      <c r="N300" s="900"/>
      <c r="O300" s="900"/>
      <c r="P300" s="901"/>
      <c r="Q300" s="900"/>
      <c r="R300" s="900"/>
      <c r="S300" s="900"/>
      <c r="T300" s="900"/>
      <c r="U300" s="901"/>
    </row>
    <row r="301" spans="1:21" ht="19.5" x14ac:dyDescent="0.3">
      <c r="A301" s="902" t="s">
        <v>126</v>
      </c>
      <c r="B301" s="903"/>
      <c r="C301" s="903"/>
      <c r="D301" s="904"/>
      <c r="E301" s="904"/>
      <c r="F301" s="904"/>
      <c r="G301" s="905"/>
      <c r="H301" s="905"/>
      <c r="I301" s="906"/>
      <c r="J301" s="906"/>
      <c r="K301" s="907"/>
      <c r="L301" s="908"/>
      <c r="M301" s="907"/>
      <c r="N301" s="907"/>
      <c r="O301" s="907"/>
      <c r="P301" s="907"/>
      <c r="Q301" s="907"/>
      <c r="R301" s="907"/>
      <c r="S301" s="907"/>
      <c r="T301" s="907"/>
      <c r="U301" s="907"/>
    </row>
    <row r="302" spans="1:21" ht="19.5" x14ac:dyDescent="0.3">
      <c r="A302" s="909"/>
      <c r="B302" s="910" t="s">
        <v>127</v>
      </c>
      <c r="C302" s="911"/>
      <c r="D302" s="911"/>
      <c r="E302" s="911"/>
      <c r="F302" s="911"/>
      <c r="G302" s="912"/>
      <c r="H302" s="913" t="s">
        <v>35</v>
      </c>
      <c r="I302" s="914">
        <f t="shared" ref="I302:J302" ca="1" si="191">I314</f>
        <v>25</v>
      </c>
      <c r="J302" s="914">
        <f t="shared" si="191"/>
        <v>25</v>
      </c>
      <c r="K302" s="915">
        <f ca="1">IF(I302&gt;0,J302*100/I302,0)</f>
        <v>100</v>
      </c>
      <c r="L302" s="916"/>
      <c r="M302" s="917"/>
      <c r="N302" s="917"/>
      <c r="O302" s="917"/>
      <c r="P302" s="917"/>
      <c r="Q302" s="917"/>
      <c r="R302" s="917"/>
      <c r="S302" s="917"/>
      <c r="T302" s="917"/>
      <c r="U302" s="917"/>
    </row>
    <row r="303" spans="1:21" ht="19.5" x14ac:dyDescent="0.3">
      <c r="A303" s="674"/>
      <c r="B303" s="561"/>
      <c r="C303" s="675" t="s">
        <v>18</v>
      </c>
      <c r="D303" s="676" t="s">
        <v>19</v>
      </c>
      <c r="E303" s="561"/>
      <c r="F303" s="561"/>
      <c r="G303" s="563"/>
      <c r="H303" s="677" t="s">
        <v>14</v>
      </c>
      <c r="I303" s="565"/>
      <c r="J303" s="565"/>
      <c r="K303" s="566"/>
      <c r="L303" s="678">
        <f t="shared" ref="L303:N303" ca="1" si="192">L304+L305</f>
        <v>205800</v>
      </c>
      <c r="M303" s="679">
        <f t="shared" ca="1" si="192"/>
        <v>181300</v>
      </c>
      <c r="N303" s="679">
        <f t="shared" ca="1" si="192"/>
        <v>118790</v>
      </c>
      <c r="O303" s="679">
        <f t="shared" ref="O303:O311" ca="1" si="193">IF(L303&gt;0,N303*100/L303,0)</f>
        <v>57.721088435374149</v>
      </c>
      <c r="P303" s="679">
        <f t="shared" ref="P303:P311" ca="1" si="194">IF(M303&gt;0,N303*100/M303,0)</f>
        <v>65.521235521235525</v>
      </c>
      <c r="Q303" s="679">
        <f t="shared" ref="Q303:S303" ca="1" si="195">Q304+Q305</f>
        <v>166057.24</v>
      </c>
      <c r="R303" s="679">
        <f t="shared" ca="1" si="195"/>
        <v>166057</v>
      </c>
      <c r="S303" s="679">
        <f t="shared" ca="1" si="195"/>
        <v>7340</v>
      </c>
      <c r="T303" s="679">
        <f t="shared" ref="T303:T311" ca="1" si="196">IF(Q303&gt;0,S303*100/Q303,0)</f>
        <v>4.4201625897190633</v>
      </c>
      <c r="U303" s="679">
        <f t="shared" ref="U303:U311" ca="1" si="197">IF(R303&gt;0,S303*100/R303,0)</f>
        <v>4.4201689781219704</v>
      </c>
    </row>
    <row r="304" spans="1:21" ht="18.75" x14ac:dyDescent="0.25">
      <c r="A304" s="674"/>
      <c r="B304" s="561"/>
      <c r="C304" s="561"/>
      <c r="D304" s="561"/>
      <c r="E304" s="569" t="s">
        <v>20</v>
      </c>
      <c r="F304" s="561"/>
      <c r="G304" s="563"/>
      <c r="H304" s="680" t="s">
        <v>14</v>
      </c>
      <c r="I304" s="565"/>
      <c r="J304" s="565"/>
      <c r="K304" s="566"/>
      <c r="L304" s="571">
        <f t="shared" ref="L304:N305" si="198">L307+L310</f>
        <v>0</v>
      </c>
      <c r="M304" s="572">
        <f t="shared" si="198"/>
        <v>0</v>
      </c>
      <c r="N304" s="572">
        <f t="shared" si="198"/>
        <v>0</v>
      </c>
      <c r="O304" s="572">
        <f t="shared" si="193"/>
        <v>0</v>
      </c>
      <c r="P304" s="572">
        <f t="shared" si="194"/>
        <v>0</v>
      </c>
      <c r="Q304" s="572">
        <f t="shared" ref="Q304:S305" si="199">Q307+Q310</f>
        <v>0</v>
      </c>
      <c r="R304" s="572">
        <f t="shared" si="199"/>
        <v>0</v>
      </c>
      <c r="S304" s="572">
        <f t="shared" si="199"/>
        <v>0</v>
      </c>
      <c r="T304" s="572">
        <f t="shared" si="196"/>
        <v>0</v>
      </c>
      <c r="U304" s="572">
        <f t="shared" si="197"/>
        <v>0</v>
      </c>
    </row>
    <row r="305" spans="1:21" ht="18.75" x14ac:dyDescent="0.25">
      <c r="A305" s="674"/>
      <c r="B305" s="561"/>
      <c r="C305" s="561"/>
      <c r="D305" s="561"/>
      <c r="E305" s="573" t="s">
        <v>21</v>
      </c>
      <c r="F305" s="561"/>
      <c r="G305" s="563"/>
      <c r="H305" s="681" t="s">
        <v>14</v>
      </c>
      <c r="I305" s="565"/>
      <c r="J305" s="565"/>
      <c r="K305" s="566"/>
      <c r="L305" s="567">
        <f t="shared" ca="1" si="198"/>
        <v>205800</v>
      </c>
      <c r="M305" s="568">
        <f t="shared" ca="1" si="198"/>
        <v>181300</v>
      </c>
      <c r="N305" s="568">
        <f t="shared" ca="1" si="198"/>
        <v>118790</v>
      </c>
      <c r="O305" s="568">
        <f t="shared" ca="1" si="193"/>
        <v>57.721088435374149</v>
      </c>
      <c r="P305" s="568">
        <f t="shared" ca="1" si="194"/>
        <v>65.521235521235525</v>
      </c>
      <c r="Q305" s="568">
        <f t="shared" ca="1" si="199"/>
        <v>166057.24</v>
      </c>
      <c r="R305" s="568">
        <f t="shared" ca="1" si="199"/>
        <v>166057</v>
      </c>
      <c r="S305" s="568">
        <f t="shared" ca="1" si="199"/>
        <v>7340</v>
      </c>
      <c r="T305" s="568">
        <f t="shared" ca="1" si="196"/>
        <v>4.4201625897190633</v>
      </c>
      <c r="U305" s="568">
        <f t="shared" ca="1" si="197"/>
        <v>4.4201689781219704</v>
      </c>
    </row>
    <row r="306" spans="1:21" ht="18.75" x14ac:dyDescent="0.25">
      <c r="A306" s="674"/>
      <c r="B306" s="561"/>
      <c r="C306" s="561"/>
      <c r="D306" s="562" t="s">
        <v>22</v>
      </c>
      <c r="E306" s="561"/>
      <c r="F306" s="561"/>
      <c r="G306" s="563"/>
      <c r="H306" s="682" t="s">
        <v>14</v>
      </c>
      <c r="I306" s="683"/>
      <c r="J306" s="683"/>
      <c r="K306" s="684"/>
      <c r="L306" s="567">
        <f t="shared" ref="L306:N306" ca="1" si="200">L307+L308</f>
        <v>205800</v>
      </c>
      <c r="M306" s="568">
        <f t="shared" ca="1" si="200"/>
        <v>181300</v>
      </c>
      <c r="N306" s="568">
        <f t="shared" ca="1" si="200"/>
        <v>118790</v>
      </c>
      <c r="O306" s="568">
        <f t="shared" ca="1" si="193"/>
        <v>57.721088435374149</v>
      </c>
      <c r="P306" s="568">
        <f t="shared" ca="1" si="194"/>
        <v>65.521235521235525</v>
      </c>
      <c r="Q306" s="568">
        <f t="shared" ref="Q306:S306" ca="1" si="201">Q307+Q308</f>
        <v>166057.24</v>
      </c>
      <c r="R306" s="568">
        <f t="shared" ca="1" si="201"/>
        <v>166057</v>
      </c>
      <c r="S306" s="568">
        <f t="shared" ca="1" si="201"/>
        <v>7340</v>
      </c>
      <c r="T306" s="568">
        <f t="shared" ca="1" si="196"/>
        <v>4.4201625897190633</v>
      </c>
      <c r="U306" s="568">
        <f t="shared" ca="1" si="197"/>
        <v>4.4201689781219704</v>
      </c>
    </row>
    <row r="307" spans="1:21" ht="18.75" x14ac:dyDescent="0.25">
      <c r="A307" s="674"/>
      <c r="B307" s="561"/>
      <c r="C307" s="561"/>
      <c r="D307" s="561"/>
      <c r="E307" s="569" t="s">
        <v>36</v>
      </c>
      <c r="F307" s="561"/>
      <c r="G307" s="563"/>
      <c r="H307" s="685" t="s">
        <v>14</v>
      </c>
      <c r="I307" s="683"/>
      <c r="J307" s="683"/>
      <c r="K307" s="684"/>
      <c r="L307" s="571">
        <v>0</v>
      </c>
      <c r="M307" s="572">
        <v>0</v>
      </c>
      <c r="N307" s="572">
        <v>0</v>
      </c>
      <c r="O307" s="572">
        <f t="shared" si="193"/>
        <v>0</v>
      </c>
      <c r="P307" s="572">
        <f t="shared" si="194"/>
        <v>0</v>
      </c>
      <c r="Q307" s="572">
        <v>0</v>
      </c>
      <c r="R307" s="572">
        <v>0</v>
      </c>
      <c r="S307" s="572">
        <v>0</v>
      </c>
      <c r="T307" s="572">
        <f t="shared" si="196"/>
        <v>0</v>
      </c>
      <c r="U307" s="572">
        <f t="shared" si="197"/>
        <v>0</v>
      </c>
    </row>
    <row r="308" spans="1:21" ht="18.75" x14ac:dyDescent="0.25">
      <c r="A308" s="674"/>
      <c r="B308" s="561"/>
      <c r="C308" s="561"/>
      <c r="D308" s="561"/>
      <c r="E308" s="573" t="s">
        <v>37</v>
      </c>
      <c r="F308" s="561"/>
      <c r="G308" s="563"/>
      <c r="H308" s="682" t="s">
        <v>14</v>
      </c>
      <c r="I308" s="683"/>
      <c r="J308" s="683"/>
      <c r="K308" s="684"/>
      <c r="L308" s="567">
        <f ca="1">IFERROR(__xludf.DUMMYFUNCTION("IMPORTRANGE(""https://docs.google.com/spreadsheets/d/1-uDff_7J0KD5mKrp0Vvzr7lt3OU09vwQwhkpOPPYv2Y/edit?usp=sharing"",""งบพรบ!DY23"")"),205800)</f>
        <v>205800</v>
      </c>
      <c r="M308" s="568">
        <f ca="1">IFERROR(__xludf.DUMMYFUNCTION("IMPORTRANGE(""https://docs.google.com/spreadsheets/d/1-uDff_7J0KD5mKrp0Vvzr7lt3OU09vwQwhkpOPPYv2Y/edit?usp=sharing"",""งบพรบ!ED23"")"),181300)</f>
        <v>181300</v>
      </c>
      <c r="N308" s="568">
        <f ca="1">IFERROR(__xludf.DUMMYFUNCTION("IMPORTRANGE(""https://docs.google.com/spreadsheets/d/1-uDff_7J0KD5mKrp0Vvzr7lt3OU09vwQwhkpOPPYv2Y/edit?usp=sharing"",""งบพรบ!EF23"")"),118790)</f>
        <v>118790</v>
      </c>
      <c r="O308" s="568">
        <f t="shared" ca="1" si="193"/>
        <v>57.721088435374149</v>
      </c>
      <c r="P308" s="568">
        <f t="shared" ca="1" si="194"/>
        <v>65.521235521235525</v>
      </c>
      <c r="Q308" s="568">
        <f ca="1">IFERROR(__xludf.DUMMYFUNCTION("IMPORTRANGE(""https://docs.google.com/spreadsheets/d/1ItG2mGa2ceCfYo0BwxsXqNm01IGEUdYcSSLTEv9YCik/edit?usp=sharing"",""เบิกจ่ายกองทุน!BB23"")"),166057.24)</f>
        <v>166057.24</v>
      </c>
      <c r="R308" s="568">
        <f ca="1">IFERROR(__xludf.DUMMYFUNCTION("IMPORTRANGE(""https://docs.google.com/spreadsheets/d/1ItG2mGa2ceCfYo0BwxsXqNm01IGEUdYcSSLTEv9YCik/edit?usp=sharing"",""เบิกจ่ายกองทุน!BC23"")"),166057)</f>
        <v>166057</v>
      </c>
      <c r="S308" s="568">
        <f ca="1">IFERROR(__xludf.DUMMYFUNCTION("IMPORTRANGE(""https://docs.google.com/spreadsheets/d/1ItG2mGa2ceCfYo0BwxsXqNm01IGEUdYcSSLTEv9YCik/edit?usp=sharing"",""เบิกจ่ายกองทุน!BD23"")"),7340)</f>
        <v>7340</v>
      </c>
      <c r="T308" s="568">
        <f t="shared" ca="1" si="196"/>
        <v>4.4201625897190633</v>
      </c>
      <c r="U308" s="568">
        <f t="shared" ca="1" si="197"/>
        <v>4.4201689781219704</v>
      </c>
    </row>
    <row r="309" spans="1:21" ht="18.75" x14ac:dyDescent="0.25">
      <c r="A309" s="674"/>
      <c r="B309" s="561"/>
      <c r="C309" s="561"/>
      <c r="D309" s="562" t="s">
        <v>23</v>
      </c>
      <c r="E309" s="561"/>
      <c r="F309" s="561"/>
      <c r="G309" s="563"/>
      <c r="H309" s="686" t="s">
        <v>14</v>
      </c>
      <c r="I309" s="683"/>
      <c r="J309" s="683"/>
      <c r="K309" s="684"/>
      <c r="L309" s="567">
        <f t="shared" ref="L309:N309" ca="1" si="202">L310+L311</f>
        <v>0</v>
      </c>
      <c r="M309" s="568">
        <f t="shared" ca="1" si="202"/>
        <v>0</v>
      </c>
      <c r="N309" s="568">
        <f t="shared" ca="1" si="202"/>
        <v>0</v>
      </c>
      <c r="O309" s="568">
        <f t="shared" ca="1" si="193"/>
        <v>0</v>
      </c>
      <c r="P309" s="568">
        <f t="shared" ca="1" si="194"/>
        <v>0</v>
      </c>
      <c r="Q309" s="568">
        <f t="shared" ref="Q309:S309" si="203">Q310+Q311</f>
        <v>0</v>
      </c>
      <c r="R309" s="568">
        <f t="shared" si="203"/>
        <v>0</v>
      </c>
      <c r="S309" s="568">
        <f t="shared" si="203"/>
        <v>0</v>
      </c>
      <c r="T309" s="568">
        <f t="shared" si="196"/>
        <v>0</v>
      </c>
      <c r="U309" s="568">
        <f t="shared" si="197"/>
        <v>0</v>
      </c>
    </row>
    <row r="310" spans="1:21" ht="18.75" x14ac:dyDescent="0.25">
      <c r="A310" s="674"/>
      <c r="B310" s="561"/>
      <c r="C310" s="561"/>
      <c r="D310" s="561"/>
      <c r="E310" s="569" t="s">
        <v>20</v>
      </c>
      <c r="F310" s="561"/>
      <c r="G310" s="563"/>
      <c r="H310" s="685" t="s">
        <v>14</v>
      </c>
      <c r="I310" s="683"/>
      <c r="J310" s="683"/>
      <c r="K310" s="684"/>
      <c r="L310" s="571">
        <v>0</v>
      </c>
      <c r="M310" s="572">
        <v>0</v>
      </c>
      <c r="N310" s="572">
        <v>0</v>
      </c>
      <c r="O310" s="572">
        <f t="shared" si="193"/>
        <v>0</v>
      </c>
      <c r="P310" s="572">
        <f t="shared" si="194"/>
        <v>0</v>
      </c>
      <c r="Q310" s="572">
        <v>0</v>
      </c>
      <c r="R310" s="572">
        <v>0</v>
      </c>
      <c r="S310" s="572">
        <v>0</v>
      </c>
      <c r="T310" s="572">
        <f t="shared" si="196"/>
        <v>0</v>
      </c>
      <c r="U310" s="572">
        <f t="shared" si="197"/>
        <v>0</v>
      </c>
    </row>
    <row r="311" spans="1:21" ht="18.75" x14ac:dyDescent="0.25">
      <c r="A311" s="674"/>
      <c r="B311" s="561"/>
      <c r="C311" s="561"/>
      <c r="D311" s="561"/>
      <c r="E311" s="573" t="s">
        <v>21</v>
      </c>
      <c r="F311" s="561"/>
      <c r="G311" s="563"/>
      <c r="H311" s="686" t="s">
        <v>14</v>
      </c>
      <c r="I311" s="683"/>
      <c r="J311" s="683"/>
      <c r="K311" s="684"/>
      <c r="L311" s="567">
        <f ca="1">IFERROR(__xludf.DUMMYFUNCTION("IMPORTRANGE(""https://docs.google.com/spreadsheets/d/1-uDff_7J0KD5mKrp0Vvzr7lt3OU09vwQwhkpOPPYv2Y/edit?usp=sharing"",""งบพรบ!EB23"")"),0)</f>
        <v>0</v>
      </c>
      <c r="M311" s="568">
        <f ca="1">IFERROR(__xludf.DUMMYFUNCTION("IMPORTRANGE(""https://docs.google.com/spreadsheets/d/1-uDff_7J0KD5mKrp0Vvzr7lt3OU09vwQwhkpOPPYv2Y/edit?usp=sharing"",""งบพรบ!EE23"")"),0)</f>
        <v>0</v>
      </c>
      <c r="N311" s="568">
        <f ca="1">IFERROR(__xludf.DUMMYFUNCTION("IMPORTRANGE(""https://docs.google.com/spreadsheets/d/1-uDff_7J0KD5mKrp0Vvzr7lt3OU09vwQwhkpOPPYv2Y/edit?usp=sharing"",""งบพรบ!EG23"")"),0)</f>
        <v>0</v>
      </c>
      <c r="O311" s="568">
        <f t="shared" ca="1" si="193"/>
        <v>0</v>
      </c>
      <c r="P311" s="568">
        <f t="shared" ca="1" si="194"/>
        <v>0</v>
      </c>
      <c r="Q311" s="568">
        <v>0</v>
      </c>
      <c r="R311" s="568">
        <v>0</v>
      </c>
      <c r="S311" s="568">
        <v>0</v>
      </c>
      <c r="T311" s="568">
        <f t="shared" si="196"/>
        <v>0</v>
      </c>
      <c r="U311" s="568">
        <f t="shared" si="197"/>
        <v>0</v>
      </c>
    </row>
    <row r="312" spans="1:21" ht="19.5" x14ac:dyDescent="0.3">
      <c r="A312" s="687"/>
      <c r="B312" s="688"/>
      <c r="C312" s="675" t="s">
        <v>18</v>
      </c>
      <c r="D312" s="689" t="s">
        <v>38</v>
      </c>
      <c r="E312" s="690"/>
      <c r="F312" s="690"/>
      <c r="G312" s="691"/>
      <c r="H312" s="692"/>
      <c r="I312" s="565"/>
      <c r="J312" s="565"/>
      <c r="K312" s="566"/>
      <c r="L312" s="574"/>
      <c r="M312" s="566"/>
      <c r="N312" s="566"/>
      <c r="O312" s="566"/>
      <c r="P312" s="566"/>
      <c r="Q312" s="566"/>
      <c r="R312" s="566"/>
      <c r="S312" s="566"/>
      <c r="T312" s="566"/>
      <c r="U312" s="566"/>
    </row>
    <row r="313" spans="1:21" ht="18.75" hidden="1" x14ac:dyDescent="0.25">
      <c r="A313" s="705"/>
      <c r="B313" s="706"/>
      <c r="C313" s="706"/>
      <c r="D313" s="918"/>
      <c r="E313" s="531"/>
      <c r="F313" s="531"/>
      <c r="G313" s="532"/>
      <c r="H313" s="532"/>
      <c r="I313" s="533"/>
      <c r="J313" s="919"/>
      <c r="K313" s="534"/>
      <c r="L313" s="535"/>
      <c r="M313" s="534"/>
      <c r="N313" s="534"/>
      <c r="O313" s="534"/>
      <c r="P313" s="534"/>
      <c r="Q313" s="534"/>
      <c r="R313" s="534"/>
      <c r="S313" s="534"/>
      <c r="T313" s="534"/>
      <c r="U313" s="534"/>
    </row>
    <row r="314" spans="1:21" ht="18.75" x14ac:dyDescent="0.25">
      <c r="A314" s="687"/>
      <c r="B314" s="688"/>
      <c r="C314" s="688"/>
      <c r="D314" s="699" t="s">
        <v>121</v>
      </c>
      <c r="E314" s="695"/>
      <c r="F314" s="695"/>
      <c r="G314" s="692"/>
      <c r="H314" s="700" t="s">
        <v>35</v>
      </c>
      <c r="I314" s="708">
        <f ca="1">IFERROR(__xludf.DUMMYFUNCTION("IMPORTRANGE(""https://docs.google.com/spreadsheets/d/1eHaY18a8A9IcSdp1K8H6x8fbOy06t2VsZHhMHf-1x7Y/edit?usp=sharing"",""แผน!EF23"")"),25)</f>
        <v>25</v>
      </c>
      <c r="J314" s="702">
        <v>25</v>
      </c>
      <c r="K314" s="568">
        <f ca="1">IF(I314&gt;0,J314*100/I314,0)</f>
        <v>100</v>
      </c>
      <c r="L314" s="574"/>
      <c r="M314" s="566"/>
      <c r="N314" s="566"/>
      <c r="O314" s="566"/>
      <c r="P314" s="566"/>
      <c r="Q314" s="566"/>
      <c r="R314" s="566"/>
      <c r="S314" s="566"/>
      <c r="T314" s="566"/>
      <c r="U314" s="566"/>
    </row>
    <row r="315" spans="1:21" ht="18.75" hidden="1" x14ac:dyDescent="0.25">
      <c r="A315" s="705"/>
      <c r="B315" s="706"/>
      <c r="C315" s="706"/>
      <c r="D315" s="918"/>
      <c r="E315" s="531"/>
      <c r="F315" s="531"/>
      <c r="G315" s="532"/>
      <c r="H315" s="920"/>
      <c r="I315" s="919"/>
      <c r="J315" s="919"/>
      <c r="K315" s="921"/>
      <c r="L315" s="535"/>
      <c r="M315" s="534"/>
      <c r="N315" s="534"/>
      <c r="O315" s="534"/>
      <c r="P315" s="534"/>
      <c r="Q315" s="534"/>
      <c r="R315" s="534"/>
      <c r="S315" s="534"/>
      <c r="T315" s="534"/>
      <c r="U315" s="534"/>
    </row>
    <row r="316" spans="1:21" ht="18.75" hidden="1" x14ac:dyDescent="0.25">
      <c r="A316" s="705"/>
      <c r="B316" s="706"/>
      <c r="C316" s="706"/>
      <c r="D316" s="918"/>
      <c r="E316" s="531"/>
      <c r="F316" s="531"/>
      <c r="G316" s="532"/>
      <c r="H316" s="920"/>
      <c r="I316" s="919"/>
      <c r="J316" s="919"/>
      <c r="K316" s="921"/>
      <c r="L316" s="535"/>
      <c r="M316" s="534"/>
      <c r="N316" s="534"/>
      <c r="O316" s="534"/>
      <c r="P316" s="534"/>
      <c r="Q316" s="534"/>
      <c r="R316" s="534"/>
      <c r="S316" s="534"/>
      <c r="T316" s="534"/>
      <c r="U316" s="534"/>
    </row>
    <row r="317" spans="1:21" ht="18.75" hidden="1" x14ac:dyDescent="0.25">
      <c r="A317" s="705"/>
      <c r="B317" s="706"/>
      <c r="C317" s="706"/>
      <c r="D317" s="922"/>
      <c r="E317" s="531"/>
      <c r="F317" s="531"/>
      <c r="G317" s="532"/>
      <c r="H317" s="923"/>
      <c r="I317" s="924"/>
      <c r="J317" s="924"/>
      <c r="K317" s="925"/>
      <c r="L317" s="535"/>
      <c r="M317" s="534"/>
      <c r="N317" s="534"/>
      <c r="O317" s="534"/>
      <c r="P317" s="534"/>
      <c r="Q317" s="534"/>
      <c r="R317" s="534"/>
      <c r="S317" s="534"/>
      <c r="T317" s="534"/>
      <c r="U317" s="534"/>
    </row>
    <row r="318" spans="1:21" ht="19.5" hidden="1" x14ac:dyDescent="0.3">
      <c r="A318" s="902" t="s">
        <v>131</v>
      </c>
      <c r="B318" s="903"/>
      <c r="C318" s="903"/>
      <c r="D318" s="904"/>
      <c r="E318" s="903"/>
      <c r="F318" s="903"/>
      <c r="G318" s="903"/>
      <c r="H318" s="904"/>
      <c r="I318" s="906"/>
      <c r="J318" s="906"/>
      <c r="K318" s="907"/>
      <c r="L318" s="908"/>
      <c r="M318" s="907"/>
      <c r="N318" s="907"/>
      <c r="O318" s="907"/>
      <c r="P318" s="907"/>
      <c r="Q318" s="907"/>
      <c r="R318" s="907"/>
      <c r="S318" s="907"/>
      <c r="T318" s="907"/>
      <c r="U318" s="907"/>
    </row>
    <row r="319" spans="1:21" ht="19.5" hidden="1" x14ac:dyDescent="0.3">
      <c r="A319" s="926"/>
      <c r="B319" s="910" t="s">
        <v>132</v>
      </c>
      <c r="C319" s="927"/>
      <c r="D319" s="928"/>
      <c r="E319" s="911"/>
      <c r="F319" s="911"/>
      <c r="G319" s="912"/>
      <c r="H319" s="913" t="s">
        <v>133</v>
      </c>
      <c r="I319" s="914">
        <f t="shared" ref="I319:J319" ca="1" si="204">I330</f>
        <v>0</v>
      </c>
      <c r="J319" s="914">
        <f t="shared" si="204"/>
        <v>0</v>
      </c>
      <c r="K319" s="915">
        <f ca="1">IF(I319&gt;0,J319*100/I319,0)</f>
        <v>0</v>
      </c>
      <c r="L319" s="916"/>
      <c r="M319" s="917"/>
      <c r="N319" s="917"/>
      <c r="O319" s="917"/>
      <c r="P319" s="917"/>
      <c r="Q319" s="917"/>
      <c r="R319" s="917"/>
      <c r="S319" s="917"/>
      <c r="T319" s="917"/>
      <c r="U319" s="917"/>
    </row>
    <row r="320" spans="1:21" ht="19.5" hidden="1" x14ac:dyDescent="0.3">
      <c r="A320" s="674"/>
      <c r="B320" s="561"/>
      <c r="C320" s="675" t="s">
        <v>18</v>
      </c>
      <c r="D320" s="676" t="s">
        <v>19</v>
      </c>
      <c r="E320" s="561"/>
      <c r="F320" s="561"/>
      <c r="G320" s="563"/>
      <c r="H320" s="677" t="s">
        <v>14</v>
      </c>
      <c r="I320" s="565"/>
      <c r="J320" s="565"/>
      <c r="K320" s="566"/>
      <c r="L320" s="678">
        <f t="shared" ref="L320:N320" ca="1" si="205">L321+L322</f>
        <v>0</v>
      </c>
      <c r="M320" s="679">
        <f t="shared" ca="1" si="205"/>
        <v>0</v>
      </c>
      <c r="N320" s="679">
        <f t="shared" ca="1" si="205"/>
        <v>0</v>
      </c>
      <c r="O320" s="679">
        <f t="shared" ref="O320:O328" ca="1" si="206">IF(L320&gt;0,N320*100/L320,0)</f>
        <v>0</v>
      </c>
      <c r="P320" s="679">
        <f t="shared" ref="P320:P328" ca="1" si="207">IF(M320&gt;0,N320*100/M320,0)</f>
        <v>0</v>
      </c>
      <c r="Q320" s="679">
        <f t="shared" ref="Q320:S320" si="208">Q321+Q322</f>
        <v>0</v>
      </c>
      <c r="R320" s="679">
        <f t="shared" si="208"/>
        <v>0</v>
      </c>
      <c r="S320" s="679">
        <f t="shared" si="208"/>
        <v>0</v>
      </c>
      <c r="T320" s="679">
        <f t="shared" ref="T320:T328" si="209">IF(Q320&gt;0,S320*100/Q320,0)</f>
        <v>0</v>
      </c>
      <c r="U320" s="679">
        <f t="shared" ref="U320:U328" si="210">IF(R320&gt;0,S320*100/R320,0)</f>
        <v>0</v>
      </c>
    </row>
    <row r="321" spans="1:21" ht="18.75" hidden="1" x14ac:dyDescent="0.25">
      <c r="A321" s="674"/>
      <c r="B321" s="561"/>
      <c r="C321" s="561"/>
      <c r="D321" s="561"/>
      <c r="E321" s="569" t="s">
        <v>20</v>
      </c>
      <c r="F321" s="561"/>
      <c r="G321" s="563"/>
      <c r="H321" s="680" t="s">
        <v>14</v>
      </c>
      <c r="I321" s="565"/>
      <c r="J321" s="565"/>
      <c r="K321" s="566"/>
      <c r="L321" s="571">
        <f t="shared" ref="L321:N322" si="211">L324+L327</f>
        <v>0</v>
      </c>
      <c r="M321" s="572">
        <f t="shared" si="211"/>
        <v>0</v>
      </c>
      <c r="N321" s="572">
        <f t="shared" si="211"/>
        <v>0</v>
      </c>
      <c r="O321" s="572">
        <f t="shared" si="206"/>
        <v>0</v>
      </c>
      <c r="P321" s="572">
        <f t="shared" si="207"/>
        <v>0</v>
      </c>
      <c r="Q321" s="572">
        <f t="shared" ref="Q321:S322" si="212">Q324+Q327</f>
        <v>0</v>
      </c>
      <c r="R321" s="572">
        <f t="shared" si="212"/>
        <v>0</v>
      </c>
      <c r="S321" s="572">
        <f t="shared" si="212"/>
        <v>0</v>
      </c>
      <c r="T321" s="572">
        <f t="shared" si="209"/>
        <v>0</v>
      </c>
      <c r="U321" s="572">
        <f t="shared" si="210"/>
        <v>0</v>
      </c>
    </row>
    <row r="322" spans="1:21" ht="18.75" hidden="1" x14ac:dyDescent="0.25">
      <c r="A322" s="674"/>
      <c r="B322" s="561"/>
      <c r="C322" s="561"/>
      <c r="D322" s="561"/>
      <c r="E322" s="573" t="s">
        <v>21</v>
      </c>
      <c r="F322" s="561"/>
      <c r="G322" s="563"/>
      <c r="H322" s="681" t="s">
        <v>14</v>
      </c>
      <c r="I322" s="565"/>
      <c r="J322" s="565"/>
      <c r="K322" s="566"/>
      <c r="L322" s="567">
        <f t="shared" ca="1" si="211"/>
        <v>0</v>
      </c>
      <c r="M322" s="568">
        <f t="shared" ca="1" si="211"/>
        <v>0</v>
      </c>
      <c r="N322" s="568">
        <f t="shared" ca="1" si="211"/>
        <v>0</v>
      </c>
      <c r="O322" s="568">
        <f t="shared" ca="1" si="206"/>
        <v>0</v>
      </c>
      <c r="P322" s="568">
        <f t="shared" ca="1" si="207"/>
        <v>0</v>
      </c>
      <c r="Q322" s="568">
        <f t="shared" si="212"/>
        <v>0</v>
      </c>
      <c r="R322" s="568">
        <f t="shared" si="212"/>
        <v>0</v>
      </c>
      <c r="S322" s="568">
        <f t="shared" si="212"/>
        <v>0</v>
      </c>
      <c r="T322" s="568">
        <f t="shared" si="209"/>
        <v>0</v>
      </c>
      <c r="U322" s="568">
        <f t="shared" si="210"/>
        <v>0</v>
      </c>
    </row>
    <row r="323" spans="1:21" ht="18.75" hidden="1" x14ac:dyDescent="0.25">
      <c r="A323" s="674"/>
      <c r="B323" s="561"/>
      <c r="C323" s="561"/>
      <c r="D323" s="562" t="s">
        <v>22</v>
      </c>
      <c r="E323" s="561"/>
      <c r="F323" s="561"/>
      <c r="G323" s="563"/>
      <c r="H323" s="682" t="s">
        <v>14</v>
      </c>
      <c r="I323" s="683"/>
      <c r="J323" s="683"/>
      <c r="K323" s="684"/>
      <c r="L323" s="567">
        <f t="shared" ref="L323:N323" ca="1" si="213">L324+L325</f>
        <v>0</v>
      </c>
      <c r="M323" s="568">
        <f t="shared" ca="1" si="213"/>
        <v>0</v>
      </c>
      <c r="N323" s="568">
        <f t="shared" ca="1" si="213"/>
        <v>0</v>
      </c>
      <c r="O323" s="568">
        <f t="shared" ca="1" si="206"/>
        <v>0</v>
      </c>
      <c r="P323" s="568">
        <f t="shared" ca="1" si="207"/>
        <v>0</v>
      </c>
      <c r="Q323" s="568">
        <f t="shared" ref="Q323:S323" si="214">Q324+Q325</f>
        <v>0</v>
      </c>
      <c r="R323" s="568">
        <f t="shared" si="214"/>
        <v>0</v>
      </c>
      <c r="S323" s="568">
        <f t="shared" si="214"/>
        <v>0</v>
      </c>
      <c r="T323" s="568">
        <f t="shared" si="209"/>
        <v>0</v>
      </c>
      <c r="U323" s="568">
        <f t="shared" si="210"/>
        <v>0</v>
      </c>
    </row>
    <row r="324" spans="1:21" ht="18.75" hidden="1" x14ac:dyDescent="0.25">
      <c r="A324" s="674"/>
      <c r="B324" s="561"/>
      <c r="C324" s="561"/>
      <c r="D324" s="561"/>
      <c r="E324" s="569" t="s">
        <v>36</v>
      </c>
      <c r="F324" s="561"/>
      <c r="G324" s="563"/>
      <c r="H324" s="685" t="s">
        <v>14</v>
      </c>
      <c r="I324" s="683"/>
      <c r="J324" s="683"/>
      <c r="K324" s="684"/>
      <c r="L324" s="571">
        <v>0</v>
      </c>
      <c r="M324" s="572">
        <v>0</v>
      </c>
      <c r="N324" s="572">
        <v>0</v>
      </c>
      <c r="O324" s="572">
        <f t="shared" si="206"/>
        <v>0</v>
      </c>
      <c r="P324" s="572">
        <f t="shared" si="207"/>
        <v>0</v>
      </c>
      <c r="Q324" s="572">
        <v>0</v>
      </c>
      <c r="R324" s="572">
        <v>0</v>
      </c>
      <c r="S324" s="572">
        <v>0</v>
      </c>
      <c r="T324" s="572">
        <f t="shared" si="209"/>
        <v>0</v>
      </c>
      <c r="U324" s="572">
        <f t="shared" si="210"/>
        <v>0</v>
      </c>
    </row>
    <row r="325" spans="1:21" ht="18.75" hidden="1" x14ac:dyDescent="0.25">
      <c r="A325" s="674"/>
      <c r="B325" s="561"/>
      <c r="C325" s="561"/>
      <c r="D325" s="561"/>
      <c r="E325" s="573" t="s">
        <v>37</v>
      </c>
      <c r="F325" s="561"/>
      <c r="G325" s="563"/>
      <c r="H325" s="682" t="s">
        <v>14</v>
      </c>
      <c r="I325" s="683"/>
      <c r="J325" s="683"/>
      <c r="K325" s="684"/>
      <c r="L325" s="567">
        <f ca="1">IFERROR(__xludf.DUMMYFUNCTION("IMPORTRANGE(""https://docs.google.com/spreadsheets/d/1-uDff_7J0KD5mKrp0Vvzr7lt3OU09vwQwhkpOPPYv2Y/edit?usp=sharing"",""งบพรบ!EI23"")"),0)</f>
        <v>0</v>
      </c>
      <c r="M325" s="568">
        <f ca="1">IFERROR(__xludf.DUMMYFUNCTION("IMPORTRANGE(""https://docs.google.com/spreadsheets/d/1-uDff_7J0KD5mKrp0Vvzr7lt3OU09vwQwhkpOPPYv2Y/edit?usp=sharing"",""งบพรบ!EN23"")"),0)</f>
        <v>0</v>
      </c>
      <c r="N325" s="568">
        <f ca="1">IFERROR(__xludf.DUMMYFUNCTION("IMPORTRANGE(""https://docs.google.com/spreadsheets/d/1-uDff_7J0KD5mKrp0Vvzr7lt3OU09vwQwhkpOPPYv2Y/edit?usp=sharing"",""งบพรบ!EP23"")"),0)</f>
        <v>0</v>
      </c>
      <c r="O325" s="568">
        <f t="shared" ca="1" si="206"/>
        <v>0</v>
      </c>
      <c r="P325" s="568">
        <f t="shared" ca="1" si="207"/>
        <v>0</v>
      </c>
      <c r="Q325" s="568">
        <v>0</v>
      </c>
      <c r="R325" s="568">
        <v>0</v>
      </c>
      <c r="S325" s="568">
        <v>0</v>
      </c>
      <c r="T325" s="568">
        <f t="shared" si="209"/>
        <v>0</v>
      </c>
      <c r="U325" s="568">
        <f t="shared" si="210"/>
        <v>0</v>
      </c>
    </row>
    <row r="326" spans="1:21" ht="18.75" hidden="1" x14ac:dyDescent="0.25">
      <c r="A326" s="674"/>
      <c r="B326" s="561"/>
      <c r="C326" s="561"/>
      <c r="D326" s="562" t="s">
        <v>23</v>
      </c>
      <c r="E326" s="561"/>
      <c r="F326" s="561"/>
      <c r="G326" s="563"/>
      <c r="H326" s="686" t="s">
        <v>14</v>
      </c>
      <c r="I326" s="683"/>
      <c r="J326" s="683"/>
      <c r="K326" s="684"/>
      <c r="L326" s="567">
        <f t="shared" ref="L326:N326" ca="1" si="215">L327+L328</f>
        <v>0</v>
      </c>
      <c r="M326" s="568">
        <f t="shared" ca="1" si="215"/>
        <v>0</v>
      </c>
      <c r="N326" s="568">
        <f t="shared" ca="1" si="215"/>
        <v>0</v>
      </c>
      <c r="O326" s="568">
        <f t="shared" ca="1" si="206"/>
        <v>0</v>
      </c>
      <c r="P326" s="568">
        <f t="shared" ca="1" si="207"/>
        <v>0</v>
      </c>
      <c r="Q326" s="568">
        <f t="shared" ref="Q326:S326" si="216">Q327+Q328</f>
        <v>0</v>
      </c>
      <c r="R326" s="568">
        <f t="shared" si="216"/>
        <v>0</v>
      </c>
      <c r="S326" s="568">
        <f t="shared" si="216"/>
        <v>0</v>
      </c>
      <c r="T326" s="568">
        <f t="shared" si="209"/>
        <v>0</v>
      </c>
      <c r="U326" s="568">
        <f t="shared" si="210"/>
        <v>0</v>
      </c>
    </row>
    <row r="327" spans="1:21" ht="18.75" hidden="1" x14ac:dyDescent="0.25">
      <c r="A327" s="674"/>
      <c r="B327" s="561"/>
      <c r="C327" s="561"/>
      <c r="D327" s="561"/>
      <c r="E327" s="569" t="s">
        <v>20</v>
      </c>
      <c r="F327" s="561"/>
      <c r="G327" s="563"/>
      <c r="H327" s="685" t="s">
        <v>14</v>
      </c>
      <c r="I327" s="683"/>
      <c r="J327" s="683"/>
      <c r="K327" s="684"/>
      <c r="L327" s="571">
        <v>0</v>
      </c>
      <c r="M327" s="572">
        <v>0</v>
      </c>
      <c r="N327" s="572">
        <v>0</v>
      </c>
      <c r="O327" s="572">
        <f t="shared" si="206"/>
        <v>0</v>
      </c>
      <c r="P327" s="572">
        <f t="shared" si="207"/>
        <v>0</v>
      </c>
      <c r="Q327" s="572">
        <v>0</v>
      </c>
      <c r="R327" s="572">
        <v>0</v>
      </c>
      <c r="S327" s="572">
        <v>0</v>
      </c>
      <c r="T327" s="572">
        <f t="shared" si="209"/>
        <v>0</v>
      </c>
      <c r="U327" s="572">
        <f t="shared" si="210"/>
        <v>0</v>
      </c>
    </row>
    <row r="328" spans="1:21" ht="18.75" hidden="1" x14ac:dyDescent="0.25">
      <c r="A328" s="674"/>
      <c r="B328" s="561"/>
      <c r="C328" s="561"/>
      <c r="D328" s="561"/>
      <c r="E328" s="573" t="s">
        <v>21</v>
      </c>
      <c r="F328" s="561"/>
      <c r="G328" s="563"/>
      <c r="H328" s="686" t="s">
        <v>14</v>
      </c>
      <c r="I328" s="683"/>
      <c r="J328" s="683"/>
      <c r="K328" s="684"/>
      <c r="L328" s="567">
        <f ca="1">IFERROR(__xludf.DUMMYFUNCTION("IMPORTRANGE(""https://docs.google.com/spreadsheets/d/1-uDff_7J0KD5mKrp0Vvzr7lt3OU09vwQwhkpOPPYv2Y/edit?usp=sharing"",""งบพรบ!EL23"")"),0)</f>
        <v>0</v>
      </c>
      <c r="M328" s="568">
        <f ca="1">IFERROR(__xludf.DUMMYFUNCTION("IMPORTRANGE(""https://docs.google.com/spreadsheets/d/1-uDff_7J0KD5mKrp0Vvzr7lt3OU09vwQwhkpOPPYv2Y/edit?usp=sharing"",""งบพรบ!EO23"")"),0)</f>
        <v>0</v>
      </c>
      <c r="N328" s="568">
        <f ca="1">IFERROR(__xludf.DUMMYFUNCTION("IMPORTRANGE(""https://docs.google.com/spreadsheets/d/1-uDff_7J0KD5mKrp0Vvzr7lt3OU09vwQwhkpOPPYv2Y/edit?usp=sharing"",""งบพรบ!EQ23"")"),0)</f>
        <v>0</v>
      </c>
      <c r="O328" s="568">
        <f t="shared" ca="1" si="206"/>
        <v>0</v>
      </c>
      <c r="P328" s="568">
        <f t="shared" ca="1" si="207"/>
        <v>0</v>
      </c>
      <c r="Q328" s="568">
        <v>0</v>
      </c>
      <c r="R328" s="568">
        <v>0</v>
      </c>
      <c r="S328" s="568">
        <v>0</v>
      </c>
      <c r="T328" s="568">
        <f t="shared" si="209"/>
        <v>0</v>
      </c>
      <c r="U328" s="568">
        <f t="shared" si="210"/>
        <v>0</v>
      </c>
    </row>
    <row r="329" spans="1:21" ht="19.5" hidden="1" x14ac:dyDescent="0.3">
      <c r="A329" s="687"/>
      <c r="B329" s="688"/>
      <c r="C329" s="675" t="s">
        <v>18</v>
      </c>
      <c r="D329" s="689" t="s">
        <v>38</v>
      </c>
      <c r="E329" s="690"/>
      <c r="F329" s="690"/>
      <c r="G329" s="691"/>
      <c r="H329" s="692"/>
      <c r="I329" s="683"/>
      <c r="J329" s="565"/>
      <c r="K329" s="566"/>
      <c r="L329" s="574"/>
      <c r="M329" s="566"/>
      <c r="N329" s="566"/>
      <c r="O329" s="684"/>
      <c r="P329" s="684"/>
      <c r="Q329" s="566"/>
      <c r="R329" s="566"/>
      <c r="S329" s="566"/>
      <c r="T329" s="684"/>
      <c r="U329" s="684"/>
    </row>
    <row r="330" spans="1:21" ht="18.75" hidden="1" x14ac:dyDescent="0.25">
      <c r="A330" s="687"/>
      <c r="B330" s="688"/>
      <c r="C330" s="688"/>
      <c r="D330" s="694" t="s">
        <v>134</v>
      </c>
      <c r="E330" s="695"/>
      <c r="F330" s="695"/>
      <c r="G330" s="692"/>
      <c r="H330" s="564" t="s">
        <v>133</v>
      </c>
      <c r="I330" s="708">
        <f ca="1">IFERROR(__xludf.DUMMYFUNCTION("IMPORTRANGE(""https://docs.google.com/spreadsheets/d/1eHaY18a8A9IcSdp1K8H6x8fbOy06t2VsZHhMHf-1x7Y/edit?usp=sharing"",""แผน!EJ23"")"),0)</f>
        <v>0</v>
      </c>
      <c r="J330" s="702">
        <v>0</v>
      </c>
      <c r="K330" s="568">
        <f ca="1">IF(I330&gt;0,J330*100/I330,0)</f>
        <v>0</v>
      </c>
      <c r="L330" s="574"/>
      <c r="M330" s="566"/>
      <c r="N330" s="566"/>
      <c r="O330" s="684"/>
      <c r="P330" s="684"/>
      <c r="Q330" s="566"/>
      <c r="R330" s="566"/>
      <c r="S330" s="566"/>
      <c r="T330" s="684"/>
      <c r="U330" s="684"/>
    </row>
    <row r="331" spans="1:21" ht="19.5" x14ac:dyDescent="0.3">
      <c r="A331" s="902" t="s">
        <v>135</v>
      </c>
      <c r="B331" s="903"/>
      <c r="C331" s="903"/>
      <c r="D331" s="904"/>
      <c r="E331" s="903"/>
      <c r="F331" s="903"/>
      <c r="G331" s="903"/>
      <c r="H331" s="904"/>
      <c r="I331" s="906"/>
      <c r="J331" s="906"/>
      <c r="K331" s="907"/>
      <c r="L331" s="908"/>
      <c r="M331" s="907"/>
      <c r="N331" s="907"/>
      <c r="O331" s="907"/>
      <c r="P331" s="907"/>
      <c r="Q331" s="907"/>
      <c r="R331" s="907"/>
      <c r="S331" s="907"/>
      <c r="T331" s="907"/>
      <c r="U331" s="907"/>
    </row>
    <row r="332" spans="1:21" ht="19.5" x14ac:dyDescent="0.3">
      <c r="A332" s="909"/>
      <c r="B332" s="910" t="s">
        <v>136</v>
      </c>
      <c r="C332" s="928"/>
      <c r="D332" s="911"/>
      <c r="E332" s="911"/>
      <c r="F332" s="911"/>
      <c r="G332" s="912"/>
      <c r="H332" s="913" t="s">
        <v>35</v>
      </c>
      <c r="I332" s="929">
        <f ca="1">I344</f>
        <v>5060</v>
      </c>
      <c r="J332" s="930">
        <f ca="1">J344+J347+J348+J349+J353</f>
        <v>17390</v>
      </c>
      <c r="K332" s="931">
        <f ca="1">IF(I332&gt;0,J332*100/I332,0)</f>
        <v>343.67588932806325</v>
      </c>
      <c r="L332" s="916"/>
      <c r="M332" s="917"/>
      <c r="N332" s="917"/>
      <c r="O332" s="917"/>
      <c r="P332" s="917"/>
      <c r="Q332" s="917"/>
      <c r="R332" s="917"/>
      <c r="S332" s="917"/>
      <c r="T332" s="917"/>
      <c r="U332" s="917"/>
    </row>
    <row r="333" spans="1:21" ht="19.5" x14ac:dyDescent="0.3">
      <c r="A333" s="674"/>
      <c r="B333" s="561"/>
      <c r="C333" s="675" t="s">
        <v>18</v>
      </c>
      <c r="D333" s="676" t="s">
        <v>19</v>
      </c>
      <c r="E333" s="561"/>
      <c r="F333" s="561"/>
      <c r="G333" s="563"/>
      <c r="H333" s="677" t="s">
        <v>14</v>
      </c>
      <c r="I333" s="565"/>
      <c r="J333" s="565"/>
      <c r="K333" s="566"/>
      <c r="L333" s="678">
        <f t="shared" ref="L333:N333" ca="1" si="217">L334+L335</f>
        <v>197000</v>
      </c>
      <c r="M333" s="679">
        <f t="shared" ca="1" si="217"/>
        <v>121000</v>
      </c>
      <c r="N333" s="679">
        <f t="shared" ca="1" si="217"/>
        <v>121000</v>
      </c>
      <c r="O333" s="679">
        <f t="shared" ref="O333:O341" ca="1" si="218">IF(L333&gt;0,N333*100/L333,0)</f>
        <v>61.421319796954315</v>
      </c>
      <c r="P333" s="679">
        <f t="shared" ref="P333:P341" ca="1" si="219">IF(M333&gt;0,N333*100/M333,0)</f>
        <v>100</v>
      </c>
      <c r="Q333" s="679">
        <f t="shared" ref="Q333:S333" si="220">Q334+Q335</f>
        <v>0</v>
      </c>
      <c r="R333" s="679">
        <f t="shared" si="220"/>
        <v>0</v>
      </c>
      <c r="S333" s="679">
        <f t="shared" si="220"/>
        <v>0</v>
      </c>
      <c r="T333" s="679">
        <f t="shared" ref="T333:T341" si="221">IF(Q333&gt;0,S333*100/Q333,0)</f>
        <v>0</v>
      </c>
      <c r="U333" s="679">
        <f t="shared" ref="U333:U341" si="222">IF(R333&gt;0,S333*100/R333,0)</f>
        <v>0</v>
      </c>
    </row>
    <row r="334" spans="1:21" ht="18.75" x14ac:dyDescent="0.25">
      <c r="A334" s="674"/>
      <c r="B334" s="561"/>
      <c r="C334" s="561"/>
      <c r="D334" s="561"/>
      <c r="E334" s="569" t="s">
        <v>20</v>
      </c>
      <c r="F334" s="561"/>
      <c r="G334" s="563"/>
      <c r="H334" s="680" t="s">
        <v>14</v>
      </c>
      <c r="I334" s="565"/>
      <c r="J334" s="565"/>
      <c r="K334" s="566"/>
      <c r="L334" s="571">
        <f t="shared" ref="L334:N335" si="223">L337+L340</f>
        <v>0</v>
      </c>
      <c r="M334" s="572">
        <f t="shared" si="223"/>
        <v>0</v>
      </c>
      <c r="N334" s="572">
        <f t="shared" si="223"/>
        <v>0</v>
      </c>
      <c r="O334" s="572">
        <f t="shared" si="218"/>
        <v>0</v>
      </c>
      <c r="P334" s="572">
        <f t="shared" si="219"/>
        <v>0</v>
      </c>
      <c r="Q334" s="572">
        <f t="shared" ref="Q334:S335" si="224">Q337+Q340</f>
        <v>0</v>
      </c>
      <c r="R334" s="572">
        <f t="shared" si="224"/>
        <v>0</v>
      </c>
      <c r="S334" s="572">
        <f t="shared" si="224"/>
        <v>0</v>
      </c>
      <c r="T334" s="572">
        <f t="shared" si="221"/>
        <v>0</v>
      </c>
      <c r="U334" s="572">
        <f t="shared" si="222"/>
        <v>0</v>
      </c>
    </row>
    <row r="335" spans="1:21" ht="18.75" x14ac:dyDescent="0.25">
      <c r="A335" s="674"/>
      <c r="B335" s="561"/>
      <c r="C335" s="561"/>
      <c r="D335" s="561"/>
      <c r="E335" s="573" t="s">
        <v>21</v>
      </c>
      <c r="F335" s="561"/>
      <c r="G335" s="563"/>
      <c r="H335" s="681" t="s">
        <v>14</v>
      </c>
      <c r="I335" s="565"/>
      <c r="J335" s="565"/>
      <c r="K335" s="566"/>
      <c r="L335" s="567">
        <f t="shared" ca="1" si="223"/>
        <v>197000</v>
      </c>
      <c r="M335" s="568">
        <f t="shared" ca="1" si="223"/>
        <v>121000</v>
      </c>
      <c r="N335" s="568">
        <f t="shared" ca="1" si="223"/>
        <v>121000</v>
      </c>
      <c r="O335" s="568">
        <f t="shared" ca="1" si="218"/>
        <v>61.421319796954315</v>
      </c>
      <c r="P335" s="568">
        <f t="shared" ca="1" si="219"/>
        <v>100</v>
      </c>
      <c r="Q335" s="568">
        <f t="shared" si="224"/>
        <v>0</v>
      </c>
      <c r="R335" s="568">
        <f t="shared" si="224"/>
        <v>0</v>
      </c>
      <c r="S335" s="568">
        <f t="shared" si="224"/>
        <v>0</v>
      </c>
      <c r="T335" s="568">
        <f t="shared" si="221"/>
        <v>0</v>
      </c>
      <c r="U335" s="568">
        <f t="shared" si="222"/>
        <v>0</v>
      </c>
    </row>
    <row r="336" spans="1:21" ht="18.75" x14ac:dyDescent="0.25">
      <c r="A336" s="674"/>
      <c r="B336" s="561"/>
      <c r="C336" s="561"/>
      <c r="D336" s="562" t="s">
        <v>22</v>
      </c>
      <c r="E336" s="561"/>
      <c r="F336" s="561"/>
      <c r="G336" s="563"/>
      <c r="H336" s="682" t="s">
        <v>14</v>
      </c>
      <c r="I336" s="683"/>
      <c r="J336" s="683"/>
      <c r="K336" s="684"/>
      <c r="L336" s="567">
        <f t="shared" ref="L336:N336" ca="1" si="225">L337+L338</f>
        <v>197000</v>
      </c>
      <c r="M336" s="568">
        <f t="shared" ca="1" si="225"/>
        <v>121000</v>
      </c>
      <c r="N336" s="568">
        <f t="shared" ca="1" si="225"/>
        <v>121000</v>
      </c>
      <c r="O336" s="568">
        <f t="shared" ca="1" si="218"/>
        <v>61.421319796954315</v>
      </c>
      <c r="P336" s="568">
        <f t="shared" ca="1" si="219"/>
        <v>100</v>
      </c>
      <c r="Q336" s="568">
        <f t="shared" ref="Q336:S336" si="226">Q337+Q338</f>
        <v>0</v>
      </c>
      <c r="R336" s="568">
        <f t="shared" si="226"/>
        <v>0</v>
      </c>
      <c r="S336" s="568">
        <f t="shared" si="226"/>
        <v>0</v>
      </c>
      <c r="T336" s="568">
        <f t="shared" si="221"/>
        <v>0</v>
      </c>
      <c r="U336" s="568">
        <f t="shared" si="222"/>
        <v>0</v>
      </c>
    </row>
    <row r="337" spans="1:21" ht="18.75" x14ac:dyDescent="0.25">
      <c r="A337" s="674"/>
      <c r="B337" s="561"/>
      <c r="C337" s="561"/>
      <c r="D337" s="561"/>
      <c r="E337" s="569" t="s">
        <v>36</v>
      </c>
      <c r="F337" s="561"/>
      <c r="G337" s="563"/>
      <c r="H337" s="685" t="s">
        <v>14</v>
      </c>
      <c r="I337" s="683"/>
      <c r="J337" s="683"/>
      <c r="K337" s="684"/>
      <c r="L337" s="571">
        <v>0</v>
      </c>
      <c r="M337" s="572">
        <v>0</v>
      </c>
      <c r="N337" s="572">
        <v>0</v>
      </c>
      <c r="O337" s="572">
        <f t="shared" si="218"/>
        <v>0</v>
      </c>
      <c r="P337" s="572">
        <f t="shared" si="219"/>
        <v>0</v>
      </c>
      <c r="Q337" s="572">
        <v>0</v>
      </c>
      <c r="R337" s="572">
        <v>0</v>
      </c>
      <c r="S337" s="572">
        <v>0</v>
      </c>
      <c r="T337" s="572">
        <f t="shared" si="221"/>
        <v>0</v>
      </c>
      <c r="U337" s="572">
        <f t="shared" si="222"/>
        <v>0</v>
      </c>
    </row>
    <row r="338" spans="1:21" ht="18.75" x14ac:dyDescent="0.25">
      <c r="A338" s="674"/>
      <c r="B338" s="561"/>
      <c r="C338" s="561"/>
      <c r="D338" s="561"/>
      <c r="E338" s="573" t="s">
        <v>37</v>
      </c>
      <c r="F338" s="561"/>
      <c r="G338" s="563"/>
      <c r="H338" s="682" t="s">
        <v>14</v>
      </c>
      <c r="I338" s="683"/>
      <c r="J338" s="683"/>
      <c r="K338" s="684"/>
      <c r="L338" s="567">
        <f ca="1">IFERROR(__xludf.DUMMYFUNCTION("IMPORTRANGE(""https://docs.google.com/spreadsheets/d/1-uDff_7J0KD5mKrp0Vvzr7lt3OU09vwQwhkpOPPYv2Y/edit?usp=sharing"",""งบพรบ!ES23"")"),197000)</f>
        <v>197000</v>
      </c>
      <c r="M338" s="568">
        <f ca="1">IFERROR(__xludf.DUMMYFUNCTION("IMPORTRANGE(""https://docs.google.com/spreadsheets/d/1-uDff_7J0KD5mKrp0Vvzr7lt3OU09vwQwhkpOPPYv2Y/edit?usp=sharing"",""งบพรบ!EX23"")"),121000)</f>
        <v>121000</v>
      </c>
      <c r="N338" s="568">
        <f ca="1">IFERROR(__xludf.DUMMYFUNCTION("IMPORTRANGE(""https://docs.google.com/spreadsheets/d/1-uDff_7J0KD5mKrp0Vvzr7lt3OU09vwQwhkpOPPYv2Y/edit?usp=sharing"",""งบพรบ!EZ23"")"),121000)</f>
        <v>121000</v>
      </c>
      <c r="O338" s="568">
        <f t="shared" ca="1" si="218"/>
        <v>61.421319796954315</v>
      </c>
      <c r="P338" s="568">
        <f t="shared" ca="1" si="219"/>
        <v>100</v>
      </c>
      <c r="Q338" s="568">
        <v>0</v>
      </c>
      <c r="R338" s="568">
        <v>0</v>
      </c>
      <c r="S338" s="568">
        <v>0</v>
      </c>
      <c r="T338" s="568">
        <f t="shared" si="221"/>
        <v>0</v>
      </c>
      <c r="U338" s="568">
        <f t="shared" si="222"/>
        <v>0</v>
      </c>
    </row>
    <row r="339" spans="1:21" ht="18.75" x14ac:dyDescent="0.25">
      <c r="A339" s="674"/>
      <c r="B339" s="561"/>
      <c r="C339" s="561"/>
      <c r="D339" s="562" t="s">
        <v>23</v>
      </c>
      <c r="E339" s="561"/>
      <c r="F339" s="561"/>
      <c r="G339" s="563"/>
      <c r="H339" s="686" t="s">
        <v>14</v>
      </c>
      <c r="I339" s="683"/>
      <c r="J339" s="683"/>
      <c r="K339" s="684"/>
      <c r="L339" s="567">
        <f t="shared" ref="L339:N339" ca="1" si="227">L340+L341</f>
        <v>0</v>
      </c>
      <c r="M339" s="568">
        <f t="shared" ca="1" si="227"/>
        <v>0</v>
      </c>
      <c r="N339" s="568">
        <f t="shared" ca="1" si="227"/>
        <v>0</v>
      </c>
      <c r="O339" s="568">
        <f t="shared" ca="1" si="218"/>
        <v>0</v>
      </c>
      <c r="P339" s="568">
        <f t="shared" ca="1" si="219"/>
        <v>0</v>
      </c>
      <c r="Q339" s="568">
        <f t="shared" ref="Q339:S339" si="228">Q340+Q341</f>
        <v>0</v>
      </c>
      <c r="R339" s="568">
        <f t="shared" si="228"/>
        <v>0</v>
      </c>
      <c r="S339" s="568">
        <f t="shared" si="228"/>
        <v>0</v>
      </c>
      <c r="T339" s="568">
        <f t="shared" si="221"/>
        <v>0</v>
      </c>
      <c r="U339" s="568">
        <f t="shared" si="222"/>
        <v>0</v>
      </c>
    </row>
    <row r="340" spans="1:21" ht="18.75" x14ac:dyDescent="0.25">
      <c r="A340" s="674"/>
      <c r="B340" s="561"/>
      <c r="C340" s="561"/>
      <c r="D340" s="561"/>
      <c r="E340" s="569" t="s">
        <v>20</v>
      </c>
      <c r="F340" s="561"/>
      <c r="G340" s="563"/>
      <c r="H340" s="685" t="s">
        <v>14</v>
      </c>
      <c r="I340" s="683"/>
      <c r="J340" s="683"/>
      <c r="K340" s="684"/>
      <c r="L340" s="571">
        <v>0</v>
      </c>
      <c r="M340" s="572">
        <v>0</v>
      </c>
      <c r="N340" s="572">
        <v>0</v>
      </c>
      <c r="O340" s="572">
        <f t="shared" si="218"/>
        <v>0</v>
      </c>
      <c r="P340" s="572">
        <f t="shared" si="219"/>
        <v>0</v>
      </c>
      <c r="Q340" s="572">
        <v>0</v>
      </c>
      <c r="R340" s="572">
        <v>0</v>
      </c>
      <c r="S340" s="572">
        <v>0</v>
      </c>
      <c r="T340" s="572">
        <f t="shared" si="221"/>
        <v>0</v>
      </c>
      <c r="U340" s="572">
        <f t="shared" si="222"/>
        <v>0</v>
      </c>
    </row>
    <row r="341" spans="1:21" ht="18.75" x14ac:dyDescent="0.25">
      <c r="A341" s="674"/>
      <c r="B341" s="561"/>
      <c r="C341" s="561"/>
      <c r="D341" s="561"/>
      <c r="E341" s="573" t="s">
        <v>21</v>
      </c>
      <c r="F341" s="561"/>
      <c r="G341" s="563"/>
      <c r="H341" s="686" t="s">
        <v>14</v>
      </c>
      <c r="I341" s="683"/>
      <c r="J341" s="683"/>
      <c r="K341" s="684"/>
      <c r="L341" s="567">
        <f ca="1">IFERROR(__xludf.DUMMYFUNCTION("IMPORTRANGE(""https://docs.google.com/spreadsheets/d/1-uDff_7J0KD5mKrp0Vvzr7lt3OU09vwQwhkpOPPYv2Y/edit?usp=sharing"",""งบพรบ!EV23"")"),0)</f>
        <v>0</v>
      </c>
      <c r="M341" s="568">
        <f ca="1">IFERROR(__xludf.DUMMYFUNCTION("IMPORTRANGE(""https://docs.google.com/spreadsheets/d/1-uDff_7J0KD5mKrp0Vvzr7lt3OU09vwQwhkpOPPYv2Y/edit?usp=sharing"",""งบพรบ!EY23"")"),0)</f>
        <v>0</v>
      </c>
      <c r="N341" s="568">
        <f ca="1">IFERROR(__xludf.DUMMYFUNCTION("IMPORTRANGE(""https://docs.google.com/spreadsheets/d/1-uDff_7J0KD5mKrp0Vvzr7lt3OU09vwQwhkpOPPYv2Y/edit?usp=sharing"",""งบพรบ!FA23"")"),0)</f>
        <v>0</v>
      </c>
      <c r="O341" s="568">
        <f t="shared" ca="1" si="218"/>
        <v>0</v>
      </c>
      <c r="P341" s="568">
        <f t="shared" ca="1" si="219"/>
        <v>0</v>
      </c>
      <c r="Q341" s="568">
        <v>0</v>
      </c>
      <c r="R341" s="568">
        <v>0</v>
      </c>
      <c r="S341" s="568">
        <v>0</v>
      </c>
      <c r="T341" s="568">
        <f t="shared" si="221"/>
        <v>0</v>
      </c>
      <c r="U341" s="568">
        <f t="shared" si="222"/>
        <v>0</v>
      </c>
    </row>
    <row r="342" spans="1:21" ht="19.5" x14ac:dyDescent="0.3">
      <c r="A342" s="687"/>
      <c r="B342" s="688"/>
      <c r="C342" s="675" t="s">
        <v>18</v>
      </c>
      <c r="D342" s="757" t="s">
        <v>38</v>
      </c>
      <c r="E342" s="690"/>
      <c r="F342" s="690"/>
      <c r="G342" s="691"/>
      <c r="H342" s="563"/>
      <c r="I342" s="565"/>
      <c r="J342" s="565"/>
      <c r="K342" s="566"/>
      <c r="L342" s="574"/>
      <c r="M342" s="566"/>
      <c r="N342" s="566"/>
      <c r="O342" s="684"/>
      <c r="P342" s="684"/>
      <c r="Q342" s="566"/>
      <c r="R342" s="566"/>
      <c r="S342" s="566"/>
      <c r="T342" s="684"/>
      <c r="U342" s="684"/>
    </row>
    <row r="343" spans="1:21" ht="19.5" x14ac:dyDescent="0.3">
      <c r="A343" s="932"/>
      <c r="B343" s="933"/>
      <c r="C343" s="934"/>
      <c r="D343" s="933"/>
      <c r="E343" s="935" t="s">
        <v>137</v>
      </c>
      <c r="F343" s="933"/>
      <c r="G343" s="936"/>
      <c r="H343" s="937" t="s">
        <v>35</v>
      </c>
      <c r="I343" s="938">
        <v>0</v>
      </c>
      <c r="J343" s="938">
        <f ca="1">J344+J347+J348+J349</f>
        <v>12905</v>
      </c>
      <c r="K343" s="939">
        <v>0</v>
      </c>
      <c r="L343" s="777"/>
      <c r="M343" s="778"/>
      <c r="N343" s="778"/>
      <c r="O343" s="778"/>
      <c r="P343" s="778"/>
      <c r="Q343" s="778"/>
      <c r="R343" s="778"/>
      <c r="S343" s="778"/>
      <c r="T343" s="778"/>
      <c r="U343" s="778"/>
    </row>
    <row r="344" spans="1:21" ht="18.75" x14ac:dyDescent="0.25">
      <c r="A344" s="764"/>
      <c r="B344" s="561"/>
      <c r="C344" s="718"/>
      <c r="D344" s="695"/>
      <c r="E344" s="699" t="s">
        <v>138</v>
      </c>
      <c r="F344" s="561"/>
      <c r="G344" s="563"/>
      <c r="H344" s="766" t="s">
        <v>35</v>
      </c>
      <c r="I344" s="708">
        <f ca="1">IFERROR(__xludf.DUMMYFUNCTION("IMPORTRANGE(""https://docs.google.com/spreadsheets/d/1eHaY18a8A9IcSdp1K8H6x8fbOy06t2VsZHhMHf-1x7Y/edit?usp=sharing"",""แผน!EK23"")"),5060)</f>
        <v>5060</v>
      </c>
      <c r="J344" s="708">
        <f ca="1">IFERROR(__xludf.DUMMYFUNCTION("IMPORTRANGE(""https://docs.google.com/spreadsheets/d/1awYsYK3VOup2i3Pq_Yjnu8DRu_mYwSBnCR2QPthd0rU/edit?usp=sharing"",""ศูนย์ยกเว้นโฉนด!D23"")"),12322)</f>
        <v>12322</v>
      </c>
      <c r="K344" s="568">
        <f ca="1">IF(I344&gt;0,J344*100/I344,0)</f>
        <v>243.51778656126481</v>
      </c>
      <c r="L344" s="574"/>
      <c r="M344" s="566"/>
      <c r="N344" s="566"/>
      <c r="O344" s="566"/>
      <c r="P344" s="566"/>
      <c r="Q344" s="566"/>
      <c r="R344" s="566"/>
      <c r="S344" s="566"/>
      <c r="T344" s="566"/>
      <c r="U344" s="566"/>
    </row>
    <row r="345" spans="1:21" ht="18.75" x14ac:dyDescent="0.25">
      <c r="A345" s="764"/>
      <c r="B345" s="561"/>
      <c r="C345" s="718"/>
      <c r="D345" s="695"/>
      <c r="E345" s="699" t="s">
        <v>139</v>
      </c>
      <c r="F345" s="561"/>
      <c r="G345" s="563"/>
      <c r="H345" s="727"/>
      <c r="I345" s="565"/>
      <c r="J345" s="565"/>
      <c r="K345" s="566"/>
      <c r="L345" s="574"/>
      <c r="M345" s="566"/>
      <c r="N345" s="566"/>
      <c r="O345" s="566"/>
      <c r="P345" s="566"/>
      <c r="Q345" s="566"/>
      <c r="R345" s="566"/>
      <c r="S345" s="566"/>
      <c r="T345" s="566"/>
      <c r="U345" s="566"/>
    </row>
    <row r="346" spans="1:21" ht="18.75" x14ac:dyDescent="0.25">
      <c r="A346" s="764"/>
      <c r="B346" s="561"/>
      <c r="C346" s="718"/>
      <c r="D346" s="695"/>
      <c r="E346" s="695"/>
      <c r="F346" s="699" t="s">
        <v>140</v>
      </c>
      <c r="G346" s="563"/>
      <c r="H346" s="722" t="s">
        <v>141</v>
      </c>
      <c r="I346" s="708">
        <f ca="1">IFERROR(__xludf.DUMMYFUNCTION("IMPORTRANGE(""https://docs.google.com/spreadsheets/d/1eHaY18a8A9IcSdp1K8H6x8fbOy06t2VsZHhMHf-1x7Y/edit?usp=sharing"",""แผน!EL23"")"),5)</f>
        <v>5</v>
      </c>
      <c r="J346" s="708">
        <f ca="1">IFERROR(__xludf.DUMMYFUNCTION("IMPORTRANGE(""https://docs.google.com/spreadsheets/d/1awYsYK3VOup2i3Pq_Yjnu8DRu_mYwSBnCR2QPthd0rU/edit?usp=sharing"",""ศูนย์รวม!E23"")"),5)</f>
        <v>5</v>
      </c>
      <c r="K346" s="568">
        <f ca="1">IF(I346&gt;0,J346*100/I346,0)</f>
        <v>100</v>
      </c>
      <c r="L346" s="574"/>
      <c r="M346" s="566"/>
      <c r="N346" s="566"/>
      <c r="O346" s="566"/>
      <c r="P346" s="566"/>
      <c r="Q346" s="566"/>
      <c r="R346" s="566"/>
      <c r="S346" s="566"/>
      <c r="T346" s="566"/>
      <c r="U346" s="566"/>
    </row>
    <row r="347" spans="1:21" ht="18.75" x14ac:dyDescent="0.25">
      <c r="A347" s="764"/>
      <c r="B347" s="561"/>
      <c r="C347" s="718"/>
      <c r="D347" s="695"/>
      <c r="E347" s="695"/>
      <c r="F347" s="699" t="s">
        <v>142</v>
      </c>
      <c r="G347" s="563"/>
      <c r="H347" s="722" t="s">
        <v>35</v>
      </c>
      <c r="I347" s="565"/>
      <c r="J347" s="708">
        <f ca="1">IFERROR(__xludf.DUMMYFUNCTION("IMPORTRANGE(""https://docs.google.com/spreadsheets/d/1awYsYK3VOup2i3Pq_Yjnu8DRu_mYwSBnCR2QPthd0rU/edit?usp=sharing"",""ศูนย์ยกเว้นโฉนด!F23"")"),514)</f>
        <v>514</v>
      </c>
      <c r="K347" s="566"/>
      <c r="L347" s="574"/>
      <c r="M347" s="566"/>
      <c r="N347" s="566"/>
      <c r="O347" s="566"/>
      <c r="P347" s="566"/>
      <c r="Q347" s="566"/>
      <c r="R347" s="566"/>
      <c r="S347" s="566"/>
      <c r="T347" s="566"/>
      <c r="U347" s="566"/>
    </row>
    <row r="348" spans="1:21" ht="18.75" x14ac:dyDescent="0.25">
      <c r="A348" s="764"/>
      <c r="B348" s="561"/>
      <c r="C348" s="718"/>
      <c r="D348" s="695"/>
      <c r="E348" s="699" t="s">
        <v>143</v>
      </c>
      <c r="F348" s="695"/>
      <c r="G348" s="563"/>
      <c r="H348" s="722" t="s">
        <v>35</v>
      </c>
      <c r="I348" s="565"/>
      <c r="J348" s="708">
        <f ca="1">IFERROR(__xludf.DUMMYFUNCTION("IMPORTRANGE(""https://docs.google.com/spreadsheets/d/1awYsYK3VOup2i3Pq_Yjnu8DRu_mYwSBnCR2QPthd0rU/edit?usp=sharing"",""ศูนย์ยกเว้นโฉนด!G23"")"),0)</f>
        <v>0</v>
      </c>
      <c r="K348" s="566"/>
      <c r="L348" s="574"/>
      <c r="M348" s="566"/>
      <c r="N348" s="566"/>
      <c r="O348" s="566"/>
      <c r="P348" s="566"/>
      <c r="Q348" s="566"/>
      <c r="R348" s="566"/>
      <c r="S348" s="566"/>
      <c r="T348" s="566"/>
      <c r="U348" s="566"/>
    </row>
    <row r="349" spans="1:21" ht="18.75" x14ac:dyDescent="0.25">
      <c r="A349" s="764"/>
      <c r="B349" s="561"/>
      <c r="C349" s="718"/>
      <c r="D349" s="688"/>
      <c r="E349" s="699" t="s">
        <v>144</v>
      </c>
      <c r="F349" s="695"/>
      <c r="G349" s="563"/>
      <c r="H349" s="722" t="s">
        <v>35</v>
      </c>
      <c r="I349" s="565"/>
      <c r="J349" s="708">
        <f ca="1">IFERROR(__xludf.DUMMYFUNCTION("IMPORTRANGE(""https://docs.google.com/spreadsheets/d/1awYsYK3VOup2i3Pq_Yjnu8DRu_mYwSBnCR2QPthd0rU/edit?usp=sharing"",""ศูนย์ยกเว้นโฉนด!H23"")"),69)</f>
        <v>69</v>
      </c>
      <c r="K349" s="566"/>
      <c r="L349" s="574"/>
      <c r="M349" s="566"/>
      <c r="N349" s="566"/>
      <c r="O349" s="566"/>
      <c r="P349" s="566"/>
      <c r="Q349" s="566"/>
      <c r="R349" s="566"/>
      <c r="S349" s="566"/>
      <c r="T349" s="566"/>
      <c r="U349" s="566"/>
    </row>
    <row r="350" spans="1:21" ht="16.5" x14ac:dyDescent="0.25">
      <c r="A350" s="718"/>
      <c r="B350" s="561"/>
      <c r="C350" s="718"/>
      <c r="D350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61"/>
      <c r="F350" s="561"/>
      <c r="G350" s="563"/>
      <c r="H350" s="727"/>
      <c r="I350" s="565"/>
      <c r="J350" s="565"/>
      <c r="K350" s="566"/>
      <c r="L350" s="574"/>
      <c r="M350" s="566"/>
      <c r="N350" s="566"/>
      <c r="O350" s="566"/>
      <c r="P350" s="566"/>
      <c r="Q350" s="566"/>
      <c r="R350" s="566"/>
      <c r="S350" s="566"/>
      <c r="T350" s="566"/>
      <c r="U350" s="566"/>
    </row>
    <row r="351" spans="1:21" ht="19.5" x14ac:dyDescent="0.3">
      <c r="A351" s="769"/>
      <c r="B351" s="772"/>
      <c r="C351" s="770"/>
      <c r="D351" s="772"/>
      <c r="E351" s="941" t="s">
        <v>145</v>
      </c>
      <c r="F351" s="772"/>
      <c r="G351" s="773"/>
      <c r="H351" s="774" t="s">
        <v>35</v>
      </c>
      <c r="I351" s="775">
        <v>0</v>
      </c>
      <c r="J351" s="775">
        <f ca="1">J352+J353</f>
        <v>7666</v>
      </c>
      <c r="K351" s="776">
        <v>0</v>
      </c>
      <c r="L351" s="777"/>
      <c r="M351" s="778"/>
      <c r="N351" s="778"/>
      <c r="O351" s="778"/>
      <c r="P351" s="778"/>
      <c r="Q351" s="778"/>
      <c r="R351" s="778"/>
      <c r="S351" s="778"/>
      <c r="T351" s="778"/>
      <c r="U351" s="778"/>
    </row>
    <row r="352" spans="1:21" ht="18.75" x14ac:dyDescent="0.25">
      <c r="A352" s="718"/>
      <c r="B352" s="561"/>
      <c r="C352" s="718"/>
      <c r="D352" s="695"/>
      <c r="E352" s="699" t="s">
        <v>146</v>
      </c>
      <c r="F352" s="561"/>
      <c r="G352" s="563"/>
      <c r="H352" s="681" t="s">
        <v>35</v>
      </c>
      <c r="I352" s="565"/>
      <c r="J352" s="708">
        <f ca="1">IFERROR(__xludf.DUMMYFUNCTION("IMPORTRANGE(""https://docs.google.com/spreadsheets/d/1awYsYK3VOup2i3Pq_Yjnu8DRu_mYwSBnCR2QPthd0rU/edit?usp=sharing"",""โฉนดM3!G23"")"),3181)</f>
        <v>3181</v>
      </c>
      <c r="K352" s="566"/>
      <c r="L352" s="574"/>
      <c r="M352" s="566"/>
      <c r="N352" s="566"/>
      <c r="O352" s="566"/>
      <c r="P352" s="566"/>
      <c r="Q352" s="566"/>
      <c r="R352" s="566"/>
      <c r="S352" s="566"/>
      <c r="T352" s="566"/>
      <c r="U352" s="566"/>
    </row>
    <row r="353" spans="1:21" ht="18.75" x14ac:dyDescent="0.25">
      <c r="A353" s="718"/>
      <c r="B353" s="561"/>
      <c r="C353" s="718"/>
      <c r="D353" s="695"/>
      <c r="E353" s="699" t="s">
        <v>147</v>
      </c>
      <c r="F353" s="561"/>
      <c r="G353" s="563"/>
      <c r="H353" s="681" t="s">
        <v>35</v>
      </c>
      <c r="I353" s="565"/>
      <c r="J353" s="708">
        <f ca="1">IFERROR(__xludf.DUMMYFUNCTION("IMPORTRANGE(""https://docs.google.com/spreadsheets/d/1awYsYK3VOup2i3Pq_Yjnu8DRu_mYwSBnCR2QPthd0rU/edit?usp=sharing"",""โฉนดM3!H23"")"),4485)</f>
        <v>4485</v>
      </c>
      <c r="K353" s="566"/>
      <c r="L353" s="574"/>
      <c r="M353" s="566"/>
      <c r="N353" s="566"/>
      <c r="O353" s="566"/>
      <c r="P353" s="566"/>
      <c r="Q353" s="566"/>
      <c r="R353" s="566"/>
      <c r="S353" s="566"/>
      <c r="T353" s="566"/>
      <c r="U353" s="566"/>
    </row>
    <row r="354" spans="1:21" ht="16.5" x14ac:dyDescent="0.25">
      <c r="A354" s="718"/>
      <c r="B354" s="561"/>
      <c r="C354" s="718"/>
      <c r="D354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61"/>
      <c r="F354" s="561"/>
      <c r="G354" s="563"/>
      <c r="H354" s="727"/>
      <c r="I354" s="565"/>
      <c r="J354" s="565"/>
      <c r="K354" s="566"/>
      <c r="L354" s="574"/>
      <c r="M354" s="566"/>
      <c r="N354" s="566"/>
      <c r="O354" s="566"/>
      <c r="P354" s="566"/>
      <c r="Q354" s="566"/>
      <c r="R354" s="566"/>
      <c r="S354" s="566"/>
      <c r="T354" s="566"/>
      <c r="U354" s="566"/>
    </row>
    <row r="355" spans="1:21" ht="19.5" x14ac:dyDescent="0.3">
      <c r="A355" s="909"/>
      <c r="B355" s="910" t="s">
        <v>148</v>
      </c>
      <c r="C355" s="928"/>
      <c r="D355" s="911"/>
      <c r="E355" s="911"/>
      <c r="F355" s="911"/>
      <c r="G355" s="912"/>
      <c r="H355" s="912"/>
      <c r="I355" s="942"/>
      <c r="J355" s="942"/>
      <c r="K355" s="917"/>
      <c r="L355" s="916"/>
      <c r="M355" s="917"/>
      <c r="N355" s="917"/>
      <c r="O355" s="917"/>
      <c r="P355" s="917"/>
      <c r="Q355" s="917"/>
      <c r="R355" s="917"/>
      <c r="S355" s="917"/>
      <c r="T355" s="917"/>
      <c r="U355" s="917"/>
    </row>
    <row r="356" spans="1:21" ht="19.5" x14ac:dyDescent="0.3">
      <c r="A356" s="674"/>
      <c r="B356" s="561"/>
      <c r="C356" s="675" t="s">
        <v>18</v>
      </c>
      <c r="D356" s="676" t="s">
        <v>19</v>
      </c>
      <c r="E356" s="561"/>
      <c r="F356" s="561"/>
      <c r="G356" s="563"/>
      <c r="H356" s="677" t="s">
        <v>14</v>
      </c>
      <c r="I356" s="565"/>
      <c r="J356" s="565"/>
      <c r="K356" s="566"/>
      <c r="L356" s="678">
        <f t="shared" ref="L356:N356" ca="1" si="229">L357+L358</f>
        <v>1013090</v>
      </c>
      <c r="M356" s="679">
        <f t="shared" ca="1" si="229"/>
        <v>1188345</v>
      </c>
      <c r="N356" s="679">
        <f t="shared" ca="1" si="229"/>
        <v>624936</v>
      </c>
      <c r="O356" s="679">
        <f t="shared" ref="O356:O364" ca="1" si="230">IF(L356&gt;0,N356*100/L356,0)</f>
        <v>61.686128576928013</v>
      </c>
      <c r="P356" s="679">
        <f t="shared" ref="P356:P364" ca="1" si="231">IF(M356&gt;0,N356*100/M356,0)</f>
        <v>52.588768413213337</v>
      </c>
      <c r="Q356" s="679">
        <f t="shared" ref="Q356:S356" si="232">Q357+Q358</f>
        <v>0</v>
      </c>
      <c r="R356" s="679">
        <f t="shared" si="232"/>
        <v>0</v>
      </c>
      <c r="S356" s="679">
        <f t="shared" si="232"/>
        <v>0</v>
      </c>
      <c r="T356" s="679">
        <f t="shared" ref="T356:T364" si="233">IF(Q356&gt;0,S356*100/Q356,0)</f>
        <v>0</v>
      </c>
      <c r="U356" s="679">
        <f t="shared" ref="U356:U364" si="234">IF(R356&gt;0,S356*100/R356,0)</f>
        <v>0</v>
      </c>
    </row>
    <row r="357" spans="1:21" ht="18.75" x14ac:dyDescent="0.25">
      <c r="A357" s="674"/>
      <c r="B357" s="561"/>
      <c r="C357" s="561"/>
      <c r="D357" s="561"/>
      <c r="E357" s="569" t="s">
        <v>20</v>
      </c>
      <c r="F357" s="561"/>
      <c r="G357" s="563"/>
      <c r="H357" s="680" t="s">
        <v>14</v>
      </c>
      <c r="I357" s="565"/>
      <c r="J357" s="565"/>
      <c r="K357" s="566"/>
      <c r="L357" s="571">
        <f t="shared" ref="L357:N358" si="235">L360+L363</f>
        <v>0</v>
      </c>
      <c r="M357" s="572">
        <f t="shared" si="235"/>
        <v>0</v>
      </c>
      <c r="N357" s="572">
        <f t="shared" si="235"/>
        <v>0</v>
      </c>
      <c r="O357" s="572">
        <f t="shared" si="230"/>
        <v>0</v>
      </c>
      <c r="P357" s="572">
        <f t="shared" si="231"/>
        <v>0</v>
      </c>
      <c r="Q357" s="572">
        <f t="shared" ref="Q357:S358" si="236">Q360+Q363</f>
        <v>0</v>
      </c>
      <c r="R357" s="572">
        <f t="shared" si="236"/>
        <v>0</v>
      </c>
      <c r="S357" s="572">
        <f t="shared" si="236"/>
        <v>0</v>
      </c>
      <c r="T357" s="572">
        <f t="shared" si="233"/>
        <v>0</v>
      </c>
      <c r="U357" s="572">
        <f t="shared" si="234"/>
        <v>0</v>
      </c>
    </row>
    <row r="358" spans="1:21" ht="18.75" x14ac:dyDescent="0.25">
      <c r="A358" s="674"/>
      <c r="B358" s="561"/>
      <c r="C358" s="561"/>
      <c r="D358" s="561"/>
      <c r="E358" s="573" t="s">
        <v>21</v>
      </c>
      <c r="F358" s="561"/>
      <c r="G358" s="563"/>
      <c r="H358" s="681" t="s">
        <v>14</v>
      </c>
      <c r="I358" s="565"/>
      <c r="J358" s="565"/>
      <c r="K358" s="566"/>
      <c r="L358" s="567">
        <f t="shared" ca="1" si="235"/>
        <v>1013090</v>
      </c>
      <c r="M358" s="568">
        <f t="shared" ca="1" si="235"/>
        <v>1188345</v>
      </c>
      <c r="N358" s="568">
        <f t="shared" ca="1" si="235"/>
        <v>624936</v>
      </c>
      <c r="O358" s="568">
        <f t="shared" ca="1" si="230"/>
        <v>61.686128576928013</v>
      </c>
      <c r="P358" s="568">
        <f t="shared" ca="1" si="231"/>
        <v>52.588768413213337</v>
      </c>
      <c r="Q358" s="568">
        <f t="shared" si="236"/>
        <v>0</v>
      </c>
      <c r="R358" s="568">
        <f t="shared" si="236"/>
        <v>0</v>
      </c>
      <c r="S358" s="568">
        <f t="shared" si="236"/>
        <v>0</v>
      </c>
      <c r="T358" s="568">
        <f t="shared" si="233"/>
        <v>0</v>
      </c>
      <c r="U358" s="568">
        <f t="shared" si="234"/>
        <v>0</v>
      </c>
    </row>
    <row r="359" spans="1:21" ht="18.75" x14ac:dyDescent="0.25">
      <c r="A359" s="674"/>
      <c r="B359" s="561"/>
      <c r="C359" s="561"/>
      <c r="D359" s="562" t="s">
        <v>22</v>
      </c>
      <c r="E359" s="561"/>
      <c r="F359" s="561"/>
      <c r="G359" s="563"/>
      <c r="H359" s="682" t="s">
        <v>14</v>
      </c>
      <c r="I359" s="683"/>
      <c r="J359" s="683"/>
      <c r="K359" s="684"/>
      <c r="L359" s="567">
        <f t="shared" ref="L359:N359" ca="1" si="237">L360+L361</f>
        <v>1013090</v>
      </c>
      <c r="M359" s="568">
        <f t="shared" ca="1" si="237"/>
        <v>1188345</v>
      </c>
      <c r="N359" s="568">
        <f t="shared" ca="1" si="237"/>
        <v>624936</v>
      </c>
      <c r="O359" s="568">
        <f t="shared" ca="1" si="230"/>
        <v>61.686128576928013</v>
      </c>
      <c r="P359" s="568">
        <f t="shared" ca="1" si="231"/>
        <v>52.588768413213337</v>
      </c>
      <c r="Q359" s="568">
        <f t="shared" ref="Q359:S359" si="238">Q360+Q361</f>
        <v>0</v>
      </c>
      <c r="R359" s="568">
        <f t="shared" si="238"/>
        <v>0</v>
      </c>
      <c r="S359" s="568">
        <f t="shared" si="238"/>
        <v>0</v>
      </c>
      <c r="T359" s="568">
        <f t="shared" si="233"/>
        <v>0</v>
      </c>
      <c r="U359" s="568">
        <f t="shared" si="234"/>
        <v>0</v>
      </c>
    </row>
    <row r="360" spans="1:21" ht="18.75" x14ac:dyDescent="0.25">
      <c r="A360" s="674"/>
      <c r="B360" s="561"/>
      <c r="C360" s="561"/>
      <c r="D360" s="561"/>
      <c r="E360" s="569" t="s">
        <v>36</v>
      </c>
      <c r="F360" s="561"/>
      <c r="G360" s="563"/>
      <c r="H360" s="685" t="s">
        <v>14</v>
      </c>
      <c r="I360" s="683"/>
      <c r="J360" s="683"/>
      <c r="K360" s="684"/>
      <c r="L360" s="571">
        <v>0</v>
      </c>
      <c r="M360" s="572">
        <v>0</v>
      </c>
      <c r="N360" s="572">
        <v>0</v>
      </c>
      <c r="O360" s="572">
        <f t="shared" si="230"/>
        <v>0</v>
      </c>
      <c r="P360" s="572">
        <f t="shared" si="231"/>
        <v>0</v>
      </c>
      <c r="Q360" s="572">
        <v>0</v>
      </c>
      <c r="R360" s="572">
        <v>0</v>
      </c>
      <c r="S360" s="572">
        <v>0</v>
      </c>
      <c r="T360" s="572">
        <f t="shared" si="233"/>
        <v>0</v>
      </c>
      <c r="U360" s="572">
        <f t="shared" si="234"/>
        <v>0</v>
      </c>
    </row>
    <row r="361" spans="1:21" ht="18.75" x14ac:dyDescent="0.25">
      <c r="A361" s="674"/>
      <c r="B361" s="561"/>
      <c r="C361" s="561"/>
      <c r="D361" s="561"/>
      <c r="E361" s="573" t="s">
        <v>37</v>
      </c>
      <c r="F361" s="561"/>
      <c r="G361" s="563"/>
      <c r="H361" s="682" t="s">
        <v>14</v>
      </c>
      <c r="I361" s="683"/>
      <c r="J361" s="683"/>
      <c r="K361" s="684"/>
      <c r="L361" s="567">
        <f ca="1">IFERROR(__xludf.DUMMYFUNCTION("IMPORTRANGE(""https://docs.google.com/spreadsheets/d/1-uDff_7J0KD5mKrp0Vvzr7lt3OU09vwQwhkpOPPYv2Y/edit?usp=sharing"",""งบพรบ!FC23"")"),1013090)</f>
        <v>1013090</v>
      </c>
      <c r="M361" s="568">
        <f ca="1">IFERROR(__xludf.DUMMYFUNCTION("IMPORTRANGE(""https://docs.google.com/spreadsheets/d/1-uDff_7J0KD5mKrp0Vvzr7lt3OU09vwQwhkpOPPYv2Y/edit?usp=sharing"",""งบพรบ!FH23"")"),1188345)</f>
        <v>1188345</v>
      </c>
      <c r="N361" s="568">
        <f ca="1">IFERROR(__xludf.DUMMYFUNCTION("IMPORTRANGE(""https://docs.google.com/spreadsheets/d/1-uDff_7J0KD5mKrp0Vvzr7lt3OU09vwQwhkpOPPYv2Y/edit?usp=sharing"",""งบพรบ!FJ23"")"),624936)</f>
        <v>624936</v>
      </c>
      <c r="O361" s="568">
        <f t="shared" ca="1" si="230"/>
        <v>61.686128576928013</v>
      </c>
      <c r="P361" s="568">
        <f t="shared" ca="1" si="231"/>
        <v>52.588768413213337</v>
      </c>
      <c r="Q361" s="568">
        <v>0</v>
      </c>
      <c r="R361" s="568">
        <v>0</v>
      </c>
      <c r="S361" s="568">
        <v>0</v>
      </c>
      <c r="T361" s="568">
        <f t="shared" si="233"/>
        <v>0</v>
      </c>
      <c r="U361" s="568">
        <f t="shared" si="234"/>
        <v>0</v>
      </c>
    </row>
    <row r="362" spans="1:21" ht="18.75" x14ac:dyDescent="0.25">
      <c r="A362" s="674"/>
      <c r="B362" s="561"/>
      <c r="C362" s="561"/>
      <c r="D362" s="562" t="s">
        <v>23</v>
      </c>
      <c r="E362" s="561"/>
      <c r="F362" s="561"/>
      <c r="G362" s="563"/>
      <c r="H362" s="686" t="s">
        <v>14</v>
      </c>
      <c r="I362" s="683"/>
      <c r="J362" s="683"/>
      <c r="K362" s="684"/>
      <c r="L362" s="567">
        <f t="shared" ref="L362:N362" ca="1" si="239">L363+L364</f>
        <v>0</v>
      </c>
      <c r="M362" s="568">
        <f t="shared" ca="1" si="239"/>
        <v>0</v>
      </c>
      <c r="N362" s="568">
        <f t="shared" ca="1" si="239"/>
        <v>0</v>
      </c>
      <c r="O362" s="568">
        <f t="shared" ca="1" si="230"/>
        <v>0</v>
      </c>
      <c r="P362" s="568">
        <f t="shared" ca="1" si="231"/>
        <v>0</v>
      </c>
      <c r="Q362" s="568">
        <f t="shared" ref="Q362:S362" si="240">Q363+Q364</f>
        <v>0</v>
      </c>
      <c r="R362" s="568">
        <f t="shared" si="240"/>
        <v>0</v>
      </c>
      <c r="S362" s="568">
        <f t="shared" si="240"/>
        <v>0</v>
      </c>
      <c r="T362" s="568">
        <f t="shared" si="233"/>
        <v>0</v>
      </c>
      <c r="U362" s="568">
        <f t="shared" si="234"/>
        <v>0</v>
      </c>
    </row>
    <row r="363" spans="1:21" ht="18.75" x14ac:dyDescent="0.25">
      <c r="A363" s="674"/>
      <c r="B363" s="561"/>
      <c r="C363" s="561"/>
      <c r="D363" s="561"/>
      <c r="E363" s="569" t="s">
        <v>20</v>
      </c>
      <c r="F363" s="561"/>
      <c r="G363" s="563"/>
      <c r="H363" s="685" t="s">
        <v>14</v>
      </c>
      <c r="I363" s="683"/>
      <c r="J363" s="683"/>
      <c r="K363" s="684"/>
      <c r="L363" s="571">
        <v>0</v>
      </c>
      <c r="M363" s="572">
        <v>0</v>
      </c>
      <c r="N363" s="572">
        <v>0</v>
      </c>
      <c r="O363" s="572">
        <f t="shared" si="230"/>
        <v>0</v>
      </c>
      <c r="P363" s="572">
        <f t="shared" si="231"/>
        <v>0</v>
      </c>
      <c r="Q363" s="572">
        <v>0</v>
      </c>
      <c r="R363" s="572">
        <v>0</v>
      </c>
      <c r="S363" s="572">
        <v>0</v>
      </c>
      <c r="T363" s="572">
        <f t="shared" si="233"/>
        <v>0</v>
      </c>
      <c r="U363" s="572">
        <f t="shared" si="234"/>
        <v>0</v>
      </c>
    </row>
    <row r="364" spans="1:21" ht="18.75" x14ac:dyDescent="0.25">
      <c r="A364" s="674"/>
      <c r="B364" s="561"/>
      <c r="C364" s="561"/>
      <c r="D364" s="561"/>
      <c r="E364" s="573" t="s">
        <v>21</v>
      </c>
      <c r="F364" s="561"/>
      <c r="G364" s="563"/>
      <c r="H364" s="686" t="s">
        <v>14</v>
      </c>
      <c r="I364" s="683"/>
      <c r="J364" s="683"/>
      <c r="K364" s="684"/>
      <c r="L364" s="567">
        <f ca="1">IFERROR(__xludf.DUMMYFUNCTION("IMPORTRANGE(""https://docs.google.com/spreadsheets/d/1-uDff_7J0KD5mKrp0Vvzr7lt3OU09vwQwhkpOPPYv2Y/edit?usp=sharing"",""งบพรบ!FF23"")"),0)</f>
        <v>0</v>
      </c>
      <c r="M364" s="568">
        <f ca="1">IFERROR(__xludf.DUMMYFUNCTION("IMPORTRANGE(""https://docs.google.com/spreadsheets/d/1-uDff_7J0KD5mKrp0Vvzr7lt3OU09vwQwhkpOPPYv2Y/edit?usp=sharing"",""งบพรบ!FI23"")"),0)</f>
        <v>0</v>
      </c>
      <c r="N364" s="568">
        <f ca="1">IFERROR(__xludf.DUMMYFUNCTION("IMPORTRANGE(""https://docs.google.com/spreadsheets/d/1-uDff_7J0KD5mKrp0Vvzr7lt3OU09vwQwhkpOPPYv2Y/edit?usp=sharing"",""งบพรบ!FK23"")"),0)</f>
        <v>0</v>
      </c>
      <c r="O364" s="568">
        <f t="shared" ca="1" si="230"/>
        <v>0</v>
      </c>
      <c r="P364" s="568">
        <f t="shared" ca="1" si="231"/>
        <v>0</v>
      </c>
      <c r="Q364" s="568">
        <v>0</v>
      </c>
      <c r="R364" s="568">
        <v>0</v>
      </c>
      <c r="S364" s="568">
        <v>0</v>
      </c>
      <c r="T364" s="568">
        <f t="shared" si="233"/>
        <v>0</v>
      </c>
      <c r="U364" s="568">
        <f t="shared" si="234"/>
        <v>0</v>
      </c>
    </row>
    <row r="365" spans="1:21" ht="19.5" x14ac:dyDescent="0.3">
      <c r="A365" s="769"/>
      <c r="B365" s="770"/>
      <c r="C365" s="772"/>
      <c r="D365" s="941" t="s">
        <v>149</v>
      </c>
      <c r="E365" s="772"/>
      <c r="F365" s="772"/>
      <c r="G365" s="773"/>
      <c r="H365" s="782" t="s">
        <v>35</v>
      </c>
      <c r="I365" s="775">
        <f t="shared" ref="I365:J365" ca="1" si="241">I371</f>
        <v>1490</v>
      </c>
      <c r="J365" s="775">
        <f t="shared" ca="1" si="241"/>
        <v>319</v>
      </c>
      <c r="K365" s="776">
        <f ca="1">IF(I365&gt;0,J365*100/I365,0)</f>
        <v>21.409395973154364</v>
      </c>
      <c r="L365" s="777"/>
      <c r="M365" s="778"/>
      <c r="N365" s="778"/>
      <c r="O365" s="778"/>
      <c r="P365" s="778"/>
      <c r="Q365" s="778"/>
      <c r="R365" s="778"/>
      <c r="S365" s="778"/>
      <c r="T365" s="778"/>
      <c r="U365" s="778"/>
    </row>
    <row r="366" spans="1:21" ht="19.5" x14ac:dyDescent="0.3">
      <c r="A366" s="687"/>
      <c r="B366" s="688"/>
      <c r="C366" s="675" t="s">
        <v>18</v>
      </c>
      <c r="D366" s="689" t="s">
        <v>38</v>
      </c>
      <c r="E366" s="690"/>
      <c r="F366" s="690"/>
      <c r="G366" s="691"/>
      <c r="H366" s="692"/>
      <c r="I366" s="565"/>
      <c r="J366" s="565"/>
      <c r="K366" s="566"/>
      <c r="L366" s="693"/>
      <c r="M366" s="684"/>
      <c r="N366" s="684"/>
      <c r="O366" s="684"/>
      <c r="P366" s="684"/>
      <c r="Q366" s="684"/>
      <c r="R366" s="684"/>
      <c r="S366" s="684"/>
      <c r="T366" s="684"/>
      <c r="U366" s="684"/>
    </row>
    <row r="367" spans="1:21" ht="18.75" x14ac:dyDescent="0.25">
      <c r="A367" s="687"/>
      <c r="B367" s="695"/>
      <c r="C367" s="688"/>
      <c r="D367" s="695"/>
      <c r="E367" s="694" t="s">
        <v>150</v>
      </c>
      <c r="F367" s="695"/>
      <c r="G367" s="692"/>
      <c r="H367" s="704" t="s">
        <v>35</v>
      </c>
      <c r="I367" s="708">
        <v>0</v>
      </c>
      <c r="J367" s="708">
        <f ca="1">IFERROR(__xludf.DUMMYFUNCTION("IMPORTRANGE(""https://docs.google.com/spreadsheets/d/1tdoBKaGub7dwA3U6UFTqxio9LNnvDCQjHKmttSEBsFQ/edit?usp=sharing"",""จัดที่ดิน!AB23"")"),308)</f>
        <v>308</v>
      </c>
      <c r="K367" s="568">
        <f t="shared" ref="K367:K372" si="242">IF(I367&gt;0,J367*100/I367,0)</f>
        <v>0</v>
      </c>
      <c r="L367" s="693"/>
      <c r="M367" s="684"/>
      <c r="N367" s="684"/>
      <c r="O367" s="684"/>
      <c r="P367" s="684"/>
      <c r="Q367" s="684"/>
      <c r="R367" s="684"/>
      <c r="S367" s="684"/>
      <c r="T367" s="684"/>
      <c r="U367" s="684"/>
    </row>
    <row r="368" spans="1:21" ht="18.75" x14ac:dyDescent="0.25">
      <c r="A368" s="687"/>
      <c r="B368" s="695"/>
      <c r="C368" s="688"/>
      <c r="D368" s="695"/>
      <c r="E368" s="695"/>
      <c r="F368" s="695"/>
      <c r="G368" s="692"/>
      <c r="H368" s="704" t="s">
        <v>46</v>
      </c>
      <c r="I368" s="708">
        <f ca="1">IFERROR(__xludf.DUMMYFUNCTION("IMPORTRANGE(""https://docs.google.com/spreadsheets/d/1eHaY18a8A9IcSdp1K8H6x8fbOy06t2VsZHhMHf-1x7Y/edit?usp=sharing"",""แผน!EW23"")"),4500)</f>
        <v>4500</v>
      </c>
      <c r="J368" s="943">
        <f ca="1">IFERROR(__xludf.DUMMYFUNCTION("IMPORTRANGE(""https://docs.google.com/spreadsheets/d/1tdoBKaGub7dwA3U6UFTqxio9LNnvDCQjHKmttSEBsFQ/edit?usp=sharing"",""จัดที่ดิน!AC23"")"),3654.12)</f>
        <v>3654.12</v>
      </c>
      <c r="K368" s="568">
        <f t="shared" ca="1" si="242"/>
        <v>81.202666666666673</v>
      </c>
      <c r="L368" s="693"/>
      <c r="M368" s="684"/>
      <c r="N368" s="684"/>
      <c r="O368" s="684"/>
      <c r="P368" s="684"/>
      <c r="Q368" s="684"/>
      <c r="R368" s="684"/>
      <c r="S368" s="684"/>
      <c r="T368" s="684"/>
      <c r="U368" s="684"/>
    </row>
    <row r="369" spans="1:21" ht="18.75" x14ac:dyDescent="0.25">
      <c r="A369" s="687"/>
      <c r="B369" s="695"/>
      <c r="C369" s="688"/>
      <c r="D369" s="695"/>
      <c r="E369" s="694" t="s">
        <v>151</v>
      </c>
      <c r="F369" s="695"/>
      <c r="G369" s="692"/>
      <c r="H369" s="700" t="s">
        <v>35</v>
      </c>
      <c r="I369" s="708">
        <f ca="1">IFERROR(__xludf.DUMMYFUNCTION("IMPORTRANGE(""https://docs.google.com/spreadsheets/d/1eHaY18a8A9IcSdp1K8H6x8fbOy06t2VsZHhMHf-1x7Y/edit?usp=sharing"",""แผน!EX23"")"),1490)</f>
        <v>1490</v>
      </c>
      <c r="J369" s="708">
        <f ca="1">IFERROR(__xludf.DUMMYFUNCTION("IMPORTRANGE(""https://docs.google.com/spreadsheets/d/1tdoBKaGub7dwA3U6UFTqxio9LNnvDCQjHKmttSEBsFQ/edit?usp=sharing"",""จัดที่ดิน!AD23"")"),525)</f>
        <v>525</v>
      </c>
      <c r="K369" s="568">
        <f t="shared" ca="1" si="242"/>
        <v>35.234899328859058</v>
      </c>
      <c r="L369" s="693"/>
      <c r="M369" s="684"/>
      <c r="N369" s="684"/>
      <c r="O369" s="684"/>
      <c r="P369" s="684"/>
      <c r="Q369" s="684"/>
      <c r="R369" s="684"/>
      <c r="S369" s="684"/>
      <c r="T369" s="684"/>
      <c r="U369" s="684"/>
    </row>
    <row r="370" spans="1:21" ht="18.75" x14ac:dyDescent="0.25">
      <c r="A370" s="687"/>
      <c r="B370" s="695"/>
      <c r="C370" s="688"/>
      <c r="D370" s="695"/>
      <c r="E370" s="695"/>
      <c r="F370" s="695"/>
      <c r="G370" s="692"/>
      <c r="H370" s="700" t="s">
        <v>46</v>
      </c>
      <c r="I370" s="708">
        <v>0</v>
      </c>
      <c r="J370" s="943">
        <f ca="1">IFERROR(__xludf.DUMMYFUNCTION("IMPORTRANGE(""https://docs.google.com/spreadsheets/d/1tdoBKaGub7dwA3U6UFTqxio9LNnvDCQjHKmttSEBsFQ/edit?usp=sharing"",""จัดที่ดิน!AE23"")"),8332.75)</f>
        <v>8332.75</v>
      </c>
      <c r="K370" s="568">
        <f t="shared" si="242"/>
        <v>0</v>
      </c>
      <c r="L370" s="693"/>
      <c r="M370" s="684"/>
      <c r="N370" s="684"/>
      <c r="O370" s="684"/>
      <c r="P370" s="684"/>
      <c r="Q370" s="684"/>
      <c r="R370" s="684"/>
      <c r="S370" s="684"/>
      <c r="T370" s="684"/>
      <c r="U370" s="684"/>
    </row>
    <row r="371" spans="1:21" ht="18.75" x14ac:dyDescent="0.25">
      <c r="A371" s="687"/>
      <c r="B371" s="695"/>
      <c r="C371" s="688"/>
      <c r="D371" s="695"/>
      <c r="E371" s="944" t="s">
        <v>152</v>
      </c>
      <c r="F371" s="695"/>
      <c r="G371" s="692"/>
      <c r="H371" s="700" t="s">
        <v>35</v>
      </c>
      <c r="I371" s="708">
        <f ca="1">IFERROR(__xludf.DUMMYFUNCTION("IMPORTRANGE(""https://docs.google.com/spreadsheets/d/1eHaY18a8A9IcSdp1K8H6x8fbOy06t2VsZHhMHf-1x7Y/edit?usp=sharing"",""แผน!EY23"")"),1490)</f>
        <v>1490</v>
      </c>
      <c r="J371" s="708">
        <f ca="1">IFERROR(__xludf.DUMMYFUNCTION("IMPORTRANGE(""https://docs.google.com/spreadsheets/d/1tdoBKaGub7dwA3U6UFTqxio9LNnvDCQjHKmttSEBsFQ/edit?usp=sharing"",""จัดที่ดิน!AF23"")"),319)</f>
        <v>319</v>
      </c>
      <c r="K371" s="568">
        <f t="shared" ca="1" si="242"/>
        <v>21.409395973154364</v>
      </c>
      <c r="L371" s="693"/>
      <c r="M371" s="684"/>
      <c r="N371" s="684"/>
      <c r="O371" s="684"/>
      <c r="P371" s="684"/>
      <c r="Q371" s="684"/>
      <c r="R371" s="684"/>
      <c r="S371" s="684"/>
      <c r="T371" s="684"/>
      <c r="U371" s="684"/>
    </row>
    <row r="372" spans="1:21" ht="18.75" x14ac:dyDescent="0.25">
      <c r="A372" s="687"/>
      <c r="B372" s="695"/>
      <c r="C372" s="688"/>
      <c r="D372" s="695"/>
      <c r="E372" s="695"/>
      <c r="F372" s="695"/>
      <c r="G372" s="692"/>
      <c r="H372" s="700" t="s">
        <v>46</v>
      </c>
      <c r="I372" s="708">
        <v>0</v>
      </c>
      <c r="J372" s="943">
        <f ca="1">IFERROR(__xludf.DUMMYFUNCTION("IMPORTRANGE(""https://docs.google.com/spreadsheets/d/1tdoBKaGub7dwA3U6UFTqxio9LNnvDCQjHKmttSEBsFQ/edit?usp=sharing"",""จัดที่ดิน!AG23"")"),5749.33)</f>
        <v>5749.33</v>
      </c>
      <c r="K372" s="568">
        <f t="shared" si="242"/>
        <v>0</v>
      </c>
      <c r="L372" s="693"/>
      <c r="M372" s="684"/>
      <c r="N372" s="684"/>
      <c r="O372" s="684"/>
      <c r="P372" s="684"/>
      <c r="Q372" s="684"/>
      <c r="R372" s="684"/>
      <c r="S372" s="684"/>
      <c r="T372" s="684"/>
      <c r="U372" s="684"/>
    </row>
    <row r="373" spans="1:21" ht="16.5" x14ac:dyDescent="0.25">
      <c r="A373" s="514"/>
      <c r="B373" s="513"/>
      <c r="C373" s="514"/>
      <c r="D373" s="9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513"/>
      <c r="F373" s="513"/>
      <c r="G373" s="577"/>
      <c r="H373" s="577"/>
      <c r="I373" s="579"/>
      <c r="J373" s="579"/>
      <c r="K373" s="580"/>
      <c r="L373" s="581"/>
      <c r="M373" s="580"/>
      <c r="N373" s="580"/>
      <c r="O373" s="580"/>
      <c r="P373" s="580"/>
      <c r="Q373" s="580"/>
      <c r="R373" s="580"/>
      <c r="S373" s="580"/>
      <c r="T373" s="580"/>
      <c r="U373" s="580"/>
    </row>
    <row r="374" spans="1:21" ht="19.5" hidden="1" x14ac:dyDescent="0.3">
      <c r="A374" s="946"/>
      <c r="B374" s="947" t="s">
        <v>153</v>
      </c>
      <c r="C374" s="948"/>
      <c r="D374" s="949"/>
      <c r="E374" s="950"/>
      <c r="F374" s="950"/>
      <c r="G374" s="951"/>
      <c r="H374" s="952" t="s">
        <v>46</v>
      </c>
      <c r="I374" s="953">
        <f t="shared" ref="I374:J374" ca="1" si="243">I385</f>
        <v>0</v>
      </c>
      <c r="J374" s="953">
        <f t="shared" si="243"/>
        <v>0</v>
      </c>
      <c r="K374" s="954">
        <f ca="1">IF(I374&gt;0,J374*100/I374,0)</f>
        <v>0</v>
      </c>
      <c r="L374" s="916"/>
      <c r="M374" s="917"/>
      <c r="N374" s="917"/>
      <c r="O374" s="917"/>
      <c r="P374" s="917"/>
      <c r="Q374" s="917"/>
      <c r="R374" s="917"/>
      <c r="S374" s="917"/>
      <c r="T374" s="917"/>
      <c r="U374" s="917"/>
    </row>
    <row r="375" spans="1:21" ht="19.5" hidden="1" x14ac:dyDescent="0.3">
      <c r="A375" s="674"/>
      <c r="B375" s="718"/>
      <c r="C375" s="719" t="s">
        <v>18</v>
      </c>
      <c r="D375" s="955" t="s">
        <v>19</v>
      </c>
      <c r="E375" s="561"/>
      <c r="F375" s="561"/>
      <c r="G375" s="563"/>
      <c r="H375" s="677" t="s">
        <v>14</v>
      </c>
      <c r="I375" s="565"/>
      <c r="J375" s="565"/>
      <c r="K375" s="566"/>
      <c r="L375" s="678">
        <f t="shared" ref="L375:N375" ca="1" si="244">L376+L377</f>
        <v>0</v>
      </c>
      <c r="M375" s="679">
        <f t="shared" ca="1" si="244"/>
        <v>0</v>
      </c>
      <c r="N375" s="679">
        <f t="shared" ca="1" si="244"/>
        <v>0</v>
      </c>
      <c r="O375" s="679">
        <f t="shared" ref="O375:O383" ca="1" si="245">IF(L375&gt;0,N375*100/L375,0)</f>
        <v>0</v>
      </c>
      <c r="P375" s="679">
        <f t="shared" ref="P375:P383" ca="1" si="246">IF(M375&gt;0,N375*100/M375,0)</f>
        <v>0</v>
      </c>
      <c r="Q375" s="679">
        <f t="shared" ref="Q375:S375" ca="1" si="247">Q376+Q377</f>
        <v>0</v>
      </c>
      <c r="R375" s="679">
        <f t="shared" ca="1" si="247"/>
        <v>0</v>
      </c>
      <c r="S375" s="679">
        <f t="shared" ca="1" si="247"/>
        <v>0</v>
      </c>
      <c r="T375" s="679">
        <f t="shared" ref="T375:T383" ca="1" si="248">IF(Q375&gt;0,S375*100/Q375,0)</f>
        <v>0</v>
      </c>
      <c r="U375" s="679">
        <f t="shared" ref="U375:U383" ca="1" si="249">IF(R375&gt;0,S375*100/R375,0)</f>
        <v>0</v>
      </c>
    </row>
    <row r="376" spans="1:21" ht="18.75" hidden="1" x14ac:dyDescent="0.25">
      <c r="A376" s="674"/>
      <c r="B376" s="718"/>
      <c r="C376" s="718"/>
      <c r="D376" s="718"/>
      <c r="E376" s="569" t="s">
        <v>20</v>
      </c>
      <c r="F376" s="561"/>
      <c r="G376" s="563"/>
      <c r="H376" s="680" t="s">
        <v>14</v>
      </c>
      <c r="I376" s="565"/>
      <c r="J376" s="565"/>
      <c r="K376" s="566"/>
      <c r="L376" s="571">
        <f t="shared" ref="L376:N377" si="250">L379+L382</f>
        <v>0</v>
      </c>
      <c r="M376" s="572">
        <f t="shared" si="250"/>
        <v>0</v>
      </c>
      <c r="N376" s="572">
        <f t="shared" si="250"/>
        <v>0</v>
      </c>
      <c r="O376" s="572">
        <f t="shared" si="245"/>
        <v>0</v>
      </c>
      <c r="P376" s="572">
        <f t="shared" si="246"/>
        <v>0</v>
      </c>
      <c r="Q376" s="572">
        <f t="shared" ref="Q376:S377" si="251">Q379+Q382</f>
        <v>0</v>
      </c>
      <c r="R376" s="572">
        <f t="shared" si="251"/>
        <v>0</v>
      </c>
      <c r="S376" s="572">
        <f t="shared" si="251"/>
        <v>0</v>
      </c>
      <c r="T376" s="572">
        <f t="shared" si="248"/>
        <v>0</v>
      </c>
      <c r="U376" s="572">
        <f t="shared" si="249"/>
        <v>0</v>
      </c>
    </row>
    <row r="377" spans="1:21" ht="18.75" hidden="1" x14ac:dyDescent="0.25">
      <c r="A377" s="674"/>
      <c r="B377" s="718"/>
      <c r="C377" s="718"/>
      <c r="D377" s="718"/>
      <c r="E377" s="573" t="s">
        <v>21</v>
      </c>
      <c r="F377" s="561"/>
      <c r="G377" s="563"/>
      <c r="H377" s="681" t="s">
        <v>14</v>
      </c>
      <c r="I377" s="565"/>
      <c r="J377" s="565"/>
      <c r="K377" s="566"/>
      <c r="L377" s="567">
        <f t="shared" ca="1" si="250"/>
        <v>0</v>
      </c>
      <c r="M377" s="568">
        <f t="shared" ca="1" si="250"/>
        <v>0</v>
      </c>
      <c r="N377" s="568">
        <f t="shared" ca="1" si="250"/>
        <v>0</v>
      </c>
      <c r="O377" s="568">
        <f t="shared" ca="1" si="245"/>
        <v>0</v>
      </c>
      <c r="P377" s="568">
        <f t="shared" ca="1" si="246"/>
        <v>0</v>
      </c>
      <c r="Q377" s="568">
        <f t="shared" ca="1" si="251"/>
        <v>0</v>
      </c>
      <c r="R377" s="568">
        <f t="shared" ca="1" si="251"/>
        <v>0</v>
      </c>
      <c r="S377" s="568">
        <f t="shared" ca="1" si="251"/>
        <v>0</v>
      </c>
      <c r="T377" s="568">
        <f t="shared" ca="1" si="248"/>
        <v>0</v>
      </c>
      <c r="U377" s="568">
        <f t="shared" ca="1" si="249"/>
        <v>0</v>
      </c>
    </row>
    <row r="378" spans="1:21" ht="18.75" hidden="1" x14ac:dyDescent="0.25">
      <c r="A378" s="674"/>
      <c r="B378" s="718"/>
      <c r="C378" s="718"/>
      <c r="D378" s="721" t="s">
        <v>22</v>
      </c>
      <c r="E378" s="561"/>
      <c r="F378" s="561"/>
      <c r="G378" s="563"/>
      <c r="H378" s="682" t="s">
        <v>14</v>
      </c>
      <c r="I378" s="683"/>
      <c r="J378" s="683"/>
      <c r="K378" s="684"/>
      <c r="L378" s="567">
        <f t="shared" ref="L378:N378" ca="1" si="252">L379+L380</f>
        <v>0</v>
      </c>
      <c r="M378" s="568">
        <f t="shared" ca="1" si="252"/>
        <v>0</v>
      </c>
      <c r="N378" s="568">
        <f t="shared" ca="1" si="252"/>
        <v>0</v>
      </c>
      <c r="O378" s="568">
        <f t="shared" ca="1" si="245"/>
        <v>0</v>
      </c>
      <c r="P378" s="568">
        <f t="shared" ca="1" si="246"/>
        <v>0</v>
      </c>
      <c r="Q378" s="568">
        <f t="shared" ref="Q378:S378" ca="1" si="253">Q379+Q380</f>
        <v>0</v>
      </c>
      <c r="R378" s="568">
        <f t="shared" ca="1" si="253"/>
        <v>0</v>
      </c>
      <c r="S378" s="568">
        <f t="shared" ca="1" si="253"/>
        <v>0</v>
      </c>
      <c r="T378" s="568">
        <f t="shared" ca="1" si="248"/>
        <v>0</v>
      </c>
      <c r="U378" s="568">
        <f t="shared" ca="1" si="249"/>
        <v>0</v>
      </c>
    </row>
    <row r="379" spans="1:21" ht="18.75" hidden="1" x14ac:dyDescent="0.25">
      <c r="A379" s="674"/>
      <c r="B379" s="718"/>
      <c r="C379" s="718"/>
      <c r="D379" s="718"/>
      <c r="E379" s="569" t="s">
        <v>36</v>
      </c>
      <c r="F379" s="561"/>
      <c r="G379" s="563"/>
      <c r="H379" s="685" t="s">
        <v>14</v>
      </c>
      <c r="I379" s="683"/>
      <c r="J379" s="683"/>
      <c r="K379" s="684"/>
      <c r="L379" s="571">
        <v>0</v>
      </c>
      <c r="M379" s="572">
        <v>0</v>
      </c>
      <c r="N379" s="572">
        <v>0</v>
      </c>
      <c r="O379" s="572">
        <f t="shared" si="245"/>
        <v>0</v>
      </c>
      <c r="P379" s="572">
        <f t="shared" si="246"/>
        <v>0</v>
      </c>
      <c r="Q379" s="572">
        <v>0</v>
      </c>
      <c r="R379" s="572">
        <v>0</v>
      </c>
      <c r="S379" s="572">
        <v>0</v>
      </c>
      <c r="T379" s="572">
        <f t="shared" si="248"/>
        <v>0</v>
      </c>
      <c r="U379" s="572">
        <f t="shared" si="249"/>
        <v>0</v>
      </c>
    </row>
    <row r="380" spans="1:21" ht="18.75" hidden="1" x14ac:dyDescent="0.25">
      <c r="A380" s="674"/>
      <c r="B380" s="718"/>
      <c r="C380" s="718"/>
      <c r="D380" s="718"/>
      <c r="E380" s="765" t="s">
        <v>37</v>
      </c>
      <c r="F380" s="718"/>
      <c r="G380" s="727"/>
      <c r="H380" s="682" t="s">
        <v>14</v>
      </c>
      <c r="I380" s="683"/>
      <c r="J380" s="683"/>
      <c r="K380" s="684"/>
      <c r="L380" s="567">
        <f ca="1">IFERROR(__xludf.DUMMYFUNCTION("IMPORTRANGE(""https://docs.google.com/spreadsheets/d/1-uDff_7J0KD5mKrp0Vvzr7lt3OU09vwQwhkpOPPYv2Y/edit?usp=sharing"",""งบพรบ!IE23"")"),0)</f>
        <v>0</v>
      </c>
      <c r="M380" s="568">
        <f ca="1">IFERROR(__xludf.DUMMYFUNCTION("IMPORTRANGE(""https://docs.google.com/spreadsheets/d/1-uDff_7J0KD5mKrp0Vvzr7lt3OU09vwQwhkpOPPYv2Y/edit?usp=sharing"",""งบพรบ!IJ23"")"),0)</f>
        <v>0</v>
      </c>
      <c r="N380" s="568">
        <f ca="1">IFERROR(__xludf.DUMMYFUNCTION("IMPORTRANGE(""https://docs.google.com/spreadsheets/d/1-uDff_7J0KD5mKrp0Vvzr7lt3OU09vwQwhkpOPPYv2Y/edit?usp=sharing"",""งบพรบ!IL23"")"),0)</f>
        <v>0</v>
      </c>
      <c r="O380" s="568">
        <f t="shared" ca="1" si="245"/>
        <v>0</v>
      </c>
      <c r="P380" s="568">
        <f t="shared" ca="1" si="246"/>
        <v>0</v>
      </c>
      <c r="Q380" s="568">
        <f ca="1">IFERROR(__xludf.DUMMYFUNCTION("IMPORTRANGE(""https://docs.google.com/spreadsheets/d/1ItG2mGa2ceCfYo0BwxsXqNm01IGEUdYcSSLTEv9YCik/edit?usp=sharing"",""เบิกจ่ายกองทุน!BW23"")"),0)</f>
        <v>0</v>
      </c>
      <c r="R380" s="568">
        <f ca="1">IFERROR(__xludf.DUMMYFUNCTION("IMPORTRANGE(""https://docs.google.com/spreadsheets/d/1ItG2mGa2ceCfYo0BwxsXqNm01IGEUdYcSSLTEv9YCik/edit?usp=sharing"",""เบิกจ่ายกองทุน!BX23"")"),0)</f>
        <v>0</v>
      </c>
      <c r="S380" s="568">
        <f ca="1">IFERROR(__xludf.DUMMYFUNCTION("IMPORTRANGE(""https://docs.google.com/spreadsheets/d/1ItG2mGa2ceCfYo0BwxsXqNm01IGEUdYcSSLTEv9YCik/edit?usp=sharing"",""เบิกจ่ายกองทุน!BY23"")"),0)</f>
        <v>0</v>
      </c>
      <c r="T380" s="568">
        <f t="shared" ca="1" si="248"/>
        <v>0</v>
      </c>
      <c r="U380" s="568">
        <f t="shared" ca="1" si="249"/>
        <v>0</v>
      </c>
    </row>
    <row r="381" spans="1:21" ht="18.75" hidden="1" x14ac:dyDescent="0.25">
      <c r="A381" s="674"/>
      <c r="B381" s="718"/>
      <c r="C381" s="718"/>
      <c r="D381" s="721" t="s">
        <v>23</v>
      </c>
      <c r="E381" s="561"/>
      <c r="F381" s="561"/>
      <c r="G381" s="563"/>
      <c r="H381" s="686" t="s">
        <v>14</v>
      </c>
      <c r="I381" s="683"/>
      <c r="J381" s="683"/>
      <c r="K381" s="684"/>
      <c r="L381" s="567">
        <f t="shared" ref="L381:N381" ca="1" si="254">L382+L383</f>
        <v>0</v>
      </c>
      <c r="M381" s="568">
        <f t="shared" ca="1" si="254"/>
        <v>0</v>
      </c>
      <c r="N381" s="568">
        <f t="shared" ca="1" si="254"/>
        <v>0</v>
      </c>
      <c r="O381" s="568">
        <f t="shared" ca="1" si="245"/>
        <v>0</v>
      </c>
      <c r="P381" s="568">
        <f t="shared" ca="1" si="246"/>
        <v>0</v>
      </c>
      <c r="Q381" s="568">
        <f t="shared" ref="Q381:S381" si="255">Q382+Q383</f>
        <v>0</v>
      </c>
      <c r="R381" s="568">
        <f t="shared" si="255"/>
        <v>0</v>
      </c>
      <c r="S381" s="568">
        <f t="shared" si="255"/>
        <v>0</v>
      </c>
      <c r="T381" s="568">
        <f t="shared" si="248"/>
        <v>0</v>
      </c>
      <c r="U381" s="568">
        <f t="shared" si="249"/>
        <v>0</v>
      </c>
    </row>
    <row r="382" spans="1:21" ht="18.75" hidden="1" x14ac:dyDescent="0.25">
      <c r="A382" s="674"/>
      <c r="B382" s="718"/>
      <c r="C382" s="718"/>
      <c r="D382" s="718"/>
      <c r="E382" s="569" t="s">
        <v>20</v>
      </c>
      <c r="F382" s="561"/>
      <c r="G382" s="563"/>
      <c r="H382" s="685" t="s">
        <v>14</v>
      </c>
      <c r="I382" s="683"/>
      <c r="J382" s="683"/>
      <c r="K382" s="684"/>
      <c r="L382" s="571">
        <v>0</v>
      </c>
      <c r="M382" s="572">
        <v>0</v>
      </c>
      <c r="N382" s="572">
        <v>0</v>
      </c>
      <c r="O382" s="572">
        <f t="shared" si="245"/>
        <v>0</v>
      </c>
      <c r="P382" s="572">
        <f t="shared" si="246"/>
        <v>0</v>
      </c>
      <c r="Q382" s="572">
        <v>0</v>
      </c>
      <c r="R382" s="572">
        <v>0</v>
      </c>
      <c r="S382" s="572">
        <v>0</v>
      </c>
      <c r="T382" s="572">
        <f t="shared" si="248"/>
        <v>0</v>
      </c>
      <c r="U382" s="572">
        <f t="shared" si="249"/>
        <v>0</v>
      </c>
    </row>
    <row r="383" spans="1:21" ht="18.75" hidden="1" x14ac:dyDescent="0.25">
      <c r="A383" s="674"/>
      <c r="B383" s="718"/>
      <c r="C383" s="718"/>
      <c r="D383" s="718"/>
      <c r="E383" s="573" t="s">
        <v>21</v>
      </c>
      <c r="F383" s="561"/>
      <c r="G383" s="563"/>
      <c r="H383" s="686" t="s">
        <v>14</v>
      </c>
      <c r="I383" s="683"/>
      <c r="J383" s="683"/>
      <c r="K383" s="684"/>
      <c r="L383" s="567">
        <f ca="1">IFERROR(__xludf.DUMMYFUNCTION("IMPORTRANGE(""https://docs.google.com/spreadsheets/d/1-uDff_7J0KD5mKrp0Vvzr7lt3OU09vwQwhkpOPPYv2Y/edit?usp=sharing"",""งบพรบ!IH23"")"),0)</f>
        <v>0</v>
      </c>
      <c r="M383" s="568">
        <f ca="1">IFERROR(__xludf.DUMMYFUNCTION("IMPORTRANGE(""https://docs.google.com/spreadsheets/d/1-uDff_7J0KD5mKrp0Vvzr7lt3OU09vwQwhkpOPPYv2Y/edit?usp=sharing"",""งบพรบ!IK23"")"),0)</f>
        <v>0</v>
      </c>
      <c r="N383" s="568">
        <f ca="1">IFERROR(__xludf.DUMMYFUNCTION("IMPORTRANGE(""https://docs.google.com/spreadsheets/d/1-uDff_7J0KD5mKrp0Vvzr7lt3OU09vwQwhkpOPPYv2Y/edit?usp=sharing"",""งบพรบ!IM23"")"),0)</f>
        <v>0</v>
      </c>
      <c r="O383" s="568">
        <f t="shared" ca="1" si="245"/>
        <v>0</v>
      </c>
      <c r="P383" s="568">
        <f t="shared" ca="1" si="246"/>
        <v>0</v>
      </c>
      <c r="Q383" s="568">
        <v>0</v>
      </c>
      <c r="R383" s="568">
        <v>0</v>
      </c>
      <c r="S383" s="568">
        <v>0</v>
      </c>
      <c r="T383" s="568">
        <f t="shared" si="248"/>
        <v>0</v>
      </c>
      <c r="U383" s="568">
        <f t="shared" si="249"/>
        <v>0</v>
      </c>
    </row>
    <row r="384" spans="1:21" ht="19.5" hidden="1" x14ac:dyDescent="0.3">
      <c r="A384" s="687"/>
      <c r="B384" s="688"/>
      <c r="C384" s="719" t="s">
        <v>18</v>
      </c>
      <c r="D384" s="956" t="s">
        <v>38</v>
      </c>
      <c r="E384" s="690"/>
      <c r="F384" s="690"/>
      <c r="G384" s="691"/>
      <c r="H384" s="725"/>
      <c r="I384" s="683"/>
      <c r="J384" s="565"/>
      <c r="K384" s="566"/>
      <c r="L384" s="574"/>
      <c r="M384" s="566"/>
      <c r="N384" s="566"/>
      <c r="O384" s="684"/>
      <c r="P384" s="684"/>
      <c r="Q384" s="566"/>
      <c r="R384" s="566"/>
      <c r="S384" s="566"/>
      <c r="T384" s="684"/>
      <c r="U384" s="684"/>
    </row>
    <row r="385" spans="1:21" ht="18.75" hidden="1" x14ac:dyDescent="0.25">
      <c r="A385" s="764"/>
      <c r="B385" s="718"/>
      <c r="C385" s="718"/>
      <c r="D385" s="718"/>
      <c r="E385" s="573" t="s">
        <v>154</v>
      </c>
      <c r="F385" s="561"/>
      <c r="G385" s="563"/>
      <c r="H385" s="681" t="s">
        <v>34</v>
      </c>
      <c r="I385" s="708">
        <f ca="1">IFERROR(__xludf.DUMMYFUNCTION("IMPORTRANGE(""https://docs.google.com/spreadsheets/d/1eHaY18a8A9IcSdp1K8H6x8fbOy06t2VsZHhMHf-1x7Y/edit?usp=sharing"",""แผน!JQ23"")"),0)</f>
        <v>0</v>
      </c>
      <c r="J385" s="708">
        <v>0</v>
      </c>
      <c r="K385" s="568">
        <f t="shared" ref="K385:K388" ca="1" si="256">IF(I385&gt;0,J385*100/I385,0)</f>
        <v>0</v>
      </c>
      <c r="L385" s="574"/>
      <c r="M385" s="566"/>
      <c r="N385" s="566"/>
      <c r="O385" s="566"/>
      <c r="P385" s="566"/>
      <c r="Q385" s="566"/>
      <c r="R385" s="566"/>
      <c r="S385" s="566"/>
      <c r="T385" s="566"/>
      <c r="U385" s="566"/>
    </row>
    <row r="386" spans="1:21" ht="18.75" hidden="1" x14ac:dyDescent="0.25">
      <c r="A386" s="718"/>
      <c r="B386" s="718"/>
      <c r="C386" s="718"/>
      <c r="D386" s="718"/>
      <c r="E386" s="718"/>
      <c r="F386" s="718"/>
      <c r="G386" s="727"/>
      <c r="H386" s="681" t="s">
        <v>46</v>
      </c>
      <c r="I386" s="708">
        <f ca="1">IFERROR(__xludf.DUMMYFUNCTION("IMPORTRANGE(""https://docs.google.com/spreadsheets/d/1eHaY18a8A9IcSdp1K8H6x8fbOy06t2VsZHhMHf-1x7Y/edit?usp=sharing"",""แผน!JQ23"")"),0)</f>
        <v>0</v>
      </c>
      <c r="J386" s="708">
        <v>0</v>
      </c>
      <c r="K386" s="568">
        <f t="shared" ca="1" si="256"/>
        <v>0</v>
      </c>
      <c r="L386" s="574"/>
      <c r="M386" s="566"/>
      <c r="N386" s="566"/>
      <c r="O386" s="566"/>
      <c r="P386" s="566"/>
      <c r="Q386" s="566"/>
      <c r="R386" s="566"/>
      <c r="S386" s="566"/>
      <c r="T386" s="566"/>
      <c r="U386" s="566"/>
    </row>
    <row r="387" spans="1:21" ht="18.75" hidden="1" x14ac:dyDescent="0.25">
      <c r="A387" s="718"/>
      <c r="B387" s="718"/>
      <c r="C387" s="718"/>
      <c r="D387" s="718"/>
      <c r="E387" s="767" t="s">
        <v>155</v>
      </c>
      <c r="F387" s="718"/>
      <c r="G387" s="727"/>
      <c r="H387" s="680" t="s">
        <v>34</v>
      </c>
      <c r="I387" s="735">
        <v>0</v>
      </c>
      <c r="J387" s="735">
        <v>0</v>
      </c>
      <c r="K387" s="572">
        <f t="shared" si="256"/>
        <v>0</v>
      </c>
      <c r="L387" s="574"/>
      <c r="M387" s="566"/>
      <c r="N387" s="566"/>
      <c r="O387" s="566"/>
      <c r="P387" s="566"/>
      <c r="Q387" s="566"/>
      <c r="R387" s="566"/>
      <c r="S387" s="566"/>
      <c r="T387" s="566"/>
      <c r="U387" s="566"/>
    </row>
    <row r="388" spans="1:21" ht="18.75" hidden="1" x14ac:dyDescent="0.25">
      <c r="A388" s="718"/>
      <c r="B388" s="718"/>
      <c r="C388" s="718"/>
      <c r="D388" s="718"/>
      <c r="E388" s="718"/>
      <c r="F388" s="718"/>
      <c r="G388" s="727"/>
      <c r="H388" s="680" t="s">
        <v>46</v>
      </c>
      <c r="I388" s="735">
        <v>0</v>
      </c>
      <c r="J388" s="735">
        <v>0</v>
      </c>
      <c r="K388" s="572">
        <f t="shared" si="256"/>
        <v>0</v>
      </c>
      <c r="L388" s="574"/>
      <c r="M388" s="566"/>
      <c r="N388" s="566"/>
      <c r="O388" s="566"/>
      <c r="P388" s="566"/>
      <c r="Q388" s="566"/>
      <c r="R388" s="566"/>
      <c r="S388" s="566"/>
      <c r="T388" s="566"/>
      <c r="U388" s="566"/>
    </row>
    <row r="389" spans="1:21" ht="12.75" hidden="1" x14ac:dyDescent="0.2">
      <c r="A389" s="961"/>
      <c r="B389" s="961"/>
      <c r="C389" s="961"/>
      <c r="D389" s="961"/>
      <c r="E389" s="961"/>
      <c r="F389" s="961"/>
      <c r="G389" s="962"/>
      <c r="H389" s="962"/>
      <c r="I389" s="963"/>
      <c r="J389" s="963"/>
      <c r="K389" s="964"/>
      <c r="L389" s="965"/>
      <c r="M389" s="964"/>
      <c r="N389" s="964"/>
      <c r="O389" s="964"/>
      <c r="P389" s="964"/>
      <c r="Q389" s="964"/>
      <c r="R389" s="964"/>
      <c r="S389" s="964"/>
      <c r="T389" s="964"/>
      <c r="U389" s="964"/>
    </row>
    <row r="390" spans="1:21" ht="12.75" hidden="1" x14ac:dyDescent="0.2">
      <c r="A390" s="966"/>
      <c r="B390" s="966"/>
      <c r="C390" s="966"/>
      <c r="D390" s="966"/>
      <c r="E390" s="966"/>
      <c r="F390" s="966"/>
      <c r="G390" s="967"/>
      <c r="H390" s="967"/>
      <c r="I390" s="968"/>
      <c r="J390" s="968"/>
      <c r="K390" s="969"/>
      <c r="L390" s="970"/>
      <c r="M390" s="969"/>
      <c r="N390" s="969"/>
      <c r="O390" s="969"/>
      <c r="P390" s="969"/>
      <c r="Q390" s="969"/>
      <c r="R390" s="969"/>
      <c r="S390" s="969"/>
      <c r="T390" s="969"/>
      <c r="U390" s="969"/>
    </row>
    <row r="391" spans="1:21" ht="19.5" hidden="1" x14ac:dyDescent="0.3">
      <c r="A391" s="926"/>
      <c r="B391" s="971" t="s">
        <v>156</v>
      </c>
      <c r="C391" s="927"/>
      <c r="D391" s="928"/>
      <c r="E391" s="911"/>
      <c r="F391" s="911"/>
      <c r="G391" s="912"/>
      <c r="H391" s="972" t="s">
        <v>61</v>
      </c>
      <c r="I391" s="942">
        <f t="shared" ref="I391:J391" si="257">I402</f>
        <v>0</v>
      </c>
      <c r="J391" s="942">
        <f t="shared" si="257"/>
        <v>0</v>
      </c>
      <c r="K391" s="915">
        <f>IF(I391&gt;0,J391*100/I391,0)</f>
        <v>0</v>
      </c>
      <c r="L391" s="916"/>
      <c r="M391" s="917"/>
      <c r="N391" s="917"/>
      <c r="O391" s="917"/>
      <c r="P391" s="917"/>
      <c r="Q391" s="917"/>
      <c r="R391" s="917"/>
      <c r="S391" s="917"/>
      <c r="T391" s="917"/>
      <c r="U391" s="917"/>
    </row>
    <row r="392" spans="1:21" ht="19.5" hidden="1" x14ac:dyDescent="0.3">
      <c r="A392" s="674"/>
      <c r="B392" s="718"/>
      <c r="C392" s="719" t="s">
        <v>18</v>
      </c>
      <c r="D392" s="955" t="s">
        <v>19</v>
      </c>
      <c r="E392" s="561"/>
      <c r="F392" s="561"/>
      <c r="G392" s="563"/>
      <c r="H392" s="677" t="s">
        <v>14</v>
      </c>
      <c r="I392" s="565"/>
      <c r="J392" s="565"/>
      <c r="K392" s="566"/>
      <c r="L392" s="678">
        <f t="shared" ref="L392:N392" si="258">L393+L394</f>
        <v>0</v>
      </c>
      <c r="M392" s="679">
        <f t="shared" si="258"/>
        <v>0</v>
      </c>
      <c r="N392" s="679">
        <f t="shared" si="258"/>
        <v>0</v>
      </c>
      <c r="O392" s="679">
        <f t="shared" ref="O392:O400" si="259">IF(L392&gt;0,N392*100/L392,0)</f>
        <v>0</v>
      </c>
      <c r="P392" s="679">
        <f t="shared" ref="P392:P400" si="260">IF(M392&gt;0,N392*100/M392,0)</f>
        <v>0</v>
      </c>
      <c r="Q392" s="679">
        <f t="shared" ref="Q392:S392" ca="1" si="261">Q393+Q394</f>
        <v>0</v>
      </c>
      <c r="R392" s="679">
        <f t="shared" ca="1" si="261"/>
        <v>0</v>
      </c>
      <c r="S392" s="679">
        <f t="shared" ca="1" si="261"/>
        <v>0</v>
      </c>
      <c r="T392" s="679">
        <f t="shared" ref="T392:T400" ca="1" si="262">IF(Q392&gt;0,S392*100/Q392,0)</f>
        <v>0</v>
      </c>
      <c r="U392" s="679">
        <f t="shared" ref="U392:U400" ca="1" si="263">IF(R392&gt;0,S392*100/R392,0)</f>
        <v>0</v>
      </c>
    </row>
    <row r="393" spans="1:21" ht="18.75" hidden="1" x14ac:dyDescent="0.25">
      <c r="A393" s="674"/>
      <c r="B393" s="718"/>
      <c r="C393" s="718"/>
      <c r="D393" s="718"/>
      <c r="E393" s="569" t="s">
        <v>20</v>
      </c>
      <c r="F393" s="561"/>
      <c r="G393" s="563"/>
      <c r="H393" s="680" t="s">
        <v>14</v>
      </c>
      <c r="I393" s="565"/>
      <c r="J393" s="565"/>
      <c r="K393" s="566"/>
      <c r="L393" s="571">
        <f t="shared" ref="L393:N394" si="264">L396+L399</f>
        <v>0</v>
      </c>
      <c r="M393" s="572">
        <f t="shared" si="264"/>
        <v>0</v>
      </c>
      <c r="N393" s="572">
        <f t="shared" si="264"/>
        <v>0</v>
      </c>
      <c r="O393" s="572">
        <f t="shared" si="259"/>
        <v>0</v>
      </c>
      <c r="P393" s="572">
        <f t="shared" si="260"/>
        <v>0</v>
      </c>
      <c r="Q393" s="572">
        <f t="shared" ref="Q393:S394" si="265">Q396+Q399</f>
        <v>0</v>
      </c>
      <c r="R393" s="572">
        <f t="shared" si="265"/>
        <v>0</v>
      </c>
      <c r="S393" s="572">
        <f t="shared" si="265"/>
        <v>0</v>
      </c>
      <c r="T393" s="572">
        <f t="shared" si="262"/>
        <v>0</v>
      </c>
      <c r="U393" s="572">
        <f t="shared" si="263"/>
        <v>0</v>
      </c>
    </row>
    <row r="394" spans="1:21" ht="18.75" hidden="1" x14ac:dyDescent="0.25">
      <c r="A394" s="674"/>
      <c r="B394" s="718"/>
      <c r="C394" s="718"/>
      <c r="D394" s="718"/>
      <c r="E394" s="573" t="s">
        <v>21</v>
      </c>
      <c r="F394" s="561"/>
      <c r="G394" s="563"/>
      <c r="H394" s="681" t="s">
        <v>14</v>
      </c>
      <c r="I394" s="565"/>
      <c r="J394" s="565"/>
      <c r="K394" s="566"/>
      <c r="L394" s="567">
        <f t="shared" si="264"/>
        <v>0</v>
      </c>
      <c r="M394" s="568">
        <f t="shared" si="264"/>
        <v>0</v>
      </c>
      <c r="N394" s="568">
        <f t="shared" si="264"/>
        <v>0</v>
      </c>
      <c r="O394" s="568">
        <f t="shared" si="259"/>
        <v>0</v>
      </c>
      <c r="P394" s="568">
        <f t="shared" si="260"/>
        <v>0</v>
      </c>
      <c r="Q394" s="568">
        <f t="shared" ca="1" si="265"/>
        <v>0</v>
      </c>
      <c r="R394" s="568">
        <f t="shared" ca="1" si="265"/>
        <v>0</v>
      </c>
      <c r="S394" s="568">
        <f t="shared" ca="1" si="265"/>
        <v>0</v>
      </c>
      <c r="T394" s="568">
        <f t="shared" ca="1" si="262"/>
        <v>0</v>
      </c>
      <c r="U394" s="568">
        <f t="shared" ca="1" si="263"/>
        <v>0</v>
      </c>
    </row>
    <row r="395" spans="1:21" ht="18.75" hidden="1" x14ac:dyDescent="0.25">
      <c r="A395" s="674"/>
      <c r="B395" s="718"/>
      <c r="C395" s="718"/>
      <c r="D395" s="721" t="s">
        <v>22</v>
      </c>
      <c r="E395" s="561"/>
      <c r="F395" s="561"/>
      <c r="G395" s="563"/>
      <c r="H395" s="682" t="s">
        <v>14</v>
      </c>
      <c r="I395" s="683"/>
      <c r="J395" s="683"/>
      <c r="K395" s="684"/>
      <c r="L395" s="567">
        <f t="shared" ref="L395:N395" si="266">L396+L397</f>
        <v>0</v>
      </c>
      <c r="M395" s="568">
        <f t="shared" si="266"/>
        <v>0</v>
      </c>
      <c r="N395" s="568">
        <f t="shared" si="266"/>
        <v>0</v>
      </c>
      <c r="O395" s="568">
        <f t="shared" si="259"/>
        <v>0</v>
      </c>
      <c r="P395" s="568">
        <f t="shared" si="260"/>
        <v>0</v>
      </c>
      <c r="Q395" s="568">
        <f t="shared" ref="Q395:S395" ca="1" si="267">Q396+Q397</f>
        <v>0</v>
      </c>
      <c r="R395" s="568">
        <f t="shared" ca="1" si="267"/>
        <v>0</v>
      </c>
      <c r="S395" s="568">
        <f t="shared" ca="1" si="267"/>
        <v>0</v>
      </c>
      <c r="T395" s="568">
        <f t="shared" ca="1" si="262"/>
        <v>0</v>
      </c>
      <c r="U395" s="568">
        <f t="shared" ca="1" si="263"/>
        <v>0</v>
      </c>
    </row>
    <row r="396" spans="1:21" ht="18.75" hidden="1" x14ac:dyDescent="0.25">
      <c r="A396" s="674"/>
      <c r="B396" s="718"/>
      <c r="C396" s="718"/>
      <c r="D396" s="718"/>
      <c r="E396" s="569" t="s">
        <v>36</v>
      </c>
      <c r="F396" s="561"/>
      <c r="G396" s="563"/>
      <c r="H396" s="685" t="s">
        <v>14</v>
      </c>
      <c r="I396" s="683"/>
      <c r="J396" s="683"/>
      <c r="K396" s="684"/>
      <c r="L396" s="571">
        <v>0</v>
      </c>
      <c r="M396" s="572">
        <v>0</v>
      </c>
      <c r="N396" s="572">
        <v>0</v>
      </c>
      <c r="O396" s="572">
        <f t="shared" si="259"/>
        <v>0</v>
      </c>
      <c r="P396" s="572">
        <f t="shared" si="260"/>
        <v>0</v>
      </c>
      <c r="Q396" s="572">
        <v>0</v>
      </c>
      <c r="R396" s="572">
        <v>0</v>
      </c>
      <c r="S396" s="572">
        <v>0</v>
      </c>
      <c r="T396" s="572">
        <f t="shared" si="262"/>
        <v>0</v>
      </c>
      <c r="U396" s="572">
        <f t="shared" si="263"/>
        <v>0</v>
      </c>
    </row>
    <row r="397" spans="1:21" ht="18.75" hidden="1" x14ac:dyDescent="0.25">
      <c r="A397" s="674"/>
      <c r="B397" s="718"/>
      <c r="C397" s="718"/>
      <c r="D397" s="718"/>
      <c r="E397" s="765" t="s">
        <v>37</v>
      </c>
      <c r="F397" s="718"/>
      <c r="G397" s="727"/>
      <c r="H397" s="682" t="s">
        <v>14</v>
      </c>
      <c r="I397" s="683"/>
      <c r="J397" s="683"/>
      <c r="K397" s="684"/>
      <c r="L397" s="567">
        <v>0</v>
      </c>
      <c r="M397" s="568">
        <v>0</v>
      </c>
      <c r="N397" s="568">
        <v>0</v>
      </c>
      <c r="O397" s="568">
        <f t="shared" si="259"/>
        <v>0</v>
      </c>
      <c r="P397" s="568">
        <f t="shared" si="260"/>
        <v>0</v>
      </c>
      <c r="Q397" s="568">
        <f ca="1">IFERROR(__xludf.DUMMYFUNCTION("IMPORTRANGE(""https://docs.google.com/spreadsheets/d/1ItG2mGa2ceCfYo0BwxsXqNm01IGEUdYcSSLTEv9YCik/edit?usp=sharing"",""เบิกจ่ายกองทุน!CL23"")"),0)</f>
        <v>0</v>
      </c>
      <c r="R397" s="568">
        <f ca="1">IFERROR(__xludf.DUMMYFUNCTION("IMPORTRANGE(""https://docs.google.com/spreadsheets/d/1ItG2mGa2ceCfYo0BwxsXqNm01IGEUdYcSSLTEv9YCik/edit?usp=sharing"",""เบิกจ่ายกองทุน!CM23"")"),0)</f>
        <v>0</v>
      </c>
      <c r="S397" s="568">
        <f ca="1">IFERROR(__xludf.DUMMYFUNCTION("IMPORTRANGE(""https://docs.google.com/spreadsheets/d/1ItG2mGa2ceCfYo0BwxsXqNm01IGEUdYcSSLTEv9YCik/edit?usp=sharing"",""เบิกจ่ายกองทุน!CN23"")"),0)</f>
        <v>0</v>
      </c>
      <c r="T397" s="568">
        <f t="shared" ca="1" si="262"/>
        <v>0</v>
      </c>
      <c r="U397" s="568">
        <f t="shared" ca="1" si="263"/>
        <v>0</v>
      </c>
    </row>
    <row r="398" spans="1:21" ht="18.75" hidden="1" x14ac:dyDescent="0.25">
      <c r="A398" s="674"/>
      <c r="B398" s="718"/>
      <c r="C398" s="718"/>
      <c r="D398" s="721" t="s">
        <v>23</v>
      </c>
      <c r="E398" s="561"/>
      <c r="F398" s="561"/>
      <c r="G398" s="563"/>
      <c r="H398" s="686" t="s">
        <v>14</v>
      </c>
      <c r="I398" s="683"/>
      <c r="J398" s="683"/>
      <c r="K398" s="684"/>
      <c r="L398" s="567">
        <f t="shared" ref="L398:N398" si="268">L399+L400</f>
        <v>0</v>
      </c>
      <c r="M398" s="568">
        <f t="shared" si="268"/>
        <v>0</v>
      </c>
      <c r="N398" s="568">
        <f t="shared" si="268"/>
        <v>0</v>
      </c>
      <c r="O398" s="568">
        <f t="shared" si="259"/>
        <v>0</v>
      </c>
      <c r="P398" s="568">
        <f t="shared" si="260"/>
        <v>0</v>
      </c>
      <c r="Q398" s="568">
        <f t="shared" ref="Q398:S398" si="269">Q399+Q400</f>
        <v>0</v>
      </c>
      <c r="R398" s="568">
        <f t="shared" si="269"/>
        <v>0</v>
      </c>
      <c r="S398" s="568">
        <f t="shared" si="269"/>
        <v>0</v>
      </c>
      <c r="T398" s="568">
        <f t="shared" si="262"/>
        <v>0</v>
      </c>
      <c r="U398" s="568">
        <f t="shared" si="263"/>
        <v>0</v>
      </c>
    </row>
    <row r="399" spans="1:21" ht="18.75" hidden="1" x14ac:dyDescent="0.25">
      <c r="A399" s="674"/>
      <c r="B399" s="718"/>
      <c r="C399" s="718"/>
      <c r="D399" s="718"/>
      <c r="E399" s="569" t="s">
        <v>20</v>
      </c>
      <c r="F399" s="561"/>
      <c r="G399" s="563"/>
      <c r="H399" s="685" t="s">
        <v>14</v>
      </c>
      <c r="I399" s="683"/>
      <c r="J399" s="683"/>
      <c r="K399" s="684"/>
      <c r="L399" s="571">
        <v>0</v>
      </c>
      <c r="M399" s="572">
        <v>0</v>
      </c>
      <c r="N399" s="572">
        <v>0</v>
      </c>
      <c r="O399" s="572">
        <f t="shared" si="259"/>
        <v>0</v>
      </c>
      <c r="P399" s="572">
        <f t="shared" si="260"/>
        <v>0</v>
      </c>
      <c r="Q399" s="572">
        <v>0</v>
      </c>
      <c r="R399" s="572">
        <v>0</v>
      </c>
      <c r="S399" s="572">
        <v>0</v>
      </c>
      <c r="T399" s="572">
        <f t="shared" si="262"/>
        <v>0</v>
      </c>
      <c r="U399" s="572">
        <f t="shared" si="263"/>
        <v>0</v>
      </c>
    </row>
    <row r="400" spans="1:21" ht="18.75" hidden="1" x14ac:dyDescent="0.25">
      <c r="A400" s="674"/>
      <c r="B400" s="718"/>
      <c r="C400" s="718"/>
      <c r="D400" s="718"/>
      <c r="E400" s="573" t="s">
        <v>21</v>
      </c>
      <c r="F400" s="561"/>
      <c r="G400" s="563"/>
      <c r="H400" s="686" t="s">
        <v>14</v>
      </c>
      <c r="I400" s="683"/>
      <c r="J400" s="683"/>
      <c r="K400" s="684"/>
      <c r="L400" s="567">
        <v>0</v>
      </c>
      <c r="M400" s="568">
        <v>0</v>
      </c>
      <c r="N400" s="568">
        <v>0</v>
      </c>
      <c r="O400" s="568">
        <f t="shared" si="259"/>
        <v>0</v>
      </c>
      <c r="P400" s="568">
        <f t="shared" si="260"/>
        <v>0</v>
      </c>
      <c r="Q400" s="568">
        <v>0</v>
      </c>
      <c r="R400" s="568">
        <v>0</v>
      </c>
      <c r="S400" s="568">
        <v>0</v>
      </c>
      <c r="T400" s="568">
        <f t="shared" si="262"/>
        <v>0</v>
      </c>
      <c r="U400" s="568">
        <f t="shared" si="263"/>
        <v>0</v>
      </c>
    </row>
    <row r="401" spans="1:21" ht="19.5" hidden="1" x14ac:dyDescent="0.3">
      <c r="A401" s="687"/>
      <c r="B401" s="688"/>
      <c r="C401" s="719" t="s">
        <v>18</v>
      </c>
      <c r="D401" s="956" t="s">
        <v>38</v>
      </c>
      <c r="E401" s="690"/>
      <c r="F401" s="690"/>
      <c r="G401" s="691"/>
      <c r="H401" s="725"/>
      <c r="I401" s="683"/>
      <c r="J401" s="565"/>
      <c r="K401" s="566"/>
      <c r="L401" s="574"/>
      <c r="M401" s="566"/>
      <c r="N401" s="566"/>
      <c r="O401" s="684"/>
      <c r="P401" s="684"/>
      <c r="Q401" s="566"/>
      <c r="R401" s="566"/>
      <c r="S401" s="566"/>
      <c r="T401" s="684"/>
      <c r="U401" s="684"/>
    </row>
    <row r="402" spans="1:21" ht="12.75" hidden="1" x14ac:dyDescent="0.2">
      <c r="A402" s="973"/>
      <c r="B402" s="961"/>
      <c r="C402" s="961"/>
      <c r="D402" s="961"/>
      <c r="E402" s="974"/>
      <c r="F402" s="974"/>
      <c r="G402" s="975"/>
      <c r="H402" s="962"/>
      <c r="I402" s="963"/>
      <c r="J402" s="963"/>
      <c r="K402" s="964"/>
      <c r="L402" s="965"/>
      <c r="M402" s="964"/>
      <c r="N402" s="964"/>
      <c r="O402" s="964"/>
      <c r="P402" s="964"/>
      <c r="Q402" s="964"/>
      <c r="R402" s="964"/>
      <c r="S402" s="964"/>
      <c r="T402" s="964"/>
      <c r="U402" s="964"/>
    </row>
    <row r="403" spans="1:21" ht="12.75" hidden="1" x14ac:dyDescent="0.2">
      <c r="A403" s="961"/>
      <c r="B403" s="961"/>
      <c r="C403" s="961"/>
      <c r="D403" s="961"/>
      <c r="E403" s="961"/>
      <c r="F403" s="961"/>
      <c r="G403" s="962"/>
      <c r="H403" s="962"/>
      <c r="I403" s="963"/>
      <c r="J403" s="963"/>
      <c r="K403" s="964"/>
      <c r="L403" s="965"/>
      <c r="M403" s="964"/>
      <c r="N403" s="964"/>
      <c r="O403" s="964"/>
      <c r="P403" s="964"/>
      <c r="Q403" s="964"/>
      <c r="R403" s="964"/>
      <c r="S403" s="964"/>
      <c r="T403" s="964"/>
      <c r="U403" s="964"/>
    </row>
    <row r="404" spans="1:21" ht="12.75" hidden="1" x14ac:dyDescent="0.2">
      <c r="A404" s="961"/>
      <c r="B404" s="961"/>
      <c r="C404" s="961"/>
      <c r="D404" s="961"/>
      <c r="E404" s="961"/>
      <c r="F404" s="961"/>
      <c r="G404" s="962"/>
      <c r="H404" s="962"/>
      <c r="I404" s="963"/>
      <c r="J404" s="963"/>
      <c r="K404" s="964"/>
      <c r="L404" s="965"/>
      <c r="M404" s="964"/>
      <c r="N404" s="964"/>
      <c r="O404" s="964"/>
      <c r="P404" s="964"/>
      <c r="Q404" s="964"/>
      <c r="R404" s="964"/>
      <c r="S404" s="964"/>
      <c r="T404" s="964"/>
      <c r="U404" s="964"/>
    </row>
    <row r="405" spans="1:21" ht="12.75" hidden="1" x14ac:dyDescent="0.2">
      <c r="A405" s="961"/>
      <c r="B405" s="961"/>
      <c r="C405" s="961"/>
      <c r="D405" s="961"/>
      <c r="E405" s="961"/>
      <c r="F405" s="961"/>
      <c r="G405" s="962"/>
      <c r="H405" s="962"/>
      <c r="I405" s="963"/>
      <c r="J405" s="963"/>
      <c r="K405" s="964"/>
      <c r="L405" s="965"/>
      <c r="M405" s="964"/>
      <c r="N405" s="964"/>
      <c r="O405" s="964"/>
      <c r="P405" s="964"/>
      <c r="Q405" s="964"/>
      <c r="R405" s="964"/>
      <c r="S405" s="964"/>
      <c r="T405" s="964"/>
      <c r="U405" s="964"/>
    </row>
    <row r="406" spans="1:21" ht="12.75" hidden="1" x14ac:dyDescent="0.2">
      <c r="A406" s="961"/>
      <c r="B406" s="961"/>
      <c r="C406" s="961"/>
      <c r="D406" s="961"/>
      <c r="E406" s="961"/>
      <c r="F406" s="961"/>
      <c r="G406" s="962"/>
      <c r="H406" s="962"/>
      <c r="I406" s="963"/>
      <c r="J406" s="963"/>
      <c r="K406" s="964"/>
      <c r="L406" s="965"/>
      <c r="M406" s="964"/>
      <c r="N406" s="964"/>
      <c r="O406" s="964"/>
      <c r="P406" s="964"/>
      <c r="Q406" s="964"/>
      <c r="R406" s="964"/>
      <c r="S406" s="964"/>
      <c r="T406" s="964"/>
      <c r="U406" s="964"/>
    </row>
    <row r="407" spans="1:21" ht="12.75" hidden="1" x14ac:dyDescent="0.2">
      <c r="A407" s="961"/>
      <c r="B407" s="961"/>
      <c r="C407" s="961"/>
      <c r="D407" s="961"/>
      <c r="E407" s="961"/>
      <c r="F407" s="961"/>
      <c r="G407" s="962"/>
      <c r="H407" s="962"/>
      <c r="I407" s="963"/>
      <c r="J407" s="963"/>
      <c r="K407" s="964"/>
      <c r="L407" s="965"/>
      <c r="M407" s="964"/>
      <c r="N407" s="964"/>
      <c r="O407" s="964"/>
      <c r="P407" s="964"/>
      <c r="Q407" s="964"/>
      <c r="R407" s="964"/>
      <c r="S407" s="964"/>
      <c r="T407" s="964"/>
      <c r="U407" s="964"/>
    </row>
    <row r="408" spans="1:21" ht="12.75" hidden="1" x14ac:dyDescent="0.2">
      <c r="A408" s="961"/>
      <c r="B408" s="961"/>
      <c r="C408" s="961"/>
      <c r="D408" s="961"/>
      <c r="E408" s="961"/>
      <c r="F408" s="961"/>
      <c r="G408" s="962"/>
      <c r="H408" s="962"/>
      <c r="I408" s="963"/>
      <c r="J408" s="963"/>
      <c r="K408" s="964"/>
      <c r="L408" s="965"/>
      <c r="M408" s="964"/>
      <c r="N408" s="964"/>
      <c r="O408" s="964"/>
      <c r="P408" s="964"/>
      <c r="Q408" s="964"/>
      <c r="R408" s="964"/>
      <c r="S408" s="964"/>
      <c r="T408" s="964"/>
      <c r="U408" s="964"/>
    </row>
    <row r="409" spans="1:21" ht="12.75" hidden="1" x14ac:dyDescent="0.2">
      <c r="A409" s="961"/>
      <c r="B409" s="961"/>
      <c r="C409" s="961"/>
      <c r="D409" s="961"/>
      <c r="E409" s="961"/>
      <c r="F409" s="961"/>
      <c r="G409" s="962"/>
      <c r="H409" s="962"/>
      <c r="I409" s="963"/>
      <c r="J409" s="963"/>
      <c r="K409" s="964"/>
      <c r="L409" s="965"/>
      <c r="M409" s="964"/>
      <c r="N409" s="964"/>
      <c r="O409" s="964"/>
      <c r="P409" s="964"/>
      <c r="Q409" s="964"/>
      <c r="R409" s="964"/>
      <c r="S409" s="964"/>
      <c r="T409" s="964"/>
      <c r="U409" s="964"/>
    </row>
    <row r="410" spans="1:21" ht="12.75" hidden="1" x14ac:dyDescent="0.2">
      <c r="A410" s="961"/>
      <c r="B410" s="961"/>
      <c r="C410" s="961"/>
      <c r="D410" s="961"/>
      <c r="E410" s="961"/>
      <c r="F410" s="961"/>
      <c r="G410" s="962"/>
      <c r="H410" s="962"/>
      <c r="I410" s="963"/>
      <c r="J410" s="963"/>
      <c r="K410" s="964"/>
      <c r="L410" s="965"/>
      <c r="M410" s="964"/>
      <c r="N410" s="964"/>
      <c r="O410" s="964"/>
      <c r="P410" s="964"/>
      <c r="Q410" s="964"/>
      <c r="R410" s="964"/>
      <c r="S410" s="964"/>
      <c r="T410" s="964"/>
      <c r="U410" s="964"/>
    </row>
    <row r="411" spans="1:21" ht="12.75" hidden="1" x14ac:dyDescent="0.2">
      <c r="A411" s="966"/>
      <c r="B411" s="966"/>
      <c r="C411" s="966"/>
      <c r="D411" s="966"/>
      <c r="E411" s="966"/>
      <c r="F411" s="966"/>
      <c r="G411" s="967"/>
      <c r="H411" s="967"/>
      <c r="I411" s="968"/>
      <c r="J411" s="968"/>
      <c r="K411" s="969"/>
      <c r="L411" s="970"/>
      <c r="M411" s="969"/>
      <c r="N411" s="969"/>
      <c r="O411" s="969"/>
      <c r="P411" s="969"/>
      <c r="Q411" s="969"/>
      <c r="R411" s="969"/>
      <c r="S411" s="969"/>
      <c r="T411" s="969"/>
      <c r="U411" s="969"/>
    </row>
    <row r="412" spans="1:21" ht="19.5" x14ac:dyDescent="0.3">
      <c r="A412" s="928"/>
      <c r="B412" s="971" t="s">
        <v>157</v>
      </c>
      <c r="C412" s="928"/>
      <c r="D412" s="928"/>
      <c r="E412" s="928"/>
      <c r="F412" s="928"/>
      <c r="G412" s="976"/>
      <c r="H412" s="977" t="s">
        <v>46</v>
      </c>
      <c r="I412" s="914">
        <f t="shared" ref="I412:J412" ca="1" si="270">I423</f>
        <v>158541</v>
      </c>
      <c r="J412" s="914">
        <f t="shared" si="270"/>
        <v>0</v>
      </c>
      <c r="K412" s="915">
        <f ca="1">IF(I412&gt;0,J412*100/I412,0)</f>
        <v>0</v>
      </c>
      <c r="L412" s="916"/>
      <c r="M412" s="917"/>
      <c r="N412" s="917"/>
      <c r="O412" s="917"/>
      <c r="P412" s="917"/>
      <c r="Q412" s="917"/>
      <c r="R412" s="917"/>
      <c r="S412" s="917"/>
      <c r="T412" s="917"/>
      <c r="U412" s="917"/>
    </row>
    <row r="413" spans="1:21" ht="19.5" x14ac:dyDescent="0.3">
      <c r="A413" s="674"/>
      <c r="B413" s="718"/>
      <c r="C413" s="978" t="s">
        <v>18</v>
      </c>
      <c r="D413" s="1313" t="s">
        <v>19</v>
      </c>
      <c r="E413" s="1314"/>
      <c r="F413" s="1314"/>
      <c r="G413" s="1317"/>
      <c r="H413" s="979" t="s">
        <v>14</v>
      </c>
      <c r="I413" s="565"/>
      <c r="J413" s="565"/>
      <c r="K413" s="566"/>
      <c r="L413" s="678">
        <f t="shared" ref="L413:N413" ca="1" si="271">L414+L415</f>
        <v>617840</v>
      </c>
      <c r="M413" s="679">
        <f t="shared" ca="1" si="271"/>
        <v>128000</v>
      </c>
      <c r="N413" s="679">
        <f t="shared" ca="1" si="271"/>
        <v>1180</v>
      </c>
      <c r="O413" s="679">
        <f t="shared" ref="O413:O421" ca="1" si="272">IF(L413&gt;0,N413*100/L413,0)</f>
        <v>0.19098795804739091</v>
      </c>
      <c r="P413" s="679">
        <f t="shared" ref="P413:P421" ca="1" si="273">IF(M413&gt;0,N413*100/M413,0)</f>
        <v>0.921875</v>
      </c>
      <c r="Q413" s="679">
        <f t="shared" ref="Q413:S413" ca="1" si="274">Q414+Q415</f>
        <v>122430</v>
      </c>
      <c r="R413" s="679">
        <f t="shared" ca="1" si="274"/>
        <v>122430</v>
      </c>
      <c r="S413" s="679">
        <f t="shared" ca="1" si="274"/>
        <v>0</v>
      </c>
      <c r="T413" s="679">
        <f t="shared" ref="T413:T421" ca="1" si="275">IF(Q413&gt;0,S413*100/Q413,0)</f>
        <v>0</v>
      </c>
      <c r="U413" s="679">
        <f t="shared" ref="U413:U421" ca="1" si="276">IF(R413&gt;0,S413*100/R413,0)</f>
        <v>0</v>
      </c>
    </row>
    <row r="414" spans="1:21" ht="18.75" x14ac:dyDescent="0.25">
      <c r="A414" s="674"/>
      <c r="B414" s="718"/>
      <c r="C414" s="718"/>
      <c r="D414" s="718"/>
      <c r="E414" s="767" t="s">
        <v>158</v>
      </c>
      <c r="F414" s="718"/>
      <c r="G414" s="727"/>
      <c r="H414" s="723" t="s">
        <v>14</v>
      </c>
      <c r="I414" s="565"/>
      <c r="J414" s="565"/>
      <c r="K414" s="566"/>
      <c r="L414" s="571">
        <f t="shared" ref="L414:N415" si="277">L417+L420</f>
        <v>0</v>
      </c>
      <c r="M414" s="572">
        <f t="shared" si="277"/>
        <v>0</v>
      </c>
      <c r="N414" s="572">
        <f t="shared" si="277"/>
        <v>0</v>
      </c>
      <c r="O414" s="572">
        <f t="shared" si="272"/>
        <v>0</v>
      </c>
      <c r="P414" s="572">
        <f t="shared" si="273"/>
        <v>0</v>
      </c>
      <c r="Q414" s="572">
        <f t="shared" ref="Q414:S415" si="278">Q417+Q420</f>
        <v>0</v>
      </c>
      <c r="R414" s="572">
        <f t="shared" si="278"/>
        <v>0</v>
      </c>
      <c r="S414" s="572">
        <f t="shared" si="278"/>
        <v>0</v>
      </c>
      <c r="T414" s="572">
        <f t="shared" si="275"/>
        <v>0</v>
      </c>
      <c r="U414" s="572">
        <f t="shared" si="276"/>
        <v>0</v>
      </c>
    </row>
    <row r="415" spans="1:21" ht="18.75" x14ac:dyDescent="0.25">
      <c r="A415" s="674"/>
      <c r="B415" s="718"/>
      <c r="C415" s="718"/>
      <c r="D415" s="718"/>
      <c r="E415" s="765" t="s">
        <v>159</v>
      </c>
      <c r="F415" s="718"/>
      <c r="G415" s="727"/>
      <c r="H415" s="722" t="s">
        <v>14</v>
      </c>
      <c r="I415" s="565"/>
      <c r="J415" s="565"/>
      <c r="K415" s="566"/>
      <c r="L415" s="567">
        <f t="shared" ca="1" si="277"/>
        <v>617840</v>
      </c>
      <c r="M415" s="568">
        <f t="shared" ca="1" si="277"/>
        <v>128000</v>
      </c>
      <c r="N415" s="568">
        <f t="shared" ca="1" si="277"/>
        <v>1180</v>
      </c>
      <c r="O415" s="568">
        <f t="shared" ca="1" si="272"/>
        <v>0.19098795804739091</v>
      </c>
      <c r="P415" s="568">
        <f t="shared" ca="1" si="273"/>
        <v>0.921875</v>
      </c>
      <c r="Q415" s="568">
        <f t="shared" ca="1" si="278"/>
        <v>122430</v>
      </c>
      <c r="R415" s="568">
        <f t="shared" ca="1" si="278"/>
        <v>122430</v>
      </c>
      <c r="S415" s="568">
        <f t="shared" ca="1" si="278"/>
        <v>0</v>
      </c>
      <c r="T415" s="568">
        <f t="shared" ca="1" si="275"/>
        <v>0</v>
      </c>
      <c r="U415" s="568">
        <f t="shared" ca="1" si="276"/>
        <v>0</v>
      </c>
    </row>
    <row r="416" spans="1:21" ht="19.5" x14ac:dyDescent="0.3">
      <c r="A416" s="674"/>
      <c r="B416" s="718"/>
      <c r="C416" s="718"/>
      <c r="D416" s="955" t="s">
        <v>22</v>
      </c>
      <c r="E416" s="718"/>
      <c r="F416" s="718"/>
      <c r="G416" s="727"/>
      <c r="H416" s="979" t="s">
        <v>14</v>
      </c>
      <c r="I416" s="565"/>
      <c r="J416" s="565"/>
      <c r="K416" s="566"/>
      <c r="L416" s="567">
        <f t="shared" ref="L416:N416" ca="1" si="279">L417+L418</f>
        <v>617840</v>
      </c>
      <c r="M416" s="568">
        <f t="shared" ca="1" si="279"/>
        <v>128000</v>
      </c>
      <c r="N416" s="568">
        <f t="shared" ca="1" si="279"/>
        <v>1180</v>
      </c>
      <c r="O416" s="568">
        <f t="shared" ca="1" si="272"/>
        <v>0.19098795804739091</v>
      </c>
      <c r="P416" s="568">
        <f t="shared" ca="1" si="273"/>
        <v>0.921875</v>
      </c>
      <c r="Q416" s="568">
        <f t="shared" ref="Q416:S416" ca="1" si="280">Q417+Q418</f>
        <v>122430</v>
      </c>
      <c r="R416" s="568">
        <f t="shared" ca="1" si="280"/>
        <v>122430</v>
      </c>
      <c r="S416" s="568">
        <f t="shared" ca="1" si="280"/>
        <v>0</v>
      </c>
      <c r="T416" s="568">
        <f t="shared" ca="1" si="275"/>
        <v>0</v>
      </c>
      <c r="U416" s="568">
        <f t="shared" ca="1" si="276"/>
        <v>0</v>
      </c>
    </row>
    <row r="417" spans="1:21" ht="18.75" x14ac:dyDescent="0.25">
      <c r="A417" s="674"/>
      <c r="B417" s="718"/>
      <c r="C417" s="718"/>
      <c r="D417" s="718"/>
      <c r="E417" s="767" t="s">
        <v>158</v>
      </c>
      <c r="F417" s="718"/>
      <c r="G417" s="727"/>
      <c r="H417" s="723" t="s">
        <v>14</v>
      </c>
      <c r="I417" s="565"/>
      <c r="J417" s="565"/>
      <c r="K417" s="566"/>
      <c r="L417" s="571">
        <v>0</v>
      </c>
      <c r="M417" s="572">
        <v>0</v>
      </c>
      <c r="N417" s="572">
        <v>0</v>
      </c>
      <c r="O417" s="572">
        <f t="shared" si="272"/>
        <v>0</v>
      </c>
      <c r="P417" s="572">
        <f t="shared" si="273"/>
        <v>0</v>
      </c>
      <c r="Q417" s="572">
        <v>0</v>
      </c>
      <c r="R417" s="572">
        <v>0</v>
      </c>
      <c r="S417" s="572">
        <v>0</v>
      </c>
      <c r="T417" s="572">
        <f t="shared" si="275"/>
        <v>0</v>
      </c>
      <c r="U417" s="572">
        <f t="shared" si="276"/>
        <v>0</v>
      </c>
    </row>
    <row r="418" spans="1:21" ht="18.75" x14ac:dyDescent="0.25">
      <c r="A418" s="674"/>
      <c r="B418" s="718"/>
      <c r="C418" s="718"/>
      <c r="D418" s="718"/>
      <c r="E418" s="765" t="s">
        <v>159</v>
      </c>
      <c r="F418" s="718"/>
      <c r="G418" s="727"/>
      <c r="H418" s="722" t="s">
        <v>14</v>
      </c>
      <c r="I418" s="565"/>
      <c r="J418" s="565"/>
      <c r="K418" s="566"/>
      <c r="L418" s="567">
        <f ca="1">IFERROR(__xludf.DUMMYFUNCTION("IMPORTRANGE(""https://docs.google.com/spreadsheets/d/1-uDff_7J0KD5mKrp0Vvzr7lt3OU09vwQwhkpOPPYv2Y/edit?usp=sharing"",""งบพรบ!IO23"")"),617840)</f>
        <v>617840</v>
      </c>
      <c r="M418" s="568">
        <f ca="1">IFERROR(__xludf.DUMMYFUNCTION("IMPORTRANGE(""https://docs.google.com/spreadsheets/d/1-uDff_7J0KD5mKrp0Vvzr7lt3OU09vwQwhkpOPPYv2Y/edit?usp=sharing"",""งบพรบ!IT23"")"),128000)</f>
        <v>128000</v>
      </c>
      <c r="N418" s="568">
        <f ca="1">IFERROR(__xludf.DUMMYFUNCTION("IMPORTRANGE(""https://docs.google.com/spreadsheets/d/1-uDff_7J0KD5mKrp0Vvzr7lt3OU09vwQwhkpOPPYv2Y/edit?usp=sharing"",""งบพรบ!IV23"")"),1180)</f>
        <v>1180</v>
      </c>
      <c r="O418" s="568">
        <f t="shared" ca="1" si="272"/>
        <v>0.19098795804739091</v>
      </c>
      <c r="P418" s="568">
        <f t="shared" ca="1" si="273"/>
        <v>0.921875</v>
      </c>
      <c r="Q418" s="568">
        <f ca="1">IFERROR(__xludf.DUMMYFUNCTION("IMPORTRANGE(""https://docs.google.com/spreadsheets/d/1ItG2mGa2ceCfYo0BwxsXqNm01IGEUdYcSSLTEv9YCik/edit?usp=sharing"",""เบิกจ่ายกองทุน!BZ23"")"),122430)</f>
        <v>122430</v>
      </c>
      <c r="R418" s="568">
        <f ca="1">IFERROR(__xludf.DUMMYFUNCTION("IMPORTRANGE(""https://docs.google.com/spreadsheets/d/1ItG2mGa2ceCfYo0BwxsXqNm01IGEUdYcSSLTEv9YCik/edit?usp=sharing"",""เบิกจ่ายกองทุน!CA23"")"),122430)</f>
        <v>122430</v>
      </c>
      <c r="S418" s="568">
        <f ca="1">IFERROR(__xludf.DUMMYFUNCTION("IMPORTRANGE(""https://docs.google.com/spreadsheets/d/1ItG2mGa2ceCfYo0BwxsXqNm01IGEUdYcSSLTEv9YCik/edit?usp=sharing"",""เบิกจ่ายกองทุน!CB23"")"),0)</f>
        <v>0</v>
      </c>
      <c r="T418" s="568">
        <f t="shared" ca="1" si="275"/>
        <v>0</v>
      </c>
      <c r="U418" s="568">
        <f t="shared" ca="1" si="276"/>
        <v>0</v>
      </c>
    </row>
    <row r="419" spans="1:21" ht="19.5" x14ac:dyDescent="0.3">
      <c r="A419" s="674"/>
      <c r="B419" s="718"/>
      <c r="C419" s="718"/>
      <c r="D419" s="955" t="s">
        <v>23</v>
      </c>
      <c r="E419" s="718"/>
      <c r="F419" s="718"/>
      <c r="G419" s="727"/>
      <c r="H419" s="677" t="s">
        <v>14</v>
      </c>
      <c r="I419" s="565"/>
      <c r="J419" s="565"/>
      <c r="K419" s="566"/>
      <c r="L419" s="567">
        <f t="shared" ref="L419:N419" ca="1" si="281">L420+L421</f>
        <v>0</v>
      </c>
      <c r="M419" s="568">
        <f t="shared" ca="1" si="281"/>
        <v>0</v>
      </c>
      <c r="N419" s="568">
        <f t="shared" ca="1" si="281"/>
        <v>0</v>
      </c>
      <c r="O419" s="568">
        <f t="shared" ca="1" si="272"/>
        <v>0</v>
      </c>
      <c r="P419" s="568">
        <f t="shared" ca="1" si="273"/>
        <v>0</v>
      </c>
      <c r="Q419" s="568">
        <f t="shared" ref="Q419:S419" si="282">Q420+Q421</f>
        <v>0</v>
      </c>
      <c r="R419" s="568">
        <f t="shared" si="282"/>
        <v>0</v>
      </c>
      <c r="S419" s="568">
        <f t="shared" si="282"/>
        <v>0</v>
      </c>
      <c r="T419" s="568">
        <f t="shared" si="275"/>
        <v>0</v>
      </c>
      <c r="U419" s="568">
        <f t="shared" si="276"/>
        <v>0</v>
      </c>
    </row>
    <row r="420" spans="1:21" ht="18.75" x14ac:dyDescent="0.25">
      <c r="A420" s="674"/>
      <c r="B420" s="718"/>
      <c r="C420" s="718"/>
      <c r="D420" s="718"/>
      <c r="E420" s="767" t="s">
        <v>20</v>
      </c>
      <c r="F420" s="718"/>
      <c r="G420" s="727"/>
      <c r="H420" s="723" t="s">
        <v>14</v>
      </c>
      <c r="I420" s="565"/>
      <c r="J420" s="565"/>
      <c r="K420" s="566"/>
      <c r="L420" s="571">
        <v>0</v>
      </c>
      <c r="M420" s="572">
        <v>0</v>
      </c>
      <c r="N420" s="572">
        <v>0</v>
      </c>
      <c r="O420" s="572">
        <f t="shared" si="272"/>
        <v>0</v>
      </c>
      <c r="P420" s="572">
        <f t="shared" si="273"/>
        <v>0</v>
      </c>
      <c r="Q420" s="572">
        <v>0</v>
      </c>
      <c r="R420" s="572">
        <v>0</v>
      </c>
      <c r="S420" s="572">
        <v>0</v>
      </c>
      <c r="T420" s="572">
        <f t="shared" si="275"/>
        <v>0</v>
      </c>
      <c r="U420" s="572">
        <f t="shared" si="276"/>
        <v>0</v>
      </c>
    </row>
    <row r="421" spans="1:21" ht="18.75" x14ac:dyDescent="0.25">
      <c r="A421" s="674"/>
      <c r="B421" s="718"/>
      <c r="C421" s="718"/>
      <c r="D421" s="718"/>
      <c r="E421" s="765" t="s">
        <v>21</v>
      </c>
      <c r="F421" s="718"/>
      <c r="G421" s="727"/>
      <c r="H421" s="681" t="s">
        <v>14</v>
      </c>
      <c r="I421" s="565"/>
      <c r="J421" s="565"/>
      <c r="K421" s="566"/>
      <c r="L421" s="567">
        <f ca="1">IFERROR(__xludf.DUMMYFUNCTION("IMPORTRANGE(""https://docs.google.com/spreadsheets/d/1-uDff_7J0KD5mKrp0Vvzr7lt3OU09vwQwhkpOPPYv2Y/edit?usp=sharing"",""งบพรบ!IR23"")"),0)</f>
        <v>0</v>
      </c>
      <c r="M421" s="568">
        <f ca="1">IFERROR(__xludf.DUMMYFUNCTION("IMPORTRANGE(""https://docs.google.com/spreadsheets/d/1-uDff_7J0KD5mKrp0Vvzr7lt3OU09vwQwhkpOPPYv2Y/edit?usp=sharing"",""งบพรบ!IU23"")"),0)</f>
        <v>0</v>
      </c>
      <c r="N421" s="568">
        <f ca="1">IFERROR(__xludf.DUMMYFUNCTION("IMPORTRANGE(""https://docs.google.com/spreadsheets/d/1-uDff_7J0KD5mKrp0Vvzr7lt3OU09vwQwhkpOPPYv2Y/edit?usp=sharing"",""งบพรบ!IW23"")"),0)</f>
        <v>0</v>
      </c>
      <c r="O421" s="568">
        <f t="shared" ca="1" si="272"/>
        <v>0</v>
      </c>
      <c r="P421" s="568">
        <f t="shared" ca="1" si="273"/>
        <v>0</v>
      </c>
      <c r="Q421" s="568">
        <v>0</v>
      </c>
      <c r="R421" s="568">
        <v>0</v>
      </c>
      <c r="S421" s="568">
        <v>0</v>
      </c>
      <c r="T421" s="568">
        <f t="shared" si="275"/>
        <v>0</v>
      </c>
      <c r="U421" s="568">
        <f t="shared" si="276"/>
        <v>0</v>
      </c>
    </row>
    <row r="422" spans="1:21" ht="19.5" x14ac:dyDescent="0.3">
      <c r="A422" s="764"/>
      <c r="B422" s="718"/>
      <c r="C422" s="978" t="s">
        <v>18</v>
      </c>
      <c r="D422" s="980" t="s">
        <v>38</v>
      </c>
      <c r="E422" s="718"/>
      <c r="F422" s="718"/>
      <c r="G422" s="727"/>
      <c r="H422" s="727"/>
      <c r="I422" s="565"/>
      <c r="J422" s="565"/>
      <c r="K422" s="566"/>
      <c r="L422" s="574"/>
      <c r="M422" s="566"/>
      <c r="N422" s="566"/>
      <c r="O422" s="566"/>
      <c r="P422" s="566"/>
      <c r="Q422" s="566"/>
      <c r="R422" s="566"/>
      <c r="S422" s="566"/>
      <c r="T422" s="566"/>
      <c r="U422" s="566"/>
    </row>
    <row r="423" spans="1:21" ht="19.5" x14ac:dyDescent="0.3">
      <c r="A423" s="764"/>
      <c r="B423" s="719" t="s">
        <v>160</v>
      </c>
      <c r="C423" s="718"/>
      <c r="D423" s="718"/>
      <c r="E423" s="718"/>
      <c r="F423" s="718"/>
      <c r="G423" s="727"/>
      <c r="H423" s="979" t="s">
        <v>46</v>
      </c>
      <c r="I423" s="697">
        <f t="shared" ref="I423:J423" ca="1" si="283">I440</f>
        <v>158541</v>
      </c>
      <c r="J423" s="697">
        <f t="shared" si="283"/>
        <v>0</v>
      </c>
      <c r="K423" s="679">
        <f t="shared" ref="K423:K425" ca="1" si="284">IF(I423&gt;0,J423*100/I423,0)</f>
        <v>0</v>
      </c>
      <c r="L423" s="574"/>
      <c r="M423" s="566"/>
      <c r="N423" s="566"/>
      <c r="O423" s="566"/>
      <c r="P423" s="566"/>
      <c r="Q423" s="566"/>
      <c r="R423" s="566"/>
      <c r="S423" s="566"/>
      <c r="T423" s="566"/>
      <c r="U423" s="566"/>
    </row>
    <row r="424" spans="1:21" ht="19.5" x14ac:dyDescent="0.3">
      <c r="A424" s="764"/>
      <c r="B424" s="718"/>
      <c r="C424" s="719" t="s">
        <v>161</v>
      </c>
      <c r="D424" s="718"/>
      <c r="E424" s="718"/>
      <c r="F424" s="718"/>
      <c r="G424" s="727"/>
      <c r="H424" s="677" t="s">
        <v>46</v>
      </c>
      <c r="I424" s="697">
        <f ca="1">IFERROR(__xludf.DUMMYFUNCTION("IMPORTRANGE(""https://docs.google.com/spreadsheets/d/1eHaY18a8A9IcSdp1K8H6x8fbOy06t2VsZHhMHf-1x7Y/edit?usp=sharing"",""แผน!HJ23"")"),158541)</f>
        <v>158541</v>
      </c>
      <c r="J424" s="697">
        <f t="shared" ref="J424:J425" si="285">J426+J428+J430</f>
        <v>0</v>
      </c>
      <c r="K424" s="679">
        <f t="shared" ca="1" si="284"/>
        <v>0</v>
      </c>
      <c r="L424" s="574"/>
      <c r="M424" s="566"/>
      <c r="N424" s="566"/>
      <c r="O424" s="566"/>
      <c r="P424" s="566"/>
      <c r="Q424" s="566"/>
      <c r="R424" s="566"/>
      <c r="S424" s="566"/>
      <c r="T424" s="566"/>
      <c r="U424" s="566"/>
    </row>
    <row r="425" spans="1:21" ht="19.5" x14ac:dyDescent="0.3">
      <c r="A425" s="764"/>
      <c r="B425" s="718"/>
      <c r="C425" s="718"/>
      <c r="D425" s="718"/>
      <c r="E425" s="718"/>
      <c r="F425" s="718"/>
      <c r="G425" s="727"/>
      <c r="H425" s="677" t="s">
        <v>34</v>
      </c>
      <c r="I425" s="697">
        <f ca="1">IFERROR(__xludf.DUMMYFUNCTION("IMPORTRANGE(""https://docs.google.com/spreadsheets/d/1eHaY18a8A9IcSdp1K8H6x8fbOy06t2VsZHhMHf-1x7Y/edit?usp=sharing"",""แผน!HK23"")"),11799)</f>
        <v>11799</v>
      </c>
      <c r="J425" s="697">
        <f t="shared" si="285"/>
        <v>0</v>
      </c>
      <c r="K425" s="679">
        <f t="shared" ca="1" si="284"/>
        <v>0</v>
      </c>
      <c r="L425" s="574"/>
      <c r="M425" s="566"/>
      <c r="N425" s="566"/>
      <c r="O425" s="566"/>
      <c r="P425" s="566"/>
      <c r="Q425" s="566"/>
      <c r="R425" s="566"/>
      <c r="S425" s="566"/>
      <c r="T425" s="566"/>
      <c r="U425" s="566"/>
    </row>
    <row r="426" spans="1:21" ht="18.75" x14ac:dyDescent="0.25">
      <c r="A426" s="764"/>
      <c r="B426" s="718"/>
      <c r="C426" s="718"/>
      <c r="D426" s="765" t="s">
        <v>162</v>
      </c>
      <c r="E426" s="718"/>
      <c r="F426" s="718"/>
      <c r="G426" s="727"/>
      <c r="H426" s="681" t="s">
        <v>46</v>
      </c>
      <c r="I426" s="565"/>
      <c r="J426" s="565"/>
      <c r="K426" s="566"/>
      <c r="L426" s="574"/>
      <c r="M426" s="566"/>
      <c r="N426" s="566"/>
      <c r="O426" s="566"/>
      <c r="P426" s="566"/>
      <c r="Q426" s="566"/>
      <c r="R426" s="566"/>
      <c r="S426" s="566"/>
      <c r="T426" s="566"/>
      <c r="U426" s="566"/>
    </row>
    <row r="427" spans="1:21" ht="18.75" x14ac:dyDescent="0.25">
      <c r="A427" s="764"/>
      <c r="B427" s="718"/>
      <c r="C427" s="718"/>
      <c r="D427" s="718"/>
      <c r="E427" s="718"/>
      <c r="F427" s="718"/>
      <c r="G427" s="727"/>
      <c r="H427" s="681" t="s">
        <v>34</v>
      </c>
      <c r="I427" s="565"/>
      <c r="J427" s="565"/>
      <c r="K427" s="566"/>
      <c r="L427" s="574"/>
      <c r="M427" s="566"/>
      <c r="N427" s="566"/>
      <c r="O427" s="566"/>
      <c r="P427" s="566"/>
      <c r="Q427" s="566"/>
      <c r="R427" s="566"/>
      <c r="S427" s="566"/>
      <c r="T427" s="566"/>
      <c r="U427" s="566"/>
    </row>
    <row r="428" spans="1:21" ht="18.75" x14ac:dyDescent="0.25">
      <c r="A428" s="764"/>
      <c r="B428" s="718"/>
      <c r="C428" s="718"/>
      <c r="D428" s="765" t="s">
        <v>163</v>
      </c>
      <c r="E428" s="718"/>
      <c r="F428" s="718"/>
      <c r="G428" s="727"/>
      <c r="H428" s="681" t="s">
        <v>46</v>
      </c>
      <c r="I428" s="565"/>
      <c r="J428" s="565"/>
      <c r="K428" s="566"/>
      <c r="L428" s="574"/>
      <c r="M428" s="566"/>
      <c r="N428" s="566"/>
      <c r="O428" s="566"/>
      <c r="P428" s="566"/>
      <c r="Q428" s="566"/>
      <c r="R428" s="566"/>
      <c r="S428" s="566"/>
      <c r="T428" s="566"/>
      <c r="U428" s="566"/>
    </row>
    <row r="429" spans="1:21" ht="18.75" x14ac:dyDescent="0.25">
      <c r="A429" s="764"/>
      <c r="B429" s="718"/>
      <c r="C429" s="718"/>
      <c r="D429" s="718"/>
      <c r="E429" s="718"/>
      <c r="F429" s="718"/>
      <c r="G429" s="727"/>
      <c r="H429" s="681" t="s">
        <v>34</v>
      </c>
      <c r="I429" s="565"/>
      <c r="J429" s="565"/>
      <c r="K429" s="566"/>
      <c r="L429" s="574"/>
      <c r="M429" s="566"/>
      <c r="N429" s="566"/>
      <c r="O429" s="566"/>
      <c r="P429" s="566"/>
      <c r="Q429" s="566"/>
      <c r="R429" s="566"/>
      <c r="S429" s="566"/>
      <c r="T429" s="566"/>
      <c r="U429" s="566"/>
    </row>
    <row r="430" spans="1:21" ht="18.75" x14ac:dyDescent="0.25">
      <c r="A430" s="764"/>
      <c r="B430" s="718"/>
      <c r="C430" s="718"/>
      <c r="D430" s="765" t="s">
        <v>164</v>
      </c>
      <c r="E430" s="718"/>
      <c r="F430" s="718"/>
      <c r="G430" s="727"/>
      <c r="H430" s="681" t="s">
        <v>46</v>
      </c>
      <c r="I430" s="565"/>
      <c r="J430" s="565"/>
      <c r="K430" s="566"/>
      <c r="L430" s="574"/>
      <c r="M430" s="566"/>
      <c r="N430" s="566"/>
      <c r="O430" s="566"/>
      <c r="P430" s="566"/>
      <c r="Q430" s="566"/>
      <c r="R430" s="566"/>
      <c r="S430" s="566"/>
      <c r="T430" s="566"/>
      <c r="U430" s="566"/>
    </row>
    <row r="431" spans="1:21" ht="18.75" x14ac:dyDescent="0.25">
      <c r="A431" s="764"/>
      <c r="B431" s="718"/>
      <c r="C431" s="718"/>
      <c r="D431" s="718"/>
      <c r="E431" s="718"/>
      <c r="F431" s="718"/>
      <c r="G431" s="727"/>
      <c r="H431" s="681" t="s">
        <v>34</v>
      </c>
      <c r="I431" s="565"/>
      <c r="J431" s="565"/>
      <c r="K431" s="566"/>
      <c r="L431" s="574"/>
      <c r="M431" s="566"/>
      <c r="N431" s="566"/>
      <c r="O431" s="566"/>
      <c r="P431" s="566"/>
      <c r="Q431" s="566"/>
      <c r="R431" s="566"/>
      <c r="S431" s="566"/>
      <c r="T431" s="566"/>
      <c r="U431" s="566"/>
    </row>
    <row r="432" spans="1:21" ht="19.5" x14ac:dyDescent="0.3">
      <c r="A432" s="764"/>
      <c r="B432" s="718"/>
      <c r="C432" s="719" t="s">
        <v>165</v>
      </c>
      <c r="D432" s="718"/>
      <c r="E432" s="718"/>
      <c r="F432" s="718"/>
      <c r="G432" s="727"/>
      <c r="H432" s="677" t="s">
        <v>46</v>
      </c>
      <c r="I432" s="697">
        <f ca="1">IFERROR(__xludf.DUMMYFUNCTION("IMPORTRANGE(""https://docs.google.com/spreadsheets/d/1eHaY18a8A9IcSdp1K8H6x8fbOy06t2VsZHhMHf-1x7Y/edit?usp=sharing"",""แผน!HJ23"")"),158541)</f>
        <v>158541</v>
      </c>
      <c r="J432" s="697">
        <f t="shared" ref="J432:J433" si="286">J434+J436+J438</f>
        <v>0</v>
      </c>
      <c r="K432" s="679">
        <f t="shared" ref="K432:K433" ca="1" si="287">IF(I432&gt;0,J432*100/I432,0)</f>
        <v>0</v>
      </c>
      <c r="L432" s="574"/>
      <c r="M432" s="566"/>
      <c r="N432" s="566"/>
      <c r="O432" s="566"/>
      <c r="P432" s="566"/>
      <c r="Q432" s="566"/>
      <c r="R432" s="566"/>
      <c r="S432" s="566"/>
      <c r="T432" s="566"/>
      <c r="U432" s="566"/>
    </row>
    <row r="433" spans="1:21" ht="19.5" x14ac:dyDescent="0.3">
      <c r="A433" s="764"/>
      <c r="B433" s="718"/>
      <c r="C433" s="718"/>
      <c r="D433" s="718"/>
      <c r="E433" s="718"/>
      <c r="F433" s="718"/>
      <c r="G433" s="727"/>
      <c r="H433" s="677" t="s">
        <v>34</v>
      </c>
      <c r="I433" s="697">
        <f ca="1">IFERROR(__xludf.DUMMYFUNCTION("IMPORTRANGE(""https://docs.google.com/spreadsheets/d/1eHaY18a8A9IcSdp1K8H6x8fbOy06t2VsZHhMHf-1x7Y/edit?usp=sharing"",""แผน!HK23"")"),11799)</f>
        <v>11799</v>
      </c>
      <c r="J433" s="697">
        <f t="shared" si="286"/>
        <v>0</v>
      </c>
      <c r="K433" s="679">
        <f t="shared" ca="1" si="287"/>
        <v>0</v>
      </c>
      <c r="L433" s="574"/>
      <c r="M433" s="566"/>
      <c r="N433" s="566"/>
      <c r="O433" s="566"/>
      <c r="P433" s="566"/>
      <c r="Q433" s="566"/>
      <c r="R433" s="566"/>
      <c r="S433" s="566"/>
      <c r="T433" s="566"/>
      <c r="U433" s="566"/>
    </row>
    <row r="434" spans="1:21" ht="18.75" x14ac:dyDescent="0.25">
      <c r="A434" s="764"/>
      <c r="B434" s="718"/>
      <c r="C434" s="718"/>
      <c r="D434" s="765" t="s">
        <v>166</v>
      </c>
      <c r="E434" s="718"/>
      <c r="F434" s="718"/>
      <c r="G434" s="727"/>
      <c r="H434" s="681" t="s">
        <v>46</v>
      </c>
      <c r="I434" s="565"/>
      <c r="J434" s="565"/>
      <c r="K434" s="566"/>
      <c r="L434" s="574"/>
      <c r="M434" s="566"/>
      <c r="N434" s="566"/>
      <c r="O434" s="566"/>
      <c r="P434" s="566"/>
      <c r="Q434" s="566"/>
      <c r="R434" s="566"/>
      <c r="S434" s="566"/>
      <c r="T434" s="566"/>
      <c r="U434" s="566"/>
    </row>
    <row r="435" spans="1:21" ht="18.75" x14ac:dyDescent="0.25">
      <c r="A435" s="764"/>
      <c r="B435" s="718"/>
      <c r="C435" s="718"/>
      <c r="D435" s="718"/>
      <c r="E435" s="718"/>
      <c r="F435" s="718"/>
      <c r="G435" s="727"/>
      <c r="H435" s="681" t="s">
        <v>34</v>
      </c>
      <c r="I435" s="565"/>
      <c r="J435" s="565"/>
      <c r="K435" s="566"/>
      <c r="L435" s="574"/>
      <c r="M435" s="566"/>
      <c r="N435" s="566"/>
      <c r="O435" s="566"/>
      <c r="P435" s="566"/>
      <c r="Q435" s="566"/>
      <c r="R435" s="566"/>
      <c r="S435" s="566"/>
      <c r="T435" s="566"/>
      <c r="U435" s="566"/>
    </row>
    <row r="436" spans="1:21" ht="18.75" x14ac:dyDescent="0.25">
      <c r="A436" s="764"/>
      <c r="B436" s="718"/>
      <c r="C436" s="718"/>
      <c r="D436" s="765" t="s">
        <v>167</v>
      </c>
      <c r="E436" s="718"/>
      <c r="F436" s="718"/>
      <c r="G436" s="727"/>
      <c r="H436" s="681" t="s">
        <v>46</v>
      </c>
      <c r="I436" s="565"/>
      <c r="J436" s="565"/>
      <c r="K436" s="566"/>
      <c r="L436" s="574"/>
      <c r="M436" s="566"/>
      <c r="N436" s="566"/>
      <c r="O436" s="566"/>
      <c r="P436" s="566"/>
      <c r="Q436" s="566"/>
      <c r="R436" s="566"/>
      <c r="S436" s="566"/>
      <c r="T436" s="566"/>
      <c r="U436" s="566"/>
    </row>
    <row r="437" spans="1:21" ht="18.75" x14ac:dyDescent="0.25">
      <c r="A437" s="764"/>
      <c r="B437" s="718"/>
      <c r="C437" s="718"/>
      <c r="D437" s="718"/>
      <c r="E437" s="718"/>
      <c r="F437" s="718"/>
      <c r="G437" s="727"/>
      <c r="H437" s="681" t="s">
        <v>34</v>
      </c>
      <c r="I437" s="565"/>
      <c r="J437" s="565"/>
      <c r="K437" s="566"/>
      <c r="L437" s="574"/>
      <c r="M437" s="566"/>
      <c r="N437" s="566"/>
      <c r="O437" s="566"/>
      <c r="P437" s="566"/>
      <c r="Q437" s="566"/>
      <c r="R437" s="566"/>
      <c r="S437" s="566"/>
      <c r="T437" s="566"/>
      <c r="U437" s="566"/>
    </row>
    <row r="438" spans="1:21" ht="18.75" x14ac:dyDescent="0.25">
      <c r="A438" s="764"/>
      <c r="B438" s="718"/>
      <c r="C438" s="718"/>
      <c r="D438" s="765" t="s">
        <v>168</v>
      </c>
      <c r="E438" s="718"/>
      <c r="F438" s="718"/>
      <c r="G438" s="727"/>
      <c r="H438" s="681" t="s">
        <v>46</v>
      </c>
      <c r="I438" s="565"/>
      <c r="J438" s="565"/>
      <c r="K438" s="566"/>
      <c r="L438" s="574"/>
      <c r="M438" s="566"/>
      <c r="N438" s="566"/>
      <c r="O438" s="566"/>
      <c r="P438" s="566"/>
      <c r="Q438" s="566"/>
      <c r="R438" s="566"/>
      <c r="S438" s="566"/>
      <c r="T438" s="566"/>
      <c r="U438" s="566"/>
    </row>
    <row r="439" spans="1:21" ht="18.75" x14ac:dyDescent="0.25">
      <c r="A439" s="764"/>
      <c r="B439" s="718"/>
      <c r="C439" s="718"/>
      <c r="D439" s="718"/>
      <c r="E439" s="718"/>
      <c r="F439" s="718"/>
      <c r="G439" s="727"/>
      <c r="H439" s="681" t="s">
        <v>34</v>
      </c>
      <c r="I439" s="565"/>
      <c r="J439" s="565"/>
      <c r="K439" s="566"/>
      <c r="L439" s="574"/>
      <c r="M439" s="566"/>
      <c r="N439" s="566"/>
      <c r="O439" s="566"/>
      <c r="P439" s="566"/>
      <c r="Q439" s="566"/>
      <c r="R439" s="566"/>
      <c r="S439" s="566"/>
      <c r="T439" s="566"/>
      <c r="U439" s="566"/>
    </row>
    <row r="440" spans="1:21" ht="19.5" x14ac:dyDescent="0.3">
      <c r="A440" s="764"/>
      <c r="B440" s="718"/>
      <c r="C440" s="719" t="s">
        <v>169</v>
      </c>
      <c r="D440" s="718"/>
      <c r="E440" s="718"/>
      <c r="F440" s="718"/>
      <c r="G440" s="727"/>
      <c r="H440" s="677" t="s">
        <v>46</v>
      </c>
      <c r="I440" s="697">
        <f ca="1">IFERROR(__xludf.DUMMYFUNCTION("IMPORTRANGE(""https://docs.google.com/spreadsheets/d/1eHaY18a8A9IcSdp1K8H6x8fbOy06t2VsZHhMHf-1x7Y/edit?usp=sharing"",""แผน!HJ23"")"),158541)</f>
        <v>158541</v>
      </c>
      <c r="J440" s="697">
        <f t="shared" ref="J440:J441" si="288">J442+J444+J446+J452+J454</f>
        <v>0</v>
      </c>
      <c r="K440" s="679">
        <f t="shared" ref="K440:K441" ca="1" si="289">IF(I440&gt;0,J440*100/I440,0)</f>
        <v>0</v>
      </c>
      <c r="L440" s="574"/>
      <c r="M440" s="566"/>
      <c r="N440" s="566"/>
      <c r="O440" s="566"/>
      <c r="P440" s="566"/>
      <c r="Q440" s="566"/>
      <c r="R440" s="566"/>
      <c r="S440" s="566"/>
      <c r="T440" s="566"/>
      <c r="U440" s="566"/>
    </row>
    <row r="441" spans="1:21" ht="19.5" x14ac:dyDescent="0.3">
      <c r="A441" s="764"/>
      <c r="B441" s="718"/>
      <c r="C441" s="718"/>
      <c r="D441" s="718"/>
      <c r="E441" s="718"/>
      <c r="F441" s="718"/>
      <c r="G441" s="727"/>
      <c r="H441" s="677" t="s">
        <v>34</v>
      </c>
      <c r="I441" s="697">
        <f ca="1">IFERROR(__xludf.DUMMYFUNCTION("IMPORTRANGE(""https://docs.google.com/spreadsheets/d/1eHaY18a8A9IcSdp1K8H6x8fbOy06t2VsZHhMHf-1x7Y/edit?usp=sharing"",""แผน!HK23"")"),11799)</f>
        <v>11799</v>
      </c>
      <c r="J441" s="697">
        <f t="shared" si="288"/>
        <v>0</v>
      </c>
      <c r="K441" s="679">
        <f t="shared" ca="1" si="289"/>
        <v>0</v>
      </c>
      <c r="L441" s="574"/>
      <c r="M441" s="566"/>
      <c r="N441" s="566"/>
      <c r="O441" s="566"/>
      <c r="P441" s="566"/>
      <c r="Q441" s="566"/>
      <c r="R441" s="566"/>
      <c r="S441" s="566"/>
      <c r="T441" s="566"/>
      <c r="U441" s="566"/>
    </row>
    <row r="442" spans="1:21" ht="18.75" x14ac:dyDescent="0.25">
      <c r="A442" s="764"/>
      <c r="B442" s="718"/>
      <c r="C442" s="718"/>
      <c r="D442" s="765" t="s">
        <v>170</v>
      </c>
      <c r="E442" s="718"/>
      <c r="F442" s="718"/>
      <c r="G442" s="727"/>
      <c r="H442" s="681" t="s">
        <v>46</v>
      </c>
      <c r="I442" s="565"/>
      <c r="J442" s="565"/>
      <c r="K442" s="566"/>
      <c r="L442" s="574"/>
      <c r="M442" s="566"/>
      <c r="N442" s="566"/>
      <c r="O442" s="566"/>
      <c r="P442" s="566"/>
      <c r="Q442" s="566"/>
      <c r="R442" s="566"/>
      <c r="S442" s="566"/>
      <c r="T442" s="566"/>
      <c r="U442" s="566"/>
    </row>
    <row r="443" spans="1:21" ht="18.75" x14ac:dyDescent="0.25">
      <c r="A443" s="764"/>
      <c r="B443" s="718"/>
      <c r="C443" s="718"/>
      <c r="D443" s="718"/>
      <c r="E443" s="718"/>
      <c r="F443" s="718"/>
      <c r="G443" s="727"/>
      <c r="H443" s="681" t="s">
        <v>34</v>
      </c>
      <c r="I443" s="565"/>
      <c r="J443" s="565"/>
      <c r="K443" s="566"/>
      <c r="L443" s="574"/>
      <c r="M443" s="566"/>
      <c r="N443" s="566"/>
      <c r="O443" s="566"/>
      <c r="P443" s="566"/>
      <c r="Q443" s="566"/>
      <c r="R443" s="566"/>
      <c r="S443" s="566"/>
      <c r="T443" s="566"/>
      <c r="U443" s="566"/>
    </row>
    <row r="444" spans="1:21" ht="18.75" x14ac:dyDescent="0.25">
      <c r="A444" s="764"/>
      <c r="B444" s="718"/>
      <c r="C444" s="718"/>
      <c r="D444" s="765" t="s">
        <v>171</v>
      </c>
      <c r="E444" s="718"/>
      <c r="F444" s="718"/>
      <c r="G444" s="727"/>
      <c r="H444" s="681" t="s">
        <v>46</v>
      </c>
      <c r="I444" s="565"/>
      <c r="J444" s="565"/>
      <c r="K444" s="566"/>
      <c r="L444" s="574"/>
      <c r="M444" s="566"/>
      <c r="N444" s="566"/>
      <c r="O444" s="566"/>
      <c r="P444" s="566"/>
      <c r="Q444" s="566"/>
      <c r="R444" s="566"/>
      <c r="S444" s="566"/>
      <c r="T444" s="566"/>
      <c r="U444" s="566"/>
    </row>
    <row r="445" spans="1:21" ht="18.75" x14ac:dyDescent="0.25">
      <c r="A445" s="764"/>
      <c r="B445" s="718"/>
      <c r="C445" s="718"/>
      <c r="D445" s="718"/>
      <c r="E445" s="718"/>
      <c r="F445" s="718"/>
      <c r="G445" s="727"/>
      <c r="H445" s="681" t="s">
        <v>34</v>
      </c>
      <c r="I445" s="565"/>
      <c r="J445" s="565"/>
      <c r="K445" s="566"/>
      <c r="L445" s="574"/>
      <c r="M445" s="566"/>
      <c r="N445" s="566"/>
      <c r="O445" s="566"/>
      <c r="P445" s="566"/>
      <c r="Q445" s="566"/>
      <c r="R445" s="566"/>
      <c r="S445" s="566"/>
      <c r="T445" s="566"/>
      <c r="U445" s="566"/>
    </row>
    <row r="446" spans="1:21" ht="19.5" x14ac:dyDescent="0.3">
      <c r="A446" s="764"/>
      <c r="B446" s="718"/>
      <c r="C446" s="718"/>
      <c r="D446" s="765" t="s">
        <v>172</v>
      </c>
      <c r="E446" s="718"/>
      <c r="F446" s="718"/>
      <c r="G446" s="727"/>
      <c r="H446" s="681" t="s">
        <v>46</v>
      </c>
      <c r="I446" s="565"/>
      <c r="J446" s="697">
        <f t="shared" ref="J446:J447" si="290">J448+J450</f>
        <v>0</v>
      </c>
      <c r="K446" s="566"/>
      <c r="L446" s="574"/>
      <c r="M446" s="566"/>
      <c r="N446" s="566"/>
      <c r="O446" s="566"/>
      <c r="P446" s="566"/>
      <c r="Q446" s="566"/>
      <c r="R446" s="566"/>
      <c r="S446" s="566"/>
      <c r="T446" s="566"/>
      <c r="U446" s="566"/>
    </row>
    <row r="447" spans="1:21" ht="19.5" x14ac:dyDescent="0.3">
      <c r="A447" s="764"/>
      <c r="B447" s="718"/>
      <c r="C447" s="718"/>
      <c r="D447" s="718"/>
      <c r="E447" s="718"/>
      <c r="F447" s="718"/>
      <c r="G447" s="727"/>
      <c r="H447" s="681" t="s">
        <v>34</v>
      </c>
      <c r="I447" s="565"/>
      <c r="J447" s="697">
        <f t="shared" si="290"/>
        <v>0</v>
      </c>
      <c r="K447" s="566"/>
      <c r="L447" s="574"/>
      <c r="M447" s="566"/>
      <c r="N447" s="566"/>
      <c r="O447" s="566"/>
      <c r="P447" s="566"/>
      <c r="Q447" s="566"/>
      <c r="R447" s="566"/>
      <c r="S447" s="566"/>
      <c r="T447" s="566"/>
      <c r="U447" s="566"/>
    </row>
    <row r="448" spans="1:21" ht="18.75" x14ac:dyDescent="0.25">
      <c r="A448" s="764"/>
      <c r="B448" s="718"/>
      <c r="C448" s="718"/>
      <c r="D448" s="718"/>
      <c r="E448" s="765" t="s">
        <v>173</v>
      </c>
      <c r="F448" s="718"/>
      <c r="G448" s="727"/>
      <c r="H448" s="681" t="s">
        <v>46</v>
      </c>
      <c r="I448" s="565"/>
      <c r="J448" s="565"/>
      <c r="K448" s="566"/>
      <c r="L448" s="574"/>
      <c r="M448" s="566"/>
      <c r="N448" s="566"/>
      <c r="O448" s="566"/>
      <c r="P448" s="566"/>
      <c r="Q448" s="566"/>
      <c r="R448" s="566"/>
      <c r="S448" s="566"/>
      <c r="T448" s="566"/>
      <c r="U448" s="566"/>
    </row>
    <row r="449" spans="1:21" ht="18.75" x14ac:dyDescent="0.25">
      <c r="A449" s="764"/>
      <c r="B449" s="718"/>
      <c r="C449" s="718"/>
      <c r="D449" s="718"/>
      <c r="E449" s="718"/>
      <c r="F449" s="718"/>
      <c r="G449" s="727"/>
      <c r="H449" s="681" t="s">
        <v>34</v>
      </c>
      <c r="I449" s="565"/>
      <c r="J449" s="565"/>
      <c r="K449" s="566"/>
      <c r="L449" s="574"/>
      <c r="M449" s="566"/>
      <c r="N449" s="566"/>
      <c r="O449" s="566"/>
      <c r="P449" s="566"/>
      <c r="Q449" s="566"/>
      <c r="R449" s="566"/>
      <c r="S449" s="566"/>
      <c r="T449" s="566"/>
      <c r="U449" s="566"/>
    </row>
    <row r="450" spans="1:21" ht="18.75" x14ac:dyDescent="0.25">
      <c r="A450" s="764"/>
      <c r="B450" s="718"/>
      <c r="C450" s="718"/>
      <c r="D450" s="718"/>
      <c r="E450" s="765" t="s">
        <v>174</v>
      </c>
      <c r="F450" s="718"/>
      <c r="G450" s="727"/>
      <c r="H450" s="681" t="s">
        <v>46</v>
      </c>
      <c r="I450" s="565"/>
      <c r="J450" s="565"/>
      <c r="K450" s="566"/>
      <c r="L450" s="574"/>
      <c r="M450" s="566"/>
      <c r="N450" s="566"/>
      <c r="O450" s="566"/>
      <c r="P450" s="566"/>
      <c r="Q450" s="566"/>
      <c r="R450" s="566"/>
      <c r="S450" s="566"/>
      <c r="T450" s="566"/>
      <c r="U450" s="566"/>
    </row>
    <row r="451" spans="1:21" ht="18.75" x14ac:dyDescent="0.25">
      <c r="A451" s="764"/>
      <c r="B451" s="718"/>
      <c r="C451" s="718"/>
      <c r="D451" s="718"/>
      <c r="E451" s="718"/>
      <c r="F451" s="718"/>
      <c r="G451" s="727"/>
      <c r="H451" s="681" t="s">
        <v>34</v>
      </c>
      <c r="I451" s="565"/>
      <c r="J451" s="565"/>
      <c r="K451" s="566"/>
      <c r="L451" s="574"/>
      <c r="M451" s="566"/>
      <c r="N451" s="566"/>
      <c r="O451" s="566"/>
      <c r="P451" s="566"/>
      <c r="Q451" s="566"/>
      <c r="R451" s="566"/>
      <c r="S451" s="566"/>
      <c r="T451" s="566"/>
      <c r="U451" s="566"/>
    </row>
    <row r="452" spans="1:21" ht="18.75" x14ac:dyDescent="0.25">
      <c r="A452" s="764"/>
      <c r="B452" s="718"/>
      <c r="C452" s="718"/>
      <c r="D452" s="765" t="s">
        <v>175</v>
      </c>
      <c r="E452" s="718"/>
      <c r="F452" s="718"/>
      <c r="G452" s="727"/>
      <c r="H452" s="681" t="s">
        <v>46</v>
      </c>
      <c r="I452" s="565"/>
      <c r="J452" s="565"/>
      <c r="K452" s="566"/>
      <c r="L452" s="574"/>
      <c r="M452" s="566"/>
      <c r="N452" s="566"/>
      <c r="O452" s="566"/>
      <c r="P452" s="566"/>
      <c r="Q452" s="566"/>
      <c r="R452" s="566"/>
      <c r="S452" s="566"/>
      <c r="T452" s="566"/>
      <c r="U452" s="566"/>
    </row>
    <row r="453" spans="1:21" ht="18.75" x14ac:dyDescent="0.25">
      <c r="A453" s="764"/>
      <c r="B453" s="718"/>
      <c r="C453" s="718"/>
      <c r="D453" s="718"/>
      <c r="E453" s="718"/>
      <c r="F453" s="718"/>
      <c r="G453" s="727"/>
      <c r="H453" s="681" t="s">
        <v>34</v>
      </c>
      <c r="I453" s="565"/>
      <c r="J453" s="565"/>
      <c r="K453" s="566"/>
      <c r="L453" s="574"/>
      <c r="M453" s="566"/>
      <c r="N453" s="566"/>
      <c r="O453" s="566"/>
      <c r="P453" s="566"/>
      <c r="Q453" s="566"/>
      <c r="R453" s="566"/>
      <c r="S453" s="566"/>
      <c r="T453" s="566"/>
      <c r="U453" s="566"/>
    </row>
    <row r="454" spans="1:21" ht="18.75" x14ac:dyDescent="0.25">
      <c r="A454" s="764"/>
      <c r="B454" s="718"/>
      <c r="C454" s="718"/>
      <c r="D454" s="765" t="s">
        <v>176</v>
      </c>
      <c r="E454" s="718"/>
      <c r="F454" s="718"/>
      <c r="G454" s="727"/>
      <c r="H454" s="681" t="s">
        <v>46</v>
      </c>
      <c r="I454" s="565"/>
      <c r="J454" s="981"/>
      <c r="K454" s="566"/>
      <c r="L454" s="574"/>
      <c r="M454" s="566"/>
      <c r="N454" s="566"/>
      <c r="O454" s="566"/>
      <c r="P454" s="566"/>
      <c r="Q454" s="566"/>
      <c r="R454" s="566"/>
      <c r="S454" s="566"/>
      <c r="T454" s="566"/>
      <c r="U454" s="566"/>
    </row>
    <row r="455" spans="1:21" ht="18.75" x14ac:dyDescent="0.25">
      <c r="A455" s="764"/>
      <c r="B455" s="718"/>
      <c r="C455" s="718"/>
      <c r="D455" s="718"/>
      <c r="E455" s="718"/>
      <c r="F455" s="718"/>
      <c r="G455" s="727"/>
      <c r="H455" s="681" t="s">
        <v>34</v>
      </c>
      <c r="I455" s="565"/>
      <c r="J455" s="565"/>
      <c r="K455" s="566"/>
      <c r="L455" s="574"/>
      <c r="M455" s="566"/>
      <c r="N455" s="566"/>
      <c r="O455" s="566"/>
      <c r="P455" s="566"/>
      <c r="Q455" s="566"/>
      <c r="R455" s="566"/>
      <c r="S455" s="566"/>
      <c r="T455" s="566"/>
      <c r="U455" s="566"/>
    </row>
    <row r="456" spans="1:21" ht="19.5" x14ac:dyDescent="0.3">
      <c r="A456" s="764"/>
      <c r="B456" s="719" t="s">
        <v>177</v>
      </c>
      <c r="C456" s="718"/>
      <c r="D456" s="718"/>
      <c r="E456" s="718"/>
      <c r="F456" s="718"/>
      <c r="G456" s="727"/>
      <c r="H456" s="979" t="s">
        <v>46</v>
      </c>
      <c r="I456" s="697">
        <f t="shared" ref="I456:J456" ca="1" si="291">I457</f>
        <v>240</v>
      </c>
      <c r="J456" s="697">
        <f t="shared" si="291"/>
        <v>0</v>
      </c>
      <c r="K456" s="679">
        <f t="shared" ref="K456:K458" ca="1" si="292">IF(I456&gt;0,J456*100/I456,0)</f>
        <v>0</v>
      </c>
      <c r="L456" s="574"/>
      <c r="M456" s="566"/>
      <c r="N456" s="566"/>
      <c r="O456" s="566"/>
      <c r="P456" s="566"/>
      <c r="Q456" s="566"/>
      <c r="R456" s="566"/>
      <c r="S456" s="566"/>
      <c r="T456" s="566"/>
      <c r="U456" s="566"/>
    </row>
    <row r="457" spans="1:21" ht="19.5" x14ac:dyDescent="0.3">
      <c r="A457" s="764"/>
      <c r="B457" s="718"/>
      <c r="C457" s="719" t="s">
        <v>178</v>
      </c>
      <c r="D457" s="718"/>
      <c r="E457" s="718"/>
      <c r="F457" s="718"/>
      <c r="G457" s="727"/>
      <c r="H457" s="677" t="s">
        <v>46</v>
      </c>
      <c r="I457" s="697">
        <f ca="1">IFERROR(__xludf.DUMMYFUNCTION("IMPORTRANGE(""https://docs.google.com/spreadsheets/d/1eHaY18a8A9IcSdp1K8H6x8fbOy06t2VsZHhMHf-1x7Y/edit?usp=sharing"",""แผน!HL23"")"),240)</f>
        <v>240</v>
      </c>
      <c r="J457" s="697">
        <f t="shared" ref="J457:J458" si="293">J459+J467+J473</f>
        <v>0</v>
      </c>
      <c r="K457" s="679">
        <f t="shared" ca="1" si="292"/>
        <v>0</v>
      </c>
      <c r="L457" s="574"/>
      <c r="M457" s="566"/>
      <c r="N457" s="566"/>
      <c r="O457" s="566"/>
      <c r="P457" s="566"/>
      <c r="Q457" s="566"/>
      <c r="R457" s="566"/>
      <c r="S457" s="566"/>
      <c r="T457" s="566"/>
      <c r="U457" s="566"/>
    </row>
    <row r="458" spans="1:21" ht="19.5" x14ac:dyDescent="0.3">
      <c r="A458" s="764"/>
      <c r="B458" s="718"/>
      <c r="C458" s="718"/>
      <c r="D458" s="718"/>
      <c r="E458" s="718"/>
      <c r="F458" s="718"/>
      <c r="G458" s="727"/>
      <c r="H458" s="677" t="s">
        <v>34</v>
      </c>
      <c r="I458" s="697">
        <f ca="1">IFERROR(__xludf.DUMMYFUNCTION("IMPORTRANGE(""https://docs.google.com/spreadsheets/d/1eHaY18a8A9IcSdp1K8H6x8fbOy06t2VsZHhMHf-1x7Y/edit?usp=sharing"",""แผน!HM23"")"),0)</f>
        <v>0</v>
      </c>
      <c r="J458" s="697">
        <f t="shared" si="293"/>
        <v>0</v>
      </c>
      <c r="K458" s="679">
        <f t="shared" ca="1" si="292"/>
        <v>0</v>
      </c>
      <c r="L458" s="574"/>
      <c r="M458" s="566"/>
      <c r="N458" s="566"/>
      <c r="O458" s="566"/>
      <c r="P458" s="566"/>
      <c r="Q458" s="566"/>
      <c r="R458" s="566"/>
      <c r="S458" s="566"/>
      <c r="T458" s="566"/>
      <c r="U458" s="566"/>
    </row>
    <row r="459" spans="1:21" ht="18.75" x14ac:dyDescent="0.25">
      <c r="A459" s="764"/>
      <c r="B459" s="718"/>
      <c r="C459" s="765" t="s">
        <v>179</v>
      </c>
      <c r="D459" s="718"/>
      <c r="E459" s="718"/>
      <c r="F459" s="718"/>
      <c r="G459" s="727"/>
      <c r="H459" s="681" t="s">
        <v>46</v>
      </c>
      <c r="I459" s="565"/>
      <c r="J459" s="708">
        <f t="shared" ref="J459:J460" si="294">J461+J463</f>
        <v>0</v>
      </c>
      <c r="K459" s="566"/>
      <c r="L459" s="574"/>
      <c r="M459" s="566"/>
      <c r="N459" s="566"/>
      <c r="O459" s="566"/>
      <c r="P459" s="566"/>
      <c r="Q459" s="566"/>
      <c r="R459" s="566"/>
      <c r="S459" s="566"/>
      <c r="T459" s="566"/>
      <c r="U459" s="566"/>
    </row>
    <row r="460" spans="1:21" ht="18.75" x14ac:dyDescent="0.25">
      <c r="A460" s="764"/>
      <c r="B460" s="718"/>
      <c r="C460" s="718"/>
      <c r="D460" s="718"/>
      <c r="E460" s="718"/>
      <c r="F460" s="718"/>
      <c r="G460" s="727"/>
      <c r="H460" s="681" t="s">
        <v>34</v>
      </c>
      <c r="I460" s="565"/>
      <c r="J460" s="708">
        <f t="shared" si="294"/>
        <v>0</v>
      </c>
      <c r="K460" s="566"/>
      <c r="L460" s="574"/>
      <c r="M460" s="566"/>
      <c r="N460" s="566"/>
      <c r="O460" s="566"/>
      <c r="P460" s="566"/>
      <c r="Q460" s="566"/>
      <c r="R460" s="566"/>
      <c r="S460" s="566"/>
      <c r="T460" s="566"/>
      <c r="U460" s="566"/>
    </row>
    <row r="461" spans="1:21" ht="18.75" x14ac:dyDescent="0.25">
      <c r="A461" s="764"/>
      <c r="B461" s="718"/>
      <c r="C461" s="718"/>
      <c r="D461" s="982" t="s">
        <v>180</v>
      </c>
      <c r="E461" s="718"/>
      <c r="F461" s="718"/>
      <c r="G461" s="727"/>
      <c r="H461" s="681" t="s">
        <v>46</v>
      </c>
      <c r="I461" s="565"/>
      <c r="J461" s="565"/>
      <c r="K461" s="566"/>
      <c r="L461" s="574"/>
      <c r="M461" s="566"/>
      <c r="N461" s="566"/>
      <c r="O461" s="566"/>
      <c r="P461" s="566"/>
      <c r="Q461" s="566"/>
      <c r="R461" s="566"/>
      <c r="S461" s="566"/>
      <c r="T461" s="566"/>
      <c r="U461" s="566"/>
    </row>
    <row r="462" spans="1:21" ht="18.75" x14ac:dyDescent="0.25">
      <c r="A462" s="764"/>
      <c r="B462" s="718"/>
      <c r="C462" s="718"/>
      <c r="D462" s="718"/>
      <c r="E462" s="718"/>
      <c r="F462" s="718"/>
      <c r="G462" s="727"/>
      <c r="H462" s="681" t="s">
        <v>34</v>
      </c>
      <c r="I462" s="565"/>
      <c r="J462" s="565"/>
      <c r="K462" s="566"/>
      <c r="L462" s="574"/>
      <c r="M462" s="566"/>
      <c r="N462" s="566"/>
      <c r="O462" s="566"/>
      <c r="P462" s="566"/>
      <c r="Q462" s="566"/>
      <c r="R462" s="566"/>
      <c r="S462" s="566"/>
      <c r="T462" s="566"/>
      <c r="U462" s="566"/>
    </row>
    <row r="463" spans="1:21" ht="18.75" x14ac:dyDescent="0.25">
      <c r="A463" s="764"/>
      <c r="B463" s="718"/>
      <c r="C463" s="718"/>
      <c r="D463" s="982" t="s">
        <v>181</v>
      </c>
      <c r="E463" s="718"/>
      <c r="F463" s="718"/>
      <c r="G463" s="727"/>
      <c r="H463" s="681" t="s">
        <v>46</v>
      </c>
      <c r="I463" s="565"/>
      <c r="J463" s="565"/>
      <c r="K463" s="566"/>
      <c r="L463" s="574"/>
      <c r="M463" s="566"/>
      <c r="N463" s="566"/>
      <c r="O463" s="566"/>
      <c r="P463" s="566"/>
      <c r="Q463" s="566"/>
      <c r="R463" s="566"/>
      <c r="S463" s="566"/>
      <c r="T463" s="566"/>
      <c r="U463" s="566"/>
    </row>
    <row r="464" spans="1:21" ht="18.75" x14ac:dyDescent="0.25">
      <c r="A464" s="764"/>
      <c r="B464" s="718"/>
      <c r="C464" s="718"/>
      <c r="D464" s="718"/>
      <c r="E464" s="718"/>
      <c r="F464" s="718"/>
      <c r="G464" s="727"/>
      <c r="H464" s="681" t="s">
        <v>34</v>
      </c>
      <c r="I464" s="565"/>
      <c r="J464" s="565"/>
      <c r="K464" s="566"/>
      <c r="L464" s="574"/>
      <c r="M464" s="566"/>
      <c r="N464" s="566"/>
      <c r="O464" s="566"/>
      <c r="P464" s="566"/>
      <c r="Q464" s="566"/>
      <c r="R464" s="566"/>
      <c r="S464" s="566"/>
      <c r="T464" s="566"/>
      <c r="U464" s="566"/>
    </row>
    <row r="465" spans="1:21" ht="18.75" x14ac:dyDescent="0.25">
      <c r="A465" s="764"/>
      <c r="B465" s="718"/>
      <c r="C465" s="718"/>
      <c r="D465" s="982" t="s">
        <v>182</v>
      </c>
      <c r="E465" s="718"/>
      <c r="F465" s="718"/>
      <c r="G465" s="727"/>
      <c r="H465" s="681" t="s">
        <v>46</v>
      </c>
      <c r="I465" s="565"/>
      <c r="J465" s="565"/>
      <c r="K465" s="566"/>
      <c r="L465" s="574"/>
      <c r="M465" s="566"/>
      <c r="N465" s="566"/>
      <c r="O465" s="566"/>
      <c r="P465" s="566"/>
      <c r="Q465" s="566"/>
      <c r="R465" s="566"/>
      <c r="S465" s="566"/>
      <c r="T465" s="566"/>
      <c r="U465" s="566"/>
    </row>
    <row r="466" spans="1:21" ht="18.75" x14ac:dyDescent="0.25">
      <c r="A466" s="764"/>
      <c r="B466" s="718"/>
      <c r="C466" s="718"/>
      <c r="D466" s="718"/>
      <c r="E466" s="718"/>
      <c r="F466" s="718"/>
      <c r="G466" s="727"/>
      <c r="H466" s="681" t="s">
        <v>34</v>
      </c>
      <c r="I466" s="565"/>
      <c r="J466" s="565"/>
      <c r="K466" s="566"/>
      <c r="L466" s="574"/>
      <c r="M466" s="566"/>
      <c r="N466" s="566"/>
      <c r="O466" s="566"/>
      <c r="P466" s="566"/>
      <c r="Q466" s="566"/>
      <c r="R466" s="566"/>
      <c r="S466" s="566"/>
      <c r="T466" s="566"/>
      <c r="U466" s="566"/>
    </row>
    <row r="467" spans="1:21" ht="18.75" x14ac:dyDescent="0.25">
      <c r="A467" s="764"/>
      <c r="B467" s="718"/>
      <c r="C467" s="982" t="s">
        <v>183</v>
      </c>
      <c r="D467" s="718"/>
      <c r="E467" s="718"/>
      <c r="F467" s="718"/>
      <c r="G467" s="727"/>
      <c r="H467" s="681" t="s">
        <v>46</v>
      </c>
      <c r="I467" s="565"/>
      <c r="J467" s="708">
        <f t="shared" ref="J467:J468" si="295">J469+J471</f>
        <v>0</v>
      </c>
      <c r="K467" s="566"/>
      <c r="L467" s="574"/>
      <c r="M467" s="566"/>
      <c r="N467" s="566"/>
      <c r="O467" s="566"/>
      <c r="P467" s="566"/>
      <c r="Q467" s="566"/>
      <c r="R467" s="566"/>
      <c r="S467" s="566"/>
      <c r="T467" s="566"/>
      <c r="U467" s="566"/>
    </row>
    <row r="468" spans="1:21" ht="18.75" x14ac:dyDescent="0.25">
      <c r="A468" s="764"/>
      <c r="B468" s="718"/>
      <c r="C468" s="718"/>
      <c r="D468" s="718"/>
      <c r="E468" s="718"/>
      <c r="F468" s="718"/>
      <c r="G468" s="727"/>
      <c r="H468" s="681" t="s">
        <v>34</v>
      </c>
      <c r="I468" s="565"/>
      <c r="J468" s="708">
        <f t="shared" si="295"/>
        <v>0</v>
      </c>
      <c r="K468" s="566"/>
      <c r="L468" s="574"/>
      <c r="M468" s="566"/>
      <c r="N468" s="566"/>
      <c r="O468" s="566"/>
      <c r="P468" s="566"/>
      <c r="Q468" s="566"/>
      <c r="R468" s="566"/>
      <c r="S468" s="566"/>
      <c r="T468" s="566"/>
      <c r="U468" s="566"/>
    </row>
    <row r="469" spans="1:21" ht="18.75" x14ac:dyDescent="0.25">
      <c r="A469" s="764"/>
      <c r="B469" s="718"/>
      <c r="C469" s="718"/>
      <c r="D469" s="982" t="s">
        <v>184</v>
      </c>
      <c r="E469" s="718"/>
      <c r="F469" s="718"/>
      <c r="G469" s="727"/>
      <c r="H469" s="681" t="s">
        <v>46</v>
      </c>
      <c r="I469" s="565"/>
      <c r="J469" s="565"/>
      <c r="K469" s="566"/>
      <c r="L469" s="574"/>
      <c r="M469" s="566"/>
      <c r="N469" s="566"/>
      <c r="O469" s="566"/>
      <c r="P469" s="566"/>
      <c r="Q469" s="566"/>
      <c r="R469" s="566"/>
      <c r="S469" s="566"/>
      <c r="T469" s="566"/>
      <c r="U469" s="566"/>
    </row>
    <row r="470" spans="1:21" ht="18.75" x14ac:dyDescent="0.25">
      <c r="A470" s="764"/>
      <c r="B470" s="718"/>
      <c r="C470" s="718"/>
      <c r="D470" s="718"/>
      <c r="E470" s="718"/>
      <c r="F470" s="718"/>
      <c r="G470" s="727"/>
      <c r="H470" s="681" t="s">
        <v>34</v>
      </c>
      <c r="I470" s="565"/>
      <c r="J470" s="565"/>
      <c r="K470" s="566"/>
      <c r="L470" s="574"/>
      <c r="M470" s="566"/>
      <c r="N470" s="566"/>
      <c r="O470" s="566"/>
      <c r="P470" s="566"/>
      <c r="Q470" s="566"/>
      <c r="R470" s="566"/>
      <c r="S470" s="566"/>
      <c r="T470" s="566"/>
      <c r="U470" s="566"/>
    </row>
    <row r="471" spans="1:21" ht="18.75" x14ac:dyDescent="0.25">
      <c r="A471" s="764"/>
      <c r="B471" s="718"/>
      <c r="C471" s="718"/>
      <c r="D471" s="982" t="s">
        <v>185</v>
      </c>
      <c r="E471" s="718"/>
      <c r="F471" s="718"/>
      <c r="G471" s="727"/>
      <c r="H471" s="681" t="s">
        <v>46</v>
      </c>
      <c r="I471" s="565"/>
      <c r="J471" s="565"/>
      <c r="K471" s="566"/>
      <c r="L471" s="574"/>
      <c r="M471" s="566"/>
      <c r="N471" s="566"/>
      <c r="O471" s="566"/>
      <c r="P471" s="566"/>
      <c r="Q471" s="566"/>
      <c r="R471" s="566"/>
      <c r="S471" s="566"/>
      <c r="T471" s="566"/>
      <c r="U471" s="566"/>
    </row>
    <row r="472" spans="1:21" ht="18.75" x14ac:dyDescent="0.25">
      <c r="A472" s="764"/>
      <c r="B472" s="718"/>
      <c r="C472" s="718"/>
      <c r="D472" s="718"/>
      <c r="E472" s="718"/>
      <c r="F472" s="718"/>
      <c r="G472" s="727"/>
      <c r="H472" s="681" t="s">
        <v>34</v>
      </c>
      <c r="I472" s="565"/>
      <c r="J472" s="565"/>
      <c r="K472" s="566"/>
      <c r="L472" s="574"/>
      <c r="M472" s="566"/>
      <c r="N472" s="566"/>
      <c r="O472" s="566"/>
      <c r="P472" s="566"/>
      <c r="Q472" s="566"/>
      <c r="R472" s="566"/>
      <c r="S472" s="566"/>
      <c r="T472" s="566"/>
      <c r="U472" s="566"/>
    </row>
    <row r="473" spans="1:21" ht="18.75" x14ac:dyDescent="0.25">
      <c r="A473" s="764"/>
      <c r="B473" s="718"/>
      <c r="C473" s="765" t="s">
        <v>186</v>
      </c>
      <c r="D473" s="718"/>
      <c r="E473" s="718"/>
      <c r="F473" s="718"/>
      <c r="G473" s="727"/>
      <c r="H473" s="681" t="s">
        <v>46</v>
      </c>
      <c r="I473" s="565"/>
      <c r="J473" s="565"/>
      <c r="K473" s="566"/>
      <c r="L473" s="574"/>
      <c r="M473" s="566"/>
      <c r="N473" s="566"/>
      <c r="O473" s="566"/>
      <c r="P473" s="566"/>
      <c r="Q473" s="566"/>
      <c r="R473" s="566"/>
      <c r="S473" s="566"/>
      <c r="T473" s="566"/>
      <c r="U473" s="566"/>
    </row>
    <row r="474" spans="1:21" ht="18.75" x14ac:dyDescent="0.25">
      <c r="A474" s="764"/>
      <c r="B474" s="718"/>
      <c r="C474" s="718"/>
      <c r="D474" s="718"/>
      <c r="E474" s="718"/>
      <c r="F474" s="718"/>
      <c r="G474" s="727"/>
      <c r="H474" s="681" t="s">
        <v>34</v>
      </c>
      <c r="I474" s="565"/>
      <c r="J474" s="565"/>
      <c r="K474" s="566"/>
      <c r="L474" s="574"/>
      <c r="M474" s="566"/>
      <c r="N474" s="566"/>
      <c r="O474" s="566"/>
      <c r="P474" s="566"/>
      <c r="Q474" s="566"/>
      <c r="R474" s="566"/>
      <c r="S474" s="566"/>
      <c r="T474" s="566"/>
      <c r="U474" s="566"/>
    </row>
    <row r="475" spans="1:21" ht="19.5" x14ac:dyDescent="0.3">
      <c r="A475" s="764"/>
      <c r="B475" s="983" t="s">
        <v>187</v>
      </c>
      <c r="C475" s="718"/>
      <c r="D475" s="718"/>
      <c r="E475" s="718"/>
      <c r="F475" s="718"/>
      <c r="G475" s="727"/>
      <c r="H475" s="677" t="s">
        <v>46</v>
      </c>
      <c r="I475" s="697">
        <v>0</v>
      </c>
      <c r="J475" s="697">
        <f>J478+J480</f>
        <v>0</v>
      </c>
      <c r="K475" s="679">
        <f t="shared" ref="K475:K477" si="296">IF(I475&gt;0,J475*100/I475,0)</f>
        <v>0</v>
      </c>
      <c r="L475" s="574"/>
      <c r="M475" s="566"/>
      <c r="N475" s="566"/>
      <c r="O475" s="566"/>
      <c r="P475" s="566"/>
      <c r="Q475" s="566"/>
      <c r="R475" s="566"/>
      <c r="S475" s="566"/>
      <c r="T475" s="566"/>
      <c r="U475" s="566"/>
    </row>
    <row r="476" spans="1:21" ht="19.5" x14ac:dyDescent="0.3">
      <c r="A476" s="764"/>
      <c r="B476" s="718"/>
      <c r="C476" s="719" t="s">
        <v>188</v>
      </c>
      <c r="D476" s="718"/>
      <c r="E476" s="718"/>
      <c r="F476" s="718"/>
      <c r="G476" s="727"/>
      <c r="H476" s="677" t="s">
        <v>46</v>
      </c>
      <c r="I476" s="697">
        <v>0</v>
      </c>
      <c r="J476" s="697">
        <f t="shared" ref="J476:J477" si="297">J478+J480</f>
        <v>0</v>
      </c>
      <c r="K476" s="679">
        <f t="shared" si="296"/>
        <v>0</v>
      </c>
      <c r="L476" s="574"/>
      <c r="M476" s="566"/>
      <c r="N476" s="566"/>
      <c r="O476" s="566"/>
      <c r="P476" s="566"/>
      <c r="Q476" s="566"/>
      <c r="R476" s="566"/>
      <c r="S476" s="566"/>
      <c r="T476" s="566"/>
      <c r="U476" s="566"/>
    </row>
    <row r="477" spans="1:21" ht="19.5" x14ac:dyDescent="0.3">
      <c r="A477" s="764"/>
      <c r="B477" s="718"/>
      <c r="C477" s="765" t="s">
        <v>189</v>
      </c>
      <c r="D477" s="718"/>
      <c r="E477" s="718"/>
      <c r="F477" s="718"/>
      <c r="G477" s="727"/>
      <c r="H477" s="677" t="s">
        <v>34</v>
      </c>
      <c r="I477" s="697">
        <v>0</v>
      </c>
      <c r="J477" s="697">
        <f t="shared" si="297"/>
        <v>0</v>
      </c>
      <c r="K477" s="679">
        <f t="shared" si="296"/>
        <v>0</v>
      </c>
      <c r="L477" s="574"/>
      <c r="M477" s="566"/>
      <c r="N477" s="566"/>
      <c r="O477" s="566"/>
      <c r="P477" s="566"/>
      <c r="Q477" s="566"/>
      <c r="R477" s="566"/>
      <c r="S477" s="566"/>
      <c r="T477" s="566"/>
      <c r="U477" s="566"/>
    </row>
    <row r="478" spans="1:21" ht="18.75" x14ac:dyDescent="0.25">
      <c r="A478" s="764"/>
      <c r="B478" s="718"/>
      <c r="C478" s="718"/>
      <c r="D478" s="765" t="s">
        <v>190</v>
      </c>
      <c r="E478" s="718"/>
      <c r="F478" s="718"/>
      <c r="G478" s="727"/>
      <c r="H478" s="681" t="s">
        <v>46</v>
      </c>
      <c r="I478" s="565"/>
      <c r="J478" s="565"/>
      <c r="K478" s="566"/>
      <c r="L478" s="574"/>
      <c r="M478" s="566"/>
      <c r="N478" s="566"/>
      <c r="O478" s="566"/>
      <c r="P478" s="566"/>
      <c r="Q478" s="566"/>
      <c r="R478" s="566"/>
      <c r="S478" s="566"/>
      <c r="T478" s="566"/>
      <c r="U478" s="566"/>
    </row>
    <row r="479" spans="1:21" ht="18.75" x14ac:dyDescent="0.25">
      <c r="A479" s="764"/>
      <c r="B479" s="718"/>
      <c r="C479" s="718"/>
      <c r="D479" s="718"/>
      <c r="E479" s="718"/>
      <c r="F479" s="718"/>
      <c r="G479" s="727"/>
      <c r="H479" s="681" t="s">
        <v>34</v>
      </c>
      <c r="I479" s="565"/>
      <c r="J479" s="565"/>
      <c r="K479" s="566"/>
      <c r="L479" s="574"/>
      <c r="M479" s="566"/>
      <c r="N479" s="566"/>
      <c r="O479" s="566"/>
      <c r="P479" s="566"/>
      <c r="Q479" s="566"/>
      <c r="R479" s="566"/>
      <c r="S479" s="566"/>
      <c r="T479" s="566"/>
      <c r="U479" s="566"/>
    </row>
    <row r="480" spans="1:21" ht="18.75" x14ac:dyDescent="0.25">
      <c r="A480" s="764"/>
      <c r="B480" s="718"/>
      <c r="C480" s="718"/>
      <c r="D480" s="982" t="s">
        <v>191</v>
      </c>
      <c r="E480" s="718"/>
      <c r="F480" s="718"/>
      <c r="G480" s="727"/>
      <c r="H480" s="681" t="s">
        <v>46</v>
      </c>
      <c r="I480" s="565"/>
      <c r="J480" s="565"/>
      <c r="K480" s="566"/>
      <c r="L480" s="574"/>
      <c r="M480" s="566"/>
      <c r="N480" s="566"/>
      <c r="O480" s="566"/>
      <c r="P480" s="566"/>
      <c r="Q480" s="566"/>
      <c r="R480" s="566"/>
      <c r="S480" s="566"/>
      <c r="T480" s="566"/>
      <c r="U480" s="566"/>
    </row>
    <row r="481" spans="1:21" ht="18.75" x14ac:dyDescent="0.25">
      <c r="A481" s="764"/>
      <c r="B481" s="718"/>
      <c r="C481" s="718"/>
      <c r="D481" s="718"/>
      <c r="E481" s="718"/>
      <c r="F481" s="718"/>
      <c r="G481" s="727"/>
      <c r="H481" s="681" t="s">
        <v>34</v>
      </c>
      <c r="I481" s="565"/>
      <c r="J481" s="565"/>
      <c r="K481" s="566"/>
      <c r="L481" s="574"/>
      <c r="M481" s="566"/>
      <c r="N481" s="566"/>
      <c r="O481" s="566"/>
      <c r="P481" s="566"/>
      <c r="Q481" s="566"/>
      <c r="R481" s="566"/>
      <c r="S481" s="566"/>
      <c r="T481" s="566"/>
      <c r="U481" s="566"/>
    </row>
    <row r="482" spans="1:21" ht="18.75" x14ac:dyDescent="0.25">
      <c r="A482" s="764"/>
      <c r="B482" s="718"/>
      <c r="C482" s="718"/>
      <c r="D482" s="982" t="s">
        <v>192</v>
      </c>
      <c r="E482" s="718"/>
      <c r="F482" s="718"/>
      <c r="G482" s="727"/>
      <c r="H482" s="681" t="s">
        <v>46</v>
      </c>
      <c r="I482" s="565"/>
      <c r="J482" s="708">
        <f ca="1">IFERROR(__xludf.DUMMYFUNCTION("IMPORTRANGE(""https://docs.google.com/spreadsheets/d/1eHaY18a8A9IcSdp1K8H6x8fbOy06t2VsZHhMHf-1x7Y/edit?usp=sharing"",""แผน!HN23"")"),0)</f>
        <v>0</v>
      </c>
      <c r="K482" s="566"/>
      <c r="L482" s="574"/>
      <c r="M482" s="566"/>
      <c r="N482" s="566"/>
      <c r="O482" s="566"/>
      <c r="P482" s="566"/>
      <c r="Q482" s="566"/>
      <c r="R482" s="566"/>
      <c r="S482" s="566"/>
      <c r="T482" s="566"/>
      <c r="U482" s="566"/>
    </row>
    <row r="483" spans="1:21" ht="18.75" x14ac:dyDescent="0.25">
      <c r="A483" s="764"/>
      <c r="B483" s="718"/>
      <c r="C483" s="718"/>
      <c r="D483" s="718"/>
      <c r="E483" s="718"/>
      <c r="F483" s="718"/>
      <c r="G483" s="727"/>
      <c r="H483" s="681" t="s">
        <v>34</v>
      </c>
      <c r="I483" s="565"/>
      <c r="J483" s="708">
        <f ca="1">IFERROR(__xludf.DUMMYFUNCTION("IMPORTRANGE(""https://docs.google.com/spreadsheets/d/1eHaY18a8A9IcSdp1K8H6x8fbOy06t2VsZHhMHf-1x7Y/edit?usp=sharing"",""แผน!HO23"")"),0)</f>
        <v>0</v>
      </c>
      <c r="K483" s="566"/>
      <c r="L483" s="574"/>
      <c r="M483" s="566"/>
      <c r="N483" s="566"/>
      <c r="O483" s="566"/>
      <c r="P483" s="566"/>
      <c r="Q483" s="566"/>
      <c r="R483" s="566"/>
      <c r="S483" s="566"/>
      <c r="T483" s="566"/>
      <c r="U483" s="566"/>
    </row>
    <row r="484" spans="1:21" ht="19.5" x14ac:dyDescent="0.3">
      <c r="A484" s="764"/>
      <c r="B484" s="718"/>
      <c r="C484" s="719" t="s">
        <v>193</v>
      </c>
      <c r="D484" s="718"/>
      <c r="E484" s="718"/>
      <c r="F484" s="718"/>
      <c r="G484" s="727"/>
      <c r="H484" s="677" t="s">
        <v>46</v>
      </c>
      <c r="I484" s="565">
        <f t="shared" ref="I484:I485" si="298">J480</f>
        <v>0</v>
      </c>
      <c r="J484" s="697">
        <f t="shared" ref="J484:J485" si="299">J486+J488+J490</f>
        <v>0</v>
      </c>
      <c r="K484" s="679">
        <f t="shared" ref="K484:K485" si="300">IF(I484&gt;0,J484*100/I484,0)</f>
        <v>0</v>
      </c>
      <c r="L484" s="574"/>
      <c r="M484" s="566"/>
      <c r="N484" s="566"/>
      <c r="O484" s="566"/>
      <c r="P484" s="566"/>
      <c r="Q484" s="566"/>
      <c r="R484" s="566"/>
      <c r="S484" s="566"/>
      <c r="T484" s="566"/>
      <c r="U484" s="566"/>
    </row>
    <row r="485" spans="1:21" ht="19.5" x14ac:dyDescent="0.3">
      <c r="A485" s="764"/>
      <c r="B485" s="718"/>
      <c r="C485" s="765" t="s">
        <v>194</v>
      </c>
      <c r="D485" s="718"/>
      <c r="E485" s="718"/>
      <c r="F485" s="718"/>
      <c r="G485" s="727"/>
      <c r="H485" s="677" t="s">
        <v>34</v>
      </c>
      <c r="I485" s="565">
        <f t="shared" si="298"/>
        <v>0</v>
      </c>
      <c r="J485" s="697">
        <f t="shared" si="299"/>
        <v>0</v>
      </c>
      <c r="K485" s="679">
        <f t="shared" si="300"/>
        <v>0</v>
      </c>
      <c r="L485" s="574"/>
      <c r="M485" s="566"/>
      <c r="N485" s="566"/>
      <c r="O485" s="566"/>
      <c r="P485" s="566"/>
      <c r="Q485" s="566"/>
      <c r="R485" s="566"/>
      <c r="S485" s="566"/>
      <c r="T485" s="566"/>
      <c r="U485" s="566"/>
    </row>
    <row r="486" spans="1:21" ht="18.75" x14ac:dyDescent="0.25">
      <c r="A486" s="764"/>
      <c r="B486" s="718"/>
      <c r="C486" s="718"/>
      <c r="D486" s="982" t="s">
        <v>195</v>
      </c>
      <c r="E486" s="718"/>
      <c r="F486" s="718"/>
      <c r="G486" s="727"/>
      <c r="H486" s="681" t="s">
        <v>46</v>
      </c>
      <c r="I486" s="565"/>
      <c r="J486" s="565"/>
      <c r="K486" s="566"/>
      <c r="L486" s="574"/>
      <c r="M486" s="566"/>
      <c r="N486" s="566"/>
      <c r="O486" s="566"/>
      <c r="P486" s="566"/>
      <c r="Q486" s="566"/>
      <c r="R486" s="566"/>
      <c r="S486" s="566"/>
      <c r="T486" s="566"/>
      <c r="U486" s="566"/>
    </row>
    <row r="487" spans="1:21" ht="18.75" x14ac:dyDescent="0.25">
      <c r="A487" s="764"/>
      <c r="B487" s="718"/>
      <c r="C487" s="718"/>
      <c r="D487" s="718"/>
      <c r="E487" s="718"/>
      <c r="F487" s="718"/>
      <c r="G487" s="727"/>
      <c r="H487" s="681" t="s">
        <v>34</v>
      </c>
      <c r="I487" s="565"/>
      <c r="J487" s="565"/>
      <c r="K487" s="566"/>
      <c r="L487" s="574"/>
      <c r="M487" s="566"/>
      <c r="N487" s="566"/>
      <c r="O487" s="566"/>
      <c r="P487" s="566"/>
      <c r="Q487" s="566"/>
      <c r="R487" s="566"/>
      <c r="S487" s="566"/>
      <c r="T487" s="566"/>
      <c r="U487" s="566"/>
    </row>
    <row r="488" spans="1:21" ht="18.75" x14ac:dyDescent="0.25">
      <c r="A488" s="764"/>
      <c r="B488" s="718"/>
      <c r="C488" s="718"/>
      <c r="D488" s="982" t="s">
        <v>196</v>
      </c>
      <c r="E488" s="718"/>
      <c r="F488" s="718"/>
      <c r="G488" s="727"/>
      <c r="H488" s="681" t="s">
        <v>46</v>
      </c>
      <c r="I488" s="565"/>
      <c r="J488" s="565"/>
      <c r="K488" s="566"/>
      <c r="L488" s="574"/>
      <c r="M488" s="566"/>
      <c r="N488" s="566"/>
      <c r="O488" s="566"/>
      <c r="P488" s="566"/>
      <c r="Q488" s="566"/>
      <c r="R488" s="566"/>
      <c r="S488" s="566"/>
      <c r="T488" s="566"/>
      <c r="U488" s="566"/>
    </row>
    <row r="489" spans="1:21" ht="18.75" x14ac:dyDescent="0.25">
      <c r="A489" s="764"/>
      <c r="B489" s="718"/>
      <c r="C489" s="718"/>
      <c r="D489" s="718"/>
      <c r="E489" s="718"/>
      <c r="F489" s="718"/>
      <c r="G489" s="727"/>
      <c r="H489" s="681" t="s">
        <v>34</v>
      </c>
      <c r="I489" s="565"/>
      <c r="J489" s="565"/>
      <c r="K489" s="566"/>
      <c r="L489" s="574"/>
      <c r="M489" s="566"/>
      <c r="N489" s="566"/>
      <c r="O489" s="566"/>
      <c r="P489" s="566"/>
      <c r="Q489" s="566"/>
      <c r="R489" s="566"/>
      <c r="S489" s="566"/>
      <c r="T489" s="566"/>
      <c r="U489" s="566"/>
    </row>
    <row r="490" spans="1:21" ht="18.75" x14ac:dyDescent="0.25">
      <c r="A490" s="764"/>
      <c r="B490" s="718"/>
      <c r="C490" s="718"/>
      <c r="D490" s="982" t="s">
        <v>197</v>
      </c>
      <c r="E490" s="718"/>
      <c r="F490" s="718"/>
      <c r="G490" s="727"/>
      <c r="H490" s="681" t="s">
        <v>46</v>
      </c>
      <c r="I490" s="565"/>
      <c r="J490" s="565"/>
      <c r="K490" s="566"/>
      <c r="L490" s="574"/>
      <c r="M490" s="566"/>
      <c r="N490" s="566"/>
      <c r="O490" s="566"/>
      <c r="P490" s="566"/>
      <c r="Q490" s="566"/>
      <c r="R490" s="566"/>
      <c r="S490" s="566"/>
      <c r="T490" s="566"/>
      <c r="U490" s="566"/>
    </row>
    <row r="491" spans="1:21" ht="18.75" x14ac:dyDescent="0.25">
      <c r="A491" s="984"/>
      <c r="B491" s="514"/>
      <c r="C491" s="514"/>
      <c r="D491" s="514"/>
      <c r="E491" s="514"/>
      <c r="F491" s="514"/>
      <c r="G491" s="985"/>
      <c r="H491" s="986" t="s">
        <v>34</v>
      </c>
      <c r="I491" s="579"/>
      <c r="J491" s="579"/>
      <c r="K491" s="580"/>
      <c r="L491" s="581"/>
      <c r="M491" s="580"/>
      <c r="N491" s="580"/>
      <c r="O491" s="580"/>
      <c r="P491" s="580"/>
      <c r="Q491" s="580"/>
      <c r="R491" s="580"/>
      <c r="S491" s="580"/>
      <c r="T491" s="580"/>
      <c r="U491" s="580"/>
    </row>
    <row r="492" spans="1:21" ht="19.5" hidden="1" x14ac:dyDescent="0.3">
      <c r="A492" s="926"/>
      <c r="B492" s="971" t="s">
        <v>198</v>
      </c>
      <c r="C492" s="928"/>
      <c r="D492" s="928"/>
      <c r="E492" s="911"/>
      <c r="F492" s="911"/>
      <c r="G492" s="912"/>
      <c r="H492" s="977" t="s">
        <v>35</v>
      </c>
      <c r="I492" s="914">
        <f t="shared" ref="I492:J492" ca="1" si="301">I503</f>
        <v>0</v>
      </c>
      <c r="J492" s="914">
        <f t="shared" ca="1" si="301"/>
        <v>0</v>
      </c>
      <c r="K492" s="915">
        <f ca="1">IF(I492&gt;0,J492*100/I492,0)</f>
        <v>0</v>
      </c>
      <c r="L492" s="916"/>
      <c r="M492" s="917"/>
      <c r="N492" s="917"/>
      <c r="O492" s="917"/>
      <c r="P492" s="917"/>
      <c r="Q492" s="917"/>
      <c r="R492" s="917"/>
      <c r="S492" s="917"/>
      <c r="T492" s="917"/>
      <c r="U492" s="917"/>
    </row>
    <row r="493" spans="1:21" ht="19.5" hidden="1" x14ac:dyDescent="0.3">
      <c r="A493" s="674"/>
      <c r="B493" s="718"/>
      <c r="C493" s="724" t="s">
        <v>18</v>
      </c>
      <c r="D493" s="1313" t="s">
        <v>19</v>
      </c>
      <c r="E493" s="1314"/>
      <c r="F493" s="1314"/>
      <c r="G493" s="563"/>
      <c r="H493" s="780" t="s">
        <v>14</v>
      </c>
      <c r="I493" s="565"/>
      <c r="J493" s="565"/>
      <c r="K493" s="566"/>
      <c r="L493" s="678">
        <f t="shared" ref="L493:N493" ca="1" si="302">L494+L495</f>
        <v>0</v>
      </c>
      <c r="M493" s="679">
        <f t="shared" ca="1" si="302"/>
        <v>0</v>
      </c>
      <c r="N493" s="679">
        <f t="shared" ca="1" si="302"/>
        <v>0</v>
      </c>
      <c r="O493" s="679">
        <f t="shared" ref="O493:O501" ca="1" si="303">IF(L493&gt;0,N493*100/L493,0)</f>
        <v>0</v>
      </c>
      <c r="P493" s="679">
        <f t="shared" ref="P493:P501" ca="1" si="304">IF(M493&gt;0,N493*100/M493,0)</f>
        <v>0</v>
      </c>
      <c r="Q493" s="679">
        <f t="shared" ref="Q493:S493" ca="1" si="305">Q494+Q495</f>
        <v>0</v>
      </c>
      <c r="R493" s="679">
        <f t="shared" ca="1" si="305"/>
        <v>0</v>
      </c>
      <c r="S493" s="679">
        <f t="shared" ca="1" si="305"/>
        <v>0</v>
      </c>
      <c r="T493" s="679">
        <f t="shared" ref="T493:T501" ca="1" si="306">IF(Q493&gt;0,S493*100/Q493,0)</f>
        <v>0</v>
      </c>
      <c r="U493" s="679">
        <f t="shared" ref="U493:U501" ca="1" si="307">IF(R493&gt;0,S493*100/R493,0)</f>
        <v>0</v>
      </c>
    </row>
    <row r="494" spans="1:21" ht="18.75" hidden="1" x14ac:dyDescent="0.25">
      <c r="A494" s="674"/>
      <c r="B494" s="718"/>
      <c r="C494" s="718"/>
      <c r="D494" s="688"/>
      <c r="E494" s="569" t="s">
        <v>158</v>
      </c>
      <c r="F494" s="561"/>
      <c r="G494" s="563"/>
      <c r="H494" s="685" t="s">
        <v>14</v>
      </c>
      <c r="I494" s="565"/>
      <c r="J494" s="565"/>
      <c r="K494" s="566"/>
      <c r="L494" s="571">
        <f t="shared" ref="L494:N495" si="308">L497+L500</f>
        <v>0</v>
      </c>
      <c r="M494" s="572">
        <f t="shared" si="308"/>
        <v>0</v>
      </c>
      <c r="N494" s="572">
        <f t="shared" si="308"/>
        <v>0</v>
      </c>
      <c r="O494" s="572">
        <f t="shared" si="303"/>
        <v>0</v>
      </c>
      <c r="P494" s="572">
        <f t="shared" si="304"/>
        <v>0</v>
      </c>
      <c r="Q494" s="572">
        <f t="shared" ref="Q494:S495" si="309">Q497+Q500</f>
        <v>0</v>
      </c>
      <c r="R494" s="572">
        <f t="shared" si="309"/>
        <v>0</v>
      </c>
      <c r="S494" s="572">
        <f t="shared" si="309"/>
        <v>0</v>
      </c>
      <c r="T494" s="572">
        <f t="shared" si="306"/>
        <v>0</v>
      </c>
      <c r="U494" s="572">
        <f t="shared" si="307"/>
        <v>0</v>
      </c>
    </row>
    <row r="495" spans="1:21" ht="18.75" hidden="1" x14ac:dyDescent="0.25">
      <c r="A495" s="674"/>
      <c r="B495" s="718"/>
      <c r="C495" s="718"/>
      <c r="D495" s="688"/>
      <c r="E495" s="573" t="s">
        <v>159</v>
      </c>
      <c r="F495" s="561"/>
      <c r="G495" s="563"/>
      <c r="H495" s="682" t="s">
        <v>14</v>
      </c>
      <c r="I495" s="565"/>
      <c r="J495" s="565"/>
      <c r="K495" s="566"/>
      <c r="L495" s="567">
        <f t="shared" ca="1" si="308"/>
        <v>0</v>
      </c>
      <c r="M495" s="568">
        <f t="shared" ca="1" si="308"/>
        <v>0</v>
      </c>
      <c r="N495" s="568">
        <f t="shared" ca="1" si="308"/>
        <v>0</v>
      </c>
      <c r="O495" s="568">
        <f t="shared" ca="1" si="303"/>
        <v>0</v>
      </c>
      <c r="P495" s="568">
        <f t="shared" ca="1" si="304"/>
        <v>0</v>
      </c>
      <c r="Q495" s="568">
        <f t="shared" ca="1" si="309"/>
        <v>0</v>
      </c>
      <c r="R495" s="568">
        <f t="shared" ca="1" si="309"/>
        <v>0</v>
      </c>
      <c r="S495" s="568">
        <f t="shared" ca="1" si="309"/>
        <v>0</v>
      </c>
      <c r="T495" s="568">
        <f t="shared" ca="1" si="306"/>
        <v>0</v>
      </c>
      <c r="U495" s="568">
        <f t="shared" ca="1" si="307"/>
        <v>0</v>
      </c>
    </row>
    <row r="496" spans="1:21" ht="18.75" hidden="1" x14ac:dyDescent="0.25">
      <c r="A496" s="674"/>
      <c r="B496" s="718"/>
      <c r="C496" s="718"/>
      <c r="D496" s="721" t="s">
        <v>22</v>
      </c>
      <c r="E496" s="561"/>
      <c r="F496" s="561"/>
      <c r="G496" s="563"/>
      <c r="H496" s="682" t="s">
        <v>14</v>
      </c>
      <c r="I496" s="683"/>
      <c r="J496" s="683"/>
      <c r="K496" s="684"/>
      <c r="L496" s="567">
        <f t="shared" ref="L496:N496" ca="1" si="310">L497+L498</f>
        <v>0</v>
      </c>
      <c r="M496" s="568">
        <f t="shared" ca="1" si="310"/>
        <v>0</v>
      </c>
      <c r="N496" s="568">
        <f t="shared" ca="1" si="310"/>
        <v>0</v>
      </c>
      <c r="O496" s="568">
        <f t="shared" ca="1" si="303"/>
        <v>0</v>
      </c>
      <c r="P496" s="568">
        <f t="shared" ca="1" si="304"/>
        <v>0</v>
      </c>
      <c r="Q496" s="568">
        <f t="shared" ref="Q496:S496" ca="1" si="311">Q497+Q498</f>
        <v>0</v>
      </c>
      <c r="R496" s="568">
        <f t="shared" ca="1" si="311"/>
        <v>0</v>
      </c>
      <c r="S496" s="568">
        <f t="shared" ca="1" si="311"/>
        <v>0</v>
      </c>
      <c r="T496" s="568">
        <f t="shared" ca="1" si="306"/>
        <v>0</v>
      </c>
      <c r="U496" s="568">
        <f t="shared" ca="1" si="307"/>
        <v>0</v>
      </c>
    </row>
    <row r="497" spans="1:21" ht="18.75" hidden="1" x14ac:dyDescent="0.25">
      <c r="A497" s="674"/>
      <c r="B497" s="718"/>
      <c r="C497" s="718"/>
      <c r="D497" s="688"/>
      <c r="E497" s="569" t="s">
        <v>158</v>
      </c>
      <c r="F497" s="561"/>
      <c r="G497" s="563"/>
      <c r="H497" s="685" t="s">
        <v>14</v>
      </c>
      <c r="I497" s="565"/>
      <c r="J497" s="565"/>
      <c r="K497" s="566"/>
      <c r="L497" s="571">
        <v>0</v>
      </c>
      <c r="M497" s="572">
        <v>0</v>
      </c>
      <c r="N497" s="572">
        <v>0</v>
      </c>
      <c r="O497" s="572">
        <f t="shared" si="303"/>
        <v>0</v>
      </c>
      <c r="P497" s="572">
        <f t="shared" si="304"/>
        <v>0</v>
      </c>
      <c r="Q497" s="572">
        <v>0</v>
      </c>
      <c r="R497" s="572">
        <v>0</v>
      </c>
      <c r="S497" s="572">
        <v>0</v>
      </c>
      <c r="T497" s="572">
        <f t="shared" si="306"/>
        <v>0</v>
      </c>
      <c r="U497" s="572">
        <f t="shared" si="307"/>
        <v>0</v>
      </c>
    </row>
    <row r="498" spans="1:21" ht="18.75" hidden="1" x14ac:dyDescent="0.25">
      <c r="A498" s="674"/>
      <c r="B498" s="718"/>
      <c r="C498" s="718"/>
      <c r="D498" s="688"/>
      <c r="E498" s="573" t="s">
        <v>159</v>
      </c>
      <c r="F498" s="561"/>
      <c r="G498" s="563"/>
      <c r="H498" s="682" t="s">
        <v>14</v>
      </c>
      <c r="I498" s="565"/>
      <c r="J498" s="565"/>
      <c r="K498" s="566"/>
      <c r="L498" s="567">
        <f ca="1">IFERROR(__xludf.DUMMYFUNCTION("IMPORTRANGE(""https://docs.google.com/spreadsheets/d/1-uDff_7J0KD5mKrp0Vvzr7lt3OU09vwQwhkpOPPYv2Y/edit?usp=sharing"",""งบพรบ!HU23"")"),0)</f>
        <v>0</v>
      </c>
      <c r="M498" s="568">
        <f ca="1">IFERROR(__xludf.DUMMYFUNCTION("IMPORTRANGE(""https://docs.google.com/spreadsheets/d/1-uDff_7J0KD5mKrp0Vvzr7lt3OU09vwQwhkpOPPYv2Y/edit?usp=sharing"",""งบพรบ!HZ23"")"),0)</f>
        <v>0</v>
      </c>
      <c r="N498" s="568">
        <f ca="1">IFERROR(__xludf.DUMMYFUNCTION("IMPORTRANGE(""https://docs.google.com/spreadsheets/d/1-uDff_7J0KD5mKrp0Vvzr7lt3OU09vwQwhkpOPPYv2Y/edit?usp=sharing"",""งบพรบ!IB23"")"),0)</f>
        <v>0</v>
      </c>
      <c r="O498" s="568">
        <f t="shared" ca="1" si="303"/>
        <v>0</v>
      </c>
      <c r="P498" s="568">
        <f t="shared" ca="1" si="304"/>
        <v>0</v>
      </c>
      <c r="Q498" s="568">
        <f ca="1">IFERROR(__xludf.DUMMYFUNCTION("IMPORTRANGE(""https://docs.google.com/spreadsheets/d/1ItG2mGa2ceCfYo0BwxsXqNm01IGEUdYcSSLTEv9YCik/edit?usp=sharing"",""เบิกจ่ายกองทุน!AD23"")"),0)</f>
        <v>0</v>
      </c>
      <c r="R498" s="568">
        <f ca="1">IFERROR(__xludf.DUMMYFUNCTION("IMPORTRANGE(""https://docs.google.com/spreadsheets/d/1ItG2mGa2ceCfYo0BwxsXqNm01IGEUdYcSSLTEv9YCik/edit?usp=sharing"",""เบิกจ่ายกองทุน!AE23"")"),0)</f>
        <v>0</v>
      </c>
      <c r="S498" s="568">
        <f ca="1">IFERROR(__xludf.DUMMYFUNCTION("IMPORTRANGE(""https://docs.google.com/spreadsheets/d/1ItG2mGa2ceCfYo0BwxsXqNm01IGEUdYcSSLTEv9YCik/edit?usp=sharing"",""เบิกจ่ายกองทุน!AF23"")"),0)</f>
        <v>0</v>
      </c>
      <c r="T498" s="568">
        <f t="shared" ca="1" si="306"/>
        <v>0</v>
      </c>
      <c r="U498" s="568">
        <f t="shared" ca="1" si="307"/>
        <v>0</v>
      </c>
    </row>
    <row r="499" spans="1:21" ht="18.75" hidden="1" x14ac:dyDescent="0.25">
      <c r="A499" s="674"/>
      <c r="B499" s="718"/>
      <c r="C499" s="718"/>
      <c r="D499" s="721" t="s">
        <v>23</v>
      </c>
      <c r="E499" s="561"/>
      <c r="F499" s="561"/>
      <c r="G499" s="563"/>
      <c r="H499" s="686" t="s">
        <v>14</v>
      </c>
      <c r="I499" s="683"/>
      <c r="J499" s="683"/>
      <c r="K499" s="684"/>
      <c r="L499" s="567">
        <f t="shared" ref="L499:N499" ca="1" si="312">L500+L501</f>
        <v>0</v>
      </c>
      <c r="M499" s="568">
        <f t="shared" ca="1" si="312"/>
        <v>0</v>
      </c>
      <c r="N499" s="568">
        <f t="shared" ca="1" si="312"/>
        <v>0</v>
      </c>
      <c r="O499" s="568">
        <f t="shared" ca="1" si="303"/>
        <v>0</v>
      </c>
      <c r="P499" s="568">
        <f t="shared" ca="1" si="304"/>
        <v>0</v>
      </c>
      <c r="Q499" s="568">
        <f t="shared" ref="Q499:S499" si="313">Q500+Q501</f>
        <v>0</v>
      </c>
      <c r="R499" s="568">
        <f t="shared" si="313"/>
        <v>0</v>
      </c>
      <c r="S499" s="568">
        <f t="shared" si="313"/>
        <v>0</v>
      </c>
      <c r="T499" s="568">
        <f t="shared" si="306"/>
        <v>0</v>
      </c>
      <c r="U499" s="568">
        <f t="shared" si="307"/>
        <v>0</v>
      </c>
    </row>
    <row r="500" spans="1:21" ht="18.75" hidden="1" x14ac:dyDescent="0.25">
      <c r="A500" s="674"/>
      <c r="B500" s="718"/>
      <c r="C500" s="718"/>
      <c r="D500" s="718"/>
      <c r="E500" s="569" t="s">
        <v>20</v>
      </c>
      <c r="F500" s="561"/>
      <c r="G500" s="563"/>
      <c r="H500" s="685" t="s">
        <v>14</v>
      </c>
      <c r="I500" s="683"/>
      <c r="J500" s="683"/>
      <c r="K500" s="684"/>
      <c r="L500" s="571">
        <v>0</v>
      </c>
      <c r="M500" s="572">
        <v>0</v>
      </c>
      <c r="N500" s="572">
        <v>0</v>
      </c>
      <c r="O500" s="572">
        <f t="shared" si="303"/>
        <v>0</v>
      </c>
      <c r="P500" s="572">
        <f t="shared" si="304"/>
        <v>0</v>
      </c>
      <c r="Q500" s="572">
        <v>0</v>
      </c>
      <c r="R500" s="572">
        <v>0</v>
      </c>
      <c r="S500" s="572">
        <v>0</v>
      </c>
      <c r="T500" s="572">
        <f t="shared" si="306"/>
        <v>0</v>
      </c>
      <c r="U500" s="572">
        <f t="shared" si="307"/>
        <v>0</v>
      </c>
    </row>
    <row r="501" spans="1:21" ht="18.75" hidden="1" x14ac:dyDescent="0.25">
      <c r="A501" s="674"/>
      <c r="B501" s="718"/>
      <c r="C501" s="718"/>
      <c r="D501" s="718"/>
      <c r="E501" s="573" t="s">
        <v>21</v>
      </c>
      <c r="F501" s="561"/>
      <c r="G501" s="563"/>
      <c r="H501" s="686" t="s">
        <v>14</v>
      </c>
      <c r="I501" s="683"/>
      <c r="J501" s="683"/>
      <c r="K501" s="684"/>
      <c r="L501" s="567">
        <f ca="1">IFERROR(__xludf.DUMMYFUNCTION("IMPORTRANGE(""https://docs.google.com/spreadsheets/d/1-uDff_7J0KD5mKrp0Vvzr7lt3OU09vwQwhkpOPPYv2Y/edit?usp=sharing"",""งบพรบ!HX23"")"),0)</f>
        <v>0</v>
      </c>
      <c r="M501" s="568">
        <f ca="1">IFERROR(__xludf.DUMMYFUNCTION("IMPORTRANGE(""https://docs.google.com/spreadsheets/d/1-uDff_7J0KD5mKrp0Vvzr7lt3OU09vwQwhkpOPPYv2Y/edit?usp=sharing"",""งบพรบ!IA23"")"),0)</f>
        <v>0</v>
      </c>
      <c r="N501" s="568">
        <f ca="1">IFERROR(__xludf.DUMMYFUNCTION("IMPORTRANGE(""https://docs.google.com/spreadsheets/d/1-uDff_7J0KD5mKrp0Vvzr7lt3OU09vwQwhkpOPPYv2Y/edit?usp=sharing"",""งบพรบ!IC23"")"),0)</f>
        <v>0</v>
      </c>
      <c r="O501" s="568">
        <f t="shared" ca="1" si="303"/>
        <v>0</v>
      </c>
      <c r="P501" s="568">
        <f t="shared" ca="1" si="304"/>
        <v>0</v>
      </c>
      <c r="Q501" s="568">
        <v>0</v>
      </c>
      <c r="R501" s="568">
        <v>0</v>
      </c>
      <c r="S501" s="568">
        <v>0</v>
      </c>
      <c r="T501" s="568">
        <f t="shared" si="306"/>
        <v>0</v>
      </c>
      <c r="U501" s="568">
        <f t="shared" si="307"/>
        <v>0</v>
      </c>
    </row>
    <row r="502" spans="1:21" ht="19.5" hidden="1" x14ac:dyDescent="0.3">
      <c r="A502" s="687"/>
      <c r="B502" s="688"/>
      <c r="C502" s="724" t="s">
        <v>18</v>
      </c>
      <c r="D502" s="956" t="s">
        <v>38</v>
      </c>
      <c r="E502" s="690"/>
      <c r="F502" s="690"/>
      <c r="G502" s="691"/>
      <c r="H502" s="725"/>
      <c r="I502" s="683"/>
      <c r="J502" s="683"/>
      <c r="K502" s="684"/>
      <c r="L502" s="693"/>
      <c r="M502" s="684"/>
      <c r="N502" s="684"/>
      <c r="O502" s="684"/>
      <c r="P502" s="684"/>
      <c r="Q502" s="684"/>
      <c r="R502" s="684"/>
      <c r="S502" s="684"/>
      <c r="T502" s="684"/>
      <c r="U502" s="684"/>
    </row>
    <row r="503" spans="1:21" ht="19.5" hidden="1" x14ac:dyDescent="0.3">
      <c r="A503" s="764"/>
      <c r="B503" s="718"/>
      <c r="C503" s="718"/>
      <c r="D503" s="719" t="s">
        <v>199</v>
      </c>
      <c r="E503" s="561"/>
      <c r="F503" s="561"/>
      <c r="G503" s="563"/>
      <c r="H503" s="681" t="s">
        <v>35</v>
      </c>
      <c r="I503" s="697">
        <f ca="1">IFERROR(__xludf.DUMMYFUNCTION("IMPORTRANGE(""https://docs.google.com/spreadsheets/d/1eHaY18a8A9IcSdp1K8H6x8fbOy06t2VsZHhMHf-1x7Y/edit?usp=sharing"",""แผน!GX23"")"),0)</f>
        <v>0</v>
      </c>
      <c r="J503" s="697">
        <f ca="1">IF(AND(J504=I504,J505=I505,J506=I506,J507=I507),I503,0)</f>
        <v>0</v>
      </c>
      <c r="K503" s="679">
        <f t="shared" ref="K503:K509" ca="1" si="314">IF(I503&gt;0,J503*100/I503,0)</f>
        <v>0</v>
      </c>
      <c r="L503" s="574"/>
      <c r="M503" s="566"/>
      <c r="N503" s="566"/>
      <c r="O503" s="566"/>
      <c r="P503" s="566"/>
      <c r="Q503" s="566"/>
      <c r="R503" s="566"/>
      <c r="S503" s="566"/>
      <c r="T503" s="566"/>
      <c r="U503" s="566"/>
    </row>
    <row r="504" spans="1:21" ht="18.75" hidden="1" x14ac:dyDescent="0.25">
      <c r="A504" s="764"/>
      <c r="B504" s="718"/>
      <c r="C504" s="718"/>
      <c r="D504" s="718"/>
      <c r="E504" s="573" t="s">
        <v>200</v>
      </c>
      <c r="F504" s="561"/>
      <c r="G504" s="563"/>
      <c r="H504" s="681" t="s">
        <v>35</v>
      </c>
      <c r="I504" s="708">
        <f ca="1">IFERROR(__xludf.DUMMYFUNCTION("IMPORTRANGE(""https://docs.google.com/spreadsheets/d/1eHaY18a8A9IcSdp1K8H6x8fbOy06t2VsZHhMHf-1x7Y/edit?usp=sharing"",""แผน!GY23"")"),0)</f>
        <v>0</v>
      </c>
      <c r="J504" s="702">
        <v>0</v>
      </c>
      <c r="K504" s="568">
        <f t="shared" ca="1" si="314"/>
        <v>0</v>
      </c>
      <c r="L504" s="574"/>
      <c r="M504" s="566"/>
      <c r="N504" s="566"/>
      <c r="O504" s="566"/>
      <c r="P504" s="566"/>
      <c r="Q504" s="566"/>
      <c r="R504" s="566"/>
      <c r="S504" s="566"/>
      <c r="T504" s="566"/>
      <c r="U504" s="566"/>
    </row>
    <row r="505" spans="1:21" ht="18.75" hidden="1" x14ac:dyDescent="0.25">
      <c r="A505" s="764"/>
      <c r="B505" s="718"/>
      <c r="C505" s="718"/>
      <c r="D505" s="718"/>
      <c r="E505" s="573" t="s">
        <v>201</v>
      </c>
      <c r="F505" s="561"/>
      <c r="G505" s="563"/>
      <c r="H505" s="681" t="s">
        <v>35</v>
      </c>
      <c r="I505" s="708">
        <f ca="1">IFERROR(__xludf.DUMMYFUNCTION("IMPORTRANGE(""https://docs.google.com/spreadsheets/d/1eHaY18a8A9IcSdp1K8H6x8fbOy06t2VsZHhMHf-1x7Y/edit?usp=sharing"",""แผน!GZ23"")"),0)</f>
        <v>0</v>
      </c>
      <c r="J505" s="702">
        <v>0</v>
      </c>
      <c r="K505" s="568">
        <f t="shared" ca="1" si="314"/>
        <v>0</v>
      </c>
      <c r="L505" s="574"/>
      <c r="M505" s="566"/>
      <c r="N505" s="566"/>
      <c r="O505" s="566"/>
      <c r="P505" s="566"/>
      <c r="Q505" s="566"/>
      <c r="R505" s="566"/>
      <c r="S505" s="566"/>
      <c r="T505" s="566"/>
      <c r="U505" s="566"/>
    </row>
    <row r="506" spans="1:21" ht="18.75" hidden="1" x14ac:dyDescent="0.25">
      <c r="A506" s="764"/>
      <c r="B506" s="718"/>
      <c r="C506" s="718"/>
      <c r="D506" s="718"/>
      <c r="E506" s="573" t="s">
        <v>202</v>
      </c>
      <c r="F506" s="561"/>
      <c r="G506" s="563"/>
      <c r="H506" s="681" t="s">
        <v>35</v>
      </c>
      <c r="I506" s="708">
        <f ca="1">IFERROR(__xludf.DUMMYFUNCTION("IMPORTRANGE(""https://docs.google.com/spreadsheets/d/1eHaY18a8A9IcSdp1K8H6x8fbOy06t2VsZHhMHf-1x7Y/edit?usp=sharing"",""แผน!HA23"")"),0)</f>
        <v>0</v>
      </c>
      <c r="J506" s="702">
        <v>0</v>
      </c>
      <c r="K506" s="568">
        <f t="shared" ca="1" si="314"/>
        <v>0</v>
      </c>
      <c r="L506" s="574"/>
      <c r="M506" s="566"/>
      <c r="N506" s="566"/>
      <c r="O506" s="566"/>
      <c r="P506" s="566"/>
      <c r="Q506" s="566"/>
      <c r="R506" s="566"/>
      <c r="S506" s="566"/>
      <c r="T506" s="566"/>
      <c r="U506" s="566"/>
    </row>
    <row r="507" spans="1:21" ht="18.75" hidden="1" x14ac:dyDescent="0.25">
      <c r="A507" s="764"/>
      <c r="B507" s="718"/>
      <c r="C507" s="718"/>
      <c r="D507" s="718"/>
      <c r="E507" s="987" t="s">
        <v>203</v>
      </c>
      <c r="F507" s="561"/>
      <c r="G507" s="563"/>
      <c r="H507" s="681" t="s">
        <v>35</v>
      </c>
      <c r="I507" s="708">
        <f ca="1">IFERROR(__xludf.DUMMYFUNCTION("IMPORTRANGE(""https://docs.google.com/spreadsheets/d/1eHaY18a8A9IcSdp1K8H6x8fbOy06t2VsZHhMHf-1x7Y/edit?usp=sharing"",""แผน!HB23"")"),0)</f>
        <v>0</v>
      </c>
      <c r="J507" s="702">
        <v>0</v>
      </c>
      <c r="K507" s="568">
        <f t="shared" ca="1" si="314"/>
        <v>0</v>
      </c>
      <c r="L507" s="574"/>
      <c r="M507" s="566"/>
      <c r="N507" s="566"/>
      <c r="O507" s="566"/>
      <c r="P507" s="566"/>
      <c r="Q507" s="566"/>
      <c r="R507" s="566"/>
      <c r="S507" s="566"/>
      <c r="T507" s="566"/>
      <c r="U507" s="566"/>
    </row>
    <row r="508" spans="1:21" ht="18.75" hidden="1" x14ac:dyDescent="0.25">
      <c r="A508" s="764"/>
      <c r="B508" s="718"/>
      <c r="C508" s="718"/>
      <c r="D508" s="718"/>
      <c r="E508" s="573" t="s">
        <v>204</v>
      </c>
      <c r="F508" s="561"/>
      <c r="G508" s="563"/>
      <c r="H508" s="681" t="s">
        <v>35</v>
      </c>
      <c r="I508" s="708">
        <v>0</v>
      </c>
      <c r="J508" s="708">
        <v>0</v>
      </c>
      <c r="K508" s="568">
        <f t="shared" si="314"/>
        <v>0</v>
      </c>
      <c r="L508" s="574"/>
      <c r="M508" s="566"/>
      <c r="N508" s="566"/>
      <c r="O508" s="566"/>
      <c r="P508" s="566"/>
      <c r="Q508" s="566"/>
      <c r="R508" s="566"/>
      <c r="S508" s="566"/>
      <c r="T508" s="566"/>
      <c r="U508" s="566"/>
    </row>
    <row r="509" spans="1:21" ht="19.5" hidden="1" x14ac:dyDescent="0.3">
      <c r="A509" s="984"/>
      <c r="B509" s="514"/>
      <c r="C509" s="514"/>
      <c r="D509" s="988" t="s">
        <v>50</v>
      </c>
      <c r="E509" s="513"/>
      <c r="F509" s="513"/>
      <c r="G509" s="577"/>
      <c r="H509" s="986" t="s">
        <v>35</v>
      </c>
      <c r="I509" s="989">
        <f ca="1">IFERROR(__xludf.DUMMYFUNCTION("IMPORTRANGE(""https://docs.google.com/spreadsheets/d/1eHaY18a8A9IcSdp1K8H6x8fbOy06t2VsZHhMHf-1x7Y/edit?usp=sharing"",""แผน!HC23"")"),0)</f>
        <v>0</v>
      </c>
      <c r="J509" s="990">
        <v>0</v>
      </c>
      <c r="K509" s="655">
        <f t="shared" ca="1" si="314"/>
        <v>0</v>
      </c>
      <c r="L509" s="581"/>
      <c r="M509" s="580"/>
      <c r="N509" s="580"/>
      <c r="O509" s="580"/>
      <c r="P509" s="580"/>
      <c r="Q509" s="580"/>
      <c r="R509" s="580"/>
      <c r="S509" s="580"/>
      <c r="T509" s="580"/>
      <c r="U509" s="580"/>
    </row>
    <row r="510" spans="1:21" ht="19.5" hidden="1" x14ac:dyDescent="0.3">
      <c r="A510" s="991" t="s">
        <v>205</v>
      </c>
      <c r="B510" s="992"/>
      <c r="C510" s="992"/>
      <c r="D510" s="992"/>
      <c r="E510" s="993"/>
      <c r="F510" s="993"/>
      <c r="G510" s="993"/>
      <c r="H510" s="993"/>
      <c r="I510" s="994"/>
      <c r="J510" s="994"/>
      <c r="K510" s="995"/>
      <c r="L510" s="996"/>
      <c r="M510" s="997"/>
      <c r="N510" s="997"/>
      <c r="O510" s="997"/>
      <c r="P510" s="997"/>
      <c r="Q510" s="997"/>
      <c r="R510" s="997"/>
      <c r="S510" s="997"/>
      <c r="T510" s="997"/>
      <c r="U510" s="997"/>
    </row>
    <row r="511" spans="1:21" ht="19.5" hidden="1" x14ac:dyDescent="0.3">
      <c r="A511" s="998" t="s">
        <v>206</v>
      </c>
      <c r="B511" s="999"/>
      <c r="C511" s="999"/>
      <c r="D511" s="1000"/>
      <c r="E511" s="999"/>
      <c r="F511" s="999"/>
      <c r="G511" s="999"/>
      <c r="H511" s="1001"/>
      <c r="I511" s="1002"/>
      <c r="J511" s="1002"/>
      <c r="K511" s="1003"/>
      <c r="L511" s="1004"/>
      <c r="M511" s="1005"/>
      <c r="N511" s="1005"/>
      <c r="O511" s="1005"/>
      <c r="P511" s="1005"/>
      <c r="Q511" s="1005"/>
      <c r="R511" s="1005"/>
      <c r="S511" s="1005"/>
      <c r="T511" s="1005"/>
      <c r="U511" s="1005"/>
    </row>
    <row r="512" spans="1:21" ht="19.5" hidden="1" x14ac:dyDescent="0.3">
      <c r="A512" s="1006"/>
      <c r="B512" s="1007" t="s">
        <v>207</v>
      </c>
      <c r="C512" s="1008"/>
      <c r="D512" s="1009"/>
      <c r="E512" s="1009"/>
      <c r="F512" s="1009"/>
      <c r="G512" s="1010"/>
      <c r="H512" s="1011" t="s">
        <v>61</v>
      </c>
      <c r="I512" s="1012">
        <f t="shared" ref="I512:J512" si="315">I524</f>
        <v>0</v>
      </c>
      <c r="J512" s="1012">
        <f t="shared" si="315"/>
        <v>0</v>
      </c>
      <c r="K512" s="1013">
        <f>IF(I512&gt;0,J512*100/I512,0)</f>
        <v>0</v>
      </c>
      <c r="L512" s="1014"/>
      <c r="M512" s="1015"/>
      <c r="N512" s="1015"/>
      <c r="O512" s="1015"/>
      <c r="P512" s="1015"/>
      <c r="Q512" s="1015"/>
      <c r="R512" s="1015"/>
      <c r="S512" s="1015"/>
      <c r="T512" s="1015"/>
      <c r="U512" s="1015"/>
    </row>
    <row r="513" spans="1:21" ht="19.5" hidden="1" x14ac:dyDescent="0.3">
      <c r="A513" s="674"/>
      <c r="B513" s="561"/>
      <c r="C513" s="797" t="s">
        <v>18</v>
      </c>
      <c r="D513" s="798" t="s">
        <v>19</v>
      </c>
      <c r="E513" s="561"/>
      <c r="F513" s="561"/>
      <c r="G513" s="563"/>
      <c r="H513" s="1016" t="s">
        <v>14</v>
      </c>
      <c r="I513" s="565"/>
      <c r="J513" s="565"/>
      <c r="K513" s="566"/>
      <c r="L513" s="678">
        <f t="shared" ref="L513:N513" ca="1" si="316">L514+L515</f>
        <v>0</v>
      </c>
      <c r="M513" s="679">
        <f t="shared" ca="1" si="316"/>
        <v>0</v>
      </c>
      <c r="N513" s="679">
        <f t="shared" ca="1" si="316"/>
        <v>0</v>
      </c>
      <c r="O513" s="679">
        <f t="shared" ref="O513:O521" ca="1" si="317">IF(L513&gt;0,N513*100/L513,0)</f>
        <v>0</v>
      </c>
      <c r="P513" s="679">
        <f t="shared" ref="P513:P521" ca="1" si="318">IF(M513&gt;0,N513*100/M513,0)</f>
        <v>0</v>
      </c>
      <c r="Q513" s="679">
        <f t="shared" ref="Q513:S513" si="319">Q514+Q515</f>
        <v>0</v>
      </c>
      <c r="R513" s="679">
        <f t="shared" si="319"/>
        <v>0</v>
      </c>
      <c r="S513" s="679">
        <f t="shared" si="319"/>
        <v>0</v>
      </c>
      <c r="T513" s="679">
        <f t="shared" ref="T513:T521" si="320">IF(Q513&gt;0,S513*100/Q513,0)</f>
        <v>0</v>
      </c>
      <c r="U513" s="679">
        <f t="shared" ref="U513:U521" si="321">IF(R513&gt;0,S513*100/R513,0)</f>
        <v>0</v>
      </c>
    </row>
    <row r="514" spans="1:21" ht="18.75" hidden="1" x14ac:dyDescent="0.25">
      <c r="A514" s="674"/>
      <c r="B514" s="561"/>
      <c r="C514" s="561"/>
      <c r="D514" s="561"/>
      <c r="E514" s="569" t="s">
        <v>20</v>
      </c>
      <c r="F514" s="561"/>
      <c r="G514" s="563"/>
      <c r="H514" s="680" t="s">
        <v>14</v>
      </c>
      <c r="I514" s="565"/>
      <c r="J514" s="565"/>
      <c r="K514" s="566"/>
      <c r="L514" s="571">
        <f t="shared" ref="L514:N515" si="322">L517+L520</f>
        <v>0</v>
      </c>
      <c r="M514" s="572">
        <f t="shared" si="322"/>
        <v>0</v>
      </c>
      <c r="N514" s="572">
        <f t="shared" si="322"/>
        <v>0</v>
      </c>
      <c r="O514" s="572">
        <f t="shared" si="317"/>
        <v>0</v>
      </c>
      <c r="P514" s="572">
        <f t="shared" si="318"/>
        <v>0</v>
      </c>
      <c r="Q514" s="572">
        <f t="shared" ref="Q514:S515" si="323">Q517+Q520</f>
        <v>0</v>
      </c>
      <c r="R514" s="572">
        <f t="shared" si="323"/>
        <v>0</v>
      </c>
      <c r="S514" s="572">
        <f t="shared" si="323"/>
        <v>0</v>
      </c>
      <c r="T514" s="572">
        <f t="shared" si="320"/>
        <v>0</v>
      </c>
      <c r="U514" s="572">
        <f t="shared" si="321"/>
        <v>0</v>
      </c>
    </row>
    <row r="515" spans="1:21" ht="18.75" hidden="1" x14ac:dyDescent="0.25">
      <c r="A515" s="674"/>
      <c r="B515" s="561"/>
      <c r="C515" s="561"/>
      <c r="D515" s="561"/>
      <c r="E515" s="569" t="s">
        <v>21</v>
      </c>
      <c r="F515" s="561"/>
      <c r="G515" s="563"/>
      <c r="H515" s="680" t="s">
        <v>14</v>
      </c>
      <c r="I515" s="565"/>
      <c r="J515" s="565"/>
      <c r="K515" s="566"/>
      <c r="L515" s="567">
        <f t="shared" ca="1" si="322"/>
        <v>0</v>
      </c>
      <c r="M515" s="568">
        <f t="shared" ca="1" si="322"/>
        <v>0</v>
      </c>
      <c r="N515" s="568">
        <f t="shared" ca="1" si="322"/>
        <v>0</v>
      </c>
      <c r="O515" s="568">
        <f t="shared" ca="1" si="317"/>
        <v>0</v>
      </c>
      <c r="P515" s="568">
        <f t="shared" ca="1" si="318"/>
        <v>0</v>
      </c>
      <c r="Q515" s="568">
        <f t="shared" si="323"/>
        <v>0</v>
      </c>
      <c r="R515" s="568">
        <f t="shared" si="323"/>
        <v>0</v>
      </c>
      <c r="S515" s="568">
        <f t="shared" si="323"/>
        <v>0</v>
      </c>
      <c r="T515" s="568">
        <f t="shared" si="320"/>
        <v>0</v>
      </c>
      <c r="U515" s="568">
        <f t="shared" si="321"/>
        <v>0</v>
      </c>
    </row>
    <row r="516" spans="1:21" ht="18.75" hidden="1" x14ac:dyDescent="0.25">
      <c r="A516" s="674"/>
      <c r="B516" s="561"/>
      <c r="C516" s="561"/>
      <c r="D516" s="1017" t="s">
        <v>22</v>
      </c>
      <c r="E516" s="561"/>
      <c r="F516" s="561"/>
      <c r="G516" s="563"/>
      <c r="H516" s="685" t="s">
        <v>14</v>
      </c>
      <c r="I516" s="683"/>
      <c r="J516" s="683"/>
      <c r="K516" s="684"/>
      <c r="L516" s="567">
        <f t="shared" ref="L516:N516" ca="1" si="324">L517+L518</f>
        <v>0</v>
      </c>
      <c r="M516" s="568">
        <f t="shared" ca="1" si="324"/>
        <v>0</v>
      </c>
      <c r="N516" s="568">
        <f t="shared" ca="1" si="324"/>
        <v>0</v>
      </c>
      <c r="O516" s="568">
        <f t="shared" ca="1" si="317"/>
        <v>0</v>
      </c>
      <c r="P516" s="568">
        <f t="shared" ca="1" si="318"/>
        <v>0</v>
      </c>
      <c r="Q516" s="568">
        <f t="shared" ref="Q516:S516" si="325">Q517+Q518</f>
        <v>0</v>
      </c>
      <c r="R516" s="568">
        <f t="shared" si="325"/>
        <v>0</v>
      </c>
      <c r="S516" s="568">
        <f t="shared" si="325"/>
        <v>0</v>
      </c>
      <c r="T516" s="568">
        <f t="shared" si="320"/>
        <v>0</v>
      </c>
      <c r="U516" s="568">
        <f t="shared" si="321"/>
        <v>0</v>
      </c>
    </row>
    <row r="517" spans="1:21" ht="18.75" hidden="1" x14ac:dyDescent="0.25">
      <c r="A517" s="674"/>
      <c r="B517" s="561"/>
      <c r="C517" s="561"/>
      <c r="D517" s="561"/>
      <c r="E517" s="569" t="s">
        <v>36</v>
      </c>
      <c r="F517" s="561"/>
      <c r="G517" s="563"/>
      <c r="H517" s="685" t="s">
        <v>14</v>
      </c>
      <c r="I517" s="683"/>
      <c r="J517" s="683"/>
      <c r="K517" s="684"/>
      <c r="L517" s="571">
        <v>0</v>
      </c>
      <c r="M517" s="572">
        <v>0</v>
      </c>
      <c r="N517" s="572">
        <v>0</v>
      </c>
      <c r="O517" s="572">
        <f t="shared" si="317"/>
        <v>0</v>
      </c>
      <c r="P517" s="572">
        <f t="shared" si="318"/>
        <v>0</v>
      </c>
      <c r="Q517" s="572">
        <v>0</v>
      </c>
      <c r="R517" s="572">
        <v>0</v>
      </c>
      <c r="S517" s="572">
        <v>0</v>
      </c>
      <c r="T517" s="572">
        <f t="shared" si="320"/>
        <v>0</v>
      </c>
      <c r="U517" s="572">
        <f t="shared" si="321"/>
        <v>0</v>
      </c>
    </row>
    <row r="518" spans="1:21" ht="18.75" hidden="1" x14ac:dyDescent="0.25">
      <c r="A518" s="674"/>
      <c r="B518" s="561"/>
      <c r="C518" s="561"/>
      <c r="D518" s="561"/>
      <c r="E518" s="569" t="s">
        <v>37</v>
      </c>
      <c r="F518" s="561"/>
      <c r="G518" s="563"/>
      <c r="H518" s="685" t="s">
        <v>14</v>
      </c>
      <c r="I518" s="683"/>
      <c r="J518" s="683"/>
      <c r="K518" s="684"/>
      <c r="L518" s="567">
        <f ca="1">IFERROR(__xludf.DUMMYFUNCTION("IMPORTRANGE(""https://docs.google.com/spreadsheets/d/1-uDff_7J0KD5mKrp0Vvzr7lt3OU09vwQwhkpOPPYv2Y/edit?usp=sharing"",""งบพรบ!FM23"")"),0)</f>
        <v>0</v>
      </c>
      <c r="M518" s="568">
        <f ca="1">IFERROR(__xludf.DUMMYFUNCTION("IMPORTRANGE(""https://docs.google.com/spreadsheets/d/1-uDff_7J0KD5mKrp0Vvzr7lt3OU09vwQwhkpOPPYv2Y/edit?usp=sharing"",""งบพรบ!FR23"")"),0)</f>
        <v>0</v>
      </c>
      <c r="N518" s="568">
        <f ca="1">IFERROR(__xludf.DUMMYFUNCTION("IMPORTRANGE(""https://docs.google.com/spreadsheets/d/1-uDff_7J0KD5mKrp0Vvzr7lt3OU09vwQwhkpOPPYv2Y/edit?usp=sharing"",""งบพรบ!FT23"")"),0)</f>
        <v>0</v>
      </c>
      <c r="O518" s="568">
        <f t="shared" ca="1" si="317"/>
        <v>0</v>
      </c>
      <c r="P518" s="568">
        <f t="shared" ca="1" si="318"/>
        <v>0</v>
      </c>
      <c r="Q518" s="568">
        <v>0</v>
      </c>
      <c r="R518" s="568">
        <v>0</v>
      </c>
      <c r="S518" s="568">
        <v>0</v>
      </c>
      <c r="T518" s="568">
        <f t="shared" si="320"/>
        <v>0</v>
      </c>
      <c r="U518" s="568">
        <f t="shared" si="321"/>
        <v>0</v>
      </c>
    </row>
    <row r="519" spans="1:21" ht="18.75" hidden="1" x14ac:dyDescent="0.25">
      <c r="A519" s="674"/>
      <c r="B519" s="561"/>
      <c r="C519" s="561"/>
      <c r="D519" s="1017" t="s">
        <v>23</v>
      </c>
      <c r="E519" s="561"/>
      <c r="F519" s="561"/>
      <c r="G519" s="563"/>
      <c r="H519" s="734" t="s">
        <v>14</v>
      </c>
      <c r="I519" s="683"/>
      <c r="J519" s="683"/>
      <c r="K519" s="684"/>
      <c r="L519" s="567">
        <f t="shared" ref="L519:N519" ca="1" si="326">L520+L521</f>
        <v>0</v>
      </c>
      <c r="M519" s="568">
        <f t="shared" ca="1" si="326"/>
        <v>0</v>
      </c>
      <c r="N519" s="568">
        <f t="shared" ca="1" si="326"/>
        <v>0</v>
      </c>
      <c r="O519" s="568">
        <f t="shared" ca="1" si="317"/>
        <v>0</v>
      </c>
      <c r="P519" s="568">
        <f t="shared" ca="1" si="318"/>
        <v>0</v>
      </c>
      <c r="Q519" s="568">
        <f t="shared" ref="Q519:S519" si="327">Q520+Q521</f>
        <v>0</v>
      </c>
      <c r="R519" s="568">
        <f t="shared" si="327"/>
        <v>0</v>
      </c>
      <c r="S519" s="568">
        <f t="shared" si="327"/>
        <v>0</v>
      </c>
      <c r="T519" s="568">
        <f t="shared" si="320"/>
        <v>0</v>
      </c>
      <c r="U519" s="568">
        <f t="shared" si="321"/>
        <v>0</v>
      </c>
    </row>
    <row r="520" spans="1:21" ht="18.75" hidden="1" x14ac:dyDescent="0.25">
      <c r="A520" s="674"/>
      <c r="B520" s="561"/>
      <c r="C520" s="561"/>
      <c r="D520" s="561"/>
      <c r="E520" s="569" t="s">
        <v>20</v>
      </c>
      <c r="F520" s="561"/>
      <c r="G520" s="563"/>
      <c r="H520" s="685" t="s">
        <v>14</v>
      </c>
      <c r="I520" s="683"/>
      <c r="J520" s="683"/>
      <c r="K520" s="684"/>
      <c r="L520" s="571">
        <v>0</v>
      </c>
      <c r="M520" s="572">
        <v>0</v>
      </c>
      <c r="N520" s="572">
        <v>0</v>
      </c>
      <c r="O520" s="572">
        <f t="shared" si="317"/>
        <v>0</v>
      </c>
      <c r="P520" s="572">
        <f t="shared" si="318"/>
        <v>0</v>
      </c>
      <c r="Q520" s="572">
        <v>0</v>
      </c>
      <c r="R520" s="572">
        <v>0</v>
      </c>
      <c r="S520" s="572">
        <v>0</v>
      </c>
      <c r="T520" s="572">
        <f t="shared" si="320"/>
        <v>0</v>
      </c>
      <c r="U520" s="572">
        <f t="shared" si="321"/>
        <v>0</v>
      </c>
    </row>
    <row r="521" spans="1:21" ht="18.75" hidden="1" x14ac:dyDescent="0.25">
      <c r="A521" s="674"/>
      <c r="B521" s="561"/>
      <c r="C521" s="561"/>
      <c r="D521" s="561"/>
      <c r="E521" s="569" t="s">
        <v>21</v>
      </c>
      <c r="F521" s="561"/>
      <c r="G521" s="563"/>
      <c r="H521" s="734" t="s">
        <v>14</v>
      </c>
      <c r="I521" s="683"/>
      <c r="J521" s="683"/>
      <c r="K521" s="684"/>
      <c r="L521" s="567">
        <f ca="1">IFERROR(__xludf.DUMMYFUNCTION("IMPORTRANGE(""https://docs.google.com/spreadsheets/d/1-uDff_7J0KD5mKrp0Vvzr7lt3OU09vwQwhkpOPPYv2Y/edit?usp=sharing"",""งบพรบ!FP23"")"),0)</f>
        <v>0</v>
      </c>
      <c r="M521" s="568">
        <f ca="1">IFERROR(__xludf.DUMMYFUNCTION("IMPORTRANGE(""https://docs.google.com/spreadsheets/d/1-uDff_7J0KD5mKrp0Vvzr7lt3OU09vwQwhkpOPPYv2Y/edit?usp=sharing"",""งบพรบ!FS23"")"),0)</f>
        <v>0</v>
      </c>
      <c r="N521" s="568">
        <f ca="1">IFERROR(__xludf.DUMMYFUNCTION("IMPORTRANGE(""https://docs.google.com/spreadsheets/d/1-uDff_7J0KD5mKrp0Vvzr7lt3OU09vwQwhkpOPPYv2Y/edit?usp=sharing"",""งบพรบ!FU23"")"),0)</f>
        <v>0</v>
      </c>
      <c r="O521" s="568">
        <f t="shared" ca="1" si="317"/>
        <v>0</v>
      </c>
      <c r="P521" s="568">
        <f t="shared" ca="1" si="318"/>
        <v>0</v>
      </c>
      <c r="Q521" s="568">
        <v>0</v>
      </c>
      <c r="R521" s="568">
        <v>0</v>
      </c>
      <c r="S521" s="568">
        <v>0</v>
      </c>
      <c r="T521" s="568">
        <f t="shared" si="320"/>
        <v>0</v>
      </c>
      <c r="U521" s="568">
        <f t="shared" si="321"/>
        <v>0</v>
      </c>
    </row>
    <row r="522" spans="1:21" ht="19.5" hidden="1" x14ac:dyDescent="0.3">
      <c r="A522" s="687"/>
      <c r="B522" s="688"/>
      <c r="C522" s="797" t="s">
        <v>18</v>
      </c>
      <c r="D522" s="801" t="s">
        <v>38</v>
      </c>
      <c r="E522" s="690"/>
      <c r="F522" s="690"/>
      <c r="G522" s="691"/>
      <c r="H522" s="692"/>
      <c r="I522" s="683"/>
      <c r="J522" s="565"/>
      <c r="K522" s="566"/>
      <c r="L522" s="574"/>
      <c r="M522" s="566"/>
      <c r="N522" s="566"/>
      <c r="O522" s="684"/>
      <c r="P522" s="684"/>
      <c r="Q522" s="566"/>
      <c r="R522" s="566"/>
      <c r="S522" s="566"/>
      <c r="T522" s="684"/>
      <c r="U522" s="684"/>
    </row>
    <row r="523" spans="1:21" ht="18.75" hidden="1" x14ac:dyDescent="0.25">
      <c r="A523" s="764"/>
      <c r="B523" s="561"/>
      <c r="C523" s="718"/>
      <c r="D523" s="726" t="s">
        <v>208</v>
      </c>
      <c r="E523" s="688"/>
      <c r="F523" s="561"/>
      <c r="G523" s="563"/>
      <c r="H523" s="768" t="s">
        <v>11</v>
      </c>
      <c r="I523" s="735">
        <v>0</v>
      </c>
      <c r="J523" s="736">
        <v>0</v>
      </c>
      <c r="K523" s="572">
        <f t="shared" ref="K523:K524" si="328">IF(I523&gt;0,J523*100/I523,0)</f>
        <v>0</v>
      </c>
      <c r="L523" s="574"/>
      <c r="M523" s="566"/>
      <c r="N523" s="566"/>
      <c r="O523" s="566"/>
      <c r="P523" s="566"/>
      <c r="Q523" s="566"/>
      <c r="R523" s="566"/>
      <c r="S523" s="566"/>
      <c r="T523" s="566"/>
      <c r="U523" s="566"/>
    </row>
    <row r="524" spans="1:21" ht="18.75" hidden="1" x14ac:dyDescent="0.25">
      <c r="A524" s="984"/>
      <c r="B524" s="513"/>
      <c r="C524" s="514"/>
      <c r="D524" s="1018" t="s">
        <v>209</v>
      </c>
      <c r="E524" s="864"/>
      <c r="F524" s="513"/>
      <c r="G524" s="577"/>
      <c r="H524" s="1019" t="s">
        <v>61</v>
      </c>
      <c r="I524" s="740">
        <v>0</v>
      </c>
      <c r="J524" s="741">
        <v>0</v>
      </c>
      <c r="K524" s="742">
        <f t="shared" si="328"/>
        <v>0</v>
      </c>
      <c r="L524" s="574"/>
      <c r="M524" s="566"/>
      <c r="N524" s="566"/>
      <c r="O524" s="566"/>
      <c r="P524" s="566"/>
      <c r="Q524" s="566"/>
      <c r="R524" s="566"/>
      <c r="S524" s="566"/>
      <c r="T524" s="566"/>
      <c r="U524" s="566"/>
    </row>
    <row r="525" spans="1:21" ht="12.75" hidden="1" x14ac:dyDescent="0.2">
      <c r="A525" s="1020"/>
      <c r="B525" s="1021"/>
      <c r="C525" s="1021"/>
      <c r="D525" s="1022"/>
      <c r="E525" s="1022"/>
      <c r="F525" s="1022"/>
      <c r="G525" s="1023"/>
      <c r="H525" s="1024"/>
      <c r="I525" s="1025"/>
      <c r="J525" s="1025"/>
      <c r="K525" s="1026"/>
      <c r="L525" s="965"/>
      <c r="M525" s="964"/>
      <c r="N525" s="964"/>
      <c r="O525" s="964"/>
      <c r="P525" s="964"/>
      <c r="Q525" s="964"/>
      <c r="R525" s="964"/>
      <c r="S525" s="964"/>
      <c r="T525" s="964"/>
      <c r="U525" s="964"/>
    </row>
    <row r="526" spans="1:21" ht="12.75" hidden="1" x14ac:dyDescent="0.2">
      <c r="A526" s="973"/>
      <c r="B526" s="961"/>
      <c r="C526" s="961"/>
      <c r="D526" s="974"/>
      <c r="E526" s="974"/>
      <c r="F526" s="974"/>
      <c r="G526" s="975"/>
      <c r="H526" s="962"/>
      <c r="I526" s="963"/>
      <c r="J526" s="963"/>
      <c r="K526" s="964"/>
      <c r="L526" s="965"/>
      <c r="M526" s="964"/>
      <c r="N526" s="964"/>
      <c r="O526" s="964"/>
      <c r="P526" s="964"/>
      <c r="Q526" s="964"/>
      <c r="R526" s="964"/>
      <c r="S526" s="964"/>
      <c r="T526" s="964"/>
      <c r="U526" s="964"/>
    </row>
    <row r="527" spans="1:21" ht="12.75" hidden="1" x14ac:dyDescent="0.2">
      <c r="A527" s="973"/>
      <c r="B527" s="961"/>
      <c r="C527" s="961"/>
      <c r="D527" s="974"/>
      <c r="E527" s="974"/>
      <c r="F527" s="974"/>
      <c r="G527" s="975"/>
      <c r="H527" s="962"/>
      <c r="I527" s="963"/>
      <c r="J527" s="963"/>
      <c r="K527" s="964"/>
      <c r="L527" s="965"/>
      <c r="M527" s="964"/>
      <c r="N527" s="964"/>
      <c r="O527" s="964"/>
      <c r="P527" s="964"/>
      <c r="Q527" s="964"/>
      <c r="R527" s="964"/>
      <c r="S527" s="964"/>
      <c r="T527" s="964"/>
      <c r="U527" s="964"/>
    </row>
    <row r="528" spans="1:21" ht="12.75" hidden="1" x14ac:dyDescent="0.2">
      <c r="A528" s="973"/>
      <c r="B528" s="961"/>
      <c r="C528" s="961"/>
      <c r="D528" s="974"/>
      <c r="E528" s="974"/>
      <c r="F528" s="974"/>
      <c r="G528" s="975"/>
      <c r="H528" s="962"/>
      <c r="I528" s="963"/>
      <c r="J528" s="963"/>
      <c r="K528" s="964"/>
      <c r="L528" s="965"/>
      <c r="M528" s="964"/>
      <c r="N528" s="964"/>
      <c r="O528" s="964"/>
      <c r="P528" s="964"/>
      <c r="Q528" s="964"/>
      <c r="R528" s="964"/>
      <c r="S528" s="964"/>
      <c r="T528" s="964"/>
      <c r="U528" s="964"/>
    </row>
    <row r="529" spans="1:21" ht="12.75" hidden="1" x14ac:dyDescent="0.2">
      <c r="A529" s="973"/>
      <c r="B529" s="961"/>
      <c r="C529" s="961"/>
      <c r="D529" s="974"/>
      <c r="E529" s="974"/>
      <c r="F529" s="974"/>
      <c r="G529" s="975"/>
      <c r="H529" s="962"/>
      <c r="I529" s="963"/>
      <c r="J529" s="963"/>
      <c r="K529" s="964"/>
      <c r="L529" s="965"/>
      <c r="M529" s="964"/>
      <c r="N529" s="964"/>
      <c r="O529" s="964"/>
      <c r="P529" s="964"/>
      <c r="Q529" s="964"/>
      <c r="R529" s="964"/>
      <c r="S529" s="964"/>
      <c r="T529" s="964"/>
      <c r="U529" s="964"/>
    </row>
    <row r="530" spans="1:21" ht="12.75" hidden="1" x14ac:dyDescent="0.2">
      <c r="A530" s="973"/>
      <c r="B530" s="961"/>
      <c r="C530" s="961"/>
      <c r="D530" s="974"/>
      <c r="E530" s="974"/>
      <c r="F530" s="974"/>
      <c r="G530" s="975"/>
      <c r="H530" s="962"/>
      <c r="I530" s="963"/>
      <c r="J530" s="963"/>
      <c r="K530" s="964"/>
      <c r="L530" s="965"/>
      <c r="M530" s="964"/>
      <c r="N530" s="964"/>
      <c r="O530" s="964"/>
      <c r="P530" s="964"/>
      <c r="Q530" s="964"/>
      <c r="R530" s="964"/>
      <c r="S530" s="964"/>
      <c r="T530" s="964"/>
      <c r="U530" s="964"/>
    </row>
    <row r="531" spans="1:21" ht="12.75" hidden="1" x14ac:dyDescent="0.2">
      <c r="A531" s="973"/>
      <c r="B531" s="961"/>
      <c r="C531" s="961"/>
      <c r="D531" s="974"/>
      <c r="E531" s="974"/>
      <c r="F531" s="974"/>
      <c r="G531" s="975"/>
      <c r="H531" s="962"/>
      <c r="I531" s="963"/>
      <c r="J531" s="963"/>
      <c r="K531" s="964"/>
      <c r="L531" s="965"/>
      <c r="M531" s="964"/>
      <c r="N531" s="964"/>
      <c r="O531" s="964"/>
      <c r="P531" s="964"/>
      <c r="Q531" s="964"/>
      <c r="R531" s="964"/>
      <c r="S531" s="964"/>
      <c r="T531" s="964"/>
      <c r="U531" s="964"/>
    </row>
    <row r="532" spans="1:21" ht="12.75" hidden="1" x14ac:dyDescent="0.2">
      <c r="A532" s="1027"/>
      <c r="B532" s="966"/>
      <c r="C532" s="966"/>
      <c r="D532" s="1028"/>
      <c r="E532" s="1028"/>
      <c r="F532" s="1028"/>
      <c r="G532" s="1029"/>
      <c r="H532" s="967"/>
      <c r="I532" s="968"/>
      <c r="J532" s="968"/>
      <c r="K532" s="969"/>
      <c r="L532" s="970"/>
      <c r="M532" s="969"/>
      <c r="N532" s="969"/>
      <c r="O532" s="969"/>
      <c r="P532" s="969"/>
      <c r="Q532" s="969"/>
      <c r="R532" s="969"/>
      <c r="S532" s="969"/>
      <c r="T532" s="969"/>
      <c r="U532" s="969"/>
    </row>
    <row r="533" spans="1:21" ht="19.5" x14ac:dyDescent="0.3">
      <c r="A533" s="1006"/>
      <c r="B533" s="1030" t="s">
        <v>210</v>
      </c>
      <c r="C533" s="1008"/>
      <c r="D533" s="1009"/>
      <c r="E533" s="1009"/>
      <c r="F533" s="1009"/>
      <c r="G533" s="1010"/>
      <c r="H533" s="1031" t="s">
        <v>61</v>
      </c>
      <c r="I533" s="1235">
        <f t="shared" ref="I533:J533" si="329">I544</f>
        <v>1</v>
      </c>
      <c r="J533" s="1235">
        <f t="shared" si="329"/>
        <v>0</v>
      </c>
      <c r="K533" s="1033">
        <f>IF(I533&gt;0,J533*100/I533,0)</f>
        <v>0</v>
      </c>
      <c r="L533" s="1014"/>
      <c r="M533" s="1015"/>
      <c r="N533" s="1015"/>
      <c r="O533" s="1015"/>
      <c r="P533" s="1015"/>
      <c r="Q533" s="1015"/>
      <c r="R533" s="1015"/>
      <c r="S533" s="1015"/>
      <c r="T533" s="1015"/>
      <c r="U533" s="1015"/>
    </row>
    <row r="534" spans="1:21" ht="19.5" x14ac:dyDescent="0.3">
      <c r="A534" s="674"/>
      <c r="B534" s="561"/>
      <c r="C534" s="675" t="s">
        <v>18</v>
      </c>
      <c r="D534" s="676" t="s">
        <v>19</v>
      </c>
      <c r="E534" s="561"/>
      <c r="F534" s="561"/>
      <c r="G534" s="563"/>
      <c r="H534" s="677" t="s">
        <v>14</v>
      </c>
      <c r="I534" s="565"/>
      <c r="J534" s="565"/>
      <c r="K534" s="566"/>
      <c r="L534" s="678">
        <f t="shared" ref="L534:N534" ca="1" si="330">L535+L536</f>
        <v>692000</v>
      </c>
      <c r="M534" s="679">
        <f t="shared" ca="1" si="330"/>
        <v>692000</v>
      </c>
      <c r="N534" s="679">
        <f t="shared" ca="1" si="330"/>
        <v>0</v>
      </c>
      <c r="O534" s="679">
        <f t="shared" ref="O534:O542" ca="1" si="331">IF(L534&gt;0,N534*100/L534,0)</f>
        <v>0</v>
      </c>
      <c r="P534" s="679">
        <f t="shared" ref="P534:P542" ca="1" si="332">IF(M534&gt;0,N534*100/M534,0)</f>
        <v>0</v>
      </c>
      <c r="Q534" s="679">
        <f t="shared" ref="Q534:S534" si="333">Q535+Q536</f>
        <v>0</v>
      </c>
      <c r="R534" s="679">
        <f t="shared" si="333"/>
        <v>0</v>
      </c>
      <c r="S534" s="679">
        <f t="shared" si="333"/>
        <v>0</v>
      </c>
      <c r="T534" s="679">
        <f t="shared" ref="T534:T542" si="334">IF(Q534&gt;0,S534*100/Q534,0)</f>
        <v>0</v>
      </c>
      <c r="U534" s="679">
        <f t="shared" ref="U534:U542" si="335">IF(R534&gt;0,S534*100/R534,0)</f>
        <v>0</v>
      </c>
    </row>
    <row r="535" spans="1:21" ht="18.75" x14ac:dyDescent="0.25">
      <c r="A535" s="674"/>
      <c r="B535" s="718"/>
      <c r="C535" s="561"/>
      <c r="D535" s="561"/>
      <c r="E535" s="569" t="s">
        <v>20</v>
      </c>
      <c r="F535" s="561"/>
      <c r="G535" s="563"/>
      <c r="H535" s="680" t="s">
        <v>14</v>
      </c>
      <c r="I535" s="565"/>
      <c r="J535" s="565"/>
      <c r="K535" s="566"/>
      <c r="L535" s="571">
        <f t="shared" ref="L535:N536" si="336">L538+L541</f>
        <v>0</v>
      </c>
      <c r="M535" s="572">
        <f t="shared" si="336"/>
        <v>0</v>
      </c>
      <c r="N535" s="572">
        <f t="shared" si="336"/>
        <v>0</v>
      </c>
      <c r="O535" s="572">
        <f t="shared" si="331"/>
        <v>0</v>
      </c>
      <c r="P535" s="572">
        <f t="shared" si="332"/>
        <v>0</v>
      </c>
      <c r="Q535" s="572">
        <f t="shared" ref="Q535:S536" si="337">Q538+Q541</f>
        <v>0</v>
      </c>
      <c r="R535" s="572">
        <f t="shared" si="337"/>
        <v>0</v>
      </c>
      <c r="S535" s="572">
        <f t="shared" si="337"/>
        <v>0</v>
      </c>
      <c r="T535" s="572">
        <f t="shared" si="334"/>
        <v>0</v>
      </c>
      <c r="U535" s="572">
        <f t="shared" si="335"/>
        <v>0</v>
      </c>
    </row>
    <row r="536" spans="1:21" ht="18.75" x14ac:dyDescent="0.25">
      <c r="A536" s="674"/>
      <c r="B536" s="561"/>
      <c r="C536" s="718"/>
      <c r="D536" s="561"/>
      <c r="E536" s="765" t="s">
        <v>21</v>
      </c>
      <c r="F536" s="561"/>
      <c r="G536" s="563"/>
      <c r="H536" s="681" t="s">
        <v>14</v>
      </c>
      <c r="I536" s="565"/>
      <c r="J536" s="565"/>
      <c r="K536" s="566"/>
      <c r="L536" s="567">
        <f t="shared" ca="1" si="336"/>
        <v>692000</v>
      </c>
      <c r="M536" s="568">
        <f t="shared" ca="1" si="336"/>
        <v>692000</v>
      </c>
      <c r="N536" s="568">
        <f t="shared" ca="1" si="336"/>
        <v>0</v>
      </c>
      <c r="O536" s="568">
        <f t="shared" ca="1" si="331"/>
        <v>0</v>
      </c>
      <c r="P536" s="568">
        <f t="shared" ca="1" si="332"/>
        <v>0</v>
      </c>
      <c r="Q536" s="568">
        <f t="shared" si="337"/>
        <v>0</v>
      </c>
      <c r="R536" s="568">
        <f t="shared" si="337"/>
        <v>0</v>
      </c>
      <c r="S536" s="568">
        <f t="shared" si="337"/>
        <v>0</v>
      </c>
      <c r="T536" s="568">
        <f t="shared" si="334"/>
        <v>0</v>
      </c>
      <c r="U536" s="568">
        <f t="shared" si="335"/>
        <v>0</v>
      </c>
    </row>
    <row r="537" spans="1:21" ht="18.75" x14ac:dyDescent="0.25">
      <c r="A537" s="674"/>
      <c r="B537" s="561"/>
      <c r="C537" s="718"/>
      <c r="D537" s="562" t="s">
        <v>22</v>
      </c>
      <c r="E537" s="718"/>
      <c r="F537" s="561"/>
      <c r="G537" s="563"/>
      <c r="H537" s="682" t="s">
        <v>14</v>
      </c>
      <c r="I537" s="683"/>
      <c r="J537" s="683"/>
      <c r="K537" s="684"/>
      <c r="L537" s="567">
        <f t="shared" ref="L537:N537" ca="1" si="338">L538+L539</f>
        <v>0</v>
      </c>
      <c r="M537" s="568">
        <f t="shared" ca="1" si="338"/>
        <v>0</v>
      </c>
      <c r="N537" s="568">
        <f t="shared" ca="1" si="338"/>
        <v>0</v>
      </c>
      <c r="O537" s="568">
        <f t="shared" ca="1" si="331"/>
        <v>0</v>
      </c>
      <c r="P537" s="568">
        <f t="shared" ca="1" si="332"/>
        <v>0</v>
      </c>
      <c r="Q537" s="568">
        <f t="shared" ref="Q537:S537" si="339">Q538+Q539</f>
        <v>0</v>
      </c>
      <c r="R537" s="568">
        <f t="shared" si="339"/>
        <v>0</v>
      </c>
      <c r="S537" s="568">
        <f t="shared" si="339"/>
        <v>0</v>
      </c>
      <c r="T537" s="568">
        <f t="shared" si="334"/>
        <v>0</v>
      </c>
      <c r="U537" s="568">
        <f t="shared" si="335"/>
        <v>0</v>
      </c>
    </row>
    <row r="538" spans="1:21" ht="18.75" x14ac:dyDescent="0.25">
      <c r="A538" s="674"/>
      <c r="B538" s="561"/>
      <c r="C538" s="561"/>
      <c r="D538" s="561"/>
      <c r="E538" s="569" t="s">
        <v>36</v>
      </c>
      <c r="F538" s="561"/>
      <c r="G538" s="563"/>
      <c r="H538" s="685" t="s">
        <v>14</v>
      </c>
      <c r="I538" s="683"/>
      <c r="J538" s="683"/>
      <c r="K538" s="684"/>
      <c r="L538" s="571">
        <v>0</v>
      </c>
      <c r="M538" s="572">
        <v>0</v>
      </c>
      <c r="N538" s="572">
        <v>0</v>
      </c>
      <c r="O538" s="572">
        <f t="shared" si="331"/>
        <v>0</v>
      </c>
      <c r="P538" s="572">
        <f t="shared" si="332"/>
        <v>0</v>
      </c>
      <c r="Q538" s="572">
        <v>0</v>
      </c>
      <c r="R538" s="572">
        <v>0</v>
      </c>
      <c r="S538" s="572">
        <v>0</v>
      </c>
      <c r="T538" s="572">
        <f t="shared" si="334"/>
        <v>0</v>
      </c>
      <c r="U538" s="572">
        <f t="shared" si="335"/>
        <v>0</v>
      </c>
    </row>
    <row r="539" spans="1:21" ht="18.75" x14ac:dyDescent="0.25">
      <c r="A539" s="674"/>
      <c r="B539" s="561"/>
      <c r="C539" s="561"/>
      <c r="D539" s="561"/>
      <c r="E539" s="573" t="s">
        <v>37</v>
      </c>
      <c r="F539" s="561"/>
      <c r="G539" s="563"/>
      <c r="H539" s="682" t="s">
        <v>14</v>
      </c>
      <c r="I539" s="683"/>
      <c r="J539" s="683"/>
      <c r="K539" s="684"/>
      <c r="L539" s="567">
        <f ca="1">IFERROR(__xludf.DUMMYFUNCTION("IMPORTRANGE(""https://docs.google.com/spreadsheets/d/1-uDff_7J0KD5mKrp0Vvzr7lt3OU09vwQwhkpOPPYv2Y/edit?usp=sharing"",""งบพรบ!FW23"")"),0)</f>
        <v>0</v>
      </c>
      <c r="M539" s="568">
        <f ca="1">IFERROR(__xludf.DUMMYFUNCTION("IMPORTRANGE(""https://docs.google.com/spreadsheets/d/1-uDff_7J0KD5mKrp0Vvzr7lt3OU09vwQwhkpOPPYv2Y/edit?usp=sharing"",""งบพรบ!GB23"")"),0)</f>
        <v>0</v>
      </c>
      <c r="N539" s="568">
        <f ca="1">IFERROR(__xludf.DUMMYFUNCTION("IMPORTRANGE(""https://docs.google.com/spreadsheets/d/1-uDff_7J0KD5mKrp0Vvzr7lt3OU09vwQwhkpOPPYv2Y/edit?usp=sharing"",""งบพรบ!GD23"")"),0)</f>
        <v>0</v>
      </c>
      <c r="O539" s="568">
        <f t="shared" ca="1" si="331"/>
        <v>0</v>
      </c>
      <c r="P539" s="568">
        <f t="shared" ca="1" si="332"/>
        <v>0</v>
      </c>
      <c r="Q539" s="568">
        <v>0</v>
      </c>
      <c r="R539" s="568">
        <v>0</v>
      </c>
      <c r="S539" s="568">
        <v>0</v>
      </c>
      <c r="T539" s="568">
        <f t="shared" si="334"/>
        <v>0</v>
      </c>
      <c r="U539" s="568">
        <f t="shared" si="335"/>
        <v>0</v>
      </c>
    </row>
    <row r="540" spans="1:21" ht="18.75" x14ac:dyDescent="0.25">
      <c r="A540" s="674"/>
      <c r="B540" s="561"/>
      <c r="C540" s="561"/>
      <c r="D540" s="562" t="s">
        <v>23</v>
      </c>
      <c r="E540" s="561"/>
      <c r="F540" s="561"/>
      <c r="G540" s="563"/>
      <c r="H540" s="686" t="s">
        <v>14</v>
      </c>
      <c r="I540" s="683"/>
      <c r="J540" s="683"/>
      <c r="K540" s="684"/>
      <c r="L540" s="567">
        <f t="shared" ref="L540:N540" ca="1" si="340">L541+L542</f>
        <v>692000</v>
      </c>
      <c r="M540" s="568">
        <f t="shared" ca="1" si="340"/>
        <v>692000</v>
      </c>
      <c r="N540" s="568">
        <f t="shared" ca="1" si="340"/>
        <v>0</v>
      </c>
      <c r="O540" s="568">
        <f t="shared" ca="1" si="331"/>
        <v>0</v>
      </c>
      <c r="P540" s="568">
        <f t="shared" ca="1" si="332"/>
        <v>0</v>
      </c>
      <c r="Q540" s="568">
        <f t="shared" ref="Q540:S540" si="341">Q541+Q542</f>
        <v>0</v>
      </c>
      <c r="R540" s="568">
        <f t="shared" si="341"/>
        <v>0</v>
      </c>
      <c r="S540" s="568">
        <f t="shared" si="341"/>
        <v>0</v>
      </c>
      <c r="T540" s="568">
        <f t="shared" si="334"/>
        <v>0</v>
      </c>
      <c r="U540" s="568">
        <f t="shared" si="335"/>
        <v>0</v>
      </c>
    </row>
    <row r="541" spans="1:21" ht="18.75" x14ac:dyDescent="0.25">
      <c r="A541" s="674"/>
      <c r="B541" s="561"/>
      <c r="C541" s="561"/>
      <c r="D541" s="561"/>
      <c r="E541" s="569" t="s">
        <v>20</v>
      </c>
      <c r="F541" s="561"/>
      <c r="G541" s="563"/>
      <c r="H541" s="685" t="s">
        <v>14</v>
      </c>
      <c r="I541" s="683"/>
      <c r="J541" s="683"/>
      <c r="K541" s="684"/>
      <c r="L541" s="571">
        <v>0</v>
      </c>
      <c r="M541" s="572">
        <v>0</v>
      </c>
      <c r="N541" s="572">
        <v>0</v>
      </c>
      <c r="O541" s="572">
        <f t="shared" si="331"/>
        <v>0</v>
      </c>
      <c r="P541" s="572">
        <f t="shared" si="332"/>
        <v>0</v>
      </c>
      <c r="Q541" s="572">
        <v>0</v>
      </c>
      <c r="R541" s="572">
        <v>0</v>
      </c>
      <c r="S541" s="572">
        <v>0</v>
      </c>
      <c r="T541" s="572">
        <f t="shared" si="334"/>
        <v>0</v>
      </c>
      <c r="U541" s="572">
        <f t="shared" si="335"/>
        <v>0</v>
      </c>
    </row>
    <row r="542" spans="1:21" ht="18.75" x14ac:dyDescent="0.25">
      <c r="A542" s="674"/>
      <c r="B542" s="561"/>
      <c r="C542" s="561"/>
      <c r="D542" s="561"/>
      <c r="E542" s="573" t="s">
        <v>21</v>
      </c>
      <c r="F542" s="561"/>
      <c r="G542" s="563"/>
      <c r="H542" s="686" t="s">
        <v>14</v>
      </c>
      <c r="I542" s="683"/>
      <c r="J542" s="683"/>
      <c r="K542" s="684"/>
      <c r="L542" s="567">
        <f ca="1">IFERROR(__xludf.DUMMYFUNCTION("IMPORTRANGE(""https://docs.google.com/spreadsheets/d/1-uDff_7J0KD5mKrp0Vvzr7lt3OU09vwQwhkpOPPYv2Y/edit?usp=sharing"",""งบพรบ!FZ23"")"),692000)</f>
        <v>692000</v>
      </c>
      <c r="M542" s="568">
        <f ca="1">IFERROR(__xludf.DUMMYFUNCTION("IMPORTRANGE(""https://docs.google.com/spreadsheets/d/1-uDff_7J0KD5mKrp0Vvzr7lt3OU09vwQwhkpOPPYv2Y/edit?usp=sharing"",""งบพรบ!GC23"")"),692000)</f>
        <v>692000</v>
      </c>
      <c r="N542" s="568">
        <f ca="1">IFERROR(__xludf.DUMMYFUNCTION("IMPORTRANGE(""https://docs.google.com/spreadsheets/d/1-uDff_7J0KD5mKrp0Vvzr7lt3OU09vwQwhkpOPPYv2Y/edit?usp=sharing"",""งบพรบ!GE23"")"),0)</f>
        <v>0</v>
      </c>
      <c r="O542" s="568">
        <f t="shared" ca="1" si="331"/>
        <v>0</v>
      </c>
      <c r="P542" s="568">
        <f t="shared" ca="1" si="332"/>
        <v>0</v>
      </c>
      <c r="Q542" s="568">
        <v>0</v>
      </c>
      <c r="R542" s="568">
        <v>0</v>
      </c>
      <c r="S542" s="568">
        <v>0</v>
      </c>
      <c r="T542" s="568">
        <f t="shared" si="334"/>
        <v>0</v>
      </c>
      <c r="U542" s="568">
        <f t="shared" si="335"/>
        <v>0</v>
      </c>
    </row>
    <row r="543" spans="1:21" ht="19.5" x14ac:dyDescent="0.3">
      <c r="A543" s="687"/>
      <c r="B543" s="688"/>
      <c r="C543" s="1034" t="s">
        <v>18</v>
      </c>
      <c r="D543" s="689" t="s">
        <v>38</v>
      </c>
      <c r="E543" s="690"/>
      <c r="F543" s="690"/>
      <c r="G543" s="691"/>
      <c r="H543" s="692"/>
      <c r="I543" s="683"/>
      <c r="J543" s="565"/>
      <c r="K543" s="566"/>
      <c r="L543" s="574"/>
      <c r="M543" s="566"/>
      <c r="N543" s="566"/>
      <c r="O543" s="684"/>
      <c r="P543" s="684"/>
      <c r="Q543" s="566"/>
      <c r="R543" s="566"/>
      <c r="S543" s="566"/>
      <c r="T543" s="684"/>
      <c r="U543" s="684"/>
    </row>
    <row r="544" spans="1:21" ht="18.75" x14ac:dyDescent="0.25">
      <c r="A544" s="1282"/>
      <c r="B544" s="857"/>
      <c r="C544" s="855"/>
      <c r="D544" s="1132" t="s">
        <v>209</v>
      </c>
      <c r="E544" s="855"/>
      <c r="F544" s="857"/>
      <c r="G544" s="858"/>
      <c r="H544" s="1283" t="s">
        <v>61</v>
      </c>
      <c r="I544" s="860">
        <v>1</v>
      </c>
      <c r="J544" s="860">
        <v>0</v>
      </c>
      <c r="K544" s="862">
        <f>IF(I544&gt;0,J544*100/I544,0)</f>
        <v>0</v>
      </c>
      <c r="L544" s="784"/>
      <c r="M544" s="784"/>
      <c r="N544" s="784"/>
      <c r="O544" s="784"/>
      <c r="P544" s="784"/>
      <c r="Q544" s="784"/>
      <c r="R544" s="784"/>
      <c r="S544" s="784"/>
      <c r="T544" s="784"/>
      <c r="U544" s="784"/>
    </row>
    <row r="545" spans="1:21" ht="12.75" hidden="1" x14ac:dyDescent="0.2">
      <c r="A545" s="973"/>
      <c r="B545" s="974"/>
      <c r="C545" s="961"/>
      <c r="D545" s="974"/>
      <c r="E545" s="961"/>
      <c r="F545" s="974"/>
      <c r="G545" s="975"/>
      <c r="H545" s="975"/>
      <c r="I545" s="963"/>
      <c r="J545" s="963"/>
      <c r="K545" s="964"/>
      <c r="L545" s="965"/>
      <c r="M545" s="964"/>
      <c r="N545" s="964"/>
      <c r="O545" s="964"/>
      <c r="P545" s="964"/>
      <c r="Q545" s="964"/>
      <c r="R545" s="964"/>
      <c r="S545" s="964"/>
      <c r="T545" s="964"/>
      <c r="U545" s="964"/>
    </row>
    <row r="546" spans="1:21" ht="12.75" hidden="1" x14ac:dyDescent="0.2">
      <c r="A546" s="973"/>
      <c r="B546" s="961"/>
      <c r="C546" s="961"/>
      <c r="D546" s="974"/>
      <c r="E546" s="974"/>
      <c r="F546" s="974"/>
      <c r="G546" s="975"/>
      <c r="H546" s="962"/>
      <c r="I546" s="963"/>
      <c r="J546" s="963"/>
      <c r="K546" s="964"/>
      <c r="L546" s="965"/>
      <c r="M546" s="964"/>
      <c r="N546" s="964"/>
      <c r="O546" s="964"/>
      <c r="P546" s="964"/>
      <c r="Q546" s="964"/>
      <c r="R546" s="964"/>
      <c r="S546" s="964"/>
      <c r="T546" s="964"/>
      <c r="U546" s="964"/>
    </row>
    <row r="547" spans="1:21" ht="12.75" hidden="1" x14ac:dyDescent="0.2">
      <c r="A547" s="973"/>
      <c r="B547" s="961"/>
      <c r="C547" s="961"/>
      <c r="D547" s="974"/>
      <c r="E547" s="974"/>
      <c r="F547" s="974"/>
      <c r="G547" s="975"/>
      <c r="H547" s="962"/>
      <c r="I547" s="963"/>
      <c r="J547" s="963"/>
      <c r="K547" s="964"/>
      <c r="L547" s="965"/>
      <c r="M547" s="964"/>
      <c r="N547" s="964"/>
      <c r="O547" s="964"/>
      <c r="P547" s="964"/>
      <c r="Q547" s="964"/>
      <c r="R547" s="964"/>
      <c r="S547" s="964"/>
      <c r="T547" s="964"/>
      <c r="U547" s="964"/>
    </row>
    <row r="548" spans="1:21" ht="12.75" hidden="1" x14ac:dyDescent="0.2">
      <c r="A548" s="973"/>
      <c r="B548" s="961"/>
      <c r="C548" s="961"/>
      <c r="D548" s="974"/>
      <c r="E548" s="974"/>
      <c r="F548" s="974"/>
      <c r="G548" s="975"/>
      <c r="H548" s="962"/>
      <c r="I548" s="963"/>
      <c r="J548" s="963"/>
      <c r="K548" s="964"/>
      <c r="L548" s="965"/>
      <c r="M548" s="964"/>
      <c r="N548" s="964"/>
      <c r="O548" s="964"/>
      <c r="P548" s="964"/>
      <c r="Q548" s="964"/>
      <c r="R548" s="964"/>
      <c r="S548" s="964"/>
      <c r="T548" s="964"/>
      <c r="U548" s="964"/>
    </row>
    <row r="549" spans="1:21" ht="12.75" hidden="1" x14ac:dyDescent="0.2">
      <c r="A549" s="973"/>
      <c r="B549" s="961"/>
      <c r="C549" s="961"/>
      <c r="D549" s="974"/>
      <c r="E549" s="974"/>
      <c r="F549" s="974"/>
      <c r="G549" s="975"/>
      <c r="H549" s="962"/>
      <c r="I549" s="963"/>
      <c r="J549" s="963"/>
      <c r="K549" s="964"/>
      <c r="L549" s="965"/>
      <c r="M549" s="964"/>
      <c r="N549" s="964"/>
      <c r="O549" s="964"/>
      <c r="P549" s="964"/>
      <c r="Q549" s="964"/>
      <c r="R549" s="964"/>
      <c r="S549" s="964"/>
      <c r="T549" s="964"/>
      <c r="U549" s="964"/>
    </row>
    <row r="550" spans="1:21" ht="12.75" hidden="1" x14ac:dyDescent="0.2">
      <c r="A550" s="973"/>
      <c r="B550" s="961"/>
      <c r="C550" s="961"/>
      <c r="D550" s="974"/>
      <c r="E550" s="974"/>
      <c r="F550" s="974"/>
      <c r="G550" s="975"/>
      <c r="H550" s="962"/>
      <c r="I550" s="963"/>
      <c r="J550" s="963"/>
      <c r="K550" s="964"/>
      <c r="L550" s="965"/>
      <c r="M550" s="964"/>
      <c r="N550" s="964"/>
      <c r="O550" s="964"/>
      <c r="P550" s="964"/>
      <c r="Q550" s="964"/>
      <c r="R550" s="964"/>
      <c r="S550" s="964"/>
      <c r="T550" s="964"/>
      <c r="U550" s="964"/>
    </row>
    <row r="551" spans="1:21" ht="12.75" hidden="1" x14ac:dyDescent="0.2">
      <c r="A551" s="973"/>
      <c r="B551" s="961"/>
      <c r="C551" s="961"/>
      <c r="D551" s="974"/>
      <c r="E551" s="974"/>
      <c r="F551" s="974"/>
      <c r="G551" s="975"/>
      <c r="H551" s="962"/>
      <c r="I551" s="963"/>
      <c r="J551" s="963"/>
      <c r="K551" s="964"/>
      <c r="L551" s="965"/>
      <c r="M551" s="964"/>
      <c r="N551" s="964"/>
      <c r="O551" s="964"/>
      <c r="P551" s="964"/>
      <c r="Q551" s="964"/>
      <c r="R551" s="964"/>
      <c r="S551" s="964"/>
      <c r="T551" s="964"/>
      <c r="U551" s="964"/>
    </row>
    <row r="552" spans="1:21" ht="12.75" hidden="1" x14ac:dyDescent="0.2">
      <c r="A552" s="973"/>
      <c r="B552" s="961"/>
      <c r="C552" s="961"/>
      <c r="D552" s="974"/>
      <c r="E552" s="974"/>
      <c r="F552" s="974"/>
      <c r="G552" s="975"/>
      <c r="H552" s="962"/>
      <c r="I552" s="963"/>
      <c r="J552" s="963"/>
      <c r="K552" s="964"/>
      <c r="L552" s="965"/>
      <c r="M552" s="964"/>
      <c r="N552" s="964"/>
      <c r="O552" s="964"/>
      <c r="P552" s="964"/>
      <c r="Q552" s="964"/>
      <c r="R552" s="964"/>
      <c r="S552" s="964"/>
      <c r="T552" s="964"/>
      <c r="U552" s="964"/>
    </row>
    <row r="553" spans="1:21" ht="12.75" hidden="1" x14ac:dyDescent="0.2">
      <c r="A553" s="1027"/>
      <c r="B553" s="966"/>
      <c r="C553" s="966"/>
      <c r="D553" s="1028"/>
      <c r="E553" s="1028"/>
      <c r="F553" s="1028"/>
      <c r="G553" s="1029"/>
      <c r="H553" s="967"/>
      <c r="I553" s="968"/>
      <c r="J553" s="968"/>
      <c r="K553" s="969"/>
      <c r="L553" s="970"/>
      <c r="M553" s="969"/>
      <c r="N553" s="969"/>
      <c r="O553" s="969"/>
      <c r="P553" s="969"/>
      <c r="Q553" s="969"/>
      <c r="R553" s="969"/>
      <c r="S553" s="969"/>
      <c r="T553" s="969"/>
      <c r="U553" s="969"/>
    </row>
    <row r="554" spans="1:21" ht="19.5" hidden="1" x14ac:dyDescent="0.3">
      <c r="A554" s="1006"/>
      <c r="B554" s="1030" t="s">
        <v>211</v>
      </c>
      <c r="C554" s="1008"/>
      <c r="D554" s="1009"/>
      <c r="E554" s="1009"/>
      <c r="F554" s="1009"/>
      <c r="G554" s="1010"/>
      <c r="H554" s="1031" t="s">
        <v>61</v>
      </c>
      <c r="I554" s="1032">
        <f t="shared" ref="I554:J554" si="342">I566</f>
        <v>0</v>
      </c>
      <c r="J554" s="1032">
        <f t="shared" si="342"/>
        <v>0</v>
      </c>
      <c r="K554" s="1033">
        <f>IF(I554&gt;0,J554*100/I554,0)</f>
        <v>0</v>
      </c>
      <c r="L554" s="1014"/>
      <c r="M554" s="1015"/>
      <c r="N554" s="1015"/>
      <c r="O554" s="1015"/>
      <c r="P554" s="1015"/>
      <c r="Q554" s="1015"/>
      <c r="R554" s="1015"/>
      <c r="S554" s="1015"/>
      <c r="T554" s="1015"/>
      <c r="U554" s="1015"/>
    </row>
    <row r="555" spans="1:21" ht="19.5" hidden="1" x14ac:dyDescent="0.3">
      <c r="A555" s="674"/>
      <c r="B555" s="561"/>
      <c r="C555" s="675" t="s">
        <v>18</v>
      </c>
      <c r="D555" s="676" t="s">
        <v>19</v>
      </c>
      <c r="E555" s="561"/>
      <c r="F555" s="561"/>
      <c r="G555" s="563"/>
      <c r="H555" s="677" t="s">
        <v>14</v>
      </c>
      <c r="I555" s="565"/>
      <c r="J555" s="565"/>
      <c r="K555" s="566"/>
      <c r="L555" s="678">
        <f t="shared" ref="L555:N555" ca="1" si="343">L556+L557</f>
        <v>0</v>
      </c>
      <c r="M555" s="679">
        <f t="shared" ca="1" si="343"/>
        <v>0</v>
      </c>
      <c r="N555" s="679">
        <f t="shared" ca="1" si="343"/>
        <v>0</v>
      </c>
      <c r="O555" s="679">
        <f t="shared" ref="O555:O563" ca="1" si="344">IF(L555&gt;0,N555*100/L555,0)</f>
        <v>0</v>
      </c>
      <c r="P555" s="679">
        <f t="shared" ref="P555:P563" ca="1" si="345">IF(M555&gt;0,N555*100/M555,0)</f>
        <v>0</v>
      </c>
      <c r="Q555" s="679">
        <f t="shared" ref="Q555:S555" si="346">Q556+Q557</f>
        <v>0</v>
      </c>
      <c r="R555" s="679">
        <f t="shared" si="346"/>
        <v>0</v>
      </c>
      <c r="S555" s="679">
        <f t="shared" si="346"/>
        <v>0</v>
      </c>
      <c r="T555" s="679">
        <f t="shared" ref="T555:T563" si="347">IF(Q555&gt;0,S555*100/Q555,0)</f>
        <v>0</v>
      </c>
      <c r="U555" s="679">
        <f t="shared" ref="U555:U563" si="348">IF(R555&gt;0,S555*100/R555,0)</f>
        <v>0</v>
      </c>
    </row>
    <row r="556" spans="1:21" ht="18.75" hidden="1" x14ac:dyDescent="0.25">
      <c r="A556" s="674"/>
      <c r="B556" s="718"/>
      <c r="C556" s="561"/>
      <c r="D556" s="561"/>
      <c r="E556" s="569" t="s">
        <v>20</v>
      </c>
      <c r="F556" s="561"/>
      <c r="G556" s="563"/>
      <c r="H556" s="680" t="s">
        <v>14</v>
      </c>
      <c r="I556" s="565"/>
      <c r="J556" s="565"/>
      <c r="K556" s="566"/>
      <c r="L556" s="571">
        <f t="shared" ref="L556:N557" si="349">L559+L562</f>
        <v>0</v>
      </c>
      <c r="M556" s="572">
        <f t="shared" si="349"/>
        <v>0</v>
      </c>
      <c r="N556" s="572">
        <f t="shared" si="349"/>
        <v>0</v>
      </c>
      <c r="O556" s="572">
        <f t="shared" si="344"/>
        <v>0</v>
      </c>
      <c r="P556" s="572">
        <f t="shared" si="345"/>
        <v>0</v>
      </c>
      <c r="Q556" s="572">
        <f t="shared" ref="Q556:S557" si="350">Q559+Q562</f>
        <v>0</v>
      </c>
      <c r="R556" s="572">
        <f t="shared" si="350"/>
        <v>0</v>
      </c>
      <c r="S556" s="572">
        <f t="shared" si="350"/>
        <v>0</v>
      </c>
      <c r="T556" s="572">
        <f t="shared" si="347"/>
        <v>0</v>
      </c>
      <c r="U556" s="572">
        <f t="shared" si="348"/>
        <v>0</v>
      </c>
    </row>
    <row r="557" spans="1:21" ht="18.75" hidden="1" x14ac:dyDescent="0.25">
      <c r="A557" s="674"/>
      <c r="B557" s="561"/>
      <c r="C557" s="718"/>
      <c r="D557" s="561"/>
      <c r="E557" s="765" t="s">
        <v>21</v>
      </c>
      <c r="F557" s="561"/>
      <c r="G557" s="563"/>
      <c r="H557" s="681" t="s">
        <v>14</v>
      </c>
      <c r="I557" s="565"/>
      <c r="J557" s="565"/>
      <c r="K557" s="566"/>
      <c r="L557" s="567">
        <f t="shared" ca="1" si="349"/>
        <v>0</v>
      </c>
      <c r="M557" s="568">
        <f t="shared" ca="1" si="349"/>
        <v>0</v>
      </c>
      <c r="N557" s="568">
        <f t="shared" ca="1" si="349"/>
        <v>0</v>
      </c>
      <c r="O557" s="568">
        <f t="shared" ca="1" si="344"/>
        <v>0</v>
      </c>
      <c r="P557" s="568">
        <f t="shared" ca="1" si="345"/>
        <v>0</v>
      </c>
      <c r="Q557" s="568">
        <f t="shared" si="350"/>
        <v>0</v>
      </c>
      <c r="R557" s="568">
        <f t="shared" si="350"/>
        <v>0</v>
      </c>
      <c r="S557" s="568">
        <f t="shared" si="350"/>
        <v>0</v>
      </c>
      <c r="T557" s="568">
        <f t="shared" si="347"/>
        <v>0</v>
      </c>
      <c r="U557" s="568">
        <f t="shared" si="348"/>
        <v>0</v>
      </c>
    </row>
    <row r="558" spans="1:21" ht="18.75" hidden="1" x14ac:dyDescent="0.25">
      <c r="A558" s="674"/>
      <c r="B558" s="561"/>
      <c r="C558" s="718"/>
      <c r="D558" s="562" t="s">
        <v>22</v>
      </c>
      <c r="E558" s="718"/>
      <c r="F558" s="561"/>
      <c r="G558" s="563"/>
      <c r="H558" s="682" t="s">
        <v>14</v>
      </c>
      <c r="I558" s="683"/>
      <c r="J558" s="683"/>
      <c r="K558" s="684"/>
      <c r="L558" s="567">
        <f t="shared" ref="L558:N558" ca="1" si="351">L559+L560</f>
        <v>0</v>
      </c>
      <c r="M558" s="568">
        <f t="shared" ca="1" si="351"/>
        <v>0</v>
      </c>
      <c r="N558" s="568">
        <f t="shared" ca="1" si="351"/>
        <v>0</v>
      </c>
      <c r="O558" s="568">
        <f t="shared" ca="1" si="344"/>
        <v>0</v>
      </c>
      <c r="P558" s="568">
        <f t="shared" ca="1" si="345"/>
        <v>0</v>
      </c>
      <c r="Q558" s="568">
        <f t="shared" ref="Q558:S558" si="352">Q559+Q560</f>
        <v>0</v>
      </c>
      <c r="R558" s="568">
        <f t="shared" si="352"/>
        <v>0</v>
      </c>
      <c r="S558" s="568">
        <f t="shared" si="352"/>
        <v>0</v>
      </c>
      <c r="T558" s="568">
        <f t="shared" si="347"/>
        <v>0</v>
      </c>
      <c r="U558" s="568">
        <f t="shared" si="348"/>
        <v>0</v>
      </c>
    </row>
    <row r="559" spans="1:21" ht="18.75" hidden="1" x14ac:dyDescent="0.25">
      <c r="A559" s="674"/>
      <c r="B559" s="561"/>
      <c r="C559" s="561"/>
      <c r="D559" s="561"/>
      <c r="E559" s="569" t="s">
        <v>36</v>
      </c>
      <c r="F559" s="561"/>
      <c r="G559" s="563"/>
      <c r="H559" s="685" t="s">
        <v>14</v>
      </c>
      <c r="I559" s="683"/>
      <c r="J559" s="683"/>
      <c r="K559" s="684"/>
      <c r="L559" s="571">
        <v>0</v>
      </c>
      <c r="M559" s="572">
        <v>0</v>
      </c>
      <c r="N559" s="572">
        <v>0</v>
      </c>
      <c r="O559" s="572">
        <f t="shared" si="344"/>
        <v>0</v>
      </c>
      <c r="P559" s="572">
        <f t="shared" si="345"/>
        <v>0</v>
      </c>
      <c r="Q559" s="572">
        <v>0</v>
      </c>
      <c r="R559" s="572">
        <v>0</v>
      </c>
      <c r="S559" s="572">
        <v>0</v>
      </c>
      <c r="T559" s="572">
        <f t="shared" si="347"/>
        <v>0</v>
      </c>
      <c r="U559" s="572">
        <f t="shared" si="348"/>
        <v>0</v>
      </c>
    </row>
    <row r="560" spans="1:21" ht="18.75" hidden="1" x14ac:dyDescent="0.25">
      <c r="A560" s="674"/>
      <c r="B560" s="561"/>
      <c r="C560" s="561"/>
      <c r="D560" s="561"/>
      <c r="E560" s="573" t="s">
        <v>37</v>
      </c>
      <c r="F560" s="561"/>
      <c r="G560" s="563"/>
      <c r="H560" s="682" t="s">
        <v>14</v>
      </c>
      <c r="I560" s="683"/>
      <c r="J560" s="683"/>
      <c r="K560" s="684"/>
      <c r="L560" s="567">
        <f ca="1">IFERROR(__xludf.DUMMYFUNCTION("IMPORTRANGE(""https://docs.google.com/spreadsheets/d/1-uDff_7J0KD5mKrp0Vvzr7lt3OU09vwQwhkpOPPYv2Y/edit?usp=sharing"",""งบพรบ!GG23"")"),0)</f>
        <v>0</v>
      </c>
      <c r="M560" s="568">
        <f ca="1">IFERROR(__xludf.DUMMYFUNCTION("IMPORTRANGE(""https://docs.google.com/spreadsheets/d/1-uDff_7J0KD5mKrp0Vvzr7lt3OU09vwQwhkpOPPYv2Y/edit?usp=sharing"",""งบพรบ!GL23"")"),0)</f>
        <v>0</v>
      </c>
      <c r="N560" s="568">
        <f ca="1">IFERROR(__xludf.DUMMYFUNCTION("IMPORTRANGE(""https://docs.google.com/spreadsheets/d/1-uDff_7J0KD5mKrp0Vvzr7lt3OU09vwQwhkpOPPYv2Y/edit?usp=sharing"",""งบพรบ!GN23"")"),0)</f>
        <v>0</v>
      </c>
      <c r="O560" s="568">
        <f t="shared" ca="1" si="344"/>
        <v>0</v>
      </c>
      <c r="P560" s="568">
        <f t="shared" ca="1" si="345"/>
        <v>0</v>
      </c>
      <c r="Q560" s="568">
        <v>0</v>
      </c>
      <c r="R560" s="568">
        <v>0</v>
      </c>
      <c r="S560" s="568">
        <v>0</v>
      </c>
      <c r="T560" s="568">
        <f t="shared" si="347"/>
        <v>0</v>
      </c>
      <c r="U560" s="568">
        <f t="shared" si="348"/>
        <v>0</v>
      </c>
    </row>
    <row r="561" spans="1:21" ht="18.75" hidden="1" x14ac:dyDescent="0.25">
      <c r="A561" s="674"/>
      <c r="B561" s="561"/>
      <c r="C561" s="561"/>
      <c r="D561" s="562" t="s">
        <v>23</v>
      </c>
      <c r="E561" s="561"/>
      <c r="F561" s="561"/>
      <c r="G561" s="563"/>
      <c r="H561" s="686" t="s">
        <v>14</v>
      </c>
      <c r="I561" s="683"/>
      <c r="J561" s="683"/>
      <c r="K561" s="684"/>
      <c r="L561" s="567">
        <f t="shared" ref="L561:N561" ca="1" si="353">L562+L563</f>
        <v>0</v>
      </c>
      <c r="M561" s="568">
        <f t="shared" ca="1" si="353"/>
        <v>0</v>
      </c>
      <c r="N561" s="568">
        <f t="shared" ca="1" si="353"/>
        <v>0</v>
      </c>
      <c r="O561" s="568">
        <f t="shared" ca="1" si="344"/>
        <v>0</v>
      </c>
      <c r="P561" s="568">
        <f t="shared" ca="1" si="345"/>
        <v>0</v>
      </c>
      <c r="Q561" s="568">
        <f t="shared" ref="Q561:S561" si="354">Q562+Q563</f>
        <v>0</v>
      </c>
      <c r="R561" s="568">
        <f t="shared" si="354"/>
        <v>0</v>
      </c>
      <c r="S561" s="568">
        <f t="shared" si="354"/>
        <v>0</v>
      </c>
      <c r="T561" s="568">
        <f t="shared" si="347"/>
        <v>0</v>
      </c>
      <c r="U561" s="568">
        <f t="shared" si="348"/>
        <v>0</v>
      </c>
    </row>
    <row r="562" spans="1:21" ht="18.75" hidden="1" x14ac:dyDescent="0.25">
      <c r="A562" s="674"/>
      <c r="B562" s="561"/>
      <c r="C562" s="561"/>
      <c r="D562" s="561"/>
      <c r="E562" s="569" t="s">
        <v>20</v>
      </c>
      <c r="F562" s="561"/>
      <c r="G562" s="563"/>
      <c r="H562" s="685" t="s">
        <v>14</v>
      </c>
      <c r="I562" s="683"/>
      <c r="J562" s="683"/>
      <c r="K562" s="684"/>
      <c r="L562" s="571">
        <v>0</v>
      </c>
      <c r="M562" s="572">
        <v>0</v>
      </c>
      <c r="N562" s="572">
        <v>0</v>
      </c>
      <c r="O562" s="572">
        <f t="shared" si="344"/>
        <v>0</v>
      </c>
      <c r="P562" s="572">
        <f t="shared" si="345"/>
        <v>0</v>
      </c>
      <c r="Q562" s="572">
        <v>0</v>
      </c>
      <c r="R562" s="572">
        <v>0</v>
      </c>
      <c r="S562" s="572">
        <v>0</v>
      </c>
      <c r="T562" s="572">
        <f t="shared" si="347"/>
        <v>0</v>
      </c>
      <c r="U562" s="572">
        <f t="shared" si="348"/>
        <v>0</v>
      </c>
    </row>
    <row r="563" spans="1:21" ht="18.75" hidden="1" x14ac:dyDescent="0.25">
      <c r="A563" s="674"/>
      <c r="B563" s="561"/>
      <c r="C563" s="561"/>
      <c r="D563" s="561"/>
      <c r="E563" s="573" t="s">
        <v>21</v>
      </c>
      <c r="F563" s="561"/>
      <c r="G563" s="563"/>
      <c r="H563" s="686" t="s">
        <v>14</v>
      </c>
      <c r="I563" s="683"/>
      <c r="J563" s="683"/>
      <c r="K563" s="684"/>
      <c r="L563" s="567">
        <f ca="1">IFERROR(__xludf.DUMMYFUNCTION("IMPORTRANGE(""https://docs.google.com/spreadsheets/d/1-uDff_7J0KD5mKrp0Vvzr7lt3OU09vwQwhkpOPPYv2Y/edit?usp=sharing"",""งบพรบ!GJ23"")"),0)</f>
        <v>0</v>
      </c>
      <c r="M563" s="568">
        <f ca="1">IFERROR(__xludf.DUMMYFUNCTION("IMPORTRANGE(""https://docs.google.com/spreadsheets/d/1-uDff_7J0KD5mKrp0Vvzr7lt3OU09vwQwhkpOPPYv2Y/edit?usp=sharing"",""งบพรบ!GM23"")"),0)</f>
        <v>0</v>
      </c>
      <c r="N563" s="568">
        <f ca="1">IFERROR(__xludf.DUMMYFUNCTION("IMPORTRANGE(""https://docs.google.com/spreadsheets/d/1-uDff_7J0KD5mKrp0Vvzr7lt3OU09vwQwhkpOPPYv2Y/edit?usp=sharing"",""งบพรบ!GO23"")"),0)</f>
        <v>0</v>
      </c>
      <c r="O563" s="568">
        <f t="shared" ca="1" si="344"/>
        <v>0</v>
      </c>
      <c r="P563" s="568">
        <f t="shared" ca="1" si="345"/>
        <v>0</v>
      </c>
      <c r="Q563" s="568">
        <v>0</v>
      </c>
      <c r="R563" s="568">
        <v>0</v>
      </c>
      <c r="S563" s="568">
        <v>0</v>
      </c>
      <c r="T563" s="568">
        <f t="shared" si="347"/>
        <v>0</v>
      </c>
      <c r="U563" s="568">
        <f t="shared" si="348"/>
        <v>0</v>
      </c>
    </row>
    <row r="564" spans="1:21" ht="19.5" hidden="1" x14ac:dyDescent="0.3">
      <c r="A564" s="687"/>
      <c r="B564" s="688"/>
      <c r="C564" s="1034" t="s">
        <v>18</v>
      </c>
      <c r="D564" s="689" t="s">
        <v>38</v>
      </c>
      <c r="E564" s="690"/>
      <c r="F564" s="690"/>
      <c r="G564" s="691"/>
      <c r="H564" s="692"/>
      <c r="I564" s="683"/>
      <c r="J564" s="565"/>
      <c r="K564" s="566"/>
      <c r="L564" s="574"/>
      <c r="M564" s="566"/>
      <c r="N564" s="566"/>
      <c r="O564" s="684"/>
      <c r="P564" s="684"/>
      <c r="Q564" s="566"/>
      <c r="R564" s="566"/>
      <c r="S564" s="566"/>
      <c r="T564" s="684"/>
      <c r="U564" s="684"/>
    </row>
    <row r="565" spans="1:21" ht="12.75" hidden="1" x14ac:dyDescent="0.2">
      <c r="A565" s="973"/>
      <c r="B565" s="974"/>
      <c r="C565" s="961"/>
      <c r="D565" s="974"/>
      <c r="E565" s="961"/>
      <c r="F565" s="974"/>
      <c r="G565" s="975"/>
      <c r="H565" s="975"/>
      <c r="I565" s="963"/>
      <c r="J565" s="963"/>
      <c r="K565" s="964"/>
      <c r="L565" s="965"/>
      <c r="M565" s="964"/>
      <c r="N565" s="964"/>
      <c r="O565" s="964"/>
      <c r="P565" s="964"/>
      <c r="Q565" s="964"/>
      <c r="R565" s="964"/>
      <c r="S565" s="964"/>
      <c r="T565" s="964"/>
      <c r="U565" s="964"/>
    </row>
    <row r="566" spans="1:21" ht="12.75" hidden="1" x14ac:dyDescent="0.2">
      <c r="A566" s="973"/>
      <c r="B566" s="974"/>
      <c r="C566" s="961"/>
      <c r="D566" s="974"/>
      <c r="E566" s="961"/>
      <c r="F566" s="974"/>
      <c r="G566" s="975"/>
      <c r="H566" s="975"/>
      <c r="I566" s="963"/>
      <c r="J566" s="963"/>
      <c r="K566" s="964"/>
      <c r="L566" s="965"/>
      <c r="M566" s="964"/>
      <c r="N566" s="964"/>
      <c r="O566" s="964"/>
      <c r="P566" s="964"/>
      <c r="Q566" s="964"/>
      <c r="R566" s="964"/>
      <c r="S566" s="964"/>
      <c r="T566" s="964"/>
      <c r="U566" s="964"/>
    </row>
    <row r="567" spans="1:21" ht="12.75" hidden="1" x14ac:dyDescent="0.2">
      <c r="A567" s="973"/>
      <c r="B567" s="961"/>
      <c r="C567" s="961"/>
      <c r="D567" s="974"/>
      <c r="E567" s="974"/>
      <c r="F567" s="974"/>
      <c r="G567" s="975"/>
      <c r="H567" s="962"/>
      <c r="I567" s="963"/>
      <c r="J567" s="963"/>
      <c r="K567" s="964"/>
      <c r="L567" s="965"/>
      <c r="M567" s="964"/>
      <c r="N567" s="964"/>
      <c r="O567" s="964"/>
      <c r="P567" s="964"/>
      <c r="Q567" s="964"/>
      <c r="R567" s="964"/>
      <c r="S567" s="964"/>
      <c r="T567" s="964"/>
      <c r="U567" s="964"/>
    </row>
    <row r="568" spans="1:21" ht="12.75" hidden="1" x14ac:dyDescent="0.2">
      <c r="A568" s="973"/>
      <c r="B568" s="961"/>
      <c r="C568" s="961"/>
      <c r="D568" s="974"/>
      <c r="E568" s="974"/>
      <c r="F568" s="974"/>
      <c r="G568" s="975"/>
      <c r="H568" s="962"/>
      <c r="I568" s="963"/>
      <c r="J568" s="963"/>
      <c r="K568" s="964"/>
      <c r="L568" s="965"/>
      <c r="M568" s="964"/>
      <c r="N568" s="964"/>
      <c r="O568" s="964"/>
      <c r="P568" s="964"/>
      <c r="Q568" s="964"/>
      <c r="R568" s="964"/>
      <c r="S568" s="964"/>
      <c r="T568" s="964"/>
      <c r="U568" s="964"/>
    </row>
    <row r="569" spans="1:21" ht="12.75" hidden="1" x14ac:dyDescent="0.2">
      <c r="A569" s="973"/>
      <c r="B569" s="961"/>
      <c r="C569" s="961"/>
      <c r="D569" s="974"/>
      <c r="E569" s="974"/>
      <c r="F569" s="974"/>
      <c r="G569" s="975"/>
      <c r="H569" s="962"/>
      <c r="I569" s="963"/>
      <c r="J569" s="963"/>
      <c r="K569" s="964"/>
      <c r="L569" s="965"/>
      <c r="M569" s="964"/>
      <c r="N569" s="964"/>
      <c r="O569" s="964"/>
      <c r="P569" s="964"/>
      <c r="Q569" s="964"/>
      <c r="R569" s="964"/>
      <c r="S569" s="964"/>
      <c r="T569" s="964"/>
      <c r="U569" s="964"/>
    </row>
    <row r="570" spans="1:21" ht="12.75" hidden="1" x14ac:dyDescent="0.2">
      <c r="A570" s="973"/>
      <c r="B570" s="961"/>
      <c r="C570" s="961"/>
      <c r="D570" s="974"/>
      <c r="E570" s="974"/>
      <c r="F570" s="974"/>
      <c r="G570" s="975"/>
      <c r="H570" s="962"/>
      <c r="I570" s="963"/>
      <c r="J570" s="963"/>
      <c r="K570" s="964"/>
      <c r="L570" s="965"/>
      <c r="M570" s="964"/>
      <c r="N570" s="964"/>
      <c r="O570" s="964"/>
      <c r="P570" s="964"/>
      <c r="Q570" s="964"/>
      <c r="R570" s="964"/>
      <c r="S570" s="964"/>
      <c r="T570" s="964"/>
      <c r="U570" s="964"/>
    </row>
    <row r="571" spans="1:21" ht="12.75" hidden="1" x14ac:dyDescent="0.2">
      <c r="A571" s="973"/>
      <c r="B571" s="961"/>
      <c r="C571" s="961"/>
      <c r="D571" s="974"/>
      <c r="E571" s="974"/>
      <c r="F571" s="974"/>
      <c r="G571" s="975"/>
      <c r="H571" s="962"/>
      <c r="I571" s="963"/>
      <c r="J571" s="963"/>
      <c r="K571" s="964"/>
      <c r="L571" s="965"/>
      <c r="M571" s="964"/>
      <c r="N571" s="964"/>
      <c r="O571" s="964"/>
      <c r="P571" s="964"/>
      <c r="Q571" s="964"/>
      <c r="R571" s="964"/>
      <c r="S571" s="964"/>
      <c r="T571" s="964"/>
      <c r="U571" s="964"/>
    </row>
    <row r="572" spans="1:21" ht="12.75" hidden="1" x14ac:dyDescent="0.2">
      <c r="A572" s="973"/>
      <c r="B572" s="961"/>
      <c r="C572" s="961"/>
      <c r="D572" s="974"/>
      <c r="E572" s="974"/>
      <c r="F572" s="974"/>
      <c r="G572" s="975"/>
      <c r="H572" s="962"/>
      <c r="I572" s="963"/>
      <c r="J572" s="963"/>
      <c r="K572" s="964"/>
      <c r="L572" s="965"/>
      <c r="M572" s="964"/>
      <c r="N572" s="964"/>
      <c r="O572" s="964"/>
      <c r="P572" s="964"/>
      <c r="Q572" s="964"/>
      <c r="R572" s="964"/>
      <c r="S572" s="964"/>
      <c r="T572" s="964"/>
      <c r="U572" s="964"/>
    </row>
    <row r="573" spans="1:21" ht="12.75" hidden="1" x14ac:dyDescent="0.2">
      <c r="A573" s="973"/>
      <c r="B573" s="961"/>
      <c r="C573" s="961"/>
      <c r="D573" s="974"/>
      <c r="E573" s="974"/>
      <c r="F573" s="974"/>
      <c r="G573" s="975"/>
      <c r="H573" s="962"/>
      <c r="I573" s="963"/>
      <c r="J573" s="963"/>
      <c r="K573" s="964"/>
      <c r="L573" s="965"/>
      <c r="M573" s="964"/>
      <c r="N573" s="964"/>
      <c r="O573" s="964"/>
      <c r="P573" s="964"/>
      <c r="Q573" s="964"/>
      <c r="R573" s="964"/>
      <c r="S573" s="964"/>
      <c r="T573" s="964"/>
      <c r="U573" s="964"/>
    </row>
    <row r="574" spans="1:21" ht="12.75" hidden="1" x14ac:dyDescent="0.2">
      <c r="A574" s="1027"/>
      <c r="B574" s="966"/>
      <c r="C574" s="966"/>
      <c r="D574" s="1028"/>
      <c r="E574" s="1028"/>
      <c r="F574" s="1028"/>
      <c r="G574" s="1029"/>
      <c r="H574" s="967"/>
      <c r="I574" s="968"/>
      <c r="J574" s="968"/>
      <c r="K574" s="969"/>
      <c r="L574" s="970"/>
      <c r="M574" s="969"/>
      <c r="N574" s="969"/>
      <c r="O574" s="969"/>
      <c r="P574" s="969"/>
      <c r="Q574" s="969"/>
      <c r="R574" s="969"/>
      <c r="S574" s="969"/>
      <c r="T574" s="969"/>
      <c r="U574" s="969"/>
    </row>
    <row r="575" spans="1:21" ht="19.5" hidden="1" x14ac:dyDescent="0.3">
      <c r="A575" s="1006"/>
      <c r="B575" s="1030" t="s">
        <v>212</v>
      </c>
      <c r="C575" s="1008"/>
      <c r="D575" s="1009"/>
      <c r="E575" s="1009"/>
      <c r="F575" s="1009"/>
      <c r="G575" s="1010"/>
      <c r="H575" s="1031" t="s">
        <v>61</v>
      </c>
      <c r="I575" s="1032">
        <f t="shared" ref="I575:J575" si="355">I587</f>
        <v>0</v>
      </c>
      <c r="J575" s="1032">
        <f t="shared" si="355"/>
        <v>0</v>
      </c>
      <c r="K575" s="1033">
        <f>IF(I575&gt;0,J575*100/I575,0)</f>
        <v>0</v>
      </c>
      <c r="L575" s="1014"/>
      <c r="M575" s="1015"/>
      <c r="N575" s="1015"/>
      <c r="O575" s="1015"/>
      <c r="P575" s="1015"/>
      <c r="Q575" s="1015"/>
      <c r="R575" s="1015"/>
      <c r="S575" s="1015"/>
      <c r="T575" s="1015"/>
      <c r="U575" s="1015"/>
    </row>
    <row r="576" spans="1:21" ht="19.5" hidden="1" x14ac:dyDescent="0.3">
      <c r="A576" s="674"/>
      <c r="B576" s="561"/>
      <c r="C576" s="675" t="s">
        <v>18</v>
      </c>
      <c r="D576" s="676" t="s">
        <v>19</v>
      </c>
      <c r="E576" s="561"/>
      <c r="F576" s="561"/>
      <c r="G576" s="563"/>
      <c r="H576" s="677" t="s">
        <v>14</v>
      </c>
      <c r="I576" s="565"/>
      <c r="J576" s="565"/>
      <c r="K576" s="566"/>
      <c r="L576" s="678">
        <f t="shared" ref="L576:N576" ca="1" si="356">L577+L578</f>
        <v>0</v>
      </c>
      <c r="M576" s="679">
        <f t="shared" ca="1" si="356"/>
        <v>0</v>
      </c>
      <c r="N576" s="679">
        <f t="shared" ca="1" si="356"/>
        <v>0</v>
      </c>
      <c r="O576" s="679">
        <f t="shared" ref="O576:O584" ca="1" si="357">IF(L576&gt;0,N576*100/L576,0)</f>
        <v>0</v>
      </c>
      <c r="P576" s="679">
        <f t="shared" ref="P576:P584" ca="1" si="358">IF(M576&gt;0,N576*100/M576,0)</f>
        <v>0</v>
      </c>
      <c r="Q576" s="679">
        <f t="shared" ref="Q576:S576" si="359">Q577+Q578</f>
        <v>0</v>
      </c>
      <c r="R576" s="679">
        <f t="shared" si="359"/>
        <v>0</v>
      </c>
      <c r="S576" s="679">
        <f t="shared" si="359"/>
        <v>0</v>
      </c>
      <c r="T576" s="679">
        <f t="shared" ref="T576:T584" si="360">IF(Q576&gt;0,S576*100/Q576,0)</f>
        <v>0</v>
      </c>
      <c r="U576" s="679">
        <f t="shared" ref="U576:U584" si="361">IF(R576&gt;0,S576*100/R576,0)</f>
        <v>0</v>
      </c>
    </row>
    <row r="577" spans="1:21" ht="18.75" hidden="1" x14ac:dyDescent="0.25">
      <c r="A577" s="674"/>
      <c r="B577" s="718"/>
      <c r="C577" s="561"/>
      <c r="D577" s="561"/>
      <c r="E577" s="569" t="s">
        <v>20</v>
      </c>
      <c r="F577" s="561"/>
      <c r="G577" s="563"/>
      <c r="H577" s="680" t="s">
        <v>14</v>
      </c>
      <c r="I577" s="565"/>
      <c r="J577" s="565"/>
      <c r="K577" s="566"/>
      <c r="L577" s="571">
        <f t="shared" ref="L577:N578" si="362">L580+L583</f>
        <v>0</v>
      </c>
      <c r="M577" s="572">
        <f t="shared" si="362"/>
        <v>0</v>
      </c>
      <c r="N577" s="572">
        <f t="shared" si="362"/>
        <v>0</v>
      </c>
      <c r="O577" s="572">
        <f t="shared" si="357"/>
        <v>0</v>
      </c>
      <c r="P577" s="572">
        <f t="shared" si="358"/>
        <v>0</v>
      </c>
      <c r="Q577" s="572">
        <f t="shared" ref="Q577:S578" si="363">Q580+Q583</f>
        <v>0</v>
      </c>
      <c r="R577" s="572">
        <f t="shared" si="363"/>
        <v>0</v>
      </c>
      <c r="S577" s="572">
        <f t="shared" si="363"/>
        <v>0</v>
      </c>
      <c r="T577" s="572">
        <f t="shared" si="360"/>
        <v>0</v>
      </c>
      <c r="U577" s="572">
        <f t="shared" si="361"/>
        <v>0</v>
      </c>
    </row>
    <row r="578" spans="1:21" ht="18.75" hidden="1" x14ac:dyDescent="0.25">
      <c r="A578" s="674"/>
      <c r="B578" s="561"/>
      <c r="C578" s="718"/>
      <c r="D578" s="561"/>
      <c r="E578" s="765" t="s">
        <v>21</v>
      </c>
      <c r="F578" s="561"/>
      <c r="G578" s="563"/>
      <c r="H578" s="681" t="s">
        <v>14</v>
      </c>
      <c r="I578" s="565"/>
      <c r="J578" s="565"/>
      <c r="K578" s="566"/>
      <c r="L578" s="567">
        <f t="shared" ca="1" si="362"/>
        <v>0</v>
      </c>
      <c r="M578" s="568">
        <f t="shared" ca="1" si="362"/>
        <v>0</v>
      </c>
      <c r="N578" s="568">
        <f t="shared" ca="1" si="362"/>
        <v>0</v>
      </c>
      <c r="O578" s="568">
        <f t="shared" ca="1" si="357"/>
        <v>0</v>
      </c>
      <c r="P578" s="568">
        <f t="shared" ca="1" si="358"/>
        <v>0</v>
      </c>
      <c r="Q578" s="568">
        <f t="shared" si="363"/>
        <v>0</v>
      </c>
      <c r="R578" s="568">
        <f t="shared" si="363"/>
        <v>0</v>
      </c>
      <c r="S578" s="568">
        <f t="shared" si="363"/>
        <v>0</v>
      </c>
      <c r="T578" s="568">
        <f t="shared" si="360"/>
        <v>0</v>
      </c>
      <c r="U578" s="568">
        <f t="shared" si="361"/>
        <v>0</v>
      </c>
    </row>
    <row r="579" spans="1:21" ht="18.75" hidden="1" x14ac:dyDescent="0.25">
      <c r="A579" s="674"/>
      <c r="B579" s="561"/>
      <c r="C579" s="718"/>
      <c r="D579" s="562" t="s">
        <v>22</v>
      </c>
      <c r="E579" s="718"/>
      <c r="F579" s="561"/>
      <c r="G579" s="563"/>
      <c r="H579" s="682" t="s">
        <v>14</v>
      </c>
      <c r="I579" s="683"/>
      <c r="J579" s="683"/>
      <c r="K579" s="684"/>
      <c r="L579" s="567">
        <f t="shared" ref="L579:N579" ca="1" si="364">L580+L581</f>
        <v>0</v>
      </c>
      <c r="M579" s="568">
        <f t="shared" ca="1" si="364"/>
        <v>0</v>
      </c>
      <c r="N579" s="568">
        <f t="shared" ca="1" si="364"/>
        <v>0</v>
      </c>
      <c r="O579" s="568">
        <f t="shared" ca="1" si="357"/>
        <v>0</v>
      </c>
      <c r="P579" s="568">
        <f t="shared" ca="1" si="358"/>
        <v>0</v>
      </c>
      <c r="Q579" s="568">
        <f t="shared" ref="Q579:S579" si="365">Q580+Q581</f>
        <v>0</v>
      </c>
      <c r="R579" s="568">
        <f t="shared" si="365"/>
        <v>0</v>
      </c>
      <c r="S579" s="568">
        <f t="shared" si="365"/>
        <v>0</v>
      </c>
      <c r="T579" s="568">
        <f t="shared" si="360"/>
        <v>0</v>
      </c>
      <c r="U579" s="568">
        <f t="shared" si="361"/>
        <v>0</v>
      </c>
    </row>
    <row r="580" spans="1:21" ht="18.75" hidden="1" x14ac:dyDescent="0.25">
      <c r="A580" s="674"/>
      <c r="B580" s="561"/>
      <c r="C580" s="561"/>
      <c r="D580" s="561"/>
      <c r="E580" s="569" t="s">
        <v>36</v>
      </c>
      <c r="F580" s="561"/>
      <c r="G580" s="563"/>
      <c r="H580" s="685" t="s">
        <v>14</v>
      </c>
      <c r="I580" s="683"/>
      <c r="J580" s="683"/>
      <c r="K580" s="684"/>
      <c r="L580" s="571">
        <v>0</v>
      </c>
      <c r="M580" s="572">
        <v>0</v>
      </c>
      <c r="N580" s="572">
        <v>0</v>
      </c>
      <c r="O580" s="572">
        <f t="shared" si="357"/>
        <v>0</v>
      </c>
      <c r="P580" s="572">
        <f t="shared" si="358"/>
        <v>0</v>
      </c>
      <c r="Q580" s="572">
        <v>0</v>
      </c>
      <c r="R580" s="572">
        <v>0</v>
      </c>
      <c r="S580" s="572">
        <v>0</v>
      </c>
      <c r="T580" s="572">
        <f t="shared" si="360"/>
        <v>0</v>
      </c>
      <c r="U580" s="572">
        <f t="shared" si="361"/>
        <v>0</v>
      </c>
    </row>
    <row r="581" spans="1:21" ht="18.75" hidden="1" x14ac:dyDescent="0.25">
      <c r="A581" s="674"/>
      <c r="B581" s="561"/>
      <c r="C581" s="561"/>
      <c r="D581" s="561"/>
      <c r="E581" s="573" t="s">
        <v>37</v>
      </c>
      <c r="F581" s="561"/>
      <c r="G581" s="563"/>
      <c r="H581" s="682" t="s">
        <v>14</v>
      </c>
      <c r="I581" s="683"/>
      <c r="J581" s="683"/>
      <c r="K581" s="684"/>
      <c r="L581" s="567">
        <f ca="1">IFERROR(__xludf.DUMMYFUNCTION("IMPORTRANGE(""https://docs.google.com/spreadsheets/d/1-uDff_7J0KD5mKrp0Vvzr7lt3OU09vwQwhkpOPPYv2Y/edit?usp=sharing"",""งบพรบ!GQ23"")"),0)</f>
        <v>0</v>
      </c>
      <c r="M581" s="568">
        <f ca="1">IFERROR(__xludf.DUMMYFUNCTION("IMPORTRANGE(""https://docs.google.com/spreadsheets/d/1-uDff_7J0KD5mKrp0Vvzr7lt3OU09vwQwhkpOPPYv2Y/edit?usp=sharing"",""งบพรบ!GV23"")"),0)</f>
        <v>0</v>
      </c>
      <c r="N581" s="568">
        <f ca="1">IFERROR(__xludf.DUMMYFUNCTION("IMPORTRANGE(""https://docs.google.com/spreadsheets/d/1-uDff_7J0KD5mKrp0Vvzr7lt3OU09vwQwhkpOPPYv2Y/edit?usp=sharing"",""งบพรบ!GX23"")"),0)</f>
        <v>0</v>
      </c>
      <c r="O581" s="568">
        <f t="shared" ca="1" si="357"/>
        <v>0</v>
      </c>
      <c r="P581" s="568">
        <f t="shared" ca="1" si="358"/>
        <v>0</v>
      </c>
      <c r="Q581" s="568">
        <v>0</v>
      </c>
      <c r="R581" s="568">
        <v>0</v>
      </c>
      <c r="S581" s="568">
        <v>0</v>
      </c>
      <c r="T581" s="568">
        <f t="shared" si="360"/>
        <v>0</v>
      </c>
      <c r="U581" s="568">
        <f t="shared" si="361"/>
        <v>0</v>
      </c>
    </row>
    <row r="582" spans="1:21" ht="18.75" hidden="1" x14ac:dyDescent="0.25">
      <c r="A582" s="674"/>
      <c r="B582" s="561"/>
      <c r="C582" s="561"/>
      <c r="D582" s="562" t="s">
        <v>23</v>
      </c>
      <c r="E582" s="561"/>
      <c r="F582" s="561"/>
      <c r="G582" s="563"/>
      <c r="H582" s="686" t="s">
        <v>14</v>
      </c>
      <c r="I582" s="683"/>
      <c r="J582" s="683"/>
      <c r="K582" s="684"/>
      <c r="L582" s="567">
        <f t="shared" ref="L582:N582" ca="1" si="366">L583+L584</f>
        <v>0</v>
      </c>
      <c r="M582" s="568">
        <f t="shared" ca="1" si="366"/>
        <v>0</v>
      </c>
      <c r="N582" s="568">
        <f t="shared" ca="1" si="366"/>
        <v>0</v>
      </c>
      <c r="O582" s="568">
        <f t="shared" ca="1" si="357"/>
        <v>0</v>
      </c>
      <c r="P582" s="568">
        <f t="shared" ca="1" si="358"/>
        <v>0</v>
      </c>
      <c r="Q582" s="568">
        <f t="shared" ref="Q582:S582" si="367">Q583+Q584</f>
        <v>0</v>
      </c>
      <c r="R582" s="568">
        <f t="shared" si="367"/>
        <v>0</v>
      </c>
      <c r="S582" s="568">
        <f t="shared" si="367"/>
        <v>0</v>
      </c>
      <c r="T582" s="568">
        <f t="shared" si="360"/>
        <v>0</v>
      </c>
      <c r="U582" s="568">
        <f t="shared" si="361"/>
        <v>0</v>
      </c>
    </row>
    <row r="583" spans="1:21" ht="18.75" hidden="1" x14ac:dyDescent="0.25">
      <c r="A583" s="674"/>
      <c r="B583" s="561"/>
      <c r="C583" s="561"/>
      <c r="D583" s="561"/>
      <c r="E583" s="569" t="s">
        <v>20</v>
      </c>
      <c r="F583" s="561"/>
      <c r="G583" s="563"/>
      <c r="H583" s="685" t="s">
        <v>14</v>
      </c>
      <c r="I583" s="683"/>
      <c r="J583" s="683"/>
      <c r="K583" s="684"/>
      <c r="L583" s="571">
        <v>0</v>
      </c>
      <c r="M583" s="572">
        <v>0</v>
      </c>
      <c r="N583" s="572">
        <v>0</v>
      </c>
      <c r="O583" s="572">
        <f t="shared" si="357"/>
        <v>0</v>
      </c>
      <c r="P583" s="572">
        <f t="shared" si="358"/>
        <v>0</v>
      </c>
      <c r="Q583" s="572">
        <v>0</v>
      </c>
      <c r="R583" s="572">
        <v>0</v>
      </c>
      <c r="S583" s="572">
        <v>0</v>
      </c>
      <c r="T583" s="572">
        <f t="shared" si="360"/>
        <v>0</v>
      </c>
      <c r="U583" s="572">
        <f t="shared" si="361"/>
        <v>0</v>
      </c>
    </row>
    <row r="584" spans="1:21" ht="18.75" hidden="1" x14ac:dyDescent="0.25">
      <c r="A584" s="674"/>
      <c r="B584" s="561"/>
      <c r="C584" s="561"/>
      <c r="D584" s="561"/>
      <c r="E584" s="573" t="s">
        <v>21</v>
      </c>
      <c r="F584" s="561"/>
      <c r="G584" s="563"/>
      <c r="H584" s="686" t="s">
        <v>14</v>
      </c>
      <c r="I584" s="683"/>
      <c r="J584" s="683"/>
      <c r="K584" s="684"/>
      <c r="L584" s="567">
        <f ca="1">IFERROR(__xludf.DUMMYFUNCTION("IMPORTRANGE(""https://docs.google.com/spreadsheets/d/1-uDff_7J0KD5mKrp0Vvzr7lt3OU09vwQwhkpOPPYv2Y/edit?usp=sharing"",""งบพรบ!GT23"")"),0)</f>
        <v>0</v>
      </c>
      <c r="M584" s="568">
        <f ca="1">IFERROR(__xludf.DUMMYFUNCTION("IMPORTRANGE(""https://docs.google.com/spreadsheets/d/1-uDff_7J0KD5mKrp0Vvzr7lt3OU09vwQwhkpOPPYv2Y/edit?usp=sharing"",""งบพรบ!GW23"")"),0)</f>
        <v>0</v>
      </c>
      <c r="N584" s="568">
        <f ca="1">IFERROR(__xludf.DUMMYFUNCTION("IMPORTRANGE(""https://docs.google.com/spreadsheets/d/1-uDff_7J0KD5mKrp0Vvzr7lt3OU09vwQwhkpOPPYv2Y/edit?usp=sharing"",""งบพรบ!GY23"")"),0)</f>
        <v>0</v>
      </c>
      <c r="O584" s="568">
        <f t="shared" ca="1" si="357"/>
        <v>0</v>
      </c>
      <c r="P584" s="568">
        <f t="shared" ca="1" si="358"/>
        <v>0</v>
      </c>
      <c r="Q584" s="568">
        <v>0</v>
      </c>
      <c r="R584" s="568">
        <v>0</v>
      </c>
      <c r="S584" s="568">
        <v>0</v>
      </c>
      <c r="T584" s="568">
        <f t="shared" si="360"/>
        <v>0</v>
      </c>
      <c r="U584" s="568">
        <f t="shared" si="361"/>
        <v>0</v>
      </c>
    </row>
    <row r="585" spans="1:21" ht="19.5" hidden="1" x14ac:dyDescent="0.3">
      <c r="A585" s="687"/>
      <c r="B585" s="688"/>
      <c r="C585" s="1034" t="s">
        <v>18</v>
      </c>
      <c r="D585" s="689" t="s">
        <v>38</v>
      </c>
      <c r="E585" s="690"/>
      <c r="F585" s="690"/>
      <c r="G585" s="691"/>
      <c r="H585" s="692"/>
      <c r="I585" s="683"/>
      <c r="J585" s="565"/>
      <c r="K585" s="566"/>
      <c r="L585" s="574"/>
      <c r="M585" s="566"/>
      <c r="N585" s="566"/>
      <c r="O585" s="684"/>
      <c r="P585" s="684"/>
      <c r="Q585" s="566"/>
      <c r="R585" s="566"/>
      <c r="S585" s="566"/>
      <c r="T585" s="684"/>
      <c r="U585" s="684"/>
    </row>
    <row r="586" spans="1:21" ht="12.75" hidden="1" x14ac:dyDescent="0.2">
      <c r="A586" s="973"/>
      <c r="B586" s="974"/>
      <c r="C586" s="961"/>
      <c r="D586" s="974"/>
      <c r="E586" s="961"/>
      <c r="F586" s="974"/>
      <c r="G586" s="975"/>
      <c r="H586" s="975"/>
      <c r="I586" s="963"/>
      <c r="J586" s="963"/>
      <c r="K586" s="964"/>
      <c r="L586" s="965"/>
      <c r="M586" s="964"/>
      <c r="N586" s="964"/>
      <c r="O586" s="964"/>
      <c r="P586" s="964"/>
      <c r="Q586" s="964"/>
      <c r="R586" s="964"/>
      <c r="S586" s="964"/>
      <c r="T586" s="964"/>
      <c r="U586" s="964"/>
    </row>
    <row r="587" spans="1:21" ht="12.75" hidden="1" x14ac:dyDescent="0.2">
      <c r="A587" s="973"/>
      <c r="B587" s="974"/>
      <c r="C587" s="961"/>
      <c r="D587" s="974"/>
      <c r="E587" s="961"/>
      <c r="F587" s="974"/>
      <c r="G587" s="975"/>
      <c r="H587" s="975"/>
      <c r="I587" s="963"/>
      <c r="J587" s="963"/>
      <c r="K587" s="964"/>
      <c r="L587" s="965"/>
      <c r="M587" s="964"/>
      <c r="N587" s="964"/>
      <c r="O587" s="964"/>
      <c r="P587" s="964"/>
      <c r="Q587" s="964"/>
      <c r="R587" s="964"/>
      <c r="S587" s="964"/>
      <c r="T587" s="964"/>
      <c r="U587" s="964"/>
    </row>
    <row r="588" spans="1:21" ht="12.75" hidden="1" x14ac:dyDescent="0.2">
      <c r="A588" s="973"/>
      <c r="B588" s="961"/>
      <c r="C588" s="961"/>
      <c r="D588" s="974"/>
      <c r="E588" s="974"/>
      <c r="F588" s="974"/>
      <c r="G588" s="975"/>
      <c r="H588" s="962"/>
      <c r="I588" s="963"/>
      <c r="J588" s="963"/>
      <c r="K588" s="964"/>
      <c r="L588" s="965"/>
      <c r="M588" s="964"/>
      <c r="N588" s="964"/>
      <c r="O588" s="964"/>
      <c r="P588" s="964"/>
      <c r="Q588" s="964"/>
      <c r="R588" s="964"/>
      <c r="S588" s="964"/>
      <c r="T588" s="964"/>
      <c r="U588" s="964"/>
    </row>
    <row r="589" spans="1:21" ht="12.75" hidden="1" x14ac:dyDescent="0.2">
      <c r="A589" s="973"/>
      <c r="B589" s="961"/>
      <c r="C589" s="961"/>
      <c r="D589" s="974"/>
      <c r="E589" s="974"/>
      <c r="F589" s="974"/>
      <c r="G589" s="975"/>
      <c r="H589" s="962"/>
      <c r="I589" s="963"/>
      <c r="J589" s="963"/>
      <c r="K589" s="964"/>
      <c r="L589" s="965"/>
      <c r="M589" s="964"/>
      <c r="N589" s="964"/>
      <c r="O589" s="964"/>
      <c r="P589" s="964"/>
      <c r="Q589" s="964"/>
      <c r="R589" s="964"/>
      <c r="S589" s="964"/>
      <c r="T589" s="964"/>
      <c r="U589" s="964"/>
    </row>
    <row r="590" spans="1:21" ht="12.75" hidden="1" x14ac:dyDescent="0.2">
      <c r="A590" s="973"/>
      <c r="B590" s="961"/>
      <c r="C590" s="961"/>
      <c r="D590" s="974"/>
      <c r="E590" s="974"/>
      <c r="F590" s="974"/>
      <c r="G590" s="975"/>
      <c r="H590" s="962"/>
      <c r="I590" s="963"/>
      <c r="J590" s="963"/>
      <c r="K590" s="964"/>
      <c r="L590" s="965"/>
      <c r="M590" s="964"/>
      <c r="N590" s="964"/>
      <c r="O590" s="964"/>
      <c r="P590" s="964"/>
      <c r="Q590" s="964"/>
      <c r="R590" s="964"/>
      <c r="S590" s="964"/>
      <c r="T590" s="964"/>
      <c r="U590" s="964"/>
    </row>
    <row r="591" spans="1:21" ht="12.75" hidden="1" x14ac:dyDescent="0.2">
      <c r="A591" s="973"/>
      <c r="B591" s="961"/>
      <c r="C591" s="961"/>
      <c r="D591" s="974"/>
      <c r="E591" s="974"/>
      <c r="F591" s="974"/>
      <c r="G591" s="975"/>
      <c r="H591" s="962"/>
      <c r="I591" s="963"/>
      <c r="J591" s="963"/>
      <c r="K591" s="964"/>
      <c r="L591" s="965"/>
      <c r="M591" s="964"/>
      <c r="N591" s="964"/>
      <c r="O591" s="964"/>
      <c r="P591" s="964"/>
      <c r="Q591" s="964"/>
      <c r="R591" s="964"/>
      <c r="S591" s="964"/>
      <c r="T591" s="964"/>
      <c r="U591" s="964"/>
    </row>
    <row r="592" spans="1:21" ht="12.75" hidden="1" x14ac:dyDescent="0.2">
      <c r="A592" s="973"/>
      <c r="B592" s="961"/>
      <c r="C592" s="961"/>
      <c r="D592" s="974"/>
      <c r="E592" s="974"/>
      <c r="F592" s="974"/>
      <c r="G592" s="975"/>
      <c r="H592" s="962"/>
      <c r="I592" s="963"/>
      <c r="J592" s="963"/>
      <c r="K592" s="964"/>
      <c r="L592" s="965"/>
      <c r="M592" s="964"/>
      <c r="N592" s="964"/>
      <c r="O592" s="964"/>
      <c r="P592" s="964"/>
      <c r="Q592" s="964"/>
      <c r="R592" s="964"/>
      <c r="S592" s="964"/>
      <c r="T592" s="964"/>
      <c r="U592" s="964"/>
    </row>
    <row r="593" spans="1:21" ht="12.75" hidden="1" x14ac:dyDescent="0.2">
      <c r="A593" s="973"/>
      <c r="B593" s="961"/>
      <c r="C593" s="961"/>
      <c r="D593" s="974"/>
      <c r="E593" s="974"/>
      <c r="F593" s="974"/>
      <c r="G593" s="975"/>
      <c r="H593" s="962"/>
      <c r="I593" s="963"/>
      <c r="J593" s="963"/>
      <c r="K593" s="964"/>
      <c r="L593" s="965"/>
      <c r="M593" s="964"/>
      <c r="N593" s="964"/>
      <c r="O593" s="964"/>
      <c r="P593" s="964"/>
      <c r="Q593" s="964"/>
      <c r="R593" s="964"/>
      <c r="S593" s="964"/>
      <c r="T593" s="964"/>
      <c r="U593" s="964"/>
    </row>
    <row r="594" spans="1:21" ht="12.75" hidden="1" x14ac:dyDescent="0.2">
      <c r="A594" s="973"/>
      <c r="B594" s="961"/>
      <c r="C594" s="961"/>
      <c r="D594" s="974"/>
      <c r="E594" s="974"/>
      <c r="F594" s="974"/>
      <c r="G594" s="975"/>
      <c r="H594" s="962"/>
      <c r="I594" s="963"/>
      <c r="J594" s="963"/>
      <c r="K594" s="964"/>
      <c r="L594" s="965"/>
      <c r="M594" s="964"/>
      <c r="N594" s="964"/>
      <c r="O594" s="964"/>
      <c r="P594" s="964"/>
      <c r="Q594" s="964"/>
      <c r="R594" s="964"/>
      <c r="S594" s="964"/>
      <c r="T594" s="964"/>
      <c r="U594" s="964"/>
    </row>
    <row r="595" spans="1:21" ht="12.75" hidden="1" x14ac:dyDescent="0.2">
      <c r="A595" s="1027"/>
      <c r="B595" s="966"/>
      <c r="C595" s="966"/>
      <c r="D595" s="1028"/>
      <c r="E595" s="1028"/>
      <c r="F595" s="1028"/>
      <c r="G595" s="1029"/>
      <c r="H595" s="967"/>
      <c r="I595" s="968"/>
      <c r="J595" s="968"/>
      <c r="K595" s="969"/>
      <c r="L595" s="970"/>
      <c r="M595" s="969"/>
      <c r="N595" s="969"/>
      <c r="O595" s="969"/>
      <c r="P595" s="969"/>
      <c r="Q595" s="969"/>
      <c r="R595" s="969"/>
      <c r="S595" s="969"/>
      <c r="T595" s="969"/>
      <c r="U595" s="969"/>
    </row>
    <row r="596" spans="1:21" s="1201" customFormat="1" ht="19.5" x14ac:dyDescent="0.3">
      <c r="A596" s="1194" t="s">
        <v>213</v>
      </c>
      <c r="B596" s="1195"/>
      <c r="C596" s="1196"/>
      <c r="D596" s="1195"/>
      <c r="E596" s="1195"/>
      <c r="F596" s="1195"/>
      <c r="G596" s="1195"/>
      <c r="H596" s="1197"/>
      <c r="I596" s="1198"/>
      <c r="J596" s="1198"/>
      <c r="K596" s="1199"/>
      <c r="L596" s="1200"/>
      <c r="M596" s="1200"/>
      <c r="N596" s="1200"/>
      <c r="O596" s="1200"/>
      <c r="P596" s="1200"/>
      <c r="Q596" s="1200"/>
      <c r="R596" s="1200"/>
      <c r="S596" s="1200"/>
      <c r="T596" s="1200"/>
      <c r="U596" s="1200"/>
    </row>
    <row r="597" spans="1:21" s="1201" customFormat="1" ht="19.5" x14ac:dyDescent="0.3">
      <c r="A597" s="1202"/>
      <c r="B597" s="1203" t="s">
        <v>214</v>
      </c>
      <c r="C597" s="1204"/>
      <c r="D597" s="1205"/>
      <c r="E597" s="1206"/>
      <c r="F597" s="1206"/>
      <c r="G597" s="1206"/>
      <c r="H597" s="1207" t="s">
        <v>99</v>
      </c>
      <c r="I597" s="1208"/>
      <c r="J597" s="1209"/>
      <c r="K597" s="1210"/>
      <c r="L597" s="1211"/>
      <c r="M597" s="1210"/>
      <c r="N597" s="1210"/>
      <c r="O597" s="1210"/>
      <c r="P597" s="1210"/>
      <c r="Q597" s="1210"/>
      <c r="R597" s="1210"/>
      <c r="S597" s="1210"/>
      <c r="T597" s="1210"/>
      <c r="U597" s="1210"/>
    </row>
    <row r="598" spans="1:21" s="1201" customFormat="1" ht="19.5" x14ac:dyDescent="0.3">
      <c r="A598" s="1212"/>
      <c r="B598" s="1213" t="s">
        <v>215</v>
      </c>
      <c r="C598" s="1205"/>
      <c r="D598" s="1206"/>
      <c r="E598" s="1206"/>
      <c r="F598" s="1206"/>
      <c r="G598" s="1214"/>
      <c r="H598" s="1215" t="s">
        <v>35</v>
      </c>
      <c r="I598" s="1209"/>
      <c r="J598" s="1209"/>
      <c r="K598" s="1210"/>
      <c r="L598" s="1211"/>
      <c r="M598" s="1210"/>
      <c r="N598" s="1210"/>
      <c r="O598" s="1210"/>
      <c r="P598" s="1210"/>
      <c r="Q598" s="1210"/>
      <c r="R598" s="1210"/>
      <c r="S598" s="1210"/>
      <c r="T598" s="1210"/>
      <c r="U598" s="1210"/>
    </row>
    <row r="599" spans="1:21" s="1201" customFormat="1" ht="19.5" x14ac:dyDescent="0.3">
      <c r="A599" s="1216"/>
      <c r="B599" s="1177"/>
      <c r="C599" s="1217" t="s">
        <v>18</v>
      </c>
      <c r="D599" s="1334" t="s">
        <v>19</v>
      </c>
      <c r="E599" s="1311"/>
      <c r="F599" s="1311"/>
      <c r="G599" s="1312"/>
      <c r="H599" s="1171" t="s">
        <v>14</v>
      </c>
      <c r="I599" s="1182"/>
      <c r="J599" s="1182"/>
      <c r="K599" s="1175"/>
      <c r="L599" s="1174">
        <f t="shared" ref="L599:N599" ca="1" si="368">L600+L601</f>
        <v>7806</v>
      </c>
      <c r="M599" s="1176">
        <f t="shared" ca="1" si="368"/>
        <v>0</v>
      </c>
      <c r="N599" s="1176">
        <f t="shared" ca="1" si="368"/>
        <v>0</v>
      </c>
      <c r="O599" s="1176">
        <f t="shared" ref="O599:O607" ca="1" si="369">IF(L599&gt;0,N599*100/L599,0)</f>
        <v>0</v>
      </c>
      <c r="P599" s="1176">
        <f t="shared" ref="P599:P607" ca="1" si="370">IF(M599&gt;0,N599*100/M599,0)</f>
        <v>0</v>
      </c>
      <c r="Q599" s="1176">
        <f t="shared" ref="Q599:S599" ca="1" si="371">Q600+Q601</f>
        <v>0</v>
      </c>
      <c r="R599" s="1176">
        <f t="shared" ca="1" si="371"/>
        <v>0</v>
      </c>
      <c r="S599" s="1176">
        <f t="shared" ca="1" si="371"/>
        <v>0</v>
      </c>
      <c r="T599" s="1176">
        <f t="shared" ref="T599:T607" ca="1" si="372">IF(Q599&gt;0,S599*100/Q599,0)</f>
        <v>0</v>
      </c>
      <c r="U599" s="1176">
        <f t="shared" ref="U599:U607" ca="1" si="373">IF(R599&gt;0,S599*100/R599,0)</f>
        <v>0</v>
      </c>
    </row>
    <row r="600" spans="1:21" s="1201" customFormat="1" ht="18.75" x14ac:dyDescent="0.25">
      <c r="A600" s="1216"/>
      <c r="B600" s="1177"/>
      <c r="C600" s="1177"/>
      <c r="D600" s="623"/>
      <c r="E600" s="1178" t="s">
        <v>158</v>
      </c>
      <c r="F600" s="1167"/>
      <c r="G600" s="1170"/>
      <c r="H600" s="1179" t="s">
        <v>14</v>
      </c>
      <c r="I600" s="1182"/>
      <c r="J600" s="1182"/>
      <c r="K600" s="1175"/>
      <c r="L600" s="1180">
        <f t="shared" ref="L600:N601" si="374">L603+L606</f>
        <v>0</v>
      </c>
      <c r="M600" s="1181">
        <f t="shared" si="374"/>
        <v>0</v>
      </c>
      <c r="N600" s="1181">
        <f t="shared" si="374"/>
        <v>0</v>
      </c>
      <c r="O600" s="1181">
        <f t="shared" si="369"/>
        <v>0</v>
      </c>
      <c r="P600" s="1181">
        <f t="shared" si="370"/>
        <v>0</v>
      </c>
      <c r="Q600" s="1181">
        <f t="shared" ref="Q600:S601" si="375">Q603+Q606</f>
        <v>0</v>
      </c>
      <c r="R600" s="1181">
        <f t="shared" si="375"/>
        <v>0</v>
      </c>
      <c r="S600" s="1181">
        <f t="shared" si="375"/>
        <v>0</v>
      </c>
      <c r="T600" s="1181">
        <f t="shared" si="372"/>
        <v>0</v>
      </c>
      <c r="U600" s="1181">
        <f t="shared" si="373"/>
        <v>0</v>
      </c>
    </row>
    <row r="601" spans="1:21" s="1201" customFormat="1" ht="18.75" x14ac:dyDescent="0.25">
      <c r="A601" s="1216"/>
      <c r="B601" s="1177"/>
      <c r="C601" s="1177"/>
      <c r="D601" s="623"/>
      <c r="E601" s="1178" t="s">
        <v>159</v>
      </c>
      <c r="F601" s="1167"/>
      <c r="G601" s="1170"/>
      <c r="H601" s="1179" t="s">
        <v>14</v>
      </c>
      <c r="I601" s="1182"/>
      <c r="J601" s="1182"/>
      <c r="K601" s="1175"/>
      <c r="L601" s="1180">
        <f t="shared" ca="1" si="374"/>
        <v>7806</v>
      </c>
      <c r="M601" s="1181">
        <f t="shared" ca="1" si="374"/>
        <v>0</v>
      </c>
      <c r="N601" s="1181">
        <f t="shared" ca="1" si="374"/>
        <v>0</v>
      </c>
      <c r="O601" s="1181">
        <f t="shared" ca="1" si="369"/>
        <v>0</v>
      </c>
      <c r="P601" s="1181">
        <f t="shared" ca="1" si="370"/>
        <v>0</v>
      </c>
      <c r="Q601" s="1181">
        <f t="shared" ca="1" si="375"/>
        <v>0</v>
      </c>
      <c r="R601" s="1181">
        <f t="shared" ca="1" si="375"/>
        <v>0</v>
      </c>
      <c r="S601" s="1181">
        <f t="shared" ca="1" si="375"/>
        <v>0</v>
      </c>
      <c r="T601" s="1181">
        <f t="shared" ca="1" si="372"/>
        <v>0</v>
      </c>
      <c r="U601" s="1181">
        <f t="shared" ca="1" si="373"/>
        <v>0</v>
      </c>
    </row>
    <row r="602" spans="1:21" s="1201" customFormat="1" ht="19.5" x14ac:dyDescent="0.3">
      <c r="A602" s="1216"/>
      <c r="B602" s="1177"/>
      <c r="C602" s="1177"/>
      <c r="D602" s="1169" t="s">
        <v>22</v>
      </c>
      <c r="E602" s="1167"/>
      <c r="F602" s="1167"/>
      <c r="G602" s="1170"/>
      <c r="H602" s="1171" t="s">
        <v>14</v>
      </c>
      <c r="I602" s="1172"/>
      <c r="J602" s="1172"/>
      <c r="K602" s="1173"/>
      <c r="L602" s="1180">
        <f t="shared" ref="L602:N602" ca="1" si="376">L603+L604</f>
        <v>7806</v>
      </c>
      <c r="M602" s="1181">
        <f t="shared" ca="1" si="376"/>
        <v>0</v>
      </c>
      <c r="N602" s="1181">
        <f t="shared" ca="1" si="376"/>
        <v>0</v>
      </c>
      <c r="O602" s="1181">
        <f t="shared" ca="1" si="369"/>
        <v>0</v>
      </c>
      <c r="P602" s="1181">
        <f t="shared" ca="1" si="370"/>
        <v>0</v>
      </c>
      <c r="Q602" s="1181">
        <f t="shared" ref="Q602:S602" ca="1" si="377">Q603+Q604</f>
        <v>0</v>
      </c>
      <c r="R602" s="1181">
        <f t="shared" ca="1" si="377"/>
        <v>0</v>
      </c>
      <c r="S602" s="1181">
        <f t="shared" ca="1" si="377"/>
        <v>0</v>
      </c>
      <c r="T602" s="1181">
        <f t="shared" ca="1" si="372"/>
        <v>0</v>
      </c>
      <c r="U602" s="1181">
        <f t="shared" ca="1" si="373"/>
        <v>0</v>
      </c>
    </row>
    <row r="603" spans="1:21" s="1201" customFormat="1" ht="18.75" x14ac:dyDescent="0.25">
      <c r="A603" s="1216"/>
      <c r="B603" s="1177"/>
      <c r="C603" s="1177"/>
      <c r="D603" s="623"/>
      <c r="E603" s="1178" t="s">
        <v>158</v>
      </c>
      <c r="F603" s="1167"/>
      <c r="G603" s="1170"/>
      <c r="H603" s="1179" t="s">
        <v>14</v>
      </c>
      <c r="I603" s="1182"/>
      <c r="J603" s="1182"/>
      <c r="K603" s="1175"/>
      <c r="L603" s="1180">
        <v>0</v>
      </c>
      <c r="M603" s="1181">
        <v>0</v>
      </c>
      <c r="N603" s="1181">
        <v>0</v>
      </c>
      <c r="O603" s="1181">
        <f t="shared" si="369"/>
        <v>0</v>
      </c>
      <c r="P603" s="1181">
        <f t="shared" si="370"/>
        <v>0</v>
      </c>
      <c r="Q603" s="1181">
        <v>0</v>
      </c>
      <c r="R603" s="1181">
        <v>0</v>
      </c>
      <c r="S603" s="1181">
        <v>0</v>
      </c>
      <c r="T603" s="1181">
        <f t="shared" si="372"/>
        <v>0</v>
      </c>
      <c r="U603" s="1181">
        <f t="shared" si="373"/>
        <v>0</v>
      </c>
    </row>
    <row r="604" spans="1:21" s="1201" customFormat="1" ht="18.75" x14ac:dyDescent="0.25">
      <c r="A604" s="1216"/>
      <c r="B604" s="1177"/>
      <c r="C604" s="1177"/>
      <c r="D604" s="623"/>
      <c r="E604" s="1178" t="s">
        <v>159</v>
      </c>
      <c r="F604" s="1167"/>
      <c r="G604" s="1170"/>
      <c r="H604" s="1179" t="s">
        <v>14</v>
      </c>
      <c r="I604" s="1182"/>
      <c r="J604" s="1182"/>
      <c r="K604" s="1175"/>
      <c r="L604" s="1180">
        <f ca="1">IFERROR(__xludf.DUMMYFUNCTION("IMPORTRANGE(""https://docs.google.com/spreadsheets/d/1-uDff_7J0KD5mKrp0Vvzr7lt3OU09vwQwhkpOPPYv2Y/edit?usp=sharing"",""งบพรบ!HK23"")"),7806)</f>
        <v>7806</v>
      </c>
      <c r="M604" s="1181">
        <f ca="1">IFERROR(__xludf.DUMMYFUNCTION("IMPORTRANGE(""https://docs.google.com/spreadsheets/d/1-uDff_7J0KD5mKrp0Vvzr7lt3OU09vwQwhkpOPPYv2Y/edit?usp=sharing"",""งบพรบ!HP23"")"),0)</f>
        <v>0</v>
      </c>
      <c r="N604" s="1181">
        <f ca="1">IFERROR(__xludf.DUMMYFUNCTION("IMPORTRANGE(""https://docs.google.com/spreadsheets/d/1-uDff_7J0KD5mKrp0Vvzr7lt3OU09vwQwhkpOPPYv2Y/edit?usp=sharing"",""งบพรบ!HR23"")"),0)</f>
        <v>0</v>
      </c>
      <c r="O604" s="1181">
        <f t="shared" ca="1" si="369"/>
        <v>0</v>
      </c>
      <c r="P604" s="1181">
        <f t="shared" ca="1" si="370"/>
        <v>0</v>
      </c>
      <c r="Q604" s="1181">
        <f ca="1">IFERROR(__xludf.DUMMYFUNCTION("IMPORTRANGE(""https://docs.google.com/spreadsheets/d/1ItG2mGa2ceCfYo0BwxsXqNm01IGEUdYcSSLTEv9YCik/edit?usp=sharing"",""เบิกจ่ายกองทุน!AV23"")"),0)</f>
        <v>0</v>
      </c>
      <c r="R604" s="1181">
        <f ca="1">IFERROR(__xludf.DUMMYFUNCTION("IMPORTRANGE(""https://docs.google.com/spreadsheets/d/1ItG2mGa2ceCfYo0BwxsXqNm01IGEUdYcSSLTEv9YCik/edit?usp=sharing"",""เบิกจ่ายกองทุน!AW23"")"),0)</f>
        <v>0</v>
      </c>
      <c r="S604" s="1181">
        <f ca="1">IFERROR(__xludf.DUMMYFUNCTION("IMPORTRANGE(""https://docs.google.com/spreadsheets/d/1ItG2mGa2ceCfYo0BwxsXqNm01IGEUdYcSSLTEv9YCik/edit?usp=sharing"",""เบิกจ่ายกองทุน!AX23"")"),0)</f>
        <v>0</v>
      </c>
      <c r="T604" s="1181">
        <f t="shared" ca="1" si="372"/>
        <v>0</v>
      </c>
      <c r="U604" s="1181">
        <f t="shared" ca="1" si="373"/>
        <v>0</v>
      </c>
    </row>
    <row r="605" spans="1:21" s="1201" customFormat="1" ht="19.5" x14ac:dyDescent="0.3">
      <c r="A605" s="1216"/>
      <c r="B605" s="1177"/>
      <c r="C605" s="1177"/>
      <c r="D605" s="1169" t="s">
        <v>23</v>
      </c>
      <c r="E605" s="1177"/>
      <c r="F605" s="1167"/>
      <c r="G605" s="1170"/>
      <c r="H605" s="1218" t="s">
        <v>14</v>
      </c>
      <c r="I605" s="1172"/>
      <c r="J605" s="1172"/>
      <c r="K605" s="1173"/>
      <c r="L605" s="1180">
        <f t="shared" ref="L605:N605" ca="1" si="378">L606+L607</f>
        <v>0</v>
      </c>
      <c r="M605" s="1181">
        <f t="shared" ca="1" si="378"/>
        <v>0</v>
      </c>
      <c r="N605" s="1181">
        <f t="shared" ca="1" si="378"/>
        <v>0</v>
      </c>
      <c r="O605" s="1181">
        <f t="shared" ca="1" si="369"/>
        <v>0</v>
      </c>
      <c r="P605" s="1181">
        <f t="shared" ca="1" si="370"/>
        <v>0</v>
      </c>
      <c r="Q605" s="1181">
        <f t="shared" ref="Q605:S605" ca="1" si="379">Q606+Q607</f>
        <v>0</v>
      </c>
      <c r="R605" s="1181">
        <f t="shared" ca="1" si="379"/>
        <v>0</v>
      </c>
      <c r="S605" s="1181">
        <f t="shared" ca="1" si="379"/>
        <v>0</v>
      </c>
      <c r="T605" s="1181">
        <f t="shared" ca="1" si="372"/>
        <v>0</v>
      </c>
      <c r="U605" s="1181">
        <f t="shared" ca="1" si="373"/>
        <v>0</v>
      </c>
    </row>
    <row r="606" spans="1:21" s="1201" customFormat="1" ht="18.75" x14ac:dyDescent="0.25">
      <c r="A606" s="1216"/>
      <c r="B606" s="1177"/>
      <c r="C606" s="1177"/>
      <c r="D606" s="1177"/>
      <c r="E606" s="1219" t="s">
        <v>20</v>
      </c>
      <c r="F606" s="1167"/>
      <c r="G606" s="1170"/>
      <c r="H606" s="1179" t="s">
        <v>14</v>
      </c>
      <c r="I606" s="1172"/>
      <c r="J606" s="1172"/>
      <c r="K606" s="1173"/>
      <c r="L606" s="1180">
        <v>0</v>
      </c>
      <c r="M606" s="1181">
        <v>0</v>
      </c>
      <c r="N606" s="1181">
        <v>0</v>
      </c>
      <c r="O606" s="1181">
        <f t="shared" si="369"/>
        <v>0</v>
      </c>
      <c r="P606" s="1181">
        <f t="shared" si="370"/>
        <v>0</v>
      </c>
      <c r="Q606" s="1181">
        <v>0</v>
      </c>
      <c r="R606" s="1181">
        <v>0</v>
      </c>
      <c r="S606" s="1181">
        <v>0</v>
      </c>
      <c r="T606" s="1181">
        <f t="shared" si="372"/>
        <v>0</v>
      </c>
      <c r="U606" s="1181">
        <f t="shared" si="373"/>
        <v>0</v>
      </c>
    </row>
    <row r="607" spans="1:21" s="1201" customFormat="1" ht="18.75" x14ac:dyDescent="0.25">
      <c r="A607" s="1216"/>
      <c r="B607" s="1177"/>
      <c r="C607" s="1177"/>
      <c r="D607" s="1167"/>
      <c r="E607" s="1219" t="s">
        <v>21</v>
      </c>
      <c r="F607" s="1167"/>
      <c r="G607" s="1170"/>
      <c r="H607" s="1220" t="s">
        <v>14</v>
      </c>
      <c r="I607" s="1172"/>
      <c r="J607" s="1172"/>
      <c r="K607" s="1173"/>
      <c r="L607" s="1180">
        <f ca="1">IFERROR(__xludf.DUMMYFUNCTION("IMPORTRANGE(""https://docs.google.com/spreadsheets/d/1-uDff_7J0KD5mKrp0Vvzr7lt3OU09vwQwhkpOPPYv2Y/edit?usp=sharing"",""งบพรบ!HN23"")"),0)</f>
        <v>0</v>
      </c>
      <c r="M607" s="1181">
        <f ca="1">IFERROR(__xludf.DUMMYFUNCTION("IMPORTRANGE(""https://docs.google.com/spreadsheets/d/1-uDff_7J0KD5mKrp0Vvzr7lt3OU09vwQwhkpOPPYv2Y/edit?usp=sharing"",""งบพรบ!HQ23"")"),0)</f>
        <v>0</v>
      </c>
      <c r="N607" s="1181">
        <f ca="1">IFERROR(__xludf.DUMMYFUNCTION("IMPORTRANGE(""https://docs.google.com/spreadsheets/d/1-uDff_7J0KD5mKrp0Vvzr7lt3OU09vwQwhkpOPPYv2Y/edit?usp=sharing"",""งบพรบ!HS23"")"),0)</f>
        <v>0</v>
      </c>
      <c r="O607" s="1181">
        <f t="shared" ca="1" si="369"/>
        <v>0</v>
      </c>
      <c r="P607" s="1181">
        <f t="shared" ca="1" si="370"/>
        <v>0</v>
      </c>
      <c r="Q607" s="1181">
        <f ca="1">IFERROR(__xludf.DUMMYFUNCTION("IMPORTRANGE(""https://docs.google.com/spreadsheets/d/1ItG2mGa2ceCfYo0BwxsXqNm01IGEUdYcSSLTEv9YCik/edit?usp=sharing"",""เบิกจ่ายกองทุน!AY23"")"),0)</f>
        <v>0</v>
      </c>
      <c r="R607" s="1181">
        <f ca="1">IFERROR(__xludf.DUMMYFUNCTION("IMPORTRANGE(""https://docs.google.com/spreadsheets/d/1ItG2mGa2ceCfYo0BwxsXqNm01IGEUdYcSSLTEv9YCik/edit?usp=sharing"",""เบิกจ่ายกองทุน!AZ23"")"),0)</f>
        <v>0</v>
      </c>
      <c r="S607" s="1181">
        <f ca="1">IFERROR(__xludf.DUMMYFUNCTION("IMPORTRANGE(""https://docs.google.com/spreadsheets/d/1ItG2mGa2ceCfYo0BwxsXqNm01IGEUdYcSSLTEv9YCik/edit?usp=sharing"",""เบิกจ่ายกองทุน!BA23"")"),0)</f>
        <v>0</v>
      </c>
      <c r="T607" s="1181">
        <f t="shared" ca="1" si="372"/>
        <v>0</v>
      </c>
      <c r="U607" s="1181">
        <f t="shared" ca="1" si="373"/>
        <v>0</v>
      </c>
    </row>
    <row r="608" spans="1:21" s="1201" customFormat="1" ht="19.5" x14ac:dyDescent="0.3">
      <c r="A608" s="1221"/>
      <c r="B608" s="1183"/>
      <c r="C608" s="1217" t="s">
        <v>18</v>
      </c>
      <c r="D608" s="1185" t="s">
        <v>38</v>
      </c>
      <c r="E608" s="1186"/>
      <c r="F608" s="1186"/>
      <c r="G608" s="1187"/>
      <c r="H608" s="1222"/>
      <c r="I608" s="1172"/>
      <c r="J608" s="1172"/>
      <c r="K608" s="1173"/>
      <c r="L608" s="1188"/>
      <c r="M608" s="1175"/>
      <c r="N608" s="1175"/>
      <c r="O608" s="1175"/>
      <c r="P608" s="1175"/>
      <c r="Q608" s="1175"/>
      <c r="R608" s="1175"/>
      <c r="S608" s="1175"/>
      <c r="T608" s="1175"/>
      <c r="U608" s="1175"/>
    </row>
    <row r="609" spans="1:21" s="1201" customFormat="1" ht="18.75" x14ac:dyDescent="0.25">
      <c r="A609" s="1221"/>
      <c r="B609" s="1183"/>
      <c r="C609" s="1183"/>
      <c r="D609" s="1223" t="s">
        <v>216</v>
      </c>
      <c r="E609" s="623"/>
      <c r="F609" s="623"/>
      <c r="G609" s="624"/>
      <c r="H609" s="1179" t="s">
        <v>99</v>
      </c>
      <c r="I609" s="1182"/>
      <c r="J609" s="1182"/>
      <c r="K609" s="1173"/>
      <c r="L609" s="1188"/>
      <c r="M609" s="1175"/>
      <c r="N609" s="1175"/>
      <c r="O609" s="1175"/>
      <c r="P609" s="1175"/>
      <c r="Q609" s="1175"/>
      <c r="R609" s="1175"/>
      <c r="S609" s="1175"/>
      <c r="T609" s="1175"/>
      <c r="U609" s="1175"/>
    </row>
    <row r="610" spans="1:21" s="1201" customFormat="1" ht="19.5" x14ac:dyDescent="0.3">
      <c r="A610" s="1221"/>
      <c r="B610" s="1183"/>
      <c r="C610" s="1183"/>
      <c r="D610" s="1223" t="s">
        <v>217</v>
      </c>
      <c r="E610" s="623"/>
      <c r="F610" s="623"/>
      <c r="G610" s="624"/>
      <c r="H610" s="1171" t="s">
        <v>35</v>
      </c>
      <c r="I610" s="1182"/>
      <c r="J610" s="1182"/>
      <c r="K610" s="1173"/>
      <c r="L610" s="1188"/>
      <c r="M610" s="1175"/>
      <c r="N610" s="1175"/>
      <c r="O610" s="1175"/>
      <c r="P610" s="1175"/>
      <c r="Q610" s="1175"/>
      <c r="R610" s="1175"/>
      <c r="S610" s="1175"/>
      <c r="T610" s="1175"/>
      <c r="U610" s="1175"/>
    </row>
    <row r="611" spans="1:21" s="1201" customFormat="1" ht="18.75" x14ac:dyDescent="0.25">
      <c r="A611" s="1221"/>
      <c r="B611" s="1183"/>
      <c r="C611" s="1183"/>
      <c r="D611" s="1183"/>
      <c r="E611" s="1223" t="s">
        <v>218</v>
      </c>
      <c r="F611" s="623"/>
      <c r="G611" s="624"/>
      <c r="H611" s="1220" t="s">
        <v>35</v>
      </c>
      <c r="I611" s="1182"/>
      <c r="J611" s="1182"/>
      <c r="K611" s="1173"/>
      <c r="L611" s="1188"/>
      <c r="M611" s="1175"/>
      <c r="N611" s="1175"/>
      <c r="O611" s="1175"/>
      <c r="P611" s="1175"/>
      <c r="Q611" s="1175"/>
      <c r="R611" s="1175"/>
      <c r="S611" s="1175"/>
      <c r="T611" s="1175"/>
      <c r="U611" s="1175"/>
    </row>
    <row r="612" spans="1:21" s="1201" customFormat="1" ht="19.5" thickBot="1" x14ac:dyDescent="0.3">
      <c r="A612" s="1224"/>
      <c r="B612" s="1225"/>
      <c r="C612" s="1225"/>
      <c r="D612" s="1225"/>
      <c r="E612" s="1226" t="s">
        <v>219</v>
      </c>
      <c r="F612" s="1227"/>
      <c r="G612" s="1228"/>
      <c r="H612" s="1229" t="s">
        <v>35</v>
      </c>
      <c r="I612" s="1230"/>
      <c r="J612" s="1230"/>
      <c r="K612" s="1231"/>
      <c r="L612" s="1232"/>
      <c r="M612" s="1233"/>
      <c r="N612" s="1233"/>
      <c r="O612" s="1233"/>
      <c r="P612" s="1233"/>
      <c r="Q612" s="1233"/>
      <c r="R612" s="1233"/>
      <c r="S612" s="1233"/>
      <c r="T612" s="1233"/>
      <c r="U612" s="1233"/>
    </row>
    <row r="613" spans="1:21" ht="19.5" x14ac:dyDescent="0.3">
      <c r="A613" s="1053" t="s">
        <v>220</v>
      </c>
      <c r="B613" s="1054"/>
      <c r="C613" s="1054"/>
      <c r="D613" s="1055"/>
      <c r="E613" s="1055"/>
      <c r="F613" s="1055"/>
      <c r="G613" s="1056"/>
      <c r="H613" s="1057"/>
      <c r="I613" s="1058"/>
      <c r="J613" s="1058"/>
      <c r="K613" s="1059"/>
      <c r="L613" s="1060"/>
      <c r="M613" s="1059"/>
      <c r="N613" s="1059"/>
      <c r="O613" s="1059"/>
      <c r="P613" s="1059"/>
      <c r="Q613" s="1059"/>
      <c r="R613" s="1059"/>
      <c r="S613" s="1059"/>
      <c r="T613" s="1059"/>
      <c r="U613" s="1059"/>
    </row>
    <row r="614" spans="1:21" ht="19.5" x14ac:dyDescent="0.3">
      <c r="A614" s="1061"/>
      <c r="B614" s="1062" t="s">
        <v>221</v>
      </c>
      <c r="C614" s="1061"/>
      <c r="D614" s="1063"/>
      <c r="E614" s="1063"/>
      <c r="F614" s="1063"/>
      <c r="G614" s="1064"/>
      <c r="H614" s="1065"/>
      <c r="I614" s="1066"/>
      <c r="J614" s="1066"/>
      <c r="K614" s="1067"/>
      <c r="L614" s="1068"/>
      <c r="M614" s="1067"/>
      <c r="N614" s="1067"/>
      <c r="O614" s="1067"/>
      <c r="P614" s="1067"/>
      <c r="Q614" s="1067"/>
      <c r="R614" s="1067"/>
      <c r="S614" s="1067"/>
      <c r="T614" s="1067"/>
      <c r="U614" s="1067"/>
    </row>
    <row r="615" spans="1:21" ht="19.5" x14ac:dyDescent="0.3">
      <c r="A615" s="1069"/>
      <c r="B615" s="1070" t="s">
        <v>222</v>
      </c>
      <c r="C615" s="1069"/>
      <c r="D615" s="1071"/>
      <c r="E615" s="1071"/>
      <c r="F615" s="1071"/>
      <c r="G615" s="1072"/>
      <c r="H615" s="1073" t="s">
        <v>46</v>
      </c>
      <c r="I615" s="1074">
        <f t="shared" ref="I615:J615" ca="1" si="380">I626</f>
        <v>0</v>
      </c>
      <c r="J615" s="1074">
        <f t="shared" si="380"/>
        <v>0</v>
      </c>
      <c r="K615" s="1075">
        <f ca="1">IF(I615&gt;0,J615*100/I615,0)</f>
        <v>0</v>
      </c>
      <c r="L615" s="1076"/>
      <c r="M615" s="1077"/>
      <c r="N615" s="1077"/>
      <c r="O615" s="1077"/>
      <c r="P615" s="1077"/>
      <c r="Q615" s="1077"/>
      <c r="R615" s="1077"/>
      <c r="S615" s="1077"/>
      <c r="T615" s="1077"/>
      <c r="U615" s="1077"/>
    </row>
    <row r="616" spans="1:21" ht="19.5" x14ac:dyDescent="0.3">
      <c r="A616" s="674"/>
      <c r="B616" s="718"/>
      <c r="C616" s="724" t="s">
        <v>18</v>
      </c>
      <c r="D616" s="1310" t="s">
        <v>19</v>
      </c>
      <c r="E616" s="1311"/>
      <c r="F616" s="1311"/>
      <c r="G616" s="1312"/>
      <c r="H616" s="780" t="s">
        <v>14</v>
      </c>
      <c r="I616" s="565"/>
      <c r="J616" s="565"/>
      <c r="K616" s="566"/>
      <c r="L616" s="678">
        <f t="shared" ref="L616:N616" si="381">L617+L618</f>
        <v>0</v>
      </c>
      <c r="M616" s="679">
        <f t="shared" si="381"/>
        <v>0</v>
      </c>
      <c r="N616" s="679">
        <f t="shared" si="381"/>
        <v>0</v>
      </c>
      <c r="O616" s="679">
        <f t="shared" ref="O616:O624" si="382">IF(L616&gt;0,N616*100/L616,0)</f>
        <v>0</v>
      </c>
      <c r="P616" s="679">
        <f t="shared" ref="P616:P624" si="383">IF(M616&gt;0,N616*100/M616,0)</f>
        <v>0</v>
      </c>
      <c r="Q616" s="679">
        <f t="shared" ref="Q616:S616" ca="1" si="384">Q617+Q618</f>
        <v>1875</v>
      </c>
      <c r="R616" s="679">
        <f t="shared" ca="1" si="384"/>
        <v>1875</v>
      </c>
      <c r="S616" s="679">
        <f t="shared" ca="1" si="384"/>
        <v>0</v>
      </c>
      <c r="T616" s="679">
        <f t="shared" ref="T616:T624" ca="1" si="385">IF(Q616&gt;0,S616*100/Q616,0)</f>
        <v>0</v>
      </c>
      <c r="U616" s="679">
        <f t="shared" ref="U616:U624" ca="1" si="386">IF(R616&gt;0,S616*100/R616,0)</f>
        <v>0</v>
      </c>
    </row>
    <row r="617" spans="1:21" ht="18.75" x14ac:dyDescent="0.25">
      <c r="A617" s="674"/>
      <c r="B617" s="718"/>
      <c r="C617" s="718"/>
      <c r="D617" s="695"/>
      <c r="E617" s="569" t="s">
        <v>158</v>
      </c>
      <c r="F617" s="561"/>
      <c r="G617" s="563"/>
      <c r="H617" s="685" t="s">
        <v>14</v>
      </c>
      <c r="I617" s="565"/>
      <c r="J617" s="565"/>
      <c r="K617" s="566"/>
      <c r="L617" s="571">
        <f t="shared" ref="L617:N618" si="387">L620+L623</f>
        <v>0</v>
      </c>
      <c r="M617" s="572">
        <f t="shared" si="387"/>
        <v>0</v>
      </c>
      <c r="N617" s="572">
        <f t="shared" si="387"/>
        <v>0</v>
      </c>
      <c r="O617" s="572">
        <f t="shared" si="382"/>
        <v>0</v>
      </c>
      <c r="P617" s="572">
        <f t="shared" si="383"/>
        <v>0</v>
      </c>
      <c r="Q617" s="572">
        <f t="shared" ref="Q617:S618" si="388">Q620+Q623</f>
        <v>0</v>
      </c>
      <c r="R617" s="572">
        <f t="shared" si="388"/>
        <v>0</v>
      </c>
      <c r="S617" s="572">
        <f t="shared" si="388"/>
        <v>0</v>
      </c>
      <c r="T617" s="572">
        <f t="shared" si="385"/>
        <v>0</v>
      </c>
      <c r="U617" s="572">
        <f t="shared" si="386"/>
        <v>0</v>
      </c>
    </row>
    <row r="618" spans="1:21" ht="18.75" x14ac:dyDescent="0.25">
      <c r="A618" s="674"/>
      <c r="B618" s="718"/>
      <c r="C618" s="718"/>
      <c r="D618" s="695"/>
      <c r="E618" s="573" t="s">
        <v>159</v>
      </c>
      <c r="F618" s="561"/>
      <c r="G618" s="563"/>
      <c r="H618" s="682" t="s">
        <v>14</v>
      </c>
      <c r="I618" s="565"/>
      <c r="J618" s="565"/>
      <c r="K618" s="566"/>
      <c r="L618" s="567">
        <f t="shared" si="387"/>
        <v>0</v>
      </c>
      <c r="M618" s="568">
        <f t="shared" si="387"/>
        <v>0</v>
      </c>
      <c r="N618" s="568">
        <f t="shared" si="387"/>
        <v>0</v>
      </c>
      <c r="O618" s="568">
        <f t="shared" si="382"/>
        <v>0</v>
      </c>
      <c r="P618" s="568">
        <f t="shared" si="383"/>
        <v>0</v>
      </c>
      <c r="Q618" s="568">
        <f t="shared" ca="1" si="388"/>
        <v>1875</v>
      </c>
      <c r="R618" s="568">
        <f t="shared" ca="1" si="388"/>
        <v>1875</v>
      </c>
      <c r="S618" s="568">
        <f t="shared" ca="1" si="388"/>
        <v>0</v>
      </c>
      <c r="T618" s="568">
        <f t="shared" ca="1" si="385"/>
        <v>0</v>
      </c>
      <c r="U618" s="568">
        <f t="shared" ca="1" si="386"/>
        <v>0</v>
      </c>
    </row>
    <row r="619" spans="1:21" ht="18.75" x14ac:dyDescent="0.25">
      <c r="A619" s="674"/>
      <c r="B619" s="718"/>
      <c r="C619" s="718"/>
      <c r="D619" s="562" t="s">
        <v>22</v>
      </c>
      <c r="E619" s="561"/>
      <c r="F619" s="561"/>
      <c r="G619" s="563"/>
      <c r="H619" s="682" t="s">
        <v>14</v>
      </c>
      <c r="I619" s="683"/>
      <c r="J619" s="683"/>
      <c r="K619" s="684"/>
      <c r="L619" s="567">
        <f t="shared" ref="L619:N619" si="389">L620+L621</f>
        <v>0</v>
      </c>
      <c r="M619" s="568">
        <f t="shared" si="389"/>
        <v>0</v>
      </c>
      <c r="N619" s="568">
        <f t="shared" si="389"/>
        <v>0</v>
      </c>
      <c r="O619" s="568">
        <f t="shared" si="382"/>
        <v>0</v>
      </c>
      <c r="P619" s="568">
        <f t="shared" si="383"/>
        <v>0</v>
      </c>
      <c r="Q619" s="568">
        <f t="shared" ref="Q619:S619" ca="1" si="390">Q620+Q621</f>
        <v>1875</v>
      </c>
      <c r="R619" s="568">
        <f t="shared" ca="1" si="390"/>
        <v>1875</v>
      </c>
      <c r="S619" s="568">
        <f t="shared" ca="1" si="390"/>
        <v>0</v>
      </c>
      <c r="T619" s="568">
        <f t="shared" ca="1" si="385"/>
        <v>0</v>
      </c>
      <c r="U619" s="568">
        <f t="shared" ca="1" si="386"/>
        <v>0</v>
      </c>
    </row>
    <row r="620" spans="1:21" ht="18.75" x14ac:dyDescent="0.25">
      <c r="A620" s="674"/>
      <c r="B620" s="718"/>
      <c r="C620" s="718"/>
      <c r="D620" s="695"/>
      <c r="E620" s="569" t="s">
        <v>158</v>
      </c>
      <c r="F620" s="561"/>
      <c r="G620" s="563"/>
      <c r="H620" s="685" t="s">
        <v>14</v>
      </c>
      <c r="I620" s="565"/>
      <c r="J620" s="565"/>
      <c r="K620" s="566"/>
      <c r="L620" s="571">
        <v>0</v>
      </c>
      <c r="M620" s="572">
        <v>0</v>
      </c>
      <c r="N620" s="572">
        <v>0</v>
      </c>
      <c r="O620" s="572">
        <f t="shared" si="382"/>
        <v>0</v>
      </c>
      <c r="P620" s="572">
        <f t="shared" si="383"/>
        <v>0</v>
      </c>
      <c r="Q620" s="572">
        <v>0</v>
      </c>
      <c r="R620" s="572">
        <v>0</v>
      </c>
      <c r="S620" s="572">
        <v>0</v>
      </c>
      <c r="T620" s="572">
        <f t="shared" si="385"/>
        <v>0</v>
      </c>
      <c r="U620" s="572">
        <f t="shared" si="386"/>
        <v>0</v>
      </c>
    </row>
    <row r="621" spans="1:21" ht="18.75" x14ac:dyDescent="0.25">
      <c r="A621" s="674"/>
      <c r="B621" s="718"/>
      <c r="C621" s="718"/>
      <c r="D621" s="695"/>
      <c r="E621" s="573" t="s">
        <v>159</v>
      </c>
      <c r="F621" s="561"/>
      <c r="G621" s="563"/>
      <c r="H621" s="682" t="s">
        <v>14</v>
      </c>
      <c r="I621" s="565"/>
      <c r="J621" s="565"/>
      <c r="K621" s="566"/>
      <c r="L621" s="567">
        <v>0</v>
      </c>
      <c r="M621" s="568">
        <v>0</v>
      </c>
      <c r="N621" s="568">
        <v>0</v>
      </c>
      <c r="O621" s="568">
        <f t="shared" si="382"/>
        <v>0</v>
      </c>
      <c r="P621" s="568">
        <f t="shared" si="383"/>
        <v>0</v>
      </c>
      <c r="Q621" s="568">
        <f ca="1">IFERROR(__xludf.DUMMYFUNCTION("IMPORTRANGE(""https://docs.google.com/spreadsheets/d/1ItG2mGa2ceCfYo0BwxsXqNm01IGEUdYcSSLTEv9YCik/edit?usp=sharing"",""เบิกจ่ายกองทุน!F23"")"),1875)</f>
        <v>1875</v>
      </c>
      <c r="R621" s="568">
        <f ca="1">IFERROR(__xludf.DUMMYFUNCTION("IMPORTRANGE(""https://docs.google.com/spreadsheets/d/1ItG2mGa2ceCfYo0BwxsXqNm01IGEUdYcSSLTEv9YCik/edit?usp=sharing"",""เบิกจ่ายกองทุน!G23"")"),1875)</f>
        <v>1875</v>
      </c>
      <c r="S621" s="568">
        <f ca="1">IFERROR(__xludf.DUMMYFUNCTION("IMPORTRANGE(""https://docs.google.com/spreadsheets/d/1ItG2mGa2ceCfYo0BwxsXqNm01IGEUdYcSSLTEv9YCik/edit?usp=sharing"",""เบิกจ่ายกองทุน!H23"")"),0)</f>
        <v>0</v>
      </c>
      <c r="T621" s="568">
        <f t="shared" ca="1" si="385"/>
        <v>0</v>
      </c>
      <c r="U621" s="568">
        <f t="shared" ca="1" si="386"/>
        <v>0</v>
      </c>
    </row>
    <row r="622" spans="1:21" ht="18.75" x14ac:dyDescent="0.25">
      <c r="A622" s="674"/>
      <c r="B622" s="718"/>
      <c r="C622" s="718"/>
      <c r="D622" s="562" t="s">
        <v>23</v>
      </c>
      <c r="E622" s="561"/>
      <c r="F622" s="561"/>
      <c r="G622" s="563"/>
      <c r="H622" s="686" t="s">
        <v>14</v>
      </c>
      <c r="I622" s="683"/>
      <c r="J622" s="683"/>
      <c r="K622" s="684"/>
      <c r="L622" s="567">
        <f t="shared" ref="L622:N622" si="391">L623+L624</f>
        <v>0</v>
      </c>
      <c r="M622" s="568">
        <f t="shared" si="391"/>
        <v>0</v>
      </c>
      <c r="N622" s="568">
        <f t="shared" si="391"/>
        <v>0</v>
      </c>
      <c r="O622" s="568">
        <f t="shared" si="382"/>
        <v>0</v>
      </c>
      <c r="P622" s="568">
        <f t="shared" si="383"/>
        <v>0</v>
      </c>
      <c r="Q622" s="568">
        <f t="shared" ref="Q622:S622" si="392">Q623+Q624</f>
        <v>0</v>
      </c>
      <c r="R622" s="568">
        <f t="shared" si="392"/>
        <v>0</v>
      </c>
      <c r="S622" s="568">
        <f t="shared" si="392"/>
        <v>0</v>
      </c>
      <c r="T622" s="568">
        <f t="shared" si="385"/>
        <v>0</v>
      </c>
      <c r="U622" s="568">
        <f t="shared" si="386"/>
        <v>0</v>
      </c>
    </row>
    <row r="623" spans="1:21" ht="18.75" x14ac:dyDescent="0.25">
      <c r="A623" s="674"/>
      <c r="B623" s="718"/>
      <c r="C623" s="718"/>
      <c r="D623" s="718"/>
      <c r="E623" s="569" t="s">
        <v>20</v>
      </c>
      <c r="F623" s="561"/>
      <c r="G623" s="563"/>
      <c r="H623" s="685" t="s">
        <v>14</v>
      </c>
      <c r="I623" s="683"/>
      <c r="J623" s="683"/>
      <c r="K623" s="684"/>
      <c r="L623" s="571">
        <v>0</v>
      </c>
      <c r="M623" s="572">
        <v>0</v>
      </c>
      <c r="N623" s="572">
        <v>0</v>
      </c>
      <c r="O623" s="572">
        <f t="shared" si="382"/>
        <v>0</v>
      </c>
      <c r="P623" s="572">
        <f t="shared" si="383"/>
        <v>0</v>
      </c>
      <c r="Q623" s="572">
        <v>0</v>
      </c>
      <c r="R623" s="572">
        <v>0</v>
      </c>
      <c r="S623" s="572">
        <v>0</v>
      </c>
      <c r="T623" s="572">
        <f t="shared" si="385"/>
        <v>0</v>
      </c>
      <c r="U623" s="572">
        <f t="shared" si="386"/>
        <v>0</v>
      </c>
    </row>
    <row r="624" spans="1:21" ht="18.75" x14ac:dyDescent="0.25">
      <c r="A624" s="674"/>
      <c r="B624" s="718"/>
      <c r="C624" s="718"/>
      <c r="D624" s="718"/>
      <c r="E624" s="573" t="s">
        <v>21</v>
      </c>
      <c r="F624" s="561"/>
      <c r="G624" s="563"/>
      <c r="H624" s="686" t="s">
        <v>14</v>
      </c>
      <c r="I624" s="683"/>
      <c r="J624" s="683"/>
      <c r="K624" s="684"/>
      <c r="L624" s="567">
        <v>0</v>
      </c>
      <c r="M624" s="568">
        <v>0</v>
      </c>
      <c r="N624" s="568">
        <v>0</v>
      </c>
      <c r="O624" s="568">
        <f t="shared" si="382"/>
        <v>0</v>
      </c>
      <c r="P624" s="568">
        <f t="shared" si="383"/>
        <v>0</v>
      </c>
      <c r="Q624" s="568">
        <v>0</v>
      </c>
      <c r="R624" s="568">
        <v>0</v>
      </c>
      <c r="S624" s="568">
        <v>0</v>
      </c>
      <c r="T624" s="568">
        <f t="shared" si="385"/>
        <v>0</v>
      </c>
      <c r="U624" s="568">
        <f t="shared" si="386"/>
        <v>0</v>
      </c>
    </row>
    <row r="625" spans="1:21" ht="19.5" x14ac:dyDescent="0.3">
      <c r="A625" s="687"/>
      <c r="B625" s="688"/>
      <c r="C625" s="724" t="s">
        <v>18</v>
      </c>
      <c r="D625" s="1078" t="s">
        <v>38</v>
      </c>
      <c r="E625" s="690"/>
      <c r="F625" s="690"/>
      <c r="G625" s="691"/>
      <c r="H625" s="725"/>
      <c r="I625" s="683"/>
      <c r="J625" s="683"/>
      <c r="K625" s="684"/>
      <c r="L625" s="693"/>
      <c r="M625" s="684"/>
      <c r="N625" s="684"/>
      <c r="O625" s="684"/>
      <c r="P625" s="684"/>
      <c r="Q625" s="684"/>
      <c r="R625" s="684"/>
      <c r="S625" s="684"/>
      <c r="T625" s="684"/>
      <c r="U625" s="684"/>
    </row>
    <row r="626" spans="1:21" ht="19.5" x14ac:dyDescent="0.3">
      <c r="A626" s="687"/>
      <c r="B626" s="688"/>
      <c r="C626" s="688"/>
      <c r="D626" s="1079" t="s">
        <v>223</v>
      </c>
      <c r="E626" s="695"/>
      <c r="F626" s="695"/>
      <c r="G626" s="692"/>
      <c r="H626" s="1080" t="s">
        <v>46</v>
      </c>
      <c r="I626" s="697">
        <f ca="1">IFERROR(__xludf.DUMMYFUNCTION("IMPORTRANGE(""https://docs.google.com/spreadsheets/d/1eHaY18a8A9IcSdp1K8H6x8fbOy06t2VsZHhMHf-1x7Y/edit?usp=sharing"",""แผน!ID23"")"),0)</f>
        <v>0</v>
      </c>
      <c r="J626" s="697">
        <f>J632</f>
        <v>0</v>
      </c>
      <c r="K626" s="679">
        <f ca="1">IF(I626&gt;0,J626*100/I626,0)</f>
        <v>0</v>
      </c>
      <c r="L626" s="693"/>
      <c r="M626" s="684"/>
      <c r="N626" s="684"/>
      <c r="O626" s="684"/>
      <c r="P626" s="684"/>
      <c r="Q626" s="684"/>
      <c r="R626" s="684"/>
      <c r="S626" s="684"/>
      <c r="T626" s="684"/>
      <c r="U626" s="684"/>
    </row>
    <row r="627" spans="1:21" ht="18.75" x14ac:dyDescent="0.25">
      <c r="A627" s="687"/>
      <c r="B627" s="688"/>
      <c r="C627" s="688"/>
      <c r="D627" s="688"/>
      <c r="E627" s="699" t="s">
        <v>224</v>
      </c>
      <c r="F627" s="695"/>
      <c r="G627" s="692"/>
      <c r="H627" s="686" t="s">
        <v>61</v>
      </c>
      <c r="I627" s="708">
        <f ca="1">IFERROR(__xludf.DUMMYFUNCTION("IMPORTRANGE(""https://docs.google.com/spreadsheets/d/1eHaY18a8A9IcSdp1K8H6x8fbOy06t2VsZHhMHf-1x7Y/edit?usp=sharing"",""แผน!IC23"")"),1)</f>
        <v>1</v>
      </c>
      <c r="J627" s="702">
        <v>0</v>
      </c>
      <c r="K627" s="568">
        <f t="shared" ref="K627:K628" ca="1" si="393">IF(I627&gt;0,(J627*100)/I627,0)</f>
        <v>0</v>
      </c>
      <c r="L627" s="693"/>
      <c r="M627" s="684"/>
      <c r="N627" s="684"/>
      <c r="O627" s="684"/>
      <c r="P627" s="684"/>
      <c r="Q627" s="684"/>
      <c r="R627" s="684"/>
      <c r="S627" s="684"/>
      <c r="T627" s="684"/>
      <c r="U627" s="684"/>
    </row>
    <row r="628" spans="1:21" ht="18.75" x14ac:dyDescent="0.25">
      <c r="A628" s="687"/>
      <c r="B628" s="688"/>
      <c r="C628" s="688"/>
      <c r="D628" s="688"/>
      <c r="E628" s="699" t="s">
        <v>225</v>
      </c>
      <c r="F628" s="695"/>
      <c r="G628" s="692"/>
      <c r="H628" s="686" t="s">
        <v>61</v>
      </c>
      <c r="I628" s="708">
        <f ca="1">IFERROR(__xludf.DUMMYFUNCTION("IMPORTRANGE(""https://docs.google.com/spreadsheets/d/1eHaY18a8A9IcSdp1K8H6x8fbOy06t2VsZHhMHf-1x7Y/edit?usp=sharing"",""แผน!IC23"")"),1)</f>
        <v>1</v>
      </c>
      <c r="J628" s="702">
        <v>0</v>
      </c>
      <c r="K628" s="568">
        <f t="shared" ca="1" si="393"/>
        <v>0</v>
      </c>
      <c r="L628" s="693"/>
      <c r="M628" s="684"/>
      <c r="N628" s="684"/>
      <c r="O628" s="684"/>
      <c r="P628" s="684"/>
      <c r="Q628" s="684"/>
      <c r="R628" s="684"/>
      <c r="S628" s="684"/>
      <c r="T628" s="684"/>
      <c r="U628" s="684"/>
    </row>
    <row r="629" spans="1:21" ht="18.75" x14ac:dyDescent="0.25">
      <c r="A629" s="687"/>
      <c r="B629" s="688"/>
      <c r="C629" s="688"/>
      <c r="D629" s="688"/>
      <c r="E629" s="699" t="s">
        <v>226</v>
      </c>
      <c r="F629" s="695"/>
      <c r="G629" s="692"/>
      <c r="H629" s="686" t="s">
        <v>46</v>
      </c>
      <c r="I629" s="565"/>
      <c r="J629" s="702">
        <v>0</v>
      </c>
      <c r="K629" s="568">
        <f t="shared" ref="K629:K631" ca="1" si="394">IF(I$626&gt;0,J629*100/I$626,0)</f>
        <v>0</v>
      </c>
      <c r="L629" s="693"/>
      <c r="M629" s="684"/>
      <c r="N629" s="684"/>
      <c r="O629" s="684"/>
      <c r="P629" s="684"/>
      <c r="Q629" s="684"/>
      <c r="R629" s="684"/>
      <c r="S629" s="684"/>
      <c r="T629" s="684"/>
      <c r="U629" s="684"/>
    </row>
    <row r="630" spans="1:21" ht="18.75" x14ac:dyDescent="0.25">
      <c r="A630" s="687"/>
      <c r="B630" s="688"/>
      <c r="C630" s="688"/>
      <c r="D630" s="688"/>
      <c r="E630" s="699" t="s">
        <v>227</v>
      </c>
      <c r="F630" s="695"/>
      <c r="G630" s="692"/>
      <c r="H630" s="686" t="s">
        <v>46</v>
      </c>
      <c r="I630" s="565"/>
      <c r="J630" s="702">
        <v>0</v>
      </c>
      <c r="K630" s="568">
        <f t="shared" ca="1" si="394"/>
        <v>0</v>
      </c>
      <c r="L630" s="693"/>
      <c r="M630" s="684"/>
      <c r="N630" s="684"/>
      <c r="O630" s="684"/>
      <c r="P630" s="684"/>
      <c r="Q630" s="684"/>
      <c r="R630" s="684"/>
      <c r="S630" s="684"/>
      <c r="T630" s="684"/>
      <c r="U630" s="684"/>
    </row>
    <row r="631" spans="1:21" ht="18.75" x14ac:dyDescent="0.25">
      <c r="A631" s="687"/>
      <c r="B631" s="688"/>
      <c r="C631" s="688"/>
      <c r="D631" s="688"/>
      <c r="E631" s="699" t="s">
        <v>228</v>
      </c>
      <c r="F631" s="695"/>
      <c r="G631" s="692"/>
      <c r="H631" s="686" t="s">
        <v>46</v>
      </c>
      <c r="I631" s="565"/>
      <c r="J631" s="702">
        <v>0</v>
      </c>
      <c r="K631" s="568">
        <f t="shared" ca="1" si="394"/>
        <v>0</v>
      </c>
      <c r="L631" s="693"/>
      <c r="M631" s="684"/>
      <c r="N631" s="684"/>
      <c r="O631" s="684"/>
      <c r="P631" s="684"/>
      <c r="Q631" s="684"/>
      <c r="R631" s="684"/>
      <c r="S631" s="684"/>
      <c r="T631" s="684"/>
      <c r="U631" s="684"/>
    </row>
    <row r="632" spans="1:21" ht="19.5" x14ac:dyDescent="0.3">
      <c r="A632" s="687"/>
      <c r="B632" s="688"/>
      <c r="C632" s="688"/>
      <c r="D632" s="688"/>
      <c r="E632" s="699" t="s">
        <v>229</v>
      </c>
      <c r="F632" s="695"/>
      <c r="G632" s="692"/>
      <c r="H632" s="686" t="s">
        <v>46</v>
      </c>
      <c r="I632" s="565"/>
      <c r="J632" s="697">
        <f>J633+J634</f>
        <v>0</v>
      </c>
      <c r="K632" s="679">
        <f ca="1">IF(I626&gt;0,J632*100/I626,0)</f>
        <v>0</v>
      </c>
      <c r="L632" s="693"/>
      <c r="M632" s="684"/>
      <c r="N632" s="684"/>
      <c r="O632" s="684"/>
      <c r="P632" s="684"/>
      <c r="Q632" s="684"/>
      <c r="R632" s="684"/>
      <c r="S632" s="684"/>
      <c r="T632" s="684"/>
      <c r="U632" s="684"/>
    </row>
    <row r="633" spans="1:21" ht="18.75" x14ac:dyDescent="0.25">
      <c r="A633" s="687"/>
      <c r="B633" s="688"/>
      <c r="C633" s="688"/>
      <c r="D633" s="688"/>
      <c r="E633" s="695"/>
      <c r="F633" s="699" t="s">
        <v>230</v>
      </c>
      <c r="G633" s="692"/>
      <c r="H633" s="686" t="s">
        <v>46</v>
      </c>
      <c r="I633" s="565"/>
      <c r="J633" s="702">
        <v>0</v>
      </c>
      <c r="K633" s="566"/>
      <c r="L633" s="693"/>
      <c r="M633" s="684"/>
      <c r="N633" s="684"/>
      <c r="O633" s="684"/>
      <c r="P633" s="684"/>
      <c r="Q633" s="684"/>
      <c r="R633" s="684"/>
      <c r="S633" s="684"/>
      <c r="T633" s="684"/>
      <c r="U633" s="684"/>
    </row>
    <row r="634" spans="1:21" ht="18.75" x14ac:dyDescent="0.25">
      <c r="A634" s="687"/>
      <c r="B634" s="688"/>
      <c r="C634" s="688"/>
      <c r="D634" s="688"/>
      <c r="E634" s="695"/>
      <c r="F634" s="699" t="s">
        <v>231</v>
      </c>
      <c r="G634" s="692"/>
      <c r="H634" s="686" t="s">
        <v>46</v>
      </c>
      <c r="I634" s="565"/>
      <c r="J634" s="702">
        <v>0</v>
      </c>
      <c r="K634" s="566"/>
      <c r="L634" s="693"/>
      <c r="M634" s="684"/>
      <c r="N634" s="684"/>
      <c r="O634" s="684"/>
      <c r="P634" s="684"/>
      <c r="Q634" s="684"/>
      <c r="R634" s="684"/>
      <c r="S634" s="684"/>
      <c r="T634" s="684"/>
      <c r="U634" s="684"/>
    </row>
    <row r="635" spans="1:21" ht="19.5" x14ac:dyDescent="0.3">
      <c r="A635" s="687"/>
      <c r="B635" s="688"/>
      <c r="C635" s="688"/>
      <c r="D635" s="1079" t="s">
        <v>232</v>
      </c>
      <c r="E635" s="695"/>
      <c r="F635" s="695"/>
      <c r="G635" s="692"/>
      <c r="H635" s="686" t="s">
        <v>46</v>
      </c>
      <c r="I635" s="697">
        <f ca="1">IFERROR(__xludf.DUMMYFUNCTION("IMPORTRANGE(""https://docs.google.com/spreadsheets/d/1eHaY18a8A9IcSdp1K8H6x8fbOy06t2VsZHhMHf-1x7Y/edit?usp=sharing"",""แผน!IE23"")"),0)</f>
        <v>0</v>
      </c>
      <c r="J635" s="697">
        <f>J636</f>
        <v>0</v>
      </c>
      <c r="K635" s="679">
        <f ca="1">IF(I635&gt;0,J635*100/I635,0)</f>
        <v>0</v>
      </c>
      <c r="L635" s="693"/>
      <c r="M635" s="684"/>
      <c r="N635" s="684"/>
      <c r="O635" s="684"/>
      <c r="P635" s="684"/>
      <c r="Q635" s="684"/>
      <c r="R635" s="684"/>
      <c r="S635" s="684"/>
      <c r="T635" s="684"/>
      <c r="U635" s="684"/>
    </row>
    <row r="636" spans="1:21" ht="18.75" x14ac:dyDescent="0.25">
      <c r="A636" s="687"/>
      <c r="B636" s="688"/>
      <c r="C636" s="688"/>
      <c r="D636" s="688"/>
      <c r="E636" s="699" t="s">
        <v>233</v>
      </c>
      <c r="F636" s="695"/>
      <c r="G636" s="692"/>
      <c r="H636" s="686" t="s">
        <v>46</v>
      </c>
      <c r="I636" s="565"/>
      <c r="J636" s="708">
        <f>J637+J638</f>
        <v>0</v>
      </c>
      <c r="K636" s="566"/>
      <c r="L636" s="693"/>
      <c r="M636" s="684"/>
      <c r="N636" s="684"/>
      <c r="O636" s="684"/>
      <c r="P636" s="684"/>
      <c r="Q636" s="684"/>
      <c r="R636" s="684"/>
      <c r="S636" s="684"/>
      <c r="T636" s="684"/>
      <c r="U636" s="684"/>
    </row>
    <row r="637" spans="1:21" ht="18.75" x14ac:dyDescent="0.25">
      <c r="A637" s="687"/>
      <c r="B637" s="688"/>
      <c r="C637" s="688"/>
      <c r="D637" s="688"/>
      <c r="E637" s="695"/>
      <c r="F637" s="699" t="s">
        <v>230</v>
      </c>
      <c r="G637" s="692"/>
      <c r="H637" s="686" t="s">
        <v>46</v>
      </c>
      <c r="I637" s="565"/>
      <c r="J637" s="702">
        <v>0</v>
      </c>
      <c r="K637" s="566"/>
      <c r="L637" s="693"/>
      <c r="M637" s="684"/>
      <c r="N637" s="684"/>
      <c r="O637" s="684"/>
      <c r="P637" s="684"/>
      <c r="Q637" s="684"/>
      <c r="R637" s="684"/>
      <c r="S637" s="684"/>
      <c r="T637" s="684"/>
      <c r="U637" s="684"/>
    </row>
    <row r="638" spans="1:21" ht="18.75" x14ac:dyDescent="0.25">
      <c r="A638" s="687"/>
      <c r="B638" s="688"/>
      <c r="C638" s="688"/>
      <c r="D638" s="688"/>
      <c r="E638" s="695"/>
      <c r="F638" s="699" t="s">
        <v>231</v>
      </c>
      <c r="G638" s="692"/>
      <c r="H638" s="686" t="s">
        <v>46</v>
      </c>
      <c r="I638" s="565"/>
      <c r="J638" s="702">
        <v>0</v>
      </c>
      <c r="K638" s="566"/>
      <c r="L638" s="693"/>
      <c r="M638" s="684"/>
      <c r="N638" s="684"/>
      <c r="O638" s="684"/>
      <c r="P638" s="684"/>
      <c r="Q638" s="684"/>
      <c r="R638" s="684"/>
      <c r="S638" s="684"/>
      <c r="T638" s="684"/>
      <c r="U638" s="684"/>
    </row>
    <row r="639" spans="1:21" ht="18.75" x14ac:dyDescent="0.25">
      <c r="A639" s="687"/>
      <c r="B639" s="688"/>
      <c r="C639" s="688"/>
      <c r="D639" s="688"/>
      <c r="E639" s="699" t="s">
        <v>234</v>
      </c>
      <c r="F639" s="695"/>
      <c r="G639" s="692"/>
      <c r="H639" s="686" t="s">
        <v>46</v>
      </c>
      <c r="I639" s="565"/>
      <c r="J639" s="702">
        <v>0</v>
      </c>
      <c r="K639" s="566"/>
      <c r="L639" s="693"/>
      <c r="M639" s="684"/>
      <c r="N639" s="684"/>
      <c r="O639" s="684"/>
      <c r="P639" s="684"/>
      <c r="Q639" s="684"/>
      <c r="R639" s="684"/>
      <c r="S639" s="684"/>
      <c r="T639" s="684"/>
      <c r="U639" s="684"/>
    </row>
    <row r="640" spans="1:21" ht="18.75" x14ac:dyDescent="0.25">
      <c r="A640" s="687"/>
      <c r="B640" s="688"/>
      <c r="C640" s="688"/>
      <c r="D640" s="688"/>
      <c r="E640" s="695"/>
      <c r="F640" s="699" t="s">
        <v>235</v>
      </c>
      <c r="G640" s="692"/>
      <c r="H640" s="686" t="s">
        <v>46</v>
      </c>
      <c r="I640" s="565"/>
      <c r="J640" s="702">
        <v>0</v>
      </c>
      <c r="K640" s="566"/>
      <c r="L640" s="693"/>
      <c r="M640" s="684"/>
      <c r="N640" s="684"/>
      <c r="O640" s="684"/>
      <c r="P640" s="684"/>
      <c r="Q640" s="684"/>
      <c r="R640" s="684"/>
      <c r="S640" s="684"/>
      <c r="T640" s="684"/>
      <c r="U640" s="684"/>
    </row>
    <row r="641" spans="1:21" ht="19.5" x14ac:dyDescent="0.3">
      <c r="A641" s="1069"/>
      <c r="B641" s="1070" t="s">
        <v>236</v>
      </c>
      <c r="C641" s="1069"/>
      <c r="D641" s="1071"/>
      <c r="E641" s="1071"/>
      <c r="F641" s="1071"/>
      <c r="G641" s="1072"/>
      <c r="H641" s="1081"/>
      <c r="I641" s="1082"/>
      <c r="J641" s="1082"/>
      <c r="K641" s="1077"/>
      <c r="L641" s="1076"/>
      <c r="M641" s="1077"/>
      <c r="N641" s="1077"/>
      <c r="O641" s="1077"/>
      <c r="P641" s="1077"/>
      <c r="Q641" s="1077"/>
      <c r="R641" s="1077"/>
      <c r="S641" s="1077"/>
      <c r="T641" s="1077"/>
      <c r="U641" s="1077"/>
    </row>
    <row r="642" spans="1:21" ht="19.5" x14ac:dyDescent="0.3">
      <c r="A642" s="674"/>
      <c r="B642" s="718"/>
      <c r="C642" s="765" t="s">
        <v>18</v>
      </c>
      <c r="D642" s="1310" t="s">
        <v>19</v>
      </c>
      <c r="E642" s="1311"/>
      <c r="F642" s="1311"/>
      <c r="G642" s="1312"/>
      <c r="H642" s="780" t="s">
        <v>14</v>
      </c>
      <c r="I642" s="565"/>
      <c r="J642" s="565"/>
      <c r="K642" s="566"/>
      <c r="L642" s="678">
        <f t="shared" ref="L642:N642" si="395">L643+L644</f>
        <v>0</v>
      </c>
      <c r="M642" s="679">
        <f t="shared" si="395"/>
        <v>0</v>
      </c>
      <c r="N642" s="679">
        <f t="shared" si="395"/>
        <v>0</v>
      </c>
      <c r="O642" s="679">
        <f t="shared" ref="O642:O650" si="396">IF(L642&gt;0,N642*100/L642,0)</f>
        <v>0</v>
      </c>
      <c r="P642" s="679">
        <f t="shared" ref="P642:P650" si="397">IF(M642&gt;0,N642*100/M642,0)</f>
        <v>0</v>
      </c>
      <c r="Q642" s="679">
        <f t="shared" ref="Q642:S642" ca="1" si="398">Q643+Q644</f>
        <v>22120</v>
      </c>
      <c r="R642" s="679">
        <f t="shared" ca="1" si="398"/>
        <v>22120</v>
      </c>
      <c r="S642" s="679">
        <f t="shared" ca="1" si="398"/>
        <v>0</v>
      </c>
      <c r="T642" s="679">
        <f t="shared" ref="T642:T650" ca="1" si="399">IF(Q642&gt;0,S642*100/Q642,0)</f>
        <v>0</v>
      </c>
      <c r="U642" s="679">
        <f t="shared" ref="U642:U650" ca="1" si="400">IF(R642&gt;0,S642*100/R642,0)</f>
        <v>0</v>
      </c>
    </row>
    <row r="643" spans="1:21" ht="18.75" x14ac:dyDescent="0.25">
      <c r="A643" s="674"/>
      <c r="B643" s="718"/>
      <c r="C643" s="718"/>
      <c r="D643" s="695"/>
      <c r="E643" s="569" t="s">
        <v>158</v>
      </c>
      <c r="F643" s="561"/>
      <c r="G643" s="563"/>
      <c r="H643" s="685" t="s">
        <v>14</v>
      </c>
      <c r="I643" s="565"/>
      <c r="J643" s="565"/>
      <c r="K643" s="566"/>
      <c r="L643" s="571">
        <f t="shared" ref="L643:N644" si="401">L646+L649</f>
        <v>0</v>
      </c>
      <c r="M643" s="572">
        <f t="shared" si="401"/>
        <v>0</v>
      </c>
      <c r="N643" s="572">
        <f t="shared" si="401"/>
        <v>0</v>
      </c>
      <c r="O643" s="572">
        <f t="shared" si="396"/>
        <v>0</v>
      </c>
      <c r="P643" s="572">
        <f t="shared" si="397"/>
        <v>0</v>
      </c>
      <c r="Q643" s="572">
        <f t="shared" ref="Q643:S644" si="402">Q646+Q649</f>
        <v>0</v>
      </c>
      <c r="R643" s="572">
        <f t="shared" si="402"/>
        <v>0</v>
      </c>
      <c r="S643" s="572">
        <f t="shared" si="402"/>
        <v>0</v>
      </c>
      <c r="T643" s="572">
        <f t="shared" si="399"/>
        <v>0</v>
      </c>
      <c r="U643" s="572">
        <f t="shared" si="400"/>
        <v>0</v>
      </c>
    </row>
    <row r="644" spans="1:21" ht="18.75" x14ac:dyDescent="0.25">
      <c r="A644" s="674"/>
      <c r="B644" s="718"/>
      <c r="C644" s="718"/>
      <c r="D644" s="695"/>
      <c r="E644" s="573" t="s">
        <v>159</v>
      </c>
      <c r="F644" s="561"/>
      <c r="G644" s="563"/>
      <c r="H644" s="682" t="s">
        <v>14</v>
      </c>
      <c r="I644" s="565"/>
      <c r="J644" s="565"/>
      <c r="K644" s="566"/>
      <c r="L644" s="567">
        <f t="shared" si="401"/>
        <v>0</v>
      </c>
      <c r="M644" s="568">
        <f t="shared" si="401"/>
        <v>0</v>
      </c>
      <c r="N644" s="568">
        <f t="shared" si="401"/>
        <v>0</v>
      </c>
      <c r="O644" s="568">
        <f t="shared" si="396"/>
        <v>0</v>
      </c>
      <c r="P644" s="568">
        <f t="shared" si="397"/>
        <v>0</v>
      </c>
      <c r="Q644" s="568">
        <f t="shared" ca="1" si="402"/>
        <v>22120</v>
      </c>
      <c r="R644" s="568">
        <f t="shared" ca="1" si="402"/>
        <v>22120</v>
      </c>
      <c r="S644" s="568">
        <f t="shared" ca="1" si="402"/>
        <v>0</v>
      </c>
      <c r="T644" s="568">
        <f t="shared" ca="1" si="399"/>
        <v>0</v>
      </c>
      <c r="U644" s="568">
        <f t="shared" ca="1" si="400"/>
        <v>0</v>
      </c>
    </row>
    <row r="645" spans="1:21" ht="18.75" x14ac:dyDescent="0.25">
      <c r="A645" s="674"/>
      <c r="B645" s="718"/>
      <c r="C645" s="718"/>
      <c r="D645" s="562" t="s">
        <v>22</v>
      </c>
      <c r="E645" s="561"/>
      <c r="F645" s="561"/>
      <c r="G645" s="563"/>
      <c r="H645" s="682" t="s">
        <v>14</v>
      </c>
      <c r="I645" s="683"/>
      <c r="J645" s="683"/>
      <c r="K645" s="684"/>
      <c r="L645" s="567">
        <f t="shared" ref="L645:N645" si="403">L646+L647</f>
        <v>0</v>
      </c>
      <c r="M645" s="568">
        <f t="shared" si="403"/>
        <v>0</v>
      </c>
      <c r="N645" s="568">
        <f t="shared" si="403"/>
        <v>0</v>
      </c>
      <c r="O645" s="568">
        <f t="shared" si="396"/>
        <v>0</v>
      </c>
      <c r="P645" s="568">
        <f t="shared" si="397"/>
        <v>0</v>
      </c>
      <c r="Q645" s="568">
        <f t="shared" ref="Q645:S645" ca="1" si="404">Q646+Q647</f>
        <v>22120</v>
      </c>
      <c r="R645" s="568">
        <f t="shared" ca="1" si="404"/>
        <v>22120</v>
      </c>
      <c r="S645" s="568">
        <f t="shared" ca="1" si="404"/>
        <v>0</v>
      </c>
      <c r="T645" s="568">
        <f t="shared" ca="1" si="399"/>
        <v>0</v>
      </c>
      <c r="U645" s="568">
        <f t="shared" ca="1" si="400"/>
        <v>0</v>
      </c>
    </row>
    <row r="646" spans="1:21" ht="18.75" x14ac:dyDescent="0.25">
      <c r="A646" s="674"/>
      <c r="B646" s="718"/>
      <c r="C646" s="718"/>
      <c r="D646" s="695"/>
      <c r="E646" s="569" t="s">
        <v>158</v>
      </c>
      <c r="F646" s="561"/>
      <c r="G646" s="563"/>
      <c r="H646" s="685" t="s">
        <v>14</v>
      </c>
      <c r="I646" s="565"/>
      <c r="J646" s="565"/>
      <c r="K646" s="566"/>
      <c r="L646" s="571">
        <v>0</v>
      </c>
      <c r="M646" s="572">
        <v>0</v>
      </c>
      <c r="N646" s="572">
        <v>0</v>
      </c>
      <c r="O646" s="572">
        <f t="shared" si="396"/>
        <v>0</v>
      </c>
      <c r="P646" s="572">
        <f t="shared" si="397"/>
        <v>0</v>
      </c>
      <c r="Q646" s="572">
        <v>0</v>
      </c>
      <c r="R646" s="572">
        <v>0</v>
      </c>
      <c r="S646" s="572">
        <v>0</v>
      </c>
      <c r="T646" s="572">
        <f t="shared" si="399"/>
        <v>0</v>
      </c>
      <c r="U646" s="572">
        <f t="shared" si="400"/>
        <v>0</v>
      </c>
    </row>
    <row r="647" spans="1:21" ht="18.75" x14ac:dyDescent="0.25">
      <c r="A647" s="674"/>
      <c r="B647" s="718"/>
      <c r="C647" s="718"/>
      <c r="D647" s="695"/>
      <c r="E647" s="573" t="s">
        <v>159</v>
      </c>
      <c r="F647" s="561"/>
      <c r="G647" s="563"/>
      <c r="H647" s="682" t="s">
        <v>14</v>
      </c>
      <c r="I647" s="565"/>
      <c r="J647" s="565"/>
      <c r="K647" s="566"/>
      <c r="L647" s="567">
        <v>0</v>
      </c>
      <c r="M647" s="568">
        <v>0</v>
      </c>
      <c r="N647" s="568">
        <v>0</v>
      </c>
      <c r="O647" s="568">
        <f t="shared" si="396"/>
        <v>0</v>
      </c>
      <c r="P647" s="568">
        <f t="shared" si="397"/>
        <v>0</v>
      </c>
      <c r="Q647" s="568">
        <f ca="1">IFERROR(__xludf.DUMMYFUNCTION("IMPORTRANGE(""https://docs.google.com/spreadsheets/d/1ItG2mGa2ceCfYo0BwxsXqNm01IGEUdYcSSLTEv9YCik/edit?usp=sharing"",""เบิกจ่ายกองทุน!I23"")"),22120)</f>
        <v>22120</v>
      </c>
      <c r="R647" s="568">
        <f ca="1">IFERROR(__xludf.DUMMYFUNCTION("IMPORTRANGE(""https://docs.google.com/spreadsheets/d/1ItG2mGa2ceCfYo0BwxsXqNm01IGEUdYcSSLTEv9YCik/edit?usp=sharing"",""เบิกจ่ายกองทุน!J23"")"),22120)</f>
        <v>22120</v>
      </c>
      <c r="S647" s="568">
        <f ca="1">IFERROR(__xludf.DUMMYFUNCTION("IMPORTRANGE(""https://docs.google.com/spreadsheets/d/1ItG2mGa2ceCfYo0BwxsXqNm01IGEUdYcSSLTEv9YCik/edit?usp=sharing"",""เบิกจ่ายกองทุน!K23"")"),0)</f>
        <v>0</v>
      </c>
      <c r="T647" s="568">
        <f t="shared" ca="1" si="399"/>
        <v>0</v>
      </c>
      <c r="U647" s="568">
        <f t="shared" ca="1" si="400"/>
        <v>0</v>
      </c>
    </row>
    <row r="648" spans="1:21" ht="18.75" x14ac:dyDescent="0.25">
      <c r="A648" s="674"/>
      <c r="B648" s="718"/>
      <c r="C648" s="718"/>
      <c r="D648" s="562" t="s">
        <v>23</v>
      </c>
      <c r="E648" s="561"/>
      <c r="F648" s="561"/>
      <c r="G648" s="563"/>
      <c r="H648" s="686" t="s">
        <v>14</v>
      </c>
      <c r="I648" s="683"/>
      <c r="J648" s="683"/>
      <c r="K648" s="684"/>
      <c r="L648" s="567">
        <f t="shared" ref="L648:N648" si="405">L649+L650</f>
        <v>0</v>
      </c>
      <c r="M648" s="568">
        <f t="shared" si="405"/>
        <v>0</v>
      </c>
      <c r="N648" s="568">
        <f t="shared" si="405"/>
        <v>0</v>
      </c>
      <c r="O648" s="568">
        <f t="shared" si="396"/>
        <v>0</v>
      </c>
      <c r="P648" s="568">
        <f t="shared" si="397"/>
        <v>0</v>
      </c>
      <c r="Q648" s="568">
        <f t="shared" ref="Q648:S648" si="406">Q649+Q650</f>
        <v>0</v>
      </c>
      <c r="R648" s="568">
        <f t="shared" si="406"/>
        <v>0</v>
      </c>
      <c r="S648" s="568">
        <f t="shared" si="406"/>
        <v>0</v>
      </c>
      <c r="T648" s="568">
        <f t="shared" si="399"/>
        <v>0</v>
      </c>
      <c r="U648" s="568">
        <f t="shared" si="400"/>
        <v>0</v>
      </c>
    </row>
    <row r="649" spans="1:21" ht="18.75" x14ac:dyDescent="0.25">
      <c r="A649" s="674"/>
      <c r="B649" s="718"/>
      <c r="C649" s="718"/>
      <c r="D649" s="561"/>
      <c r="E649" s="569" t="s">
        <v>20</v>
      </c>
      <c r="F649" s="561"/>
      <c r="G649" s="563"/>
      <c r="H649" s="685" t="s">
        <v>14</v>
      </c>
      <c r="I649" s="683"/>
      <c r="J649" s="683"/>
      <c r="K649" s="684"/>
      <c r="L649" s="571">
        <v>0</v>
      </c>
      <c r="M649" s="572">
        <v>0</v>
      </c>
      <c r="N649" s="572">
        <v>0</v>
      </c>
      <c r="O649" s="572">
        <f t="shared" si="396"/>
        <v>0</v>
      </c>
      <c r="P649" s="572">
        <f t="shared" si="397"/>
        <v>0</v>
      </c>
      <c r="Q649" s="572">
        <v>0</v>
      </c>
      <c r="R649" s="572">
        <v>0</v>
      </c>
      <c r="S649" s="572">
        <v>0</v>
      </c>
      <c r="T649" s="572">
        <f t="shared" si="399"/>
        <v>0</v>
      </c>
      <c r="U649" s="572">
        <f t="shared" si="400"/>
        <v>0</v>
      </c>
    </row>
    <row r="650" spans="1:21" ht="18.75" x14ac:dyDescent="0.25">
      <c r="A650" s="674"/>
      <c r="B650" s="718"/>
      <c r="C650" s="718"/>
      <c r="D650" s="561"/>
      <c r="E650" s="573" t="s">
        <v>21</v>
      </c>
      <c r="F650" s="561"/>
      <c r="G650" s="563"/>
      <c r="H650" s="686" t="s">
        <v>14</v>
      </c>
      <c r="I650" s="683"/>
      <c r="J650" s="683"/>
      <c r="K650" s="684"/>
      <c r="L650" s="567">
        <v>0</v>
      </c>
      <c r="M650" s="568">
        <v>0</v>
      </c>
      <c r="N650" s="568">
        <v>0</v>
      </c>
      <c r="O650" s="568">
        <f t="shared" si="396"/>
        <v>0</v>
      </c>
      <c r="P650" s="568">
        <f t="shared" si="397"/>
        <v>0</v>
      </c>
      <c r="Q650" s="568">
        <v>0</v>
      </c>
      <c r="R650" s="568">
        <v>0</v>
      </c>
      <c r="S650" s="568">
        <v>0</v>
      </c>
      <c r="T650" s="568">
        <f t="shared" si="399"/>
        <v>0</v>
      </c>
      <c r="U650" s="568">
        <f t="shared" si="400"/>
        <v>0</v>
      </c>
    </row>
    <row r="651" spans="1:21" ht="19.5" x14ac:dyDescent="0.3">
      <c r="A651" s="687"/>
      <c r="B651" s="688"/>
      <c r="C651" s="765" t="s">
        <v>18</v>
      </c>
      <c r="D651" s="1083" t="s">
        <v>38</v>
      </c>
      <c r="E651" s="690"/>
      <c r="F651" s="690"/>
      <c r="G651" s="691"/>
      <c r="H651" s="725"/>
      <c r="I651" s="683"/>
      <c r="J651" s="683"/>
      <c r="K651" s="684"/>
      <c r="L651" s="693"/>
      <c r="M651" s="684"/>
      <c r="N651" s="684"/>
      <c r="O651" s="684"/>
      <c r="P651" s="684"/>
      <c r="Q651" s="566"/>
      <c r="R651" s="566"/>
      <c r="S651" s="566"/>
      <c r="T651" s="684"/>
      <c r="U651" s="684"/>
    </row>
    <row r="652" spans="1:21" ht="18.75" x14ac:dyDescent="0.25">
      <c r="A652" s="764"/>
      <c r="B652" s="718"/>
      <c r="C652" s="718"/>
      <c r="D652" s="573" t="s">
        <v>237</v>
      </c>
      <c r="E652" s="561"/>
      <c r="F652" s="561"/>
      <c r="G652" s="563"/>
      <c r="H652" s="686" t="s">
        <v>46</v>
      </c>
      <c r="I652" s="1084">
        <f ca="1">IFERROR(__xludf.DUMMYFUNCTION("IMPORTRANGE(""https://docs.google.com/spreadsheets/d/1eHaY18a8A9IcSdp1K8H6x8fbOy06t2VsZHhMHf-1x7Y/edit?usp=sharing"",""แผน!IF23"")"),0)</f>
        <v>0</v>
      </c>
      <c r="J652" s="708">
        <f ca="1">IFERROR(__xludf.DUMMYFUNCTION("IMPORTRANGE(""https://docs.google.com/spreadsheets/d/1tdoBKaGub7dwA3U6UFTqxio9LNnvDCQjHKmttSEBsFQ/edit?usp=sharing"",""จัดที่ดิน!AU23"")"),0)</f>
        <v>0</v>
      </c>
      <c r="K652" s="568">
        <f t="shared" ref="K652:K654" ca="1" si="407">IF(I652&gt;0,J652*100/I652,0)</f>
        <v>0</v>
      </c>
      <c r="L652" s="574"/>
      <c r="M652" s="566"/>
      <c r="N652" s="1085"/>
      <c r="O652" s="566"/>
      <c r="P652" s="566"/>
      <c r="Q652" s="566"/>
      <c r="R652" s="566"/>
      <c r="S652" s="1085"/>
      <c r="T652" s="566"/>
      <c r="U652" s="566"/>
    </row>
    <row r="653" spans="1:21" ht="18.75" x14ac:dyDescent="0.25">
      <c r="A653" s="764"/>
      <c r="B653" s="718"/>
      <c r="C653" s="718"/>
      <c r="D653" s="573" t="s">
        <v>238</v>
      </c>
      <c r="E653" s="561"/>
      <c r="F653" s="561"/>
      <c r="G653" s="563"/>
      <c r="H653" s="686" t="s">
        <v>35</v>
      </c>
      <c r="I653" s="1084">
        <f ca="1">IFERROR(__xludf.DUMMYFUNCTION("IMPORTRANGE(""https://docs.google.com/spreadsheets/d/1eHaY18a8A9IcSdp1K8H6x8fbOy06t2VsZHhMHf-1x7Y/edit?usp=sharing"",""แผน!IG23"")"),0)</f>
        <v>0</v>
      </c>
      <c r="J653" s="708">
        <f ca="1">IFERROR(__xludf.DUMMYFUNCTION("IMPORTRANGE(""https://docs.google.com/spreadsheets/d/1tdoBKaGub7dwA3U6UFTqxio9LNnvDCQjHKmttSEBsFQ/edit?usp=sharing"",""จัดที่ดิน!AW23"")"),0)</f>
        <v>0</v>
      </c>
      <c r="K653" s="568">
        <f t="shared" ca="1" si="407"/>
        <v>0</v>
      </c>
      <c r="L653" s="574"/>
      <c r="M653" s="566"/>
      <c r="N653" s="1085"/>
      <c r="O653" s="566"/>
      <c r="P653" s="566"/>
      <c r="Q653" s="566"/>
      <c r="R653" s="566"/>
      <c r="S653" s="1085"/>
      <c r="T653" s="566"/>
      <c r="U653" s="566"/>
    </row>
    <row r="654" spans="1:21" ht="19.5" x14ac:dyDescent="0.3">
      <c r="A654" s="764"/>
      <c r="B654" s="718"/>
      <c r="C654" s="718"/>
      <c r="D654" s="573" t="s">
        <v>239</v>
      </c>
      <c r="E654" s="561"/>
      <c r="F654" s="561"/>
      <c r="G654" s="563"/>
      <c r="H654" s="1080" t="s">
        <v>46</v>
      </c>
      <c r="I654" s="1086">
        <f ca="1">IFERROR(__xludf.DUMMYFUNCTION("IMPORTRANGE(""https://docs.google.com/spreadsheets/d/1eHaY18a8A9IcSdp1K8H6x8fbOy06t2VsZHhMHf-1x7Y/edit?usp=sharing"",""แผน!IH23"")"),0)</f>
        <v>0</v>
      </c>
      <c r="J654" s="697">
        <f>J657+J660</f>
        <v>0</v>
      </c>
      <c r="K654" s="679">
        <f t="shared" ca="1" si="407"/>
        <v>0</v>
      </c>
      <c r="L654" s="574"/>
      <c r="M654" s="566"/>
      <c r="N654" s="1085"/>
      <c r="O654" s="566"/>
      <c r="P654" s="566"/>
      <c r="Q654" s="566"/>
      <c r="R654" s="566"/>
      <c r="S654" s="1085"/>
      <c r="T654" s="566"/>
      <c r="U654" s="566"/>
    </row>
    <row r="655" spans="1:21" ht="18.75" x14ac:dyDescent="0.25">
      <c r="A655" s="764"/>
      <c r="B655" s="718"/>
      <c r="C655" s="718"/>
      <c r="D655" s="561"/>
      <c r="E655" s="573" t="s">
        <v>240</v>
      </c>
      <c r="F655" s="561"/>
      <c r="G655" s="563"/>
      <c r="H655" s="686" t="s">
        <v>35</v>
      </c>
      <c r="I655" s="727"/>
      <c r="J655" s="702">
        <v>0</v>
      </c>
      <c r="K655" s="566"/>
      <c r="L655" s="574"/>
      <c r="M655" s="566"/>
      <c r="N655" s="1085"/>
      <c r="O655" s="566"/>
      <c r="P655" s="566"/>
      <c r="Q655" s="566"/>
      <c r="R655" s="566"/>
      <c r="S655" s="1085"/>
      <c r="T655" s="566"/>
      <c r="U655" s="566"/>
    </row>
    <row r="656" spans="1:21" ht="18.75" x14ac:dyDescent="0.25">
      <c r="A656" s="764"/>
      <c r="B656" s="718"/>
      <c r="C656" s="718"/>
      <c r="D656" s="561"/>
      <c r="E656" s="561"/>
      <c r="F656" s="561"/>
      <c r="G656" s="563"/>
      <c r="H656" s="686" t="s">
        <v>34</v>
      </c>
      <c r="I656" s="727"/>
      <c r="J656" s="702">
        <v>0</v>
      </c>
      <c r="K656" s="566"/>
      <c r="L656" s="574"/>
      <c r="M656" s="566"/>
      <c r="N656" s="1085"/>
      <c r="O656" s="566"/>
      <c r="P656" s="566"/>
      <c r="Q656" s="566"/>
      <c r="R656" s="566"/>
      <c r="S656" s="1085"/>
      <c r="T656" s="566"/>
      <c r="U656" s="566"/>
    </row>
    <row r="657" spans="1:21" ht="18.75" x14ac:dyDescent="0.25">
      <c r="A657" s="764"/>
      <c r="B657" s="718"/>
      <c r="C657" s="718"/>
      <c r="D657" s="561"/>
      <c r="E657" s="561"/>
      <c r="F657" s="561"/>
      <c r="G657" s="563"/>
      <c r="H657" s="686" t="s">
        <v>46</v>
      </c>
      <c r="I657" s="1084">
        <f ca="1">IFERROR(__xludf.DUMMYFUNCTION("IMPORTRANGE(""https://docs.google.com/spreadsheets/d/1eHaY18a8A9IcSdp1K8H6x8fbOy06t2VsZHhMHf-1x7Y/edit?usp=sharing"",""แผน!II23"")"),0)</f>
        <v>0</v>
      </c>
      <c r="J657" s="702">
        <v>0</v>
      </c>
      <c r="K657" s="566"/>
      <c r="L657" s="574"/>
      <c r="M657" s="566"/>
      <c r="N657" s="1085"/>
      <c r="O657" s="566"/>
      <c r="P657" s="566"/>
      <c r="Q657" s="566"/>
      <c r="R657" s="566"/>
      <c r="S657" s="1085"/>
      <c r="T657" s="566"/>
      <c r="U657" s="566"/>
    </row>
    <row r="658" spans="1:21" ht="18.75" x14ac:dyDescent="0.25">
      <c r="A658" s="764"/>
      <c r="B658" s="718"/>
      <c r="C658" s="718"/>
      <c r="D658" s="561"/>
      <c r="E658" s="573" t="s">
        <v>241</v>
      </c>
      <c r="F658" s="561"/>
      <c r="G658" s="563"/>
      <c r="H658" s="686" t="s">
        <v>35</v>
      </c>
      <c r="I658" s="727"/>
      <c r="J658" s="702">
        <v>0</v>
      </c>
      <c r="K658" s="566"/>
      <c r="L658" s="574"/>
      <c r="M658" s="566"/>
      <c r="N658" s="1085"/>
      <c r="O658" s="566"/>
      <c r="P658" s="566"/>
      <c r="Q658" s="566"/>
      <c r="R658" s="566"/>
      <c r="S658" s="1085"/>
      <c r="T658" s="566"/>
      <c r="U658" s="566"/>
    </row>
    <row r="659" spans="1:21" ht="18.75" x14ac:dyDescent="0.25">
      <c r="A659" s="764"/>
      <c r="B659" s="718"/>
      <c r="C659" s="718"/>
      <c r="D659" s="561"/>
      <c r="E659" s="561"/>
      <c r="F659" s="561"/>
      <c r="G659" s="563"/>
      <c r="H659" s="686" t="s">
        <v>34</v>
      </c>
      <c r="I659" s="727"/>
      <c r="J659" s="702">
        <v>0</v>
      </c>
      <c r="K659" s="566"/>
      <c r="L659" s="574"/>
      <c r="M659" s="566"/>
      <c r="N659" s="1085"/>
      <c r="O659" s="566"/>
      <c r="P659" s="566"/>
      <c r="Q659" s="566"/>
      <c r="R659" s="566"/>
      <c r="S659" s="1085"/>
      <c r="T659" s="566"/>
      <c r="U659" s="566"/>
    </row>
    <row r="660" spans="1:21" ht="18.75" x14ac:dyDescent="0.25">
      <c r="A660" s="764"/>
      <c r="B660" s="718"/>
      <c r="C660" s="718"/>
      <c r="D660" s="561"/>
      <c r="E660" s="561"/>
      <c r="F660" s="561"/>
      <c r="G660" s="563"/>
      <c r="H660" s="686" t="s">
        <v>46</v>
      </c>
      <c r="I660" s="1084">
        <f ca="1">IFERROR(__xludf.DUMMYFUNCTION("IMPORTRANGE(""https://docs.google.com/spreadsheets/d/1eHaY18a8A9IcSdp1K8H6x8fbOy06t2VsZHhMHf-1x7Y/edit?usp=sharing"",""แผน!IJ23"")"),0)</f>
        <v>0</v>
      </c>
      <c r="J660" s="702">
        <v>0</v>
      </c>
      <c r="K660" s="566"/>
      <c r="L660" s="574"/>
      <c r="M660" s="566"/>
      <c r="N660" s="1085"/>
      <c r="O660" s="566"/>
      <c r="P660" s="566"/>
      <c r="Q660" s="566"/>
      <c r="R660" s="566"/>
      <c r="S660" s="1085"/>
      <c r="T660" s="566"/>
      <c r="U660" s="566"/>
    </row>
    <row r="661" spans="1:21" ht="19.5" x14ac:dyDescent="0.3">
      <c r="A661" s="764"/>
      <c r="B661" s="718"/>
      <c r="C661" s="718"/>
      <c r="D661" s="987" t="s">
        <v>242</v>
      </c>
      <c r="E661" s="561"/>
      <c r="F661" s="561"/>
      <c r="G661" s="563"/>
      <c r="H661" s="1080" t="s">
        <v>46</v>
      </c>
      <c r="I661" s="1086">
        <f ca="1">IFERROR(__xludf.DUMMYFUNCTION("IMPORTRANGE(""https://docs.google.com/spreadsheets/d/1eHaY18a8A9IcSdp1K8H6x8fbOy06t2VsZHhMHf-1x7Y/edit?usp=sharing"",""แผน!IK23"")"),522)</f>
        <v>522</v>
      </c>
      <c r="J661" s="697">
        <f>J667+J670</f>
        <v>522</v>
      </c>
      <c r="K661" s="679">
        <f ca="1">IF(I661&gt;0,J661*100/I661,0)</f>
        <v>100</v>
      </c>
      <c r="L661" s="574"/>
      <c r="M661" s="566"/>
      <c r="N661" s="1085"/>
      <c r="O661" s="566"/>
      <c r="P661" s="566"/>
      <c r="Q661" s="566"/>
      <c r="R661" s="566"/>
      <c r="S661" s="1085"/>
      <c r="T661" s="566"/>
      <c r="U661" s="566"/>
    </row>
    <row r="662" spans="1:21" ht="18.75" x14ac:dyDescent="0.25">
      <c r="A662" s="764"/>
      <c r="B662" s="718"/>
      <c r="C662" s="718"/>
      <c r="D662" s="561"/>
      <c r="E662" s="573" t="s">
        <v>243</v>
      </c>
      <c r="F662" s="561"/>
      <c r="G662" s="563"/>
      <c r="H662" s="686" t="s">
        <v>34</v>
      </c>
      <c r="I662" s="727"/>
      <c r="J662" s="702">
        <v>0</v>
      </c>
      <c r="K662" s="566"/>
      <c r="L662" s="1087"/>
      <c r="M662" s="566"/>
      <c r="N662" s="1085"/>
      <c r="O662" s="566"/>
      <c r="P662" s="566"/>
      <c r="Q662" s="1085"/>
      <c r="R662" s="566"/>
      <c r="S662" s="1085"/>
      <c r="T662" s="566"/>
      <c r="U662" s="566"/>
    </row>
    <row r="663" spans="1:21" ht="18.75" x14ac:dyDescent="0.25">
      <c r="A663" s="764"/>
      <c r="B663" s="718"/>
      <c r="C663" s="718"/>
      <c r="D663" s="561"/>
      <c r="E663" s="561"/>
      <c r="F663" s="561"/>
      <c r="G663" s="563"/>
      <c r="H663" s="686" t="s">
        <v>46</v>
      </c>
      <c r="I663" s="727"/>
      <c r="J663" s="702">
        <v>0</v>
      </c>
      <c r="K663" s="566"/>
      <c r="L663" s="1087"/>
      <c r="M663" s="566"/>
      <c r="N663" s="1085"/>
      <c r="O663" s="566"/>
      <c r="P663" s="566"/>
      <c r="Q663" s="1085"/>
      <c r="R663" s="566"/>
      <c r="S663" s="1085"/>
      <c r="T663" s="566"/>
      <c r="U663" s="566"/>
    </row>
    <row r="664" spans="1:21" ht="18.75" x14ac:dyDescent="0.25">
      <c r="A664" s="764"/>
      <c r="B664" s="718"/>
      <c r="C664" s="718"/>
      <c r="D664" s="561"/>
      <c r="E664" s="573" t="s">
        <v>244</v>
      </c>
      <c r="F664" s="561"/>
      <c r="G664" s="563"/>
      <c r="H664" s="725"/>
      <c r="I664" s="727"/>
      <c r="J664" s="565"/>
      <c r="K664" s="566"/>
      <c r="L664" s="1087"/>
      <c r="M664" s="566"/>
      <c r="N664" s="1085"/>
      <c r="O664" s="566"/>
      <c r="P664" s="566"/>
      <c r="Q664" s="1085"/>
      <c r="R664" s="566"/>
      <c r="S664" s="1085"/>
      <c r="T664" s="566"/>
      <c r="U664" s="566"/>
    </row>
    <row r="665" spans="1:21" ht="18.75" x14ac:dyDescent="0.25">
      <c r="A665" s="764"/>
      <c r="B665" s="718"/>
      <c r="C665" s="718"/>
      <c r="D665" s="561"/>
      <c r="E665" s="561"/>
      <c r="F665" s="573" t="s">
        <v>245</v>
      </c>
      <c r="G665" s="563"/>
      <c r="H665" s="686" t="s">
        <v>35</v>
      </c>
      <c r="I665" s="727"/>
      <c r="J665" s="702">
        <v>57</v>
      </c>
      <c r="K665" s="566"/>
      <c r="L665" s="1087"/>
      <c r="M665" s="566"/>
      <c r="N665" s="1085"/>
      <c r="O665" s="566"/>
      <c r="P665" s="566"/>
      <c r="Q665" s="1085"/>
      <c r="R665" s="566"/>
      <c r="S665" s="1085"/>
      <c r="T665" s="566"/>
      <c r="U665" s="566"/>
    </row>
    <row r="666" spans="1:21" ht="18.75" x14ac:dyDescent="0.25">
      <c r="A666" s="764"/>
      <c r="B666" s="718"/>
      <c r="C666" s="718"/>
      <c r="D666" s="561"/>
      <c r="E666" s="561"/>
      <c r="F666" s="561"/>
      <c r="G666" s="563"/>
      <c r="H666" s="686" t="s">
        <v>34</v>
      </c>
      <c r="I666" s="727"/>
      <c r="J666" s="702">
        <v>57</v>
      </c>
      <c r="K666" s="566"/>
      <c r="L666" s="1087"/>
      <c r="M666" s="566"/>
      <c r="N666" s="1085"/>
      <c r="O666" s="566"/>
      <c r="P666" s="566"/>
      <c r="Q666" s="1085"/>
      <c r="R666" s="566"/>
      <c r="S666" s="1085"/>
      <c r="T666" s="566"/>
      <c r="U666" s="566"/>
    </row>
    <row r="667" spans="1:21" ht="18.75" x14ac:dyDescent="0.25">
      <c r="A667" s="764"/>
      <c r="B667" s="718"/>
      <c r="C667" s="718"/>
      <c r="D667" s="561"/>
      <c r="E667" s="561"/>
      <c r="F667" s="561"/>
      <c r="G667" s="563"/>
      <c r="H667" s="686" t="s">
        <v>46</v>
      </c>
      <c r="I667" s="727"/>
      <c r="J667" s="702">
        <v>522</v>
      </c>
      <c r="K667" s="566"/>
      <c r="L667" s="1087"/>
      <c r="M667" s="566"/>
      <c r="N667" s="1085"/>
      <c r="O667" s="566"/>
      <c r="P667" s="566"/>
      <c r="Q667" s="1085"/>
      <c r="R667" s="566"/>
      <c r="S667" s="1085"/>
      <c r="T667" s="566"/>
      <c r="U667" s="566"/>
    </row>
    <row r="668" spans="1:21" ht="18.75" x14ac:dyDescent="0.25">
      <c r="A668" s="764"/>
      <c r="B668" s="718"/>
      <c r="C668" s="718"/>
      <c r="D668" s="561"/>
      <c r="E668" s="561"/>
      <c r="F668" s="573" t="s">
        <v>246</v>
      </c>
      <c r="G668" s="563"/>
      <c r="H668" s="686" t="s">
        <v>35</v>
      </c>
      <c r="I668" s="727"/>
      <c r="J668" s="702">
        <v>0</v>
      </c>
      <c r="K668" s="566"/>
      <c r="L668" s="1087"/>
      <c r="M668" s="566"/>
      <c r="N668" s="1085"/>
      <c r="O668" s="566"/>
      <c r="P668" s="566"/>
      <c r="Q668" s="1085"/>
      <c r="R668" s="566"/>
      <c r="S668" s="1085"/>
      <c r="T668" s="566"/>
      <c r="U668" s="566"/>
    </row>
    <row r="669" spans="1:21" ht="18.75" x14ac:dyDescent="0.25">
      <c r="A669" s="764"/>
      <c r="B669" s="718"/>
      <c r="C669" s="718"/>
      <c r="D669" s="561"/>
      <c r="E669" s="561"/>
      <c r="F669" s="561"/>
      <c r="G669" s="563"/>
      <c r="H669" s="686" t="s">
        <v>34</v>
      </c>
      <c r="I669" s="727"/>
      <c r="J669" s="702">
        <v>0</v>
      </c>
      <c r="K669" s="566"/>
      <c r="L669" s="1087"/>
      <c r="M669" s="566"/>
      <c r="N669" s="1085"/>
      <c r="O669" s="566"/>
      <c r="P669" s="566"/>
      <c r="Q669" s="1085"/>
      <c r="R669" s="566"/>
      <c r="S669" s="1085"/>
      <c r="T669" s="566"/>
      <c r="U669" s="566"/>
    </row>
    <row r="670" spans="1:21" ht="18.75" x14ac:dyDescent="0.25">
      <c r="A670" s="764"/>
      <c r="B670" s="718"/>
      <c r="C670" s="718"/>
      <c r="D670" s="561"/>
      <c r="E670" s="561"/>
      <c r="F670" s="561"/>
      <c r="G670" s="563"/>
      <c r="H670" s="686" t="s">
        <v>46</v>
      </c>
      <c r="I670" s="727"/>
      <c r="J670" s="702">
        <v>0</v>
      </c>
      <c r="K670" s="566"/>
      <c r="L670" s="1087"/>
      <c r="M670" s="566"/>
      <c r="N670" s="1085"/>
      <c r="O670" s="566"/>
      <c r="P670" s="566"/>
      <c r="Q670" s="1085"/>
      <c r="R670" s="566"/>
      <c r="S670" s="1085"/>
      <c r="T670" s="566"/>
      <c r="U670" s="566"/>
    </row>
    <row r="671" spans="1:21" ht="18.75" x14ac:dyDescent="0.25">
      <c r="A671" s="764"/>
      <c r="B671" s="718"/>
      <c r="C671" s="718"/>
      <c r="D671" s="573" t="s">
        <v>247</v>
      </c>
      <c r="E671" s="561"/>
      <c r="F671" s="561"/>
      <c r="G671" s="563"/>
      <c r="H671" s="686" t="s">
        <v>35</v>
      </c>
      <c r="I671" s="727"/>
      <c r="J671" s="708">
        <f ca="1">IFERROR(__xludf.DUMMYFUNCTION("IMPORTRANGE(""https://docs.google.com/spreadsheets/d/1tdoBKaGub7dwA3U6UFTqxio9LNnvDCQjHKmttSEBsFQ/edit?usp=sharing"",""จัดที่ดิน!AY23"")"),0)</f>
        <v>0</v>
      </c>
      <c r="K671" s="566"/>
      <c r="L671" s="574"/>
      <c r="M671" s="566"/>
      <c r="N671" s="1085"/>
      <c r="O671" s="566"/>
      <c r="P671" s="566"/>
      <c r="Q671" s="566"/>
      <c r="R671" s="566"/>
      <c r="S671" s="1085"/>
      <c r="T671" s="566"/>
      <c r="U671" s="566"/>
    </row>
    <row r="672" spans="1:21" ht="18.75" x14ac:dyDescent="0.25">
      <c r="A672" s="764"/>
      <c r="B672" s="718"/>
      <c r="C672" s="718"/>
      <c r="D672" s="561"/>
      <c r="E672" s="561"/>
      <c r="F672" s="561"/>
      <c r="G672" s="563"/>
      <c r="H672" s="686" t="s">
        <v>34</v>
      </c>
      <c r="I672" s="727"/>
      <c r="J672" s="708">
        <f ca="1">IFERROR(__xludf.DUMMYFUNCTION("IMPORTRANGE(""https://docs.google.com/spreadsheets/d/1tdoBKaGub7dwA3U6UFTqxio9LNnvDCQjHKmttSEBsFQ/edit?usp=sharing"",""จัดที่ดิน!AZ23"")"),0)</f>
        <v>0</v>
      </c>
      <c r="K672" s="566"/>
      <c r="L672" s="1087"/>
      <c r="M672" s="566"/>
      <c r="N672" s="1085"/>
      <c r="O672" s="566"/>
      <c r="P672" s="566"/>
      <c r="Q672" s="1085"/>
      <c r="R672" s="566"/>
      <c r="S672" s="1085"/>
      <c r="T672" s="566"/>
      <c r="U672" s="566"/>
    </row>
    <row r="673" spans="1:21" ht="18.75" x14ac:dyDescent="0.25">
      <c r="A673" s="764"/>
      <c r="B673" s="718"/>
      <c r="C673" s="718"/>
      <c r="D673" s="561"/>
      <c r="E673" s="561"/>
      <c r="F673" s="561"/>
      <c r="G673" s="563"/>
      <c r="H673" s="686" t="s">
        <v>46</v>
      </c>
      <c r="I673" s="1084">
        <f ca="1">IFERROR(__xludf.DUMMYFUNCTION("IMPORTRANGE(""https://docs.google.com/spreadsheets/d/1eHaY18a8A9IcSdp1K8H6x8fbOy06t2VsZHhMHf-1x7Y/edit?usp=sharing"",""แผน!IL23"")"),0)</f>
        <v>0</v>
      </c>
      <c r="J673" s="708">
        <f ca="1">IFERROR(__xludf.DUMMYFUNCTION("IMPORTRANGE(""https://docs.google.com/spreadsheets/d/1tdoBKaGub7dwA3U6UFTqxio9LNnvDCQjHKmttSEBsFQ/edit?usp=sharing"",""จัดที่ดิน!BA23"")"),0)</f>
        <v>0</v>
      </c>
      <c r="K673" s="568">
        <f t="shared" ref="K673:K676" ca="1" si="408">IF(I673&gt;0,J673*100/I673,0)</f>
        <v>0</v>
      </c>
      <c r="L673" s="1087"/>
      <c r="M673" s="566"/>
      <c r="N673" s="1085"/>
      <c r="O673" s="566"/>
      <c r="P673" s="566"/>
      <c r="Q673" s="1085"/>
      <c r="R673" s="566"/>
      <c r="S673" s="1085"/>
      <c r="T673" s="566"/>
      <c r="U673" s="566"/>
    </row>
    <row r="674" spans="1:21" ht="19.5" x14ac:dyDescent="0.3">
      <c r="A674" s="764"/>
      <c r="B674" s="718"/>
      <c r="C674" s="718"/>
      <c r="D674" s="573" t="s">
        <v>248</v>
      </c>
      <c r="E674" s="561"/>
      <c r="F674" s="561"/>
      <c r="G674" s="563"/>
      <c r="H674" s="1080" t="s">
        <v>35</v>
      </c>
      <c r="I674" s="1086">
        <f ca="1">IFERROR(__xludf.DUMMYFUNCTION("IMPORTRANGE(""https://docs.google.com/spreadsheets/d/1eHaY18a8A9IcSdp1K8H6x8fbOy06t2VsZHhMHf-1x7Y/edit?usp=sharing"",""แผน!IM23"")"),2)</f>
        <v>2</v>
      </c>
      <c r="J674" s="697">
        <f ca="1">J676+J679</f>
        <v>0</v>
      </c>
      <c r="K674" s="679">
        <f t="shared" ca="1" si="408"/>
        <v>0</v>
      </c>
      <c r="L674" s="1087"/>
      <c r="M674" s="566"/>
      <c r="N674" s="1085"/>
      <c r="O674" s="566"/>
      <c r="P674" s="566"/>
      <c r="Q674" s="1085"/>
      <c r="R674" s="566"/>
      <c r="S674" s="1085"/>
      <c r="T674" s="566"/>
      <c r="U674" s="566"/>
    </row>
    <row r="675" spans="1:21" ht="19.5" x14ac:dyDescent="0.3">
      <c r="A675" s="764"/>
      <c r="B675" s="718"/>
      <c r="C675" s="718"/>
      <c r="D675" s="561"/>
      <c r="E675" s="561"/>
      <c r="F675" s="561"/>
      <c r="G675" s="563"/>
      <c r="H675" s="1080" t="s">
        <v>46</v>
      </c>
      <c r="I675" s="1086">
        <f ca="1">IFERROR(__xludf.DUMMYFUNCTION("IMPORTRANGE(""https://docs.google.com/spreadsheets/d/1eHaY18a8A9IcSdp1K8H6x8fbOy06t2VsZHhMHf-1x7Y/edit?usp=sharing"",""แผน!IN23"")"),18)</f>
        <v>18</v>
      </c>
      <c r="J675" s="697">
        <f ca="1">J678+J681</f>
        <v>0</v>
      </c>
      <c r="K675" s="679">
        <f t="shared" ca="1" si="408"/>
        <v>0</v>
      </c>
      <c r="L675" s="574"/>
      <c r="M675" s="566"/>
      <c r="N675" s="1085"/>
      <c r="O675" s="566"/>
      <c r="P675" s="566"/>
      <c r="Q675" s="566"/>
      <c r="R675" s="566"/>
      <c r="S675" s="1085"/>
      <c r="T675" s="566"/>
      <c r="U675" s="566"/>
    </row>
    <row r="676" spans="1:21" ht="18.75" x14ac:dyDescent="0.25">
      <c r="A676" s="764"/>
      <c r="B676" s="718"/>
      <c r="C676" s="718"/>
      <c r="D676" s="561"/>
      <c r="E676" s="573" t="s">
        <v>249</v>
      </c>
      <c r="F676" s="561"/>
      <c r="G676" s="563"/>
      <c r="H676" s="686" t="s">
        <v>35</v>
      </c>
      <c r="I676" s="1084">
        <f ca="1">IFERROR(__xludf.DUMMYFUNCTION("IMPORTRANGE(""https://docs.google.com/spreadsheets/d/1eHaY18a8A9IcSdp1K8H6x8fbOy06t2VsZHhMHf-1x7Y/edit?usp=sharing"",""แผน!IO23"")"),2)</f>
        <v>2</v>
      </c>
      <c r="J676" s="708">
        <f ca="1">IFERROR(__xludf.DUMMYFUNCTION("IMPORTRANGE(""https://docs.google.com/spreadsheets/d/1tdoBKaGub7dwA3U6UFTqxio9LNnvDCQjHKmttSEBsFQ/edit?usp=sharing"",""จัดที่ดิน!BF23"")"),0)</f>
        <v>0</v>
      </c>
      <c r="K676" s="568">
        <f t="shared" ca="1" si="408"/>
        <v>0</v>
      </c>
      <c r="L676" s="574"/>
      <c r="M676" s="566"/>
      <c r="N676" s="1085"/>
      <c r="O676" s="566"/>
      <c r="P676" s="566"/>
      <c r="Q676" s="566"/>
      <c r="R676" s="566"/>
      <c r="S676" s="1085"/>
      <c r="T676" s="566"/>
      <c r="U676" s="566"/>
    </row>
    <row r="677" spans="1:21" ht="18.75" x14ac:dyDescent="0.25">
      <c r="A677" s="764"/>
      <c r="B677" s="718"/>
      <c r="C677" s="718"/>
      <c r="D677" s="561"/>
      <c r="E677" s="561"/>
      <c r="F677" s="561"/>
      <c r="G677" s="563"/>
      <c r="H677" s="686" t="s">
        <v>34</v>
      </c>
      <c r="I677" s="727"/>
      <c r="J677" s="708">
        <f ca="1">IFERROR(__xludf.DUMMYFUNCTION("IMPORTRANGE(""https://docs.google.com/spreadsheets/d/1tdoBKaGub7dwA3U6UFTqxio9LNnvDCQjHKmttSEBsFQ/edit?usp=sharing"",""จัดที่ดิน!BG23"")"),0)</f>
        <v>0</v>
      </c>
      <c r="K677" s="566"/>
      <c r="L677" s="1087"/>
      <c r="M677" s="566"/>
      <c r="N677" s="1085"/>
      <c r="O677" s="566"/>
      <c r="P677" s="566"/>
      <c r="Q677" s="1085"/>
      <c r="R677" s="566"/>
      <c r="S677" s="1085"/>
      <c r="T677" s="566"/>
      <c r="U677" s="566"/>
    </row>
    <row r="678" spans="1:21" ht="18.75" x14ac:dyDescent="0.25">
      <c r="A678" s="764"/>
      <c r="B678" s="718"/>
      <c r="C678" s="718"/>
      <c r="D678" s="561"/>
      <c r="E678" s="561"/>
      <c r="F678" s="561"/>
      <c r="G678" s="563"/>
      <c r="H678" s="686" t="s">
        <v>46</v>
      </c>
      <c r="I678" s="1084">
        <f ca="1">IFERROR(__xludf.DUMMYFUNCTION("IMPORTRANGE(""https://docs.google.com/spreadsheets/d/1eHaY18a8A9IcSdp1K8H6x8fbOy06t2VsZHhMHf-1x7Y/edit?usp=sharing"",""แผน!IP23"")"),18)</f>
        <v>18</v>
      </c>
      <c r="J678" s="708">
        <f ca="1">IFERROR(__xludf.DUMMYFUNCTION("IMPORTRANGE(""https://docs.google.com/spreadsheets/d/1tdoBKaGub7dwA3U6UFTqxio9LNnvDCQjHKmttSEBsFQ/edit?usp=sharing"",""จัดที่ดิน!BH23"")"),0)</f>
        <v>0</v>
      </c>
      <c r="K678" s="568">
        <f t="shared" ref="K678:K679" ca="1" si="409">IF(I678&gt;0,J678*100/I678,0)</f>
        <v>0</v>
      </c>
      <c r="L678" s="1087"/>
      <c r="M678" s="566"/>
      <c r="N678" s="1085"/>
      <c r="O678" s="566"/>
      <c r="P678" s="566"/>
      <c r="Q678" s="1085"/>
      <c r="R678" s="566"/>
      <c r="S678" s="1085"/>
      <c r="T678" s="566"/>
      <c r="U678" s="566"/>
    </row>
    <row r="679" spans="1:21" ht="18.75" x14ac:dyDescent="0.25">
      <c r="A679" s="764"/>
      <c r="B679" s="718"/>
      <c r="C679" s="718"/>
      <c r="D679" s="561"/>
      <c r="E679" s="573" t="s">
        <v>250</v>
      </c>
      <c r="F679" s="561"/>
      <c r="G679" s="563"/>
      <c r="H679" s="686" t="s">
        <v>35</v>
      </c>
      <c r="I679" s="1084">
        <f ca="1">IFERROR(__xludf.DUMMYFUNCTION("IMPORTRANGE(""https://docs.google.com/spreadsheets/d/1eHaY18a8A9IcSdp1K8H6x8fbOy06t2VsZHhMHf-1x7Y/edit?usp=sharing"",""แผน!IQ23"")"),0)</f>
        <v>0</v>
      </c>
      <c r="J679" s="708">
        <f ca="1">IFERROR(__xludf.DUMMYFUNCTION("IMPORTRANGE(""https://docs.google.com/spreadsheets/d/1tdoBKaGub7dwA3U6UFTqxio9LNnvDCQjHKmttSEBsFQ/edit?usp=sharing"",""จัดที่ดิน!BK23"")"),0)</f>
        <v>0</v>
      </c>
      <c r="K679" s="568">
        <f t="shared" ca="1" si="409"/>
        <v>0</v>
      </c>
      <c r="L679" s="574"/>
      <c r="M679" s="566"/>
      <c r="N679" s="1085"/>
      <c r="O679" s="566"/>
      <c r="P679" s="566"/>
      <c r="Q679" s="566"/>
      <c r="R679" s="566"/>
      <c r="S679" s="1085"/>
      <c r="T679" s="566"/>
      <c r="U679" s="566"/>
    </row>
    <row r="680" spans="1:21" ht="18.75" x14ac:dyDescent="0.25">
      <c r="A680" s="764"/>
      <c r="B680" s="718"/>
      <c r="C680" s="718"/>
      <c r="D680" s="561"/>
      <c r="E680" s="561"/>
      <c r="F680" s="561"/>
      <c r="G680" s="563"/>
      <c r="H680" s="686" t="s">
        <v>34</v>
      </c>
      <c r="I680" s="727"/>
      <c r="J680" s="708">
        <f ca="1">IFERROR(__xludf.DUMMYFUNCTION("IMPORTRANGE(""https://docs.google.com/spreadsheets/d/1tdoBKaGub7dwA3U6UFTqxio9LNnvDCQjHKmttSEBsFQ/edit?usp=sharing"",""จัดที่ดิน!BL23"")"),0)</f>
        <v>0</v>
      </c>
      <c r="K680" s="566"/>
      <c r="L680" s="1087"/>
      <c r="M680" s="566"/>
      <c r="N680" s="1085"/>
      <c r="O680" s="566"/>
      <c r="P680" s="566"/>
      <c r="Q680" s="1085"/>
      <c r="R680" s="566"/>
      <c r="S680" s="1085"/>
      <c r="T680" s="566"/>
      <c r="U680" s="566"/>
    </row>
    <row r="681" spans="1:21" ht="18.75" x14ac:dyDescent="0.25">
      <c r="A681" s="764"/>
      <c r="B681" s="718"/>
      <c r="C681" s="718"/>
      <c r="D681" s="561"/>
      <c r="E681" s="561"/>
      <c r="F681" s="561"/>
      <c r="G681" s="563"/>
      <c r="H681" s="686" t="s">
        <v>46</v>
      </c>
      <c r="I681" s="1084">
        <f ca="1">IFERROR(__xludf.DUMMYFUNCTION("IMPORTRANGE(""https://docs.google.com/spreadsheets/d/1eHaY18a8A9IcSdp1K8H6x8fbOy06t2VsZHhMHf-1x7Y/edit?usp=sharing"",""แผน!IR23"")"),0)</f>
        <v>0</v>
      </c>
      <c r="J681" s="708">
        <f ca="1">IFERROR(__xludf.DUMMYFUNCTION("IMPORTRANGE(""https://docs.google.com/spreadsheets/d/1tdoBKaGub7dwA3U6UFTqxio9LNnvDCQjHKmttSEBsFQ/edit?usp=sharing"",""จัดที่ดิน!BM23"")"),0)</f>
        <v>0</v>
      </c>
      <c r="K681" s="568">
        <f t="shared" ref="K681:K682" ca="1" si="410">IF(I681&gt;0,J681*100/I681,0)</f>
        <v>0</v>
      </c>
      <c r="L681" s="1087"/>
      <c r="M681" s="566"/>
      <c r="N681" s="1085"/>
      <c r="O681" s="566"/>
      <c r="P681" s="566"/>
      <c r="Q681" s="1085"/>
      <c r="R681" s="566"/>
      <c r="S681" s="1085"/>
      <c r="T681" s="566"/>
      <c r="U681" s="566"/>
    </row>
    <row r="682" spans="1:21" ht="19.5" x14ac:dyDescent="0.3">
      <c r="A682" s="764"/>
      <c r="B682" s="718"/>
      <c r="C682" s="718"/>
      <c r="D682" s="573" t="s">
        <v>251</v>
      </c>
      <c r="E682" s="561"/>
      <c r="F682" s="561"/>
      <c r="G682" s="563"/>
      <c r="H682" s="1080" t="s">
        <v>46</v>
      </c>
      <c r="I682" s="1086">
        <f ca="1">IFERROR(__xludf.DUMMYFUNCTION("IMPORTRANGE(""https://docs.google.com/spreadsheets/d/1eHaY18a8A9IcSdp1K8H6x8fbOy06t2VsZHhMHf-1x7Y/edit?usp=sharing"",""แผน!IS23"")"),0)</f>
        <v>0</v>
      </c>
      <c r="J682" s="697">
        <f>J685+J688</f>
        <v>0</v>
      </c>
      <c r="K682" s="679">
        <f t="shared" ca="1" si="410"/>
        <v>0</v>
      </c>
      <c r="L682" s="574"/>
      <c r="M682" s="566"/>
      <c r="N682" s="1085"/>
      <c r="O682" s="566"/>
      <c r="P682" s="566"/>
      <c r="Q682" s="566"/>
      <c r="R682" s="566"/>
      <c r="S682" s="1085"/>
      <c r="T682" s="566"/>
      <c r="U682" s="566"/>
    </row>
    <row r="683" spans="1:21" ht="18.75" x14ac:dyDescent="0.25">
      <c r="A683" s="764"/>
      <c r="B683" s="718"/>
      <c r="C683" s="718"/>
      <c r="D683" s="561"/>
      <c r="E683" s="573" t="s">
        <v>252</v>
      </c>
      <c r="F683" s="561"/>
      <c r="G683" s="563"/>
      <c r="H683" s="686" t="s">
        <v>35</v>
      </c>
      <c r="I683" s="727"/>
      <c r="J683" s="702">
        <v>0</v>
      </c>
      <c r="K683" s="566"/>
      <c r="L683" s="1087"/>
      <c r="M683" s="566"/>
      <c r="N683" s="1085"/>
      <c r="O683" s="566"/>
      <c r="P683" s="566"/>
      <c r="Q683" s="1085"/>
      <c r="R683" s="566"/>
      <c r="S683" s="1085"/>
      <c r="T683" s="566"/>
      <c r="U683" s="566"/>
    </row>
    <row r="684" spans="1:21" ht="18.75" x14ac:dyDescent="0.25">
      <c r="A684" s="764"/>
      <c r="B684" s="718"/>
      <c r="C684" s="718"/>
      <c r="D684" s="561"/>
      <c r="E684" s="561"/>
      <c r="F684" s="561"/>
      <c r="G684" s="563"/>
      <c r="H684" s="686" t="s">
        <v>34</v>
      </c>
      <c r="I684" s="727"/>
      <c r="J684" s="702">
        <v>0</v>
      </c>
      <c r="K684" s="566"/>
      <c r="L684" s="1087"/>
      <c r="M684" s="566"/>
      <c r="N684" s="1085"/>
      <c r="O684" s="566"/>
      <c r="P684" s="566"/>
      <c r="Q684" s="1085"/>
      <c r="R684" s="566"/>
      <c r="S684" s="1085"/>
      <c r="T684" s="566"/>
      <c r="U684" s="566"/>
    </row>
    <row r="685" spans="1:21" ht="18.75" x14ac:dyDescent="0.25">
      <c r="A685" s="764"/>
      <c r="B685" s="718"/>
      <c r="C685" s="718"/>
      <c r="D685" s="561"/>
      <c r="E685" s="561"/>
      <c r="F685" s="561"/>
      <c r="G685" s="563"/>
      <c r="H685" s="686" t="s">
        <v>46</v>
      </c>
      <c r="I685" s="727"/>
      <c r="J685" s="702">
        <v>0</v>
      </c>
      <c r="K685" s="566"/>
      <c r="L685" s="1087"/>
      <c r="M685" s="566"/>
      <c r="N685" s="1085"/>
      <c r="O685" s="566"/>
      <c r="P685" s="566"/>
      <c r="Q685" s="1085"/>
      <c r="R685" s="566"/>
      <c r="S685" s="1085"/>
      <c r="T685" s="566"/>
      <c r="U685" s="566"/>
    </row>
    <row r="686" spans="1:21" ht="18.75" x14ac:dyDescent="0.25">
      <c r="A686" s="764"/>
      <c r="B686" s="718"/>
      <c r="C686" s="718"/>
      <c r="D686" s="561"/>
      <c r="E686" s="573" t="s">
        <v>253</v>
      </c>
      <c r="F686" s="561"/>
      <c r="G686" s="563"/>
      <c r="H686" s="686" t="s">
        <v>35</v>
      </c>
      <c r="I686" s="727"/>
      <c r="J686" s="702">
        <v>0</v>
      </c>
      <c r="K686" s="566"/>
      <c r="L686" s="1087"/>
      <c r="M686" s="566"/>
      <c r="N686" s="1085"/>
      <c r="O686" s="566"/>
      <c r="P686" s="566"/>
      <c r="Q686" s="1085"/>
      <c r="R686" s="566"/>
      <c r="S686" s="1085"/>
      <c r="T686" s="566"/>
      <c r="U686" s="566"/>
    </row>
    <row r="687" spans="1:21" ht="18.75" x14ac:dyDescent="0.25">
      <c r="A687" s="764"/>
      <c r="B687" s="718"/>
      <c r="C687" s="718"/>
      <c r="D687" s="561"/>
      <c r="E687" s="561"/>
      <c r="F687" s="561"/>
      <c r="G687" s="563"/>
      <c r="H687" s="686" t="s">
        <v>34</v>
      </c>
      <c r="I687" s="727"/>
      <c r="J687" s="702">
        <v>0</v>
      </c>
      <c r="K687" s="566"/>
      <c r="L687" s="1087"/>
      <c r="M687" s="566"/>
      <c r="N687" s="1085"/>
      <c r="O687" s="566"/>
      <c r="P687" s="566"/>
      <c r="Q687" s="1085"/>
      <c r="R687" s="566"/>
      <c r="S687" s="1085"/>
      <c r="T687" s="566"/>
      <c r="U687" s="566"/>
    </row>
    <row r="688" spans="1:21" ht="19.5" x14ac:dyDescent="0.3">
      <c r="A688" s="863"/>
      <c r="B688" s="1088" t="s">
        <v>254</v>
      </c>
      <c r="C688" s="864"/>
      <c r="D688" s="512"/>
      <c r="E688" s="512"/>
      <c r="F688" s="512"/>
      <c r="G688" s="866"/>
      <c r="H688" s="1089" t="s">
        <v>46</v>
      </c>
      <c r="I688" s="985"/>
      <c r="J688" s="990">
        <v>0</v>
      </c>
      <c r="K688" s="580"/>
      <c r="L688" s="1090"/>
      <c r="M688" s="580"/>
      <c r="N688" s="1091"/>
      <c r="O688" s="580"/>
      <c r="P688" s="580"/>
      <c r="Q688" s="1091"/>
      <c r="R688" s="580"/>
      <c r="S688" s="1091"/>
      <c r="T688" s="580"/>
      <c r="U688" s="580"/>
    </row>
    <row r="689" spans="1:21" ht="19.5" x14ac:dyDescent="0.3">
      <c r="A689" s="1061"/>
      <c r="B689" s="1062" t="s">
        <v>255</v>
      </c>
      <c r="C689" s="1061"/>
      <c r="D689" s="1063"/>
      <c r="E689" s="1063"/>
      <c r="F689" s="1063"/>
      <c r="G689" s="1064"/>
      <c r="H689" s="1092" t="s">
        <v>35</v>
      </c>
      <c r="I689" s="1093">
        <f t="shared" ref="I689:J689" ca="1" si="411">I707</f>
        <v>200</v>
      </c>
      <c r="J689" s="1093">
        <f t="shared" ca="1" si="411"/>
        <v>0</v>
      </c>
      <c r="K689" s="1094">
        <f ca="1">IF(I689&gt;0,J689*100/I689,0)</f>
        <v>0</v>
      </c>
      <c r="L689" s="1068"/>
      <c r="M689" s="1067"/>
      <c r="N689" s="1067"/>
      <c r="O689" s="1067"/>
      <c r="P689" s="1067"/>
      <c r="Q689" s="1067"/>
      <c r="R689" s="1067"/>
      <c r="S689" s="1067"/>
      <c r="T689" s="1067"/>
      <c r="U689" s="1067"/>
    </row>
    <row r="690" spans="1:21" ht="19.5" x14ac:dyDescent="0.3">
      <c r="A690" s="674"/>
      <c r="B690" s="718"/>
      <c r="C690" s="724" t="s">
        <v>18</v>
      </c>
      <c r="D690" s="1310" t="s">
        <v>19</v>
      </c>
      <c r="E690" s="1311"/>
      <c r="F690" s="1311"/>
      <c r="G690" s="1312"/>
      <c r="H690" s="780" t="s">
        <v>14</v>
      </c>
      <c r="I690" s="565"/>
      <c r="J690" s="565"/>
      <c r="K690" s="566"/>
      <c r="L690" s="678">
        <f t="shared" ref="L690:N690" si="412">L691+L692</f>
        <v>0</v>
      </c>
      <c r="M690" s="679">
        <f t="shared" si="412"/>
        <v>0</v>
      </c>
      <c r="N690" s="679">
        <f t="shared" si="412"/>
        <v>0</v>
      </c>
      <c r="O690" s="679">
        <f t="shared" ref="O690:O698" si="413">IF(L690&gt;0,N690*100/L690,0)</f>
        <v>0</v>
      </c>
      <c r="P690" s="679">
        <f t="shared" ref="P690:P698" si="414">IF(M690&gt;0,N690*100/M690,0)</f>
        <v>0</v>
      </c>
      <c r="Q690" s="679">
        <f t="shared" ref="Q690:S690" ca="1" si="415">Q691+Q692</f>
        <v>324340</v>
      </c>
      <c r="R690" s="679">
        <f t="shared" ca="1" si="415"/>
        <v>324340</v>
      </c>
      <c r="S690" s="679">
        <f t="shared" ca="1" si="415"/>
        <v>140730</v>
      </c>
      <c r="T690" s="679">
        <f t="shared" ref="T690:T698" ca="1" si="416">IF(Q690&gt;0,S690*100/Q690,0)</f>
        <v>43.389652833446384</v>
      </c>
      <c r="U690" s="679">
        <f t="shared" ref="U690:U698" ca="1" si="417">IF(R690&gt;0,S690*100/R690,0)</f>
        <v>43.389652833446384</v>
      </c>
    </row>
    <row r="691" spans="1:21" ht="18.75" x14ac:dyDescent="0.25">
      <c r="A691" s="674"/>
      <c r="B691" s="718"/>
      <c r="C691" s="718"/>
      <c r="D691" s="695"/>
      <c r="E691" s="569" t="s">
        <v>158</v>
      </c>
      <c r="F691" s="561"/>
      <c r="G691" s="563"/>
      <c r="H691" s="685" t="s">
        <v>14</v>
      </c>
      <c r="I691" s="565"/>
      <c r="J691" s="565"/>
      <c r="K691" s="566"/>
      <c r="L691" s="571">
        <f t="shared" ref="L691:N692" si="418">L694+L697</f>
        <v>0</v>
      </c>
      <c r="M691" s="572">
        <f t="shared" si="418"/>
        <v>0</v>
      </c>
      <c r="N691" s="572">
        <f t="shared" si="418"/>
        <v>0</v>
      </c>
      <c r="O691" s="572">
        <f t="shared" si="413"/>
        <v>0</v>
      </c>
      <c r="P691" s="572">
        <f t="shared" si="414"/>
        <v>0</v>
      </c>
      <c r="Q691" s="572">
        <f t="shared" ref="Q691:S692" si="419">Q694+Q697</f>
        <v>0</v>
      </c>
      <c r="R691" s="572">
        <f t="shared" si="419"/>
        <v>0</v>
      </c>
      <c r="S691" s="572">
        <f t="shared" si="419"/>
        <v>0</v>
      </c>
      <c r="T691" s="572">
        <f t="shared" si="416"/>
        <v>0</v>
      </c>
      <c r="U691" s="572">
        <f t="shared" si="417"/>
        <v>0</v>
      </c>
    </row>
    <row r="692" spans="1:21" ht="18.75" x14ac:dyDescent="0.25">
      <c r="A692" s="674"/>
      <c r="B692" s="718"/>
      <c r="C692" s="718"/>
      <c r="D692" s="695"/>
      <c r="E692" s="573" t="s">
        <v>159</v>
      </c>
      <c r="F692" s="561"/>
      <c r="G692" s="563"/>
      <c r="H692" s="682" t="s">
        <v>14</v>
      </c>
      <c r="I692" s="565"/>
      <c r="J692" s="565"/>
      <c r="K692" s="566"/>
      <c r="L692" s="567">
        <f t="shared" si="418"/>
        <v>0</v>
      </c>
      <c r="M692" s="568">
        <f t="shared" si="418"/>
        <v>0</v>
      </c>
      <c r="N692" s="568">
        <f t="shared" si="418"/>
        <v>0</v>
      </c>
      <c r="O692" s="568">
        <f t="shared" si="413"/>
        <v>0</v>
      </c>
      <c r="P692" s="568">
        <f t="shared" si="414"/>
        <v>0</v>
      </c>
      <c r="Q692" s="568">
        <f t="shared" ca="1" si="419"/>
        <v>324340</v>
      </c>
      <c r="R692" s="568">
        <f t="shared" ca="1" si="419"/>
        <v>324340</v>
      </c>
      <c r="S692" s="568">
        <f t="shared" ca="1" si="419"/>
        <v>140730</v>
      </c>
      <c r="T692" s="568">
        <f t="shared" ca="1" si="416"/>
        <v>43.389652833446384</v>
      </c>
      <c r="U692" s="568">
        <f t="shared" ca="1" si="417"/>
        <v>43.389652833446384</v>
      </c>
    </row>
    <row r="693" spans="1:21" ht="18.75" x14ac:dyDescent="0.25">
      <c r="A693" s="674"/>
      <c r="B693" s="718"/>
      <c r="C693" s="718"/>
      <c r="D693" s="562" t="s">
        <v>22</v>
      </c>
      <c r="E693" s="561"/>
      <c r="F693" s="561"/>
      <c r="G693" s="563"/>
      <c r="H693" s="682" t="s">
        <v>14</v>
      </c>
      <c r="I693" s="683"/>
      <c r="J693" s="683"/>
      <c r="K693" s="684"/>
      <c r="L693" s="567">
        <f t="shared" ref="L693:N693" si="420">L694+L695</f>
        <v>0</v>
      </c>
      <c r="M693" s="568">
        <f t="shared" si="420"/>
        <v>0</v>
      </c>
      <c r="N693" s="568">
        <f t="shared" si="420"/>
        <v>0</v>
      </c>
      <c r="O693" s="568">
        <f t="shared" si="413"/>
        <v>0</v>
      </c>
      <c r="P693" s="568">
        <f t="shared" si="414"/>
        <v>0</v>
      </c>
      <c r="Q693" s="568">
        <f t="shared" ref="Q693:S693" ca="1" si="421">Q694+Q695</f>
        <v>324340</v>
      </c>
      <c r="R693" s="568">
        <f t="shared" ca="1" si="421"/>
        <v>324340</v>
      </c>
      <c r="S693" s="568">
        <f t="shared" ca="1" si="421"/>
        <v>140730</v>
      </c>
      <c r="T693" s="568">
        <f t="shared" ca="1" si="416"/>
        <v>43.389652833446384</v>
      </c>
      <c r="U693" s="568">
        <f t="shared" ca="1" si="417"/>
        <v>43.389652833446384</v>
      </c>
    </row>
    <row r="694" spans="1:21" ht="18.75" x14ac:dyDescent="0.25">
      <c r="A694" s="674"/>
      <c r="B694" s="718"/>
      <c r="C694" s="718"/>
      <c r="D694" s="695"/>
      <c r="E694" s="569" t="s">
        <v>158</v>
      </c>
      <c r="F694" s="561"/>
      <c r="G694" s="563"/>
      <c r="H694" s="685" t="s">
        <v>14</v>
      </c>
      <c r="I694" s="565"/>
      <c r="J694" s="565"/>
      <c r="K694" s="566"/>
      <c r="L694" s="571">
        <v>0</v>
      </c>
      <c r="M694" s="572">
        <v>0</v>
      </c>
      <c r="N694" s="572">
        <v>0</v>
      </c>
      <c r="O694" s="572">
        <f t="shared" si="413"/>
        <v>0</v>
      </c>
      <c r="P694" s="572">
        <f t="shared" si="414"/>
        <v>0</v>
      </c>
      <c r="Q694" s="572">
        <v>0</v>
      </c>
      <c r="R694" s="572">
        <v>0</v>
      </c>
      <c r="S694" s="572">
        <v>0</v>
      </c>
      <c r="T694" s="572">
        <f t="shared" si="416"/>
        <v>0</v>
      </c>
      <c r="U694" s="572">
        <f t="shared" si="417"/>
        <v>0</v>
      </c>
    </row>
    <row r="695" spans="1:21" ht="18.75" x14ac:dyDescent="0.25">
      <c r="A695" s="674"/>
      <c r="B695" s="718"/>
      <c r="C695" s="718"/>
      <c r="D695" s="695"/>
      <c r="E695" s="573" t="s">
        <v>159</v>
      </c>
      <c r="F695" s="561"/>
      <c r="G695" s="563"/>
      <c r="H695" s="682" t="s">
        <v>14</v>
      </c>
      <c r="I695" s="565"/>
      <c r="J695" s="565"/>
      <c r="K695" s="566"/>
      <c r="L695" s="567">
        <v>0</v>
      </c>
      <c r="M695" s="568">
        <v>0</v>
      </c>
      <c r="N695" s="568">
        <v>0</v>
      </c>
      <c r="O695" s="568">
        <f t="shared" si="413"/>
        <v>0</v>
      </c>
      <c r="P695" s="568">
        <f t="shared" si="414"/>
        <v>0</v>
      </c>
      <c r="Q695" s="568">
        <f ca="1">IFERROR(__xludf.DUMMYFUNCTION("IMPORTRANGE(""https://docs.google.com/spreadsheets/d/1ItG2mGa2ceCfYo0BwxsXqNm01IGEUdYcSSLTEv9YCik/edit?usp=sharing"",""เบิกจ่ายกองทุน!L23"")"),324340)</f>
        <v>324340</v>
      </c>
      <c r="R695" s="568">
        <f ca="1">IFERROR(__xludf.DUMMYFUNCTION("IMPORTRANGE(""https://docs.google.com/spreadsheets/d/1ItG2mGa2ceCfYo0BwxsXqNm01IGEUdYcSSLTEv9YCik/edit?usp=sharing"",""เบิกจ่ายกองทุน!M23"")"),324340)</f>
        <v>324340</v>
      </c>
      <c r="S695" s="568">
        <f ca="1">IFERROR(__xludf.DUMMYFUNCTION("IMPORTRANGE(""https://docs.google.com/spreadsheets/d/1ItG2mGa2ceCfYo0BwxsXqNm01IGEUdYcSSLTEv9YCik/edit?usp=sharing"",""เบิกจ่ายกองทุน!N23"")"),140730)</f>
        <v>140730</v>
      </c>
      <c r="T695" s="568">
        <f t="shared" ca="1" si="416"/>
        <v>43.389652833446384</v>
      </c>
      <c r="U695" s="568">
        <f t="shared" ca="1" si="417"/>
        <v>43.389652833446384</v>
      </c>
    </row>
    <row r="696" spans="1:21" ht="18.75" x14ac:dyDescent="0.25">
      <c r="A696" s="674"/>
      <c r="B696" s="718"/>
      <c r="C696" s="718"/>
      <c r="D696" s="562" t="s">
        <v>23</v>
      </c>
      <c r="E696" s="561"/>
      <c r="F696" s="561"/>
      <c r="G696" s="563"/>
      <c r="H696" s="686" t="s">
        <v>14</v>
      </c>
      <c r="I696" s="683"/>
      <c r="J696" s="683"/>
      <c r="K696" s="684"/>
      <c r="L696" s="567">
        <f t="shared" ref="L696:N696" si="422">L697+L698</f>
        <v>0</v>
      </c>
      <c r="M696" s="568">
        <f t="shared" si="422"/>
        <v>0</v>
      </c>
      <c r="N696" s="568">
        <f t="shared" si="422"/>
        <v>0</v>
      </c>
      <c r="O696" s="568">
        <f t="shared" si="413"/>
        <v>0</v>
      </c>
      <c r="P696" s="568">
        <f t="shared" si="414"/>
        <v>0</v>
      </c>
      <c r="Q696" s="568">
        <f t="shared" ref="Q696:S696" si="423">Q697+Q698</f>
        <v>0</v>
      </c>
      <c r="R696" s="568">
        <f t="shared" si="423"/>
        <v>0</v>
      </c>
      <c r="S696" s="568">
        <f t="shared" si="423"/>
        <v>0</v>
      </c>
      <c r="T696" s="568">
        <f t="shared" si="416"/>
        <v>0</v>
      </c>
      <c r="U696" s="568">
        <f t="shared" si="417"/>
        <v>0</v>
      </c>
    </row>
    <row r="697" spans="1:21" ht="18.75" x14ac:dyDescent="0.25">
      <c r="A697" s="674"/>
      <c r="B697" s="718"/>
      <c r="C697" s="718"/>
      <c r="D697" s="561"/>
      <c r="E697" s="569" t="s">
        <v>20</v>
      </c>
      <c r="F697" s="561"/>
      <c r="G697" s="563"/>
      <c r="H697" s="685" t="s">
        <v>14</v>
      </c>
      <c r="I697" s="683"/>
      <c r="J697" s="683"/>
      <c r="K697" s="684"/>
      <c r="L697" s="571">
        <v>0</v>
      </c>
      <c r="M697" s="572">
        <v>0</v>
      </c>
      <c r="N697" s="572">
        <v>0</v>
      </c>
      <c r="O697" s="572">
        <f t="shared" si="413"/>
        <v>0</v>
      </c>
      <c r="P697" s="572">
        <f t="shared" si="414"/>
        <v>0</v>
      </c>
      <c r="Q697" s="572">
        <v>0</v>
      </c>
      <c r="R697" s="572">
        <v>0</v>
      </c>
      <c r="S697" s="572">
        <v>0</v>
      </c>
      <c r="T697" s="572">
        <f t="shared" si="416"/>
        <v>0</v>
      </c>
      <c r="U697" s="572">
        <f t="shared" si="417"/>
        <v>0</v>
      </c>
    </row>
    <row r="698" spans="1:21" ht="18.75" x14ac:dyDescent="0.25">
      <c r="A698" s="674"/>
      <c r="B698" s="718"/>
      <c r="C698" s="718"/>
      <c r="D698" s="561"/>
      <c r="E698" s="573" t="s">
        <v>21</v>
      </c>
      <c r="F698" s="561"/>
      <c r="G698" s="563"/>
      <c r="H698" s="686" t="s">
        <v>14</v>
      </c>
      <c r="I698" s="683"/>
      <c r="J698" s="683"/>
      <c r="K698" s="684"/>
      <c r="L698" s="567">
        <v>0</v>
      </c>
      <c r="M698" s="568">
        <v>0</v>
      </c>
      <c r="N698" s="568">
        <v>0</v>
      </c>
      <c r="O698" s="568">
        <f t="shared" si="413"/>
        <v>0</v>
      </c>
      <c r="P698" s="568">
        <f t="shared" si="414"/>
        <v>0</v>
      </c>
      <c r="Q698" s="568">
        <v>0</v>
      </c>
      <c r="R698" s="568">
        <v>0</v>
      </c>
      <c r="S698" s="568">
        <v>0</v>
      </c>
      <c r="T698" s="568">
        <f t="shared" si="416"/>
        <v>0</v>
      </c>
      <c r="U698" s="568">
        <f t="shared" si="417"/>
        <v>0</v>
      </c>
    </row>
    <row r="699" spans="1:21" ht="19.5" x14ac:dyDescent="0.3">
      <c r="A699" s="687"/>
      <c r="B699" s="688"/>
      <c r="C699" s="724" t="s">
        <v>18</v>
      </c>
      <c r="D699" s="689" t="s">
        <v>38</v>
      </c>
      <c r="E699" s="690"/>
      <c r="F699" s="690"/>
      <c r="G699" s="690"/>
      <c r="H699" s="725"/>
      <c r="I699" s="683"/>
      <c r="J699" s="683"/>
      <c r="K699" s="684"/>
      <c r="L699" s="574"/>
      <c r="M699" s="566"/>
      <c r="N699" s="566"/>
      <c r="O699" s="566"/>
      <c r="P699" s="566"/>
      <c r="Q699" s="566"/>
      <c r="R699" s="566"/>
      <c r="S699" s="566"/>
      <c r="T699" s="566"/>
      <c r="U699" s="566"/>
    </row>
    <row r="700" spans="1:21" ht="18.75" x14ac:dyDescent="0.25">
      <c r="A700" s="764"/>
      <c r="B700" s="718"/>
      <c r="C700" s="718"/>
      <c r="D700" s="695"/>
      <c r="E700" s="694" t="s">
        <v>256</v>
      </c>
      <c r="F700" s="695"/>
      <c r="G700" s="692"/>
      <c r="H700" s="686" t="s">
        <v>257</v>
      </c>
      <c r="I700" s="708">
        <f ca="1">IFERROR(__xludf.DUMMYFUNCTION("IMPORTRANGE(""https://docs.google.com/spreadsheets/d/1eHaY18a8A9IcSdp1K8H6x8fbOy06t2VsZHhMHf-1x7Y/edit?usp=sharing"",""แผน!LC23"")"),0)</f>
        <v>0</v>
      </c>
      <c r="J700" s="702">
        <v>0</v>
      </c>
      <c r="K700" s="703">
        <f t="shared" ref="K700:K710" ca="1" si="424">IF(I700&gt;0,J700*100/I700,0)</f>
        <v>0</v>
      </c>
      <c r="L700" s="693"/>
      <c r="M700" s="684"/>
      <c r="N700" s="566"/>
      <c r="O700" s="684"/>
      <c r="P700" s="684"/>
      <c r="Q700" s="684"/>
      <c r="R700" s="684"/>
      <c r="S700" s="566"/>
      <c r="T700" s="684"/>
      <c r="U700" s="684"/>
    </row>
    <row r="701" spans="1:21" ht="19.5" x14ac:dyDescent="0.3">
      <c r="A701" s="764"/>
      <c r="B701" s="718"/>
      <c r="C701" s="718"/>
      <c r="D701" s="695"/>
      <c r="E701" s="1095" t="s">
        <v>258</v>
      </c>
      <c r="F701" s="695"/>
      <c r="G701" s="692"/>
      <c r="H701" s="677" t="s">
        <v>35</v>
      </c>
      <c r="I701" s="697">
        <f t="shared" ref="I701:J701" ca="1" si="425">I703+I705</f>
        <v>204</v>
      </c>
      <c r="J701" s="697">
        <f t="shared" ca="1" si="425"/>
        <v>0</v>
      </c>
      <c r="K701" s="679">
        <f t="shared" ca="1" si="424"/>
        <v>0</v>
      </c>
      <c r="L701" s="693"/>
      <c r="M701" s="684"/>
      <c r="N701" s="684"/>
      <c r="O701" s="684"/>
      <c r="P701" s="684"/>
      <c r="Q701" s="684"/>
      <c r="R701" s="684"/>
      <c r="S701" s="684"/>
      <c r="T701" s="684"/>
      <c r="U701" s="684"/>
    </row>
    <row r="702" spans="1:21" ht="19.5" x14ac:dyDescent="0.3">
      <c r="A702" s="764"/>
      <c r="B702" s="718"/>
      <c r="C702" s="718"/>
      <c r="D702" s="695"/>
      <c r="E702" s="695"/>
      <c r="F702" s="695"/>
      <c r="G702" s="692"/>
      <c r="H702" s="677" t="s">
        <v>46</v>
      </c>
      <c r="I702" s="697">
        <v>0</v>
      </c>
      <c r="J702" s="697">
        <f ca="1">J704+J706</f>
        <v>0</v>
      </c>
      <c r="K702" s="679">
        <f t="shared" si="424"/>
        <v>0</v>
      </c>
      <c r="L702" s="693"/>
      <c r="M702" s="684"/>
      <c r="N702" s="684"/>
      <c r="O702" s="684"/>
      <c r="P702" s="684"/>
      <c r="Q702" s="684"/>
      <c r="R702" s="684"/>
      <c r="S702" s="684"/>
      <c r="T702" s="684"/>
      <c r="U702" s="684"/>
    </row>
    <row r="703" spans="1:21" ht="18.75" x14ac:dyDescent="0.25">
      <c r="A703" s="764"/>
      <c r="B703" s="718"/>
      <c r="C703" s="718"/>
      <c r="D703" s="695"/>
      <c r="E703" s="695"/>
      <c r="F703" s="694" t="s">
        <v>259</v>
      </c>
      <c r="G703" s="692"/>
      <c r="H703" s="686" t="s">
        <v>35</v>
      </c>
      <c r="I703" s="708">
        <f ca="1">IFERROR(__xludf.DUMMYFUNCTION("IMPORTRANGE(""https://docs.google.com/spreadsheets/d/1eHaY18a8A9IcSdp1K8H6x8fbOy06t2VsZHhMHf-1x7Y/edit?usp=sharing"",""แผน!LJ23"")"),200)</f>
        <v>200</v>
      </c>
      <c r="J703" s="708">
        <f ca="1">IFERROR(__xludf.DUMMYFUNCTION("IMPORTRANGE(""https://docs.google.com/spreadsheets/d/1tdoBKaGub7dwA3U6UFTqxio9LNnvDCQjHKmttSEBsFQ/edit?usp=sharing"",""จัดที่ดิน!AP23"")"),0)</f>
        <v>0</v>
      </c>
      <c r="K703" s="568">
        <f t="shared" ca="1" si="424"/>
        <v>0</v>
      </c>
      <c r="L703" s="693"/>
      <c r="M703" s="684"/>
      <c r="N703" s="684"/>
      <c r="O703" s="684"/>
      <c r="P703" s="684"/>
      <c r="Q703" s="684"/>
      <c r="R703" s="684"/>
      <c r="S703" s="684"/>
      <c r="T703" s="684"/>
      <c r="U703" s="684"/>
    </row>
    <row r="704" spans="1:21" ht="18.75" x14ac:dyDescent="0.25">
      <c r="A704" s="764"/>
      <c r="B704" s="718"/>
      <c r="C704" s="718"/>
      <c r="D704" s="695"/>
      <c r="E704" s="695"/>
      <c r="F704" s="695"/>
      <c r="G704" s="692"/>
      <c r="H704" s="686" t="s">
        <v>46</v>
      </c>
      <c r="I704" s="708">
        <v>0</v>
      </c>
      <c r="J704" s="708">
        <f ca="1">IFERROR(__xludf.DUMMYFUNCTION("IMPORTRANGE(""https://docs.google.com/spreadsheets/d/1tdoBKaGub7dwA3U6UFTqxio9LNnvDCQjHKmttSEBsFQ/edit?usp=sharing"",""จัดที่ดิน!AQ23"")"),0)</f>
        <v>0</v>
      </c>
      <c r="K704" s="568">
        <f t="shared" si="424"/>
        <v>0</v>
      </c>
      <c r="L704" s="693"/>
      <c r="M704" s="684"/>
      <c r="N704" s="684"/>
      <c r="O704" s="684"/>
      <c r="P704" s="684"/>
      <c r="Q704" s="684"/>
      <c r="R704" s="684"/>
      <c r="S704" s="684"/>
      <c r="T704" s="684"/>
      <c r="U704" s="684"/>
    </row>
    <row r="705" spans="1:21" ht="18.75" x14ac:dyDescent="0.25">
      <c r="A705" s="764"/>
      <c r="B705" s="718"/>
      <c r="C705" s="718"/>
      <c r="D705" s="695"/>
      <c r="E705" s="695"/>
      <c r="F705" s="694" t="s">
        <v>260</v>
      </c>
      <c r="G705" s="692"/>
      <c r="H705" s="686" t="s">
        <v>35</v>
      </c>
      <c r="I705" s="708">
        <f ca="1">IFERROR(__xludf.DUMMYFUNCTION("IMPORTRANGE(""https://docs.google.com/spreadsheets/d/1eHaY18a8A9IcSdp1K8H6x8fbOy06t2VsZHhMHf-1x7Y/edit?usp=sharing"",""แผน!LK23"")"),4)</f>
        <v>4</v>
      </c>
      <c r="J705" s="708">
        <f ca="1">IFERROR(__xludf.DUMMYFUNCTION("IMPORTRANGE(""https://docs.google.com/spreadsheets/d/1tdoBKaGub7dwA3U6UFTqxio9LNnvDCQjHKmttSEBsFQ/edit?usp=sharing"",""จัดที่ดิน!AR23"")"),0)</f>
        <v>0</v>
      </c>
      <c r="K705" s="703">
        <f t="shared" ca="1" si="424"/>
        <v>0</v>
      </c>
      <c r="L705" s="693"/>
      <c r="M705" s="684"/>
      <c r="N705" s="684"/>
      <c r="O705" s="684"/>
      <c r="P705" s="684"/>
      <c r="Q705" s="684"/>
      <c r="R705" s="684"/>
      <c r="S705" s="684"/>
      <c r="T705" s="684"/>
      <c r="U705" s="684"/>
    </row>
    <row r="706" spans="1:21" ht="18.75" x14ac:dyDescent="0.25">
      <c r="A706" s="764"/>
      <c r="B706" s="718"/>
      <c r="C706" s="718"/>
      <c r="D706" s="695"/>
      <c r="E706" s="695"/>
      <c r="F706" s="695"/>
      <c r="G706" s="692"/>
      <c r="H706" s="686" t="s">
        <v>46</v>
      </c>
      <c r="I706" s="708">
        <v>0</v>
      </c>
      <c r="J706" s="708">
        <f ca="1">IFERROR(__xludf.DUMMYFUNCTION("IMPORTRANGE(""https://docs.google.com/spreadsheets/d/1tdoBKaGub7dwA3U6UFTqxio9LNnvDCQjHKmttSEBsFQ/edit?usp=sharing"",""จัดที่ดิน!AS23"")"),0)</f>
        <v>0</v>
      </c>
      <c r="K706" s="568">
        <f t="shared" si="424"/>
        <v>0</v>
      </c>
      <c r="L706" s="693"/>
      <c r="M706" s="684"/>
      <c r="N706" s="684"/>
      <c r="O706" s="684"/>
      <c r="P706" s="684"/>
      <c r="Q706" s="684"/>
      <c r="R706" s="684"/>
      <c r="S706" s="684"/>
      <c r="T706" s="684"/>
      <c r="U706" s="684"/>
    </row>
    <row r="707" spans="1:21" ht="18.75" x14ac:dyDescent="0.25">
      <c r="A707" s="764"/>
      <c r="B707" s="718"/>
      <c r="C707" s="718"/>
      <c r="D707" s="695"/>
      <c r="E707" s="694" t="s">
        <v>261</v>
      </c>
      <c r="F707" s="695"/>
      <c r="G707" s="692"/>
      <c r="H707" s="682" t="s">
        <v>35</v>
      </c>
      <c r="I707" s="708">
        <f ca="1">IFERROR(__xludf.DUMMYFUNCTION("IMPORTRANGE(""https://docs.google.com/spreadsheets/d/1eHaY18a8A9IcSdp1K8H6x8fbOy06t2VsZHhMHf-1x7Y/edit?usp=sharing"",""แผน!LJ23"")"),200)</f>
        <v>200</v>
      </c>
      <c r="J707" s="708">
        <f ca="1">IFERROR(__xludf.DUMMYFUNCTION("IMPORTRANGE(""https://docs.google.com/spreadsheets/d/1tdoBKaGub7dwA3U6UFTqxio9LNnvDCQjHKmttSEBsFQ/edit?usp=sharing"",""จัดที่ดิน!BN23"")"),0)</f>
        <v>0</v>
      </c>
      <c r="K707" s="568">
        <f t="shared" ca="1" si="424"/>
        <v>0</v>
      </c>
      <c r="L707" s="693"/>
      <c r="M707" s="684"/>
      <c r="N707" s="684"/>
      <c r="O707" s="684"/>
      <c r="P707" s="684"/>
      <c r="Q707" s="684"/>
      <c r="R707" s="684"/>
      <c r="S707" s="684"/>
      <c r="T707" s="684"/>
      <c r="U707" s="684"/>
    </row>
    <row r="708" spans="1:21" ht="18.75" x14ac:dyDescent="0.25">
      <c r="A708" s="764"/>
      <c r="B708" s="718"/>
      <c r="C708" s="718"/>
      <c r="D708" s="695"/>
      <c r="E708" s="1096" t="s">
        <v>262</v>
      </c>
      <c r="F708" s="695"/>
      <c r="G708" s="692"/>
      <c r="H708" s="682" t="s">
        <v>46</v>
      </c>
      <c r="I708" s="708">
        <v>0</v>
      </c>
      <c r="J708" s="708">
        <f ca="1">IFERROR(__xludf.DUMMYFUNCTION("IMPORTRANGE(""https://docs.google.com/spreadsheets/d/1tdoBKaGub7dwA3U6UFTqxio9LNnvDCQjHKmttSEBsFQ/edit?usp=sharing"",""จัดที่ดิน!BO23"")"),0)</f>
        <v>0</v>
      </c>
      <c r="K708" s="568">
        <f t="shared" si="424"/>
        <v>0</v>
      </c>
      <c r="L708" s="693"/>
      <c r="M708" s="684"/>
      <c r="N708" s="684"/>
      <c r="O708" s="684"/>
      <c r="P708" s="684"/>
      <c r="Q708" s="684"/>
      <c r="R708" s="684"/>
      <c r="S708" s="684"/>
      <c r="T708" s="684"/>
      <c r="U708" s="684"/>
    </row>
    <row r="709" spans="1:21" ht="18.75" x14ac:dyDescent="0.25">
      <c r="A709" s="764"/>
      <c r="B709" s="718"/>
      <c r="C709" s="718"/>
      <c r="D709" s="561"/>
      <c r="E709" s="573" t="s">
        <v>263</v>
      </c>
      <c r="F709" s="561"/>
      <c r="G709" s="563"/>
      <c r="H709" s="722" t="s">
        <v>35</v>
      </c>
      <c r="I709" s="708">
        <f ca="1">IFERROR(__xludf.DUMMYFUNCTION("IMPORTRANGE(""https://docs.google.com/spreadsheets/d/1eHaY18a8A9IcSdp1K8H6x8fbOy06t2VsZHhMHf-1x7Y/edit?usp=sharing"",""แผน!LK23"")"),4)</f>
        <v>4</v>
      </c>
      <c r="J709" s="708">
        <f ca="1">IFERROR(__xludf.DUMMYFUNCTION("IMPORTRANGE(""https://docs.google.com/spreadsheets/d/1tdoBKaGub7dwA3U6UFTqxio9LNnvDCQjHKmttSEBsFQ/edit?usp=sharing"",""จัดที่ดิน!BP23"")"),6)</f>
        <v>6</v>
      </c>
      <c r="K709" s="568">
        <f t="shared" ca="1" si="424"/>
        <v>150</v>
      </c>
      <c r="L709" s="574"/>
      <c r="M709" s="566"/>
      <c r="N709" s="566"/>
      <c r="O709" s="566"/>
      <c r="P709" s="566"/>
      <c r="Q709" s="566"/>
      <c r="R709" s="566"/>
      <c r="S709" s="566"/>
      <c r="T709" s="566"/>
      <c r="U709" s="566"/>
    </row>
    <row r="710" spans="1:21" ht="18.75" x14ac:dyDescent="0.25">
      <c r="A710" s="764"/>
      <c r="B710" s="718"/>
      <c r="C710" s="718"/>
      <c r="D710" s="561"/>
      <c r="E710" s="1096" t="s">
        <v>264</v>
      </c>
      <c r="F710" s="561"/>
      <c r="G710" s="563"/>
      <c r="H710" s="722" t="s">
        <v>46</v>
      </c>
      <c r="I710" s="708">
        <v>0</v>
      </c>
      <c r="J710" s="708">
        <f ca="1">IFERROR(__xludf.DUMMYFUNCTION("IMPORTRANGE(""https://docs.google.com/spreadsheets/d/1tdoBKaGub7dwA3U6UFTqxio9LNnvDCQjHKmttSEBsFQ/edit?usp=sharing"",""จัดที่ดิน!BQ23"")"),0)</f>
        <v>0</v>
      </c>
      <c r="K710" s="568">
        <f t="shared" si="424"/>
        <v>0</v>
      </c>
      <c r="L710" s="574"/>
      <c r="M710" s="566"/>
      <c r="N710" s="566"/>
      <c r="O710" s="566"/>
      <c r="P710" s="566"/>
      <c r="Q710" s="566"/>
      <c r="R710" s="566"/>
      <c r="S710" s="566"/>
      <c r="T710" s="566"/>
      <c r="U710" s="566"/>
    </row>
    <row r="711" spans="1:21" ht="12.75" hidden="1" x14ac:dyDescent="0.2">
      <c r="A711" s="1027"/>
      <c r="B711" s="966"/>
      <c r="C711" s="966"/>
      <c r="D711" s="1028"/>
      <c r="E711" s="1028"/>
      <c r="F711" s="1028"/>
      <c r="G711" s="1029"/>
      <c r="H711" s="967"/>
      <c r="I711" s="968"/>
      <c r="J711" s="968"/>
      <c r="K711" s="969"/>
      <c r="L711" s="970"/>
      <c r="M711" s="969"/>
      <c r="N711" s="969"/>
      <c r="O711" s="969"/>
      <c r="P711" s="969"/>
      <c r="Q711" s="969"/>
      <c r="R711" s="969"/>
      <c r="S711" s="969"/>
      <c r="T711" s="969"/>
      <c r="U711" s="969"/>
    </row>
    <row r="712" spans="1:21" ht="19.5" hidden="1" x14ac:dyDescent="0.3">
      <c r="A712" s="1061"/>
      <c r="B712" s="1097" t="s">
        <v>265</v>
      </c>
      <c r="C712" s="1061"/>
      <c r="D712" s="1063"/>
      <c r="E712" s="1063"/>
      <c r="F712" s="1063"/>
      <c r="G712" s="1064"/>
      <c r="H712" s="1098" t="s">
        <v>46</v>
      </c>
      <c r="I712" s="1066"/>
      <c r="J712" s="1066">
        <f>J724</f>
        <v>0</v>
      </c>
      <c r="K712" s="1099">
        <f>IF(I712&gt;0,J712*100/I712,0)</f>
        <v>0</v>
      </c>
      <c r="L712" s="1068"/>
      <c r="M712" s="1067"/>
      <c r="N712" s="1067"/>
      <c r="O712" s="1067"/>
      <c r="P712" s="1067"/>
      <c r="Q712" s="1067"/>
      <c r="R712" s="1067"/>
      <c r="S712" s="1067"/>
      <c r="T712" s="1067"/>
      <c r="U712" s="1067"/>
    </row>
    <row r="713" spans="1:21" ht="19.5" hidden="1" x14ac:dyDescent="0.3">
      <c r="A713" s="1061"/>
      <c r="B713" s="1097" t="s">
        <v>266</v>
      </c>
      <c r="C713" s="1061"/>
      <c r="D713" s="1063"/>
      <c r="E713" s="1063"/>
      <c r="F713" s="1063"/>
      <c r="G713" s="1064"/>
      <c r="H713" s="1065"/>
      <c r="I713" s="1066"/>
      <c r="J713" s="1066"/>
      <c r="K713" s="1067"/>
      <c r="L713" s="1068"/>
      <c r="M713" s="1067"/>
      <c r="N713" s="1067"/>
      <c r="O713" s="1067"/>
      <c r="P713" s="1067"/>
      <c r="Q713" s="1067"/>
      <c r="R713" s="1067"/>
      <c r="S713" s="1067"/>
      <c r="T713" s="1067"/>
      <c r="U713" s="1067"/>
    </row>
    <row r="714" spans="1:21" ht="19.5" hidden="1" x14ac:dyDescent="0.3">
      <c r="A714" s="674"/>
      <c r="B714" s="718"/>
      <c r="C714" s="767" t="s">
        <v>18</v>
      </c>
      <c r="D714" s="1315" t="s">
        <v>19</v>
      </c>
      <c r="E714" s="1311"/>
      <c r="F714" s="1311"/>
      <c r="G714" s="1312"/>
      <c r="H714" s="799" t="s">
        <v>14</v>
      </c>
      <c r="I714" s="565"/>
      <c r="J714" s="565"/>
      <c r="K714" s="566"/>
      <c r="L714" s="678">
        <f t="shared" ref="L714:N714" si="426">L715+L716</f>
        <v>0</v>
      </c>
      <c r="M714" s="679">
        <f t="shared" si="426"/>
        <v>0</v>
      </c>
      <c r="N714" s="679">
        <f t="shared" si="426"/>
        <v>0</v>
      </c>
      <c r="O714" s="679">
        <f t="shared" ref="O714:O722" si="427">IF(L714&gt;0,N714*100/L714,0)</f>
        <v>0</v>
      </c>
      <c r="P714" s="679">
        <f t="shared" ref="P714:P722" si="428">IF(M714&gt;0,N714*100/M714,0)</f>
        <v>0</v>
      </c>
      <c r="Q714" s="679">
        <f t="shared" ref="Q714:S714" si="429">Q715+Q716</f>
        <v>0</v>
      </c>
      <c r="R714" s="679">
        <f t="shared" si="429"/>
        <v>0</v>
      </c>
      <c r="S714" s="679">
        <f t="shared" si="429"/>
        <v>0</v>
      </c>
      <c r="T714" s="679">
        <f t="shared" ref="T714:T722" si="430">IF(Q714&gt;0,S714*100/Q714,0)</f>
        <v>0</v>
      </c>
      <c r="U714" s="679">
        <f t="shared" ref="U714:U722" si="431">IF(R714&gt;0,S714*100/R714,0)</f>
        <v>0</v>
      </c>
    </row>
    <row r="715" spans="1:21" ht="18.75" hidden="1" x14ac:dyDescent="0.25">
      <c r="A715" s="674"/>
      <c r="B715" s="718"/>
      <c r="C715" s="718"/>
      <c r="D715" s="695"/>
      <c r="E715" s="569" t="s">
        <v>158</v>
      </c>
      <c r="F715" s="561"/>
      <c r="G715" s="563"/>
      <c r="H715" s="685" t="s">
        <v>14</v>
      </c>
      <c r="I715" s="565"/>
      <c r="J715" s="565"/>
      <c r="K715" s="566"/>
      <c r="L715" s="571">
        <f t="shared" ref="L715:N716" si="432">L718+L721</f>
        <v>0</v>
      </c>
      <c r="M715" s="572">
        <f t="shared" si="432"/>
        <v>0</v>
      </c>
      <c r="N715" s="572">
        <f t="shared" si="432"/>
        <v>0</v>
      </c>
      <c r="O715" s="572">
        <f t="shared" si="427"/>
        <v>0</v>
      </c>
      <c r="P715" s="572">
        <f t="shared" si="428"/>
        <v>0</v>
      </c>
      <c r="Q715" s="572">
        <f t="shared" ref="Q715:S716" si="433">Q718+Q721</f>
        <v>0</v>
      </c>
      <c r="R715" s="572">
        <f t="shared" si="433"/>
        <v>0</v>
      </c>
      <c r="S715" s="572">
        <f t="shared" si="433"/>
        <v>0</v>
      </c>
      <c r="T715" s="572">
        <f t="shared" si="430"/>
        <v>0</v>
      </c>
      <c r="U715" s="572">
        <f t="shared" si="431"/>
        <v>0</v>
      </c>
    </row>
    <row r="716" spans="1:21" ht="18.75" hidden="1" x14ac:dyDescent="0.25">
      <c r="A716" s="674"/>
      <c r="B716" s="718"/>
      <c r="C716" s="718"/>
      <c r="D716" s="695"/>
      <c r="E716" s="569" t="s">
        <v>159</v>
      </c>
      <c r="F716" s="561"/>
      <c r="G716" s="563"/>
      <c r="H716" s="685" t="s">
        <v>14</v>
      </c>
      <c r="I716" s="565"/>
      <c r="J716" s="565"/>
      <c r="K716" s="566"/>
      <c r="L716" s="567">
        <f t="shared" si="432"/>
        <v>0</v>
      </c>
      <c r="M716" s="568">
        <f t="shared" si="432"/>
        <v>0</v>
      </c>
      <c r="N716" s="568">
        <f t="shared" si="432"/>
        <v>0</v>
      </c>
      <c r="O716" s="568">
        <f t="shared" si="427"/>
        <v>0</v>
      </c>
      <c r="P716" s="568">
        <f t="shared" si="428"/>
        <v>0</v>
      </c>
      <c r="Q716" s="568">
        <f t="shared" si="433"/>
        <v>0</v>
      </c>
      <c r="R716" s="568">
        <f t="shared" si="433"/>
        <v>0</v>
      </c>
      <c r="S716" s="568">
        <f t="shared" si="433"/>
        <v>0</v>
      </c>
      <c r="T716" s="568">
        <f t="shared" si="430"/>
        <v>0</v>
      </c>
      <c r="U716" s="568">
        <f t="shared" si="431"/>
        <v>0</v>
      </c>
    </row>
    <row r="717" spans="1:21" ht="19.5" hidden="1" x14ac:dyDescent="0.3">
      <c r="A717" s="674"/>
      <c r="B717" s="718"/>
      <c r="C717" s="718"/>
      <c r="D717" s="798" t="s">
        <v>22</v>
      </c>
      <c r="E717" s="561"/>
      <c r="F717" s="561"/>
      <c r="G717" s="563"/>
      <c r="H717" s="799" t="s">
        <v>14</v>
      </c>
      <c r="I717" s="683"/>
      <c r="J717" s="683"/>
      <c r="K717" s="684"/>
      <c r="L717" s="567">
        <f t="shared" ref="L717:N717" si="434">L718+L719</f>
        <v>0</v>
      </c>
      <c r="M717" s="568">
        <f t="shared" si="434"/>
        <v>0</v>
      </c>
      <c r="N717" s="568">
        <f t="shared" si="434"/>
        <v>0</v>
      </c>
      <c r="O717" s="568">
        <f t="shared" si="427"/>
        <v>0</v>
      </c>
      <c r="P717" s="568">
        <f t="shared" si="428"/>
        <v>0</v>
      </c>
      <c r="Q717" s="568">
        <f t="shared" ref="Q717:S717" si="435">Q718+Q719</f>
        <v>0</v>
      </c>
      <c r="R717" s="568">
        <f t="shared" si="435"/>
        <v>0</v>
      </c>
      <c r="S717" s="568">
        <f t="shared" si="435"/>
        <v>0</v>
      </c>
      <c r="T717" s="568">
        <f t="shared" si="430"/>
        <v>0</v>
      </c>
      <c r="U717" s="568">
        <f t="shared" si="431"/>
        <v>0</v>
      </c>
    </row>
    <row r="718" spans="1:21" ht="18.75" hidden="1" x14ac:dyDescent="0.25">
      <c r="A718" s="674"/>
      <c r="B718" s="718"/>
      <c r="C718" s="718"/>
      <c r="D718" s="695"/>
      <c r="E718" s="569" t="s">
        <v>158</v>
      </c>
      <c r="F718" s="561"/>
      <c r="G718" s="563"/>
      <c r="H718" s="685" t="s">
        <v>14</v>
      </c>
      <c r="I718" s="565"/>
      <c r="J718" s="565"/>
      <c r="K718" s="566"/>
      <c r="L718" s="571">
        <v>0</v>
      </c>
      <c r="M718" s="572">
        <v>0</v>
      </c>
      <c r="N718" s="572">
        <v>0</v>
      </c>
      <c r="O718" s="572">
        <f t="shared" si="427"/>
        <v>0</v>
      </c>
      <c r="P718" s="572">
        <f t="shared" si="428"/>
        <v>0</v>
      </c>
      <c r="Q718" s="572">
        <v>0</v>
      </c>
      <c r="R718" s="572">
        <v>0</v>
      </c>
      <c r="S718" s="572">
        <v>0</v>
      </c>
      <c r="T718" s="572">
        <f t="shared" si="430"/>
        <v>0</v>
      </c>
      <c r="U718" s="572">
        <f t="shared" si="431"/>
        <v>0</v>
      </c>
    </row>
    <row r="719" spans="1:21" ht="18.75" hidden="1" x14ac:dyDescent="0.25">
      <c r="A719" s="674"/>
      <c r="B719" s="718"/>
      <c r="C719" s="718"/>
      <c r="D719" s="695"/>
      <c r="E719" s="569" t="s">
        <v>159</v>
      </c>
      <c r="F719" s="561"/>
      <c r="G719" s="563"/>
      <c r="H719" s="685" t="s">
        <v>14</v>
      </c>
      <c r="I719" s="565"/>
      <c r="J719" s="565"/>
      <c r="K719" s="566"/>
      <c r="L719" s="567">
        <v>0</v>
      </c>
      <c r="M719" s="568">
        <v>0</v>
      </c>
      <c r="N719" s="568">
        <v>0</v>
      </c>
      <c r="O719" s="568">
        <f t="shared" si="427"/>
        <v>0</v>
      </c>
      <c r="P719" s="568">
        <f t="shared" si="428"/>
        <v>0</v>
      </c>
      <c r="Q719" s="568">
        <v>0</v>
      </c>
      <c r="R719" s="568">
        <v>0</v>
      </c>
      <c r="S719" s="568">
        <v>0</v>
      </c>
      <c r="T719" s="568">
        <f t="shared" si="430"/>
        <v>0</v>
      </c>
      <c r="U719" s="568">
        <f t="shared" si="431"/>
        <v>0</v>
      </c>
    </row>
    <row r="720" spans="1:21" ht="19.5" hidden="1" x14ac:dyDescent="0.3">
      <c r="A720" s="674"/>
      <c r="B720" s="718"/>
      <c r="C720" s="718"/>
      <c r="D720" s="798" t="s">
        <v>23</v>
      </c>
      <c r="E720" s="561"/>
      <c r="F720" s="561"/>
      <c r="G720" s="563"/>
      <c r="H720" s="1041" t="s">
        <v>14</v>
      </c>
      <c r="I720" s="683"/>
      <c r="J720" s="683"/>
      <c r="K720" s="684"/>
      <c r="L720" s="567">
        <f t="shared" ref="L720:N720" si="436">L721+L722</f>
        <v>0</v>
      </c>
      <c r="M720" s="568">
        <f t="shared" si="436"/>
        <v>0</v>
      </c>
      <c r="N720" s="568">
        <f t="shared" si="436"/>
        <v>0</v>
      </c>
      <c r="O720" s="568">
        <f t="shared" si="427"/>
        <v>0</v>
      </c>
      <c r="P720" s="568">
        <f t="shared" si="428"/>
        <v>0</v>
      </c>
      <c r="Q720" s="568">
        <f t="shared" ref="Q720:S720" si="437">Q721+Q722</f>
        <v>0</v>
      </c>
      <c r="R720" s="568">
        <f t="shared" si="437"/>
        <v>0</v>
      </c>
      <c r="S720" s="568">
        <f t="shared" si="437"/>
        <v>0</v>
      </c>
      <c r="T720" s="568">
        <f t="shared" si="430"/>
        <v>0</v>
      </c>
      <c r="U720" s="568">
        <f t="shared" si="431"/>
        <v>0</v>
      </c>
    </row>
    <row r="721" spans="1:21" ht="18.75" hidden="1" x14ac:dyDescent="0.25">
      <c r="A721" s="674"/>
      <c r="B721" s="718"/>
      <c r="C721" s="718"/>
      <c r="D721" s="561"/>
      <c r="E721" s="569" t="s">
        <v>20</v>
      </c>
      <c r="F721" s="561"/>
      <c r="G721" s="563"/>
      <c r="H721" s="685" t="s">
        <v>14</v>
      </c>
      <c r="I721" s="683"/>
      <c r="J721" s="683"/>
      <c r="K721" s="684"/>
      <c r="L721" s="571">
        <v>0</v>
      </c>
      <c r="M721" s="572">
        <v>0</v>
      </c>
      <c r="N721" s="572">
        <v>0</v>
      </c>
      <c r="O721" s="572">
        <f t="shared" si="427"/>
        <v>0</v>
      </c>
      <c r="P721" s="572">
        <f t="shared" si="428"/>
        <v>0</v>
      </c>
      <c r="Q721" s="572">
        <v>0</v>
      </c>
      <c r="R721" s="572">
        <v>0</v>
      </c>
      <c r="S721" s="572">
        <v>0</v>
      </c>
      <c r="T721" s="572">
        <f t="shared" si="430"/>
        <v>0</v>
      </c>
      <c r="U721" s="572">
        <f t="shared" si="431"/>
        <v>0</v>
      </c>
    </row>
    <row r="722" spans="1:21" ht="18.75" hidden="1" x14ac:dyDescent="0.25">
      <c r="A722" s="674"/>
      <c r="B722" s="718"/>
      <c r="C722" s="718"/>
      <c r="D722" s="561"/>
      <c r="E722" s="569" t="s">
        <v>21</v>
      </c>
      <c r="F722" s="561"/>
      <c r="G722" s="563"/>
      <c r="H722" s="734" t="s">
        <v>14</v>
      </c>
      <c r="I722" s="683"/>
      <c r="J722" s="683"/>
      <c r="K722" s="684"/>
      <c r="L722" s="567">
        <v>0</v>
      </c>
      <c r="M722" s="568">
        <v>0</v>
      </c>
      <c r="N722" s="568">
        <v>0</v>
      </c>
      <c r="O722" s="568">
        <f t="shared" si="427"/>
        <v>0</v>
      </c>
      <c r="P722" s="568">
        <f t="shared" si="428"/>
        <v>0</v>
      </c>
      <c r="Q722" s="568">
        <v>0</v>
      </c>
      <c r="R722" s="568">
        <v>0</v>
      </c>
      <c r="S722" s="568">
        <v>0</v>
      </c>
      <c r="T722" s="568">
        <f t="shared" si="430"/>
        <v>0</v>
      </c>
      <c r="U722" s="568">
        <f t="shared" si="431"/>
        <v>0</v>
      </c>
    </row>
    <row r="723" spans="1:21" ht="19.5" hidden="1" x14ac:dyDescent="0.3">
      <c r="A723" s="687"/>
      <c r="B723" s="688"/>
      <c r="C723" s="767" t="s">
        <v>18</v>
      </c>
      <c r="D723" s="1100" t="s">
        <v>38</v>
      </c>
      <c r="E723" s="690"/>
      <c r="F723" s="690"/>
      <c r="G723" s="691"/>
      <c r="H723" s="725"/>
      <c r="I723" s="683"/>
      <c r="J723" s="683"/>
      <c r="K723" s="684"/>
      <c r="L723" s="693"/>
      <c r="M723" s="684"/>
      <c r="N723" s="684"/>
      <c r="O723" s="684"/>
      <c r="P723" s="684"/>
      <c r="Q723" s="684"/>
      <c r="R723" s="684"/>
      <c r="S723" s="684"/>
      <c r="T723" s="684"/>
      <c r="U723" s="684"/>
    </row>
    <row r="724" spans="1:21" ht="18.75" hidden="1" x14ac:dyDescent="0.25">
      <c r="A724" s="764"/>
      <c r="B724" s="718"/>
      <c r="C724" s="718"/>
      <c r="D724" s="561"/>
      <c r="E724" s="569" t="s">
        <v>267</v>
      </c>
      <c r="F724" s="561"/>
      <c r="G724" s="563"/>
      <c r="H724" s="685" t="s">
        <v>46</v>
      </c>
      <c r="I724" s="735">
        <v>0</v>
      </c>
      <c r="J724" s="565"/>
      <c r="K724" s="566"/>
      <c r="L724" s="574"/>
      <c r="M724" s="566"/>
      <c r="N724" s="566"/>
      <c r="O724" s="566"/>
      <c r="P724" s="566"/>
      <c r="Q724" s="566"/>
      <c r="R724" s="566"/>
      <c r="S724" s="566"/>
      <c r="T724" s="566"/>
      <c r="U724" s="566"/>
    </row>
    <row r="725" spans="1:21" ht="18.75" hidden="1" x14ac:dyDescent="0.25">
      <c r="A725" s="984"/>
      <c r="B725" s="514"/>
      <c r="C725" s="514"/>
      <c r="D725" s="513"/>
      <c r="E725" s="738" t="s">
        <v>268</v>
      </c>
      <c r="F725" s="513"/>
      <c r="G725" s="577"/>
      <c r="H725" s="1101" t="s">
        <v>46</v>
      </c>
      <c r="I725" s="740">
        <v>0</v>
      </c>
      <c r="J725" s="579"/>
      <c r="K725" s="580"/>
      <c r="L725" s="581"/>
      <c r="M725" s="580"/>
      <c r="N725" s="580"/>
      <c r="O725" s="580"/>
      <c r="P725" s="580"/>
      <c r="Q725" s="580"/>
      <c r="R725" s="580"/>
      <c r="S725" s="580"/>
      <c r="T725" s="580"/>
      <c r="U725" s="580"/>
    </row>
    <row r="726" spans="1:21" ht="19.5" x14ac:dyDescent="0.3">
      <c r="A726" s="1061"/>
      <c r="B726" s="1062" t="s">
        <v>269</v>
      </c>
      <c r="C726" s="1061"/>
      <c r="D726" s="1063"/>
      <c r="E726" s="1063"/>
      <c r="F726" s="1063"/>
      <c r="G726" s="1064"/>
      <c r="H726" s="1092" t="s">
        <v>35</v>
      </c>
      <c r="I726" s="1093">
        <f ca="1">IFERROR(__xludf.DUMMYFUNCTION("IMPORTRANGE(""https://docs.google.com/spreadsheets/d/1eHaY18a8A9IcSdp1K8H6x8fbOy06t2VsZHhMHf-1x7Y/edit?usp=sharing"",""แผน!GA23"")"),51)</f>
        <v>51</v>
      </c>
      <c r="J726" s="1093">
        <f>J742+J746+J749</f>
        <v>11</v>
      </c>
      <c r="K726" s="1094">
        <f t="shared" ref="K726:K727" ca="1" si="438">IF(I726&gt;0,J726*100/I726,0)</f>
        <v>21.568627450980394</v>
      </c>
      <c r="L726" s="1068"/>
      <c r="M726" s="1067"/>
      <c r="N726" s="1067"/>
      <c r="O726" s="1067"/>
      <c r="P726" s="1067"/>
      <c r="Q726" s="1067"/>
      <c r="R726" s="1067"/>
      <c r="S726" s="1067"/>
      <c r="T726" s="1067"/>
      <c r="U726" s="1067"/>
    </row>
    <row r="727" spans="1:21" ht="19.5" x14ac:dyDescent="0.3">
      <c r="A727" s="1102"/>
      <c r="B727" s="1061"/>
      <c r="C727" s="1061"/>
      <c r="D727" s="1063"/>
      <c r="E727" s="1063"/>
      <c r="F727" s="1063"/>
      <c r="G727" s="1064"/>
      <c r="H727" s="1092" t="s">
        <v>46</v>
      </c>
      <c r="I727" s="1093">
        <f ca="1">IFERROR(__xludf.DUMMYFUNCTION("IMPORTRANGE(""https://docs.google.com/spreadsheets/d/1eHaY18a8A9IcSdp1K8H6x8fbOy06t2VsZHhMHf-1x7Y/edit?usp=sharing"",""แผน!FZ23"")"),500)</f>
        <v>500</v>
      </c>
      <c r="J727" s="1093">
        <f>J752+J755</f>
        <v>0</v>
      </c>
      <c r="K727" s="1094">
        <f t="shared" ca="1" si="438"/>
        <v>0</v>
      </c>
      <c r="L727" s="1068"/>
      <c r="M727" s="1067"/>
      <c r="N727" s="1067"/>
      <c r="O727" s="1067"/>
      <c r="P727" s="1067"/>
      <c r="Q727" s="1067"/>
      <c r="R727" s="1067"/>
      <c r="S727" s="1067"/>
      <c r="T727" s="1067"/>
      <c r="U727" s="1067"/>
    </row>
    <row r="728" spans="1:21" ht="19.5" x14ac:dyDescent="0.3">
      <c r="A728" s="674"/>
      <c r="B728" s="718"/>
      <c r="C728" s="724" t="s">
        <v>18</v>
      </c>
      <c r="D728" s="1310" t="s">
        <v>19</v>
      </c>
      <c r="E728" s="1311"/>
      <c r="F728" s="1311"/>
      <c r="G728" s="1312"/>
      <c r="H728" s="780" t="s">
        <v>14</v>
      </c>
      <c r="I728" s="565"/>
      <c r="J728" s="565"/>
      <c r="K728" s="566"/>
      <c r="L728" s="678">
        <f t="shared" ref="L728:N728" si="439">L729+L730</f>
        <v>0</v>
      </c>
      <c r="M728" s="679">
        <f t="shared" si="439"/>
        <v>0</v>
      </c>
      <c r="N728" s="679">
        <f t="shared" si="439"/>
        <v>0</v>
      </c>
      <c r="O728" s="679">
        <f t="shared" ref="O728:O736" si="440">IF(L728&gt;0,N728*100/L728,0)</f>
        <v>0</v>
      </c>
      <c r="P728" s="679">
        <f t="shared" ref="P728:P736" si="441">IF(M728&gt;0,N728*100/M728,0)</f>
        <v>0</v>
      </c>
      <c r="Q728" s="679">
        <f t="shared" ref="Q728:S728" ca="1" si="442">Q729+Q730</f>
        <v>379090</v>
      </c>
      <c r="R728" s="679">
        <f t="shared" ca="1" si="442"/>
        <v>379090</v>
      </c>
      <c r="S728" s="679">
        <f t="shared" ca="1" si="442"/>
        <v>68100</v>
      </c>
      <c r="T728" s="679">
        <f t="shared" ref="T728:T736" ca="1" si="443">IF(Q728&gt;0,S728*100/Q728,0)</f>
        <v>17.964071856287426</v>
      </c>
      <c r="U728" s="679">
        <f t="shared" ref="U728:U736" ca="1" si="444">IF(R728&gt;0,S728*100/R728,0)</f>
        <v>17.964071856287426</v>
      </c>
    </row>
    <row r="729" spans="1:21" ht="18.75" x14ac:dyDescent="0.25">
      <c r="A729" s="674"/>
      <c r="B729" s="718"/>
      <c r="C729" s="718"/>
      <c r="D729" s="695"/>
      <c r="E729" s="569" t="s">
        <v>158</v>
      </c>
      <c r="F729" s="561"/>
      <c r="G729" s="563"/>
      <c r="H729" s="685" t="s">
        <v>14</v>
      </c>
      <c r="I729" s="565"/>
      <c r="J729" s="565"/>
      <c r="K729" s="566"/>
      <c r="L729" s="571">
        <f t="shared" ref="L729:N730" si="445">L732+L735</f>
        <v>0</v>
      </c>
      <c r="M729" s="572">
        <f t="shared" si="445"/>
        <v>0</v>
      </c>
      <c r="N729" s="572">
        <f t="shared" si="445"/>
        <v>0</v>
      </c>
      <c r="O729" s="572">
        <f t="shared" si="440"/>
        <v>0</v>
      </c>
      <c r="P729" s="572">
        <f t="shared" si="441"/>
        <v>0</v>
      </c>
      <c r="Q729" s="572">
        <f t="shared" ref="Q729:S730" si="446">Q732+Q735</f>
        <v>0</v>
      </c>
      <c r="R729" s="572">
        <f t="shared" si="446"/>
        <v>0</v>
      </c>
      <c r="S729" s="572">
        <f t="shared" si="446"/>
        <v>0</v>
      </c>
      <c r="T729" s="572">
        <f t="shared" si="443"/>
        <v>0</v>
      </c>
      <c r="U729" s="572">
        <f t="shared" si="444"/>
        <v>0</v>
      </c>
    </row>
    <row r="730" spans="1:21" ht="18.75" x14ac:dyDescent="0.25">
      <c r="A730" s="674"/>
      <c r="B730" s="718"/>
      <c r="C730" s="718"/>
      <c r="D730" s="695"/>
      <c r="E730" s="573" t="s">
        <v>159</v>
      </c>
      <c r="F730" s="561"/>
      <c r="G730" s="563"/>
      <c r="H730" s="682" t="s">
        <v>14</v>
      </c>
      <c r="I730" s="565"/>
      <c r="J730" s="565"/>
      <c r="K730" s="566"/>
      <c r="L730" s="567">
        <f t="shared" si="445"/>
        <v>0</v>
      </c>
      <c r="M730" s="568">
        <f t="shared" si="445"/>
        <v>0</v>
      </c>
      <c r="N730" s="568">
        <f t="shared" si="445"/>
        <v>0</v>
      </c>
      <c r="O730" s="568">
        <f t="shared" si="440"/>
        <v>0</v>
      </c>
      <c r="P730" s="568">
        <f t="shared" si="441"/>
        <v>0</v>
      </c>
      <c r="Q730" s="568">
        <f t="shared" ca="1" si="446"/>
        <v>379090</v>
      </c>
      <c r="R730" s="568">
        <f t="shared" ca="1" si="446"/>
        <v>379090</v>
      </c>
      <c r="S730" s="568">
        <f t="shared" ca="1" si="446"/>
        <v>68100</v>
      </c>
      <c r="T730" s="568">
        <f t="shared" ca="1" si="443"/>
        <v>17.964071856287426</v>
      </c>
      <c r="U730" s="568">
        <f t="shared" ca="1" si="444"/>
        <v>17.964071856287426</v>
      </c>
    </row>
    <row r="731" spans="1:21" ht="18.75" x14ac:dyDescent="0.25">
      <c r="A731" s="674"/>
      <c r="B731" s="718"/>
      <c r="C731" s="718"/>
      <c r="D731" s="562" t="s">
        <v>22</v>
      </c>
      <c r="E731" s="561"/>
      <c r="F731" s="561"/>
      <c r="G731" s="563"/>
      <c r="H731" s="682" t="s">
        <v>14</v>
      </c>
      <c r="I731" s="683"/>
      <c r="J731" s="683"/>
      <c r="K731" s="684"/>
      <c r="L731" s="567">
        <f t="shared" ref="L731:N731" si="447">L732+L733</f>
        <v>0</v>
      </c>
      <c r="M731" s="568">
        <f t="shared" si="447"/>
        <v>0</v>
      </c>
      <c r="N731" s="568">
        <f t="shared" si="447"/>
        <v>0</v>
      </c>
      <c r="O731" s="568">
        <f t="shared" si="440"/>
        <v>0</v>
      </c>
      <c r="P731" s="568">
        <f t="shared" si="441"/>
        <v>0</v>
      </c>
      <c r="Q731" s="568">
        <f t="shared" ref="Q731:S731" ca="1" si="448">Q732+Q733</f>
        <v>379090</v>
      </c>
      <c r="R731" s="568">
        <f t="shared" ca="1" si="448"/>
        <v>379090</v>
      </c>
      <c r="S731" s="568">
        <f t="shared" ca="1" si="448"/>
        <v>68100</v>
      </c>
      <c r="T731" s="568">
        <f t="shared" ca="1" si="443"/>
        <v>17.964071856287426</v>
      </c>
      <c r="U731" s="568">
        <f t="shared" ca="1" si="444"/>
        <v>17.964071856287426</v>
      </c>
    </row>
    <row r="732" spans="1:21" ht="18.75" x14ac:dyDescent="0.25">
      <c r="A732" s="674"/>
      <c r="B732" s="718"/>
      <c r="C732" s="718"/>
      <c r="D732" s="695"/>
      <c r="E732" s="569" t="s">
        <v>158</v>
      </c>
      <c r="F732" s="561"/>
      <c r="G732" s="563"/>
      <c r="H732" s="685" t="s">
        <v>14</v>
      </c>
      <c r="I732" s="565"/>
      <c r="J732" s="565"/>
      <c r="K732" s="566"/>
      <c r="L732" s="571">
        <v>0</v>
      </c>
      <c r="M732" s="572">
        <v>0</v>
      </c>
      <c r="N732" s="572">
        <v>0</v>
      </c>
      <c r="O732" s="572">
        <f t="shared" si="440"/>
        <v>0</v>
      </c>
      <c r="P732" s="572">
        <f t="shared" si="441"/>
        <v>0</v>
      </c>
      <c r="Q732" s="572">
        <v>0</v>
      </c>
      <c r="R732" s="572">
        <v>0</v>
      </c>
      <c r="S732" s="572">
        <v>0</v>
      </c>
      <c r="T732" s="572">
        <f t="shared" si="443"/>
        <v>0</v>
      </c>
      <c r="U732" s="572">
        <f t="shared" si="444"/>
        <v>0</v>
      </c>
    </row>
    <row r="733" spans="1:21" ht="18.75" x14ac:dyDescent="0.25">
      <c r="A733" s="674"/>
      <c r="B733" s="718"/>
      <c r="C733" s="718"/>
      <c r="D733" s="695"/>
      <c r="E733" s="573" t="s">
        <v>159</v>
      </c>
      <c r="F733" s="561"/>
      <c r="G733" s="563"/>
      <c r="H733" s="682" t="s">
        <v>14</v>
      </c>
      <c r="I733" s="565"/>
      <c r="J733" s="565"/>
      <c r="K733" s="566"/>
      <c r="L733" s="567">
        <v>0</v>
      </c>
      <c r="M733" s="568">
        <v>0</v>
      </c>
      <c r="N733" s="568">
        <v>0</v>
      </c>
      <c r="O733" s="568">
        <f t="shared" si="440"/>
        <v>0</v>
      </c>
      <c r="P733" s="568">
        <f t="shared" si="441"/>
        <v>0</v>
      </c>
      <c r="Q733" s="568">
        <f ca="1">IFERROR(__xludf.DUMMYFUNCTION("IMPORTRANGE(""https://docs.google.com/spreadsheets/d/1ItG2mGa2ceCfYo0BwxsXqNm01IGEUdYcSSLTEv9YCik/edit?usp=sharing"",""เบิกจ่ายกองทุน!O23"")"),379090)</f>
        <v>379090</v>
      </c>
      <c r="R733" s="568">
        <f ca="1">IFERROR(__xludf.DUMMYFUNCTION("IMPORTRANGE(""https://docs.google.com/spreadsheets/d/1ItG2mGa2ceCfYo0BwxsXqNm01IGEUdYcSSLTEv9YCik/edit?usp=sharing"",""เบิกจ่ายกองทุน!P23"")"),379090)</f>
        <v>379090</v>
      </c>
      <c r="S733" s="568">
        <f ca="1">IFERROR(__xludf.DUMMYFUNCTION("IMPORTRANGE(""https://docs.google.com/spreadsheets/d/1ItG2mGa2ceCfYo0BwxsXqNm01IGEUdYcSSLTEv9YCik/edit?usp=sharing"",""เบิกจ่ายกองทุน!Q23"")"),68100)</f>
        <v>68100</v>
      </c>
      <c r="T733" s="568">
        <f t="shared" ca="1" si="443"/>
        <v>17.964071856287426</v>
      </c>
      <c r="U733" s="568">
        <f t="shared" ca="1" si="444"/>
        <v>17.964071856287426</v>
      </c>
    </row>
    <row r="734" spans="1:21" ht="18.75" x14ac:dyDescent="0.25">
      <c r="A734" s="674"/>
      <c r="B734" s="718"/>
      <c r="C734" s="718"/>
      <c r="D734" s="562" t="s">
        <v>23</v>
      </c>
      <c r="E734" s="718"/>
      <c r="F734" s="718"/>
      <c r="G734" s="563"/>
      <c r="H734" s="686" t="s">
        <v>14</v>
      </c>
      <c r="I734" s="683"/>
      <c r="J734" s="683"/>
      <c r="K734" s="684"/>
      <c r="L734" s="567">
        <f t="shared" ref="L734:N734" si="449">L735+L736</f>
        <v>0</v>
      </c>
      <c r="M734" s="568">
        <f t="shared" si="449"/>
        <v>0</v>
      </c>
      <c r="N734" s="568">
        <f t="shared" si="449"/>
        <v>0</v>
      </c>
      <c r="O734" s="568">
        <f t="shared" si="440"/>
        <v>0</v>
      </c>
      <c r="P734" s="568">
        <f t="shared" si="441"/>
        <v>0</v>
      </c>
      <c r="Q734" s="568">
        <f t="shared" ref="Q734:S734" si="450">Q735+Q736</f>
        <v>0</v>
      </c>
      <c r="R734" s="568">
        <f t="shared" si="450"/>
        <v>0</v>
      </c>
      <c r="S734" s="568">
        <f t="shared" si="450"/>
        <v>0</v>
      </c>
      <c r="T734" s="568">
        <f t="shared" si="443"/>
        <v>0</v>
      </c>
      <c r="U734" s="568">
        <f t="shared" si="444"/>
        <v>0</v>
      </c>
    </row>
    <row r="735" spans="1:21" ht="18.75" x14ac:dyDescent="0.25">
      <c r="A735" s="674"/>
      <c r="B735" s="718"/>
      <c r="C735" s="718"/>
      <c r="D735" s="718"/>
      <c r="E735" s="767" t="s">
        <v>20</v>
      </c>
      <c r="F735" s="718"/>
      <c r="G735" s="563"/>
      <c r="H735" s="685" t="s">
        <v>14</v>
      </c>
      <c r="I735" s="683"/>
      <c r="J735" s="683"/>
      <c r="K735" s="684"/>
      <c r="L735" s="571">
        <v>0</v>
      </c>
      <c r="M735" s="572">
        <v>0</v>
      </c>
      <c r="N735" s="572">
        <v>0</v>
      </c>
      <c r="O735" s="572">
        <f t="shared" si="440"/>
        <v>0</v>
      </c>
      <c r="P735" s="572">
        <f t="shared" si="441"/>
        <v>0</v>
      </c>
      <c r="Q735" s="572">
        <v>0</v>
      </c>
      <c r="R735" s="572">
        <v>0</v>
      </c>
      <c r="S735" s="572">
        <v>0</v>
      </c>
      <c r="T735" s="572">
        <f t="shared" si="443"/>
        <v>0</v>
      </c>
      <c r="U735" s="572">
        <f t="shared" si="444"/>
        <v>0</v>
      </c>
    </row>
    <row r="736" spans="1:21" ht="18.75" x14ac:dyDescent="0.25">
      <c r="A736" s="674"/>
      <c r="B736" s="718"/>
      <c r="C736" s="718"/>
      <c r="D736" s="718"/>
      <c r="E736" s="765" t="s">
        <v>21</v>
      </c>
      <c r="F736" s="718"/>
      <c r="G736" s="563"/>
      <c r="H736" s="686" t="s">
        <v>14</v>
      </c>
      <c r="I736" s="683"/>
      <c r="J736" s="683"/>
      <c r="K736" s="684"/>
      <c r="L736" s="567">
        <v>0</v>
      </c>
      <c r="M736" s="568">
        <v>0</v>
      </c>
      <c r="N736" s="568">
        <v>0</v>
      </c>
      <c r="O736" s="568">
        <f t="shared" si="440"/>
        <v>0</v>
      </c>
      <c r="P736" s="568">
        <f t="shared" si="441"/>
        <v>0</v>
      </c>
      <c r="Q736" s="568">
        <v>0</v>
      </c>
      <c r="R736" s="568">
        <v>0</v>
      </c>
      <c r="S736" s="568">
        <v>0</v>
      </c>
      <c r="T736" s="568">
        <f t="shared" si="443"/>
        <v>0</v>
      </c>
      <c r="U736" s="568">
        <f t="shared" si="444"/>
        <v>0</v>
      </c>
    </row>
    <row r="737" spans="1:21" ht="19.5" x14ac:dyDescent="0.3">
      <c r="A737" s="687"/>
      <c r="B737" s="688"/>
      <c r="C737" s="724" t="s">
        <v>18</v>
      </c>
      <c r="D737" s="956" t="s">
        <v>38</v>
      </c>
      <c r="E737" s="758"/>
      <c r="F737" s="690"/>
      <c r="G737" s="691"/>
      <c r="H737" s="725"/>
      <c r="I737" s="565"/>
      <c r="J737" s="565"/>
      <c r="K737" s="566"/>
      <c r="L737" s="574"/>
      <c r="M737" s="566"/>
      <c r="N737" s="566"/>
      <c r="O737" s="566"/>
      <c r="P737" s="566"/>
      <c r="Q737" s="566"/>
      <c r="R737" s="566"/>
      <c r="S737" s="566"/>
      <c r="T737" s="566"/>
      <c r="U737" s="566"/>
    </row>
    <row r="738" spans="1:21" ht="19.5" x14ac:dyDescent="0.3">
      <c r="A738" s="687"/>
      <c r="B738" s="688"/>
      <c r="C738" s="688"/>
      <c r="D738" s="1103" t="s">
        <v>121</v>
      </c>
      <c r="E738" s="688"/>
      <c r="F738" s="688"/>
      <c r="G738" s="692"/>
      <c r="H738" s="727"/>
      <c r="I738" s="565"/>
      <c r="J738" s="565"/>
      <c r="K738" s="566"/>
      <c r="L738" s="574"/>
      <c r="M738" s="566"/>
      <c r="N738" s="566"/>
      <c r="O738" s="566"/>
      <c r="P738" s="566"/>
      <c r="Q738" s="566"/>
      <c r="R738" s="566"/>
      <c r="S738" s="566"/>
      <c r="T738" s="566"/>
      <c r="U738" s="566"/>
    </row>
    <row r="739" spans="1:21" ht="18.75" x14ac:dyDescent="0.25">
      <c r="A739" s="687"/>
      <c r="B739" s="688"/>
      <c r="C739" s="688"/>
      <c r="D739" s="688"/>
      <c r="E739" s="1079" t="s">
        <v>270</v>
      </c>
      <c r="F739" s="688"/>
      <c r="G739" s="692"/>
      <c r="H739" s="727"/>
      <c r="I739" s="565"/>
      <c r="J739" s="565"/>
      <c r="K739" s="566"/>
      <c r="L739" s="574"/>
      <c r="M739" s="566"/>
      <c r="N739" s="566"/>
      <c r="O739" s="566"/>
      <c r="P739" s="566"/>
      <c r="Q739" s="566"/>
      <c r="R739" s="566"/>
      <c r="S739" s="566"/>
      <c r="T739" s="566"/>
      <c r="U739" s="566"/>
    </row>
    <row r="740" spans="1:21" ht="18.75" x14ac:dyDescent="0.25">
      <c r="A740" s="687"/>
      <c r="B740" s="688"/>
      <c r="C740" s="688"/>
      <c r="D740" s="688"/>
      <c r="E740" s="688"/>
      <c r="F740" s="1079" t="s">
        <v>271</v>
      </c>
      <c r="G740" s="692"/>
      <c r="H740" s="681" t="s">
        <v>46</v>
      </c>
      <c r="I740" s="708">
        <f ca="1">IFERROR(__xludf.DUMMYFUNCTION("IMPORTRANGE(""https://docs.google.com/spreadsheets/d/1eHaY18a8A9IcSdp1K8H6x8fbOy06t2VsZHhMHf-1x7Y/edit?usp=sharing"",""แผน!GB23"")"),400)</f>
        <v>400</v>
      </c>
      <c r="J740" s="702">
        <v>0</v>
      </c>
      <c r="K740" s="568">
        <f ca="1">IF(I740&gt;0,J740*100/I740,0)</f>
        <v>0</v>
      </c>
      <c r="L740" s="574"/>
      <c r="M740" s="566"/>
      <c r="N740" s="566"/>
      <c r="O740" s="566"/>
      <c r="P740" s="566"/>
      <c r="Q740" s="566"/>
      <c r="R740" s="566"/>
      <c r="S740" s="566"/>
      <c r="T740" s="566"/>
      <c r="U740" s="566"/>
    </row>
    <row r="741" spans="1:21" ht="18.75" x14ac:dyDescent="0.25">
      <c r="A741" s="849"/>
      <c r="B741" s="850"/>
      <c r="C741" s="850"/>
      <c r="D741" s="850"/>
      <c r="E741" s="850"/>
      <c r="F741" s="1104" t="s">
        <v>306</v>
      </c>
      <c r="G741" s="852"/>
      <c r="H741" s="839" t="s">
        <v>35</v>
      </c>
      <c r="I741" s="829"/>
      <c r="J741" s="1105">
        <v>0</v>
      </c>
      <c r="K741" s="830"/>
      <c r="L741" s="1106"/>
      <c r="M741" s="830"/>
      <c r="N741" s="830"/>
      <c r="O741" s="830"/>
      <c r="P741" s="830"/>
      <c r="Q741" s="830"/>
      <c r="R741" s="830"/>
      <c r="S741" s="830"/>
      <c r="T741" s="830"/>
      <c r="U741" s="830"/>
    </row>
    <row r="742" spans="1:21" ht="18.75" x14ac:dyDescent="0.25">
      <c r="A742" s="849"/>
      <c r="B742" s="850"/>
      <c r="C742" s="850"/>
      <c r="D742" s="850"/>
      <c r="E742" s="850"/>
      <c r="F742" s="1104" t="s">
        <v>307</v>
      </c>
      <c r="G742" s="852"/>
      <c r="H742" s="839" t="s">
        <v>35</v>
      </c>
      <c r="I742" s="960">
        <f ca="1">IFERROR(__xludf.DUMMYFUNCTION("IMPORTRANGE(""https://docs.google.com/spreadsheets/d/1eHaY18a8A9IcSdp1K8H6x8fbOy06t2VsZHhMHf-1x7Y/edit?usp=sharing"",""แผน!GC23"")"),40)</f>
        <v>40</v>
      </c>
      <c r="J742" s="1105">
        <v>0</v>
      </c>
      <c r="K742" s="841">
        <f ca="1">IF(I742&gt;0,J742*100/I742,0)</f>
        <v>0</v>
      </c>
      <c r="L742" s="1106"/>
      <c r="M742" s="830"/>
      <c r="N742" s="830"/>
      <c r="O742" s="830"/>
      <c r="P742" s="830"/>
      <c r="Q742" s="830"/>
      <c r="R742" s="830"/>
      <c r="S742" s="830"/>
      <c r="T742" s="830"/>
      <c r="U742" s="830"/>
    </row>
    <row r="743" spans="1:21" ht="18.75" x14ac:dyDescent="0.25">
      <c r="A743" s="849"/>
      <c r="B743" s="850"/>
      <c r="C743" s="850"/>
      <c r="D743" s="850"/>
      <c r="E743" s="1104" t="s">
        <v>274</v>
      </c>
      <c r="F743" s="850"/>
      <c r="G743" s="852"/>
      <c r="H743" s="959"/>
      <c r="I743" s="829"/>
      <c r="J743" s="829"/>
      <c r="K743" s="830"/>
      <c r="L743" s="1106"/>
      <c r="M743" s="830"/>
      <c r="N743" s="830"/>
      <c r="O743" s="830"/>
      <c r="P743" s="830"/>
      <c r="Q743" s="830"/>
      <c r="R743" s="830"/>
      <c r="S743" s="830"/>
      <c r="T743" s="830"/>
      <c r="U743" s="830"/>
    </row>
    <row r="744" spans="1:21" ht="18.75" x14ac:dyDescent="0.25">
      <c r="A744" s="849"/>
      <c r="B744" s="850"/>
      <c r="C744" s="850"/>
      <c r="D744" s="850"/>
      <c r="E744" s="850"/>
      <c r="F744" s="1104" t="s">
        <v>271</v>
      </c>
      <c r="G744" s="852"/>
      <c r="H744" s="839" t="s">
        <v>46</v>
      </c>
      <c r="I744" s="960">
        <f ca="1">IFERROR(__xludf.DUMMYFUNCTION("IMPORTRANGE(""https://docs.google.com/spreadsheets/d/1eHaY18a8A9IcSdp1K8H6x8fbOy06t2VsZHhMHf-1x7Y/edit?usp=sharing"",""แผน!GD23"")"),100)</f>
        <v>100</v>
      </c>
      <c r="J744" s="1105">
        <v>100</v>
      </c>
      <c r="K744" s="841">
        <f ca="1">IF(I744&gt;0,J744*100/I744,0)</f>
        <v>100</v>
      </c>
      <c r="L744" s="1106"/>
      <c r="M744" s="830"/>
      <c r="N744" s="830"/>
      <c r="O744" s="830"/>
      <c r="P744" s="830"/>
      <c r="Q744" s="830"/>
      <c r="R744" s="830"/>
      <c r="S744" s="830"/>
      <c r="T744" s="830"/>
      <c r="U744" s="830"/>
    </row>
    <row r="745" spans="1:21" ht="18.75" x14ac:dyDescent="0.25">
      <c r="A745" s="849"/>
      <c r="B745" s="850"/>
      <c r="C745" s="850"/>
      <c r="D745" s="850"/>
      <c r="E745" s="850"/>
      <c r="F745" s="1104" t="s">
        <v>308</v>
      </c>
      <c r="G745" s="852"/>
      <c r="H745" s="839" t="s">
        <v>35</v>
      </c>
      <c r="I745" s="829"/>
      <c r="J745" s="1105">
        <v>0</v>
      </c>
      <c r="K745" s="830"/>
      <c r="L745" s="1106"/>
      <c r="M745" s="830"/>
      <c r="N745" s="830"/>
      <c r="O745" s="830"/>
      <c r="P745" s="830"/>
      <c r="Q745" s="830"/>
      <c r="R745" s="830"/>
      <c r="S745" s="830"/>
      <c r="T745" s="830"/>
      <c r="U745" s="830"/>
    </row>
    <row r="746" spans="1:21" ht="18.75" x14ac:dyDescent="0.25">
      <c r="A746" s="849"/>
      <c r="B746" s="850"/>
      <c r="C746" s="850"/>
      <c r="D746" s="850"/>
      <c r="E746" s="850"/>
      <c r="F746" s="1104" t="s">
        <v>309</v>
      </c>
      <c r="G746" s="852"/>
      <c r="H746" s="839" t="s">
        <v>35</v>
      </c>
      <c r="I746" s="960">
        <f ca="1">IFERROR(__xludf.DUMMYFUNCTION("IMPORTRANGE(""https://docs.google.com/spreadsheets/d/1eHaY18a8A9IcSdp1K8H6x8fbOy06t2VsZHhMHf-1x7Y/edit?usp=sharing"",""แผน!GE23"")"),10)</f>
        <v>10</v>
      </c>
      <c r="J746" s="1105">
        <v>10</v>
      </c>
      <c r="K746" s="841">
        <f ca="1">IF(I746&gt;0,J746*100/I746,0)</f>
        <v>100</v>
      </c>
      <c r="L746" s="1106"/>
      <c r="M746" s="830"/>
      <c r="N746" s="830"/>
      <c r="O746" s="830"/>
      <c r="P746" s="830"/>
      <c r="Q746" s="830"/>
      <c r="R746" s="830"/>
      <c r="S746" s="830"/>
      <c r="T746" s="830"/>
      <c r="U746" s="830"/>
    </row>
    <row r="747" spans="1:21" ht="18.75" x14ac:dyDescent="0.25">
      <c r="A747" s="849"/>
      <c r="B747" s="850"/>
      <c r="C747" s="850"/>
      <c r="D747" s="850"/>
      <c r="E747" s="1104" t="s">
        <v>277</v>
      </c>
      <c r="F747" s="1107"/>
      <c r="G747" s="852"/>
      <c r="H747" s="959"/>
      <c r="I747" s="829"/>
      <c r="J747" s="829"/>
      <c r="K747" s="830"/>
      <c r="L747" s="1106"/>
      <c r="M747" s="830"/>
      <c r="N747" s="830"/>
      <c r="O747" s="830"/>
      <c r="P747" s="830"/>
      <c r="Q747" s="830"/>
      <c r="R747" s="830"/>
      <c r="S747" s="830"/>
      <c r="T747" s="830"/>
      <c r="U747" s="830"/>
    </row>
    <row r="748" spans="1:21" ht="18.75" x14ac:dyDescent="0.25">
      <c r="A748" s="849"/>
      <c r="B748" s="850"/>
      <c r="C748" s="850"/>
      <c r="D748" s="850"/>
      <c r="E748" s="850"/>
      <c r="F748" s="1104" t="s">
        <v>310</v>
      </c>
      <c r="G748" s="852"/>
      <c r="H748" s="839" t="s">
        <v>35</v>
      </c>
      <c r="I748" s="829"/>
      <c r="J748" s="1105">
        <v>0</v>
      </c>
      <c r="K748" s="830"/>
      <c r="L748" s="1106"/>
      <c r="M748" s="830"/>
      <c r="N748" s="830"/>
      <c r="O748" s="830"/>
      <c r="P748" s="830"/>
      <c r="Q748" s="830"/>
      <c r="R748" s="830"/>
      <c r="S748" s="830"/>
      <c r="T748" s="830"/>
      <c r="U748" s="830"/>
    </row>
    <row r="749" spans="1:21" ht="18.75" x14ac:dyDescent="0.25">
      <c r="A749" s="849"/>
      <c r="B749" s="850"/>
      <c r="C749" s="850"/>
      <c r="D749" s="850"/>
      <c r="E749" s="850"/>
      <c r="F749" s="1104" t="s">
        <v>311</v>
      </c>
      <c r="G749" s="852"/>
      <c r="H749" s="839" t="s">
        <v>35</v>
      </c>
      <c r="I749" s="960">
        <f ca="1">IFERROR(__xludf.DUMMYFUNCTION("IMPORTRANGE(""https://docs.google.com/spreadsheets/d/1eHaY18a8A9IcSdp1K8H6x8fbOy06t2VsZHhMHf-1x7Y/edit?usp=sharing"",""แผน!GF23"")"),1)</f>
        <v>1</v>
      </c>
      <c r="J749" s="1105">
        <v>1</v>
      </c>
      <c r="K749" s="841">
        <f ca="1">IF(I749&gt;0,J749*100/I749,0)</f>
        <v>100</v>
      </c>
      <c r="L749" s="1106"/>
      <c r="M749" s="830"/>
      <c r="N749" s="830"/>
      <c r="O749" s="830"/>
      <c r="P749" s="830"/>
      <c r="Q749" s="830"/>
      <c r="R749" s="830"/>
      <c r="S749" s="830"/>
      <c r="T749" s="830"/>
      <c r="U749" s="830"/>
    </row>
    <row r="750" spans="1:21" ht="19.5" x14ac:dyDescent="0.3">
      <c r="A750" s="849"/>
      <c r="B750" s="850"/>
      <c r="C750" s="850"/>
      <c r="D750" s="1108" t="s">
        <v>50</v>
      </c>
      <c r="E750" s="850"/>
      <c r="F750" s="1107"/>
      <c r="G750" s="852"/>
      <c r="H750" s="959"/>
      <c r="I750" s="829"/>
      <c r="J750" s="829"/>
      <c r="K750" s="830"/>
      <c r="L750" s="1106"/>
      <c r="M750" s="830"/>
      <c r="N750" s="830"/>
      <c r="O750" s="830"/>
      <c r="P750" s="830"/>
      <c r="Q750" s="830"/>
      <c r="R750" s="830"/>
      <c r="S750" s="830"/>
      <c r="T750" s="830"/>
      <c r="U750" s="830"/>
    </row>
    <row r="751" spans="1:21" ht="18.75" x14ac:dyDescent="0.25">
      <c r="A751" s="849"/>
      <c r="B751" s="850"/>
      <c r="C751" s="850"/>
      <c r="D751" s="850"/>
      <c r="E751" s="1104" t="s">
        <v>270</v>
      </c>
      <c r="F751" s="1107"/>
      <c r="G751" s="852"/>
      <c r="H751" s="959"/>
      <c r="I751" s="829"/>
      <c r="J751" s="829"/>
      <c r="K751" s="830"/>
      <c r="L751" s="1106"/>
      <c r="M751" s="830"/>
      <c r="N751" s="830"/>
      <c r="O751" s="830"/>
      <c r="P751" s="830"/>
      <c r="Q751" s="830"/>
      <c r="R751" s="830"/>
      <c r="S751" s="830"/>
      <c r="T751" s="830"/>
      <c r="U751" s="830"/>
    </row>
    <row r="752" spans="1:21" ht="18.75" x14ac:dyDescent="0.25">
      <c r="A752" s="849"/>
      <c r="B752" s="850"/>
      <c r="C752" s="850"/>
      <c r="D752" s="850"/>
      <c r="E752" s="850"/>
      <c r="F752" s="1109" t="s">
        <v>312</v>
      </c>
      <c r="G752" s="852"/>
      <c r="H752" s="839" t="s">
        <v>46</v>
      </c>
      <c r="I752" s="960">
        <f ca="1">IFERROR(__xludf.DUMMYFUNCTION("IMPORTRANGE(""https://docs.google.com/spreadsheets/d/1eHaY18a8A9IcSdp1K8H6x8fbOy06t2VsZHhMHf-1x7Y/edit?usp=sharing"",""แผน!GB23"")"),400)</f>
        <v>400</v>
      </c>
      <c r="J752" s="1105">
        <v>0</v>
      </c>
      <c r="K752" s="841">
        <f ca="1">IF(I752&gt;0,J752*100/I752,0)</f>
        <v>0</v>
      </c>
      <c r="L752" s="1106"/>
      <c r="M752" s="830"/>
      <c r="N752" s="830"/>
      <c r="O752" s="830"/>
      <c r="P752" s="830"/>
      <c r="Q752" s="830"/>
      <c r="R752" s="830"/>
      <c r="S752" s="830"/>
      <c r="T752" s="830"/>
      <c r="U752" s="830"/>
    </row>
    <row r="753" spans="1:21" ht="18.75" x14ac:dyDescent="0.25">
      <c r="A753" s="849"/>
      <c r="B753" s="850"/>
      <c r="C753" s="850"/>
      <c r="D753" s="850"/>
      <c r="E753" s="850"/>
      <c r="F753" s="1109" t="s">
        <v>313</v>
      </c>
      <c r="G753" s="852"/>
      <c r="H753" s="839" t="s">
        <v>46</v>
      </c>
      <c r="I753" s="829"/>
      <c r="J753" s="1105">
        <v>0</v>
      </c>
      <c r="K753" s="830"/>
      <c r="L753" s="1106"/>
      <c r="M753" s="830"/>
      <c r="N753" s="830"/>
      <c r="O753" s="830"/>
      <c r="P753" s="830"/>
      <c r="Q753" s="830"/>
      <c r="R753" s="830"/>
      <c r="S753" s="830"/>
      <c r="T753" s="830"/>
      <c r="U753" s="830"/>
    </row>
    <row r="754" spans="1:21" ht="18.75" x14ac:dyDescent="0.25">
      <c r="A754" s="849"/>
      <c r="B754" s="850"/>
      <c r="C754" s="850"/>
      <c r="D754" s="850"/>
      <c r="E754" s="1104" t="s">
        <v>274</v>
      </c>
      <c r="F754" s="1107"/>
      <c r="G754" s="852"/>
      <c r="H754" s="959"/>
      <c r="I754" s="829"/>
      <c r="J754" s="829"/>
      <c r="K754" s="830"/>
      <c r="L754" s="1106"/>
      <c r="M754" s="830"/>
      <c r="N754" s="830"/>
      <c r="O754" s="830"/>
      <c r="P754" s="830"/>
      <c r="Q754" s="830"/>
      <c r="R754" s="830"/>
      <c r="S754" s="830"/>
      <c r="T754" s="830"/>
      <c r="U754" s="830"/>
    </row>
    <row r="755" spans="1:21" ht="18.75" x14ac:dyDescent="0.25">
      <c r="A755" s="849"/>
      <c r="B755" s="850"/>
      <c r="C755" s="850"/>
      <c r="D755" s="850"/>
      <c r="E755" s="1107"/>
      <c r="F755" s="1109" t="s">
        <v>314</v>
      </c>
      <c r="G755" s="852"/>
      <c r="H755" s="839" t="s">
        <v>46</v>
      </c>
      <c r="I755" s="960">
        <f ca="1">IFERROR(__xludf.DUMMYFUNCTION("IMPORTRANGE(""https://docs.google.com/spreadsheets/d/1eHaY18a8A9IcSdp1K8H6x8fbOy06t2VsZHhMHf-1x7Y/edit?usp=sharing"",""แผน!GD23"")"),100)</f>
        <v>100</v>
      </c>
      <c r="J755" s="1105">
        <v>0</v>
      </c>
      <c r="K755" s="841">
        <f ca="1">IF(I755&gt;0,J755*100/I755,0)</f>
        <v>0</v>
      </c>
      <c r="L755" s="1106"/>
      <c r="M755" s="830"/>
      <c r="N755" s="830"/>
      <c r="O755" s="830"/>
      <c r="P755" s="830"/>
      <c r="Q755" s="830"/>
      <c r="R755" s="830"/>
      <c r="S755" s="830"/>
      <c r="T755" s="830"/>
      <c r="U755" s="830"/>
    </row>
    <row r="756" spans="1:21" ht="18.75" x14ac:dyDescent="0.25">
      <c r="A756" s="849"/>
      <c r="B756" s="850"/>
      <c r="C756" s="850"/>
      <c r="D756" s="850"/>
      <c r="E756" s="1107"/>
      <c r="F756" s="1109" t="s">
        <v>315</v>
      </c>
      <c r="G756" s="852"/>
      <c r="H756" s="839" t="s">
        <v>46</v>
      </c>
      <c r="I756" s="829"/>
      <c r="J756" s="1105">
        <v>0</v>
      </c>
      <c r="K756" s="830"/>
      <c r="L756" s="1106"/>
      <c r="M756" s="830"/>
      <c r="N756" s="830"/>
      <c r="O756" s="830"/>
      <c r="P756" s="830"/>
      <c r="Q756" s="830"/>
      <c r="R756" s="830"/>
      <c r="S756" s="830"/>
      <c r="T756" s="830"/>
      <c r="U756" s="830"/>
    </row>
    <row r="757" spans="1:21" ht="18.75" x14ac:dyDescent="0.25">
      <c r="A757" s="1110"/>
      <c r="B757" s="1110"/>
      <c r="C757" s="1110"/>
      <c r="D757" s="1110"/>
      <c r="E757" s="1111" t="s">
        <v>284</v>
      </c>
      <c r="F757" s="1112"/>
      <c r="G757" s="1113"/>
      <c r="H757" s="1114" t="s">
        <v>35</v>
      </c>
      <c r="I757" s="1115"/>
      <c r="J757" s="861">
        <v>0</v>
      </c>
      <c r="K757" s="1116"/>
      <c r="L757" s="1116"/>
      <c r="M757" s="1116"/>
      <c r="N757" s="1116"/>
      <c r="O757" s="1116"/>
      <c r="P757" s="1116"/>
      <c r="Q757" s="1116"/>
      <c r="R757" s="1116"/>
      <c r="S757" s="1116"/>
      <c r="T757" s="1116"/>
      <c r="U757" s="1116"/>
    </row>
    <row r="758" spans="1:21" ht="19.5" x14ac:dyDescent="0.3">
      <c r="A758" s="1061"/>
      <c r="B758" s="1062" t="s">
        <v>285</v>
      </c>
      <c r="C758" s="1061"/>
      <c r="D758" s="1063"/>
      <c r="E758" s="1063"/>
      <c r="F758" s="1063"/>
      <c r="G758" s="1064"/>
      <c r="H758" s="1092" t="s">
        <v>35</v>
      </c>
      <c r="I758" s="1093">
        <f t="shared" ref="I758:J758" ca="1" si="451">I772</f>
        <v>79</v>
      </c>
      <c r="J758" s="1093">
        <f t="shared" si="451"/>
        <v>0</v>
      </c>
      <c r="K758" s="1094">
        <f t="shared" ref="K758:K759" ca="1" si="452">IF(I758&gt;0,J758*100/I758,0)</f>
        <v>0</v>
      </c>
      <c r="L758" s="1068"/>
      <c r="M758" s="1067"/>
      <c r="N758" s="1067"/>
      <c r="O758" s="1067"/>
      <c r="P758" s="1067"/>
      <c r="Q758" s="1067"/>
      <c r="R758" s="1067"/>
      <c r="S758" s="1067"/>
      <c r="T758" s="1067"/>
      <c r="U758" s="1067"/>
    </row>
    <row r="759" spans="1:21" ht="19.5" x14ac:dyDescent="0.3">
      <c r="A759" s="1102"/>
      <c r="B759" s="1061"/>
      <c r="C759" s="1061"/>
      <c r="D759" s="1063"/>
      <c r="E759" s="1063"/>
      <c r="F759" s="1063"/>
      <c r="G759" s="1064"/>
      <c r="H759" s="1092" t="s">
        <v>46</v>
      </c>
      <c r="I759" s="1093">
        <f t="shared" ref="I759:J759" ca="1" si="453">I774</f>
        <v>406</v>
      </c>
      <c r="J759" s="1093">
        <f t="shared" si="453"/>
        <v>95</v>
      </c>
      <c r="K759" s="1094">
        <f t="shared" ca="1" si="452"/>
        <v>23.399014778325125</v>
      </c>
      <c r="L759" s="1068"/>
      <c r="M759" s="1067"/>
      <c r="N759" s="1067"/>
      <c r="O759" s="1067"/>
      <c r="P759" s="1067"/>
      <c r="Q759" s="1067"/>
      <c r="R759" s="1067"/>
      <c r="S759" s="1067"/>
      <c r="T759" s="1067"/>
      <c r="U759" s="1067"/>
    </row>
    <row r="760" spans="1:21" ht="19.5" x14ac:dyDescent="0.3">
      <c r="A760" s="674"/>
      <c r="B760" s="718"/>
      <c r="C760" s="724" t="s">
        <v>18</v>
      </c>
      <c r="D760" s="1310" t="s">
        <v>19</v>
      </c>
      <c r="E760" s="1311"/>
      <c r="F760" s="1311"/>
      <c r="G760" s="1312"/>
      <c r="H760" s="780" t="s">
        <v>14</v>
      </c>
      <c r="I760" s="565"/>
      <c r="J760" s="565"/>
      <c r="K760" s="566"/>
      <c r="L760" s="678">
        <f t="shared" ref="L760:N760" si="454">L761+L762</f>
        <v>0</v>
      </c>
      <c r="M760" s="679">
        <f t="shared" si="454"/>
        <v>0</v>
      </c>
      <c r="N760" s="679">
        <f t="shared" si="454"/>
        <v>0</v>
      </c>
      <c r="O760" s="679">
        <f t="shared" ref="O760:O768" si="455">IF(L760&gt;0,N760*100/L760,0)</f>
        <v>0</v>
      </c>
      <c r="P760" s="679">
        <f t="shared" ref="P760:P768" si="456">IF(M760&gt;0,N760*100/M760,0)</f>
        <v>0</v>
      </c>
      <c r="Q760" s="679">
        <f t="shared" ref="Q760:S760" ca="1" si="457">Q761+Q762</f>
        <v>790870</v>
      </c>
      <c r="R760" s="679">
        <f t="shared" ca="1" si="457"/>
        <v>790870</v>
      </c>
      <c r="S760" s="679">
        <f t="shared" ca="1" si="457"/>
        <v>121465</v>
      </c>
      <c r="T760" s="679">
        <f t="shared" ref="T760:T768" ca="1" si="458">IF(Q760&gt;0,S760*100/Q760,0)</f>
        <v>15.358402771631242</v>
      </c>
      <c r="U760" s="679">
        <f t="shared" ref="U760:U768" ca="1" si="459">IF(R760&gt;0,S760*100/R760,0)</f>
        <v>15.358402771631242</v>
      </c>
    </row>
    <row r="761" spans="1:21" ht="18.75" x14ac:dyDescent="0.25">
      <c r="A761" s="674"/>
      <c r="B761" s="718"/>
      <c r="C761" s="718"/>
      <c r="D761" s="695"/>
      <c r="E761" s="569" t="s">
        <v>158</v>
      </c>
      <c r="F761" s="561"/>
      <c r="G761" s="563"/>
      <c r="H761" s="685" t="s">
        <v>14</v>
      </c>
      <c r="I761" s="565"/>
      <c r="J761" s="565"/>
      <c r="K761" s="566"/>
      <c r="L761" s="571">
        <f t="shared" ref="L761:N762" si="460">L764+L767</f>
        <v>0</v>
      </c>
      <c r="M761" s="572">
        <f t="shared" si="460"/>
        <v>0</v>
      </c>
      <c r="N761" s="572">
        <f t="shared" si="460"/>
        <v>0</v>
      </c>
      <c r="O761" s="572">
        <f t="shared" si="455"/>
        <v>0</v>
      </c>
      <c r="P761" s="572">
        <f t="shared" si="456"/>
        <v>0</v>
      </c>
      <c r="Q761" s="572">
        <f t="shared" ref="Q761:S762" si="461">Q764+Q767</f>
        <v>0</v>
      </c>
      <c r="R761" s="572">
        <f t="shared" si="461"/>
        <v>0</v>
      </c>
      <c r="S761" s="572">
        <f t="shared" si="461"/>
        <v>0</v>
      </c>
      <c r="T761" s="572">
        <f t="shared" si="458"/>
        <v>0</v>
      </c>
      <c r="U761" s="572">
        <f t="shared" si="459"/>
        <v>0</v>
      </c>
    </row>
    <row r="762" spans="1:21" ht="18.75" x14ac:dyDescent="0.25">
      <c r="A762" s="674"/>
      <c r="B762" s="718"/>
      <c r="C762" s="720"/>
      <c r="D762" s="695"/>
      <c r="E762" s="573" t="s">
        <v>159</v>
      </c>
      <c r="F762" s="561"/>
      <c r="G762" s="563"/>
      <c r="H762" s="682" t="s">
        <v>14</v>
      </c>
      <c r="I762" s="565"/>
      <c r="J762" s="565"/>
      <c r="K762" s="566"/>
      <c r="L762" s="567">
        <f t="shared" si="460"/>
        <v>0</v>
      </c>
      <c r="M762" s="568">
        <f t="shared" si="460"/>
        <v>0</v>
      </c>
      <c r="N762" s="568">
        <f t="shared" si="460"/>
        <v>0</v>
      </c>
      <c r="O762" s="568">
        <f t="shared" si="455"/>
        <v>0</v>
      </c>
      <c r="P762" s="568">
        <f t="shared" si="456"/>
        <v>0</v>
      </c>
      <c r="Q762" s="568">
        <f t="shared" ca="1" si="461"/>
        <v>790870</v>
      </c>
      <c r="R762" s="568">
        <f t="shared" ca="1" si="461"/>
        <v>790870</v>
      </c>
      <c r="S762" s="568">
        <f t="shared" ca="1" si="461"/>
        <v>121465</v>
      </c>
      <c r="T762" s="568">
        <f t="shared" ca="1" si="458"/>
        <v>15.358402771631242</v>
      </c>
      <c r="U762" s="568">
        <f t="shared" ca="1" si="459"/>
        <v>15.358402771631242</v>
      </c>
    </row>
    <row r="763" spans="1:21" ht="18.75" x14ac:dyDescent="0.25">
      <c r="A763" s="674"/>
      <c r="B763" s="718"/>
      <c r="C763" s="720"/>
      <c r="D763" s="562" t="s">
        <v>22</v>
      </c>
      <c r="E763" s="561"/>
      <c r="F763" s="561"/>
      <c r="G763" s="563"/>
      <c r="H763" s="682" t="s">
        <v>14</v>
      </c>
      <c r="I763" s="683"/>
      <c r="J763" s="683"/>
      <c r="K763" s="684"/>
      <c r="L763" s="567">
        <f t="shared" ref="L763:N763" si="462">L764+L765</f>
        <v>0</v>
      </c>
      <c r="M763" s="568">
        <f t="shared" si="462"/>
        <v>0</v>
      </c>
      <c r="N763" s="568">
        <f t="shared" si="462"/>
        <v>0</v>
      </c>
      <c r="O763" s="568">
        <f t="shared" si="455"/>
        <v>0</v>
      </c>
      <c r="P763" s="568">
        <f t="shared" si="456"/>
        <v>0</v>
      </c>
      <c r="Q763" s="568">
        <f t="shared" ref="Q763:S763" ca="1" si="463">Q764+Q765</f>
        <v>790870</v>
      </c>
      <c r="R763" s="568">
        <f t="shared" ca="1" si="463"/>
        <v>790870</v>
      </c>
      <c r="S763" s="568">
        <f t="shared" ca="1" si="463"/>
        <v>121465</v>
      </c>
      <c r="T763" s="568">
        <f t="shared" ca="1" si="458"/>
        <v>15.358402771631242</v>
      </c>
      <c r="U763" s="568">
        <f t="shared" ca="1" si="459"/>
        <v>15.358402771631242</v>
      </c>
    </row>
    <row r="764" spans="1:21" ht="18.75" x14ac:dyDescent="0.25">
      <c r="A764" s="674"/>
      <c r="B764" s="718"/>
      <c r="C764" s="720"/>
      <c r="D764" s="695"/>
      <c r="E764" s="569" t="s">
        <v>158</v>
      </c>
      <c r="F764" s="561"/>
      <c r="G764" s="563"/>
      <c r="H764" s="685" t="s">
        <v>14</v>
      </c>
      <c r="I764" s="565"/>
      <c r="J764" s="565"/>
      <c r="K764" s="566"/>
      <c r="L764" s="571">
        <v>0</v>
      </c>
      <c r="M764" s="572">
        <v>0</v>
      </c>
      <c r="N764" s="572">
        <v>0</v>
      </c>
      <c r="O764" s="572">
        <f t="shared" si="455"/>
        <v>0</v>
      </c>
      <c r="P764" s="572">
        <f t="shared" si="456"/>
        <v>0</v>
      </c>
      <c r="Q764" s="572">
        <v>0</v>
      </c>
      <c r="R764" s="572">
        <v>0</v>
      </c>
      <c r="S764" s="572">
        <v>0</v>
      </c>
      <c r="T764" s="572">
        <f t="shared" si="458"/>
        <v>0</v>
      </c>
      <c r="U764" s="572">
        <f t="shared" si="459"/>
        <v>0</v>
      </c>
    </row>
    <row r="765" spans="1:21" ht="18.75" x14ac:dyDescent="0.25">
      <c r="A765" s="674"/>
      <c r="B765" s="718"/>
      <c r="C765" s="720"/>
      <c r="D765" s="695"/>
      <c r="E765" s="573" t="s">
        <v>159</v>
      </c>
      <c r="F765" s="561"/>
      <c r="G765" s="563"/>
      <c r="H765" s="682" t="s">
        <v>14</v>
      </c>
      <c r="I765" s="565"/>
      <c r="J765" s="565"/>
      <c r="K765" s="566"/>
      <c r="L765" s="567">
        <v>0</v>
      </c>
      <c r="M765" s="568">
        <v>0</v>
      </c>
      <c r="N765" s="568">
        <v>0</v>
      </c>
      <c r="O765" s="568">
        <f t="shared" si="455"/>
        <v>0</v>
      </c>
      <c r="P765" s="568">
        <f t="shared" si="456"/>
        <v>0</v>
      </c>
      <c r="Q765" s="568">
        <f ca="1">IFERROR(__xludf.DUMMYFUNCTION("IMPORTRANGE(""https://docs.google.com/spreadsheets/d/1ItG2mGa2ceCfYo0BwxsXqNm01IGEUdYcSSLTEv9YCik/edit?usp=sharing"",""เบิกจ่ายกองทุน!AA23"")"),790870)</f>
        <v>790870</v>
      </c>
      <c r="R765" s="568">
        <f ca="1">IFERROR(__xludf.DUMMYFUNCTION("IMPORTRANGE(""https://docs.google.com/spreadsheets/d/1ItG2mGa2ceCfYo0BwxsXqNm01IGEUdYcSSLTEv9YCik/edit?usp=sharing"",""เบิกจ่ายกองทุน!AB23"")"),790870)</f>
        <v>790870</v>
      </c>
      <c r="S765" s="568">
        <f ca="1">IFERROR(__xludf.DUMMYFUNCTION("IMPORTRANGE(""https://docs.google.com/spreadsheets/d/1ItG2mGa2ceCfYo0BwxsXqNm01IGEUdYcSSLTEv9YCik/edit?usp=sharing"",""เบิกจ่ายกองทุน!AC23"")"),121465)</f>
        <v>121465</v>
      </c>
      <c r="T765" s="568">
        <f t="shared" ca="1" si="458"/>
        <v>15.358402771631242</v>
      </c>
      <c r="U765" s="568">
        <f t="shared" ca="1" si="459"/>
        <v>15.358402771631242</v>
      </c>
    </row>
    <row r="766" spans="1:21" ht="18.75" x14ac:dyDescent="0.25">
      <c r="A766" s="674"/>
      <c r="B766" s="718"/>
      <c r="C766" s="718"/>
      <c r="D766" s="562" t="s">
        <v>23</v>
      </c>
      <c r="E766" s="718"/>
      <c r="F766" s="561"/>
      <c r="G766" s="563"/>
      <c r="H766" s="686" t="s">
        <v>14</v>
      </c>
      <c r="I766" s="683"/>
      <c r="J766" s="683"/>
      <c r="K766" s="684"/>
      <c r="L766" s="567">
        <f t="shared" ref="L766:N766" si="464">L767+L768</f>
        <v>0</v>
      </c>
      <c r="M766" s="568">
        <f t="shared" si="464"/>
        <v>0</v>
      </c>
      <c r="N766" s="568">
        <f t="shared" si="464"/>
        <v>0</v>
      </c>
      <c r="O766" s="568">
        <f t="shared" si="455"/>
        <v>0</v>
      </c>
      <c r="P766" s="568">
        <f t="shared" si="456"/>
        <v>0</v>
      </c>
      <c r="Q766" s="568">
        <f t="shared" ref="Q766:S766" si="465">Q767+Q768</f>
        <v>0</v>
      </c>
      <c r="R766" s="568">
        <f t="shared" si="465"/>
        <v>0</v>
      </c>
      <c r="S766" s="568">
        <f t="shared" si="465"/>
        <v>0</v>
      </c>
      <c r="T766" s="568">
        <f t="shared" si="458"/>
        <v>0</v>
      </c>
      <c r="U766" s="568">
        <f t="shared" si="459"/>
        <v>0</v>
      </c>
    </row>
    <row r="767" spans="1:21" ht="18.75" x14ac:dyDescent="0.25">
      <c r="A767" s="674"/>
      <c r="B767" s="718"/>
      <c r="C767" s="718"/>
      <c r="D767" s="718"/>
      <c r="E767" s="767" t="s">
        <v>20</v>
      </c>
      <c r="F767" s="561"/>
      <c r="G767" s="563"/>
      <c r="H767" s="685" t="s">
        <v>14</v>
      </c>
      <c r="I767" s="683"/>
      <c r="J767" s="683"/>
      <c r="K767" s="684"/>
      <c r="L767" s="571">
        <v>0</v>
      </c>
      <c r="M767" s="572">
        <v>0</v>
      </c>
      <c r="N767" s="572">
        <v>0</v>
      </c>
      <c r="O767" s="572">
        <f t="shared" si="455"/>
        <v>0</v>
      </c>
      <c r="P767" s="572">
        <f t="shared" si="456"/>
        <v>0</v>
      </c>
      <c r="Q767" s="572">
        <v>0</v>
      </c>
      <c r="R767" s="572">
        <v>0</v>
      </c>
      <c r="S767" s="572">
        <v>0</v>
      </c>
      <c r="T767" s="572">
        <f t="shared" si="458"/>
        <v>0</v>
      </c>
      <c r="U767" s="572">
        <f t="shared" si="459"/>
        <v>0</v>
      </c>
    </row>
    <row r="768" spans="1:21" ht="18.75" x14ac:dyDescent="0.25">
      <c r="A768" s="674"/>
      <c r="B768" s="718"/>
      <c r="C768" s="718"/>
      <c r="D768" s="718"/>
      <c r="E768" s="765" t="s">
        <v>21</v>
      </c>
      <c r="F768" s="561"/>
      <c r="G768" s="563"/>
      <c r="H768" s="686" t="s">
        <v>14</v>
      </c>
      <c r="I768" s="683"/>
      <c r="J768" s="683"/>
      <c r="K768" s="684"/>
      <c r="L768" s="567">
        <v>0</v>
      </c>
      <c r="M768" s="568">
        <v>0</v>
      </c>
      <c r="N768" s="568">
        <v>0</v>
      </c>
      <c r="O768" s="568">
        <f t="shared" si="455"/>
        <v>0</v>
      </c>
      <c r="P768" s="568">
        <f t="shared" si="456"/>
        <v>0</v>
      </c>
      <c r="Q768" s="568">
        <v>0</v>
      </c>
      <c r="R768" s="568">
        <v>0</v>
      </c>
      <c r="S768" s="568">
        <v>0</v>
      </c>
      <c r="T768" s="568">
        <f t="shared" si="458"/>
        <v>0</v>
      </c>
      <c r="U768" s="568">
        <f t="shared" si="459"/>
        <v>0</v>
      </c>
    </row>
    <row r="769" spans="1:21" ht="19.5" x14ac:dyDescent="0.3">
      <c r="A769" s="687"/>
      <c r="B769" s="688"/>
      <c r="C769" s="1117" t="s">
        <v>18</v>
      </c>
      <c r="D769" s="1078" t="s">
        <v>38</v>
      </c>
      <c r="E769" s="758"/>
      <c r="F769" s="690"/>
      <c r="G769" s="691"/>
      <c r="H769" s="725"/>
      <c r="I769" s="565"/>
      <c r="J769" s="565"/>
      <c r="K769" s="566"/>
      <c r="L769" s="574"/>
      <c r="M769" s="566"/>
      <c r="N769" s="566"/>
      <c r="O769" s="566"/>
      <c r="P769" s="566"/>
      <c r="Q769" s="566"/>
      <c r="R769" s="566"/>
      <c r="S769" s="566"/>
      <c r="T769" s="566"/>
      <c r="U769" s="566"/>
    </row>
    <row r="770" spans="1:21" ht="18.75" x14ac:dyDescent="0.25">
      <c r="A770" s="687"/>
      <c r="B770" s="688"/>
      <c r="C770" s="688"/>
      <c r="D770" s="1042" t="s">
        <v>286</v>
      </c>
      <c r="E770" s="688"/>
      <c r="F770" s="695"/>
      <c r="G770" s="692"/>
      <c r="H770" s="734" t="s">
        <v>35</v>
      </c>
      <c r="I770" s="735">
        <f ca="1">IFERROR(__xludf.DUMMYFUNCTION("IMPORTRANGE(""https://docs.google.com/spreadsheets/d/1eHaY18a8A9IcSdp1K8H6x8fbOy06t2VsZHhMHf-1x7Y/edit?usp=sharing"",""แผน!FI23"")"),0)</f>
        <v>0</v>
      </c>
      <c r="J770" s="735">
        <v>0</v>
      </c>
      <c r="K770" s="572">
        <f ca="1">IF(I770&gt;0,J770*100/I770,0)</f>
        <v>0</v>
      </c>
      <c r="L770" s="574"/>
      <c r="M770" s="566"/>
      <c r="N770" s="566"/>
      <c r="O770" s="566"/>
      <c r="P770" s="566"/>
      <c r="Q770" s="566"/>
      <c r="R770" s="566"/>
      <c r="S770" s="566"/>
      <c r="T770" s="566"/>
      <c r="U770" s="566"/>
    </row>
    <row r="771" spans="1:21" ht="18.75" x14ac:dyDescent="0.25">
      <c r="A771" s="687"/>
      <c r="B771" s="688"/>
      <c r="C771" s="688"/>
      <c r="D771" s="1042" t="s">
        <v>287</v>
      </c>
      <c r="E771" s="688"/>
      <c r="F771" s="695"/>
      <c r="G771" s="692"/>
      <c r="H771" s="725"/>
      <c r="I771" s="565"/>
      <c r="J771" s="565"/>
      <c r="K771" s="566"/>
      <c r="L771" s="574"/>
      <c r="M771" s="566"/>
      <c r="N771" s="566"/>
      <c r="O771" s="566"/>
      <c r="P771" s="566"/>
      <c r="Q771" s="566"/>
      <c r="R771" s="566"/>
      <c r="S771" s="566"/>
      <c r="T771" s="566"/>
      <c r="U771" s="566"/>
    </row>
    <row r="772" spans="1:21" ht="18.75" x14ac:dyDescent="0.25">
      <c r="A772" s="687"/>
      <c r="B772" s="688"/>
      <c r="C772" s="688"/>
      <c r="D772" s="1079" t="s">
        <v>288</v>
      </c>
      <c r="E772" s="688"/>
      <c r="F772" s="695"/>
      <c r="G772" s="692"/>
      <c r="H772" s="686" t="s">
        <v>35</v>
      </c>
      <c r="I772" s="708">
        <f ca="1">IFERROR(__xludf.DUMMYFUNCTION("IMPORTRANGE(""https://docs.google.com/spreadsheets/d/1eHaY18a8A9IcSdp1K8H6x8fbOy06t2VsZHhMHf-1x7Y/edit?usp=sharing"",""แผน!FQ23"")"),79)</f>
        <v>79</v>
      </c>
      <c r="J772" s="702">
        <v>0</v>
      </c>
      <c r="K772" s="568">
        <f ca="1">IF(I772&gt;0,J772*100/I772,0)</f>
        <v>0</v>
      </c>
      <c r="L772" s="574"/>
      <c r="M772" s="566"/>
      <c r="N772" s="566"/>
      <c r="O772" s="566"/>
      <c r="P772" s="566"/>
      <c r="Q772" s="566"/>
      <c r="R772" s="566"/>
      <c r="S772" s="566"/>
      <c r="T772" s="566"/>
      <c r="U772" s="566"/>
    </row>
    <row r="773" spans="1:21" ht="18.75" x14ac:dyDescent="0.25">
      <c r="A773" s="687"/>
      <c r="B773" s="688"/>
      <c r="C773" s="688"/>
      <c r="D773" s="1079" t="s">
        <v>289</v>
      </c>
      <c r="E773" s="688"/>
      <c r="F773" s="695"/>
      <c r="G773" s="692"/>
      <c r="H773" s="725"/>
      <c r="I773" s="565"/>
      <c r="J773" s="565"/>
      <c r="K773" s="566"/>
      <c r="L773" s="574"/>
      <c r="M773" s="566"/>
      <c r="N773" s="566"/>
      <c r="O773" s="566"/>
      <c r="P773" s="566"/>
      <c r="Q773" s="566"/>
      <c r="R773" s="566"/>
      <c r="S773" s="566"/>
      <c r="T773" s="566"/>
      <c r="U773" s="566"/>
    </row>
    <row r="774" spans="1:21" ht="18.75" x14ac:dyDescent="0.25">
      <c r="A774" s="687"/>
      <c r="B774" s="688"/>
      <c r="C774" s="688"/>
      <c r="D774" s="1079" t="s">
        <v>290</v>
      </c>
      <c r="E774" s="688"/>
      <c r="F774" s="695"/>
      <c r="G774" s="692"/>
      <c r="H774" s="686" t="s">
        <v>46</v>
      </c>
      <c r="I774" s="708">
        <f ca="1">IFERROR(__xludf.DUMMYFUNCTION("IMPORTRANGE(""https://docs.google.com/spreadsheets/d/1eHaY18a8A9IcSdp1K8H6x8fbOy06t2VsZHhMHf-1x7Y/edit?usp=sharing"",""แผน!FR23"")"),406)</f>
        <v>406</v>
      </c>
      <c r="J774" s="702">
        <v>95</v>
      </c>
      <c r="K774" s="568">
        <f ca="1">IF(I774&gt;0,J774*100/I774,0)</f>
        <v>23.399014778325125</v>
      </c>
      <c r="L774" s="574"/>
      <c r="M774" s="566"/>
      <c r="N774" s="566"/>
      <c r="O774" s="566"/>
      <c r="P774" s="566"/>
      <c r="Q774" s="566"/>
      <c r="R774" s="566"/>
      <c r="S774" s="566"/>
      <c r="T774" s="566"/>
      <c r="U774" s="566"/>
    </row>
    <row r="775" spans="1:21" ht="18.75" x14ac:dyDescent="0.25">
      <c r="A775" s="687"/>
      <c r="B775" s="688"/>
      <c r="C775" s="688"/>
      <c r="D775" s="1079" t="s">
        <v>50</v>
      </c>
      <c r="E775" s="695"/>
      <c r="F775" s="561"/>
      <c r="G775" s="563"/>
      <c r="H775" s="686" t="s">
        <v>46</v>
      </c>
      <c r="I775" s="708">
        <f ca="1">IFERROR(__xludf.DUMMYFUNCTION("IMPORTRANGE(""https://docs.google.com/spreadsheets/d/1eHaY18a8A9IcSdp1K8H6x8fbOy06t2VsZHhMHf-1x7Y/edit?usp=sharing"",""แผน!FS23"")"),406)</f>
        <v>406</v>
      </c>
      <c r="J775" s="702">
        <v>0</v>
      </c>
      <c r="K775" s="566"/>
      <c r="L775" s="574"/>
      <c r="M775" s="566"/>
      <c r="N775" s="566"/>
      <c r="O775" s="566"/>
      <c r="P775" s="566"/>
      <c r="Q775" s="566"/>
      <c r="R775" s="566"/>
      <c r="S775" s="566"/>
      <c r="T775" s="566"/>
      <c r="U775" s="566"/>
    </row>
    <row r="776" spans="1:21" ht="18.75" x14ac:dyDescent="0.25">
      <c r="A776" s="863"/>
      <c r="B776" s="864"/>
      <c r="C776" s="864"/>
      <c r="D776" s="864"/>
      <c r="E776" s="512"/>
      <c r="F776" s="512"/>
      <c r="G776" s="577"/>
      <c r="H776" s="1089" t="s">
        <v>35</v>
      </c>
      <c r="I776" s="989">
        <f ca="1">IFERROR(__xludf.DUMMYFUNCTION("IMPORTRANGE(""https://docs.google.com/spreadsheets/d/1eHaY18a8A9IcSdp1K8H6x8fbOy06t2VsZHhMHf-1x7Y/edit?usp=sharing"",""แผน!FT23"")"),79)</f>
        <v>79</v>
      </c>
      <c r="J776" s="990">
        <v>0</v>
      </c>
      <c r="K776" s="580"/>
      <c r="L776" s="581"/>
      <c r="M776" s="580"/>
      <c r="N776" s="580"/>
      <c r="O776" s="580"/>
      <c r="P776" s="580"/>
      <c r="Q776" s="580"/>
      <c r="R776" s="580"/>
      <c r="S776" s="580"/>
      <c r="T776" s="580"/>
      <c r="U776" s="580"/>
    </row>
    <row r="777" spans="1:21" ht="19.5" x14ac:dyDescent="0.3">
      <c r="A777" s="1118" t="s">
        <v>291</v>
      </c>
      <c r="B777" s="1119"/>
      <c r="C777" s="1119"/>
      <c r="D777" s="1120"/>
      <c r="E777" s="1119"/>
      <c r="F777" s="1119"/>
      <c r="G777" s="1121"/>
      <c r="H777" s="112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1123"/>
      <c r="J777" s="1124"/>
      <c r="K777" s="1125"/>
      <c r="L777" s="1125"/>
      <c r="M777" s="1125"/>
      <c r="N777" s="1125"/>
      <c r="O777" s="1125"/>
      <c r="P777" s="1125"/>
      <c r="Q777" s="1125"/>
      <c r="R777" s="1125"/>
      <c r="S777" s="1125"/>
      <c r="T777" s="1125"/>
      <c r="U777" s="1125"/>
    </row>
    <row r="778" spans="1:21" ht="18.75" x14ac:dyDescent="0.25">
      <c r="A778" s="560"/>
      <c r="B778" s="573" t="s">
        <v>292</v>
      </c>
      <c r="C778" s="561"/>
      <c r="D778" s="718"/>
      <c r="E778" s="561"/>
      <c r="F778" s="561"/>
      <c r="G778" s="563"/>
      <c r="H778" s="564" t="s">
        <v>14</v>
      </c>
      <c r="I778" s="708">
        <f ca="1">IFERROR(__xludf.DUMMYFUNCTION("IMPORTRANGE(""https://docs.google.com/spreadsheets/d/10OvvATaaLtwErnr3qtWFcTmtbfpFEt5Bsqel9sXx0uE/edit?usp=sharing"",""งานกองทุน!D23"")"),13397134.05)</f>
        <v>13397134.050000001</v>
      </c>
      <c r="J778" s="708">
        <f ca="1">IFERROR(__xludf.DUMMYFUNCTION("IMPORTRANGE(""https://docs.google.com/spreadsheets/d/10OvvATaaLtwErnr3qtWFcTmtbfpFEt5Bsqel9sXx0uE/edit?usp=sharing"",""งานกองทุน!F23"")"),846624.29)</f>
        <v>846624.29</v>
      </c>
      <c r="K778" s="568">
        <f t="shared" ref="K778:K785" ca="1" si="466">IF(I778&gt;0,J778*100/I778,0)</f>
        <v>6.3194432991435203</v>
      </c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</row>
    <row r="779" spans="1:21" ht="18.75" x14ac:dyDescent="0.25">
      <c r="A779" s="560"/>
      <c r="B779" s="561"/>
      <c r="C779" s="561"/>
      <c r="D779" s="718"/>
      <c r="E779" s="561"/>
      <c r="F779" s="561"/>
      <c r="G779" s="563"/>
      <c r="H779" s="564" t="s">
        <v>35</v>
      </c>
      <c r="I779" s="708">
        <f ca="1">IFERROR(__xludf.DUMMYFUNCTION("IMPORTRANGE(""https://docs.google.com/spreadsheets/d/10OvvATaaLtwErnr3qtWFcTmtbfpFEt5Bsqel9sXx0uE/edit?usp=sharing"",""งานกองทุน!C23"")"),431)</f>
        <v>431</v>
      </c>
      <c r="J779" s="708">
        <f ca="1">IFERROR(__xludf.DUMMYFUNCTION("IMPORTRANGE(""https://docs.google.com/spreadsheets/d/10OvvATaaLtwErnr3qtWFcTmtbfpFEt5Bsqel9sXx0uE/edit?usp=sharing"",""งานกองทุน!E23"")"),396)</f>
        <v>396</v>
      </c>
      <c r="K779" s="568">
        <f t="shared" ca="1" si="466"/>
        <v>91.879350348027842</v>
      </c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</row>
    <row r="780" spans="1:21" ht="18.75" x14ac:dyDescent="0.25">
      <c r="A780" s="560"/>
      <c r="B780" s="573" t="s">
        <v>293</v>
      </c>
      <c r="C780" s="561"/>
      <c r="D780" s="718"/>
      <c r="E780" s="561"/>
      <c r="F780" s="561"/>
      <c r="G780" s="563"/>
      <c r="H780" s="564" t="s">
        <v>14</v>
      </c>
      <c r="I780" s="708">
        <f ca="1">IFERROR(__xludf.DUMMYFUNCTION("IMPORTRANGE(""https://docs.google.com/spreadsheets/d/10OvvATaaLtwErnr3qtWFcTmtbfpFEt5Bsqel9sXx0uE/edit?usp=sharing"",""งานกองทุน!I23"")"),30247369.76)</f>
        <v>30247369.760000002</v>
      </c>
      <c r="J780" s="708">
        <f ca="1">IFERROR(__xludf.DUMMYFUNCTION("IMPORTRANGE(""https://docs.google.com/spreadsheets/d/10OvvATaaLtwErnr3qtWFcTmtbfpFEt5Bsqel9sXx0uE/edit?usp=sharing"",""งานกองทุน!K23"")"),1726434.85)</f>
        <v>1726434.85</v>
      </c>
      <c r="K780" s="568">
        <f t="shared" ca="1" si="466"/>
        <v>5.7077189312608843</v>
      </c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</row>
    <row r="781" spans="1:21" ht="18.75" x14ac:dyDescent="0.25">
      <c r="A781" s="560"/>
      <c r="B781" s="561"/>
      <c r="C781" s="561"/>
      <c r="D781" s="718"/>
      <c r="E781" s="561"/>
      <c r="F781" s="561"/>
      <c r="G781" s="563"/>
      <c r="H781" s="564" t="s">
        <v>35</v>
      </c>
      <c r="I781" s="708">
        <f ca="1">IFERROR(__xludf.DUMMYFUNCTION("IMPORTRANGE(""https://docs.google.com/spreadsheets/d/10OvvATaaLtwErnr3qtWFcTmtbfpFEt5Bsqel9sXx0uE/edit?usp=sharing"",""งานกองทุน!H23"")"),1110)</f>
        <v>1110</v>
      </c>
      <c r="J781" s="708">
        <f ca="1">IFERROR(__xludf.DUMMYFUNCTION("IMPORTRANGE(""https://docs.google.com/spreadsheets/d/10OvvATaaLtwErnr3qtWFcTmtbfpFEt5Bsqel9sXx0uE/edit?usp=sharing"",""งานกองทุน!J23"")"),298)</f>
        <v>298</v>
      </c>
      <c r="K781" s="568">
        <f t="shared" ca="1" si="466"/>
        <v>26.846846846846848</v>
      </c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</row>
    <row r="782" spans="1:21" ht="18.75" x14ac:dyDescent="0.25">
      <c r="A782" s="560"/>
      <c r="B782" s="573" t="s">
        <v>294</v>
      </c>
      <c r="C782" s="561"/>
      <c r="D782" s="718"/>
      <c r="E782" s="561"/>
      <c r="F782" s="561"/>
      <c r="G782" s="563"/>
      <c r="H782" s="564" t="s">
        <v>14</v>
      </c>
      <c r="I782" s="708">
        <f ca="1">IFERROR(__xludf.DUMMYFUNCTION("IMPORTRANGE(""https://docs.google.com/spreadsheets/d/10OvvATaaLtwErnr3qtWFcTmtbfpFEt5Bsqel9sXx0uE/edit?usp=sharing"",""งานกองทุน!N23"")"),2666288.5)</f>
        <v>2666288.5</v>
      </c>
      <c r="J782" s="708">
        <f ca="1">IFERROR(__xludf.DUMMYFUNCTION("IMPORTRANGE(""https://docs.google.com/spreadsheets/d/10OvvATaaLtwErnr3qtWFcTmtbfpFEt5Bsqel9sXx0uE/edit?usp=sharing"",""งานกองทุน!P23"")"),161561.83)</f>
        <v>161561.82999999999</v>
      </c>
      <c r="K782" s="568">
        <f t="shared" ca="1" si="466"/>
        <v>6.059427927622985</v>
      </c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</row>
    <row r="783" spans="1:21" ht="18.75" x14ac:dyDescent="0.25">
      <c r="A783" s="560"/>
      <c r="B783" s="561"/>
      <c r="C783" s="561"/>
      <c r="D783" s="718"/>
      <c r="E783" s="561"/>
      <c r="F783" s="561"/>
      <c r="G783" s="563"/>
      <c r="H783" s="564" t="s">
        <v>35</v>
      </c>
      <c r="I783" s="708">
        <f ca="1">IFERROR(__xludf.DUMMYFUNCTION("IMPORTRANGE(""https://docs.google.com/spreadsheets/d/10OvvATaaLtwErnr3qtWFcTmtbfpFEt5Bsqel9sXx0uE/edit?usp=sharing"",""งานกองทุน!M23"")"),131)</f>
        <v>131</v>
      </c>
      <c r="J783" s="708">
        <f ca="1">IFERROR(__xludf.DUMMYFUNCTION("IMPORTRANGE(""https://docs.google.com/spreadsheets/d/10OvvATaaLtwErnr3qtWFcTmtbfpFEt5Bsqel9sXx0uE/edit?usp=sharing"",""งานกองทุน!O23"")"),60)</f>
        <v>60</v>
      </c>
      <c r="K783" s="568">
        <f t="shared" ca="1" si="466"/>
        <v>45.801526717557252</v>
      </c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</row>
    <row r="784" spans="1:21" ht="18.75" x14ac:dyDescent="0.25">
      <c r="A784" s="560"/>
      <c r="B784" s="573" t="s">
        <v>295</v>
      </c>
      <c r="C784" s="561"/>
      <c r="D784" s="718"/>
      <c r="E784" s="561"/>
      <c r="F784" s="561"/>
      <c r="G784" s="563"/>
      <c r="H784" s="564" t="s">
        <v>14</v>
      </c>
      <c r="I784" s="708">
        <f ca="1">IFERROR(__xludf.DUMMYFUNCTION("IMPORTRANGE(""https://docs.google.com/spreadsheets/d/10OvvATaaLtwErnr3qtWFcTmtbfpFEt5Bsqel9sXx0uE/edit?usp=sharing"",""งานกองทุน!S23"")"),14504000)</f>
        <v>14504000</v>
      </c>
      <c r="J784" s="708">
        <f ca="1">IFERROR(__xludf.DUMMYFUNCTION("IMPORTRANGE(""https://docs.google.com/spreadsheets/d/10OvvATaaLtwErnr3qtWFcTmtbfpFEt5Bsqel9sXx0uE/edit?usp=sharing"",""งานกองทุน!U23"")"),2576000)</f>
        <v>2576000</v>
      </c>
      <c r="K784" s="568">
        <f t="shared" ca="1" si="466"/>
        <v>17.760617760617759</v>
      </c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</row>
    <row r="785" spans="1:21" ht="18.75" x14ac:dyDescent="0.25">
      <c r="A785" s="575"/>
      <c r="B785" s="513"/>
      <c r="C785" s="513"/>
      <c r="D785" s="514"/>
      <c r="E785" s="513"/>
      <c r="F785" s="513"/>
      <c r="G785" s="577"/>
      <c r="H785" s="578" t="s">
        <v>35</v>
      </c>
      <c r="I785" s="989">
        <f ca="1">IFERROR(__xludf.DUMMYFUNCTION("IMPORTRANGE(""https://docs.google.com/spreadsheets/d/10OvvATaaLtwErnr3qtWFcTmtbfpFEt5Bsqel9sXx0uE/edit?usp=sharing"",""งานกองทุน!R23"")"),518)</f>
        <v>518</v>
      </c>
      <c r="J785" s="989">
        <f ca="1">IFERROR(__xludf.DUMMYFUNCTION("IMPORTRANGE(""https://docs.google.com/spreadsheets/d/10OvvATaaLtwErnr3qtWFcTmtbfpFEt5Bsqel9sXx0uE/edit?usp=sharing"",""งานกองทุน!T23"")"),94)</f>
        <v>94</v>
      </c>
      <c r="K785" s="655">
        <f t="shared" ca="1" si="466"/>
        <v>18.146718146718147</v>
      </c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</row>
    <row r="786" spans="1:21" ht="12.75" x14ac:dyDescent="0.2">
      <c r="A786" s="510"/>
      <c r="B786" s="510"/>
      <c r="C786" s="510"/>
      <c r="D786" s="510"/>
      <c r="E786" s="510"/>
      <c r="F786" s="510"/>
      <c r="G786" s="510"/>
      <c r="H786" s="510"/>
      <c r="I786" s="510"/>
      <c r="J786" s="510"/>
      <c r="K786" s="510"/>
      <c r="L786" s="510"/>
      <c r="M786" s="510"/>
      <c r="N786" s="510"/>
      <c r="O786" s="510"/>
      <c r="P786" s="510"/>
      <c r="Q786" s="510"/>
      <c r="R786" s="510"/>
      <c r="S786" s="510"/>
      <c r="T786" s="510"/>
      <c r="U786" s="510"/>
    </row>
    <row r="787" spans="1:21" ht="16.5" x14ac:dyDescent="0.25">
      <c r="A787" s="1126" t="s">
        <v>296</v>
      </c>
      <c r="B787" s="510"/>
      <c r="C787" s="510"/>
      <c r="D787" s="510"/>
      <c r="E787" s="510"/>
      <c r="F787" s="510"/>
      <c r="G787" s="510"/>
      <c r="H787" s="510"/>
      <c r="I787" s="510"/>
      <c r="J787" s="510"/>
      <c r="K787" s="510"/>
      <c r="L787" s="510"/>
      <c r="M787" s="510"/>
      <c r="N787" s="510"/>
      <c r="O787" s="510"/>
      <c r="P787" s="510"/>
      <c r="Q787" s="510"/>
      <c r="R787" s="510"/>
      <c r="S787" s="510"/>
      <c r="T787" s="510"/>
      <c r="U787" s="510"/>
    </row>
    <row r="788" spans="1:21" ht="16.5" x14ac:dyDescent="0.25">
      <c r="A788" s="112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510"/>
      <c r="C788" s="510"/>
      <c r="D788" s="510"/>
      <c r="E788" s="510"/>
      <c r="F788" s="510"/>
      <c r="G788" s="510"/>
      <c r="H788" s="510"/>
      <c r="I788" s="510"/>
      <c r="J788" s="510"/>
      <c r="K788" s="510"/>
      <c r="L788" s="510"/>
      <c r="M788" s="510"/>
      <c r="N788" s="510"/>
      <c r="O788" s="510"/>
      <c r="P788" s="510"/>
      <c r="Q788" s="510"/>
      <c r="R788" s="510"/>
      <c r="S788" s="510"/>
      <c r="T788" s="510"/>
      <c r="U788" s="510"/>
    </row>
    <row r="789" spans="1:21" ht="16.5" x14ac:dyDescent="0.25">
      <c r="A789" s="112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510"/>
      <c r="C789" s="510"/>
      <c r="D789" s="510"/>
      <c r="E789" s="510"/>
      <c r="F789" s="510"/>
      <c r="G789" s="510"/>
      <c r="H789" s="510"/>
      <c r="I789" s="510"/>
      <c r="J789" s="510"/>
      <c r="K789" s="510"/>
      <c r="L789" s="510"/>
      <c r="M789" s="510"/>
      <c r="N789" s="510"/>
      <c r="O789" s="510"/>
      <c r="P789" s="510"/>
      <c r="Q789" s="510"/>
      <c r="R789" s="510"/>
      <c r="S789" s="510"/>
      <c r="T789" s="510"/>
      <c r="U789" s="510"/>
    </row>
  </sheetData>
  <mergeCells count="25">
    <mergeCell ref="Q4:U4"/>
    <mergeCell ref="A5:G6"/>
    <mergeCell ref="I5:K5"/>
    <mergeCell ref="L5:M5"/>
    <mergeCell ref="N5:P5"/>
    <mergeCell ref="Q5:R5"/>
    <mergeCell ref="B57:G57"/>
    <mergeCell ref="L4:P4"/>
    <mergeCell ref="A1:U1"/>
    <mergeCell ref="A2:U2"/>
    <mergeCell ref="A3:U3"/>
    <mergeCell ref="S5:U5"/>
    <mergeCell ref="A7:G7"/>
    <mergeCell ref="A17:G17"/>
    <mergeCell ref="A30:G30"/>
    <mergeCell ref="A56:G56"/>
    <mergeCell ref="D714:G714"/>
    <mergeCell ref="D728:G728"/>
    <mergeCell ref="D760:G760"/>
    <mergeCell ref="D413:G413"/>
    <mergeCell ref="D493:F493"/>
    <mergeCell ref="D599:G599"/>
    <mergeCell ref="D616:G616"/>
    <mergeCell ref="D642:G642"/>
    <mergeCell ref="D690:G690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EDA4-9DF1-4BDE-8CD9-2A3AA1C63509}">
  <sheetPr>
    <outlinePr summaryBelow="0" summaryRight="0"/>
  </sheetPr>
  <dimension ref="A1:U789"/>
  <sheetViews>
    <sheetView view="pageBreakPreview" zoomScale="70" zoomScaleNormal="100" zoomScaleSheetLayoutView="70" workbookViewId="0">
      <pane xSplit="8" ySplit="6" topLeftCell="P1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style="511" customWidth="1"/>
    <col min="7" max="7" width="61.42578125" style="511" customWidth="1"/>
    <col min="8" max="8" width="9.42578125" style="511" customWidth="1"/>
    <col min="9" max="11" width="15.140625" style="511" customWidth="1"/>
    <col min="12" max="14" width="20.28515625" style="511" bestFit="1" customWidth="1"/>
    <col min="15" max="15" width="19.28515625" style="511" bestFit="1" customWidth="1"/>
    <col min="16" max="16" width="20.7109375" style="511" bestFit="1" customWidth="1"/>
    <col min="17" max="18" width="20.28515625" style="511" bestFit="1" customWidth="1"/>
    <col min="19" max="19" width="17.85546875" style="511" bestFit="1" customWidth="1"/>
    <col min="20" max="20" width="19.28515625" style="511" bestFit="1" customWidth="1"/>
    <col min="21" max="21" width="20.7109375" style="511" bestFit="1" customWidth="1"/>
    <col min="22" max="16384" width="12.5703125" style="511"/>
  </cols>
  <sheetData>
    <row r="1" spans="1:21" ht="15.75" customHeight="1" x14ac:dyDescent="0.3">
      <c r="A1" s="1321" t="s">
        <v>0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  <c r="R1" s="1321"/>
      <c r="S1" s="1321"/>
      <c r="T1" s="1321"/>
      <c r="U1" s="1321"/>
    </row>
    <row r="2" spans="1:21" ht="15.75" customHeight="1" x14ac:dyDescent="0.3">
      <c r="A2" s="1321" t="s">
        <v>332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</row>
    <row r="3" spans="1:21" ht="15.75" customHeight="1" x14ac:dyDescent="0.3">
      <c r="A3" s="1321" t="s">
        <v>350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</row>
    <row r="4" spans="1:21" ht="15.75" customHeight="1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4"/>
      <c r="K4" s="515"/>
      <c r="L4" s="1323" t="s">
        <v>2</v>
      </c>
      <c r="M4" s="1314"/>
      <c r="N4" s="1314"/>
      <c r="O4" s="1314"/>
      <c r="P4" s="1317"/>
      <c r="Q4" s="1324" t="s">
        <v>3</v>
      </c>
      <c r="R4" s="1314"/>
      <c r="S4" s="1314"/>
      <c r="T4" s="1314"/>
      <c r="U4" s="1317"/>
    </row>
    <row r="5" spans="1:21" ht="15.75" customHeight="1" x14ac:dyDescent="0.3">
      <c r="A5" s="1325" t="s">
        <v>4</v>
      </c>
      <c r="B5" s="1322"/>
      <c r="C5" s="1322"/>
      <c r="D5" s="1322"/>
      <c r="E5" s="1322"/>
      <c r="F5" s="1322"/>
      <c r="G5" s="1326"/>
      <c r="H5" s="1243" t="s">
        <v>5</v>
      </c>
      <c r="I5" s="1328" t="s">
        <v>6</v>
      </c>
      <c r="J5" s="1314"/>
      <c r="K5" s="1317"/>
      <c r="L5" s="1329" t="s">
        <v>7</v>
      </c>
      <c r="M5" s="1317"/>
      <c r="N5" s="1330" t="s">
        <v>8</v>
      </c>
      <c r="O5" s="1314"/>
      <c r="P5" s="1317"/>
      <c r="Q5" s="1331" t="s">
        <v>7</v>
      </c>
      <c r="R5" s="1317"/>
      <c r="S5" s="1330" t="s">
        <v>8</v>
      </c>
      <c r="T5" s="1314"/>
      <c r="U5" s="1317"/>
    </row>
    <row r="6" spans="1:21" ht="15.75" customHeight="1" x14ac:dyDescent="0.3">
      <c r="A6" s="1327"/>
      <c r="B6" s="1314"/>
      <c r="C6" s="1314"/>
      <c r="D6" s="1314"/>
      <c r="E6" s="1314"/>
      <c r="F6" s="1314"/>
      <c r="G6" s="1317"/>
      <c r="H6" s="1244"/>
      <c r="I6" s="518" t="s">
        <v>9</v>
      </c>
      <c r="J6" s="519" t="s">
        <v>10</v>
      </c>
      <c r="K6" s="518" t="s">
        <v>11</v>
      </c>
      <c r="L6" s="520" t="s">
        <v>12</v>
      </c>
      <c r="M6" s="521" t="s">
        <v>13</v>
      </c>
      <c r="N6" s="522" t="s">
        <v>14</v>
      </c>
      <c r="O6" s="523" t="s">
        <v>15</v>
      </c>
      <c r="P6" s="524" t="s">
        <v>16</v>
      </c>
      <c r="Q6" s="525" t="s">
        <v>12</v>
      </c>
      <c r="R6" s="521" t="s">
        <v>13</v>
      </c>
      <c r="S6" s="522" t="s">
        <v>14</v>
      </c>
      <c r="T6" s="523" t="s">
        <v>15</v>
      </c>
      <c r="U6" s="524" t="s">
        <v>16</v>
      </c>
    </row>
    <row r="7" spans="1:21" ht="12.75" hidden="1" x14ac:dyDescent="0.2">
      <c r="A7" s="1316"/>
      <c r="B7" s="1314"/>
      <c r="C7" s="1314"/>
      <c r="D7" s="1314"/>
      <c r="E7" s="1314"/>
      <c r="F7" s="1314"/>
      <c r="G7" s="1317"/>
      <c r="H7" s="526"/>
      <c r="I7" s="527"/>
      <c r="J7" s="527"/>
      <c r="K7" s="528"/>
      <c r="L7" s="529"/>
      <c r="M7" s="528"/>
      <c r="N7" s="528"/>
      <c r="O7" s="528"/>
      <c r="P7" s="528"/>
      <c r="Q7" s="528"/>
      <c r="R7" s="528"/>
      <c r="S7" s="528"/>
      <c r="T7" s="528"/>
      <c r="U7" s="528"/>
    </row>
    <row r="8" spans="1:21" ht="12.75" hidden="1" x14ac:dyDescent="0.2">
      <c r="A8" s="530"/>
      <c r="B8" s="531"/>
      <c r="C8" s="531"/>
      <c r="D8" s="531"/>
      <c r="E8" s="531"/>
      <c r="F8" s="531"/>
      <c r="G8" s="532"/>
      <c r="H8" s="532"/>
      <c r="I8" s="533"/>
      <c r="J8" s="533"/>
      <c r="K8" s="534"/>
      <c r="L8" s="535"/>
      <c r="M8" s="534"/>
      <c r="N8" s="534"/>
      <c r="O8" s="534"/>
      <c r="P8" s="534"/>
      <c r="Q8" s="534"/>
      <c r="R8" s="534"/>
      <c r="S8" s="534"/>
      <c r="T8" s="534"/>
      <c r="U8" s="534"/>
    </row>
    <row r="9" spans="1:21" ht="12.75" hidden="1" x14ac:dyDescent="0.2">
      <c r="A9" s="530"/>
      <c r="B9" s="531"/>
      <c r="C9" s="531"/>
      <c r="D9" s="531"/>
      <c r="E9" s="531"/>
      <c r="F9" s="531"/>
      <c r="G9" s="532"/>
      <c r="H9" s="532"/>
      <c r="I9" s="533"/>
      <c r="J9" s="533"/>
      <c r="K9" s="534"/>
      <c r="L9" s="535"/>
      <c r="M9" s="534"/>
      <c r="N9" s="534"/>
      <c r="O9" s="534"/>
      <c r="P9" s="534"/>
      <c r="Q9" s="534"/>
      <c r="R9" s="534"/>
      <c r="S9" s="534"/>
      <c r="T9" s="534"/>
      <c r="U9" s="534"/>
    </row>
    <row r="10" spans="1:21" ht="12.75" hidden="1" x14ac:dyDescent="0.2">
      <c r="A10" s="530"/>
      <c r="B10" s="531"/>
      <c r="C10" s="531"/>
      <c r="D10" s="531"/>
      <c r="E10" s="531"/>
      <c r="F10" s="531"/>
      <c r="G10" s="532"/>
      <c r="H10" s="532"/>
      <c r="I10" s="533"/>
      <c r="J10" s="533"/>
      <c r="K10" s="534"/>
      <c r="L10" s="535"/>
      <c r="M10" s="534"/>
      <c r="N10" s="534"/>
      <c r="O10" s="534"/>
      <c r="P10" s="534"/>
      <c r="Q10" s="534"/>
      <c r="R10" s="534"/>
      <c r="S10" s="534"/>
      <c r="T10" s="534"/>
      <c r="U10" s="534"/>
    </row>
    <row r="11" spans="1:21" ht="12.75" hidden="1" x14ac:dyDescent="0.2">
      <c r="A11" s="530"/>
      <c r="B11" s="531"/>
      <c r="C11" s="531"/>
      <c r="D11" s="531"/>
      <c r="E11" s="531"/>
      <c r="F11" s="531"/>
      <c r="G11" s="532"/>
      <c r="H11" s="532"/>
      <c r="I11" s="533"/>
      <c r="J11" s="533"/>
      <c r="K11" s="534"/>
      <c r="L11" s="535"/>
      <c r="M11" s="534"/>
      <c r="N11" s="534"/>
      <c r="O11" s="534"/>
      <c r="P11" s="534"/>
      <c r="Q11" s="534"/>
      <c r="R11" s="534"/>
      <c r="S11" s="534"/>
      <c r="T11" s="534"/>
      <c r="U11" s="534"/>
    </row>
    <row r="12" spans="1:21" ht="12.75" hidden="1" x14ac:dyDescent="0.2">
      <c r="A12" s="530"/>
      <c r="B12" s="531"/>
      <c r="C12" s="531"/>
      <c r="D12" s="531"/>
      <c r="E12" s="531"/>
      <c r="F12" s="531"/>
      <c r="G12" s="532"/>
      <c r="H12" s="532"/>
      <c r="I12" s="533"/>
      <c r="J12" s="533"/>
      <c r="K12" s="534"/>
      <c r="L12" s="535"/>
      <c r="M12" s="534"/>
      <c r="N12" s="534"/>
      <c r="O12" s="534"/>
      <c r="P12" s="534"/>
      <c r="Q12" s="534"/>
      <c r="R12" s="534"/>
      <c r="S12" s="534"/>
      <c r="T12" s="534"/>
      <c r="U12" s="534"/>
    </row>
    <row r="13" spans="1:21" ht="12.75" hidden="1" x14ac:dyDescent="0.2">
      <c r="A13" s="530"/>
      <c r="B13" s="531"/>
      <c r="C13" s="531"/>
      <c r="D13" s="531"/>
      <c r="E13" s="531"/>
      <c r="F13" s="531"/>
      <c r="G13" s="532"/>
      <c r="H13" s="532"/>
      <c r="I13" s="533"/>
      <c r="J13" s="533"/>
      <c r="K13" s="534"/>
      <c r="L13" s="535"/>
      <c r="M13" s="534"/>
      <c r="N13" s="534"/>
      <c r="O13" s="534"/>
      <c r="P13" s="534"/>
      <c r="Q13" s="534"/>
      <c r="R13" s="534"/>
      <c r="S13" s="534"/>
      <c r="T13" s="534"/>
      <c r="U13" s="534"/>
    </row>
    <row r="14" spans="1:21" ht="12.75" hidden="1" x14ac:dyDescent="0.2">
      <c r="A14" s="530"/>
      <c r="B14" s="531"/>
      <c r="C14" s="531"/>
      <c r="D14" s="531"/>
      <c r="E14" s="531"/>
      <c r="F14" s="531"/>
      <c r="G14" s="532"/>
      <c r="H14" s="532"/>
      <c r="I14" s="533"/>
      <c r="J14" s="533"/>
      <c r="K14" s="534"/>
      <c r="L14" s="535"/>
      <c r="M14" s="534"/>
      <c r="N14" s="534"/>
      <c r="O14" s="534"/>
      <c r="P14" s="534"/>
      <c r="Q14" s="534"/>
      <c r="R14" s="534"/>
      <c r="S14" s="534"/>
      <c r="T14" s="534"/>
      <c r="U14" s="534"/>
    </row>
    <row r="15" spans="1:21" ht="12.75" hidden="1" x14ac:dyDescent="0.2">
      <c r="A15" s="530"/>
      <c r="B15" s="531"/>
      <c r="C15" s="531"/>
      <c r="D15" s="531"/>
      <c r="E15" s="531"/>
      <c r="F15" s="531"/>
      <c r="G15" s="532"/>
      <c r="H15" s="532"/>
      <c r="I15" s="533"/>
      <c r="J15" s="533"/>
      <c r="K15" s="534"/>
      <c r="L15" s="535"/>
      <c r="M15" s="534"/>
      <c r="N15" s="534"/>
      <c r="O15" s="534"/>
      <c r="P15" s="534"/>
      <c r="Q15" s="534"/>
      <c r="R15" s="534"/>
      <c r="S15" s="534"/>
      <c r="T15" s="534"/>
      <c r="U15" s="534"/>
    </row>
    <row r="16" spans="1:21" ht="12.75" hidden="1" x14ac:dyDescent="0.2">
      <c r="A16" s="536"/>
      <c r="B16" s="537"/>
      <c r="C16" s="537"/>
      <c r="D16" s="537"/>
      <c r="E16" s="537"/>
      <c r="F16" s="537"/>
      <c r="G16" s="526"/>
      <c r="H16" s="526"/>
      <c r="I16" s="527"/>
      <c r="J16" s="527"/>
      <c r="K16" s="528"/>
      <c r="L16" s="529"/>
      <c r="M16" s="528"/>
      <c r="N16" s="528"/>
      <c r="O16" s="528"/>
      <c r="P16" s="528"/>
      <c r="Q16" s="528"/>
      <c r="R16" s="528"/>
      <c r="S16" s="528"/>
      <c r="T16" s="528"/>
      <c r="U16" s="528"/>
    </row>
    <row r="17" spans="1:21" ht="15.75" customHeight="1" x14ac:dyDescent="0.3">
      <c r="A17" s="1318" t="s">
        <v>298</v>
      </c>
      <c r="B17" s="1314"/>
      <c r="C17" s="1314"/>
      <c r="D17" s="1314"/>
      <c r="E17" s="1314"/>
      <c r="F17" s="1314"/>
      <c r="G17" s="1317"/>
      <c r="H17" s="538"/>
      <c r="I17" s="539"/>
      <c r="J17" s="539"/>
      <c r="K17" s="540"/>
      <c r="L17" s="541"/>
      <c r="M17" s="540"/>
      <c r="N17" s="540"/>
      <c r="O17" s="540"/>
      <c r="P17" s="540"/>
      <c r="Q17" s="540"/>
      <c r="R17" s="540"/>
      <c r="S17" s="540"/>
      <c r="T17" s="540"/>
      <c r="U17" s="540"/>
    </row>
    <row r="18" spans="1:21" ht="15.75" customHeight="1" x14ac:dyDescent="0.3">
      <c r="A18" s="542"/>
      <c r="B18" s="543"/>
      <c r="C18" s="544" t="s">
        <v>18</v>
      </c>
      <c r="D18" s="545" t="s">
        <v>19</v>
      </c>
      <c r="E18" s="543"/>
      <c r="F18" s="543"/>
      <c r="G18" s="546"/>
      <c r="H18" s="547" t="s">
        <v>14</v>
      </c>
      <c r="I18" s="548"/>
      <c r="J18" s="548"/>
      <c r="K18" s="549"/>
      <c r="L18" s="550">
        <f t="shared" ref="L18:N18" ca="1" si="0">L19+L20</f>
        <v>4789060</v>
      </c>
      <c r="M18" s="551">
        <f t="shared" ca="1" si="0"/>
        <v>4720785</v>
      </c>
      <c r="N18" s="551">
        <f t="shared" ca="1" si="0"/>
        <v>1708880.42</v>
      </c>
      <c r="O18" s="551">
        <f t="shared" ref="O18:O26" ca="1" si="1">IF(L18&gt;0,N18*100/L18,0)</f>
        <v>35.683002927505605</v>
      </c>
      <c r="P18" s="551">
        <f t="shared" ref="P18:P26" ca="1" si="2">IF(M18&gt;0,N18*100/M18,0)</f>
        <v>36.199073247351869</v>
      </c>
      <c r="Q18" s="551">
        <f t="shared" ref="Q18:S18" ca="1" si="3">Q19+Q20</f>
        <v>2972338.39</v>
      </c>
      <c r="R18" s="551">
        <f t="shared" ca="1" si="3"/>
        <v>2793478</v>
      </c>
      <c r="S18" s="551">
        <f t="shared" ca="1" si="3"/>
        <v>542149.5</v>
      </c>
      <c r="T18" s="551">
        <f t="shared" ref="T18:T26" ca="1" si="4">IF(Q18&gt;0,S18*100/Q18,0)</f>
        <v>18.23983103081342</v>
      </c>
      <c r="U18" s="551">
        <f t="shared" ref="U18:U26" ca="1" si="5">IF(R18&gt;0,S18*100/R18,0)</f>
        <v>19.407688193714073</v>
      </c>
    </row>
    <row r="19" spans="1:21" ht="15.75" customHeight="1" x14ac:dyDescent="0.25">
      <c r="A19" s="542"/>
      <c r="B19" s="543"/>
      <c r="C19" s="543"/>
      <c r="D19" s="543"/>
      <c r="E19" s="552" t="s">
        <v>20</v>
      </c>
      <c r="F19" s="543"/>
      <c r="G19" s="546"/>
      <c r="H19" s="553" t="s">
        <v>14</v>
      </c>
      <c r="I19" s="548"/>
      <c r="J19" s="548"/>
      <c r="K19" s="549"/>
      <c r="L19" s="554">
        <f t="shared" ref="L19:N20" si="6">L22+L25</f>
        <v>0</v>
      </c>
      <c r="M19" s="555">
        <f t="shared" si="6"/>
        <v>0</v>
      </c>
      <c r="N19" s="555">
        <f t="shared" si="6"/>
        <v>0</v>
      </c>
      <c r="O19" s="555">
        <f t="shared" si="1"/>
        <v>0</v>
      </c>
      <c r="P19" s="555">
        <f t="shared" si="2"/>
        <v>0</v>
      </c>
      <c r="Q19" s="555">
        <f t="shared" ref="Q19:S20" si="7">Q22+Q25</f>
        <v>0</v>
      </c>
      <c r="R19" s="555">
        <f t="shared" si="7"/>
        <v>0</v>
      </c>
      <c r="S19" s="555">
        <f t="shared" si="7"/>
        <v>0</v>
      </c>
      <c r="T19" s="555">
        <f t="shared" si="4"/>
        <v>0</v>
      </c>
      <c r="U19" s="555">
        <f t="shared" si="5"/>
        <v>0</v>
      </c>
    </row>
    <row r="20" spans="1:21" ht="15.75" customHeight="1" x14ac:dyDescent="0.25">
      <c r="A20" s="542"/>
      <c r="B20" s="543"/>
      <c r="C20" s="543"/>
      <c r="D20" s="543"/>
      <c r="E20" s="556" t="s">
        <v>21</v>
      </c>
      <c r="F20" s="543"/>
      <c r="G20" s="546"/>
      <c r="H20" s="557" t="s">
        <v>14</v>
      </c>
      <c r="I20" s="548"/>
      <c r="J20" s="548"/>
      <c r="K20" s="549"/>
      <c r="L20" s="558">
        <f t="shared" ca="1" si="6"/>
        <v>4789060</v>
      </c>
      <c r="M20" s="559">
        <f t="shared" ca="1" si="6"/>
        <v>4720785</v>
      </c>
      <c r="N20" s="559">
        <f t="shared" ca="1" si="6"/>
        <v>1708880.42</v>
      </c>
      <c r="O20" s="559">
        <f t="shared" ca="1" si="1"/>
        <v>35.683002927505605</v>
      </c>
      <c r="P20" s="559">
        <f t="shared" ca="1" si="2"/>
        <v>36.199073247351869</v>
      </c>
      <c r="Q20" s="559">
        <f t="shared" ca="1" si="7"/>
        <v>2972338.39</v>
      </c>
      <c r="R20" s="559">
        <f t="shared" ca="1" si="7"/>
        <v>2793478</v>
      </c>
      <c r="S20" s="559">
        <f t="shared" ca="1" si="7"/>
        <v>542149.5</v>
      </c>
      <c r="T20" s="559">
        <f t="shared" ca="1" si="4"/>
        <v>18.23983103081342</v>
      </c>
      <c r="U20" s="559">
        <f t="shared" ca="1" si="5"/>
        <v>19.407688193714073</v>
      </c>
    </row>
    <row r="21" spans="1:21" ht="15.75" customHeight="1" x14ac:dyDescent="0.25">
      <c r="A21" s="560"/>
      <c r="B21" s="561"/>
      <c r="C21" s="561"/>
      <c r="D21" s="562" t="s">
        <v>22</v>
      </c>
      <c r="E21" s="561"/>
      <c r="F21" s="561"/>
      <c r="G21" s="563"/>
      <c r="H21" s="564" t="s">
        <v>14</v>
      </c>
      <c r="I21" s="565"/>
      <c r="J21" s="565"/>
      <c r="K21" s="566"/>
      <c r="L21" s="567">
        <f t="shared" ref="L21:N21" ca="1" si="8">L22+L23</f>
        <v>2594060</v>
      </c>
      <c r="M21" s="568">
        <f t="shared" ca="1" si="8"/>
        <v>2525785</v>
      </c>
      <c r="N21" s="568">
        <f t="shared" ca="1" si="8"/>
        <v>1708880.42</v>
      </c>
      <c r="O21" s="568">
        <f t="shared" ca="1" si="1"/>
        <v>65.876672860303927</v>
      </c>
      <c r="P21" s="568">
        <f t="shared" ca="1" si="2"/>
        <v>67.657398392974855</v>
      </c>
      <c r="Q21" s="568">
        <f t="shared" ref="Q21:S21" ca="1" si="9">Q22+Q23</f>
        <v>2972338.39</v>
      </c>
      <c r="R21" s="568">
        <f t="shared" ca="1" si="9"/>
        <v>2793478</v>
      </c>
      <c r="S21" s="568">
        <f t="shared" ca="1" si="9"/>
        <v>542149.5</v>
      </c>
      <c r="T21" s="568">
        <f t="shared" ca="1" si="4"/>
        <v>18.23983103081342</v>
      </c>
      <c r="U21" s="568">
        <f t="shared" ca="1" si="5"/>
        <v>19.407688193714073</v>
      </c>
    </row>
    <row r="22" spans="1:21" ht="15.75" customHeight="1" x14ac:dyDescent="0.25">
      <c r="A22" s="560"/>
      <c r="B22" s="561"/>
      <c r="C22" s="561"/>
      <c r="D22" s="561"/>
      <c r="E22" s="569" t="s">
        <v>20</v>
      </c>
      <c r="F22" s="561"/>
      <c r="G22" s="563"/>
      <c r="H22" s="570" t="s">
        <v>14</v>
      </c>
      <c r="I22" s="565"/>
      <c r="J22" s="565"/>
      <c r="K22" s="566"/>
      <c r="L22" s="571">
        <f t="shared" ref="L22:N23" si="10">L48+L63+L76+L98+L129+L143+L161+L190+L177+L270+L286+L307+L324+L337+L360+L517</f>
        <v>0</v>
      </c>
      <c r="M22" s="572">
        <f t="shared" si="10"/>
        <v>0</v>
      </c>
      <c r="N22" s="572">
        <f t="shared" si="10"/>
        <v>0</v>
      </c>
      <c r="O22" s="572">
        <f t="shared" si="1"/>
        <v>0</v>
      </c>
      <c r="P22" s="572">
        <f t="shared" si="2"/>
        <v>0</v>
      </c>
      <c r="Q22" s="572">
        <f t="shared" ref="Q22:S23" si="11">Q76+Q98+Q121+Q143+Q161+Q177+Q190+Q270+Q286+Q307+Q337+Q379+Q396+Q417+Q497+Q603+Q620+Q646+Q694+Q718+Q732+Q764</f>
        <v>0</v>
      </c>
      <c r="R22" s="572">
        <f t="shared" si="11"/>
        <v>0</v>
      </c>
      <c r="S22" s="572">
        <f t="shared" si="11"/>
        <v>0</v>
      </c>
      <c r="T22" s="572">
        <f t="shared" si="4"/>
        <v>0</v>
      </c>
      <c r="U22" s="572">
        <f t="shared" si="5"/>
        <v>0</v>
      </c>
    </row>
    <row r="23" spans="1:21" ht="15.75" customHeight="1" x14ac:dyDescent="0.25">
      <c r="A23" s="560"/>
      <c r="B23" s="561"/>
      <c r="C23" s="561"/>
      <c r="D23" s="561"/>
      <c r="E23" s="573" t="s">
        <v>21</v>
      </c>
      <c r="F23" s="561"/>
      <c r="G23" s="563"/>
      <c r="H23" s="564" t="s">
        <v>14</v>
      </c>
      <c r="I23" s="565"/>
      <c r="J23" s="565"/>
      <c r="K23" s="566"/>
      <c r="L23" s="567">
        <f t="shared" ca="1" si="10"/>
        <v>2594060</v>
      </c>
      <c r="M23" s="568">
        <f t="shared" ca="1" si="10"/>
        <v>2525785</v>
      </c>
      <c r="N23" s="568">
        <f t="shared" ca="1" si="10"/>
        <v>1708880.42</v>
      </c>
      <c r="O23" s="568">
        <f t="shared" ca="1" si="1"/>
        <v>65.876672860303927</v>
      </c>
      <c r="P23" s="568">
        <f t="shared" ca="1" si="2"/>
        <v>67.657398392974855</v>
      </c>
      <c r="Q23" s="568">
        <f t="shared" ca="1" si="11"/>
        <v>2972338.39</v>
      </c>
      <c r="R23" s="568">
        <f t="shared" ca="1" si="11"/>
        <v>2793478</v>
      </c>
      <c r="S23" s="568">
        <f t="shared" ca="1" si="11"/>
        <v>542149.5</v>
      </c>
      <c r="T23" s="568">
        <f t="shared" ca="1" si="4"/>
        <v>18.23983103081342</v>
      </c>
      <c r="U23" s="568">
        <f t="shared" ca="1" si="5"/>
        <v>19.407688193714073</v>
      </c>
    </row>
    <row r="24" spans="1:21" ht="15.75" customHeight="1" x14ac:dyDescent="0.25">
      <c r="A24" s="560"/>
      <c r="B24" s="561"/>
      <c r="C24" s="561"/>
      <c r="D24" s="562" t="s">
        <v>23</v>
      </c>
      <c r="E24" s="561"/>
      <c r="F24" s="561"/>
      <c r="G24" s="563"/>
      <c r="H24" s="564" t="s">
        <v>14</v>
      </c>
      <c r="I24" s="565"/>
      <c r="J24" s="565"/>
      <c r="K24" s="566"/>
      <c r="L24" s="567">
        <f t="shared" ref="L24:N24" ca="1" si="12">L25+L26</f>
        <v>2195000</v>
      </c>
      <c r="M24" s="568">
        <f t="shared" ca="1" si="12"/>
        <v>2195000</v>
      </c>
      <c r="N24" s="568">
        <f t="shared" ca="1" si="12"/>
        <v>0</v>
      </c>
      <c r="O24" s="568">
        <f t="shared" ca="1" si="1"/>
        <v>0</v>
      </c>
      <c r="P24" s="568">
        <f t="shared" ca="1" si="2"/>
        <v>0</v>
      </c>
      <c r="Q24" s="568">
        <f t="shared" ref="Q24:S24" ca="1" si="13">Q25+Q26</f>
        <v>0</v>
      </c>
      <c r="R24" s="568">
        <f t="shared" ca="1" si="13"/>
        <v>0</v>
      </c>
      <c r="S24" s="568">
        <f t="shared" ca="1" si="13"/>
        <v>0</v>
      </c>
      <c r="T24" s="568">
        <f t="shared" ca="1" si="4"/>
        <v>0</v>
      </c>
      <c r="U24" s="568">
        <f t="shared" ca="1" si="5"/>
        <v>0</v>
      </c>
    </row>
    <row r="25" spans="1:21" ht="15.75" customHeight="1" x14ac:dyDescent="0.25">
      <c r="A25" s="560"/>
      <c r="B25" s="561"/>
      <c r="C25" s="561"/>
      <c r="D25" s="561"/>
      <c r="E25" s="569" t="s">
        <v>20</v>
      </c>
      <c r="F25" s="561"/>
      <c r="G25" s="563"/>
      <c r="H25" s="570" t="s">
        <v>14</v>
      </c>
      <c r="I25" s="565"/>
      <c r="J25" s="565"/>
      <c r="K25" s="566"/>
      <c r="L25" s="571">
        <f t="shared" ref="L25:N26" si="14">L51+L66+L79+L101+L132+L146+L164+L193+L180+L273+L289+L310+L327+L340+L363+L520</f>
        <v>0</v>
      </c>
      <c r="M25" s="572">
        <f t="shared" si="14"/>
        <v>0</v>
      </c>
      <c r="N25" s="572">
        <f t="shared" si="14"/>
        <v>0</v>
      </c>
      <c r="O25" s="572">
        <f t="shared" si="1"/>
        <v>0</v>
      </c>
      <c r="P25" s="572">
        <f t="shared" si="2"/>
        <v>0</v>
      </c>
      <c r="Q25" s="572">
        <f t="shared" ref="Q25:S26" si="15">Q79+Q101+Q124+Q146+Q164+Q180+Q193+Q273+Q289+Q310+Q340+Q382+Q399+Q420+Q500+Q606+Q623+Q649+Q697+Q721+Q735+Q767</f>
        <v>0</v>
      </c>
      <c r="R25" s="572">
        <f t="shared" si="15"/>
        <v>0</v>
      </c>
      <c r="S25" s="572">
        <f t="shared" si="15"/>
        <v>0</v>
      </c>
      <c r="T25" s="572">
        <f t="shared" si="4"/>
        <v>0</v>
      </c>
      <c r="U25" s="572">
        <f t="shared" si="5"/>
        <v>0</v>
      </c>
    </row>
    <row r="26" spans="1:21" ht="15.75" customHeight="1" x14ac:dyDescent="0.25">
      <c r="A26" s="560"/>
      <c r="B26" s="561"/>
      <c r="C26" s="561"/>
      <c r="D26" s="561"/>
      <c r="E26" s="573" t="s">
        <v>21</v>
      </c>
      <c r="F26" s="561"/>
      <c r="G26" s="563"/>
      <c r="H26" s="564" t="s">
        <v>14</v>
      </c>
      <c r="I26" s="565"/>
      <c r="J26" s="565"/>
      <c r="K26" s="566"/>
      <c r="L26" s="567">
        <f t="shared" ca="1" si="14"/>
        <v>2195000</v>
      </c>
      <c r="M26" s="568">
        <f t="shared" ca="1" si="14"/>
        <v>2195000</v>
      </c>
      <c r="N26" s="568">
        <f t="shared" ca="1" si="14"/>
        <v>0</v>
      </c>
      <c r="O26" s="568">
        <f t="shared" ca="1" si="1"/>
        <v>0</v>
      </c>
      <c r="P26" s="568">
        <f t="shared" ca="1" si="2"/>
        <v>0</v>
      </c>
      <c r="Q26" s="572">
        <f t="shared" ca="1" si="15"/>
        <v>0</v>
      </c>
      <c r="R26" s="572">
        <f t="shared" ca="1" si="15"/>
        <v>0</v>
      </c>
      <c r="S26" s="572">
        <f t="shared" ca="1" si="15"/>
        <v>0</v>
      </c>
      <c r="T26" s="568">
        <f t="shared" ca="1" si="4"/>
        <v>0</v>
      </c>
      <c r="U26" s="568">
        <f t="shared" ca="1" si="5"/>
        <v>0</v>
      </c>
    </row>
    <row r="27" spans="1:21" ht="15.75" customHeight="1" x14ac:dyDescent="0.25">
      <c r="A27" s="560"/>
      <c r="B27" s="561"/>
      <c r="C27" s="561"/>
      <c r="D27" s="562" t="s">
        <v>24</v>
      </c>
      <c r="E27" s="561"/>
      <c r="F27" s="561"/>
      <c r="G27" s="563"/>
      <c r="H27" s="564" t="s">
        <v>14</v>
      </c>
      <c r="I27" s="565"/>
      <c r="J27" s="565"/>
      <c r="K27" s="566"/>
      <c r="L27" s="574"/>
      <c r="M27" s="566"/>
      <c r="N27" s="566"/>
      <c r="O27" s="566"/>
      <c r="P27" s="566"/>
      <c r="Q27" s="566"/>
      <c r="R27" s="566"/>
      <c r="S27" s="566"/>
      <c r="T27" s="566"/>
      <c r="U27" s="566"/>
    </row>
    <row r="28" spans="1:21" ht="15.75" customHeight="1" x14ac:dyDescent="0.25">
      <c r="A28" s="560"/>
      <c r="B28" s="561"/>
      <c r="C28" s="561"/>
      <c r="D28" s="561"/>
      <c r="E28" s="569" t="s">
        <v>20</v>
      </c>
      <c r="F28" s="561"/>
      <c r="G28" s="563"/>
      <c r="H28" s="570" t="s">
        <v>14</v>
      </c>
      <c r="I28" s="565"/>
      <c r="J28" s="565"/>
      <c r="K28" s="566"/>
      <c r="L28" s="574"/>
      <c r="M28" s="566"/>
      <c r="N28" s="566"/>
      <c r="O28" s="566"/>
      <c r="P28" s="566"/>
      <c r="Q28" s="566"/>
      <c r="R28" s="566"/>
      <c r="S28" s="566"/>
      <c r="T28" s="566"/>
      <c r="U28" s="566"/>
    </row>
    <row r="29" spans="1:21" ht="15.75" customHeight="1" x14ac:dyDescent="0.25">
      <c r="A29" s="575"/>
      <c r="B29" s="513"/>
      <c r="C29" s="513"/>
      <c r="D29" s="513"/>
      <c r="E29" s="576" t="s">
        <v>21</v>
      </c>
      <c r="F29" s="513"/>
      <c r="G29" s="577"/>
      <c r="H29" s="578" t="s">
        <v>14</v>
      </c>
      <c r="I29" s="579"/>
      <c r="J29" s="579"/>
      <c r="K29" s="580"/>
      <c r="L29" s="581"/>
      <c r="M29" s="580"/>
      <c r="N29" s="580"/>
      <c r="O29" s="580"/>
      <c r="P29" s="580"/>
      <c r="Q29" s="580"/>
      <c r="R29" s="580"/>
      <c r="S29" s="580"/>
      <c r="T29" s="580"/>
      <c r="U29" s="580"/>
    </row>
    <row r="30" spans="1:21" ht="12.75" hidden="1" x14ac:dyDescent="0.2">
      <c r="A30" s="1316"/>
      <c r="B30" s="1314"/>
      <c r="C30" s="1314"/>
      <c r="D30" s="1314"/>
      <c r="E30" s="1314"/>
      <c r="F30" s="1314"/>
      <c r="G30" s="1317"/>
      <c r="H30" s="526"/>
      <c r="I30" s="527"/>
      <c r="J30" s="527"/>
      <c r="K30" s="528"/>
      <c r="L30" s="529"/>
      <c r="M30" s="528"/>
      <c r="N30" s="528"/>
      <c r="O30" s="528"/>
      <c r="P30" s="528"/>
      <c r="Q30" s="528"/>
      <c r="R30" s="528"/>
      <c r="S30" s="528"/>
      <c r="T30" s="528"/>
      <c r="U30" s="528"/>
    </row>
    <row r="31" spans="1:21" ht="12.75" hidden="1" x14ac:dyDescent="0.2">
      <c r="A31" s="530"/>
      <c r="B31" s="531"/>
      <c r="C31" s="531"/>
      <c r="D31" s="531"/>
      <c r="E31" s="531"/>
      <c r="F31" s="531"/>
      <c r="G31" s="532"/>
      <c r="H31" s="532"/>
      <c r="I31" s="533"/>
      <c r="J31" s="533"/>
      <c r="K31" s="534"/>
      <c r="L31" s="535"/>
      <c r="M31" s="534"/>
      <c r="N31" s="534"/>
      <c r="O31" s="534"/>
      <c r="P31" s="534"/>
      <c r="Q31" s="534"/>
      <c r="R31" s="534"/>
      <c r="S31" s="534"/>
      <c r="T31" s="534"/>
      <c r="U31" s="534"/>
    </row>
    <row r="32" spans="1:21" ht="12.75" hidden="1" x14ac:dyDescent="0.2">
      <c r="A32" s="530"/>
      <c r="B32" s="531"/>
      <c r="C32" s="531"/>
      <c r="D32" s="531"/>
      <c r="E32" s="531"/>
      <c r="F32" s="531"/>
      <c r="G32" s="532"/>
      <c r="H32" s="532"/>
      <c r="I32" s="533"/>
      <c r="J32" s="533"/>
      <c r="K32" s="534"/>
      <c r="L32" s="535"/>
      <c r="M32" s="534"/>
      <c r="N32" s="534"/>
      <c r="O32" s="534"/>
      <c r="P32" s="534"/>
      <c r="Q32" s="534"/>
      <c r="R32" s="534"/>
      <c r="S32" s="534"/>
      <c r="T32" s="534"/>
      <c r="U32" s="534"/>
    </row>
    <row r="33" spans="1:21" ht="12.75" hidden="1" x14ac:dyDescent="0.2">
      <c r="A33" s="530"/>
      <c r="B33" s="531"/>
      <c r="C33" s="531"/>
      <c r="D33" s="531"/>
      <c r="E33" s="531"/>
      <c r="F33" s="531"/>
      <c r="G33" s="532"/>
      <c r="H33" s="532"/>
      <c r="I33" s="533"/>
      <c r="J33" s="533"/>
      <c r="K33" s="534"/>
      <c r="L33" s="535"/>
      <c r="M33" s="534"/>
      <c r="N33" s="534"/>
      <c r="O33" s="534"/>
      <c r="P33" s="534"/>
      <c r="Q33" s="534"/>
      <c r="R33" s="534"/>
      <c r="S33" s="534"/>
      <c r="T33" s="534"/>
      <c r="U33" s="534"/>
    </row>
    <row r="34" spans="1:21" ht="12.75" hidden="1" x14ac:dyDescent="0.2">
      <c r="A34" s="530"/>
      <c r="B34" s="531"/>
      <c r="C34" s="531"/>
      <c r="D34" s="531"/>
      <c r="E34" s="531"/>
      <c r="F34" s="531"/>
      <c r="G34" s="532"/>
      <c r="H34" s="532"/>
      <c r="I34" s="533"/>
      <c r="J34" s="533"/>
      <c r="K34" s="534"/>
      <c r="L34" s="535"/>
      <c r="M34" s="534"/>
      <c r="N34" s="534"/>
      <c r="O34" s="534"/>
      <c r="P34" s="534"/>
      <c r="Q34" s="534"/>
      <c r="R34" s="534"/>
      <c r="S34" s="534"/>
      <c r="T34" s="534"/>
      <c r="U34" s="534"/>
    </row>
    <row r="35" spans="1:21" ht="12.75" hidden="1" x14ac:dyDescent="0.2">
      <c r="A35" s="530"/>
      <c r="B35" s="531"/>
      <c r="C35" s="531"/>
      <c r="D35" s="531"/>
      <c r="E35" s="531"/>
      <c r="F35" s="531"/>
      <c r="G35" s="532"/>
      <c r="H35" s="532"/>
      <c r="I35" s="533"/>
      <c r="J35" s="533"/>
      <c r="K35" s="534"/>
      <c r="L35" s="535"/>
      <c r="M35" s="534"/>
      <c r="N35" s="534"/>
      <c r="O35" s="534"/>
      <c r="P35" s="534"/>
      <c r="Q35" s="534"/>
      <c r="R35" s="534"/>
      <c r="S35" s="534"/>
      <c r="T35" s="534"/>
      <c r="U35" s="534"/>
    </row>
    <row r="36" spans="1:21" ht="12.75" hidden="1" x14ac:dyDescent="0.2">
      <c r="A36" s="530"/>
      <c r="B36" s="531"/>
      <c r="C36" s="531"/>
      <c r="D36" s="531"/>
      <c r="E36" s="531"/>
      <c r="F36" s="531"/>
      <c r="G36" s="532"/>
      <c r="H36" s="532"/>
      <c r="I36" s="533"/>
      <c r="J36" s="533"/>
      <c r="K36" s="534"/>
      <c r="L36" s="535"/>
      <c r="M36" s="534"/>
      <c r="N36" s="534"/>
      <c r="O36" s="534"/>
      <c r="P36" s="534"/>
      <c r="Q36" s="534"/>
      <c r="R36" s="534"/>
      <c r="S36" s="534"/>
      <c r="T36" s="534"/>
      <c r="U36" s="534"/>
    </row>
    <row r="37" spans="1:21" ht="12.75" hidden="1" x14ac:dyDescent="0.2">
      <c r="A37" s="530"/>
      <c r="B37" s="531"/>
      <c r="C37" s="531"/>
      <c r="D37" s="531"/>
      <c r="E37" s="531"/>
      <c r="F37" s="531"/>
      <c r="G37" s="532"/>
      <c r="H37" s="532"/>
      <c r="I37" s="533"/>
      <c r="J37" s="533"/>
      <c r="K37" s="534"/>
      <c r="L37" s="535"/>
      <c r="M37" s="534"/>
      <c r="N37" s="534"/>
      <c r="O37" s="534"/>
      <c r="P37" s="534"/>
      <c r="Q37" s="534"/>
      <c r="R37" s="534"/>
      <c r="S37" s="534"/>
      <c r="T37" s="534"/>
      <c r="U37" s="534"/>
    </row>
    <row r="38" spans="1:21" ht="12.75" hidden="1" x14ac:dyDescent="0.2">
      <c r="A38" s="530"/>
      <c r="B38" s="531"/>
      <c r="C38" s="531"/>
      <c r="D38" s="531"/>
      <c r="E38" s="531"/>
      <c r="F38" s="531"/>
      <c r="G38" s="532"/>
      <c r="H38" s="532"/>
      <c r="I38" s="533"/>
      <c r="J38" s="533"/>
      <c r="K38" s="534"/>
      <c r="L38" s="535"/>
      <c r="M38" s="534"/>
      <c r="N38" s="534"/>
      <c r="O38" s="534"/>
      <c r="P38" s="534"/>
      <c r="Q38" s="534"/>
      <c r="R38" s="534"/>
      <c r="S38" s="534"/>
      <c r="T38" s="534"/>
      <c r="U38" s="534"/>
    </row>
    <row r="39" spans="1:21" ht="12.75" hidden="1" x14ac:dyDescent="0.2">
      <c r="A39" s="536"/>
      <c r="B39" s="537"/>
      <c r="C39" s="537"/>
      <c r="D39" s="537"/>
      <c r="E39" s="537"/>
      <c r="F39" s="537"/>
      <c r="G39" s="526"/>
      <c r="H39" s="526"/>
      <c r="I39" s="527"/>
      <c r="J39" s="527"/>
      <c r="K39" s="528"/>
      <c r="L39" s="529"/>
      <c r="M39" s="528"/>
      <c r="N39" s="528"/>
      <c r="O39" s="528"/>
      <c r="P39" s="528"/>
      <c r="Q39" s="528"/>
      <c r="R39" s="528"/>
      <c r="S39" s="528"/>
      <c r="T39" s="528"/>
      <c r="U39" s="528"/>
    </row>
    <row r="40" spans="1:21" ht="19.5" x14ac:dyDescent="0.3">
      <c r="A40" s="582" t="s">
        <v>25</v>
      </c>
      <c r="B40" s="583"/>
      <c r="C40" s="583"/>
      <c r="D40" s="583"/>
      <c r="E40" s="583"/>
      <c r="F40" s="583"/>
      <c r="G40" s="584"/>
      <c r="H40" s="584"/>
      <c r="I40" s="585"/>
      <c r="J40" s="585"/>
      <c r="K40" s="586"/>
      <c r="L40" s="587">
        <f t="shared" ref="L40:N40" ca="1" si="16">L44+L59+L72+L94+L125+L139+L157+L173+L186+L266+L282+L303+L320+L333+L356</f>
        <v>4789060</v>
      </c>
      <c r="M40" s="588">
        <f t="shared" ca="1" si="16"/>
        <v>4720785</v>
      </c>
      <c r="N40" s="588">
        <f t="shared" ca="1" si="16"/>
        <v>1708880.42</v>
      </c>
      <c r="O40" s="588">
        <f ca="1">IF(L40&gt;0,N40*100/L40,0)</f>
        <v>35.683002927505605</v>
      </c>
      <c r="P40" s="588">
        <f ca="1">IF(M40&gt;0,N40*100/M40,0)</f>
        <v>36.199073247351869</v>
      </c>
      <c r="Q40" s="586"/>
      <c r="R40" s="586"/>
      <c r="S40" s="586"/>
      <c r="T40" s="586"/>
      <c r="U40" s="586"/>
    </row>
    <row r="41" spans="1:21" ht="19.5" x14ac:dyDescent="0.3">
      <c r="A41" s="589" t="s">
        <v>26</v>
      </c>
      <c r="B41" s="590"/>
      <c r="C41" s="590"/>
      <c r="D41" s="590"/>
      <c r="E41" s="590"/>
      <c r="F41" s="590"/>
      <c r="G41" s="590"/>
      <c r="H41" s="590"/>
      <c r="I41" s="591"/>
      <c r="J41" s="591"/>
      <c r="K41" s="592"/>
      <c r="L41" s="592"/>
      <c r="M41" s="592"/>
      <c r="N41" s="592"/>
      <c r="O41" s="592"/>
      <c r="P41" s="593"/>
      <c r="Q41" s="592"/>
      <c r="R41" s="592"/>
      <c r="S41" s="592"/>
      <c r="T41" s="592"/>
      <c r="U41" s="593"/>
    </row>
    <row r="42" spans="1:21" ht="19.5" x14ac:dyDescent="0.3">
      <c r="A42" s="594"/>
      <c r="B42" s="595" t="s">
        <v>27</v>
      </c>
      <c r="C42" s="594"/>
      <c r="D42" s="594"/>
      <c r="E42" s="594"/>
      <c r="F42" s="594"/>
      <c r="G42" s="596"/>
      <c r="H42" s="596"/>
      <c r="I42" s="597"/>
      <c r="J42" s="597"/>
      <c r="K42" s="598"/>
      <c r="L42" s="599"/>
      <c r="M42" s="598"/>
      <c r="N42" s="598"/>
      <c r="O42" s="598"/>
      <c r="P42" s="598"/>
      <c r="Q42" s="598"/>
      <c r="R42" s="598"/>
      <c r="S42" s="598"/>
      <c r="T42" s="598"/>
      <c r="U42" s="598"/>
    </row>
    <row r="43" spans="1:21" ht="12.75" x14ac:dyDescent="0.2">
      <c r="A43" s="530"/>
      <c r="B43" s="531"/>
      <c r="C43" s="531"/>
      <c r="D43" s="531"/>
      <c r="E43" s="531"/>
      <c r="F43" s="531"/>
      <c r="G43" s="532"/>
      <c r="H43" s="532"/>
      <c r="I43" s="533"/>
      <c r="J43" s="533"/>
      <c r="K43" s="534"/>
      <c r="L43" s="535"/>
      <c r="M43" s="534"/>
      <c r="N43" s="534"/>
      <c r="O43" s="534"/>
      <c r="P43" s="534"/>
      <c r="Q43" s="534"/>
      <c r="R43" s="534"/>
      <c r="S43" s="534"/>
      <c r="T43" s="534"/>
      <c r="U43" s="534"/>
    </row>
    <row r="44" spans="1:21" ht="19.5" x14ac:dyDescent="0.3">
      <c r="A44" s="600"/>
      <c r="B44" s="601"/>
      <c r="C44" s="602" t="s">
        <v>18</v>
      </c>
      <c r="D44" s="603" t="s">
        <v>19</v>
      </c>
      <c r="E44" s="601"/>
      <c r="F44" s="601"/>
      <c r="G44" s="604"/>
      <c r="H44" s="605" t="s">
        <v>14</v>
      </c>
      <c r="I44" s="606"/>
      <c r="J44" s="606"/>
      <c r="K44" s="607"/>
      <c r="L44" s="608">
        <f t="shared" ref="L44:N44" ca="1" si="17">L45+L46</f>
        <v>637200</v>
      </c>
      <c r="M44" s="609">
        <f t="shared" ca="1" si="17"/>
        <v>637200</v>
      </c>
      <c r="N44" s="609">
        <f t="shared" ca="1" si="17"/>
        <v>382230</v>
      </c>
      <c r="O44" s="609">
        <f t="shared" ref="O44:O52" ca="1" si="18">IF(L44&gt;0,N44*100/L44,0)</f>
        <v>59.985875706214692</v>
      </c>
      <c r="P44" s="609">
        <f t="shared" ref="P44:P52" ca="1" si="19">IF(M44&gt;0,N44*100/M44,0)</f>
        <v>59.985875706214692</v>
      </c>
      <c r="Q44" s="609">
        <f t="shared" ref="Q44:S44" si="20">Q45+Q46</f>
        <v>0</v>
      </c>
      <c r="R44" s="609">
        <f t="shared" si="20"/>
        <v>0</v>
      </c>
      <c r="S44" s="609">
        <f t="shared" si="20"/>
        <v>0</v>
      </c>
      <c r="T44" s="609">
        <f t="shared" ref="T44:T52" si="21">IF(Q44&gt;0,S44*100/Q44,0)</f>
        <v>0</v>
      </c>
      <c r="U44" s="609">
        <f t="shared" ref="U44:U52" si="22">IF(R44&gt;0,S44*100/R44,0)</f>
        <v>0</v>
      </c>
    </row>
    <row r="45" spans="1:21" ht="18.75" x14ac:dyDescent="0.25">
      <c r="A45" s="600"/>
      <c r="B45" s="601"/>
      <c r="C45" s="601"/>
      <c r="D45" s="601"/>
      <c r="E45" s="610" t="s">
        <v>20</v>
      </c>
      <c r="F45" s="601"/>
      <c r="G45" s="604"/>
      <c r="H45" s="611" t="s">
        <v>14</v>
      </c>
      <c r="I45" s="606"/>
      <c r="J45" s="606"/>
      <c r="K45" s="607"/>
      <c r="L45" s="612">
        <f t="shared" ref="L45:N46" si="23">L48+L51</f>
        <v>0</v>
      </c>
      <c r="M45" s="613">
        <f t="shared" si="23"/>
        <v>0</v>
      </c>
      <c r="N45" s="613">
        <f t="shared" si="23"/>
        <v>0</v>
      </c>
      <c r="O45" s="613">
        <f t="shared" si="18"/>
        <v>0</v>
      </c>
      <c r="P45" s="613">
        <f t="shared" si="19"/>
        <v>0</v>
      </c>
      <c r="Q45" s="613">
        <f t="shared" ref="Q45:S46" si="24">Q48+Q51</f>
        <v>0</v>
      </c>
      <c r="R45" s="613">
        <f t="shared" si="24"/>
        <v>0</v>
      </c>
      <c r="S45" s="613">
        <f t="shared" si="24"/>
        <v>0</v>
      </c>
      <c r="T45" s="613">
        <f t="shared" si="21"/>
        <v>0</v>
      </c>
      <c r="U45" s="613">
        <f t="shared" si="22"/>
        <v>0</v>
      </c>
    </row>
    <row r="46" spans="1:21" ht="18.75" x14ac:dyDescent="0.25">
      <c r="A46" s="600"/>
      <c r="B46" s="601"/>
      <c r="C46" s="601"/>
      <c r="D46" s="601"/>
      <c r="E46" s="614" t="s">
        <v>21</v>
      </c>
      <c r="F46" s="601"/>
      <c r="G46" s="604"/>
      <c r="H46" s="615" t="s">
        <v>14</v>
      </c>
      <c r="I46" s="606"/>
      <c r="J46" s="606"/>
      <c r="K46" s="607"/>
      <c r="L46" s="616">
        <f t="shared" ca="1" si="23"/>
        <v>637200</v>
      </c>
      <c r="M46" s="617">
        <f t="shared" ca="1" si="23"/>
        <v>637200</v>
      </c>
      <c r="N46" s="617">
        <f t="shared" ca="1" si="23"/>
        <v>382230</v>
      </c>
      <c r="O46" s="617">
        <f t="shared" ca="1" si="18"/>
        <v>59.985875706214692</v>
      </c>
      <c r="P46" s="617">
        <f t="shared" ca="1" si="19"/>
        <v>59.985875706214692</v>
      </c>
      <c r="Q46" s="617">
        <f t="shared" si="24"/>
        <v>0</v>
      </c>
      <c r="R46" s="617">
        <f t="shared" si="24"/>
        <v>0</v>
      </c>
      <c r="S46" s="617">
        <f t="shared" si="24"/>
        <v>0</v>
      </c>
      <c r="T46" s="617">
        <f t="shared" si="21"/>
        <v>0</v>
      </c>
      <c r="U46" s="617">
        <f t="shared" si="22"/>
        <v>0</v>
      </c>
    </row>
    <row r="47" spans="1:21" ht="18.75" x14ac:dyDescent="0.25">
      <c r="A47" s="560"/>
      <c r="B47" s="561"/>
      <c r="C47" s="561"/>
      <c r="D47" s="562" t="s">
        <v>22</v>
      </c>
      <c r="E47" s="561"/>
      <c r="F47" s="561"/>
      <c r="G47" s="563"/>
      <c r="H47" s="564" t="s">
        <v>14</v>
      </c>
      <c r="I47" s="565"/>
      <c r="J47" s="565"/>
      <c r="K47" s="566"/>
      <c r="L47" s="567">
        <f t="shared" ref="L47:N47" ca="1" si="25">L48+L49</f>
        <v>637200</v>
      </c>
      <c r="M47" s="568">
        <f t="shared" ca="1" si="25"/>
        <v>637200</v>
      </c>
      <c r="N47" s="568">
        <f t="shared" ca="1" si="25"/>
        <v>382230</v>
      </c>
      <c r="O47" s="568">
        <f t="shared" ca="1" si="18"/>
        <v>59.985875706214692</v>
      </c>
      <c r="P47" s="568">
        <f t="shared" ca="1" si="19"/>
        <v>59.985875706214692</v>
      </c>
      <c r="Q47" s="568">
        <f t="shared" ref="Q47:S47" si="26">Q48+Q49</f>
        <v>0</v>
      </c>
      <c r="R47" s="568">
        <f t="shared" si="26"/>
        <v>0</v>
      </c>
      <c r="S47" s="568">
        <f t="shared" si="26"/>
        <v>0</v>
      </c>
      <c r="T47" s="568">
        <f t="shared" si="21"/>
        <v>0</v>
      </c>
      <c r="U47" s="568">
        <f t="shared" si="22"/>
        <v>0</v>
      </c>
    </row>
    <row r="48" spans="1:21" ht="18.75" x14ac:dyDescent="0.25">
      <c r="A48" s="560"/>
      <c r="B48" s="561"/>
      <c r="C48" s="561"/>
      <c r="D48" s="561"/>
      <c r="E48" s="569" t="s">
        <v>20</v>
      </c>
      <c r="F48" s="561"/>
      <c r="G48" s="563"/>
      <c r="H48" s="570" t="s">
        <v>14</v>
      </c>
      <c r="I48" s="565"/>
      <c r="J48" s="565"/>
      <c r="K48" s="566"/>
      <c r="L48" s="571">
        <v>0</v>
      </c>
      <c r="M48" s="572">
        <v>0</v>
      </c>
      <c r="N48" s="572">
        <v>0</v>
      </c>
      <c r="O48" s="572">
        <f t="shared" si="18"/>
        <v>0</v>
      </c>
      <c r="P48" s="572">
        <f t="shared" si="19"/>
        <v>0</v>
      </c>
      <c r="Q48" s="572">
        <v>0</v>
      </c>
      <c r="R48" s="572">
        <v>0</v>
      </c>
      <c r="S48" s="572">
        <v>0</v>
      </c>
      <c r="T48" s="572">
        <f t="shared" si="21"/>
        <v>0</v>
      </c>
      <c r="U48" s="572">
        <f t="shared" si="22"/>
        <v>0</v>
      </c>
    </row>
    <row r="49" spans="1:21" ht="18.75" x14ac:dyDescent="0.25">
      <c r="A49" s="560"/>
      <c r="B49" s="561"/>
      <c r="C49" s="561"/>
      <c r="D49" s="561"/>
      <c r="E49" s="573" t="s">
        <v>21</v>
      </c>
      <c r="F49" s="561"/>
      <c r="G49" s="563"/>
      <c r="H49" s="564" t="s">
        <v>14</v>
      </c>
      <c r="I49" s="565"/>
      <c r="J49" s="565"/>
      <c r="K49" s="566"/>
      <c r="L49" s="567">
        <f ca="1">IFERROR(__xludf.DUMMYFUNCTION("IMPORTRANGE(""https://docs.google.com/spreadsheets/d/1-uDff_7J0KD5mKrp0Vvzr7lt3OU09vwQwhkpOPPYv2Y/edit?usp=sharing"",""งบพรบ!P24"")"),637200)</f>
        <v>637200</v>
      </c>
      <c r="M49" s="568">
        <f ca="1">IFERROR(__xludf.DUMMYFUNCTION("IMPORTRANGE(""https://docs.google.com/spreadsheets/d/1-uDff_7J0KD5mKrp0Vvzr7lt3OU09vwQwhkpOPPYv2Y/edit?usp=sharing"",""งบพรบ!V24"")"),637200)</f>
        <v>637200</v>
      </c>
      <c r="N49" s="568">
        <f ca="1">IFERROR(__xludf.DUMMYFUNCTION("IMPORTRANGE(""https://docs.google.com/spreadsheets/d/1-uDff_7J0KD5mKrp0Vvzr7lt3OU09vwQwhkpOPPYv2Y/edit?usp=sharing"",""งบพรบ!Y24"")"),382230)</f>
        <v>382230</v>
      </c>
      <c r="O49" s="568">
        <f t="shared" ca="1" si="18"/>
        <v>59.985875706214692</v>
      </c>
      <c r="P49" s="568">
        <f t="shared" ca="1" si="19"/>
        <v>59.985875706214692</v>
      </c>
      <c r="Q49" s="568">
        <v>0</v>
      </c>
      <c r="R49" s="568">
        <v>0</v>
      </c>
      <c r="S49" s="568">
        <v>0</v>
      </c>
      <c r="T49" s="568">
        <f t="shared" si="21"/>
        <v>0</v>
      </c>
      <c r="U49" s="568">
        <f t="shared" si="22"/>
        <v>0</v>
      </c>
    </row>
    <row r="50" spans="1:21" ht="18.75" x14ac:dyDescent="0.25">
      <c r="A50" s="560"/>
      <c r="B50" s="561"/>
      <c r="C50" s="561"/>
      <c r="D50" s="562" t="s">
        <v>23</v>
      </c>
      <c r="E50" s="561"/>
      <c r="F50" s="561"/>
      <c r="G50" s="563"/>
      <c r="H50" s="564" t="s">
        <v>14</v>
      </c>
      <c r="I50" s="565"/>
      <c r="J50" s="565"/>
      <c r="K50" s="566"/>
      <c r="L50" s="567">
        <f t="shared" ref="L50:N50" ca="1" si="27">L51+L52</f>
        <v>0</v>
      </c>
      <c r="M50" s="568">
        <f t="shared" ca="1" si="27"/>
        <v>0</v>
      </c>
      <c r="N50" s="568">
        <f t="shared" ca="1" si="27"/>
        <v>0</v>
      </c>
      <c r="O50" s="568">
        <f t="shared" ca="1" si="18"/>
        <v>0</v>
      </c>
      <c r="P50" s="568">
        <f t="shared" ca="1" si="19"/>
        <v>0</v>
      </c>
      <c r="Q50" s="568">
        <f t="shared" ref="Q50:S50" si="28">Q51+Q52</f>
        <v>0</v>
      </c>
      <c r="R50" s="568">
        <f t="shared" si="28"/>
        <v>0</v>
      </c>
      <c r="S50" s="568">
        <f t="shared" si="28"/>
        <v>0</v>
      </c>
      <c r="T50" s="568">
        <f t="shared" si="21"/>
        <v>0</v>
      </c>
      <c r="U50" s="568">
        <f t="shared" si="22"/>
        <v>0</v>
      </c>
    </row>
    <row r="51" spans="1:21" ht="18.75" x14ac:dyDescent="0.25">
      <c r="A51" s="560"/>
      <c r="B51" s="561"/>
      <c r="C51" s="561"/>
      <c r="D51" s="561"/>
      <c r="E51" s="569" t="s">
        <v>20</v>
      </c>
      <c r="F51" s="561"/>
      <c r="G51" s="563"/>
      <c r="H51" s="570" t="s">
        <v>14</v>
      </c>
      <c r="I51" s="565"/>
      <c r="J51" s="565"/>
      <c r="K51" s="566"/>
      <c r="L51" s="571">
        <v>0</v>
      </c>
      <c r="M51" s="572">
        <v>0</v>
      </c>
      <c r="N51" s="572">
        <v>0</v>
      </c>
      <c r="O51" s="572">
        <f t="shared" si="18"/>
        <v>0</v>
      </c>
      <c r="P51" s="572">
        <f t="shared" si="19"/>
        <v>0</v>
      </c>
      <c r="Q51" s="572">
        <v>0</v>
      </c>
      <c r="R51" s="572">
        <v>0</v>
      </c>
      <c r="S51" s="572">
        <v>0</v>
      </c>
      <c r="T51" s="572">
        <f t="shared" si="21"/>
        <v>0</v>
      </c>
      <c r="U51" s="572">
        <f t="shared" si="22"/>
        <v>0</v>
      </c>
    </row>
    <row r="52" spans="1:21" ht="18.75" x14ac:dyDescent="0.25">
      <c r="A52" s="560"/>
      <c r="B52" s="561"/>
      <c r="C52" s="561"/>
      <c r="D52" s="561"/>
      <c r="E52" s="573" t="s">
        <v>21</v>
      </c>
      <c r="F52" s="561"/>
      <c r="G52" s="563"/>
      <c r="H52" s="564" t="s">
        <v>14</v>
      </c>
      <c r="I52" s="565"/>
      <c r="J52" s="565"/>
      <c r="K52" s="566"/>
      <c r="L52" s="567">
        <f ca="1">IFERROR(__xludf.DUMMYFUNCTION("IMPORTRANGE(""https://docs.google.com/spreadsheets/d/1-uDff_7J0KD5mKrp0Vvzr7lt3OU09vwQwhkpOPPYv2Y/edit?usp=sharing"",""งบพรบ!S24"")"),0)</f>
        <v>0</v>
      </c>
      <c r="M52" s="568">
        <f ca="1">IFERROR(__xludf.DUMMYFUNCTION("IMPORTRANGE(""https://docs.google.com/spreadsheets/d/1-uDff_7J0KD5mKrp0Vvzr7lt3OU09vwQwhkpOPPYv2Y/edit?usp=sharing"",""งบพรบ!W24"")"),0)</f>
        <v>0</v>
      </c>
      <c r="N52" s="568">
        <f ca="1">IFERROR(__xludf.DUMMYFUNCTION("IMPORTRANGE(""https://docs.google.com/spreadsheets/d/1-uDff_7J0KD5mKrp0Vvzr7lt3OU09vwQwhkpOPPYv2Y/edit?usp=sharing"",""งบพรบ!Z24"")"),0)</f>
        <v>0</v>
      </c>
      <c r="O52" s="568">
        <f t="shared" ca="1" si="18"/>
        <v>0</v>
      </c>
      <c r="P52" s="568">
        <f t="shared" ca="1" si="19"/>
        <v>0</v>
      </c>
      <c r="Q52" s="568">
        <v>0</v>
      </c>
      <c r="R52" s="568">
        <v>0</v>
      </c>
      <c r="S52" s="568">
        <v>0</v>
      </c>
      <c r="T52" s="568">
        <f t="shared" si="21"/>
        <v>0</v>
      </c>
      <c r="U52" s="568">
        <f t="shared" si="22"/>
        <v>0</v>
      </c>
    </row>
    <row r="53" spans="1:21" ht="18.75" x14ac:dyDescent="0.25">
      <c r="A53" s="560"/>
      <c r="B53" s="561"/>
      <c r="C53" s="561"/>
      <c r="D53" s="562" t="s">
        <v>24</v>
      </c>
      <c r="E53" s="561"/>
      <c r="F53" s="561"/>
      <c r="G53" s="563"/>
      <c r="H53" s="564" t="s">
        <v>14</v>
      </c>
      <c r="I53" s="565"/>
      <c r="J53" s="565"/>
      <c r="K53" s="566"/>
      <c r="L53" s="574"/>
      <c r="M53" s="566"/>
      <c r="N53" s="566"/>
      <c r="O53" s="566"/>
      <c r="P53" s="566"/>
      <c r="Q53" s="566"/>
      <c r="R53" s="566"/>
      <c r="S53" s="566"/>
      <c r="T53" s="566"/>
      <c r="U53" s="566"/>
    </row>
    <row r="54" spans="1:21" ht="18.75" x14ac:dyDescent="0.25">
      <c r="A54" s="560"/>
      <c r="B54" s="561"/>
      <c r="C54" s="561"/>
      <c r="D54" s="561"/>
      <c r="E54" s="569" t="s">
        <v>20</v>
      </c>
      <c r="F54" s="561"/>
      <c r="G54" s="563"/>
      <c r="H54" s="570" t="s">
        <v>14</v>
      </c>
      <c r="I54" s="565"/>
      <c r="J54" s="565"/>
      <c r="K54" s="566"/>
      <c r="L54" s="574"/>
      <c r="M54" s="566"/>
      <c r="N54" s="566"/>
      <c r="O54" s="566"/>
      <c r="P54" s="566"/>
      <c r="Q54" s="566"/>
      <c r="R54" s="566"/>
      <c r="S54" s="566"/>
      <c r="T54" s="566"/>
      <c r="U54" s="566"/>
    </row>
    <row r="55" spans="1:21" ht="18.75" x14ac:dyDescent="0.25">
      <c r="A55" s="575"/>
      <c r="B55" s="513"/>
      <c r="C55" s="513"/>
      <c r="D55" s="513"/>
      <c r="E55" s="576" t="s">
        <v>21</v>
      </c>
      <c r="F55" s="513"/>
      <c r="G55" s="577"/>
      <c r="H55" s="578" t="s">
        <v>14</v>
      </c>
      <c r="I55" s="579"/>
      <c r="J55" s="579"/>
      <c r="K55" s="580"/>
      <c r="L55" s="581"/>
      <c r="M55" s="580"/>
      <c r="N55" s="580"/>
      <c r="O55" s="580"/>
      <c r="P55" s="580"/>
      <c r="Q55" s="580"/>
      <c r="R55" s="580"/>
      <c r="S55" s="580"/>
      <c r="T55" s="580"/>
      <c r="U55" s="580"/>
    </row>
    <row r="56" spans="1:21" ht="19.5" x14ac:dyDescent="0.3">
      <c r="A56" s="1319" t="s">
        <v>28</v>
      </c>
      <c r="B56" s="1314"/>
      <c r="C56" s="1314"/>
      <c r="D56" s="1314"/>
      <c r="E56" s="1314"/>
      <c r="F56" s="1314"/>
      <c r="G56" s="1317"/>
      <c r="H56" s="618"/>
      <c r="I56" s="619"/>
      <c r="J56" s="619"/>
      <c r="K56" s="620"/>
      <c r="L56" s="620"/>
      <c r="M56" s="620"/>
      <c r="N56" s="620"/>
      <c r="O56" s="620"/>
      <c r="P56" s="621"/>
      <c r="Q56" s="620"/>
      <c r="R56" s="620"/>
      <c r="S56" s="620"/>
      <c r="T56" s="620"/>
      <c r="U56" s="621"/>
    </row>
    <row r="57" spans="1:21" ht="19.5" x14ac:dyDescent="0.3">
      <c r="A57" s="622"/>
      <c r="B57" s="1320" t="s">
        <v>29</v>
      </c>
      <c r="C57" s="1311"/>
      <c r="D57" s="1311"/>
      <c r="E57" s="1311"/>
      <c r="F57" s="1311"/>
      <c r="G57" s="1312"/>
      <c r="H57" s="625"/>
      <c r="I57" s="626"/>
      <c r="J57" s="626"/>
      <c r="K57" s="627"/>
      <c r="L57" s="628"/>
      <c r="M57" s="627"/>
      <c r="N57" s="627"/>
      <c r="O57" s="627"/>
      <c r="P57" s="627"/>
      <c r="Q57" s="627"/>
      <c r="R57" s="627"/>
      <c r="S57" s="627"/>
      <c r="T57" s="627"/>
      <c r="U57" s="627"/>
    </row>
    <row r="58" spans="1:21" ht="19.5" x14ac:dyDescent="0.3">
      <c r="A58" s="629"/>
      <c r="B58" s="630" t="s">
        <v>30</v>
      </c>
      <c r="C58" s="631"/>
      <c r="D58" s="631"/>
      <c r="E58" s="631"/>
      <c r="F58" s="631"/>
      <c r="G58" s="632"/>
      <c r="H58" s="632"/>
      <c r="I58" s="633"/>
      <c r="J58" s="633"/>
      <c r="K58" s="634"/>
      <c r="L58" s="635"/>
      <c r="M58" s="634"/>
      <c r="N58" s="634"/>
      <c r="O58" s="634"/>
      <c r="P58" s="634"/>
      <c r="Q58" s="634"/>
      <c r="R58" s="634"/>
      <c r="S58" s="634"/>
      <c r="T58" s="634"/>
      <c r="U58" s="634"/>
    </row>
    <row r="59" spans="1:21" ht="19.5" x14ac:dyDescent="0.3">
      <c r="A59" s="636"/>
      <c r="B59" s="637"/>
      <c r="C59" s="638" t="s">
        <v>18</v>
      </c>
      <c r="D59" s="639" t="s">
        <v>19</v>
      </c>
      <c r="E59" s="637"/>
      <c r="F59" s="637"/>
      <c r="G59" s="640"/>
      <c r="H59" s="641" t="s">
        <v>14</v>
      </c>
      <c r="I59" s="642"/>
      <c r="J59" s="642"/>
      <c r="K59" s="643"/>
      <c r="L59" s="644">
        <f t="shared" ref="L59:N59" ca="1" si="29">L60+L61</f>
        <v>2817200</v>
      </c>
      <c r="M59" s="645">
        <f t="shared" ca="1" si="29"/>
        <v>2817200</v>
      </c>
      <c r="N59" s="645">
        <f t="shared" ca="1" si="29"/>
        <v>448750.95</v>
      </c>
      <c r="O59" s="645">
        <f t="shared" ref="O59:O67" ca="1" si="30">IF(L59&gt;0,N59*100/L59,0)</f>
        <v>15.928970254153059</v>
      </c>
      <c r="P59" s="645">
        <f t="shared" ref="P59:P67" ca="1" si="31">IF(M59&gt;0,N59*100/M59,0)</f>
        <v>15.928970254153059</v>
      </c>
      <c r="Q59" s="645">
        <f t="shared" ref="Q59:S59" si="32">Q60+Q61</f>
        <v>0</v>
      </c>
      <c r="R59" s="645">
        <f t="shared" si="32"/>
        <v>0</v>
      </c>
      <c r="S59" s="645">
        <f t="shared" si="32"/>
        <v>0</v>
      </c>
      <c r="T59" s="645">
        <f t="shared" ref="T59:T67" si="33">IF(Q59&gt;0,S59*100/Q59,0)</f>
        <v>0</v>
      </c>
      <c r="U59" s="645">
        <f t="shared" ref="U59:U67" si="34">IF(R59&gt;0,S59*100/R59,0)</f>
        <v>0</v>
      </c>
    </row>
    <row r="60" spans="1:21" ht="18.75" x14ac:dyDescent="0.25">
      <c r="A60" s="636"/>
      <c r="B60" s="637"/>
      <c r="C60" s="637"/>
      <c r="D60" s="637"/>
      <c r="E60" s="646" t="s">
        <v>20</v>
      </c>
      <c r="F60" s="637"/>
      <c r="G60" s="640"/>
      <c r="H60" s="647" t="s">
        <v>14</v>
      </c>
      <c r="I60" s="642"/>
      <c r="J60" s="642"/>
      <c r="K60" s="643"/>
      <c r="L60" s="648">
        <f t="shared" ref="L60:N61" si="35">L63+L66</f>
        <v>0</v>
      </c>
      <c r="M60" s="649">
        <f t="shared" si="35"/>
        <v>0</v>
      </c>
      <c r="N60" s="649">
        <f t="shared" si="35"/>
        <v>0</v>
      </c>
      <c r="O60" s="649">
        <f t="shared" si="30"/>
        <v>0</v>
      </c>
      <c r="P60" s="649">
        <f t="shared" si="31"/>
        <v>0</v>
      </c>
      <c r="Q60" s="649">
        <f t="shared" ref="Q60:S61" si="36">Q63+Q66</f>
        <v>0</v>
      </c>
      <c r="R60" s="649">
        <f t="shared" si="36"/>
        <v>0</v>
      </c>
      <c r="S60" s="649">
        <f t="shared" si="36"/>
        <v>0</v>
      </c>
      <c r="T60" s="649">
        <f t="shared" si="33"/>
        <v>0</v>
      </c>
      <c r="U60" s="649">
        <f t="shared" si="34"/>
        <v>0</v>
      </c>
    </row>
    <row r="61" spans="1:21" ht="18.75" x14ac:dyDescent="0.25">
      <c r="A61" s="636"/>
      <c r="B61" s="637"/>
      <c r="C61" s="637"/>
      <c r="D61" s="637"/>
      <c r="E61" s="650" t="s">
        <v>21</v>
      </c>
      <c r="F61" s="637"/>
      <c r="G61" s="640"/>
      <c r="H61" s="651" t="s">
        <v>14</v>
      </c>
      <c r="I61" s="642"/>
      <c r="J61" s="642"/>
      <c r="K61" s="643"/>
      <c r="L61" s="652">
        <f t="shared" ca="1" si="35"/>
        <v>2817200</v>
      </c>
      <c r="M61" s="653">
        <f t="shared" ca="1" si="35"/>
        <v>2817200</v>
      </c>
      <c r="N61" s="653">
        <f t="shared" ca="1" si="35"/>
        <v>448750.95</v>
      </c>
      <c r="O61" s="653">
        <f t="shared" ca="1" si="30"/>
        <v>15.928970254153059</v>
      </c>
      <c r="P61" s="653">
        <f t="shared" ca="1" si="31"/>
        <v>15.928970254153059</v>
      </c>
      <c r="Q61" s="653">
        <f t="shared" si="36"/>
        <v>0</v>
      </c>
      <c r="R61" s="653">
        <f t="shared" si="36"/>
        <v>0</v>
      </c>
      <c r="S61" s="653">
        <f t="shared" si="36"/>
        <v>0</v>
      </c>
      <c r="T61" s="653">
        <f t="shared" si="33"/>
        <v>0</v>
      </c>
      <c r="U61" s="653">
        <f t="shared" si="34"/>
        <v>0</v>
      </c>
    </row>
    <row r="62" spans="1:21" ht="18.75" x14ac:dyDescent="0.25">
      <c r="A62" s="560"/>
      <c r="B62" s="561"/>
      <c r="C62" s="561"/>
      <c r="D62" s="562" t="s">
        <v>22</v>
      </c>
      <c r="E62" s="561"/>
      <c r="F62" s="561"/>
      <c r="G62" s="563"/>
      <c r="H62" s="564" t="s">
        <v>14</v>
      </c>
      <c r="I62" s="565"/>
      <c r="J62" s="565"/>
      <c r="K62" s="566"/>
      <c r="L62" s="567">
        <f t="shared" ref="L62:N62" ca="1" si="37">L63+L64</f>
        <v>622200</v>
      </c>
      <c r="M62" s="568">
        <f t="shared" ca="1" si="37"/>
        <v>622200</v>
      </c>
      <c r="N62" s="568">
        <f t="shared" ca="1" si="37"/>
        <v>448750.95</v>
      </c>
      <c r="O62" s="568">
        <f t="shared" ca="1" si="30"/>
        <v>72.123264223722273</v>
      </c>
      <c r="P62" s="568">
        <f t="shared" ca="1" si="31"/>
        <v>72.123264223722273</v>
      </c>
      <c r="Q62" s="568">
        <f t="shared" ref="Q62:S62" si="38">Q63+Q64</f>
        <v>0</v>
      </c>
      <c r="R62" s="568">
        <f t="shared" si="38"/>
        <v>0</v>
      </c>
      <c r="S62" s="568">
        <f t="shared" si="38"/>
        <v>0</v>
      </c>
      <c r="T62" s="568">
        <f t="shared" si="33"/>
        <v>0</v>
      </c>
      <c r="U62" s="568">
        <f t="shared" si="34"/>
        <v>0</v>
      </c>
    </row>
    <row r="63" spans="1:21" ht="18.75" x14ac:dyDescent="0.25">
      <c r="A63" s="560"/>
      <c r="B63" s="561"/>
      <c r="C63" s="561"/>
      <c r="D63" s="561"/>
      <c r="E63" s="569" t="s">
        <v>20</v>
      </c>
      <c r="F63" s="561"/>
      <c r="G63" s="563"/>
      <c r="H63" s="570" t="s">
        <v>14</v>
      </c>
      <c r="I63" s="565"/>
      <c r="J63" s="565"/>
      <c r="K63" s="566"/>
      <c r="L63" s="571">
        <v>0</v>
      </c>
      <c r="M63" s="572">
        <v>0</v>
      </c>
      <c r="N63" s="572">
        <v>0</v>
      </c>
      <c r="O63" s="572">
        <f t="shared" si="30"/>
        <v>0</v>
      </c>
      <c r="P63" s="572">
        <f t="shared" si="31"/>
        <v>0</v>
      </c>
      <c r="Q63" s="572">
        <v>0</v>
      </c>
      <c r="R63" s="572">
        <v>0</v>
      </c>
      <c r="S63" s="572">
        <v>0</v>
      </c>
      <c r="T63" s="572">
        <f t="shared" si="33"/>
        <v>0</v>
      </c>
      <c r="U63" s="572">
        <f t="shared" si="34"/>
        <v>0</v>
      </c>
    </row>
    <row r="64" spans="1:21" ht="18.75" x14ac:dyDescent="0.25">
      <c r="A64" s="560"/>
      <c r="B64" s="561"/>
      <c r="C64" s="561"/>
      <c r="D64" s="561"/>
      <c r="E64" s="573" t="s">
        <v>21</v>
      </c>
      <c r="F64" s="561"/>
      <c r="G64" s="563"/>
      <c r="H64" s="564" t="s">
        <v>14</v>
      </c>
      <c r="I64" s="565"/>
      <c r="J64" s="565"/>
      <c r="K64" s="566"/>
      <c r="L64" s="567">
        <f ca="1">IFERROR(__xludf.DUMMYFUNCTION("IMPORTRANGE(""https://docs.google.com/spreadsheets/d/1-uDff_7J0KD5mKrp0Vvzr7lt3OU09vwQwhkpOPPYv2Y/edit?usp=sharing"",""งบพรบ!AC24"")"),622200)</f>
        <v>622200</v>
      </c>
      <c r="M64" s="568">
        <f ca="1">IFERROR(__xludf.DUMMYFUNCTION("IMPORTRANGE(""https://docs.google.com/spreadsheets/d/1-uDff_7J0KD5mKrp0Vvzr7lt3OU09vwQwhkpOPPYv2Y/edit?usp=sharing"",""งบพรบ!AH24"")"),622200)</f>
        <v>622200</v>
      </c>
      <c r="N64" s="568">
        <f ca="1">IFERROR(__xludf.DUMMYFUNCTION("IMPORTRANGE(""https://docs.google.com/spreadsheets/d/1-uDff_7J0KD5mKrp0Vvzr7lt3OU09vwQwhkpOPPYv2Y/edit?usp=sharing"",""งบพรบ!AJ24"")"),448750.95)</f>
        <v>448750.95</v>
      </c>
      <c r="O64" s="568">
        <f t="shared" ca="1" si="30"/>
        <v>72.123264223722273</v>
      </c>
      <c r="P64" s="568">
        <f t="shared" ca="1" si="31"/>
        <v>72.123264223722273</v>
      </c>
      <c r="Q64" s="568">
        <v>0</v>
      </c>
      <c r="R64" s="568">
        <v>0</v>
      </c>
      <c r="S64" s="568">
        <v>0</v>
      </c>
      <c r="T64" s="568">
        <f t="shared" si="33"/>
        <v>0</v>
      </c>
      <c r="U64" s="568">
        <f t="shared" si="34"/>
        <v>0</v>
      </c>
    </row>
    <row r="65" spans="1:21" ht="18.75" x14ac:dyDescent="0.25">
      <c r="A65" s="560"/>
      <c r="B65" s="561"/>
      <c r="C65" s="561"/>
      <c r="D65" s="562" t="s">
        <v>23</v>
      </c>
      <c r="E65" s="561"/>
      <c r="F65" s="561"/>
      <c r="G65" s="563"/>
      <c r="H65" s="564" t="s">
        <v>14</v>
      </c>
      <c r="I65" s="565"/>
      <c r="J65" s="565"/>
      <c r="K65" s="566"/>
      <c r="L65" s="567">
        <f t="shared" ref="L65:N65" ca="1" si="39">L66+L67</f>
        <v>2195000</v>
      </c>
      <c r="M65" s="568">
        <f t="shared" ca="1" si="39"/>
        <v>2195000</v>
      </c>
      <c r="N65" s="568">
        <f t="shared" ca="1" si="39"/>
        <v>0</v>
      </c>
      <c r="O65" s="568">
        <f t="shared" ca="1" si="30"/>
        <v>0</v>
      </c>
      <c r="P65" s="568">
        <f t="shared" ca="1" si="31"/>
        <v>0</v>
      </c>
      <c r="Q65" s="568">
        <f t="shared" ref="Q65:S65" si="40">Q66+Q67</f>
        <v>0</v>
      </c>
      <c r="R65" s="568">
        <f t="shared" si="40"/>
        <v>0</v>
      </c>
      <c r="S65" s="568">
        <f t="shared" si="40"/>
        <v>0</v>
      </c>
      <c r="T65" s="568">
        <f t="shared" si="33"/>
        <v>0</v>
      </c>
      <c r="U65" s="568">
        <f t="shared" si="34"/>
        <v>0</v>
      </c>
    </row>
    <row r="66" spans="1:21" ht="18.75" x14ac:dyDescent="0.25">
      <c r="A66" s="560"/>
      <c r="B66" s="561"/>
      <c r="C66" s="561"/>
      <c r="D66" s="561"/>
      <c r="E66" s="569" t="s">
        <v>20</v>
      </c>
      <c r="F66" s="561"/>
      <c r="G66" s="563"/>
      <c r="H66" s="570" t="s">
        <v>14</v>
      </c>
      <c r="I66" s="565"/>
      <c r="J66" s="565"/>
      <c r="K66" s="566"/>
      <c r="L66" s="571">
        <v>0</v>
      </c>
      <c r="M66" s="572">
        <v>0</v>
      </c>
      <c r="N66" s="572">
        <v>0</v>
      </c>
      <c r="O66" s="572">
        <f t="shared" si="30"/>
        <v>0</v>
      </c>
      <c r="P66" s="572">
        <f t="shared" si="31"/>
        <v>0</v>
      </c>
      <c r="Q66" s="572">
        <v>0</v>
      </c>
      <c r="R66" s="572">
        <v>0</v>
      </c>
      <c r="S66" s="572">
        <v>0</v>
      </c>
      <c r="T66" s="572">
        <f t="shared" si="33"/>
        <v>0</v>
      </c>
      <c r="U66" s="572">
        <f t="shared" si="34"/>
        <v>0</v>
      </c>
    </row>
    <row r="67" spans="1:21" ht="18.75" x14ac:dyDescent="0.25">
      <c r="A67" s="575"/>
      <c r="B67" s="513"/>
      <c r="C67" s="513"/>
      <c r="D67" s="513"/>
      <c r="E67" s="576" t="s">
        <v>21</v>
      </c>
      <c r="F67" s="513"/>
      <c r="G67" s="577"/>
      <c r="H67" s="578" t="s">
        <v>14</v>
      </c>
      <c r="I67" s="579"/>
      <c r="J67" s="579"/>
      <c r="K67" s="580"/>
      <c r="L67" s="654">
        <f ca="1">IFERROR(__xludf.DUMMYFUNCTION("IMPORTRANGE(""https://docs.google.com/spreadsheets/d/1-uDff_7J0KD5mKrp0Vvzr7lt3OU09vwQwhkpOPPYv2Y/edit?usp=sharing"",""งบพรบ!AF24"")"),2195000)</f>
        <v>2195000</v>
      </c>
      <c r="M67" s="655">
        <f ca="1">IFERROR(__xludf.DUMMYFUNCTION("IMPORTRANGE(""https://docs.google.com/spreadsheets/d/1-uDff_7J0KD5mKrp0Vvzr7lt3OU09vwQwhkpOPPYv2Y/edit?usp=sharing"",""งบพรบ!AI24"")"),2195000)</f>
        <v>2195000</v>
      </c>
      <c r="N67" s="655">
        <f ca="1">IFERROR(__xludf.DUMMYFUNCTION("IMPORTRANGE(""https://docs.google.com/spreadsheets/d/1-uDff_7J0KD5mKrp0Vvzr7lt3OU09vwQwhkpOPPYv2Y/edit?usp=sharing"",""งบพรบ!AK24"")"),0)</f>
        <v>0</v>
      </c>
      <c r="O67" s="655">
        <f t="shared" ca="1" si="30"/>
        <v>0</v>
      </c>
      <c r="P67" s="655">
        <f t="shared" ca="1" si="31"/>
        <v>0</v>
      </c>
      <c r="Q67" s="655">
        <v>0</v>
      </c>
      <c r="R67" s="655">
        <v>0</v>
      </c>
      <c r="S67" s="655">
        <v>0</v>
      </c>
      <c r="T67" s="655">
        <f t="shared" si="33"/>
        <v>0</v>
      </c>
      <c r="U67" s="655">
        <f t="shared" si="34"/>
        <v>0</v>
      </c>
    </row>
    <row r="68" spans="1:21" ht="19.5" x14ac:dyDescent="0.3">
      <c r="A68" s="656" t="s">
        <v>31</v>
      </c>
      <c r="B68" s="657"/>
      <c r="C68" s="657"/>
      <c r="D68" s="657"/>
      <c r="E68" s="658"/>
      <c r="F68" s="658"/>
      <c r="G68" s="658"/>
      <c r="H68" s="658"/>
      <c r="I68" s="659"/>
      <c r="J68" s="659"/>
      <c r="K68" s="660"/>
      <c r="L68" s="660"/>
      <c r="M68" s="660"/>
      <c r="N68" s="660"/>
      <c r="O68" s="660"/>
      <c r="P68" s="661"/>
      <c r="Q68" s="660"/>
      <c r="R68" s="660"/>
      <c r="S68" s="660"/>
      <c r="T68" s="660"/>
      <c r="U68" s="661"/>
    </row>
    <row r="69" spans="1:21" ht="19.5" x14ac:dyDescent="0.3">
      <c r="A69" s="662" t="s">
        <v>32</v>
      </c>
      <c r="B69" s="663"/>
      <c r="C69" s="664"/>
      <c r="D69" s="663"/>
      <c r="E69" s="663"/>
      <c r="F69" s="663"/>
      <c r="G69" s="665"/>
      <c r="H69" s="665"/>
      <c r="I69" s="666"/>
      <c r="J69" s="666"/>
      <c r="K69" s="667"/>
      <c r="L69" s="668"/>
      <c r="M69" s="667"/>
      <c r="N69" s="667"/>
      <c r="O69" s="667"/>
      <c r="P69" s="667"/>
      <c r="Q69" s="667"/>
      <c r="R69" s="667"/>
      <c r="S69" s="667"/>
      <c r="T69" s="667"/>
      <c r="U69" s="667"/>
    </row>
    <row r="70" spans="1:21" ht="19.5" x14ac:dyDescent="0.3">
      <c r="A70" s="669"/>
      <c r="B70" s="544" t="s">
        <v>33</v>
      </c>
      <c r="C70" s="543"/>
      <c r="D70" s="670"/>
      <c r="E70" s="543"/>
      <c r="F70" s="543"/>
      <c r="G70" s="546"/>
      <c r="H70" s="671" t="s">
        <v>34</v>
      </c>
      <c r="I70" s="672">
        <f t="shared" ref="I70:J71" ca="1" si="41">I82</f>
        <v>1</v>
      </c>
      <c r="J70" s="672">
        <f t="shared" si="41"/>
        <v>1</v>
      </c>
      <c r="K70" s="551">
        <f t="shared" ref="K70:K71" ca="1" si="42">IF(I70&gt;0,J70*100/I70,0)</f>
        <v>100</v>
      </c>
      <c r="L70" s="673"/>
      <c r="M70" s="549"/>
      <c r="N70" s="549"/>
      <c r="O70" s="549"/>
      <c r="P70" s="549"/>
      <c r="Q70" s="549"/>
      <c r="R70" s="549"/>
      <c r="S70" s="549"/>
      <c r="T70" s="549"/>
      <c r="U70" s="549"/>
    </row>
    <row r="71" spans="1:21" ht="19.5" x14ac:dyDescent="0.3">
      <c r="A71" s="669"/>
      <c r="B71" s="543"/>
      <c r="C71" s="543"/>
      <c r="D71" s="670"/>
      <c r="E71" s="543"/>
      <c r="F71" s="543"/>
      <c r="G71" s="546"/>
      <c r="H71" s="671" t="s">
        <v>35</v>
      </c>
      <c r="I71" s="672">
        <f t="shared" ca="1" si="41"/>
        <v>31</v>
      </c>
      <c r="J71" s="672">
        <f t="shared" si="41"/>
        <v>31</v>
      </c>
      <c r="K71" s="551">
        <f t="shared" ca="1" si="42"/>
        <v>100</v>
      </c>
      <c r="L71" s="673"/>
      <c r="M71" s="549"/>
      <c r="N71" s="549"/>
      <c r="O71" s="549"/>
      <c r="P71" s="549"/>
      <c r="Q71" s="549"/>
      <c r="R71" s="549"/>
      <c r="S71" s="549"/>
      <c r="T71" s="549"/>
      <c r="U71" s="549"/>
    </row>
    <row r="72" spans="1:21" ht="19.5" x14ac:dyDescent="0.3">
      <c r="A72" s="674"/>
      <c r="B72" s="561"/>
      <c r="C72" s="675" t="s">
        <v>18</v>
      </c>
      <c r="D72" s="676" t="s">
        <v>19</v>
      </c>
      <c r="E72" s="561"/>
      <c r="F72" s="561"/>
      <c r="G72" s="563"/>
      <c r="H72" s="677" t="s">
        <v>14</v>
      </c>
      <c r="I72" s="565"/>
      <c r="J72" s="565"/>
      <c r="K72" s="566"/>
      <c r="L72" s="678">
        <f t="shared" ref="L72:N72" ca="1" si="43">L73+L74</f>
        <v>90000</v>
      </c>
      <c r="M72" s="679">
        <f t="shared" ca="1" si="43"/>
        <v>90000</v>
      </c>
      <c r="N72" s="679">
        <f t="shared" ca="1" si="43"/>
        <v>69700</v>
      </c>
      <c r="O72" s="679">
        <f t="shared" ref="O72:O80" ca="1" si="44">IF(L72&gt;0,N72*100/L72,0)</f>
        <v>77.444444444444443</v>
      </c>
      <c r="P72" s="679">
        <f t="shared" ref="P72:P80" ca="1" si="45">IF(M72&gt;0,N72*100/M72,0)</f>
        <v>77.444444444444443</v>
      </c>
      <c r="Q72" s="679">
        <f t="shared" ref="Q72:S72" ca="1" si="46">Q73+Q74</f>
        <v>410120</v>
      </c>
      <c r="R72" s="679">
        <f t="shared" ca="1" si="46"/>
        <v>410120</v>
      </c>
      <c r="S72" s="679">
        <f t="shared" ca="1" si="46"/>
        <v>16163.5</v>
      </c>
      <c r="T72" s="679">
        <f t="shared" ref="T72:T80" ca="1" si="47">IF(Q72&gt;0,S72*100/Q72,0)</f>
        <v>3.9411635618843266</v>
      </c>
      <c r="U72" s="679">
        <f t="shared" ref="U72:U80" ca="1" si="48">IF(R72&gt;0,S72*100/R72,0)</f>
        <v>3.9411635618843266</v>
      </c>
    </row>
    <row r="73" spans="1:21" ht="18.75" x14ac:dyDescent="0.25">
      <c r="A73" s="674"/>
      <c r="B73" s="561"/>
      <c r="C73" s="561"/>
      <c r="D73" s="561"/>
      <c r="E73" s="569" t="s">
        <v>20</v>
      </c>
      <c r="F73" s="561"/>
      <c r="G73" s="563"/>
      <c r="H73" s="680" t="s">
        <v>14</v>
      </c>
      <c r="I73" s="565"/>
      <c r="J73" s="565"/>
      <c r="K73" s="566"/>
      <c r="L73" s="571">
        <f t="shared" ref="L73:N74" si="49">L76+L79</f>
        <v>0</v>
      </c>
      <c r="M73" s="572">
        <f t="shared" si="49"/>
        <v>0</v>
      </c>
      <c r="N73" s="572">
        <f t="shared" si="49"/>
        <v>0</v>
      </c>
      <c r="O73" s="572">
        <f t="shared" si="44"/>
        <v>0</v>
      </c>
      <c r="P73" s="572">
        <f t="shared" si="45"/>
        <v>0</v>
      </c>
      <c r="Q73" s="572">
        <f t="shared" ref="Q73:S74" si="50">Q76+Q79</f>
        <v>0</v>
      </c>
      <c r="R73" s="572">
        <f t="shared" si="50"/>
        <v>0</v>
      </c>
      <c r="S73" s="572">
        <f t="shared" si="50"/>
        <v>0</v>
      </c>
      <c r="T73" s="572">
        <f t="shared" si="47"/>
        <v>0</v>
      </c>
      <c r="U73" s="572">
        <f t="shared" si="48"/>
        <v>0</v>
      </c>
    </row>
    <row r="74" spans="1:21" ht="18.75" x14ac:dyDescent="0.25">
      <c r="A74" s="674"/>
      <c r="B74" s="561"/>
      <c r="C74" s="561"/>
      <c r="D74" s="561"/>
      <c r="E74" s="573" t="s">
        <v>21</v>
      </c>
      <c r="F74" s="561"/>
      <c r="G74" s="563"/>
      <c r="H74" s="681" t="s">
        <v>14</v>
      </c>
      <c r="I74" s="565"/>
      <c r="J74" s="565"/>
      <c r="K74" s="566"/>
      <c r="L74" s="567">
        <f t="shared" ca="1" si="49"/>
        <v>90000</v>
      </c>
      <c r="M74" s="568">
        <f t="shared" ca="1" si="49"/>
        <v>90000</v>
      </c>
      <c r="N74" s="568">
        <f t="shared" ca="1" si="49"/>
        <v>69700</v>
      </c>
      <c r="O74" s="568">
        <f t="shared" ca="1" si="44"/>
        <v>77.444444444444443</v>
      </c>
      <c r="P74" s="568">
        <f t="shared" ca="1" si="45"/>
        <v>77.444444444444443</v>
      </c>
      <c r="Q74" s="568">
        <f t="shared" ca="1" si="50"/>
        <v>410120</v>
      </c>
      <c r="R74" s="568">
        <f t="shared" ca="1" si="50"/>
        <v>410120</v>
      </c>
      <c r="S74" s="568">
        <f t="shared" ca="1" si="50"/>
        <v>16163.5</v>
      </c>
      <c r="T74" s="568">
        <f t="shared" ca="1" si="47"/>
        <v>3.9411635618843266</v>
      </c>
      <c r="U74" s="568">
        <f t="shared" ca="1" si="48"/>
        <v>3.9411635618843266</v>
      </c>
    </row>
    <row r="75" spans="1:21" ht="18.75" x14ac:dyDescent="0.25">
      <c r="A75" s="674"/>
      <c r="B75" s="561"/>
      <c r="C75" s="561"/>
      <c r="D75" s="562" t="s">
        <v>22</v>
      </c>
      <c r="E75" s="561"/>
      <c r="F75" s="561"/>
      <c r="G75" s="563"/>
      <c r="H75" s="682" t="s">
        <v>14</v>
      </c>
      <c r="I75" s="683"/>
      <c r="J75" s="683"/>
      <c r="K75" s="684"/>
      <c r="L75" s="567">
        <f t="shared" ref="L75:N75" ca="1" si="51">L76+L77</f>
        <v>90000</v>
      </c>
      <c r="M75" s="568">
        <f t="shared" ca="1" si="51"/>
        <v>90000</v>
      </c>
      <c r="N75" s="568">
        <f t="shared" ca="1" si="51"/>
        <v>69700</v>
      </c>
      <c r="O75" s="568">
        <f t="shared" ca="1" si="44"/>
        <v>77.444444444444443</v>
      </c>
      <c r="P75" s="568">
        <f t="shared" ca="1" si="45"/>
        <v>77.444444444444443</v>
      </c>
      <c r="Q75" s="568">
        <f t="shared" ref="Q75:S75" ca="1" si="52">Q76+Q77</f>
        <v>410120</v>
      </c>
      <c r="R75" s="568">
        <f t="shared" ca="1" si="52"/>
        <v>410120</v>
      </c>
      <c r="S75" s="568">
        <f t="shared" ca="1" si="52"/>
        <v>16163.5</v>
      </c>
      <c r="T75" s="568">
        <f t="shared" ca="1" si="47"/>
        <v>3.9411635618843266</v>
      </c>
      <c r="U75" s="568">
        <f t="shared" ca="1" si="48"/>
        <v>3.9411635618843266</v>
      </c>
    </row>
    <row r="76" spans="1:21" ht="18.75" x14ac:dyDescent="0.25">
      <c r="A76" s="674"/>
      <c r="B76" s="561"/>
      <c r="C76" s="561"/>
      <c r="D76" s="561"/>
      <c r="E76" s="569" t="s">
        <v>36</v>
      </c>
      <c r="F76" s="561"/>
      <c r="G76" s="563"/>
      <c r="H76" s="685" t="s">
        <v>14</v>
      </c>
      <c r="I76" s="683"/>
      <c r="J76" s="683"/>
      <c r="K76" s="684"/>
      <c r="L76" s="571">
        <v>0</v>
      </c>
      <c r="M76" s="572">
        <v>0</v>
      </c>
      <c r="N76" s="572">
        <v>0</v>
      </c>
      <c r="O76" s="572">
        <f t="shared" si="44"/>
        <v>0</v>
      </c>
      <c r="P76" s="572">
        <f t="shared" si="45"/>
        <v>0</v>
      </c>
      <c r="Q76" s="572">
        <v>0</v>
      </c>
      <c r="R76" s="572">
        <v>0</v>
      </c>
      <c r="S76" s="572">
        <v>0</v>
      </c>
      <c r="T76" s="572">
        <f t="shared" si="47"/>
        <v>0</v>
      </c>
      <c r="U76" s="572">
        <f t="shared" si="48"/>
        <v>0</v>
      </c>
    </row>
    <row r="77" spans="1:21" ht="18.75" x14ac:dyDescent="0.25">
      <c r="A77" s="674"/>
      <c r="B77" s="561"/>
      <c r="C77" s="561"/>
      <c r="D77" s="561"/>
      <c r="E77" s="573" t="s">
        <v>37</v>
      </c>
      <c r="F77" s="561"/>
      <c r="G77" s="563"/>
      <c r="H77" s="682" t="s">
        <v>14</v>
      </c>
      <c r="I77" s="683"/>
      <c r="J77" s="683"/>
      <c r="K77" s="684"/>
      <c r="L77" s="567">
        <f ca="1">IFERROR(__xludf.DUMMYFUNCTION("IMPORTRANGE(""https://docs.google.com/spreadsheets/d/1-uDff_7J0KD5mKrp0Vvzr7lt3OU09vwQwhkpOPPYv2Y/edit?usp=sharing"",""งบพรบ!AM24"")"),90000)</f>
        <v>90000</v>
      </c>
      <c r="M77" s="568">
        <f ca="1">IFERROR(__xludf.DUMMYFUNCTION("IMPORTRANGE(""https://docs.google.com/spreadsheets/d/1-uDff_7J0KD5mKrp0Vvzr7lt3OU09vwQwhkpOPPYv2Y/edit?usp=sharing"",""งบพรบ!AR24"")"),90000)</f>
        <v>90000</v>
      </c>
      <c r="N77" s="568">
        <f ca="1">IFERROR(__xludf.DUMMYFUNCTION("IMPORTRANGE(""https://docs.google.com/spreadsheets/d/1-uDff_7J0KD5mKrp0Vvzr7lt3OU09vwQwhkpOPPYv2Y/edit?usp=sharing"",""งบพรบ!AT24"")"),69700)</f>
        <v>69700</v>
      </c>
      <c r="O77" s="568">
        <f t="shared" ca="1" si="44"/>
        <v>77.444444444444443</v>
      </c>
      <c r="P77" s="568">
        <f t="shared" ca="1" si="45"/>
        <v>77.444444444444443</v>
      </c>
      <c r="Q77" s="568">
        <f ca="1">IFERROR(__xludf.DUMMYFUNCTION("IMPORTRANGE(""https://docs.google.com/spreadsheets/d/1ItG2mGa2ceCfYo0BwxsXqNm01IGEUdYcSSLTEv9YCik/edit?usp=sharing"",""เบิกจ่ายกองทุน!BH24"")"),410120)</f>
        <v>410120</v>
      </c>
      <c r="R77" s="568">
        <f ca="1">IFERROR(__xludf.DUMMYFUNCTION("IMPORTRANGE(""https://docs.google.com/spreadsheets/d/1ItG2mGa2ceCfYo0BwxsXqNm01IGEUdYcSSLTEv9YCik/edit?usp=sharing"",""เบิกจ่ายกองทุน!BI24"")"),410120)</f>
        <v>410120</v>
      </c>
      <c r="S77" s="568">
        <f ca="1">IFERROR(__xludf.DUMMYFUNCTION("IMPORTRANGE(""https://docs.google.com/spreadsheets/d/1ItG2mGa2ceCfYo0BwxsXqNm01IGEUdYcSSLTEv9YCik/edit?usp=sharing"",""เบิกจ่ายกองทุน!BJ24"")"),16163.5)</f>
        <v>16163.5</v>
      </c>
      <c r="T77" s="568">
        <f t="shared" ca="1" si="47"/>
        <v>3.9411635618843266</v>
      </c>
      <c r="U77" s="568">
        <f t="shared" ca="1" si="48"/>
        <v>3.9411635618843266</v>
      </c>
    </row>
    <row r="78" spans="1:21" ht="18.75" x14ac:dyDescent="0.25">
      <c r="A78" s="674"/>
      <c r="B78" s="561"/>
      <c r="C78" s="561"/>
      <c r="D78" s="562" t="s">
        <v>23</v>
      </c>
      <c r="E78" s="561"/>
      <c r="F78" s="561"/>
      <c r="G78" s="563"/>
      <c r="H78" s="686" t="s">
        <v>14</v>
      </c>
      <c r="I78" s="683"/>
      <c r="J78" s="683"/>
      <c r="K78" s="684"/>
      <c r="L78" s="567">
        <f t="shared" ref="L78:N78" ca="1" si="53">L79+L80</f>
        <v>0</v>
      </c>
      <c r="M78" s="568">
        <f t="shared" ca="1" si="53"/>
        <v>0</v>
      </c>
      <c r="N78" s="568">
        <f t="shared" ca="1" si="53"/>
        <v>0</v>
      </c>
      <c r="O78" s="568">
        <f t="shared" ca="1" si="44"/>
        <v>0</v>
      </c>
      <c r="P78" s="568">
        <f t="shared" ca="1" si="45"/>
        <v>0</v>
      </c>
      <c r="Q78" s="568">
        <f t="shared" ref="Q78:S78" ca="1" si="54">Q79+Q80</f>
        <v>0</v>
      </c>
      <c r="R78" s="568">
        <f t="shared" ca="1" si="54"/>
        <v>0</v>
      </c>
      <c r="S78" s="568">
        <f t="shared" ca="1" si="54"/>
        <v>0</v>
      </c>
      <c r="T78" s="568">
        <f t="shared" ca="1" si="47"/>
        <v>0</v>
      </c>
      <c r="U78" s="568">
        <f t="shared" ca="1" si="48"/>
        <v>0</v>
      </c>
    </row>
    <row r="79" spans="1:21" ht="18.75" x14ac:dyDescent="0.25">
      <c r="A79" s="674"/>
      <c r="B79" s="561"/>
      <c r="C79" s="561"/>
      <c r="D79" s="561"/>
      <c r="E79" s="569" t="s">
        <v>20</v>
      </c>
      <c r="F79" s="561"/>
      <c r="G79" s="563"/>
      <c r="H79" s="685" t="s">
        <v>14</v>
      </c>
      <c r="I79" s="683"/>
      <c r="J79" s="683"/>
      <c r="K79" s="684"/>
      <c r="L79" s="571">
        <v>0</v>
      </c>
      <c r="M79" s="568">
        <v>0</v>
      </c>
      <c r="N79" s="568">
        <v>0</v>
      </c>
      <c r="O79" s="572">
        <f t="shared" si="44"/>
        <v>0</v>
      </c>
      <c r="P79" s="572">
        <f t="shared" si="45"/>
        <v>0</v>
      </c>
      <c r="Q79" s="572">
        <v>0</v>
      </c>
      <c r="R79" s="568">
        <v>0</v>
      </c>
      <c r="S79" s="568">
        <v>0</v>
      </c>
      <c r="T79" s="572">
        <f t="shared" si="47"/>
        <v>0</v>
      </c>
      <c r="U79" s="572">
        <f t="shared" si="48"/>
        <v>0</v>
      </c>
    </row>
    <row r="80" spans="1:21" ht="18.75" x14ac:dyDescent="0.25">
      <c r="A80" s="674"/>
      <c r="B80" s="561"/>
      <c r="C80" s="561"/>
      <c r="D80" s="561"/>
      <c r="E80" s="573" t="s">
        <v>21</v>
      </c>
      <c r="F80" s="561"/>
      <c r="G80" s="563"/>
      <c r="H80" s="686" t="s">
        <v>14</v>
      </c>
      <c r="I80" s="683"/>
      <c r="J80" s="683"/>
      <c r="K80" s="684"/>
      <c r="L80" s="567">
        <f ca="1">IFERROR(__xludf.DUMMYFUNCTION("IMPORTRANGE(""https://docs.google.com/spreadsheets/d/1-uDff_7J0KD5mKrp0Vvzr7lt3OU09vwQwhkpOPPYv2Y/edit?usp=sharing"",""งบพรบ!AP24"")"),0)</f>
        <v>0</v>
      </c>
      <c r="M80" s="568">
        <f ca="1">IFERROR(__xludf.DUMMYFUNCTION("IMPORTRANGE(""https://docs.google.com/spreadsheets/d/1-uDff_7J0KD5mKrp0Vvzr7lt3OU09vwQwhkpOPPYv2Y/edit?usp=sharing"",""งบพรบ!AS24"")"),0)</f>
        <v>0</v>
      </c>
      <c r="N80" s="568">
        <f ca="1">IFERROR(__xludf.DUMMYFUNCTION("IMPORTRANGE(""https://docs.google.com/spreadsheets/d/1-uDff_7J0KD5mKrp0Vvzr7lt3OU09vwQwhkpOPPYv2Y/edit?usp=sharing"",""งบพรบ!AU24"")"),0)</f>
        <v>0</v>
      </c>
      <c r="O80" s="568">
        <f t="shared" ca="1" si="44"/>
        <v>0</v>
      </c>
      <c r="P80" s="568">
        <f t="shared" ca="1" si="45"/>
        <v>0</v>
      </c>
      <c r="Q80" s="568">
        <f ca="1">IFERROR(__xludf.DUMMYFUNCTION("IMPORTRANGE(""https://docs.google.com/spreadsheets/d/1ItG2mGa2ceCfYo0BwxsXqNm01IGEUdYcSSLTEv9YCik/edit?usp=sharing"",""เบิกจ่ายกองทุน!BK24"")"),0)</f>
        <v>0</v>
      </c>
      <c r="R80" s="568">
        <f ca="1">IFERROR(__xludf.DUMMYFUNCTION("IMPORTRANGE(""https://docs.google.com/spreadsheets/d/1ItG2mGa2ceCfYo0BwxsXqNm01IGEUdYcSSLTEv9YCik/edit?usp=sharing"",""เบิกจ่ายกองทุน!BL24"")"),0)</f>
        <v>0</v>
      </c>
      <c r="S80" s="568">
        <f ca="1">IFERROR(__xludf.DUMMYFUNCTION("IMPORTRANGE(""https://docs.google.com/spreadsheets/d/1ItG2mGa2ceCfYo0BwxsXqNm01IGEUdYcSSLTEv9YCik/edit?usp=sharing"",""เบิกจ่ายกองทุน!BM24"")"),0)</f>
        <v>0</v>
      </c>
      <c r="T80" s="568">
        <f t="shared" ca="1" si="47"/>
        <v>0</v>
      </c>
      <c r="U80" s="568">
        <f t="shared" ca="1" si="48"/>
        <v>0</v>
      </c>
    </row>
    <row r="81" spans="1:21" ht="19.5" x14ac:dyDescent="0.3">
      <c r="A81" s="687"/>
      <c r="B81" s="688"/>
      <c r="C81" s="675" t="s">
        <v>18</v>
      </c>
      <c r="D81" s="689" t="s">
        <v>38</v>
      </c>
      <c r="E81" s="690"/>
      <c r="F81" s="690"/>
      <c r="G81" s="691"/>
      <c r="H81" s="692"/>
      <c r="I81" s="683"/>
      <c r="J81" s="683"/>
      <c r="K81" s="684"/>
      <c r="L81" s="693"/>
      <c r="M81" s="684"/>
      <c r="N81" s="684"/>
      <c r="O81" s="684"/>
      <c r="P81" s="684"/>
      <c r="Q81" s="684"/>
      <c r="R81" s="684"/>
      <c r="S81" s="684"/>
      <c r="T81" s="684"/>
      <c r="U81" s="684"/>
    </row>
    <row r="82" spans="1:21" ht="19.5" x14ac:dyDescent="0.3">
      <c r="A82" s="687"/>
      <c r="B82" s="688"/>
      <c r="C82" s="688"/>
      <c r="D82" s="694" t="s">
        <v>39</v>
      </c>
      <c r="E82" s="695"/>
      <c r="F82" s="695"/>
      <c r="G82" s="692"/>
      <c r="H82" s="696" t="s">
        <v>34</v>
      </c>
      <c r="I82" s="697">
        <f t="shared" ref="I82:J83" ca="1" si="55">I84+I86+I88</f>
        <v>1</v>
      </c>
      <c r="J82" s="697">
        <f t="shared" si="55"/>
        <v>1</v>
      </c>
      <c r="K82" s="698">
        <f t="shared" ref="K82:K90" ca="1" si="56">IF(I82&gt;0,J82*100/I82,0)</f>
        <v>100</v>
      </c>
      <c r="L82" s="693"/>
      <c r="M82" s="684"/>
      <c r="N82" s="684"/>
      <c r="O82" s="684"/>
      <c r="P82" s="684"/>
      <c r="Q82" s="684"/>
      <c r="R82" s="684"/>
      <c r="S82" s="684"/>
      <c r="T82" s="684"/>
      <c r="U82" s="684"/>
    </row>
    <row r="83" spans="1:21" ht="19.5" x14ac:dyDescent="0.3">
      <c r="A83" s="687"/>
      <c r="B83" s="688"/>
      <c r="C83" s="688"/>
      <c r="D83" s="688"/>
      <c r="E83" s="695"/>
      <c r="F83" s="695"/>
      <c r="G83" s="692"/>
      <c r="H83" s="696" t="s">
        <v>35</v>
      </c>
      <c r="I83" s="697">
        <f t="shared" ca="1" si="55"/>
        <v>31</v>
      </c>
      <c r="J83" s="697">
        <f t="shared" si="55"/>
        <v>31</v>
      </c>
      <c r="K83" s="698">
        <f t="shared" ca="1" si="56"/>
        <v>100</v>
      </c>
      <c r="L83" s="693"/>
      <c r="M83" s="684"/>
      <c r="N83" s="684"/>
      <c r="O83" s="684"/>
      <c r="P83" s="684"/>
      <c r="Q83" s="684"/>
      <c r="R83" s="684"/>
      <c r="S83" s="684"/>
      <c r="T83" s="684"/>
      <c r="U83" s="684"/>
    </row>
    <row r="84" spans="1:21" ht="18.75" x14ac:dyDescent="0.25">
      <c r="A84" s="687"/>
      <c r="B84" s="688"/>
      <c r="C84" s="688"/>
      <c r="D84" s="688"/>
      <c r="E84" s="699" t="s">
        <v>40</v>
      </c>
      <c r="F84" s="695"/>
      <c r="G84" s="692"/>
      <c r="H84" s="700" t="s">
        <v>34</v>
      </c>
      <c r="I84" s="701">
        <f ca="1">IFERROR(__xludf.DUMMYFUNCTION("IMPORTRANGE(""https://docs.google.com/spreadsheets/d/1eHaY18a8A9IcSdp1K8H6x8fbOy06t2VsZHhMHf-1x7Y/edit?usp=sharing"",""แผน!H24"")"),1)</f>
        <v>1</v>
      </c>
      <c r="J84" s="702">
        <v>1</v>
      </c>
      <c r="K84" s="703">
        <f t="shared" ca="1" si="56"/>
        <v>100</v>
      </c>
      <c r="L84" s="693"/>
      <c r="M84" s="684"/>
      <c r="N84" s="684"/>
      <c r="O84" s="684"/>
      <c r="P84" s="684"/>
      <c r="Q84" s="684"/>
      <c r="R84" s="684"/>
      <c r="S84" s="684"/>
      <c r="T84" s="684"/>
      <c r="U84" s="684"/>
    </row>
    <row r="85" spans="1:21" ht="18.75" x14ac:dyDescent="0.25">
      <c r="A85" s="687"/>
      <c r="B85" s="688"/>
      <c r="C85" s="688"/>
      <c r="D85" s="688"/>
      <c r="E85" s="695"/>
      <c r="F85" s="695"/>
      <c r="G85" s="692"/>
      <c r="H85" s="700" t="s">
        <v>35</v>
      </c>
      <c r="I85" s="701">
        <f ca="1">IFERROR(__xludf.DUMMYFUNCTION("IMPORTRANGE(""https://docs.google.com/spreadsheets/d/1eHaY18a8A9IcSdp1K8H6x8fbOy06t2VsZHhMHf-1x7Y/edit?usp=sharing"",""แผน!I24"")"),31)</f>
        <v>31</v>
      </c>
      <c r="J85" s="702">
        <v>31</v>
      </c>
      <c r="K85" s="703">
        <f t="shared" ca="1" si="56"/>
        <v>100</v>
      </c>
      <c r="L85" s="693"/>
      <c r="M85" s="684"/>
      <c r="N85" s="684"/>
      <c r="O85" s="684"/>
      <c r="P85" s="684"/>
      <c r="Q85" s="684"/>
      <c r="R85" s="684"/>
      <c r="S85" s="684"/>
      <c r="T85" s="684"/>
      <c r="U85" s="684"/>
    </row>
    <row r="86" spans="1:21" ht="18.75" x14ac:dyDescent="0.25">
      <c r="A86" s="687"/>
      <c r="B86" s="688"/>
      <c r="C86" s="688"/>
      <c r="D86" s="688"/>
      <c r="E86" s="699" t="s">
        <v>41</v>
      </c>
      <c r="F86" s="695"/>
      <c r="G86" s="692"/>
      <c r="H86" s="700" t="s">
        <v>34</v>
      </c>
      <c r="I86" s="701">
        <f ca="1">IFERROR(__xludf.DUMMYFUNCTION("IMPORTRANGE(""https://docs.google.com/spreadsheets/d/1eHaY18a8A9IcSdp1K8H6x8fbOy06t2VsZHhMHf-1x7Y/edit?usp=sharing"",""แผน!F24"")"),0)</f>
        <v>0</v>
      </c>
      <c r="J86" s="702">
        <v>0</v>
      </c>
      <c r="K86" s="703">
        <f t="shared" ca="1" si="56"/>
        <v>0</v>
      </c>
      <c r="L86" s="693"/>
      <c r="M86" s="684"/>
      <c r="N86" s="684"/>
      <c r="O86" s="684"/>
      <c r="P86" s="684"/>
      <c r="Q86" s="684"/>
      <c r="R86" s="684"/>
      <c r="S86" s="684"/>
      <c r="T86" s="684"/>
      <c r="U86" s="684"/>
    </row>
    <row r="87" spans="1:21" ht="18.75" x14ac:dyDescent="0.25">
      <c r="A87" s="687"/>
      <c r="B87" s="688"/>
      <c r="C87" s="688"/>
      <c r="D87" s="688"/>
      <c r="E87" s="695"/>
      <c r="F87" s="695"/>
      <c r="G87" s="692"/>
      <c r="H87" s="700" t="s">
        <v>35</v>
      </c>
      <c r="I87" s="701">
        <f ca="1">IFERROR(__xludf.DUMMYFUNCTION("IMPORTRANGE(""https://docs.google.com/spreadsheets/d/1eHaY18a8A9IcSdp1K8H6x8fbOy06t2VsZHhMHf-1x7Y/edit?usp=sharing"",""แผน!G24"")"),0)</f>
        <v>0</v>
      </c>
      <c r="J87" s="702">
        <v>0</v>
      </c>
      <c r="K87" s="703">
        <f t="shared" ca="1" si="56"/>
        <v>0</v>
      </c>
      <c r="L87" s="693"/>
      <c r="M87" s="684"/>
      <c r="N87" s="684"/>
      <c r="O87" s="684"/>
      <c r="P87" s="684"/>
      <c r="Q87" s="684"/>
      <c r="R87" s="684"/>
      <c r="S87" s="684"/>
      <c r="T87" s="684"/>
      <c r="U87" s="684"/>
    </row>
    <row r="88" spans="1:21" ht="18.75" x14ac:dyDescent="0.25">
      <c r="A88" s="687"/>
      <c r="B88" s="688"/>
      <c r="C88" s="688"/>
      <c r="D88" s="688"/>
      <c r="E88" s="699" t="s">
        <v>42</v>
      </c>
      <c r="F88" s="695"/>
      <c r="G88" s="692"/>
      <c r="H88" s="700" t="s">
        <v>34</v>
      </c>
      <c r="I88" s="701">
        <f ca="1">IFERROR(__xludf.DUMMYFUNCTION("IMPORTRANGE(""https://docs.google.com/spreadsheets/d/1eHaY18a8A9IcSdp1K8H6x8fbOy06t2VsZHhMHf-1x7Y/edit?usp=sharing"",""แผน!D24"")"),0)</f>
        <v>0</v>
      </c>
      <c r="J88" s="702">
        <v>0</v>
      </c>
      <c r="K88" s="703">
        <f t="shared" ca="1" si="56"/>
        <v>0</v>
      </c>
      <c r="L88" s="693"/>
      <c r="M88" s="684"/>
      <c r="N88" s="684"/>
      <c r="O88" s="684"/>
      <c r="P88" s="684"/>
      <c r="Q88" s="684"/>
      <c r="R88" s="684"/>
      <c r="S88" s="684"/>
      <c r="T88" s="684"/>
      <c r="U88" s="684"/>
    </row>
    <row r="89" spans="1:21" ht="18.75" x14ac:dyDescent="0.25">
      <c r="A89" s="687"/>
      <c r="B89" s="688"/>
      <c r="C89" s="688"/>
      <c r="D89" s="688"/>
      <c r="E89" s="695"/>
      <c r="F89" s="695"/>
      <c r="G89" s="692"/>
      <c r="H89" s="700" t="s">
        <v>35</v>
      </c>
      <c r="I89" s="701">
        <f ca="1">IFERROR(__xludf.DUMMYFUNCTION("IMPORTRANGE(""https://docs.google.com/spreadsheets/d/1eHaY18a8A9IcSdp1K8H6x8fbOy06t2VsZHhMHf-1x7Y/edit?usp=sharing"",""แผน!E24"")"),0)</f>
        <v>0</v>
      </c>
      <c r="J89" s="702">
        <v>0</v>
      </c>
      <c r="K89" s="703">
        <f t="shared" ca="1" si="56"/>
        <v>0</v>
      </c>
      <c r="L89" s="693"/>
      <c r="M89" s="684"/>
      <c r="N89" s="684"/>
      <c r="O89" s="684"/>
      <c r="P89" s="684"/>
      <c r="Q89" s="684"/>
      <c r="R89" s="684"/>
      <c r="S89" s="684"/>
      <c r="T89" s="684"/>
      <c r="U89" s="684"/>
    </row>
    <row r="90" spans="1:21" ht="18.75" x14ac:dyDescent="0.25">
      <c r="A90" s="687"/>
      <c r="B90" s="688"/>
      <c r="C90" s="688"/>
      <c r="D90" s="694" t="s">
        <v>43</v>
      </c>
      <c r="E90" s="695"/>
      <c r="F90" s="695"/>
      <c r="G90" s="692"/>
      <c r="H90" s="704" t="s">
        <v>34</v>
      </c>
      <c r="I90" s="701">
        <f ca="1">IFERROR(__xludf.DUMMYFUNCTION("IMPORTRANGE(""https://docs.google.com/spreadsheets/d/1eHaY18a8A9IcSdp1K8H6x8fbOy06t2VsZHhMHf-1x7Y/edit?usp=sharing"",""แผน!J24"")"),1)</f>
        <v>1</v>
      </c>
      <c r="J90" s="702">
        <v>0</v>
      </c>
      <c r="K90" s="703">
        <f t="shared" ca="1" si="56"/>
        <v>0</v>
      </c>
      <c r="L90" s="693"/>
      <c r="M90" s="684"/>
      <c r="N90" s="684"/>
      <c r="O90" s="684"/>
      <c r="P90" s="684"/>
      <c r="Q90" s="684"/>
      <c r="R90" s="684"/>
      <c r="S90" s="684"/>
      <c r="T90" s="684"/>
      <c r="U90" s="684"/>
    </row>
    <row r="91" spans="1:21" ht="19.5" x14ac:dyDescent="0.3">
      <c r="A91" s="662" t="s">
        <v>44</v>
      </c>
      <c r="B91" s="663"/>
      <c r="C91" s="664"/>
      <c r="D91" s="663"/>
      <c r="E91" s="663"/>
      <c r="F91" s="663"/>
      <c r="G91" s="665"/>
      <c r="H91" s="665"/>
      <c r="I91" s="666"/>
      <c r="J91" s="666"/>
      <c r="K91" s="667"/>
      <c r="L91" s="668"/>
      <c r="M91" s="667"/>
      <c r="N91" s="667"/>
      <c r="O91" s="667"/>
      <c r="P91" s="667"/>
      <c r="Q91" s="667"/>
      <c r="R91" s="667"/>
      <c r="S91" s="667"/>
      <c r="T91" s="667"/>
      <c r="U91" s="667"/>
    </row>
    <row r="92" spans="1:21" ht="19.5" x14ac:dyDescent="0.3">
      <c r="A92" s="669"/>
      <c r="B92" s="544" t="s">
        <v>45</v>
      </c>
      <c r="C92" s="543"/>
      <c r="D92" s="670"/>
      <c r="E92" s="543"/>
      <c r="F92" s="543"/>
      <c r="G92" s="546"/>
      <c r="H92" s="671" t="s">
        <v>46</v>
      </c>
      <c r="I92" s="672">
        <f t="shared" ref="I92:J93" ca="1" si="57">I108</f>
        <v>0</v>
      </c>
      <c r="J92" s="672">
        <f t="shared" si="57"/>
        <v>0</v>
      </c>
      <c r="K92" s="551">
        <f t="shared" ref="K92:K93" ca="1" si="58">IF(I92&gt;0,J92*100/I92,0)</f>
        <v>0</v>
      </c>
      <c r="L92" s="673"/>
      <c r="M92" s="549"/>
      <c r="N92" s="549"/>
      <c r="O92" s="549"/>
      <c r="P92" s="549"/>
      <c r="Q92" s="549"/>
      <c r="R92" s="549"/>
      <c r="S92" s="549"/>
      <c r="T92" s="549"/>
      <c r="U92" s="549"/>
    </row>
    <row r="93" spans="1:21" ht="19.5" x14ac:dyDescent="0.3">
      <c r="A93" s="669"/>
      <c r="B93" s="543"/>
      <c r="C93" s="543"/>
      <c r="D93" s="670"/>
      <c r="E93" s="543"/>
      <c r="F93" s="543"/>
      <c r="G93" s="546"/>
      <c r="H93" s="671" t="s">
        <v>35</v>
      </c>
      <c r="I93" s="672">
        <f t="shared" ca="1" si="57"/>
        <v>0</v>
      </c>
      <c r="J93" s="672">
        <f t="shared" si="57"/>
        <v>0</v>
      </c>
      <c r="K93" s="551">
        <f t="shared" ca="1" si="58"/>
        <v>0</v>
      </c>
      <c r="L93" s="673"/>
      <c r="M93" s="549"/>
      <c r="N93" s="549"/>
      <c r="O93" s="549"/>
      <c r="P93" s="549"/>
      <c r="Q93" s="549"/>
      <c r="R93" s="549"/>
      <c r="S93" s="549"/>
      <c r="T93" s="549"/>
      <c r="U93" s="549"/>
    </row>
    <row r="94" spans="1:21" ht="19.5" x14ac:dyDescent="0.3">
      <c r="A94" s="674"/>
      <c r="B94" s="561"/>
      <c r="C94" s="675" t="s">
        <v>18</v>
      </c>
      <c r="D94" s="676" t="s">
        <v>19</v>
      </c>
      <c r="E94" s="561"/>
      <c r="F94" s="561"/>
      <c r="G94" s="563"/>
      <c r="H94" s="677" t="s">
        <v>14</v>
      </c>
      <c r="I94" s="565"/>
      <c r="J94" s="565"/>
      <c r="K94" s="566"/>
      <c r="L94" s="678">
        <f t="shared" ref="L94:N94" ca="1" si="59">L95+L96</f>
        <v>0</v>
      </c>
      <c r="M94" s="679">
        <f t="shared" ca="1" si="59"/>
        <v>0</v>
      </c>
      <c r="N94" s="679">
        <f t="shared" ca="1" si="59"/>
        <v>0</v>
      </c>
      <c r="O94" s="679">
        <f t="shared" ref="O94:O102" ca="1" si="60">IF(L94&gt;0,N94*100/L94,0)</f>
        <v>0</v>
      </c>
      <c r="P94" s="679">
        <f t="shared" ref="P94:P102" ca="1" si="61">IF(M94&gt;0,N94*100/M94,0)</f>
        <v>0</v>
      </c>
      <c r="Q94" s="679">
        <f t="shared" ref="Q94:S94" ca="1" si="62">Q95+Q96</f>
        <v>0</v>
      </c>
      <c r="R94" s="679">
        <f t="shared" ca="1" si="62"/>
        <v>0</v>
      </c>
      <c r="S94" s="679">
        <f t="shared" ca="1" si="62"/>
        <v>0</v>
      </c>
      <c r="T94" s="679">
        <f t="shared" ref="T94:T102" ca="1" si="63">IF(Q94&gt;0,S94*100/Q94,0)</f>
        <v>0</v>
      </c>
      <c r="U94" s="679">
        <f t="shared" ref="U94:U102" ca="1" si="64">IF(R94&gt;0,S94*100/R94,0)</f>
        <v>0</v>
      </c>
    </row>
    <row r="95" spans="1:21" ht="18.75" x14ac:dyDescent="0.25">
      <c r="A95" s="674"/>
      <c r="B95" s="561"/>
      <c r="C95" s="561"/>
      <c r="D95" s="561"/>
      <c r="E95" s="569" t="s">
        <v>20</v>
      </c>
      <c r="F95" s="561"/>
      <c r="G95" s="563"/>
      <c r="H95" s="680" t="s">
        <v>14</v>
      </c>
      <c r="I95" s="565"/>
      <c r="J95" s="565"/>
      <c r="K95" s="566"/>
      <c r="L95" s="571">
        <f t="shared" ref="L95:N96" si="65">L98+L101</f>
        <v>0</v>
      </c>
      <c r="M95" s="572">
        <f t="shared" si="65"/>
        <v>0</v>
      </c>
      <c r="N95" s="572">
        <f t="shared" si="65"/>
        <v>0</v>
      </c>
      <c r="O95" s="572">
        <f t="shared" si="60"/>
        <v>0</v>
      </c>
      <c r="P95" s="572">
        <f t="shared" si="61"/>
        <v>0</v>
      </c>
      <c r="Q95" s="572">
        <f t="shared" ref="Q95:S96" si="66">Q98+Q101</f>
        <v>0</v>
      </c>
      <c r="R95" s="572">
        <f t="shared" si="66"/>
        <v>0</v>
      </c>
      <c r="S95" s="572">
        <f t="shared" si="66"/>
        <v>0</v>
      </c>
      <c r="T95" s="572">
        <f t="shared" si="63"/>
        <v>0</v>
      </c>
      <c r="U95" s="572">
        <f t="shared" si="64"/>
        <v>0</v>
      </c>
    </row>
    <row r="96" spans="1:21" ht="18.75" x14ac:dyDescent="0.25">
      <c r="A96" s="674"/>
      <c r="B96" s="561"/>
      <c r="C96" s="561"/>
      <c r="D96" s="561"/>
      <c r="E96" s="573" t="s">
        <v>21</v>
      </c>
      <c r="F96" s="561"/>
      <c r="G96" s="563"/>
      <c r="H96" s="681" t="s">
        <v>14</v>
      </c>
      <c r="I96" s="565"/>
      <c r="J96" s="565"/>
      <c r="K96" s="566"/>
      <c r="L96" s="567">
        <f t="shared" ca="1" si="65"/>
        <v>0</v>
      </c>
      <c r="M96" s="568">
        <f t="shared" ca="1" si="65"/>
        <v>0</v>
      </c>
      <c r="N96" s="568">
        <f t="shared" ca="1" si="65"/>
        <v>0</v>
      </c>
      <c r="O96" s="568">
        <f t="shared" ca="1" si="60"/>
        <v>0</v>
      </c>
      <c r="P96" s="568">
        <f t="shared" ca="1" si="61"/>
        <v>0</v>
      </c>
      <c r="Q96" s="568">
        <f t="shared" ca="1" si="66"/>
        <v>0</v>
      </c>
      <c r="R96" s="568">
        <f t="shared" ca="1" si="66"/>
        <v>0</v>
      </c>
      <c r="S96" s="568">
        <f t="shared" ca="1" si="66"/>
        <v>0</v>
      </c>
      <c r="T96" s="568">
        <f t="shared" ca="1" si="63"/>
        <v>0</v>
      </c>
      <c r="U96" s="568">
        <f t="shared" ca="1" si="64"/>
        <v>0</v>
      </c>
    </row>
    <row r="97" spans="1:21" ht="18.75" x14ac:dyDescent="0.25">
      <c r="A97" s="674"/>
      <c r="B97" s="561"/>
      <c r="C97" s="561"/>
      <c r="D97" s="562" t="s">
        <v>22</v>
      </c>
      <c r="E97" s="561"/>
      <c r="F97" s="561"/>
      <c r="G97" s="563"/>
      <c r="H97" s="682" t="s">
        <v>14</v>
      </c>
      <c r="I97" s="683"/>
      <c r="J97" s="683"/>
      <c r="K97" s="684"/>
      <c r="L97" s="567">
        <f t="shared" ref="L97:N97" ca="1" si="67">L98+L99</f>
        <v>0</v>
      </c>
      <c r="M97" s="568">
        <f t="shared" ca="1" si="67"/>
        <v>0</v>
      </c>
      <c r="N97" s="568">
        <f t="shared" ca="1" si="67"/>
        <v>0</v>
      </c>
      <c r="O97" s="568">
        <f t="shared" ca="1" si="60"/>
        <v>0</v>
      </c>
      <c r="P97" s="568">
        <f t="shared" ca="1" si="61"/>
        <v>0</v>
      </c>
      <c r="Q97" s="568">
        <f t="shared" ref="Q97:S97" ca="1" si="68">Q98+Q99</f>
        <v>0</v>
      </c>
      <c r="R97" s="568">
        <f t="shared" ca="1" si="68"/>
        <v>0</v>
      </c>
      <c r="S97" s="568">
        <f t="shared" ca="1" si="68"/>
        <v>0</v>
      </c>
      <c r="T97" s="568">
        <f t="shared" ca="1" si="63"/>
        <v>0</v>
      </c>
      <c r="U97" s="568">
        <f t="shared" ca="1" si="64"/>
        <v>0</v>
      </c>
    </row>
    <row r="98" spans="1:21" ht="18.75" x14ac:dyDescent="0.25">
      <c r="A98" s="674"/>
      <c r="B98" s="561"/>
      <c r="C98" s="561"/>
      <c r="D98" s="561"/>
      <c r="E98" s="569" t="s">
        <v>36</v>
      </c>
      <c r="F98" s="561"/>
      <c r="G98" s="563"/>
      <c r="H98" s="685" t="s">
        <v>14</v>
      </c>
      <c r="I98" s="683"/>
      <c r="J98" s="683"/>
      <c r="K98" s="684"/>
      <c r="L98" s="571">
        <v>0</v>
      </c>
      <c r="M98" s="572">
        <v>0</v>
      </c>
      <c r="N98" s="572">
        <v>0</v>
      </c>
      <c r="O98" s="572">
        <f t="shared" si="60"/>
        <v>0</v>
      </c>
      <c r="P98" s="572">
        <f t="shared" si="61"/>
        <v>0</v>
      </c>
      <c r="Q98" s="572">
        <v>0</v>
      </c>
      <c r="R98" s="572">
        <v>0</v>
      </c>
      <c r="S98" s="572">
        <v>0</v>
      </c>
      <c r="T98" s="572">
        <f t="shared" si="63"/>
        <v>0</v>
      </c>
      <c r="U98" s="572">
        <f t="shared" si="64"/>
        <v>0</v>
      </c>
    </row>
    <row r="99" spans="1:21" ht="18.75" x14ac:dyDescent="0.25">
      <c r="A99" s="674"/>
      <c r="B99" s="561"/>
      <c r="C99" s="561"/>
      <c r="D99" s="561"/>
      <c r="E99" s="573" t="s">
        <v>37</v>
      </c>
      <c r="F99" s="561"/>
      <c r="G99" s="563"/>
      <c r="H99" s="682" t="s">
        <v>14</v>
      </c>
      <c r="I99" s="683"/>
      <c r="J99" s="683"/>
      <c r="K99" s="684"/>
      <c r="L99" s="567">
        <f ca="1">IFERROR(__xludf.DUMMYFUNCTION("IMPORTRANGE(""https://docs.google.com/spreadsheets/d/1-uDff_7J0KD5mKrp0Vvzr7lt3OU09vwQwhkpOPPYv2Y/edit?usp=sharing"",""งบพรบ!AW24"")"),0)</f>
        <v>0</v>
      </c>
      <c r="M99" s="568">
        <f ca="1">IFERROR(__xludf.DUMMYFUNCTION("IMPORTRANGE(""https://docs.google.com/spreadsheets/d/1-uDff_7J0KD5mKrp0Vvzr7lt3OU09vwQwhkpOPPYv2Y/edit?usp=sharing"",""งบพรบ!BB24"")"),0)</f>
        <v>0</v>
      </c>
      <c r="N99" s="568">
        <f ca="1">IFERROR(__xludf.DUMMYFUNCTION("IMPORTRANGE(""https://docs.google.com/spreadsheets/d/1-uDff_7J0KD5mKrp0Vvzr7lt3OU09vwQwhkpOPPYv2Y/edit?usp=sharing"",""งบพรบ!BD24"")"),0)</f>
        <v>0</v>
      </c>
      <c r="O99" s="568">
        <f t="shared" ca="1" si="60"/>
        <v>0</v>
      </c>
      <c r="P99" s="568">
        <f t="shared" ca="1" si="61"/>
        <v>0</v>
      </c>
      <c r="Q99" s="568">
        <f ca="1">IFERROR(__xludf.DUMMYFUNCTION("IMPORTRANGE(""https://docs.google.com/spreadsheets/d/1ItG2mGa2ceCfYo0BwxsXqNm01IGEUdYcSSLTEv9YCik/edit?usp=sharing"",""เบิกจ่ายกองทุน!AJ24"")"),0)</f>
        <v>0</v>
      </c>
      <c r="R99" s="568">
        <f ca="1">IFERROR(__xludf.DUMMYFUNCTION("IMPORTRANGE(""https://docs.google.com/spreadsheets/d/1ItG2mGa2ceCfYo0BwxsXqNm01IGEUdYcSSLTEv9YCik/edit?usp=sharing"",""เบิกจ่ายกองทุน!AK24"")"),0)</f>
        <v>0</v>
      </c>
      <c r="S99" s="568">
        <f ca="1">IFERROR(__xludf.DUMMYFUNCTION("IMPORTRANGE(""https://docs.google.com/spreadsheets/d/1ItG2mGa2ceCfYo0BwxsXqNm01IGEUdYcSSLTEv9YCik/edit?usp=sharing"",""เบิกจ่ายกองทุน!AL24"")"),0)</f>
        <v>0</v>
      </c>
      <c r="T99" s="568">
        <f t="shared" ca="1" si="63"/>
        <v>0</v>
      </c>
      <c r="U99" s="568">
        <f t="shared" ca="1" si="64"/>
        <v>0</v>
      </c>
    </row>
    <row r="100" spans="1:21" ht="18.75" x14ac:dyDescent="0.25">
      <c r="A100" s="674"/>
      <c r="B100" s="561"/>
      <c r="C100" s="561"/>
      <c r="D100" s="562" t="s">
        <v>23</v>
      </c>
      <c r="E100" s="561"/>
      <c r="F100" s="561"/>
      <c r="G100" s="563"/>
      <c r="H100" s="686" t="s">
        <v>14</v>
      </c>
      <c r="I100" s="683"/>
      <c r="J100" s="683"/>
      <c r="K100" s="684"/>
      <c r="L100" s="567">
        <f t="shared" ref="L100:N100" ca="1" si="69">L101+L102</f>
        <v>0</v>
      </c>
      <c r="M100" s="568">
        <f t="shared" ca="1" si="69"/>
        <v>0</v>
      </c>
      <c r="N100" s="568">
        <f t="shared" ca="1" si="69"/>
        <v>0</v>
      </c>
      <c r="O100" s="568">
        <f t="shared" ca="1" si="60"/>
        <v>0</v>
      </c>
      <c r="P100" s="568">
        <f t="shared" ca="1" si="61"/>
        <v>0</v>
      </c>
      <c r="Q100" s="568">
        <f t="shared" ref="Q100:S100" si="70">Q101+Q102</f>
        <v>0</v>
      </c>
      <c r="R100" s="568">
        <f t="shared" si="70"/>
        <v>0</v>
      </c>
      <c r="S100" s="568">
        <f t="shared" si="70"/>
        <v>0</v>
      </c>
      <c r="T100" s="568">
        <f t="shared" si="63"/>
        <v>0</v>
      </c>
      <c r="U100" s="568">
        <f t="shared" si="64"/>
        <v>0</v>
      </c>
    </row>
    <row r="101" spans="1:21" ht="18.75" x14ac:dyDescent="0.25">
      <c r="A101" s="674"/>
      <c r="B101" s="561"/>
      <c r="C101" s="561"/>
      <c r="D101" s="561"/>
      <c r="E101" s="569" t="s">
        <v>20</v>
      </c>
      <c r="F101" s="561"/>
      <c r="G101" s="563"/>
      <c r="H101" s="685" t="s">
        <v>14</v>
      </c>
      <c r="I101" s="683"/>
      <c r="J101" s="683"/>
      <c r="K101" s="684"/>
      <c r="L101" s="571">
        <v>0</v>
      </c>
      <c r="M101" s="572">
        <v>0</v>
      </c>
      <c r="N101" s="572">
        <v>0</v>
      </c>
      <c r="O101" s="572">
        <f t="shared" si="60"/>
        <v>0</v>
      </c>
      <c r="P101" s="572">
        <f t="shared" si="61"/>
        <v>0</v>
      </c>
      <c r="Q101" s="572">
        <v>0</v>
      </c>
      <c r="R101" s="572">
        <v>0</v>
      </c>
      <c r="S101" s="572">
        <v>0</v>
      </c>
      <c r="T101" s="572">
        <f t="shared" si="63"/>
        <v>0</v>
      </c>
      <c r="U101" s="572">
        <f t="shared" si="64"/>
        <v>0</v>
      </c>
    </row>
    <row r="102" spans="1:21" ht="18.75" x14ac:dyDescent="0.25">
      <c r="A102" s="674"/>
      <c r="B102" s="561"/>
      <c r="C102" s="561"/>
      <c r="D102" s="561"/>
      <c r="E102" s="573" t="s">
        <v>21</v>
      </c>
      <c r="F102" s="561"/>
      <c r="G102" s="563"/>
      <c r="H102" s="686" t="s">
        <v>14</v>
      </c>
      <c r="I102" s="683"/>
      <c r="J102" s="683"/>
      <c r="K102" s="684"/>
      <c r="L102" s="567">
        <f ca="1">IFERROR(__xludf.DUMMYFUNCTION("IMPORTRANGE(""https://docs.google.com/spreadsheets/d/1-uDff_7J0KD5mKrp0Vvzr7lt3OU09vwQwhkpOPPYv2Y/edit?usp=sharing"",""งบพรบ!AZ24"")"),0)</f>
        <v>0</v>
      </c>
      <c r="M102" s="568">
        <f ca="1">IFERROR(__xludf.DUMMYFUNCTION("IMPORTRANGE(""https://docs.google.com/spreadsheets/d/1-uDff_7J0KD5mKrp0Vvzr7lt3OU09vwQwhkpOPPYv2Y/edit?usp=sharing"",""งบพรบ!BC24"")"),0)</f>
        <v>0</v>
      </c>
      <c r="N102" s="568">
        <f ca="1">IFERROR(__xludf.DUMMYFUNCTION("IMPORTRANGE(""https://docs.google.com/spreadsheets/d/1-uDff_7J0KD5mKrp0Vvzr7lt3OU09vwQwhkpOPPYv2Y/edit?usp=sharing"",""งบพรบ!BE24"")"),0)</f>
        <v>0</v>
      </c>
      <c r="O102" s="568">
        <f t="shared" ca="1" si="60"/>
        <v>0</v>
      </c>
      <c r="P102" s="568">
        <f t="shared" ca="1" si="61"/>
        <v>0</v>
      </c>
      <c r="Q102" s="568">
        <v>0</v>
      </c>
      <c r="R102" s="568">
        <v>0</v>
      </c>
      <c r="S102" s="568">
        <v>0</v>
      </c>
      <c r="T102" s="568">
        <f t="shared" si="63"/>
        <v>0</v>
      </c>
      <c r="U102" s="568">
        <f t="shared" si="64"/>
        <v>0</v>
      </c>
    </row>
    <row r="103" spans="1:21" ht="19.5" x14ac:dyDescent="0.3">
      <c r="A103" s="687"/>
      <c r="B103" s="688"/>
      <c r="C103" s="675" t="s">
        <v>18</v>
      </c>
      <c r="D103" s="689" t="s">
        <v>38</v>
      </c>
      <c r="E103" s="690"/>
      <c r="F103" s="690"/>
      <c r="G103" s="691"/>
      <c r="H103" s="692"/>
      <c r="I103" s="683"/>
      <c r="J103" s="565"/>
      <c r="K103" s="566"/>
      <c r="L103" s="574"/>
      <c r="M103" s="566"/>
      <c r="N103" s="566"/>
      <c r="O103" s="684"/>
      <c r="P103" s="684"/>
      <c r="Q103" s="566"/>
      <c r="R103" s="566"/>
      <c r="S103" s="566"/>
      <c r="T103" s="684"/>
      <c r="U103" s="684"/>
    </row>
    <row r="104" spans="1:21" ht="12.75" x14ac:dyDescent="0.2">
      <c r="A104" s="705"/>
      <c r="B104" s="706"/>
      <c r="C104" s="706"/>
      <c r="D104" s="531"/>
      <c r="E104" s="531"/>
      <c r="F104" s="531"/>
      <c r="G104" s="532"/>
      <c r="H104" s="532"/>
      <c r="I104" s="533"/>
      <c r="J104" s="533"/>
      <c r="K104" s="534"/>
      <c r="L104" s="535"/>
      <c r="M104" s="534"/>
      <c r="N104" s="534"/>
      <c r="O104" s="534"/>
      <c r="P104" s="534"/>
      <c r="Q104" s="534"/>
      <c r="R104" s="534"/>
      <c r="S104" s="534"/>
      <c r="T104" s="534"/>
      <c r="U104" s="534"/>
    </row>
    <row r="105" spans="1:21" ht="12.75" x14ac:dyDescent="0.2">
      <c r="A105" s="705"/>
      <c r="B105" s="706"/>
      <c r="C105" s="706"/>
      <c r="D105" s="531"/>
      <c r="E105" s="531"/>
      <c r="F105" s="531"/>
      <c r="G105" s="532"/>
      <c r="H105" s="532"/>
      <c r="I105" s="533"/>
      <c r="J105" s="533"/>
      <c r="K105" s="534"/>
      <c r="L105" s="535"/>
      <c r="M105" s="534"/>
      <c r="N105" s="534"/>
      <c r="O105" s="534"/>
      <c r="P105" s="534"/>
      <c r="Q105" s="534"/>
      <c r="R105" s="534"/>
      <c r="S105" s="534"/>
      <c r="T105" s="534"/>
      <c r="U105" s="534"/>
    </row>
    <row r="106" spans="1:21" ht="12.75" x14ac:dyDescent="0.2">
      <c r="A106" s="705"/>
      <c r="B106" s="706"/>
      <c r="C106" s="706"/>
      <c r="D106" s="706"/>
      <c r="E106" s="531"/>
      <c r="F106" s="531"/>
      <c r="G106" s="532"/>
      <c r="H106" s="532"/>
      <c r="I106" s="533"/>
      <c r="J106" s="533"/>
      <c r="K106" s="534"/>
      <c r="L106" s="535"/>
      <c r="M106" s="534"/>
      <c r="N106" s="534"/>
      <c r="O106" s="534"/>
      <c r="P106" s="534"/>
      <c r="Q106" s="534"/>
      <c r="R106" s="534"/>
      <c r="S106" s="534"/>
      <c r="T106" s="534"/>
      <c r="U106" s="534"/>
    </row>
    <row r="107" spans="1:21" ht="19.5" x14ac:dyDescent="0.3">
      <c r="A107" s="687"/>
      <c r="B107" s="688"/>
      <c r="C107" s="688"/>
      <c r="D107" s="707" t="s">
        <v>47</v>
      </c>
      <c r="E107" s="510"/>
      <c r="F107" s="695"/>
      <c r="G107" s="692"/>
      <c r="H107" s="563"/>
      <c r="I107" s="565"/>
      <c r="J107" s="565"/>
      <c r="K107" s="566"/>
      <c r="L107" s="574"/>
      <c r="M107" s="566"/>
      <c r="N107" s="566"/>
      <c r="O107" s="684"/>
      <c r="P107" s="684"/>
      <c r="Q107" s="566"/>
      <c r="R107" s="566"/>
      <c r="S107" s="566"/>
      <c r="T107" s="684"/>
      <c r="U107" s="684"/>
    </row>
    <row r="108" spans="1:21" ht="18.75" x14ac:dyDescent="0.25">
      <c r="A108" s="687"/>
      <c r="B108" s="688"/>
      <c r="C108" s="688"/>
      <c r="D108" s="699" t="s">
        <v>48</v>
      </c>
      <c r="E108" s="695"/>
      <c r="F108" s="695"/>
      <c r="G108" s="692"/>
      <c r="H108" s="564" t="s">
        <v>46</v>
      </c>
      <c r="I108" s="708">
        <f ca="1">IFERROR(__xludf.DUMMYFUNCTION("IMPORTRANGE(""https://docs.google.com/spreadsheets/d/1eHaY18a8A9IcSdp1K8H6x8fbOy06t2VsZHhMHf-1x7Y/edit?usp=sharing"",""แผน!N24"")"),0)</f>
        <v>0</v>
      </c>
      <c r="J108" s="702">
        <v>0</v>
      </c>
      <c r="K108" s="568">
        <f t="shared" ref="K108:K109" ca="1" si="71">IF(I108&gt;0,J108*100/I108,0)</f>
        <v>0</v>
      </c>
      <c r="L108" s="574"/>
      <c r="M108" s="566"/>
      <c r="N108" s="566"/>
      <c r="O108" s="684"/>
      <c r="P108" s="684"/>
      <c r="Q108" s="566"/>
      <c r="R108" s="566"/>
      <c r="S108" s="566"/>
      <c r="T108" s="684"/>
      <c r="U108" s="684"/>
    </row>
    <row r="109" spans="1:21" ht="18.75" x14ac:dyDescent="0.25">
      <c r="A109" s="687"/>
      <c r="B109" s="688"/>
      <c r="C109" s="688"/>
      <c r="D109" s="699" t="s">
        <v>49</v>
      </c>
      <c r="E109" s="695"/>
      <c r="F109" s="695"/>
      <c r="G109" s="692"/>
      <c r="H109" s="564" t="s">
        <v>35</v>
      </c>
      <c r="I109" s="708">
        <f ca="1">IFERROR(__xludf.DUMMYFUNCTION("IMPORTRANGE(""https://docs.google.com/spreadsheets/d/1eHaY18a8A9IcSdp1K8H6x8fbOy06t2VsZHhMHf-1x7Y/edit?usp=sharing"",""แผน!O24"")"),0)</f>
        <v>0</v>
      </c>
      <c r="J109" s="702">
        <v>0</v>
      </c>
      <c r="K109" s="568">
        <f t="shared" ca="1" si="71"/>
        <v>0</v>
      </c>
      <c r="L109" s="574"/>
      <c r="M109" s="566"/>
      <c r="N109" s="566"/>
      <c r="O109" s="684"/>
      <c r="P109" s="684"/>
      <c r="Q109" s="566"/>
      <c r="R109" s="566"/>
      <c r="S109" s="566"/>
      <c r="T109" s="684"/>
      <c r="U109" s="684"/>
    </row>
    <row r="110" spans="1:21" ht="12.75" x14ac:dyDescent="0.2">
      <c r="A110" s="705"/>
      <c r="B110" s="706"/>
      <c r="C110" s="706"/>
      <c r="D110" s="531"/>
      <c r="E110" s="531"/>
      <c r="F110" s="531"/>
      <c r="G110" s="532"/>
      <c r="H110" s="532"/>
      <c r="I110" s="533"/>
      <c r="J110" s="533"/>
      <c r="K110" s="534"/>
      <c r="L110" s="535"/>
      <c r="M110" s="534"/>
      <c r="N110" s="534"/>
      <c r="O110" s="534"/>
      <c r="P110" s="534"/>
      <c r="Q110" s="534"/>
      <c r="R110" s="534"/>
      <c r="S110" s="534"/>
      <c r="T110" s="534"/>
      <c r="U110" s="534"/>
    </row>
    <row r="111" spans="1:21" ht="12.75" x14ac:dyDescent="0.2">
      <c r="A111" s="705"/>
      <c r="B111" s="706"/>
      <c r="C111" s="706"/>
      <c r="D111" s="531"/>
      <c r="E111" s="531"/>
      <c r="F111" s="531"/>
      <c r="G111" s="532"/>
      <c r="H111" s="532"/>
      <c r="I111" s="533"/>
      <c r="J111" s="533"/>
      <c r="K111" s="534"/>
      <c r="L111" s="535"/>
      <c r="M111" s="534"/>
      <c r="N111" s="534"/>
      <c r="O111" s="534"/>
      <c r="P111" s="534"/>
      <c r="Q111" s="534"/>
      <c r="R111" s="534"/>
      <c r="S111" s="534"/>
      <c r="T111" s="534"/>
      <c r="U111" s="534"/>
    </row>
    <row r="112" spans="1:21" ht="12.75" x14ac:dyDescent="0.2">
      <c r="A112" s="705"/>
      <c r="B112" s="706"/>
      <c r="C112" s="706"/>
      <c r="D112" s="531"/>
      <c r="E112" s="531"/>
      <c r="F112" s="531"/>
      <c r="G112" s="532"/>
      <c r="H112" s="532"/>
      <c r="I112" s="533"/>
      <c r="J112" s="533"/>
      <c r="K112" s="534"/>
      <c r="L112" s="535"/>
      <c r="M112" s="534"/>
      <c r="N112" s="534"/>
      <c r="O112" s="534"/>
      <c r="P112" s="534"/>
      <c r="Q112" s="534"/>
      <c r="R112" s="534"/>
      <c r="S112" s="534"/>
      <c r="T112" s="534"/>
      <c r="U112" s="534"/>
    </row>
    <row r="113" spans="1:21" ht="12.75" x14ac:dyDescent="0.2">
      <c r="A113" s="705"/>
      <c r="B113" s="706"/>
      <c r="C113" s="706"/>
      <c r="D113" s="531"/>
      <c r="E113" s="531"/>
      <c r="F113" s="531"/>
      <c r="G113" s="532"/>
      <c r="H113" s="532"/>
      <c r="I113" s="533">
        <v>0</v>
      </c>
      <c r="J113" s="533">
        <v>0</v>
      </c>
      <c r="K113" s="534"/>
      <c r="L113" s="535"/>
      <c r="M113" s="534"/>
      <c r="N113" s="534"/>
      <c r="O113" s="534"/>
      <c r="P113" s="534"/>
      <c r="Q113" s="534"/>
      <c r="R113" s="534"/>
      <c r="S113" s="534"/>
      <c r="T113" s="534"/>
      <c r="U113" s="534"/>
    </row>
    <row r="114" spans="1:21" ht="18.75" x14ac:dyDescent="0.25">
      <c r="A114" s="687"/>
      <c r="B114" s="688"/>
      <c r="C114" s="688"/>
      <c r="D114" s="699" t="s">
        <v>50</v>
      </c>
      <c r="E114" s="695"/>
      <c r="F114" s="695"/>
      <c r="G114" s="692"/>
      <c r="H114" s="700" t="s">
        <v>35</v>
      </c>
      <c r="I114" s="701">
        <f ca="1">IFERROR(__xludf.DUMMYFUNCTION("IMPORTRANGE(""https://docs.google.com/spreadsheets/d/1eHaY18a8A9IcSdp1K8H6x8fbOy06t2VsZHhMHf-1x7Y/edit?usp=sharing"",""แผน!R24"")"),0)</f>
        <v>0</v>
      </c>
      <c r="J114" s="702">
        <v>0</v>
      </c>
      <c r="K114" s="568">
        <f ca="1">IF(I114&gt;0,J114*100/I114,0)</f>
        <v>0</v>
      </c>
      <c r="L114" s="574"/>
      <c r="M114" s="566"/>
      <c r="N114" s="566"/>
      <c r="O114" s="684"/>
      <c r="P114" s="684"/>
      <c r="Q114" s="566"/>
      <c r="R114" s="566"/>
      <c r="S114" s="566"/>
      <c r="T114" s="684"/>
      <c r="U114" s="684"/>
    </row>
    <row r="115" spans="1:21" ht="19.5" x14ac:dyDescent="0.3">
      <c r="A115" s="709" t="s">
        <v>51</v>
      </c>
      <c r="B115" s="710"/>
      <c r="C115" s="711"/>
      <c r="D115" s="712"/>
      <c r="E115" s="712"/>
      <c r="F115" s="712"/>
      <c r="G115" s="712"/>
      <c r="H115" s="710"/>
      <c r="I115" s="713"/>
      <c r="J115" s="713"/>
      <c r="K115" s="714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</row>
    <row r="116" spans="1:21" ht="19.5" x14ac:dyDescent="0.3">
      <c r="A116" s="669"/>
      <c r="B116" s="715" t="s">
        <v>52</v>
      </c>
      <c r="C116" s="716"/>
      <c r="D116" s="670"/>
      <c r="E116" s="543"/>
      <c r="F116" s="543"/>
      <c r="G116" s="546"/>
      <c r="H116" s="717" t="s">
        <v>35</v>
      </c>
      <c r="I116" s="672">
        <f t="shared" ref="I116:J116" ca="1" si="72">I127</f>
        <v>30</v>
      </c>
      <c r="J116" s="672">
        <f t="shared" si="72"/>
        <v>30</v>
      </c>
      <c r="K116" s="551">
        <f ca="1">IF(I116&gt;0,J116*100/I116,0)</f>
        <v>100</v>
      </c>
      <c r="L116" s="673"/>
      <c r="M116" s="549"/>
      <c r="N116" s="549"/>
      <c r="O116" s="549"/>
      <c r="P116" s="549"/>
      <c r="Q116" s="549"/>
      <c r="R116" s="549"/>
      <c r="S116" s="549"/>
      <c r="T116" s="549"/>
      <c r="U116" s="549"/>
    </row>
    <row r="117" spans="1:21" ht="19.5" x14ac:dyDescent="0.3">
      <c r="A117" s="674"/>
      <c r="B117" s="718"/>
      <c r="C117" s="719" t="s">
        <v>18</v>
      </c>
      <c r="D117" s="676" t="s">
        <v>19</v>
      </c>
      <c r="E117" s="561"/>
      <c r="F117" s="561"/>
      <c r="G117" s="563"/>
      <c r="H117" s="677" t="s">
        <v>14</v>
      </c>
      <c r="I117" s="565"/>
      <c r="J117" s="565"/>
      <c r="K117" s="566"/>
      <c r="L117" s="678">
        <f t="shared" ref="L117:N117" ca="1" si="73">L118+L119</f>
        <v>0</v>
      </c>
      <c r="M117" s="679">
        <f t="shared" ca="1" si="73"/>
        <v>0</v>
      </c>
      <c r="N117" s="679">
        <f t="shared" ca="1" si="73"/>
        <v>0</v>
      </c>
      <c r="O117" s="679">
        <f t="shared" ref="O117:O125" ca="1" si="74">IF(L117&gt;0,N117*100/L117,0)</f>
        <v>0</v>
      </c>
      <c r="P117" s="679">
        <f t="shared" ref="P117:P125" ca="1" si="75">IF(M117&gt;0,N117*100/M117,0)</f>
        <v>0</v>
      </c>
      <c r="Q117" s="679">
        <f t="shared" ref="Q117:S117" ca="1" si="76">Q118+Q119</f>
        <v>247020</v>
      </c>
      <c r="R117" s="679">
        <f t="shared" ca="1" si="76"/>
        <v>247020</v>
      </c>
      <c r="S117" s="679">
        <f t="shared" ca="1" si="76"/>
        <v>71510</v>
      </c>
      <c r="T117" s="679">
        <f t="shared" ref="T117:T125" ca="1" si="77">IF(Q117&gt;0,S117*100/Q117,0)</f>
        <v>28.94907294955874</v>
      </c>
      <c r="U117" s="679">
        <f t="shared" ref="U117:U125" ca="1" si="78">IF(R117&gt;0,S117*100/R117,0)</f>
        <v>28.94907294955874</v>
      </c>
    </row>
    <row r="118" spans="1:21" ht="18.75" x14ac:dyDescent="0.25">
      <c r="A118" s="674"/>
      <c r="B118" s="718"/>
      <c r="C118" s="718"/>
      <c r="D118" s="718"/>
      <c r="E118" s="569" t="s">
        <v>20</v>
      </c>
      <c r="F118" s="561"/>
      <c r="G118" s="563"/>
      <c r="H118" s="680" t="s">
        <v>14</v>
      </c>
      <c r="I118" s="565"/>
      <c r="J118" s="565"/>
      <c r="K118" s="566"/>
      <c r="L118" s="571">
        <f t="shared" ref="L118:N119" si="79">L121+L124</f>
        <v>0</v>
      </c>
      <c r="M118" s="572">
        <f t="shared" si="79"/>
        <v>0</v>
      </c>
      <c r="N118" s="572">
        <f t="shared" si="79"/>
        <v>0</v>
      </c>
      <c r="O118" s="572">
        <f t="shared" si="74"/>
        <v>0</v>
      </c>
      <c r="P118" s="572">
        <f t="shared" si="75"/>
        <v>0</v>
      </c>
      <c r="Q118" s="572">
        <f t="shared" ref="Q118:S119" si="80">Q121+Q124</f>
        <v>0</v>
      </c>
      <c r="R118" s="572">
        <f t="shared" si="80"/>
        <v>0</v>
      </c>
      <c r="S118" s="572">
        <f t="shared" si="80"/>
        <v>0</v>
      </c>
      <c r="T118" s="572">
        <f t="shared" si="77"/>
        <v>0</v>
      </c>
      <c r="U118" s="572">
        <f t="shared" si="78"/>
        <v>0</v>
      </c>
    </row>
    <row r="119" spans="1:21" ht="18.75" x14ac:dyDescent="0.25">
      <c r="A119" s="674"/>
      <c r="B119" s="718"/>
      <c r="C119" s="718"/>
      <c r="D119" s="718"/>
      <c r="E119" s="573" t="s">
        <v>21</v>
      </c>
      <c r="F119" s="561"/>
      <c r="G119" s="563"/>
      <c r="H119" s="681" t="s">
        <v>14</v>
      </c>
      <c r="I119" s="565"/>
      <c r="J119" s="565"/>
      <c r="K119" s="566"/>
      <c r="L119" s="567">
        <f t="shared" ca="1" si="79"/>
        <v>0</v>
      </c>
      <c r="M119" s="568">
        <f t="shared" ca="1" si="79"/>
        <v>0</v>
      </c>
      <c r="N119" s="568">
        <f t="shared" ca="1" si="79"/>
        <v>0</v>
      </c>
      <c r="O119" s="568">
        <f t="shared" ca="1" si="74"/>
        <v>0</v>
      </c>
      <c r="P119" s="568">
        <f t="shared" ca="1" si="75"/>
        <v>0</v>
      </c>
      <c r="Q119" s="568">
        <f t="shared" ca="1" si="80"/>
        <v>247020</v>
      </c>
      <c r="R119" s="568">
        <f t="shared" ca="1" si="80"/>
        <v>247020</v>
      </c>
      <c r="S119" s="568">
        <f t="shared" ca="1" si="80"/>
        <v>71510</v>
      </c>
      <c r="T119" s="568">
        <f t="shared" ca="1" si="77"/>
        <v>28.94907294955874</v>
      </c>
      <c r="U119" s="568">
        <f t="shared" ca="1" si="78"/>
        <v>28.94907294955874</v>
      </c>
    </row>
    <row r="120" spans="1:21" ht="18.75" x14ac:dyDescent="0.25">
      <c r="A120" s="674"/>
      <c r="B120" s="718"/>
      <c r="C120" s="720"/>
      <c r="D120" s="721" t="s">
        <v>22</v>
      </c>
      <c r="E120" s="561"/>
      <c r="F120" s="561"/>
      <c r="G120" s="563"/>
      <c r="H120" s="722" t="s">
        <v>14</v>
      </c>
      <c r="I120" s="565"/>
      <c r="J120" s="565"/>
      <c r="K120" s="566"/>
      <c r="L120" s="567">
        <f t="shared" ref="L120:N120" ca="1" si="81">L121+L122</f>
        <v>0</v>
      </c>
      <c r="M120" s="568">
        <f t="shared" ca="1" si="81"/>
        <v>0</v>
      </c>
      <c r="N120" s="568">
        <f t="shared" ca="1" si="81"/>
        <v>0</v>
      </c>
      <c r="O120" s="568">
        <f t="shared" ca="1" si="74"/>
        <v>0</v>
      </c>
      <c r="P120" s="568">
        <f t="shared" ca="1" si="75"/>
        <v>0</v>
      </c>
      <c r="Q120" s="568">
        <f t="shared" ref="Q120:S120" ca="1" si="82">Q121+Q122</f>
        <v>247020</v>
      </c>
      <c r="R120" s="568">
        <f t="shared" ca="1" si="82"/>
        <v>247020</v>
      </c>
      <c r="S120" s="568">
        <f t="shared" ca="1" si="82"/>
        <v>71510</v>
      </c>
      <c r="T120" s="568">
        <f t="shared" ca="1" si="77"/>
        <v>28.94907294955874</v>
      </c>
      <c r="U120" s="568">
        <f t="shared" ca="1" si="78"/>
        <v>28.94907294955874</v>
      </c>
    </row>
    <row r="121" spans="1:21" ht="18.75" x14ac:dyDescent="0.25">
      <c r="A121" s="674"/>
      <c r="B121" s="718"/>
      <c r="C121" s="720"/>
      <c r="D121" s="718"/>
      <c r="E121" s="569" t="s">
        <v>36</v>
      </c>
      <c r="F121" s="561"/>
      <c r="G121" s="563"/>
      <c r="H121" s="723" t="s">
        <v>14</v>
      </c>
      <c r="I121" s="565"/>
      <c r="J121" s="565"/>
      <c r="K121" s="566"/>
      <c r="L121" s="571">
        <v>0</v>
      </c>
      <c r="M121" s="572">
        <v>0</v>
      </c>
      <c r="N121" s="572">
        <v>0</v>
      </c>
      <c r="O121" s="572">
        <f t="shared" si="74"/>
        <v>0</v>
      </c>
      <c r="P121" s="572">
        <f t="shared" si="75"/>
        <v>0</v>
      </c>
      <c r="Q121" s="572">
        <v>0</v>
      </c>
      <c r="R121" s="572">
        <v>0</v>
      </c>
      <c r="S121" s="572">
        <v>0</v>
      </c>
      <c r="T121" s="572">
        <f t="shared" si="77"/>
        <v>0</v>
      </c>
      <c r="U121" s="572">
        <f t="shared" si="78"/>
        <v>0</v>
      </c>
    </row>
    <row r="122" spans="1:21" ht="18.75" x14ac:dyDescent="0.25">
      <c r="A122" s="674"/>
      <c r="B122" s="718"/>
      <c r="C122" s="720"/>
      <c r="D122" s="718"/>
      <c r="E122" s="573" t="s">
        <v>37</v>
      </c>
      <c r="F122" s="561"/>
      <c r="G122" s="563"/>
      <c r="H122" s="722" t="s">
        <v>14</v>
      </c>
      <c r="I122" s="565"/>
      <c r="J122" s="565"/>
      <c r="K122" s="566"/>
      <c r="L122" s="567">
        <f ca="1">IFERROR(__xludf.DUMMYFUNCTION("IMPORTRANGE(""https://docs.google.com/spreadsheets/d/1-uDff_7J0KD5mKrp0Vvzr7lt3OU09vwQwhkpOPPYv2Y/edit?usp=sharing"",""งบพรบ!BG24"")"),0)</f>
        <v>0</v>
      </c>
      <c r="M122" s="568">
        <f ca="1">IFERROR(__xludf.DUMMYFUNCTION("IMPORTRANGE(""https://docs.google.com/spreadsheets/d/1-uDff_7J0KD5mKrp0Vvzr7lt3OU09vwQwhkpOPPYv2Y/edit?usp=sharing"",""งบพรบ!BL24"")"),0)</f>
        <v>0</v>
      </c>
      <c r="N122" s="568">
        <f ca="1">IFERROR(__xludf.DUMMYFUNCTION("IMPORTRANGE(""https://docs.google.com/spreadsheets/d/1-uDff_7J0KD5mKrp0Vvzr7lt3OU09vwQwhkpOPPYv2Y/edit?usp=sharing"",""งบพรบ!BN24"")"),0)</f>
        <v>0</v>
      </c>
      <c r="O122" s="568">
        <f t="shared" ca="1" si="74"/>
        <v>0</v>
      </c>
      <c r="P122" s="568">
        <f t="shared" ca="1" si="75"/>
        <v>0</v>
      </c>
      <c r="Q122" s="568">
        <f ca="1">IFERROR(__xludf.DUMMYFUNCTION("IMPORTRANGE(""https://docs.google.com/spreadsheets/d/1ItG2mGa2ceCfYo0BwxsXqNm01IGEUdYcSSLTEv9YCik/edit?usp=sharing"",""เบิกจ่ายกองทุน!U24"")"),247020)</f>
        <v>247020</v>
      </c>
      <c r="R122" s="568">
        <f ca="1">IFERROR(__xludf.DUMMYFUNCTION("IMPORTRANGE(""https://docs.google.com/spreadsheets/d/1ItG2mGa2ceCfYo0BwxsXqNm01IGEUdYcSSLTEv9YCik/edit?usp=sharing"",""เบิกจ่ายกองทุน!V24"")"),247020)</f>
        <v>247020</v>
      </c>
      <c r="S122" s="568">
        <f ca="1">IFERROR(__xludf.DUMMYFUNCTION("IMPORTRANGE(""https://docs.google.com/spreadsheets/d/1ItG2mGa2ceCfYo0BwxsXqNm01IGEUdYcSSLTEv9YCik/edit?usp=sharing"",""เบิกจ่ายกองทุน!W24"")"),71510)</f>
        <v>71510</v>
      </c>
      <c r="T122" s="568">
        <f t="shared" ca="1" si="77"/>
        <v>28.94907294955874</v>
      </c>
      <c r="U122" s="568">
        <f t="shared" ca="1" si="78"/>
        <v>28.94907294955874</v>
      </c>
    </row>
    <row r="123" spans="1:21" ht="18.75" x14ac:dyDescent="0.25">
      <c r="A123" s="674"/>
      <c r="B123" s="561"/>
      <c r="C123" s="720"/>
      <c r="D123" s="721" t="s">
        <v>23</v>
      </c>
      <c r="E123" s="561"/>
      <c r="F123" s="561"/>
      <c r="G123" s="563"/>
      <c r="H123" s="681" t="s">
        <v>14</v>
      </c>
      <c r="I123" s="565"/>
      <c r="J123" s="565"/>
      <c r="K123" s="566"/>
      <c r="L123" s="567">
        <f t="shared" ref="L123:N123" ca="1" si="83">L124+L125</f>
        <v>0</v>
      </c>
      <c r="M123" s="568">
        <f t="shared" ca="1" si="83"/>
        <v>0</v>
      </c>
      <c r="N123" s="568">
        <f t="shared" ca="1" si="83"/>
        <v>0</v>
      </c>
      <c r="O123" s="568">
        <f t="shared" ca="1" si="74"/>
        <v>0</v>
      </c>
      <c r="P123" s="568">
        <f t="shared" ca="1" si="75"/>
        <v>0</v>
      </c>
      <c r="Q123" s="568">
        <f t="shared" ref="Q123:S123" ca="1" si="84">Q124+Q125</f>
        <v>0</v>
      </c>
      <c r="R123" s="568">
        <f t="shared" ca="1" si="84"/>
        <v>0</v>
      </c>
      <c r="S123" s="568">
        <f t="shared" ca="1" si="84"/>
        <v>0</v>
      </c>
      <c r="T123" s="568">
        <f t="shared" ca="1" si="77"/>
        <v>0</v>
      </c>
      <c r="U123" s="568">
        <f t="shared" ca="1" si="78"/>
        <v>0</v>
      </c>
    </row>
    <row r="124" spans="1:21" ht="18.75" x14ac:dyDescent="0.25">
      <c r="A124" s="674"/>
      <c r="B124" s="561"/>
      <c r="C124" s="720"/>
      <c r="D124" s="718"/>
      <c r="E124" s="569" t="s">
        <v>20</v>
      </c>
      <c r="F124" s="561"/>
      <c r="G124" s="563"/>
      <c r="H124" s="723" t="s">
        <v>14</v>
      </c>
      <c r="I124" s="565"/>
      <c r="J124" s="565"/>
      <c r="K124" s="566"/>
      <c r="L124" s="571">
        <v>0</v>
      </c>
      <c r="M124" s="572">
        <v>0</v>
      </c>
      <c r="N124" s="572">
        <v>0</v>
      </c>
      <c r="O124" s="572">
        <f t="shared" si="74"/>
        <v>0</v>
      </c>
      <c r="P124" s="572">
        <f t="shared" si="75"/>
        <v>0</v>
      </c>
      <c r="Q124" s="572">
        <v>0</v>
      </c>
      <c r="R124" s="572">
        <v>0</v>
      </c>
      <c r="S124" s="572">
        <v>0</v>
      </c>
      <c r="T124" s="572">
        <f t="shared" si="77"/>
        <v>0</v>
      </c>
      <c r="U124" s="572">
        <f t="shared" si="78"/>
        <v>0</v>
      </c>
    </row>
    <row r="125" spans="1:21" ht="18.75" x14ac:dyDescent="0.25">
      <c r="A125" s="674"/>
      <c r="B125" s="561"/>
      <c r="C125" s="561"/>
      <c r="D125" s="561"/>
      <c r="E125" s="573" t="s">
        <v>21</v>
      </c>
      <c r="F125" s="561"/>
      <c r="G125" s="563"/>
      <c r="H125" s="681" t="s">
        <v>14</v>
      </c>
      <c r="I125" s="565"/>
      <c r="J125" s="565"/>
      <c r="K125" s="566"/>
      <c r="L125" s="567">
        <f ca="1">IFERROR(__xludf.DUMMYFUNCTION("IMPORTRANGE(""https://docs.google.com/spreadsheets/d/1-uDff_7J0KD5mKrp0Vvzr7lt3OU09vwQwhkpOPPYv2Y/edit?usp=sharing"",""งบพรบ!BJ24"")"),0)</f>
        <v>0</v>
      </c>
      <c r="M125" s="568">
        <f ca="1">IFERROR(__xludf.DUMMYFUNCTION("IMPORTRANGE(""https://docs.google.com/spreadsheets/d/1-uDff_7J0KD5mKrp0Vvzr7lt3OU09vwQwhkpOPPYv2Y/edit?usp=sharing"",""งบพรบ!BM24"")"),0)</f>
        <v>0</v>
      </c>
      <c r="N125" s="568">
        <f ca="1">IFERROR(__xludf.DUMMYFUNCTION("IMPORTRANGE(""https://docs.google.com/spreadsheets/d/1-uDff_7J0KD5mKrp0Vvzr7lt3OU09vwQwhkpOPPYv2Y/edit?usp=sharing"",""งบพรบ!BO24"")"),0)</f>
        <v>0</v>
      </c>
      <c r="O125" s="568">
        <f t="shared" ca="1" si="74"/>
        <v>0</v>
      </c>
      <c r="P125" s="568">
        <f t="shared" ca="1" si="75"/>
        <v>0</v>
      </c>
      <c r="Q125" s="568">
        <f ca="1">IFERROR(__xludf.DUMMYFUNCTION("IMPORTRANGE(""https://docs.google.com/spreadsheets/d/1ItG2mGa2ceCfYo0BwxsXqNm01IGEUdYcSSLTEv9YCik/edit?usp=sharing"",""เบิกจ่ายกองทุน!X24"")"),0)</f>
        <v>0</v>
      </c>
      <c r="R125" s="568">
        <f ca="1">IFERROR(__xludf.DUMMYFUNCTION("IMPORTRANGE(""https://docs.google.com/spreadsheets/d/1ItG2mGa2ceCfYo0BwxsXqNm01IGEUdYcSSLTEv9YCik/edit?usp=sharing"",""เบิกจ่ายกองทุน!Y24"")"),0)</f>
        <v>0</v>
      </c>
      <c r="S125" s="568">
        <f ca="1">IFERROR(__xludf.DUMMYFUNCTION("IMPORTRANGE(""https://docs.google.com/spreadsheets/d/1ItG2mGa2ceCfYo0BwxsXqNm01IGEUdYcSSLTEv9YCik/edit?usp=sharing"",""เบิกจ่ายกองทุน!Z24"")"),0)</f>
        <v>0</v>
      </c>
      <c r="T125" s="568">
        <f t="shared" ca="1" si="77"/>
        <v>0</v>
      </c>
      <c r="U125" s="568">
        <f t="shared" ca="1" si="78"/>
        <v>0</v>
      </c>
    </row>
    <row r="126" spans="1:21" ht="19.5" x14ac:dyDescent="0.3">
      <c r="A126" s="687"/>
      <c r="B126" s="688"/>
      <c r="C126" s="724" t="s">
        <v>18</v>
      </c>
      <c r="D126" s="689" t="s">
        <v>38</v>
      </c>
      <c r="E126" s="690"/>
      <c r="F126" s="690"/>
      <c r="G126" s="691"/>
      <c r="H126" s="725"/>
      <c r="I126" s="565"/>
      <c r="J126" s="565"/>
      <c r="K126" s="566"/>
      <c r="L126" s="574"/>
      <c r="M126" s="566"/>
      <c r="N126" s="566"/>
      <c r="O126" s="566"/>
      <c r="P126" s="566"/>
      <c r="Q126" s="566"/>
      <c r="R126" s="566"/>
      <c r="S126" s="566"/>
      <c r="T126" s="566"/>
      <c r="U126" s="566"/>
    </row>
    <row r="127" spans="1:21" ht="18.75" x14ac:dyDescent="0.25">
      <c r="A127" s="687"/>
      <c r="B127" s="688"/>
      <c r="C127" s="688"/>
      <c r="D127" s="699" t="s">
        <v>53</v>
      </c>
      <c r="E127" s="695"/>
      <c r="F127" s="695"/>
      <c r="G127" s="692"/>
      <c r="H127" s="681" t="s">
        <v>35</v>
      </c>
      <c r="I127" s="708">
        <f ca="1">IFERROR(__xludf.DUMMYFUNCTION("IMPORTRANGE(""https://docs.google.com/spreadsheets/d/1eHaY18a8A9IcSdp1K8H6x8fbOy06t2VsZHhMHf-1x7Y/edit?usp=sharing"",""แผน!FF24"")"),30)</f>
        <v>30</v>
      </c>
      <c r="J127" s="702">
        <v>30</v>
      </c>
      <c r="K127" s="568">
        <f t="shared" ref="K127:K130" ca="1" si="85">IF(I127&gt;0,J127*100/I127,0)</f>
        <v>100</v>
      </c>
      <c r="L127" s="574"/>
      <c r="M127" s="566"/>
      <c r="N127" s="566"/>
      <c r="O127" s="566"/>
      <c r="P127" s="566"/>
      <c r="Q127" s="566"/>
      <c r="R127" s="566"/>
      <c r="S127" s="566"/>
      <c r="T127" s="566"/>
      <c r="U127" s="566"/>
    </row>
    <row r="128" spans="1:21" ht="18.75" x14ac:dyDescent="0.25">
      <c r="A128" s="687"/>
      <c r="B128" s="688"/>
      <c r="C128" s="688"/>
      <c r="D128" s="695"/>
      <c r="E128" s="695"/>
      <c r="F128" s="695"/>
      <c r="G128" s="692"/>
      <c r="H128" s="681" t="s">
        <v>54</v>
      </c>
      <c r="I128" s="708">
        <f ca="1">IFERROR(__xludf.DUMMYFUNCTION("IMPORTRANGE(""https://docs.google.com/spreadsheets/d/1eHaY18a8A9IcSdp1K8H6x8fbOy06t2VsZHhMHf-1x7Y/edit?usp=sharing"",""แผน!FG24"")"),0)</f>
        <v>0</v>
      </c>
      <c r="J128" s="702">
        <v>0</v>
      </c>
      <c r="K128" s="568">
        <f t="shared" ca="1" si="85"/>
        <v>0</v>
      </c>
      <c r="L128" s="574"/>
      <c r="M128" s="566"/>
      <c r="N128" s="566"/>
      <c r="O128" s="566"/>
      <c r="P128" s="566"/>
      <c r="Q128" s="566"/>
      <c r="R128" s="566"/>
      <c r="S128" s="566"/>
      <c r="T128" s="566"/>
      <c r="U128" s="566"/>
    </row>
    <row r="129" spans="1:21" ht="18.75" x14ac:dyDescent="0.25">
      <c r="A129" s="687"/>
      <c r="B129" s="688"/>
      <c r="C129" s="688"/>
      <c r="D129" s="699" t="s">
        <v>55</v>
      </c>
      <c r="E129" s="695"/>
      <c r="F129" s="695"/>
      <c r="G129" s="692"/>
      <c r="H129" s="681" t="s">
        <v>35</v>
      </c>
      <c r="I129" s="708">
        <f ca="1">IFERROR(__xludf.DUMMYFUNCTION("IMPORTRANGE(""https://docs.google.com/spreadsheets/d/1eHaY18a8A9IcSdp1K8H6x8fbOy06t2VsZHhMHf-1x7Y/edit?usp=sharing"",""แผน!FH24"")"),30)</f>
        <v>30</v>
      </c>
      <c r="J129" s="702">
        <v>30</v>
      </c>
      <c r="K129" s="568">
        <f t="shared" ca="1" si="85"/>
        <v>100</v>
      </c>
      <c r="L129" s="574"/>
      <c r="M129" s="566"/>
      <c r="N129" s="566"/>
      <c r="O129" s="566"/>
      <c r="P129" s="566"/>
      <c r="Q129" s="566"/>
      <c r="R129" s="566"/>
      <c r="S129" s="566"/>
      <c r="T129" s="566"/>
      <c r="U129" s="566"/>
    </row>
    <row r="130" spans="1:21" ht="18.75" x14ac:dyDescent="0.25">
      <c r="A130" s="687"/>
      <c r="B130" s="688"/>
      <c r="C130" s="688"/>
      <c r="D130" s="695"/>
      <c r="E130" s="695"/>
      <c r="F130" s="695"/>
      <c r="G130" s="692"/>
      <c r="H130" s="681" t="s">
        <v>54</v>
      </c>
      <c r="I130" s="708">
        <f ca="1">IFERROR(__xludf.DUMMYFUNCTION("IMPORTRANGE(""https://docs.google.com/spreadsheets/d/1eHaY18a8A9IcSdp1K8H6x8fbOy06t2VsZHhMHf-1x7Y/edit?usp=sharing"",""แผน!FI24"")"),0)</f>
        <v>0</v>
      </c>
      <c r="J130" s="702">
        <v>0</v>
      </c>
      <c r="K130" s="568">
        <f t="shared" ca="1" si="85"/>
        <v>0</v>
      </c>
      <c r="L130" s="574"/>
      <c r="M130" s="566"/>
      <c r="N130" s="566"/>
      <c r="O130" s="566"/>
      <c r="P130" s="566"/>
      <c r="Q130" s="566"/>
      <c r="R130" s="566"/>
      <c r="S130" s="566"/>
      <c r="T130" s="566"/>
      <c r="U130" s="566"/>
    </row>
    <row r="131" spans="1:21" ht="18.75" x14ac:dyDescent="0.25">
      <c r="A131" s="687"/>
      <c r="B131" s="688"/>
      <c r="C131" s="688"/>
      <c r="D131" s="726" t="s">
        <v>56</v>
      </c>
      <c r="E131" s="695"/>
      <c r="F131" s="695"/>
      <c r="G131" s="692"/>
      <c r="H131" s="680" t="s">
        <v>35</v>
      </c>
      <c r="I131" s="565"/>
      <c r="J131" s="565"/>
      <c r="K131" s="566"/>
      <c r="L131" s="574"/>
      <c r="M131" s="566"/>
      <c r="N131" s="566"/>
      <c r="O131" s="566"/>
      <c r="P131" s="566"/>
      <c r="Q131" s="566"/>
      <c r="R131" s="566"/>
      <c r="S131" s="566"/>
      <c r="T131" s="566"/>
      <c r="U131" s="566"/>
    </row>
    <row r="132" spans="1:21" ht="18.75" x14ac:dyDescent="0.25">
      <c r="A132" s="687"/>
      <c r="B132" s="688"/>
      <c r="C132" s="688"/>
      <c r="D132" s="726" t="s">
        <v>57</v>
      </c>
      <c r="E132" s="695"/>
      <c r="F132" s="695"/>
      <c r="G132" s="692"/>
      <c r="H132" s="727"/>
      <c r="I132" s="565"/>
      <c r="J132" s="565"/>
      <c r="K132" s="566"/>
      <c r="L132" s="574"/>
      <c r="M132" s="566"/>
      <c r="N132" s="566"/>
      <c r="O132" s="566"/>
      <c r="P132" s="566"/>
      <c r="Q132" s="566"/>
      <c r="R132" s="566"/>
      <c r="S132" s="566"/>
      <c r="T132" s="566"/>
      <c r="U132" s="566"/>
    </row>
    <row r="133" spans="1:21" ht="12.75" x14ac:dyDescent="0.2">
      <c r="A133" s="705"/>
      <c r="B133" s="706"/>
      <c r="C133" s="706"/>
      <c r="D133" s="531"/>
      <c r="E133" s="531"/>
      <c r="F133" s="531"/>
      <c r="G133" s="532"/>
      <c r="H133" s="728"/>
      <c r="I133" s="533"/>
      <c r="J133" s="533"/>
      <c r="K133" s="534"/>
      <c r="L133" s="535"/>
      <c r="M133" s="534"/>
      <c r="N133" s="534"/>
      <c r="O133" s="534"/>
      <c r="P133" s="534"/>
      <c r="Q133" s="534"/>
      <c r="R133" s="534"/>
      <c r="S133" s="534"/>
      <c r="T133" s="534"/>
      <c r="U133" s="534"/>
    </row>
    <row r="134" spans="1:21" ht="19.5" x14ac:dyDescent="0.3">
      <c r="A134" s="662" t="s">
        <v>58</v>
      </c>
      <c r="B134" s="663"/>
      <c r="C134" s="729"/>
      <c r="D134" s="663"/>
      <c r="E134" s="663"/>
      <c r="F134" s="663"/>
      <c r="G134" s="663"/>
      <c r="H134" s="663"/>
      <c r="I134" s="730"/>
      <c r="J134" s="730"/>
      <c r="K134" s="731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</row>
    <row r="135" spans="1:21" ht="19.5" x14ac:dyDescent="0.3">
      <c r="A135" s="669"/>
      <c r="B135" s="544" t="s">
        <v>59</v>
      </c>
      <c r="C135" s="716"/>
      <c r="D135" s="670"/>
      <c r="E135" s="543"/>
      <c r="F135" s="543"/>
      <c r="G135" s="543"/>
      <c r="H135" s="543"/>
      <c r="I135" s="732"/>
      <c r="J135" s="548"/>
      <c r="K135" s="549"/>
      <c r="L135" s="673"/>
      <c r="M135" s="549"/>
      <c r="N135" s="549"/>
      <c r="O135" s="549"/>
      <c r="P135" s="549"/>
      <c r="Q135" s="549"/>
      <c r="R135" s="549"/>
      <c r="S135" s="549"/>
      <c r="T135" s="549"/>
      <c r="U135" s="549"/>
    </row>
    <row r="136" spans="1:21" ht="19.5" x14ac:dyDescent="0.3">
      <c r="A136" s="669"/>
      <c r="B136" s="543"/>
      <c r="C136" s="733" t="s">
        <v>60</v>
      </c>
      <c r="D136" s="670"/>
      <c r="E136" s="543"/>
      <c r="F136" s="543"/>
      <c r="G136" s="546"/>
      <c r="H136" s="671" t="s">
        <v>61</v>
      </c>
      <c r="I136" s="672">
        <f t="shared" ref="I136:J136" ca="1" si="86">I154</f>
        <v>1</v>
      </c>
      <c r="J136" s="672">
        <f t="shared" si="86"/>
        <v>0</v>
      </c>
      <c r="K136" s="551">
        <f t="shared" ref="K136:K138" ca="1" si="87">IF(I136&gt;0,J136*100/I136,0)</f>
        <v>0</v>
      </c>
      <c r="L136" s="673"/>
      <c r="M136" s="549"/>
      <c r="N136" s="549"/>
      <c r="O136" s="549"/>
      <c r="P136" s="549"/>
      <c r="Q136" s="549"/>
      <c r="R136" s="549"/>
      <c r="S136" s="549"/>
      <c r="T136" s="549"/>
      <c r="U136" s="549"/>
    </row>
    <row r="137" spans="1:21" ht="19.5" x14ac:dyDescent="0.3">
      <c r="A137" s="669"/>
      <c r="B137" s="543"/>
      <c r="C137" s="733" t="s">
        <v>62</v>
      </c>
      <c r="D137" s="670"/>
      <c r="E137" s="543"/>
      <c r="F137" s="543"/>
      <c r="G137" s="546"/>
      <c r="H137" s="671" t="s">
        <v>35</v>
      </c>
      <c r="I137" s="672">
        <f t="shared" ref="I137:J138" ca="1" si="88">I152</f>
        <v>60</v>
      </c>
      <c r="J137" s="672">
        <f t="shared" si="88"/>
        <v>60</v>
      </c>
      <c r="K137" s="551">
        <f t="shared" ca="1" si="87"/>
        <v>100</v>
      </c>
      <c r="L137" s="673"/>
      <c r="M137" s="549"/>
      <c r="N137" s="549"/>
      <c r="O137" s="549"/>
      <c r="P137" s="549"/>
      <c r="Q137" s="549"/>
      <c r="R137" s="549"/>
      <c r="S137" s="549"/>
      <c r="T137" s="549"/>
      <c r="U137" s="549"/>
    </row>
    <row r="138" spans="1:21" ht="19.5" x14ac:dyDescent="0.3">
      <c r="A138" s="669"/>
      <c r="B138" s="543"/>
      <c r="C138" s="716"/>
      <c r="D138" s="670"/>
      <c r="E138" s="543"/>
      <c r="F138" s="543"/>
      <c r="G138" s="546"/>
      <c r="H138" s="671" t="s">
        <v>54</v>
      </c>
      <c r="I138" s="672">
        <f t="shared" ca="1" si="88"/>
        <v>6</v>
      </c>
      <c r="J138" s="672">
        <f t="shared" si="88"/>
        <v>6</v>
      </c>
      <c r="K138" s="551">
        <f t="shared" ca="1" si="87"/>
        <v>100</v>
      </c>
      <c r="L138" s="673"/>
      <c r="M138" s="549"/>
      <c r="N138" s="549"/>
      <c r="O138" s="549"/>
      <c r="P138" s="549"/>
      <c r="Q138" s="549"/>
      <c r="R138" s="549"/>
      <c r="S138" s="549"/>
      <c r="T138" s="549"/>
      <c r="U138" s="549"/>
    </row>
    <row r="139" spans="1:21" ht="19.5" x14ac:dyDescent="0.3">
      <c r="A139" s="674"/>
      <c r="B139" s="561"/>
      <c r="C139" s="675" t="s">
        <v>18</v>
      </c>
      <c r="D139" s="676" t="s">
        <v>19</v>
      </c>
      <c r="E139" s="561"/>
      <c r="F139" s="561"/>
      <c r="G139" s="563"/>
      <c r="H139" s="677" t="s">
        <v>14</v>
      </c>
      <c r="I139" s="565"/>
      <c r="J139" s="565"/>
      <c r="K139" s="566"/>
      <c r="L139" s="678">
        <f t="shared" ref="L139:N139" ca="1" si="89">L140+L141</f>
        <v>164700</v>
      </c>
      <c r="M139" s="679">
        <f t="shared" ca="1" si="89"/>
        <v>159700</v>
      </c>
      <c r="N139" s="679">
        <f t="shared" ca="1" si="89"/>
        <v>112412</v>
      </c>
      <c r="O139" s="679">
        <f t="shared" ref="O139:O147" ca="1" si="90">IF(L139&gt;0,N139*100/L139,0)</f>
        <v>68.25258044930176</v>
      </c>
      <c r="P139" s="679">
        <f t="shared" ref="P139:P147" ca="1" si="91">IF(M139&gt;0,N139*100/M139,0)</f>
        <v>70.38948027551659</v>
      </c>
      <c r="Q139" s="679">
        <f t="shared" ref="Q139:S139" ca="1" si="92">Q140+Q141</f>
        <v>178860</v>
      </c>
      <c r="R139" s="679">
        <f t="shared" ca="1" si="92"/>
        <v>0</v>
      </c>
      <c r="S139" s="679">
        <f t="shared" ca="1" si="92"/>
        <v>0</v>
      </c>
      <c r="T139" s="679">
        <f t="shared" ref="T139:T147" ca="1" si="93">IF(Q139&gt;0,S139*100/Q139,0)</f>
        <v>0</v>
      </c>
      <c r="U139" s="679">
        <f t="shared" ref="U139:U147" ca="1" si="94">IF(R139&gt;0,S139*100/R139,0)</f>
        <v>0</v>
      </c>
    </row>
    <row r="140" spans="1:21" ht="18.75" x14ac:dyDescent="0.25">
      <c r="A140" s="674"/>
      <c r="B140" s="561"/>
      <c r="C140" s="561"/>
      <c r="D140" s="561"/>
      <c r="E140" s="569" t="s">
        <v>20</v>
      </c>
      <c r="F140" s="561"/>
      <c r="G140" s="563"/>
      <c r="H140" s="680" t="s">
        <v>14</v>
      </c>
      <c r="I140" s="565"/>
      <c r="J140" s="565"/>
      <c r="K140" s="566"/>
      <c r="L140" s="571">
        <f t="shared" ref="L140:N141" si="95">L143+L146</f>
        <v>0</v>
      </c>
      <c r="M140" s="572">
        <f t="shared" si="95"/>
        <v>0</v>
      </c>
      <c r="N140" s="572">
        <f t="shared" si="95"/>
        <v>0</v>
      </c>
      <c r="O140" s="572">
        <f t="shared" si="90"/>
        <v>0</v>
      </c>
      <c r="P140" s="572">
        <f t="shared" si="91"/>
        <v>0</v>
      </c>
      <c r="Q140" s="572">
        <f t="shared" ref="Q140:S141" si="96">Q143+Q146</f>
        <v>0</v>
      </c>
      <c r="R140" s="572">
        <f t="shared" si="96"/>
        <v>0</v>
      </c>
      <c r="S140" s="572">
        <f t="shared" si="96"/>
        <v>0</v>
      </c>
      <c r="T140" s="572">
        <f t="shared" si="93"/>
        <v>0</v>
      </c>
      <c r="U140" s="572">
        <f t="shared" si="94"/>
        <v>0</v>
      </c>
    </row>
    <row r="141" spans="1:21" ht="18.75" x14ac:dyDescent="0.25">
      <c r="A141" s="674"/>
      <c r="B141" s="561"/>
      <c r="C141" s="561"/>
      <c r="D141" s="561"/>
      <c r="E141" s="573" t="s">
        <v>21</v>
      </c>
      <c r="F141" s="561"/>
      <c r="G141" s="563"/>
      <c r="H141" s="681" t="s">
        <v>14</v>
      </c>
      <c r="I141" s="565"/>
      <c r="J141" s="565"/>
      <c r="K141" s="566"/>
      <c r="L141" s="567">
        <f t="shared" ca="1" si="95"/>
        <v>164700</v>
      </c>
      <c r="M141" s="568">
        <f t="shared" ca="1" si="95"/>
        <v>159700</v>
      </c>
      <c r="N141" s="568">
        <f t="shared" ca="1" si="95"/>
        <v>112412</v>
      </c>
      <c r="O141" s="568">
        <f t="shared" ca="1" si="90"/>
        <v>68.25258044930176</v>
      </c>
      <c r="P141" s="568">
        <f t="shared" ca="1" si="91"/>
        <v>70.38948027551659</v>
      </c>
      <c r="Q141" s="568">
        <f t="shared" ca="1" si="96"/>
        <v>178860</v>
      </c>
      <c r="R141" s="568">
        <f t="shared" ca="1" si="96"/>
        <v>0</v>
      </c>
      <c r="S141" s="568">
        <f t="shared" ca="1" si="96"/>
        <v>0</v>
      </c>
      <c r="T141" s="568">
        <f t="shared" ca="1" si="93"/>
        <v>0</v>
      </c>
      <c r="U141" s="568">
        <f t="shared" ca="1" si="94"/>
        <v>0</v>
      </c>
    </row>
    <row r="142" spans="1:21" ht="18.75" x14ac:dyDescent="0.25">
      <c r="A142" s="674"/>
      <c r="B142" s="561"/>
      <c r="C142" s="561"/>
      <c r="D142" s="562" t="s">
        <v>22</v>
      </c>
      <c r="E142" s="561"/>
      <c r="F142" s="561"/>
      <c r="G142" s="563"/>
      <c r="H142" s="682" t="s">
        <v>14</v>
      </c>
      <c r="I142" s="683"/>
      <c r="J142" s="683"/>
      <c r="K142" s="684"/>
      <c r="L142" s="567">
        <f t="shared" ref="L142:N142" ca="1" si="97">L143+L144</f>
        <v>164700</v>
      </c>
      <c r="M142" s="568">
        <f t="shared" ca="1" si="97"/>
        <v>159700</v>
      </c>
      <c r="N142" s="568">
        <f t="shared" ca="1" si="97"/>
        <v>112412</v>
      </c>
      <c r="O142" s="568">
        <f t="shared" ca="1" si="90"/>
        <v>68.25258044930176</v>
      </c>
      <c r="P142" s="568">
        <f t="shared" ca="1" si="91"/>
        <v>70.38948027551659</v>
      </c>
      <c r="Q142" s="568">
        <f t="shared" ref="Q142:S142" ca="1" si="98">Q143+Q144</f>
        <v>178860</v>
      </c>
      <c r="R142" s="568">
        <f t="shared" ca="1" si="98"/>
        <v>0</v>
      </c>
      <c r="S142" s="568">
        <f t="shared" ca="1" si="98"/>
        <v>0</v>
      </c>
      <c r="T142" s="568">
        <f t="shared" ca="1" si="93"/>
        <v>0</v>
      </c>
      <c r="U142" s="568">
        <f t="shared" ca="1" si="94"/>
        <v>0</v>
      </c>
    </row>
    <row r="143" spans="1:21" ht="18.75" x14ac:dyDescent="0.25">
      <c r="A143" s="674"/>
      <c r="B143" s="561"/>
      <c r="C143" s="561"/>
      <c r="D143" s="561"/>
      <c r="E143" s="569" t="s">
        <v>36</v>
      </c>
      <c r="F143" s="561"/>
      <c r="G143" s="563"/>
      <c r="H143" s="685" t="s">
        <v>14</v>
      </c>
      <c r="I143" s="683"/>
      <c r="J143" s="683"/>
      <c r="K143" s="684"/>
      <c r="L143" s="571">
        <v>0</v>
      </c>
      <c r="M143" s="572">
        <v>0</v>
      </c>
      <c r="N143" s="572">
        <v>0</v>
      </c>
      <c r="O143" s="572">
        <f t="shared" si="90"/>
        <v>0</v>
      </c>
      <c r="P143" s="572">
        <f t="shared" si="91"/>
        <v>0</v>
      </c>
      <c r="Q143" s="572">
        <v>0</v>
      </c>
      <c r="R143" s="572">
        <v>0</v>
      </c>
      <c r="S143" s="572">
        <v>0</v>
      </c>
      <c r="T143" s="572">
        <f t="shared" si="93"/>
        <v>0</v>
      </c>
      <c r="U143" s="572">
        <f t="shared" si="94"/>
        <v>0</v>
      </c>
    </row>
    <row r="144" spans="1:21" ht="18.75" x14ac:dyDescent="0.25">
      <c r="A144" s="674"/>
      <c r="B144" s="561"/>
      <c r="C144" s="561"/>
      <c r="D144" s="561"/>
      <c r="E144" s="573" t="s">
        <v>37</v>
      </c>
      <c r="F144" s="561"/>
      <c r="G144" s="563"/>
      <c r="H144" s="682" t="s">
        <v>14</v>
      </c>
      <c r="I144" s="683"/>
      <c r="J144" s="683"/>
      <c r="K144" s="684"/>
      <c r="L144" s="567">
        <f ca="1">IFERROR(__xludf.DUMMYFUNCTION("IMPORTRANGE(""https://docs.google.com/spreadsheets/d/1-uDff_7J0KD5mKrp0Vvzr7lt3OU09vwQwhkpOPPYv2Y/edit?usp=sharing"",""งบพรบ!BQ24"")"),164700)</f>
        <v>164700</v>
      </c>
      <c r="M144" s="568">
        <f ca="1">IFERROR(__xludf.DUMMYFUNCTION("IMPORTRANGE(""https://docs.google.com/spreadsheets/d/1-uDff_7J0KD5mKrp0Vvzr7lt3OU09vwQwhkpOPPYv2Y/edit?usp=sharing"",""งบพรบ!BV24"")"),159700)</f>
        <v>159700</v>
      </c>
      <c r="N144" s="568">
        <f ca="1">IFERROR(__xludf.DUMMYFUNCTION("IMPORTRANGE(""https://docs.google.com/spreadsheets/d/1-uDff_7J0KD5mKrp0Vvzr7lt3OU09vwQwhkpOPPYv2Y/edit?usp=sharing"",""งบพรบ!BX24"")"),112412)</f>
        <v>112412</v>
      </c>
      <c r="O144" s="568">
        <f t="shared" ca="1" si="90"/>
        <v>68.25258044930176</v>
      </c>
      <c r="P144" s="568">
        <f t="shared" ca="1" si="91"/>
        <v>70.38948027551659</v>
      </c>
      <c r="Q144" s="568">
        <f ca="1">IFERROR(__xludf.DUMMYFUNCTION("IMPORTRANGE(""https://docs.google.com/spreadsheets/d/1ItG2mGa2ceCfYo0BwxsXqNm01IGEUdYcSSLTEv9YCik/edit?usp=sharing"",""เบิกจ่ายกองทุน!CF24"")"),178860)</f>
        <v>178860</v>
      </c>
      <c r="R144" s="568">
        <f ca="1">IFERROR(__xludf.DUMMYFUNCTION("IMPORTRANGE(""https://docs.google.com/spreadsheets/d/1ItG2mGa2ceCfYo0BwxsXqNm01IGEUdYcSSLTEv9YCik/edit?usp=sharing"",""เบิกจ่ายกองทุน!CG24"")"),0)</f>
        <v>0</v>
      </c>
      <c r="S144" s="568">
        <f ca="1">IFERROR(__xludf.DUMMYFUNCTION("IMPORTRANGE(""https://docs.google.com/spreadsheets/d/1ItG2mGa2ceCfYo0BwxsXqNm01IGEUdYcSSLTEv9YCik/edit?usp=sharing"",""เบิกจ่ายกองทุน!CH24"")"),0)</f>
        <v>0</v>
      </c>
      <c r="T144" s="568">
        <f t="shared" ca="1" si="93"/>
        <v>0</v>
      </c>
      <c r="U144" s="568">
        <f t="shared" ca="1" si="94"/>
        <v>0</v>
      </c>
    </row>
    <row r="145" spans="1:21" ht="18.75" x14ac:dyDescent="0.25">
      <c r="A145" s="674"/>
      <c r="B145" s="561"/>
      <c r="C145" s="561"/>
      <c r="D145" s="562" t="s">
        <v>23</v>
      </c>
      <c r="E145" s="561"/>
      <c r="F145" s="561"/>
      <c r="G145" s="563"/>
      <c r="H145" s="686" t="s">
        <v>14</v>
      </c>
      <c r="I145" s="683"/>
      <c r="J145" s="683"/>
      <c r="K145" s="684"/>
      <c r="L145" s="567">
        <f t="shared" ref="L145:N145" ca="1" si="99">L146+L147</f>
        <v>0</v>
      </c>
      <c r="M145" s="568">
        <f t="shared" ca="1" si="99"/>
        <v>0</v>
      </c>
      <c r="N145" s="568">
        <f t="shared" ca="1" si="99"/>
        <v>0</v>
      </c>
      <c r="O145" s="568">
        <f t="shared" ca="1" si="90"/>
        <v>0</v>
      </c>
      <c r="P145" s="568">
        <f t="shared" ca="1" si="91"/>
        <v>0</v>
      </c>
      <c r="Q145" s="568">
        <f t="shared" ref="Q145:S145" ca="1" si="100">Q146+Q147</f>
        <v>0</v>
      </c>
      <c r="R145" s="568">
        <f t="shared" ca="1" si="100"/>
        <v>0</v>
      </c>
      <c r="S145" s="568">
        <f t="shared" ca="1" si="100"/>
        <v>0</v>
      </c>
      <c r="T145" s="568">
        <f t="shared" ca="1" si="93"/>
        <v>0</v>
      </c>
      <c r="U145" s="568">
        <f t="shared" ca="1" si="94"/>
        <v>0</v>
      </c>
    </row>
    <row r="146" spans="1:21" ht="18.75" x14ac:dyDescent="0.25">
      <c r="A146" s="674"/>
      <c r="B146" s="561"/>
      <c r="C146" s="561"/>
      <c r="D146" s="561"/>
      <c r="E146" s="569" t="s">
        <v>20</v>
      </c>
      <c r="F146" s="561"/>
      <c r="G146" s="563"/>
      <c r="H146" s="685" t="s">
        <v>14</v>
      </c>
      <c r="I146" s="683"/>
      <c r="J146" s="683"/>
      <c r="K146" s="684"/>
      <c r="L146" s="571">
        <v>0</v>
      </c>
      <c r="M146" s="572">
        <v>0</v>
      </c>
      <c r="N146" s="572">
        <v>0</v>
      </c>
      <c r="O146" s="572">
        <f t="shared" si="90"/>
        <v>0</v>
      </c>
      <c r="P146" s="572">
        <f t="shared" si="91"/>
        <v>0</v>
      </c>
      <c r="Q146" s="572">
        <v>0</v>
      </c>
      <c r="R146" s="572">
        <v>0</v>
      </c>
      <c r="S146" s="572">
        <v>0</v>
      </c>
      <c r="T146" s="572">
        <f t="shared" si="93"/>
        <v>0</v>
      </c>
      <c r="U146" s="572">
        <f t="shared" si="94"/>
        <v>0</v>
      </c>
    </row>
    <row r="147" spans="1:21" ht="18.75" x14ac:dyDescent="0.25">
      <c r="A147" s="674"/>
      <c r="B147" s="561"/>
      <c r="C147" s="561"/>
      <c r="D147" s="561"/>
      <c r="E147" s="573" t="s">
        <v>21</v>
      </c>
      <c r="F147" s="561"/>
      <c r="G147" s="563"/>
      <c r="H147" s="686" t="s">
        <v>14</v>
      </c>
      <c r="I147" s="683"/>
      <c r="J147" s="683"/>
      <c r="K147" s="684"/>
      <c r="L147" s="567">
        <f ca="1">IFERROR(__xludf.DUMMYFUNCTION("IMPORTRANGE(""https://docs.google.com/spreadsheets/d/1-uDff_7J0KD5mKrp0Vvzr7lt3OU09vwQwhkpOPPYv2Y/edit?usp=sharing"",""งบพรบ!BT24"")"),0)</f>
        <v>0</v>
      </c>
      <c r="M147" s="568">
        <f ca="1">IFERROR(__xludf.DUMMYFUNCTION("IMPORTRANGE(""https://docs.google.com/spreadsheets/d/1-uDff_7J0KD5mKrp0Vvzr7lt3OU09vwQwhkpOPPYv2Y/edit?usp=sharing"",""งบพรบ!BW24"")"),0)</f>
        <v>0</v>
      </c>
      <c r="N147" s="568">
        <f ca="1">IFERROR(__xludf.DUMMYFUNCTION("IMPORTRANGE(""https://docs.google.com/spreadsheets/d/1-uDff_7J0KD5mKrp0Vvzr7lt3OU09vwQwhkpOPPYv2Y/edit?usp=sharing"",""งบพรบ!BY24"")"),0)</f>
        <v>0</v>
      </c>
      <c r="O147" s="568">
        <f t="shared" ca="1" si="90"/>
        <v>0</v>
      </c>
      <c r="P147" s="568">
        <f t="shared" ca="1" si="91"/>
        <v>0</v>
      </c>
      <c r="Q147" s="568">
        <f ca="1">IFERROR(__xludf.DUMMYFUNCTION("IMPORTRANGE(""https://docs.google.com/spreadsheets/d/1ItG2mGa2ceCfYo0BwxsXqNm01IGEUdYcSSLTEv9YCik/edit?usp=sharing"",""เบิกจ่ายกองทุน!CI24"")"),0)</f>
        <v>0</v>
      </c>
      <c r="R147" s="568">
        <f ca="1">IFERROR(__xludf.DUMMYFUNCTION("IMPORTRANGE(""https://docs.google.com/spreadsheets/d/1ItG2mGa2ceCfYo0BwxsXqNm01IGEUdYcSSLTEv9YCik/edit?usp=sharing"",""เบิกจ่ายกองทุน!CJ24"")"),0)</f>
        <v>0</v>
      </c>
      <c r="S147" s="568">
        <f ca="1">IFERROR(__xludf.DUMMYFUNCTION("IMPORTRANGE(""https://docs.google.com/spreadsheets/d/1ItG2mGa2ceCfYo0BwxsXqNm01IGEUdYcSSLTEv9YCik/edit?usp=sharing"",""เบิกจ่ายกองทุน!CK24"")"),0)</f>
        <v>0</v>
      </c>
      <c r="T147" s="568">
        <f t="shared" ca="1" si="93"/>
        <v>0</v>
      </c>
      <c r="U147" s="568">
        <f t="shared" ca="1" si="94"/>
        <v>0</v>
      </c>
    </row>
    <row r="148" spans="1:21" ht="19.5" x14ac:dyDescent="0.3">
      <c r="A148" s="687"/>
      <c r="B148" s="688"/>
      <c r="C148" s="675" t="s">
        <v>18</v>
      </c>
      <c r="D148" s="689" t="s">
        <v>38</v>
      </c>
      <c r="E148" s="690"/>
      <c r="F148" s="690"/>
      <c r="G148" s="691"/>
      <c r="H148" s="725"/>
      <c r="I148" s="565"/>
      <c r="J148" s="565"/>
      <c r="K148" s="566"/>
      <c r="L148" s="574"/>
      <c r="M148" s="566"/>
      <c r="N148" s="566"/>
      <c r="O148" s="566"/>
      <c r="P148" s="566"/>
      <c r="Q148" s="566"/>
      <c r="R148" s="566"/>
      <c r="S148" s="566"/>
      <c r="T148" s="566"/>
      <c r="U148" s="566"/>
    </row>
    <row r="149" spans="1:21" ht="18.75" x14ac:dyDescent="0.25">
      <c r="A149" s="674"/>
      <c r="B149" s="561"/>
      <c r="C149" s="561"/>
      <c r="D149" s="573" t="s">
        <v>63</v>
      </c>
      <c r="E149" s="561"/>
      <c r="F149" s="561"/>
      <c r="G149" s="563"/>
      <c r="H149" s="725"/>
      <c r="I149" s="565"/>
      <c r="J149" s="702">
        <v>0</v>
      </c>
      <c r="K149" s="566"/>
      <c r="L149" s="574"/>
      <c r="M149" s="566"/>
      <c r="N149" s="566"/>
      <c r="O149" s="566"/>
      <c r="P149" s="566"/>
      <c r="Q149" s="566"/>
      <c r="R149" s="566"/>
      <c r="S149" s="566"/>
      <c r="T149" s="566"/>
      <c r="U149" s="566"/>
    </row>
    <row r="150" spans="1:21" ht="19.5" x14ac:dyDescent="0.3">
      <c r="A150" s="674"/>
      <c r="B150" s="561"/>
      <c r="C150" s="561"/>
      <c r="D150" s="695"/>
      <c r="E150" s="675" t="s">
        <v>299</v>
      </c>
      <c r="F150" s="561"/>
      <c r="G150" s="563"/>
      <c r="H150" s="686" t="s">
        <v>35</v>
      </c>
      <c r="I150" s="708">
        <f ca="1">IFERROR(__xludf.DUMMYFUNCTION("IMPORTRANGE(""https://docs.google.com/spreadsheets/d/1eHaY18a8A9IcSdp1K8H6x8fbOy06t2VsZHhMHf-1x7Y/edit?usp=sharing"",""แผน!U24"")"),10)</f>
        <v>10</v>
      </c>
      <c r="J150" s="702">
        <v>10</v>
      </c>
      <c r="K150" s="568">
        <f t="shared" ref="K150:K154" ca="1" si="101">IF(I150&gt;0,J150*100/I150,0)</f>
        <v>100</v>
      </c>
      <c r="L150" s="574"/>
      <c r="M150" s="566"/>
      <c r="N150" s="566"/>
      <c r="O150" s="566"/>
      <c r="P150" s="566"/>
      <c r="Q150" s="566"/>
      <c r="R150" s="566"/>
      <c r="S150" s="566"/>
      <c r="T150" s="566"/>
      <c r="U150" s="566"/>
    </row>
    <row r="151" spans="1:21" ht="18.75" x14ac:dyDescent="0.25">
      <c r="A151" s="674"/>
      <c r="B151" s="561"/>
      <c r="C151" s="561"/>
      <c r="D151" s="695"/>
      <c r="E151" s="561"/>
      <c r="F151" s="561"/>
      <c r="G151" s="563"/>
      <c r="H151" s="686" t="s">
        <v>54</v>
      </c>
      <c r="I151" s="708">
        <f ca="1">IFERROR(__xludf.DUMMYFUNCTION("IMPORTRANGE(""https://docs.google.com/spreadsheets/d/1eHaY18a8A9IcSdp1K8H6x8fbOy06t2VsZHhMHf-1x7Y/edit?usp=sharing"",""แผน!V24"")"),1)</f>
        <v>1</v>
      </c>
      <c r="J151" s="702">
        <v>1</v>
      </c>
      <c r="K151" s="568">
        <f t="shared" ca="1" si="101"/>
        <v>100</v>
      </c>
      <c r="L151" s="574"/>
      <c r="M151" s="566"/>
      <c r="N151" s="566"/>
      <c r="O151" s="566"/>
      <c r="P151" s="566"/>
      <c r="Q151" s="566"/>
      <c r="R151" s="566"/>
      <c r="S151" s="566"/>
      <c r="T151" s="566"/>
      <c r="U151" s="566"/>
    </row>
    <row r="152" spans="1:21" ht="19.5" x14ac:dyDescent="0.3">
      <c r="A152" s="674"/>
      <c r="B152" s="561"/>
      <c r="C152" s="561"/>
      <c r="D152" s="695"/>
      <c r="E152" s="675" t="s">
        <v>300</v>
      </c>
      <c r="F152" s="561"/>
      <c r="G152" s="563"/>
      <c r="H152" s="686" t="s">
        <v>35</v>
      </c>
      <c r="I152" s="708">
        <f ca="1">IFERROR(__xludf.DUMMYFUNCTION("IMPORTRANGE(""https://docs.google.com/spreadsheets/d/1eHaY18a8A9IcSdp1K8H6x8fbOy06t2VsZHhMHf-1x7Y/edit?usp=sharing"",""แผน!W24"")"),60)</f>
        <v>60</v>
      </c>
      <c r="J152" s="702">
        <v>60</v>
      </c>
      <c r="K152" s="568">
        <f t="shared" ca="1" si="101"/>
        <v>100</v>
      </c>
      <c r="L152" s="574"/>
      <c r="M152" s="566"/>
      <c r="N152" s="566"/>
      <c r="O152" s="566"/>
      <c r="P152" s="566"/>
      <c r="Q152" s="566"/>
      <c r="R152" s="566"/>
      <c r="S152" s="566"/>
      <c r="T152" s="566"/>
      <c r="U152" s="566"/>
    </row>
    <row r="153" spans="1:21" ht="18.75" x14ac:dyDescent="0.25">
      <c r="A153" s="674"/>
      <c r="B153" s="561"/>
      <c r="C153" s="561"/>
      <c r="D153" s="561"/>
      <c r="E153" s="561"/>
      <c r="F153" s="561"/>
      <c r="G153" s="563"/>
      <c r="H153" s="686" t="s">
        <v>54</v>
      </c>
      <c r="I153" s="708">
        <f ca="1">IFERROR(__xludf.DUMMYFUNCTION("IMPORTRANGE(""https://docs.google.com/spreadsheets/d/1eHaY18a8A9IcSdp1K8H6x8fbOy06t2VsZHhMHf-1x7Y/edit?usp=sharing"",""แผน!X24"")"),6)</f>
        <v>6</v>
      </c>
      <c r="J153" s="702">
        <v>6</v>
      </c>
      <c r="K153" s="568">
        <f t="shared" ca="1" si="101"/>
        <v>100</v>
      </c>
      <c r="L153" s="574"/>
      <c r="M153" s="566"/>
      <c r="N153" s="566"/>
      <c r="O153" s="566"/>
      <c r="P153" s="566"/>
      <c r="Q153" s="566"/>
      <c r="R153" s="566"/>
      <c r="S153" s="566"/>
      <c r="T153" s="566"/>
      <c r="U153" s="566"/>
    </row>
    <row r="154" spans="1:21" ht="18.75" x14ac:dyDescent="0.25">
      <c r="A154" s="674"/>
      <c r="B154" s="561"/>
      <c r="C154" s="561"/>
      <c r="D154" s="573" t="s">
        <v>66</v>
      </c>
      <c r="E154" s="561"/>
      <c r="F154" s="561"/>
      <c r="G154" s="563"/>
      <c r="H154" s="686" t="s">
        <v>61</v>
      </c>
      <c r="I154" s="708">
        <f ca="1">IFERROR(__xludf.DUMMYFUNCTION("IMPORTRANGE(""https://docs.google.com/spreadsheets/d/1eHaY18a8A9IcSdp1K8H6x8fbOy06t2VsZHhMHf-1x7Y/edit?usp=sharing"",""แผน!Y24"")"),1)</f>
        <v>1</v>
      </c>
      <c r="J154" s="702">
        <v>0</v>
      </c>
      <c r="K154" s="568">
        <f t="shared" ca="1" si="101"/>
        <v>0</v>
      </c>
      <c r="L154" s="574"/>
      <c r="M154" s="566"/>
      <c r="N154" s="566"/>
      <c r="O154" s="566"/>
      <c r="P154" s="566"/>
      <c r="Q154" s="566"/>
      <c r="R154" s="566"/>
      <c r="S154" s="566"/>
      <c r="T154" s="566"/>
      <c r="U154" s="566"/>
    </row>
    <row r="155" spans="1:21" ht="19.5" x14ac:dyDescent="0.3">
      <c r="A155" s="662" t="s">
        <v>67</v>
      </c>
      <c r="B155" s="663"/>
      <c r="C155" s="729"/>
      <c r="D155" s="663"/>
      <c r="E155" s="663"/>
      <c r="F155" s="663"/>
      <c r="G155" s="663"/>
      <c r="H155" s="663"/>
      <c r="I155" s="730"/>
      <c r="J155" s="730"/>
      <c r="K155" s="731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</row>
    <row r="156" spans="1:21" ht="19.5" x14ac:dyDescent="0.3">
      <c r="A156" s="669"/>
      <c r="B156" s="544" t="s">
        <v>68</v>
      </c>
      <c r="C156" s="543"/>
      <c r="D156" s="543"/>
      <c r="E156" s="543"/>
      <c r="F156" s="543"/>
      <c r="G156" s="546"/>
      <c r="H156" s="717" t="s">
        <v>35</v>
      </c>
      <c r="I156" s="672">
        <f t="shared" ref="I156:J156" ca="1" si="102">I169</f>
        <v>0</v>
      </c>
      <c r="J156" s="672">
        <f t="shared" si="102"/>
        <v>0</v>
      </c>
      <c r="K156" s="551">
        <f ca="1">IF(I156&gt;0,J156*100/I156,0)</f>
        <v>0</v>
      </c>
      <c r="L156" s="673"/>
      <c r="M156" s="549"/>
      <c r="N156" s="549"/>
      <c r="O156" s="549"/>
      <c r="P156" s="549"/>
      <c r="Q156" s="549"/>
      <c r="R156" s="549"/>
      <c r="S156" s="549"/>
      <c r="T156" s="549"/>
      <c r="U156" s="549"/>
    </row>
    <row r="157" spans="1:21" ht="19.5" x14ac:dyDescent="0.3">
      <c r="A157" s="674"/>
      <c r="B157" s="561"/>
      <c r="C157" s="675" t="s">
        <v>18</v>
      </c>
      <c r="D157" s="676" t="s">
        <v>19</v>
      </c>
      <c r="E157" s="561"/>
      <c r="F157" s="561"/>
      <c r="G157" s="563"/>
      <c r="H157" s="677" t="s">
        <v>14</v>
      </c>
      <c r="I157" s="565"/>
      <c r="J157" s="565"/>
      <c r="K157" s="566"/>
      <c r="L157" s="678">
        <f t="shared" ref="L157:N157" ca="1" si="103">L158+L159</f>
        <v>0</v>
      </c>
      <c r="M157" s="679">
        <f t="shared" ca="1" si="103"/>
        <v>1360</v>
      </c>
      <c r="N157" s="679">
        <f t="shared" ca="1" si="103"/>
        <v>0</v>
      </c>
      <c r="O157" s="679">
        <f t="shared" ref="O157:O165" ca="1" si="104">IF(L157&gt;0,N157*100/L157,0)</f>
        <v>0</v>
      </c>
      <c r="P157" s="679">
        <f t="shared" ref="P157:P165" ca="1" si="105">IF(M157&gt;0,N157*100/M157,0)</f>
        <v>0</v>
      </c>
      <c r="Q157" s="679">
        <f t="shared" ref="Q157:S157" ca="1" si="106">Q158+Q159</f>
        <v>0</v>
      </c>
      <c r="R157" s="679">
        <f t="shared" ca="1" si="106"/>
        <v>0</v>
      </c>
      <c r="S157" s="679">
        <f t="shared" ca="1" si="106"/>
        <v>0</v>
      </c>
      <c r="T157" s="679">
        <f t="shared" ref="T157:T165" ca="1" si="107">IF(Q157&gt;0,S157*100/Q157,0)</f>
        <v>0</v>
      </c>
      <c r="U157" s="679">
        <f t="shared" ref="U157:U165" ca="1" si="108">IF(R157&gt;0,S157*100/R157,0)</f>
        <v>0</v>
      </c>
    </row>
    <row r="158" spans="1:21" ht="18.75" x14ac:dyDescent="0.25">
      <c r="A158" s="674"/>
      <c r="B158" s="561"/>
      <c r="C158" s="561"/>
      <c r="D158" s="561"/>
      <c r="E158" s="569" t="s">
        <v>20</v>
      </c>
      <c r="F158" s="561"/>
      <c r="G158" s="563"/>
      <c r="H158" s="680" t="s">
        <v>14</v>
      </c>
      <c r="I158" s="565"/>
      <c r="J158" s="565"/>
      <c r="K158" s="566"/>
      <c r="L158" s="571">
        <f t="shared" ref="L158:N159" si="109">L161+L164</f>
        <v>0</v>
      </c>
      <c r="M158" s="572">
        <f t="shared" si="109"/>
        <v>0</v>
      </c>
      <c r="N158" s="572">
        <f t="shared" si="109"/>
        <v>0</v>
      </c>
      <c r="O158" s="572">
        <f t="shared" si="104"/>
        <v>0</v>
      </c>
      <c r="P158" s="572">
        <f t="shared" si="105"/>
        <v>0</v>
      </c>
      <c r="Q158" s="572">
        <f t="shared" ref="Q158:S159" si="110">Q161+Q164</f>
        <v>0</v>
      </c>
      <c r="R158" s="572">
        <f t="shared" si="110"/>
        <v>0</v>
      </c>
      <c r="S158" s="572">
        <f t="shared" si="110"/>
        <v>0</v>
      </c>
      <c r="T158" s="572">
        <f t="shared" si="107"/>
        <v>0</v>
      </c>
      <c r="U158" s="572">
        <f t="shared" si="108"/>
        <v>0</v>
      </c>
    </row>
    <row r="159" spans="1:21" ht="18.75" x14ac:dyDescent="0.25">
      <c r="A159" s="674"/>
      <c r="B159" s="561"/>
      <c r="C159" s="561"/>
      <c r="D159" s="561"/>
      <c r="E159" s="573" t="s">
        <v>21</v>
      </c>
      <c r="F159" s="561"/>
      <c r="G159" s="563"/>
      <c r="H159" s="681" t="s">
        <v>14</v>
      </c>
      <c r="I159" s="565"/>
      <c r="J159" s="565"/>
      <c r="K159" s="566"/>
      <c r="L159" s="567">
        <f t="shared" ca="1" si="109"/>
        <v>0</v>
      </c>
      <c r="M159" s="568">
        <f t="shared" ca="1" si="109"/>
        <v>1360</v>
      </c>
      <c r="N159" s="568">
        <f t="shared" ca="1" si="109"/>
        <v>0</v>
      </c>
      <c r="O159" s="568">
        <f t="shared" ca="1" si="104"/>
        <v>0</v>
      </c>
      <c r="P159" s="568">
        <f t="shared" ca="1" si="105"/>
        <v>0</v>
      </c>
      <c r="Q159" s="568">
        <f t="shared" ca="1" si="110"/>
        <v>0</v>
      </c>
      <c r="R159" s="568">
        <f t="shared" ca="1" si="110"/>
        <v>0</v>
      </c>
      <c r="S159" s="568">
        <f t="shared" ca="1" si="110"/>
        <v>0</v>
      </c>
      <c r="T159" s="568">
        <f t="shared" ca="1" si="107"/>
        <v>0</v>
      </c>
      <c r="U159" s="568">
        <f t="shared" ca="1" si="108"/>
        <v>0</v>
      </c>
    </row>
    <row r="160" spans="1:21" ht="18.75" x14ac:dyDescent="0.25">
      <c r="A160" s="674"/>
      <c r="B160" s="561"/>
      <c r="C160" s="561"/>
      <c r="D160" s="562" t="s">
        <v>22</v>
      </c>
      <c r="E160" s="561"/>
      <c r="F160" s="561"/>
      <c r="G160" s="563"/>
      <c r="H160" s="682" t="s">
        <v>14</v>
      </c>
      <c r="I160" s="683"/>
      <c r="J160" s="683"/>
      <c r="K160" s="684"/>
      <c r="L160" s="567">
        <f t="shared" ref="L160:N160" ca="1" si="111">L161+L162</f>
        <v>0</v>
      </c>
      <c r="M160" s="568">
        <f t="shared" ca="1" si="111"/>
        <v>1360</v>
      </c>
      <c r="N160" s="568">
        <f t="shared" ca="1" si="111"/>
        <v>0</v>
      </c>
      <c r="O160" s="568">
        <f t="shared" ca="1" si="104"/>
        <v>0</v>
      </c>
      <c r="P160" s="568">
        <f t="shared" ca="1" si="105"/>
        <v>0</v>
      </c>
      <c r="Q160" s="568">
        <f t="shared" ref="Q160:S160" ca="1" si="112">Q161+Q162</f>
        <v>0</v>
      </c>
      <c r="R160" s="568">
        <f t="shared" ca="1" si="112"/>
        <v>0</v>
      </c>
      <c r="S160" s="568">
        <f t="shared" ca="1" si="112"/>
        <v>0</v>
      </c>
      <c r="T160" s="568">
        <f t="shared" ca="1" si="107"/>
        <v>0</v>
      </c>
      <c r="U160" s="568">
        <f t="shared" ca="1" si="108"/>
        <v>0</v>
      </c>
    </row>
    <row r="161" spans="1:21" ht="18.75" x14ac:dyDescent="0.25">
      <c r="A161" s="674"/>
      <c r="B161" s="561"/>
      <c r="C161" s="561"/>
      <c r="D161" s="561"/>
      <c r="E161" s="569" t="s">
        <v>36</v>
      </c>
      <c r="F161" s="561"/>
      <c r="G161" s="563"/>
      <c r="H161" s="685" t="s">
        <v>14</v>
      </c>
      <c r="I161" s="683"/>
      <c r="J161" s="683"/>
      <c r="K161" s="684"/>
      <c r="L161" s="571">
        <v>0</v>
      </c>
      <c r="M161" s="572">
        <v>0</v>
      </c>
      <c r="N161" s="572">
        <v>0</v>
      </c>
      <c r="O161" s="572">
        <f t="shared" si="104"/>
        <v>0</v>
      </c>
      <c r="P161" s="572">
        <f t="shared" si="105"/>
        <v>0</v>
      </c>
      <c r="Q161" s="572">
        <v>0</v>
      </c>
      <c r="R161" s="572">
        <v>0</v>
      </c>
      <c r="S161" s="572">
        <v>0</v>
      </c>
      <c r="T161" s="572">
        <f t="shared" si="107"/>
        <v>0</v>
      </c>
      <c r="U161" s="572">
        <f t="shared" si="108"/>
        <v>0</v>
      </c>
    </row>
    <row r="162" spans="1:21" ht="18.75" x14ac:dyDescent="0.25">
      <c r="A162" s="674"/>
      <c r="B162" s="561"/>
      <c r="C162" s="561"/>
      <c r="D162" s="561"/>
      <c r="E162" s="573" t="s">
        <v>37</v>
      </c>
      <c r="F162" s="561"/>
      <c r="G162" s="563"/>
      <c r="H162" s="682" t="s">
        <v>14</v>
      </c>
      <c r="I162" s="683"/>
      <c r="J162" s="683"/>
      <c r="K162" s="684"/>
      <c r="L162" s="567">
        <f ca="1">IFERROR(__xludf.DUMMYFUNCTION("IMPORTRANGE(""https://docs.google.com/spreadsheets/d/1-uDff_7J0KD5mKrp0Vvzr7lt3OU09vwQwhkpOPPYv2Y/edit?usp=sharing"",""งบพรบ!CA24"")"),0)</f>
        <v>0</v>
      </c>
      <c r="M162" s="568">
        <f ca="1">IFERROR(__xludf.DUMMYFUNCTION("IMPORTRANGE(""https://docs.google.com/spreadsheets/d/1-uDff_7J0KD5mKrp0Vvzr7lt3OU09vwQwhkpOPPYv2Y/edit?usp=sharing"",""งบพรบ!CF24"")"),1360)</f>
        <v>1360</v>
      </c>
      <c r="N162" s="568">
        <f ca="1">IFERROR(__xludf.DUMMYFUNCTION("IMPORTRANGE(""https://docs.google.com/spreadsheets/d/1-uDff_7J0KD5mKrp0Vvzr7lt3OU09vwQwhkpOPPYv2Y/edit?usp=sharing"",""งบพรบ!CH24"")"),0)</f>
        <v>0</v>
      </c>
      <c r="O162" s="568">
        <f t="shared" ca="1" si="104"/>
        <v>0</v>
      </c>
      <c r="P162" s="568">
        <f t="shared" ca="1" si="105"/>
        <v>0</v>
      </c>
      <c r="Q162" s="568">
        <f ca="1">IFERROR(__xludf.DUMMYFUNCTION("IMPORTRANGE(""https://docs.google.com/spreadsheets/d/1ItG2mGa2ceCfYo0BwxsXqNm01IGEUdYcSSLTEv9YCik/edit?usp=sharing"",""เบิกจ่ายกองทุน!AM24"")"),0)</f>
        <v>0</v>
      </c>
      <c r="R162" s="568">
        <f ca="1">IFERROR(__xludf.DUMMYFUNCTION("IMPORTRANGE(""https://docs.google.com/spreadsheets/d/1ItG2mGa2ceCfYo0BwxsXqNm01IGEUdYcSSLTEv9YCik/edit?usp=sharing"",""เบิกจ่ายกองทุน!AN24"")"),0)</f>
        <v>0</v>
      </c>
      <c r="S162" s="568">
        <f ca="1">IFERROR(__xludf.DUMMYFUNCTION("IMPORTRANGE(""https://docs.google.com/spreadsheets/d/1ItG2mGa2ceCfYo0BwxsXqNm01IGEUdYcSSLTEv9YCik/edit?usp=sharing"",""เบิกจ่ายกองทุน!AO24"")"),0)</f>
        <v>0</v>
      </c>
      <c r="T162" s="568">
        <f t="shared" ca="1" si="107"/>
        <v>0</v>
      </c>
      <c r="U162" s="568">
        <f t="shared" ca="1" si="108"/>
        <v>0</v>
      </c>
    </row>
    <row r="163" spans="1:21" ht="18.75" x14ac:dyDescent="0.25">
      <c r="A163" s="674"/>
      <c r="B163" s="561"/>
      <c r="C163" s="561"/>
      <c r="D163" s="562" t="s">
        <v>23</v>
      </c>
      <c r="E163" s="561"/>
      <c r="F163" s="561"/>
      <c r="G163" s="563"/>
      <c r="H163" s="686" t="s">
        <v>14</v>
      </c>
      <c r="I163" s="683"/>
      <c r="J163" s="683"/>
      <c r="K163" s="684"/>
      <c r="L163" s="567">
        <f t="shared" ref="L163:N163" ca="1" si="113">L164+L165</f>
        <v>0</v>
      </c>
      <c r="M163" s="568">
        <f t="shared" ca="1" si="113"/>
        <v>0</v>
      </c>
      <c r="N163" s="568">
        <f t="shared" ca="1" si="113"/>
        <v>0</v>
      </c>
      <c r="O163" s="568">
        <f t="shared" ca="1" si="104"/>
        <v>0</v>
      </c>
      <c r="P163" s="568">
        <f t="shared" ca="1" si="105"/>
        <v>0</v>
      </c>
      <c r="Q163" s="568">
        <f t="shared" ref="Q163:S163" si="114">Q164+Q165</f>
        <v>0</v>
      </c>
      <c r="R163" s="568">
        <f t="shared" si="114"/>
        <v>0</v>
      </c>
      <c r="S163" s="568">
        <f t="shared" si="114"/>
        <v>0</v>
      </c>
      <c r="T163" s="568">
        <f t="shared" si="107"/>
        <v>0</v>
      </c>
      <c r="U163" s="568">
        <f t="shared" si="108"/>
        <v>0</v>
      </c>
    </row>
    <row r="164" spans="1:21" ht="18.75" x14ac:dyDescent="0.25">
      <c r="A164" s="674"/>
      <c r="B164" s="561"/>
      <c r="C164" s="561"/>
      <c r="D164" s="561"/>
      <c r="E164" s="569" t="s">
        <v>20</v>
      </c>
      <c r="F164" s="561"/>
      <c r="G164" s="563"/>
      <c r="H164" s="685" t="s">
        <v>14</v>
      </c>
      <c r="I164" s="683"/>
      <c r="J164" s="683"/>
      <c r="K164" s="684"/>
      <c r="L164" s="571">
        <v>0</v>
      </c>
      <c r="M164" s="572">
        <v>0</v>
      </c>
      <c r="N164" s="572">
        <v>0</v>
      </c>
      <c r="O164" s="572">
        <f t="shared" si="104"/>
        <v>0</v>
      </c>
      <c r="P164" s="572">
        <f t="shared" si="105"/>
        <v>0</v>
      </c>
      <c r="Q164" s="572">
        <v>0</v>
      </c>
      <c r="R164" s="572">
        <v>0</v>
      </c>
      <c r="S164" s="572">
        <v>0</v>
      </c>
      <c r="T164" s="572">
        <f t="shared" si="107"/>
        <v>0</v>
      </c>
      <c r="U164" s="572">
        <f t="shared" si="108"/>
        <v>0</v>
      </c>
    </row>
    <row r="165" spans="1:21" ht="18.75" x14ac:dyDescent="0.25">
      <c r="A165" s="674"/>
      <c r="B165" s="561"/>
      <c r="C165" s="561"/>
      <c r="D165" s="561"/>
      <c r="E165" s="573" t="s">
        <v>21</v>
      </c>
      <c r="F165" s="561"/>
      <c r="G165" s="563"/>
      <c r="H165" s="686" t="s">
        <v>14</v>
      </c>
      <c r="I165" s="683"/>
      <c r="J165" s="683"/>
      <c r="K165" s="684"/>
      <c r="L165" s="567">
        <f ca="1">IFERROR(__xludf.DUMMYFUNCTION("IMPORTRANGE(""https://docs.google.com/spreadsheets/d/1-uDff_7J0KD5mKrp0Vvzr7lt3OU09vwQwhkpOPPYv2Y/edit?usp=sharing"",""งบพรบ!CD24"")"),0)</f>
        <v>0</v>
      </c>
      <c r="M165" s="568">
        <f ca="1">IFERROR(__xludf.DUMMYFUNCTION("IMPORTRANGE(""https://docs.google.com/spreadsheets/d/1-uDff_7J0KD5mKrp0Vvzr7lt3OU09vwQwhkpOPPYv2Y/edit?usp=sharing"",""งบพรบ!CG24"")"),0)</f>
        <v>0</v>
      </c>
      <c r="N165" s="568">
        <f ca="1">IFERROR(__xludf.DUMMYFUNCTION("IMPORTRANGE(""https://docs.google.com/spreadsheets/d/1-uDff_7J0KD5mKrp0Vvzr7lt3OU09vwQwhkpOPPYv2Y/edit?usp=sharing"",""งบพรบ!CI24"")"),0)</f>
        <v>0</v>
      </c>
      <c r="O165" s="568">
        <f t="shared" ca="1" si="104"/>
        <v>0</v>
      </c>
      <c r="P165" s="568">
        <f t="shared" ca="1" si="105"/>
        <v>0</v>
      </c>
      <c r="Q165" s="568">
        <v>0</v>
      </c>
      <c r="R165" s="568">
        <v>0</v>
      </c>
      <c r="S165" s="568">
        <v>0</v>
      </c>
      <c r="T165" s="568">
        <f t="shared" si="107"/>
        <v>0</v>
      </c>
      <c r="U165" s="568">
        <f t="shared" si="108"/>
        <v>0</v>
      </c>
    </row>
    <row r="166" spans="1:21" ht="19.5" x14ac:dyDescent="0.3">
      <c r="A166" s="687"/>
      <c r="B166" s="688"/>
      <c r="C166" s="675" t="s">
        <v>18</v>
      </c>
      <c r="D166" s="689" t="s">
        <v>38</v>
      </c>
      <c r="E166" s="690"/>
      <c r="F166" s="690"/>
      <c r="G166" s="691"/>
      <c r="H166" s="725"/>
      <c r="I166" s="565"/>
      <c r="J166" s="565"/>
      <c r="K166" s="566"/>
      <c r="L166" s="574"/>
      <c r="M166" s="566"/>
      <c r="N166" s="566"/>
      <c r="O166" s="566"/>
      <c r="P166" s="566"/>
      <c r="Q166" s="566"/>
      <c r="R166" s="566"/>
      <c r="S166" s="566"/>
      <c r="T166" s="566"/>
      <c r="U166" s="566"/>
    </row>
    <row r="167" spans="1:21" ht="18.75" x14ac:dyDescent="0.25">
      <c r="A167" s="674"/>
      <c r="B167" s="561"/>
      <c r="C167" s="561"/>
      <c r="D167" s="573" t="s">
        <v>69</v>
      </c>
      <c r="E167" s="561"/>
      <c r="F167" s="561"/>
      <c r="G167" s="563"/>
      <c r="H167" s="686" t="s">
        <v>35</v>
      </c>
      <c r="I167" s="708">
        <f ca="1">IFERROR(__xludf.DUMMYFUNCTION("IMPORTRANGE(""https://docs.google.com/spreadsheets/d/1eHaY18a8A9IcSdp1K8H6x8fbOy06t2VsZHhMHf-1x7Y/edit?usp=sharing"",""แผน!Z24"")"),0)</f>
        <v>0</v>
      </c>
      <c r="J167" s="702">
        <v>0</v>
      </c>
      <c r="K167" s="568">
        <f t="shared" ref="K167:K169" ca="1" si="115">IF(I167&gt;0,J167*100/I167,0)</f>
        <v>0</v>
      </c>
      <c r="L167" s="574"/>
      <c r="M167" s="566"/>
      <c r="N167" s="566"/>
      <c r="O167" s="566"/>
      <c r="P167" s="566"/>
      <c r="Q167" s="566"/>
      <c r="R167" s="566"/>
      <c r="S167" s="566"/>
      <c r="T167" s="566"/>
      <c r="U167" s="566"/>
    </row>
    <row r="168" spans="1:21" ht="18.75" x14ac:dyDescent="0.25">
      <c r="A168" s="674"/>
      <c r="B168" s="561"/>
      <c r="C168" s="561"/>
      <c r="D168" s="569" t="s">
        <v>70</v>
      </c>
      <c r="E168" s="561"/>
      <c r="F168" s="561"/>
      <c r="G168" s="563"/>
      <c r="H168" s="734" t="s">
        <v>35</v>
      </c>
      <c r="I168" s="735">
        <f ca="1">IFERROR(__xludf.DUMMYFUNCTION("IMPORTRANGE(""https://docs.google.com/spreadsheets/d/1eHaY18a8A9IcSdp1K8H6x8fbOy06t2VsZHhMHf-1x7Y/edit?usp=sharing"",""แผน!Z24"")"),0)</f>
        <v>0</v>
      </c>
      <c r="J168" s="736">
        <v>0</v>
      </c>
      <c r="K168" s="572">
        <f t="shared" ca="1" si="115"/>
        <v>0</v>
      </c>
      <c r="L168" s="574"/>
      <c r="M168" s="566"/>
      <c r="N168" s="566"/>
      <c r="O168" s="566"/>
      <c r="P168" s="566"/>
      <c r="Q168" s="566"/>
      <c r="R168" s="566"/>
      <c r="S168" s="566"/>
      <c r="T168" s="566"/>
      <c r="U168" s="566"/>
    </row>
    <row r="169" spans="1:21" ht="18.75" x14ac:dyDescent="0.25">
      <c r="A169" s="737"/>
      <c r="B169" s="513"/>
      <c r="C169" s="513"/>
      <c r="D169" s="738" t="s">
        <v>71</v>
      </c>
      <c r="E169" s="513"/>
      <c r="F169" s="513"/>
      <c r="G169" s="577"/>
      <c r="H169" s="739" t="s">
        <v>35</v>
      </c>
      <c r="I169" s="740">
        <f ca="1">IFERROR(__xludf.DUMMYFUNCTION("IMPORTRANGE(""https://docs.google.com/spreadsheets/d/1eHaY18a8A9IcSdp1K8H6x8fbOy06t2VsZHhMHf-1x7Y/edit?usp=sharing"",""แผน!Z24"")"),0)</f>
        <v>0</v>
      </c>
      <c r="J169" s="741">
        <v>0</v>
      </c>
      <c r="K169" s="742">
        <f t="shared" ca="1" si="115"/>
        <v>0</v>
      </c>
      <c r="L169" s="581"/>
      <c r="M169" s="580"/>
      <c r="N169" s="580"/>
      <c r="O169" s="580"/>
      <c r="P169" s="580"/>
      <c r="Q169" s="580"/>
      <c r="R169" s="580"/>
      <c r="S169" s="580"/>
      <c r="T169" s="580"/>
      <c r="U169" s="580"/>
    </row>
    <row r="170" spans="1:21" ht="19.5" x14ac:dyDescent="0.3">
      <c r="A170" s="743" t="s">
        <v>72</v>
      </c>
      <c r="B170" s="744"/>
      <c r="C170" s="744"/>
      <c r="D170" s="744"/>
      <c r="E170" s="745"/>
      <c r="F170" s="745"/>
      <c r="G170" s="745"/>
      <c r="H170" s="745"/>
      <c r="I170" s="746"/>
      <c r="J170" s="746"/>
      <c r="K170" s="747"/>
      <c r="L170" s="747"/>
      <c r="M170" s="747"/>
      <c r="N170" s="747"/>
      <c r="O170" s="747"/>
      <c r="P170" s="748"/>
      <c r="Q170" s="747"/>
      <c r="R170" s="747"/>
      <c r="S170" s="747"/>
      <c r="T170" s="747"/>
      <c r="U170" s="748"/>
    </row>
    <row r="171" spans="1:21" ht="19.5" x14ac:dyDescent="0.3">
      <c r="A171" s="749" t="s">
        <v>73</v>
      </c>
      <c r="B171" s="750"/>
      <c r="C171" s="750"/>
      <c r="D171" s="751"/>
      <c r="E171" s="751"/>
      <c r="F171" s="751"/>
      <c r="G171" s="751"/>
      <c r="H171" s="752"/>
      <c r="I171" s="753"/>
      <c r="J171" s="753"/>
      <c r="K171" s="754"/>
      <c r="L171" s="755"/>
      <c r="M171" s="754"/>
      <c r="N171" s="754"/>
      <c r="O171" s="754"/>
      <c r="P171" s="754"/>
      <c r="Q171" s="754"/>
      <c r="R171" s="754"/>
      <c r="S171" s="754"/>
      <c r="T171" s="754"/>
      <c r="U171" s="754"/>
    </row>
    <row r="172" spans="1:21" ht="19.5" x14ac:dyDescent="0.3">
      <c r="A172" s="756"/>
      <c r="B172" s="757" t="s">
        <v>74</v>
      </c>
      <c r="C172" s="758"/>
      <c r="D172" s="690"/>
      <c r="E172" s="690"/>
      <c r="F172" s="690"/>
      <c r="G172" s="691"/>
      <c r="H172" s="759" t="s">
        <v>35</v>
      </c>
      <c r="I172" s="760">
        <f t="shared" ref="I172:J172" ca="1" si="116">I183+I184</f>
        <v>7</v>
      </c>
      <c r="J172" s="760">
        <f t="shared" si="116"/>
        <v>7</v>
      </c>
      <c r="K172" s="761">
        <f ca="1">IF(I172&gt;0,J172*100/I172,0)</f>
        <v>100</v>
      </c>
      <c r="L172" s="762"/>
      <c r="M172" s="763"/>
      <c r="N172" s="763"/>
      <c r="O172" s="763"/>
      <c r="P172" s="763"/>
      <c r="Q172" s="763"/>
      <c r="R172" s="763"/>
      <c r="S172" s="763"/>
      <c r="T172" s="763"/>
      <c r="U172" s="763"/>
    </row>
    <row r="173" spans="1:21" ht="19.5" x14ac:dyDescent="0.3">
      <c r="A173" s="674"/>
      <c r="B173" s="561"/>
      <c r="C173" s="675" t="s">
        <v>18</v>
      </c>
      <c r="D173" s="676" t="s">
        <v>19</v>
      </c>
      <c r="E173" s="561"/>
      <c r="F173" s="561"/>
      <c r="G173" s="563"/>
      <c r="H173" s="677" t="s">
        <v>14</v>
      </c>
      <c r="I173" s="565"/>
      <c r="J173" s="565"/>
      <c r="K173" s="566"/>
      <c r="L173" s="678">
        <f t="shared" ref="L173:N173" ca="1" si="117">L174+L175</f>
        <v>19590</v>
      </c>
      <c r="M173" s="679">
        <f t="shared" ca="1" si="117"/>
        <v>127740</v>
      </c>
      <c r="N173" s="679">
        <f t="shared" ca="1" si="117"/>
        <v>126600</v>
      </c>
      <c r="O173" s="679">
        <f t="shared" ref="O173:O181" ca="1" si="118">IF(L173&gt;0,N173*100/L173,0)</f>
        <v>646.24808575803979</v>
      </c>
      <c r="P173" s="679">
        <f t="shared" ref="P173:P181" ca="1" si="119">IF(M173&gt;0,N173*100/M173,0)</f>
        <v>99.107562235791448</v>
      </c>
      <c r="Q173" s="679">
        <f t="shared" ref="Q173:S173" ca="1" si="120">Q174+Q175</f>
        <v>0</v>
      </c>
      <c r="R173" s="679">
        <f t="shared" ca="1" si="120"/>
        <v>0</v>
      </c>
      <c r="S173" s="679">
        <f t="shared" ca="1" si="120"/>
        <v>0</v>
      </c>
      <c r="T173" s="679">
        <f t="shared" ref="T173:T181" ca="1" si="121">IF(Q173&gt;0,S173*100/Q173,0)</f>
        <v>0</v>
      </c>
      <c r="U173" s="679">
        <f t="shared" ref="U173:U181" ca="1" si="122">IF(R173&gt;0,S173*100/R173,0)</f>
        <v>0</v>
      </c>
    </row>
    <row r="174" spans="1:21" ht="18.75" x14ac:dyDescent="0.25">
      <c r="A174" s="674"/>
      <c r="B174" s="561"/>
      <c r="C174" s="561"/>
      <c r="D174" s="561"/>
      <c r="E174" s="569" t="s">
        <v>20</v>
      </c>
      <c r="F174" s="561"/>
      <c r="G174" s="563"/>
      <c r="H174" s="680" t="s">
        <v>14</v>
      </c>
      <c r="I174" s="565"/>
      <c r="J174" s="565"/>
      <c r="K174" s="566"/>
      <c r="L174" s="571">
        <f t="shared" ref="L174:N175" si="123">L177+L180</f>
        <v>0</v>
      </c>
      <c r="M174" s="572">
        <f t="shared" si="123"/>
        <v>0</v>
      </c>
      <c r="N174" s="572">
        <f t="shared" si="123"/>
        <v>0</v>
      </c>
      <c r="O174" s="572">
        <f t="shared" si="118"/>
        <v>0</v>
      </c>
      <c r="P174" s="572">
        <f t="shared" si="119"/>
        <v>0</v>
      </c>
      <c r="Q174" s="572">
        <f t="shared" ref="Q174:S175" si="124">Q177+Q180</f>
        <v>0</v>
      </c>
      <c r="R174" s="572">
        <f t="shared" si="124"/>
        <v>0</v>
      </c>
      <c r="S174" s="572">
        <f t="shared" si="124"/>
        <v>0</v>
      </c>
      <c r="T174" s="572">
        <f t="shared" si="121"/>
        <v>0</v>
      </c>
      <c r="U174" s="572">
        <f t="shared" si="122"/>
        <v>0</v>
      </c>
    </row>
    <row r="175" spans="1:21" ht="18.75" x14ac:dyDescent="0.25">
      <c r="A175" s="674"/>
      <c r="B175" s="561"/>
      <c r="C175" s="561"/>
      <c r="D175" s="561"/>
      <c r="E175" s="573" t="s">
        <v>21</v>
      </c>
      <c r="F175" s="561"/>
      <c r="G175" s="563"/>
      <c r="H175" s="681" t="s">
        <v>14</v>
      </c>
      <c r="I175" s="565"/>
      <c r="J175" s="565"/>
      <c r="K175" s="566"/>
      <c r="L175" s="567">
        <f t="shared" ca="1" si="123"/>
        <v>19590</v>
      </c>
      <c r="M175" s="568">
        <f t="shared" ca="1" si="123"/>
        <v>127740</v>
      </c>
      <c r="N175" s="568">
        <f t="shared" ca="1" si="123"/>
        <v>126600</v>
      </c>
      <c r="O175" s="568">
        <f t="shared" ca="1" si="118"/>
        <v>646.24808575803979</v>
      </c>
      <c r="P175" s="568">
        <f t="shared" ca="1" si="119"/>
        <v>99.107562235791448</v>
      </c>
      <c r="Q175" s="568">
        <f t="shared" ca="1" si="124"/>
        <v>0</v>
      </c>
      <c r="R175" s="568">
        <f t="shared" ca="1" si="124"/>
        <v>0</v>
      </c>
      <c r="S175" s="568">
        <f t="shared" ca="1" si="124"/>
        <v>0</v>
      </c>
      <c r="T175" s="568">
        <f t="shared" ca="1" si="121"/>
        <v>0</v>
      </c>
      <c r="U175" s="568">
        <f t="shared" ca="1" si="122"/>
        <v>0</v>
      </c>
    </row>
    <row r="176" spans="1:21" ht="18.75" x14ac:dyDescent="0.25">
      <c r="A176" s="674"/>
      <c r="B176" s="561"/>
      <c r="C176" s="561"/>
      <c r="D176" s="562" t="s">
        <v>22</v>
      </c>
      <c r="E176" s="561"/>
      <c r="F176" s="561"/>
      <c r="G176" s="563"/>
      <c r="H176" s="682" t="s">
        <v>14</v>
      </c>
      <c r="I176" s="683"/>
      <c r="J176" s="683"/>
      <c r="K176" s="684"/>
      <c r="L176" s="567">
        <f t="shared" ref="L176:N176" ca="1" si="125">L177+L178</f>
        <v>19590</v>
      </c>
      <c r="M176" s="568">
        <f t="shared" ca="1" si="125"/>
        <v>127740</v>
      </c>
      <c r="N176" s="568">
        <f t="shared" ca="1" si="125"/>
        <v>126600</v>
      </c>
      <c r="O176" s="568">
        <f t="shared" ca="1" si="118"/>
        <v>646.24808575803979</v>
      </c>
      <c r="P176" s="568">
        <f t="shared" ca="1" si="119"/>
        <v>99.107562235791448</v>
      </c>
      <c r="Q176" s="568">
        <f t="shared" ref="Q176:S176" ca="1" si="126">Q177+Q178</f>
        <v>0</v>
      </c>
      <c r="R176" s="568">
        <f t="shared" ca="1" si="126"/>
        <v>0</v>
      </c>
      <c r="S176" s="568">
        <f t="shared" ca="1" si="126"/>
        <v>0</v>
      </c>
      <c r="T176" s="568">
        <f t="shared" ca="1" si="121"/>
        <v>0</v>
      </c>
      <c r="U176" s="568">
        <f t="shared" ca="1" si="122"/>
        <v>0</v>
      </c>
    </row>
    <row r="177" spans="1:21" ht="18.75" x14ac:dyDescent="0.25">
      <c r="A177" s="674"/>
      <c r="B177" s="561"/>
      <c r="C177" s="561"/>
      <c r="D177" s="561"/>
      <c r="E177" s="569" t="s">
        <v>36</v>
      </c>
      <c r="F177" s="561"/>
      <c r="G177" s="563"/>
      <c r="H177" s="685" t="s">
        <v>14</v>
      </c>
      <c r="I177" s="683"/>
      <c r="J177" s="683"/>
      <c r="K177" s="684"/>
      <c r="L177" s="571">
        <v>0</v>
      </c>
      <c r="M177" s="572">
        <v>0</v>
      </c>
      <c r="N177" s="572">
        <v>0</v>
      </c>
      <c r="O177" s="572">
        <f t="shared" si="118"/>
        <v>0</v>
      </c>
      <c r="P177" s="572">
        <f t="shared" si="119"/>
        <v>0</v>
      </c>
      <c r="Q177" s="572">
        <v>0</v>
      </c>
      <c r="R177" s="572">
        <v>0</v>
      </c>
      <c r="S177" s="572">
        <v>0</v>
      </c>
      <c r="T177" s="572">
        <f t="shared" si="121"/>
        <v>0</v>
      </c>
      <c r="U177" s="572">
        <f t="shared" si="122"/>
        <v>0</v>
      </c>
    </row>
    <row r="178" spans="1:21" ht="18.75" x14ac:dyDescent="0.25">
      <c r="A178" s="674"/>
      <c r="B178" s="561"/>
      <c r="C178" s="561"/>
      <c r="D178" s="561"/>
      <c r="E178" s="573" t="s">
        <v>37</v>
      </c>
      <c r="F178" s="561"/>
      <c r="G178" s="563"/>
      <c r="H178" s="682" t="s">
        <v>14</v>
      </c>
      <c r="I178" s="683"/>
      <c r="J178" s="683"/>
      <c r="K178" s="684"/>
      <c r="L178" s="567">
        <f ca="1">IFERROR(__xludf.DUMMYFUNCTION("IMPORTRANGE(""https://docs.google.com/spreadsheets/d/1-uDff_7J0KD5mKrp0Vvzr7lt3OU09vwQwhkpOPPYv2Y/edit?usp=sharing"",""งบพรบ!CK24"")"),19590)</f>
        <v>19590</v>
      </c>
      <c r="M178" s="568">
        <f ca="1">IFERROR(__xludf.DUMMYFUNCTION("IMPORTRANGE(""https://docs.google.com/spreadsheets/d/1-uDff_7J0KD5mKrp0Vvzr7lt3OU09vwQwhkpOPPYv2Y/edit?usp=sharing"",""งบพรบ!CP24"")"),127740)</f>
        <v>127740</v>
      </c>
      <c r="N178" s="568">
        <f ca="1">IFERROR(__xludf.DUMMYFUNCTION("IMPORTRANGE(""https://docs.google.com/spreadsheets/d/1-uDff_7J0KD5mKrp0Vvzr7lt3OU09vwQwhkpOPPYv2Y/edit?usp=sharing"",""งบพรบ!CR24"")"),126600)</f>
        <v>126600</v>
      </c>
      <c r="O178" s="568">
        <f t="shared" ca="1" si="118"/>
        <v>646.24808575803979</v>
      </c>
      <c r="P178" s="568">
        <f t="shared" ca="1" si="119"/>
        <v>99.107562235791448</v>
      </c>
      <c r="Q178" s="568">
        <f ca="1">IFERROR(__xludf.DUMMYFUNCTION("IMPORTRANGE(""https://docs.google.com/spreadsheets/d/1ItG2mGa2ceCfYo0BwxsXqNm01IGEUdYcSSLTEv9YCik/edit?usp=sharing"",""เบิกจ่ายกองทุน!DG24"")"),0)</f>
        <v>0</v>
      </c>
      <c r="R178" s="568">
        <f ca="1">IFERROR(__xludf.DUMMYFUNCTION("IMPORTRANGE(""https://docs.google.com/spreadsheets/d/1ItG2mGa2ceCfYo0BwxsXqNm01IGEUdYcSSLTEv9YCik/edit?usp=sharing"",""เบิกจ่ายกองทุน!DH24"")"),0)</f>
        <v>0</v>
      </c>
      <c r="S178" s="568">
        <f ca="1">IFERROR(__xludf.DUMMYFUNCTION("IMPORTRANGE(""https://docs.google.com/spreadsheets/d/1ItG2mGa2ceCfYo0BwxsXqNm01IGEUdYcSSLTEv9YCik/edit?usp=sharing"",""เบิกจ่ายกองทุน!DI24"")"),0)</f>
        <v>0</v>
      </c>
      <c r="T178" s="568">
        <f t="shared" ca="1" si="121"/>
        <v>0</v>
      </c>
      <c r="U178" s="568">
        <f t="shared" ca="1" si="122"/>
        <v>0</v>
      </c>
    </row>
    <row r="179" spans="1:21" ht="18.75" x14ac:dyDescent="0.25">
      <c r="A179" s="674"/>
      <c r="B179" s="561"/>
      <c r="C179" s="561"/>
      <c r="D179" s="562" t="s">
        <v>23</v>
      </c>
      <c r="E179" s="561"/>
      <c r="F179" s="561"/>
      <c r="G179" s="563"/>
      <c r="H179" s="686" t="s">
        <v>14</v>
      </c>
      <c r="I179" s="683"/>
      <c r="J179" s="683"/>
      <c r="K179" s="684"/>
      <c r="L179" s="567">
        <f t="shared" ref="L179:N179" ca="1" si="127">L180+L181</f>
        <v>0</v>
      </c>
      <c r="M179" s="568">
        <f t="shared" ca="1" si="127"/>
        <v>0</v>
      </c>
      <c r="N179" s="568">
        <f t="shared" ca="1" si="127"/>
        <v>0</v>
      </c>
      <c r="O179" s="568">
        <f t="shared" ca="1" si="118"/>
        <v>0</v>
      </c>
      <c r="P179" s="568">
        <f t="shared" ca="1" si="119"/>
        <v>0</v>
      </c>
      <c r="Q179" s="568">
        <f t="shared" ref="Q179:S179" si="128">Q180+Q181</f>
        <v>0</v>
      </c>
      <c r="R179" s="568">
        <f t="shared" si="128"/>
        <v>0</v>
      </c>
      <c r="S179" s="568">
        <f t="shared" si="128"/>
        <v>0</v>
      </c>
      <c r="T179" s="568">
        <f t="shared" si="121"/>
        <v>0</v>
      </c>
      <c r="U179" s="568">
        <f t="shared" si="122"/>
        <v>0</v>
      </c>
    </row>
    <row r="180" spans="1:21" ht="18.75" x14ac:dyDescent="0.25">
      <c r="A180" s="674"/>
      <c r="B180" s="561"/>
      <c r="C180" s="561"/>
      <c r="D180" s="561"/>
      <c r="E180" s="569" t="s">
        <v>20</v>
      </c>
      <c r="F180" s="561"/>
      <c r="G180" s="563"/>
      <c r="H180" s="685" t="s">
        <v>14</v>
      </c>
      <c r="I180" s="683"/>
      <c r="J180" s="683"/>
      <c r="K180" s="684"/>
      <c r="L180" s="571">
        <v>0</v>
      </c>
      <c r="M180" s="572">
        <v>0</v>
      </c>
      <c r="N180" s="572">
        <v>0</v>
      </c>
      <c r="O180" s="572">
        <f t="shared" si="118"/>
        <v>0</v>
      </c>
      <c r="P180" s="572">
        <f t="shared" si="119"/>
        <v>0</v>
      </c>
      <c r="Q180" s="572">
        <v>0</v>
      </c>
      <c r="R180" s="572">
        <v>0</v>
      </c>
      <c r="S180" s="572">
        <v>0</v>
      </c>
      <c r="T180" s="572">
        <f t="shared" si="121"/>
        <v>0</v>
      </c>
      <c r="U180" s="572">
        <f t="shared" si="122"/>
        <v>0</v>
      </c>
    </row>
    <row r="181" spans="1:21" ht="18.75" x14ac:dyDescent="0.25">
      <c r="A181" s="674"/>
      <c r="B181" s="561"/>
      <c r="C181" s="561"/>
      <c r="D181" s="561"/>
      <c r="E181" s="573" t="s">
        <v>21</v>
      </c>
      <c r="F181" s="561"/>
      <c r="G181" s="563"/>
      <c r="H181" s="686" t="s">
        <v>14</v>
      </c>
      <c r="I181" s="683"/>
      <c r="J181" s="683"/>
      <c r="K181" s="684"/>
      <c r="L181" s="567">
        <f ca="1">IFERROR(__xludf.DUMMYFUNCTION("IMPORTRANGE(""https://docs.google.com/spreadsheets/d/1-uDff_7J0KD5mKrp0Vvzr7lt3OU09vwQwhkpOPPYv2Y/edit?usp=sharing"",""งบพรบ!CN24"")"),0)</f>
        <v>0</v>
      </c>
      <c r="M181" s="568">
        <f ca="1">IFERROR(__xludf.DUMMYFUNCTION("IMPORTRANGE(""https://docs.google.com/spreadsheets/d/1-uDff_7J0KD5mKrp0Vvzr7lt3OU09vwQwhkpOPPYv2Y/edit?usp=sharing"",""งบพรบ!CQ24"")"),0)</f>
        <v>0</v>
      </c>
      <c r="N181" s="568">
        <f ca="1">IFERROR(__xludf.DUMMYFUNCTION("IMPORTRANGE(""https://docs.google.com/spreadsheets/d/1-uDff_7J0KD5mKrp0Vvzr7lt3OU09vwQwhkpOPPYv2Y/edit?usp=sharing"",""งบพรบ!CS24"")"),0)</f>
        <v>0</v>
      </c>
      <c r="O181" s="568">
        <f t="shared" ca="1" si="118"/>
        <v>0</v>
      </c>
      <c r="P181" s="568">
        <f t="shared" ca="1" si="119"/>
        <v>0</v>
      </c>
      <c r="Q181" s="568">
        <v>0</v>
      </c>
      <c r="R181" s="568">
        <v>0</v>
      </c>
      <c r="S181" s="568">
        <v>0</v>
      </c>
      <c r="T181" s="568">
        <f t="shared" si="121"/>
        <v>0</v>
      </c>
      <c r="U181" s="568">
        <f t="shared" si="122"/>
        <v>0</v>
      </c>
    </row>
    <row r="182" spans="1:21" ht="19.5" x14ac:dyDescent="0.3">
      <c r="A182" s="687"/>
      <c r="B182" s="688"/>
      <c r="C182" s="675" t="s">
        <v>18</v>
      </c>
      <c r="D182" s="689" t="s">
        <v>38</v>
      </c>
      <c r="E182" s="690"/>
      <c r="F182" s="690"/>
      <c r="G182" s="691"/>
      <c r="H182" s="725"/>
      <c r="I182" s="565"/>
      <c r="J182" s="565"/>
      <c r="K182" s="566"/>
      <c r="L182" s="574"/>
      <c r="M182" s="566"/>
      <c r="N182" s="566"/>
      <c r="O182" s="566"/>
      <c r="P182" s="566"/>
      <c r="Q182" s="566"/>
      <c r="R182" s="566"/>
      <c r="S182" s="566"/>
      <c r="T182" s="566"/>
      <c r="U182" s="566"/>
    </row>
    <row r="183" spans="1:21" ht="18.75" x14ac:dyDescent="0.25">
      <c r="A183" s="764"/>
      <c r="B183" s="561"/>
      <c r="C183" s="718"/>
      <c r="D183" s="765" t="s">
        <v>75</v>
      </c>
      <c r="E183" s="561"/>
      <c r="F183" s="561"/>
      <c r="G183" s="563"/>
      <c r="H183" s="766" t="s">
        <v>35</v>
      </c>
      <c r="I183" s="708">
        <f ca="1">IFERROR(__xludf.DUMMYFUNCTION("IMPORTRANGE(""https://docs.google.com/spreadsheets/d/1eHaY18a8A9IcSdp1K8H6x8fbOy06t2VsZHhMHf-1x7Y/edit?usp=sharing"",""แผน!AA24"")"),7)</f>
        <v>7</v>
      </c>
      <c r="J183" s="702">
        <v>7</v>
      </c>
      <c r="K183" s="568">
        <f t="shared" ref="K183:K185" ca="1" si="129">IF(I183&gt;0,J183*100/I183,0)</f>
        <v>100</v>
      </c>
      <c r="L183" s="574"/>
      <c r="M183" s="566"/>
      <c r="N183" s="566"/>
      <c r="O183" s="566"/>
      <c r="P183" s="566"/>
      <c r="Q183" s="566"/>
      <c r="R183" s="566"/>
      <c r="S183" s="566"/>
      <c r="T183" s="566"/>
      <c r="U183" s="566"/>
    </row>
    <row r="184" spans="1:21" ht="18.75" x14ac:dyDescent="0.25">
      <c r="A184" s="764"/>
      <c r="B184" s="718"/>
      <c r="C184" s="718"/>
      <c r="D184" s="767" t="s">
        <v>76</v>
      </c>
      <c r="E184" s="561"/>
      <c r="F184" s="561"/>
      <c r="G184" s="563"/>
      <c r="H184" s="768" t="s">
        <v>35</v>
      </c>
      <c r="I184" s="735">
        <v>0</v>
      </c>
      <c r="J184" s="735">
        <v>0</v>
      </c>
      <c r="K184" s="572">
        <f t="shared" si="129"/>
        <v>0</v>
      </c>
      <c r="L184" s="574"/>
      <c r="M184" s="566"/>
      <c r="N184" s="566"/>
      <c r="O184" s="566"/>
      <c r="P184" s="566"/>
      <c r="Q184" s="566"/>
      <c r="R184" s="566"/>
      <c r="S184" s="566"/>
      <c r="T184" s="566"/>
      <c r="U184" s="566"/>
    </row>
    <row r="185" spans="1:21" ht="19.5" x14ac:dyDescent="0.3">
      <c r="A185" s="756"/>
      <c r="B185" s="757" t="s">
        <v>77</v>
      </c>
      <c r="C185" s="758"/>
      <c r="D185" s="690"/>
      <c r="E185" s="690"/>
      <c r="F185" s="690"/>
      <c r="G185" s="691"/>
      <c r="H185" s="759" t="s">
        <v>35</v>
      </c>
      <c r="I185" s="760">
        <f t="shared" ref="I185:J185" ca="1" si="130">I230+I231</f>
        <v>0</v>
      </c>
      <c r="J185" s="760">
        <f t="shared" si="130"/>
        <v>0</v>
      </c>
      <c r="K185" s="761">
        <f t="shared" ca="1" si="129"/>
        <v>0</v>
      </c>
      <c r="L185" s="762"/>
      <c r="M185" s="763"/>
      <c r="N185" s="763"/>
      <c r="O185" s="763"/>
      <c r="P185" s="763"/>
      <c r="Q185" s="763"/>
      <c r="R185" s="763"/>
      <c r="S185" s="763"/>
      <c r="T185" s="763"/>
      <c r="U185" s="763"/>
    </row>
    <row r="186" spans="1:21" ht="19.5" x14ac:dyDescent="0.3">
      <c r="A186" s="674"/>
      <c r="B186" s="561"/>
      <c r="C186" s="675" t="s">
        <v>18</v>
      </c>
      <c r="D186" s="676" t="s">
        <v>19</v>
      </c>
      <c r="E186" s="561"/>
      <c r="F186" s="561"/>
      <c r="G186" s="563"/>
      <c r="H186" s="677" t="s">
        <v>14</v>
      </c>
      <c r="I186" s="565"/>
      <c r="J186" s="565"/>
      <c r="K186" s="566"/>
      <c r="L186" s="678">
        <f t="shared" ref="L186:N186" ca="1" si="131">L187+L188</f>
        <v>129500</v>
      </c>
      <c r="M186" s="679">
        <f t="shared" ca="1" si="131"/>
        <v>129500</v>
      </c>
      <c r="N186" s="679">
        <f t="shared" ca="1" si="131"/>
        <v>90887</v>
      </c>
      <c r="O186" s="679">
        <f t="shared" ref="O186:O194" ca="1" si="132">IF(L186&gt;0,N186*100/L186,0)</f>
        <v>70.183011583011577</v>
      </c>
      <c r="P186" s="679">
        <f t="shared" ref="P186:P194" ca="1" si="133">IF(M186&gt;0,N186*100/M186,0)</f>
        <v>70.183011583011577</v>
      </c>
      <c r="Q186" s="679">
        <f t="shared" ref="Q186:S186" ca="1" si="134">Q187+Q188</f>
        <v>42000</v>
      </c>
      <c r="R186" s="679">
        <f t="shared" ca="1" si="134"/>
        <v>42000</v>
      </c>
      <c r="S186" s="679">
        <f t="shared" ca="1" si="134"/>
        <v>0</v>
      </c>
      <c r="T186" s="679">
        <f t="shared" ref="T186:T194" ca="1" si="135">IF(Q186&gt;0,S186*100/Q186,0)</f>
        <v>0</v>
      </c>
      <c r="U186" s="679">
        <f t="shared" ref="U186:U194" ca="1" si="136">IF(R186&gt;0,S186*100/R186,0)</f>
        <v>0</v>
      </c>
    </row>
    <row r="187" spans="1:21" ht="18.75" x14ac:dyDescent="0.25">
      <c r="A187" s="674"/>
      <c r="B187" s="561"/>
      <c r="C187" s="561"/>
      <c r="D187" s="561"/>
      <c r="E187" s="569" t="s">
        <v>20</v>
      </c>
      <c r="F187" s="561"/>
      <c r="G187" s="563"/>
      <c r="H187" s="680" t="s">
        <v>14</v>
      </c>
      <c r="I187" s="565"/>
      <c r="J187" s="565"/>
      <c r="K187" s="566"/>
      <c r="L187" s="571">
        <f t="shared" ref="L187:N188" si="137">L190+L193</f>
        <v>0</v>
      </c>
      <c r="M187" s="572">
        <f t="shared" si="137"/>
        <v>0</v>
      </c>
      <c r="N187" s="572">
        <f t="shared" si="137"/>
        <v>0</v>
      </c>
      <c r="O187" s="572">
        <f t="shared" si="132"/>
        <v>0</v>
      </c>
      <c r="P187" s="572">
        <f t="shared" si="133"/>
        <v>0</v>
      </c>
      <c r="Q187" s="572">
        <f t="shared" ref="Q187:S188" si="138">Q190+Q193</f>
        <v>0</v>
      </c>
      <c r="R187" s="572">
        <f t="shared" si="138"/>
        <v>0</v>
      </c>
      <c r="S187" s="572">
        <f t="shared" si="138"/>
        <v>0</v>
      </c>
      <c r="T187" s="572">
        <f t="shared" si="135"/>
        <v>0</v>
      </c>
      <c r="U187" s="572">
        <f t="shared" si="136"/>
        <v>0</v>
      </c>
    </row>
    <row r="188" spans="1:21" ht="18.75" x14ac:dyDescent="0.25">
      <c r="A188" s="674"/>
      <c r="B188" s="561"/>
      <c r="C188" s="561"/>
      <c r="D188" s="561"/>
      <c r="E188" s="573" t="s">
        <v>21</v>
      </c>
      <c r="F188" s="561"/>
      <c r="G188" s="563"/>
      <c r="H188" s="681" t="s">
        <v>14</v>
      </c>
      <c r="I188" s="565"/>
      <c r="J188" s="565"/>
      <c r="K188" s="566"/>
      <c r="L188" s="567">
        <f t="shared" ca="1" si="137"/>
        <v>129500</v>
      </c>
      <c r="M188" s="568">
        <f t="shared" ca="1" si="137"/>
        <v>129500</v>
      </c>
      <c r="N188" s="568">
        <f t="shared" ca="1" si="137"/>
        <v>90887</v>
      </c>
      <c r="O188" s="568">
        <f t="shared" ca="1" si="132"/>
        <v>70.183011583011577</v>
      </c>
      <c r="P188" s="568">
        <f t="shared" ca="1" si="133"/>
        <v>70.183011583011577</v>
      </c>
      <c r="Q188" s="568">
        <f t="shared" ca="1" si="138"/>
        <v>42000</v>
      </c>
      <c r="R188" s="568">
        <f t="shared" ca="1" si="138"/>
        <v>42000</v>
      </c>
      <c r="S188" s="568">
        <f t="shared" ca="1" si="138"/>
        <v>0</v>
      </c>
      <c r="T188" s="568">
        <f t="shared" ca="1" si="135"/>
        <v>0</v>
      </c>
      <c r="U188" s="568">
        <f t="shared" ca="1" si="136"/>
        <v>0</v>
      </c>
    </row>
    <row r="189" spans="1:21" ht="18.75" x14ac:dyDescent="0.25">
      <c r="A189" s="674"/>
      <c r="B189" s="561"/>
      <c r="C189" s="561"/>
      <c r="D189" s="562" t="s">
        <v>22</v>
      </c>
      <c r="E189" s="561"/>
      <c r="F189" s="561"/>
      <c r="G189" s="563"/>
      <c r="H189" s="682" t="s">
        <v>14</v>
      </c>
      <c r="I189" s="683"/>
      <c r="J189" s="683"/>
      <c r="K189" s="684"/>
      <c r="L189" s="567">
        <f t="shared" ref="L189:N189" ca="1" si="139">L190+L191</f>
        <v>129500</v>
      </c>
      <c r="M189" s="568">
        <f t="shared" ca="1" si="139"/>
        <v>129500</v>
      </c>
      <c r="N189" s="568">
        <f t="shared" ca="1" si="139"/>
        <v>90887</v>
      </c>
      <c r="O189" s="568">
        <f t="shared" ca="1" si="132"/>
        <v>70.183011583011577</v>
      </c>
      <c r="P189" s="568">
        <f t="shared" ca="1" si="133"/>
        <v>70.183011583011577</v>
      </c>
      <c r="Q189" s="568">
        <f t="shared" ref="Q189:S189" ca="1" si="140">Q190+Q191</f>
        <v>42000</v>
      </c>
      <c r="R189" s="568">
        <f t="shared" ca="1" si="140"/>
        <v>42000</v>
      </c>
      <c r="S189" s="568">
        <f t="shared" ca="1" si="140"/>
        <v>0</v>
      </c>
      <c r="T189" s="568">
        <f t="shared" ca="1" si="135"/>
        <v>0</v>
      </c>
      <c r="U189" s="568">
        <f t="shared" ca="1" si="136"/>
        <v>0</v>
      </c>
    </row>
    <row r="190" spans="1:21" ht="18.75" x14ac:dyDescent="0.25">
      <c r="A190" s="674"/>
      <c r="B190" s="561"/>
      <c r="C190" s="561"/>
      <c r="D190" s="561"/>
      <c r="E190" s="569" t="s">
        <v>36</v>
      </c>
      <c r="F190" s="561"/>
      <c r="G190" s="563"/>
      <c r="H190" s="685" t="s">
        <v>14</v>
      </c>
      <c r="I190" s="683"/>
      <c r="J190" s="683"/>
      <c r="K190" s="684"/>
      <c r="L190" s="571">
        <v>0</v>
      </c>
      <c r="M190" s="572">
        <v>0</v>
      </c>
      <c r="N190" s="572">
        <v>0</v>
      </c>
      <c r="O190" s="572">
        <f t="shared" si="132"/>
        <v>0</v>
      </c>
      <c r="P190" s="572">
        <f t="shared" si="133"/>
        <v>0</v>
      </c>
      <c r="Q190" s="572">
        <v>0</v>
      </c>
      <c r="R190" s="572">
        <v>0</v>
      </c>
      <c r="S190" s="572">
        <v>0</v>
      </c>
      <c r="T190" s="572">
        <f t="shared" si="135"/>
        <v>0</v>
      </c>
      <c r="U190" s="572">
        <f t="shared" si="136"/>
        <v>0</v>
      </c>
    </row>
    <row r="191" spans="1:21" ht="18.75" x14ac:dyDescent="0.25">
      <c r="A191" s="674"/>
      <c r="B191" s="561"/>
      <c r="C191" s="561"/>
      <c r="D191" s="561"/>
      <c r="E191" s="573" t="s">
        <v>37</v>
      </c>
      <c r="F191" s="561"/>
      <c r="G191" s="563"/>
      <c r="H191" s="682" t="s">
        <v>14</v>
      </c>
      <c r="I191" s="683"/>
      <c r="J191" s="683"/>
      <c r="K191" s="684"/>
      <c r="L191" s="567">
        <f ca="1">IFERROR(__xludf.DUMMYFUNCTION("IMPORTRANGE(""https://docs.google.com/spreadsheets/d/1-uDff_7J0KD5mKrp0Vvzr7lt3OU09vwQwhkpOPPYv2Y/edit?usp=sharing"",""งบพรบ!CU24"")"),129500)</f>
        <v>129500</v>
      </c>
      <c r="M191" s="568">
        <f ca="1">IFERROR(__xludf.DUMMYFUNCTION("IMPORTRANGE(""https://docs.google.com/spreadsheets/d/1-uDff_7J0KD5mKrp0Vvzr7lt3OU09vwQwhkpOPPYv2Y/edit?usp=sharing"",""งบพรบ!CZ24"")"),129500)</f>
        <v>129500</v>
      </c>
      <c r="N191" s="568">
        <f ca="1">IFERROR(__xludf.DUMMYFUNCTION("IMPORTRANGE(""https://docs.google.com/spreadsheets/d/1-uDff_7J0KD5mKrp0Vvzr7lt3OU09vwQwhkpOPPYv2Y/edit?usp=sharing"",""งบพรบ!DB24"")"),90887)</f>
        <v>90887</v>
      </c>
      <c r="O191" s="568">
        <f t="shared" ca="1" si="132"/>
        <v>70.183011583011577</v>
      </c>
      <c r="P191" s="568">
        <f t="shared" ca="1" si="133"/>
        <v>70.183011583011577</v>
      </c>
      <c r="Q191" s="568">
        <f ca="1">IFERROR(__xludf.DUMMYFUNCTION("IMPORTRANGE(""https://docs.google.com/spreadsheets/d/1ItG2mGa2ceCfYo0BwxsXqNm01IGEUdYcSSLTEv9YCik/edit?usp=sharing"",""เบิกจ่ายกองทุน!BQ24"")"),42000)</f>
        <v>42000</v>
      </c>
      <c r="R191" s="568">
        <f ca="1">IFERROR(__xludf.DUMMYFUNCTION("IMPORTRANGE(""https://docs.google.com/spreadsheets/d/1ItG2mGa2ceCfYo0BwxsXqNm01IGEUdYcSSLTEv9YCik/edit?usp=sharing"",""เบิกจ่ายกองทุน!BR24"")"),42000)</f>
        <v>42000</v>
      </c>
      <c r="S191" s="568">
        <f ca="1">IFERROR(__xludf.DUMMYFUNCTION("IMPORTRANGE(""https://docs.google.com/spreadsheets/d/1ItG2mGa2ceCfYo0BwxsXqNm01IGEUdYcSSLTEv9YCik/edit?usp=sharing"",""เบิกจ่ายกองทุน!BS24"")"),0)</f>
        <v>0</v>
      </c>
      <c r="T191" s="568">
        <f t="shared" ca="1" si="135"/>
        <v>0</v>
      </c>
      <c r="U191" s="568">
        <f t="shared" ca="1" si="136"/>
        <v>0</v>
      </c>
    </row>
    <row r="192" spans="1:21" ht="18.75" x14ac:dyDescent="0.25">
      <c r="A192" s="674"/>
      <c r="B192" s="561"/>
      <c r="C192" s="561"/>
      <c r="D192" s="562" t="s">
        <v>23</v>
      </c>
      <c r="E192" s="561"/>
      <c r="F192" s="561"/>
      <c r="G192" s="563"/>
      <c r="H192" s="686" t="s">
        <v>14</v>
      </c>
      <c r="I192" s="683"/>
      <c r="J192" s="683"/>
      <c r="K192" s="684"/>
      <c r="L192" s="567">
        <f t="shared" ref="L192:N192" ca="1" si="141">L193+L194</f>
        <v>0</v>
      </c>
      <c r="M192" s="568">
        <f t="shared" ca="1" si="141"/>
        <v>0</v>
      </c>
      <c r="N192" s="568">
        <f t="shared" ca="1" si="141"/>
        <v>0</v>
      </c>
      <c r="O192" s="568">
        <f t="shared" ca="1" si="132"/>
        <v>0</v>
      </c>
      <c r="P192" s="568">
        <f t="shared" ca="1" si="133"/>
        <v>0</v>
      </c>
      <c r="Q192" s="568">
        <f t="shared" ref="Q192:S192" ca="1" si="142">Q193+Q194</f>
        <v>0</v>
      </c>
      <c r="R192" s="568">
        <f t="shared" ca="1" si="142"/>
        <v>0</v>
      </c>
      <c r="S192" s="568">
        <f t="shared" ca="1" si="142"/>
        <v>0</v>
      </c>
      <c r="T192" s="568">
        <f t="shared" ca="1" si="135"/>
        <v>0</v>
      </c>
      <c r="U192" s="568">
        <f t="shared" ca="1" si="136"/>
        <v>0</v>
      </c>
    </row>
    <row r="193" spans="1:21" ht="18.75" x14ac:dyDescent="0.25">
      <c r="A193" s="674"/>
      <c r="B193" s="561"/>
      <c r="C193" s="561"/>
      <c r="D193" s="561"/>
      <c r="E193" s="569" t="s">
        <v>20</v>
      </c>
      <c r="F193" s="561"/>
      <c r="G193" s="563"/>
      <c r="H193" s="685" t="s">
        <v>14</v>
      </c>
      <c r="I193" s="683"/>
      <c r="J193" s="683"/>
      <c r="K193" s="684"/>
      <c r="L193" s="571">
        <v>0</v>
      </c>
      <c r="M193" s="572">
        <v>0</v>
      </c>
      <c r="N193" s="572">
        <v>0</v>
      </c>
      <c r="O193" s="572">
        <f t="shared" si="132"/>
        <v>0</v>
      </c>
      <c r="P193" s="572">
        <f t="shared" si="133"/>
        <v>0</v>
      </c>
      <c r="Q193" s="572">
        <v>0</v>
      </c>
      <c r="R193" s="572">
        <v>0</v>
      </c>
      <c r="S193" s="572">
        <v>0</v>
      </c>
      <c r="T193" s="572">
        <f t="shared" si="135"/>
        <v>0</v>
      </c>
      <c r="U193" s="572">
        <f t="shared" si="136"/>
        <v>0</v>
      </c>
    </row>
    <row r="194" spans="1:21" ht="18.75" x14ac:dyDescent="0.25">
      <c r="A194" s="674"/>
      <c r="B194" s="561"/>
      <c r="C194" s="561"/>
      <c r="D194" s="561"/>
      <c r="E194" s="573" t="s">
        <v>21</v>
      </c>
      <c r="F194" s="561"/>
      <c r="G194" s="563"/>
      <c r="H194" s="686" t="s">
        <v>14</v>
      </c>
      <c r="I194" s="683"/>
      <c r="J194" s="683"/>
      <c r="K194" s="684"/>
      <c r="L194" s="567">
        <f ca="1">IFERROR(__xludf.DUMMYFUNCTION("IMPORTRANGE(""https://docs.google.com/spreadsheets/d/1-uDff_7J0KD5mKrp0Vvzr7lt3OU09vwQwhkpOPPYv2Y/edit?usp=sharing"",""งบพรบ!CX24"")"),0)</f>
        <v>0</v>
      </c>
      <c r="M194" s="568">
        <f ca="1">IFERROR(__xludf.DUMMYFUNCTION("IMPORTRANGE(""https://docs.google.com/spreadsheets/d/1-uDff_7J0KD5mKrp0Vvzr7lt3OU09vwQwhkpOPPYv2Y/edit?usp=sharing"",""งบพรบ!DA24"")"),0)</f>
        <v>0</v>
      </c>
      <c r="N194" s="568">
        <f ca="1">IFERROR(__xludf.DUMMYFUNCTION("IMPORTRANGE(""https://docs.google.com/spreadsheets/d/1-uDff_7J0KD5mKrp0Vvzr7lt3OU09vwQwhkpOPPYv2Y/edit?usp=sharing"",""งบพรบ!DC24"")"),0)</f>
        <v>0</v>
      </c>
      <c r="O194" s="568">
        <f t="shared" ca="1" si="132"/>
        <v>0</v>
      </c>
      <c r="P194" s="568">
        <f t="shared" ca="1" si="133"/>
        <v>0</v>
      </c>
      <c r="Q194" s="568">
        <f ca="1">IFERROR(__xludf.DUMMYFUNCTION("IMPORTRANGE(""https://docs.google.com/spreadsheets/d/1ItG2mGa2ceCfYo0BwxsXqNm01IGEUdYcSSLTEv9YCik/edit?usp=sharing"",""เบิกจ่ายกองทุน!BT24"")"),0)</f>
        <v>0</v>
      </c>
      <c r="R194" s="568">
        <f ca="1">IFERROR(__xludf.DUMMYFUNCTION("IMPORTRANGE(""https://docs.google.com/spreadsheets/d/1ItG2mGa2ceCfYo0BwxsXqNm01IGEUdYcSSLTEv9YCik/edit?usp=sharing"",""เบิกจ่ายกองทุน!BU24"")"),0)</f>
        <v>0</v>
      </c>
      <c r="S194" s="568">
        <f ca="1">IFERROR(__xludf.DUMMYFUNCTION("IMPORTRANGE(""https://docs.google.com/spreadsheets/d/1ItG2mGa2ceCfYo0BwxsXqNm01IGEUdYcSSLTEv9YCik/edit?usp=sharing"",""เบิกจ่ายกองทุน!BV24"")"),0)</f>
        <v>0</v>
      </c>
      <c r="T194" s="568">
        <f t="shared" ca="1" si="135"/>
        <v>0</v>
      </c>
      <c r="U194" s="568">
        <f t="shared" ca="1" si="136"/>
        <v>0</v>
      </c>
    </row>
    <row r="195" spans="1:21" ht="19.5" x14ac:dyDescent="0.3">
      <c r="A195" s="769"/>
      <c r="B195" s="770"/>
      <c r="C195" s="771" t="s">
        <v>78</v>
      </c>
      <c r="D195" s="772"/>
      <c r="E195" s="772"/>
      <c r="F195" s="772"/>
      <c r="G195" s="773"/>
      <c r="H195" s="774" t="s">
        <v>79</v>
      </c>
      <c r="I195" s="775">
        <f t="shared" ref="I195:J195" ca="1" si="143">I198</f>
        <v>4</v>
      </c>
      <c r="J195" s="775">
        <f t="shared" si="143"/>
        <v>2</v>
      </c>
      <c r="K195" s="776">
        <f ca="1">IF(I195&gt;0,J195*100/I195,0)</f>
        <v>50</v>
      </c>
      <c r="L195" s="777"/>
      <c r="M195" s="778"/>
      <c r="N195" s="778"/>
      <c r="O195" s="778"/>
      <c r="P195" s="778"/>
      <c r="Q195" s="778"/>
      <c r="R195" s="778"/>
      <c r="S195" s="778"/>
      <c r="T195" s="778"/>
      <c r="U195" s="778"/>
    </row>
    <row r="196" spans="1:21" ht="19.5" x14ac:dyDescent="0.3">
      <c r="A196" s="674"/>
      <c r="B196" s="561"/>
      <c r="C196" s="675" t="s">
        <v>18</v>
      </c>
      <c r="D196" s="779" t="s">
        <v>19</v>
      </c>
      <c r="E196" s="561"/>
      <c r="F196" s="561"/>
      <c r="G196" s="563"/>
      <c r="H196" s="780" t="s">
        <v>14</v>
      </c>
      <c r="I196" s="565"/>
      <c r="J196" s="565"/>
      <c r="K196" s="566"/>
      <c r="L196" s="678">
        <f ca="1">IFERROR(__xludf.DUMMYFUNCTION("IMPORTRANGE(""https://docs.google.com/spreadsheets/d/1eHaY18a8A9IcSdp1K8H6x8fbOy06t2VsZHhMHf-1x7Y/edit?usp=sharing"",""แผน!AB24"")"),6000)</f>
        <v>6000</v>
      </c>
      <c r="M196" s="566"/>
      <c r="N196" s="781">
        <v>0</v>
      </c>
      <c r="O196" s="679">
        <f ca="1">IF(L196&gt;0,N196*100/L196,0)</f>
        <v>0</v>
      </c>
      <c r="P196" s="679">
        <f>IF(M196&gt;0,N196*100/M196,0)</f>
        <v>0</v>
      </c>
      <c r="Q196" s="566"/>
      <c r="R196" s="566"/>
      <c r="S196" s="566"/>
      <c r="T196" s="566"/>
      <c r="U196" s="566"/>
    </row>
    <row r="197" spans="1:21" ht="19.5" x14ac:dyDescent="0.3">
      <c r="A197" s="687"/>
      <c r="B197" s="688"/>
      <c r="C197" s="675" t="s">
        <v>18</v>
      </c>
      <c r="D197" s="689" t="s">
        <v>38</v>
      </c>
      <c r="E197" s="690"/>
      <c r="F197" s="690"/>
      <c r="G197" s="691"/>
      <c r="H197" s="692"/>
      <c r="I197" s="565"/>
      <c r="J197" s="565"/>
      <c r="K197" s="566"/>
      <c r="L197" s="574"/>
      <c r="M197" s="566"/>
      <c r="N197" s="566"/>
      <c r="O197" s="566"/>
      <c r="P197" s="566"/>
      <c r="Q197" s="566"/>
      <c r="R197" s="566"/>
      <c r="S197" s="566"/>
      <c r="T197" s="566"/>
      <c r="U197" s="566"/>
    </row>
    <row r="198" spans="1:21" ht="18.75" x14ac:dyDescent="0.25">
      <c r="A198" s="687"/>
      <c r="B198" s="688"/>
      <c r="C198" s="688"/>
      <c r="D198" s="699" t="s">
        <v>80</v>
      </c>
      <c r="E198" s="695"/>
      <c r="F198" s="695"/>
      <c r="G198" s="692"/>
      <c r="H198" s="700" t="s">
        <v>79</v>
      </c>
      <c r="I198" s="708">
        <f ca="1">IFERROR(__xludf.DUMMYFUNCTION("IMPORTRANGE(""https://docs.google.com/spreadsheets/d/1eHaY18a8A9IcSdp1K8H6x8fbOy06t2VsZHhMHf-1x7Y/edit?usp=sharing"",""แผน!AE24"")"),4)</f>
        <v>4</v>
      </c>
      <c r="J198" s="702">
        <v>2</v>
      </c>
      <c r="K198" s="568">
        <f ca="1">IF(I198&gt;0,J198*100/I198,0)</f>
        <v>50</v>
      </c>
      <c r="L198" s="574"/>
      <c r="M198" s="566"/>
      <c r="N198" s="566"/>
      <c r="O198" s="566"/>
      <c r="P198" s="566"/>
      <c r="Q198" s="566"/>
      <c r="R198" s="566"/>
      <c r="S198" s="566"/>
      <c r="T198" s="566"/>
      <c r="U198" s="566"/>
    </row>
    <row r="199" spans="1:21" ht="18.75" x14ac:dyDescent="0.25">
      <c r="A199" s="687"/>
      <c r="B199" s="688"/>
      <c r="C199" s="688"/>
      <c r="D199" s="699" t="s">
        <v>81</v>
      </c>
      <c r="E199" s="695"/>
      <c r="F199" s="695"/>
      <c r="G199" s="692"/>
      <c r="H199" s="766" t="s">
        <v>35</v>
      </c>
      <c r="I199" s="565"/>
      <c r="J199" s="708">
        <f>J200+J201</f>
        <v>70</v>
      </c>
      <c r="K199" s="566"/>
      <c r="L199" s="574"/>
      <c r="M199" s="566"/>
      <c r="N199" s="566"/>
      <c r="O199" s="566"/>
      <c r="P199" s="566"/>
      <c r="Q199" s="566"/>
      <c r="R199" s="566"/>
      <c r="S199" s="566"/>
      <c r="T199" s="566"/>
      <c r="U199" s="566"/>
    </row>
    <row r="200" spans="1:21" ht="18.75" x14ac:dyDescent="0.25">
      <c r="A200" s="687"/>
      <c r="B200" s="688"/>
      <c r="C200" s="688"/>
      <c r="D200" s="688"/>
      <c r="E200" s="699" t="s">
        <v>82</v>
      </c>
      <c r="F200" s="695"/>
      <c r="G200" s="692"/>
      <c r="H200" s="766" t="s">
        <v>35</v>
      </c>
      <c r="I200" s="565"/>
      <c r="J200" s="702">
        <v>70</v>
      </c>
      <c r="K200" s="566"/>
      <c r="L200" s="574"/>
      <c r="M200" s="566"/>
      <c r="N200" s="566"/>
      <c r="O200" s="566"/>
      <c r="P200" s="566"/>
      <c r="Q200" s="566"/>
      <c r="R200" s="566"/>
      <c r="S200" s="566"/>
      <c r="T200" s="566"/>
      <c r="U200" s="566"/>
    </row>
    <row r="201" spans="1:21" ht="18.75" x14ac:dyDescent="0.25">
      <c r="A201" s="687"/>
      <c r="B201" s="688"/>
      <c r="C201" s="688"/>
      <c r="D201" s="688"/>
      <c r="E201" s="699" t="s">
        <v>83</v>
      </c>
      <c r="F201" s="695"/>
      <c r="G201" s="692"/>
      <c r="H201" s="766" t="s">
        <v>35</v>
      </c>
      <c r="I201" s="565"/>
      <c r="J201" s="702">
        <v>0</v>
      </c>
      <c r="K201" s="566"/>
      <c r="L201" s="574"/>
      <c r="M201" s="566"/>
      <c r="N201" s="566"/>
      <c r="O201" s="566"/>
      <c r="P201" s="566"/>
      <c r="Q201" s="566"/>
      <c r="R201" s="566"/>
      <c r="S201" s="566"/>
      <c r="T201" s="566"/>
      <c r="U201" s="566"/>
    </row>
    <row r="202" spans="1:21" ht="19.5" x14ac:dyDescent="0.3">
      <c r="A202" s="769"/>
      <c r="B202" s="770"/>
      <c r="C202" s="771" t="s">
        <v>84</v>
      </c>
      <c r="D202" s="772"/>
      <c r="E202" s="772"/>
      <c r="F202" s="772"/>
      <c r="G202" s="773"/>
      <c r="H202" s="782" t="s">
        <v>85</v>
      </c>
      <c r="I202" s="775">
        <f t="shared" ref="I202:J202" ca="1" si="144">I209</f>
        <v>3</v>
      </c>
      <c r="J202" s="775">
        <f t="shared" si="144"/>
        <v>0</v>
      </c>
      <c r="K202" s="776">
        <f ca="1">IF(I202&gt;0,J202*100/I202,0)</f>
        <v>0</v>
      </c>
      <c r="L202" s="777"/>
      <c r="M202" s="778"/>
      <c r="N202" s="778"/>
      <c r="O202" s="778"/>
      <c r="P202" s="778"/>
      <c r="Q202" s="778"/>
      <c r="R202" s="778"/>
      <c r="S202" s="778"/>
      <c r="T202" s="778"/>
      <c r="U202" s="778"/>
    </row>
    <row r="203" spans="1:21" ht="19.5" x14ac:dyDescent="0.3">
      <c r="A203" s="674"/>
      <c r="B203" s="561"/>
      <c r="C203" s="675" t="s">
        <v>18</v>
      </c>
      <c r="D203" s="779" t="s">
        <v>19</v>
      </c>
      <c r="E203" s="561"/>
      <c r="F203" s="561"/>
      <c r="G203" s="563"/>
      <c r="H203" s="780" t="s">
        <v>14</v>
      </c>
      <c r="I203" s="683"/>
      <c r="J203" s="683"/>
      <c r="K203" s="684"/>
      <c r="L203" s="678">
        <f ca="1">L204+L205+L206+L207</f>
        <v>15000</v>
      </c>
      <c r="M203" s="566"/>
      <c r="N203" s="679">
        <f>N204+N205+N206+N207</f>
        <v>14400</v>
      </c>
      <c r="O203" s="679">
        <f ca="1">IF(L203&gt;0,N203*100/L203,0)</f>
        <v>96</v>
      </c>
      <c r="P203" s="679">
        <f>IF(M203&gt;0,N203*100/M203,0)</f>
        <v>0</v>
      </c>
      <c r="Q203" s="783">
        <f ca="1">Q204+Q205+Q206+Q207</f>
        <v>42000</v>
      </c>
      <c r="R203" s="784"/>
      <c r="S203" s="785">
        <f>S204+S205+S206+S207</f>
        <v>0</v>
      </c>
      <c r="T203" s="785">
        <f ca="1">IF(Q203&gt;0,S203*100/Q203,0)</f>
        <v>0</v>
      </c>
      <c r="U203" s="785">
        <f>IF(R203&gt;0,S203*100/R203,0)</f>
        <v>0</v>
      </c>
    </row>
    <row r="204" spans="1:21" ht="18.75" x14ac:dyDescent="0.25">
      <c r="A204" s="674"/>
      <c r="B204" s="718"/>
      <c r="C204" s="561"/>
      <c r="D204" s="788" t="s">
        <v>317</v>
      </c>
      <c r="E204" s="561"/>
      <c r="F204" s="561"/>
      <c r="G204" s="563"/>
      <c r="H204" s="682" t="s">
        <v>14</v>
      </c>
      <c r="I204" s="683"/>
      <c r="J204" s="683"/>
      <c r="K204" s="684"/>
      <c r="L204" s="567">
        <f ca="1">IFERROR(__xludf.DUMMYFUNCTION("IMPORTRANGE(""https://docs.google.com/spreadsheets/d/1eHaY18a8A9IcSdp1K8H6x8fbOy06t2VsZHhMHf-1x7Y/edit?usp=sharing"",""แผน!AG24"")"),2000)</f>
        <v>2000</v>
      </c>
      <c r="M204" s="566"/>
      <c r="N204" s="786">
        <v>1400</v>
      </c>
      <c r="O204" s="684"/>
      <c r="P204" s="566"/>
      <c r="Q204" s="567">
        <v>0</v>
      </c>
      <c r="R204" s="566"/>
      <c r="S204" s="568">
        <v>0</v>
      </c>
      <c r="T204" s="684"/>
      <c r="U204" s="566"/>
    </row>
    <row r="205" spans="1:21" ht="18.75" x14ac:dyDescent="0.25">
      <c r="A205" s="764"/>
      <c r="B205" s="718"/>
      <c r="C205" s="561"/>
      <c r="D205" s="573" t="s">
        <v>301</v>
      </c>
      <c r="E205" s="561"/>
      <c r="F205" s="561"/>
      <c r="G205" s="563"/>
      <c r="H205" s="564" t="s">
        <v>14</v>
      </c>
      <c r="I205" s="565"/>
      <c r="J205" s="565"/>
      <c r="K205" s="566"/>
      <c r="L205" s="567">
        <f ca="1">IFERROR(__xludf.DUMMYFUNCTION("IMPORTRANGE(""https://docs.google.com/spreadsheets/d/1eHaY18a8A9IcSdp1K8H6x8fbOy06t2VsZHhMHf-1x7Y/edit?usp=sharing"",""แผน!AH24"")"),0)</f>
        <v>0</v>
      </c>
      <c r="M205" s="566"/>
      <c r="N205" s="786">
        <v>0</v>
      </c>
      <c r="O205" s="684"/>
      <c r="P205" s="566"/>
      <c r="Q205" s="567">
        <v>0</v>
      </c>
      <c r="R205" s="566"/>
      <c r="S205" s="568">
        <v>0</v>
      </c>
      <c r="T205" s="684"/>
      <c r="U205" s="566"/>
    </row>
    <row r="206" spans="1:21" ht="18.75" x14ac:dyDescent="0.25">
      <c r="A206" s="764"/>
      <c r="B206" s="718"/>
      <c r="C206" s="561"/>
      <c r="D206" s="573" t="s">
        <v>88</v>
      </c>
      <c r="E206" s="561"/>
      <c r="F206" s="561"/>
      <c r="G206" s="563"/>
      <c r="H206" s="564" t="s">
        <v>14</v>
      </c>
      <c r="I206" s="565"/>
      <c r="J206" s="565"/>
      <c r="K206" s="566"/>
      <c r="L206" s="567">
        <f ca="1">IFERROR(__xludf.DUMMYFUNCTION("IMPORTRANGE(""https://docs.google.com/spreadsheets/d/1eHaY18a8A9IcSdp1K8H6x8fbOy06t2VsZHhMHf-1x7Y/edit?usp=sharing"",""แผน!AI24"")"),0)</f>
        <v>0</v>
      </c>
      <c r="M206" s="566"/>
      <c r="N206" s="786">
        <v>0</v>
      </c>
      <c r="O206" s="684"/>
      <c r="P206" s="566"/>
      <c r="Q206" s="567">
        <f ca="1">IFERROR(__xludf.DUMMYFUNCTION("IMPORTRANGE(""https://docs.google.com/spreadsheets/d/1eHaY18a8A9IcSdp1K8H6x8fbOy06t2VsZHhMHf-1x7Y/edit?usp=sharing"",""แผน!LV24"")"),42000)</f>
        <v>42000</v>
      </c>
      <c r="R206" s="566"/>
      <c r="S206" s="786">
        <v>0</v>
      </c>
      <c r="T206" s="684"/>
      <c r="U206" s="566"/>
    </row>
    <row r="207" spans="1:21" ht="18.75" x14ac:dyDescent="0.25">
      <c r="A207" s="764"/>
      <c r="B207" s="718"/>
      <c r="C207" s="561"/>
      <c r="D207" s="573" t="s">
        <v>89</v>
      </c>
      <c r="E207" s="561"/>
      <c r="F207" s="561"/>
      <c r="G207" s="563"/>
      <c r="H207" s="564" t="s">
        <v>14</v>
      </c>
      <c r="I207" s="565"/>
      <c r="J207" s="565"/>
      <c r="K207" s="566"/>
      <c r="L207" s="567">
        <f ca="1">IFERROR(__xludf.DUMMYFUNCTION("IMPORTRANGE(""https://docs.google.com/spreadsheets/d/1eHaY18a8A9IcSdp1K8H6x8fbOy06t2VsZHhMHf-1x7Y/edit?usp=sharing"",""แผน!AJ24"")"),13000)</f>
        <v>13000</v>
      </c>
      <c r="M207" s="566"/>
      <c r="N207" s="786">
        <v>13000</v>
      </c>
      <c r="O207" s="684"/>
      <c r="P207" s="566"/>
      <c r="Q207" s="567">
        <v>0</v>
      </c>
      <c r="R207" s="566"/>
      <c r="S207" s="568">
        <v>0</v>
      </c>
      <c r="T207" s="684"/>
      <c r="U207" s="566"/>
    </row>
    <row r="208" spans="1:21" ht="19.5" x14ac:dyDescent="0.3">
      <c r="A208" s="687"/>
      <c r="B208" s="688"/>
      <c r="C208" s="675" t="s">
        <v>18</v>
      </c>
      <c r="D208" s="689" t="s">
        <v>38</v>
      </c>
      <c r="E208" s="690"/>
      <c r="F208" s="690"/>
      <c r="G208" s="691"/>
      <c r="H208" s="692"/>
      <c r="I208" s="683"/>
      <c r="J208" s="683"/>
      <c r="K208" s="684"/>
      <c r="L208" s="693"/>
      <c r="M208" s="684"/>
      <c r="N208" s="684"/>
      <c r="O208" s="684"/>
      <c r="P208" s="684"/>
      <c r="Q208" s="693"/>
      <c r="R208" s="684"/>
      <c r="S208" s="684"/>
      <c r="T208" s="684"/>
      <c r="U208" s="684"/>
    </row>
    <row r="209" spans="1:21" ht="18.75" x14ac:dyDescent="0.25">
      <c r="A209" s="687"/>
      <c r="B209" s="688"/>
      <c r="C209" s="688"/>
      <c r="D209" s="694" t="s">
        <v>90</v>
      </c>
      <c r="E209" s="695"/>
      <c r="F209" s="695"/>
      <c r="G209" s="692"/>
      <c r="H209" s="787" t="s">
        <v>85</v>
      </c>
      <c r="I209" s="708">
        <f ca="1">IFERROR(__xludf.DUMMYFUNCTION("IMPORTRANGE(""https://docs.google.com/spreadsheets/d/1eHaY18a8A9IcSdp1K8H6x8fbOy06t2VsZHhMHf-1x7Y/edit?usp=sharing"",""แผน!AK24"")"),3)</f>
        <v>3</v>
      </c>
      <c r="J209" s="702">
        <v>0</v>
      </c>
      <c r="K209" s="703">
        <f ca="1">IF(I209&gt;0,J209*100/I209,0)</f>
        <v>0</v>
      </c>
      <c r="L209" s="574"/>
      <c r="M209" s="566"/>
      <c r="N209" s="566"/>
      <c r="O209" s="566"/>
      <c r="P209" s="566"/>
      <c r="Q209" s="574"/>
      <c r="R209" s="566"/>
      <c r="S209" s="566"/>
      <c r="T209" s="566"/>
      <c r="U209" s="566"/>
    </row>
    <row r="210" spans="1:21" ht="18.75" x14ac:dyDescent="0.25">
      <c r="A210" s="687"/>
      <c r="B210" s="688"/>
      <c r="C210" s="688"/>
      <c r="D210" s="699" t="s">
        <v>50</v>
      </c>
      <c r="E210" s="695"/>
      <c r="F210" s="695"/>
      <c r="G210" s="692"/>
      <c r="H210" s="692"/>
      <c r="I210" s="565"/>
      <c r="J210" s="565"/>
      <c r="K210" s="684"/>
      <c r="L210" s="574"/>
      <c r="M210" s="566"/>
      <c r="N210" s="566"/>
      <c r="O210" s="566"/>
      <c r="P210" s="566"/>
      <c r="Q210" s="574"/>
      <c r="R210" s="566"/>
      <c r="S210" s="566"/>
      <c r="T210" s="566"/>
      <c r="U210" s="566"/>
    </row>
    <row r="211" spans="1:21" ht="18.75" x14ac:dyDescent="0.25">
      <c r="A211" s="687"/>
      <c r="B211" s="688"/>
      <c r="C211" s="688"/>
      <c r="D211" s="695"/>
      <c r="E211" s="699" t="s">
        <v>91</v>
      </c>
      <c r="F211" s="695"/>
      <c r="G211" s="692"/>
      <c r="H211" s="787" t="s">
        <v>85</v>
      </c>
      <c r="I211" s="708">
        <f ca="1">IFERROR(__xludf.DUMMYFUNCTION("IMPORTRANGE(""https://docs.google.com/spreadsheets/d/1eHaY18a8A9IcSdp1K8H6x8fbOy06t2VsZHhMHf-1x7Y/edit?usp=sharing"",""แผน!JX24"")"),2)</f>
        <v>2</v>
      </c>
      <c r="J211" s="702">
        <v>2</v>
      </c>
      <c r="K211" s="703">
        <f t="shared" ref="K211:K213" ca="1" si="145">IF(I211&gt;0,J211*100/I211,0)</f>
        <v>100</v>
      </c>
      <c r="L211" s="574"/>
      <c r="M211" s="566"/>
      <c r="N211" s="566"/>
      <c r="O211" s="566"/>
      <c r="P211" s="566"/>
      <c r="Q211" s="574"/>
      <c r="R211" s="566"/>
      <c r="S211" s="566"/>
      <c r="T211" s="566"/>
      <c r="U211" s="566"/>
    </row>
    <row r="212" spans="1:21" ht="18.75" x14ac:dyDescent="0.25">
      <c r="A212" s="687"/>
      <c r="B212" s="688"/>
      <c r="C212" s="688"/>
      <c r="D212" s="695"/>
      <c r="E212" s="699" t="s">
        <v>92</v>
      </c>
      <c r="F212" s="695"/>
      <c r="G212" s="695"/>
      <c r="H212" s="700" t="s">
        <v>93</v>
      </c>
      <c r="I212" s="708">
        <f ca="1">IFERROR(__xludf.DUMMYFUNCTION("IMPORTRANGE(""https://docs.google.com/spreadsheets/d/1eHaY18a8A9IcSdp1K8H6x8fbOy06t2VsZHhMHf-1x7Y/edit?usp=sharing"",""แผน!JY24"")"),1)</f>
        <v>1</v>
      </c>
      <c r="J212" s="702">
        <v>1</v>
      </c>
      <c r="K212" s="703">
        <f t="shared" ca="1" si="145"/>
        <v>100</v>
      </c>
      <c r="L212" s="574"/>
      <c r="M212" s="566"/>
      <c r="N212" s="566"/>
      <c r="O212" s="566"/>
      <c r="P212" s="566"/>
      <c r="Q212" s="574"/>
      <c r="R212" s="566"/>
      <c r="S212" s="566"/>
      <c r="T212" s="566"/>
      <c r="U212" s="566"/>
    </row>
    <row r="213" spans="1:21" ht="19.5" x14ac:dyDescent="0.3">
      <c r="A213" s="769"/>
      <c r="B213" s="770"/>
      <c r="C213" s="771" t="s">
        <v>94</v>
      </c>
      <c r="D213" s="772"/>
      <c r="E213" s="772"/>
      <c r="F213" s="772"/>
      <c r="G213" s="773"/>
      <c r="H213" s="782" t="s">
        <v>85</v>
      </c>
      <c r="I213" s="775">
        <f t="shared" ref="I213:J213" ca="1" si="146">I220</f>
        <v>0</v>
      </c>
      <c r="J213" s="775">
        <f t="shared" si="146"/>
        <v>0</v>
      </c>
      <c r="K213" s="776">
        <f t="shared" ca="1" si="145"/>
        <v>0</v>
      </c>
      <c r="L213" s="777"/>
      <c r="M213" s="778"/>
      <c r="N213" s="778"/>
      <c r="O213" s="778"/>
      <c r="P213" s="778"/>
      <c r="Q213" s="777"/>
      <c r="R213" s="778"/>
      <c r="S213" s="778"/>
      <c r="T213" s="778"/>
      <c r="U213" s="778"/>
    </row>
    <row r="214" spans="1:21" ht="19.5" x14ac:dyDescent="0.3">
      <c r="A214" s="674"/>
      <c r="B214" s="561"/>
      <c r="C214" s="675" t="s">
        <v>18</v>
      </c>
      <c r="D214" s="779" t="s">
        <v>19</v>
      </c>
      <c r="E214" s="561"/>
      <c r="F214" s="561"/>
      <c r="G214" s="563"/>
      <c r="H214" s="780" t="s">
        <v>14</v>
      </c>
      <c r="I214" s="683"/>
      <c r="J214" s="683"/>
      <c r="K214" s="684"/>
      <c r="L214" s="678">
        <f ca="1">L215+L216+L217</f>
        <v>0</v>
      </c>
      <c r="M214" s="566"/>
      <c r="N214" s="679">
        <f>N215+N216+N217</f>
        <v>0</v>
      </c>
      <c r="O214" s="679">
        <f ca="1">IF(L214&gt;0,N214*100/L214,0)</f>
        <v>0</v>
      </c>
      <c r="P214" s="679">
        <f>IF(M214&gt;0,N214*100/M214,0)</f>
        <v>0</v>
      </c>
      <c r="Q214" s="678">
        <f ca="1">Q215+Q216+Q217</f>
        <v>0</v>
      </c>
      <c r="R214" s="566"/>
      <c r="S214" s="679">
        <f>S215+S216+S217</f>
        <v>229220</v>
      </c>
      <c r="T214" s="679">
        <f ca="1">IF(Q214&gt;0,S214*100/Q214,0)</f>
        <v>0</v>
      </c>
      <c r="U214" s="679">
        <f>IF(R214&gt;0,S214*100/R214,0)</f>
        <v>0</v>
      </c>
    </row>
    <row r="215" spans="1:21" ht="18.75" x14ac:dyDescent="0.25">
      <c r="A215" s="674"/>
      <c r="B215" s="718"/>
      <c r="C215" s="561"/>
      <c r="D215" s="573" t="s">
        <v>86</v>
      </c>
      <c r="E215" s="561"/>
      <c r="F215" s="561"/>
      <c r="G215" s="563"/>
      <c r="H215" s="682" t="s">
        <v>14</v>
      </c>
      <c r="I215" s="683"/>
      <c r="J215" s="683"/>
      <c r="K215" s="684"/>
      <c r="L215" s="567">
        <f ca="1">IFERROR(__xludf.DUMMYFUNCTION("IMPORTRANGE(""https://docs.google.com/spreadsheets/d/1eHaY18a8A9IcSdp1K8H6x8fbOy06t2VsZHhMHf-1x7Y/edit?usp=sharing"",""แผน!AM24"")"),0)</f>
        <v>0</v>
      </c>
      <c r="M215" s="566"/>
      <c r="N215" s="786">
        <v>0</v>
      </c>
      <c r="O215" s="684"/>
      <c r="P215" s="566"/>
      <c r="Q215" s="567">
        <v>0</v>
      </c>
      <c r="R215" s="566"/>
      <c r="S215" s="568">
        <v>0</v>
      </c>
      <c r="T215" s="684"/>
      <c r="U215" s="566"/>
    </row>
    <row r="216" spans="1:21" ht="18.75" x14ac:dyDescent="0.25">
      <c r="A216" s="764"/>
      <c r="B216" s="718"/>
      <c r="C216" s="718"/>
      <c r="D216" s="573" t="s">
        <v>95</v>
      </c>
      <c r="E216" s="561"/>
      <c r="F216" s="561"/>
      <c r="G216" s="563"/>
      <c r="H216" s="682" t="s">
        <v>14</v>
      </c>
      <c r="I216" s="565"/>
      <c r="J216" s="565"/>
      <c r="K216" s="566"/>
      <c r="L216" s="567">
        <f ca="1">IFERROR(__xludf.DUMMYFUNCTION("IMPORTRANGE(""https://docs.google.com/spreadsheets/d/1eHaY18a8A9IcSdp1K8H6x8fbOy06t2VsZHhMHf-1x7Y/edit?usp=sharing"",""แผน!AN24"")"),0)</f>
        <v>0</v>
      </c>
      <c r="M216" s="566"/>
      <c r="N216" s="786">
        <v>0</v>
      </c>
      <c r="O216" s="684"/>
      <c r="P216" s="566"/>
      <c r="Q216" s="567">
        <v>0</v>
      </c>
      <c r="R216" s="566"/>
      <c r="S216" s="568">
        <v>0</v>
      </c>
      <c r="T216" s="684"/>
      <c r="U216" s="566"/>
    </row>
    <row r="217" spans="1:21" ht="18.75" x14ac:dyDescent="0.25">
      <c r="A217" s="764"/>
      <c r="B217" s="718"/>
      <c r="C217" s="718"/>
      <c r="D217" s="573" t="s">
        <v>88</v>
      </c>
      <c r="E217" s="561"/>
      <c r="F217" s="561"/>
      <c r="G217" s="563"/>
      <c r="H217" s="682" t="s">
        <v>14</v>
      </c>
      <c r="I217" s="565"/>
      <c r="J217" s="565"/>
      <c r="K217" s="566"/>
      <c r="L217" s="567">
        <f ca="1">IFERROR(__xludf.DUMMYFUNCTION("IMPORTRANGE(""https://docs.google.com/spreadsheets/d/1eHaY18a8A9IcSdp1K8H6x8fbOy06t2VsZHhMHf-1x7Y/edit?usp=sharing"",""แผน!AO24"")"),0)</f>
        <v>0</v>
      </c>
      <c r="M217" s="566"/>
      <c r="N217" s="786">
        <v>0</v>
      </c>
      <c r="O217" s="684"/>
      <c r="P217" s="566"/>
      <c r="Q217" s="567">
        <f ca="1">IFERROR(__xludf.DUMMYFUNCTION("IMPORTRANGE(""https://docs.google.com/spreadsheets/d/1eHaY18a8A9IcSdp1K8H6x8fbOy06t2VsZHhMHf-1x7Y/edit?usp=sharing"",""แผน!LY24"")"),0)</f>
        <v>0</v>
      </c>
      <c r="R217" s="566"/>
      <c r="S217" s="786">
        <v>229220</v>
      </c>
      <c r="T217" s="684"/>
      <c r="U217" s="566"/>
    </row>
    <row r="218" spans="1:21" ht="19.5" x14ac:dyDescent="0.3">
      <c r="A218" s="687"/>
      <c r="B218" s="688"/>
      <c r="C218" s="719" t="s">
        <v>18</v>
      </c>
      <c r="D218" s="689" t="s">
        <v>38</v>
      </c>
      <c r="E218" s="690"/>
      <c r="F218" s="690"/>
      <c r="G218" s="691"/>
      <c r="H218" s="692"/>
      <c r="I218" s="683"/>
      <c r="J218" s="565"/>
      <c r="K218" s="566"/>
      <c r="L218" s="574"/>
      <c r="M218" s="566"/>
      <c r="N218" s="566"/>
      <c r="O218" s="684"/>
      <c r="P218" s="684"/>
      <c r="Q218" s="574"/>
      <c r="R218" s="566"/>
      <c r="S218" s="566"/>
      <c r="T218" s="684"/>
      <c r="U218" s="684"/>
    </row>
    <row r="219" spans="1:21" ht="18.75" x14ac:dyDescent="0.25">
      <c r="A219" s="687"/>
      <c r="B219" s="688"/>
      <c r="C219" s="688"/>
      <c r="D219" s="694" t="s">
        <v>96</v>
      </c>
      <c r="E219" s="695"/>
      <c r="F219" s="695"/>
      <c r="G219" s="692"/>
      <c r="H219" s="787" t="s">
        <v>85</v>
      </c>
      <c r="I219" s="708">
        <f ca="1">IFERROR(__xludf.DUMMYFUNCTION("IMPORTRANGE(""https://docs.google.com/spreadsheets/d/1eHaY18a8A9IcSdp1K8H6x8fbOy06t2VsZHhMHf-1x7Y/edit?usp=sharing"",""แผน!AP24"")"),0)</f>
        <v>0</v>
      </c>
      <c r="J219" s="702">
        <v>0</v>
      </c>
      <c r="K219" s="568">
        <f t="shared" ref="K219:K221" ca="1" si="147">IF(I219&gt;0,J219*100/I219,0)</f>
        <v>0</v>
      </c>
      <c r="L219" s="574"/>
      <c r="M219" s="566"/>
      <c r="N219" s="566"/>
      <c r="O219" s="566"/>
      <c r="P219" s="566"/>
      <c r="Q219" s="574"/>
      <c r="R219" s="566"/>
      <c r="S219" s="566"/>
      <c r="T219" s="566"/>
      <c r="U219" s="566"/>
    </row>
    <row r="220" spans="1:21" ht="18.75" x14ac:dyDescent="0.25">
      <c r="A220" s="687"/>
      <c r="B220" s="688"/>
      <c r="C220" s="688"/>
      <c r="D220" s="694" t="s">
        <v>97</v>
      </c>
      <c r="E220" s="695"/>
      <c r="F220" s="695"/>
      <c r="G220" s="692"/>
      <c r="H220" s="787" t="s">
        <v>85</v>
      </c>
      <c r="I220" s="708">
        <f ca="1">IFERROR(__xludf.DUMMYFUNCTION("IMPORTRANGE(""https://docs.google.com/spreadsheets/d/1eHaY18a8A9IcSdp1K8H6x8fbOy06t2VsZHhMHf-1x7Y/edit?usp=sharing"",""แผน!AP24"")"),0)</f>
        <v>0</v>
      </c>
      <c r="J220" s="702">
        <v>0</v>
      </c>
      <c r="K220" s="568">
        <f t="shared" ca="1" si="147"/>
        <v>0</v>
      </c>
      <c r="L220" s="574"/>
      <c r="M220" s="566"/>
      <c r="N220" s="566"/>
      <c r="O220" s="566"/>
      <c r="P220" s="566"/>
      <c r="Q220" s="574"/>
      <c r="R220" s="566"/>
      <c r="S220" s="566"/>
      <c r="T220" s="566"/>
      <c r="U220" s="566"/>
    </row>
    <row r="221" spans="1:21" ht="19.5" x14ac:dyDescent="0.3">
      <c r="A221" s="769"/>
      <c r="B221" s="770"/>
      <c r="C221" s="771" t="s">
        <v>98</v>
      </c>
      <c r="D221" s="772"/>
      <c r="E221" s="772"/>
      <c r="F221" s="772"/>
      <c r="G221" s="773"/>
      <c r="H221" s="774" t="s">
        <v>99</v>
      </c>
      <c r="I221" s="775">
        <f t="shared" ref="I221:J221" ca="1" si="148">I229</f>
        <v>100000</v>
      </c>
      <c r="J221" s="775">
        <f t="shared" si="148"/>
        <v>0</v>
      </c>
      <c r="K221" s="776">
        <f t="shared" ca="1" si="147"/>
        <v>0</v>
      </c>
      <c r="L221" s="777"/>
      <c r="M221" s="778"/>
      <c r="N221" s="778"/>
      <c r="O221" s="778"/>
      <c r="P221" s="778"/>
      <c r="Q221" s="778"/>
      <c r="R221" s="778"/>
      <c r="S221" s="778"/>
      <c r="T221" s="778"/>
      <c r="U221" s="778"/>
    </row>
    <row r="222" spans="1:21" ht="19.5" x14ac:dyDescent="0.3">
      <c r="A222" s="674"/>
      <c r="B222" s="561"/>
      <c r="C222" s="675" t="s">
        <v>18</v>
      </c>
      <c r="D222" s="779" t="s">
        <v>19</v>
      </c>
      <c r="E222" s="561"/>
      <c r="F222" s="561"/>
      <c r="G222" s="563"/>
      <c r="H222" s="780" t="s">
        <v>14</v>
      </c>
      <c r="I222" s="683"/>
      <c r="J222" s="683"/>
      <c r="K222" s="684"/>
      <c r="L222" s="678">
        <f ca="1">L223+L224+L225</f>
        <v>12500</v>
      </c>
      <c r="M222" s="566"/>
      <c r="N222" s="679">
        <f>N223+N224+N225</f>
        <v>0</v>
      </c>
      <c r="O222" s="679">
        <f ca="1">IF(L222&gt;0,N222*100/L222,0)</f>
        <v>0</v>
      </c>
      <c r="P222" s="679">
        <f>IF(M222&gt;0,N222*100/M222,0)</f>
        <v>0</v>
      </c>
      <c r="Q222" s="566"/>
      <c r="R222" s="566"/>
      <c r="S222" s="566"/>
      <c r="T222" s="566"/>
      <c r="U222" s="566"/>
    </row>
    <row r="223" spans="1:21" ht="18.75" x14ac:dyDescent="0.25">
      <c r="A223" s="674"/>
      <c r="B223" s="718"/>
      <c r="C223" s="561"/>
      <c r="D223" s="788" t="s">
        <v>302</v>
      </c>
      <c r="E223" s="561"/>
      <c r="F223" s="561"/>
      <c r="G223" s="563"/>
      <c r="H223" s="682" t="s">
        <v>14</v>
      </c>
      <c r="I223" s="683"/>
      <c r="J223" s="683"/>
      <c r="K223" s="684"/>
      <c r="L223" s="567">
        <f ca="1">IFERROR(__xludf.DUMMYFUNCTION("IMPORTRANGE(""https://docs.google.com/spreadsheets/d/1eHaY18a8A9IcSdp1K8H6x8fbOy06t2VsZHhMHf-1x7Y/edit?usp=sharing"",""แผน!AR24"")"),2500)</f>
        <v>2500</v>
      </c>
      <c r="M223" s="566"/>
      <c r="N223" s="786">
        <v>0</v>
      </c>
      <c r="O223" s="684"/>
      <c r="P223" s="566"/>
      <c r="Q223" s="566"/>
      <c r="R223" s="566"/>
      <c r="S223" s="566"/>
      <c r="T223" s="684"/>
      <c r="U223" s="566"/>
    </row>
    <row r="224" spans="1:21" ht="18.75" x14ac:dyDescent="0.25">
      <c r="A224" s="764"/>
      <c r="B224" s="718"/>
      <c r="C224" s="718"/>
      <c r="D224" s="573" t="s">
        <v>301</v>
      </c>
      <c r="E224" s="561"/>
      <c r="F224" s="561"/>
      <c r="G224" s="563"/>
      <c r="H224" s="682" t="s">
        <v>14</v>
      </c>
      <c r="I224" s="565"/>
      <c r="J224" s="565"/>
      <c r="K224" s="566"/>
      <c r="L224" s="567">
        <f ca="1">IFERROR(__xludf.DUMMYFUNCTION("IMPORTRANGE(""https://docs.google.com/spreadsheets/d/1eHaY18a8A9IcSdp1K8H6x8fbOy06t2VsZHhMHf-1x7Y/edit?usp=sharing"",""แผน!AS24"")"),10000)</f>
        <v>10000</v>
      </c>
      <c r="M224" s="566"/>
      <c r="N224" s="786">
        <v>0</v>
      </c>
      <c r="O224" s="684"/>
      <c r="P224" s="566"/>
      <c r="Q224" s="566"/>
      <c r="R224" s="566"/>
      <c r="S224" s="566"/>
      <c r="T224" s="684"/>
      <c r="U224" s="566"/>
    </row>
    <row r="225" spans="1:21" ht="18.75" x14ac:dyDescent="0.25">
      <c r="A225" s="764"/>
      <c r="B225" s="718"/>
      <c r="C225" s="718"/>
      <c r="D225" s="573" t="s">
        <v>88</v>
      </c>
      <c r="E225" s="561"/>
      <c r="F225" s="561"/>
      <c r="G225" s="563"/>
      <c r="H225" s="682" t="s">
        <v>14</v>
      </c>
      <c r="I225" s="565"/>
      <c r="J225" s="565"/>
      <c r="K225" s="566"/>
      <c r="L225" s="567">
        <f ca="1">IFERROR(__xludf.DUMMYFUNCTION("IMPORTRANGE(""https://docs.google.com/spreadsheets/d/1eHaY18a8A9IcSdp1K8H6x8fbOy06t2VsZHhMHf-1x7Y/edit?usp=sharing"",""แผน!AT24"")"),0)</f>
        <v>0</v>
      </c>
      <c r="M225" s="566"/>
      <c r="N225" s="786">
        <v>0</v>
      </c>
      <c r="O225" s="684"/>
      <c r="P225" s="566"/>
      <c r="Q225" s="566"/>
      <c r="R225" s="566"/>
      <c r="S225" s="566"/>
      <c r="T225" s="684"/>
      <c r="U225" s="566"/>
    </row>
    <row r="226" spans="1:21" ht="19.5" x14ac:dyDescent="0.3">
      <c r="A226" s="687"/>
      <c r="B226" s="688"/>
      <c r="C226" s="719" t="s">
        <v>18</v>
      </c>
      <c r="D226" s="689" t="s">
        <v>38</v>
      </c>
      <c r="E226" s="690"/>
      <c r="F226" s="690"/>
      <c r="G226" s="691"/>
      <c r="H226" s="692"/>
      <c r="I226" s="683"/>
      <c r="J226" s="683"/>
      <c r="K226" s="684"/>
      <c r="L226" s="693"/>
      <c r="M226" s="684"/>
      <c r="N226" s="684"/>
      <c r="O226" s="684"/>
      <c r="P226" s="684"/>
      <c r="Q226" s="684"/>
      <c r="R226" s="684"/>
      <c r="S226" s="684"/>
      <c r="T226" s="684"/>
      <c r="U226" s="684"/>
    </row>
    <row r="227" spans="1:21" ht="18.75" x14ac:dyDescent="0.25">
      <c r="A227" s="687"/>
      <c r="B227" s="688"/>
      <c r="C227" s="688"/>
      <c r="D227" s="573" t="s">
        <v>101</v>
      </c>
      <c r="E227" s="695"/>
      <c r="F227" s="695"/>
      <c r="G227" s="692"/>
      <c r="H227" s="692"/>
      <c r="I227" s="565"/>
      <c r="J227" s="565"/>
      <c r="K227" s="684"/>
      <c r="L227" s="693"/>
      <c r="M227" s="684"/>
      <c r="N227" s="684"/>
      <c r="O227" s="684"/>
      <c r="P227" s="684"/>
      <c r="Q227" s="684"/>
      <c r="R227" s="684"/>
      <c r="S227" s="684"/>
      <c r="T227" s="684"/>
      <c r="U227" s="684"/>
    </row>
    <row r="228" spans="1:21" ht="18.75" x14ac:dyDescent="0.25">
      <c r="A228" s="687"/>
      <c r="B228" s="688"/>
      <c r="C228" s="688"/>
      <c r="D228" s="688"/>
      <c r="E228" s="694" t="s">
        <v>102</v>
      </c>
      <c r="F228" s="695"/>
      <c r="G228" s="692"/>
      <c r="H228" s="700" t="s">
        <v>99</v>
      </c>
      <c r="I228" s="708">
        <f ca="1">IFERROR(__xludf.DUMMYFUNCTION("IMPORTRANGE(""https://docs.google.com/spreadsheets/d/1eHaY18a8A9IcSdp1K8H6x8fbOy06t2VsZHhMHf-1x7Y/edit?usp=sharing"",""แผน!AV24"")"),100000)</f>
        <v>100000</v>
      </c>
      <c r="J228" s="702">
        <v>0</v>
      </c>
      <c r="K228" s="703">
        <f t="shared" ref="K228:K231" ca="1" si="149">IF(I228&gt;0,J228*100/I228,0)</f>
        <v>0</v>
      </c>
      <c r="L228" s="693"/>
      <c r="M228" s="684"/>
      <c r="N228" s="684"/>
      <c r="O228" s="684"/>
      <c r="P228" s="684"/>
      <c r="Q228" s="684"/>
      <c r="R228" s="684"/>
      <c r="S228" s="684"/>
      <c r="T228" s="684"/>
      <c r="U228" s="684"/>
    </row>
    <row r="229" spans="1:21" ht="18.75" x14ac:dyDescent="0.25">
      <c r="A229" s="687"/>
      <c r="B229" s="688"/>
      <c r="C229" s="688"/>
      <c r="D229" s="688"/>
      <c r="E229" s="694" t="s">
        <v>103</v>
      </c>
      <c r="F229" s="695"/>
      <c r="G229" s="692"/>
      <c r="H229" s="700" t="s">
        <v>99</v>
      </c>
      <c r="I229" s="708">
        <f ca="1">IFERROR(__xludf.DUMMYFUNCTION("IMPORTRANGE(""https://docs.google.com/spreadsheets/d/1eHaY18a8A9IcSdp1K8H6x8fbOy06t2VsZHhMHf-1x7Y/edit?usp=sharing"",""แผน!AV24"")"),100000)</f>
        <v>100000</v>
      </c>
      <c r="J229" s="702">
        <v>0</v>
      </c>
      <c r="K229" s="703">
        <f t="shared" ca="1" si="149"/>
        <v>0</v>
      </c>
      <c r="L229" s="574"/>
      <c r="M229" s="566"/>
      <c r="N229" s="566"/>
      <c r="O229" s="566"/>
      <c r="P229" s="566"/>
      <c r="Q229" s="566"/>
      <c r="R229" s="566"/>
      <c r="S229" s="566"/>
      <c r="T229" s="566"/>
      <c r="U229" s="566"/>
    </row>
    <row r="230" spans="1:21" ht="18.75" x14ac:dyDescent="0.25">
      <c r="A230" s="687"/>
      <c r="B230" s="688"/>
      <c r="C230" s="688"/>
      <c r="D230" s="573" t="s">
        <v>104</v>
      </c>
      <c r="E230" s="695"/>
      <c r="F230" s="695"/>
      <c r="G230" s="692"/>
      <c r="H230" s="700" t="s">
        <v>35</v>
      </c>
      <c r="I230" s="708">
        <f ca="1">IFERROR(__xludf.DUMMYFUNCTION("IMPORTRANGE(""https://docs.google.com/spreadsheets/d/1eHaY18a8A9IcSdp1K8H6x8fbOy06t2VsZHhMHf-1x7Y/edit?usp=sharing"",""แผน!AU24"")"),0)</f>
        <v>0</v>
      </c>
      <c r="J230" s="702">
        <v>0</v>
      </c>
      <c r="K230" s="703">
        <f t="shared" ca="1" si="149"/>
        <v>0</v>
      </c>
      <c r="L230" s="574"/>
      <c r="M230" s="566"/>
      <c r="N230" s="566"/>
      <c r="O230" s="566"/>
      <c r="P230" s="566"/>
      <c r="Q230" s="566"/>
      <c r="R230" s="566"/>
      <c r="S230" s="566"/>
      <c r="T230" s="566"/>
      <c r="U230" s="566"/>
    </row>
    <row r="231" spans="1:21" ht="19.5" x14ac:dyDescent="0.3">
      <c r="A231" s="769"/>
      <c r="B231" s="770"/>
      <c r="C231" s="771" t="s">
        <v>105</v>
      </c>
      <c r="D231" s="772"/>
      <c r="E231" s="772"/>
      <c r="F231" s="772"/>
      <c r="G231" s="773"/>
      <c r="H231" s="774" t="s">
        <v>35</v>
      </c>
      <c r="I231" s="775">
        <f t="shared" ref="I231:J231" ca="1" si="150">I242+I253</f>
        <v>0</v>
      </c>
      <c r="J231" s="775">
        <f t="shared" si="150"/>
        <v>0</v>
      </c>
      <c r="K231" s="776">
        <f t="shared" ca="1" si="149"/>
        <v>0</v>
      </c>
      <c r="L231" s="777"/>
      <c r="M231" s="778"/>
      <c r="N231" s="778"/>
      <c r="O231" s="778"/>
      <c r="P231" s="778"/>
      <c r="Q231" s="778"/>
      <c r="R231" s="778"/>
      <c r="S231" s="778"/>
      <c r="T231" s="778"/>
      <c r="U231" s="778"/>
    </row>
    <row r="232" spans="1:21" ht="19.5" x14ac:dyDescent="0.3">
      <c r="A232" s="674"/>
      <c r="B232" s="561"/>
      <c r="C232" s="675" t="s">
        <v>18</v>
      </c>
      <c r="D232" s="676" t="s">
        <v>19</v>
      </c>
      <c r="E232" s="561"/>
      <c r="F232" s="561"/>
      <c r="G232" s="563"/>
      <c r="H232" s="780" t="s">
        <v>14</v>
      </c>
      <c r="I232" s="683"/>
      <c r="J232" s="683"/>
      <c r="K232" s="684"/>
      <c r="L232" s="789">
        <f t="shared" ref="L232:L236" ca="1" si="151">L243+L254</f>
        <v>0</v>
      </c>
      <c r="M232" s="566"/>
      <c r="N232" s="790">
        <f t="shared" ref="N232:N236" si="152">N243+N254</f>
        <v>0</v>
      </c>
      <c r="O232" s="566"/>
      <c r="P232" s="566"/>
      <c r="Q232" s="566"/>
      <c r="R232" s="566"/>
      <c r="S232" s="566"/>
      <c r="T232" s="566"/>
      <c r="U232" s="566"/>
    </row>
    <row r="233" spans="1:21" ht="18.75" x14ac:dyDescent="0.25">
      <c r="A233" s="674"/>
      <c r="B233" s="718"/>
      <c r="C233" s="561"/>
      <c r="D233" s="573" t="s">
        <v>86</v>
      </c>
      <c r="E233" s="561"/>
      <c r="F233" s="561"/>
      <c r="G233" s="563"/>
      <c r="H233" s="682" t="s">
        <v>14</v>
      </c>
      <c r="I233" s="683"/>
      <c r="J233" s="683"/>
      <c r="K233" s="684"/>
      <c r="L233" s="571">
        <f t="shared" ca="1" si="151"/>
        <v>0</v>
      </c>
      <c r="M233" s="566"/>
      <c r="N233" s="572">
        <f t="shared" si="152"/>
        <v>0</v>
      </c>
      <c r="O233" s="566"/>
      <c r="P233" s="566"/>
      <c r="Q233" s="1127">
        <v>0</v>
      </c>
      <c r="R233" s="1128">
        <v>0</v>
      </c>
      <c r="S233" s="1128">
        <v>0</v>
      </c>
      <c r="T233" s="566"/>
      <c r="U233" s="566"/>
    </row>
    <row r="234" spans="1:21" ht="18.75" x14ac:dyDescent="0.25">
      <c r="A234" s="764"/>
      <c r="B234" s="718"/>
      <c r="C234" s="718"/>
      <c r="D234" s="573" t="s">
        <v>88</v>
      </c>
      <c r="E234" s="561"/>
      <c r="F234" s="561"/>
      <c r="G234" s="563"/>
      <c r="H234" s="682" t="s">
        <v>14</v>
      </c>
      <c r="I234" s="565"/>
      <c r="J234" s="565"/>
      <c r="K234" s="566"/>
      <c r="L234" s="571">
        <f t="shared" ca="1" si="151"/>
        <v>0</v>
      </c>
      <c r="M234" s="566"/>
      <c r="N234" s="572">
        <f t="shared" si="152"/>
        <v>0</v>
      </c>
      <c r="O234" s="566"/>
      <c r="P234" s="566"/>
      <c r="Q234" s="1129">
        <v>0</v>
      </c>
      <c r="R234" s="1130">
        <v>0</v>
      </c>
      <c r="S234" s="1130">
        <v>0</v>
      </c>
      <c r="T234" s="566"/>
      <c r="U234" s="566"/>
    </row>
    <row r="235" spans="1:21" ht="18.75" x14ac:dyDescent="0.25">
      <c r="A235" s="764"/>
      <c r="B235" s="718"/>
      <c r="C235" s="718"/>
      <c r="D235" s="573" t="s">
        <v>106</v>
      </c>
      <c r="E235" s="561"/>
      <c r="F235" s="561"/>
      <c r="G235" s="563"/>
      <c r="H235" s="682" t="s">
        <v>14</v>
      </c>
      <c r="I235" s="565"/>
      <c r="J235" s="565"/>
      <c r="K235" s="566"/>
      <c r="L235" s="571">
        <f t="shared" ca="1" si="151"/>
        <v>0</v>
      </c>
      <c r="M235" s="566"/>
      <c r="N235" s="572">
        <f t="shared" si="152"/>
        <v>0</v>
      </c>
      <c r="O235" s="566"/>
      <c r="P235" s="566"/>
      <c r="Q235" s="1129">
        <v>0</v>
      </c>
      <c r="R235" s="1130">
        <v>0</v>
      </c>
      <c r="S235" s="1130">
        <v>0</v>
      </c>
      <c r="T235" s="566"/>
      <c r="U235" s="566"/>
    </row>
    <row r="236" spans="1:21" ht="18.75" x14ac:dyDescent="0.25">
      <c r="A236" s="764"/>
      <c r="B236" s="718"/>
      <c r="C236" s="718"/>
      <c r="D236" s="573" t="s">
        <v>107</v>
      </c>
      <c r="E236" s="561"/>
      <c r="F236" s="561"/>
      <c r="G236" s="563"/>
      <c r="H236" s="682" t="s">
        <v>14</v>
      </c>
      <c r="I236" s="565"/>
      <c r="J236" s="565"/>
      <c r="K236" s="566"/>
      <c r="L236" s="571">
        <f t="shared" ca="1" si="151"/>
        <v>0</v>
      </c>
      <c r="M236" s="566"/>
      <c r="N236" s="572">
        <f t="shared" si="152"/>
        <v>0</v>
      </c>
      <c r="O236" s="566"/>
      <c r="P236" s="566"/>
      <c r="Q236" s="1129">
        <v>0</v>
      </c>
      <c r="R236" s="1130">
        <v>0</v>
      </c>
      <c r="S236" s="1130">
        <v>0</v>
      </c>
      <c r="T236" s="566"/>
      <c r="U236" s="566"/>
    </row>
    <row r="237" spans="1:21" ht="19.5" x14ac:dyDescent="0.3">
      <c r="A237" s="687"/>
      <c r="B237" s="688"/>
      <c r="C237" s="719" t="s">
        <v>18</v>
      </c>
      <c r="D237" s="689" t="s">
        <v>38</v>
      </c>
      <c r="E237" s="690"/>
      <c r="F237" s="690"/>
      <c r="G237" s="691"/>
      <c r="H237" s="692"/>
      <c r="I237" s="683"/>
      <c r="J237" s="565"/>
      <c r="K237" s="566"/>
      <c r="L237" s="574"/>
      <c r="M237" s="566"/>
      <c r="N237" s="566"/>
      <c r="O237" s="684"/>
      <c r="P237" s="684"/>
      <c r="Q237" s="566"/>
      <c r="R237" s="566"/>
      <c r="S237" s="566"/>
      <c r="T237" s="684"/>
      <c r="U237" s="684"/>
    </row>
    <row r="238" spans="1:21" ht="18.75" x14ac:dyDescent="0.25">
      <c r="A238" s="687"/>
      <c r="B238" s="688"/>
      <c r="C238" s="688"/>
      <c r="D238" s="699" t="s">
        <v>108</v>
      </c>
      <c r="E238" s="695"/>
      <c r="F238" s="695"/>
      <c r="G238" s="692"/>
      <c r="H238" s="700" t="s">
        <v>35</v>
      </c>
      <c r="I238" s="708">
        <f t="shared" ref="I238:J238" ca="1" si="153">I249+I260</f>
        <v>0</v>
      </c>
      <c r="J238" s="708">
        <f t="shared" si="153"/>
        <v>0</v>
      </c>
      <c r="K238" s="568">
        <f ca="1">IF(I238&gt;0,J238*100/I238,0)</f>
        <v>0</v>
      </c>
      <c r="L238" s="574"/>
      <c r="M238" s="566"/>
      <c r="N238" s="566"/>
      <c r="O238" s="566"/>
      <c r="P238" s="566"/>
      <c r="Q238" s="566"/>
      <c r="R238" s="566"/>
      <c r="S238" s="566"/>
      <c r="T238" s="566"/>
      <c r="U238" s="566"/>
    </row>
    <row r="239" spans="1:21" ht="18.75" x14ac:dyDescent="0.25">
      <c r="A239" s="687"/>
      <c r="B239" s="688"/>
      <c r="C239" s="688"/>
      <c r="D239" s="792" t="s">
        <v>43</v>
      </c>
      <c r="E239" s="695"/>
      <c r="F239" s="695"/>
      <c r="G239" s="692"/>
      <c r="H239" s="692"/>
      <c r="I239" s="565"/>
      <c r="J239" s="565"/>
      <c r="K239" s="566"/>
      <c r="L239" s="574"/>
      <c r="M239" s="566"/>
      <c r="N239" s="566"/>
      <c r="O239" s="684"/>
      <c r="P239" s="684"/>
      <c r="Q239" s="566"/>
      <c r="R239" s="566"/>
      <c r="S239" s="566"/>
      <c r="T239" s="684"/>
      <c r="U239" s="684"/>
    </row>
    <row r="240" spans="1:21" ht="18.75" x14ac:dyDescent="0.25">
      <c r="A240" s="687"/>
      <c r="B240" s="688"/>
      <c r="C240" s="688"/>
      <c r="D240" s="688"/>
      <c r="E240" s="694" t="s">
        <v>109</v>
      </c>
      <c r="F240" s="695"/>
      <c r="G240" s="692"/>
      <c r="H240" s="700" t="s">
        <v>35</v>
      </c>
      <c r="I240" s="708">
        <f t="shared" ref="I240:J241" si="154">I251+I262</f>
        <v>0</v>
      </c>
      <c r="J240" s="708">
        <f t="shared" si="154"/>
        <v>0</v>
      </c>
      <c r="K240" s="568">
        <f t="shared" ref="K240:K242" si="155">IF(I240&gt;0,J240*100/I240,0)</f>
        <v>0</v>
      </c>
      <c r="L240" s="574"/>
      <c r="M240" s="566"/>
      <c r="N240" s="566"/>
      <c r="O240" s="566"/>
      <c r="P240" s="566"/>
      <c r="Q240" s="566"/>
      <c r="R240" s="566"/>
      <c r="S240" s="566"/>
      <c r="T240" s="566"/>
      <c r="U240" s="566"/>
    </row>
    <row r="241" spans="1:21" ht="18.75" x14ac:dyDescent="0.25">
      <c r="A241" s="687"/>
      <c r="B241" s="688"/>
      <c r="C241" s="688"/>
      <c r="D241" s="688"/>
      <c r="E241" s="694" t="s">
        <v>110</v>
      </c>
      <c r="F241" s="695"/>
      <c r="G241" s="692"/>
      <c r="H241" s="700" t="s">
        <v>61</v>
      </c>
      <c r="I241" s="708">
        <f t="shared" si="154"/>
        <v>0</v>
      </c>
      <c r="J241" s="708">
        <f t="shared" si="154"/>
        <v>0</v>
      </c>
      <c r="K241" s="568">
        <f t="shared" si="155"/>
        <v>0</v>
      </c>
      <c r="L241" s="574"/>
      <c r="M241" s="566"/>
      <c r="N241" s="566"/>
      <c r="O241" s="566"/>
      <c r="P241" s="566"/>
      <c r="Q241" s="566"/>
      <c r="R241" s="566"/>
      <c r="S241" s="566"/>
      <c r="T241" s="566"/>
      <c r="U241" s="566"/>
    </row>
    <row r="242" spans="1:21" ht="19.5" x14ac:dyDescent="0.3">
      <c r="A242" s="769"/>
      <c r="B242" s="770"/>
      <c r="C242" s="793" t="s">
        <v>111</v>
      </c>
      <c r="D242" s="772"/>
      <c r="E242" s="772"/>
      <c r="F242" s="772"/>
      <c r="G242" s="773"/>
      <c r="H242" s="794" t="s">
        <v>35</v>
      </c>
      <c r="I242" s="795">
        <f t="shared" ref="I242:J242" ca="1" si="156">I249</f>
        <v>0</v>
      </c>
      <c r="J242" s="795">
        <f t="shared" si="156"/>
        <v>0</v>
      </c>
      <c r="K242" s="796">
        <f t="shared" ca="1" si="155"/>
        <v>0</v>
      </c>
      <c r="L242" s="777"/>
      <c r="M242" s="778"/>
      <c r="N242" s="778"/>
      <c r="O242" s="778"/>
      <c r="P242" s="778"/>
      <c r="Q242" s="778"/>
      <c r="R242" s="778"/>
      <c r="S242" s="778"/>
      <c r="T242" s="778"/>
      <c r="U242" s="778"/>
    </row>
    <row r="243" spans="1:21" ht="19.5" x14ac:dyDescent="0.3">
      <c r="A243" s="674"/>
      <c r="B243" s="561"/>
      <c r="C243" s="797" t="s">
        <v>18</v>
      </c>
      <c r="D243" s="798" t="s">
        <v>19</v>
      </c>
      <c r="E243" s="561"/>
      <c r="F243" s="561"/>
      <c r="G243" s="563"/>
      <c r="H243" s="799" t="s">
        <v>14</v>
      </c>
      <c r="I243" s="683"/>
      <c r="J243" s="683"/>
      <c r="K243" s="684"/>
      <c r="L243" s="678">
        <f ca="1">L244+L245+L246+L247</f>
        <v>0</v>
      </c>
      <c r="M243" s="566"/>
      <c r="N243" s="679">
        <f>N244+N245+N246+N247</f>
        <v>0</v>
      </c>
      <c r="O243" s="679">
        <f ca="1">IF(L243&gt;0,N243*100/L243,0)</f>
        <v>0</v>
      </c>
      <c r="P243" s="679">
        <f>IF(M243&gt;0,N243*100/M243,0)</f>
        <v>0</v>
      </c>
      <c r="Q243" s="566"/>
      <c r="R243" s="566"/>
      <c r="S243" s="566"/>
      <c r="T243" s="566"/>
      <c r="U243" s="566"/>
    </row>
    <row r="244" spans="1:21" ht="18.75" x14ac:dyDescent="0.25">
      <c r="A244" s="674"/>
      <c r="B244" s="718"/>
      <c r="C244" s="561"/>
      <c r="D244" s="569" t="s">
        <v>86</v>
      </c>
      <c r="E244" s="561"/>
      <c r="F244" s="561"/>
      <c r="G244" s="563"/>
      <c r="H244" s="685" t="s">
        <v>14</v>
      </c>
      <c r="I244" s="683"/>
      <c r="J244" s="683"/>
      <c r="K244" s="684"/>
      <c r="L244" s="567">
        <f ca="1">IFERROR(__xludf.DUMMYFUNCTION("IMPORTRANGE(""https://docs.google.com/spreadsheets/d/1eHaY18a8A9IcSdp1K8H6x8fbOy06t2VsZHhMHf-1x7Y/edit?usp=sharing"",""แผน!AX24"")"),0)</f>
        <v>0</v>
      </c>
      <c r="M244" s="566"/>
      <c r="N244" s="786">
        <v>0</v>
      </c>
      <c r="O244" s="566"/>
      <c r="P244" s="566"/>
      <c r="Q244" s="566"/>
      <c r="R244" s="566"/>
      <c r="S244" s="566"/>
      <c r="T244" s="566"/>
      <c r="U244" s="566"/>
    </row>
    <row r="245" spans="1:21" ht="18.75" x14ac:dyDescent="0.25">
      <c r="A245" s="764"/>
      <c r="B245" s="718"/>
      <c r="C245" s="718"/>
      <c r="D245" s="569" t="s">
        <v>88</v>
      </c>
      <c r="E245" s="561"/>
      <c r="F245" s="561"/>
      <c r="G245" s="563"/>
      <c r="H245" s="685" t="s">
        <v>14</v>
      </c>
      <c r="I245" s="565"/>
      <c r="J245" s="565"/>
      <c r="K245" s="566"/>
      <c r="L245" s="567">
        <f ca="1">IFERROR(__xludf.DUMMYFUNCTION("IMPORTRANGE(""https://docs.google.com/spreadsheets/d/1eHaY18a8A9IcSdp1K8H6x8fbOy06t2VsZHhMHf-1x7Y/edit?usp=sharing"",""แผน!AY24"")"),0)</f>
        <v>0</v>
      </c>
      <c r="M245" s="566"/>
      <c r="N245" s="786">
        <v>0</v>
      </c>
      <c r="O245" s="566"/>
      <c r="P245" s="566"/>
      <c r="Q245" s="566"/>
      <c r="R245" s="566"/>
      <c r="S245" s="566"/>
      <c r="T245" s="566"/>
      <c r="U245" s="566"/>
    </row>
    <row r="246" spans="1:21" ht="18.75" x14ac:dyDescent="0.25">
      <c r="A246" s="764"/>
      <c r="B246" s="718"/>
      <c r="C246" s="718"/>
      <c r="D246" s="569" t="s">
        <v>106</v>
      </c>
      <c r="E246" s="561"/>
      <c r="F246" s="561"/>
      <c r="G246" s="563"/>
      <c r="H246" s="685" t="s">
        <v>14</v>
      </c>
      <c r="I246" s="565"/>
      <c r="J246" s="565"/>
      <c r="K246" s="566"/>
      <c r="L246" s="567">
        <f ca="1">IFERROR(__xludf.DUMMYFUNCTION("IMPORTRANGE(""https://docs.google.com/spreadsheets/d/1eHaY18a8A9IcSdp1K8H6x8fbOy06t2VsZHhMHf-1x7Y/edit?usp=sharing"",""แผน!AZ24"")"),0)</f>
        <v>0</v>
      </c>
      <c r="M246" s="566"/>
      <c r="N246" s="786">
        <v>0</v>
      </c>
      <c r="O246" s="566"/>
      <c r="P246" s="566"/>
      <c r="Q246" s="566"/>
      <c r="R246" s="566"/>
      <c r="S246" s="566"/>
      <c r="T246" s="566"/>
      <c r="U246" s="566"/>
    </row>
    <row r="247" spans="1:21" ht="18.75" x14ac:dyDescent="0.25">
      <c r="A247" s="764"/>
      <c r="B247" s="718"/>
      <c r="C247" s="718"/>
      <c r="D247" s="569" t="s">
        <v>107</v>
      </c>
      <c r="E247" s="561"/>
      <c r="F247" s="561"/>
      <c r="G247" s="563"/>
      <c r="H247" s="685" t="s">
        <v>14</v>
      </c>
      <c r="I247" s="565"/>
      <c r="J247" s="565"/>
      <c r="K247" s="566"/>
      <c r="L247" s="567">
        <f ca="1">IFERROR(__xludf.DUMMYFUNCTION("IMPORTRANGE(""https://docs.google.com/spreadsheets/d/1eHaY18a8A9IcSdp1K8H6x8fbOy06t2VsZHhMHf-1x7Y/edit?usp=sharing"",""แผน!BA24"")"),0)</f>
        <v>0</v>
      </c>
      <c r="M247" s="566"/>
      <c r="N247" s="786">
        <v>0</v>
      </c>
      <c r="O247" s="566"/>
      <c r="P247" s="566"/>
      <c r="Q247" s="566"/>
      <c r="R247" s="566"/>
      <c r="S247" s="566"/>
      <c r="T247" s="566"/>
      <c r="U247" s="566"/>
    </row>
    <row r="248" spans="1:21" ht="19.5" x14ac:dyDescent="0.3">
      <c r="A248" s="687"/>
      <c r="B248" s="688"/>
      <c r="C248" s="800" t="s">
        <v>18</v>
      </c>
      <c r="D248" s="801" t="s">
        <v>38</v>
      </c>
      <c r="E248" s="690"/>
      <c r="F248" s="690"/>
      <c r="G248" s="691"/>
      <c r="H248" s="692"/>
      <c r="I248" s="683"/>
      <c r="J248" s="565"/>
      <c r="K248" s="566"/>
      <c r="L248" s="574"/>
      <c r="M248" s="566"/>
      <c r="N248" s="566"/>
      <c r="O248" s="684"/>
      <c r="P248" s="684"/>
      <c r="Q248" s="566"/>
      <c r="R248" s="566"/>
      <c r="S248" s="566"/>
      <c r="T248" s="684"/>
      <c r="U248" s="684"/>
    </row>
    <row r="249" spans="1:21" ht="18.75" x14ac:dyDescent="0.25">
      <c r="A249" s="687"/>
      <c r="B249" s="688"/>
      <c r="C249" s="688"/>
      <c r="D249" s="726" t="s">
        <v>108</v>
      </c>
      <c r="E249" s="695"/>
      <c r="F249" s="695"/>
      <c r="G249" s="692"/>
      <c r="H249" s="802" t="s">
        <v>35</v>
      </c>
      <c r="I249" s="735">
        <f ca="1">IFERROR(__xludf.DUMMYFUNCTION("IMPORTRANGE(""https://docs.google.com/spreadsheets/d/1eHaY18a8A9IcSdp1K8H6x8fbOy06t2VsZHhMHf-1x7Y/edit?usp=sharing"",""แผน!BG24"")"),0)</f>
        <v>0</v>
      </c>
      <c r="J249" s="736">
        <v>0</v>
      </c>
      <c r="K249" s="572">
        <f ca="1">IF(I249&gt;0,J249*100/I249,0)</f>
        <v>0</v>
      </c>
      <c r="L249" s="574"/>
      <c r="M249" s="566"/>
      <c r="N249" s="566"/>
      <c r="O249" s="566"/>
      <c r="P249" s="566"/>
      <c r="Q249" s="566"/>
      <c r="R249" s="566"/>
      <c r="S249" s="566"/>
      <c r="T249" s="566"/>
      <c r="U249" s="566"/>
    </row>
    <row r="250" spans="1:21" ht="18.75" x14ac:dyDescent="0.25">
      <c r="A250" s="687"/>
      <c r="B250" s="688"/>
      <c r="C250" s="688"/>
      <c r="D250" s="803" t="s">
        <v>43</v>
      </c>
      <c r="E250" s="695"/>
      <c r="F250" s="695"/>
      <c r="G250" s="692"/>
      <c r="H250" s="692"/>
      <c r="I250" s="565"/>
      <c r="J250" s="565"/>
      <c r="K250" s="566"/>
      <c r="L250" s="574"/>
      <c r="M250" s="566"/>
      <c r="N250" s="566"/>
      <c r="O250" s="684"/>
      <c r="P250" s="684"/>
      <c r="Q250" s="566"/>
      <c r="R250" s="566"/>
      <c r="S250" s="566"/>
      <c r="T250" s="684"/>
      <c r="U250" s="684"/>
    </row>
    <row r="251" spans="1:21" ht="18.75" x14ac:dyDescent="0.25">
      <c r="A251" s="687"/>
      <c r="B251" s="688"/>
      <c r="C251" s="688"/>
      <c r="D251" s="688"/>
      <c r="E251" s="804" t="s">
        <v>109</v>
      </c>
      <c r="F251" s="695"/>
      <c r="G251" s="692"/>
      <c r="H251" s="802" t="s">
        <v>35</v>
      </c>
      <c r="I251" s="735">
        <v>0</v>
      </c>
      <c r="J251" s="736">
        <v>0</v>
      </c>
      <c r="K251" s="572">
        <f t="shared" ref="K251:K253" si="157">IF(I251&gt;0,J251*100/I251,0)</f>
        <v>0</v>
      </c>
      <c r="L251" s="574"/>
      <c r="M251" s="566"/>
      <c r="N251" s="566"/>
      <c r="O251" s="566"/>
      <c r="P251" s="566"/>
      <c r="Q251" s="566"/>
      <c r="R251" s="566"/>
      <c r="S251" s="566"/>
      <c r="T251" s="566"/>
      <c r="U251" s="566"/>
    </row>
    <row r="252" spans="1:21" ht="18.75" x14ac:dyDescent="0.25">
      <c r="A252" s="687"/>
      <c r="B252" s="688"/>
      <c r="C252" s="688"/>
      <c r="D252" s="688"/>
      <c r="E252" s="804" t="s">
        <v>110</v>
      </c>
      <c r="F252" s="695"/>
      <c r="G252" s="692"/>
      <c r="H252" s="802" t="s">
        <v>61</v>
      </c>
      <c r="I252" s="735">
        <v>0</v>
      </c>
      <c r="J252" s="736">
        <v>0</v>
      </c>
      <c r="K252" s="572">
        <f t="shared" si="157"/>
        <v>0</v>
      </c>
      <c r="L252" s="574"/>
      <c r="M252" s="566"/>
      <c r="N252" s="566"/>
      <c r="O252" s="566"/>
      <c r="P252" s="566"/>
      <c r="Q252" s="566"/>
      <c r="R252" s="566"/>
      <c r="S252" s="566"/>
      <c r="T252" s="566"/>
      <c r="U252" s="566"/>
    </row>
    <row r="253" spans="1:21" ht="19.5" x14ac:dyDescent="0.3">
      <c r="A253" s="769"/>
      <c r="B253" s="770"/>
      <c r="C253" s="793" t="s">
        <v>112</v>
      </c>
      <c r="D253" s="772"/>
      <c r="E253" s="772"/>
      <c r="F253" s="772"/>
      <c r="G253" s="773"/>
      <c r="H253" s="794" t="s">
        <v>35</v>
      </c>
      <c r="I253" s="795">
        <f t="shared" ref="I253:J253" ca="1" si="158">I260</f>
        <v>0</v>
      </c>
      <c r="J253" s="795">
        <f t="shared" si="158"/>
        <v>0</v>
      </c>
      <c r="K253" s="796">
        <f t="shared" ca="1" si="157"/>
        <v>0</v>
      </c>
      <c r="L253" s="777"/>
      <c r="M253" s="778"/>
      <c r="N253" s="778"/>
      <c r="O253" s="778"/>
      <c r="P253" s="778"/>
      <c r="Q253" s="778"/>
      <c r="R253" s="778"/>
      <c r="S253" s="778"/>
      <c r="T253" s="778"/>
      <c r="U253" s="778"/>
    </row>
    <row r="254" spans="1:21" ht="19.5" x14ac:dyDescent="0.3">
      <c r="A254" s="674"/>
      <c r="B254" s="561"/>
      <c r="C254" s="797" t="s">
        <v>18</v>
      </c>
      <c r="D254" s="805" t="s">
        <v>19</v>
      </c>
      <c r="E254" s="561"/>
      <c r="F254" s="561"/>
      <c r="G254" s="563"/>
      <c r="H254" s="799" t="s">
        <v>14</v>
      </c>
      <c r="I254" s="683"/>
      <c r="J254" s="683"/>
      <c r="K254" s="684"/>
      <c r="L254" s="678">
        <f ca="1">L255+L256+L257+L258</f>
        <v>0</v>
      </c>
      <c r="M254" s="566"/>
      <c r="N254" s="679">
        <f>N255+N256+N257+N258</f>
        <v>0</v>
      </c>
      <c r="O254" s="679">
        <f ca="1">IF(L254&gt;0,N254*100/L254,0)</f>
        <v>0</v>
      </c>
      <c r="P254" s="679">
        <f>IF(M254&gt;0,N254*100/M254,0)</f>
        <v>0</v>
      </c>
      <c r="Q254" s="566"/>
      <c r="R254" s="566"/>
      <c r="S254" s="566"/>
      <c r="T254" s="566"/>
      <c r="U254" s="566"/>
    </row>
    <row r="255" spans="1:21" ht="18.75" x14ac:dyDescent="0.25">
      <c r="A255" s="674"/>
      <c r="B255" s="718"/>
      <c r="C255" s="561"/>
      <c r="D255" s="569" t="s">
        <v>86</v>
      </c>
      <c r="E255" s="561"/>
      <c r="F255" s="561"/>
      <c r="G255" s="563"/>
      <c r="H255" s="685" t="s">
        <v>14</v>
      </c>
      <c r="I255" s="683"/>
      <c r="J255" s="683"/>
      <c r="K255" s="684"/>
      <c r="L255" s="567">
        <f ca="1">IFERROR(__xludf.DUMMYFUNCTION("IMPORTRANGE(""https://docs.google.com/spreadsheets/d/1eHaY18a8A9IcSdp1K8H6x8fbOy06t2VsZHhMHf-1x7Y/edit?usp=sharing"",""แผน!BB24"")"),0)</f>
        <v>0</v>
      </c>
      <c r="M255" s="566"/>
      <c r="N255" s="786">
        <v>0</v>
      </c>
      <c r="O255" s="566"/>
      <c r="P255" s="566"/>
      <c r="Q255" s="566"/>
      <c r="R255" s="566"/>
      <c r="S255" s="566"/>
      <c r="T255" s="566"/>
      <c r="U255" s="566"/>
    </row>
    <row r="256" spans="1:21" ht="18.75" x14ac:dyDescent="0.25">
      <c r="A256" s="764"/>
      <c r="B256" s="718"/>
      <c r="C256" s="718"/>
      <c r="D256" s="569" t="s">
        <v>88</v>
      </c>
      <c r="E256" s="561"/>
      <c r="F256" s="561"/>
      <c r="G256" s="563"/>
      <c r="H256" s="685" t="s">
        <v>14</v>
      </c>
      <c r="I256" s="565"/>
      <c r="J256" s="565"/>
      <c r="K256" s="566"/>
      <c r="L256" s="567">
        <f ca="1">IFERROR(__xludf.DUMMYFUNCTION("IMPORTRANGE(""https://docs.google.com/spreadsheets/d/1eHaY18a8A9IcSdp1K8H6x8fbOy06t2VsZHhMHf-1x7Y/edit?usp=sharing"",""แผน!BC24"")"),0)</f>
        <v>0</v>
      </c>
      <c r="M256" s="566"/>
      <c r="N256" s="786">
        <v>0</v>
      </c>
      <c r="O256" s="566"/>
      <c r="P256" s="566"/>
      <c r="Q256" s="566"/>
      <c r="R256" s="566"/>
      <c r="S256" s="566"/>
      <c r="T256" s="566"/>
      <c r="U256" s="566"/>
    </row>
    <row r="257" spans="1:21" ht="18.75" x14ac:dyDescent="0.25">
      <c r="A257" s="764"/>
      <c r="B257" s="718"/>
      <c r="C257" s="718"/>
      <c r="D257" s="569" t="s">
        <v>106</v>
      </c>
      <c r="E257" s="561"/>
      <c r="F257" s="561"/>
      <c r="G257" s="563"/>
      <c r="H257" s="685" t="s">
        <v>14</v>
      </c>
      <c r="I257" s="565"/>
      <c r="J257" s="565"/>
      <c r="K257" s="566"/>
      <c r="L257" s="567">
        <f ca="1">IFERROR(__xludf.DUMMYFUNCTION("IMPORTRANGE(""https://docs.google.com/spreadsheets/d/1eHaY18a8A9IcSdp1K8H6x8fbOy06t2VsZHhMHf-1x7Y/edit?usp=sharing"",""แผน!BD24"")"),0)</f>
        <v>0</v>
      </c>
      <c r="M257" s="566"/>
      <c r="N257" s="786">
        <v>0</v>
      </c>
      <c r="O257" s="566"/>
      <c r="P257" s="566"/>
      <c r="Q257" s="566"/>
      <c r="R257" s="566"/>
      <c r="S257" s="566"/>
      <c r="T257" s="566"/>
      <c r="U257" s="566"/>
    </row>
    <row r="258" spans="1:21" ht="18.75" x14ac:dyDescent="0.25">
      <c r="A258" s="764"/>
      <c r="B258" s="718"/>
      <c r="C258" s="718"/>
      <c r="D258" s="569" t="s">
        <v>107</v>
      </c>
      <c r="E258" s="561"/>
      <c r="F258" s="561"/>
      <c r="G258" s="563"/>
      <c r="H258" s="685" t="s">
        <v>14</v>
      </c>
      <c r="I258" s="565"/>
      <c r="J258" s="565"/>
      <c r="K258" s="566"/>
      <c r="L258" s="567">
        <f ca="1">IFERROR(__xludf.DUMMYFUNCTION("IMPORTRANGE(""https://docs.google.com/spreadsheets/d/1eHaY18a8A9IcSdp1K8H6x8fbOy06t2VsZHhMHf-1x7Y/edit?usp=sharing"",""แผน!BE24"")"),0)</f>
        <v>0</v>
      </c>
      <c r="M258" s="566"/>
      <c r="N258" s="786">
        <v>0</v>
      </c>
      <c r="O258" s="566"/>
      <c r="P258" s="566"/>
      <c r="Q258" s="566"/>
      <c r="R258" s="566"/>
      <c r="S258" s="566"/>
      <c r="T258" s="566"/>
      <c r="U258" s="566"/>
    </row>
    <row r="259" spans="1:21" ht="19.5" x14ac:dyDescent="0.3">
      <c r="A259" s="687"/>
      <c r="B259" s="688"/>
      <c r="C259" s="800" t="s">
        <v>18</v>
      </c>
      <c r="D259" s="801" t="s">
        <v>38</v>
      </c>
      <c r="E259" s="690"/>
      <c r="F259" s="690"/>
      <c r="G259" s="691"/>
      <c r="H259" s="692"/>
      <c r="I259" s="683"/>
      <c r="J259" s="565"/>
      <c r="K259" s="566"/>
      <c r="L259" s="574"/>
      <c r="M259" s="566"/>
      <c r="N259" s="566"/>
      <c r="O259" s="684"/>
      <c r="P259" s="684"/>
      <c r="Q259" s="566"/>
      <c r="R259" s="566"/>
      <c r="S259" s="566"/>
      <c r="T259" s="684"/>
      <c r="U259" s="684"/>
    </row>
    <row r="260" spans="1:21" ht="18.75" x14ac:dyDescent="0.25">
      <c r="A260" s="687"/>
      <c r="B260" s="688"/>
      <c r="C260" s="688"/>
      <c r="D260" s="726" t="s">
        <v>108</v>
      </c>
      <c r="E260" s="695"/>
      <c r="F260" s="695"/>
      <c r="G260" s="692"/>
      <c r="H260" s="802" t="s">
        <v>35</v>
      </c>
      <c r="I260" s="735">
        <f ca="1">IFERROR(__xludf.DUMMYFUNCTION("IMPORTRANGE(""https://docs.google.com/spreadsheets/d/1eHaY18a8A9IcSdp1K8H6x8fbOy06t2VsZHhMHf-1x7Y/edit?usp=sharing"",""แผน!BH24"")"),0)</f>
        <v>0</v>
      </c>
      <c r="J260" s="736">
        <v>0</v>
      </c>
      <c r="K260" s="572">
        <f ca="1">IF(I260&gt;0,J260*100/I260,0)</f>
        <v>0</v>
      </c>
      <c r="L260" s="574"/>
      <c r="M260" s="566"/>
      <c r="N260" s="566"/>
      <c r="O260" s="566"/>
      <c r="P260" s="566"/>
      <c r="Q260" s="566"/>
      <c r="R260" s="566"/>
      <c r="S260" s="566"/>
      <c r="T260" s="566"/>
      <c r="U260" s="566"/>
    </row>
    <row r="261" spans="1:21" ht="18.75" x14ac:dyDescent="0.25">
      <c r="A261" s="687"/>
      <c r="B261" s="688"/>
      <c r="C261" s="688"/>
      <c r="D261" s="803" t="s">
        <v>43</v>
      </c>
      <c r="E261" s="695"/>
      <c r="F261" s="695"/>
      <c r="G261" s="692"/>
      <c r="H261" s="692"/>
      <c r="I261" s="565"/>
      <c r="J261" s="565"/>
      <c r="K261" s="566"/>
      <c r="L261" s="574"/>
      <c r="M261" s="566"/>
      <c r="N261" s="566"/>
      <c r="O261" s="684"/>
      <c r="P261" s="684"/>
      <c r="Q261" s="566"/>
      <c r="R261" s="566"/>
      <c r="S261" s="566"/>
      <c r="T261" s="684"/>
      <c r="U261" s="684"/>
    </row>
    <row r="262" spans="1:21" ht="18.75" x14ac:dyDescent="0.25">
      <c r="A262" s="687"/>
      <c r="B262" s="688"/>
      <c r="C262" s="688"/>
      <c r="D262" s="688"/>
      <c r="E262" s="804" t="s">
        <v>109</v>
      </c>
      <c r="F262" s="695"/>
      <c r="G262" s="692"/>
      <c r="H262" s="802" t="s">
        <v>35</v>
      </c>
      <c r="I262" s="565"/>
      <c r="J262" s="736">
        <v>0</v>
      </c>
      <c r="K262" s="572">
        <f t="shared" ref="K262:K263" si="159">IF(I262&gt;0,J262*100/I262,0)</f>
        <v>0</v>
      </c>
      <c r="L262" s="574"/>
      <c r="M262" s="566"/>
      <c r="N262" s="566"/>
      <c r="O262" s="566"/>
      <c r="P262" s="566"/>
      <c r="Q262" s="566"/>
      <c r="R262" s="566"/>
      <c r="S262" s="566"/>
      <c r="T262" s="566"/>
      <c r="U262" s="566"/>
    </row>
    <row r="263" spans="1:21" ht="18.75" x14ac:dyDescent="0.25">
      <c r="A263" s="687"/>
      <c r="B263" s="688"/>
      <c r="C263" s="688"/>
      <c r="D263" s="688"/>
      <c r="E263" s="804" t="s">
        <v>110</v>
      </c>
      <c r="F263" s="695"/>
      <c r="G263" s="692"/>
      <c r="H263" s="802" t="s">
        <v>61</v>
      </c>
      <c r="I263" s="565"/>
      <c r="J263" s="736">
        <v>0</v>
      </c>
      <c r="K263" s="572">
        <f t="shared" si="159"/>
        <v>0</v>
      </c>
      <c r="L263" s="574"/>
      <c r="M263" s="566"/>
      <c r="N263" s="566"/>
      <c r="O263" s="566"/>
      <c r="P263" s="566"/>
      <c r="Q263" s="566"/>
      <c r="R263" s="566"/>
      <c r="S263" s="566"/>
      <c r="T263" s="566"/>
      <c r="U263" s="566"/>
    </row>
    <row r="264" spans="1:21" ht="19.5" x14ac:dyDescent="0.3">
      <c r="A264" s="806" t="s">
        <v>113</v>
      </c>
      <c r="B264" s="807"/>
      <c r="C264" s="807"/>
      <c r="D264" s="808"/>
      <c r="E264" s="808"/>
      <c r="F264" s="808"/>
      <c r="G264" s="809"/>
      <c r="H264" s="809"/>
      <c r="I264" s="810"/>
      <c r="J264" s="810"/>
      <c r="K264" s="811"/>
      <c r="L264" s="812"/>
      <c r="M264" s="811"/>
      <c r="N264" s="811"/>
      <c r="O264" s="811"/>
      <c r="P264" s="811"/>
      <c r="Q264" s="811"/>
      <c r="R264" s="811"/>
      <c r="S264" s="811"/>
      <c r="T264" s="811"/>
      <c r="U264" s="811"/>
    </row>
    <row r="265" spans="1:21" ht="19.5" x14ac:dyDescent="0.3">
      <c r="A265" s="813"/>
      <c r="B265" s="814" t="s">
        <v>114</v>
      </c>
      <c r="C265" s="815"/>
      <c r="D265" s="816"/>
      <c r="E265" s="816"/>
      <c r="F265" s="816"/>
      <c r="G265" s="817"/>
      <c r="H265" s="818" t="s">
        <v>35</v>
      </c>
      <c r="I265" s="819">
        <f t="shared" ref="I265:J265" ca="1" si="160">I276</f>
        <v>22</v>
      </c>
      <c r="J265" s="819">
        <f t="shared" si="160"/>
        <v>0</v>
      </c>
      <c r="K265" s="820">
        <f ca="1">IF(I265&gt;0,J265*100/I265,0)</f>
        <v>0</v>
      </c>
      <c r="L265" s="821"/>
      <c r="M265" s="822"/>
      <c r="N265" s="822"/>
      <c r="O265" s="822"/>
      <c r="P265" s="822"/>
      <c r="Q265" s="822"/>
      <c r="R265" s="822"/>
      <c r="S265" s="822"/>
      <c r="T265" s="822"/>
      <c r="U265" s="822"/>
    </row>
    <row r="266" spans="1:21" ht="19.5" x14ac:dyDescent="0.3">
      <c r="A266" s="823"/>
      <c r="B266" s="824"/>
      <c r="C266" s="825" t="s">
        <v>18</v>
      </c>
      <c r="D266" s="826" t="s">
        <v>19</v>
      </c>
      <c r="E266" s="824"/>
      <c r="F266" s="824"/>
      <c r="G266" s="827"/>
      <c r="H266" s="828" t="s">
        <v>14</v>
      </c>
      <c r="I266" s="829"/>
      <c r="J266" s="829"/>
      <c r="K266" s="830"/>
      <c r="L266" s="831">
        <f t="shared" ref="L266:N266" ca="1" si="161">L267+L268</f>
        <v>5000</v>
      </c>
      <c r="M266" s="832">
        <f t="shared" ca="1" si="161"/>
        <v>5000</v>
      </c>
      <c r="N266" s="832">
        <f t="shared" ca="1" si="161"/>
        <v>0</v>
      </c>
      <c r="O266" s="832">
        <f t="shared" ref="O266:O274" ca="1" si="162">IF(L266&gt;0,N266*100/L266,0)</f>
        <v>0</v>
      </c>
      <c r="P266" s="832">
        <f t="shared" ref="P266:P274" ca="1" si="163">IF(M266&gt;0,N266*100/M266,0)</f>
        <v>0</v>
      </c>
      <c r="Q266" s="832">
        <f t="shared" ref="Q266:S266" ca="1" si="164">Q267+Q268</f>
        <v>50660</v>
      </c>
      <c r="R266" s="832">
        <f t="shared" ca="1" si="164"/>
        <v>50660</v>
      </c>
      <c r="S266" s="832">
        <f t="shared" ca="1" si="164"/>
        <v>0</v>
      </c>
      <c r="T266" s="832">
        <f t="shared" ref="T266:T274" ca="1" si="165">IF(Q266&gt;0,S266*100/Q266,0)</f>
        <v>0</v>
      </c>
      <c r="U266" s="832">
        <f t="shared" ref="U266:U274" ca="1" si="166">IF(R266&gt;0,S266*100/R266,0)</f>
        <v>0</v>
      </c>
    </row>
    <row r="267" spans="1:21" ht="18.75" x14ac:dyDescent="0.25">
      <c r="A267" s="833"/>
      <c r="B267" s="834"/>
      <c r="C267" s="834"/>
      <c r="D267" s="834"/>
      <c r="E267" s="569" t="s">
        <v>20</v>
      </c>
      <c r="F267" s="834"/>
      <c r="G267" s="835"/>
      <c r="H267" s="680" t="s">
        <v>14</v>
      </c>
      <c r="I267" s="836"/>
      <c r="J267" s="836"/>
      <c r="K267" s="837"/>
      <c r="L267" s="571">
        <f t="shared" ref="L267:N268" si="167">L270+L273</f>
        <v>0</v>
      </c>
      <c r="M267" s="572">
        <f t="shared" si="167"/>
        <v>0</v>
      </c>
      <c r="N267" s="572">
        <f t="shared" si="167"/>
        <v>0</v>
      </c>
      <c r="O267" s="572">
        <f t="shared" si="162"/>
        <v>0</v>
      </c>
      <c r="P267" s="572">
        <f t="shared" si="163"/>
        <v>0</v>
      </c>
      <c r="Q267" s="572">
        <f t="shared" ref="Q267:S268" si="168">Q270+Q273</f>
        <v>0</v>
      </c>
      <c r="R267" s="572">
        <f t="shared" si="168"/>
        <v>0</v>
      </c>
      <c r="S267" s="572">
        <f t="shared" si="168"/>
        <v>0</v>
      </c>
      <c r="T267" s="572">
        <f t="shared" si="165"/>
        <v>0</v>
      </c>
      <c r="U267" s="572">
        <f t="shared" si="166"/>
        <v>0</v>
      </c>
    </row>
    <row r="268" spans="1:21" ht="18.75" x14ac:dyDescent="0.25">
      <c r="A268" s="823"/>
      <c r="B268" s="824"/>
      <c r="C268" s="824"/>
      <c r="D268" s="824"/>
      <c r="E268" s="838" t="s">
        <v>21</v>
      </c>
      <c r="F268" s="824"/>
      <c r="G268" s="827"/>
      <c r="H268" s="839" t="s">
        <v>14</v>
      </c>
      <c r="I268" s="829"/>
      <c r="J268" s="829"/>
      <c r="K268" s="830"/>
      <c r="L268" s="840">
        <f t="shared" ca="1" si="167"/>
        <v>5000</v>
      </c>
      <c r="M268" s="841">
        <f t="shared" ca="1" si="167"/>
        <v>5000</v>
      </c>
      <c r="N268" s="841">
        <f t="shared" ca="1" si="167"/>
        <v>0</v>
      </c>
      <c r="O268" s="841">
        <f t="shared" ca="1" si="162"/>
        <v>0</v>
      </c>
      <c r="P268" s="841">
        <f t="shared" ca="1" si="163"/>
        <v>0</v>
      </c>
      <c r="Q268" s="841">
        <f t="shared" ca="1" si="168"/>
        <v>50660</v>
      </c>
      <c r="R268" s="841">
        <f t="shared" ca="1" si="168"/>
        <v>50660</v>
      </c>
      <c r="S268" s="841">
        <f t="shared" ca="1" si="168"/>
        <v>0</v>
      </c>
      <c r="T268" s="841">
        <f t="shared" ca="1" si="165"/>
        <v>0</v>
      </c>
      <c r="U268" s="841">
        <f t="shared" ca="1" si="166"/>
        <v>0</v>
      </c>
    </row>
    <row r="269" spans="1:21" ht="18.75" x14ac:dyDescent="0.25">
      <c r="A269" s="823"/>
      <c r="B269" s="824"/>
      <c r="C269" s="824"/>
      <c r="D269" s="842" t="s">
        <v>22</v>
      </c>
      <c r="E269" s="824"/>
      <c r="F269" s="824"/>
      <c r="G269" s="827"/>
      <c r="H269" s="843" t="s">
        <v>14</v>
      </c>
      <c r="I269" s="844"/>
      <c r="J269" s="844"/>
      <c r="K269" s="845"/>
      <c r="L269" s="840">
        <f t="shared" ref="L269:N269" ca="1" si="169">L270+L271</f>
        <v>5000</v>
      </c>
      <c r="M269" s="841">
        <f t="shared" ca="1" si="169"/>
        <v>5000</v>
      </c>
      <c r="N269" s="841">
        <f t="shared" ca="1" si="169"/>
        <v>0</v>
      </c>
      <c r="O269" s="841">
        <f t="shared" ca="1" si="162"/>
        <v>0</v>
      </c>
      <c r="P269" s="841">
        <f t="shared" ca="1" si="163"/>
        <v>0</v>
      </c>
      <c r="Q269" s="841">
        <f t="shared" ref="Q269:S269" ca="1" si="170">Q270+Q271</f>
        <v>50660</v>
      </c>
      <c r="R269" s="841">
        <f t="shared" ca="1" si="170"/>
        <v>50660</v>
      </c>
      <c r="S269" s="841">
        <f t="shared" ca="1" si="170"/>
        <v>0</v>
      </c>
      <c r="T269" s="841">
        <f t="shared" ca="1" si="165"/>
        <v>0</v>
      </c>
      <c r="U269" s="841">
        <f t="shared" ca="1" si="166"/>
        <v>0</v>
      </c>
    </row>
    <row r="270" spans="1:21" ht="18.75" x14ac:dyDescent="0.25">
      <c r="A270" s="833"/>
      <c r="B270" s="834"/>
      <c r="C270" s="834"/>
      <c r="D270" s="834"/>
      <c r="E270" s="569" t="s">
        <v>36</v>
      </c>
      <c r="F270" s="834"/>
      <c r="G270" s="835"/>
      <c r="H270" s="685" t="s">
        <v>14</v>
      </c>
      <c r="I270" s="846"/>
      <c r="J270" s="846"/>
      <c r="K270" s="847"/>
      <c r="L270" s="571">
        <v>0</v>
      </c>
      <c r="M270" s="572">
        <v>0</v>
      </c>
      <c r="N270" s="572">
        <v>0</v>
      </c>
      <c r="O270" s="572">
        <f t="shared" si="162"/>
        <v>0</v>
      </c>
      <c r="P270" s="572">
        <f t="shared" si="163"/>
        <v>0</v>
      </c>
      <c r="Q270" s="572">
        <v>0</v>
      </c>
      <c r="R270" s="572">
        <v>0</v>
      </c>
      <c r="S270" s="572">
        <v>0</v>
      </c>
      <c r="T270" s="572">
        <f t="shared" si="165"/>
        <v>0</v>
      </c>
      <c r="U270" s="572">
        <f t="shared" si="166"/>
        <v>0</v>
      </c>
    </row>
    <row r="271" spans="1:21" ht="18.75" x14ac:dyDescent="0.25">
      <c r="A271" s="823"/>
      <c r="B271" s="824"/>
      <c r="C271" s="824"/>
      <c r="D271" s="824"/>
      <c r="E271" s="838" t="s">
        <v>37</v>
      </c>
      <c r="F271" s="824"/>
      <c r="G271" s="827"/>
      <c r="H271" s="843" t="s">
        <v>14</v>
      </c>
      <c r="I271" s="844"/>
      <c r="J271" s="844"/>
      <c r="K271" s="845"/>
      <c r="L271" s="840">
        <f ca="1">IFERROR(__xludf.DUMMYFUNCTION("IMPORTRANGE(""https://docs.google.com/spreadsheets/d/1-uDff_7J0KD5mKrp0Vvzr7lt3OU09vwQwhkpOPPYv2Y/edit?usp=sharing"",""งบพรบ!DE24"")"),5000)</f>
        <v>5000</v>
      </c>
      <c r="M271" s="841">
        <f ca="1">IFERROR(__xludf.DUMMYFUNCTION("IMPORTRANGE(""https://docs.google.com/spreadsheets/d/1-uDff_7J0KD5mKrp0Vvzr7lt3OU09vwQwhkpOPPYv2Y/edit?usp=sharing"",""งบพรบ!DJ24"")"),5000)</f>
        <v>5000</v>
      </c>
      <c r="N271" s="841">
        <f ca="1">IFERROR(__xludf.DUMMYFUNCTION("IMPORTRANGE(""https://docs.google.com/spreadsheets/d/1-uDff_7J0KD5mKrp0Vvzr7lt3OU09vwQwhkpOPPYv2Y/edit?usp=sharing"",""งบพรบ!DL24"")"),0)</f>
        <v>0</v>
      </c>
      <c r="O271" s="841">
        <f t="shared" ca="1" si="162"/>
        <v>0</v>
      </c>
      <c r="P271" s="841">
        <f t="shared" ca="1" si="163"/>
        <v>0</v>
      </c>
      <c r="Q271" s="841">
        <f ca="1">IFERROR(__xludf.DUMMYFUNCTION("IMPORTRANGE(""https://docs.google.com/spreadsheets/d/1ItG2mGa2ceCfYo0BwxsXqNm01IGEUdYcSSLTEv9YCik/edit?usp=sharing"",""เบิกจ่ายกองทุน!AP24"")"),50660)</f>
        <v>50660</v>
      </c>
      <c r="R271" s="841">
        <f ca="1">IFERROR(__xludf.DUMMYFUNCTION("IMPORTRANGE(""https://docs.google.com/spreadsheets/d/1ItG2mGa2ceCfYo0BwxsXqNm01IGEUdYcSSLTEv9YCik/edit?usp=sharing"",""เบิกจ่ายกองทุน!AQ24"")"),50660)</f>
        <v>50660</v>
      </c>
      <c r="S271" s="841">
        <f ca="1">IFERROR(__xludf.DUMMYFUNCTION("IMPORTRANGE(""https://docs.google.com/spreadsheets/d/1ItG2mGa2ceCfYo0BwxsXqNm01IGEUdYcSSLTEv9YCik/edit?usp=sharing"",""เบิกจ่ายกองทุน!AR24"")"),0)</f>
        <v>0</v>
      </c>
      <c r="T271" s="841">
        <f t="shared" ca="1" si="165"/>
        <v>0</v>
      </c>
      <c r="U271" s="841">
        <f t="shared" ca="1" si="166"/>
        <v>0</v>
      </c>
    </row>
    <row r="272" spans="1:21" ht="18.75" x14ac:dyDescent="0.25">
      <c r="A272" s="823"/>
      <c r="B272" s="824"/>
      <c r="C272" s="824"/>
      <c r="D272" s="842" t="s">
        <v>23</v>
      </c>
      <c r="E272" s="824"/>
      <c r="F272" s="824"/>
      <c r="G272" s="827"/>
      <c r="H272" s="848" t="s">
        <v>14</v>
      </c>
      <c r="I272" s="844"/>
      <c r="J272" s="844"/>
      <c r="K272" s="845"/>
      <c r="L272" s="840">
        <f t="shared" ref="L272:N272" ca="1" si="171">L273+L274</f>
        <v>0</v>
      </c>
      <c r="M272" s="841">
        <f t="shared" ca="1" si="171"/>
        <v>0</v>
      </c>
      <c r="N272" s="841">
        <f t="shared" ca="1" si="171"/>
        <v>0</v>
      </c>
      <c r="O272" s="841">
        <f t="shared" ca="1" si="162"/>
        <v>0</v>
      </c>
      <c r="P272" s="841">
        <f t="shared" ca="1" si="163"/>
        <v>0</v>
      </c>
      <c r="Q272" s="841">
        <f t="shared" ref="Q272:S272" si="172">Q273+Q274</f>
        <v>0</v>
      </c>
      <c r="R272" s="841">
        <f t="shared" si="172"/>
        <v>0</v>
      </c>
      <c r="S272" s="841">
        <f t="shared" si="172"/>
        <v>0</v>
      </c>
      <c r="T272" s="841">
        <f t="shared" si="165"/>
        <v>0</v>
      </c>
      <c r="U272" s="841">
        <f t="shared" si="166"/>
        <v>0</v>
      </c>
    </row>
    <row r="273" spans="1:21" ht="18.75" x14ac:dyDescent="0.25">
      <c r="A273" s="833"/>
      <c r="B273" s="834"/>
      <c r="C273" s="834"/>
      <c r="D273" s="834"/>
      <c r="E273" s="569" t="s">
        <v>20</v>
      </c>
      <c r="F273" s="834"/>
      <c r="G273" s="835"/>
      <c r="H273" s="685" t="s">
        <v>14</v>
      </c>
      <c r="I273" s="846"/>
      <c r="J273" s="846"/>
      <c r="K273" s="847"/>
      <c r="L273" s="571">
        <v>0</v>
      </c>
      <c r="M273" s="572">
        <v>0</v>
      </c>
      <c r="N273" s="572">
        <v>0</v>
      </c>
      <c r="O273" s="572">
        <f t="shared" si="162"/>
        <v>0</v>
      </c>
      <c r="P273" s="572">
        <f t="shared" si="163"/>
        <v>0</v>
      </c>
      <c r="Q273" s="572">
        <v>0</v>
      </c>
      <c r="R273" s="572">
        <v>0</v>
      </c>
      <c r="S273" s="572">
        <v>0</v>
      </c>
      <c r="T273" s="572">
        <f t="shared" si="165"/>
        <v>0</v>
      </c>
      <c r="U273" s="572">
        <f t="shared" si="166"/>
        <v>0</v>
      </c>
    </row>
    <row r="274" spans="1:21" ht="18.75" x14ac:dyDescent="0.25">
      <c r="A274" s="823"/>
      <c r="B274" s="824"/>
      <c r="C274" s="824"/>
      <c r="D274" s="824"/>
      <c r="E274" s="838" t="s">
        <v>21</v>
      </c>
      <c r="F274" s="824"/>
      <c r="G274" s="827"/>
      <c r="H274" s="848" t="s">
        <v>14</v>
      </c>
      <c r="I274" s="844"/>
      <c r="J274" s="844"/>
      <c r="K274" s="845"/>
      <c r="L274" s="840">
        <f ca="1">IFERROR(__xludf.DUMMYFUNCTION("IMPORTRANGE(""https://docs.google.com/spreadsheets/d/1-uDff_7J0KD5mKrp0Vvzr7lt3OU09vwQwhkpOPPYv2Y/edit?usp=sharing"",""งบพรบ!DH24"")"),0)</f>
        <v>0</v>
      </c>
      <c r="M274" s="841">
        <f ca="1">IFERROR(__xludf.DUMMYFUNCTION("IMPORTRANGE(""https://docs.google.com/spreadsheets/d/1-uDff_7J0KD5mKrp0Vvzr7lt3OU09vwQwhkpOPPYv2Y/edit?usp=sharing"",""งบพรบ!DK24"")"),0)</f>
        <v>0</v>
      </c>
      <c r="N274" s="841">
        <f ca="1">IFERROR(__xludf.DUMMYFUNCTION("IMPORTRANGE(""https://docs.google.com/spreadsheets/d/1-uDff_7J0KD5mKrp0Vvzr7lt3OU09vwQwhkpOPPYv2Y/edit?usp=sharing"",""งบพรบ!DM24"")"),0)</f>
        <v>0</v>
      </c>
      <c r="O274" s="841">
        <f t="shared" ca="1" si="162"/>
        <v>0</v>
      </c>
      <c r="P274" s="841">
        <f t="shared" ca="1" si="163"/>
        <v>0</v>
      </c>
      <c r="Q274" s="841">
        <v>0</v>
      </c>
      <c r="R274" s="841">
        <v>0</v>
      </c>
      <c r="S274" s="841">
        <v>0</v>
      </c>
      <c r="T274" s="841">
        <f t="shared" si="165"/>
        <v>0</v>
      </c>
      <c r="U274" s="841">
        <f t="shared" si="166"/>
        <v>0</v>
      </c>
    </row>
    <row r="275" spans="1:21" ht="19.5" x14ac:dyDescent="0.3">
      <c r="A275" s="849"/>
      <c r="B275" s="850"/>
      <c r="C275" s="838" t="s">
        <v>18</v>
      </c>
      <c r="D275" s="851" t="s">
        <v>38</v>
      </c>
      <c r="E275" s="816"/>
      <c r="F275" s="816"/>
      <c r="G275" s="817"/>
      <c r="H275" s="852"/>
      <c r="I275" s="844"/>
      <c r="J275" s="844"/>
      <c r="K275" s="845"/>
      <c r="L275" s="853"/>
      <c r="M275" s="845"/>
      <c r="N275" s="845"/>
      <c r="O275" s="845"/>
      <c r="P275" s="845"/>
      <c r="Q275" s="845"/>
      <c r="R275" s="845"/>
      <c r="S275" s="845"/>
      <c r="T275" s="845"/>
      <c r="U275" s="845"/>
    </row>
    <row r="276" spans="1:21" ht="18.75" x14ac:dyDescent="0.25">
      <c r="A276" s="854"/>
      <c r="B276" s="855"/>
      <c r="C276" s="855"/>
      <c r="D276" s="856" t="s">
        <v>115</v>
      </c>
      <c r="E276" s="857"/>
      <c r="F276" s="857"/>
      <c r="G276" s="858"/>
      <c r="H276" s="859" t="s">
        <v>35</v>
      </c>
      <c r="I276" s="860">
        <f ca="1">IFERROR(__xludf.DUMMYFUNCTION("IMPORTRANGE(""https://docs.google.com/spreadsheets/d/1eHaY18a8A9IcSdp1K8H6x8fbOy06t2VsZHhMHf-1x7Y/edit?usp=sharing"",""แผน!EC24"")"),22)</f>
        <v>22</v>
      </c>
      <c r="J276" s="861">
        <v>0</v>
      </c>
      <c r="K276" s="862">
        <f ca="1">IF(I276&gt;0,J276*100/I276,0)</f>
        <v>0</v>
      </c>
      <c r="L276" s="574"/>
      <c r="M276" s="566"/>
      <c r="N276" s="566"/>
      <c r="O276" s="566"/>
      <c r="P276" s="566"/>
      <c r="Q276" s="566"/>
      <c r="R276" s="566"/>
      <c r="S276" s="566"/>
      <c r="T276" s="566"/>
      <c r="U276" s="566"/>
    </row>
    <row r="277" spans="1:21" ht="18.75" x14ac:dyDescent="0.25">
      <c r="A277" s="863"/>
      <c r="B277" s="864"/>
      <c r="C277" s="864"/>
      <c r="D277" s="865" t="s">
        <v>116</v>
      </c>
      <c r="E277" s="512"/>
      <c r="F277" s="512"/>
      <c r="G277" s="866"/>
      <c r="H277" s="867" t="s">
        <v>35</v>
      </c>
      <c r="I277" s="740">
        <v>0</v>
      </c>
      <c r="J277" s="740">
        <v>0</v>
      </c>
      <c r="K277" s="868">
        <v>0</v>
      </c>
      <c r="L277" s="869"/>
      <c r="M277" s="870"/>
      <c r="N277" s="870"/>
      <c r="O277" s="870"/>
      <c r="P277" s="870"/>
      <c r="Q277" s="870"/>
      <c r="R277" s="870"/>
      <c r="S277" s="870"/>
      <c r="T277" s="870"/>
      <c r="U277" s="870"/>
    </row>
    <row r="278" spans="1:21" ht="19.5" x14ac:dyDescent="0.3">
      <c r="A278" s="871" t="s">
        <v>117</v>
      </c>
      <c r="B278" s="872"/>
      <c r="C278" s="872"/>
      <c r="D278" s="872"/>
      <c r="E278" s="873"/>
      <c r="F278" s="873"/>
      <c r="G278" s="873"/>
      <c r="H278" s="873"/>
      <c r="I278" s="874"/>
      <c r="J278" s="874"/>
      <c r="K278" s="875"/>
      <c r="L278" s="875"/>
      <c r="M278" s="875"/>
      <c r="N278" s="875"/>
      <c r="O278" s="875"/>
      <c r="P278" s="876"/>
      <c r="Q278" s="875"/>
      <c r="R278" s="875"/>
      <c r="S278" s="875"/>
      <c r="T278" s="875"/>
      <c r="U278" s="876"/>
    </row>
    <row r="279" spans="1:21" ht="19.5" x14ac:dyDescent="0.3">
      <c r="A279" s="877" t="s">
        <v>118</v>
      </c>
      <c r="B279" s="878"/>
      <c r="C279" s="879"/>
      <c r="D279" s="878"/>
      <c r="E279" s="878"/>
      <c r="F279" s="878"/>
      <c r="G279" s="878"/>
      <c r="H279" s="878"/>
      <c r="I279" s="880"/>
      <c r="J279" s="881"/>
      <c r="K279" s="882"/>
      <c r="L279" s="883"/>
      <c r="M279" s="882"/>
      <c r="N279" s="882"/>
      <c r="O279" s="882"/>
      <c r="P279" s="882"/>
      <c r="Q279" s="882"/>
      <c r="R279" s="882"/>
      <c r="S279" s="882"/>
      <c r="T279" s="882"/>
      <c r="U279" s="882"/>
    </row>
    <row r="280" spans="1:21" ht="19.5" x14ac:dyDescent="0.3">
      <c r="A280" s="884"/>
      <c r="B280" s="885" t="s">
        <v>119</v>
      </c>
      <c r="C280" s="886"/>
      <c r="D280" s="887"/>
      <c r="E280" s="886"/>
      <c r="F280" s="886"/>
      <c r="G280" s="888"/>
      <c r="H280" s="889" t="s">
        <v>35</v>
      </c>
      <c r="I280" s="890">
        <f t="shared" ref="I280:J280" ca="1" si="173">I293</f>
        <v>10</v>
      </c>
      <c r="J280" s="890">
        <f t="shared" si="173"/>
        <v>10</v>
      </c>
      <c r="K280" s="891">
        <f t="shared" ref="K280:K281" ca="1" si="174">IF(I280&gt;0,J280*100/I280,0)</f>
        <v>100</v>
      </c>
      <c r="L280" s="892"/>
      <c r="M280" s="893"/>
      <c r="N280" s="893"/>
      <c r="O280" s="893"/>
      <c r="P280" s="893"/>
      <c r="Q280" s="893"/>
      <c r="R280" s="893"/>
      <c r="S280" s="893"/>
      <c r="T280" s="893"/>
      <c r="U280" s="893"/>
    </row>
    <row r="281" spans="1:21" ht="19.5" x14ac:dyDescent="0.3">
      <c r="A281" s="884"/>
      <c r="B281" s="886"/>
      <c r="C281" s="886"/>
      <c r="D281" s="887"/>
      <c r="E281" s="886"/>
      <c r="F281" s="886"/>
      <c r="G281" s="888"/>
      <c r="H281" s="889" t="s">
        <v>46</v>
      </c>
      <c r="I281" s="890">
        <f t="shared" ref="I281:J281" ca="1" si="175">I292</f>
        <v>100</v>
      </c>
      <c r="J281" s="890">
        <f t="shared" si="175"/>
        <v>100</v>
      </c>
      <c r="K281" s="891">
        <f t="shared" ca="1" si="174"/>
        <v>100</v>
      </c>
      <c r="L281" s="892"/>
      <c r="M281" s="893"/>
      <c r="N281" s="893"/>
      <c r="O281" s="893"/>
      <c r="P281" s="893"/>
      <c r="Q281" s="893"/>
      <c r="R281" s="893"/>
      <c r="S281" s="893"/>
      <c r="T281" s="893"/>
      <c r="U281" s="893"/>
    </row>
    <row r="282" spans="1:21" ht="19.5" x14ac:dyDescent="0.3">
      <c r="A282" s="674"/>
      <c r="B282" s="561"/>
      <c r="C282" s="675" t="s">
        <v>18</v>
      </c>
      <c r="D282" s="676" t="s">
        <v>19</v>
      </c>
      <c r="E282" s="561"/>
      <c r="F282" s="561"/>
      <c r="G282" s="563"/>
      <c r="H282" s="677" t="s">
        <v>14</v>
      </c>
      <c r="I282" s="565"/>
      <c r="J282" s="565"/>
      <c r="K282" s="566"/>
      <c r="L282" s="678">
        <f t="shared" ref="L282:N282" ca="1" si="176">L283+L284</f>
        <v>56120</v>
      </c>
      <c r="M282" s="679">
        <f t="shared" ca="1" si="176"/>
        <v>56120</v>
      </c>
      <c r="N282" s="679">
        <f t="shared" ca="1" si="176"/>
        <v>51007.47</v>
      </c>
      <c r="O282" s="679">
        <f t="shared" ref="O282:O290" ca="1" si="177">IF(L282&gt;0,N282*100/L282,0)</f>
        <v>90.890003563791879</v>
      </c>
      <c r="P282" s="679">
        <f t="shared" ref="P282:P290" ca="1" si="178">IF(M282&gt;0,N282*100/M282,0)</f>
        <v>90.890003563791879</v>
      </c>
      <c r="Q282" s="679">
        <f t="shared" ref="Q282:S282" si="179">Q283+Q284</f>
        <v>0</v>
      </c>
      <c r="R282" s="679">
        <f t="shared" si="179"/>
        <v>0</v>
      </c>
      <c r="S282" s="679">
        <f t="shared" si="179"/>
        <v>0</v>
      </c>
      <c r="T282" s="679">
        <f t="shared" ref="T282:T290" si="180">IF(Q282&gt;0,S282*100/Q282,0)</f>
        <v>0</v>
      </c>
      <c r="U282" s="679">
        <f t="shared" ref="U282:U290" si="181">IF(R282&gt;0,S282*100/R282,0)</f>
        <v>0</v>
      </c>
    </row>
    <row r="283" spans="1:21" ht="18.75" x14ac:dyDescent="0.25">
      <c r="A283" s="674"/>
      <c r="B283" s="561"/>
      <c r="C283" s="561"/>
      <c r="D283" s="561"/>
      <c r="E283" s="569" t="s">
        <v>20</v>
      </c>
      <c r="F283" s="561"/>
      <c r="G283" s="563"/>
      <c r="H283" s="680" t="s">
        <v>14</v>
      </c>
      <c r="I283" s="565"/>
      <c r="J283" s="565"/>
      <c r="K283" s="566"/>
      <c r="L283" s="571">
        <f t="shared" ref="L283:N284" si="182">L286+L289</f>
        <v>0</v>
      </c>
      <c r="M283" s="572">
        <f t="shared" si="182"/>
        <v>0</v>
      </c>
      <c r="N283" s="572">
        <f t="shared" si="182"/>
        <v>0</v>
      </c>
      <c r="O283" s="572">
        <f t="shared" si="177"/>
        <v>0</v>
      </c>
      <c r="P283" s="572">
        <f t="shared" si="178"/>
        <v>0</v>
      </c>
      <c r="Q283" s="572">
        <f t="shared" ref="Q283:S284" si="183">Q286+Q289</f>
        <v>0</v>
      </c>
      <c r="R283" s="572">
        <f t="shared" si="183"/>
        <v>0</v>
      </c>
      <c r="S283" s="572">
        <f t="shared" si="183"/>
        <v>0</v>
      </c>
      <c r="T283" s="572">
        <f t="shared" si="180"/>
        <v>0</v>
      </c>
      <c r="U283" s="572">
        <f t="shared" si="181"/>
        <v>0</v>
      </c>
    </row>
    <row r="284" spans="1:21" ht="18.75" x14ac:dyDescent="0.25">
      <c r="A284" s="674"/>
      <c r="B284" s="561"/>
      <c r="C284" s="561"/>
      <c r="D284" s="561"/>
      <c r="E284" s="573" t="s">
        <v>21</v>
      </c>
      <c r="F284" s="561"/>
      <c r="G284" s="563"/>
      <c r="H284" s="681" t="s">
        <v>14</v>
      </c>
      <c r="I284" s="565"/>
      <c r="J284" s="565"/>
      <c r="K284" s="566"/>
      <c r="L284" s="567">
        <f t="shared" ca="1" si="182"/>
        <v>56120</v>
      </c>
      <c r="M284" s="568">
        <f t="shared" ca="1" si="182"/>
        <v>56120</v>
      </c>
      <c r="N284" s="568">
        <f t="shared" ca="1" si="182"/>
        <v>51007.47</v>
      </c>
      <c r="O284" s="568">
        <f t="shared" ca="1" si="177"/>
        <v>90.890003563791879</v>
      </c>
      <c r="P284" s="568">
        <f t="shared" ca="1" si="178"/>
        <v>90.890003563791879</v>
      </c>
      <c r="Q284" s="568">
        <f t="shared" si="183"/>
        <v>0</v>
      </c>
      <c r="R284" s="568">
        <f t="shared" si="183"/>
        <v>0</v>
      </c>
      <c r="S284" s="568">
        <f t="shared" si="183"/>
        <v>0</v>
      </c>
      <c r="T284" s="568">
        <f t="shared" si="180"/>
        <v>0</v>
      </c>
      <c r="U284" s="568">
        <f t="shared" si="181"/>
        <v>0</v>
      </c>
    </row>
    <row r="285" spans="1:21" ht="18.75" x14ac:dyDescent="0.25">
      <c r="A285" s="674"/>
      <c r="B285" s="561"/>
      <c r="C285" s="561"/>
      <c r="D285" s="562" t="s">
        <v>22</v>
      </c>
      <c r="E285" s="561"/>
      <c r="F285" s="561"/>
      <c r="G285" s="563"/>
      <c r="H285" s="682" t="s">
        <v>14</v>
      </c>
      <c r="I285" s="683"/>
      <c r="J285" s="683"/>
      <c r="K285" s="684"/>
      <c r="L285" s="567">
        <f t="shared" ref="L285:N285" ca="1" si="184">L286+L287</f>
        <v>56120</v>
      </c>
      <c r="M285" s="568">
        <f t="shared" ca="1" si="184"/>
        <v>56120</v>
      </c>
      <c r="N285" s="568">
        <f t="shared" ca="1" si="184"/>
        <v>51007.47</v>
      </c>
      <c r="O285" s="568">
        <f t="shared" ca="1" si="177"/>
        <v>90.890003563791879</v>
      </c>
      <c r="P285" s="568">
        <f t="shared" ca="1" si="178"/>
        <v>90.890003563791879</v>
      </c>
      <c r="Q285" s="568">
        <f t="shared" ref="Q285:S285" si="185">Q286+Q287</f>
        <v>0</v>
      </c>
      <c r="R285" s="568">
        <f t="shared" si="185"/>
        <v>0</v>
      </c>
      <c r="S285" s="568">
        <f t="shared" si="185"/>
        <v>0</v>
      </c>
      <c r="T285" s="568">
        <f t="shared" si="180"/>
        <v>0</v>
      </c>
      <c r="U285" s="568">
        <f t="shared" si="181"/>
        <v>0</v>
      </c>
    </row>
    <row r="286" spans="1:21" ht="18.75" x14ac:dyDescent="0.25">
      <c r="A286" s="674"/>
      <c r="B286" s="561"/>
      <c r="C286" s="561"/>
      <c r="D286" s="561"/>
      <c r="E286" s="569" t="s">
        <v>36</v>
      </c>
      <c r="F286" s="561"/>
      <c r="G286" s="563"/>
      <c r="H286" s="685" t="s">
        <v>14</v>
      </c>
      <c r="I286" s="683"/>
      <c r="J286" s="683"/>
      <c r="K286" s="684"/>
      <c r="L286" s="571">
        <v>0</v>
      </c>
      <c r="M286" s="572">
        <v>0</v>
      </c>
      <c r="N286" s="572">
        <v>0</v>
      </c>
      <c r="O286" s="572">
        <f t="shared" si="177"/>
        <v>0</v>
      </c>
      <c r="P286" s="572">
        <f t="shared" si="178"/>
        <v>0</v>
      </c>
      <c r="Q286" s="572">
        <v>0</v>
      </c>
      <c r="R286" s="572">
        <v>0</v>
      </c>
      <c r="S286" s="572">
        <v>0</v>
      </c>
      <c r="T286" s="572">
        <f t="shared" si="180"/>
        <v>0</v>
      </c>
      <c r="U286" s="572">
        <f t="shared" si="181"/>
        <v>0</v>
      </c>
    </row>
    <row r="287" spans="1:21" ht="18.75" x14ac:dyDescent="0.25">
      <c r="A287" s="674"/>
      <c r="B287" s="561"/>
      <c r="C287" s="561"/>
      <c r="D287" s="561"/>
      <c r="E287" s="573" t="s">
        <v>37</v>
      </c>
      <c r="F287" s="561"/>
      <c r="G287" s="563"/>
      <c r="H287" s="682" t="s">
        <v>14</v>
      </c>
      <c r="I287" s="683"/>
      <c r="J287" s="683"/>
      <c r="K287" s="684"/>
      <c r="L287" s="567">
        <f ca="1">IFERROR(__xludf.DUMMYFUNCTION("IMPORTRANGE(""https://docs.google.com/spreadsheets/d/1-uDff_7J0KD5mKrp0Vvzr7lt3OU09vwQwhkpOPPYv2Y/edit?usp=sharing"",""งบพรบ!DO24"")"),56120)</f>
        <v>56120</v>
      </c>
      <c r="M287" s="568">
        <f ca="1">IFERROR(__xludf.DUMMYFUNCTION("IMPORTRANGE(""https://docs.google.com/spreadsheets/d/1-uDff_7J0KD5mKrp0Vvzr7lt3OU09vwQwhkpOPPYv2Y/edit?usp=sharing"",""งบพรบ!DT24"")"),56120)</f>
        <v>56120</v>
      </c>
      <c r="N287" s="568">
        <f ca="1">IFERROR(__xludf.DUMMYFUNCTION("IMPORTRANGE(""https://docs.google.com/spreadsheets/d/1-uDff_7J0KD5mKrp0Vvzr7lt3OU09vwQwhkpOPPYv2Y/edit?usp=sharing"",""งบพรบ!DV24"")"),51007.47)</f>
        <v>51007.47</v>
      </c>
      <c r="O287" s="568">
        <f t="shared" ca="1" si="177"/>
        <v>90.890003563791879</v>
      </c>
      <c r="P287" s="568">
        <f t="shared" ca="1" si="178"/>
        <v>90.890003563791879</v>
      </c>
      <c r="Q287" s="568">
        <v>0</v>
      </c>
      <c r="R287" s="568">
        <v>0</v>
      </c>
      <c r="S287" s="568">
        <v>0</v>
      </c>
      <c r="T287" s="572">
        <f t="shared" si="180"/>
        <v>0</v>
      </c>
      <c r="U287" s="572">
        <f t="shared" si="181"/>
        <v>0</v>
      </c>
    </row>
    <row r="288" spans="1:21" ht="18.75" x14ac:dyDescent="0.25">
      <c r="A288" s="674"/>
      <c r="B288" s="561"/>
      <c r="C288" s="561"/>
      <c r="D288" s="562" t="s">
        <v>23</v>
      </c>
      <c r="E288" s="561"/>
      <c r="F288" s="561"/>
      <c r="G288" s="563"/>
      <c r="H288" s="686" t="s">
        <v>14</v>
      </c>
      <c r="I288" s="683"/>
      <c r="J288" s="683"/>
      <c r="K288" s="684"/>
      <c r="L288" s="567">
        <f t="shared" ref="L288:N288" ca="1" si="186">L289+L290</f>
        <v>0</v>
      </c>
      <c r="M288" s="568">
        <f t="shared" ca="1" si="186"/>
        <v>0</v>
      </c>
      <c r="N288" s="568">
        <f t="shared" ca="1" si="186"/>
        <v>0</v>
      </c>
      <c r="O288" s="568">
        <f t="shared" ca="1" si="177"/>
        <v>0</v>
      </c>
      <c r="P288" s="568">
        <f t="shared" ca="1" si="178"/>
        <v>0</v>
      </c>
      <c r="Q288" s="568">
        <f t="shared" ref="Q288:S288" si="187">Q289+Q290</f>
        <v>0</v>
      </c>
      <c r="R288" s="568">
        <f t="shared" si="187"/>
        <v>0</v>
      </c>
      <c r="S288" s="568">
        <f t="shared" si="187"/>
        <v>0</v>
      </c>
      <c r="T288" s="568">
        <f t="shared" si="180"/>
        <v>0</v>
      </c>
      <c r="U288" s="568">
        <f t="shared" si="181"/>
        <v>0</v>
      </c>
    </row>
    <row r="289" spans="1:21" ht="18.75" x14ac:dyDescent="0.25">
      <c r="A289" s="674"/>
      <c r="B289" s="561"/>
      <c r="C289" s="561"/>
      <c r="D289" s="561"/>
      <c r="E289" s="569" t="s">
        <v>20</v>
      </c>
      <c r="F289" s="561"/>
      <c r="G289" s="563"/>
      <c r="H289" s="685" t="s">
        <v>14</v>
      </c>
      <c r="I289" s="683"/>
      <c r="J289" s="683"/>
      <c r="K289" s="684"/>
      <c r="L289" s="571">
        <v>0</v>
      </c>
      <c r="M289" s="572">
        <v>0</v>
      </c>
      <c r="N289" s="572">
        <v>0</v>
      </c>
      <c r="O289" s="572">
        <f t="shared" si="177"/>
        <v>0</v>
      </c>
      <c r="P289" s="572">
        <f t="shared" si="178"/>
        <v>0</v>
      </c>
      <c r="Q289" s="572">
        <v>0</v>
      </c>
      <c r="R289" s="572">
        <v>0</v>
      </c>
      <c r="S289" s="572">
        <v>0</v>
      </c>
      <c r="T289" s="572">
        <f t="shared" si="180"/>
        <v>0</v>
      </c>
      <c r="U289" s="572">
        <f t="shared" si="181"/>
        <v>0</v>
      </c>
    </row>
    <row r="290" spans="1:21" ht="18.75" x14ac:dyDescent="0.25">
      <c r="A290" s="674"/>
      <c r="B290" s="561"/>
      <c r="C290" s="561"/>
      <c r="D290" s="561"/>
      <c r="E290" s="573" t="s">
        <v>21</v>
      </c>
      <c r="F290" s="561"/>
      <c r="G290" s="563"/>
      <c r="H290" s="686" t="s">
        <v>14</v>
      </c>
      <c r="I290" s="683"/>
      <c r="J290" s="683"/>
      <c r="K290" s="684"/>
      <c r="L290" s="567">
        <f ca="1">IFERROR(__xludf.DUMMYFUNCTION("IMPORTRANGE(""https://docs.google.com/spreadsheets/d/1-uDff_7J0KD5mKrp0Vvzr7lt3OU09vwQwhkpOPPYv2Y/edit?usp=sharing"",""งบพรบ!DR24"")"),0)</f>
        <v>0</v>
      </c>
      <c r="M290" s="568">
        <f ca="1">IFERROR(__xludf.DUMMYFUNCTION("IMPORTRANGE(""https://docs.google.com/spreadsheets/d/1-uDff_7J0KD5mKrp0Vvzr7lt3OU09vwQwhkpOPPYv2Y/edit?usp=sharing"",""งบพรบ!DU24"")"),0)</f>
        <v>0</v>
      </c>
      <c r="N290" s="568">
        <f ca="1">IFERROR(__xludf.DUMMYFUNCTION("IMPORTRANGE(""https://docs.google.com/spreadsheets/d/1-uDff_7J0KD5mKrp0Vvzr7lt3OU09vwQwhkpOPPYv2Y/edit?usp=sharing"",""งบพรบ!DW24"")"),0)</f>
        <v>0</v>
      </c>
      <c r="O290" s="568">
        <f t="shared" ca="1" si="177"/>
        <v>0</v>
      </c>
      <c r="P290" s="568">
        <f t="shared" ca="1" si="178"/>
        <v>0</v>
      </c>
      <c r="Q290" s="568">
        <v>0</v>
      </c>
      <c r="R290" s="568">
        <v>0</v>
      </c>
      <c r="S290" s="568">
        <v>0</v>
      </c>
      <c r="T290" s="568">
        <f t="shared" si="180"/>
        <v>0</v>
      </c>
      <c r="U290" s="568">
        <f t="shared" si="181"/>
        <v>0</v>
      </c>
    </row>
    <row r="291" spans="1:21" ht="19.5" x14ac:dyDescent="0.3">
      <c r="A291" s="687"/>
      <c r="B291" s="688"/>
      <c r="C291" s="675" t="s">
        <v>18</v>
      </c>
      <c r="D291" s="689" t="s">
        <v>38</v>
      </c>
      <c r="E291" s="690"/>
      <c r="F291" s="690"/>
      <c r="G291" s="691"/>
      <c r="H291" s="692"/>
      <c r="I291" s="683"/>
      <c r="J291" s="683"/>
      <c r="K291" s="684"/>
      <c r="L291" s="693"/>
      <c r="M291" s="684"/>
      <c r="N291" s="684"/>
      <c r="O291" s="684"/>
      <c r="P291" s="684"/>
      <c r="Q291" s="684"/>
      <c r="R291" s="684"/>
      <c r="S291" s="684"/>
      <c r="T291" s="684"/>
      <c r="U291" s="684"/>
    </row>
    <row r="292" spans="1:21" ht="18.75" x14ac:dyDescent="0.25">
      <c r="A292" s="687"/>
      <c r="B292" s="688"/>
      <c r="C292" s="688"/>
      <c r="D292" s="699" t="s">
        <v>120</v>
      </c>
      <c r="E292" s="688"/>
      <c r="F292" s="695"/>
      <c r="G292" s="692"/>
      <c r="H292" s="704" t="s">
        <v>46</v>
      </c>
      <c r="I292" s="708">
        <f ca="1">IFERROR(__xludf.DUMMYFUNCTION("IMPORTRANGE(""https://docs.google.com/spreadsheets/d/1eHaY18a8A9IcSdp1K8H6x8fbOy06t2VsZHhMHf-1x7Y/edit?usp=sharing"",""แผน!EE24"")"),100)</f>
        <v>100</v>
      </c>
      <c r="J292" s="702">
        <v>100</v>
      </c>
      <c r="K292" s="703">
        <f t="shared" ref="K292:K293" ca="1" si="188">IF(I292&gt;0,J292*100/I292,0)</f>
        <v>100</v>
      </c>
      <c r="L292" s="693"/>
      <c r="M292" s="684"/>
      <c r="N292" s="684"/>
      <c r="O292" s="684"/>
      <c r="P292" s="684"/>
      <c r="Q292" s="684"/>
      <c r="R292" s="684"/>
      <c r="S292" s="684"/>
      <c r="T292" s="684"/>
      <c r="U292" s="684"/>
    </row>
    <row r="293" spans="1:21" ht="19.5" x14ac:dyDescent="0.3">
      <c r="A293" s="687"/>
      <c r="B293" s="688"/>
      <c r="C293" s="688"/>
      <c r="D293" s="699" t="s">
        <v>121</v>
      </c>
      <c r="E293" s="688"/>
      <c r="F293" s="695"/>
      <c r="G293" s="692"/>
      <c r="H293" s="696" t="s">
        <v>35</v>
      </c>
      <c r="I293" s="697">
        <f ca="1">IFERROR(__xludf.DUMMYFUNCTION("IMPORTRANGE(""https://docs.google.com/spreadsheets/d/1eHaY18a8A9IcSdp1K8H6x8fbOy06t2VsZHhMHf-1x7Y/edit?usp=sharing"",""แผน!ED24"")"),10)</f>
        <v>10</v>
      </c>
      <c r="J293" s="697">
        <f>J296</f>
        <v>10</v>
      </c>
      <c r="K293" s="698">
        <f t="shared" ca="1" si="188"/>
        <v>100</v>
      </c>
      <c r="L293" s="693"/>
      <c r="M293" s="684"/>
      <c r="N293" s="684"/>
      <c r="O293" s="684"/>
      <c r="P293" s="684"/>
      <c r="Q293" s="684"/>
      <c r="R293" s="684"/>
      <c r="S293" s="684"/>
      <c r="T293" s="684"/>
      <c r="U293" s="684"/>
    </row>
    <row r="294" spans="1:21" ht="19.5" x14ac:dyDescent="0.3">
      <c r="A294" s="687"/>
      <c r="B294" s="688"/>
      <c r="C294" s="688"/>
      <c r="D294" s="695"/>
      <c r="E294" s="707" t="s">
        <v>303</v>
      </c>
      <c r="F294" s="695"/>
      <c r="G294" s="692"/>
      <c r="H294" s="692"/>
      <c r="I294" s="683"/>
      <c r="J294" s="565"/>
      <c r="K294" s="684"/>
      <c r="L294" s="693"/>
      <c r="M294" s="684"/>
      <c r="N294" s="684"/>
      <c r="O294" s="684"/>
      <c r="P294" s="684"/>
      <c r="Q294" s="684"/>
      <c r="R294" s="684"/>
      <c r="S294" s="684"/>
      <c r="T294" s="684"/>
      <c r="U294" s="684"/>
    </row>
    <row r="295" spans="1:21" ht="19.5" x14ac:dyDescent="0.3">
      <c r="A295" s="687"/>
      <c r="B295" s="688"/>
      <c r="C295" s="688"/>
      <c r="D295" s="695"/>
      <c r="E295" s="699" t="s">
        <v>304</v>
      </c>
      <c r="F295" s="695"/>
      <c r="G295" s="692"/>
      <c r="H295" s="700" t="s">
        <v>35</v>
      </c>
      <c r="I295" s="701">
        <f ca="1">IFERROR(__xludf.DUMMYFUNCTION("IMPORTRANGE(""https://docs.google.com/spreadsheets/d/1eHaY18a8A9IcSdp1K8H6x8fbOy06t2VsZHhMHf-1x7Y/edit?usp=sharing"",""แผน!ED24"")"),10)</f>
        <v>10</v>
      </c>
      <c r="J295" s="702">
        <v>10</v>
      </c>
      <c r="K295" s="703">
        <f t="shared" ref="K295:K296" ca="1" si="189">IF(I295&gt;0,J295*100/I295,0)</f>
        <v>100</v>
      </c>
      <c r="L295" s="693"/>
      <c r="M295" s="684"/>
      <c r="N295" s="684"/>
      <c r="O295" s="684"/>
      <c r="P295" s="684"/>
      <c r="Q295" s="684"/>
      <c r="R295" s="684"/>
      <c r="S295" s="684"/>
      <c r="T295" s="684"/>
      <c r="U295" s="684"/>
    </row>
    <row r="296" spans="1:21" ht="19.5" x14ac:dyDescent="0.3">
      <c r="A296" s="687"/>
      <c r="B296" s="688"/>
      <c r="C296" s="688"/>
      <c r="D296" s="695"/>
      <c r="E296" s="699" t="s">
        <v>305</v>
      </c>
      <c r="F296" s="695"/>
      <c r="G296" s="692"/>
      <c r="H296" s="700" t="s">
        <v>35</v>
      </c>
      <c r="I296" s="701">
        <f ca="1">IFERROR(__xludf.DUMMYFUNCTION("IMPORTRANGE(""https://docs.google.com/spreadsheets/d/1eHaY18a8A9IcSdp1K8H6x8fbOy06t2VsZHhMHf-1x7Y/edit?usp=sharing"",""แผน!ED24"")"),10)</f>
        <v>10</v>
      </c>
      <c r="J296" s="702">
        <v>10</v>
      </c>
      <c r="K296" s="703">
        <f t="shared" ca="1" si="189"/>
        <v>100</v>
      </c>
      <c r="L296" s="693"/>
      <c r="M296" s="684"/>
      <c r="N296" s="684"/>
      <c r="O296" s="684"/>
      <c r="P296" s="684"/>
      <c r="Q296" s="684"/>
      <c r="R296" s="684"/>
      <c r="S296" s="684"/>
      <c r="T296" s="684"/>
      <c r="U296" s="684"/>
    </row>
    <row r="297" spans="1:21" ht="12.75" x14ac:dyDescent="0.2">
      <c r="A297" s="705"/>
      <c r="B297" s="706"/>
      <c r="C297" s="706"/>
      <c r="D297" s="531"/>
      <c r="E297" s="531"/>
      <c r="F297" s="531"/>
      <c r="G297" s="532"/>
      <c r="H297" s="532"/>
      <c r="I297" s="533"/>
      <c r="J297" s="533"/>
      <c r="K297" s="534"/>
      <c r="L297" s="535"/>
      <c r="M297" s="534"/>
      <c r="N297" s="534"/>
      <c r="O297" s="534"/>
      <c r="P297" s="534"/>
      <c r="Q297" s="534"/>
      <c r="R297" s="534"/>
      <c r="S297" s="534"/>
      <c r="T297" s="534"/>
      <c r="U297" s="534"/>
    </row>
    <row r="298" spans="1:21" ht="12.75" x14ac:dyDescent="0.2">
      <c r="A298" s="705"/>
      <c r="B298" s="706"/>
      <c r="C298" s="706"/>
      <c r="D298" s="531"/>
      <c r="E298" s="531"/>
      <c r="F298" s="531"/>
      <c r="G298" s="532"/>
      <c r="H298" s="532"/>
      <c r="I298" s="533"/>
      <c r="J298" s="533"/>
      <c r="K298" s="534"/>
      <c r="L298" s="535"/>
      <c r="M298" s="534"/>
      <c r="N298" s="534"/>
      <c r="O298" s="534"/>
      <c r="P298" s="534"/>
      <c r="Q298" s="534"/>
      <c r="R298" s="534"/>
      <c r="S298" s="534"/>
      <c r="T298" s="534"/>
      <c r="U298" s="534"/>
    </row>
    <row r="299" spans="1:21" ht="12.75" x14ac:dyDescent="0.2">
      <c r="A299" s="894"/>
      <c r="B299" s="895"/>
      <c r="C299" s="895"/>
      <c r="D299" s="537"/>
      <c r="E299" s="537"/>
      <c r="F299" s="537"/>
      <c r="G299" s="526"/>
      <c r="H299" s="526"/>
      <c r="I299" s="527"/>
      <c r="J299" s="527"/>
      <c r="K299" s="528"/>
      <c r="L299" s="529"/>
      <c r="M299" s="528"/>
      <c r="N299" s="528"/>
      <c r="O299" s="528"/>
      <c r="P299" s="528"/>
      <c r="Q299" s="528"/>
      <c r="R299" s="528"/>
      <c r="S299" s="528"/>
      <c r="T299" s="528"/>
      <c r="U299" s="528"/>
    </row>
    <row r="300" spans="1:21" ht="19.5" x14ac:dyDescent="0.3">
      <c r="A300" s="896" t="s">
        <v>125</v>
      </c>
      <c r="B300" s="897"/>
      <c r="C300" s="897"/>
      <c r="D300" s="897"/>
      <c r="E300" s="898"/>
      <c r="F300" s="898"/>
      <c r="G300" s="898"/>
      <c r="H300" s="898"/>
      <c r="I300" s="899"/>
      <c r="J300" s="899"/>
      <c r="K300" s="900"/>
      <c r="L300" s="900"/>
      <c r="M300" s="900"/>
      <c r="N300" s="900"/>
      <c r="O300" s="900"/>
      <c r="P300" s="901"/>
      <c r="Q300" s="900"/>
      <c r="R300" s="900"/>
      <c r="S300" s="900"/>
      <c r="T300" s="900"/>
      <c r="U300" s="901"/>
    </row>
    <row r="301" spans="1:21" ht="19.5" x14ac:dyDescent="0.3">
      <c r="A301" s="902" t="s">
        <v>126</v>
      </c>
      <c r="B301" s="903"/>
      <c r="C301" s="903"/>
      <c r="D301" s="904"/>
      <c r="E301" s="904"/>
      <c r="F301" s="904"/>
      <c r="G301" s="905"/>
      <c r="H301" s="905"/>
      <c r="I301" s="906"/>
      <c r="J301" s="906"/>
      <c r="K301" s="907"/>
      <c r="L301" s="908"/>
      <c r="M301" s="907"/>
      <c r="N301" s="907"/>
      <c r="O301" s="907"/>
      <c r="P301" s="907"/>
      <c r="Q301" s="907"/>
      <c r="R301" s="907"/>
      <c r="S301" s="907"/>
      <c r="T301" s="907"/>
      <c r="U301" s="907"/>
    </row>
    <row r="302" spans="1:21" ht="19.5" x14ac:dyDescent="0.3">
      <c r="A302" s="909"/>
      <c r="B302" s="910" t="s">
        <v>127</v>
      </c>
      <c r="C302" s="911"/>
      <c r="D302" s="911"/>
      <c r="E302" s="911"/>
      <c r="F302" s="911"/>
      <c r="G302" s="912"/>
      <c r="H302" s="913" t="s">
        <v>35</v>
      </c>
      <c r="I302" s="914">
        <f t="shared" ref="I302:J302" ca="1" si="190">I314</f>
        <v>30</v>
      </c>
      <c r="J302" s="914">
        <f t="shared" si="190"/>
        <v>30</v>
      </c>
      <c r="K302" s="915">
        <f ca="1">IF(I302&gt;0,J302*100/I302,0)</f>
        <v>100</v>
      </c>
      <c r="L302" s="916"/>
      <c r="M302" s="917"/>
      <c r="N302" s="917"/>
      <c r="O302" s="917"/>
      <c r="P302" s="917"/>
      <c r="Q302" s="917"/>
      <c r="R302" s="917"/>
      <c r="S302" s="917"/>
      <c r="T302" s="917"/>
      <c r="U302" s="917"/>
    </row>
    <row r="303" spans="1:21" ht="19.5" x14ac:dyDescent="0.3">
      <c r="A303" s="674"/>
      <c r="B303" s="561"/>
      <c r="C303" s="675" t="s">
        <v>18</v>
      </c>
      <c r="D303" s="676" t="s">
        <v>19</v>
      </c>
      <c r="E303" s="561"/>
      <c r="F303" s="561"/>
      <c r="G303" s="563"/>
      <c r="H303" s="677" t="s">
        <v>14</v>
      </c>
      <c r="I303" s="565"/>
      <c r="J303" s="565"/>
      <c r="K303" s="566"/>
      <c r="L303" s="678">
        <f t="shared" ref="L303:N303" ca="1" si="191">L304+L305</f>
        <v>0</v>
      </c>
      <c r="M303" s="679">
        <f t="shared" ca="1" si="191"/>
        <v>0</v>
      </c>
      <c r="N303" s="679">
        <f t="shared" ca="1" si="191"/>
        <v>0</v>
      </c>
      <c r="O303" s="679">
        <f t="shared" ref="O303:O311" ca="1" si="192">IF(L303&gt;0,N303*100/L303,0)</f>
        <v>0</v>
      </c>
      <c r="P303" s="679">
        <f t="shared" ref="P303:P311" ca="1" si="193">IF(M303&gt;0,N303*100/M303,0)</f>
        <v>0</v>
      </c>
      <c r="Q303" s="679">
        <f t="shared" ref="Q303:S303" ca="1" si="194">Q304+Q305</f>
        <v>260958.39</v>
      </c>
      <c r="R303" s="679">
        <f t="shared" ca="1" si="194"/>
        <v>260958</v>
      </c>
      <c r="S303" s="679">
        <f t="shared" ca="1" si="194"/>
        <v>51605</v>
      </c>
      <c r="T303" s="679">
        <f t="shared" ref="T303:T311" ca="1" si="195">IF(Q303&gt;0,S303*100/Q303,0)</f>
        <v>19.775183315623611</v>
      </c>
      <c r="U303" s="679">
        <f t="shared" ref="U303:U311" ca="1" si="196">IF(R303&gt;0,S303*100/R303,0)</f>
        <v>19.775212869503903</v>
      </c>
    </row>
    <row r="304" spans="1:21" ht="18.75" x14ac:dyDescent="0.25">
      <c r="A304" s="674"/>
      <c r="B304" s="561"/>
      <c r="C304" s="561"/>
      <c r="D304" s="561"/>
      <c r="E304" s="569" t="s">
        <v>20</v>
      </c>
      <c r="F304" s="561"/>
      <c r="G304" s="563"/>
      <c r="H304" s="680" t="s">
        <v>14</v>
      </c>
      <c r="I304" s="565"/>
      <c r="J304" s="565"/>
      <c r="K304" s="566"/>
      <c r="L304" s="571">
        <f t="shared" ref="L304:N305" si="197">L307+L310</f>
        <v>0</v>
      </c>
      <c r="M304" s="572">
        <f t="shared" si="197"/>
        <v>0</v>
      </c>
      <c r="N304" s="572">
        <f t="shared" si="197"/>
        <v>0</v>
      </c>
      <c r="O304" s="572">
        <f t="shared" si="192"/>
        <v>0</v>
      </c>
      <c r="P304" s="572">
        <f t="shared" si="193"/>
        <v>0</v>
      </c>
      <c r="Q304" s="572">
        <f t="shared" ref="Q304:S305" si="198">Q307+Q310</f>
        <v>0</v>
      </c>
      <c r="R304" s="572">
        <f t="shared" si="198"/>
        <v>0</v>
      </c>
      <c r="S304" s="572">
        <f t="shared" si="198"/>
        <v>0</v>
      </c>
      <c r="T304" s="572">
        <f t="shared" si="195"/>
        <v>0</v>
      </c>
      <c r="U304" s="572">
        <f t="shared" si="196"/>
        <v>0</v>
      </c>
    </row>
    <row r="305" spans="1:21" ht="18.75" x14ac:dyDescent="0.25">
      <c r="A305" s="674"/>
      <c r="B305" s="561"/>
      <c r="C305" s="561"/>
      <c r="D305" s="561"/>
      <c r="E305" s="573" t="s">
        <v>21</v>
      </c>
      <c r="F305" s="561"/>
      <c r="G305" s="563"/>
      <c r="H305" s="681" t="s">
        <v>14</v>
      </c>
      <c r="I305" s="565"/>
      <c r="J305" s="565"/>
      <c r="K305" s="566"/>
      <c r="L305" s="567">
        <f t="shared" ca="1" si="197"/>
        <v>0</v>
      </c>
      <c r="M305" s="568">
        <f t="shared" ca="1" si="197"/>
        <v>0</v>
      </c>
      <c r="N305" s="568">
        <f t="shared" ca="1" si="197"/>
        <v>0</v>
      </c>
      <c r="O305" s="568">
        <f t="shared" ca="1" si="192"/>
        <v>0</v>
      </c>
      <c r="P305" s="568">
        <f t="shared" ca="1" si="193"/>
        <v>0</v>
      </c>
      <c r="Q305" s="568">
        <f t="shared" ca="1" si="198"/>
        <v>260958.39</v>
      </c>
      <c r="R305" s="568">
        <f t="shared" ca="1" si="198"/>
        <v>260958</v>
      </c>
      <c r="S305" s="568">
        <f t="shared" ca="1" si="198"/>
        <v>51605</v>
      </c>
      <c r="T305" s="568">
        <f t="shared" ca="1" si="195"/>
        <v>19.775183315623611</v>
      </c>
      <c r="U305" s="568">
        <f t="shared" ca="1" si="196"/>
        <v>19.775212869503903</v>
      </c>
    </row>
    <row r="306" spans="1:21" ht="18.75" x14ac:dyDescent="0.25">
      <c r="A306" s="674"/>
      <c r="B306" s="561"/>
      <c r="C306" s="561"/>
      <c r="D306" s="562" t="s">
        <v>22</v>
      </c>
      <c r="E306" s="561"/>
      <c r="F306" s="561"/>
      <c r="G306" s="563"/>
      <c r="H306" s="682" t="s">
        <v>14</v>
      </c>
      <c r="I306" s="683"/>
      <c r="J306" s="683"/>
      <c r="K306" s="684"/>
      <c r="L306" s="567">
        <f t="shared" ref="L306:N306" ca="1" si="199">L307+L308</f>
        <v>0</v>
      </c>
      <c r="M306" s="568">
        <f t="shared" ca="1" si="199"/>
        <v>0</v>
      </c>
      <c r="N306" s="568">
        <f t="shared" ca="1" si="199"/>
        <v>0</v>
      </c>
      <c r="O306" s="568">
        <f t="shared" ca="1" si="192"/>
        <v>0</v>
      </c>
      <c r="P306" s="568">
        <f t="shared" ca="1" si="193"/>
        <v>0</v>
      </c>
      <c r="Q306" s="568">
        <f t="shared" ref="Q306:S306" ca="1" si="200">Q307+Q308</f>
        <v>260958.39</v>
      </c>
      <c r="R306" s="568">
        <f t="shared" ca="1" si="200"/>
        <v>260958</v>
      </c>
      <c r="S306" s="568">
        <f t="shared" ca="1" si="200"/>
        <v>51605</v>
      </c>
      <c r="T306" s="568">
        <f t="shared" ca="1" si="195"/>
        <v>19.775183315623611</v>
      </c>
      <c r="U306" s="568">
        <f t="shared" ca="1" si="196"/>
        <v>19.775212869503903</v>
      </c>
    </row>
    <row r="307" spans="1:21" ht="18.75" x14ac:dyDescent="0.25">
      <c r="A307" s="674"/>
      <c r="B307" s="561"/>
      <c r="C307" s="561"/>
      <c r="D307" s="561"/>
      <c r="E307" s="569" t="s">
        <v>36</v>
      </c>
      <c r="F307" s="561"/>
      <c r="G307" s="563"/>
      <c r="H307" s="685" t="s">
        <v>14</v>
      </c>
      <c r="I307" s="683"/>
      <c r="J307" s="683"/>
      <c r="K307" s="684"/>
      <c r="L307" s="571">
        <v>0</v>
      </c>
      <c r="M307" s="572">
        <v>0</v>
      </c>
      <c r="N307" s="572">
        <v>0</v>
      </c>
      <c r="O307" s="572">
        <f t="shared" si="192"/>
        <v>0</v>
      </c>
      <c r="P307" s="572">
        <f t="shared" si="193"/>
        <v>0</v>
      </c>
      <c r="Q307" s="572">
        <v>0</v>
      </c>
      <c r="R307" s="572">
        <v>0</v>
      </c>
      <c r="S307" s="572">
        <v>0</v>
      </c>
      <c r="T307" s="572">
        <f t="shared" si="195"/>
        <v>0</v>
      </c>
      <c r="U307" s="572">
        <f t="shared" si="196"/>
        <v>0</v>
      </c>
    </row>
    <row r="308" spans="1:21" ht="18.75" x14ac:dyDescent="0.25">
      <c r="A308" s="674"/>
      <c r="B308" s="561"/>
      <c r="C308" s="561"/>
      <c r="D308" s="561"/>
      <c r="E308" s="573" t="s">
        <v>37</v>
      </c>
      <c r="F308" s="561"/>
      <c r="G308" s="563"/>
      <c r="H308" s="682" t="s">
        <v>14</v>
      </c>
      <c r="I308" s="683"/>
      <c r="J308" s="683"/>
      <c r="K308" s="684"/>
      <c r="L308" s="567">
        <f ca="1">IFERROR(__xludf.DUMMYFUNCTION("IMPORTRANGE(""https://docs.google.com/spreadsheets/d/1-uDff_7J0KD5mKrp0Vvzr7lt3OU09vwQwhkpOPPYv2Y/edit?usp=sharing"",""งบพรบ!DY24"")"),0)</f>
        <v>0</v>
      </c>
      <c r="M308" s="568">
        <f ca="1">IFERROR(__xludf.DUMMYFUNCTION("IMPORTRANGE(""https://docs.google.com/spreadsheets/d/1-uDff_7J0KD5mKrp0Vvzr7lt3OU09vwQwhkpOPPYv2Y/edit?usp=sharing"",""งบพรบ!ED24"")"),0)</f>
        <v>0</v>
      </c>
      <c r="N308" s="568">
        <f ca="1">IFERROR(__xludf.DUMMYFUNCTION("IMPORTRANGE(""https://docs.google.com/spreadsheets/d/1-uDff_7J0KD5mKrp0Vvzr7lt3OU09vwQwhkpOPPYv2Y/edit?usp=sharing"",""งบพรบ!EF24"")"),0)</f>
        <v>0</v>
      </c>
      <c r="O308" s="568">
        <f t="shared" ca="1" si="192"/>
        <v>0</v>
      </c>
      <c r="P308" s="568">
        <f t="shared" ca="1" si="193"/>
        <v>0</v>
      </c>
      <c r="Q308" s="568">
        <f ca="1">IFERROR(__xludf.DUMMYFUNCTION("IMPORTRANGE(""https://docs.google.com/spreadsheets/d/1ItG2mGa2ceCfYo0BwxsXqNm01IGEUdYcSSLTEv9YCik/edit?usp=sharing"",""เบิกจ่ายกองทุน!BB24"")"),260958.39)</f>
        <v>260958.39</v>
      </c>
      <c r="R308" s="568">
        <f ca="1">IFERROR(__xludf.DUMMYFUNCTION("IMPORTRANGE(""https://docs.google.com/spreadsheets/d/1ItG2mGa2ceCfYo0BwxsXqNm01IGEUdYcSSLTEv9YCik/edit?usp=sharing"",""เบิกจ่ายกองทุน!BC24"")"),260958)</f>
        <v>260958</v>
      </c>
      <c r="S308" s="568">
        <f ca="1">IFERROR(__xludf.DUMMYFUNCTION("IMPORTRANGE(""https://docs.google.com/spreadsheets/d/1ItG2mGa2ceCfYo0BwxsXqNm01IGEUdYcSSLTEv9YCik/edit?usp=sharing"",""เบิกจ่ายกองทุน!BD24"")"),51605)</f>
        <v>51605</v>
      </c>
      <c r="T308" s="568">
        <f t="shared" ca="1" si="195"/>
        <v>19.775183315623611</v>
      </c>
      <c r="U308" s="568">
        <f t="shared" ca="1" si="196"/>
        <v>19.775212869503903</v>
      </c>
    </row>
    <row r="309" spans="1:21" ht="18.75" x14ac:dyDescent="0.25">
      <c r="A309" s="674"/>
      <c r="B309" s="561"/>
      <c r="C309" s="561"/>
      <c r="D309" s="562" t="s">
        <v>23</v>
      </c>
      <c r="E309" s="561"/>
      <c r="F309" s="561"/>
      <c r="G309" s="563"/>
      <c r="H309" s="686" t="s">
        <v>14</v>
      </c>
      <c r="I309" s="683"/>
      <c r="J309" s="683"/>
      <c r="K309" s="684"/>
      <c r="L309" s="567">
        <f t="shared" ref="L309:N309" ca="1" si="201">L310+L311</f>
        <v>0</v>
      </c>
      <c r="M309" s="568">
        <f t="shared" ca="1" si="201"/>
        <v>0</v>
      </c>
      <c r="N309" s="568">
        <f t="shared" ca="1" si="201"/>
        <v>0</v>
      </c>
      <c r="O309" s="568">
        <f t="shared" ca="1" si="192"/>
        <v>0</v>
      </c>
      <c r="P309" s="568">
        <f t="shared" ca="1" si="193"/>
        <v>0</v>
      </c>
      <c r="Q309" s="568">
        <f t="shared" ref="Q309:S309" si="202">Q310+Q311</f>
        <v>0</v>
      </c>
      <c r="R309" s="568">
        <f t="shared" si="202"/>
        <v>0</v>
      </c>
      <c r="S309" s="568">
        <f t="shared" si="202"/>
        <v>0</v>
      </c>
      <c r="T309" s="568">
        <f t="shared" si="195"/>
        <v>0</v>
      </c>
      <c r="U309" s="568">
        <f t="shared" si="196"/>
        <v>0</v>
      </c>
    </row>
    <row r="310" spans="1:21" ht="18.75" x14ac:dyDescent="0.25">
      <c r="A310" s="674"/>
      <c r="B310" s="561"/>
      <c r="C310" s="561"/>
      <c r="D310" s="561"/>
      <c r="E310" s="569" t="s">
        <v>20</v>
      </c>
      <c r="F310" s="561"/>
      <c r="G310" s="563"/>
      <c r="H310" s="685" t="s">
        <v>14</v>
      </c>
      <c r="I310" s="683"/>
      <c r="J310" s="683"/>
      <c r="K310" s="684"/>
      <c r="L310" s="571">
        <v>0</v>
      </c>
      <c r="M310" s="572">
        <v>0</v>
      </c>
      <c r="N310" s="572">
        <v>0</v>
      </c>
      <c r="O310" s="572">
        <f t="shared" si="192"/>
        <v>0</v>
      </c>
      <c r="P310" s="572">
        <f t="shared" si="193"/>
        <v>0</v>
      </c>
      <c r="Q310" s="572">
        <v>0</v>
      </c>
      <c r="R310" s="572">
        <v>0</v>
      </c>
      <c r="S310" s="572">
        <v>0</v>
      </c>
      <c r="T310" s="572">
        <f t="shared" si="195"/>
        <v>0</v>
      </c>
      <c r="U310" s="572">
        <f t="shared" si="196"/>
        <v>0</v>
      </c>
    </row>
    <row r="311" spans="1:21" ht="18.75" x14ac:dyDescent="0.25">
      <c r="A311" s="674"/>
      <c r="B311" s="561"/>
      <c r="C311" s="561"/>
      <c r="D311" s="561"/>
      <c r="E311" s="573" t="s">
        <v>21</v>
      </c>
      <c r="F311" s="561"/>
      <c r="G311" s="563"/>
      <c r="H311" s="686" t="s">
        <v>14</v>
      </c>
      <c r="I311" s="683"/>
      <c r="J311" s="683"/>
      <c r="K311" s="684"/>
      <c r="L311" s="567">
        <f ca="1">IFERROR(__xludf.DUMMYFUNCTION("IMPORTRANGE(""https://docs.google.com/spreadsheets/d/1-uDff_7J0KD5mKrp0Vvzr7lt3OU09vwQwhkpOPPYv2Y/edit?usp=sharing"",""งบพรบ!EB24"")"),0)</f>
        <v>0</v>
      </c>
      <c r="M311" s="568">
        <f ca="1">IFERROR(__xludf.DUMMYFUNCTION("IMPORTRANGE(""https://docs.google.com/spreadsheets/d/1-uDff_7J0KD5mKrp0Vvzr7lt3OU09vwQwhkpOPPYv2Y/edit?usp=sharing"",""งบพรบ!EE24"")"),0)</f>
        <v>0</v>
      </c>
      <c r="N311" s="568">
        <f ca="1">IFERROR(__xludf.DUMMYFUNCTION("IMPORTRANGE(""https://docs.google.com/spreadsheets/d/1-uDff_7J0KD5mKrp0Vvzr7lt3OU09vwQwhkpOPPYv2Y/edit?usp=sharing"",""งบพรบ!EG24"")"),0)</f>
        <v>0</v>
      </c>
      <c r="O311" s="568">
        <f t="shared" ca="1" si="192"/>
        <v>0</v>
      </c>
      <c r="P311" s="568">
        <f t="shared" ca="1" si="193"/>
        <v>0</v>
      </c>
      <c r="Q311" s="568">
        <v>0</v>
      </c>
      <c r="R311" s="568">
        <v>0</v>
      </c>
      <c r="S311" s="568">
        <v>0</v>
      </c>
      <c r="T311" s="568">
        <f t="shared" si="195"/>
        <v>0</v>
      </c>
      <c r="U311" s="568">
        <f t="shared" si="196"/>
        <v>0</v>
      </c>
    </row>
    <row r="312" spans="1:21" ht="19.5" x14ac:dyDescent="0.3">
      <c r="A312" s="687"/>
      <c r="B312" s="688"/>
      <c r="C312" s="675" t="s">
        <v>18</v>
      </c>
      <c r="D312" s="689" t="s">
        <v>38</v>
      </c>
      <c r="E312" s="690"/>
      <c r="F312" s="690"/>
      <c r="G312" s="691"/>
      <c r="H312" s="692"/>
      <c r="I312" s="565"/>
      <c r="J312" s="565"/>
      <c r="K312" s="566"/>
      <c r="L312" s="574"/>
      <c r="M312" s="566"/>
      <c r="N312" s="566"/>
      <c r="O312" s="566"/>
      <c r="P312" s="566"/>
      <c r="Q312" s="566"/>
      <c r="R312" s="566"/>
      <c r="S312" s="566"/>
      <c r="T312" s="566"/>
      <c r="U312" s="566"/>
    </row>
    <row r="313" spans="1:21" ht="18.75" x14ac:dyDescent="0.25">
      <c r="A313" s="705"/>
      <c r="B313" s="706"/>
      <c r="C313" s="706"/>
      <c r="D313" s="918"/>
      <c r="E313" s="531"/>
      <c r="F313" s="531"/>
      <c r="G313" s="532"/>
      <c r="H313" s="532"/>
      <c r="I313" s="533"/>
      <c r="J313" s="919"/>
      <c r="K313" s="534"/>
      <c r="L313" s="535"/>
      <c r="M313" s="534"/>
      <c r="N313" s="534"/>
      <c r="O313" s="534"/>
      <c r="P313" s="534"/>
      <c r="Q313" s="534"/>
      <c r="R313" s="534"/>
      <c r="S313" s="534"/>
      <c r="T313" s="534"/>
      <c r="U313" s="534"/>
    </row>
    <row r="314" spans="1:21" ht="18.75" x14ac:dyDescent="0.25">
      <c r="A314" s="687"/>
      <c r="B314" s="688"/>
      <c r="C314" s="688"/>
      <c r="D314" s="699" t="s">
        <v>121</v>
      </c>
      <c r="E314" s="695"/>
      <c r="F314" s="695"/>
      <c r="G314" s="692"/>
      <c r="H314" s="700" t="s">
        <v>35</v>
      </c>
      <c r="I314" s="708">
        <f ca="1">IFERROR(__xludf.DUMMYFUNCTION("IMPORTRANGE(""https://docs.google.com/spreadsheets/d/1eHaY18a8A9IcSdp1K8H6x8fbOy06t2VsZHhMHf-1x7Y/edit?usp=sharing"",""แผน!EF24"")"),30)</f>
        <v>30</v>
      </c>
      <c r="J314" s="702">
        <v>30</v>
      </c>
      <c r="K314" s="568">
        <f ca="1">IF(I314&gt;0,J314*100/I314,0)</f>
        <v>100</v>
      </c>
      <c r="L314" s="574"/>
      <c r="M314" s="566"/>
      <c r="N314" s="566"/>
      <c r="O314" s="566"/>
      <c r="P314" s="566"/>
      <c r="Q314" s="566"/>
      <c r="R314" s="566"/>
      <c r="S314" s="566"/>
      <c r="T314" s="566"/>
      <c r="U314" s="566"/>
    </row>
    <row r="315" spans="1:21" ht="18.75" x14ac:dyDescent="0.25">
      <c r="A315" s="705"/>
      <c r="B315" s="706"/>
      <c r="C315" s="706"/>
      <c r="D315" s="918"/>
      <c r="E315" s="531"/>
      <c r="F315" s="531"/>
      <c r="G315" s="532"/>
      <c r="H315" s="920"/>
      <c r="I315" s="919"/>
      <c r="J315" s="919"/>
      <c r="K315" s="921"/>
      <c r="L315" s="535"/>
      <c r="M315" s="534"/>
      <c r="N315" s="534"/>
      <c r="O315" s="534"/>
      <c r="P315" s="534"/>
      <c r="Q315" s="534"/>
      <c r="R315" s="534"/>
      <c r="S315" s="534"/>
      <c r="T315" s="534"/>
      <c r="U315" s="534"/>
    </row>
    <row r="316" spans="1:21" ht="18.75" x14ac:dyDescent="0.25">
      <c r="A316" s="705"/>
      <c r="B316" s="706"/>
      <c r="C316" s="706"/>
      <c r="D316" s="918"/>
      <c r="E316" s="531"/>
      <c r="F316" s="531"/>
      <c r="G316" s="532"/>
      <c r="H316" s="920"/>
      <c r="I316" s="919"/>
      <c r="J316" s="919"/>
      <c r="K316" s="921"/>
      <c r="L316" s="535"/>
      <c r="M316" s="534"/>
      <c r="N316" s="534"/>
      <c r="O316" s="534"/>
      <c r="P316" s="534"/>
      <c r="Q316" s="534"/>
      <c r="R316" s="534"/>
      <c r="S316" s="534"/>
      <c r="T316" s="534"/>
      <c r="U316" s="534"/>
    </row>
    <row r="317" spans="1:21" ht="18.75" x14ac:dyDescent="0.25">
      <c r="A317" s="705"/>
      <c r="B317" s="706"/>
      <c r="C317" s="706"/>
      <c r="D317" s="922"/>
      <c r="E317" s="531"/>
      <c r="F317" s="531"/>
      <c r="G317" s="532"/>
      <c r="H317" s="923"/>
      <c r="I317" s="924"/>
      <c r="J317" s="924"/>
      <c r="K317" s="925"/>
      <c r="L317" s="535"/>
      <c r="M317" s="534"/>
      <c r="N317" s="534"/>
      <c r="O317" s="534"/>
      <c r="P317" s="534"/>
      <c r="Q317" s="534"/>
      <c r="R317" s="534"/>
      <c r="S317" s="534"/>
      <c r="T317" s="534"/>
      <c r="U317" s="534"/>
    </row>
    <row r="318" spans="1:21" ht="19.5" x14ac:dyDescent="0.3">
      <c r="A318" s="902" t="s">
        <v>131</v>
      </c>
      <c r="B318" s="903"/>
      <c r="C318" s="903"/>
      <c r="D318" s="904"/>
      <c r="E318" s="903"/>
      <c r="F318" s="903"/>
      <c r="G318" s="903"/>
      <c r="H318" s="904"/>
      <c r="I318" s="906"/>
      <c r="J318" s="906"/>
      <c r="K318" s="907"/>
      <c r="L318" s="908"/>
      <c r="M318" s="907"/>
      <c r="N318" s="907"/>
      <c r="O318" s="907"/>
      <c r="P318" s="907"/>
      <c r="Q318" s="907"/>
      <c r="R318" s="907"/>
      <c r="S318" s="907"/>
      <c r="T318" s="907"/>
      <c r="U318" s="907"/>
    </row>
    <row r="319" spans="1:21" ht="19.5" x14ac:dyDescent="0.3">
      <c r="A319" s="926"/>
      <c r="B319" s="910" t="s">
        <v>132</v>
      </c>
      <c r="C319" s="927"/>
      <c r="D319" s="928"/>
      <c r="E319" s="911"/>
      <c r="F319" s="911"/>
      <c r="G319" s="912"/>
      <c r="H319" s="913" t="s">
        <v>133</v>
      </c>
      <c r="I319" s="914">
        <f t="shared" ref="I319:J319" ca="1" si="203">I330</f>
        <v>0</v>
      </c>
      <c r="J319" s="914">
        <f t="shared" si="203"/>
        <v>0</v>
      </c>
      <c r="K319" s="915">
        <f ca="1">IF(I319&gt;0,J319*100/I319,0)</f>
        <v>0</v>
      </c>
      <c r="L319" s="916"/>
      <c r="M319" s="917"/>
      <c r="N319" s="917"/>
      <c r="O319" s="917"/>
      <c r="P319" s="917"/>
      <c r="Q319" s="917"/>
      <c r="R319" s="917"/>
      <c r="S319" s="917"/>
      <c r="T319" s="917"/>
      <c r="U319" s="917"/>
    </row>
    <row r="320" spans="1:21" ht="19.5" x14ac:dyDescent="0.3">
      <c r="A320" s="674"/>
      <c r="B320" s="561"/>
      <c r="C320" s="675" t="s">
        <v>18</v>
      </c>
      <c r="D320" s="676" t="s">
        <v>19</v>
      </c>
      <c r="E320" s="561"/>
      <c r="F320" s="561"/>
      <c r="G320" s="563"/>
      <c r="H320" s="677" t="s">
        <v>14</v>
      </c>
      <c r="I320" s="565"/>
      <c r="J320" s="565"/>
      <c r="K320" s="566"/>
      <c r="L320" s="678">
        <f t="shared" ref="L320:N320" ca="1" si="204">L321+L322</f>
        <v>0</v>
      </c>
      <c r="M320" s="679">
        <f t="shared" ca="1" si="204"/>
        <v>0</v>
      </c>
      <c r="N320" s="679">
        <f t="shared" ca="1" si="204"/>
        <v>0</v>
      </c>
      <c r="O320" s="679">
        <f t="shared" ref="O320:O328" ca="1" si="205">IF(L320&gt;0,N320*100/L320,0)</f>
        <v>0</v>
      </c>
      <c r="P320" s="679">
        <f t="shared" ref="P320:P328" ca="1" si="206">IF(M320&gt;0,N320*100/M320,0)</f>
        <v>0</v>
      </c>
      <c r="Q320" s="679">
        <f t="shared" ref="Q320:S320" si="207">Q321+Q322</f>
        <v>0</v>
      </c>
      <c r="R320" s="679">
        <f t="shared" si="207"/>
        <v>0</v>
      </c>
      <c r="S320" s="679">
        <f t="shared" si="207"/>
        <v>0</v>
      </c>
      <c r="T320" s="679">
        <f t="shared" ref="T320:T328" si="208">IF(Q320&gt;0,S320*100/Q320,0)</f>
        <v>0</v>
      </c>
      <c r="U320" s="679">
        <f t="shared" ref="U320:U328" si="209">IF(R320&gt;0,S320*100/R320,0)</f>
        <v>0</v>
      </c>
    </row>
    <row r="321" spans="1:21" ht="18.75" x14ac:dyDescent="0.25">
      <c r="A321" s="674"/>
      <c r="B321" s="561"/>
      <c r="C321" s="561"/>
      <c r="D321" s="561"/>
      <c r="E321" s="569" t="s">
        <v>20</v>
      </c>
      <c r="F321" s="561"/>
      <c r="G321" s="563"/>
      <c r="H321" s="680" t="s">
        <v>14</v>
      </c>
      <c r="I321" s="565"/>
      <c r="J321" s="565"/>
      <c r="K321" s="566"/>
      <c r="L321" s="571">
        <f t="shared" ref="L321:N322" si="210">L324+L327</f>
        <v>0</v>
      </c>
      <c r="M321" s="572">
        <f t="shared" si="210"/>
        <v>0</v>
      </c>
      <c r="N321" s="572">
        <f t="shared" si="210"/>
        <v>0</v>
      </c>
      <c r="O321" s="572">
        <f t="shared" si="205"/>
        <v>0</v>
      </c>
      <c r="P321" s="572">
        <f t="shared" si="206"/>
        <v>0</v>
      </c>
      <c r="Q321" s="572">
        <f t="shared" ref="Q321:S322" si="211">Q324+Q327</f>
        <v>0</v>
      </c>
      <c r="R321" s="572">
        <f t="shared" si="211"/>
        <v>0</v>
      </c>
      <c r="S321" s="572">
        <f t="shared" si="211"/>
        <v>0</v>
      </c>
      <c r="T321" s="572">
        <f t="shared" si="208"/>
        <v>0</v>
      </c>
      <c r="U321" s="572">
        <f t="shared" si="209"/>
        <v>0</v>
      </c>
    </row>
    <row r="322" spans="1:21" ht="18.75" x14ac:dyDescent="0.25">
      <c r="A322" s="674"/>
      <c r="B322" s="561"/>
      <c r="C322" s="561"/>
      <c r="D322" s="561"/>
      <c r="E322" s="573" t="s">
        <v>21</v>
      </c>
      <c r="F322" s="561"/>
      <c r="G322" s="563"/>
      <c r="H322" s="681" t="s">
        <v>14</v>
      </c>
      <c r="I322" s="565"/>
      <c r="J322" s="565"/>
      <c r="K322" s="566"/>
      <c r="L322" s="567">
        <f t="shared" ca="1" si="210"/>
        <v>0</v>
      </c>
      <c r="M322" s="568">
        <f t="shared" ca="1" si="210"/>
        <v>0</v>
      </c>
      <c r="N322" s="568">
        <f t="shared" ca="1" si="210"/>
        <v>0</v>
      </c>
      <c r="O322" s="568">
        <f t="shared" ca="1" si="205"/>
        <v>0</v>
      </c>
      <c r="P322" s="568">
        <f t="shared" ca="1" si="206"/>
        <v>0</v>
      </c>
      <c r="Q322" s="568">
        <f t="shared" si="211"/>
        <v>0</v>
      </c>
      <c r="R322" s="568">
        <f t="shared" si="211"/>
        <v>0</v>
      </c>
      <c r="S322" s="568">
        <f t="shared" si="211"/>
        <v>0</v>
      </c>
      <c r="T322" s="568">
        <f t="shared" si="208"/>
        <v>0</v>
      </c>
      <c r="U322" s="568">
        <f t="shared" si="209"/>
        <v>0</v>
      </c>
    </row>
    <row r="323" spans="1:21" ht="18.75" x14ac:dyDescent="0.25">
      <c r="A323" s="674"/>
      <c r="B323" s="561"/>
      <c r="C323" s="561"/>
      <c r="D323" s="562" t="s">
        <v>22</v>
      </c>
      <c r="E323" s="561"/>
      <c r="F323" s="561"/>
      <c r="G323" s="563"/>
      <c r="H323" s="682" t="s">
        <v>14</v>
      </c>
      <c r="I323" s="683"/>
      <c r="J323" s="683"/>
      <c r="K323" s="684"/>
      <c r="L323" s="567">
        <f t="shared" ref="L323:N323" ca="1" si="212">L324+L325</f>
        <v>0</v>
      </c>
      <c r="M323" s="568">
        <f t="shared" ca="1" si="212"/>
        <v>0</v>
      </c>
      <c r="N323" s="568">
        <f t="shared" ca="1" si="212"/>
        <v>0</v>
      </c>
      <c r="O323" s="568">
        <f t="shared" ca="1" si="205"/>
        <v>0</v>
      </c>
      <c r="P323" s="568">
        <f t="shared" ca="1" si="206"/>
        <v>0</v>
      </c>
      <c r="Q323" s="568">
        <f t="shared" ref="Q323:S323" si="213">Q324+Q325</f>
        <v>0</v>
      </c>
      <c r="R323" s="568">
        <f t="shared" si="213"/>
        <v>0</v>
      </c>
      <c r="S323" s="568">
        <f t="shared" si="213"/>
        <v>0</v>
      </c>
      <c r="T323" s="568">
        <f t="shared" si="208"/>
        <v>0</v>
      </c>
      <c r="U323" s="568">
        <f t="shared" si="209"/>
        <v>0</v>
      </c>
    </row>
    <row r="324" spans="1:21" ht="18.75" x14ac:dyDescent="0.25">
      <c r="A324" s="674"/>
      <c r="B324" s="561"/>
      <c r="C324" s="561"/>
      <c r="D324" s="561"/>
      <c r="E324" s="569" t="s">
        <v>36</v>
      </c>
      <c r="F324" s="561"/>
      <c r="G324" s="563"/>
      <c r="H324" s="685" t="s">
        <v>14</v>
      </c>
      <c r="I324" s="683"/>
      <c r="J324" s="683"/>
      <c r="K324" s="684"/>
      <c r="L324" s="571">
        <v>0</v>
      </c>
      <c r="M324" s="572">
        <v>0</v>
      </c>
      <c r="N324" s="572">
        <v>0</v>
      </c>
      <c r="O324" s="572">
        <f t="shared" si="205"/>
        <v>0</v>
      </c>
      <c r="P324" s="572">
        <f t="shared" si="206"/>
        <v>0</v>
      </c>
      <c r="Q324" s="572">
        <v>0</v>
      </c>
      <c r="R324" s="572">
        <v>0</v>
      </c>
      <c r="S324" s="572">
        <v>0</v>
      </c>
      <c r="T324" s="572">
        <f t="shared" si="208"/>
        <v>0</v>
      </c>
      <c r="U324" s="572">
        <f t="shared" si="209"/>
        <v>0</v>
      </c>
    </row>
    <row r="325" spans="1:21" ht="18.75" x14ac:dyDescent="0.25">
      <c r="A325" s="674"/>
      <c r="B325" s="561"/>
      <c r="C325" s="561"/>
      <c r="D325" s="561"/>
      <c r="E325" s="573" t="s">
        <v>37</v>
      </c>
      <c r="F325" s="561"/>
      <c r="G325" s="563"/>
      <c r="H325" s="682" t="s">
        <v>14</v>
      </c>
      <c r="I325" s="683"/>
      <c r="J325" s="683"/>
      <c r="K325" s="684"/>
      <c r="L325" s="567">
        <f ca="1">IFERROR(__xludf.DUMMYFUNCTION("IMPORTRANGE(""https://docs.google.com/spreadsheets/d/1-uDff_7J0KD5mKrp0Vvzr7lt3OU09vwQwhkpOPPYv2Y/edit?usp=sharing"",""งบพรบ!EI24"")"),0)</f>
        <v>0</v>
      </c>
      <c r="M325" s="568">
        <f ca="1">IFERROR(__xludf.DUMMYFUNCTION("IMPORTRANGE(""https://docs.google.com/spreadsheets/d/1-uDff_7J0KD5mKrp0Vvzr7lt3OU09vwQwhkpOPPYv2Y/edit?usp=sharing"",""งบพรบ!EN24"")"),0)</f>
        <v>0</v>
      </c>
      <c r="N325" s="568">
        <f ca="1">IFERROR(__xludf.DUMMYFUNCTION("IMPORTRANGE(""https://docs.google.com/spreadsheets/d/1-uDff_7J0KD5mKrp0Vvzr7lt3OU09vwQwhkpOPPYv2Y/edit?usp=sharing"",""งบพรบ!EP24"")"),0)</f>
        <v>0</v>
      </c>
      <c r="O325" s="568">
        <f t="shared" ca="1" si="205"/>
        <v>0</v>
      </c>
      <c r="P325" s="568">
        <f t="shared" ca="1" si="206"/>
        <v>0</v>
      </c>
      <c r="Q325" s="568">
        <v>0</v>
      </c>
      <c r="R325" s="568">
        <v>0</v>
      </c>
      <c r="S325" s="568">
        <v>0</v>
      </c>
      <c r="T325" s="568">
        <f t="shared" si="208"/>
        <v>0</v>
      </c>
      <c r="U325" s="568">
        <f t="shared" si="209"/>
        <v>0</v>
      </c>
    </row>
    <row r="326" spans="1:21" ht="18.75" x14ac:dyDescent="0.25">
      <c r="A326" s="674"/>
      <c r="B326" s="561"/>
      <c r="C326" s="561"/>
      <c r="D326" s="562" t="s">
        <v>23</v>
      </c>
      <c r="E326" s="561"/>
      <c r="F326" s="561"/>
      <c r="G326" s="563"/>
      <c r="H326" s="686" t="s">
        <v>14</v>
      </c>
      <c r="I326" s="683"/>
      <c r="J326" s="683"/>
      <c r="K326" s="684"/>
      <c r="L326" s="567">
        <f t="shared" ref="L326:N326" ca="1" si="214">L327+L328</f>
        <v>0</v>
      </c>
      <c r="M326" s="568">
        <f t="shared" ca="1" si="214"/>
        <v>0</v>
      </c>
      <c r="N326" s="568">
        <f t="shared" ca="1" si="214"/>
        <v>0</v>
      </c>
      <c r="O326" s="568">
        <f t="shared" ca="1" si="205"/>
        <v>0</v>
      </c>
      <c r="P326" s="568">
        <f t="shared" ca="1" si="206"/>
        <v>0</v>
      </c>
      <c r="Q326" s="568">
        <f t="shared" ref="Q326:S326" si="215">Q327+Q328</f>
        <v>0</v>
      </c>
      <c r="R326" s="568">
        <f t="shared" si="215"/>
        <v>0</v>
      </c>
      <c r="S326" s="568">
        <f t="shared" si="215"/>
        <v>0</v>
      </c>
      <c r="T326" s="568">
        <f t="shared" si="208"/>
        <v>0</v>
      </c>
      <c r="U326" s="568">
        <f t="shared" si="209"/>
        <v>0</v>
      </c>
    </row>
    <row r="327" spans="1:21" ht="18.75" x14ac:dyDescent="0.25">
      <c r="A327" s="674"/>
      <c r="B327" s="561"/>
      <c r="C327" s="561"/>
      <c r="D327" s="561"/>
      <c r="E327" s="569" t="s">
        <v>20</v>
      </c>
      <c r="F327" s="561"/>
      <c r="G327" s="563"/>
      <c r="H327" s="685" t="s">
        <v>14</v>
      </c>
      <c r="I327" s="683"/>
      <c r="J327" s="683"/>
      <c r="K327" s="684"/>
      <c r="L327" s="571">
        <v>0</v>
      </c>
      <c r="M327" s="572">
        <v>0</v>
      </c>
      <c r="N327" s="572">
        <v>0</v>
      </c>
      <c r="O327" s="572">
        <f t="shared" si="205"/>
        <v>0</v>
      </c>
      <c r="P327" s="572">
        <f t="shared" si="206"/>
        <v>0</v>
      </c>
      <c r="Q327" s="572">
        <v>0</v>
      </c>
      <c r="R327" s="572">
        <v>0</v>
      </c>
      <c r="S327" s="572">
        <v>0</v>
      </c>
      <c r="T327" s="572">
        <f t="shared" si="208"/>
        <v>0</v>
      </c>
      <c r="U327" s="572">
        <f t="shared" si="209"/>
        <v>0</v>
      </c>
    </row>
    <row r="328" spans="1:21" ht="18.75" x14ac:dyDescent="0.25">
      <c r="A328" s="674"/>
      <c r="B328" s="561"/>
      <c r="C328" s="561"/>
      <c r="D328" s="561"/>
      <c r="E328" s="573" t="s">
        <v>21</v>
      </c>
      <c r="F328" s="561"/>
      <c r="G328" s="563"/>
      <c r="H328" s="686" t="s">
        <v>14</v>
      </c>
      <c r="I328" s="683"/>
      <c r="J328" s="683"/>
      <c r="K328" s="684"/>
      <c r="L328" s="567">
        <f ca="1">IFERROR(__xludf.DUMMYFUNCTION("IMPORTRANGE(""https://docs.google.com/spreadsheets/d/1-uDff_7J0KD5mKrp0Vvzr7lt3OU09vwQwhkpOPPYv2Y/edit?usp=sharing"",""งบพรบ!EL24"")"),0)</f>
        <v>0</v>
      </c>
      <c r="M328" s="568">
        <f ca="1">IFERROR(__xludf.DUMMYFUNCTION("IMPORTRANGE(""https://docs.google.com/spreadsheets/d/1-uDff_7J0KD5mKrp0Vvzr7lt3OU09vwQwhkpOPPYv2Y/edit?usp=sharing"",""งบพรบ!EO24"")"),0)</f>
        <v>0</v>
      </c>
      <c r="N328" s="568">
        <f ca="1">IFERROR(__xludf.DUMMYFUNCTION("IMPORTRANGE(""https://docs.google.com/spreadsheets/d/1-uDff_7J0KD5mKrp0Vvzr7lt3OU09vwQwhkpOPPYv2Y/edit?usp=sharing"",""งบพรบ!EQ24"")"),0)</f>
        <v>0</v>
      </c>
      <c r="O328" s="568">
        <f t="shared" ca="1" si="205"/>
        <v>0</v>
      </c>
      <c r="P328" s="568">
        <f t="shared" ca="1" si="206"/>
        <v>0</v>
      </c>
      <c r="Q328" s="568">
        <v>0</v>
      </c>
      <c r="R328" s="568">
        <v>0</v>
      </c>
      <c r="S328" s="568">
        <v>0</v>
      </c>
      <c r="T328" s="568">
        <f t="shared" si="208"/>
        <v>0</v>
      </c>
      <c r="U328" s="568">
        <f t="shared" si="209"/>
        <v>0</v>
      </c>
    </row>
    <row r="329" spans="1:21" ht="19.5" x14ac:dyDescent="0.3">
      <c r="A329" s="687"/>
      <c r="B329" s="688"/>
      <c r="C329" s="675" t="s">
        <v>18</v>
      </c>
      <c r="D329" s="689" t="s">
        <v>38</v>
      </c>
      <c r="E329" s="690"/>
      <c r="F329" s="690"/>
      <c r="G329" s="691"/>
      <c r="H329" s="692"/>
      <c r="I329" s="683"/>
      <c r="J329" s="565"/>
      <c r="K329" s="566"/>
      <c r="L329" s="574"/>
      <c r="M329" s="566"/>
      <c r="N329" s="566"/>
      <c r="O329" s="684"/>
      <c r="P329" s="684"/>
      <c r="Q329" s="566"/>
      <c r="R329" s="566"/>
      <c r="S329" s="566"/>
      <c r="T329" s="684"/>
      <c r="U329" s="684"/>
    </row>
    <row r="330" spans="1:21" ht="18.75" x14ac:dyDescent="0.25">
      <c r="A330" s="687"/>
      <c r="B330" s="688"/>
      <c r="C330" s="688"/>
      <c r="D330" s="694" t="s">
        <v>134</v>
      </c>
      <c r="E330" s="695"/>
      <c r="F330" s="695"/>
      <c r="G330" s="692"/>
      <c r="H330" s="564" t="s">
        <v>133</v>
      </c>
      <c r="I330" s="708">
        <f ca="1">IFERROR(__xludf.DUMMYFUNCTION("IMPORTRANGE(""https://docs.google.com/spreadsheets/d/1eHaY18a8A9IcSdp1K8H6x8fbOy06t2VsZHhMHf-1x7Y/edit?usp=sharing"",""แผน!EJ24"")"),0)</f>
        <v>0</v>
      </c>
      <c r="J330" s="702">
        <v>0</v>
      </c>
      <c r="K330" s="568">
        <f ca="1">IF(I330&gt;0,J330*100/I330,0)</f>
        <v>0</v>
      </c>
      <c r="L330" s="574"/>
      <c r="M330" s="566"/>
      <c r="N330" s="566"/>
      <c r="O330" s="684"/>
      <c r="P330" s="684"/>
      <c r="Q330" s="566"/>
      <c r="R330" s="566"/>
      <c r="S330" s="566"/>
      <c r="T330" s="684"/>
      <c r="U330" s="684"/>
    </row>
    <row r="331" spans="1:21" ht="19.5" x14ac:dyDescent="0.3">
      <c r="A331" s="902" t="s">
        <v>135</v>
      </c>
      <c r="B331" s="903"/>
      <c r="C331" s="903"/>
      <c r="D331" s="904"/>
      <c r="E331" s="903"/>
      <c r="F331" s="903"/>
      <c r="G331" s="903"/>
      <c r="H331" s="904"/>
      <c r="I331" s="906"/>
      <c r="J331" s="906"/>
      <c r="K331" s="907"/>
      <c r="L331" s="908"/>
      <c r="M331" s="907"/>
      <c r="N331" s="907"/>
      <c r="O331" s="907"/>
      <c r="P331" s="907"/>
      <c r="Q331" s="907"/>
      <c r="R331" s="907"/>
      <c r="S331" s="907"/>
      <c r="T331" s="907"/>
      <c r="U331" s="907"/>
    </row>
    <row r="332" spans="1:21" ht="19.5" x14ac:dyDescent="0.3">
      <c r="A332" s="909"/>
      <c r="B332" s="910" t="s">
        <v>136</v>
      </c>
      <c r="C332" s="928"/>
      <c r="D332" s="911"/>
      <c r="E332" s="911"/>
      <c r="F332" s="911"/>
      <c r="G332" s="912"/>
      <c r="H332" s="913" t="s">
        <v>35</v>
      </c>
      <c r="I332" s="929">
        <f ca="1">I344</f>
        <v>1140</v>
      </c>
      <c r="J332" s="930">
        <f ca="1">J344+J347+J348+J349+J353</f>
        <v>4582</v>
      </c>
      <c r="K332" s="931">
        <f ca="1">IF(I332&gt;0,J332*100/I332,0)</f>
        <v>401.92982456140351</v>
      </c>
      <c r="L332" s="916"/>
      <c r="M332" s="917"/>
      <c r="N332" s="917"/>
      <c r="O332" s="917"/>
      <c r="P332" s="917"/>
      <c r="Q332" s="917"/>
      <c r="R332" s="917"/>
      <c r="S332" s="917"/>
      <c r="T332" s="917"/>
      <c r="U332" s="917"/>
    </row>
    <row r="333" spans="1:21" ht="19.5" x14ac:dyDescent="0.3">
      <c r="A333" s="674"/>
      <c r="B333" s="561"/>
      <c r="C333" s="675" t="s">
        <v>18</v>
      </c>
      <c r="D333" s="676" t="s">
        <v>19</v>
      </c>
      <c r="E333" s="561"/>
      <c r="F333" s="561"/>
      <c r="G333" s="563"/>
      <c r="H333" s="677" t="s">
        <v>14</v>
      </c>
      <c r="I333" s="565"/>
      <c r="J333" s="565"/>
      <c r="K333" s="566"/>
      <c r="L333" s="678">
        <f t="shared" ref="L333:N333" ca="1" si="216">L334+L335</f>
        <v>185000</v>
      </c>
      <c r="M333" s="679">
        <f t="shared" ca="1" si="216"/>
        <v>113000</v>
      </c>
      <c r="N333" s="679">
        <f t="shared" ca="1" si="216"/>
        <v>86143</v>
      </c>
      <c r="O333" s="679">
        <f t="shared" ref="O333:O341" ca="1" si="217">IF(L333&gt;0,N333*100/L333,0)</f>
        <v>46.563783783783784</v>
      </c>
      <c r="P333" s="679">
        <f t="shared" ref="P333:P341" ca="1" si="218">IF(M333&gt;0,N333*100/M333,0)</f>
        <v>76.232743362831854</v>
      </c>
      <c r="Q333" s="679">
        <f t="shared" ref="Q333:S333" si="219">Q334+Q335</f>
        <v>0</v>
      </c>
      <c r="R333" s="679">
        <f t="shared" si="219"/>
        <v>0</v>
      </c>
      <c r="S333" s="679">
        <f t="shared" si="219"/>
        <v>0</v>
      </c>
      <c r="T333" s="679">
        <f t="shared" ref="T333:T341" si="220">IF(Q333&gt;0,S333*100/Q333,0)</f>
        <v>0</v>
      </c>
      <c r="U333" s="679">
        <f t="shared" ref="U333:U341" si="221">IF(R333&gt;0,S333*100/R333,0)</f>
        <v>0</v>
      </c>
    </row>
    <row r="334" spans="1:21" ht="18.75" x14ac:dyDescent="0.25">
      <c r="A334" s="674"/>
      <c r="B334" s="561"/>
      <c r="C334" s="561"/>
      <c r="D334" s="561"/>
      <c r="E334" s="569" t="s">
        <v>20</v>
      </c>
      <c r="F334" s="561"/>
      <c r="G334" s="563"/>
      <c r="H334" s="680" t="s">
        <v>14</v>
      </c>
      <c r="I334" s="565"/>
      <c r="J334" s="565"/>
      <c r="K334" s="566"/>
      <c r="L334" s="571">
        <f t="shared" ref="L334:N335" si="222">L337+L340</f>
        <v>0</v>
      </c>
      <c r="M334" s="572">
        <f t="shared" si="222"/>
        <v>0</v>
      </c>
      <c r="N334" s="572">
        <f t="shared" si="222"/>
        <v>0</v>
      </c>
      <c r="O334" s="572">
        <f t="shared" si="217"/>
        <v>0</v>
      </c>
      <c r="P334" s="572">
        <f t="shared" si="218"/>
        <v>0</v>
      </c>
      <c r="Q334" s="572">
        <f t="shared" ref="Q334:S335" si="223">Q337+Q340</f>
        <v>0</v>
      </c>
      <c r="R334" s="572">
        <f t="shared" si="223"/>
        <v>0</v>
      </c>
      <c r="S334" s="572">
        <f t="shared" si="223"/>
        <v>0</v>
      </c>
      <c r="T334" s="572">
        <f t="shared" si="220"/>
        <v>0</v>
      </c>
      <c r="U334" s="572">
        <f t="shared" si="221"/>
        <v>0</v>
      </c>
    </row>
    <row r="335" spans="1:21" ht="18.75" x14ac:dyDescent="0.25">
      <c r="A335" s="674"/>
      <c r="B335" s="561"/>
      <c r="C335" s="561"/>
      <c r="D335" s="561"/>
      <c r="E335" s="573" t="s">
        <v>21</v>
      </c>
      <c r="F335" s="561"/>
      <c r="G335" s="563"/>
      <c r="H335" s="681" t="s">
        <v>14</v>
      </c>
      <c r="I335" s="565"/>
      <c r="J335" s="565"/>
      <c r="K335" s="566"/>
      <c r="L335" s="567">
        <f t="shared" ca="1" si="222"/>
        <v>185000</v>
      </c>
      <c r="M335" s="568">
        <f t="shared" ca="1" si="222"/>
        <v>113000</v>
      </c>
      <c r="N335" s="568">
        <f t="shared" ca="1" si="222"/>
        <v>86143</v>
      </c>
      <c r="O335" s="568">
        <f t="shared" ca="1" si="217"/>
        <v>46.563783783783784</v>
      </c>
      <c r="P335" s="568">
        <f t="shared" ca="1" si="218"/>
        <v>76.232743362831854</v>
      </c>
      <c r="Q335" s="568">
        <f t="shared" si="223"/>
        <v>0</v>
      </c>
      <c r="R335" s="568">
        <f t="shared" si="223"/>
        <v>0</v>
      </c>
      <c r="S335" s="568">
        <f t="shared" si="223"/>
        <v>0</v>
      </c>
      <c r="T335" s="568">
        <f t="shared" si="220"/>
        <v>0</v>
      </c>
      <c r="U335" s="568">
        <f t="shared" si="221"/>
        <v>0</v>
      </c>
    </row>
    <row r="336" spans="1:21" ht="18.75" x14ac:dyDescent="0.25">
      <c r="A336" s="674"/>
      <c r="B336" s="561"/>
      <c r="C336" s="561"/>
      <c r="D336" s="562" t="s">
        <v>22</v>
      </c>
      <c r="E336" s="561"/>
      <c r="F336" s="561"/>
      <c r="G336" s="563"/>
      <c r="H336" s="682" t="s">
        <v>14</v>
      </c>
      <c r="I336" s="683"/>
      <c r="J336" s="683"/>
      <c r="K336" s="684"/>
      <c r="L336" s="567">
        <f t="shared" ref="L336:N336" ca="1" si="224">L337+L338</f>
        <v>185000</v>
      </c>
      <c r="M336" s="568">
        <f t="shared" ca="1" si="224"/>
        <v>113000</v>
      </c>
      <c r="N336" s="568">
        <f t="shared" ca="1" si="224"/>
        <v>86143</v>
      </c>
      <c r="O336" s="568">
        <f t="shared" ca="1" si="217"/>
        <v>46.563783783783784</v>
      </c>
      <c r="P336" s="568">
        <f t="shared" ca="1" si="218"/>
        <v>76.232743362831854</v>
      </c>
      <c r="Q336" s="568">
        <f t="shared" ref="Q336:S336" si="225">Q337+Q338</f>
        <v>0</v>
      </c>
      <c r="R336" s="568">
        <f t="shared" si="225"/>
        <v>0</v>
      </c>
      <c r="S336" s="568">
        <f t="shared" si="225"/>
        <v>0</v>
      </c>
      <c r="T336" s="568">
        <f t="shared" si="220"/>
        <v>0</v>
      </c>
      <c r="U336" s="568">
        <f t="shared" si="221"/>
        <v>0</v>
      </c>
    </row>
    <row r="337" spans="1:21" ht="18.75" x14ac:dyDescent="0.25">
      <c r="A337" s="674"/>
      <c r="B337" s="561"/>
      <c r="C337" s="561"/>
      <c r="D337" s="561"/>
      <c r="E337" s="569" t="s">
        <v>36</v>
      </c>
      <c r="F337" s="561"/>
      <c r="G337" s="563"/>
      <c r="H337" s="685" t="s">
        <v>14</v>
      </c>
      <c r="I337" s="683"/>
      <c r="J337" s="683"/>
      <c r="K337" s="684"/>
      <c r="L337" s="571">
        <v>0</v>
      </c>
      <c r="M337" s="572">
        <v>0</v>
      </c>
      <c r="N337" s="572">
        <v>0</v>
      </c>
      <c r="O337" s="572">
        <f t="shared" si="217"/>
        <v>0</v>
      </c>
      <c r="P337" s="572">
        <f t="shared" si="218"/>
        <v>0</v>
      </c>
      <c r="Q337" s="572">
        <v>0</v>
      </c>
      <c r="R337" s="572">
        <v>0</v>
      </c>
      <c r="S337" s="572">
        <v>0</v>
      </c>
      <c r="T337" s="572">
        <f t="shared" si="220"/>
        <v>0</v>
      </c>
      <c r="U337" s="572">
        <f t="shared" si="221"/>
        <v>0</v>
      </c>
    </row>
    <row r="338" spans="1:21" ht="18.75" x14ac:dyDescent="0.25">
      <c r="A338" s="674"/>
      <c r="B338" s="561"/>
      <c r="C338" s="561"/>
      <c r="D338" s="561"/>
      <c r="E338" s="573" t="s">
        <v>37</v>
      </c>
      <c r="F338" s="561"/>
      <c r="G338" s="563"/>
      <c r="H338" s="682" t="s">
        <v>14</v>
      </c>
      <c r="I338" s="683"/>
      <c r="J338" s="683"/>
      <c r="K338" s="684"/>
      <c r="L338" s="567">
        <f ca="1">IFERROR(__xludf.DUMMYFUNCTION("IMPORTRANGE(""https://docs.google.com/spreadsheets/d/1-uDff_7J0KD5mKrp0Vvzr7lt3OU09vwQwhkpOPPYv2Y/edit?usp=sharing"",""งบพรบ!ES24"")"),185000)</f>
        <v>185000</v>
      </c>
      <c r="M338" s="568">
        <f ca="1">IFERROR(__xludf.DUMMYFUNCTION("IMPORTRANGE(""https://docs.google.com/spreadsheets/d/1-uDff_7J0KD5mKrp0Vvzr7lt3OU09vwQwhkpOPPYv2Y/edit?usp=sharing"",""งบพรบ!EX24"")"),113000)</f>
        <v>113000</v>
      </c>
      <c r="N338" s="568">
        <f ca="1">IFERROR(__xludf.DUMMYFUNCTION("IMPORTRANGE(""https://docs.google.com/spreadsheets/d/1-uDff_7J0KD5mKrp0Vvzr7lt3OU09vwQwhkpOPPYv2Y/edit?usp=sharing"",""งบพรบ!EZ24"")"),86143)</f>
        <v>86143</v>
      </c>
      <c r="O338" s="568">
        <f t="shared" ca="1" si="217"/>
        <v>46.563783783783784</v>
      </c>
      <c r="P338" s="568">
        <f t="shared" ca="1" si="218"/>
        <v>76.232743362831854</v>
      </c>
      <c r="Q338" s="568">
        <v>0</v>
      </c>
      <c r="R338" s="568">
        <v>0</v>
      </c>
      <c r="S338" s="568">
        <v>0</v>
      </c>
      <c r="T338" s="568">
        <f t="shared" si="220"/>
        <v>0</v>
      </c>
      <c r="U338" s="568">
        <f t="shared" si="221"/>
        <v>0</v>
      </c>
    </row>
    <row r="339" spans="1:21" ht="18.75" x14ac:dyDescent="0.25">
      <c r="A339" s="674"/>
      <c r="B339" s="561"/>
      <c r="C339" s="561"/>
      <c r="D339" s="562" t="s">
        <v>23</v>
      </c>
      <c r="E339" s="561"/>
      <c r="F339" s="561"/>
      <c r="G339" s="563"/>
      <c r="H339" s="686" t="s">
        <v>14</v>
      </c>
      <c r="I339" s="683"/>
      <c r="J339" s="683"/>
      <c r="K339" s="684"/>
      <c r="L339" s="567">
        <f t="shared" ref="L339:N339" ca="1" si="226">L340+L341</f>
        <v>0</v>
      </c>
      <c r="M339" s="568">
        <f t="shared" ca="1" si="226"/>
        <v>0</v>
      </c>
      <c r="N339" s="568">
        <f t="shared" ca="1" si="226"/>
        <v>0</v>
      </c>
      <c r="O339" s="568">
        <f t="shared" ca="1" si="217"/>
        <v>0</v>
      </c>
      <c r="P339" s="568">
        <f t="shared" ca="1" si="218"/>
        <v>0</v>
      </c>
      <c r="Q339" s="568">
        <f t="shared" ref="Q339:S339" si="227">Q340+Q341</f>
        <v>0</v>
      </c>
      <c r="R339" s="568">
        <f t="shared" si="227"/>
        <v>0</v>
      </c>
      <c r="S339" s="568">
        <f t="shared" si="227"/>
        <v>0</v>
      </c>
      <c r="T339" s="568">
        <f t="shared" si="220"/>
        <v>0</v>
      </c>
      <c r="U339" s="568">
        <f t="shared" si="221"/>
        <v>0</v>
      </c>
    </row>
    <row r="340" spans="1:21" ht="18.75" x14ac:dyDescent="0.25">
      <c r="A340" s="674"/>
      <c r="B340" s="561"/>
      <c r="C340" s="561"/>
      <c r="D340" s="561"/>
      <c r="E340" s="569" t="s">
        <v>20</v>
      </c>
      <c r="F340" s="561"/>
      <c r="G340" s="563"/>
      <c r="H340" s="685" t="s">
        <v>14</v>
      </c>
      <c r="I340" s="683"/>
      <c r="J340" s="683"/>
      <c r="K340" s="684"/>
      <c r="L340" s="571">
        <v>0</v>
      </c>
      <c r="M340" s="572">
        <v>0</v>
      </c>
      <c r="N340" s="572">
        <v>0</v>
      </c>
      <c r="O340" s="572">
        <f t="shared" si="217"/>
        <v>0</v>
      </c>
      <c r="P340" s="572">
        <f t="shared" si="218"/>
        <v>0</v>
      </c>
      <c r="Q340" s="572">
        <v>0</v>
      </c>
      <c r="R340" s="572">
        <v>0</v>
      </c>
      <c r="S340" s="572">
        <v>0</v>
      </c>
      <c r="T340" s="572">
        <f t="shared" si="220"/>
        <v>0</v>
      </c>
      <c r="U340" s="572">
        <f t="shared" si="221"/>
        <v>0</v>
      </c>
    </row>
    <row r="341" spans="1:21" ht="18.75" x14ac:dyDescent="0.25">
      <c r="A341" s="674"/>
      <c r="B341" s="561"/>
      <c r="C341" s="561"/>
      <c r="D341" s="561"/>
      <c r="E341" s="573" t="s">
        <v>21</v>
      </c>
      <c r="F341" s="561"/>
      <c r="G341" s="563"/>
      <c r="H341" s="686" t="s">
        <v>14</v>
      </c>
      <c r="I341" s="683"/>
      <c r="J341" s="683"/>
      <c r="K341" s="684"/>
      <c r="L341" s="567">
        <f ca="1">IFERROR(__xludf.DUMMYFUNCTION("IMPORTRANGE(""https://docs.google.com/spreadsheets/d/1-uDff_7J0KD5mKrp0Vvzr7lt3OU09vwQwhkpOPPYv2Y/edit?usp=sharing"",""งบพรบ!EV24"")"),0)</f>
        <v>0</v>
      </c>
      <c r="M341" s="568">
        <f ca="1">IFERROR(__xludf.DUMMYFUNCTION("IMPORTRANGE(""https://docs.google.com/spreadsheets/d/1-uDff_7J0KD5mKrp0Vvzr7lt3OU09vwQwhkpOPPYv2Y/edit?usp=sharing"",""งบพรบ!EY24"")"),0)</f>
        <v>0</v>
      </c>
      <c r="N341" s="568">
        <f ca="1">IFERROR(__xludf.DUMMYFUNCTION("IMPORTRANGE(""https://docs.google.com/spreadsheets/d/1-uDff_7J0KD5mKrp0Vvzr7lt3OU09vwQwhkpOPPYv2Y/edit?usp=sharing"",""งบพรบ!FA24"")"),0)</f>
        <v>0</v>
      </c>
      <c r="O341" s="568">
        <f t="shared" ca="1" si="217"/>
        <v>0</v>
      </c>
      <c r="P341" s="568">
        <f t="shared" ca="1" si="218"/>
        <v>0</v>
      </c>
      <c r="Q341" s="568">
        <v>0</v>
      </c>
      <c r="R341" s="568">
        <v>0</v>
      </c>
      <c r="S341" s="568">
        <v>0</v>
      </c>
      <c r="T341" s="568">
        <f t="shared" si="220"/>
        <v>0</v>
      </c>
      <c r="U341" s="568">
        <f t="shared" si="221"/>
        <v>0</v>
      </c>
    </row>
    <row r="342" spans="1:21" ht="19.5" x14ac:dyDescent="0.3">
      <c r="A342" s="687"/>
      <c r="B342" s="688"/>
      <c r="C342" s="675" t="s">
        <v>18</v>
      </c>
      <c r="D342" s="757" t="s">
        <v>38</v>
      </c>
      <c r="E342" s="690"/>
      <c r="F342" s="690"/>
      <c r="G342" s="691"/>
      <c r="H342" s="563"/>
      <c r="I342" s="565"/>
      <c r="J342" s="565"/>
      <c r="K342" s="566"/>
      <c r="L342" s="574"/>
      <c r="M342" s="566"/>
      <c r="N342" s="566"/>
      <c r="O342" s="684"/>
      <c r="P342" s="684"/>
      <c r="Q342" s="566"/>
      <c r="R342" s="566"/>
      <c r="S342" s="566"/>
      <c r="T342" s="684"/>
      <c r="U342" s="684"/>
    </row>
    <row r="343" spans="1:21" ht="19.5" x14ac:dyDescent="0.3">
      <c r="A343" s="932"/>
      <c r="B343" s="933"/>
      <c r="C343" s="934"/>
      <c r="D343" s="933"/>
      <c r="E343" s="935" t="s">
        <v>137</v>
      </c>
      <c r="F343" s="933"/>
      <c r="G343" s="936"/>
      <c r="H343" s="937" t="s">
        <v>35</v>
      </c>
      <c r="I343" s="938">
        <v>0</v>
      </c>
      <c r="J343" s="938">
        <f ca="1">J344+J347+J348+J349</f>
        <v>855</v>
      </c>
      <c r="K343" s="939">
        <v>0</v>
      </c>
      <c r="L343" s="777"/>
      <c r="M343" s="778"/>
      <c r="N343" s="778"/>
      <c r="O343" s="778"/>
      <c r="P343" s="778"/>
      <c r="Q343" s="778"/>
      <c r="R343" s="778"/>
      <c r="S343" s="778"/>
      <c r="T343" s="778"/>
      <c r="U343" s="778"/>
    </row>
    <row r="344" spans="1:21" ht="18.75" x14ac:dyDescent="0.25">
      <c r="A344" s="764"/>
      <c r="B344" s="561"/>
      <c r="C344" s="718"/>
      <c r="D344" s="695"/>
      <c r="E344" s="699" t="s">
        <v>138</v>
      </c>
      <c r="F344" s="561"/>
      <c r="G344" s="563"/>
      <c r="H344" s="766" t="s">
        <v>35</v>
      </c>
      <c r="I344" s="708">
        <f ca="1">IFERROR(__xludf.DUMMYFUNCTION("IMPORTRANGE(""https://docs.google.com/spreadsheets/d/1eHaY18a8A9IcSdp1K8H6x8fbOy06t2VsZHhMHf-1x7Y/edit?usp=sharing"",""แผน!EK24"")"),1140)</f>
        <v>1140</v>
      </c>
      <c r="J344" s="708">
        <f ca="1">IFERROR(__xludf.DUMMYFUNCTION("IMPORTRANGE(""https://docs.google.com/spreadsheets/d/1awYsYK3VOup2i3Pq_Yjnu8DRu_mYwSBnCR2QPthd0rU/edit?usp=sharing"",""ศูนย์ยกเว้นโฉนด!D24"")"),838)</f>
        <v>838</v>
      </c>
      <c r="K344" s="568">
        <f ca="1">IF(I344&gt;0,J344*100/I344,0)</f>
        <v>73.508771929824562</v>
      </c>
      <c r="L344" s="574"/>
      <c r="M344" s="566"/>
      <c r="N344" s="566"/>
      <c r="O344" s="566"/>
      <c r="P344" s="566"/>
      <c r="Q344" s="566"/>
      <c r="R344" s="566"/>
      <c r="S344" s="566"/>
      <c r="T344" s="566"/>
      <c r="U344" s="566"/>
    </row>
    <row r="345" spans="1:21" ht="18.75" x14ac:dyDescent="0.25">
      <c r="A345" s="764"/>
      <c r="B345" s="561"/>
      <c r="C345" s="718"/>
      <c r="D345" s="695"/>
      <c r="E345" s="699" t="s">
        <v>139</v>
      </c>
      <c r="F345" s="561"/>
      <c r="G345" s="563"/>
      <c r="H345" s="727"/>
      <c r="I345" s="565"/>
      <c r="J345" s="565"/>
      <c r="K345" s="566"/>
      <c r="L345" s="574"/>
      <c r="M345" s="566"/>
      <c r="N345" s="566"/>
      <c r="O345" s="566"/>
      <c r="P345" s="566"/>
      <c r="Q345" s="566"/>
      <c r="R345" s="566"/>
      <c r="S345" s="566"/>
      <c r="T345" s="566"/>
      <c r="U345" s="566"/>
    </row>
    <row r="346" spans="1:21" ht="18.75" x14ac:dyDescent="0.25">
      <c r="A346" s="764"/>
      <c r="B346" s="561"/>
      <c r="C346" s="718"/>
      <c r="D346" s="695"/>
      <c r="E346" s="695"/>
      <c r="F346" s="699" t="s">
        <v>140</v>
      </c>
      <c r="G346" s="563"/>
      <c r="H346" s="722" t="s">
        <v>141</v>
      </c>
      <c r="I346" s="708">
        <f ca="1">IFERROR(__xludf.DUMMYFUNCTION("IMPORTRANGE(""https://docs.google.com/spreadsheets/d/1eHaY18a8A9IcSdp1K8H6x8fbOy06t2VsZHhMHf-1x7Y/edit?usp=sharing"",""แผน!EL24"")"),4)</f>
        <v>4</v>
      </c>
      <c r="J346" s="708">
        <f ca="1">IFERROR(__xludf.DUMMYFUNCTION("IMPORTRANGE(""https://docs.google.com/spreadsheets/d/1awYsYK3VOup2i3Pq_Yjnu8DRu_mYwSBnCR2QPthd0rU/edit?usp=sharing"",""ศูนย์รวม!E24"")"),1)</f>
        <v>1</v>
      </c>
      <c r="K346" s="568">
        <f ca="1">IF(I346&gt;0,J346*100/I346,0)</f>
        <v>25</v>
      </c>
      <c r="L346" s="574"/>
      <c r="M346" s="566"/>
      <c r="N346" s="566"/>
      <c r="O346" s="566"/>
      <c r="P346" s="566"/>
      <c r="Q346" s="566"/>
      <c r="R346" s="566"/>
      <c r="S346" s="566"/>
      <c r="T346" s="566"/>
      <c r="U346" s="566"/>
    </row>
    <row r="347" spans="1:21" ht="18.75" x14ac:dyDescent="0.25">
      <c r="A347" s="764"/>
      <c r="B347" s="561"/>
      <c r="C347" s="718"/>
      <c r="D347" s="695"/>
      <c r="E347" s="695"/>
      <c r="F347" s="699" t="s">
        <v>142</v>
      </c>
      <c r="G347" s="563"/>
      <c r="H347" s="722" t="s">
        <v>35</v>
      </c>
      <c r="I347" s="565"/>
      <c r="J347" s="708">
        <f ca="1">IFERROR(__xludf.DUMMYFUNCTION("IMPORTRANGE(""https://docs.google.com/spreadsheets/d/1awYsYK3VOup2i3Pq_Yjnu8DRu_mYwSBnCR2QPthd0rU/edit?usp=sharing"",""ศูนย์ยกเว้นโฉนด!F24"")"),0)</f>
        <v>0</v>
      </c>
      <c r="K347" s="566"/>
      <c r="L347" s="574"/>
      <c r="M347" s="566"/>
      <c r="N347" s="566"/>
      <c r="O347" s="566"/>
      <c r="P347" s="566"/>
      <c r="Q347" s="566"/>
      <c r="R347" s="566"/>
      <c r="S347" s="566"/>
      <c r="T347" s="566"/>
      <c r="U347" s="566"/>
    </row>
    <row r="348" spans="1:21" ht="18.75" x14ac:dyDescent="0.25">
      <c r="A348" s="764"/>
      <c r="B348" s="561"/>
      <c r="C348" s="718"/>
      <c r="D348" s="695"/>
      <c r="E348" s="699" t="s">
        <v>143</v>
      </c>
      <c r="F348" s="695"/>
      <c r="G348" s="563"/>
      <c r="H348" s="722" t="s">
        <v>35</v>
      </c>
      <c r="I348" s="565"/>
      <c r="J348" s="708">
        <f ca="1">IFERROR(__xludf.DUMMYFUNCTION("IMPORTRANGE(""https://docs.google.com/spreadsheets/d/1awYsYK3VOup2i3Pq_Yjnu8DRu_mYwSBnCR2QPthd0rU/edit?usp=sharing"",""ศูนย์ยกเว้นโฉนด!G24"")"),17)</f>
        <v>17</v>
      </c>
      <c r="K348" s="566"/>
      <c r="L348" s="574"/>
      <c r="M348" s="566"/>
      <c r="N348" s="566"/>
      <c r="O348" s="566"/>
      <c r="P348" s="566"/>
      <c r="Q348" s="566"/>
      <c r="R348" s="566"/>
      <c r="S348" s="566"/>
      <c r="T348" s="566"/>
      <c r="U348" s="566"/>
    </row>
    <row r="349" spans="1:21" ht="18.75" x14ac:dyDescent="0.25">
      <c r="A349" s="764"/>
      <c r="B349" s="561"/>
      <c r="C349" s="718"/>
      <c r="D349" s="688"/>
      <c r="E349" s="699" t="s">
        <v>144</v>
      </c>
      <c r="F349" s="695"/>
      <c r="G349" s="563"/>
      <c r="H349" s="722" t="s">
        <v>35</v>
      </c>
      <c r="I349" s="565"/>
      <c r="J349" s="708">
        <f ca="1">IFERROR(__xludf.DUMMYFUNCTION("IMPORTRANGE(""https://docs.google.com/spreadsheets/d/1awYsYK3VOup2i3Pq_Yjnu8DRu_mYwSBnCR2QPthd0rU/edit?usp=sharing"",""ศูนย์ยกเว้นโฉนด!H24"")"),0)</f>
        <v>0</v>
      </c>
      <c r="K349" s="566"/>
      <c r="L349" s="574"/>
      <c r="M349" s="566"/>
      <c r="N349" s="566"/>
      <c r="O349" s="566"/>
      <c r="P349" s="566"/>
      <c r="Q349" s="566"/>
      <c r="R349" s="566"/>
      <c r="S349" s="566"/>
      <c r="T349" s="566"/>
      <c r="U349" s="566"/>
    </row>
    <row r="350" spans="1:21" ht="16.5" x14ac:dyDescent="0.25">
      <c r="A350" s="718"/>
      <c r="B350" s="561"/>
      <c r="C350" s="718"/>
      <c r="D350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561"/>
      <c r="F350" s="561"/>
      <c r="G350" s="563"/>
      <c r="H350" s="727"/>
      <c r="I350" s="565"/>
      <c r="J350" s="565"/>
      <c r="K350" s="566"/>
      <c r="L350" s="574"/>
      <c r="M350" s="566"/>
      <c r="N350" s="566"/>
      <c r="O350" s="566"/>
      <c r="P350" s="566"/>
      <c r="Q350" s="566"/>
      <c r="R350" s="566"/>
      <c r="S350" s="566"/>
      <c r="T350" s="566"/>
      <c r="U350" s="566"/>
    </row>
    <row r="351" spans="1:21" ht="19.5" x14ac:dyDescent="0.3">
      <c r="A351" s="769"/>
      <c r="B351" s="772"/>
      <c r="C351" s="770"/>
      <c r="D351" s="772"/>
      <c r="E351" s="941" t="s">
        <v>145</v>
      </c>
      <c r="F351" s="772"/>
      <c r="G351" s="773"/>
      <c r="H351" s="774" t="s">
        <v>35</v>
      </c>
      <c r="I351" s="775">
        <v>0</v>
      </c>
      <c r="J351" s="775">
        <f ca="1">J352+J353</f>
        <v>5317</v>
      </c>
      <c r="K351" s="776">
        <v>0</v>
      </c>
      <c r="L351" s="777"/>
      <c r="M351" s="778"/>
      <c r="N351" s="778"/>
      <c r="O351" s="778"/>
      <c r="P351" s="778"/>
      <c r="Q351" s="778"/>
      <c r="R351" s="778"/>
      <c r="S351" s="778"/>
      <c r="T351" s="778"/>
      <c r="U351" s="778"/>
    </row>
    <row r="352" spans="1:21" ht="18.75" x14ac:dyDescent="0.25">
      <c r="A352" s="718"/>
      <c r="B352" s="561"/>
      <c r="C352" s="718"/>
      <c r="D352" s="695"/>
      <c r="E352" s="699" t="s">
        <v>146</v>
      </c>
      <c r="F352" s="561"/>
      <c r="G352" s="563"/>
      <c r="H352" s="681" t="s">
        <v>35</v>
      </c>
      <c r="I352" s="565"/>
      <c r="J352" s="708">
        <f ca="1">IFERROR(__xludf.DUMMYFUNCTION("IMPORTRANGE(""https://docs.google.com/spreadsheets/d/1awYsYK3VOup2i3Pq_Yjnu8DRu_mYwSBnCR2QPthd0rU/edit?usp=sharing"",""โฉนดM3!G24"")"),1590)</f>
        <v>1590</v>
      </c>
      <c r="K352" s="566"/>
      <c r="L352" s="574"/>
      <c r="M352" s="566"/>
      <c r="N352" s="566"/>
      <c r="O352" s="566"/>
      <c r="P352" s="566"/>
      <c r="Q352" s="566"/>
      <c r="R352" s="566"/>
      <c r="S352" s="566"/>
      <c r="T352" s="566"/>
      <c r="U352" s="566"/>
    </row>
    <row r="353" spans="1:21" ht="18.75" x14ac:dyDescent="0.25">
      <c r="A353" s="718"/>
      <c r="B353" s="561"/>
      <c r="C353" s="718"/>
      <c r="D353" s="695"/>
      <c r="E353" s="699" t="s">
        <v>147</v>
      </c>
      <c r="F353" s="561"/>
      <c r="G353" s="563"/>
      <c r="H353" s="681" t="s">
        <v>35</v>
      </c>
      <c r="I353" s="565"/>
      <c r="J353" s="708">
        <f ca="1">IFERROR(__xludf.DUMMYFUNCTION("IMPORTRANGE(""https://docs.google.com/spreadsheets/d/1awYsYK3VOup2i3Pq_Yjnu8DRu_mYwSBnCR2QPthd0rU/edit?usp=sharing"",""โฉนดM3!H24"")"),3727)</f>
        <v>3727</v>
      </c>
      <c r="K353" s="566"/>
      <c r="L353" s="574"/>
      <c r="M353" s="566"/>
      <c r="N353" s="566"/>
      <c r="O353" s="566"/>
      <c r="P353" s="566"/>
      <c r="Q353" s="566"/>
      <c r="R353" s="566"/>
      <c r="S353" s="566"/>
      <c r="T353" s="566"/>
      <c r="U353" s="566"/>
    </row>
    <row r="354" spans="1:21" ht="16.5" x14ac:dyDescent="0.25">
      <c r="A354" s="718"/>
      <c r="B354" s="561"/>
      <c r="C354" s="718"/>
      <c r="D354" s="940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561"/>
      <c r="F354" s="561"/>
      <c r="G354" s="563"/>
      <c r="H354" s="727"/>
      <c r="I354" s="565"/>
      <c r="J354" s="565"/>
      <c r="K354" s="566"/>
      <c r="L354" s="574"/>
      <c r="M354" s="566"/>
      <c r="N354" s="566"/>
      <c r="O354" s="566"/>
      <c r="P354" s="566"/>
      <c r="Q354" s="566"/>
      <c r="R354" s="566"/>
      <c r="S354" s="566"/>
      <c r="T354" s="566"/>
      <c r="U354" s="566"/>
    </row>
    <row r="355" spans="1:21" ht="19.5" x14ac:dyDescent="0.3">
      <c r="A355" s="909"/>
      <c r="B355" s="910" t="s">
        <v>148</v>
      </c>
      <c r="C355" s="928"/>
      <c r="D355" s="911"/>
      <c r="E355" s="911"/>
      <c r="F355" s="911"/>
      <c r="G355" s="912"/>
      <c r="H355" s="912"/>
      <c r="I355" s="942"/>
      <c r="J355" s="942"/>
      <c r="K355" s="917"/>
      <c r="L355" s="916"/>
      <c r="M355" s="917"/>
      <c r="N355" s="917"/>
      <c r="O355" s="917"/>
      <c r="P355" s="917"/>
      <c r="Q355" s="917"/>
      <c r="R355" s="917"/>
      <c r="S355" s="917"/>
      <c r="T355" s="917"/>
      <c r="U355" s="917"/>
    </row>
    <row r="356" spans="1:21" ht="19.5" x14ac:dyDescent="0.3">
      <c r="A356" s="674"/>
      <c r="B356" s="561"/>
      <c r="C356" s="675" t="s">
        <v>18</v>
      </c>
      <c r="D356" s="676" t="s">
        <v>19</v>
      </c>
      <c r="E356" s="561"/>
      <c r="F356" s="561"/>
      <c r="G356" s="563"/>
      <c r="H356" s="677" t="s">
        <v>14</v>
      </c>
      <c r="I356" s="565"/>
      <c r="J356" s="565"/>
      <c r="K356" s="566"/>
      <c r="L356" s="678">
        <f t="shared" ref="L356:N356" ca="1" si="228">L357+L358</f>
        <v>684750</v>
      </c>
      <c r="M356" s="679">
        <f t="shared" ca="1" si="228"/>
        <v>583965</v>
      </c>
      <c r="N356" s="679">
        <f t="shared" ca="1" si="228"/>
        <v>341150</v>
      </c>
      <c r="O356" s="679">
        <f t="shared" ref="O356:O364" ca="1" si="229">IF(L356&gt;0,N356*100/L356,0)</f>
        <v>49.821102592186932</v>
      </c>
      <c r="P356" s="679">
        <f t="shared" ref="P356:P364" ca="1" si="230">IF(M356&gt;0,N356*100/M356,0)</f>
        <v>58.419597064892585</v>
      </c>
      <c r="Q356" s="679">
        <f t="shared" ref="Q356:S356" si="231">Q357+Q358</f>
        <v>0</v>
      </c>
      <c r="R356" s="679">
        <f t="shared" si="231"/>
        <v>0</v>
      </c>
      <c r="S356" s="679">
        <f t="shared" si="231"/>
        <v>0</v>
      </c>
      <c r="T356" s="679">
        <f t="shared" ref="T356:T364" si="232">IF(Q356&gt;0,S356*100/Q356,0)</f>
        <v>0</v>
      </c>
      <c r="U356" s="679">
        <f t="shared" ref="U356:U364" si="233">IF(R356&gt;0,S356*100/R356,0)</f>
        <v>0</v>
      </c>
    </row>
    <row r="357" spans="1:21" ht="18.75" x14ac:dyDescent="0.25">
      <c r="A357" s="674"/>
      <c r="B357" s="561"/>
      <c r="C357" s="561"/>
      <c r="D357" s="561"/>
      <c r="E357" s="569" t="s">
        <v>20</v>
      </c>
      <c r="F357" s="561"/>
      <c r="G357" s="563"/>
      <c r="H357" s="680" t="s">
        <v>14</v>
      </c>
      <c r="I357" s="565"/>
      <c r="J357" s="565"/>
      <c r="K357" s="566"/>
      <c r="L357" s="571">
        <f t="shared" ref="L357:N358" si="234">L360+L363</f>
        <v>0</v>
      </c>
      <c r="M357" s="572">
        <f t="shared" si="234"/>
        <v>0</v>
      </c>
      <c r="N357" s="572">
        <f t="shared" si="234"/>
        <v>0</v>
      </c>
      <c r="O357" s="572">
        <f t="shared" si="229"/>
        <v>0</v>
      </c>
      <c r="P357" s="572">
        <f t="shared" si="230"/>
        <v>0</v>
      </c>
      <c r="Q357" s="572">
        <f t="shared" ref="Q357:S358" si="235">Q360+Q363</f>
        <v>0</v>
      </c>
      <c r="R357" s="572">
        <f t="shared" si="235"/>
        <v>0</v>
      </c>
      <c r="S357" s="572">
        <f t="shared" si="235"/>
        <v>0</v>
      </c>
      <c r="T357" s="572">
        <f t="shared" si="232"/>
        <v>0</v>
      </c>
      <c r="U357" s="572">
        <f t="shared" si="233"/>
        <v>0</v>
      </c>
    </row>
    <row r="358" spans="1:21" ht="18.75" x14ac:dyDescent="0.25">
      <c r="A358" s="674"/>
      <c r="B358" s="561"/>
      <c r="C358" s="561"/>
      <c r="D358" s="561"/>
      <c r="E358" s="573" t="s">
        <v>21</v>
      </c>
      <c r="F358" s="561"/>
      <c r="G358" s="563"/>
      <c r="H358" s="681" t="s">
        <v>14</v>
      </c>
      <c r="I358" s="565"/>
      <c r="J358" s="565"/>
      <c r="K358" s="566"/>
      <c r="L358" s="567">
        <f t="shared" ca="1" si="234"/>
        <v>684750</v>
      </c>
      <c r="M358" s="568">
        <f t="shared" ca="1" si="234"/>
        <v>583965</v>
      </c>
      <c r="N358" s="568">
        <f t="shared" ca="1" si="234"/>
        <v>341150</v>
      </c>
      <c r="O358" s="568">
        <f t="shared" ca="1" si="229"/>
        <v>49.821102592186932</v>
      </c>
      <c r="P358" s="568">
        <f t="shared" ca="1" si="230"/>
        <v>58.419597064892585</v>
      </c>
      <c r="Q358" s="568">
        <f t="shared" si="235"/>
        <v>0</v>
      </c>
      <c r="R358" s="568">
        <f t="shared" si="235"/>
        <v>0</v>
      </c>
      <c r="S358" s="568">
        <f t="shared" si="235"/>
        <v>0</v>
      </c>
      <c r="T358" s="568">
        <f t="shared" si="232"/>
        <v>0</v>
      </c>
      <c r="U358" s="568">
        <f t="shared" si="233"/>
        <v>0</v>
      </c>
    </row>
    <row r="359" spans="1:21" ht="18.75" x14ac:dyDescent="0.25">
      <c r="A359" s="674"/>
      <c r="B359" s="561"/>
      <c r="C359" s="561"/>
      <c r="D359" s="562" t="s">
        <v>22</v>
      </c>
      <c r="E359" s="561"/>
      <c r="F359" s="561"/>
      <c r="G359" s="563"/>
      <c r="H359" s="682" t="s">
        <v>14</v>
      </c>
      <c r="I359" s="683"/>
      <c r="J359" s="683"/>
      <c r="K359" s="684"/>
      <c r="L359" s="567">
        <f t="shared" ref="L359:N359" ca="1" si="236">L360+L361</f>
        <v>684750</v>
      </c>
      <c r="M359" s="568">
        <f t="shared" ca="1" si="236"/>
        <v>583965</v>
      </c>
      <c r="N359" s="568">
        <f t="shared" ca="1" si="236"/>
        <v>341150</v>
      </c>
      <c r="O359" s="568">
        <f t="shared" ca="1" si="229"/>
        <v>49.821102592186932</v>
      </c>
      <c r="P359" s="568">
        <f t="shared" ca="1" si="230"/>
        <v>58.419597064892585</v>
      </c>
      <c r="Q359" s="568">
        <f t="shared" ref="Q359:S359" si="237">Q360+Q361</f>
        <v>0</v>
      </c>
      <c r="R359" s="568">
        <f t="shared" si="237"/>
        <v>0</v>
      </c>
      <c r="S359" s="568">
        <f t="shared" si="237"/>
        <v>0</v>
      </c>
      <c r="T359" s="568">
        <f t="shared" si="232"/>
        <v>0</v>
      </c>
      <c r="U359" s="568">
        <f t="shared" si="233"/>
        <v>0</v>
      </c>
    </row>
    <row r="360" spans="1:21" ht="18.75" x14ac:dyDescent="0.25">
      <c r="A360" s="674"/>
      <c r="B360" s="561"/>
      <c r="C360" s="561"/>
      <c r="D360" s="561"/>
      <c r="E360" s="569" t="s">
        <v>36</v>
      </c>
      <c r="F360" s="561"/>
      <c r="G360" s="563"/>
      <c r="H360" s="685" t="s">
        <v>14</v>
      </c>
      <c r="I360" s="683"/>
      <c r="J360" s="683"/>
      <c r="K360" s="684"/>
      <c r="L360" s="571">
        <v>0</v>
      </c>
      <c r="M360" s="572">
        <v>0</v>
      </c>
      <c r="N360" s="572">
        <v>0</v>
      </c>
      <c r="O360" s="572">
        <f t="shared" si="229"/>
        <v>0</v>
      </c>
      <c r="P360" s="572">
        <f t="shared" si="230"/>
        <v>0</v>
      </c>
      <c r="Q360" s="572">
        <v>0</v>
      </c>
      <c r="R360" s="572">
        <v>0</v>
      </c>
      <c r="S360" s="572">
        <v>0</v>
      </c>
      <c r="T360" s="572">
        <f t="shared" si="232"/>
        <v>0</v>
      </c>
      <c r="U360" s="572">
        <f t="shared" si="233"/>
        <v>0</v>
      </c>
    </row>
    <row r="361" spans="1:21" ht="18.75" x14ac:dyDescent="0.25">
      <c r="A361" s="674"/>
      <c r="B361" s="561"/>
      <c r="C361" s="561"/>
      <c r="D361" s="561"/>
      <c r="E361" s="573" t="s">
        <v>37</v>
      </c>
      <c r="F361" s="561"/>
      <c r="G361" s="563"/>
      <c r="H361" s="682" t="s">
        <v>14</v>
      </c>
      <c r="I361" s="683"/>
      <c r="J361" s="683"/>
      <c r="K361" s="684"/>
      <c r="L361" s="567">
        <f ca="1">IFERROR(__xludf.DUMMYFUNCTION("IMPORTRANGE(""https://docs.google.com/spreadsheets/d/1-uDff_7J0KD5mKrp0Vvzr7lt3OU09vwQwhkpOPPYv2Y/edit?usp=sharing"",""งบพรบ!FC24"")"),684750)</f>
        <v>684750</v>
      </c>
      <c r="M361" s="568">
        <f ca="1">IFERROR(__xludf.DUMMYFUNCTION("IMPORTRANGE(""https://docs.google.com/spreadsheets/d/1-uDff_7J0KD5mKrp0Vvzr7lt3OU09vwQwhkpOPPYv2Y/edit?usp=sharing"",""งบพรบ!FH24"")"),583965)</f>
        <v>583965</v>
      </c>
      <c r="N361" s="568">
        <f ca="1">IFERROR(__xludf.DUMMYFUNCTION("IMPORTRANGE(""https://docs.google.com/spreadsheets/d/1-uDff_7J0KD5mKrp0Vvzr7lt3OU09vwQwhkpOPPYv2Y/edit?usp=sharing"",""งบพรบ!FJ24"")"),341150)</f>
        <v>341150</v>
      </c>
      <c r="O361" s="568">
        <f t="shared" ca="1" si="229"/>
        <v>49.821102592186932</v>
      </c>
      <c r="P361" s="568">
        <f t="shared" ca="1" si="230"/>
        <v>58.419597064892585</v>
      </c>
      <c r="Q361" s="568">
        <v>0</v>
      </c>
      <c r="R361" s="568">
        <v>0</v>
      </c>
      <c r="S361" s="568">
        <v>0</v>
      </c>
      <c r="T361" s="568">
        <f t="shared" si="232"/>
        <v>0</v>
      </c>
      <c r="U361" s="568">
        <f t="shared" si="233"/>
        <v>0</v>
      </c>
    </row>
    <row r="362" spans="1:21" ht="18.75" x14ac:dyDescent="0.25">
      <c r="A362" s="674"/>
      <c r="B362" s="561"/>
      <c r="C362" s="561"/>
      <c r="D362" s="562" t="s">
        <v>23</v>
      </c>
      <c r="E362" s="561"/>
      <c r="F362" s="561"/>
      <c r="G362" s="563"/>
      <c r="H362" s="686" t="s">
        <v>14</v>
      </c>
      <c r="I362" s="683"/>
      <c r="J362" s="683"/>
      <c r="K362" s="684"/>
      <c r="L362" s="567">
        <f t="shared" ref="L362:N362" ca="1" si="238">L363+L364</f>
        <v>0</v>
      </c>
      <c r="M362" s="568">
        <f t="shared" ca="1" si="238"/>
        <v>0</v>
      </c>
      <c r="N362" s="568">
        <f t="shared" ca="1" si="238"/>
        <v>0</v>
      </c>
      <c r="O362" s="568">
        <f t="shared" ca="1" si="229"/>
        <v>0</v>
      </c>
      <c r="P362" s="568">
        <f t="shared" ca="1" si="230"/>
        <v>0</v>
      </c>
      <c r="Q362" s="568">
        <f t="shared" ref="Q362:S362" si="239">Q363+Q364</f>
        <v>0</v>
      </c>
      <c r="R362" s="568">
        <f t="shared" si="239"/>
        <v>0</v>
      </c>
      <c r="S362" s="568">
        <f t="shared" si="239"/>
        <v>0</v>
      </c>
      <c r="T362" s="568">
        <f t="shared" si="232"/>
        <v>0</v>
      </c>
      <c r="U362" s="568">
        <f t="shared" si="233"/>
        <v>0</v>
      </c>
    </row>
    <row r="363" spans="1:21" ht="18.75" x14ac:dyDescent="0.25">
      <c r="A363" s="674"/>
      <c r="B363" s="561"/>
      <c r="C363" s="561"/>
      <c r="D363" s="561"/>
      <c r="E363" s="569" t="s">
        <v>20</v>
      </c>
      <c r="F363" s="561"/>
      <c r="G363" s="563"/>
      <c r="H363" s="685" t="s">
        <v>14</v>
      </c>
      <c r="I363" s="683"/>
      <c r="J363" s="683"/>
      <c r="K363" s="684"/>
      <c r="L363" s="571">
        <v>0</v>
      </c>
      <c r="M363" s="572">
        <v>0</v>
      </c>
      <c r="N363" s="572">
        <v>0</v>
      </c>
      <c r="O363" s="572">
        <f t="shared" si="229"/>
        <v>0</v>
      </c>
      <c r="P363" s="572">
        <f t="shared" si="230"/>
        <v>0</v>
      </c>
      <c r="Q363" s="572">
        <v>0</v>
      </c>
      <c r="R363" s="572">
        <v>0</v>
      </c>
      <c r="S363" s="572">
        <v>0</v>
      </c>
      <c r="T363" s="572">
        <f t="shared" si="232"/>
        <v>0</v>
      </c>
      <c r="U363" s="572">
        <f t="shared" si="233"/>
        <v>0</v>
      </c>
    </row>
    <row r="364" spans="1:21" ht="18.75" x14ac:dyDescent="0.25">
      <c r="A364" s="674"/>
      <c r="B364" s="561"/>
      <c r="C364" s="561"/>
      <c r="D364" s="561"/>
      <c r="E364" s="573" t="s">
        <v>21</v>
      </c>
      <c r="F364" s="561"/>
      <c r="G364" s="563"/>
      <c r="H364" s="686" t="s">
        <v>14</v>
      </c>
      <c r="I364" s="683"/>
      <c r="J364" s="683"/>
      <c r="K364" s="684"/>
      <c r="L364" s="567">
        <f ca="1">IFERROR(__xludf.DUMMYFUNCTION("IMPORTRANGE(""https://docs.google.com/spreadsheets/d/1-uDff_7J0KD5mKrp0Vvzr7lt3OU09vwQwhkpOPPYv2Y/edit?usp=sharing"",""งบพรบ!FF24"")"),0)</f>
        <v>0</v>
      </c>
      <c r="M364" s="568">
        <f ca="1">IFERROR(__xludf.DUMMYFUNCTION("IMPORTRANGE(""https://docs.google.com/spreadsheets/d/1-uDff_7J0KD5mKrp0Vvzr7lt3OU09vwQwhkpOPPYv2Y/edit?usp=sharing"",""งบพรบ!FI24"")"),0)</f>
        <v>0</v>
      </c>
      <c r="N364" s="568">
        <f ca="1">IFERROR(__xludf.DUMMYFUNCTION("IMPORTRANGE(""https://docs.google.com/spreadsheets/d/1-uDff_7J0KD5mKrp0Vvzr7lt3OU09vwQwhkpOPPYv2Y/edit?usp=sharing"",""งบพรบ!FK24"")"),0)</f>
        <v>0</v>
      </c>
      <c r="O364" s="568">
        <f t="shared" ca="1" si="229"/>
        <v>0</v>
      </c>
      <c r="P364" s="568">
        <f t="shared" ca="1" si="230"/>
        <v>0</v>
      </c>
      <c r="Q364" s="568">
        <v>0</v>
      </c>
      <c r="R364" s="568">
        <v>0</v>
      </c>
      <c r="S364" s="568">
        <v>0</v>
      </c>
      <c r="T364" s="568">
        <f t="shared" si="232"/>
        <v>0</v>
      </c>
      <c r="U364" s="568">
        <f t="shared" si="233"/>
        <v>0</v>
      </c>
    </row>
    <row r="365" spans="1:21" ht="19.5" x14ac:dyDescent="0.3">
      <c r="A365" s="769"/>
      <c r="B365" s="770"/>
      <c r="C365" s="772"/>
      <c r="D365" s="941" t="s">
        <v>149</v>
      </c>
      <c r="E365" s="772"/>
      <c r="F365" s="772"/>
      <c r="G365" s="773"/>
      <c r="H365" s="782" t="s">
        <v>35</v>
      </c>
      <c r="I365" s="775">
        <f t="shared" ref="I365:J365" ca="1" si="240">I371</f>
        <v>191</v>
      </c>
      <c r="J365" s="775">
        <f t="shared" ca="1" si="240"/>
        <v>332</v>
      </c>
      <c r="K365" s="776">
        <f ca="1">IF(I365&gt;0,J365*100/I365,0)</f>
        <v>173.82198952879583</v>
      </c>
      <c r="L365" s="777"/>
      <c r="M365" s="778"/>
      <c r="N365" s="778"/>
      <c r="O365" s="778"/>
      <c r="P365" s="778"/>
      <c r="Q365" s="778"/>
      <c r="R365" s="778"/>
      <c r="S365" s="778"/>
      <c r="T365" s="778"/>
      <c r="U365" s="778"/>
    </row>
    <row r="366" spans="1:21" ht="19.5" x14ac:dyDescent="0.3">
      <c r="A366" s="687"/>
      <c r="B366" s="688"/>
      <c r="C366" s="675" t="s">
        <v>18</v>
      </c>
      <c r="D366" s="689" t="s">
        <v>38</v>
      </c>
      <c r="E366" s="690"/>
      <c r="F366" s="690"/>
      <c r="G366" s="691"/>
      <c r="H366" s="692"/>
      <c r="I366" s="565"/>
      <c r="J366" s="565"/>
      <c r="K366" s="566"/>
      <c r="L366" s="693"/>
      <c r="M366" s="684"/>
      <c r="N366" s="684"/>
      <c r="O366" s="684"/>
      <c r="P366" s="684"/>
      <c r="Q366" s="684"/>
      <c r="R366" s="684"/>
      <c r="S366" s="684"/>
      <c r="T366" s="684"/>
      <c r="U366" s="684"/>
    </row>
    <row r="367" spans="1:21" ht="18.75" x14ac:dyDescent="0.25">
      <c r="A367" s="687"/>
      <c r="B367" s="695"/>
      <c r="C367" s="688"/>
      <c r="D367" s="695"/>
      <c r="E367" s="694" t="s">
        <v>150</v>
      </c>
      <c r="F367" s="695"/>
      <c r="G367" s="692"/>
      <c r="H367" s="704" t="s">
        <v>35</v>
      </c>
      <c r="I367" s="708">
        <v>0</v>
      </c>
      <c r="J367" s="708">
        <f ca="1">IFERROR(__xludf.DUMMYFUNCTION("IMPORTRANGE(""https://docs.google.com/spreadsheets/d/1tdoBKaGub7dwA3U6UFTqxio9LNnvDCQjHKmttSEBsFQ/edit?usp=sharing"",""จัดที่ดิน!AB24"")"),65)</f>
        <v>65</v>
      </c>
      <c r="K367" s="568">
        <f t="shared" ref="K367:K372" si="241">IF(I367&gt;0,J367*100/I367,0)</f>
        <v>0</v>
      </c>
      <c r="L367" s="693"/>
      <c r="M367" s="684"/>
      <c r="N367" s="684"/>
      <c r="O367" s="684"/>
      <c r="P367" s="684"/>
      <c r="Q367" s="684"/>
      <c r="R367" s="684"/>
      <c r="S367" s="684"/>
      <c r="T367" s="684"/>
      <c r="U367" s="684"/>
    </row>
    <row r="368" spans="1:21" ht="18.75" x14ac:dyDescent="0.25">
      <c r="A368" s="687"/>
      <c r="B368" s="695"/>
      <c r="C368" s="688"/>
      <c r="D368" s="695"/>
      <c r="E368" s="695"/>
      <c r="F368" s="695"/>
      <c r="G368" s="692"/>
      <c r="H368" s="704" t="s">
        <v>46</v>
      </c>
      <c r="I368" s="708">
        <f ca="1">IFERROR(__xludf.DUMMYFUNCTION("IMPORTRANGE(""https://docs.google.com/spreadsheets/d/1eHaY18a8A9IcSdp1K8H6x8fbOy06t2VsZHhMHf-1x7Y/edit?usp=sharing"",""แผน!EW24"")"),540)</f>
        <v>540</v>
      </c>
      <c r="J368" s="943">
        <f ca="1">IFERROR(__xludf.DUMMYFUNCTION("IMPORTRANGE(""https://docs.google.com/spreadsheets/d/1tdoBKaGub7dwA3U6UFTqxio9LNnvDCQjHKmttSEBsFQ/edit?usp=sharing"",""จัดที่ดิน!AC24"")"),366.419999999999)</f>
        <v>366.41999999999899</v>
      </c>
      <c r="K368" s="568">
        <f t="shared" ca="1" si="241"/>
        <v>67.85555555555537</v>
      </c>
      <c r="L368" s="693"/>
      <c r="M368" s="684"/>
      <c r="N368" s="684"/>
      <c r="O368" s="684"/>
      <c r="P368" s="684"/>
      <c r="Q368" s="684"/>
      <c r="R368" s="684"/>
      <c r="S368" s="684"/>
      <c r="T368" s="684"/>
      <c r="U368" s="684"/>
    </row>
    <row r="369" spans="1:21" ht="18.75" x14ac:dyDescent="0.25">
      <c r="A369" s="687"/>
      <c r="B369" s="695"/>
      <c r="C369" s="688"/>
      <c r="D369" s="695"/>
      <c r="E369" s="694" t="s">
        <v>151</v>
      </c>
      <c r="F369" s="695"/>
      <c r="G369" s="692"/>
      <c r="H369" s="700" t="s">
        <v>35</v>
      </c>
      <c r="I369" s="708">
        <f ca="1">IFERROR(__xludf.DUMMYFUNCTION("IMPORTRANGE(""https://docs.google.com/spreadsheets/d/1eHaY18a8A9IcSdp1K8H6x8fbOy06t2VsZHhMHf-1x7Y/edit?usp=sharing"",""แผน!EX24"")"),191)</f>
        <v>191</v>
      </c>
      <c r="J369" s="708">
        <f ca="1">IFERROR(__xludf.DUMMYFUNCTION("IMPORTRANGE(""https://docs.google.com/spreadsheets/d/1tdoBKaGub7dwA3U6UFTqxio9LNnvDCQjHKmttSEBsFQ/edit?usp=sharing"",""จัดที่ดิน!AD24"")"),373)</f>
        <v>373</v>
      </c>
      <c r="K369" s="568">
        <f t="shared" ca="1" si="241"/>
        <v>195.28795811518324</v>
      </c>
      <c r="L369" s="693"/>
      <c r="M369" s="684"/>
      <c r="N369" s="684"/>
      <c r="O369" s="684"/>
      <c r="P369" s="684"/>
      <c r="Q369" s="684"/>
      <c r="R369" s="684"/>
      <c r="S369" s="684"/>
      <c r="T369" s="684"/>
      <c r="U369" s="684"/>
    </row>
    <row r="370" spans="1:21" ht="18.75" x14ac:dyDescent="0.25">
      <c r="A370" s="687"/>
      <c r="B370" s="695"/>
      <c r="C370" s="688"/>
      <c r="D370" s="695"/>
      <c r="E370" s="695"/>
      <c r="F370" s="695"/>
      <c r="G370" s="692"/>
      <c r="H370" s="700" t="s">
        <v>46</v>
      </c>
      <c r="I370" s="708">
        <v>0</v>
      </c>
      <c r="J370" s="943">
        <f ca="1">IFERROR(__xludf.DUMMYFUNCTION("IMPORTRANGE(""https://docs.google.com/spreadsheets/d/1tdoBKaGub7dwA3U6UFTqxio9LNnvDCQjHKmttSEBsFQ/edit?usp=sharing"",""จัดที่ดิน!AE24"")"),3073.52)</f>
        <v>3073.52</v>
      </c>
      <c r="K370" s="568">
        <f t="shared" si="241"/>
        <v>0</v>
      </c>
      <c r="L370" s="693"/>
      <c r="M370" s="684"/>
      <c r="N370" s="684"/>
      <c r="O370" s="684"/>
      <c r="P370" s="684"/>
      <c r="Q370" s="684"/>
      <c r="R370" s="684"/>
      <c r="S370" s="684"/>
      <c r="T370" s="684"/>
      <c r="U370" s="684"/>
    </row>
    <row r="371" spans="1:21" ht="18.75" x14ac:dyDescent="0.25">
      <c r="A371" s="687"/>
      <c r="B371" s="695"/>
      <c r="C371" s="688"/>
      <c r="D371" s="695"/>
      <c r="E371" s="944" t="s">
        <v>152</v>
      </c>
      <c r="F371" s="695"/>
      <c r="G371" s="692"/>
      <c r="H371" s="700" t="s">
        <v>35</v>
      </c>
      <c r="I371" s="708">
        <f ca="1">IFERROR(__xludf.DUMMYFUNCTION("IMPORTRANGE(""https://docs.google.com/spreadsheets/d/1eHaY18a8A9IcSdp1K8H6x8fbOy06t2VsZHhMHf-1x7Y/edit?usp=sharing"",""แผน!EY24"")"),191)</f>
        <v>191</v>
      </c>
      <c r="J371" s="708">
        <f ca="1">IFERROR(__xludf.DUMMYFUNCTION("IMPORTRANGE(""https://docs.google.com/spreadsheets/d/1tdoBKaGub7dwA3U6UFTqxio9LNnvDCQjHKmttSEBsFQ/edit?usp=sharing"",""จัดที่ดิน!AF24"")"),332)</f>
        <v>332</v>
      </c>
      <c r="K371" s="568">
        <f t="shared" ca="1" si="241"/>
        <v>173.82198952879583</v>
      </c>
      <c r="L371" s="693"/>
      <c r="M371" s="684"/>
      <c r="N371" s="684"/>
      <c r="O371" s="684"/>
      <c r="P371" s="684"/>
      <c r="Q371" s="684"/>
      <c r="R371" s="684"/>
      <c r="S371" s="684"/>
      <c r="T371" s="684"/>
      <c r="U371" s="684"/>
    </row>
    <row r="372" spans="1:21" ht="18.75" x14ac:dyDescent="0.25">
      <c r="A372" s="687"/>
      <c r="B372" s="695"/>
      <c r="C372" s="688"/>
      <c r="D372" s="695"/>
      <c r="E372" s="695"/>
      <c r="F372" s="695"/>
      <c r="G372" s="692"/>
      <c r="H372" s="700" t="s">
        <v>46</v>
      </c>
      <c r="I372" s="708">
        <v>0</v>
      </c>
      <c r="J372" s="943">
        <f ca="1">IFERROR(__xludf.DUMMYFUNCTION("IMPORTRANGE(""https://docs.google.com/spreadsheets/d/1tdoBKaGub7dwA3U6UFTqxio9LNnvDCQjHKmttSEBsFQ/edit?usp=sharing"",""จัดที่ดิน!AG24"")"),2739.03)</f>
        <v>2739.03</v>
      </c>
      <c r="K372" s="568">
        <f t="shared" si="241"/>
        <v>0</v>
      </c>
      <c r="L372" s="693"/>
      <c r="M372" s="684"/>
      <c r="N372" s="684"/>
      <c r="O372" s="684"/>
      <c r="P372" s="684"/>
      <c r="Q372" s="684"/>
      <c r="R372" s="684"/>
      <c r="S372" s="684"/>
      <c r="T372" s="684"/>
      <c r="U372" s="684"/>
    </row>
    <row r="373" spans="1:21" ht="16.5" x14ac:dyDescent="0.25">
      <c r="A373" s="514"/>
      <c r="B373" s="513"/>
      <c r="C373" s="514"/>
      <c r="D373" s="9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513"/>
      <c r="F373" s="513"/>
      <c r="G373" s="577"/>
      <c r="H373" s="577"/>
      <c r="I373" s="579"/>
      <c r="J373" s="579"/>
      <c r="K373" s="580"/>
      <c r="L373" s="581"/>
      <c r="M373" s="580"/>
      <c r="N373" s="580"/>
      <c r="O373" s="580"/>
      <c r="P373" s="580"/>
      <c r="Q373" s="580"/>
      <c r="R373" s="580"/>
      <c r="S373" s="580"/>
      <c r="T373" s="580"/>
      <c r="U373" s="580"/>
    </row>
    <row r="374" spans="1:21" ht="19.5" x14ac:dyDescent="0.3">
      <c r="A374" s="946"/>
      <c r="B374" s="947" t="s">
        <v>153</v>
      </c>
      <c r="C374" s="948"/>
      <c r="D374" s="949"/>
      <c r="E374" s="950"/>
      <c r="F374" s="950"/>
      <c r="G374" s="951"/>
      <c r="H374" s="952" t="s">
        <v>46</v>
      </c>
      <c r="I374" s="953">
        <f t="shared" ref="I374:J374" ca="1" si="242">I386+I388</f>
        <v>1000</v>
      </c>
      <c r="J374" s="953">
        <f t="shared" ca="1" si="242"/>
        <v>0</v>
      </c>
      <c r="K374" s="954">
        <f ca="1">IF(I374&gt;0,J374*100/I374,0)</f>
        <v>0</v>
      </c>
      <c r="L374" s="916"/>
      <c r="M374" s="917"/>
      <c r="N374" s="917"/>
      <c r="O374" s="917"/>
      <c r="P374" s="917"/>
      <c r="Q374" s="917"/>
      <c r="R374" s="917"/>
      <c r="S374" s="917"/>
      <c r="T374" s="917"/>
      <c r="U374" s="917"/>
    </row>
    <row r="375" spans="1:21" ht="19.5" x14ac:dyDescent="0.3">
      <c r="A375" s="674"/>
      <c r="B375" s="718"/>
      <c r="C375" s="719" t="s">
        <v>18</v>
      </c>
      <c r="D375" s="955" t="s">
        <v>19</v>
      </c>
      <c r="E375" s="561"/>
      <c r="F375" s="561"/>
      <c r="G375" s="563"/>
      <c r="H375" s="677" t="s">
        <v>14</v>
      </c>
      <c r="I375" s="565"/>
      <c r="J375" s="565"/>
      <c r="K375" s="566"/>
      <c r="L375" s="678">
        <f t="shared" ref="L375:N375" ca="1" si="243">L376+L377</f>
        <v>0</v>
      </c>
      <c r="M375" s="679">
        <f t="shared" ca="1" si="243"/>
        <v>0</v>
      </c>
      <c r="N375" s="679">
        <f t="shared" ca="1" si="243"/>
        <v>0</v>
      </c>
      <c r="O375" s="679">
        <f t="shared" ref="O375:O383" ca="1" si="244">IF(L375&gt;0,N375*100/L375,0)</f>
        <v>0</v>
      </c>
      <c r="P375" s="679">
        <f t="shared" ref="P375:P383" ca="1" si="245">IF(M375&gt;0,N375*100/M375,0)</f>
        <v>0</v>
      </c>
      <c r="Q375" s="679">
        <f t="shared" ref="Q375:S375" ca="1" si="246">Q376+Q377</f>
        <v>62500</v>
      </c>
      <c r="R375" s="679">
        <f t="shared" ca="1" si="246"/>
        <v>62500</v>
      </c>
      <c r="S375" s="679">
        <f t="shared" ca="1" si="246"/>
        <v>0</v>
      </c>
      <c r="T375" s="679">
        <f t="shared" ref="T375:T383" ca="1" si="247">IF(Q375&gt;0,S375*100/Q375,0)</f>
        <v>0</v>
      </c>
      <c r="U375" s="679">
        <f t="shared" ref="U375:U383" ca="1" si="248">IF(R375&gt;0,S375*100/R375,0)</f>
        <v>0</v>
      </c>
    </row>
    <row r="376" spans="1:21" ht="18.75" x14ac:dyDescent="0.25">
      <c r="A376" s="674"/>
      <c r="B376" s="718"/>
      <c r="C376" s="718"/>
      <c r="D376" s="718"/>
      <c r="E376" s="569" t="s">
        <v>20</v>
      </c>
      <c r="F376" s="561"/>
      <c r="G376" s="563"/>
      <c r="H376" s="680" t="s">
        <v>14</v>
      </c>
      <c r="I376" s="565"/>
      <c r="J376" s="565"/>
      <c r="K376" s="566"/>
      <c r="L376" s="571">
        <f t="shared" ref="L376:N377" si="249">L379+L382</f>
        <v>0</v>
      </c>
      <c r="M376" s="572">
        <f t="shared" si="249"/>
        <v>0</v>
      </c>
      <c r="N376" s="572">
        <f t="shared" si="249"/>
        <v>0</v>
      </c>
      <c r="O376" s="572">
        <f t="shared" si="244"/>
        <v>0</v>
      </c>
      <c r="P376" s="572">
        <f t="shared" si="245"/>
        <v>0</v>
      </c>
      <c r="Q376" s="572">
        <f t="shared" ref="Q376:S377" si="250">Q379+Q382</f>
        <v>0</v>
      </c>
      <c r="R376" s="572">
        <f t="shared" si="250"/>
        <v>0</v>
      </c>
      <c r="S376" s="572">
        <f t="shared" si="250"/>
        <v>0</v>
      </c>
      <c r="T376" s="572">
        <f t="shared" si="247"/>
        <v>0</v>
      </c>
      <c r="U376" s="572">
        <f t="shared" si="248"/>
        <v>0</v>
      </c>
    </row>
    <row r="377" spans="1:21" ht="18.75" x14ac:dyDescent="0.25">
      <c r="A377" s="674"/>
      <c r="B377" s="718"/>
      <c r="C377" s="718"/>
      <c r="D377" s="718"/>
      <c r="E377" s="573" t="s">
        <v>21</v>
      </c>
      <c r="F377" s="561"/>
      <c r="G377" s="563"/>
      <c r="H377" s="681" t="s">
        <v>14</v>
      </c>
      <c r="I377" s="565"/>
      <c r="J377" s="565"/>
      <c r="K377" s="566"/>
      <c r="L377" s="567">
        <f t="shared" ca="1" si="249"/>
        <v>0</v>
      </c>
      <c r="M377" s="568">
        <f t="shared" ca="1" si="249"/>
        <v>0</v>
      </c>
      <c r="N377" s="568">
        <f t="shared" ca="1" si="249"/>
        <v>0</v>
      </c>
      <c r="O377" s="568">
        <f t="shared" ca="1" si="244"/>
        <v>0</v>
      </c>
      <c r="P377" s="568">
        <f t="shared" ca="1" si="245"/>
        <v>0</v>
      </c>
      <c r="Q377" s="568">
        <f t="shared" ca="1" si="250"/>
        <v>62500</v>
      </c>
      <c r="R377" s="568">
        <f t="shared" ca="1" si="250"/>
        <v>62500</v>
      </c>
      <c r="S377" s="568">
        <f t="shared" ca="1" si="250"/>
        <v>0</v>
      </c>
      <c r="T377" s="568">
        <f t="shared" ca="1" si="247"/>
        <v>0</v>
      </c>
      <c r="U377" s="568">
        <f t="shared" ca="1" si="248"/>
        <v>0</v>
      </c>
    </row>
    <row r="378" spans="1:21" ht="18.75" x14ac:dyDescent="0.25">
      <c r="A378" s="674"/>
      <c r="B378" s="718"/>
      <c r="C378" s="718"/>
      <c r="D378" s="721" t="s">
        <v>22</v>
      </c>
      <c r="E378" s="561"/>
      <c r="F378" s="561"/>
      <c r="G378" s="563"/>
      <c r="H378" s="682" t="s">
        <v>14</v>
      </c>
      <c r="I378" s="683"/>
      <c r="J378" s="683"/>
      <c r="K378" s="684"/>
      <c r="L378" s="567">
        <f t="shared" ref="L378:N378" ca="1" si="251">L379+L380</f>
        <v>0</v>
      </c>
      <c r="M378" s="568">
        <f t="shared" ca="1" si="251"/>
        <v>0</v>
      </c>
      <c r="N378" s="568">
        <f t="shared" ca="1" si="251"/>
        <v>0</v>
      </c>
      <c r="O378" s="568">
        <f t="shared" ca="1" si="244"/>
        <v>0</v>
      </c>
      <c r="P378" s="568">
        <f t="shared" ca="1" si="245"/>
        <v>0</v>
      </c>
      <c r="Q378" s="568">
        <f t="shared" ref="Q378:S378" ca="1" si="252">Q379+Q380</f>
        <v>62500</v>
      </c>
      <c r="R378" s="568">
        <f t="shared" ca="1" si="252"/>
        <v>62500</v>
      </c>
      <c r="S378" s="568">
        <f t="shared" ca="1" si="252"/>
        <v>0</v>
      </c>
      <c r="T378" s="568">
        <f t="shared" ca="1" si="247"/>
        <v>0</v>
      </c>
      <c r="U378" s="568">
        <f t="shared" ca="1" si="248"/>
        <v>0</v>
      </c>
    </row>
    <row r="379" spans="1:21" ht="18.75" x14ac:dyDescent="0.25">
      <c r="A379" s="674"/>
      <c r="B379" s="718"/>
      <c r="C379" s="718"/>
      <c r="D379" s="718"/>
      <c r="E379" s="569" t="s">
        <v>36</v>
      </c>
      <c r="F379" s="561"/>
      <c r="G379" s="563"/>
      <c r="H379" s="685" t="s">
        <v>14</v>
      </c>
      <c r="I379" s="683"/>
      <c r="J379" s="683"/>
      <c r="K379" s="684"/>
      <c r="L379" s="571">
        <v>0</v>
      </c>
      <c r="M379" s="572">
        <v>0</v>
      </c>
      <c r="N379" s="572">
        <v>0</v>
      </c>
      <c r="O379" s="572">
        <f t="shared" si="244"/>
        <v>0</v>
      </c>
      <c r="P379" s="572">
        <f t="shared" si="245"/>
        <v>0</v>
      </c>
      <c r="Q379" s="572">
        <v>0</v>
      </c>
      <c r="R379" s="572">
        <v>0</v>
      </c>
      <c r="S379" s="572">
        <v>0</v>
      </c>
      <c r="T379" s="572">
        <f t="shared" si="247"/>
        <v>0</v>
      </c>
      <c r="U379" s="572">
        <f t="shared" si="248"/>
        <v>0</v>
      </c>
    </row>
    <row r="380" spans="1:21" ht="18.75" x14ac:dyDescent="0.25">
      <c r="A380" s="674"/>
      <c r="B380" s="718"/>
      <c r="C380" s="718"/>
      <c r="D380" s="718"/>
      <c r="E380" s="765" t="s">
        <v>37</v>
      </c>
      <c r="F380" s="718"/>
      <c r="G380" s="727"/>
      <c r="H380" s="682" t="s">
        <v>14</v>
      </c>
      <c r="I380" s="683"/>
      <c r="J380" s="683"/>
      <c r="K380" s="684"/>
      <c r="L380" s="567">
        <f ca="1">IFERROR(__xludf.DUMMYFUNCTION("IMPORTRANGE(""https://docs.google.com/spreadsheets/d/1-uDff_7J0KD5mKrp0Vvzr7lt3OU09vwQwhkpOPPYv2Y/edit?usp=sharing"",""งบพรบ!IE24"")"),0)</f>
        <v>0</v>
      </c>
      <c r="M380" s="568">
        <f ca="1">IFERROR(__xludf.DUMMYFUNCTION("IMPORTRANGE(""https://docs.google.com/spreadsheets/d/1-uDff_7J0KD5mKrp0Vvzr7lt3OU09vwQwhkpOPPYv2Y/edit?usp=sharing"",""งบพรบ!IJ24"")"),0)</f>
        <v>0</v>
      </c>
      <c r="N380" s="568">
        <f ca="1">IFERROR(__xludf.DUMMYFUNCTION("IMPORTRANGE(""https://docs.google.com/spreadsheets/d/1-uDff_7J0KD5mKrp0Vvzr7lt3OU09vwQwhkpOPPYv2Y/edit?usp=sharing"",""งบพรบ!IL24"")"),0)</f>
        <v>0</v>
      </c>
      <c r="O380" s="568">
        <f t="shared" ca="1" si="244"/>
        <v>0</v>
      </c>
      <c r="P380" s="568">
        <f t="shared" ca="1" si="245"/>
        <v>0</v>
      </c>
      <c r="Q380" s="568">
        <f ca="1">IFERROR(__xludf.DUMMYFUNCTION("IMPORTRANGE(""https://docs.google.com/spreadsheets/d/1ItG2mGa2ceCfYo0BwxsXqNm01IGEUdYcSSLTEv9YCik/edit?usp=sharing"",""เบิกจ่ายกองทุน!BW24"")"),62500)</f>
        <v>62500</v>
      </c>
      <c r="R380" s="568">
        <f ca="1">IFERROR(__xludf.DUMMYFUNCTION("IMPORTRANGE(""https://docs.google.com/spreadsheets/d/1ItG2mGa2ceCfYo0BwxsXqNm01IGEUdYcSSLTEv9YCik/edit?usp=sharing"",""เบิกจ่ายกองทุน!BX24"")"),62500)</f>
        <v>62500</v>
      </c>
      <c r="S380" s="568">
        <f ca="1">IFERROR(__xludf.DUMMYFUNCTION("IMPORTRANGE(""https://docs.google.com/spreadsheets/d/1ItG2mGa2ceCfYo0BwxsXqNm01IGEUdYcSSLTEv9YCik/edit?usp=sharing"",""เบิกจ่ายกองทุน!BY24"")"),0)</f>
        <v>0</v>
      </c>
      <c r="T380" s="568">
        <f t="shared" ca="1" si="247"/>
        <v>0</v>
      </c>
      <c r="U380" s="568">
        <f t="shared" ca="1" si="248"/>
        <v>0</v>
      </c>
    </row>
    <row r="381" spans="1:21" ht="18.75" x14ac:dyDescent="0.25">
      <c r="A381" s="674"/>
      <c r="B381" s="718"/>
      <c r="C381" s="718"/>
      <c r="D381" s="721" t="s">
        <v>23</v>
      </c>
      <c r="E381" s="561"/>
      <c r="F381" s="561"/>
      <c r="G381" s="563"/>
      <c r="H381" s="686" t="s">
        <v>14</v>
      </c>
      <c r="I381" s="683"/>
      <c r="J381" s="683"/>
      <c r="K381" s="684"/>
      <c r="L381" s="567">
        <f t="shared" ref="L381:N381" ca="1" si="253">L382+L383</f>
        <v>0</v>
      </c>
      <c r="M381" s="568">
        <f t="shared" ca="1" si="253"/>
        <v>0</v>
      </c>
      <c r="N381" s="568">
        <f t="shared" ca="1" si="253"/>
        <v>0</v>
      </c>
      <c r="O381" s="568">
        <f t="shared" ca="1" si="244"/>
        <v>0</v>
      </c>
      <c r="P381" s="568">
        <f t="shared" ca="1" si="245"/>
        <v>0</v>
      </c>
      <c r="Q381" s="568">
        <f t="shared" ref="Q381:S381" si="254">Q382+Q383</f>
        <v>0</v>
      </c>
      <c r="R381" s="568">
        <f t="shared" si="254"/>
        <v>0</v>
      </c>
      <c r="S381" s="568">
        <f t="shared" si="254"/>
        <v>0</v>
      </c>
      <c r="T381" s="568">
        <f t="shared" si="247"/>
        <v>0</v>
      </c>
      <c r="U381" s="568">
        <f t="shared" si="248"/>
        <v>0</v>
      </c>
    </row>
    <row r="382" spans="1:21" ht="18.75" x14ac:dyDescent="0.25">
      <c r="A382" s="674"/>
      <c r="B382" s="718"/>
      <c r="C382" s="718"/>
      <c r="D382" s="718"/>
      <c r="E382" s="569" t="s">
        <v>20</v>
      </c>
      <c r="F382" s="561"/>
      <c r="G382" s="563"/>
      <c r="H382" s="685" t="s">
        <v>14</v>
      </c>
      <c r="I382" s="683"/>
      <c r="J382" s="683"/>
      <c r="K382" s="684"/>
      <c r="L382" s="571">
        <v>0</v>
      </c>
      <c r="M382" s="572">
        <v>0</v>
      </c>
      <c r="N382" s="572">
        <v>0</v>
      </c>
      <c r="O382" s="572">
        <f t="shared" si="244"/>
        <v>0</v>
      </c>
      <c r="P382" s="572">
        <f t="shared" si="245"/>
        <v>0</v>
      </c>
      <c r="Q382" s="572">
        <v>0</v>
      </c>
      <c r="R382" s="572">
        <v>0</v>
      </c>
      <c r="S382" s="572">
        <v>0</v>
      </c>
      <c r="T382" s="572">
        <f t="shared" si="247"/>
        <v>0</v>
      </c>
      <c r="U382" s="572">
        <f t="shared" si="248"/>
        <v>0</v>
      </c>
    </row>
    <row r="383" spans="1:21" ht="18.75" x14ac:dyDescent="0.25">
      <c r="A383" s="674"/>
      <c r="B383" s="718"/>
      <c r="C383" s="718"/>
      <c r="D383" s="718"/>
      <c r="E383" s="573" t="s">
        <v>21</v>
      </c>
      <c r="F383" s="561"/>
      <c r="G383" s="563"/>
      <c r="H383" s="686" t="s">
        <v>14</v>
      </c>
      <c r="I383" s="683"/>
      <c r="J383" s="683"/>
      <c r="K383" s="684"/>
      <c r="L383" s="567">
        <f ca="1">IFERROR(__xludf.DUMMYFUNCTION("IMPORTRANGE(""https://docs.google.com/spreadsheets/d/1-uDff_7J0KD5mKrp0Vvzr7lt3OU09vwQwhkpOPPYv2Y/edit?usp=sharing"",""งบพรบ!IH24"")"),0)</f>
        <v>0</v>
      </c>
      <c r="M383" s="568">
        <f ca="1">IFERROR(__xludf.DUMMYFUNCTION("IMPORTRANGE(""https://docs.google.com/spreadsheets/d/1-uDff_7J0KD5mKrp0Vvzr7lt3OU09vwQwhkpOPPYv2Y/edit?usp=sharing"",""งบพรบ!IK24"")"),0)</f>
        <v>0</v>
      </c>
      <c r="N383" s="568">
        <f ca="1">IFERROR(__xludf.DUMMYFUNCTION("IMPORTRANGE(""https://docs.google.com/spreadsheets/d/1-uDff_7J0KD5mKrp0Vvzr7lt3OU09vwQwhkpOPPYv2Y/edit?usp=sharing"",""งบพรบ!IM24"")"),0)</f>
        <v>0</v>
      </c>
      <c r="O383" s="568">
        <f t="shared" ca="1" si="244"/>
        <v>0</v>
      </c>
      <c r="P383" s="568">
        <f t="shared" ca="1" si="245"/>
        <v>0</v>
      </c>
      <c r="Q383" s="568">
        <v>0</v>
      </c>
      <c r="R383" s="568">
        <v>0</v>
      </c>
      <c r="S383" s="568">
        <v>0</v>
      </c>
      <c r="T383" s="568">
        <f t="shared" si="247"/>
        <v>0</v>
      </c>
      <c r="U383" s="568">
        <f t="shared" si="248"/>
        <v>0</v>
      </c>
    </row>
    <row r="384" spans="1:21" ht="19.5" x14ac:dyDescent="0.3">
      <c r="A384" s="687"/>
      <c r="B384" s="688"/>
      <c r="C384" s="719" t="s">
        <v>18</v>
      </c>
      <c r="D384" s="956" t="s">
        <v>38</v>
      </c>
      <c r="E384" s="690"/>
      <c r="F384" s="690"/>
      <c r="G384" s="691"/>
      <c r="H384" s="725"/>
      <c r="I384" s="683"/>
      <c r="J384" s="565"/>
      <c r="K384" s="566"/>
      <c r="L384" s="574"/>
      <c r="M384" s="566"/>
      <c r="N384" s="566"/>
      <c r="O384" s="684"/>
      <c r="P384" s="684"/>
      <c r="Q384" s="566"/>
      <c r="R384" s="566"/>
      <c r="S384" s="566"/>
      <c r="T384" s="684"/>
      <c r="U384" s="684"/>
    </row>
    <row r="385" spans="1:21" ht="18.75" x14ac:dyDescent="0.25">
      <c r="A385" s="764"/>
      <c r="B385" s="718"/>
      <c r="C385" s="718"/>
      <c r="D385" s="718"/>
      <c r="E385" s="573" t="s">
        <v>154</v>
      </c>
      <c r="F385" s="561"/>
      <c r="G385" s="563"/>
      <c r="H385" s="681" t="s">
        <v>34</v>
      </c>
      <c r="I385" s="708">
        <v>0</v>
      </c>
      <c r="J385" s="708">
        <f ca="1">IFERROR(__xludf.DUMMYFUNCTION("IMPORTRANGE(""https://docs.google.com/spreadsheets/d/1w5rwWK1o49a35cNtocGL0gxDwhFSTZUQu90BiH9_zqM/edit?usp=sharing"",""RTK!H24"")"),0)</f>
        <v>0</v>
      </c>
      <c r="K385" s="568">
        <f t="shared" ref="K385:K388" si="255">IF(I385&gt;0,J385*100/I385,0)</f>
        <v>0</v>
      </c>
      <c r="L385" s="574"/>
      <c r="M385" s="566"/>
      <c r="N385" s="566"/>
      <c r="O385" s="566"/>
      <c r="P385" s="566"/>
      <c r="Q385" s="566"/>
      <c r="R385" s="566"/>
      <c r="S385" s="566"/>
      <c r="T385" s="566"/>
      <c r="U385" s="566"/>
    </row>
    <row r="386" spans="1:21" ht="18.75" x14ac:dyDescent="0.25">
      <c r="A386" s="718"/>
      <c r="B386" s="718"/>
      <c r="C386" s="718"/>
      <c r="D386" s="718"/>
      <c r="E386" s="718"/>
      <c r="F386" s="718"/>
      <c r="G386" s="727"/>
      <c r="H386" s="681" t="s">
        <v>46</v>
      </c>
      <c r="I386" s="708">
        <f ca="1">IFERROR(__xludf.DUMMYFUNCTION("IMPORTRANGE(""https://docs.google.com/spreadsheets/d/1w5rwWK1o49a35cNtocGL0gxDwhFSTZUQu90BiH9_zqM/edit?usp=sharing"",""RTK!G24"")"),1000)</f>
        <v>1000</v>
      </c>
      <c r="J386" s="708">
        <f ca="1">IFERROR(__xludf.DUMMYFUNCTION("IMPORTRANGE(""https://docs.google.com/spreadsheets/d/1w5rwWK1o49a35cNtocGL0gxDwhFSTZUQu90BiH9_zqM/edit?usp=sharing"",""RTK!I24"")"),0)</f>
        <v>0</v>
      </c>
      <c r="K386" s="568">
        <f t="shared" ca="1" si="255"/>
        <v>0</v>
      </c>
      <c r="L386" s="574"/>
      <c r="M386" s="566"/>
      <c r="N386" s="566"/>
      <c r="O386" s="566"/>
      <c r="P386" s="566"/>
      <c r="Q386" s="566"/>
      <c r="R386" s="566"/>
      <c r="S386" s="566"/>
      <c r="T386" s="566"/>
      <c r="U386" s="566"/>
    </row>
    <row r="387" spans="1:21" ht="18.75" x14ac:dyDescent="0.25">
      <c r="A387" s="718"/>
      <c r="B387" s="718"/>
      <c r="C387" s="718"/>
      <c r="D387" s="718"/>
      <c r="E387" s="958" t="s">
        <v>155</v>
      </c>
      <c r="F387" s="957"/>
      <c r="G387" s="959"/>
      <c r="H387" s="839" t="s">
        <v>34</v>
      </c>
      <c r="I387" s="960">
        <v>0</v>
      </c>
      <c r="J387" s="960">
        <f ca="1">IFERROR(__xludf.DUMMYFUNCTION("IMPORTRANGE(""https://docs.google.com/spreadsheets/d/1w5rwWK1o49a35cNtocGL0gxDwhFSTZUQu90BiH9_zqM/edit?usp=sharing"",""RTK!L24"")"),0)</f>
        <v>0</v>
      </c>
      <c r="K387" s="841">
        <f t="shared" si="255"/>
        <v>0</v>
      </c>
      <c r="L387" s="574"/>
      <c r="M387" s="566"/>
      <c r="N387" s="566"/>
      <c r="O387" s="566"/>
      <c r="P387" s="566"/>
      <c r="Q387" s="566"/>
      <c r="R387" s="566"/>
      <c r="S387" s="566"/>
      <c r="T387" s="566"/>
      <c r="U387" s="566"/>
    </row>
    <row r="388" spans="1:21" ht="18.75" x14ac:dyDescent="0.25">
      <c r="A388" s="718"/>
      <c r="B388" s="718"/>
      <c r="C388" s="718"/>
      <c r="D388" s="718"/>
      <c r="E388" s="957"/>
      <c r="F388" s="957"/>
      <c r="G388" s="959"/>
      <c r="H388" s="839" t="s">
        <v>46</v>
      </c>
      <c r="I388" s="960">
        <f ca="1">IFERROR(__xludf.DUMMYFUNCTION("IMPORTRANGE(""https://docs.google.com/spreadsheets/d/1w5rwWK1o49a35cNtocGL0gxDwhFSTZUQu90BiH9_zqM/edit?usp=sharing"",""RTK!K24"")"),0)</f>
        <v>0</v>
      </c>
      <c r="J388" s="960">
        <f ca="1">IFERROR(__xludf.DUMMYFUNCTION("IMPORTRANGE(""https://docs.google.com/spreadsheets/d/1w5rwWK1o49a35cNtocGL0gxDwhFSTZUQu90BiH9_zqM/edit?usp=sharing"",""RTK!M24"")"),0)</f>
        <v>0</v>
      </c>
      <c r="K388" s="841">
        <f t="shared" ca="1" si="255"/>
        <v>0</v>
      </c>
      <c r="L388" s="574"/>
      <c r="M388" s="566"/>
      <c r="N388" s="566"/>
      <c r="O388" s="566"/>
      <c r="P388" s="566"/>
      <c r="Q388" s="566"/>
      <c r="R388" s="566"/>
      <c r="S388" s="566"/>
      <c r="T388" s="566"/>
      <c r="U388" s="566"/>
    </row>
    <row r="389" spans="1:21" ht="12.75" x14ac:dyDescent="0.2">
      <c r="A389" s="961"/>
      <c r="B389" s="961"/>
      <c r="C389" s="961"/>
      <c r="D389" s="961"/>
      <c r="E389" s="961"/>
      <c r="F389" s="961"/>
      <c r="G389" s="962"/>
      <c r="H389" s="962"/>
      <c r="I389" s="963"/>
      <c r="J389" s="963"/>
      <c r="K389" s="964"/>
      <c r="L389" s="965"/>
      <c r="M389" s="964"/>
      <c r="N389" s="964"/>
      <c r="O389" s="964"/>
      <c r="P389" s="964"/>
      <c r="Q389" s="964"/>
      <c r="R389" s="964"/>
      <c r="S389" s="964"/>
      <c r="T389" s="964"/>
      <c r="U389" s="964"/>
    </row>
    <row r="390" spans="1:21" ht="12.75" x14ac:dyDescent="0.2">
      <c r="A390" s="966"/>
      <c r="B390" s="966"/>
      <c r="C390" s="966"/>
      <c r="D390" s="966"/>
      <c r="E390" s="966"/>
      <c r="F390" s="966"/>
      <c r="G390" s="967"/>
      <c r="H390" s="967"/>
      <c r="I390" s="968"/>
      <c r="J390" s="968"/>
      <c r="K390" s="969"/>
      <c r="L390" s="970"/>
      <c r="M390" s="969"/>
      <c r="N390" s="969"/>
      <c r="O390" s="969"/>
      <c r="P390" s="969"/>
      <c r="Q390" s="969"/>
      <c r="R390" s="969"/>
      <c r="S390" s="969"/>
      <c r="T390" s="969"/>
      <c r="U390" s="969"/>
    </row>
    <row r="391" spans="1:21" ht="19.5" x14ac:dyDescent="0.3">
      <c r="A391" s="926"/>
      <c r="B391" s="971" t="s">
        <v>156</v>
      </c>
      <c r="C391" s="927"/>
      <c r="D391" s="928"/>
      <c r="E391" s="911"/>
      <c r="F391" s="911"/>
      <c r="G391" s="912"/>
      <c r="H391" s="972" t="s">
        <v>61</v>
      </c>
      <c r="I391" s="942">
        <f t="shared" ref="I391:J391" si="256">I402</f>
        <v>0</v>
      </c>
      <c r="J391" s="942">
        <f t="shared" si="256"/>
        <v>0</v>
      </c>
      <c r="K391" s="915">
        <f>IF(I391&gt;0,J391*100/I391,0)</f>
        <v>0</v>
      </c>
      <c r="L391" s="916"/>
      <c r="M391" s="917"/>
      <c r="N391" s="917"/>
      <c r="O391" s="917"/>
      <c r="P391" s="917"/>
      <c r="Q391" s="917"/>
      <c r="R391" s="917"/>
      <c r="S391" s="917"/>
      <c r="T391" s="917"/>
      <c r="U391" s="917"/>
    </row>
    <row r="392" spans="1:21" ht="19.5" x14ac:dyDescent="0.3">
      <c r="A392" s="674"/>
      <c r="B392" s="718"/>
      <c r="C392" s="719" t="s">
        <v>18</v>
      </c>
      <c r="D392" s="955" t="s">
        <v>19</v>
      </c>
      <c r="E392" s="561"/>
      <c r="F392" s="561"/>
      <c r="G392" s="563"/>
      <c r="H392" s="677" t="s">
        <v>14</v>
      </c>
      <c r="I392" s="565"/>
      <c r="J392" s="565"/>
      <c r="K392" s="566"/>
      <c r="L392" s="678">
        <f t="shared" ref="L392:N392" si="257">L393+L394</f>
        <v>0</v>
      </c>
      <c r="M392" s="679">
        <f t="shared" si="257"/>
        <v>0</v>
      </c>
      <c r="N392" s="679">
        <f t="shared" si="257"/>
        <v>0</v>
      </c>
      <c r="O392" s="679">
        <f t="shared" ref="O392:O400" si="258">IF(L392&gt;0,N392*100/L392,0)</f>
        <v>0</v>
      </c>
      <c r="P392" s="679">
        <f t="shared" ref="P392:P400" si="259">IF(M392&gt;0,N392*100/M392,0)</f>
        <v>0</v>
      </c>
      <c r="Q392" s="679">
        <f t="shared" ref="Q392:S392" ca="1" si="260">Q393+Q394</f>
        <v>0</v>
      </c>
      <c r="R392" s="679">
        <f t="shared" ca="1" si="260"/>
        <v>0</v>
      </c>
      <c r="S392" s="679">
        <f t="shared" ca="1" si="260"/>
        <v>0</v>
      </c>
      <c r="T392" s="679">
        <f t="shared" ref="T392:T400" ca="1" si="261">IF(Q392&gt;0,S392*100/Q392,0)</f>
        <v>0</v>
      </c>
      <c r="U392" s="679">
        <f t="shared" ref="U392:U400" ca="1" si="262">IF(R392&gt;0,S392*100/R392,0)</f>
        <v>0</v>
      </c>
    </row>
    <row r="393" spans="1:21" ht="18.75" x14ac:dyDescent="0.25">
      <c r="A393" s="674"/>
      <c r="B393" s="718"/>
      <c r="C393" s="718"/>
      <c r="D393" s="718"/>
      <c r="E393" s="569" t="s">
        <v>20</v>
      </c>
      <c r="F393" s="561"/>
      <c r="G393" s="563"/>
      <c r="H393" s="680" t="s">
        <v>14</v>
      </c>
      <c r="I393" s="565"/>
      <c r="J393" s="565"/>
      <c r="K393" s="566"/>
      <c r="L393" s="571">
        <f t="shared" ref="L393:N394" si="263">L396+L399</f>
        <v>0</v>
      </c>
      <c r="M393" s="572">
        <f t="shared" si="263"/>
        <v>0</v>
      </c>
      <c r="N393" s="572">
        <f t="shared" si="263"/>
        <v>0</v>
      </c>
      <c r="O393" s="572">
        <f t="shared" si="258"/>
        <v>0</v>
      </c>
      <c r="P393" s="572">
        <f t="shared" si="259"/>
        <v>0</v>
      </c>
      <c r="Q393" s="572">
        <f t="shared" ref="Q393:S394" si="264">Q396+Q399</f>
        <v>0</v>
      </c>
      <c r="R393" s="572">
        <f t="shared" si="264"/>
        <v>0</v>
      </c>
      <c r="S393" s="572">
        <f t="shared" si="264"/>
        <v>0</v>
      </c>
      <c r="T393" s="572">
        <f t="shared" si="261"/>
        <v>0</v>
      </c>
      <c r="U393" s="572">
        <f t="shared" si="262"/>
        <v>0</v>
      </c>
    </row>
    <row r="394" spans="1:21" ht="18.75" x14ac:dyDescent="0.25">
      <c r="A394" s="674"/>
      <c r="B394" s="718"/>
      <c r="C394" s="718"/>
      <c r="D394" s="718"/>
      <c r="E394" s="573" t="s">
        <v>21</v>
      </c>
      <c r="F394" s="561"/>
      <c r="G394" s="563"/>
      <c r="H394" s="681" t="s">
        <v>14</v>
      </c>
      <c r="I394" s="565"/>
      <c r="J394" s="565"/>
      <c r="K394" s="566"/>
      <c r="L394" s="567">
        <f t="shared" si="263"/>
        <v>0</v>
      </c>
      <c r="M394" s="568">
        <f t="shared" si="263"/>
        <v>0</v>
      </c>
      <c r="N394" s="568">
        <f t="shared" si="263"/>
        <v>0</v>
      </c>
      <c r="O394" s="568">
        <f t="shared" si="258"/>
        <v>0</v>
      </c>
      <c r="P394" s="568">
        <f t="shared" si="259"/>
        <v>0</v>
      </c>
      <c r="Q394" s="568">
        <f t="shared" ca="1" si="264"/>
        <v>0</v>
      </c>
      <c r="R394" s="568">
        <f t="shared" ca="1" si="264"/>
        <v>0</v>
      </c>
      <c r="S394" s="568">
        <f t="shared" ca="1" si="264"/>
        <v>0</v>
      </c>
      <c r="T394" s="568">
        <f t="shared" ca="1" si="261"/>
        <v>0</v>
      </c>
      <c r="U394" s="568">
        <f t="shared" ca="1" si="262"/>
        <v>0</v>
      </c>
    </row>
    <row r="395" spans="1:21" ht="18.75" x14ac:dyDescent="0.25">
      <c r="A395" s="674"/>
      <c r="B395" s="718"/>
      <c r="C395" s="718"/>
      <c r="D395" s="721" t="s">
        <v>22</v>
      </c>
      <c r="E395" s="561"/>
      <c r="F395" s="561"/>
      <c r="G395" s="563"/>
      <c r="H395" s="682" t="s">
        <v>14</v>
      </c>
      <c r="I395" s="683"/>
      <c r="J395" s="683"/>
      <c r="K395" s="684"/>
      <c r="L395" s="567">
        <f t="shared" ref="L395:N395" si="265">L396+L397</f>
        <v>0</v>
      </c>
      <c r="M395" s="568">
        <f t="shared" si="265"/>
        <v>0</v>
      </c>
      <c r="N395" s="568">
        <f t="shared" si="265"/>
        <v>0</v>
      </c>
      <c r="O395" s="568">
        <f t="shared" si="258"/>
        <v>0</v>
      </c>
      <c r="P395" s="568">
        <f t="shared" si="259"/>
        <v>0</v>
      </c>
      <c r="Q395" s="568">
        <f t="shared" ref="Q395:S395" ca="1" si="266">Q396+Q397</f>
        <v>0</v>
      </c>
      <c r="R395" s="568">
        <f t="shared" ca="1" si="266"/>
        <v>0</v>
      </c>
      <c r="S395" s="568">
        <f t="shared" ca="1" si="266"/>
        <v>0</v>
      </c>
      <c r="T395" s="568">
        <f t="shared" ca="1" si="261"/>
        <v>0</v>
      </c>
      <c r="U395" s="568">
        <f t="shared" ca="1" si="262"/>
        <v>0</v>
      </c>
    </row>
    <row r="396" spans="1:21" ht="18.75" x14ac:dyDescent="0.25">
      <c r="A396" s="674"/>
      <c r="B396" s="718"/>
      <c r="C396" s="718"/>
      <c r="D396" s="718"/>
      <c r="E396" s="569" t="s">
        <v>36</v>
      </c>
      <c r="F396" s="561"/>
      <c r="G396" s="563"/>
      <c r="H396" s="685" t="s">
        <v>14</v>
      </c>
      <c r="I396" s="683"/>
      <c r="J396" s="683"/>
      <c r="K396" s="684"/>
      <c r="L396" s="571">
        <v>0</v>
      </c>
      <c r="M396" s="572">
        <v>0</v>
      </c>
      <c r="N396" s="572">
        <v>0</v>
      </c>
      <c r="O396" s="572">
        <f t="shared" si="258"/>
        <v>0</v>
      </c>
      <c r="P396" s="572">
        <f t="shared" si="259"/>
        <v>0</v>
      </c>
      <c r="Q396" s="572">
        <v>0</v>
      </c>
      <c r="R396" s="572">
        <v>0</v>
      </c>
      <c r="S396" s="572">
        <v>0</v>
      </c>
      <c r="T396" s="572">
        <f t="shared" si="261"/>
        <v>0</v>
      </c>
      <c r="U396" s="572">
        <f t="shared" si="262"/>
        <v>0</v>
      </c>
    </row>
    <row r="397" spans="1:21" ht="18.75" x14ac:dyDescent="0.25">
      <c r="A397" s="674"/>
      <c r="B397" s="718"/>
      <c r="C397" s="718"/>
      <c r="D397" s="718"/>
      <c r="E397" s="765" t="s">
        <v>37</v>
      </c>
      <c r="F397" s="718"/>
      <c r="G397" s="727"/>
      <c r="H397" s="682" t="s">
        <v>14</v>
      </c>
      <c r="I397" s="683"/>
      <c r="J397" s="683"/>
      <c r="K397" s="684"/>
      <c r="L397" s="567">
        <v>0</v>
      </c>
      <c r="M397" s="568">
        <v>0</v>
      </c>
      <c r="N397" s="568">
        <v>0</v>
      </c>
      <c r="O397" s="568">
        <f t="shared" si="258"/>
        <v>0</v>
      </c>
      <c r="P397" s="568">
        <f t="shared" si="259"/>
        <v>0</v>
      </c>
      <c r="Q397" s="568">
        <f ca="1">IFERROR(__xludf.DUMMYFUNCTION("IMPORTRANGE(""https://docs.google.com/spreadsheets/d/1ItG2mGa2ceCfYo0BwxsXqNm01IGEUdYcSSLTEv9YCik/edit?usp=sharing"",""เบิกจ่ายกองทุน!CL24"")"),0)</f>
        <v>0</v>
      </c>
      <c r="R397" s="568">
        <f ca="1">IFERROR(__xludf.DUMMYFUNCTION("IMPORTRANGE(""https://docs.google.com/spreadsheets/d/1ItG2mGa2ceCfYo0BwxsXqNm01IGEUdYcSSLTEv9YCik/edit?usp=sharing"",""เบิกจ่ายกองทุน!CM24"")"),0)</f>
        <v>0</v>
      </c>
      <c r="S397" s="568">
        <f ca="1">IFERROR(__xludf.DUMMYFUNCTION("IMPORTRANGE(""https://docs.google.com/spreadsheets/d/1ItG2mGa2ceCfYo0BwxsXqNm01IGEUdYcSSLTEv9YCik/edit?usp=sharing"",""เบิกจ่ายกองทุน!CN24"")"),0)</f>
        <v>0</v>
      </c>
      <c r="T397" s="568">
        <f t="shared" ca="1" si="261"/>
        <v>0</v>
      </c>
      <c r="U397" s="568">
        <f t="shared" ca="1" si="262"/>
        <v>0</v>
      </c>
    </row>
    <row r="398" spans="1:21" ht="18.75" x14ac:dyDescent="0.25">
      <c r="A398" s="674"/>
      <c r="B398" s="718"/>
      <c r="C398" s="718"/>
      <c r="D398" s="721" t="s">
        <v>23</v>
      </c>
      <c r="E398" s="561"/>
      <c r="F398" s="561"/>
      <c r="G398" s="563"/>
      <c r="H398" s="686" t="s">
        <v>14</v>
      </c>
      <c r="I398" s="683"/>
      <c r="J398" s="683"/>
      <c r="K398" s="684"/>
      <c r="L398" s="567">
        <f t="shared" ref="L398:N398" si="267">L399+L400</f>
        <v>0</v>
      </c>
      <c r="M398" s="568">
        <f t="shared" si="267"/>
        <v>0</v>
      </c>
      <c r="N398" s="568">
        <f t="shared" si="267"/>
        <v>0</v>
      </c>
      <c r="O398" s="568">
        <f t="shared" si="258"/>
        <v>0</v>
      </c>
      <c r="P398" s="568">
        <f t="shared" si="259"/>
        <v>0</v>
      </c>
      <c r="Q398" s="568">
        <f t="shared" ref="Q398:S398" si="268">Q399+Q400</f>
        <v>0</v>
      </c>
      <c r="R398" s="568">
        <f t="shared" si="268"/>
        <v>0</v>
      </c>
      <c r="S398" s="568">
        <f t="shared" si="268"/>
        <v>0</v>
      </c>
      <c r="T398" s="568">
        <f t="shared" si="261"/>
        <v>0</v>
      </c>
      <c r="U398" s="568">
        <f t="shared" si="262"/>
        <v>0</v>
      </c>
    </row>
    <row r="399" spans="1:21" ht="18.75" x14ac:dyDescent="0.25">
      <c r="A399" s="674"/>
      <c r="B399" s="718"/>
      <c r="C399" s="718"/>
      <c r="D399" s="718"/>
      <c r="E399" s="569" t="s">
        <v>20</v>
      </c>
      <c r="F399" s="561"/>
      <c r="G399" s="563"/>
      <c r="H399" s="685" t="s">
        <v>14</v>
      </c>
      <c r="I399" s="683"/>
      <c r="J399" s="683"/>
      <c r="K399" s="684"/>
      <c r="L399" s="571">
        <v>0</v>
      </c>
      <c r="M399" s="572">
        <v>0</v>
      </c>
      <c r="N399" s="572">
        <v>0</v>
      </c>
      <c r="O399" s="572">
        <f t="shared" si="258"/>
        <v>0</v>
      </c>
      <c r="P399" s="572">
        <f t="shared" si="259"/>
        <v>0</v>
      </c>
      <c r="Q399" s="572">
        <v>0</v>
      </c>
      <c r="R399" s="572">
        <v>0</v>
      </c>
      <c r="S399" s="572">
        <v>0</v>
      </c>
      <c r="T399" s="572">
        <f t="shared" si="261"/>
        <v>0</v>
      </c>
      <c r="U399" s="572">
        <f t="shared" si="262"/>
        <v>0</v>
      </c>
    </row>
    <row r="400" spans="1:21" ht="18.75" x14ac:dyDescent="0.25">
      <c r="A400" s="674"/>
      <c r="B400" s="718"/>
      <c r="C400" s="718"/>
      <c r="D400" s="718"/>
      <c r="E400" s="573" t="s">
        <v>21</v>
      </c>
      <c r="F400" s="561"/>
      <c r="G400" s="563"/>
      <c r="H400" s="686" t="s">
        <v>14</v>
      </c>
      <c r="I400" s="683"/>
      <c r="J400" s="683"/>
      <c r="K400" s="684"/>
      <c r="L400" s="567">
        <v>0</v>
      </c>
      <c r="M400" s="568">
        <v>0</v>
      </c>
      <c r="N400" s="568">
        <v>0</v>
      </c>
      <c r="O400" s="568">
        <f t="shared" si="258"/>
        <v>0</v>
      </c>
      <c r="P400" s="568">
        <f t="shared" si="259"/>
        <v>0</v>
      </c>
      <c r="Q400" s="568">
        <v>0</v>
      </c>
      <c r="R400" s="568">
        <v>0</v>
      </c>
      <c r="S400" s="568">
        <v>0</v>
      </c>
      <c r="T400" s="568">
        <f t="shared" si="261"/>
        <v>0</v>
      </c>
      <c r="U400" s="568">
        <f t="shared" si="262"/>
        <v>0</v>
      </c>
    </row>
    <row r="401" spans="1:21" ht="19.5" x14ac:dyDescent="0.3">
      <c r="A401" s="687"/>
      <c r="B401" s="688"/>
      <c r="C401" s="719" t="s">
        <v>18</v>
      </c>
      <c r="D401" s="956" t="s">
        <v>38</v>
      </c>
      <c r="E401" s="690"/>
      <c r="F401" s="690"/>
      <c r="G401" s="691"/>
      <c r="H401" s="725"/>
      <c r="I401" s="683"/>
      <c r="J401" s="565"/>
      <c r="K401" s="566"/>
      <c r="L401" s="574"/>
      <c r="M401" s="566"/>
      <c r="N401" s="566"/>
      <c r="O401" s="684"/>
      <c r="P401" s="684"/>
      <c r="Q401" s="566"/>
      <c r="R401" s="566"/>
      <c r="S401" s="566"/>
      <c r="T401" s="684"/>
      <c r="U401" s="684"/>
    </row>
    <row r="402" spans="1:21" ht="12.75" x14ac:dyDescent="0.2">
      <c r="A402" s="973"/>
      <c r="B402" s="961"/>
      <c r="C402" s="961"/>
      <c r="D402" s="961"/>
      <c r="E402" s="974"/>
      <c r="F402" s="974"/>
      <c r="G402" s="975"/>
      <c r="H402" s="962"/>
      <c r="I402" s="963"/>
      <c r="J402" s="963"/>
      <c r="K402" s="964"/>
      <c r="L402" s="965"/>
      <c r="M402" s="964"/>
      <c r="N402" s="964"/>
      <c r="O402" s="964"/>
      <c r="P402" s="964"/>
      <c r="Q402" s="964"/>
      <c r="R402" s="964"/>
      <c r="S402" s="964"/>
      <c r="T402" s="964"/>
      <c r="U402" s="964"/>
    </row>
    <row r="403" spans="1:21" ht="12.75" x14ac:dyDescent="0.2">
      <c r="A403" s="961"/>
      <c r="B403" s="961"/>
      <c r="C403" s="961"/>
      <c r="D403" s="961"/>
      <c r="E403" s="961"/>
      <c r="F403" s="961"/>
      <c r="G403" s="962"/>
      <c r="H403" s="962"/>
      <c r="I403" s="963"/>
      <c r="J403" s="963"/>
      <c r="K403" s="964"/>
      <c r="L403" s="965"/>
      <c r="M403" s="964"/>
      <c r="N403" s="964"/>
      <c r="O403" s="964"/>
      <c r="P403" s="964"/>
      <c r="Q403" s="964"/>
      <c r="R403" s="964"/>
      <c r="S403" s="964"/>
      <c r="T403" s="964"/>
      <c r="U403" s="964"/>
    </row>
    <row r="404" spans="1:21" ht="12.75" x14ac:dyDescent="0.2">
      <c r="A404" s="961"/>
      <c r="B404" s="961"/>
      <c r="C404" s="961"/>
      <c r="D404" s="961"/>
      <c r="E404" s="961"/>
      <c r="F404" s="961"/>
      <c r="G404" s="962"/>
      <c r="H404" s="962"/>
      <c r="I404" s="963"/>
      <c r="J404" s="963"/>
      <c r="K404" s="964"/>
      <c r="L404" s="965"/>
      <c r="M404" s="964"/>
      <c r="N404" s="964"/>
      <c r="O404" s="964"/>
      <c r="P404" s="964"/>
      <c r="Q404" s="964"/>
      <c r="R404" s="964"/>
      <c r="S404" s="964"/>
      <c r="T404" s="964"/>
      <c r="U404" s="964"/>
    </row>
    <row r="405" spans="1:21" ht="12.75" x14ac:dyDescent="0.2">
      <c r="A405" s="961"/>
      <c r="B405" s="961"/>
      <c r="C405" s="961"/>
      <c r="D405" s="961"/>
      <c r="E405" s="961"/>
      <c r="F405" s="961"/>
      <c r="G405" s="962"/>
      <c r="H405" s="962"/>
      <c r="I405" s="963"/>
      <c r="J405" s="963"/>
      <c r="K405" s="964"/>
      <c r="L405" s="965"/>
      <c r="M405" s="964"/>
      <c r="N405" s="964"/>
      <c r="O405" s="964"/>
      <c r="P405" s="964"/>
      <c r="Q405" s="964"/>
      <c r="R405" s="964"/>
      <c r="S405" s="964"/>
      <c r="T405" s="964"/>
      <c r="U405" s="964"/>
    </row>
    <row r="406" spans="1:21" ht="12.75" x14ac:dyDescent="0.2">
      <c r="A406" s="961"/>
      <c r="B406" s="961"/>
      <c r="C406" s="961"/>
      <c r="D406" s="961"/>
      <c r="E406" s="961"/>
      <c r="F406" s="961"/>
      <c r="G406" s="962"/>
      <c r="H406" s="962"/>
      <c r="I406" s="963"/>
      <c r="J406" s="963"/>
      <c r="K406" s="964"/>
      <c r="L406" s="965"/>
      <c r="M406" s="964"/>
      <c r="N406" s="964"/>
      <c r="O406" s="964"/>
      <c r="P406" s="964"/>
      <c r="Q406" s="964"/>
      <c r="R406" s="964"/>
      <c r="S406" s="964"/>
      <c r="T406" s="964"/>
      <c r="U406" s="964"/>
    </row>
    <row r="407" spans="1:21" ht="12.75" x14ac:dyDescent="0.2">
      <c r="A407" s="961"/>
      <c r="B407" s="961"/>
      <c r="C407" s="961"/>
      <c r="D407" s="961"/>
      <c r="E407" s="961"/>
      <c r="F407" s="961"/>
      <c r="G407" s="962"/>
      <c r="H407" s="962"/>
      <c r="I407" s="963"/>
      <c r="J407" s="963"/>
      <c r="K407" s="964"/>
      <c r="L407" s="965"/>
      <c r="M407" s="964"/>
      <c r="N407" s="964"/>
      <c r="O407" s="964"/>
      <c r="P407" s="964"/>
      <c r="Q407" s="964"/>
      <c r="R407" s="964"/>
      <c r="S407" s="964"/>
      <c r="T407" s="964"/>
      <c r="U407" s="964"/>
    </row>
    <row r="408" spans="1:21" ht="12.75" x14ac:dyDescent="0.2">
      <c r="A408" s="961"/>
      <c r="B408" s="961"/>
      <c r="C408" s="961"/>
      <c r="D408" s="961"/>
      <c r="E408" s="961"/>
      <c r="F408" s="961"/>
      <c r="G408" s="962"/>
      <c r="H408" s="962"/>
      <c r="I408" s="963"/>
      <c r="J408" s="963"/>
      <c r="K408" s="964"/>
      <c r="L408" s="965"/>
      <c r="M408" s="964"/>
      <c r="N408" s="964"/>
      <c r="O408" s="964"/>
      <c r="P408" s="964"/>
      <c r="Q408" s="964"/>
      <c r="R408" s="964"/>
      <c r="S408" s="964"/>
      <c r="T408" s="964"/>
      <c r="U408" s="964"/>
    </row>
    <row r="409" spans="1:21" ht="12.75" x14ac:dyDescent="0.2">
      <c r="A409" s="961"/>
      <c r="B409" s="961"/>
      <c r="C409" s="961"/>
      <c r="D409" s="961"/>
      <c r="E409" s="961"/>
      <c r="F409" s="961"/>
      <c r="G409" s="962"/>
      <c r="H409" s="962"/>
      <c r="I409" s="963"/>
      <c r="J409" s="963"/>
      <c r="K409" s="964"/>
      <c r="L409" s="965"/>
      <c r="M409" s="964"/>
      <c r="N409" s="964"/>
      <c r="O409" s="964"/>
      <c r="P409" s="964"/>
      <c r="Q409" s="964"/>
      <c r="R409" s="964"/>
      <c r="S409" s="964"/>
      <c r="T409" s="964"/>
      <c r="U409" s="964"/>
    </row>
    <row r="410" spans="1:21" ht="12.75" x14ac:dyDescent="0.2">
      <c r="A410" s="961"/>
      <c r="B410" s="961"/>
      <c r="C410" s="961"/>
      <c r="D410" s="961"/>
      <c r="E410" s="961"/>
      <c r="F410" s="961"/>
      <c r="G410" s="962"/>
      <c r="H410" s="962"/>
      <c r="I410" s="963"/>
      <c r="J410" s="963"/>
      <c r="K410" s="964"/>
      <c r="L410" s="965"/>
      <c r="M410" s="964"/>
      <c r="N410" s="964"/>
      <c r="O410" s="964"/>
      <c r="P410" s="964"/>
      <c r="Q410" s="964"/>
      <c r="R410" s="964"/>
      <c r="S410" s="964"/>
      <c r="T410" s="964"/>
      <c r="U410" s="964"/>
    </row>
    <row r="411" spans="1:21" ht="12.75" x14ac:dyDescent="0.2">
      <c r="A411" s="966"/>
      <c r="B411" s="966"/>
      <c r="C411" s="966"/>
      <c r="D411" s="966"/>
      <c r="E411" s="966"/>
      <c r="F411" s="966"/>
      <c r="G411" s="967"/>
      <c r="H411" s="967"/>
      <c r="I411" s="968"/>
      <c r="J411" s="968"/>
      <c r="K411" s="969"/>
      <c r="L411" s="970"/>
      <c r="M411" s="969"/>
      <c r="N411" s="969"/>
      <c r="O411" s="969"/>
      <c r="P411" s="969"/>
      <c r="Q411" s="969"/>
      <c r="R411" s="969"/>
      <c r="S411" s="969"/>
      <c r="T411" s="969"/>
      <c r="U411" s="969"/>
    </row>
    <row r="412" spans="1:21" ht="19.5" x14ac:dyDescent="0.3">
      <c r="A412" s="928"/>
      <c r="B412" s="971" t="s">
        <v>157</v>
      </c>
      <c r="C412" s="928"/>
      <c r="D412" s="928"/>
      <c r="E412" s="928"/>
      <c r="F412" s="928"/>
      <c r="G412" s="976"/>
      <c r="H412" s="977" t="s">
        <v>46</v>
      </c>
      <c r="I412" s="914">
        <f t="shared" ref="I412:J412" ca="1" si="269">I423</f>
        <v>6600</v>
      </c>
      <c r="J412" s="914">
        <f t="shared" si="269"/>
        <v>0</v>
      </c>
      <c r="K412" s="915">
        <f ca="1">IF(I412&gt;0,J412*100/I412,0)</f>
        <v>0</v>
      </c>
      <c r="L412" s="916"/>
      <c r="M412" s="917"/>
      <c r="N412" s="917"/>
      <c r="O412" s="917"/>
      <c r="P412" s="917"/>
      <c r="Q412" s="917"/>
      <c r="R412" s="917"/>
      <c r="S412" s="917"/>
      <c r="T412" s="917"/>
      <c r="U412" s="917"/>
    </row>
    <row r="413" spans="1:21" ht="19.5" x14ac:dyDescent="0.3">
      <c r="A413" s="674"/>
      <c r="B413" s="718"/>
      <c r="C413" s="978" t="s">
        <v>18</v>
      </c>
      <c r="D413" s="1313" t="s">
        <v>19</v>
      </c>
      <c r="E413" s="1314"/>
      <c r="F413" s="1314"/>
      <c r="G413" s="1317"/>
      <c r="H413" s="979" t="s">
        <v>14</v>
      </c>
      <c r="I413" s="565"/>
      <c r="J413" s="565"/>
      <c r="K413" s="566"/>
      <c r="L413" s="678">
        <f t="shared" ref="L413:N413" ca="1" si="270">L414+L415</f>
        <v>200530</v>
      </c>
      <c r="M413" s="679">
        <f t="shared" ca="1" si="270"/>
        <v>44900</v>
      </c>
      <c r="N413" s="679">
        <f t="shared" ca="1" si="270"/>
        <v>0</v>
      </c>
      <c r="O413" s="679">
        <f t="shared" ref="O413:O421" ca="1" si="271">IF(L413&gt;0,N413*100/L413,0)</f>
        <v>0</v>
      </c>
      <c r="P413" s="679">
        <f t="shared" ref="P413:P421" ca="1" si="272">IF(M413&gt;0,N413*100/M413,0)</f>
        <v>0</v>
      </c>
      <c r="Q413" s="679">
        <f t="shared" ref="Q413:S413" ca="1" si="273">Q414+Q415</f>
        <v>80710</v>
      </c>
      <c r="R413" s="679">
        <f t="shared" ca="1" si="273"/>
        <v>80710</v>
      </c>
      <c r="S413" s="679">
        <f t="shared" ca="1" si="273"/>
        <v>0</v>
      </c>
      <c r="T413" s="679">
        <f t="shared" ref="T413:T421" ca="1" si="274">IF(Q413&gt;0,S413*100/Q413,0)</f>
        <v>0</v>
      </c>
      <c r="U413" s="679">
        <f t="shared" ref="U413:U421" ca="1" si="275">IF(R413&gt;0,S413*100/R413,0)</f>
        <v>0</v>
      </c>
    </row>
    <row r="414" spans="1:21" ht="18.75" x14ac:dyDescent="0.25">
      <c r="A414" s="674"/>
      <c r="B414" s="718"/>
      <c r="C414" s="718"/>
      <c r="D414" s="718"/>
      <c r="E414" s="767" t="s">
        <v>158</v>
      </c>
      <c r="F414" s="718"/>
      <c r="G414" s="727"/>
      <c r="H414" s="723" t="s">
        <v>14</v>
      </c>
      <c r="I414" s="565"/>
      <c r="J414" s="565"/>
      <c r="K414" s="566"/>
      <c r="L414" s="571">
        <f t="shared" ref="L414:N415" si="276">L417+L420</f>
        <v>0</v>
      </c>
      <c r="M414" s="572">
        <f t="shared" si="276"/>
        <v>0</v>
      </c>
      <c r="N414" s="572">
        <f t="shared" si="276"/>
        <v>0</v>
      </c>
      <c r="O414" s="572">
        <f t="shared" si="271"/>
        <v>0</v>
      </c>
      <c r="P414" s="572">
        <f t="shared" si="272"/>
        <v>0</v>
      </c>
      <c r="Q414" s="572">
        <f t="shared" ref="Q414:S415" si="277">Q417+Q420</f>
        <v>0</v>
      </c>
      <c r="R414" s="572">
        <f t="shared" si="277"/>
        <v>0</v>
      </c>
      <c r="S414" s="572">
        <f t="shared" si="277"/>
        <v>0</v>
      </c>
      <c r="T414" s="572">
        <f t="shared" si="274"/>
        <v>0</v>
      </c>
      <c r="U414" s="572">
        <f t="shared" si="275"/>
        <v>0</v>
      </c>
    </row>
    <row r="415" spans="1:21" ht="18.75" x14ac:dyDescent="0.25">
      <c r="A415" s="674"/>
      <c r="B415" s="718"/>
      <c r="C415" s="718"/>
      <c r="D415" s="718"/>
      <c r="E415" s="765" t="s">
        <v>159</v>
      </c>
      <c r="F415" s="718"/>
      <c r="G415" s="727"/>
      <c r="H415" s="722" t="s">
        <v>14</v>
      </c>
      <c r="I415" s="565"/>
      <c r="J415" s="565"/>
      <c r="K415" s="566"/>
      <c r="L415" s="567">
        <f t="shared" ca="1" si="276"/>
        <v>200530</v>
      </c>
      <c r="M415" s="568">
        <f t="shared" ca="1" si="276"/>
        <v>44900</v>
      </c>
      <c r="N415" s="568">
        <f t="shared" ca="1" si="276"/>
        <v>0</v>
      </c>
      <c r="O415" s="568">
        <f t="shared" ca="1" si="271"/>
        <v>0</v>
      </c>
      <c r="P415" s="568">
        <f t="shared" ca="1" si="272"/>
        <v>0</v>
      </c>
      <c r="Q415" s="568">
        <f t="shared" ca="1" si="277"/>
        <v>80710</v>
      </c>
      <c r="R415" s="568">
        <f t="shared" ca="1" si="277"/>
        <v>80710</v>
      </c>
      <c r="S415" s="568">
        <f t="shared" ca="1" si="277"/>
        <v>0</v>
      </c>
      <c r="T415" s="568">
        <f t="shared" ca="1" si="274"/>
        <v>0</v>
      </c>
      <c r="U415" s="568">
        <f t="shared" ca="1" si="275"/>
        <v>0</v>
      </c>
    </row>
    <row r="416" spans="1:21" ht="19.5" x14ac:dyDescent="0.3">
      <c r="A416" s="674"/>
      <c r="B416" s="718"/>
      <c r="C416" s="718"/>
      <c r="D416" s="955" t="s">
        <v>22</v>
      </c>
      <c r="E416" s="718"/>
      <c r="F416" s="718"/>
      <c r="G416" s="727"/>
      <c r="H416" s="979" t="s">
        <v>14</v>
      </c>
      <c r="I416" s="565"/>
      <c r="J416" s="565"/>
      <c r="K416" s="566"/>
      <c r="L416" s="567">
        <f t="shared" ref="L416:N416" ca="1" si="278">L417+L418</f>
        <v>200530</v>
      </c>
      <c r="M416" s="568">
        <f t="shared" ca="1" si="278"/>
        <v>44900</v>
      </c>
      <c r="N416" s="568">
        <f t="shared" ca="1" si="278"/>
        <v>0</v>
      </c>
      <c r="O416" s="568">
        <f t="shared" ca="1" si="271"/>
        <v>0</v>
      </c>
      <c r="P416" s="568">
        <f t="shared" ca="1" si="272"/>
        <v>0</v>
      </c>
      <c r="Q416" s="568">
        <f t="shared" ref="Q416:S416" ca="1" si="279">Q417+Q418</f>
        <v>80710</v>
      </c>
      <c r="R416" s="568">
        <f t="shared" ca="1" si="279"/>
        <v>80710</v>
      </c>
      <c r="S416" s="568">
        <f t="shared" ca="1" si="279"/>
        <v>0</v>
      </c>
      <c r="T416" s="568">
        <f t="shared" ca="1" si="274"/>
        <v>0</v>
      </c>
      <c r="U416" s="568">
        <f t="shared" ca="1" si="275"/>
        <v>0</v>
      </c>
    </row>
    <row r="417" spans="1:21" ht="18.75" x14ac:dyDescent="0.25">
      <c r="A417" s="674"/>
      <c r="B417" s="718"/>
      <c r="C417" s="718"/>
      <c r="D417" s="718"/>
      <c r="E417" s="767" t="s">
        <v>158</v>
      </c>
      <c r="F417" s="718"/>
      <c r="G417" s="727"/>
      <c r="H417" s="723" t="s">
        <v>14</v>
      </c>
      <c r="I417" s="565"/>
      <c r="J417" s="565"/>
      <c r="K417" s="566"/>
      <c r="L417" s="571">
        <v>0</v>
      </c>
      <c r="M417" s="572">
        <v>0</v>
      </c>
      <c r="N417" s="572">
        <v>0</v>
      </c>
      <c r="O417" s="572">
        <f t="shared" si="271"/>
        <v>0</v>
      </c>
      <c r="P417" s="572">
        <f t="shared" si="272"/>
        <v>0</v>
      </c>
      <c r="Q417" s="572">
        <v>0</v>
      </c>
      <c r="R417" s="572">
        <v>0</v>
      </c>
      <c r="S417" s="572">
        <v>0</v>
      </c>
      <c r="T417" s="572">
        <f t="shared" si="274"/>
        <v>0</v>
      </c>
      <c r="U417" s="572">
        <f t="shared" si="275"/>
        <v>0</v>
      </c>
    </row>
    <row r="418" spans="1:21" ht="18.75" x14ac:dyDescent="0.25">
      <c r="A418" s="674"/>
      <c r="B418" s="718"/>
      <c r="C418" s="718"/>
      <c r="D418" s="718"/>
      <c r="E418" s="765" t="s">
        <v>159</v>
      </c>
      <c r="F418" s="718"/>
      <c r="G418" s="727"/>
      <c r="H418" s="722" t="s">
        <v>14</v>
      </c>
      <c r="I418" s="565"/>
      <c r="J418" s="565"/>
      <c r="K418" s="566"/>
      <c r="L418" s="567">
        <f ca="1">IFERROR(__xludf.DUMMYFUNCTION("IMPORTRANGE(""https://docs.google.com/spreadsheets/d/1-uDff_7J0KD5mKrp0Vvzr7lt3OU09vwQwhkpOPPYv2Y/edit?usp=sharing"",""งบพรบ!IO24"")"),200530)</f>
        <v>200530</v>
      </c>
      <c r="M418" s="568">
        <f ca="1">IFERROR(__xludf.DUMMYFUNCTION("IMPORTRANGE(""https://docs.google.com/spreadsheets/d/1-uDff_7J0KD5mKrp0Vvzr7lt3OU09vwQwhkpOPPYv2Y/edit?usp=sharing"",""งบพรบ!IT24"")"),44900)</f>
        <v>44900</v>
      </c>
      <c r="N418" s="568">
        <f ca="1">IFERROR(__xludf.DUMMYFUNCTION("IMPORTRANGE(""https://docs.google.com/spreadsheets/d/1-uDff_7J0KD5mKrp0Vvzr7lt3OU09vwQwhkpOPPYv2Y/edit?usp=sharing"",""งบพรบ!IV24"")"),0)</f>
        <v>0</v>
      </c>
      <c r="O418" s="568">
        <f t="shared" ca="1" si="271"/>
        <v>0</v>
      </c>
      <c r="P418" s="568">
        <f t="shared" ca="1" si="272"/>
        <v>0</v>
      </c>
      <c r="Q418" s="568">
        <f ca="1">IFERROR(__xludf.DUMMYFUNCTION("IMPORTRANGE(""https://docs.google.com/spreadsheets/d/1ItG2mGa2ceCfYo0BwxsXqNm01IGEUdYcSSLTEv9YCik/edit?usp=sharing"",""เบิกจ่ายกองทุน!BZ24"")"),80710)</f>
        <v>80710</v>
      </c>
      <c r="R418" s="568">
        <f ca="1">IFERROR(__xludf.DUMMYFUNCTION("IMPORTRANGE(""https://docs.google.com/spreadsheets/d/1ItG2mGa2ceCfYo0BwxsXqNm01IGEUdYcSSLTEv9YCik/edit?usp=sharing"",""เบิกจ่ายกองทุน!CA24"")"),80710)</f>
        <v>80710</v>
      </c>
      <c r="S418" s="568">
        <f ca="1">IFERROR(__xludf.DUMMYFUNCTION("IMPORTRANGE(""https://docs.google.com/spreadsheets/d/1ItG2mGa2ceCfYo0BwxsXqNm01IGEUdYcSSLTEv9YCik/edit?usp=sharing"",""เบิกจ่ายกองทุน!CB24"")"),0)</f>
        <v>0</v>
      </c>
      <c r="T418" s="568">
        <f t="shared" ca="1" si="274"/>
        <v>0</v>
      </c>
      <c r="U418" s="568">
        <f t="shared" ca="1" si="275"/>
        <v>0</v>
      </c>
    </row>
    <row r="419" spans="1:21" ht="19.5" x14ac:dyDescent="0.3">
      <c r="A419" s="674"/>
      <c r="B419" s="718"/>
      <c r="C419" s="718"/>
      <c r="D419" s="955" t="s">
        <v>23</v>
      </c>
      <c r="E419" s="718"/>
      <c r="F419" s="718"/>
      <c r="G419" s="727"/>
      <c r="H419" s="677" t="s">
        <v>14</v>
      </c>
      <c r="I419" s="565"/>
      <c r="J419" s="565"/>
      <c r="K419" s="566"/>
      <c r="L419" s="567">
        <f t="shared" ref="L419:N419" ca="1" si="280">L420+L421</f>
        <v>0</v>
      </c>
      <c r="M419" s="568">
        <f t="shared" ca="1" si="280"/>
        <v>0</v>
      </c>
      <c r="N419" s="568">
        <f t="shared" ca="1" si="280"/>
        <v>0</v>
      </c>
      <c r="O419" s="568">
        <f t="shared" ca="1" si="271"/>
        <v>0</v>
      </c>
      <c r="P419" s="568">
        <f t="shared" ca="1" si="272"/>
        <v>0</v>
      </c>
      <c r="Q419" s="568">
        <f t="shared" ref="Q419:S419" si="281">Q420+Q421</f>
        <v>0</v>
      </c>
      <c r="R419" s="568">
        <f t="shared" si="281"/>
        <v>0</v>
      </c>
      <c r="S419" s="568">
        <f t="shared" si="281"/>
        <v>0</v>
      </c>
      <c r="T419" s="568">
        <f t="shared" si="274"/>
        <v>0</v>
      </c>
      <c r="U419" s="568">
        <f t="shared" si="275"/>
        <v>0</v>
      </c>
    </row>
    <row r="420" spans="1:21" ht="18.75" x14ac:dyDescent="0.25">
      <c r="A420" s="674"/>
      <c r="B420" s="718"/>
      <c r="C420" s="718"/>
      <c r="D420" s="718"/>
      <c r="E420" s="767" t="s">
        <v>20</v>
      </c>
      <c r="F420" s="718"/>
      <c r="G420" s="727"/>
      <c r="H420" s="723" t="s">
        <v>14</v>
      </c>
      <c r="I420" s="565"/>
      <c r="J420" s="565"/>
      <c r="K420" s="566"/>
      <c r="L420" s="571">
        <v>0</v>
      </c>
      <c r="M420" s="572">
        <v>0</v>
      </c>
      <c r="N420" s="572">
        <v>0</v>
      </c>
      <c r="O420" s="572">
        <f t="shared" si="271"/>
        <v>0</v>
      </c>
      <c r="P420" s="572">
        <f t="shared" si="272"/>
        <v>0</v>
      </c>
      <c r="Q420" s="572">
        <v>0</v>
      </c>
      <c r="R420" s="572">
        <v>0</v>
      </c>
      <c r="S420" s="572">
        <v>0</v>
      </c>
      <c r="T420" s="572">
        <f t="shared" si="274"/>
        <v>0</v>
      </c>
      <c r="U420" s="572">
        <f t="shared" si="275"/>
        <v>0</v>
      </c>
    </row>
    <row r="421" spans="1:21" ht="18.75" x14ac:dyDescent="0.25">
      <c r="A421" s="674"/>
      <c r="B421" s="718"/>
      <c r="C421" s="718"/>
      <c r="D421" s="718"/>
      <c r="E421" s="765" t="s">
        <v>21</v>
      </c>
      <c r="F421" s="718"/>
      <c r="G421" s="727"/>
      <c r="H421" s="681" t="s">
        <v>14</v>
      </c>
      <c r="I421" s="565"/>
      <c r="J421" s="565"/>
      <c r="K421" s="566"/>
      <c r="L421" s="567">
        <f ca="1">IFERROR(__xludf.DUMMYFUNCTION("IMPORTRANGE(""https://docs.google.com/spreadsheets/d/1-uDff_7J0KD5mKrp0Vvzr7lt3OU09vwQwhkpOPPYv2Y/edit?usp=sharing"",""งบพรบ!IR24"")"),0)</f>
        <v>0</v>
      </c>
      <c r="M421" s="568">
        <f ca="1">IFERROR(__xludf.DUMMYFUNCTION("IMPORTRANGE(""https://docs.google.com/spreadsheets/d/1-uDff_7J0KD5mKrp0Vvzr7lt3OU09vwQwhkpOPPYv2Y/edit?usp=sharing"",""งบพรบ!IU24"")"),0)</f>
        <v>0</v>
      </c>
      <c r="N421" s="568">
        <f ca="1">IFERROR(__xludf.DUMMYFUNCTION("IMPORTRANGE(""https://docs.google.com/spreadsheets/d/1-uDff_7J0KD5mKrp0Vvzr7lt3OU09vwQwhkpOPPYv2Y/edit?usp=sharing"",""งบพรบ!IW24"")"),0)</f>
        <v>0</v>
      </c>
      <c r="O421" s="568">
        <f t="shared" ca="1" si="271"/>
        <v>0</v>
      </c>
      <c r="P421" s="568">
        <f t="shared" ca="1" si="272"/>
        <v>0</v>
      </c>
      <c r="Q421" s="568">
        <v>0</v>
      </c>
      <c r="R421" s="568">
        <v>0</v>
      </c>
      <c r="S421" s="568">
        <v>0</v>
      </c>
      <c r="T421" s="568">
        <f t="shared" si="274"/>
        <v>0</v>
      </c>
      <c r="U421" s="568">
        <f t="shared" si="275"/>
        <v>0</v>
      </c>
    </row>
    <row r="422" spans="1:21" ht="19.5" x14ac:dyDescent="0.3">
      <c r="A422" s="764"/>
      <c r="B422" s="718"/>
      <c r="C422" s="978" t="s">
        <v>18</v>
      </c>
      <c r="D422" s="980" t="s">
        <v>38</v>
      </c>
      <c r="E422" s="718"/>
      <c r="F422" s="718"/>
      <c r="G422" s="727"/>
      <c r="H422" s="727"/>
      <c r="I422" s="565"/>
      <c r="J422" s="565"/>
      <c r="K422" s="566"/>
      <c r="L422" s="574"/>
      <c r="M422" s="566"/>
      <c r="N422" s="566"/>
      <c r="O422" s="566"/>
      <c r="P422" s="566"/>
      <c r="Q422" s="566"/>
      <c r="R422" s="566"/>
      <c r="S422" s="566"/>
      <c r="T422" s="566"/>
      <c r="U422" s="566"/>
    </row>
    <row r="423" spans="1:21" ht="19.5" x14ac:dyDescent="0.3">
      <c r="A423" s="764"/>
      <c r="B423" s="719" t="s">
        <v>160</v>
      </c>
      <c r="C423" s="718"/>
      <c r="D423" s="718"/>
      <c r="E423" s="718"/>
      <c r="F423" s="718"/>
      <c r="G423" s="727"/>
      <c r="H423" s="979" t="s">
        <v>46</v>
      </c>
      <c r="I423" s="697">
        <f t="shared" ref="I423:J423" ca="1" si="282">I440</f>
        <v>6600</v>
      </c>
      <c r="J423" s="697">
        <f t="shared" si="282"/>
        <v>0</v>
      </c>
      <c r="K423" s="679">
        <f t="shared" ref="K423:K425" ca="1" si="283">IF(I423&gt;0,J423*100/I423,0)</f>
        <v>0</v>
      </c>
      <c r="L423" s="574"/>
      <c r="M423" s="566"/>
      <c r="N423" s="566"/>
      <c r="O423" s="566"/>
      <c r="P423" s="566"/>
      <c r="Q423" s="566"/>
      <c r="R423" s="566"/>
      <c r="S423" s="566"/>
      <c r="T423" s="566"/>
      <c r="U423" s="566"/>
    </row>
    <row r="424" spans="1:21" ht="19.5" x14ac:dyDescent="0.3">
      <c r="A424" s="764"/>
      <c r="B424" s="718"/>
      <c r="C424" s="719" t="s">
        <v>161</v>
      </c>
      <c r="D424" s="718"/>
      <c r="E424" s="718"/>
      <c r="F424" s="718"/>
      <c r="G424" s="727"/>
      <c r="H424" s="677" t="s">
        <v>46</v>
      </c>
      <c r="I424" s="697">
        <f ca="1">IFERROR(__xludf.DUMMYFUNCTION("IMPORTRANGE(""https://docs.google.com/spreadsheets/d/1eHaY18a8A9IcSdp1K8H6x8fbOy06t2VsZHhMHf-1x7Y/edit?usp=sharing"",""แผน!HJ24"")"),6600)</f>
        <v>6600</v>
      </c>
      <c r="J424" s="697">
        <f t="shared" ref="J424:J425" si="284">J426+J428+J430</f>
        <v>0</v>
      </c>
      <c r="K424" s="679">
        <f t="shared" ca="1" si="283"/>
        <v>0</v>
      </c>
      <c r="L424" s="574"/>
      <c r="M424" s="566"/>
      <c r="N424" s="566"/>
      <c r="O424" s="566"/>
      <c r="P424" s="566"/>
      <c r="Q424" s="566"/>
      <c r="R424" s="566"/>
      <c r="S424" s="566"/>
      <c r="T424" s="566"/>
      <c r="U424" s="566"/>
    </row>
    <row r="425" spans="1:21" ht="19.5" x14ac:dyDescent="0.3">
      <c r="A425" s="764"/>
      <c r="B425" s="718"/>
      <c r="C425" s="718"/>
      <c r="D425" s="718"/>
      <c r="E425" s="718"/>
      <c r="F425" s="718"/>
      <c r="G425" s="727"/>
      <c r="H425" s="677" t="s">
        <v>34</v>
      </c>
      <c r="I425" s="697">
        <f ca="1">IFERROR(__xludf.DUMMYFUNCTION("IMPORTRANGE(""https://docs.google.com/spreadsheets/d/1eHaY18a8A9IcSdp1K8H6x8fbOy06t2VsZHhMHf-1x7Y/edit?usp=sharing"",""แผน!HK24"")"),1404)</f>
        <v>1404</v>
      </c>
      <c r="J425" s="697">
        <f t="shared" si="284"/>
        <v>0</v>
      </c>
      <c r="K425" s="679">
        <f t="shared" ca="1" si="283"/>
        <v>0</v>
      </c>
      <c r="L425" s="574"/>
      <c r="M425" s="566"/>
      <c r="N425" s="566"/>
      <c r="O425" s="566"/>
      <c r="P425" s="566"/>
      <c r="Q425" s="566"/>
      <c r="R425" s="566"/>
      <c r="S425" s="566"/>
      <c r="T425" s="566"/>
      <c r="U425" s="566"/>
    </row>
    <row r="426" spans="1:21" ht="18.75" x14ac:dyDescent="0.25">
      <c r="A426" s="764"/>
      <c r="B426" s="718"/>
      <c r="C426" s="718"/>
      <c r="D426" s="765" t="s">
        <v>162</v>
      </c>
      <c r="E426" s="718"/>
      <c r="F426" s="718"/>
      <c r="G426" s="727"/>
      <c r="H426" s="681" t="s">
        <v>46</v>
      </c>
      <c r="I426" s="565"/>
      <c r="J426" s="565"/>
      <c r="K426" s="566"/>
      <c r="L426" s="574"/>
      <c r="M426" s="566"/>
      <c r="N426" s="566"/>
      <c r="O426" s="566"/>
      <c r="P426" s="566"/>
      <c r="Q426" s="566"/>
      <c r="R426" s="566"/>
      <c r="S426" s="566"/>
      <c r="T426" s="566"/>
      <c r="U426" s="566"/>
    </row>
    <row r="427" spans="1:21" ht="18.75" x14ac:dyDescent="0.25">
      <c r="A427" s="764"/>
      <c r="B427" s="718"/>
      <c r="C427" s="718"/>
      <c r="D427" s="718"/>
      <c r="E427" s="718"/>
      <c r="F427" s="718"/>
      <c r="G427" s="727"/>
      <c r="H427" s="681" t="s">
        <v>34</v>
      </c>
      <c r="I427" s="565"/>
      <c r="J427" s="565"/>
      <c r="K427" s="566"/>
      <c r="L427" s="574"/>
      <c r="M427" s="566"/>
      <c r="N427" s="566"/>
      <c r="O427" s="566"/>
      <c r="P427" s="566"/>
      <c r="Q427" s="566"/>
      <c r="R427" s="566"/>
      <c r="S427" s="566"/>
      <c r="T427" s="566"/>
      <c r="U427" s="566"/>
    </row>
    <row r="428" spans="1:21" ht="18.75" x14ac:dyDescent="0.25">
      <c r="A428" s="764"/>
      <c r="B428" s="718"/>
      <c r="C428" s="718"/>
      <c r="D428" s="765" t="s">
        <v>163</v>
      </c>
      <c r="E428" s="718"/>
      <c r="F428" s="718"/>
      <c r="G428" s="727"/>
      <c r="H428" s="681" t="s">
        <v>46</v>
      </c>
      <c r="I428" s="565"/>
      <c r="J428" s="565"/>
      <c r="K428" s="566"/>
      <c r="L428" s="574"/>
      <c r="M428" s="566"/>
      <c r="N428" s="566"/>
      <c r="O428" s="566"/>
      <c r="P428" s="566"/>
      <c r="Q428" s="566"/>
      <c r="R428" s="566"/>
      <c r="S428" s="566"/>
      <c r="T428" s="566"/>
      <c r="U428" s="566"/>
    </row>
    <row r="429" spans="1:21" ht="18.75" x14ac:dyDescent="0.25">
      <c r="A429" s="764"/>
      <c r="B429" s="718"/>
      <c r="C429" s="718"/>
      <c r="D429" s="718"/>
      <c r="E429" s="718"/>
      <c r="F429" s="718"/>
      <c r="G429" s="727"/>
      <c r="H429" s="681" t="s">
        <v>34</v>
      </c>
      <c r="I429" s="565"/>
      <c r="J429" s="565"/>
      <c r="K429" s="566"/>
      <c r="L429" s="574"/>
      <c r="M429" s="566"/>
      <c r="N429" s="566"/>
      <c r="O429" s="566"/>
      <c r="P429" s="566"/>
      <c r="Q429" s="566"/>
      <c r="R429" s="566"/>
      <c r="S429" s="566"/>
      <c r="T429" s="566"/>
      <c r="U429" s="566"/>
    </row>
    <row r="430" spans="1:21" ht="18.75" x14ac:dyDescent="0.25">
      <c r="A430" s="764"/>
      <c r="B430" s="718"/>
      <c r="C430" s="718"/>
      <c r="D430" s="765" t="s">
        <v>164</v>
      </c>
      <c r="E430" s="718"/>
      <c r="F430" s="718"/>
      <c r="G430" s="727"/>
      <c r="H430" s="681" t="s">
        <v>46</v>
      </c>
      <c r="I430" s="565"/>
      <c r="J430" s="565"/>
      <c r="K430" s="566"/>
      <c r="L430" s="574"/>
      <c r="M430" s="566"/>
      <c r="N430" s="566"/>
      <c r="O430" s="566"/>
      <c r="P430" s="566"/>
      <c r="Q430" s="566"/>
      <c r="R430" s="566"/>
      <c r="S430" s="566"/>
      <c r="T430" s="566"/>
      <c r="U430" s="566"/>
    </row>
    <row r="431" spans="1:21" ht="18.75" x14ac:dyDescent="0.25">
      <c r="A431" s="764"/>
      <c r="B431" s="718"/>
      <c r="C431" s="718"/>
      <c r="D431" s="718"/>
      <c r="E431" s="718"/>
      <c r="F431" s="718"/>
      <c r="G431" s="727"/>
      <c r="H431" s="681" t="s">
        <v>34</v>
      </c>
      <c r="I431" s="565"/>
      <c r="J431" s="565"/>
      <c r="K431" s="566"/>
      <c r="L431" s="574"/>
      <c r="M431" s="566"/>
      <c r="N431" s="566"/>
      <c r="O431" s="566"/>
      <c r="P431" s="566"/>
      <c r="Q431" s="566"/>
      <c r="R431" s="566"/>
      <c r="S431" s="566"/>
      <c r="T431" s="566"/>
      <c r="U431" s="566"/>
    </row>
    <row r="432" spans="1:21" ht="19.5" x14ac:dyDescent="0.3">
      <c r="A432" s="764"/>
      <c r="B432" s="718"/>
      <c r="C432" s="719" t="s">
        <v>165</v>
      </c>
      <c r="D432" s="718"/>
      <c r="E432" s="718"/>
      <c r="F432" s="718"/>
      <c r="G432" s="727"/>
      <c r="H432" s="677" t="s">
        <v>46</v>
      </c>
      <c r="I432" s="697">
        <f ca="1">IFERROR(__xludf.DUMMYFUNCTION("IMPORTRANGE(""https://docs.google.com/spreadsheets/d/1eHaY18a8A9IcSdp1K8H6x8fbOy06t2VsZHhMHf-1x7Y/edit?usp=sharing"",""แผน!HJ24"")"),6600)</f>
        <v>6600</v>
      </c>
      <c r="J432" s="697">
        <f t="shared" ref="J432:J433" si="285">J434+J436+J438</f>
        <v>0</v>
      </c>
      <c r="K432" s="679">
        <f t="shared" ref="K432:K433" ca="1" si="286">IF(I432&gt;0,J432*100/I432,0)</f>
        <v>0</v>
      </c>
      <c r="L432" s="574"/>
      <c r="M432" s="566"/>
      <c r="N432" s="566"/>
      <c r="O432" s="566"/>
      <c r="P432" s="566"/>
      <c r="Q432" s="566"/>
      <c r="R432" s="566"/>
      <c r="S432" s="566"/>
      <c r="T432" s="566"/>
      <c r="U432" s="566"/>
    </row>
    <row r="433" spans="1:21" ht="19.5" x14ac:dyDescent="0.3">
      <c r="A433" s="764"/>
      <c r="B433" s="718"/>
      <c r="C433" s="718"/>
      <c r="D433" s="718"/>
      <c r="E433" s="718"/>
      <c r="F433" s="718"/>
      <c r="G433" s="727"/>
      <c r="H433" s="677" t="s">
        <v>34</v>
      </c>
      <c r="I433" s="697">
        <f ca="1">IFERROR(__xludf.DUMMYFUNCTION("IMPORTRANGE(""https://docs.google.com/spreadsheets/d/1eHaY18a8A9IcSdp1K8H6x8fbOy06t2VsZHhMHf-1x7Y/edit?usp=sharing"",""แผน!HK24"")"),1404)</f>
        <v>1404</v>
      </c>
      <c r="J433" s="697">
        <f t="shared" si="285"/>
        <v>0</v>
      </c>
      <c r="K433" s="679">
        <f t="shared" ca="1" si="286"/>
        <v>0</v>
      </c>
      <c r="L433" s="574"/>
      <c r="M433" s="566"/>
      <c r="N433" s="566"/>
      <c r="O433" s="566"/>
      <c r="P433" s="566"/>
      <c r="Q433" s="566"/>
      <c r="R433" s="566"/>
      <c r="S433" s="566"/>
      <c r="T433" s="566"/>
      <c r="U433" s="566"/>
    </row>
    <row r="434" spans="1:21" ht="18.75" x14ac:dyDescent="0.25">
      <c r="A434" s="764"/>
      <c r="B434" s="718"/>
      <c r="C434" s="718"/>
      <c r="D434" s="765" t="s">
        <v>166</v>
      </c>
      <c r="E434" s="718"/>
      <c r="F434" s="718"/>
      <c r="G434" s="727"/>
      <c r="H434" s="681" t="s">
        <v>46</v>
      </c>
      <c r="I434" s="565"/>
      <c r="J434" s="565"/>
      <c r="K434" s="566"/>
      <c r="L434" s="574"/>
      <c r="M434" s="566"/>
      <c r="N434" s="566"/>
      <c r="O434" s="566"/>
      <c r="P434" s="566"/>
      <c r="Q434" s="566"/>
      <c r="R434" s="566"/>
      <c r="S434" s="566"/>
      <c r="T434" s="566"/>
      <c r="U434" s="566"/>
    </row>
    <row r="435" spans="1:21" ht="18.75" x14ac:dyDescent="0.25">
      <c r="A435" s="764"/>
      <c r="B435" s="718"/>
      <c r="C435" s="718"/>
      <c r="D435" s="718"/>
      <c r="E435" s="718"/>
      <c r="F435" s="718"/>
      <c r="G435" s="727"/>
      <c r="H435" s="681" t="s">
        <v>34</v>
      </c>
      <c r="I435" s="565"/>
      <c r="J435" s="565"/>
      <c r="K435" s="566"/>
      <c r="L435" s="574"/>
      <c r="M435" s="566"/>
      <c r="N435" s="566"/>
      <c r="O435" s="566"/>
      <c r="P435" s="566"/>
      <c r="Q435" s="566"/>
      <c r="R435" s="566"/>
      <c r="S435" s="566"/>
      <c r="T435" s="566"/>
      <c r="U435" s="566"/>
    </row>
    <row r="436" spans="1:21" ht="18.75" x14ac:dyDescent="0.25">
      <c r="A436" s="764"/>
      <c r="B436" s="718"/>
      <c r="C436" s="718"/>
      <c r="D436" s="765" t="s">
        <v>167</v>
      </c>
      <c r="E436" s="718"/>
      <c r="F436" s="718"/>
      <c r="G436" s="727"/>
      <c r="H436" s="681" t="s">
        <v>46</v>
      </c>
      <c r="I436" s="565"/>
      <c r="J436" s="565"/>
      <c r="K436" s="566"/>
      <c r="L436" s="574"/>
      <c r="M436" s="566"/>
      <c r="N436" s="566"/>
      <c r="O436" s="566"/>
      <c r="P436" s="566"/>
      <c r="Q436" s="566"/>
      <c r="R436" s="566"/>
      <c r="S436" s="566"/>
      <c r="T436" s="566"/>
      <c r="U436" s="566"/>
    </row>
    <row r="437" spans="1:21" ht="18.75" x14ac:dyDescent="0.25">
      <c r="A437" s="764"/>
      <c r="B437" s="718"/>
      <c r="C437" s="718"/>
      <c r="D437" s="718"/>
      <c r="E437" s="718"/>
      <c r="F437" s="718"/>
      <c r="G437" s="727"/>
      <c r="H437" s="681" t="s">
        <v>34</v>
      </c>
      <c r="I437" s="565"/>
      <c r="J437" s="565"/>
      <c r="K437" s="566"/>
      <c r="L437" s="574"/>
      <c r="M437" s="566"/>
      <c r="N437" s="566"/>
      <c r="O437" s="566"/>
      <c r="P437" s="566"/>
      <c r="Q437" s="566"/>
      <c r="R437" s="566"/>
      <c r="S437" s="566"/>
      <c r="T437" s="566"/>
      <c r="U437" s="566"/>
    </row>
    <row r="438" spans="1:21" ht="18.75" x14ac:dyDescent="0.25">
      <c r="A438" s="764"/>
      <c r="B438" s="718"/>
      <c r="C438" s="718"/>
      <c r="D438" s="765" t="s">
        <v>168</v>
      </c>
      <c r="E438" s="718"/>
      <c r="F438" s="718"/>
      <c r="G438" s="727"/>
      <c r="H438" s="681" t="s">
        <v>46</v>
      </c>
      <c r="I438" s="565"/>
      <c r="J438" s="565"/>
      <c r="K438" s="566"/>
      <c r="L438" s="574"/>
      <c r="M438" s="566"/>
      <c r="N438" s="566"/>
      <c r="O438" s="566"/>
      <c r="P438" s="566"/>
      <c r="Q438" s="566"/>
      <c r="R438" s="566"/>
      <c r="S438" s="566"/>
      <c r="T438" s="566"/>
      <c r="U438" s="566"/>
    </row>
    <row r="439" spans="1:21" ht="18.75" x14ac:dyDescent="0.25">
      <c r="A439" s="764"/>
      <c r="B439" s="718"/>
      <c r="C439" s="718"/>
      <c r="D439" s="718"/>
      <c r="E439" s="718"/>
      <c r="F439" s="718"/>
      <c r="G439" s="727"/>
      <c r="H439" s="681" t="s">
        <v>34</v>
      </c>
      <c r="I439" s="565"/>
      <c r="J439" s="565"/>
      <c r="K439" s="566"/>
      <c r="L439" s="574"/>
      <c r="M439" s="566"/>
      <c r="N439" s="566"/>
      <c r="O439" s="566"/>
      <c r="P439" s="566"/>
      <c r="Q439" s="566"/>
      <c r="R439" s="566"/>
      <c r="S439" s="566"/>
      <c r="T439" s="566"/>
      <c r="U439" s="566"/>
    </row>
    <row r="440" spans="1:21" ht="19.5" x14ac:dyDescent="0.3">
      <c r="A440" s="764"/>
      <c r="B440" s="718"/>
      <c r="C440" s="719" t="s">
        <v>169</v>
      </c>
      <c r="D440" s="718"/>
      <c r="E440" s="718"/>
      <c r="F440" s="718"/>
      <c r="G440" s="727"/>
      <c r="H440" s="677" t="s">
        <v>46</v>
      </c>
      <c r="I440" s="697">
        <f ca="1">IFERROR(__xludf.DUMMYFUNCTION("IMPORTRANGE(""https://docs.google.com/spreadsheets/d/1eHaY18a8A9IcSdp1K8H6x8fbOy06t2VsZHhMHf-1x7Y/edit?usp=sharing"",""แผน!HJ24"")"),6600)</f>
        <v>6600</v>
      </c>
      <c r="J440" s="697">
        <f t="shared" ref="J440:J441" si="287">J442+J444+J446+J452+J454</f>
        <v>0</v>
      </c>
      <c r="K440" s="679">
        <f t="shared" ref="K440:K441" ca="1" si="288">IF(I440&gt;0,J440*100/I440,0)</f>
        <v>0</v>
      </c>
      <c r="L440" s="574"/>
      <c r="M440" s="566"/>
      <c r="N440" s="566"/>
      <c r="O440" s="566"/>
      <c r="P440" s="566"/>
      <c r="Q440" s="566"/>
      <c r="R440" s="566"/>
      <c r="S440" s="566"/>
      <c r="T440" s="566"/>
      <c r="U440" s="566"/>
    </row>
    <row r="441" spans="1:21" ht="19.5" x14ac:dyDescent="0.3">
      <c r="A441" s="764"/>
      <c r="B441" s="718"/>
      <c r="C441" s="718"/>
      <c r="D441" s="718"/>
      <c r="E441" s="718"/>
      <c r="F441" s="718"/>
      <c r="G441" s="727"/>
      <c r="H441" s="677" t="s">
        <v>34</v>
      </c>
      <c r="I441" s="697">
        <f ca="1">IFERROR(__xludf.DUMMYFUNCTION("IMPORTRANGE(""https://docs.google.com/spreadsheets/d/1eHaY18a8A9IcSdp1K8H6x8fbOy06t2VsZHhMHf-1x7Y/edit?usp=sharing"",""แผน!HK24"")"),1404)</f>
        <v>1404</v>
      </c>
      <c r="J441" s="697">
        <f t="shared" si="287"/>
        <v>0</v>
      </c>
      <c r="K441" s="679">
        <f t="shared" ca="1" si="288"/>
        <v>0</v>
      </c>
      <c r="L441" s="574"/>
      <c r="M441" s="566"/>
      <c r="N441" s="566"/>
      <c r="O441" s="566"/>
      <c r="P441" s="566"/>
      <c r="Q441" s="566"/>
      <c r="R441" s="566"/>
      <c r="S441" s="566"/>
      <c r="T441" s="566"/>
      <c r="U441" s="566"/>
    </row>
    <row r="442" spans="1:21" ht="18.75" x14ac:dyDescent="0.25">
      <c r="A442" s="764"/>
      <c r="B442" s="718"/>
      <c r="C442" s="718"/>
      <c r="D442" s="765" t="s">
        <v>170</v>
      </c>
      <c r="E442" s="718"/>
      <c r="F442" s="718"/>
      <c r="G442" s="727"/>
      <c r="H442" s="681" t="s">
        <v>46</v>
      </c>
      <c r="I442" s="565"/>
      <c r="J442" s="565"/>
      <c r="K442" s="566"/>
      <c r="L442" s="574"/>
      <c r="M442" s="566"/>
      <c r="N442" s="566"/>
      <c r="O442" s="566"/>
      <c r="P442" s="566"/>
      <c r="Q442" s="566"/>
      <c r="R442" s="566"/>
      <c r="S442" s="566"/>
      <c r="T442" s="566"/>
      <c r="U442" s="566"/>
    </row>
    <row r="443" spans="1:21" ht="18.75" x14ac:dyDescent="0.25">
      <c r="A443" s="764"/>
      <c r="B443" s="718"/>
      <c r="C443" s="718"/>
      <c r="D443" s="718"/>
      <c r="E443" s="718"/>
      <c r="F443" s="718"/>
      <c r="G443" s="727"/>
      <c r="H443" s="681" t="s">
        <v>34</v>
      </c>
      <c r="I443" s="565"/>
      <c r="J443" s="565"/>
      <c r="K443" s="566"/>
      <c r="L443" s="574"/>
      <c r="M443" s="566"/>
      <c r="N443" s="566"/>
      <c r="O443" s="566"/>
      <c r="P443" s="566"/>
      <c r="Q443" s="566"/>
      <c r="R443" s="566"/>
      <c r="S443" s="566"/>
      <c r="T443" s="566"/>
      <c r="U443" s="566"/>
    </row>
    <row r="444" spans="1:21" ht="18.75" x14ac:dyDescent="0.25">
      <c r="A444" s="764"/>
      <c r="B444" s="718"/>
      <c r="C444" s="718"/>
      <c r="D444" s="765" t="s">
        <v>171</v>
      </c>
      <c r="E444" s="718"/>
      <c r="F444" s="718"/>
      <c r="G444" s="727"/>
      <c r="H444" s="681" t="s">
        <v>46</v>
      </c>
      <c r="I444" s="565"/>
      <c r="J444" s="565"/>
      <c r="K444" s="566"/>
      <c r="L444" s="574"/>
      <c r="M444" s="566"/>
      <c r="N444" s="566"/>
      <c r="O444" s="566"/>
      <c r="P444" s="566"/>
      <c r="Q444" s="566"/>
      <c r="R444" s="566"/>
      <c r="S444" s="566"/>
      <c r="T444" s="566"/>
      <c r="U444" s="566"/>
    </row>
    <row r="445" spans="1:21" ht="18.75" x14ac:dyDescent="0.25">
      <c r="A445" s="764"/>
      <c r="B445" s="718"/>
      <c r="C445" s="718"/>
      <c r="D445" s="718"/>
      <c r="E445" s="718"/>
      <c r="F445" s="718"/>
      <c r="G445" s="727"/>
      <c r="H445" s="681" t="s">
        <v>34</v>
      </c>
      <c r="I445" s="565"/>
      <c r="J445" s="565"/>
      <c r="K445" s="566"/>
      <c r="L445" s="574"/>
      <c r="M445" s="566"/>
      <c r="N445" s="566"/>
      <c r="O445" s="566"/>
      <c r="P445" s="566"/>
      <c r="Q445" s="566"/>
      <c r="R445" s="566"/>
      <c r="S445" s="566"/>
      <c r="T445" s="566"/>
      <c r="U445" s="566"/>
    </row>
    <row r="446" spans="1:21" ht="19.5" x14ac:dyDescent="0.3">
      <c r="A446" s="764"/>
      <c r="B446" s="718"/>
      <c r="C446" s="718"/>
      <c r="D446" s="765" t="s">
        <v>172</v>
      </c>
      <c r="E446" s="718"/>
      <c r="F446" s="718"/>
      <c r="G446" s="727"/>
      <c r="H446" s="681" t="s">
        <v>46</v>
      </c>
      <c r="I446" s="565"/>
      <c r="J446" s="697">
        <f t="shared" ref="J446:J447" si="289">J448+J450</f>
        <v>0</v>
      </c>
      <c r="K446" s="566"/>
      <c r="L446" s="574"/>
      <c r="M446" s="566"/>
      <c r="N446" s="566"/>
      <c r="O446" s="566"/>
      <c r="P446" s="566"/>
      <c r="Q446" s="566"/>
      <c r="R446" s="566"/>
      <c r="S446" s="566"/>
      <c r="T446" s="566"/>
      <c r="U446" s="566"/>
    </row>
    <row r="447" spans="1:21" ht="19.5" x14ac:dyDescent="0.3">
      <c r="A447" s="764"/>
      <c r="B447" s="718"/>
      <c r="C447" s="718"/>
      <c r="D447" s="718"/>
      <c r="E447" s="718"/>
      <c r="F447" s="718"/>
      <c r="G447" s="727"/>
      <c r="H447" s="681" t="s">
        <v>34</v>
      </c>
      <c r="I447" s="565"/>
      <c r="J447" s="697">
        <f t="shared" si="289"/>
        <v>0</v>
      </c>
      <c r="K447" s="566"/>
      <c r="L447" s="574"/>
      <c r="M447" s="566"/>
      <c r="N447" s="566"/>
      <c r="O447" s="566"/>
      <c r="P447" s="566"/>
      <c r="Q447" s="566"/>
      <c r="R447" s="566"/>
      <c r="S447" s="566"/>
      <c r="T447" s="566"/>
      <c r="U447" s="566"/>
    </row>
    <row r="448" spans="1:21" ht="18.75" x14ac:dyDescent="0.25">
      <c r="A448" s="764"/>
      <c r="B448" s="718"/>
      <c r="C448" s="718"/>
      <c r="D448" s="718"/>
      <c r="E448" s="765" t="s">
        <v>173</v>
      </c>
      <c r="F448" s="718"/>
      <c r="G448" s="727"/>
      <c r="H448" s="681" t="s">
        <v>46</v>
      </c>
      <c r="I448" s="565"/>
      <c r="J448" s="565"/>
      <c r="K448" s="566"/>
      <c r="L448" s="574"/>
      <c r="M448" s="566"/>
      <c r="N448" s="566"/>
      <c r="O448" s="566"/>
      <c r="P448" s="566"/>
      <c r="Q448" s="566"/>
      <c r="R448" s="566"/>
      <c r="S448" s="566"/>
      <c r="T448" s="566"/>
      <c r="U448" s="566"/>
    </row>
    <row r="449" spans="1:21" ht="18.75" x14ac:dyDescent="0.25">
      <c r="A449" s="764"/>
      <c r="B449" s="718"/>
      <c r="C449" s="718"/>
      <c r="D449" s="718"/>
      <c r="E449" s="718"/>
      <c r="F449" s="718"/>
      <c r="G449" s="727"/>
      <c r="H449" s="681" t="s">
        <v>34</v>
      </c>
      <c r="I449" s="565"/>
      <c r="J449" s="565"/>
      <c r="K449" s="566"/>
      <c r="L449" s="574"/>
      <c r="M449" s="566"/>
      <c r="N449" s="566"/>
      <c r="O449" s="566"/>
      <c r="P449" s="566"/>
      <c r="Q449" s="566"/>
      <c r="R449" s="566"/>
      <c r="S449" s="566"/>
      <c r="T449" s="566"/>
      <c r="U449" s="566"/>
    </row>
    <row r="450" spans="1:21" ht="18.75" x14ac:dyDescent="0.25">
      <c r="A450" s="764"/>
      <c r="B450" s="718"/>
      <c r="C450" s="718"/>
      <c r="D450" s="718"/>
      <c r="E450" s="765" t="s">
        <v>174</v>
      </c>
      <c r="F450" s="718"/>
      <c r="G450" s="727"/>
      <c r="H450" s="681" t="s">
        <v>46</v>
      </c>
      <c r="I450" s="565"/>
      <c r="J450" s="565"/>
      <c r="K450" s="566"/>
      <c r="L450" s="574"/>
      <c r="M450" s="566"/>
      <c r="N450" s="566"/>
      <c r="O450" s="566"/>
      <c r="P450" s="566"/>
      <c r="Q450" s="566"/>
      <c r="R450" s="566"/>
      <c r="S450" s="566"/>
      <c r="T450" s="566"/>
      <c r="U450" s="566"/>
    </row>
    <row r="451" spans="1:21" ht="18.75" x14ac:dyDescent="0.25">
      <c r="A451" s="764"/>
      <c r="B451" s="718"/>
      <c r="C451" s="718"/>
      <c r="D451" s="718"/>
      <c r="E451" s="718"/>
      <c r="F451" s="718"/>
      <c r="G451" s="727"/>
      <c r="H451" s="681" t="s">
        <v>34</v>
      </c>
      <c r="I451" s="565"/>
      <c r="J451" s="565"/>
      <c r="K451" s="566"/>
      <c r="L451" s="574"/>
      <c r="M451" s="566"/>
      <c r="N451" s="566"/>
      <c r="O451" s="566"/>
      <c r="P451" s="566"/>
      <c r="Q451" s="566"/>
      <c r="R451" s="566"/>
      <c r="S451" s="566"/>
      <c r="T451" s="566"/>
      <c r="U451" s="566"/>
    </row>
    <row r="452" spans="1:21" ht="18.75" x14ac:dyDescent="0.25">
      <c r="A452" s="764"/>
      <c r="B452" s="718"/>
      <c r="C452" s="718"/>
      <c r="D452" s="765" t="s">
        <v>175</v>
      </c>
      <c r="E452" s="718"/>
      <c r="F452" s="718"/>
      <c r="G452" s="727"/>
      <c r="H452" s="681" t="s">
        <v>46</v>
      </c>
      <c r="I452" s="565"/>
      <c r="J452" s="565"/>
      <c r="K452" s="566"/>
      <c r="L452" s="574"/>
      <c r="M452" s="566"/>
      <c r="N452" s="566"/>
      <c r="O452" s="566"/>
      <c r="P452" s="566"/>
      <c r="Q452" s="566"/>
      <c r="R452" s="566"/>
      <c r="S452" s="566"/>
      <c r="T452" s="566"/>
      <c r="U452" s="566"/>
    </row>
    <row r="453" spans="1:21" ht="18.75" x14ac:dyDescent="0.25">
      <c r="A453" s="764"/>
      <c r="B453" s="718"/>
      <c r="C453" s="718"/>
      <c r="D453" s="718"/>
      <c r="E453" s="718"/>
      <c r="F453" s="718"/>
      <c r="G453" s="727"/>
      <c r="H453" s="681" t="s">
        <v>34</v>
      </c>
      <c r="I453" s="565"/>
      <c r="J453" s="565"/>
      <c r="K453" s="566"/>
      <c r="L453" s="574"/>
      <c r="M453" s="566"/>
      <c r="N453" s="566"/>
      <c r="O453" s="566"/>
      <c r="P453" s="566"/>
      <c r="Q453" s="566"/>
      <c r="R453" s="566"/>
      <c r="S453" s="566"/>
      <c r="T453" s="566"/>
      <c r="U453" s="566"/>
    </row>
    <row r="454" spans="1:21" ht="18.75" x14ac:dyDescent="0.25">
      <c r="A454" s="764"/>
      <c r="B454" s="718"/>
      <c r="C454" s="718"/>
      <c r="D454" s="765" t="s">
        <v>176</v>
      </c>
      <c r="E454" s="718"/>
      <c r="F454" s="718"/>
      <c r="G454" s="727"/>
      <c r="H454" s="681" t="s">
        <v>46</v>
      </c>
      <c r="I454" s="565"/>
      <c r="J454" s="981"/>
      <c r="K454" s="566"/>
      <c r="L454" s="574"/>
      <c r="M454" s="566"/>
      <c r="N454" s="566"/>
      <c r="O454" s="566"/>
      <c r="P454" s="566"/>
      <c r="Q454" s="566"/>
      <c r="R454" s="566"/>
      <c r="S454" s="566"/>
      <c r="T454" s="566"/>
      <c r="U454" s="566"/>
    </row>
    <row r="455" spans="1:21" ht="18.75" x14ac:dyDescent="0.25">
      <c r="A455" s="764"/>
      <c r="B455" s="718"/>
      <c r="C455" s="718"/>
      <c r="D455" s="718"/>
      <c r="E455" s="718"/>
      <c r="F455" s="718"/>
      <c r="G455" s="727"/>
      <c r="H455" s="681" t="s">
        <v>34</v>
      </c>
      <c r="I455" s="565"/>
      <c r="J455" s="565"/>
      <c r="K455" s="566"/>
      <c r="L455" s="574"/>
      <c r="M455" s="566"/>
      <c r="N455" s="566"/>
      <c r="O455" s="566"/>
      <c r="P455" s="566"/>
      <c r="Q455" s="566"/>
      <c r="R455" s="566"/>
      <c r="S455" s="566"/>
      <c r="T455" s="566"/>
      <c r="U455" s="566"/>
    </row>
    <row r="456" spans="1:21" ht="19.5" x14ac:dyDescent="0.3">
      <c r="A456" s="764"/>
      <c r="B456" s="719" t="s">
        <v>177</v>
      </c>
      <c r="C456" s="718"/>
      <c r="D456" s="718"/>
      <c r="E456" s="718"/>
      <c r="F456" s="718"/>
      <c r="G456" s="727"/>
      <c r="H456" s="979" t="s">
        <v>46</v>
      </c>
      <c r="I456" s="697">
        <f t="shared" ref="I456:J456" ca="1" si="290">I457</f>
        <v>224</v>
      </c>
      <c r="J456" s="697">
        <f t="shared" si="290"/>
        <v>0</v>
      </c>
      <c r="K456" s="679">
        <f t="shared" ref="K456:K458" ca="1" si="291">IF(I456&gt;0,J456*100/I456,0)</f>
        <v>0</v>
      </c>
      <c r="L456" s="574"/>
      <c r="M456" s="566"/>
      <c r="N456" s="566"/>
      <c r="O456" s="566"/>
      <c r="P456" s="566"/>
      <c r="Q456" s="566"/>
      <c r="R456" s="566"/>
      <c r="S456" s="566"/>
      <c r="T456" s="566"/>
      <c r="U456" s="566"/>
    </row>
    <row r="457" spans="1:21" ht="19.5" x14ac:dyDescent="0.3">
      <c r="A457" s="764"/>
      <c r="B457" s="718"/>
      <c r="C457" s="719" t="s">
        <v>178</v>
      </c>
      <c r="D457" s="718"/>
      <c r="E457" s="718"/>
      <c r="F457" s="718"/>
      <c r="G457" s="727"/>
      <c r="H457" s="677" t="s">
        <v>46</v>
      </c>
      <c r="I457" s="697">
        <f ca="1">IFERROR(__xludf.DUMMYFUNCTION("IMPORTRANGE(""https://docs.google.com/spreadsheets/d/1eHaY18a8A9IcSdp1K8H6x8fbOy06t2VsZHhMHf-1x7Y/edit?usp=sharing"",""แผน!HL24"")"),224)</f>
        <v>224</v>
      </c>
      <c r="J457" s="697">
        <f t="shared" ref="J457:J458" si="292">J459+J467+J473</f>
        <v>0</v>
      </c>
      <c r="K457" s="679">
        <f t="shared" ca="1" si="291"/>
        <v>0</v>
      </c>
      <c r="L457" s="574"/>
      <c r="M457" s="566"/>
      <c r="N457" s="566"/>
      <c r="O457" s="566"/>
      <c r="P457" s="566"/>
      <c r="Q457" s="566"/>
      <c r="R457" s="566"/>
      <c r="S457" s="566"/>
      <c r="T457" s="566"/>
      <c r="U457" s="566"/>
    </row>
    <row r="458" spans="1:21" ht="19.5" x14ac:dyDescent="0.3">
      <c r="A458" s="764"/>
      <c r="B458" s="718"/>
      <c r="C458" s="718"/>
      <c r="D458" s="718"/>
      <c r="E458" s="718"/>
      <c r="F458" s="718"/>
      <c r="G458" s="727"/>
      <c r="H458" s="677" t="s">
        <v>34</v>
      </c>
      <c r="I458" s="697">
        <f ca="1">IFERROR(__xludf.DUMMYFUNCTION("IMPORTRANGE(""https://docs.google.com/spreadsheets/d/1eHaY18a8A9IcSdp1K8H6x8fbOy06t2VsZHhMHf-1x7Y/edit?usp=sharing"",""แผน!HM24"")"),0)</f>
        <v>0</v>
      </c>
      <c r="J458" s="697">
        <f t="shared" si="292"/>
        <v>0</v>
      </c>
      <c r="K458" s="679">
        <f t="shared" ca="1" si="291"/>
        <v>0</v>
      </c>
      <c r="L458" s="574"/>
      <c r="M458" s="566"/>
      <c r="N458" s="566"/>
      <c r="O458" s="566"/>
      <c r="P458" s="566"/>
      <c r="Q458" s="566"/>
      <c r="R458" s="566"/>
      <c r="S458" s="566"/>
      <c r="T458" s="566"/>
      <c r="U458" s="566"/>
    </row>
    <row r="459" spans="1:21" ht="18.75" x14ac:dyDescent="0.25">
      <c r="A459" s="764"/>
      <c r="B459" s="718"/>
      <c r="C459" s="765" t="s">
        <v>179</v>
      </c>
      <c r="D459" s="718"/>
      <c r="E459" s="718"/>
      <c r="F459" s="718"/>
      <c r="G459" s="727"/>
      <c r="H459" s="681" t="s">
        <v>46</v>
      </c>
      <c r="I459" s="565"/>
      <c r="J459" s="708">
        <f t="shared" ref="J459:J460" si="293">J461+J463</f>
        <v>0</v>
      </c>
      <c r="K459" s="566"/>
      <c r="L459" s="574"/>
      <c r="M459" s="566"/>
      <c r="N459" s="566"/>
      <c r="O459" s="566"/>
      <c r="P459" s="566"/>
      <c r="Q459" s="566"/>
      <c r="R459" s="566"/>
      <c r="S459" s="566"/>
      <c r="T459" s="566"/>
      <c r="U459" s="566"/>
    </row>
    <row r="460" spans="1:21" ht="18.75" x14ac:dyDescent="0.25">
      <c r="A460" s="764"/>
      <c r="B460" s="718"/>
      <c r="C460" s="718"/>
      <c r="D460" s="718"/>
      <c r="E460" s="718"/>
      <c r="F460" s="718"/>
      <c r="G460" s="727"/>
      <c r="H460" s="681" t="s">
        <v>34</v>
      </c>
      <c r="I460" s="565"/>
      <c r="J460" s="708">
        <f t="shared" si="293"/>
        <v>0</v>
      </c>
      <c r="K460" s="566"/>
      <c r="L460" s="574"/>
      <c r="M460" s="566"/>
      <c r="N460" s="566"/>
      <c r="O460" s="566"/>
      <c r="P460" s="566"/>
      <c r="Q460" s="566"/>
      <c r="R460" s="566"/>
      <c r="S460" s="566"/>
      <c r="T460" s="566"/>
      <c r="U460" s="566"/>
    </row>
    <row r="461" spans="1:21" ht="18.75" x14ac:dyDescent="0.25">
      <c r="A461" s="764"/>
      <c r="B461" s="718"/>
      <c r="C461" s="718"/>
      <c r="D461" s="982" t="s">
        <v>180</v>
      </c>
      <c r="E461" s="718"/>
      <c r="F461" s="718"/>
      <c r="G461" s="727"/>
      <c r="H461" s="681" t="s">
        <v>46</v>
      </c>
      <c r="I461" s="565"/>
      <c r="J461" s="565"/>
      <c r="K461" s="566"/>
      <c r="L461" s="574"/>
      <c r="M461" s="566"/>
      <c r="N461" s="566"/>
      <c r="O461" s="566"/>
      <c r="P461" s="566"/>
      <c r="Q461" s="566"/>
      <c r="R461" s="566"/>
      <c r="S461" s="566"/>
      <c r="T461" s="566"/>
      <c r="U461" s="566"/>
    </row>
    <row r="462" spans="1:21" ht="18.75" x14ac:dyDescent="0.25">
      <c r="A462" s="764"/>
      <c r="B462" s="718"/>
      <c r="C462" s="718"/>
      <c r="D462" s="718"/>
      <c r="E462" s="718"/>
      <c r="F462" s="718"/>
      <c r="G462" s="727"/>
      <c r="H462" s="681" t="s">
        <v>34</v>
      </c>
      <c r="I462" s="565"/>
      <c r="J462" s="565"/>
      <c r="K462" s="566"/>
      <c r="L462" s="574"/>
      <c r="M462" s="566"/>
      <c r="N462" s="566"/>
      <c r="O462" s="566"/>
      <c r="P462" s="566"/>
      <c r="Q462" s="566"/>
      <c r="R462" s="566"/>
      <c r="S462" s="566"/>
      <c r="T462" s="566"/>
      <c r="U462" s="566"/>
    </row>
    <row r="463" spans="1:21" ht="18.75" x14ac:dyDescent="0.25">
      <c r="A463" s="764"/>
      <c r="B463" s="718"/>
      <c r="C463" s="718"/>
      <c r="D463" s="982" t="s">
        <v>181</v>
      </c>
      <c r="E463" s="718"/>
      <c r="F463" s="718"/>
      <c r="G463" s="727"/>
      <c r="H463" s="681" t="s">
        <v>46</v>
      </c>
      <c r="I463" s="565"/>
      <c r="J463" s="565"/>
      <c r="K463" s="566"/>
      <c r="L463" s="574"/>
      <c r="M463" s="566"/>
      <c r="N463" s="566"/>
      <c r="O463" s="566"/>
      <c r="P463" s="566"/>
      <c r="Q463" s="566"/>
      <c r="R463" s="566"/>
      <c r="S463" s="566"/>
      <c r="T463" s="566"/>
      <c r="U463" s="566"/>
    </row>
    <row r="464" spans="1:21" ht="18.75" x14ac:dyDescent="0.25">
      <c r="A464" s="764"/>
      <c r="B464" s="718"/>
      <c r="C464" s="718"/>
      <c r="D464" s="718"/>
      <c r="E464" s="718"/>
      <c r="F464" s="718"/>
      <c r="G464" s="727"/>
      <c r="H464" s="681" t="s">
        <v>34</v>
      </c>
      <c r="I464" s="565"/>
      <c r="J464" s="565"/>
      <c r="K464" s="566"/>
      <c r="L464" s="574"/>
      <c r="M464" s="566"/>
      <c r="N464" s="566"/>
      <c r="O464" s="566"/>
      <c r="P464" s="566"/>
      <c r="Q464" s="566"/>
      <c r="R464" s="566"/>
      <c r="S464" s="566"/>
      <c r="T464" s="566"/>
      <c r="U464" s="566"/>
    </row>
    <row r="465" spans="1:21" ht="18.75" x14ac:dyDescent="0.25">
      <c r="A465" s="764"/>
      <c r="B465" s="718"/>
      <c r="C465" s="718"/>
      <c r="D465" s="982" t="s">
        <v>182</v>
      </c>
      <c r="E465" s="718"/>
      <c r="F465" s="718"/>
      <c r="G465" s="727"/>
      <c r="H465" s="681" t="s">
        <v>46</v>
      </c>
      <c r="I465" s="565"/>
      <c r="J465" s="565"/>
      <c r="K465" s="566"/>
      <c r="L465" s="574"/>
      <c r="M465" s="566"/>
      <c r="N465" s="566"/>
      <c r="O465" s="566"/>
      <c r="P465" s="566"/>
      <c r="Q465" s="566"/>
      <c r="R465" s="566"/>
      <c r="S465" s="566"/>
      <c r="T465" s="566"/>
      <c r="U465" s="566"/>
    </row>
    <row r="466" spans="1:21" ht="18.75" x14ac:dyDescent="0.25">
      <c r="A466" s="764"/>
      <c r="B466" s="718"/>
      <c r="C466" s="718"/>
      <c r="D466" s="718"/>
      <c r="E466" s="718"/>
      <c r="F466" s="718"/>
      <c r="G466" s="727"/>
      <c r="H466" s="681" t="s">
        <v>34</v>
      </c>
      <c r="I466" s="565"/>
      <c r="J466" s="565"/>
      <c r="K466" s="566"/>
      <c r="L466" s="574"/>
      <c r="M466" s="566"/>
      <c r="N466" s="566"/>
      <c r="O466" s="566"/>
      <c r="P466" s="566"/>
      <c r="Q466" s="566"/>
      <c r="R466" s="566"/>
      <c r="S466" s="566"/>
      <c r="T466" s="566"/>
      <c r="U466" s="566"/>
    </row>
    <row r="467" spans="1:21" ht="18.75" x14ac:dyDescent="0.25">
      <c r="A467" s="764"/>
      <c r="B467" s="718"/>
      <c r="C467" s="982" t="s">
        <v>183</v>
      </c>
      <c r="D467" s="718"/>
      <c r="E467" s="718"/>
      <c r="F467" s="718"/>
      <c r="G467" s="727"/>
      <c r="H467" s="681" t="s">
        <v>46</v>
      </c>
      <c r="I467" s="565"/>
      <c r="J467" s="708">
        <f t="shared" ref="J467:J468" si="294">J469+J471</f>
        <v>0</v>
      </c>
      <c r="K467" s="566"/>
      <c r="L467" s="574"/>
      <c r="M467" s="566"/>
      <c r="N467" s="566"/>
      <c r="O467" s="566"/>
      <c r="P467" s="566"/>
      <c r="Q467" s="566"/>
      <c r="R467" s="566"/>
      <c r="S467" s="566"/>
      <c r="T467" s="566"/>
      <c r="U467" s="566"/>
    </row>
    <row r="468" spans="1:21" ht="18.75" x14ac:dyDescent="0.25">
      <c r="A468" s="764"/>
      <c r="B468" s="718"/>
      <c r="C468" s="718"/>
      <c r="D468" s="718"/>
      <c r="E468" s="718"/>
      <c r="F468" s="718"/>
      <c r="G468" s="727"/>
      <c r="H468" s="681" t="s">
        <v>34</v>
      </c>
      <c r="I468" s="565"/>
      <c r="J468" s="708">
        <f t="shared" si="294"/>
        <v>0</v>
      </c>
      <c r="K468" s="566"/>
      <c r="L468" s="574"/>
      <c r="M468" s="566"/>
      <c r="N468" s="566"/>
      <c r="O468" s="566"/>
      <c r="P468" s="566"/>
      <c r="Q468" s="566"/>
      <c r="R468" s="566"/>
      <c r="S468" s="566"/>
      <c r="T468" s="566"/>
      <c r="U468" s="566"/>
    </row>
    <row r="469" spans="1:21" ht="18.75" x14ac:dyDescent="0.25">
      <c r="A469" s="764"/>
      <c r="B469" s="718"/>
      <c r="C469" s="718"/>
      <c r="D469" s="982" t="s">
        <v>184</v>
      </c>
      <c r="E469" s="718"/>
      <c r="F469" s="718"/>
      <c r="G469" s="727"/>
      <c r="H469" s="681" t="s">
        <v>46</v>
      </c>
      <c r="I469" s="565"/>
      <c r="J469" s="565"/>
      <c r="K469" s="566"/>
      <c r="L469" s="574"/>
      <c r="M469" s="566"/>
      <c r="N469" s="566"/>
      <c r="O469" s="566"/>
      <c r="P469" s="566"/>
      <c r="Q469" s="566"/>
      <c r="R469" s="566"/>
      <c r="S469" s="566"/>
      <c r="T469" s="566"/>
      <c r="U469" s="566"/>
    </row>
    <row r="470" spans="1:21" ht="18.75" x14ac:dyDescent="0.25">
      <c r="A470" s="764"/>
      <c r="B470" s="718"/>
      <c r="C470" s="718"/>
      <c r="D470" s="718"/>
      <c r="E470" s="718"/>
      <c r="F470" s="718"/>
      <c r="G470" s="727"/>
      <c r="H470" s="681" t="s">
        <v>34</v>
      </c>
      <c r="I470" s="565"/>
      <c r="J470" s="565"/>
      <c r="K470" s="566"/>
      <c r="L470" s="574"/>
      <c r="M470" s="566"/>
      <c r="N470" s="566"/>
      <c r="O470" s="566"/>
      <c r="P470" s="566"/>
      <c r="Q470" s="566"/>
      <c r="R470" s="566"/>
      <c r="S470" s="566"/>
      <c r="T470" s="566"/>
      <c r="U470" s="566"/>
    </row>
    <row r="471" spans="1:21" ht="18.75" x14ac:dyDescent="0.25">
      <c r="A471" s="764"/>
      <c r="B471" s="718"/>
      <c r="C471" s="718"/>
      <c r="D471" s="982" t="s">
        <v>185</v>
      </c>
      <c r="E471" s="718"/>
      <c r="F471" s="718"/>
      <c r="G471" s="727"/>
      <c r="H471" s="681" t="s">
        <v>46</v>
      </c>
      <c r="I471" s="565"/>
      <c r="J471" s="565"/>
      <c r="K471" s="566"/>
      <c r="L471" s="574"/>
      <c r="M471" s="566"/>
      <c r="N471" s="566"/>
      <c r="O471" s="566"/>
      <c r="P471" s="566"/>
      <c r="Q471" s="566"/>
      <c r="R471" s="566"/>
      <c r="S471" s="566"/>
      <c r="T471" s="566"/>
      <c r="U471" s="566"/>
    </row>
    <row r="472" spans="1:21" ht="18.75" x14ac:dyDescent="0.25">
      <c r="A472" s="764"/>
      <c r="B472" s="718"/>
      <c r="C472" s="718"/>
      <c r="D472" s="718"/>
      <c r="E472" s="718"/>
      <c r="F472" s="718"/>
      <c r="G472" s="727"/>
      <c r="H472" s="681" t="s">
        <v>34</v>
      </c>
      <c r="I472" s="565"/>
      <c r="J472" s="565"/>
      <c r="K472" s="566"/>
      <c r="L472" s="574"/>
      <c r="M472" s="566"/>
      <c r="N472" s="566"/>
      <c r="O472" s="566"/>
      <c r="P472" s="566"/>
      <c r="Q472" s="566"/>
      <c r="R472" s="566"/>
      <c r="S472" s="566"/>
      <c r="T472" s="566"/>
      <c r="U472" s="566"/>
    </row>
    <row r="473" spans="1:21" ht="18.75" x14ac:dyDescent="0.25">
      <c r="A473" s="764"/>
      <c r="B473" s="718"/>
      <c r="C473" s="765" t="s">
        <v>186</v>
      </c>
      <c r="D473" s="718"/>
      <c r="E473" s="718"/>
      <c r="F473" s="718"/>
      <c r="G473" s="727"/>
      <c r="H473" s="681" t="s">
        <v>46</v>
      </c>
      <c r="I473" s="565"/>
      <c r="J473" s="565"/>
      <c r="K473" s="566"/>
      <c r="L473" s="574"/>
      <c r="M473" s="566"/>
      <c r="N473" s="566"/>
      <c r="O473" s="566"/>
      <c r="P473" s="566"/>
      <c r="Q473" s="566"/>
      <c r="R473" s="566"/>
      <c r="S473" s="566"/>
      <c r="T473" s="566"/>
      <c r="U473" s="566"/>
    </row>
    <row r="474" spans="1:21" ht="18.75" x14ac:dyDescent="0.25">
      <c r="A474" s="764"/>
      <c r="B474" s="718"/>
      <c r="C474" s="718"/>
      <c r="D474" s="718"/>
      <c r="E474" s="718"/>
      <c r="F474" s="718"/>
      <c r="G474" s="727"/>
      <c r="H474" s="681" t="s">
        <v>34</v>
      </c>
      <c r="I474" s="565"/>
      <c r="J474" s="565"/>
      <c r="K474" s="566"/>
      <c r="L474" s="574"/>
      <c r="M474" s="566"/>
      <c r="N474" s="566"/>
      <c r="O474" s="566"/>
      <c r="P474" s="566"/>
      <c r="Q474" s="566"/>
      <c r="R474" s="566"/>
      <c r="S474" s="566"/>
      <c r="T474" s="566"/>
      <c r="U474" s="566"/>
    </row>
    <row r="475" spans="1:21" ht="19.5" x14ac:dyDescent="0.3">
      <c r="A475" s="764"/>
      <c r="B475" s="983" t="s">
        <v>187</v>
      </c>
      <c r="C475" s="718"/>
      <c r="D475" s="718"/>
      <c r="E475" s="718"/>
      <c r="F475" s="718"/>
      <c r="G475" s="727"/>
      <c r="H475" s="677" t="s">
        <v>46</v>
      </c>
      <c r="I475" s="697">
        <v>0</v>
      </c>
      <c r="J475" s="697">
        <f>J478+J480</f>
        <v>0</v>
      </c>
      <c r="K475" s="679">
        <f t="shared" ref="K475:K477" si="295">IF(I475&gt;0,J475*100/I475,0)</f>
        <v>0</v>
      </c>
      <c r="L475" s="574"/>
      <c r="M475" s="566"/>
      <c r="N475" s="566"/>
      <c r="O475" s="566"/>
      <c r="P475" s="566"/>
      <c r="Q475" s="566"/>
      <c r="R475" s="566"/>
      <c r="S475" s="566"/>
      <c r="T475" s="566"/>
      <c r="U475" s="566"/>
    </row>
    <row r="476" spans="1:21" ht="19.5" x14ac:dyDescent="0.3">
      <c r="A476" s="764"/>
      <c r="B476" s="718"/>
      <c r="C476" s="719" t="s">
        <v>188</v>
      </c>
      <c r="D476" s="718"/>
      <c r="E476" s="718"/>
      <c r="F476" s="718"/>
      <c r="G476" s="727"/>
      <c r="H476" s="677" t="s">
        <v>46</v>
      </c>
      <c r="I476" s="697">
        <v>0</v>
      </c>
      <c r="J476" s="697">
        <f t="shared" ref="J476:J477" si="296">J478+J480</f>
        <v>0</v>
      </c>
      <c r="K476" s="679">
        <f t="shared" si="295"/>
        <v>0</v>
      </c>
      <c r="L476" s="574"/>
      <c r="M476" s="566"/>
      <c r="N476" s="566"/>
      <c r="O476" s="566"/>
      <c r="P476" s="566"/>
      <c r="Q476" s="566"/>
      <c r="R476" s="566"/>
      <c r="S476" s="566"/>
      <c r="T476" s="566"/>
      <c r="U476" s="566"/>
    </row>
    <row r="477" spans="1:21" ht="19.5" x14ac:dyDescent="0.3">
      <c r="A477" s="764"/>
      <c r="B477" s="718"/>
      <c r="C477" s="765" t="s">
        <v>189</v>
      </c>
      <c r="D477" s="718"/>
      <c r="E477" s="718"/>
      <c r="F477" s="718"/>
      <c r="G477" s="727"/>
      <c r="H477" s="677" t="s">
        <v>34</v>
      </c>
      <c r="I477" s="697">
        <v>0</v>
      </c>
      <c r="J477" s="697">
        <f t="shared" si="296"/>
        <v>0</v>
      </c>
      <c r="K477" s="679">
        <f t="shared" si="295"/>
        <v>0</v>
      </c>
      <c r="L477" s="574"/>
      <c r="M477" s="566"/>
      <c r="N477" s="566"/>
      <c r="O477" s="566"/>
      <c r="P477" s="566"/>
      <c r="Q477" s="566"/>
      <c r="R477" s="566"/>
      <c r="S477" s="566"/>
      <c r="T477" s="566"/>
      <c r="U477" s="566"/>
    </row>
    <row r="478" spans="1:21" ht="18.75" x14ac:dyDescent="0.25">
      <c r="A478" s="764"/>
      <c r="B478" s="718"/>
      <c r="C478" s="718"/>
      <c r="D478" s="765" t="s">
        <v>190</v>
      </c>
      <c r="E478" s="718"/>
      <c r="F478" s="718"/>
      <c r="G478" s="727"/>
      <c r="H478" s="681" t="s">
        <v>46</v>
      </c>
      <c r="I478" s="565"/>
      <c r="J478" s="565"/>
      <c r="K478" s="566"/>
      <c r="L478" s="574"/>
      <c r="M478" s="566"/>
      <c r="N478" s="566"/>
      <c r="O478" s="566"/>
      <c r="P478" s="566"/>
      <c r="Q478" s="566"/>
      <c r="R478" s="566"/>
      <c r="S478" s="566"/>
      <c r="T478" s="566"/>
      <c r="U478" s="566"/>
    </row>
    <row r="479" spans="1:21" ht="18.75" x14ac:dyDescent="0.25">
      <c r="A479" s="764"/>
      <c r="B479" s="718"/>
      <c r="C479" s="718"/>
      <c r="D479" s="718"/>
      <c r="E479" s="718"/>
      <c r="F479" s="718"/>
      <c r="G479" s="727"/>
      <c r="H479" s="681" t="s">
        <v>34</v>
      </c>
      <c r="I479" s="565"/>
      <c r="J479" s="565"/>
      <c r="K479" s="566"/>
      <c r="L479" s="574"/>
      <c r="M479" s="566"/>
      <c r="N479" s="566"/>
      <c r="O479" s="566"/>
      <c r="P479" s="566"/>
      <c r="Q479" s="566"/>
      <c r="R479" s="566"/>
      <c r="S479" s="566"/>
      <c r="T479" s="566"/>
      <c r="U479" s="566"/>
    </row>
    <row r="480" spans="1:21" ht="18.75" x14ac:dyDescent="0.25">
      <c r="A480" s="764"/>
      <c r="B480" s="718"/>
      <c r="C480" s="718"/>
      <c r="D480" s="982" t="s">
        <v>191</v>
      </c>
      <c r="E480" s="718"/>
      <c r="F480" s="718"/>
      <c r="G480" s="727"/>
      <c r="H480" s="681" t="s">
        <v>46</v>
      </c>
      <c r="I480" s="565"/>
      <c r="J480" s="565"/>
      <c r="K480" s="566"/>
      <c r="L480" s="574"/>
      <c r="M480" s="566"/>
      <c r="N480" s="566"/>
      <c r="O480" s="566"/>
      <c r="P480" s="566"/>
      <c r="Q480" s="566"/>
      <c r="R480" s="566"/>
      <c r="S480" s="566"/>
      <c r="T480" s="566"/>
      <c r="U480" s="566"/>
    </row>
    <row r="481" spans="1:21" ht="18.75" x14ac:dyDescent="0.25">
      <c r="A481" s="764"/>
      <c r="B481" s="718"/>
      <c r="C481" s="718"/>
      <c r="D481" s="718"/>
      <c r="E481" s="718"/>
      <c r="F481" s="718"/>
      <c r="G481" s="727"/>
      <c r="H481" s="681" t="s">
        <v>34</v>
      </c>
      <c r="I481" s="565"/>
      <c r="J481" s="565"/>
      <c r="K481" s="566"/>
      <c r="L481" s="574"/>
      <c r="M481" s="566"/>
      <c r="N481" s="566"/>
      <c r="O481" s="566"/>
      <c r="P481" s="566"/>
      <c r="Q481" s="566"/>
      <c r="R481" s="566"/>
      <c r="S481" s="566"/>
      <c r="T481" s="566"/>
      <c r="U481" s="566"/>
    </row>
    <row r="482" spans="1:21" ht="18.75" x14ac:dyDescent="0.25">
      <c r="A482" s="764"/>
      <c r="B482" s="718"/>
      <c r="C482" s="718"/>
      <c r="D482" s="982" t="s">
        <v>192</v>
      </c>
      <c r="E482" s="718"/>
      <c r="F482" s="718"/>
      <c r="G482" s="727"/>
      <c r="H482" s="681" t="s">
        <v>46</v>
      </c>
      <c r="I482" s="565"/>
      <c r="J482" s="708">
        <f ca="1">IFERROR(__xludf.DUMMYFUNCTION("IMPORTRANGE(""https://docs.google.com/spreadsheets/d/1eHaY18a8A9IcSdp1K8H6x8fbOy06t2VsZHhMHf-1x7Y/edit?usp=sharing"",""แผน!HN24"")"),0)</f>
        <v>0</v>
      </c>
      <c r="K482" s="566"/>
      <c r="L482" s="574"/>
      <c r="M482" s="566"/>
      <c r="N482" s="566"/>
      <c r="O482" s="566"/>
      <c r="P482" s="566"/>
      <c r="Q482" s="566"/>
      <c r="R482" s="566"/>
      <c r="S482" s="566"/>
      <c r="T482" s="566"/>
      <c r="U482" s="566"/>
    </row>
    <row r="483" spans="1:21" ht="18.75" x14ac:dyDescent="0.25">
      <c r="A483" s="764"/>
      <c r="B483" s="718"/>
      <c r="C483" s="718"/>
      <c r="D483" s="718"/>
      <c r="E483" s="718"/>
      <c r="F483" s="718"/>
      <c r="G483" s="727"/>
      <c r="H483" s="681" t="s">
        <v>34</v>
      </c>
      <c r="I483" s="565"/>
      <c r="J483" s="708">
        <f ca="1">IFERROR(__xludf.DUMMYFUNCTION("IMPORTRANGE(""https://docs.google.com/spreadsheets/d/1eHaY18a8A9IcSdp1K8H6x8fbOy06t2VsZHhMHf-1x7Y/edit?usp=sharing"",""แผน!HO24"")"),0)</f>
        <v>0</v>
      </c>
      <c r="K483" s="566"/>
      <c r="L483" s="574"/>
      <c r="M483" s="566"/>
      <c r="N483" s="566"/>
      <c r="O483" s="566"/>
      <c r="P483" s="566"/>
      <c r="Q483" s="566"/>
      <c r="R483" s="566"/>
      <c r="S483" s="566"/>
      <c r="T483" s="566"/>
      <c r="U483" s="566"/>
    </row>
    <row r="484" spans="1:21" ht="19.5" x14ac:dyDescent="0.3">
      <c r="A484" s="764"/>
      <c r="B484" s="718"/>
      <c r="C484" s="719" t="s">
        <v>193</v>
      </c>
      <c r="D484" s="718"/>
      <c r="E484" s="718"/>
      <c r="F484" s="718"/>
      <c r="G484" s="727"/>
      <c r="H484" s="677" t="s">
        <v>46</v>
      </c>
      <c r="I484" s="565">
        <f t="shared" ref="I484:I485" si="297">J480</f>
        <v>0</v>
      </c>
      <c r="J484" s="697">
        <f t="shared" ref="J484:J485" si="298">J486+J488+J490</f>
        <v>0</v>
      </c>
      <c r="K484" s="679">
        <f t="shared" ref="K484:K485" si="299">IF(I484&gt;0,J484*100/I484,0)</f>
        <v>0</v>
      </c>
      <c r="L484" s="574"/>
      <c r="M484" s="566"/>
      <c r="N484" s="566"/>
      <c r="O484" s="566"/>
      <c r="P484" s="566"/>
      <c r="Q484" s="566"/>
      <c r="R484" s="566"/>
      <c r="S484" s="566"/>
      <c r="T484" s="566"/>
      <c r="U484" s="566"/>
    </row>
    <row r="485" spans="1:21" ht="19.5" x14ac:dyDescent="0.3">
      <c r="A485" s="764"/>
      <c r="B485" s="718"/>
      <c r="C485" s="765" t="s">
        <v>194</v>
      </c>
      <c r="D485" s="718"/>
      <c r="E485" s="718"/>
      <c r="F485" s="718"/>
      <c r="G485" s="727"/>
      <c r="H485" s="677" t="s">
        <v>34</v>
      </c>
      <c r="I485" s="565">
        <f t="shared" si="297"/>
        <v>0</v>
      </c>
      <c r="J485" s="697">
        <f t="shared" si="298"/>
        <v>0</v>
      </c>
      <c r="K485" s="679">
        <f t="shared" si="299"/>
        <v>0</v>
      </c>
      <c r="L485" s="574"/>
      <c r="M485" s="566"/>
      <c r="N485" s="566"/>
      <c r="O485" s="566"/>
      <c r="P485" s="566"/>
      <c r="Q485" s="566"/>
      <c r="R485" s="566"/>
      <c r="S485" s="566"/>
      <c r="T485" s="566"/>
      <c r="U485" s="566"/>
    </row>
    <row r="486" spans="1:21" ht="18.75" x14ac:dyDescent="0.25">
      <c r="A486" s="764"/>
      <c r="B486" s="718"/>
      <c r="C486" s="718"/>
      <c r="D486" s="982" t="s">
        <v>195</v>
      </c>
      <c r="E486" s="718"/>
      <c r="F486" s="718"/>
      <c r="G486" s="727"/>
      <c r="H486" s="681" t="s">
        <v>46</v>
      </c>
      <c r="I486" s="565"/>
      <c r="J486" s="565"/>
      <c r="K486" s="566"/>
      <c r="L486" s="574"/>
      <c r="M486" s="566"/>
      <c r="N486" s="566"/>
      <c r="O486" s="566"/>
      <c r="P486" s="566"/>
      <c r="Q486" s="566"/>
      <c r="R486" s="566"/>
      <c r="S486" s="566"/>
      <c r="T486" s="566"/>
      <c r="U486" s="566"/>
    </row>
    <row r="487" spans="1:21" ht="18.75" x14ac:dyDescent="0.25">
      <c r="A487" s="764"/>
      <c r="B487" s="718"/>
      <c r="C487" s="718"/>
      <c r="D487" s="718"/>
      <c r="E487" s="718"/>
      <c r="F487" s="718"/>
      <c r="G487" s="727"/>
      <c r="H487" s="681" t="s">
        <v>34</v>
      </c>
      <c r="I487" s="565"/>
      <c r="J487" s="565"/>
      <c r="K487" s="566"/>
      <c r="L487" s="574"/>
      <c r="M487" s="566"/>
      <c r="N487" s="566"/>
      <c r="O487" s="566"/>
      <c r="P487" s="566"/>
      <c r="Q487" s="566"/>
      <c r="R487" s="566"/>
      <c r="S487" s="566"/>
      <c r="T487" s="566"/>
      <c r="U487" s="566"/>
    </row>
    <row r="488" spans="1:21" ht="18.75" x14ac:dyDescent="0.25">
      <c r="A488" s="764"/>
      <c r="B488" s="718"/>
      <c r="C488" s="718"/>
      <c r="D488" s="982" t="s">
        <v>196</v>
      </c>
      <c r="E488" s="718"/>
      <c r="F488" s="718"/>
      <c r="G488" s="727"/>
      <c r="H488" s="681" t="s">
        <v>46</v>
      </c>
      <c r="I488" s="565"/>
      <c r="J488" s="565"/>
      <c r="K488" s="566"/>
      <c r="L488" s="574"/>
      <c r="M488" s="566"/>
      <c r="N488" s="566"/>
      <c r="O488" s="566"/>
      <c r="P488" s="566"/>
      <c r="Q488" s="566"/>
      <c r="R488" s="566"/>
      <c r="S488" s="566"/>
      <c r="T488" s="566"/>
      <c r="U488" s="566"/>
    </row>
    <row r="489" spans="1:21" ht="18.75" x14ac:dyDescent="0.25">
      <c r="A489" s="764"/>
      <c r="B489" s="718"/>
      <c r="C489" s="718"/>
      <c r="D489" s="718"/>
      <c r="E489" s="718"/>
      <c r="F489" s="718"/>
      <c r="G489" s="727"/>
      <c r="H489" s="681" t="s">
        <v>34</v>
      </c>
      <c r="I489" s="565"/>
      <c r="J489" s="565"/>
      <c r="K489" s="566"/>
      <c r="L489" s="574"/>
      <c r="M489" s="566"/>
      <c r="N489" s="566"/>
      <c r="O489" s="566"/>
      <c r="P489" s="566"/>
      <c r="Q489" s="566"/>
      <c r="R489" s="566"/>
      <c r="S489" s="566"/>
      <c r="T489" s="566"/>
      <c r="U489" s="566"/>
    </row>
    <row r="490" spans="1:21" ht="18.75" x14ac:dyDescent="0.25">
      <c r="A490" s="764"/>
      <c r="B490" s="718"/>
      <c r="C490" s="718"/>
      <c r="D490" s="982" t="s">
        <v>197</v>
      </c>
      <c r="E490" s="718"/>
      <c r="F490" s="718"/>
      <c r="G490" s="727"/>
      <c r="H490" s="681" t="s">
        <v>46</v>
      </c>
      <c r="I490" s="565"/>
      <c r="J490" s="565"/>
      <c r="K490" s="566"/>
      <c r="L490" s="574"/>
      <c r="M490" s="566"/>
      <c r="N490" s="566"/>
      <c r="O490" s="566"/>
      <c r="P490" s="566"/>
      <c r="Q490" s="566"/>
      <c r="R490" s="566"/>
      <c r="S490" s="566"/>
      <c r="T490" s="566"/>
      <c r="U490" s="566"/>
    </row>
    <row r="491" spans="1:21" ht="18.75" x14ac:dyDescent="0.25">
      <c r="A491" s="984"/>
      <c r="B491" s="514"/>
      <c r="C491" s="514"/>
      <c r="D491" s="514"/>
      <c r="E491" s="514"/>
      <c r="F491" s="514"/>
      <c r="G491" s="985"/>
      <c r="H491" s="986" t="s">
        <v>34</v>
      </c>
      <c r="I491" s="579"/>
      <c r="J491" s="579"/>
      <c r="K491" s="580"/>
      <c r="L491" s="581"/>
      <c r="M491" s="580"/>
      <c r="N491" s="580"/>
      <c r="O491" s="580"/>
      <c r="P491" s="580"/>
      <c r="Q491" s="580"/>
      <c r="R491" s="580"/>
      <c r="S491" s="580"/>
      <c r="T491" s="580"/>
      <c r="U491" s="580"/>
    </row>
    <row r="492" spans="1:21" ht="19.5" x14ac:dyDescent="0.3">
      <c r="A492" s="926"/>
      <c r="B492" s="971" t="s">
        <v>198</v>
      </c>
      <c r="C492" s="928"/>
      <c r="D492" s="928"/>
      <c r="E492" s="911"/>
      <c r="F492" s="911"/>
      <c r="G492" s="912"/>
      <c r="H492" s="977" t="s">
        <v>35</v>
      </c>
      <c r="I492" s="914">
        <f t="shared" ref="I492:J492" ca="1" si="300">I503</f>
        <v>0</v>
      </c>
      <c r="J492" s="914">
        <f t="shared" ca="1" si="300"/>
        <v>0</v>
      </c>
      <c r="K492" s="915">
        <f ca="1">IF(I492&gt;0,J492*100/I492,0)</f>
        <v>0</v>
      </c>
      <c r="L492" s="916"/>
      <c r="M492" s="917"/>
      <c r="N492" s="917"/>
      <c r="O492" s="917"/>
      <c r="P492" s="917"/>
      <c r="Q492" s="917"/>
      <c r="R492" s="917"/>
      <c r="S492" s="917"/>
      <c r="T492" s="917"/>
      <c r="U492" s="917"/>
    </row>
    <row r="493" spans="1:21" ht="19.5" x14ac:dyDescent="0.3">
      <c r="A493" s="674"/>
      <c r="B493" s="718"/>
      <c r="C493" s="724" t="s">
        <v>18</v>
      </c>
      <c r="D493" s="1313" t="s">
        <v>19</v>
      </c>
      <c r="E493" s="1314"/>
      <c r="F493" s="1314"/>
      <c r="G493" s="563"/>
      <c r="H493" s="780" t="s">
        <v>14</v>
      </c>
      <c r="I493" s="565"/>
      <c r="J493" s="565"/>
      <c r="K493" s="566"/>
      <c r="L493" s="678">
        <f t="shared" ref="L493:N493" ca="1" si="301">L494+L495</f>
        <v>0</v>
      </c>
      <c r="M493" s="679">
        <f t="shared" ca="1" si="301"/>
        <v>0</v>
      </c>
      <c r="N493" s="679">
        <f t="shared" ca="1" si="301"/>
        <v>0</v>
      </c>
      <c r="O493" s="679">
        <f t="shared" ref="O493:O501" ca="1" si="302">IF(L493&gt;0,N493*100/L493,0)</f>
        <v>0</v>
      </c>
      <c r="P493" s="679">
        <f t="shared" ref="P493:P501" ca="1" si="303">IF(M493&gt;0,N493*100/M493,0)</f>
        <v>0</v>
      </c>
      <c r="Q493" s="679">
        <f t="shared" ref="Q493:S493" ca="1" si="304">Q494+Q495</f>
        <v>0</v>
      </c>
      <c r="R493" s="679">
        <f t="shared" ca="1" si="304"/>
        <v>0</v>
      </c>
      <c r="S493" s="679">
        <f t="shared" ca="1" si="304"/>
        <v>0</v>
      </c>
      <c r="T493" s="679">
        <f t="shared" ref="T493:T501" ca="1" si="305">IF(Q493&gt;0,S493*100/Q493,0)</f>
        <v>0</v>
      </c>
      <c r="U493" s="679">
        <f t="shared" ref="U493:U501" ca="1" si="306">IF(R493&gt;0,S493*100/R493,0)</f>
        <v>0</v>
      </c>
    </row>
    <row r="494" spans="1:21" ht="18.75" x14ac:dyDescent="0.25">
      <c r="A494" s="674"/>
      <c r="B494" s="718"/>
      <c r="C494" s="718"/>
      <c r="D494" s="688"/>
      <c r="E494" s="569" t="s">
        <v>158</v>
      </c>
      <c r="F494" s="561"/>
      <c r="G494" s="563"/>
      <c r="H494" s="685" t="s">
        <v>14</v>
      </c>
      <c r="I494" s="565"/>
      <c r="J494" s="565"/>
      <c r="K494" s="566"/>
      <c r="L494" s="571">
        <f t="shared" ref="L494:N495" si="307">L497+L500</f>
        <v>0</v>
      </c>
      <c r="M494" s="572">
        <f t="shared" si="307"/>
        <v>0</v>
      </c>
      <c r="N494" s="572">
        <f t="shared" si="307"/>
        <v>0</v>
      </c>
      <c r="O494" s="572">
        <f t="shared" si="302"/>
        <v>0</v>
      </c>
      <c r="P494" s="572">
        <f t="shared" si="303"/>
        <v>0</v>
      </c>
      <c r="Q494" s="572">
        <f t="shared" ref="Q494:S495" si="308">Q497+Q500</f>
        <v>0</v>
      </c>
      <c r="R494" s="572">
        <f t="shared" si="308"/>
        <v>0</v>
      </c>
      <c r="S494" s="572">
        <f t="shared" si="308"/>
        <v>0</v>
      </c>
      <c r="T494" s="572">
        <f t="shared" si="305"/>
        <v>0</v>
      </c>
      <c r="U494" s="572">
        <f t="shared" si="306"/>
        <v>0</v>
      </c>
    </row>
    <row r="495" spans="1:21" ht="18.75" x14ac:dyDescent="0.25">
      <c r="A495" s="674"/>
      <c r="B495" s="718"/>
      <c r="C495" s="718"/>
      <c r="D495" s="688"/>
      <c r="E495" s="573" t="s">
        <v>159</v>
      </c>
      <c r="F495" s="561"/>
      <c r="G495" s="563"/>
      <c r="H495" s="682" t="s">
        <v>14</v>
      </c>
      <c r="I495" s="565"/>
      <c r="J495" s="565"/>
      <c r="K495" s="566"/>
      <c r="L495" s="567">
        <f t="shared" ca="1" si="307"/>
        <v>0</v>
      </c>
      <c r="M495" s="568">
        <f t="shared" ca="1" si="307"/>
        <v>0</v>
      </c>
      <c r="N495" s="568">
        <f t="shared" ca="1" si="307"/>
        <v>0</v>
      </c>
      <c r="O495" s="568">
        <f t="shared" ca="1" si="302"/>
        <v>0</v>
      </c>
      <c r="P495" s="568">
        <f t="shared" ca="1" si="303"/>
        <v>0</v>
      </c>
      <c r="Q495" s="568">
        <f t="shared" ca="1" si="308"/>
        <v>0</v>
      </c>
      <c r="R495" s="568">
        <f t="shared" ca="1" si="308"/>
        <v>0</v>
      </c>
      <c r="S495" s="568">
        <f t="shared" ca="1" si="308"/>
        <v>0</v>
      </c>
      <c r="T495" s="568">
        <f t="shared" ca="1" si="305"/>
        <v>0</v>
      </c>
      <c r="U495" s="568">
        <f t="shared" ca="1" si="306"/>
        <v>0</v>
      </c>
    </row>
    <row r="496" spans="1:21" ht="18.75" x14ac:dyDescent="0.25">
      <c r="A496" s="674"/>
      <c r="B496" s="718"/>
      <c r="C496" s="718"/>
      <c r="D496" s="721" t="s">
        <v>22</v>
      </c>
      <c r="E496" s="561"/>
      <c r="F496" s="561"/>
      <c r="G496" s="563"/>
      <c r="H496" s="682" t="s">
        <v>14</v>
      </c>
      <c r="I496" s="683"/>
      <c r="J496" s="683"/>
      <c r="K496" s="684"/>
      <c r="L496" s="567">
        <f t="shared" ref="L496:N496" ca="1" si="309">L497+L498</f>
        <v>0</v>
      </c>
      <c r="M496" s="568">
        <f t="shared" ca="1" si="309"/>
        <v>0</v>
      </c>
      <c r="N496" s="568">
        <f t="shared" ca="1" si="309"/>
        <v>0</v>
      </c>
      <c r="O496" s="568">
        <f t="shared" ca="1" si="302"/>
        <v>0</v>
      </c>
      <c r="P496" s="568">
        <f t="shared" ca="1" si="303"/>
        <v>0</v>
      </c>
      <c r="Q496" s="568">
        <f t="shared" ref="Q496:S496" ca="1" si="310">Q497+Q498</f>
        <v>0</v>
      </c>
      <c r="R496" s="568">
        <f t="shared" ca="1" si="310"/>
        <v>0</v>
      </c>
      <c r="S496" s="568">
        <f t="shared" ca="1" si="310"/>
        <v>0</v>
      </c>
      <c r="T496" s="568">
        <f t="shared" ca="1" si="305"/>
        <v>0</v>
      </c>
      <c r="U496" s="568">
        <f t="shared" ca="1" si="306"/>
        <v>0</v>
      </c>
    </row>
    <row r="497" spans="1:21" ht="18.75" x14ac:dyDescent="0.25">
      <c r="A497" s="674"/>
      <c r="B497" s="718"/>
      <c r="C497" s="718"/>
      <c r="D497" s="688"/>
      <c r="E497" s="569" t="s">
        <v>158</v>
      </c>
      <c r="F497" s="561"/>
      <c r="G497" s="563"/>
      <c r="H497" s="685" t="s">
        <v>14</v>
      </c>
      <c r="I497" s="565"/>
      <c r="J497" s="565"/>
      <c r="K497" s="566"/>
      <c r="L497" s="571">
        <v>0</v>
      </c>
      <c r="M497" s="572">
        <v>0</v>
      </c>
      <c r="N497" s="572">
        <v>0</v>
      </c>
      <c r="O497" s="572">
        <f t="shared" si="302"/>
        <v>0</v>
      </c>
      <c r="P497" s="572">
        <f t="shared" si="303"/>
        <v>0</v>
      </c>
      <c r="Q497" s="572">
        <v>0</v>
      </c>
      <c r="R497" s="572">
        <v>0</v>
      </c>
      <c r="S497" s="572">
        <v>0</v>
      </c>
      <c r="T497" s="572">
        <f t="shared" si="305"/>
        <v>0</v>
      </c>
      <c r="U497" s="572">
        <f t="shared" si="306"/>
        <v>0</v>
      </c>
    </row>
    <row r="498" spans="1:21" ht="18.75" x14ac:dyDescent="0.25">
      <c r="A498" s="674"/>
      <c r="B498" s="718"/>
      <c r="C498" s="718"/>
      <c r="D498" s="688"/>
      <c r="E498" s="573" t="s">
        <v>159</v>
      </c>
      <c r="F498" s="561"/>
      <c r="G498" s="563"/>
      <c r="H498" s="682" t="s">
        <v>14</v>
      </c>
      <c r="I498" s="565"/>
      <c r="J498" s="565"/>
      <c r="K498" s="566"/>
      <c r="L498" s="567">
        <f ca="1">IFERROR(__xludf.DUMMYFUNCTION("IMPORTRANGE(""https://docs.google.com/spreadsheets/d/1-uDff_7J0KD5mKrp0Vvzr7lt3OU09vwQwhkpOPPYv2Y/edit?usp=sharing"",""งบพรบ!HU24"")"),0)</f>
        <v>0</v>
      </c>
      <c r="M498" s="568">
        <f ca="1">IFERROR(__xludf.DUMMYFUNCTION("IMPORTRANGE(""https://docs.google.com/spreadsheets/d/1-uDff_7J0KD5mKrp0Vvzr7lt3OU09vwQwhkpOPPYv2Y/edit?usp=sharing"",""งบพรบ!HZ24"")"),0)</f>
        <v>0</v>
      </c>
      <c r="N498" s="568">
        <f ca="1">IFERROR(__xludf.DUMMYFUNCTION("IMPORTRANGE(""https://docs.google.com/spreadsheets/d/1-uDff_7J0KD5mKrp0Vvzr7lt3OU09vwQwhkpOPPYv2Y/edit?usp=sharing"",""งบพรบ!IB24"")"),0)</f>
        <v>0</v>
      </c>
      <c r="O498" s="568">
        <f t="shared" ca="1" si="302"/>
        <v>0</v>
      </c>
      <c r="P498" s="568">
        <f t="shared" ca="1" si="303"/>
        <v>0</v>
      </c>
      <c r="Q498" s="568">
        <f ca="1">IFERROR(__xludf.DUMMYFUNCTION("IMPORTRANGE(""https://docs.google.com/spreadsheets/d/1ItG2mGa2ceCfYo0BwxsXqNm01IGEUdYcSSLTEv9YCik/edit?usp=sharing"",""เบิกจ่ายกองทุน!AD24"")"),0)</f>
        <v>0</v>
      </c>
      <c r="R498" s="568">
        <f ca="1">IFERROR(__xludf.DUMMYFUNCTION("IMPORTRANGE(""https://docs.google.com/spreadsheets/d/1ItG2mGa2ceCfYo0BwxsXqNm01IGEUdYcSSLTEv9YCik/edit?usp=sharing"",""เบิกจ่ายกองทุน!AE24"")"),0)</f>
        <v>0</v>
      </c>
      <c r="S498" s="568">
        <f ca="1">IFERROR(__xludf.DUMMYFUNCTION("IMPORTRANGE(""https://docs.google.com/spreadsheets/d/1ItG2mGa2ceCfYo0BwxsXqNm01IGEUdYcSSLTEv9YCik/edit?usp=sharing"",""เบิกจ่ายกองทุน!AF24"")"),0)</f>
        <v>0</v>
      </c>
      <c r="T498" s="568">
        <f t="shared" ca="1" si="305"/>
        <v>0</v>
      </c>
      <c r="U498" s="568">
        <f t="shared" ca="1" si="306"/>
        <v>0</v>
      </c>
    </row>
    <row r="499" spans="1:21" ht="18.75" x14ac:dyDescent="0.25">
      <c r="A499" s="674"/>
      <c r="B499" s="718"/>
      <c r="C499" s="718"/>
      <c r="D499" s="721" t="s">
        <v>23</v>
      </c>
      <c r="E499" s="561"/>
      <c r="F499" s="561"/>
      <c r="G499" s="563"/>
      <c r="H499" s="686" t="s">
        <v>14</v>
      </c>
      <c r="I499" s="683"/>
      <c r="J499" s="683"/>
      <c r="K499" s="684"/>
      <c r="L499" s="567">
        <f t="shared" ref="L499:N499" ca="1" si="311">L500+L501</f>
        <v>0</v>
      </c>
      <c r="M499" s="568">
        <f t="shared" ca="1" si="311"/>
        <v>0</v>
      </c>
      <c r="N499" s="568">
        <f t="shared" ca="1" si="311"/>
        <v>0</v>
      </c>
      <c r="O499" s="568">
        <f t="shared" ca="1" si="302"/>
        <v>0</v>
      </c>
      <c r="P499" s="568">
        <f t="shared" ca="1" si="303"/>
        <v>0</v>
      </c>
      <c r="Q499" s="568">
        <f t="shared" ref="Q499:S499" si="312">Q500+Q501</f>
        <v>0</v>
      </c>
      <c r="R499" s="568">
        <f t="shared" si="312"/>
        <v>0</v>
      </c>
      <c r="S499" s="568">
        <f t="shared" si="312"/>
        <v>0</v>
      </c>
      <c r="T499" s="568">
        <f t="shared" si="305"/>
        <v>0</v>
      </c>
      <c r="U499" s="568">
        <f t="shared" si="306"/>
        <v>0</v>
      </c>
    </row>
    <row r="500" spans="1:21" ht="18.75" x14ac:dyDescent="0.25">
      <c r="A500" s="674"/>
      <c r="B500" s="718"/>
      <c r="C500" s="718"/>
      <c r="D500" s="718"/>
      <c r="E500" s="569" t="s">
        <v>20</v>
      </c>
      <c r="F500" s="561"/>
      <c r="G500" s="563"/>
      <c r="H500" s="685" t="s">
        <v>14</v>
      </c>
      <c r="I500" s="683"/>
      <c r="J500" s="683"/>
      <c r="K500" s="684"/>
      <c r="L500" s="571">
        <v>0</v>
      </c>
      <c r="M500" s="572">
        <v>0</v>
      </c>
      <c r="N500" s="572">
        <v>0</v>
      </c>
      <c r="O500" s="572">
        <f t="shared" si="302"/>
        <v>0</v>
      </c>
      <c r="P500" s="572">
        <f t="shared" si="303"/>
        <v>0</v>
      </c>
      <c r="Q500" s="572">
        <v>0</v>
      </c>
      <c r="R500" s="572">
        <v>0</v>
      </c>
      <c r="S500" s="572">
        <v>0</v>
      </c>
      <c r="T500" s="572">
        <f t="shared" si="305"/>
        <v>0</v>
      </c>
      <c r="U500" s="572">
        <f t="shared" si="306"/>
        <v>0</v>
      </c>
    </row>
    <row r="501" spans="1:21" ht="18.75" x14ac:dyDescent="0.25">
      <c r="A501" s="674"/>
      <c r="B501" s="718"/>
      <c r="C501" s="718"/>
      <c r="D501" s="718"/>
      <c r="E501" s="573" t="s">
        <v>21</v>
      </c>
      <c r="F501" s="561"/>
      <c r="G501" s="563"/>
      <c r="H501" s="686" t="s">
        <v>14</v>
      </c>
      <c r="I501" s="683"/>
      <c r="J501" s="683"/>
      <c r="K501" s="684"/>
      <c r="L501" s="567">
        <f ca="1">IFERROR(__xludf.DUMMYFUNCTION("IMPORTRANGE(""https://docs.google.com/spreadsheets/d/1-uDff_7J0KD5mKrp0Vvzr7lt3OU09vwQwhkpOPPYv2Y/edit?usp=sharing"",""งบพรบ!HX24"")"),0)</f>
        <v>0</v>
      </c>
      <c r="M501" s="568">
        <f ca="1">IFERROR(__xludf.DUMMYFUNCTION("IMPORTRANGE(""https://docs.google.com/spreadsheets/d/1-uDff_7J0KD5mKrp0Vvzr7lt3OU09vwQwhkpOPPYv2Y/edit?usp=sharing"",""งบพรบ!IA24"")"),0)</f>
        <v>0</v>
      </c>
      <c r="N501" s="568">
        <f ca="1">IFERROR(__xludf.DUMMYFUNCTION("IMPORTRANGE(""https://docs.google.com/spreadsheets/d/1-uDff_7J0KD5mKrp0Vvzr7lt3OU09vwQwhkpOPPYv2Y/edit?usp=sharing"",""งบพรบ!IC24"")"),0)</f>
        <v>0</v>
      </c>
      <c r="O501" s="568">
        <f t="shared" ca="1" si="302"/>
        <v>0</v>
      </c>
      <c r="P501" s="568">
        <f t="shared" ca="1" si="303"/>
        <v>0</v>
      </c>
      <c r="Q501" s="568">
        <v>0</v>
      </c>
      <c r="R501" s="568">
        <v>0</v>
      </c>
      <c r="S501" s="568">
        <v>0</v>
      </c>
      <c r="T501" s="568">
        <f t="shared" si="305"/>
        <v>0</v>
      </c>
      <c r="U501" s="568">
        <f t="shared" si="306"/>
        <v>0</v>
      </c>
    </row>
    <row r="502" spans="1:21" ht="19.5" x14ac:dyDescent="0.3">
      <c r="A502" s="687"/>
      <c r="B502" s="688"/>
      <c r="C502" s="724" t="s">
        <v>18</v>
      </c>
      <c r="D502" s="956" t="s">
        <v>38</v>
      </c>
      <c r="E502" s="690"/>
      <c r="F502" s="690"/>
      <c r="G502" s="691"/>
      <c r="H502" s="725"/>
      <c r="I502" s="683"/>
      <c r="J502" s="683"/>
      <c r="K502" s="684"/>
      <c r="L502" s="693"/>
      <c r="M502" s="684"/>
      <c r="N502" s="684"/>
      <c r="O502" s="684"/>
      <c r="P502" s="684"/>
      <c r="Q502" s="684"/>
      <c r="R502" s="684"/>
      <c r="S502" s="684"/>
      <c r="T502" s="684"/>
      <c r="U502" s="684"/>
    </row>
    <row r="503" spans="1:21" ht="19.5" x14ac:dyDescent="0.3">
      <c r="A503" s="764"/>
      <c r="B503" s="718"/>
      <c r="C503" s="718"/>
      <c r="D503" s="719" t="s">
        <v>199</v>
      </c>
      <c r="E503" s="561"/>
      <c r="F503" s="561"/>
      <c r="G503" s="563"/>
      <c r="H503" s="681" t="s">
        <v>35</v>
      </c>
      <c r="I503" s="697">
        <f ca="1">IFERROR(__xludf.DUMMYFUNCTION("IMPORTRANGE(""https://docs.google.com/spreadsheets/d/1eHaY18a8A9IcSdp1K8H6x8fbOy06t2VsZHhMHf-1x7Y/edit?usp=sharing"",""แผน!GX24"")"),0)</f>
        <v>0</v>
      </c>
      <c r="J503" s="697">
        <f ca="1">IF(AND(J504=I504,J505=I505,J506=I506,J507=I507),I503,0)</f>
        <v>0</v>
      </c>
      <c r="K503" s="679">
        <f t="shared" ref="K503:K509" ca="1" si="313">IF(I503&gt;0,J503*100/I503,0)</f>
        <v>0</v>
      </c>
      <c r="L503" s="574"/>
      <c r="M503" s="566"/>
      <c r="N503" s="566"/>
      <c r="O503" s="566"/>
      <c r="P503" s="566"/>
      <c r="Q503" s="566"/>
      <c r="R503" s="566"/>
      <c r="S503" s="566"/>
      <c r="T503" s="566"/>
      <c r="U503" s="566"/>
    </row>
    <row r="504" spans="1:21" ht="18.75" x14ac:dyDescent="0.25">
      <c r="A504" s="764"/>
      <c r="B504" s="718"/>
      <c r="C504" s="718"/>
      <c r="D504" s="718"/>
      <c r="E504" s="573" t="s">
        <v>200</v>
      </c>
      <c r="F504" s="561"/>
      <c r="G504" s="563"/>
      <c r="H504" s="681" t="s">
        <v>35</v>
      </c>
      <c r="I504" s="708">
        <f ca="1">IFERROR(__xludf.DUMMYFUNCTION("IMPORTRANGE(""https://docs.google.com/spreadsheets/d/1eHaY18a8A9IcSdp1K8H6x8fbOy06t2VsZHhMHf-1x7Y/edit?usp=sharing"",""แผน!GY24"")"),0)</f>
        <v>0</v>
      </c>
      <c r="J504" s="702">
        <v>0</v>
      </c>
      <c r="K504" s="568">
        <f t="shared" ca="1" si="313"/>
        <v>0</v>
      </c>
      <c r="L504" s="574"/>
      <c r="M504" s="566"/>
      <c r="N504" s="566"/>
      <c r="O504" s="566"/>
      <c r="P504" s="566"/>
      <c r="Q504" s="566"/>
      <c r="R504" s="566"/>
      <c r="S504" s="566"/>
      <c r="T504" s="566"/>
      <c r="U504" s="566"/>
    </row>
    <row r="505" spans="1:21" ht="18.75" x14ac:dyDescent="0.25">
      <c r="A505" s="764"/>
      <c r="B505" s="718"/>
      <c r="C505" s="718"/>
      <c r="D505" s="718"/>
      <c r="E505" s="573" t="s">
        <v>201</v>
      </c>
      <c r="F505" s="561"/>
      <c r="G505" s="563"/>
      <c r="H505" s="681" t="s">
        <v>35</v>
      </c>
      <c r="I505" s="708">
        <f ca="1">IFERROR(__xludf.DUMMYFUNCTION("IMPORTRANGE(""https://docs.google.com/spreadsheets/d/1eHaY18a8A9IcSdp1K8H6x8fbOy06t2VsZHhMHf-1x7Y/edit?usp=sharing"",""แผน!GZ24"")"),0)</f>
        <v>0</v>
      </c>
      <c r="J505" s="702">
        <v>0</v>
      </c>
      <c r="K505" s="568">
        <f t="shared" ca="1" si="313"/>
        <v>0</v>
      </c>
      <c r="L505" s="574"/>
      <c r="M505" s="566"/>
      <c r="N505" s="566"/>
      <c r="O505" s="566"/>
      <c r="P505" s="566"/>
      <c r="Q505" s="566"/>
      <c r="R505" s="566"/>
      <c r="S505" s="566"/>
      <c r="T505" s="566"/>
      <c r="U505" s="566"/>
    </row>
    <row r="506" spans="1:21" ht="18.75" x14ac:dyDescent="0.25">
      <c r="A506" s="764"/>
      <c r="B506" s="718"/>
      <c r="C506" s="718"/>
      <c r="D506" s="718"/>
      <c r="E506" s="573" t="s">
        <v>202</v>
      </c>
      <c r="F506" s="561"/>
      <c r="G506" s="563"/>
      <c r="H506" s="681" t="s">
        <v>35</v>
      </c>
      <c r="I506" s="708">
        <f ca="1">IFERROR(__xludf.DUMMYFUNCTION("IMPORTRANGE(""https://docs.google.com/spreadsheets/d/1eHaY18a8A9IcSdp1K8H6x8fbOy06t2VsZHhMHf-1x7Y/edit?usp=sharing"",""แผน!HA24"")"),0)</f>
        <v>0</v>
      </c>
      <c r="J506" s="702">
        <v>0</v>
      </c>
      <c r="K506" s="568">
        <f t="shared" ca="1" si="313"/>
        <v>0</v>
      </c>
      <c r="L506" s="574"/>
      <c r="M506" s="566"/>
      <c r="N506" s="566"/>
      <c r="O506" s="566"/>
      <c r="P506" s="566"/>
      <c r="Q506" s="566"/>
      <c r="R506" s="566"/>
      <c r="S506" s="566"/>
      <c r="T506" s="566"/>
      <c r="U506" s="566"/>
    </row>
    <row r="507" spans="1:21" ht="18.75" x14ac:dyDescent="0.25">
      <c r="A507" s="764"/>
      <c r="B507" s="718"/>
      <c r="C507" s="718"/>
      <c r="D507" s="718"/>
      <c r="E507" s="987" t="s">
        <v>203</v>
      </c>
      <c r="F507" s="561"/>
      <c r="G507" s="563"/>
      <c r="H507" s="681" t="s">
        <v>35</v>
      </c>
      <c r="I507" s="708">
        <f ca="1">IFERROR(__xludf.DUMMYFUNCTION("IMPORTRANGE(""https://docs.google.com/spreadsheets/d/1eHaY18a8A9IcSdp1K8H6x8fbOy06t2VsZHhMHf-1x7Y/edit?usp=sharing"",""แผน!HB24"")"),0)</f>
        <v>0</v>
      </c>
      <c r="J507" s="702">
        <v>0</v>
      </c>
      <c r="K507" s="568">
        <f t="shared" ca="1" si="313"/>
        <v>0</v>
      </c>
      <c r="L507" s="574"/>
      <c r="M507" s="566"/>
      <c r="N507" s="566"/>
      <c r="O507" s="566"/>
      <c r="P507" s="566"/>
      <c r="Q507" s="566"/>
      <c r="R507" s="566"/>
      <c r="S507" s="566"/>
      <c r="T507" s="566"/>
      <c r="U507" s="566"/>
    </row>
    <row r="508" spans="1:21" ht="18.75" x14ac:dyDescent="0.25">
      <c r="A508" s="764"/>
      <c r="B508" s="718"/>
      <c r="C508" s="718"/>
      <c r="D508" s="718"/>
      <c r="E508" s="573" t="s">
        <v>204</v>
      </c>
      <c r="F508" s="561"/>
      <c r="G508" s="563"/>
      <c r="H508" s="681" t="s">
        <v>35</v>
      </c>
      <c r="I508" s="708">
        <v>0</v>
      </c>
      <c r="J508" s="708">
        <v>0</v>
      </c>
      <c r="K508" s="568">
        <f t="shared" si="313"/>
        <v>0</v>
      </c>
      <c r="L508" s="574"/>
      <c r="M508" s="566"/>
      <c r="N508" s="566"/>
      <c r="O508" s="566"/>
      <c r="P508" s="566"/>
      <c r="Q508" s="566"/>
      <c r="R508" s="566"/>
      <c r="S508" s="566"/>
      <c r="T508" s="566"/>
      <c r="U508" s="566"/>
    </row>
    <row r="509" spans="1:21" ht="19.5" x14ac:dyDescent="0.3">
      <c r="A509" s="984"/>
      <c r="B509" s="514"/>
      <c r="C509" s="514"/>
      <c r="D509" s="988" t="s">
        <v>50</v>
      </c>
      <c r="E509" s="513"/>
      <c r="F509" s="513"/>
      <c r="G509" s="577"/>
      <c r="H509" s="986" t="s">
        <v>35</v>
      </c>
      <c r="I509" s="989">
        <f ca="1">IFERROR(__xludf.DUMMYFUNCTION("IMPORTRANGE(""https://docs.google.com/spreadsheets/d/1eHaY18a8A9IcSdp1K8H6x8fbOy06t2VsZHhMHf-1x7Y/edit?usp=sharing"",""แผน!HC24"")"),0)</f>
        <v>0</v>
      </c>
      <c r="J509" s="990">
        <v>0</v>
      </c>
      <c r="K509" s="655">
        <f t="shared" ca="1" si="313"/>
        <v>0</v>
      </c>
      <c r="L509" s="581"/>
      <c r="M509" s="580"/>
      <c r="N509" s="580"/>
      <c r="O509" s="580"/>
      <c r="P509" s="580"/>
      <c r="Q509" s="580"/>
      <c r="R509" s="580"/>
      <c r="S509" s="580"/>
      <c r="T509" s="580"/>
      <c r="U509" s="580"/>
    </row>
    <row r="510" spans="1:21" ht="19.5" x14ac:dyDescent="0.3">
      <c r="A510" s="991" t="s">
        <v>205</v>
      </c>
      <c r="B510" s="992"/>
      <c r="C510" s="992"/>
      <c r="D510" s="992"/>
      <c r="E510" s="993"/>
      <c r="F510" s="993"/>
      <c r="G510" s="993"/>
      <c r="H510" s="993"/>
      <c r="I510" s="994"/>
      <c r="J510" s="994"/>
      <c r="K510" s="995"/>
      <c r="L510" s="996"/>
      <c r="M510" s="997"/>
      <c r="N510" s="997"/>
      <c r="O510" s="997"/>
      <c r="P510" s="997"/>
      <c r="Q510" s="997"/>
      <c r="R510" s="997"/>
      <c r="S510" s="997"/>
      <c r="T510" s="997"/>
      <c r="U510" s="997"/>
    </row>
    <row r="511" spans="1:21" ht="19.5" x14ac:dyDescent="0.3">
      <c r="A511" s="998" t="s">
        <v>206</v>
      </c>
      <c r="B511" s="999"/>
      <c r="C511" s="999"/>
      <c r="D511" s="1000"/>
      <c r="E511" s="999"/>
      <c r="F511" s="999"/>
      <c r="G511" s="999"/>
      <c r="H511" s="1001"/>
      <c r="I511" s="1002"/>
      <c r="J511" s="1002"/>
      <c r="K511" s="1003"/>
      <c r="L511" s="1004"/>
      <c r="M511" s="1005"/>
      <c r="N511" s="1005"/>
      <c r="O511" s="1005"/>
      <c r="P511" s="1005"/>
      <c r="Q511" s="1005"/>
      <c r="R511" s="1005"/>
      <c r="S511" s="1005"/>
      <c r="T511" s="1005"/>
      <c r="U511" s="1005"/>
    </row>
    <row r="512" spans="1:21" ht="19.5" x14ac:dyDescent="0.3">
      <c r="A512" s="1006"/>
      <c r="B512" s="1007" t="s">
        <v>207</v>
      </c>
      <c r="C512" s="1008"/>
      <c r="D512" s="1009"/>
      <c r="E512" s="1009"/>
      <c r="F512" s="1009"/>
      <c r="G512" s="1010"/>
      <c r="H512" s="1011" t="s">
        <v>61</v>
      </c>
      <c r="I512" s="1012">
        <f t="shared" ref="I512:J512" si="314">I524</f>
        <v>0</v>
      </c>
      <c r="J512" s="1012">
        <f t="shared" si="314"/>
        <v>0</v>
      </c>
      <c r="K512" s="1013">
        <f>IF(I512&gt;0,J512*100/I512,0)</f>
        <v>0</v>
      </c>
      <c r="L512" s="1014"/>
      <c r="M512" s="1015"/>
      <c r="N512" s="1015"/>
      <c r="O512" s="1015"/>
      <c r="P512" s="1015"/>
      <c r="Q512" s="1015"/>
      <c r="R512" s="1015"/>
      <c r="S512" s="1015"/>
      <c r="T512" s="1015"/>
      <c r="U512" s="1015"/>
    </row>
    <row r="513" spans="1:21" ht="19.5" x14ac:dyDescent="0.3">
      <c r="A513" s="674"/>
      <c r="B513" s="561"/>
      <c r="C513" s="797" t="s">
        <v>18</v>
      </c>
      <c r="D513" s="798" t="s">
        <v>19</v>
      </c>
      <c r="E513" s="561"/>
      <c r="F513" s="561"/>
      <c r="G513" s="563"/>
      <c r="H513" s="1016" t="s">
        <v>14</v>
      </c>
      <c r="I513" s="565"/>
      <c r="J513" s="565"/>
      <c r="K513" s="566"/>
      <c r="L513" s="678">
        <f t="shared" ref="L513:N513" ca="1" si="315">L514+L515</f>
        <v>0</v>
      </c>
      <c r="M513" s="679">
        <f t="shared" ca="1" si="315"/>
        <v>0</v>
      </c>
      <c r="N513" s="679">
        <f t="shared" ca="1" si="315"/>
        <v>0</v>
      </c>
      <c r="O513" s="679">
        <f t="shared" ref="O513:O521" ca="1" si="316">IF(L513&gt;0,N513*100/L513,0)</f>
        <v>0</v>
      </c>
      <c r="P513" s="679">
        <f t="shared" ref="P513:P521" ca="1" si="317">IF(M513&gt;0,N513*100/M513,0)</f>
        <v>0</v>
      </c>
      <c r="Q513" s="679">
        <f t="shared" ref="Q513:S513" si="318">Q514+Q515</f>
        <v>0</v>
      </c>
      <c r="R513" s="679">
        <f t="shared" si="318"/>
        <v>0</v>
      </c>
      <c r="S513" s="679">
        <f t="shared" si="318"/>
        <v>0</v>
      </c>
      <c r="T513" s="679">
        <f t="shared" ref="T513:T521" si="319">IF(Q513&gt;0,S513*100/Q513,0)</f>
        <v>0</v>
      </c>
      <c r="U513" s="679">
        <f t="shared" ref="U513:U521" si="320">IF(R513&gt;0,S513*100/R513,0)</f>
        <v>0</v>
      </c>
    </row>
    <row r="514" spans="1:21" ht="18.75" x14ac:dyDescent="0.25">
      <c r="A514" s="674"/>
      <c r="B514" s="561"/>
      <c r="C514" s="561"/>
      <c r="D514" s="561"/>
      <c r="E514" s="569" t="s">
        <v>20</v>
      </c>
      <c r="F514" s="561"/>
      <c r="G514" s="563"/>
      <c r="H514" s="680" t="s">
        <v>14</v>
      </c>
      <c r="I514" s="565"/>
      <c r="J514" s="565"/>
      <c r="K514" s="566"/>
      <c r="L514" s="571">
        <f t="shared" ref="L514:N515" si="321">L517+L520</f>
        <v>0</v>
      </c>
      <c r="M514" s="572">
        <f t="shared" si="321"/>
        <v>0</v>
      </c>
      <c r="N514" s="572">
        <f t="shared" si="321"/>
        <v>0</v>
      </c>
      <c r="O514" s="572">
        <f t="shared" si="316"/>
        <v>0</v>
      </c>
      <c r="P514" s="572">
        <f t="shared" si="317"/>
        <v>0</v>
      </c>
      <c r="Q514" s="572">
        <f t="shared" ref="Q514:S515" si="322">Q517+Q520</f>
        <v>0</v>
      </c>
      <c r="R514" s="572">
        <f t="shared" si="322"/>
        <v>0</v>
      </c>
      <c r="S514" s="572">
        <f t="shared" si="322"/>
        <v>0</v>
      </c>
      <c r="T514" s="572">
        <f t="shared" si="319"/>
        <v>0</v>
      </c>
      <c r="U514" s="572">
        <f t="shared" si="320"/>
        <v>0</v>
      </c>
    </row>
    <row r="515" spans="1:21" ht="18.75" x14ac:dyDescent="0.25">
      <c r="A515" s="674"/>
      <c r="B515" s="561"/>
      <c r="C515" s="561"/>
      <c r="D515" s="561"/>
      <c r="E515" s="569" t="s">
        <v>21</v>
      </c>
      <c r="F515" s="561"/>
      <c r="G515" s="563"/>
      <c r="H515" s="680" t="s">
        <v>14</v>
      </c>
      <c r="I515" s="565"/>
      <c r="J515" s="565"/>
      <c r="K515" s="566"/>
      <c r="L515" s="567">
        <f t="shared" ca="1" si="321"/>
        <v>0</v>
      </c>
      <c r="M515" s="568">
        <f t="shared" ca="1" si="321"/>
        <v>0</v>
      </c>
      <c r="N515" s="568">
        <f t="shared" ca="1" si="321"/>
        <v>0</v>
      </c>
      <c r="O515" s="568">
        <f t="shared" ca="1" si="316"/>
        <v>0</v>
      </c>
      <c r="P515" s="568">
        <f t="shared" ca="1" si="317"/>
        <v>0</v>
      </c>
      <c r="Q515" s="568">
        <f t="shared" si="322"/>
        <v>0</v>
      </c>
      <c r="R515" s="568">
        <f t="shared" si="322"/>
        <v>0</v>
      </c>
      <c r="S515" s="568">
        <f t="shared" si="322"/>
        <v>0</v>
      </c>
      <c r="T515" s="568">
        <f t="shared" si="319"/>
        <v>0</v>
      </c>
      <c r="U515" s="568">
        <f t="shared" si="320"/>
        <v>0</v>
      </c>
    </row>
    <row r="516" spans="1:21" ht="18.75" x14ac:dyDescent="0.25">
      <c r="A516" s="674"/>
      <c r="B516" s="561"/>
      <c r="C516" s="561"/>
      <c r="D516" s="1017" t="s">
        <v>22</v>
      </c>
      <c r="E516" s="561"/>
      <c r="F516" s="561"/>
      <c r="G516" s="563"/>
      <c r="H516" s="685" t="s">
        <v>14</v>
      </c>
      <c r="I516" s="683"/>
      <c r="J516" s="683"/>
      <c r="K516" s="684"/>
      <c r="L516" s="567">
        <f t="shared" ref="L516:N516" ca="1" si="323">L517+L518</f>
        <v>0</v>
      </c>
      <c r="M516" s="568">
        <f t="shared" ca="1" si="323"/>
        <v>0</v>
      </c>
      <c r="N516" s="568">
        <f t="shared" ca="1" si="323"/>
        <v>0</v>
      </c>
      <c r="O516" s="568">
        <f t="shared" ca="1" si="316"/>
        <v>0</v>
      </c>
      <c r="P516" s="568">
        <f t="shared" ca="1" si="317"/>
        <v>0</v>
      </c>
      <c r="Q516" s="568">
        <f t="shared" ref="Q516:S516" si="324">Q517+Q518</f>
        <v>0</v>
      </c>
      <c r="R516" s="568">
        <f t="shared" si="324"/>
        <v>0</v>
      </c>
      <c r="S516" s="568">
        <f t="shared" si="324"/>
        <v>0</v>
      </c>
      <c r="T516" s="568">
        <f t="shared" si="319"/>
        <v>0</v>
      </c>
      <c r="U516" s="568">
        <f t="shared" si="320"/>
        <v>0</v>
      </c>
    </row>
    <row r="517" spans="1:21" ht="18.75" x14ac:dyDescent="0.25">
      <c r="A517" s="674"/>
      <c r="B517" s="561"/>
      <c r="C517" s="561"/>
      <c r="D517" s="561"/>
      <c r="E517" s="569" t="s">
        <v>36</v>
      </c>
      <c r="F517" s="561"/>
      <c r="G517" s="563"/>
      <c r="H517" s="685" t="s">
        <v>14</v>
      </c>
      <c r="I517" s="683"/>
      <c r="J517" s="683"/>
      <c r="K517" s="684"/>
      <c r="L517" s="571">
        <v>0</v>
      </c>
      <c r="M517" s="572">
        <v>0</v>
      </c>
      <c r="N517" s="572">
        <v>0</v>
      </c>
      <c r="O517" s="572">
        <f t="shared" si="316"/>
        <v>0</v>
      </c>
      <c r="P517" s="572">
        <f t="shared" si="317"/>
        <v>0</v>
      </c>
      <c r="Q517" s="572">
        <v>0</v>
      </c>
      <c r="R517" s="572">
        <v>0</v>
      </c>
      <c r="S517" s="572">
        <v>0</v>
      </c>
      <c r="T517" s="572">
        <f t="shared" si="319"/>
        <v>0</v>
      </c>
      <c r="U517" s="572">
        <f t="shared" si="320"/>
        <v>0</v>
      </c>
    </row>
    <row r="518" spans="1:21" ht="18.75" x14ac:dyDescent="0.25">
      <c r="A518" s="674"/>
      <c r="B518" s="561"/>
      <c r="C518" s="561"/>
      <c r="D518" s="561"/>
      <c r="E518" s="569" t="s">
        <v>37</v>
      </c>
      <c r="F518" s="561"/>
      <c r="G518" s="563"/>
      <c r="H518" s="685" t="s">
        <v>14</v>
      </c>
      <c r="I518" s="683"/>
      <c r="J518" s="683"/>
      <c r="K518" s="684"/>
      <c r="L518" s="567">
        <f ca="1">IFERROR(__xludf.DUMMYFUNCTION("IMPORTRANGE(""https://docs.google.com/spreadsheets/d/1-uDff_7J0KD5mKrp0Vvzr7lt3OU09vwQwhkpOPPYv2Y/edit?usp=sharing"",""งบพรบ!FM24"")"),0)</f>
        <v>0</v>
      </c>
      <c r="M518" s="568">
        <f ca="1">IFERROR(__xludf.DUMMYFUNCTION("IMPORTRANGE(""https://docs.google.com/spreadsheets/d/1-uDff_7J0KD5mKrp0Vvzr7lt3OU09vwQwhkpOPPYv2Y/edit?usp=sharing"",""งบพรบ!FR24"")"),0)</f>
        <v>0</v>
      </c>
      <c r="N518" s="568">
        <f ca="1">IFERROR(__xludf.DUMMYFUNCTION("IMPORTRANGE(""https://docs.google.com/spreadsheets/d/1-uDff_7J0KD5mKrp0Vvzr7lt3OU09vwQwhkpOPPYv2Y/edit?usp=sharing"",""งบพรบ!FT24"")"),0)</f>
        <v>0</v>
      </c>
      <c r="O518" s="568">
        <f t="shared" ca="1" si="316"/>
        <v>0</v>
      </c>
      <c r="P518" s="568">
        <f t="shared" ca="1" si="317"/>
        <v>0</v>
      </c>
      <c r="Q518" s="568">
        <v>0</v>
      </c>
      <c r="R518" s="568">
        <v>0</v>
      </c>
      <c r="S518" s="568">
        <v>0</v>
      </c>
      <c r="T518" s="568">
        <f t="shared" si="319"/>
        <v>0</v>
      </c>
      <c r="U518" s="568">
        <f t="shared" si="320"/>
        <v>0</v>
      </c>
    </row>
    <row r="519" spans="1:21" ht="18.75" x14ac:dyDescent="0.25">
      <c r="A519" s="674"/>
      <c r="B519" s="561"/>
      <c r="C519" s="561"/>
      <c r="D519" s="1017" t="s">
        <v>23</v>
      </c>
      <c r="E519" s="561"/>
      <c r="F519" s="561"/>
      <c r="G519" s="563"/>
      <c r="H519" s="734" t="s">
        <v>14</v>
      </c>
      <c r="I519" s="683"/>
      <c r="J519" s="683"/>
      <c r="K519" s="684"/>
      <c r="L519" s="567">
        <f t="shared" ref="L519:N519" ca="1" si="325">L520+L521</f>
        <v>0</v>
      </c>
      <c r="M519" s="568">
        <f t="shared" ca="1" si="325"/>
        <v>0</v>
      </c>
      <c r="N519" s="568">
        <f t="shared" ca="1" si="325"/>
        <v>0</v>
      </c>
      <c r="O519" s="568">
        <f t="shared" ca="1" si="316"/>
        <v>0</v>
      </c>
      <c r="P519" s="568">
        <f t="shared" ca="1" si="317"/>
        <v>0</v>
      </c>
      <c r="Q519" s="568">
        <f t="shared" ref="Q519:S519" si="326">Q520+Q521</f>
        <v>0</v>
      </c>
      <c r="R519" s="568">
        <f t="shared" si="326"/>
        <v>0</v>
      </c>
      <c r="S519" s="568">
        <f t="shared" si="326"/>
        <v>0</v>
      </c>
      <c r="T519" s="568">
        <f t="shared" si="319"/>
        <v>0</v>
      </c>
      <c r="U519" s="568">
        <f t="shared" si="320"/>
        <v>0</v>
      </c>
    </row>
    <row r="520" spans="1:21" ht="18.75" x14ac:dyDescent="0.25">
      <c r="A520" s="674"/>
      <c r="B520" s="561"/>
      <c r="C520" s="561"/>
      <c r="D520" s="561"/>
      <c r="E520" s="569" t="s">
        <v>20</v>
      </c>
      <c r="F520" s="561"/>
      <c r="G520" s="563"/>
      <c r="H520" s="685" t="s">
        <v>14</v>
      </c>
      <c r="I520" s="683"/>
      <c r="J520" s="683"/>
      <c r="K520" s="684"/>
      <c r="L520" s="571">
        <v>0</v>
      </c>
      <c r="M520" s="572">
        <v>0</v>
      </c>
      <c r="N520" s="572">
        <v>0</v>
      </c>
      <c r="O520" s="572">
        <f t="shared" si="316"/>
        <v>0</v>
      </c>
      <c r="P520" s="572">
        <f t="shared" si="317"/>
        <v>0</v>
      </c>
      <c r="Q520" s="572">
        <v>0</v>
      </c>
      <c r="R520" s="572">
        <v>0</v>
      </c>
      <c r="S520" s="572">
        <v>0</v>
      </c>
      <c r="T520" s="572">
        <f t="shared" si="319"/>
        <v>0</v>
      </c>
      <c r="U520" s="572">
        <f t="shared" si="320"/>
        <v>0</v>
      </c>
    </row>
    <row r="521" spans="1:21" ht="18.75" x14ac:dyDescent="0.25">
      <c r="A521" s="674"/>
      <c r="B521" s="561"/>
      <c r="C521" s="561"/>
      <c r="D521" s="561"/>
      <c r="E521" s="569" t="s">
        <v>21</v>
      </c>
      <c r="F521" s="561"/>
      <c r="G521" s="563"/>
      <c r="H521" s="734" t="s">
        <v>14</v>
      </c>
      <c r="I521" s="683"/>
      <c r="J521" s="683"/>
      <c r="K521" s="684"/>
      <c r="L521" s="567">
        <f ca="1">IFERROR(__xludf.DUMMYFUNCTION("IMPORTRANGE(""https://docs.google.com/spreadsheets/d/1-uDff_7J0KD5mKrp0Vvzr7lt3OU09vwQwhkpOPPYv2Y/edit?usp=sharing"",""งบพรบ!FP24"")"),0)</f>
        <v>0</v>
      </c>
      <c r="M521" s="568">
        <f ca="1">IFERROR(__xludf.DUMMYFUNCTION("IMPORTRANGE(""https://docs.google.com/spreadsheets/d/1-uDff_7J0KD5mKrp0Vvzr7lt3OU09vwQwhkpOPPYv2Y/edit?usp=sharing"",""งบพรบ!FS24"")"),0)</f>
        <v>0</v>
      </c>
      <c r="N521" s="568">
        <f ca="1">IFERROR(__xludf.DUMMYFUNCTION("IMPORTRANGE(""https://docs.google.com/spreadsheets/d/1-uDff_7J0KD5mKrp0Vvzr7lt3OU09vwQwhkpOPPYv2Y/edit?usp=sharing"",""งบพรบ!FU24"")"),0)</f>
        <v>0</v>
      </c>
      <c r="O521" s="568">
        <f t="shared" ca="1" si="316"/>
        <v>0</v>
      </c>
      <c r="P521" s="568">
        <f t="shared" ca="1" si="317"/>
        <v>0</v>
      </c>
      <c r="Q521" s="568">
        <v>0</v>
      </c>
      <c r="R521" s="568">
        <v>0</v>
      </c>
      <c r="S521" s="568">
        <v>0</v>
      </c>
      <c r="T521" s="568">
        <f t="shared" si="319"/>
        <v>0</v>
      </c>
      <c r="U521" s="568">
        <f t="shared" si="320"/>
        <v>0</v>
      </c>
    </row>
    <row r="522" spans="1:21" ht="19.5" x14ac:dyDescent="0.3">
      <c r="A522" s="687"/>
      <c r="B522" s="688"/>
      <c r="C522" s="797" t="s">
        <v>18</v>
      </c>
      <c r="D522" s="801" t="s">
        <v>38</v>
      </c>
      <c r="E522" s="690"/>
      <c r="F522" s="690"/>
      <c r="G522" s="691"/>
      <c r="H522" s="692"/>
      <c r="I522" s="683"/>
      <c r="J522" s="565"/>
      <c r="K522" s="566"/>
      <c r="L522" s="574"/>
      <c r="M522" s="566"/>
      <c r="N522" s="566"/>
      <c r="O522" s="684"/>
      <c r="P522" s="684"/>
      <c r="Q522" s="566"/>
      <c r="R522" s="566"/>
      <c r="S522" s="566"/>
      <c r="T522" s="684"/>
      <c r="U522" s="684"/>
    </row>
    <row r="523" spans="1:21" ht="18.75" x14ac:dyDescent="0.25">
      <c r="A523" s="764"/>
      <c r="B523" s="561"/>
      <c r="C523" s="718"/>
      <c r="D523" s="726" t="s">
        <v>208</v>
      </c>
      <c r="E523" s="688"/>
      <c r="F523" s="561"/>
      <c r="G523" s="563"/>
      <c r="H523" s="768" t="s">
        <v>11</v>
      </c>
      <c r="I523" s="735">
        <v>0</v>
      </c>
      <c r="J523" s="736">
        <v>0</v>
      </c>
      <c r="K523" s="572">
        <f t="shared" ref="K523:K524" si="327">IF(I523&gt;0,J523*100/I523,0)</f>
        <v>0</v>
      </c>
      <c r="L523" s="574"/>
      <c r="M523" s="566"/>
      <c r="N523" s="566"/>
      <c r="O523" s="566"/>
      <c r="P523" s="566"/>
      <c r="Q523" s="566"/>
      <c r="R523" s="566"/>
      <c r="S523" s="566"/>
      <c r="T523" s="566"/>
      <c r="U523" s="566"/>
    </row>
    <row r="524" spans="1:21" ht="18.75" x14ac:dyDescent="0.25">
      <c r="A524" s="984"/>
      <c r="B524" s="513"/>
      <c r="C524" s="514"/>
      <c r="D524" s="1018" t="s">
        <v>209</v>
      </c>
      <c r="E524" s="864"/>
      <c r="F524" s="513"/>
      <c r="G524" s="577"/>
      <c r="H524" s="1019" t="s">
        <v>61</v>
      </c>
      <c r="I524" s="740">
        <v>0</v>
      </c>
      <c r="J524" s="741">
        <v>0</v>
      </c>
      <c r="K524" s="742">
        <f t="shared" si="327"/>
        <v>0</v>
      </c>
      <c r="L524" s="574"/>
      <c r="M524" s="566"/>
      <c r="N524" s="566"/>
      <c r="O524" s="566"/>
      <c r="P524" s="566"/>
      <c r="Q524" s="566"/>
      <c r="R524" s="566"/>
      <c r="S524" s="566"/>
      <c r="T524" s="566"/>
      <c r="U524" s="566"/>
    </row>
    <row r="525" spans="1:21" ht="12.75" x14ac:dyDescent="0.2">
      <c r="A525" s="1020"/>
      <c r="B525" s="1021"/>
      <c r="C525" s="1021"/>
      <c r="D525" s="1022"/>
      <c r="E525" s="1022"/>
      <c r="F525" s="1022"/>
      <c r="G525" s="1023"/>
      <c r="H525" s="1024"/>
      <c r="I525" s="1025"/>
      <c r="J525" s="1025"/>
      <c r="K525" s="1026"/>
      <c r="L525" s="965"/>
      <c r="M525" s="964"/>
      <c r="N525" s="964"/>
      <c r="O525" s="964"/>
      <c r="P525" s="964"/>
      <c r="Q525" s="964"/>
      <c r="R525" s="964"/>
      <c r="S525" s="964"/>
      <c r="T525" s="964"/>
      <c r="U525" s="964"/>
    </row>
    <row r="526" spans="1:21" ht="12.75" x14ac:dyDescent="0.2">
      <c r="A526" s="973"/>
      <c r="B526" s="961"/>
      <c r="C526" s="961"/>
      <c r="D526" s="974"/>
      <c r="E526" s="974"/>
      <c r="F526" s="974"/>
      <c r="G526" s="975"/>
      <c r="H526" s="962"/>
      <c r="I526" s="963"/>
      <c r="J526" s="963"/>
      <c r="K526" s="964"/>
      <c r="L526" s="965"/>
      <c r="M526" s="964"/>
      <c r="N526" s="964"/>
      <c r="O526" s="964"/>
      <c r="P526" s="964"/>
      <c r="Q526" s="964"/>
      <c r="R526" s="964"/>
      <c r="S526" s="964"/>
      <c r="T526" s="964"/>
      <c r="U526" s="964"/>
    </row>
    <row r="527" spans="1:21" ht="12.75" x14ac:dyDescent="0.2">
      <c r="A527" s="973"/>
      <c r="B527" s="961"/>
      <c r="C527" s="961"/>
      <c r="D527" s="974"/>
      <c r="E527" s="974"/>
      <c r="F527" s="974"/>
      <c r="G527" s="975"/>
      <c r="H527" s="962"/>
      <c r="I527" s="963"/>
      <c r="J527" s="963"/>
      <c r="K527" s="964"/>
      <c r="L527" s="965"/>
      <c r="M527" s="964"/>
      <c r="N527" s="964"/>
      <c r="O527" s="964"/>
      <c r="P527" s="964"/>
      <c r="Q527" s="964"/>
      <c r="R527" s="964"/>
      <c r="S527" s="964"/>
      <c r="T527" s="964"/>
      <c r="U527" s="964"/>
    </row>
    <row r="528" spans="1:21" ht="12.75" x14ac:dyDescent="0.2">
      <c r="A528" s="973"/>
      <c r="B528" s="961"/>
      <c r="C528" s="961"/>
      <c r="D528" s="974"/>
      <c r="E528" s="974"/>
      <c r="F528" s="974"/>
      <c r="G528" s="975"/>
      <c r="H528" s="962"/>
      <c r="I528" s="963"/>
      <c r="J528" s="963"/>
      <c r="K528" s="964"/>
      <c r="L528" s="965"/>
      <c r="M528" s="964"/>
      <c r="N528" s="964"/>
      <c r="O528" s="964"/>
      <c r="P528" s="964"/>
      <c r="Q528" s="964"/>
      <c r="R528" s="964"/>
      <c r="S528" s="964"/>
      <c r="T528" s="964"/>
      <c r="U528" s="964"/>
    </row>
    <row r="529" spans="1:21" ht="12.75" x14ac:dyDescent="0.2">
      <c r="A529" s="973"/>
      <c r="B529" s="961"/>
      <c r="C529" s="961"/>
      <c r="D529" s="974"/>
      <c r="E529" s="974"/>
      <c r="F529" s="974"/>
      <c r="G529" s="975"/>
      <c r="H529" s="962"/>
      <c r="I529" s="963"/>
      <c r="J529" s="963"/>
      <c r="K529" s="964"/>
      <c r="L529" s="965"/>
      <c r="M529" s="964"/>
      <c r="N529" s="964"/>
      <c r="O529" s="964"/>
      <c r="P529" s="964"/>
      <c r="Q529" s="964"/>
      <c r="R529" s="964"/>
      <c r="S529" s="964"/>
      <c r="T529" s="964"/>
      <c r="U529" s="964"/>
    </row>
    <row r="530" spans="1:21" ht="12.75" x14ac:dyDescent="0.2">
      <c r="A530" s="973"/>
      <c r="B530" s="961"/>
      <c r="C530" s="961"/>
      <c r="D530" s="974"/>
      <c r="E530" s="974"/>
      <c r="F530" s="974"/>
      <c r="G530" s="975"/>
      <c r="H530" s="962"/>
      <c r="I530" s="963"/>
      <c r="J530" s="963"/>
      <c r="K530" s="964"/>
      <c r="L530" s="965"/>
      <c r="M530" s="964"/>
      <c r="N530" s="964"/>
      <c r="O530" s="964"/>
      <c r="P530" s="964"/>
      <c r="Q530" s="964"/>
      <c r="R530" s="964"/>
      <c r="S530" s="964"/>
      <c r="T530" s="964"/>
      <c r="U530" s="964"/>
    </row>
    <row r="531" spans="1:21" ht="12.75" x14ac:dyDescent="0.2">
      <c r="A531" s="973"/>
      <c r="B531" s="961"/>
      <c r="C531" s="961"/>
      <c r="D531" s="974"/>
      <c r="E531" s="974"/>
      <c r="F531" s="974"/>
      <c r="G531" s="975"/>
      <c r="H531" s="962"/>
      <c r="I531" s="963"/>
      <c r="J531" s="963"/>
      <c r="K531" s="964"/>
      <c r="L531" s="965"/>
      <c r="M531" s="964"/>
      <c r="N531" s="964"/>
      <c r="O531" s="964"/>
      <c r="P531" s="964"/>
      <c r="Q531" s="964"/>
      <c r="R531" s="964"/>
      <c r="S531" s="964"/>
      <c r="T531" s="964"/>
      <c r="U531" s="964"/>
    </row>
    <row r="532" spans="1:21" ht="12.75" x14ac:dyDescent="0.2">
      <c r="A532" s="1027"/>
      <c r="B532" s="966"/>
      <c r="C532" s="966"/>
      <c r="D532" s="1028"/>
      <c r="E532" s="1028"/>
      <c r="F532" s="1028"/>
      <c r="G532" s="1029"/>
      <c r="H532" s="967"/>
      <c r="I532" s="968"/>
      <c r="J532" s="968"/>
      <c r="K532" s="969"/>
      <c r="L532" s="970"/>
      <c r="M532" s="969"/>
      <c r="N532" s="969"/>
      <c r="O532" s="969"/>
      <c r="P532" s="969"/>
      <c r="Q532" s="969"/>
      <c r="R532" s="969"/>
      <c r="S532" s="969"/>
      <c r="T532" s="969"/>
      <c r="U532" s="969"/>
    </row>
    <row r="533" spans="1:21" ht="19.5" x14ac:dyDescent="0.3">
      <c r="A533" s="1006"/>
      <c r="B533" s="1030" t="s">
        <v>210</v>
      </c>
      <c r="C533" s="1008"/>
      <c r="D533" s="1009"/>
      <c r="E533" s="1009"/>
      <c r="F533" s="1009"/>
      <c r="G533" s="1010"/>
      <c r="H533" s="1031" t="s">
        <v>61</v>
      </c>
      <c r="I533" s="1032">
        <f t="shared" ref="I533:J533" si="328">I545</f>
        <v>0</v>
      </c>
      <c r="J533" s="1032">
        <f t="shared" si="328"/>
        <v>0</v>
      </c>
      <c r="K533" s="1033">
        <f>IF(I533&gt;0,J533*100/I533,0)</f>
        <v>0</v>
      </c>
      <c r="L533" s="1014"/>
      <c r="M533" s="1015"/>
      <c r="N533" s="1015"/>
      <c r="O533" s="1015"/>
      <c r="P533" s="1015"/>
      <c r="Q533" s="1015"/>
      <c r="R533" s="1015"/>
      <c r="S533" s="1015"/>
      <c r="T533" s="1015"/>
      <c r="U533" s="1015"/>
    </row>
    <row r="534" spans="1:21" ht="19.5" x14ac:dyDescent="0.3">
      <c r="A534" s="674"/>
      <c r="B534" s="561"/>
      <c r="C534" s="675" t="s">
        <v>18</v>
      </c>
      <c r="D534" s="676" t="s">
        <v>19</v>
      </c>
      <c r="E534" s="561"/>
      <c r="F534" s="561"/>
      <c r="G534" s="563"/>
      <c r="H534" s="677" t="s">
        <v>14</v>
      </c>
      <c r="I534" s="565"/>
      <c r="J534" s="565"/>
      <c r="K534" s="566"/>
      <c r="L534" s="678">
        <f t="shared" ref="L534:N534" ca="1" si="329">L535+L536</f>
        <v>0</v>
      </c>
      <c r="M534" s="679">
        <f t="shared" ca="1" si="329"/>
        <v>0</v>
      </c>
      <c r="N534" s="679">
        <f t="shared" ca="1" si="329"/>
        <v>0</v>
      </c>
      <c r="O534" s="679">
        <f t="shared" ref="O534:O542" ca="1" si="330">IF(L534&gt;0,N534*100/L534,0)</f>
        <v>0</v>
      </c>
      <c r="P534" s="679">
        <f t="shared" ref="P534:P542" ca="1" si="331">IF(M534&gt;0,N534*100/M534,0)</f>
        <v>0</v>
      </c>
      <c r="Q534" s="679">
        <f t="shared" ref="Q534:S534" si="332">Q535+Q536</f>
        <v>0</v>
      </c>
      <c r="R534" s="679">
        <f t="shared" si="332"/>
        <v>0</v>
      </c>
      <c r="S534" s="679">
        <f t="shared" si="332"/>
        <v>0</v>
      </c>
      <c r="T534" s="679">
        <f t="shared" ref="T534:T542" si="333">IF(Q534&gt;0,S534*100/Q534,0)</f>
        <v>0</v>
      </c>
      <c r="U534" s="679">
        <f t="shared" ref="U534:U542" si="334">IF(R534&gt;0,S534*100/R534,0)</f>
        <v>0</v>
      </c>
    </row>
    <row r="535" spans="1:21" ht="18.75" x14ac:dyDescent="0.25">
      <c r="A535" s="674"/>
      <c r="B535" s="718"/>
      <c r="C535" s="561"/>
      <c r="D535" s="561"/>
      <c r="E535" s="569" t="s">
        <v>20</v>
      </c>
      <c r="F535" s="561"/>
      <c r="G535" s="563"/>
      <c r="H535" s="680" t="s">
        <v>14</v>
      </c>
      <c r="I535" s="565"/>
      <c r="J535" s="565"/>
      <c r="K535" s="566"/>
      <c r="L535" s="571">
        <f t="shared" ref="L535:N536" si="335">L538+L541</f>
        <v>0</v>
      </c>
      <c r="M535" s="572">
        <f t="shared" si="335"/>
        <v>0</v>
      </c>
      <c r="N535" s="572">
        <f t="shared" si="335"/>
        <v>0</v>
      </c>
      <c r="O535" s="572">
        <f t="shared" si="330"/>
        <v>0</v>
      </c>
      <c r="P535" s="572">
        <f t="shared" si="331"/>
        <v>0</v>
      </c>
      <c r="Q535" s="572">
        <f t="shared" ref="Q535:S536" si="336">Q538+Q541</f>
        <v>0</v>
      </c>
      <c r="R535" s="572">
        <f t="shared" si="336"/>
        <v>0</v>
      </c>
      <c r="S535" s="572">
        <f t="shared" si="336"/>
        <v>0</v>
      </c>
      <c r="T535" s="572">
        <f t="shared" si="333"/>
        <v>0</v>
      </c>
      <c r="U535" s="572">
        <f t="shared" si="334"/>
        <v>0</v>
      </c>
    </row>
    <row r="536" spans="1:21" ht="18.75" x14ac:dyDescent="0.25">
      <c r="A536" s="674"/>
      <c r="B536" s="561"/>
      <c r="C536" s="718"/>
      <c r="D536" s="561"/>
      <c r="E536" s="765" t="s">
        <v>21</v>
      </c>
      <c r="F536" s="561"/>
      <c r="G536" s="563"/>
      <c r="H536" s="681" t="s">
        <v>14</v>
      </c>
      <c r="I536" s="565"/>
      <c r="J536" s="565"/>
      <c r="K536" s="566"/>
      <c r="L536" s="567">
        <f t="shared" ca="1" si="335"/>
        <v>0</v>
      </c>
      <c r="M536" s="568">
        <f t="shared" ca="1" si="335"/>
        <v>0</v>
      </c>
      <c r="N536" s="568">
        <f t="shared" ca="1" si="335"/>
        <v>0</v>
      </c>
      <c r="O536" s="568">
        <f t="shared" ca="1" si="330"/>
        <v>0</v>
      </c>
      <c r="P536" s="568">
        <f t="shared" ca="1" si="331"/>
        <v>0</v>
      </c>
      <c r="Q536" s="568">
        <f t="shared" si="336"/>
        <v>0</v>
      </c>
      <c r="R536" s="568">
        <f t="shared" si="336"/>
        <v>0</v>
      </c>
      <c r="S536" s="568">
        <f t="shared" si="336"/>
        <v>0</v>
      </c>
      <c r="T536" s="568">
        <f t="shared" si="333"/>
        <v>0</v>
      </c>
      <c r="U536" s="568">
        <f t="shared" si="334"/>
        <v>0</v>
      </c>
    </row>
    <row r="537" spans="1:21" ht="18.75" x14ac:dyDescent="0.25">
      <c r="A537" s="674"/>
      <c r="B537" s="561"/>
      <c r="C537" s="718"/>
      <c r="D537" s="562" t="s">
        <v>22</v>
      </c>
      <c r="E537" s="718"/>
      <c r="F537" s="561"/>
      <c r="G537" s="563"/>
      <c r="H537" s="682" t="s">
        <v>14</v>
      </c>
      <c r="I537" s="683"/>
      <c r="J537" s="683"/>
      <c r="K537" s="684"/>
      <c r="L537" s="567">
        <f t="shared" ref="L537:N537" ca="1" si="337">L538+L539</f>
        <v>0</v>
      </c>
      <c r="M537" s="568">
        <f t="shared" ca="1" si="337"/>
        <v>0</v>
      </c>
      <c r="N537" s="568">
        <f t="shared" ca="1" si="337"/>
        <v>0</v>
      </c>
      <c r="O537" s="568">
        <f t="shared" ca="1" si="330"/>
        <v>0</v>
      </c>
      <c r="P537" s="568">
        <f t="shared" ca="1" si="331"/>
        <v>0</v>
      </c>
      <c r="Q537" s="568">
        <f t="shared" ref="Q537:S537" si="338">Q538+Q539</f>
        <v>0</v>
      </c>
      <c r="R537" s="568">
        <f t="shared" si="338"/>
        <v>0</v>
      </c>
      <c r="S537" s="568">
        <f t="shared" si="338"/>
        <v>0</v>
      </c>
      <c r="T537" s="568">
        <f t="shared" si="333"/>
        <v>0</v>
      </c>
      <c r="U537" s="568">
        <f t="shared" si="334"/>
        <v>0</v>
      </c>
    </row>
    <row r="538" spans="1:21" ht="18.75" x14ac:dyDescent="0.25">
      <c r="A538" s="674"/>
      <c r="B538" s="561"/>
      <c r="C538" s="561"/>
      <c r="D538" s="561"/>
      <c r="E538" s="569" t="s">
        <v>36</v>
      </c>
      <c r="F538" s="561"/>
      <c r="G538" s="563"/>
      <c r="H538" s="685" t="s">
        <v>14</v>
      </c>
      <c r="I538" s="683"/>
      <c r="J538" s="683"/>
      <c r="K538" s="684"/>
      <c r="L538" s="571">
        <v>0</v>
      </c>
      <c r="M538" s="572">
        <v>0</v>
      </c>
      <c r="N538" s="572">
        <v>0</v>
      </c>
      <c r="O538" s="572">
        <f t="shared" si="330"/>
        <v>0</v>
      </c>
      <c r="P538" s="572">
        <f t="shared" si="331"/>
        <v>0</v>
      </c>
      <c r="Q538" s="572">
        <v>0</v>
      </c>
      <c r="R538" s="572">
        <v>0</v>
      </c>
      <c r="S538" s="572">
        <v>0</v>
      </c>
      <c r="T538" s="572">
        <f t="shared" si="333"/>
        <v>0</v>
      </c>
      <c r="U538" s="572">
        <f t="shared" si="334"/>
        <v>0</v>
      </c>
    </row>
    <row r="539" spans="1:21" ht="18.75" x14ac:dyDescent="0.25">
      <c r="A539" s="674"/>
      <c r="B539" s="561"/>
      <c r="C539" s="561"/>
      <c r="D539" s="561"/>
      <c r="E539" s="573" t="s">
        <v>37</v>
      </c>
      <c r="F539" s="561"/>
      <c r="G539" s="563"/>
      <c r="H539" s="682" t="s">
        <v>14</v>
      </c>
      <c r="I539" s="683"/>
      <c r="J539" s="683"/>
      <c r="K539" s="684"/>
      <c r="L539" s="567">
        <f ca="1">IFERROR(__xludf.DUMMYFUNCTION("IMPORTRANGE(""https://docs.google.com/spreadsheets/d/1-uDff_7J0KD5mKrp0Vvzr7lt3OU09vwQwhkpOPPYv2Y/edit?usp=sharing"",""งบพรบ!FW24"")"),0)</f>
        <v>0</v>
      </c>
      <c r="M539" s="568">
        <f ca="1">IFERROR(__xludf.DUMMYFUNCTION("IMPORTRANGE(""https://docs.google.com/spreadsheets/d/1-uDff_7J0KD5mKrp0Vvzr7lt3OU09vwQwhkpOPPYv2Y/edit?usp=sharing"",""งบพรบ!GB24"")"),0)</f>
        <v>0</v>
      </c>
      <c r="N539" s="568">
        <f ca="1">IFERROR(__xludf.DUMMYFUNCTION("IMPORTRANGE(""https://docs.google.com/spreadsheets/d/1-uDff_7J0KD5mKrp0Vvzr7lt3OU09vwQwhkpOPPYv2Y/edit?usp=sharing"",""งบพรบ!GD24"")"),0)</f>
        <v>0</v>
      </c>
      <c r="O539" s="568">
        <f t="shared" ca="1" si="330"/>
        <v>0</v>
      </c>
      <c r="P539" s="568">
        <f t="shared" ca="1" si="331"/>
        <v>0</v>
      </c>
      <c r="Q539" s="568">
        <v>0</v>
      </c>
      <c r="R539" s="568">
        <v>0</v>
      </c>
      <c r="S539" s="568">
        <v>0</v>
      </c>
      <c r="T539" s="568">
        <f t="shared" si="333"/>
        <v>0</v>
      </c>
      <c r="U539" s="568">
        <f t="shared" si="334"/>
        <v>0</v>
      </c>
    </row>
    <row r="540" spans="1:21" ht="18.75" x14ac:dyDescent="0.25">
      <c r="A540" s="674"/>
      <c r="B540" s="561"/>
      <c r="C540" s="561"/>
      <c r="D540" s="562" t="s">
        <v>23</v>
      </c>
      <c r="E540" s="561"/>
      <c r="F540" s="561"/>
      <c r="G540" s="563"/>
      <c r="H540" s="686" t="s">
        <v>14</v>
      </c>
      <c r="I540" s="683"/>
      <c r="J540" s="683"/>
      <c r="K540" s="684"/>
      <c r="L540" s="567">
        <f t="shared" ref="L540:N540" ca="1" si="339">L541+L542</f>
        <v>0</v>
      </c>
      <c r="M540" s="568">
        <f t="shared" ca="1" si="339"/>
        <v>0</v>
      </c>
      <c r="N540" s="568">
        <f t="shared" ca="1" si="339"/>
        <v>0</v>
      </c>
      <c r="O540" s="568">
        <f t="shared" ca="1" si="330"/>
        <v>0</v>
      </c>
      <c r="P540" s="568">
        <f t="shared" ca="1" si="331"/>
        <v>0</v>
      </c>
      <c r="Q540" s="568">
        <f t="shared" ref="Q540:S540" si="340">Q541+Q542</f>
        <v>0</v>
      </c>
      <c r="R540" s="568">
        <f t="shared" si="340"/>
        <v>0</v>
      </c>
      <c r="S540" s="568">
        <f t="shared" si="340"/>
        <v>0</v>
      </c>
      <c r="T540" s="568">
        <f t="shared" si="333"/>
        <v>0</v>
      </c>
      <c r="U540" s="568">
        <f t="shared" si="334"/>
        <v>0</v>
      </c>
    </row>
    <row r="541" spans="1:21" ht="18.75" x14ac:dyDescent="0.25">
      <c r="A541" s="674"/>
      <c r="B541" s="561"/>
      <c r="C541" s="561"/>
      <c r="D541" s="561"/>
      <c r="E541" s="569" t="s">
        <v>20</v>
      </c>
      <c r="F541" s="561"/>
      <c r="G541" s="563"/>
      <c r="H541" s="685" t="s">
        <v>14</v>
      </c>
      <c r="I541" s="683"/>
      <c r="J541" s="683"/>
      <c r="K541" s="684"/>
      <c r="L541" s="571">
        <v>0</v>
      </c>
      <c r="M541" s="572">
        <v>0</v>
      </c>
      <c r="N541" s="572">
        <v>0</v>
      </c>
      <c r="O541" s="572">
        <f t="shared" si="330"/>
        <v>0</v>
      </c>
      <c r="P541" s="572">
        <f t="shared" si="331"/>
        <v>0</v>
      </c>
      <c r="Q541" s="572">
        <v>0</v>
      </c>
      <c r="R541" s="572">
        <v>0</v>
      </c>
      <c r="S541" s="572">
        <v>0</v>
      </c>
      <c r="T541" s="572">
        <f t="shared" si="333"/>
        <v>0</v>
      </c>
      <c r="U541" s="572">
        <f t="shared" si="334"/>
        <v>0</v>
      </c>
    </row>
    <row r="542" spans="1:21" ht="18.75" x14ac:dyDescent="0.25">
      <c r="A542" s="674"/>
      <c r="B542" s="561"/>
      <c r="C542" s="561"/>
      <c r="D542" s="561"/>
      <c r="E542" s="573" t="s">
        <v>21</v>
      </c>
      <c r="F542" s="561"/>
      <c r="G542" s="563"/>
      <c r="H542" s="686" t="s">
        <v>14</v>
      </c>
      <c r="I542" s="683"/>
      <c r="J542" s="683"/>
      <c r="K542" s="684"/>
      <c r="L542" s="567">
        <f ca="1">IFERROR(__xludf.DUMMYFUNCTION("IMPORTRANGE(""https://docs.google.com/spreadsheets/d/1-uDff_7J0KD5mKrp0Vvzr7lt3OU09vwQwhkpOPPYv2Y/edit?usp=sharing"",""งบพรบ!FZ24"")"),0)</f>
        <v>0</v>
      </c>
      <c r="M542" s="568">
        <f ca="1">IFERROR(__xludf.DUMMYFUNCTION("IMPORTRANGE(""https://docs.google.com/spreadsheets/d/1-uDff_7J0KD5mKrp0Vvzr7lt3OU09vwQwhkpOPPYv2Y/edit?usp=sharing"",""งบพรบ!GC24"")"),0)</f>
        <v>0</v>
      </c>
      <c r="N542" s="568">
        <f ca="1">IFERROR(__xludf.DUMMYFUNCTION("IMPORTRANGE(""https://docs.google.com/spreadsheets/d/1-uDff_7J0KD5mKrp0Vvzr7lt3OU09vwQwhkpOPPYv2Y/edit?usp=sharing"",""งบพรบ!GE24"")"),0)</f>
        <v>0</v>
      </c>
      <c r="O542" s="568">
        <f t="shared" ca="1" si="330"/>
        <v>0</v>
      </c>
      <c r="P542" s="568">
        <f t="shared" ca="1" si="331"/>
        <v>0</v>
      </c>
      <c r="Q542" s="568">
        <v>0</v>
      </c>
      <c r="R542" s="568">
        <v>0</v>
      </c>
      <c r="S542" s="568">
        <v>0</v>
      </c>
      <c r="T542" s="568">
        <f t="shared" si="333"/>
        <v>0</v>
      </c>
      <c r="U542" s="568">
        <f t="shared" si="334"/>
        <v>0</v>
      </c>
    </row>
    <row r="543" spans="1:21" ht="19.5" x14ac:dyDescent="0.3">
      <c r="A543" s="687"/>
      <c r="B543" s="688"/>
      <c r="C543" s="1034" t="s">
        <v>18</v>
      </c>
      <c r="D543" s="689" t="s">
        <v>38</v>
      </c>
      <c r="E543" s="690"/>
      <c r="F543" s="690"/>
      <c r="G543" s="691"/>
      <c r="H543" s="692"/>
      <c r="I543" s="683"/>
      <c r="J543" s="565"/>
      <c r="K543" s="566"/>
      <c r="L543" s="574"/>
      <c r="M543" s="566"/>
      <c r="N543" s="566"/>
      <c r="O543" s="684"/>
      <c r="P543" s="684"/>
      <c r="Q543" s="566"/>
      <c r="R543" s="566"/>
      <c r="S543" s="566"/>
      <c r="T543" s="684"/>
      <c r="U543" s="684"/>
    </row>
    <row r="544" spans="1:21" ht="12.75" x14ac:dyDescent="0.2">
      <c r="A544" s="973"/>
      <c r="B544" s="974"/>
      <c r="C544" s="961"/>
      <c r="D544" s="974"/>
      <c r="E544" s="961"/>
      <c r="F544" s="974"/>
      <c r="G544" s="975"/>
      <c r="H544" s="975"/>
      <c r="I544" s="963"/>
      <c r="J544" s="963"/>
      <c r="K544" s="964"/>
      <c r="L544" s="965"/>
      <c r="M544" s="964"/>
      <c r="N544" s="964"/>
      <c r="O544" s="964"/>
      <c r="P544" s="964"/>
      <c r="Q544" s="964"/>
      <c r="R544" s="964"/>
      <c r="S544" s="964"/>
      <c r="T544" s="964"/>
      <c r="U544" s="964"/>
    </row>
    <row r="545" spans="1:21" ht="12.75" x14ac:dyDescent="0.2">
      <c r="A545" s="973"/>
      <c r="B545" s="974"/>
      <c r="C545" s="961"/>
      <c r="D545" s="974"/>
      <c r="E545" s="961"/>
      <c r="F545" s="974"/>
      <c r="G545" s="975"/>
      <c r="H545" s="975"/>
      <c r="I545" s="963"/>
      <c r="J545" s="963"/>
      <c r="K545" s="964"/>
      <c r="L545" s="965"/>
      <c r="M545" s="964"/>
      <c r="N545" s="964"/>
      <c r="O545" s="964"/>
      <c r="P545" s="964"/>
      <c r="Q545" s="964"/>
      <c r="R545" s="964"/>
      <c r="S545" s="964"/>
      <c r="T545" s="964"/>
      <c r="U545" s="964"/>
    </row>
    <row r="546" spans="1:21" ht="12.75" x14ac:dyDescent="0.2">
      <c r="A546" s="973"/>
      <c r="B546" s="961"/>
      <c r="C546" s="961"/>
      <c r="D546" s="974"/>
      <c r="E546" s="974"/>
      <c r="F546" s="974"/>
      <c r="G546" s="975"/>
      <c r="H546" s="962"/>
      <c r="I546" s="963"/>
      <c r="J546" s="963"/>
      <c r="K546" s="964"/>
      <c r="L546" s="965"/>
      <c r="M546" s="964"/>
      <c r="N546" s="964"/>
      <c r="O546" s="964"/>
      <c r="P546" s="964"/>
      <c r="Q546" s="964"/>
      <c r="R546" s="964"/>
      <c r="S546" s="964"/>
      <c r="T546" s="964"/>
      <c r="U546" s="964"/>
    </row>
    <row r="547" spans="1:21" ht="12.75" x14ac:dyDescent="0.2">
      <c r="A547" s="973"/>
      <c r="B547" s="961"/>
      <c r="C547" s="961"/>
      <c r="D547" s="974"/>
      <c r="E547" s="974"/>
      <c r="F547" s="974"/>
      <c r="G547" s="975"/>
      <c r="H547" s="962"/>
      <c r="I547" s="963"/>
      <c r="J547" s="963"/>
      <c r="K547" s="964"/>
      <c r="L547" s="965"/>
      <c r="M547" s="964"/>
      <c r="N547" s="964"/>
      <c r="O547" s="964"/>
      <c r="P547" s="964"/>
      <c r="Q547" s="964"/>
      <c r="R547" s="964"/>
      <c r="S547" s="964"/>
      <c r="T547" s="964"/>
      <c r="U547" s="964"/>
    </row>
    <row r="548" spans="1:21" ht="12.75" x14ac:dyDescent="0.2">
      <c r="A548" s="973"/>
      <c r="B548" s="961"/>
      <c r="C548" s="961"/>
      <c r="D548" s="974"/>
      <c r="E548" s="974"/>
      <c r="F548" s="974"/>
      <c r="G548" s="975"/>
      <c r="H548" s="962"/>
      <c r="I548" s="963"/>
      <c r="J548" s="963"/>
      <c r="K548" s="964"/>
      <c r="L548" s="965"/>
      <c r="M548" s="964"/>
      <c r="N548" s="964"/>
      <c r="O548" s="964"/>
      <c r="P548" s="964"/>
      <c r="Q548" s="964"/>
      <c r="R548" s="964"/>
      <c r="S548" s="964"/>
      <c r="T548" s="964"/>
      <c r="U548" s="964"/>
    </row>
    <row r="549" spans="1:21" ht="12.75" x14ac:dyDescent="0.2">
      <c r="A549" s="973"/>
      <c r="B549" s="961"/>
      <c r="C549" s="961"/>
      <c r="D549" s="974"/>
      <c r="E549" s="974"/>
      <c r="F549" s="974"/>
      <c r="G549" s="975"/>
      <c r="H549" s="962"/>
      <c r="I549" s="963"/>
      <c r="J549" s="963"/>
      <c r="K549" s="964"/>
      <c r="L549" s="965"/>
      <c r="M549" s="964"/>
      <c r="N549" s="964"/>
      <c r="O549" s="964"/>
      <c r="P549" s="964"/>
      <c r="Q549" s="964"/>
      <c r="R549" s="964"/>
      <c r="S549" s="964"/>
      <c r="T549" s="964"/>
      <c r="U549" s="964"/>
    </row>
    <row r="550" spans="1:21" ht="12.75" x14ac:dyDescent="0.2">
      <c r="A550" s="973"/>
      <c r="B550" s="961"/>
      <c r="C550" s="961"/>
      <c r="D550" s="974"/>
      <c r="E550" s="974"/>
      <c r="F550" s="974"/>
      <c r="G550" s="975"/>
      <c r="H550" s="962"/>
      <c r="I550" s="963"/>
      <c r="J550" s="963"/>
      <c r="K550" s="964"/>
      <c r="L550" s="965"/>
      <c r="M550" s="964"/>
      <c r="N550" s="964"/>
      <c r="O550" s="964"/>
      <c r="P550" s="964"/>
      <c r="Q550" s="964"/>
      <c r="R550" s="964"/>
      <c r="S550" s="964"/>
      <c r="T550" s="964"/>
      <c r="U550" s="964"/>
    </row>
    <row r="551" spans="1:21" ht="12.75" x14ac:dyDescent="0.2">
      <c r="A551" s="973"/>
      <c r="B551" s="961"/>
      <c r="C551" s="961"/>
      <c r="D551" s="974"/>
      <c r="E551" s="974"/>
      <c r="F551" s="974"/>
      <c r="G551" s="975"/>
      <c r="H551" s="962"/>
      <c r="I551" s="963"/>
      <c r="J551" s="963"/>
      <c r="K551" s="964"/>
      <c r="L551" s="965"/>
      <c r="M551" s="964"/>
      <c r="N551" s="964"/>
      <c r="O551" s="964"/>
      <c r="P551" s="964"/>
      <c r="Q551" s="964"/>
      <c r="R551" s="964"/>
      <c r="S551" s="964"/>
      <c r="T551" s="964"/>
      <c r="U551" s="964"/>
    </row>
    <row r="552" spans="1:21" ht="12.75" x14ac:dyDescent="0.2">
      <c r="A552" s="973"/>
      <c r="B552" s="961"/>
      <c r="C552" s="961"/>
      <c r="D552" s="974"/>
      <c r="E552" s="974"/>
      <c r="F552" s="974"/>
      <c r="G552" s="975"/>
      <c r="H552" s="962"/>
      <c r="I552" s="963"/>
      <c r="J552" s="963"/>
      <c r="K552" s="964"/>
      <c r="L552" s="965"/>
      <c r="M552" s="964"/>
      <c r="N552" s="964"/>
      <c r="O552" s="964"/>
      <c r="P552" s="964"/>
      <c r="Q552" s="964"/>
      <c r="R552" s="964"/>
      <c r="S552" s="964"/>
      <c r="T552" s="964"/>
      <c r="U552" s="964"/>
    </row>
    <row r="553" spans="1:21" ht="12.75" x14ac:dyDescent="0.2">
      <c r="A553" s="1027"/>
      <c r="B553" s="966"/>
      <c r="C553" s="966"/>
      <c r="D553" s="1028"/>
      <c r="E553" s="1028"/>
      <c r="F553" s="1028"/>
      <c r="G553" s="1029"/>
      <c r="H553" s="967"/>
      <c r="I553" s="968"/>
      <c r="J553" s="968"/>
      <c r="K553" s="969"/>
      <c r="L553" s="970"/>
      <c r="M553" s="969"/>
      <c r="N553" s="969"/>
      <c r="O553" s="969"/>
      <c r="P553" s="969"/>
      <c r="Q553" s="969"/>
      <c r="R553" s="969"/>
      <c r="S553" s="969"/>
      <c r="T553" s="969"/>
      <c r="U553" s="969"/>
    </row>
    <row r="554" spans="1:21" ht="19.5" x14ac:dyDescent="0.3">
      <c r="A554" s="1006"/>
      <c r="B554" s="1030" t="s">
        <v>211</v>
      </c>
      <c r="C554" s="1008"/>
      <c r="D554" s="1009"/>
      <c r="E554" s="1009"/>
      <c r="F554" s="1009"/>
      <c r="G554" s="1010"/>
      <c r="H554" s="1031" t="s">
        <v>61</v>
      </c>
      <c r="I554" s="1032">
        <f t="shared" ref="I554:J554" si="341">I566</f>
        <v>0</v>
      </c>
      <c r="J554" s="1032">
        <f t="shared" si="341"/>
        <v>0</v>
      </c>
      <c r="K554" s="1033">
        <f>IF(I554&gt;0,J554*100/I554,0)</f>
        <v>0</v>
      </c>
      <c r="L554" s="1014"/>
      <c r="M554" s="1015"/>
      <c r="N554" s="1015"/>
      <c r="O554" s="1015"/>
      <c r="P554" s="1015"/>
      <c r="Q554" s="1015"/>
      <c r="R554" s="1015"/>
      <c r="S554" s="1015"/>
      <c r="T554" s="1015"/>
      <c r="U554" s="1015"/>
    </row>
    <row r="555" spans="1:21" ht="19.5" x14ac:dyDescent="0.3">
      <c r="A555" s="674"/>
      <c r="B555" s="561"/>
      <c r="C555" s="675" t="s">
        <v>18</v>
      </c>
      <c r="D555" s="676" t="s">
        <v>19</v>
      </c>
      <c r="E555" s="561"/>
      <c r="F555" s="561"/>
      <c r="G555" s="563"/>
      <c r="H555" s="677" t="s">
        <v>14</v>
      </c>
      <c r="I555" s="565"/>
      <c r="J555" s="565"/>
      <c r="K555" s="566"/>
      <c r="L555" s="678">
        <f t="shared" ref="L555:N555" ca="1" si="342">L556+L557</f>
        <v>0</v>
      </c>
      <c r="M555" s="679">
        <f t="shared" ca="1" si="342"/>
        <v>0</v>
      </c>
      <c r="N555" s="679">
        <f t="shared" ca="1" si="342"/>
        <v>0</v>
      </c>
      <c r="O555" s="679">
        <f t="shared" ref="O555:O563" ca="1" si="343">IF(L555&gt;0,N555*100/L555,0)</f>
        <v>0</v>
      </c>
      <c r="P555" s="679">
        <f t="shared" ref="P555:P563" ca="1" si="344">IF(M555&gt;0,N555*100/M555,0)</f>
        <v>0</v>
      </c>
      <c r="Q555" s="679">
        <f t="shared" ref="Q555:S555" si="345">Q556+Q557</f>
        <v>0</v>
      </c>
      <c r="R555" s="679">
        <f t="shared" si="345"/>
        <v>0</v>
      </c>
      <c r="S555" s="679">
        <f t="shared" si="345"/>
        <v>0</v>
      </c>
      <c r="T555" s="679">
        <f t="shared" ref="T555:T563" si="346">IF(Q555&gt;0,S555*100/Q555,0)</f>
        <v>0</v>
      </c>
      <c r="U555" s="679">
        <f t="shared" ref="U555:U563" si="347">IF(R555&gt;0,S555*100/R555,0)</f>
        <v>0</v>
      </c>
    </row>
    <row r="556" spans="1:21" ht="18.75" x14ac:dyDescent="0.25">
      <c r="A556" s="674"/>
      <c r="B556" s="718"/>
      <c r="C556" s="561"/>
      <c r="D556" s="561"/>
      <c r="E556" s="569" t="s">
        <v>20</v>
      </c>
      <c r="F556" s="561"/>
      <c r="G556" s="563"/>
      <c r="H556" s="680" t="s">
        <v>14</v>
      </c>
      <c r="I556" s="565"/>
      <c r="J556" s="565"/>
      <c r="K556" s="566"/>
      <c r="L556" s="571">
        <f t="shared" ref="L556:N557" si="348">L559+L562</f>
        <v>0</v>
      </c>
      <c r="M556" s="572">
        <f t="shared" si="348"/>
        <v>0</v>
      </c>
      <c r="N556" s="572">
        <f t="shared" si="348"/>
        <v>0</v>
      </c>
      <c r="O556" s="572">
        <f t="shared" si="343"/>
        <v>0</v>
      </c>
      <c r="P556" s="572">
        <f t="shared" si="344"/>
        <v>0</v>
      </c>
      <c r="Q556" s="572">
        <f t="shared" ref="Q556:S557" si="349">Q559+Q562</f>
        <v>0</v>
      </c>
      <c r="R556" s="572">
        <f t="shared" si="349"/>
        <v>0</v>
      </c>
      <c r="S556" s="572">
        <f t="shared" si="349"/>
        <v>0</v>
      </c>
      <c r="T556" s="572">
        <f t="shared" si="346"/>
        <v>0</v>
      </c>
      <c r="U556" s="572">
        <f t="shared" si="347"/>
        <v>0</v>
      </c>
    </row>
    <row r="557" spans="1:21" ht="18.75" x14ac:dyDescent="0.25">
      <c r="A557" s="674"/>
      <c r="B557" s="561"/>
      <c r="C557" s="718"/>
      <c r="D557" s="561"/>
      <c r="E557" s="765" t="s">
        <v>21</v>
      </c>
      <c r="F557" s="561"/>
      <c r="G557" s="563"/>
      <c r="H557" s="681" t="s">
        <v>14</v>
      </c>
      <c r="I557" s="565"/>
      <c r="J557" s="565"/>
      <c r="K557" s="566"/>
      <c r="L557" s="567">
        <f t="shared" ca="1" si="348"/>
        <v>0</v>
      </c>
      <c r="M557" s="568">
        <f t="shared" ca="1" si="348"/>
        <v>0</v>
      </c>
      <c r="N557" s="568">
        <f t="shared" ca="1" si="348"/>
        <v>0</v>
      </c>
      <c r="O557" s="568">
        <f t="shared" ca="1" si="343"/>
        <v>0</v>
      </c>
      <c r="P557" s="568">
        <f t="shared" ca="1" si="344"/>
        <v>0</v>
      </c>
      <c r="Q557" s="568">
        <f t="shared" si="349"/>
        <v>0</v>
      </c>
      <c r="R557" s="568">
        <f t="shared" si="349"/>
        <v>0</v>
      </c>
      <c r="S557" s="568">
        <f t="shared" si="349"/>
        <v>0</v>
      </c>
      <c r="T557" s="568">
        <f t="shared" si="346"/>
        <v>0</v>
      </c>
      <c r="U557" s="568">
        <f t="shared" si="347"/>
        <v>0</v>
      </c>
    </row>
    <row r="558" spans="1:21" ht="18.75" x14ac:dyDescent="0.25">
      <c r="A558" s="674"/>
      <c r="B558" s="561"/>
      <c r="C558" s="718"/>
      <c r="D558" s="562" t="s">
        <v>22</v>
      </c>
      <c r="E558" s="718"/>
      <c r="F558" s="561"/>
      <c r="G558" s="563"/>
      <c r="H558" s="682" t="s">
        <v>14</v>
      </c>
      <c r="I558" s="683"/>
      <c r="J558" s="683"/>
      <c r="K558" s="684"/>
      <c r="L558" s="567">
        <f t="shared" ref="L558:N558" ca="1" si="350">L559+L560</f>
        <v>0</v>
      </c>
      <c r="M558" s="568">
        <f t="shared" ca="1" si="350"/>
        <v>0</v>
      </c>
      <c r="N558" s="568">
        <f t="shared" ca="1" si="350"/>
        <v>0</v>
      </c>
      <c r="O558" s="568">
        <f t="shared" ca="1" si="343"/>
        <v>0</v>
      </c>
      <c r="P558" s="568">
        <f t="shared" ca="1" si="344"/>
        <v>0</v>
      </c>
      <c r="Q558" s="568">
        <f t="shared" ref="Q558:S558" si="351">Q559+Q560</f>
        <v>0</v>
      </c>
      <c r="R558" s="568">
        <f t="shared" si="351"/>
        <v>0</v>
      </c>
      <c r="S558" s="568">
        <f t="shared" si="351"/>
        <v>0</v>
      </c>
      <c r="T558" s="568">
        <f t="shared" si="346"/>
        <v>0</v>
      </c>
      <c r="U558" s="568">
        <f t="shared" si="347"/>
        <v>0</v>
      </c>
    </row>
    <row r="559" spans="1:21" ht="18.75" x14ac:dyDescent="0.25">
      <c r="A559" s="674"/>
      <c r="B559" s="561"/>
      <c r="C559" s="561"/>
      <c r="D559" s="561"/>
      <c r="E559" s="569" t="s">
        <v>36</v>
      </c>
      <c r="F559" s="561"/>
      <c r="G559" s="563"/>
      <c r="H559" s="685" t="s">
        <v>14</v>
      </c>
      <c r="I559" s="683"/>
      <c r="J559" s="683"/>
      <c r="K559" s="684"/>
      <c r="L559" s="571">
        <v>0</v>
      </c>
      <c r="M559" s="572">
        <v>0</v>
      </c>
      <c r="N559" s="572">
        <v>0</v>
      </c>
      <c r="O559" s="572">
        <f t="shared" si="343"/>
        <v>0</v>
      </c>
      <c r="P559" s="572">
        <f t="shared" si="344"/>
        <v>0</v>
      </c>
      <c r="Q559" s="572">
        <v>0</v>
      </c>
      <c r="R559" s="572">
        <v>0</v>
      </c>
      <c r="S559" s="572">
        <v>0</v>
      </c>
      <c r="T559" s="572">
        <f t="shared" si="346"/>
        <v>0</v>
      </c>
      <c r="U559" s="572">
        <f t="shared" si="347"/>
        <v>0</v>
      </c>
    </row>
    <row r="560" spans="1:21" ht="18.75" x14ac:dyDescent="0.25">
      <c r="A560" s="674"/>
      <c r="B560" s="561"/>
      <c r="C560" s="561"/>
      <c r="D560" s="561"/>
      <c r="E560" s="573" t="s">
        <v>37</v>
      </c>
      <c r="F560" s="561"/>
      <c r="G560" s="563"/>
      <c r="H560" s="682" t="s">
        <v>14</v>
      </c>
      <c r="I560" s="683"/>
      <c r="J560" s="683"/>
      <c r="K560" s="684"/>
      <c r="L560" s="567">
        <f ca="1">IFERROR(__xludf.DUMMYFUNCTION("IMPORTRANGE(""https://docs.google.com/spreadsheets/d/1-uDff_7J0KD5mKrp0Vvzr7lt3OU09vwQwhkpOPPYv2Y/edit?usp=sharing"",""งบพรบ!GG24"")"),0)</f>
        <v>0</v>
      </c>
      <c r="M560" s="568">
        <f ca="1">IFERROR(__xludf.DUMMYFUNCTION("IMPORTRANGE(""https://docs.google.com/spreadsheets/d/1-uDff_7J0KD5mKrp0Vvzr7lt3OU09vwQwhkpOPPYv2Y/edit?usp=sharing"",""งบพรบ!GL24"")"),0)</f>
        <v>0</v>
      </c>
      <c r="N560" s="568">
        <f ca="1">IFERROR(__xludf.DUMMYFUNCTION("IMPORTRANGE(""https://docs.google.com/spreadsheets/d/1-uDff_7J0KD5mKrp0Vvzr7lt3OU09vwQwhkpOPPYv2Y/edit?usp=sharing"",""งบพรบ!GN24"")"),0)</f>
        <v>0</v>
      </c>
      <c r="O560" s="568">
        <f t="shared" ca="1" si="343"/>
        <v>0</v>
      </c>
      <c r="P560" s="568">
        <f t="shared" ca="1" si="344"/>
        <v>0</v>
      </c>
      <c r="Q560" s="568">
        <v>0</v>
      </c>
      <c r="R560" s="568">
        <v>0</v>
      </c>
      <c r="S560" s="568">
        <v>0</v>
      </c>
      <c r="T560" s="568">
        <f t="shared" si="346"/>
        <v>0</v>
      </c>
      <c r="U560" s="568">
        <f t="shared" si="347"/>
        <v>0</v>
      </c>
    </row>
    <row r="561" spans="1:21" ht="18.75" x14ac:dyDescent="0.25">
      <c r="A561" s="674"/>
      <c r="B561" s="561"/>
      <c r="C561" s="561"/>
      <c r="D561" s="562" t="s">
        <v>23</v>
      </c>
      <c r="E561" s="561"/>
      <c r="F561" s="561"/>
      <c r="G561" s="563"/>
      <c r="H561" s="686" t="s">
        <v>14</v>
      </c>
      <c r="I561" s="683"/>
      <c r="J561" s="683"/>
      <c r="K561" s="684"/>
      <c r="L561" s="567">
        <f t="shared" ref="L561:N561" ca="1" si="352">L562+L563</f>
        <v>0</v>
      </c>
      <c r="M561" s="568">
        <f t="shared" ca="1" si="352"/>
        <v>0</v>
      </c>
      <c r="N561" s="568">
        <f t="shared" ca="1" si="352"/>
        <v>0</v>
      </c>
      <c r="O561" s="568">
        <f t="shared" ca="1" si="343"/>
        <v>0</v>
      </c>
      <c r="P561" s="568">
        <f t="shared" ca="1" si="344"/>
        <v>0</v>
      </c>
      <c r="Q561" s="568">
        <f t="shared" ref="Q561:S561" si="353">Q562+Q563</f>
        <v>0</v>
      </c>
      <c r="R561" s="568">
        <f t="shared" si="353"/>
        <v>0</v>
      </c>
      <c r="S561" s="568">
        <f t="shared" si="353"/>
        <v>0</v>
      </c>
      <c r="T561" s="568">
        <f t="shared" si="346"/>
        <v>0</v>
      </c>
      <c r="U561" s="568">
        <f t="shared" si="347"/>
        <v>0</v>
      </c>
    </row>
    <row r="562" spans="1:21" ht="18.75" x14ac:dyDescent="0.25">
      <c r="A562" s="674"/>
      <c r="B562" s="561"/>
      <c r="C562" s="561"/>
      <c r="D562" s="561"/>
      <c r="E562" s="569" t="s">
        <v>20</v>
      </c>
      <c r="F562" s="561"/>
      <c r="G562" s="563"/>
      <c r="H562" s="685" t="s">
        <v>14</v>
      </c>
      <c r="I562" s="683"/>
      <c r="J562" s="683"/>
      <c r="K562" s="684"/>
      <c r="L562" s="571">
        <v>0</v>
      </c>
      <c r="M562" s="572">
        <v>0</v>
      </c>
      <c r="N562" s="572">
        <v>0</v>
      </c>
      <c r="O562" s="572">
        <f t="shared" si="343"/>
        <v>0</v>
      </c>
      <c r="P562" s="572">
        <f t="shared" si="344"/>
        <v>0</v>
      </c>
      <c r="Q562" s="572">
        <v>0</v>
      </c>
      <c r="R562" s="572">
        <v>0</v>
      </c>
      <c r="S562" s="572">
        <v>0</v>
      </c>
      <c r="T562" s="572">
        <f t="shared" si="346"/>
        <v>0</v>
      </c>
      <c r="U562" s="572">
        <f t="shared" si="347"/>
        <v>0</v>
      </c>
    </row>
    <row r="563" spans="1:21" ht="18.75" x14ac:dyDescent="0.25">
      <c r="A563" s="674"/>
      <c r="B563" s="561"/>
      <c r="C563" s="561"/>
      <c r="D563" s="561"/>
      <c r="E563" s="573" t="s">
        <v>21</v>
      </c>
      <c r="F563" s="561"/>
      <c r="G563" s="563"/>
      <c r="H563" s="686" t="s">
        <v>14</v>
      </c>
      <c r="I563" s="683"/>
      <c r="J563" s="683"/>
      <c r="K563" s="684"/>
      <c r="L563" s="567">
        <f ca="1">IFERROR(__xludf.DUMMYFUNCTION("IMPORTRANGE(""https://docs.google.com/spreadsheets/d/1-uDff_7J0KD5mKrp0Vvzr7lt3OU09vwQwhkpOPPYv2Y/edit?usp=sharing"",""งบพรบ!GJ24"")"),0)</f>
        <v>0</v>
      </c>
      <c r="M563" s="568">
        <f ca="1">IFERROR(__xludf.DUMMYFUNCTION("IMPORTRANGE(""https://docs.google.com/spreadsheets/d/1-uDff_7J0KD5mKrp0Vvzr7lt3OU09vwQwhkpOPPYv2Y/edit?usp=sharing"",""งบพรบ!GM24"")"),0)</f>
        <v>0</v>
      </c>
      <c r="N563" s="568">
        <f ca="1">IFERROR(__xludf.DUMMYFUNCTION("IMPORTRANGE(""https://docs.google.com/spreadsheets/d/1-uDff_7J0KD5mKrp0Vvzr7lt3OU09vwQwhkpOPPYv2Y/edit?usp=sharing"",""งบพรบ!GO24"")"),0)</f>
        <v>0</v>
      </c>
      <c r="O563" s="568">
        <f t="shared" ca="1" si="343"/>
        <v>0</v>
      </c>
      <c r="P563" s="568">
        <f t="shared" ca="1" si="344"/>
        <v>0</v>
      </c>
      <c r="Q563" s="568">
        <v>0</v>
      </c>
      <c r="R563" s="568">
        <v>0</v>
      </c>
      <c r="S563" s="568">
        <v>0</v>
      </c>
      <c r="T563" s="568">
        <f t="shared" si="346"/>
        <v>0</v>
      </c>
      <c r="U563" s="568">
        <f t="shared" si="347"/>
        <v>0</v>
      </c>
    </row>
    <row r="564" spans="1:21" ht="19.5" x14ac:dyDescent="0.3">
      <c r="A564" s="687"/>
      <c r="B564" s="688"/>
      <c r="C564" s="1034" t="s">
        <v>18</v>
      </c>
      <c r="D564" s="689" t="s">
        <v>38</v>
      </c>
      <c r="E564" s="690"/>
      <c r="F564" s="690"/>
      <c r="G564" s="691"/>
      <c r="H564" s="692"/>
      <c r="I564" s="683"/>
      <c r="J564" s="565"/>
      <c r="K564" s="566"/>
      <c r="L564" s="574"/>
      <c r="M564" s="566"/>
      <c r="N564" s="566"/>
      <c r="O564" s="684"/>
      <c r="P564" s="684"/>
      <c r="Q564" s="566"/>
      <c r="R564" s="566"/>
      <c r="S564" s="566"/>
      <c r="T564" s="684"/>
      <c r="U564" s="684"/>
    </row>
    <row r="565" spans="1:21" ht="12.75" x14ac:dyDescent="0.2">
      <c r="A565" s="973"/>
      <c r="B565" s="974"/>
      <c r="C565" s="961"/>
      <c r="D565" s="974"/>
      <c r="E565" s="961"/>
      <c r="F565" s="974"/>
      <c r="G565" s="975"/>
      <c r="H565" s="975"/>
      <c r="I565" s="963"/>
      <c r="J565" s="963"/>
      <c r="K565" s="964"/>
      <c r="L565" s="965"/>
      <c r="M565" s="964"/>
      <c r="N565" s="964"/>
      <c r="O565" s="964"/>
      <c r="P565" s="964"/>
      <c r="Q565" s="964"/>
      <c r="R565" s="964"/>
      <c r="S565" s="964"/>
      <c r="T565" s="964"/>
      <c r="U565" s="964"/>
    </row>
    <row r="566" spans="1:21" ht="12.75" x14ac:dyDescent="0.2">
      <c r="A566" s="973"/>
      <c r="B566" s="974"/>
      <c r="C566" s="961"/>
      <c r="D566" s="974"/>
      <c r="E566" s="961"/>
      <c r="F566" s="974"/>
      <c r="G566" s="975"/>
      <c r="H566" s="975"/>
      <c r="I566" s="963"/>
      <c r="J566" s="963"/>
      <c r="K566" s="964"/>
      <c r="L566" s="965"/>
      <c r="M566" s="964"/>
      <c r="N566" s="964"/>
      <c r="O566" s="964"/>
      <c r="P566" s="964"/>
      <c r="Q566" s="964"/>
      <c r="R566" s="964"/>
      <c r="S566" s="964"/>
      <c r="T566" s="964"/>
      <c r="U566" s="964"/>
    </row>
    <row r="567" spans="1:21" ht="12.75" x14ac:dyDescent="0.2">
      <c r="A567" s="973"/>
      <c r="B567" s="961"/>
      <c r="C567" s="961"/>
      <c r="D567" s="974"/>
      <c r="E567" s="974"/>
      <c r="F567" s="974"/>
      <c r="G567" s="975"/>
      <c r="H567" s="962"/>
      <c r="I567" s="963"/>
      <c r="J567" s="963"/>
      <c r="K567" s="964"/>
      <c r="L567" s="965"/>
      <c r="M567" s="964"/>
      <c r="N567" s="964"/>
      <c r="O567" s="964"/>
      <c r="P567" s="964"/>
      <c r="Q567" s="964"/>
      <c r="R567" s="964"/>
      <c r="S567" s="964"/>
      <c r="T567" s="964"/>
      <c r="U567" s="964"/>
    </row>
    <row r="568" spans="1:21" ht="12.75" x14ac:dyDescent="0.2">
      <c r="A568" s="973"/>
      <c r="B568" s="961"/>
      <c r="C568" s="961"/>
      <c r="D568" s="974"/>
      <c r="E568" s="974"/>
      <c r="F568" s="974"/>
      <c r="G568" s="975"/>
      <c r="H568" s="962"/>
      <c r="I568" s="963"/>
      <c r="J568" s="963"/>
      <c r="K568" s="964"/>
      <c r="L568" s="965"/>
      <c r="M568" s="964"/>
      <c r="N568" s="964"/>
      <c r="O568" s="964"/>
      <c r="P568" s="964"/>
      <c r="Q568" s="964"/>
      <c r="R568" s="964"/>
      <c r="S568" s="964"/>
      <c r="T568" s="964"/>
      <c r="U568" s="964"/>
    </row>
    <row r="569" spans="1:21" ht="12.75" x14ac:dyDescent="0.2">
      <c r="A569" s="973"/>
      <c r="B569" s="961"/>
      <c r="C569" s="961"/>
      <c r="D569" s="974"/>
      <c r="E569" s="974"/>
      <c r="F569" s="974"/>
      <c r="G569" s="975"/>
      <c r="H569" s="962"/>
      <c r="I569" s="963"/>
      <c r="J569" s="963"/>
      <c r="K569" s="964"/>
      <c r="L569" s="965"/>
      <c r="M569" s="964"/>
      <c r="N569" s="964"/>
      <c r="O569" s="964"/>
      <c r="P569" s="964"/>
      <c r="Q569" s="964"/>
      <c r="R569" s="964"/>
      <c r="S569" s="964"/>
      <c r="T569" s="964"/>
      <c r="U569" s="964"/>
    </row>
    <row r="570" spans="1:21" ht="12.75" x14ac:dyDescent="0.2">
      <c r="A570" s="973"/>
      <c r="B570" s="961"/>
      <c r="C570" s="961"/>
      <c r="D570" s="974"/>
      <c r="E570" s="974"/>
      <c r="F570" s="974"/>
      <c r="G570" s="975"/>
      <c r="H570" s="962"/>
      <c r="I570" s="963"/>
      <c r="J570" s="963"/>
      <c r="K570" s="964"/>
      <c r="L570" s="965"/>
      <c r="M570" s="964"/>
      <c r="N570" s="964"/>
      <c r="O570" s="964"/>
      <c r="P570" s="964"/>
      <c r="Q570" s="964"/>
      <c r="R570" s="964"/>
      <c r="S570" s="964"/>
      <c r="T570" s="964"/>
      <c r="U570" s="964"/>
    </row>
    <row r="571" spans="1:21" ht="12.75" x14ac:dyDescent="0.2">
      <c r="A571" s="973"/>
      <c r="B571" s="961"/>
      <c r="C571" s="961"/>
      <c r="D571" s="974"/>
      <c r="E571" s="974"/>
      <c r="F571" s="974"/>
      <c r="G571" s="975"/>
      <c r="H571" s="962"/>
      <c r="I571" s="963"/>
      <c r="J571" s="963"/>
      <c r="K571" s="964"/>
      <c r="L571" s="965"/>
      <c r="M571" s="964"/>
      <c r="N571" s="964"/>
      <c r="O571" s="964"/>
      <c r="P571" s="964"/>
      <c r="Q571" s="964"/>
      <c r="R571" s="964"/>
      <c r="S571" s="964"/>
      <c r="T571" s="964"/>
      <c r="U571" s="964"/>
    </row>
    <row r="572" spans="1:21" ht="12.75" x14ac:dyDescent="0.2">
      <c r="A572" s="973"/>
      <c r="B572" s="961"/>
      <c r="C572" s="961"/>
      <c r="D572" s="974"/>
      <c r="E572" s="974"/>
      <c r="F572" s="974"/>
      <c r="G572" s="975"/>
      <c r="H572" s="962"/>
      <c r="I572" s="963"/>
      <c r="J572" s="963"/>
      <c r="K572" s="964"/>
      <c r="L572" s="965"/>
      <c r="M572" s="964"/>
      <c r="N572" s="964"/>
      <c r="O572" s="964"/>
      <c r="P572" s="964"/>
      <c r="Q572" s="964"/>
      <c r="R572" s="964"/>
      <c r="S572" s="964"/>
      <c r="T572" s="964"/>
      <c r="U572" s="964"/>
    </row>
    <row r="573" spans="1:21" ht="12.75" x14ac:dyDescent="0.2">
      <c r="A573" s="973"/>
      <c r="B573" s="961"/>
      <c r="C573" s="961"/>
      <c r="D573" s="974"/>
      <c r="E573" s="974"/>
      <c r="F573" s="974"/>
      <c r="G573" s="975"/>
      <c r="H573" s="962"/>
      <c r="I573" s="963"/>
      <c r="J573" s="963"/>
      <c r="K573" s="964"/>
      <c r="L573" s="965"/>
      <c r="M573" s="964"/>
      <c r="N573" s="964"/>
      <c r="O573" s="964"/>
      <c r="P573" s="964"/>
      <c r="Q573" s="964"/>
      <c r="R573" s="964"/>
      <c r="S573" s="964"/>
      <c r="T573" s="964"/>
      <c r="U573" s="964"/>
    </row>
    <row r="574" spans="1:21" ht="12.75" x14ac:dyDescent="0.2">
      <c r="A574" s="1027"/>
      <c r="B574" s="966"/>
      <c r="C574" s="966"/>
      <c r="D574" s="1028"/>
      <c r="E574" s="1028"/>
      <c r="F574" s="1028"/>
      <c r="G574" s="1029"/>
      <c r="H574" s="967"/>
      <c r="I574" s="968"/>
      <c r="J574" s="968"/>
      <c r="K574" s="969"/>
      <c r="L574" s="970"/>
      <c r="M574" s="969"/>
      <c r="N574" s="969"/>
      <c r="O574" s="969"/>
      <c r="P574" s="969"/>
      <c r="Q574" s="969"/>
      <c r="R574" s="969"/>
      <c r="S574" s="969"/>
      <c r="T574" s="969"/>
      <c r="U574" s="969"/>
    </row>
    <row r="575" spans="1:21" ht="19.5" x14ac:dyDescent="0.3">
      <c r="A575" s="1006"/>
      <c r="B575" s="1030" t="s">
        <v>212</v>
      </c>
      <c r="C575" s="1008"/>
      <c r="D575" s="1009"/>
      <c r="E575" s="1009"/>
      <c r="F575" s="1009"/>
      <c r="G575" s="1010"/>
      <c r="H575" s="1031" t="s">
        <v>61</v>
      </c>
      <c r="I575" s="1032">
        <f t="shared" ref="I575:J575" si="354">I587</f>
        <v>0</v>
      </c>
      <c r="J575" s="1032">
        <f t="shared" si="354"/>
        <v>0</v>
      </c>
      <c r="K575" s="1033">
        <f>IF(I575&gt;0,J575*100/I575,0)</f>
        <v>0</v>
      </c>
      <c r="L575" s="1014"/>
      <c r="M575" s="1015"/>
      <c r="N575" s="1015"/>
      <c r="O575" s="1015"/>
      <c r="P575" s="1015"/>
      <c r="Q575" s="1015"/>
      <c r="R575" s="1015"/>
      <c r="S575" s="1015"/>
      <c r="T575" s="1015"/>
      <c r="U575" s="1015"/>
    </row>
    <row r="576" spans="1:21" ht="19.5" x14ac:dyDescent="0.3">
      <c r="A576" s="674"/>
      <c r="B576" s="561"/>
      <c r="C576" s="675" t="s">
        <v>18</v>
      </c>
      <c r="D576" s="676" t="s">
        <v>19</v>
      </c>
      <c r="E576" s="561"/>
      <c r="F576" s="561"/>
      <c r="G576" s="563"/>
      <c r="H576" s="677" t="s">
        <v>14</v>
      </c>
      <c r="I576" s="565"/>
      <c r="J576" s="565"/>
      <c r="K576" s="566"/>
      <c r="L576" s="678">
        <f t="shared" ref="L576:N576" ca="1" si="355">L577+L578</f>
        <v>475911</v>
      </c>
      <c r="M576" s="679">
        <f t="shared" ca="1" si="355"/>
        <v>0</v>
      </c>
      <c r="N576" s="679">
        <f t="shared" ca="1" si="355"/>
        <v>0</v>
      </c>
      <c r="O576" s="679">
        <f t="shared" ref="O576:O584" ca="1" si="356">IF(L576&gt;0,N576*100/L576,0)</f>
        <v>0</v>
      </c>
      <c r="P576" s="679">
        <f t="shared" ref="P576:P584" ca="1" si="357">IF(M576&gt;0,N576*100/M576,0)</f>
        <v>0</v>
      </c>
      <c r="Q576" s="679">
        <f t="shared" ref="Q576:S576" si="358">Q577+Q578</f>
        <v>0</v>
      </c>
      <c r="R576" s="679">
        <f t="shared" si="358"/>
        <v>0</v>
      </c>
      <c r="S576" s="679">
        <f t="shared" si="358"/>
        <v>0</v>
      </c>
      <c r="T576" s="679">
        <f t="shared" ref="T576:T584" si="359">IF(Q576&gt;0,S576*100/Q576,0)</f>
        <v>0</v>
      </c>
      <c r="U576" s="679">
        <f t="shared" ref="U576:U584" si="360">IF(R576&gt;0,S576*100/R576,0)</f>
        <v>0</v>
      </c>
    </row>
    <row r="577" spans="1:21" ht="18.75" x14ac:dyDescent="0.25">
      <c r="A577" s="674"/>
      <c r="B577" s="718"/>
      <c r="C577" s="561"/>
      <c r="D577" s="561"/>
      <c r="E577" s="569" t="s">
        <v>20</v>
      </c>
      <c r="F577" s="561"/>
      <c r="G577" s="563"/>
      <c r="H577" s="680" t="s">
        <v>14</v>
      </c>
      <c r="I577" s="565"/>
      <c r="J577" s="565"/>
      <c r="K577" s="566"/>
      <c r="L577" s="571">
        <f t="shared" ref="L577:N578" si="361">L580+L583</f>
        <v>0</v>
      </c>
      <c r="M577" s="572">
        <f t="shared" si="361"/>
        <v>0</v>
      </c>
      <c r="N577" s="572">
        <f t="shared" si="361"/>
        <v>0</v>
      </c>
      <c r="O577" s="572">
        <f t="shared" si="356"/>
        <v>0</v>
      </c>
      <c r="P577" s="572">
        <f t="shared" si="357"/>
        <v>0</v>
      </c>
      <c r="Q577" s="572">
        <f t="shared" ref="Q577:S578" si="362">Q580+Q583</f>
        <v>0</v>
      </c>
      <c r="R577" s="572">
        <f t="shared" si="362"/>
        <v>0</v>
      </c>
      <c r="S577" s="572">
        <f t="shared" si="362"/>
        <v>0</v>
      </c>
      <c r="T577" s="572">
        <f t="shared" si="359"/>
        <v>0</v>
      </c>
      <c r="U577" s="572">
        <f t="shared" si="360"/>
        <v>0</v>
      </c>
    </row>
    <row r="578" spans="1:21" ht="18.75" x14ac:dyDescent="0.25">
      <c r="A578" s="674"/>
      <c r="B578" s="561"/>
      <c r="C578" s="718"/>
      <c r="D578" s="561"/>
      <c r="E578" s="765" t="s">
        <v>21</v>
      </c>
      <c r="F578" s="561"/>
      <c r="G578" s="563"/>
      <c r="H578" s="681" t="s">
        <v>14</v>
      </c>
      <c r="I578" s="565"/>
      <c r="J578" s="565"/>
      <c r="K578" s="566"/>
      <c r="L578" s="567">
        <f t="shared" ca="1" si="361"/>
        <v>475911</v>
      </c>
      <c r="M578" s="568">
        <f t="shared" ca="1" si="361"/>
        <v>0</v>
      </c>
      <c r="N578" s="568">
        <f t="shared" ca="1" si="361"/>
        <v>0</v>
      </c>
      <c r="O578" s="568">
        <f t="shared" ca="1" si="356"/>
        <v>0</v>
      </c>
      <c r="P578" s="568">
        <f t="shared" ca="1" si="357"/>
        <v>0</v>
      </c>
      <c r="Q578" s="568">
        <f t="shared" si="362"/>
        <v>0</v>
      </c>
      <c r="R578" s="568">
        <f t="shared" si="362"/>
        <v>0</v>
      </c>
      <c r="S578" s="568">
        <f t="shared" si="362"/>
        <v>0</v>
      </c>
      <c r="T578" s="568">
        <f t="shared" si="359"/>
        <v>0</v>
      </c>
      <c r="U578" s="568">
        <f t="shared" si="360"/>
        <v>0</v>
      </c>
    </row>
    <row r="579" spans="1:21" ht="18.75" x14ac:dyDescent="0.25">
      <c r="A579" s="674"/>
      <c r="B579" s="561"/>
      <c r="C579" s="718"/>
      <c r="D579" s="562" t="s">
        <v>22</v>
      </c>
      <c r="E579" s="718"/>
      <c r="F579" s="561"/>
      <c r="G579" s="563"/>
      <c r="H579" s="682" t="s">
        <v>14</v>
      </c>
      <c r="I579" s="683"/>
      <c r="J579" s="683"/>
      <c r="K579" s="684"/>
      <c r="L579" s="567">
        <f t="shared" ref="L579:N579" ca="1" si="363">L580+L581</f>
        <v>475911</v>
      </c>
      <c r="M579" s="568">
        <f t="shared" ca="1" si="363"/>
        <v>0</v>
      </c>
      <c r="N579" s="568">
        <f t="shared" ca="1" si="363"/>
        <v>0</v>
      </c>
      <c r="O579" s="568">
        <f t="shared" ca="1" si="356"/>
        <v>0</v>
      </c>
      <c r="P579" s="568">
        <f t="shared" ca="1" si="357"/>
        <v>0</v>
      </c>
      <c r="Q579" s="568">
        <f t="shared" ref="Q579:S579" si="364">Q580+Q581</f>
        <v>0</v>
      </c>
      <c r="R579" s="568">
        <f t="shared" si="364"/>
        <v>0</v>
      </c>
      <c r="S579" s="568">
        <f t="shared" si="364"/>
        <v>0</v>
      </c>
      <c r="T579" s="568">
        <f t="shared" si="359"/>
        <v>0</v>
      </c>
      <c r="U579" s="568">
        <f t="shared" si="360"/>
        <v>0</v>
      </c>
    </row>
    <row r="580" spans="1:21" ht="18.75" x14ac:dyDescent="0.25">
      <c r="A580" s="674"/>
      <c r="B580" s="561"/>
      <c r="C580" s="561"/>
      <c r="D580" s="561"/>
      <c r="E580" s="569" t="s">
        <v>36</v>
      </c>
      <c r="F580" s="561"/>
      <c r="G580" s="563"/>
      <c r="H580" s="685" t="s">
        <v>14</v>
      </c>
      <c r="I580" s="683"/>
      <c r="J580" s="683"/>
      <c r="K580" s="684"/>
      <c r="L580" s="571">
        <v>0</v>
      </c>
      <c r="M580" s="572">
        <v>0</v>
      </c>
      <c r="N580" s="572">
        <v>0</v>
      </c>
      <c r="O580" s="572">
        <f t="shared" si="356"/>
        <v>0</v>
      </c>
      <c r="P580" s="572">
        <f t="shared" si="357"/>
        <v>0</v>
      </c>
      <c r="Q580" s="572">
        <v>0</v>
      </c>
      <c r="R580" s="572">
        <v>0</v>
      </c>
      <c r="S580" s="572">
        <v>0</v>
      </c>
      <c r="T580" s="572">
        <f t="shared" si="359"/>
        <v>0</v>
      </c>
      <c r="U580" s="572">
        <f t="shared" si="360"/>
        <v>0</v>
      </c>
    </row>
    <row r="581" spans="1:21" ht="18.75" x14ac:dyDescent="0.25">
      <c r="A581" s="674"/>
      <c r="B581" s="561"/>
      <c r="C581" s="561"/>
      <c r="D581" s="561"/>
      <c r="E581" s="573" t="s">
        <v>37</v>
      </c>
      <c r="F581" s="561"/>
      <c r="G581" s="563"/>
      <c r="H581" s="682" t="s">
        <v>14</v>
      </c>
      <c r="I581" s="683"/>
      <c r="J581" s="683"/>
      <c r="K581" s="684"/>
      <c r="L581" s="567">
        <f ca="1">IFERROR(__xludf.DUMMYFUNCTION("IMPORTRANGE(""https://docs.google.com/spreadsheets/d/1-uDff_7J0KD5mKrp0Vvzr7lt3OU09vwQwhkpOPPYv2Y/edit?usp=sharing"",""งบพรบ!GQ24"")"),475911)</f>
        <v>475911</v>
      </c>
      <c r="M581" s="568">
        <f ca="1">IFERROR(__xludf.DUMMYFUNCTION("IMPORTRANGE(""https://docs.google.com/spreadsheets/d/1-uDff_7J0KD5mKrp0Vvzr7lt3OU09vwQwhkpOPPYv2Y/edit?usp=sharing"",""งบพรบ!GV24"")"),0)</f>
        <v>0</v>
      </c>
      <c r="N581" s="568">
        <f ca="1">IFERROR(__xludf.DUMMYFUNCTION("IMPORTRANGE(""https://docs.google.com/spreadsheets/d/1-uDff_7J0KD5mKrp0Vvzr7lt3OU09vwQwhkpOPPYv2Y/edit?usp=sharing"",""งบพรบ!GX24"")"),0)</f>
        <v>0</v>
      </c>
      <c r="O581" s="568">
        <f t="shared" ca="1" si="356"/>
        <v>0</v>
      </c>
      <c r="P581" s="568">
        <f t="shared" ca="1" si="357"/>
        <v>0</v>
      </c>
      <c r="Q581" s="568">
        <v>0</v>
      </c>
      <c r="R581" s="568">
        <v>0</v>
      </c>
      <c r="S581" s="568">
        <v>0</v>
      </c>
      <c r="T581" s="568">
        <f t="shared" si="359"/>
        <v>0</v>
      </c>
      <c r="U581" s="568">
        <f t="shared" si="360"/>
        <v>0</v>
      </c>
    </row>
    <row r="582" spans="1:21" ht="18.75" x14ac:dyDescent="0.25">
      <c r="A582" s="674"/>
      <c r="B582" s="561"/>
      <c r="C582" s="561"/>
      <c r="D582" s="562" t="s">
        <v>23</v>
      </c>
      <c r="E582" s="561"/>
      <c r="F582" s="561"/>
      <c r="G582" s="563"/>
      <c r="H582" s="686" t="s">
        <v>14</v>
      </c>
      <c r="I582" s="683"/>
      <c r="J582" s="683"/>
      <c r="K582" s="684"/>
      <c r="L582" s="567">
        <f t="shared" ref="L582:N582" ca="1" si="365">L583+L584</f>
        <v>0</v>
      </c>
      <c r="M582" s="568">
        <f t="shared" ca="1" si="365"/>
        <v>0</v>
      </c>
      <c r="N582" s="568">
        <f t="shared" ca="1" si="365"/>
        <v>0</v>
      </c>
      <c r="O582" s="568">
        <f t="shared" ca="1" si="356"/>
        <v>0</v>
      </c>
      <c r="P582" s="568">
        <f t="shared" ca="1" si="357"/>
        <v>0</v>
      </c>
      <c r="Q582" s="568">
        <f t="shared" ref="Q582:S582" si="366">Q583+Q584</f>
        <v>0</v>
      </c>
      <c r="R582" s="568">
        <f t="shared" si="366"/>
        <v>0</v>
      </c>
      <c r="S582" s="568">
        <f t="shared" si="366"/>
        <v>0</v>
      </c>
      <c r="T582" s="568">
        <f t="shared" si="359"/>
        <v>0</v>
      </c>
      <c r="U582" s="568">
        <f t="shared" si="360"/>
        <v>0</v>
      </c>
    </row>
    <row r="583" spans="1:21" ht="18.75" x14ac:dyDescent="0.25">
      <c r="A583" s="674"/>
      <c r="B583" s="561"/>
      <c r="C583" s="561"/>
      <c r="D583" s="561"/>
      <c r="E583" s="569" t="s">
        <v>20</v>
      </c>
      <c r="F583" s="561"/>
      <c r="G583" s="563"/>
      <c r="H583" s="685" t="s">
        <v>14</v>
      </c>
      <c r="I583" s="683"/>
      <c r="J583" s="683"/>
      <c r="K583" s="684"/>
      <c r="L583" s="571">
        <v>0</v>
      </c>
      <c r="M583" s="572">
        <v>0</v>
      </c>
      <c r="N583" s="572">
        <v>0</v>
      </c>
      <c r="O583" s="572">
        <f t="shared" si="356"/>
        <v>0</v>
      </c>
      <c r="P583" s="572">
        <f t="shared" si="357"/>
        <v>0</v>
      </c>
      <c r="Q583" s="572">
        <v>0</v>
      </c>
      <c r="R583" s="572">
        <v>0</v>
      </c>
      <c r="S583" s="572">
        <v>0</v>
      </c>
      <c r="T583" s="572">
        <f t="shared" si="359"/>
        <v>0</v>
      </c>
      <c r="U583" s="572">
        <f t="shared" si="360"/>
        <v>0</v>
      </c>
    </row>
    <row r="584" spans="1:21" ht="18.75" x14ac:dyDescent="0.25">
      <c r="A584" s="674"/>
      <c r="B584" s="561"/>
      <c r="C584" s="561"/>
      <c r="D584" s="561"/>
      <c r="E584" s="573" t="s">
        <v>21</v>
      </c>
      <c r="F584" s="561"/>
      <c r="G584" s="563"/>
      <c r="H584" s="686" t="s">
        <v>14</v>
      </c>
      <c r="I584" s="683"/>
      <c r="J584" s="683"/>
      <c r="K584" s="684"/>
      <c r="L584" s="567">
        <f ca="1">IFERROR(__xludf.DUMMYFUNCTION("IMPORTRANGE(""https://docs.google.com/spreadsheets/d/1-uDff_7J0KD5mKrp0Vvzr7lt3OU09vwQwhkpOPPYv2Y/edit?usp=sharing"",""งบพรบ!GT24"")"),0)</f>
        <v>0</v>
      </c>
      <c r="M584" s="568">
        <f ca="1">IFERROR(__xludf.DUMMYFUNCTION("IMPORTRANGE(""https://docs.google.com/spreadsheets/d/1-uDff_7J0KD5mKrp0Vvzr7lt3OU09vwQwhkpOPPYv2Y/edit?usp=sharing"",""งบพรบ!GW24"")"),0)</f>
        <v>0</v>
      </c>
      <c r="N584" s="568">
        <f ca="1">IFERROR(__xludf.DUMMYFUNCTION("IMPORTRANGE(""https://docs.google.com/spreadsheets/d/1-uDff_7J0KD5mKrp0Vvzr7lt3OU09vwQwhkpOPPYv2Y/edit?usp=sharing"",""งบพรบ!GY24"")"),0)</f>
        <v>0</v>
      </c>
      <c r="O584" s="568">
        <f t="shared" ca="1" si="356"/>
        <v>0</v>
      </c>
      <c r="P584" s="568">
        <f t="shared" ca="1" si="357"/>
        <v>0</v>
      </c>
      <c r="Q584" s="568">
        <v>0</v>
      </c>
      <c r="R584" s="568">
        <v>0</v>
      </c>
      <c r="S584" s="568">
        <v>0</v>
      </c>
      <c r="T584" s="568">
        <f t="shared" si="359"/>
        <v>0</v>
      </c>
      <c r="U584" s="568">
        <f t="shared" si="360"/>
        <v>0</v>
      </c>
    </row>
    <row r="585" spans="1:21" ht="19.5" x14ac:dyDescent="0.3">
      <c r="A585" s="687"/>
      <c r="B585" s="688"/>
      <c r="C585" s="1034" t="s">
        <v>18</v>
      </c>
      <c r="D585" s="689" t="s">
        <v>38</v>
      </c>
      <c r="E585" s="690"/>
      <c r="F585" s="690"/>
      <c r="G585" s="691"/>
      <c r="H585" s="692"/>
      <c r="I585" s="683"/>
      <c r="J585" s="565"/>
      <c r="K585" s="566"/>
      <c r="L585" s="574"/>
      <c r="M585" s="566"/>
      <c r="N585" s="566"/>
      <c r="O585" s="684"/>
      <c r="P585" s="684"/>
      <c r="Q585" s="566"/>
      <c r="R585" s="566"/>
      <c r="S585" s="566"/>
      <c r="T585" s="684"/>
      <c r="U585" s="684"/>
    </row>
    <row r="586" spans="1:21" ht="12.75" x14ac:dyDescent="0.2">
      <c r="A586" s="973"/>
      <c r="B586" s="974"/>
      <c r="C586" s="961"/>
      <c r="D586" s="974"/>
      <c r="E586" s="961"/>
      <c r="F586" s="974"/>
      <c r="G586" s="975"/>
      <c r="H586" s="975"/>
      <c r="I586" s="963"/>
      <c r="J586" s="963"/>
      <c r="K586" s="964"/>
      <c r="L586" s="965"/>
      <c r="M586" s="964"/>
      <c r="N586" s="964"/>
      <c r="O586" s="964"/>
      <c r="P586" s="964"/>
      <c r="Q586" s="964"/>
      <c r="R586" s="964"/>
      <c r="S586" s="964"/>
      <c r="T586" s="964"/>
      <c r="U586" s="964"/>
    </row>
    <row r="587" spans="1:21" ht="12.75" x14ac:dyDescent="0.2">
      <c r="A587" s="973"/>
      <c r="B587" s="974"/>
      <c r="C587" s="961"/>
      <c r="D587" s="974"/>
      <c r="E587" s="961"/>
      <c r="F587" s="974"/>
      <c r="G587" s="975"/>
      <c r="H587" s="975"/>
      <c r="I587" s="963"/>
      <c r="J587" s="963"/>
      <c r="K587" s="964"/>
      <c r="L587" s="965"/>
      <c r="M587" s="964"/>
      <c r="N587" s="964"/>
      <c r="O587" s="964"/>
      <c r="P587" s="964"/>
      <c r="Q587" s="964"/>
      <c r="R587" s="964"/>
      <c r="S587" s="964"/>
      <c r="T587" s="964"/>
      <c r="U587" s="964"/>
    </row>
    <row r="588" spans="1:21" ht="12.75" x14ac:dyDescent="0.2">
      <c r="A588" s="973"/>
      <c r="B588" s="961"/>
      <c r="C588" s="961"/>
      <c r="D588" s="974"/>
      <c r="E588" s="974"/>
      <c r="F588" s="974"/>
      <c r="G588" s="975"/>
      <c r="H588" s="962"/>
      <c r="I588" s="963"/>
      <c r="J588" s="963"/>
      <c r="K588" s="964"/>
      <c r="L588" s="965"/>
      <c r="M588" s="964"/>
      <c r="N588" s="964"/>
      <c r="O588" s="964"/>
      <c r="P588" s="964"/>
      <c r="Q588" s="964"/>
      <c r="R588" s="964"/>
      <c r="S588" s="964"/>
      <c r="T588" s="964"/>
      <c r="U588" s="964"/>
    </row>
    <row r="589" spans="1:21" ht="12.75" x14ac:dyDescent="0.2">
      <c r="A589" s="973"/>
      <c r="B589" s="961"/>
      <c r="C589" s="961"/>
      <c r="D589" s="974"/>
      <c r="E589" s="974"/>
      <c r="F589" s="974"/>
      <c r="G589" s="975"/>
      <c r="H589" s="962"/>
      <c r="I589" s="963"/>
      <c r="J589" s="963"/>
      <c r="K589" s="964"/>
      <c r="L589" s="965"/>
      <c r="M589" s="964"/>
      <c r="N589" s="964"/>
      <c r="O589" s="964"/>
      <c r="P589" s="964"/>
      <c r="Q589" s="964"/>
      <c r="R589" s="964"/>
      <c r="S589" s="964"/>
      <c r="T589" s="964"/>
      <c r="U589" s="964"/>
    </row>
    <row r="590" spans="1:21" ht="12.75" x14ac:dyDescent="0.2">
      <c r="A590" s="973"/>
      <c r="B590" s="961"/>
      <c r="C590" s="961"/>
      <c r="D590" s="974"/>
      <c r="E590" s="974"/>
      <c r="F590" s="974"/>
      <c r="G590" s="975"/>
      <c r="H590" s="962"/>
      <c r="I590" s="963"/>
      <c r="J590" s="963"/>
      <c r="K590" s="964"/>
      <c r="L590" s="965"/>
      <c r="M590" s="964"/>
      <c r="N590" s="964"/>
      <c r="O590" s="964"/>
      <c r="P590" s="964"/>
      <c r="Q590" s="964"/>
      <c r="R590" s="964"/>
      <c r="S590" s="964"/>
      <c r="T590" s="964"/>
      <c r="U590" s="964"/>
    </row>
    <row r="591" spans="1:21" ht="12.75" x14ac:dyDescent="0.2">
      <c r="A591" s="973"/>
      <c r="B591" s="961"/>
      <c r="C591" s="961"/>
      <c r="D591" s="974"/>
      <c r="E591" s="974"/>
      <c r="F591" s="974"/>
      <c r="G591" s="975"/>
      <c r="H591" s="962"/>
      <c r="I591" s="963"/>
      <c r="J591" s="963"/>
      <c r="K591" s="964"/>
      <c r="L591" s="965"/>
      <c r="M591" s="964"/>
      <c r="N591" s="964"/>
      <c r="O591" s="964"/>
      <c r="P591" s="964"/>
      <c r="Q591" s="964"/>
      <c r="R591" s="964"/>
      <c r="S591" s="964"/>
      <c r="T591" s="964"/>
      <c r="U591" s="964"/>
    </row>
    <row r="592" spans="1:21" ht="12.75" x14ac:dyDescent="0.2">
      <c r="A592" s="973"/>
      <c r="B592" s="961"/>
      <c r="C592" s="961"/>
      <c r="D592" s="974"/>
      <c r="E592" s="974"/>
      <c r="F592" s="974"/>
      <c r="G592" s="975"/>
      <c r="H592" s="962"/>
      <c r="I592" s="963"/>
      <c r="J592" s="963"/>
      <c r="K592" s="964"/>
      <c r="L592" s="965"/>
      <c r="M592" s="964"/>
      <c r="N592" s="964"/>
      <c r="O592" s="964"/>
      <c r="P592" s="964"/>
      <c r="Q592" s="964"/>
      <c r="R592" s="964"/>
      <c r="S592" s="964"/>
      <c r="T592" s="964"/>
      <c r="U592" s="964"/>
    </row>
    <row r="593" spans="1:21" ht="12.75" x14ac:dyDescent="0.2">
      <c r="A593" s="973"/>
      <c r="B593" s="961"/>
      <c r="C593" s="961"/>
      <c r="D593" s="974"/>
      <c r="E593" s="974"/>
      <c r="F593" s="974"/>
      <c r="G593" s="975"/>
      <c r="H593" s="962"/>
      <c r="I593" s="963"/>
      <c r="J593" s="963"/>
      <c r="K593" s="964"/>
      <c r="L593" s="965"/>
      <c r="M593" s="964"/>
      <c r="N593" s="964"/>
      <c r="O593" s="964"/>
      <c r="P593" s="964"/>
      <c r="Q593" s="964"/>
      <c r="R593" s="964"/>
      <c r="S593" s="964"/>
      <c r="T593" s="964"/>
      <c r="U593" s="964"/>
    </row>
    <row r="594" spans="1:21" ht="12.75" x14ac:dyDescent="0.2">
      <c r="A594" s="973"/>
      <c r="B594" s="961"/>
      <c r="C594" s="961"/>
      <c r="D594" s="974"/>
      <c r="E594" s="974"/>
      <c r="F594" s="974"/>
      <c r="G594" s="975"/>
      <c r="H594" s="962"/>
      <c r="I594" s="963"/>
      <c r="J594" s="963"/>
      <c r="K594" s="964"/>
      <c r="L594" s="965"/>
      <c r="M594" s="964"/>
      <c r="N594" s="964"/>
      <c r="O594" s="964"/>
      <c r="P594" s="964"/>
      <c r="Q594" s="964"/>
      <c r="R594" s="964"/>
      <c r="S594" s="964"/>
      <c r="T594" s="964"/>
      <c r="U594" s="964"/>
    </row>
    <row r="595" spans="1:21" ht="12.75" x14ac:dyDescent="0.2">
      <c r="A595" s="1027"/>
      <c r="B595" s="966"/>
      <c r="C595" s="966"/>
      <c r="D595" s="1028"/>
      <c r="E595" s="1028"/>
      <c r="F595" s="1028"/>
      <c r="G595" s="1029"/>
      <c r="H595" s="967"/>
      <c r="I595" s="968"/>
      <c r="J595" s="968"/>
      <c r="K595" s="969"/>
      <c r="L595" s="970"/>
      <c r="M595" s="969"/>
      <c r="N595" s="969"/>
      <c r="O595" s="969"/>
      <c r="P595" s="969"/>
      <c r="Q595" s="969"/>
      <c r="R595" s="969"/>
      <c r="S595" s="969"/>
      <c r="T595" s="969"/>
      <c r="U595" s="969"/>
    </row>
    <row r="596" spans="1:21" ht="19.5" x14ac:dyDescent="0.3">
      <c r="A596" s="1035" t="s">
        <v>213</v>
      </c>
      <c r="B596" s="663"/>
      <c r="C596" s="729"/>
      <c r="D596" s="663"/>
      <c r="E596" s="663"/>
      <c r="F596" s="663"/>
      <c r="G596" s="663"/>
      <c r="H596" s="664"/>
      <c r="I596" s="730"/>
      <c r="J596" s="730"/>
      <c r="K596" s="731"/>
      <c r="L596" s="667"/>
      <c r="M596" s="667"/>
      <c r="N596" s="667"/>
      <c r="O596" s="667"/>
      <c r="P596" s="667"/>
      <c r="Q596" s="667"/>
      <c r="R596" s="667"/>
      <c r="S596" s="667"/>
      <c r="T596" s="667"/>
      <c r="U596" s="667"/>
    </row>
    <row r="597" spans="1:21" ht="19.5" x14ac:dyDescent="0.3">
      <c r="A597" s="669"/>
      <c r="B597" s="1036" t="s">
        <v>214</v>
      </c>
      <c r="C597" s="716"/>
      <c r="D597" s="670"/>
      <c r="E597" s="543"/>
      <c r="F597" s="543"/>
      <c r="G597" s="543"/>
      <c r="H597" s="1037" t="s">
        <v>99</v>
      </c>
      <c r="I597" s="732"/>
      <c r="J597" s="548"/>
      <c r="K597" s="549"/>
      <c r="L597" s="673"/>
      <c r="M597" s="549"/>
      <c r="N597" s="549"/>
      <c r="O597" s="549"/>
      <c r="P597" s="549"/>
      <c r="Q597" s="549"/>
      <c r="R597" s="549"/>
      <c r="S597" s="549"/>
      <c r="T597" s="549"/>
      <c r="U597" s="549"/>
    </row>
    <row r="598" spans="1:21" ht="19.5" x14ac:dyDescent="0.3">
      <c r="A598" s="1038"/>
      <c r="B598" s="1039" t="s">
        <v>215</v>
      </c>
      <c r="C598" s="670"/>
      <c r="D598" s="543"/>
      <c r="E598" s="543"/>
      <c r="F598" s="543"/>
      <c r="G598" s="546"/>
      <c r="H598" s="1040" t="s">
        <v>35</v>
      </c>
      <c r="I598" s="548"/>
      <c r="J598" s="548"/>
      <c r="K598" s="549"/>
      <c r="L598" s="673"/>
      <c r="M598" s="549"/>
      <c r="N598" s="549"/>
      <c r="O598" s="549"/>
      <c r="P598" s="549"/>
      <c r="Q598" s="549"/>
      <c r="R598" s="549"/>
      <c r="S598" s="549"/>
      <c r="T598" s="549"/>
      <c r="U598" s="549"/>
    </row>
    <row r="599" spans="1:21" ht="19.5" x14ac:dyDescent="0.3">
      <c r="A599" s="674"/>
      <c r="B599" s="718"/>
      <c r="C599" s="724" t="s">
        <v>18</v>
      </c>
      <c r="D599" s="1315" t="s">
        <v>19</v>
      </c>
      <c r="E599" s="1311"/>
      <c r="F599" s="1311"/>
      <c r="G599" s="1312"/>
      <c r="H599" s="799" t="s">
        <v>14</v>
      </c>
      <c r="I599" s="565"/>
      <c r="J599" s="565"/>
      <c r="K599" s="566"/>
      <c r="L599" s="678">
        <f t="shared" ref="L599:N599" ca="1" si="367">L600+L601</f>
        <v>9480</v>
      </c>
      <c r="M599" s="679">
        <f t="shared" ca="1" si="367"/>
        <v>0</v>
      </c>
      <c r="N599" s="679">
        <f t="shared" ca="1" si="367"/>
        <v>0</v>
      </c>
      <c r="O599" s="679">
        <f t="shared" ref="O599:O607" ca="1" si="368">IF(L599&gt;0,N599*100/L599,0)</f>
        <v>0</v>
      </c>
      <c r="P599" s="679">
        <f t="shared" ref="P599:P607" ca="1" si="369">IF(M599&gt;0,N599*100/M599,0)</f>
        <v>0</v>
      </c>
      <c r="Q599" s="679">
        <f t="shared" ref="Q599:S599" ca="1" si="370">Q600+Q601</f>
        <v>0</v>
      </c>
      <c r="R599" s="679">
        <f t="shared" ca="1" si="370"/>
        <v>0</v>
      </c>
      <c r="S599" s="679">
        <f t="shared" ca="1" si="370"/>
        <v>0</v>
      </c>
      <c r="T599" s="679">
        <f t="shared" ref="T599:T607" ca="1" si="371">IF(Q599&gt;0,S599*100/Q599,0)</f>
        <v>0</v>
      </c>
      <c r="U599" s="679">
        <f t="shared" ref="U599:U607" ca="1" si="372">IF(R599&gt;0,S599*100/R599,0)</f>
        <v>0</v>
      </c>
    </row>
    <row r="600" spans="1:21" ht="18.75" x14ac:dyDescent="0.25">
      <c r="A600" s="674"/>
      <c r="B600" s="718"/>
      <c r="C600" s="718"/>
      <c r="D600" s="695"/>
      <c r="E600" s="569" t="s">
        <v>158</v>
      </c>
      <c r="F600" s="561"/>
      <c r="G600" s="563"/>
      <c r="H600" s="685" t="s">
        <v>14</v>
      </c>
      <c r="I600" s="565"/>
      <c r="J600" s="565"/>
      <c r="K600" s="566"/>
      <c r="L600" s="571">
        <f t="shared" ref="L600:N601" si="373">L603+L606</f>
        <v>0</v>
      </c>
      <c r="M600" s="572">
        <f t="shared" si="373"/>
        <v>0</v>
      </c>
      <c r="N600" s="572">
        <f t="shared" si="373"/>
        <v>0</v>
      </c>
      <c r="O600" s="572">
        <f t="shared" si="368"/>
        <v>0</v>
      </c>
      <c r="P600" s="572">
        <f t="shared" si="369"/>
        <v>0</v>
      </c>
      <c r="Q600" s="572">
        <f t="shared" ref="Q600:S601" si="374">Q603+Q606</f>
        <v>0</v>
      </c>
      <c r="R600" s="572">
        <f t="shared" si="374"/>
        <v>0</v>
      </c>
      <c r="S600" s="572">
        <f t="shared" si="374"/>
        <v>0</v>
      </c>
      <c r="T600" s="572">
        <f t="shared" si="371"/>
        <v>0</v>
      </c>
      <c r="U600" s="572">
        <f t="shared" si="372"/>
        <v>0</v>
      </c>
    </row>
    <row r="601" spans="1:21" ht="18.75" x14ac:dyDescent="0.25">
      <c r="A601" s="674"/>
      <c r="B601" s="718"/>
      <c r="C601" s="718"/>
      <c r="D601" s="695"/>
      <c r="E601" s="569" t="s">
        <v>159</v>
      </c>
      <c r="F601" s="561"/>
      <c r="G601" s="563"/>
      <c r="H601" s="685" t="s">
        <v>14</v>
      </c>
      <c r="I601" s="565"/>
      <c r="J601" s="565"/>
      <c r="K601" s="566"/>
      <c r="L601" s="567">
        <f t="shared" ca="1" si="373"/>
        <v>9480</v>
      </c>
      <c r="M601" s="568">
        <f t="shared" ca="1" si="373"/>
        <v>0</v>
      </c>
      <c r="N601" s="568">
        <f t="shared" ca="1" si="373"/>
        <v>0</v>
      </c>
      <c r="O601" s="568">
        <f t="shared" ca="1" si="368"/>
        <v>0</v>
      </c>
      <c r="P601" s="568">
        <f t="shared" ca="1" si="369"/>
        <v>0</v>
      </c>
      <c r="Q601" s="568">
        <f t="shared" ca="1" si="374"/>
        <v>0</v>
      </c>
      <c r="R601" s="568">
        <f t="shared" ca="1" si="374"/>
        <v>0</v>
      </c>
      <c r="S601" s="568">
        <f t="shared" ca="1" si="374"/>
        <v>0</v>
      </c>
      <c r="T601" s="568">
        <f t="shared" ca="1" si="371"/>
        <v>0</v>
      </c>
      <c r="U601" s="568">
        <f t="shared" ca="1" si="372"/>
        <v>0</v>
      </c>
    </row>
    <row r="602" spans="1:21" ht="19.5" x14ac:dyDescent="0.3">
      <c r="A602" s="674"/>
      <c r="B602" s="718"/>
      <c r="C602" s="718"/>
      <c r="D602" s="798" t="s">
        <v>22</v>
      </c>
      <c r="E602" s="561"/>
      <c r="F602" s="561"/>
      <c r="G602" s="563"/>
      <c r="H602" s="799" t="s">
        <v>14</v>
      </c>
      <c r="I602" s="683"/>
      <c r="J602" s="683"/>
      <c r="K602" s="684"/>
      <c r="L602" s="567">
        <f t="shared" ref="L602:N602" ca="1" si="375">L603+L604</f>
        <v>9480</v>
      </c>
      <c r="M602" s="568">
        <f t="shared" ca="1" si="375"/>
        <v>0</v>
      </c>
      <c r="N602" s="568">
        <f t="shared" ca="1" si="375"/>
        <v>0</v>
      </c>
      <c r="O602" s="568">
        <f t="shared" ca="1" si="368"/>
        <v>0</v>
      </c>
      <c r="P602" s="568">
        <f t="shared" ca="1" si="369"/>
        <v>0</v>
      </c>
      <c r="Q602" s="568">
        <f t="shared" ref="Q602:S602" ca="1" si="376">Q603+Q604</f>
        <v>0</v>
      </c>
      <c r="R602" s="568">
        <f t="shared" ca="1" si="376"/>
        <v>0</v>
      </c>
      <c r="S602" s="568">
        <f t="shared" ca="1" si="376"/>
        <v>0</v>
      </c>
      <c r="T602" s="568">
        <f t="shared" ca="1" si="371"/>
        <v>0</v>
      </c>
      <c r="U602" s="568">
        <f t="shared" ca="1" si="372"/>
        <v>0</v>
      </c>
    </row>
    <row r="603" spans="1:21" ht="18.75" x14ac:dyDescent="0.25">
      <c r="A603" s="674"/>
      <c r="B603" s="718"/>
      <c r="C603" s="718"/>
      <c r="D603" s="695"/>
      <c r="E603" s="569" t="s">
        <v>158</v>
      </c>
      <c r="F603" s="561"/>
      <c r="G603" s="563"/>
      <c r="H603" s="685" t="s">
        <v>14</v>
      </c>
      <c r="I603" s="565"/>
      <c r="J603" s="565"/>
      <c r="K603" s="566"/>
      <c r="L603" s="571">
        <v>0</v>
      </c>
      <c r="M603" s="572">
        <v>0</v>
      </c>
      <c r="N603" s="572">
        <v>0</v>
      </c>
      <c r="O603" s="572">
        <f t="shared" si="368"/>
        <v>0</v>
      </c>
      <c r="P603" s="572">
        <f t="shared" si="369"/>
        <v>0</v>
      </c>
      <c r="Q603" s="572">
        <v>0</v>
      </c>
      <c r="R603" s="572">
        <v>0</v>
      </c>
      <c r="S603" s="572">
        <v>0</v>
      </c>
      <c r="T603" s="572">
        <f t="shared" si="371"/>
        <v>0</v>
      </c>
      <c r="U603" s="572">
        <f t="shared" si="372"/>
        <v>0</v>
      </c>
    </row>
    <row r="604" spans="1:21" ht="18.75" x14ac:dyDescent="0.25">
      <c r="A604" s="674"/>
      <c r="B604" s="718"/>
      <c r="C604" s="718"/>
      <c r="D604" s="695"/>
      <c r="E604" s="569" t="s">
        <v>159</v>
      </c>
      <c r="F604" s="561"/>
      <c r="G604" s="563"/>
      <c r="H604" s="685" t="s">
        <v>14</v>
      </c>
      <c r="I604" s="565"/>
      <c r="J604" s="565"/>
      <c r="K604" s="566"/>
      <c r="L604" s="567">
        <f ca="1">IFERROR(__xludf.DUMMYFUNCTION("IMPORTRANGE(""https://docs.google.com/spreadsheets/d/1-uDff_7J0KD5mKrp0Vvzr7lt3OU09vwQwhkpOPPYv2Y/edit?usp=sharing"",""งบพรบ!HK24"")"),9480)</f>
        <v>9480</v>
      </c>
      <c r="M604" s="568">
        <f ca="1">IFERROR(__xludf.DUMMYFUNCTION("IMPORTRANGE(""https://docs.google.com/spreadsheets/d/1-uDff_7J0KD5mKrp0Vvzr7lt3OU09vwQwhkpOPPYv2Y/edit?usp=sharing"",""งบพรบ!HP24"")"),0)</f>
        <v>0</v>
      </c>
      <c r="N604" s="568">
        <f ca="1">IFERROR(__xludf.DUMMYFUNCTION("IMPORTRANGE(""https://docs.google.com/spreadsheets/d/1-uDff_7J0KD5mKrp0Vvzr7lt3OU09vwQwhkpOPPYv2Y/edit?usp=sharing"",""งบพรบ!HR24"")"),0)</f>
        <v>0</v>
      </c>
      <c r="O604" s="568">
        <f t="shared" ca="1" si="368"/>
        <v>0</v>
      </c>
      <c r="P604" s="568">
        <f t="shared" ca="1" si="369"/>
        <v>0</v>
      </c>
      <c r="Q604" s="568">
        <f ca="1">IFERROR(__xludf.DUMMYFUNCTION("IMPORTRANGE(""https://docs.google.com/spreadsheets/d/1ItG2mGa2ceCfYo0BwxsXqNm01IGEUdYcSSLTEv9YCik/edit?usp=sharing"",""เบิกจ่ายกองทุน!AV24"")"),0)</f>
        <v>0</v>
      </c>
      <c r="R604" s="568">
        <f ca="1">IFERROR(__xludf.DUMMYFUNCTION("IMPORTRANGE(""https://docs.google.com/spreadsheets/d/1ItG2mGa2ceCfYo0BwxsXqNm01IGEUdYcSSLTEv9YCik/edit?usp=sharing"",""เบิกจ่ายกองทุน!AW24"")"),0)</f>
        <v>0</v>
      </c>
      <c r="S604" s="568">
        <f ca="1">IFERROR(__xludf.DUMMYFUNCTION("IMPORTRANGE(""https://docs.google.com/spreadsheets/d/1ItG2mGa2ceCfYo0BwxsXqNm01IGEUdYcSSLTEv9YCik/edit?usp=sharing"",""เบิกจ่ายกองทุน!AX24"")"),0)</f>
        <v>0</v>
      </c>
      <c r="T604" s="568">
        <f t="shared" ca="1" si="371"/>
        <v>0</v>
      </c>
      <c r="U604" s="568">
        <f t="shared" ca="1" si="372"/>
        <v>0</v>
      </c>
    </row>
    <row r="605" spans="1:21" ht="19.5" x14ac:dyDescent="0.3">
      <c r="A605" s="674"/>
      <c r="B605" s="718"/>
      <c r="C605" s="718"/>
      <c r="D605" s="798" t="s">
        <v>23</v>
      </c>
      <c r="E605" s="718"/>
      <c r="F605" s="561"/>
      <c r="G605" s="563"/>
      <c r="H605" s="1041" t="s">
        <v>14</v>
      </c>
      <c r="I605" s="683"/>
      <c r="J605" s="683"/>
      <c r="K605" s="684"/>
      <c r="L605" s="567">
        <f t="shared" ref="L605:N605" ca="1" si="377">L606+L607</f>
        <v>0</v>
      </c>
      <c r="M605" s="568">
        <f t="shared" ca="1" si="377"/>
        <v>0</v>
      </c>
      <c r="N605" s="568">
        <f t="shared" ca="1" si="377"/>
        <v>0</v>
      </c>
      <c r="O605" s="568">
        <f t="shared" ca="1" si="368"/>
        <v>0</v>
      </c>
      <c r="P605" s="568">
        <f t="shared" ca="1" si="369"/>
        <v>0</v>
      </c>
      <c r="Q605" s="568">
        <f t="shared" ref="Q605:S605" ca="1" si="378">Q606+Q607</f>
        <v>0</v>
      </c>
      <c r="R605" s="568">
        <f t="shared" ca="1" si="378"/>
        <v>0</v>
      </c>
      <c r="S605" s="568">
        <f t="shared" ca="1" si="378"/>
        <v>0</v>
      </c>
      <c r="T605" s="568">
        <f t="shared" ca="1" si="371"/>
        <v>0</v>
      </c>
      <c r="U605" s="568">
        <f t="shared" ca="1" si="372"/>
        <v>0</v>
      </c>
    </row>
    <row r="606" spans="1:21" ht="18.75" x14ac:dyDescent="0.25">
      <c r="A606" s="674"/>
      <c r="B606" s="718"/>
      <c r="C606" s="718"/>
      <c r="D606" s="718"/>
      <c r="E606" s="767" t="s">
        <v>20</v>
      </c>
      <c r="F606" s="561"/>
      <c r="G606" s="563"/>
      <c r="H606" s="685" t="s">
        <v>14</v>
      </c>
      <c r="I606" s="683"/>
      <c r="J606" s="683"/>
      <c r="K606" s="684"/>
      <c r="L606" s="571">
        <v>0</v>
      </c>
      <c r="M606" s="572">
        <v>0</v>
      </c>
      <c r="N606" s="572">
        <v>0</v>
      </c>
      <c r="O606" s="572">
        <f t="shared" si="368"/>
        <v>0</v>
      </c>
      <c r="P606" s="572">
        <f t="shared" si="369"/>
        <v>0</v>
      </c>
      <c r="Q606" s="572">
        <v>0</v>
      </c>
      <c r="R606" s="572">
        <v>0</v>
      </c>
      <c r="S606" s="572">
        <v>0</v>
      </c>
      <c r="T606" s="572">
        <f t="shared" si="371"/>
        <v>0</v>
      </c>
      <c r="U606" s="572">
        <f t="shared" si="372"/>
        <v>0</v>
      </c>
    </row>
    <row r="607" spans="1:21" ht="18.75" x14ac:dyDescent="0.25">
      <c r="A607" s="674"/>
      <c r="B607" s="718"/>
      <c r="C607" s="718"/>
      <c r="D607" s="561"/>
      <c r="E607" s="767" t="s">
        <v>21</v>
      </c>
      <c r="F607" s="561"/>
      <c r="G607" s="563"/>
      <c r="H607" s="734" t="s">
        <v>14</v>
      </c>
      <c r="I607" s="683"/>
      <c r="J607" s="683"/>
      <c r="K607" s="684"/>
      <c r="L607" s="567">
        <f ca="1">IFERROR(__xludf.DUMMYFUNCTION("IMPORTRANGE(""https://docs.google.com/spreadsheets/d/1-uDff_7J0KD5mKrp0Vvzr7lt3OU09vwQwhkpOPPYv2Y/edit?usp=sharing"",""งบพรบ!HN24"")"),0)</f>
        <v>0</v>
      </c>
      <c r="M607" s="568">
        <f ca="1">IFERROR(__xludf.DUMMYFUNCTION("IMPORTRANGE(""https://docs.google.com/spreadsheets/d/1-uDff_7J0KD5mKrp0Vvzr7lt3OU09vwQwhkpOPPYv2Y/edit?usp=sharing"",""งบพรบ!HQ24"")"),0)</f>
        <v>0</v>
      </c>
      <c r="N607" s="568">
        <f ca="1">IFERROR(__xludf.DUMMYFUNCTION("IMPORTRANGE(""https://docs.google.com/spreadsheets/d/1-uDff_7J0KD5mKrp0Vvzr7lt3OU09vwQwhkpOPPYv2Y/edit?usp=sharing"",""งบพรบ!HS24"")"),0)</f>
        <v>0</v>
      </c>
      <c r="O607" s="568">
        <f t="shared" ca="1" si="368"/>
        <v>0</v>
      </c>
      <c r="P607" s="568">
        <f t="shared" ca="1" si="369"/>
        <v>0</v>
      </c>
      <c r="Q607" s="568">
        <f ca="1">IFERROR(__xludf.DUMMYFUNCTION("IMPORTRANGE(""https://docs.google.com/spreadsheets/d/1ItG2mGa2ceCfYo0BwxsXqNm01IGEUdYcSSLTEv9YCik/edit?usp=sharing"",""เบิกจ่ายกองทุน!AY24"")"),0)</f>
        <v>0</v>
      </c>
      <c r="R607" s="568">
        <f ca="1">IFERROR(__xludf.DUMMYFUNCTION("IMPORTRANGE(""https://docs.google.com/spreadsheets/d/1ItG2mGa2ceCfYo0BwxsXqNm01IGEUdYcSSLTEv9YCik/edit?usp=sharing"",""เบิกจ่ายกองทุน!AZ24"")"),0)</f>
        <v>0</v>
      </c>
      <c r="S607" s="568">
        <f ca="1">IFERROR(__xludf.DUMMYFUNCTION("IMPORTRANGE(""https://docs.google.com/spreadsheets/d/1ItG2mGa2ceCfYo0BwxsXqNm01IGEUdYcSSLTEv9YCik/edit?usp=sharing"",""เบิกจ่ายกองทุน!BA24"")"),0)</f>
        <v>0</v>
      </c>
      <c r="T607" s="568">
        <f t="shared" ca="1" si="371"/>
        <v>0</v>
      </c>
      <c r="U607" s="568">
        <f t="shared" ca="1" si="372"/>
        <v>0</v>
      </c>
    </row>
    <row r="608" spans="1:21" ht="19.5" x14ac:dyDescent="0.3">
      <c r="A608" s="687"/>
      <c r="B608" s="688"/>
      <c r="C608" s="724" t="s">
        <v>18</v>
      </c>
      <c r="D608" s="801" t="s">
        <v>38</v>
      </c>
      <c r="E608" s="690"/>
      <c r="F608" s="690"/>
      <c r="G608" s="691"/>
      <c r="H608" s="725"/>
      <c r="I608" s="683"/>
      <c r="J608" s="683"/>
      <c r="K608" s="684"/>
      <c r="L608" s="574"/>
      <c r="M608" s="566"/>
      <c r="N608" s="566"/>
      <c r="O608" s="566"/>
      <c r="P608" s="566"/>
      <c r="Q608" s="566"/>
      <c r="R608" s="566"/>
      <c r="S608" s="566"/>
      <c r="T608" s="566"/>
      <c r="U608" s="566"/>
    </row>
    <row r="609" spans="1:21" ht="18.75" x14ac:dyDescent="0.25">
      <c r="A609" s="687"/>
      <c r="B609" s="688"/>
      <c r="C609" s="688"/>
      <c r="D609" s="1042" t="s">
        <v>216</v>
      </c>
      <c r="E609" s="695"/>
      <c r="F609" s="695"/>
      <c r="G609" s="692"/>
      <c r="H609" s="685" t="s">
        <v>99</v>
      </c>
      <c r="I609" s="565"/>
      <c r="J609" s="565"/>
      <c r="K609" s="684"/>
      <c r="L609" s="574"/>
      <c r="M609" s="566"/>
      <c r="N609" s="566"/>
      <c r="O609" s="566"/>
      <c r="P609" s="566"/>
      <c r="Q609" s="566"/>
      <c r="R609" s="566"/>
      <c r="S609" s="566"/>
      <c r="T609" s="566"/>
      <c r="U609" s="566"/>
    </row>
    <row r="610" spans="1:21" ht="19.5" x14ac:dyDescent="0.3">
      <c r="A610" s="687"/>
      <c r="B610" s="688"/>
      <c r="C610" s="688"/>
      <c r="D610" s="1042" t="s">
        <v>217</v>
      </c>
      <c r="E610" s="695"/>
      <c r="F610" s="695"/>
      <c r="G610" s="692"/>
      <c r="H610" s="799" t="s">
        <v>35</v>
      </c>
      <c r="I610" s="565"/>
      <c r="J610" s="565"/>
      <c r="K610" s="684"/>
      <c r="L610" s="574"/>
      <c r="M610" s="566"/>
      <c r="N610" s="566"/>
      <c r="O610" s="566"/>
      <c r="P610" s="566"/>
      <c r="Q610" s="566"/>
      <c r="R610" s="566"/>
      <c r="S610" s="566"/>
      <c r="T610" s="566"/>
      <c r="U610" s="566"/>
    </row>
    <row r="611" spans="1:21" ht="18.75" x14ac:dyDescent="0.25">
      <c r="A611" s="687"/>
      <c r="B611" s="688"/>
      <c r="C611" s="688"/>
      <c r="D611" s="688"/>
      <c r="E611" s="1042" t="s">
        <v>218</v>
      </c>
      <c r="F611" s="695"/>
      <c r="G611" s="692"/>
      <c r="H611" s="734" t="s">
        <v>35</v>
      </c>
      <c r="I611" s="565"/>
      <c r="J611" s="565"/>
      <c r="K611" s="684"/>
      <c r="L611" s="574"/>
      <c r="M611" s="566"/>
      <c r="N611" s="566"/>
      <c r="O611" s="566"/>
      <c r="P611" s="566"/>
      <c r="Q611" s="566"/>
      <c r="R611" s="566"/>
      <c r="S611" s="566"/>
      <c r="T611" s="566"/>
      <c r="U611" s="566"/>
    </row>
    <row r="612" spans="1:21" ht="19.5" thickBot="1" x14ac:dyDescent="0.3">
      <c r="A612" s="1043"/>
      <c r="B612" s="1044"/>
      <c r="C612" s="1044"/>
      <c r="D612" s="1044"/>
      <c r="E612" s="1045" t="s">
        <v>219</v>
      </c>
      <c r="F612" s="1046"/>
      <c r="G612" s="1047"/>
      <c r="H612" s="1048" t="s">
        <v>35</v>
      </c>
      <c r="I612" s="1049"/>
      <c r="J612" s="1049"/>
      <c r="K612" s="1050"/>
      <c r="L612" s="1051"/>
      <c r="M612" s="1052"/>
      <c r="N612" s="1052"/>
      <c r="O612" s="1052"/>
      <c r="P612" s="1052"/>
      <c r="Q612" s="1052"/>
      <c r="R612" s="1052"/>
      <c r="S612" s="1052"/>
      <c r="T612" s="1052"/>
      <c r="U612" s="1052"/>
    </row>
    <row r="613" spans="1:21" ht="19.5" x14ac:dyDescent="0.3">
      <c r="A613" s="1053" t="s">
        <v>220</v>
      </c>
      <c r="B613" s="1054"/>
      <c r="C613" s="1054"/>
      <c r="D613" s="1055"/>
      <c r="E613" s="1055"/>
      <c r="F613" s="1055"/>
      <c r="G613" s="1056"/>
      <c r="H613" s="1057"/>
      <c r="I613" s="1058"/>
      <c r="J613" s="1058"/>
      <c r="K613" s="1059"/>
      <c r="L613" s="1060"/>
      <c r="M613" s="1059"/>
      <c r="N613" s="1059"/>
      <c r="O613" s="1059"/>
      <c r="P613" s="1059"/>
      <c r="Q613" s="1059"/>
      <c r="R613" s="1059"/>
      <c r="S613" s="1059"/>
      <c r="T613" s="1059"/>
      <c r="U613" s="1059"/>
    </row>
    <row r="614" spans="1:21" ht="19.5" x14ac:dyDescent="0.3">
      <c r="A614" s="1061"/>
      <c r="B614" s="1062" t="s">
        <v>221</v>
      </c>
      <c r="C614" s="1061"/>
      <c r="D614" s="1063"/>
      <c r="E614" s="1063"/>
      <c r="F614" s="1063"/>
      <c r="G614" s="1064"/>
      <c r="H614" s="1065"/>
      <c r="I614" s="1066"/>
      <c r="J614" s="1066"/>
      <c r="K614" s="1067"/>
      <c r="L614" s="1068"/>
      <c r="M614" s="1067"/>
      <c r="N614" s="1067"/>
      <c r="O614" s="1067"/>
      <c r="P614" s="1067"/>
      <c r="Q614" s="1067"/>
      <c r="R614" s="1067"/>
      <c r="S614" s="1067"/>
      <c r="T614" s="1067"/>
      <c r="U614" s="1067"/>
    </row>
    <row r="615" spans="1:21" ht="19.5" x14ac:dyDescent="0.3">
      <c r="A615" s="1069"/>
      <c r="B615" s="1070" t="s">
        <v>222</v>
      </c>
      <c r="C615" s="1069"/>
      <c r="D615" s="1071"/>
      <c r="E615" s="1071"/>
      <c r="F615" s="1071"/>
      <c r="G615" s="1072"/>
      <c r="H615" s="1073" t="s">
        <v>46</v>
      </c>
      <c r="I615" s="1074">
        <f t="shared" ref="I615:J615" ca="1" si="379">I626</f>
        <v>50</v>
      </c>
      <c r="J615" s="1074">
        <f t="shared" si="379"/>
        <v>0</v>
      </c>
      <c r="K615" s="1075">
        <f ca="1">IF(I615&gt;0,J615*100/I615,0)</f>
        <v>0</v>
      </c>
      <c r="L615" s="1076"/>
      <c r="M615" s="1077"/>
      <c r="N615" s="1077"/>
      <c r="O615" s="1077"/>
      <c r="P615" s="1077"/>
      <c r="Q615" s="1077"/>
      <c r="R615" s="1077"/>
      <c r="S615" s="1077"/>
      <c r="T615" s="1077"/>
      <c r="U615" s="1077"/>
    </row>
    <row r="616" spans="1:21" ht="19.5" x14ac:dyDescent="0.3">
      <c r="A616" s="674"/>
      <c r="B616" s="718"/>
      <c r="C616" s="724" t="s">
        <v>18</v>
      </c>
      <c r="D616" s="1310" t="s">
        <v>19</v>
      </c>
      <c r="E616" s="1311"/>
      <c r="F616" s="1311"/>
      <c r="G616" s="1312"/>
      <c r="H616" s="780" t="s">
        <v>14</v>
      </c>
      <c r="I616" s="565"/>
      <c r="J616" s="565"/>
      <c r="K616" s="566"/>
      <c r="L616" s="678">
        <f t="shared" ref="L616:N616" si="380">L617+L618</f>
        <v>0</v>
      </c>
      <c r="M616" s="679">
        <f t="shared" si="380"/>
        <v>0</v>
      </c>
      <c r="N616" s="679">
        <f t="shared" si="380"/>
        <v>0</v>
      </c>
      <c r="O616" s="679">
        <f t="shared" ref="O616:O624" si="381">IF(L616&gt;0,N616*100/L616,0)</f>
        <v>0</v>
      </c>
      <c r="P616" s="679">
        <f t="shared" ref="P616:P624" si="382">IF(M616&gt;0,N616*100/M616,0)</f>
        <v>0</v>
      </c>
      <c r="Q616" s="679">
        <f t="shared" ref="Q616:S616" ca="1" si="383">Q617+Q618</f>
        <v>7300</v>
      </c>
      <c r="R616" s="679">
        <f t="shared" ca="1" si="383"/>
        <v>7300</v>
      </c>
      <c r="S616" s="679">
        <f t="shared" ca="1" si="383"/>
        <v>1161</v>
      </c>
      <c r="T616" s="679">
        <f t="shared" ref="T616:T624" ca="1" si="384">IF(Q616&gt;0,S616*100/Q616,0)</f>
        <v>15.904109589041095</v>
      </c>
      <c r="U616" s="679">
        <f t="shared" ref="U616:U624" ca="1" si="385">IF(R616&gt;0,S616*100/R616,0)</f>
        <v>15.904109589041095</v>
      </c>
    </row>
    <row r="617" spans="1:21" ht="18.75" x14ac:dyDescent="0.25">
      <c r="A617" s="674"/>
      <c r="B617" s="718"/>
      <c r="C617" s="718"/>
      <c r="D617" s="695"/>
      <c r="E617" s="569" t="s">
        <v>158</v>
      </c>
      <c r="F617" s="561"/>
      <c r="G617" s="563"/>
      <c r="H617" s="685" t="s">
        <v>14</v>
      </c>
      <c r="I617" s="565"/>
      <c r="J617" s="565"/>
      <c r="K617" s="566"/>
      <c r="L617" s="571">
        <f t="shared" ref="L617:N618" si="386">L620+L623</f>
        <v>0</v>
      </c>
      <c r="M617" s="572">
        <f t="shared" si="386"/>
        <v>0</v>
      </c>
      <c r="N617" s="572">
        <f t="shared" si="386"/>
        <v>0</v>
      </c>
      <c r="O617" s="572">
        <f t="shared" si="381"/>
        <v>0</v>
      </c>
      <c r="P617" s="572">
        <f t="shared" si="382"/>
        <v>0</v>
      </c>
      <c r="Q617" s="572">
        <f t="shared" ref="Q617:S618" si="387">Q620+Q623</f>
        <v>0</v>
      </c>
      <c r="R617" s="572">
        <f t="shared" si="387"/>
        <v>0</v>
      </c>
      <c r="S617" s="572">
        <f t="shared" si="387"/>
        <v>0</v>
      </c>
      <c r="T617" s="572">
        <f t="shared" si="384"/>
        <v>0</v>
      </c>
      <c r="U617" s="572">
        <f t="shared" si="385"/>
        <v>0</v>
      </c>
    </row>
    <row r="618" spans="1:21" ht="18.75" x14ac:dyDescent="0.25">
      <c r="A618" s="674"/>
      <c r="B618" s="718"/>
      <c r="C618" s="718"/>
      <c r="D618" s="695"/>
      <c r="E618" s="573" t="s">
        <v>159</v>
      </c>
      <c r="F618" s="561"/>
      <c r="G618" s="563"/>
      <c r="H618" s="682" t="s">
        <v>14</v>
      </c>
      <c r="I618" s="565"/>
      <c r="J618" s="565"/>
      <c r="K618" s="566"/>
      <c r="L618" s="567">
        <f t="shared" si="386"/>
        <v>0</v>
      </c>
      <c r="M618" s="568">
        <f t="shared" si="386"/>
        <v>0</v>
      </c>
      <c r="N618" s="568">
        <f t="shared" si="386"/>
        <v>0</v>
      </c>
      <c r="O618" s="568">
        <f t="shared" si="381"/>
        <v>0</v>
      </c>
      <c r="P618" s="568">
        <f t="shared" si="382"/>
        <v>0</v>
      </c>
      <c r="Q618" s="568">
        <f t="shared" ca="1" si="387"/>
        <v>7300</v>
      </c>
      <c r="R618" s="568">
        <f t="shared" ca="1" si="387"/>
        <v>7300</v>
      </c>
      <c r="S618" s="568">
        <f t="shared" ca="1" si="387"/>
        <v>1161</v>
      </c>
      <c r="T618" s="568">
        <f t="shared" ca="1" si="384"/>
        <v>15.904109589041095</v>
      </c>
      <c r="U618" s="568">
        <f t="shared" ca="1" si="385"/>
        <v>15.904109589041095</v>
      </c>
    </row>
    <row r="619" spans="1:21" ht="18.75" x14ac:dyDescent="0.25">
      <c r="A619" s="674"/>
      <c r="B619" s="718"/>
      <c r="C619" s="718"/>
      <c r="D619" s="562" t="s">
        <v>22</v>
      </c>
      <c r="E619" s="561"/>
      <c r="F619" s="561"/>
      <c r="G619" s="563"/>
      <c r="H619" s="682" t="s">
        <v>14</v>
      </c>
      <c r="I619" s="683"/>
      <c r="J619" s="683"/>
      <c r="K619" s="684"/>
      <c r="L619" s="567">
        <f t="shared" ref="L619:N619" si="388">L620+L621</f>
        <v>0</v>
      </c>
      <c r="M619" s="568">
        <f t="shared" si="388"/>
        <v>0</v>
      </c>
      <c r="N619" s="568">
        <f t="shared" si="388"/>
        <v>0</v>
      </c>
      <c r="O619" s="568">
        <f t="shared" si="381"/>
        <v>0</v>
      </c>
      <c r="P619" s="568">
        <f t="shared" si="382"/>
        <v>0</v>
      </c>
      <c r="Q619" s="568">
        <f t="shared" ref="Q619:S619" ca="1" si="389">Q620+Q621</f>
        <v>7300</v>
      </c>
      <c r="R619" s="568">
        <f t="shared" ca="1" si="389"/>
        <v>7300</v>
      </c>
      <c r="S619" s="568">
        <f t="shared" ca="1" si="389"/>
        <v>1161</v>
      </c>
      <c r="T619" s="568">
        <f t="shared" ca="1" si="384"/>
        <v>15.904109589041095</v>
      </c>
      <c r="U619" s="568">
        <f t="shared" ca="1" si="385"/>
        <v>15.904109589041095</v>
      </c>
    </row>
    <row r="620" spans="1:21" ht="18.75" x14ac:dyDescent="0.25">
      <c r="A620" s="674"/>
      <c r="B620" s="718"/>
      <c r="C620" s="718"/>
      <c r="D620" s="695"/>
      <c r="E620" s="569" t="s">
        <v>158</v>
      </c>
      <c r="F620" s="561"/>
      <c r="G620" s="563"/>
      <c r="H620" s="685" t="s">
        <v>14</v>
      </c>
      <c r="I620" s="565"/>
      <c r="J620" s="565"/>
      <c r="K620" s="566"/>
      <c r="L620" s="571">
        <v>0</v>
      </c>
      <c r="M620" s="572">
        <v>0</v>
      </c>
      <c r="N620" s="572">
        <v>0</v>
      </c>
      <c r="O620" s="572">
        <f t="shared" si="381"/>
        <v>0</v>
      </c>
      <c r="P620" s="572">
        <f t="shared" si="382"/>
        <v>0</v>
      </c>
      <c r="Q620" s="572">
        <v>0</v>
      </c>
      <c r="R620" s="572">
        <v>0</v>
      </c>
      <c r="S620" s="572">
        <v>0</v>
      </c>
      <c r="T620" s="572">
        <f t="shared" si="384"/>
        <v>0</v>
      </c>
      <c r="U620" s="572">
        <f t="shared" si="385"/>
        <v>0</v>
      </c>
    </row>
    <row r="621" spans="1:21" ht="18.75" x14ac:dyDescent="0.25">
      <c r="A621" s="674"/>
      <c r="B621" s="718"/>
      <c r="C621" s="718"/>
      <c r="D621" s="695"/>
      <c r="E621" s="573" t="s">
        <v>159</v>
      </c>
      <c r="F621" s="561"/>
      <c r="G621" s="563"/>
      <c r="H621" s="682" t="s">
        <v>14</v>
      </c>
      <c r="I621" s="565"/>
      <c r="J621" s="565"/>
      <c r="K621" s="566"/>
      <c r="L621" s="567">
        <v>0</v>
      </c>
      <c r="M621" s="568">
        <v>0</v>
      </c>
      <c r="N621" s="568">
        <v>0</v>
      </c>
      <c r="O621" s="568">
        <f t="shared" si="381"/>
        <v>0</v>
      </c>
      <c r="P621" s="568">
        <f t="shared" si="382"/>
        <v>0</v>
      </c>
      <c r="Q621" s="568">
        <f ca="1">IFERROR(__xludf.DUMMYFUNCTION("IMPORTRANGE(""https://docs.google.com/spreadsheets/d/1ItG2mGa2ceCfYo0BwxsXqNm01IGEUdYcSSLTEv9YCik/edit?usp=sharing"",""เบิกจ่ายกองทุน!F24"")"),7300)</f>
        <v>7300</v>
      </c>
      <c r="R621" s="568">
        <f ca="1">IFERROR(__xludf.DUMMYFUNCTION("IMPORTRANGE(""https://docs.google.com/spreadsheets/d/1ItG2mGa2ceCfYo0BwxsXqNm01IGEUdYcSSLTEv9YCik/edit?usp=sharing"",""เบิกจ่ายกองทุน!G24"")"),7300)</f>
        <v>7300</v>
      </c>
      <c r="S621" s="568">
        <f ca="1">IFERROR(__xludf.DUMMYFUNCTION("IMPORTRANGE(""https://docs.google.com/spreadsheets/d/1ItG2mGa2ceCfYo0BwxsXqNm01IGEUdYcSSLTEv9YCik/edit?usp=sharing"",""เบิกจ่ายกองทุน!H24"")"),1161)</f>
        <v>1161</v>
      </c>
      <c r="T621" s="568">
        <f t="shared" ca="1" si="384"/>
        <v>15.904109589041095</v>
      </c>
      <c r="U621" s="568">
        <f t="shared" ca="1" si="385"/>
        <v>15.904109589041095</v>
      </c>
    </row>
    <row r="622" spans="1:21" ht="18.75" x14ac:dyDescent="0.25">
      <c r="A622" s="674"/>
      <c r="B622" s="718"/>
      <c r="C622" s="718"/>
      <c r="D622" s="562" t="s">
        <v>23</v>
      </c>
      <c r="E622" s="561"/>
      <c r="F622" s="561"/>
      <c r="G622" s="563"/>
      <c r="H622" s="686" t="s">
        <v>14</v>
      </c>
      <c r="I622" s="683"/>
      <c r="J622" s="683"/>
      <c r="K622" s="684"/>
      <c r="L622" s="567">
        <f t="shared" ref="L622:N622" si="390">L623+L624</f>
        <v>0</v>
      </c>
      <c r="M622" s="568">
        <f t="shared" si="390"/>
        <v>0</v>
      </c>
      <c r="N622" s="568">
        <f t="shared" si="390"/>
        <v>0</v>
      </c>
      <c r="O622" s="568">
        <f t="shared" si="381"/>
        <v>0</v>
      </c>
      <c r="P622" s="568">
        <f t="shared" si="382"/>
        <v>0</v>
      </c>
      <c r="Q622" s="568">
        <f t="shared" ref="Q622:S622" si="391">Q623+Q624</f>
        <v>0</v>
      </c>
      <c r="R622" s="568">
        <f t="shared" si="391"/>
        <v>0</v>
      </c>
      <c r="S622" s="568">
        <f t="shared" si="391"/>
        <v>0</v>
      </c>
      <c r="T622" s="568">
        <f t="shared" si="384"/>
        <v>0</v>
      </c>
      <c r="U622" s="568">
        <f t="shared" si="385"/>
        <v>0</v>
      </c>
    </row>
    <row r="623" spans="1:21" ht="18.75" x14ac:dyDescent="0.25">
      <c r="A623" s="674"/>
      <c r="B623" s="718"/>
      <c r="C623" s="718"/>
      <c r="D623" s="718"/>
      <c r="E623" s="569" t="s">
        <v>20</v>
      </c>
      <c r="F623" s="561"/>
      <c r="G623" s="563"/>
      <c r="H623" s="685" t="s">
        <v>14</v>
      </c>
      <c r="I623" s="683"/>
      <c r="J623" s="683"/>
      <c r="K623" s="684"/>
      <c r="L623" s="571">
        <v>0</v>
      </c>
      <c r="M623" s="572">
        <v>0</v>
      </c>
      <c r="N623" s="572">
        <v>0</v>
      </c>
      <c r="O623" s="572">
        <f t="shared" si="381"/>
        <v>0</v>
      </c>
      <c r="P623" s="572">
        <f t="shared" si="382"/>
        <v>0</v>
      </c>
      <c r="Q623" s="572">
        <v>0</v>
      </c>
      <c r="R623" s="572">
        <v>0</v>
      </c>
      <c r="S623" s="572">
        <v>0</v>
      </c>
      <c r="T623" s="572">
        <f t="shared" si="384"/>
        <v>0</v>
      </c>
      <c r="U623" s="572">
        <f t="shared" si="385"/>
        <v>0</v>
      </c>
    </row>
    <row r="624" spans="1:21" ht="18.75" x14ac:dyDescent="0.25">
      <c r="A624" s="674"/>
      <c r="B624" s="718"/>
      <c r="C624" s="718"/>
      <c r="D624" s="718"/>
      <c r="E624" s="573" t="s">
        <v>21</v>
      </c>
      <c r="F624" s="561"/>
      <c r="G624" s="563"/>
      <c r="H624" s="686" t="s">
        <v>14</v>
      </c>
      <c r="I624" s="683"/>
      <c r="J624" s="683"/>
      <c r="K624" s="684"/>
      <c r="L624" s="567">
        <v>0</v>
      </c>
      <c r="M624" s="568">
        <v>0</v>
      </c>
      <c r="N624" s="568">
        <v>0</v>
      </c>
      <c r="O624" s="568">
        <f t="shared" si="381"/>
        <v>0</v>
      </c>
      <c r="P624" s="568">
        <f t="shared" si="382"/>
        <v>0</v>
      </c>
      <c r="Q624" s="568">
        <v>0</v>
      </c>
      <c r="R624" s="568">
        <v>0</v>
      </c>
      <c r="S624" s="568">
        <v>0</v>
      </c>
      <c r="T624" s="568">
        <f t="shared" si="384"/>
        <v>0</v>
      </c>
      <c r="U624" s="568">
        <f t="shared" si="385"/>
        <v>0</v>
      </c>
    </row>
    <row r="625" spans="1:21" ht="19.5" x14ac:dyDescent="0.3">
      <c r="A625" s="687"/>
      <c r="B625" s="688"/>
      <c r="C625" s="724" t="s">
        <v>18</v>
      </c>
      <c r="D625" s="1078" t="s">
        <v>38</v>
      </c>
      <c r="E625" s="690"/>
      <c r="F625" s="690"/>
      <c r="G625" s="691"/>
      <c r="H625" s="725"/>
      <c r="I625" s="683"/>
      <c r="J625" s="683"/>
      <c r="K625" s="684"/>
      <c r="L625" s="693"/>
      <c r="M625" s="684"/>
      <c r="N625" s="684"/>
      <c r="O625" s="684"/>
      <c r="P625" s="684"/>
      <c r="Q625" s="684"/>
      <c r="R625" s="684"/>
      <c r="S625" s="684"/>
      <c r="T625" s="684"/>
      <c r="U625" s="684"/>
    </row>
    <row r="626" spans="1:21" ht="19.5" x14ac:dyDescent="0.3">
      <c r="A626" s="687"/>
      <c r="B626" s="688"/>
      <c r="C626" s="688"/>
      <c r="D626" s="1079" t="s">
        <v>223</v>
      </c>
      <c r="E626" s="695"/>
      <c r="F626" s="695"/>
      <c r="G626" s="692"/>
      <c r="H626" s="1080" t="s">
        <v>46</v>
      </c>
      <c r="I626" s="697">
        <f ca="1">IFERROR(__xludf.DUMMYFUNCTION("IMPORTRANGE(""https://docs.google.com/spreadsheets/d/1eHaY18a8A9IcSdp1K8H6x8fbOy06t2VsZHhMHf-1x7Y/edit?usp=sharing"",""แผน!ID24"")"),50)</f>
        <v>50</v>
      </c>
      <c r="J626" s="697">
        <f>J632</f>
        <v>0</v>
      </c>
      <c r="K626" s="679">
        <f ca="1">IF(I626&gt;0,J626*100/I626,0)</f>
        <v>0</v>
      </c>
      <c r="L626" s="693"/>
      <c r="M626" s="684"/>
      <c r="N626" s="684"/>
      <c r="O626" s="684"/>
      <c r="P626" s="684"/>
      <c r="Q626" s="684"/>
      <c r="R626" s="684"/>
      <c r="S626" s="684"/>
      <c r="T626" s="684"/>
      <c r="U626" s="684"/>
    </row>
    <row r="627" spans="1:21" ht="18.75" x14ac:dyDescent="0.25">
      <c r="A627" s="687"/>
      <c r="B627" s="688"/>
      <c r="C627" s="688"/>
      <c r="D627" s="688"/>
      <c r="E627" s="699" t="s">
        <v>224</v>
      </c>
      <c r="F627" s="695"/>
      <c r="G627" s="692"/>
      <c r="H627" s="686" t="s">
        <v>61</v>
      </c>
      <c r="I627" s="708">
        <f ca="1">IFERROR(__xludf.DUMMYFUNCTION("IMPORTRANGE(""https://docs.google.com/spreadsheets/d/1eHaY18a8A9IcSdp1K8H6x8fbOy06t2VsZHhMHf-1x7Y/edit?usp=sharing"",""แผน!IC24"")"),1)</f>
        <v>1</v>
      </c>
      <c r="J627" s="702">
        <v>1</v>
      </c>
      <c r="K627" s="568">
        <f t="shared" ref="K627:K628" ca="1" si="392">IF(I627&gt;0,(J627*100)/I627,0)</f>
        <v>100</v>
      </c>
      <c r="L627" s="693"/>
      <c r="M627" s="684"/>
      <c r="N627" s="684"/>
      <c r="O627" s="684"/>
      <c r="P627" s="684"/>
      <c r="Q627" s="684"/>
      <c r="R627" s="684"/>
      <c r="S627" s="684"/>
      <c r="T627" s="684"/>
      <c r="U627" s="684"/>
    </row>
    <row r="628" spans="1:21" ht="18.75" x14ac:dyDescent="0.25">
      <c r="A628" s="687"/>
      <c r="B628" s="688"/>
      <c r="C628" s="688"/>
      <c r="D628" s="688"/>
      <c r="E628" s="699" t="s">
        <v>225</v>
      </c>
      <c r="F628" s="695"/>
      <c r="G628" s="692"/>
      <c r="H628" s="686" t="s">
        <v>61</v>
      </c>
      <c r="I628" s="708">
        <f ca="1">IFERROR(__xludf.DUMMYFUNCTION("IMPORTRANGE(""https://docs.google.com/spreadsheets/d/1eHaY18a8A9IcSdp1K8H6x8fbOy06t2VsZHhMHf-1x7Y/edit?usp=sharing"",""แผน!IC24"")"),1)</f>
        <v>1</v>
      </c>
      <c r="J628" s="702">
        <v>1</v>
      </c>
      <c r="K628" s="568">
        <f t="shared" ca="1" si="392"/>
        <v>100</v>
      </c>
      <c r="L628" s="693"/>
      <c r="M628" s="684"/>
      <c r="N628" s="684"/>
      <c r="O628" s="684"/>
      <c r="P628" s="684"/>
      <c r="Q628" s="684"/>
      <c r="R628" s="684"/>
      <c r="S628" s="684"/>
      <c r="T628" s="684"/>
      <c r="U628" s="684"/>
    </row>
    <row r="629" spans="1:21" ht="18.75" x14ac:dyDescent="0.25">
      <c r="A629" s="687"/>
      <c r="B629" s="688"/>
      <c r="C629" s="688"/>
      <c r="D629" s="688"/>
      <c r="E629" s="699" t="s">
        <v>226</v>
      </c>
      <c r="F629" s="695"/>
      <c r="G629" s="692"/>
      <c r="H629" s="686" t="s">
        <v>46</v>
      </c>
      <c r="I629" s="565"/>
      <c r="J629" s="702">
        <v>0</v>
      </c>
      <c r="K629" s="568">
        <f t="shared" ref="K629:K631" ca="1" si="393">IF(I$626&gt;0,J629*100/I$626,0)</f>
        <v>0</v>
      </c>
      <c r="L629" s="693"/>
      <c r="M629" s="684"/>
      <c r="N629" s="684"/>
      <c r="O629" s="684"/>
      <c r="P629" s="684"/>
      <c r="Q629" s="684"/>
      <c r="R629" s="684"/>
      <c r="S629" s="684"/>
      <c r="T629" s="684"/>
      <c r="U629" s="684"/>
    </row>
    <row r="630" spans="1:21" ht="18.75" x14ac:dyDescent="0.25">
      <c r="A630" s="687"/>
      <c r="B630" s="688"/>
      <c r="C630" s="688"/>
      <c r="D630" s="688"/>
      <c r="E630" s="699" t="s">
        <v>227</v>
      </c>
      <c r="F630" s="695"/>
      <c r="G630" s="692"/>
      <c r="H630" s="686" t="s">
        <v>46</v>
      </c>
      <c r="I630" s="565"/>
      <c r="J630" s="702">
        <v>0</v>
      </c>
      <c r="K630" s="568">
        <f t="shared" ca="1" si="393"/>
        <v>0</v>
      </c>
      <c r="L630" s="693"/>
      <c r="M630" s="684"/>
      <c r="N630" s="684"/>
      <c r="O630" s="684"/>
      <c r="P630" s="684"/>
      <c r="Q630" s="684"/>
      <c r="R630" s="684"/>
      <c r="S630" s="684"/>
      <c r="T630" s="684"/>
      <c r="U630" s="684"/>
    </row>
    <row r="631" spans="1:21" ht="18.75" x14ac:dyDescent="0.25">
      <c r="A631" s="687"/>
      <c r="B631" s="688"/>
      <c r="C631" s="688"/>
      <c r="D631" s="688"/>
      <c r="E631" s="699" t="s">
        <v>228</v>
      </c>
      <c r="F631" s="695"/>
      <c r="G631" s="692"/>
      <c r="H631" s="686" t="s">
        <v>46</v>
      </c>
      <c r="I631" s="565"/>
      <c r="J631" s="702">
        <v>0</v>
      </c>
      <c r="K631" s="568">
        <f t="shared" ca="1" si="393"/>
        <v>0</v>
      </c>
      <c r="L631" s="693"/>
      <c r="M631" s="684"/>
      <c r="N631" s="684"/>
      <c r="O631" s="684"/>
      <c r="P631" s="684"/>
      <c r="Q631" s="684"/>
      <c r="R631" s="684"/>
      <c r="S631" s="684"/>
      <c r="T631" s="684"/>
      <c r="U631" s="684"/>
    </row>
    <row r="632" spans="1:21" ht="19.5" x14ac:dyDescent="0.3">
      <c r="A632" s="687"/>
      <c r="B632" s="688"/>
      <c r="C632" s="688"/>
      <c r="D632" s="688"/>
      <c r="E632" s="699" t="s">
        <v>229</v>
      </c>
      <c r="F632" s="695"/>
      <c r="G632" s="692"/>
      <c r="H632" s="686" t="s">
        <v>46</v>
      </c>
      <c r="I632" s="565"/>
      <c r="J632" s="697">
        <f>J633+J634</f>
        <v>0</v>
      </c>
      <c r="K632" s="679">
        <f ca="1">IF(I626&gt;0,J632*100/I626,0)</f>
        <v>0</v>
      </c>
      <c r="L632" s="693"/>
      <c r="M632" s="684"/>
      <c r="N632" s="684"/>
      <c r="O632" s="684"/>
      <c r="P632" s="684"/>
      <c r="Q632" s="684"/>
      <c r="R632" s="684"/>
      <c r="S632" s="684"/>
      <c r="T632" s="684"/>
      <c r="U632" s="684"/>
    </row>
    <row r="633" spans="1:21" ht="18.75" x14ac:dyDescent="0.25">
      <c r="A633" s="687"/>
      <c r="B633" s="688"/>
      <c r="C633" s="688"/>
      <c r="D633" s="688"/>
      <c r="E633" s="695"/>
      <c r="F633" s="699" t="s">
        <v>230</v>
      </c>
      <c r="G633" s="692"/>
      <c r="H633" s="686" t="s">
        <v>46</v>
      </c>
      <c r="I633" s="565"/>
      <c r="J633" s="702">
        <v>0</v>
      </c>
      <c r="K633" s="566"/>
      <c r="L633" s="693"/>
      <c r="M633" s="684"/>
      <c r="N633" s="684"/>
      <c r="O633" s="684"/>
      <c r="P633" s="684"/>
      <c r="Q633" s="684"/>
      <c r="R633" s="684"/>
      <c r="S633" s="684"/>
      <c r="T633" s="684"/>
      <c r="U633" s="684"/>
    </row>
    <row r="634" spans="1:21" ht="18.75" x14ac:dyDescent="0.25">
      <c r="A634" s="687"/>
      <c r="B634" s="688"/>
      <c r="C634" s="688"/>
      <c r="D634" s="688"/>
      <c r="E634" s="695"/>
      <c r="F634" s="699" t="s">
        <v>231</v>
      </c>
      <c r="G634" s="692"/>
      <c r="H634" s="686" t="s">
        <v>46</v>
      </c>
      <c r="I634" s="565"/>
      <c r="J634" s="702">
        <v>0</v>
      </c>
      <c r="K634" s="566"/>
      <c r="L634" s="693"/>
      <c r="M634" s="684"/>
      <c r="N634" s="684"/>
      <c r="O634" s="684"/>
      <c r="P634" s="684"/>
      <c r="Q634" s="684"/>
      <c r="R634" s="684"/>
      <c r="S634" s="684"/>
      <c r="T634" s="684"/>
      <c r="U634" s="684"/>
    </row>
    <row r="635" spans="1:21" ht="19.5" x14ac:dyDescent="0.3">
      <c r="A635" s="687"/>
      <c r="B635" s="688"/>
      <c r="C635" s="688"/>
      <c r="D635" s="1079" t="s">
        <v>232</v>
      </c>
      <c r="E635" s="695"/>
      <c r="F635" s="695"/>
      <c r="G635" s="692"/>
      <c r="H635" s="686" t="s">
        <v>46</v>
      </c>
      <c r="I635" s="697">
        <f ca="1">IFERROR(__xludf.DUMMYFUNCTION("IMPORTRANGE(""https://docs.google.com/spreadsheets/d/1eHaY18a8A9IcSdp1K8H6x8fbOy06t2VsZHhMHf-1x7Y/edit?usp=sharing"",""แผน!IE24"")"),0)</f>
        <v>0</v>
      </c>
      <c r="J635" s="697">
        <f>J636</f>
        <v>0</v>
      </c>
      <c r="K635" s="679">
        <f ca="1">IF(I635&gt;0,J635*100/I635,0)</f>
        <v>0</v>
      </c>
      <c r="L635" s="693"/>
      <c r="M635" s="684"/>
      <c r="N635" s="684"/>
      <c r="O635" s="684"/>
      <c r="P635" s="684"/>
      <c r="Q635" s="684"/>
      <c r="R635" s="684"/>
      <c r="S635" s="684"/>
      <c r="T635" s="684"/>
      <c r="U635" s="684"/>
    </row>
    <row r="636" spans="1:21" ht="18.75" x14ac:dyDescent="0.25">
      <c r="A636" s="687"/>
      <c r="B636" s="688"/>
      <c r="C636" s="688"/>
      <c r="D636" s="688"/>
      <c r="E636" s="699" t="s">
        <v>233</v>
      </c>
      <c r="F636" s="695"/>
      <c r="G636" s="692"/>
      <c r="H636" s="686" t="s">
        <v>46</v>
      </c>
      <c r="I636" s="565"/>
      <c r="J636" s="708">
        <f>J637+J638</f>
        <v>0</v>
      </c>
      <c r="K636" s="566"/>
      <c r="L636" s="693"/>
      <c r="M636" s="684"/>
      <c r="N636" s="684"/>
      <c r="O636" s="684"/>
      <c r="P636" s="684"/>
      <c r="Q636" s="684"/>
      <c r="R636" s="684"/>
      <c r="S636" s="684"/>
      <c r="T636" s="684"/>
      <c r="U636" s="684"/>
    </row>
    <row r="637" spans="1:21" ht="18.75" x14ac:dyDescent="0.25">
      <c r="A637" s="687"/>
      <c r="B637" s="688"/>
      <c r="C637" s="688"/>
      <c r="D637" s="688"/>
      <c r="E637" s="695"/>
      <c r="F637" s="699" t="s">
        <v>230</v>
      </c>
      <c r="G637" s="692"/>
      <c r="H637" s="686" t="s">
        <v>46</v>
      </c>
      <c r="I637" s="565"/>
      <c r="J637" s="702">
        <v>0</v>
      </c>
      <c r="K637" s="566"/>
      <c r="L637" s="693"/>
      <c r="M637" s="684"/>
      <c r="N637" s="684"/>
      <c r="O637" s="684"/>
      <c r="P637" s="684"/>
      <c r="Q637" s="684"/>
      <c r="R637" s="684"/>
      <c r="S637" s="684"/>
      <c r="T637" s="684"/>
      <c r="U637" s="684"/>
    </row>
    <row r="638" spans="1:21" ht="18.75" x14ac:dyDescent="0.25">
      <c r="A638" s="687"/>
      <c r="B638" s="688"/>
      <c r="C638" s="688"/>
      <c r="D638" s="688"/>
      <c r="E638" s="695"/>
      <c r="F638" s="699" t="s">
        <v>231</v>
      </c>
      <c r="G638" s="692"/>
      <c r="H638" s="686" t="s">
        <v>46</v>
      </c>
      <c r="I638" s="565"/>
      <c r="J638" s="702">
        <v>0</v>
      </c>
      <c r="K638" s="566"/>
      <c r="L638" s="693"/>
      <c r="M638" s="684"/>
      <c r="N638" s="684"/>
      <c r="O638" s="684"/>
      <c r="P638" s="684"/>
      <c r="Q638" s="684"/>
      <c r="R638" s="684"/>
      <c r="S638" s="684"/>
      <c r="T638" s="684"/>
      <c r="U638" s="684"/>
    </row>
    <row r="639" spans="1:21" ht="18.75" x14ac:dyDescent="0.25">
      <c r="A639" s="687"/>
      <c r="B639" s="688"/>
      <c r="C639" s="688"/>
      <c r="D639" s="688"/>
      <c r="E639" s="699" t="s">
        <v>234</v>
      </c>
      <c r="F639" s="695"/>
      <c r="G639" s="692"/>
      <c r="H639" s="686" t="s">
        <v>46</v>
      </c>
      <c r="I639" s="565"/>
      <c r="J639" s="702">
        <v>0</v>
      </c>
      <c r="K639" s="566"/>
      <c r="L639" s="693"/>
      <c r="M639" s="684"/>
      <c r="N639" s="684"/>
      <c r="O639" s="684"/>
      <c r="P639" s="684"/>
      <c r="Q639" s="684"/>
      <c r="R639" s="684"/>
      <c r="S639" s="684"/>
      <c r="T639" s="684"/>
      <c r="U639" s="684"/>
    </row>
    <row r="640" spans="1:21" ht="18.75" x14ac:dyDescent="0.25">
      <c r="A640" s="687"/>
      <c r="B640" s="688"/>
      <c r="C640" s="688"/>
      <c r="D640" s="688"/>
      <c r="E640" s="695"/>
      <c r="F640" s="699" t="s">
        <v>235</v>
      </c>
      <c r="G640" s="692"/>
      <c r="H640" s="686" t="s">
        <v>46</v>
      </c>
      <c r="I640" s="565"/>
      <c r="J640" s="702">
        <v>0</v>
      </c>
      <c r="K640" s="566"/>
      <c r="L640" s="693"/>
      <c r="M640" s="684"/>
      <c r="N640" s="684"/>
      <c r="O640" s="684"/>
      <c r="P640" s="684"/>
      <c r="Q640" s="684"/>
      <c r="R640" s="684"/>
      <c r="S640" s="684"/>
      <c r="T640" s="684"/>
      <c r="U640" s="684"/>
    </row>
    <row r="641" spans="1:21" ht="19.5" x14ac:dyDescent="0.3">
      <c r="A641" s="1069"/>
      <c r="B641" s="1070" t="s">
        <v>236</v>
      </c>
      <c r="C641" s="1069"/>
      <c r="D641" s="1071"/>
      <c r="E641" s="1071"/>
      <c r="F641" s="1071"/>
      <c r="G641" s="1072"/>
      <c r="H641" s="1081"/>
      <c r="I641" s="1082"/>
      <c r="J641" s="1082"/>
      <c r="K641" s="1077"/>
      <c r="L641" s="1076"/>
      <c r="M641" s="1077"/>
      <c r="N641" s="1077"/>
      <c r="O641" s="1077"/>
      <c r="P641" s="1077"/>
      <c r="Q641" s="1077"/>
      <c r="R641" s="1077"/>
      <c r="S641" s="1077"/>
      <c r="T641" s="1077"/>
      <c r="U641" s="1077"/>
    </row>
    <row r="642" spans="1:21" ht="19.5" x14ac:dyDescent="0.3">
      <c r="A642" s="674"/>
      <c r="B642" s="718"/>
      <c r="C642" s="765" t="s">
        <v>18</v>
      </c>
      <c r="D642" s="1310" t="s">
        <v>19</v>
      </c>
      <c r="E642" s="1311"/>
      <c r="F642" s="1311"/>
      <c r="G642" s="1312"/>
      <c r="H642" s="780" t="s">
        <v>14</v>
      </c>
      <c r="I642" s="565"/>
      <c r="J642" s="565"/>
      <c r="K642" s="566"/>
      <c r="L642" s="678">
        <f t="shared" ref="L642:N642" si="394">L643+L644</f>
        <v>0</v>
      </c>
      <c r="M642" s="679">
        <f t="shared" si="394"/>
        <v>0</v>
      </c>
      <c r="N642" s="679">
        <f t="shared" si="394"/>
        <v>0</v>
      </c>
      <c r="O642" s="679">
        <f t="shared" ref="O642:O650" si="395">IF(L642&gt;0,N642*100/L642,0)</f>
        <v>0</v>
      </c>
      <c r="P642" s="679">
        <f t="shared" ref="P642:P650" si="396">IF(M642&gt;0,N642*100/M642,0)</f>
        <v>0</v>
      </c>
      <c r="Q642" s="679">
        <f t="shared" ref="Q642:S642" ca="1" si="397">Q643+Q644</f>
        <v>0</v>
      </c>
      <c r="R642" s="679">
        <f t="shared" ca="1" si="397"/>
        <v>0</v>
      </c>
      <c r="S642" s="679">
        <f t="shared" ca="1" si="397"/>
        <v>0</v>
      </c>
      <c r="T642" s="679">
        <f t="shared" ref="T642:T650" ca="1" si="398">IF(Q642&gt;0,S642*100/Q642,0)</f>
        <v>0</v>
      </c>
      <c r="U642" s="679">
        <f t="shared" ref="U642:U650" ca="1" si="399">IF(R642&gt;0,S642*100/R642,0)</f>
        <v>0</v>
      </c>
    </row>
    <row r="643" spans="1:21" ht="18.75" x14ac:dyDescent="0.25">
      <c r="A643" s="674"/>
      <c r="B643" s="718"/>
      <c r="C643" s="718"/>
      <c r="D643" s="695"/>
      <c r="E643" s="569" t="s">
        <v>158</v>
      </c>
      <c r="F643" s="561"/>
      <c r="G643" s="563"/>
      <c r="H643" s="685" t="s">
        <v>14</v>
      </c>
      <c r="I643" s="565"/>
      <c r="J643" s="565"/>
      <c r="K643" s="566"/>
      <c r="L643" s="571">
        <f t="shared" ref="L643:N644" si="400">L646+L649</f>
        <v>0</v>
      </c>
      <c r="M643" s="572">
        <f t="shared" si="400"/>
        <v>0</v>
      </c>
      <c r="N643" s="572">
        <f t="shared" si="400"/>
        <v>0</v>
      </c>
      <c r="O643" s="572">
        <f t="shared" si="395"/>
        <v>0</v>
      </c>
      <c r="P643" s="572">
        <f t="shared" si="396"/>
        <v>0</v>
      </c>
      <c r="Q643" s="572">
        <f t="shared" ref="Q643:S644" si="401">Q646+Q649</f>
        <v>0</v>
      </c>
      <c r="R643" s="572">
        <f t="shared" si="401"/>
        <v>0</v>
      </c>
      <c r="S643" s="572">
        <f t="shared" si="401"/>
        <v>0</v>
      </c>
      <c r="T643" s="572">
        <f t="shared" si="398"/>
        <v>0</v>
      </c>
      <c r="U643" s="572">
        <f t="shared" si="399"/>
        <v>0</v>
      </c>
    </row>
    <row r="644" spans="1:21" ht="18.75" x14ac:dyDescent="0.25">
      <c r="A644" s="674"/>
      <c r="B644" s="718"/>
      <c r="C644" s="718"/>
      <c r="D644" s="695"/>
      <c r="E644" s="573" t="s">
        <v>159</v>
      </c>
      <c r="F644" s="561"/>
      <c r="G644" s="563"/>
      <c r="H644" s="682" t="s">
        <v>14</v>
      </c>
      <c r="I644" s="565"/>
      <c r="J644" s="565"/>
      <c r="K644" s="566"/>
      <c r="L644" s="567">
        <f t="shared" si="400"/>
        <v>0</v>
      </c>
      <c r="M644" s="568">
        <f t="shared" si="400"/>
        <v>0</v>
      </c>
      <c r="N644" s="568">
        <f t="shared" si="400"/>
        <v>0</v>
      </c>
      <c r="O644" s="568">
        <f t="shared" si="395"/>
        <v>0</v>
      </c>
      <c r="P644" s="568">
        <f t="shared" si="396"/>
        <v>0</v>
      </c>
      <c r="Q644" s="568">
        <f t="shared" ca="1" si="401"/>
        <v>0</v>
      </c>
      <c r="R644" s="568">
        <f t="shared" ca="1" si="401"/>
        <v>0</v>
      </c>
      <c r="S644" s="568">
        <f t="shared" ca="1" si="401"/>
        <v>0</v>
      </c>
      <c r="T644" s="568">
        <f t="shared" ca="1" si="398"/>
        <v>0</v>
      </c>
      <c r="U644" s="568">
        <f t="shared" ca="1" si="399"/>
        <v>0</v>
      </c>
    </row>
    <row r="645" spans="1:21" ht="18.75" x14ac:dyDescent="0.25">
      <c r="A645" s="674"/>
      <c r="B645" s="718"/>
      <c r="C645" s="718"/>
      <c r="D645" s="562" t="s">
        <v>22</v>
      </c>
      <c r="E645" s="561"/>
      <c r="F645" s="561"/>
      <c r="G645" s="563"/>
      <c r="H645" s="682" t="s">
        <v>14</v>
      </c>
      <c r="I645" s="683"/>
      <c r="J645" s="683"/>
      <c r="K645" s="684"/>
      <c r="L645" s="567">
        <f t="shared" ref="L645:N645" si="402">L646+L647</f>
        <v>0</v>
      </c>
      <c r="M645" s="568">
        <f t="shared" si="402"/>
        <v>0</v>
      </c>
      <c r="N645" s="568">
        <f t="shared" si="402"/>
        <v>0</v>
      </c>
      <c r="O645" s="568">
        <f t="shared" si="395"/>
        <v>0</v>
      </c>
      <c r="P645" s="568">
        <f t="shared" si="396"/>
        <v>0</v>
      </c>
      <c r="Q645" s="568">
        <f t="shared" ref="Q645:S645" ca="1" si="403">Q646+Q647</f>
        <v>0</v>
      </c>
      <c r="R645" s="568">
        <f t="shared" ca="1" si="403"/>
        <v>0</v>
      </c>
      <c r="S645" s="568">
        <f t="shared" ca="1" si="403"/>
        <v>0</v>
      </c>
      <c r="T645" s="568">
        <f t="shared" ca="1" si="398"/>
        <v>0</v>
      </c>
      <c r="U645" s="568">
        <f t="shared" ca="1" si="399"/>
        <v>0</v>
      </c>
    </row>
    <row r="646" spans="1:21" ht="18.75" x14ac:dyDescent="0.25">
      <c r="A646" s="674"/>
      <c r="B646" s="718"/>
      <c r="C646" s="718"/>
      <c r="D646" s="695"/>
      <c r="E646" s="569" t="s">
        <v>158</v>
      </c>
      <c r="F646" s="561"/>
      <c r="G646" s="563"/>
      <c r="H646" s="685" t="s">
        <v>14</v>
      </c>
      <c r="I646" s="565"/>
      <c r="J646" s="565"/>
      <c r="K646" s="566"/>
      <c r="L646" s="571">
        <v>0</v>
      </c>
      <c r="M646" s="572">
        <v>0</v>
      </c>
      <c r="N646" s="572">
        <v>0</v>
      </c>
      <c r="O646" s="572">
        <f t="shared" si="395"/>
        <v>0</v>
      </c>
      <c r="P646" s="572">
        <f t="shared" si="396"/>
        <v>0</v>
      </c>
      <c r="Q646" s="572">
        <v>0</v>
      </c>
      <c r="R646" s="572">
        <v>0</v>
      </c>
      <c r="S646" s="572">
        <v>0</v>
      </c>
      <c r="T646" s="572">
        <f t="shared" si="398"/>
        <v>0</v>
      </c>
      <c r="U646" s="572">
        <f t="shared" si="399"/>
        <v>0</v>
      </c>
    </row>
    <row r="647" spans="1:21" ht="18.75" x14ac:dyDescent="0.25">
      <c r="A647" s="674"/>
      <c r="B647" s="718"/>
      <c r="C647" s="718"/>
      <c r="D647" s="695"/>
      <c r="E647" s="573" t="s">
        <v>159</v>
      </c>
      <c r="F647" s="561"/>
      <c r="G647" s="563"/>
      <c r="H647" s="682" t="s">
        <v>14</v>
      </c>
      <c r="I647" s="565"/>
      <c r="J647" s="565"/>
      <c r="K647" s="566"/>
      <c r="L647" s="567">
        <v>0</v>
      </c>
      <c r="M647" s="568">
        <v>0</v>
      </c>
      <c r="N647" s="568">
        <v>0</v>
      </c>
      <c r="O647" s="568">
        <f t="shared" si="395"/>
        <v>0</v>
      </c>
      <c r="P647" s="568">
        <f t="shared" si="396"/>
        <v>0</v>
      </c>
      <c r="Q647" s="568">
        <f ca="1">IFERROR(__xludf.DUMMYFUNCTION("IMPORTRANGE(""https://docs.google.com/spreadsheets/d/1ItG2mGa2ceCfYo0BwxsXqNm01IGEUdYcSSLTEv9YCik/edit?usp=sharing"",""เบิกจ่ายกองทุน!I24"")"),0)</f>
        <v>0</v>
      </c>
      <c r="R647" s="568">
        <f ca="1">IFERROR(__xludf.DUMMYFUNCTION("IMPORTRANGE(""https://docs.google.com/spreadsheets/d/1ItG2mGa2ceCfYo0BwxsXqNm01IGEUdYcSSLTEv9YCik/edit?usp=sharing"",""เบิกจ่ายกองทุน!J24"")"),0)</f>
        <v>0</v>
      </c>
      <c r="S647" s="568">
        <f ca="1">IFERROR(__xludf.DUMMYFUNCTION("IMPORTRANGE(""https://docs.google.com/spreadsheets/d/1ItG2mGa2ceCfYo0BwxsXqNm01IGEUdYcSSLTEv9YCik/edit?usp=sharing"",""เบิกจ่ายกองทุน!K24"")"),0)</f>
        <v>0</v>
      </c>
      <c r="T647" s="568">
        <f t="shared" ca="1" si="398"/>
        <v>0</v>
      </c>
      <c r="U647" s="568">
        <f t="shared" ca="1" si="399"/>
        <v>0</v>
      </c>
    </row>
    <row r="648" spans="1:21" ht="18.75" x14ac:dyDescent="0.25">
      <c r="A648" s="674"/>
      <c r="B648" s="718"/>
      <c r="C648" s="718"/>
      <c r="D648" s="562" t="s">
        <v>23</v>
      </c>
      <c r="E648" s="561"/>
      <c r="F648" s="561"/>
      <c r="G648" s="563"/>
      <c r="H648" s="686" t="s">
        <v>14</v>
      </c>
      <c r="I648" s="683"/>
      <c r="J648" s="683"/>
      <c r="K648" s="684"/>
      <c r="L648" s="567">
        <f t="shared" ref="L648:N648" si="404">L649+L650</f>
        <v>0</v>
      </c>
      <c r="M648" s="568">
        <f t="shared" si="404"/>
        <v>0</v>
      </c>
      <c r="N648" s="568">
        <f t="shared" si="404"/>
        <v>0</v>
      </c>
      <c r="O648" s="568">
        <f t="shared" si="395"/>
        <v>0</v>
      </c>
      <c r="P648" s="568">
        <f t="shared" si="396"/>
        <v>0</v>
      </c>
      <c r="Q648" s="568">
        <f t="shared" ref="Q648:S648" si="405">Q649+Q650</f>
        <v>0</v>
      </c>
      <c r="R648" s="568">
        <f t="shared" si="405"/>
        <v>0</v>
      </c>
      <c r="S648" s="568">
        <f t="shared" si="405"/>
        <v>0</v>
      </c>
      <c r="T648" s="568">
        <f t="shared" si="398"/>
        <v>0</v>
      </c>
      <c r="U648" s="568">
        <f t="shared" si="399"/>
        <v>0</v>
      </c>
    </row>
    <row r="649" spans="1:21" ht="18.75" x14ac:dyDescent="0.25">
      <c r="A649" s="674"/>
      <c r="B649" s="718"/>
      <c r="C649" s="718"/>
      <c r="D649" s="561"/>
      <c r="E649" s="569" t="s">
        <v>20</v>
      </c>
      <c r="F649" s="561"/>
      <c r="G649" s="563"/>
      <c r="H649" s="685" t="s">
        <v>14</v>
      </c>
      <c r="I649" s="683"/>
      <c r="J649" s="683"/>
      <c r="K649" s="684"/>
      <c r="L649" s="571">
        <v>0</v>
      </c>
      <c r="M649" s="572">
        <v>0</v>
      </c>
      <c r="N649" s="572">
        <v>0</v>
      </c>
      <c r="O649" s="572">
        <f t="shared" si="395"/>
        <v>0</v>
      </c>
      <c r="P649" s="572">
        <f t="shared" si="396"/>
        <v>0</v>
      </c>
      <c r="Q649" s="572">
        <v>0</v>
      </c>
      <c r="R649" s="572">
        <v>0</v>
      </c>
      <c r="S649" s="572">
        <v>0</v>
      </c>
      <c r="T649" s="572">
        <f t="shared" si="398"/>
        <v>0</v>
      </c>
      <c r="U649" s="572">
        <f t="shared" si="399"/>
        <v>0</v>
      </c>
    </row>
    <row r="650" spans="1:21" ht="18.75" x14ac:dyDescent="0.25">
      <c r="A650" s="674"/>
      <c r="B650" s="718"/>
      <c r="C650" s="718"/>
      <c r="D650" s="561"/>
      <c r="E650" s="573" t="s">
        <v>21</v>
      </c>
      <c r="F650" s="561"/>
      <c r="G650" s="563"/>
      <c r="H650" s="686" t="s">
        <v>14</v>
      </c>
      <c r="I650" s="683"/>
      <c r="J650" s="683"/>
      <c r="K650" s="684"/>
      <c r="L650" s="567">
        <v>0</v>
      </c>
      <c r="M650" s="568">
        <v>0</v>
      </c>
      <c r="N650" s="568">
        <v>0</v>
      </c>
      <c r="O650" s="568">
        <f t="shared" si="395"/>
        <v>0</v>
      </c>
      <c r="P650" s="568">
        <f t="shared" si="396"/>
        <v>0</v>
      </c>
      <c r="Q650" s="568">
        <v>0</v>
      </c>
      <c r="R650" s="568">
        <v>0</v>
      </c>
      <c r="S650" s="568">
        <v>0</v>
      </c>
      <c r="T650" s="568">
        <f t="shared" si="398"/>
        <v>0</v>
      </c>
      <c r="U650" s="568">
        <f t="shared" si="399"/>
        <v>0</v>
      </c>
    </row>
    <row r="651" spans="1:21" ht="19.5" x14ac:dyDescent="0.3">
      <c r="A651" s="687"/>
      <c r="B651" s="688"/>
      <c r="C651" s="765" t="s">
        <v>18</v>
      </c>
      <c r="D651" s="1083" t="s">
        <v>38</v>
      </c>
      <c r="E651" s="690"/>
      <c r="F651" s="690"/>
      <c r="G651" s="691"/>
      <c r="H651" s="725"/>
      <c r="I651" s="683"/>
      <c r="J651" s="683"/>
      <c r="K651" s="684"/>
      <c r="L651" s="693"/>
      <c r="M651" s="684"/>
      <c r="N651" s="684"/>
      <c r="O651" s="684"/>
      <c r="P651" s="684"/>
      <c r="Q651" s="566"/>
      <c r="R651" s="566"/>
      <c r="S651" s="566"/>
      <c r="T651" s="684"/>
      <c r="U651" s="684"/>
    </row>
    <row r="652" spans="1:21" ht="18.75" x14ac:dyDescent="0.25">
      <c r="A652" s="764"/>
      <c r="B652" s="718"/>
      <c r="C652" s="718"/>
      <c r="D652" s="573" t="s">
        <v>237</v>
      </c>
      <c r="E652" s="561"/>
      <c r="F652" s="561"/>
      <c r="G652" s="563"/>
      <c r="H652" s="686" t="s">
        <v>46</v>
      </c>
      <c r="I652" s="1084">
        <f ca="1">IFERROR(__xludf.DUMMYFUNCTION("IMPORTRANGE(""https://docs.google.com/spreadsheets/d/1eHaY18a8A9IcSdp1K8H6x8fbOy06t2VsZHhMHf-1x7Y/edit?usp=sharing"",""แผน!IF24"")"),0)</f>
        <v>0</v>
      </c>
      <c r="J652" s="708">
        <f ca="1">IFERROR(__xludf.DUMMYFUNCTION("IMPORTRANGE(""https://docs.google.com/spreadsheets/d/1tdoBKaGub7dwA3U6UFTqxio9LNnvDCQjHKmttSEBsFQ/edit?usp=sharing"",""จัดที่ดิน!AU24"")"),0)</f>
        <v>0</v>
      </c>
      <c r="K652" s="568">
        <f t="shared" ref="K652:K654" ca="1" si="406">IF(I652&gt;0,J652*100/I652,0)</f>
        <v>0</v>
      </c>
      <c r="L652" s="574"/>
      <c r="M652" s="566"/>
      <c r="N652" s="1085"/>
      <c r="O652" s="566"/>
      <c r="P652" s="566"/>
      <c r="Q652" s="566"/>
      <c r="R652" s="566"/>
      <c r="S652" s="1085"/>
      <c r="T652" s="566"/>
      <c r="U652" s="566"/>
    </row>
    <row r="653" spans="1:21" ht="18.75" x14ac:dyDescent="0.25">
      <c r="A653" s="764"/>
      <c r="B653" s="718"/>
      <c r="C653" s="718"/>
      <c r="D653" s="573" t="s">
        <v>238</v>
      </c>
      <c r="E653" s="561"/>
      <c r="F653" s="561"/>
      <c r="G653" s="563"/>
      <c r="H653" s="686" t="s">
        <v>35</v>
      </c>
      <c r="I653" s="1084">
        <f ca="1">IFERROR(__xludf.DUMMYFUNCTION("IMPORTRANGE(""https://docs.google.com/spreadsheets/d/1eHaY18a8A9IcSdp1K8H6x8fbOy06t2VsZHhMHf-1x7Y/edit?usp=sharing"",""แผน!IG24"")"),0)</f>
        <v>0</v>
      </c>
      <c r="J653" s="708">
        <f ca="1">IFERROR(__xludf.DUMMYFUNCTION("IMPORTRANGE(""https://docs.google.com/spreadsheets/d/1tdoBKaGub7dwA3U6UFTqxio9LNnvDCQjHKmttSEBsFQ/edit?usp=sharing"",""จัดที่ดิน!AW24"")"),0)</f>
        <v>0</v>
      </c>
      <c r="K653" s="568">
        <f t="shared" ca="1" si="406"/>
        <v>0</v>
      </c>
      <c r="L653" s="574"/>
      <c r="M653" s="566"/>
      <c r="N653" s="1085"/>
      <c r="O653" s="566"/>
      <c r="P653" s="566"/>
      <c r="Q653" s="566"/>
      <c r="R653" s="566"/>
      <c r="S653" s="1085"/>
      <c r="T653" s="566"/>
      <c r="U653" s="566"/>
    </row>
    <row r="654" spans="1:21" ht="19.5" x14ac:dyDescent="0.3">
      <c r="A654" s="764"/>
      <c r="B654" s="718"/>
      <c r="C654" s="718"/>
      <c r="D654" s="573" t="s">
        <v>239</v>
      </c>
      <c r="E654" s="561"/>
      <c r="F654" s="561"/>
      <c r="G654" s="563"/>
      <c r="H654" s="1080" t="s">
        <v>46</v>
      </c>
      <c r="I654" s="1086">
        <f ca="1">IFERROR(__xludf.DUMMYFUNCTION("IMPORTRANGE(""https://docs.google.com/spreadsheets/d/1eHaY18a8A9IcSdp1K8H6x8fbOy06t2VsZHhMHf-1x7Y/edit?usp=sharing"",""แผน!IH24"")"),0)</f>
        <v>0</v>
      </c>
      <c r="J654" s="697">
        <f>J657+J660</f>
        <v>0</v>
      </c>
      <c r="K654" s="679">
        <f t="shared" ca="1" si="406"/>
        <v>0</v>
      </c>
      <c r="L654" s="574"/>
      <c r="M654" s="566"/>
      <c r="N654" s="1085"/>
      <c r="O654" s="566"/>
      <c r="P654" s="566"/>
      <c r="Q654" s="566"/>
      <c r="R654" s="566"/>
      <c r="S654" s="1085"/>
      <c r="T654" s="566"/>
      <c r="U654" s="566"/>
    </row>
    <row r="655" spans="1:21" ht="18.75" x14ac:dyDescent="0.25">
      <c r="A655" s="764"/>
      <c r="B655" s="718"/>
      <c r="C655" s="718"/>
      <c r="D655" s="561"/>
      <c r="E655" s="573" t="s">
        <v>240</v>
      </c>
      <c r="F655" s="561"/>
      <c r="G655" s="563"/>
      <c r="H655" s="686" t="s">
        <v>35</v>
      </c>
      <c r="I655" s="727"/>
      <c r="J655" s="702">
        <v>0</v>
      </c>
      <c r="K655" s="566"/>
      <c r="L655" s="574"/>
      <c r="M655" s="566"/>
      <c r="N655" s="1085"/>
      <c r="O655" s="566"/>
      <c r="P655" s="566"/>
      <c r="Q655" s="566"/>
      <c r="R655" s="566"/>
      <c r="S655" s="1085"/>
      <c r="T655" s="566"/>
      <c r="U655" s="566"/>
    </row>
    <row r="656" spans="1:21" ht="18.75" x14ac:dyDescent="0.25">
      <c r="A656" s="764"/>
      <c r="B656" s="718"/>
      <c r="C656" s="718"/>
      <c r="D656" s="561"/>
      <c r="E656" s="561"/>
      <c r="F656" s="561"/>
      <c r="G656" s="563"/>
      <c r="H656" s="686" t="s">
        <v>34</v>
      </c>
      <c r="I656" s="727"/>
      <c r="J656" s="702">
        <v>0</v>
      </c>
      <c r="K656" s="566"/>
      <c r="L656" s="574"/>
      <c r="M656" s="566"/>
      <c r="N656" s="1085"/>
      <c r="O656" s="566"/>
      <c r="P656" s="566"/>
      <c r="Q656" s="566"/>
      <c r="R656" s="566"/>
      <c r="S656" s="1085"/>
      <c r="T656" s="566"/>
      <c r="U656" s="566"/>
    </row>
    <row r="657" spans="1:21" ht="18.75" x14ac:dyDescent="0.25">
      <c r="A657" s="764"/>
      <c r="B657" s="718"/>
      <c r="C657" s="718"/>
      <c r="D657" s="561"/>
      <c r="E657" s="561"/>
      <c r="F657" s="561"/>
      <c r="G657" s="563"/>
      <c r="H657" s="686" t="s">
        <v>46</v>
      </c>
      <c r="I657" s="1084">
        <f ca="1">IFERROR(__xludf.DUMMYFUNCTION("IMPORTRANGE(""https://docs.google.com/spreadsheets/d/1eHaY18a8A9IcSdp1K8H6x8fbOy06t2VsZHhMHf-1x7Y/edit?usp=sharing"",""แผน!II24"")"),0)</f>
        <v>0</v>
      </c>
      <c r="J657" s="702">
        <v>0</v>
      </c>
      <c r="K657" s="566"/>
      <c r="L657" s="574"/>
      <c r="M657" s="566"/>
      <c r="N657" s="1085"/>
      <c r="O657" s="566"/>
      <c r="P657" s="566"/>
      <c r="Q657" s="566"/>
      <c r="R657" s="566"/>
      <c r="S657" s="1085"/>
      <c r="T657" s="566"/>
      <c r="U657" s="566"/>
    </row>
    <row r="658" spans="1:21" ht="18.75" x14ac:dyDescent="0.25">
      <c r="A658" s="764"/>
      <c r="B658" s="718"/>
      <c r="C658" s="718"/>
      <c r="D658" s="561"/>
      <c r="E658" s="573" t="s">
        <v>241</v>
      </c>
      <c r="F658" s="561"/>
      <c r="G658" s="563"/>
      <c r="H658" s="686" t="s">
        <v>35</v>
      </c>
      <c r="I658" s="727"/>
      <c r="J658" s="702">
        <v>0</v>
      </c>
      <c r="K658" s="566"/>
      <c r="L658" s="574"/>
      <c r="M658" s="566"/>
      <c r="N658" s="1085"/>
      <c r="O658" s="566"/>
      <c r="P658" s="566"/>
      <c r="Q658" s="566"/>
      <c r="R658" s="566"/>
      <c r="S658" s="1085"/>
      <c r="T658" s="566"/>
      <c r="U658" s="566"/>
    </row>
    <row r="659" spans="1:21" ht="18.75" x14ac:dyDescent="0.25">
      <c r="A659" s="764"/>
      <c r="B659" s="718"/>
      <c r="C659" s="718"/>
      <c r="D659" s="561"/>
      <c r="E659" s="561"/>
      <c r="F659" s="561"/>
      <c r="G659" s="563"/>
      <c r="H659" s="686" t="s">
        <v>34</v>
      </c>
      <c r="I659" s="727"/>
      <c r="J659" s="702">
        <v>0</v>
      </c>
      <c r="K659" s="566"/>
      <c r="L659" s="574"/>
      <c r="M659" s="566"/>
      <c r="N659" s="1085"/>
      <c r="O659" s="566"/>
      <c r="P659" s="566"/>
      <c r="Q659" s="566"/>
      <c r="R659" s="566"/>
      <c r="S659" s="1085"/>
      <c r="T659" s="566"/>
      <c r="U659" s="566"/>
    </row>
    <row r="660" spans="1:21" ht="18.75" x14ac:dyDescent="0.25">
      <c r="A660" s="764"/>
      <c r="B660" s="718"/>
      <c r="C660" s="718"/>
      <c r="D660" s="561"/>
      <c r="E660" s="561"/>
      <c r="F660" s="561"/>
      <c r="G660" s="563"/>
      <c r="H660" s="686" t="s">
        <v>46</v>
      </c>
      <c r="I660" s="1084">
        <f ca="1">IFERROR(__xludf.DUMMYFUNCTION("IMPORTRANGE(""https://docs.google.com/spreadsheets/d/1eHaY18a8A9IcSdp1K8H6x8fbOy06t2VsZHhMHf-1x7Y/edit?usp=sharing"",""แผน!IJ24"")"),0)</f>
        <v>0</v>
      </c>
      <c r="J660" s="702">
        <v>0</v>
      </c>
      <c r="K660" s="566"/>
      <c r="L660" s="574"/>
      <c r="M660" s="566"/>
      <c r="N660" s="1085"/>
      <c r="O660" s="566"/>
      <c r="P660" s="566"/>
      <c r="Q660" s="566"/>
      <c r="R660" s="566"/>
      <c r="S660" s="1085"/>
      <c r="T660" s="566"/>
      <c r="U660" s="566"/>
    </row>
    <row r="661" spans="1:21" ht="19.5" x14ac:dyDescent="0.3">
      <c r="A661" s="764"/>
      <c r="B661" s="718"/>
      <c r="C661" s="718"/>
      <c r="D661" s="987" t="s">
        <v>242</v>
      </c>
      <c r="E661" s="561"/>
      <c r="F661" s="561"/>
      <c r="G661" s="563"/>
      <c r="H661" s="1080" t="s">
        <v>46</v>
      </c>
      <c r="I661" s="1086">
        <f ca="1">IFERROR(__xludf.DUMMYFUNCTION("IMPORTRANGE(""https://docs.google.com/spreadsheets/d/1eHaY18a8A9IcSdp1K8H6x8fbOy06t2VsZHhMHf-1x7Y/edit?usp=sharing"",""แผน!IK24"")"),0)</f>
        <v>0</v>
      </c>
      <c r="J661" s="697">
        <f>J667+J670</f>
        <v>0</v>
      </c>
      <c r="K661" s="679">
        <f ca="1">IF(I661&gt;0,J661*100/I661,0)</f>
        <v>0</v>
      </c>
      <c r="L661" s="574"/>
      <c r="M661" s="566"/>
      <c r="N661" s="1085"/>
      <c r="O661" s="566"/>
      <c r="P661" s="566"/>
      <c r="Q661" s="566"/>
      <c r="R661" s="566"/>
      <c r="S661" s="1085"/>
      <c r="T661" s="566"/>
      <c r="U661" s="566"/>
    </row>
    <row r="662" spans="1:21" ht="18.75" x14ac:dyDescent="0.25">
      <c r="A662" s="764"/>
      <c r="B662" s="718"/>
      <c r="C662" s="718"/>
      <c r="D662" s="561"/>
      <c r="E662" s="573" t="s">
        <v>243</v>
      </c>
      <c r="F662" s="561"/>
      <c r="G662" s="563"/>
      <c r="H662" s="686" t="s">
        <v>34</v>
      </c>
      <c r="I662" s="727"/>
      <c r="J662" s="702">
        <v>0</v>
      </c>
      <c r="K662" s="566"/>
      <c r="L662" s="1087"/>
      <c r="M662" s="566"/>
      <c r="N662" s="1085"/>
      <c r="O662" s="566"/>
      <c r="P662" s="566"/>
      <c r="Q662" s="1085"/>
      <c r="R662" s="566"/>
      <c r="S662" s="1085"/>
      <c r="T662" s="566"/>
      <c r="U662" s="566"/>
    </row>
    <row r="663" spans="1:21" ht="18.75" x14ac:dyDescent="0.25">
      <c r="A663" s="764"/>
      <c r="B663" s="718"/>
      <c r="C663" s="718"/>
      <c r="D663" s="561"/>
      <c r="E663" s="561"/>
      <c r="F663" s="561"/>
      <c r="G663" s="563"/>
      <c r="H663" s="686" t="s">
        <v>46</v>
      </c>
      <c r="I663" s="727"/>
      <c r="J663" s="702">
        <v>0</v>
      </c>
      <c r="K663" s="566"/>
      <c r="L663" s="1087"/>
      <c r="M663" s="566"/>
      <c r="N663" s="1085"/>
      <c r="O663" s="566"/>
      <c r="P663" s="566"/>
      <c r="Q663" s="1085"/>
      <c r="R663" s="566"/>
      <c r="S663" s="1085"/>
      <c r="T663" s="566"/>
      <c r="U663" s="566"/>
    </row>
    <row r="664" spans="1:21" ht="18.75" x14ac:dyDescent="0.25">
      <c r="A664" s="764"/>
      <c r="B664" s="718"/>
      <c r="C664" s="718"/>
      <c r="D664" s="561"/>
      <c r="E664" s="573" t="s">
        <v>244</v>
      </c>
      <c r="F664" s="561"/>
      <c r="G664" s="563"/>
      <c r="H664" s="725"/>
      <c r="I664" s="727"/>
      <c r="J664" s="565"/>
      <c r="K664" s="566"/>
      <c r="L664" s="1087"/>
      <c r="M664" s="566"/>
      <c r="N664" s="1085"/>
      <c r="O664" s="566"/>
      <c r="P664" s="566"/>
      <c r="Q664" s="1085"/>
      <c r="R664" s="566"/>
      <c r="S664" s="1085"/>
      <c r="T664" s="566"/>
      <c r="U664" s="566"/>
    </row>
    <row r="665" spans="1:21" ht="18.75" x14ac:dyDescent="0.25">
      <c r="A665" s="764"/>
      <c r="B665" s="718"/>
      <c r="C665" s="718"/>
      <c r="D665" s="561"/>
      <c r="E665" s="561"/>
      <c r="F665" s="573" t="s">
        <v>245</v>
      </c>
      <c r="G665" s="563"/>
      <c r="H665" s="686" t="s">
        <v>35</v>
      </c>
      <c r="I665" s="727"/>
      <c r="J665" s="702">
        <v>0</v>
      </c>
      <c r="K665" s="566"/>
      <c r="L665" s="1087"/>
      <c r="M665" s="566"/>
      <c r="N665" s="1085"/>
      <c r="O665" s="566"/>
      <c r="P665" s="566"/>
      <c r="Q665" s="1085"/>
      <c r="R665" s="566"/>
      <c r="S665" s="1085"/>
      <c r="T665" s="566"/>
      <c r="U665" s="566"/>
    </row>
    <row r="666" spans="1:21" ht="18.75" x14ac:dyDescent="0.25">
      <c r="A666" s="764"/>
      <c r="B666" s="718"/>
      <c r="C666" s="718"/>
      <c r="D666" s="561"/>
      <c r="E666" s="561"/>
      <c r="F666" s="561"/>
      <c r="G666" s="563"/>
      <c r="H666" s="686" t="s">
        <v>34</v>
      </c>
      <c r="I666" s="727"/>
      <c r="J666" s="702">
        <v>0</v>
      </c>
      <c r="K666" s="566"/>
      <c r="L666" s="1087"/>
      <c r="M666" s="566"/>
      <c r="N666" s="1085"/>
      <c r="O666" s="566"/>
      <c r="P666" s="566"/>
      <c r="Q666" s="1085"/>
      <c r="R666" s="566"/>
      <c r="S666" s="1085"/>
      <c r="T666" s="566"/>
      <c r="U666" s="566"/>
    </row>
    <row r="667" spans="1:21" ht="18.75" x14ac:dyDescent="0.25">
      <c r="A667" s="764"/>
      <c r="B667" s="718"/>
      <c r="C667" s="718"/>
      <c r="D667" s="561"/>
      <c r="E667" s="561"/>
      <c r="F667" s="561"/>
      <c r="G667" s="563"/>
      <c r="H667" s="686" t="s">
        <v>46</v>
      </c>
      <c r="I667" s="727"/>
      <c r="J667" s="702">
        <v>0</v>
      </c>
      <c r="K667" s="566"/>
      <c r="L667" s="1087"/>
      <c r="M667" s="566"/>
      <c r="N667" s="1085"/>
      <c r="O667" s="566"/>
      <c r="P667" s="566"/>
      <c r="Q667" s="1085"/>
      <c r="R667" s="566"/>
      <c r="S667" s="1085"/>
      <c r="T667" s="566"/>
      <c r="U667" s="566"/>
    </row>
    <row r="668" spans="1:21" ht="18.75" x14ac:dyDescent="0.25">
      <c r="A668" s="764"/>
      <c r="B668" s="718"/>
      <c r="C668" s="718"/>
      <c r="D668" s="561"/>
      <c r="E668" s="561"/>
      <c r="F668" s="573" t="s">
        <v>246</v>
      </c>
      <c r="G668" s="563"/>
      <c r="H668" s="686" t="s">
        <v>35</v>
      </c>
      <c r="I668" s="727"/>
      <c r="J668" s="702">
        <v>0</v>
      </c>
      <c r="K668" s="566"/>
      <c r="L668" s="1087"/>
      <c r="M668" s="566"/>
      <c r="N668" s="1085"/>
      <c r="O668" s="566"/>
      <c r="P668" s="566"/>
      <c r="Q668" s="1085"/>
      <c r="R668" s="566"/>
      <c r="S668" s="1085"/>
      <c r="T668" s="566"/>
      <c r="U668" s="566"/>
    </row>
    <row r="669" spans="1:21" ht="18.75" x14ac:dyDescent="0.25">
      <c r="A669" s="764"/>
      <c r="B669" s="718"/>
      <c r="C669" s="718"/>
      <c r="D669" s="561"/>
      <c r="E669" s="561"/>
      <c r="F669" s="561"/>
      <c r="G669" s="563"/>
      <c r="H669" s="686" t="s">
        <v>34</v>
      </c>
      <c r="I669" s="727"/>
      <c r="J669" s="702">
        <v>0</v>
      </c>
      <c r="K669" s="566"/>
      <c r="L669" s="1087"/>
      <c r="M669" s="566"/>
      <c r="N669" s="1085"/>
      <c r="O669" s="566"/>
      <c r="P669" s="566"/>
      <c r="Q669" s="1085"/>
      <c r="R669" s="566"/>
      <c r="S669" s="1085"/>
      <c r="T669" s="566"/>
      <c r="U669" s="566"/>
    </row>
    <row r="670" spans="1:21" ht="18.75" x14ac:dyDescent="0.25">
      <c r="A670" s="764"/>
      <c r="B670" s="718"/>
      <c r="C670" s="718"/>
      <c r="D670" s="561"/>
      <c r="E670" s="561"/>
      <c r="F670" s="561"/>
      <c r="G670" s="563"/>
      <c r="H670" s="686" t="s">
        <v>46</v>
      </c>
      <c r="I670" s="727"/>
      <c r="J670" s="702">
        <v>0</v>
      </c>
      <c r="K670" s="566"/>
      <c r="L670" s="1087"/>
      <c r="M670" s="566"/>
      <c r="N670" s="1085"/>
      <c r="O670" s="566"/>
      <c r="P670" s="566"/>
      <c r="Q670" s="1085"/>
      <c r="R670" s="566"/>
      <c r="S670" s="1085"/>
      <c r="T670" s="566"/>
      <c r="U670" s="566"/>
    </row>
    <row r="671" spans="1:21" ht="18.75" x14ac:dyDescent="0.25">
      <c r="A671" s="764"/>
      <c r="B671" s="718"/>
      <c r="C671" s="718"/>
      <c r="D671" s="573" t="s">
        <v>247</v>
      </c>
      <c r="E671" s="561"/>
      <c r="F671" s="561"/>
      <c r="G671" s="563"/>
      <c r="H671" s="686" t="s">
        <v>35</v>
      </c>
      <c r="I671" s="727"/>
      <c r="J671" s="708">
        <f ca="1">IFERROR(__xludf.DUMMYFUNCTION("IMPORTRANGE(""https://docs.google.com/spreadsheets/d/1tdoBKaGub7dwA3U6UFTqxio9LNnvDCQjHKmttSEBsFQ/edit?usp=sharing"",""จัดที่ดิน!AY24"")"),0)</f>
        <v>0</v>
      </c>
      <c r="K671" s="566"/>
      <c r="L671" s="574"/>
      <c r="M671" s="566"/>
      <c r="N671" s="1085"/>
      <c r="O671" s="566"/>
      <c r="P671" s="566"/>
      <c r="Q671" s="566"/>
      <c r="R671" s="566"/>
      <c r="S671" s="1085"/>
      <c r="T671" s="566"/>
      <c r="U671" s="566"/>
    </row>
    <row r="672" spans="1:21" ht="18.75" x14ac:dyDescent="0.25">
      <c r="A672" s="764"/>
      <c r="B672" s="718"/>
      <c r="C672" s="718"/>
      <c r="D672" s="561"/>
      <c r="E672" s="561"/>
      <c r="F672" s="561"/>
      <c r="G672" s="563"/>
      <c r="H672" s="686" t="s">
        <v>34</v>
      </c>
      <c r="I672" s="727"/>
      <c r="J672" s="708">
        <f ca="1">IFERROR(__xludf.DUMMYFUNCTION("IMPORTRANGE(""https://docs.google.com/spreadsheets/d/1tdoBKaGub7dwA3U6UFTqxio9LNnvDCQjHKmttSEBsFQ/edit?usp=sharing"",""จัดที่ดิน!AZ24"")"),0)</f>
        <v>0</v>
      </c>
      <c r="K672" s="566"/>
      <c r="L672" s="1087"/>
      <c r="M672" s="566"/>
      <c r="N672" s="1085"/>
      <c r="O672" s="566"/>
      <c r="P672" s="566"/>
      <c r="Q672" s="1085"/>
      <c r="R672" s="566"/>
      <c r="S672" s="1085"/>
      <c r="T672" s="566"/>
      <c r="U672" s="566"/>
    </row>
    <row r="673" spans="1:21" ht="18.75" x14ac:dyDescent="0.25">
      <c r="A673" s="764"/>
      <c r="B673" s="718"/>
      <c r="C673" s="718"/>
      <c r="D673" s="561"/>
      <c r="E673" s="561"/>
      <c r="F673" s="561"/>
      <c r="G673" s="563"/>
      <c r="H673" s="686" t="s">
        <v>46</v>
      </c>
      <c r="I673" s="1084">
        <f ca="1">IFERROR(__xludf.DUMMYFUNCTION("IMPORTRANGE(""https://docs.google.com/spreadsheets/d/1eHaY18a8A9IcSdp1K8H6x8fbOy06t2VsZHhMHf-1x7Y/edit?usp=sharing"",""แผน!IL24"")"),0)</f>
        <v>0</v>
      </c>
      <c r="J673" s="708">
        <f ca="1">IFERROR(__xludf.DUMMYFUNCTION("IMPORTRANGE(""https://docs.google.com/spreadsheets/d/1tdoBKaGub7dwA3U6UFTqxio9LNnvDCQjHKmttSEBsFQ/edit?usp=sharing"",""จัดที่ดิน!BA24"")"),0)</f>
        <v>0</v>
      </c>
      <c r="K673" s="568">
        <f t="shared" ref="K673:K676" ca="1" si="407">IF(I673&gt;0,J673*100/I673,0)</f>
        <v>0</v>
      </c>
      <c r="L673" s="1087"/>
      <c r="M673" s="566"/>
      <c r="N673" s="1085"/>
      <c r="O673" s="566"/>
      <c r="P673" s="566"/>
      <c r="Q673" s="1085"/>
      <c r="R673" s="566"/>
      <c r="S673" s="1085"/>
      <c r="T673" s="566"/>
      <c r="U673" s="566"/>
    </row>
    <row r="674" spans="1:21" ht="19.5" x14ac:dyDescent="0.3">
      <c r="A674" s="764"/>
      <c r="B674" s="718"/>
      <c r="C674" s="718"/>
      <c r="D674" s="573" t="s">
        <v>248</v>
      </c>
      <c r="E674" s="561"/>
      <c r="F674" s="561"/>
      <c r="G674" s="563"/>
      <c r="H674" s="1080" t="s">
        <v>35</v>
      </c>
      <c r="I674" s="1086">
        <f ca="1">IFERROR(__xludf.DUMMYFUNCTION("IMPORTRANGE(""https://docs.google.com/spreadsheets/d/1eHaY18a8A9IcSdp1K8H6x8fbOy06t2VsZHhMHf-1x7Y/edit?usp=sharing"",""แผน!IM24"")"),0)</f>
        <v>0</v>
      </c>
      <c r="J674" s="697">
        <f ca="1">J676+J679</f>
        <v>0</v>
      </c>
      <c r="K674" s="679">
        <f t="shared" ca="1" si="407"/>
        <v>0</v>
      </c>
      <c r="L674" s="1087"/>
      <c r="M674" s="566"/>
      <c r="N674" s="1085"/>
      <c r="O674" s="566"/>
      <c r="P674" s="566"/>
      <c r="Q674" s="1085"/>
      <c r="R674" s="566"/>
      <c r="S674" s="1085"/>
      <c r="T674" s="566"/>
      <c r="U674" s="566"/>
    </row>
    <row r="675" spans="1:21" ht="19.5" x14ac:dyDescent="0.3">
      <c r="A675" s="764"/>
      <c r="B675" s="718"/>
      <c r="C675" s="718"/>
      <c r="D675" s="561"/>
      <c r="E675" s="561"/>
      <c r="F675" s="561"/>
      <c r="G675" s="563"/>
      <c r="H675" s="1080" t="s">
        <v>46</v>
      </c>
      <c r="I675" s="1086">
        <f ca="1">IFERROR(__xludf.DUMMYFUNCTION("IMPORTRANGE(""https://docs.google.com/spreadsheets/d/1eHaY18a8A9IcSdp1K8H6x8fbOy06t2VsZHhMHf-1x7Y/edit?usp=sharing"",""แผน!IN24"")"),0)</f>
        <v>0</v>
      </c>
      <c r="J675" s="697">
        <f ca="1">J678+J681</f>
        <v>0</v>
      </c>
      <c r="K675" s="679">
        <f t="shared" ca="1" si="407"/>
        <v>0</v>
      </c>
      <c r="L675" s="574"/>
      <c r="M675" s="566"/>
      <c r="N675" s="1085"/>
      <c r="O675" s="566"/>
      <c r="P675" s="566"/>
      <c r="Q675" s="566"/>
      <c r="R675" s="566"/>
      <c r="S675" s="1085"/>
      <c r="T675" s="566"/>
      <c r="U675" s="566"/>
    </row>
    <row r="676" spans="1:21" ht="18.75" x14ac:dyDescent="0.25">
      <c r="A676" s="764"/>
      <c r="B676" s="718"/>
      <c r="C676" s="718"/>
      <c r="D676" s="561"/>
      <c r="E676" s="573" t="s">
        <v>249</v>
      </c>
      <c r="F676" s="561"/>
      <c r="G676" s="563"/>
      <c r="H676" s="686" t="s">
        <v>35</v>
      </c>
      <c r="I676" s="1084">
        <f ca="1">IFERROR(__xludf.DUMMYFUNCTION("IMPORTRANGE(""https://docs.google.com/spreadsheets/d/1eHaY18a8A9IcSdp1K8H6x8fbOy06t2VsZHhMHf-1x7Y/edit?usp=sharing"",""แผน!IO24"")"),0)</f>
        <v>0</v>
      </c>
      <c r="J676" s="708">
        <f ca="1">IFERROR(__xludf.DUMMYFUNCTION("IMPORTRANGE(""https://docs.google.com/spreadsheets/d/1tdoBKaGub7dwA3U6UFTqxio9LNnvDCQjHKmttSEBsFQ/edit?usp=sharing"",""จัดที่ดิน!BF24"")"),0)</f>
        <v>0</v>
      </c>
      <c r="K676" s="568">
        <f t="shared" ca="1" si="407"/>
        <v>0</v>
      </c>
      <c r="L676" s="574"/>
      <c r="M676" s="566"/>
      <c r="N676" s="1085"/>
      <c r="O676" s="566"/>
      <c r="P676" s="566"/>
      <c r="Q676" s="566"/>
      <c r="R676" s="566"/>
      <c r="S676" s="1085"/>
      <c r="T676" s="566"/>
      <c r="U676" s="566"/>
    </row>
    <row r="677" spans="1:21" ht="18.75" x14ac:dyDescent="0.25">
      <c r="A677" s="764"/>
      <c r="B677" s="718"/>
      <c r="C677" s="718"/>
      <c r="D677" s="561"/>
      <c r="E677" s="561"/>
      <c r="F677" s="561"/>
      <c r="G677" s="563"/>
      <c r="H677" s="686" t="s">
        <v>34</v>
      </c>
      <c r="I677" s="727"/>
      <c r="J677" s="708">
        <f ca="1">IFERROR(__xludf.DUMMYFUNCTION("IMPORTRANGE(""https://docs.google.com/spreadsheets/d/1tdoBKaGub7dwA3U6UFTqxio9LNnvDCQjHKmttSEBsFQ/edit?usp=sharing"",""จัดที่ดิน!BG24"")"),0)</f>
        <v>0</v>
      </c>
      <c r="K677" s="566"/>
      <c r="L677" s="1087"/>
      <c r="M677" s="566"/>
      <c r="N677" s="1085"/>
      <c r="O677" s="566"/>
      <c r="P677" s="566"/>
      <c r="Q677" s="1085"/>
      <c r="R677" s="566"/>
      <c r="S677" s="1085"/>
      <c r="T677" s="566"/>
      <c r="U677" s="566"/>
    </row>
    <row r="678" spans="1:21" ht="18.75" x14ac:dyDescent="0.25">
      <c r="A678" s="764"/>
      <c r="B678" s="718"/>
      <c r="C678" s="718"/>
      <c r="D678" s="561"/>
      <c r="E678" s="561"/>
      <c r="F678" s="561"/>
      <c r="G678" s="563"/>
      <c r="H678" s="686" t="s">
        <v>46</v>
      </c>
      <c r="I678" s="1084">
        <f ca="1">IFERROR(__xludf.DUMMYFUNCTION("IMPORTRANGE(""https://docs.google.com/spreadsheets/d/1eHaY18a8A9IcSdp1K8H6x8fbOy06t2VsZHhMHf-1x7Y/edit?usp=sharing"",""แผน!IP24"")"),0)</f>
        <v>0</v>
      </c>
      <c r="J678" s="708">
        <f ca="1">IFERROR(__xludf.DUMMYFUNCTION("IMPORTRANGE(""https://docs.google.com/spreadsheets/d/1tdoBKaGub7dwA3U6UFTqxio9LNnvDCQjHKmttSEBsFQ/edit?usp=sharing"",""จัดที่ดิน!BH24"")"),0)</f>
        <v>0</v>
      </c>
      <c r="K678" s="568">
        <f t="shared" ref="K678:K679" ca="1" si="408">IF(I678&gt;0,J678*100/I678,0)</f>
        <v>0</v>
      </c>
      <c r="L678" s="1087"/>
      <c r="M678" s="566"/>
      <c r="N678" s="1085"/>
      <c r="O678" s="566"/>
      <c r="P678" s="566"/>
      <c r="Q678" s="1085"/>
      <c r="R678" s="566"/>
      <c r="S678" s="1085"/>
      <c r="T678" s="566"/>
      <c r="U678" s="566"/>
    </row>
    <row r="679" spans="1:21" ht="18.75" x14ac:dyDescent="0.25">
      <c r="A679" s="764"/>
      <c r="B679" s="718"/>
      <c r="C679" s="718"/>
      <c r="D679" s="561"/>
      <c r="E679" s="573" t="s">
        <v>250</v>
      </c>
      <c r="F679" s="561"/>
      <c r="G679" s="563"/>
      <c r="H679" s="686" t="s">
        <v>35</v>
      </c>
      <c r="I679" s="1084">
        <f ca="1">IFERROR(__xludf.DUMMYFUNCTION("IMPORTRANGE(""https://docs.google.com/spreadsheets/d/1eHaY18a8A9IcSdp1K8H6x8fbOy06t2VsZHhMHf-1x7Y/edit?usp=sharing"",""แผน!IQ24"")"),0)</f>
        <v>0</v>
      </c>
      <c r="J679" s="708">
        <f ca="1">IFERROR(__xludf.DUMMYFUNCTION("IMPORTRANGE(""https://docs.google.com/spreadsheets/d/1tdoBKaGub7dwA3U6UFTqxio9LNnvDCQjHKmttSEBsFQ/edit?usp=sharing"",""จัดที่ดิน!BK24"")"),0)</f>
        <v>0</v>
      </c>
      <c r="K679" s="568">
        <f t="shared" ca="1" si="408"/>
        <v>0</v>
      </c>
      <c r="L679" s="574"/>
      <c r="M679" s="566"/>
      <c r="N679" s="1085"/>
      <c r="O679" s="566"/>
      <c r="P679" s="566"/>
      <c r="Q679" s="566"/>
      <c r="R679" s="566"/>
      <c r="S679" s="1085"/>
      <c r="T679" s="566"/>
      <c r="U679" s="566"/>
    </row>
    <row r="680" spans="1:21" ht="18.75" x14ac:dyDescent="0.25">
      <c r="A680" s="764"/>
      <c r="B680" s="718"/>
      <c r="C680" s="718"/>
      <c r="D680" s="561"/>
      <c r="E680" s="561"/>
      <c r="F680" s="561"/>
      <c r="G680" s="563"/>
      <c r="H680" s="686" t="s">
        <v>34</v>
      </c>
      <c r="I680" s="727"/>
      <c r="J680" s="708">
        <f ca="1">IFERROR(__xludf.DUMMYFUNCTION("IMPORTRANGE(""https://docs.google.com/spreadsheets/d/1tdoBKaGub7dwA3U6UFTqxio9LNnvDCQjHKmttSEBsFQ/edit?usp=sharing"",""จัดที่ดิน!BL24"")"),0)</f>
        <v>0</v>
      </c>
      <c r="K680" s="566"/>
      <c r="L680" s="1087"/>
      <c r="M680" s="566"/>
      <c r="N680" s="1085"/>
      <c r="O680" s="566"/>
      <c r="P680" s="566"/>
      <c r="Q680" s="1085"/>
      <c r="R680" s="566"/>
      <c r="S680" s="1085"/>
      <c r="T680" s="566"/>
      <c r="U680" s="566"/>
    </row>
    <row r="681" spans="1:21" ht="18.75" x14ac:dyDescent="0.25">
      <c r="A681" s="764"/>
      <c r="B681" s="718"/>
      <c r="C681" s="718"/>
      <c r="D681" s="561"/>
      <c r="E681" s="561"/>
      <c r="F681" s="561"/>
      <c r="G681" s="563"/>
      <c r="H681" s="686" t="s">
        <v>46</v>
      </c>
      <c r="I681" s="1084">
        <f ca="1">IFERROR(__xludf.DUMMYFUNCTION("IMPORTRANGE(""https://docs.google.com/spreadsheets/d/1eHaY18a8A9IcSdp1K8H6x8fbOy06t2VsZHhMHf-1x7Y/edit?usp=sharing"",""แผน!IR24"")"),0)</f>
        <v>0</v>
      </c>
      <c r="J681" s="708">
        <f ca="1">IFERROR(__xludf.DUMMYFUNCTION("IMPORTRANGE(""https://docs.google.com/spreadsheets/d/1tdoBKaGub7dwA3U6UFTqxio9LNnvDCQjHKmttSEBsFQ/edit?usp=sharing"",""จัดที่ดิน!BM24"")"),0)</f>
        <v>0</v>
      </c>
      <c r="K681" s="568">
        <f t="shared" ref="K681:K682" ca="1" si="409">IF(I681&gt;0,J681*100/I681,0)</f>
        <v>0</v>
      </c>
      <c r="L681" s="1087"/>
      <c r="M681" s="566"/>
      <c r="N681" s="1085"/>
      <c r="O681" s="566"/>
      <c r="P681" s="566"/>
      <c r="Q681" s="1085"/>
      <c r="R681" s="566"/>
      <c r="S681" s="1085"/>
      <c r="T681" s="566"/>
      <c r="U681" s="566"/>
    </row>
    <row r="682" spans="1:21" ht="19.5" x14ac:dyDescent="0.3">
      <c r="A682" s="764"/>
      <c r="B682" s="718"/>
      <c r="C682" s="718"/>
      <c r="D682" s="573" t="s">
        <v>251</v>
      </c>
      <c r="E682" s="561"/>
      <c r="F682" s="561"/>
      <c r="G682" s="563"/>
      <c r="H682" s="1080" t="s">
        <v>46</v>
      </c>
      <c r="I682" s="1086">
        <f ca="1">IFERROR(__xludf.DUMMYFUNCTION("IMPORTRANGE(""https://docs.google.com/spreadsheets/d/1eHaY18a8A9IcSdp1K8H6x8fbOy06t2VsZHhMHf-1x7Y/edit?usp=sharing"",""แผน!IS24"")"),0)</f>
        <v>0</v>
      </c>
      <c r="J682" s="697">
        <f>J685+J688</f>
        <v>0</v>
      </c>
      <c r="K682" s="679">
        <f t="shared" ca="1" si="409"/>
        <v>0</v>
      </c>
      <c r="L682" s="574"/>
      <c r="M682" s="566"/>
      <c r="N682" s="1085"/>
      <c r="O682" s="566"/>
      <c r="P682" s="566"/>
      <c r="Q682" s="566"/>
      <c r="R682" s="566"/>
      <c r="S682" s="1085"/>
      <c r="T682" s="566"/>
      <c r="U682" s="566"/>
    </row>
    <row r="683" spans="1:21" ht="18.75" x14ac:dyDescent="0.25">
      <c r="A683" s="764"/>
      <c r="B683" s="718"/>
      <c r="C683" s="718"/>
      <c r="D683" s="561"/>
      <c r="E683" s="573" t="s">
        <v>252</v>
      </c>
      <c r="F683" s="561"/>
      <c r="G683" s="563"/>
      <c r="H683" s="686" t="s">
        <v>35</v>
      </c>
      <c r="I683" s="727"/>
      <c r="J683" s="702">
        <v>0</v>
      </c>
      <c r="K683" s="566"/>
      <c r="L683" s="1087"/>
      <c r="M683" s="566"/>
      <c r="N683" s="1085"/>
      <c r="O683" s="566"/>
      <c r="P683" s="566"/>
      <c r="Q683" s="1085"/>
      <c r="R683" s="566"/>
      <c r="S683" s="1085"/>
      <c r="T683" s="566"/>
      <c r="U683" s="566"/>
    </row>
    <row r="684" spans="1:21" ht="18.75" x14ac:dyDescent="0.25">
      <c r="A684" s="764"/>
      <c r="B684" s="718"/>
      <c r="C684" s="718"/>
      <c r="D684" s="561"/>
      <c r="E684" s="561"/>
      <c r="F684" s="561"/>
      <c r="G684" s="563"/>
      <c r="H684" s="686" t="s">
        <v>34</v>
      </c>
      <c r="I684" s="727"/>
      <c r="J684" s="702">
        <v>0</v>
      </c>
      <c r="K684" s="566"/>
      <c r="L684" s="1087"/>
      <c r="M684" s="566"/>
      <c r="N684" s="1085"/>
      <c r="O684" s="566"/>
      <c r="P684" s="566"/>
      <c r="Q684" s="1085"/>
      <c r="R684" s="566"/>
      <c r="S684" s="1085"/>
      <c r="T684" s="566"/>
      <c r="U684" s="566"/>
    </row>
    <row r="685" spans="1:21" ht="18.75" x14ac:dyDescent="0.25">
      <c r="A685" s="764"/>
      <c r="B685" s="718"/>
      <c r="C685" s="718"/>
      <c r="D685" s="561"/>
      <c r="E685" s="561"/>
      <c r="F685" s="561"/>
      <c r="G685" s="563"/>
      <c r="H685" s="686" t="s">
        <v>46</v>
      </c>
      <c r="I685" s="727"/>
      <c r="J685" s="702">
        <v>0</v>
      </c>
      <c r="K685" s="566"/>
      <c r="L685" s="1087"/>
      <c r="M685" s="566"/>
      <c r="N685" s="1085"/>
      <c r="O685" s="566"/>
      <c r="P685" s="566"/>
      <c r="Q685" s="1085"/>
      <c r="R685" s="566"/>
      <c r="S685" s="1085"/>
      <c r="T685" s="566"/>
      <c r="U685" s="566"/>
    </row>
    <row r="686" spans="1:21" ht="18.75" x14ac:dyDescent="0.25">
      <c r="A686" s="764"/>
      <c r="B686" s="718"/>
      <c r="C686" s="718"/>
      <c r="D686" s="561"/>
      <c r="E686" s="573" t="s">
        <v>253</v>
      </c>
      <c r="F686" s="561"/>
      <c r="G686" s="563"/>
      <c r="H686" s="686" t="s">
        <v>35</v>
      </c>
      <c r="I686" s="727"/>
      <c r="J686" s="702">
        <v>0</v>
      </c>
      <c r="K686" s="566"/>
      <c r="L686" s="1087"/>
      <c r="M686" s="566"/>
      <c r="N686" s="1085"/>
      <c r="O686" s="566"/>
      <c r="P686" s="566"/>
      <c r="Q686" s="1085"/>
      <c r="R686" s="566"/>
      <c r="S686" s="1085"/>
      <c r="T686" s="566"/>
      <c r="U686" s="566"/>
    </row>
    <row r="687" spans="1:21" ht="18.75" x14ac:dyDescent="0.25">
      <c r="A687" s="764"/>
      <c r="B687" s="718"/>
      <c r="C687" s="718"/>
      <c r="D687" s="561"/>
      <c r="E687" s="561"/>
      <c r="F687" s="561"/>
      <c r="G687" s="563"/>
      <c r="H687" s="686" t="s">
        <v>34</v>
      </c>
      <c r="I687" s="727"/>
      <c r="J687" s="702">
        <v>0</v>
      </c>
      <c r="K687" s="566"/>
      <c r="L687" s="1087"/>
      <c r="M687" s="566"/>
      <c r="N687" s="1085"/>
      <c r="O687" s="566"/>
      <c r="P687" s="566"/>
      <c r="Q687" s="1085"/>
      <c r="R687" s="566"/>
      <c r="S687" s="1085"/>
      <c r="T687" s="566"/>
      <c r="U687" s="566"/>
    </row>
    <row r="688" spans="1:21" ht="19.5" x14ac:dyDescent="0.3">
      <c r="A688" s="863"/>
      <c r="B688" s="1088" t="s">
        <v>254</v>
      </c>
      <c r="C688" s="864"/>
      <c r="D688" s="512"/>
      <c r="E688" s="512"/>
      <c r="F688" s="512"/>
      <c r="G688" s="866"/>
      <c r="H688" s="1089" t="s">
        <v>46</v>
      </c>
      <c r="I688" s="985"/>
      <c r="J688" s="990">
        <v>0</v>
      </c>
      <c r="K688" s="580"/>
      <c r="L688" s="1090"/>
      <c r="M688" s="580"/>
      <c r="N688" s="1091"/>
      <c r="O688" s="580"/>
      <c r="P688" s="580"/>
      <c r="Q688" s="1091"/>
      <c r="R688" s="580"/>
      <c r="S688" s="1091"/>
      <c r="T688" s="580"/>
      <c r="U688" s="580"/>
    </row>
    <row r="689" spans="1:21" ht="19.5" x14ac:dyDescent="0.3">
      <c r="A689" s="1061"/>
      <c r="B689" s="1062" t="s">
        <v>255</v>
      </c>
      <c r="C689" s="1061"/>
      <c r="D689" s="1063"/>
      <c r="E689" s="1063"/>
      <c r="F689" s="1063"/>
      <c r="G689" s="1064"/>
      <c r="H689" s="1092" t="s">
        <v>35</v>
      </c>
      <c r="I689" s="1093">
        <f t="shared" ref="I689:J689" ca="1" si="410">I707</f>
        <v>52</v>
      </c>
      <c r="J689" s="1093">
        <f t="shared" ca="1" si="410"/>
        <v>0</v>
      </c>
      <c r="K689" s="1094">
        <f ca="1">IF(I689&gt;0,J689*100/I689,0)</f>
        <v>0</v>
      </c>
      <c r="L689" s="1068"/>
      <c r="M689" s="1067"/>
      <c r="N689" s="1067"/>
      <c r="O689" s="1067"/>
      <c r="P689" s="1067"/>
      <c r="Q689" s="1067"/>
      <c r="R689" s="1067"/>
      <c r="S689" s="1067"/>
      <c r="T689" s="1067"/>
      <c r="U689" s="1067"/>
    </row>
    <row r="690" spans="1:21" ht="19.5" x14ac:dyDescent="0.3">
      <c r="A690" s="674"/>
      <c r="B690" s="718"/>
      <c r="C690" s="724" t="s">
        <v>18</v>
      </c>
      <c r="D690" s="1310" t="s">
        <v>19</v>
      </c>
      <c r="E690" s="1311"/>
      <c r="F690" s="1311"/>
      <c r="G690" s="1312"/>
      <c r="H690" s="780" t="s">
        <v>14</v>
      </c>
      <c r="I690" s="565"/>
      <c r="J690" s="565"/>
      <c r="K690" s="566"/>
      <c r="L690" s="678">
        <f t="shared" ref="L690:N690" si="411">L691+L692</f>
        <v>0</v>
      </c>
      <c r="M690" s="679">
        <f t="shared" si="411"/>
        <v>0</v>
      </c>
      <c r="N690" s="679">
        <f t="shared" si="411"/>
        <v>0</v>
      </c>
      <c r="O690" s="679">
        <f t="shared" ref="O690:O698" si="412">IF(L690&gt;0,N690*100/L690,0)</f>
        <v>0</v>
      </c>
      <c r="P690" s="679">
        <f t="shared" ref="P690:P698" si="413">IF(M690&gt;0,N690*100/M690,0)</f>
        <v>0</v>
      </c>
      <c r="Q690" s="679">
        <f t="shared" ref="Q690:S690" ca="1" si="414">Q691+Q692</f>
        <v>144340</v>
      </c>
      <c r="R690" s="679">
        <f t="shared" ca="1" si="414"/>
        <v>144340</v>
      </c>
      <c r="S690" s="679">
        <f t="shared" ca="1" si="414"/>
        <v>17990</v>
      </c>
      <c r="T690" s="679">
        <f t="shared" ref="T690:T698" ca="1" si="415">IF(Q690&gt;0,S690*100/Q690,0)</f>
        <v>12.463627546071775</v>
      </c>
      <c r="U690" s="679">
        <f t="shared" ref="U690:U698" ca="1" si="416">IF(R690&gt;0,S690*100/R690,0)</f>
        <v>12.463627546071775</v>
      </c>
    </row>
    <row r="691" spans="1:21" ht="18.75" x14ac:dyDescent="0.25">
      <c r="A691" s="674"/>
      <c r="B691" s="718"/>
      <c r="C691" s="718"/>
      <c r="D691" s="695"/>
      <c r="E691" s="569" t="s">
        <v>158</v>
      </c>
      <c r="F691" s="561"/>
      <c r="G691" s="563"/>
      <c r="H691" s="685" t="s">
        <v>14</v>
      </c>
      <c r="I691" s="565"/>
      <c r="J691" s="565"/>
      <c r="K691" s="566"/>
      <c r="L691" s="571">
        <f t="shared" ref="L691:N692" si="417">L694+L697</f>
        <v>0</v>
      </c>
      <c r="M691" s="572">
        <f t="shared" si="417"/>
        <v>0</v>
      </c>
      <c r="N691" s="572">
        <f t="shared" si="417"/>
        <v>0</v>
      </c>
      <c r="O691" s="572">
        <f t="shared" si="412"/>
        <v>0</v>
      </c>
      <c r="P691" s="572">
        <f t="shared" si="413"/>
        <v>0</v>
      </c>
      <c r="Q691" s="572">
        <f t="shared" ref="Q691:S692" si="418">Q694+Q697</f>
        <v>0</v>
      </c>
      <c r="R691" s="572">
        <f t="shared" si="418"/>
        <v>0</v>
      </c>
      <c r="S691" s="572">
        <f t="shared" si="418"/>
        <v>0</v>
      </c>
      <c r="T691" s="572">
        <f t="shared" si="415"/>
        <v>0</v>
      </c>
      <c r="U691" s="572">
        <f t="shared" si="416"/>
        <v>0</v>
      </c>
    </row>
    <row r="692" spans="1:21" ht="18.75" x14ac:dyDescent="0.25">
      <c r="A692" s="674"/>
      <c r="B692" s="718"/>
      <c r="C692" s="718"/>
      <c r="D692" s="695"/>
      <c r="E692" s="573" t="s">
        <v>159</v>
      </c>
      <c r="F692" s="561"/>
      <c r="G692" s="563"/>
      <c r="H692" s="682" t="s">
        <v>14</v>
      </c>
      <c r="I692" s="565"/>
      <c r="J692" s="565"/>
      <c r="K692" s="566"/>
      <c r="L692" s="567">
        <f t="shared" si="417"/>
        <v>0</v>
      </c>
      <c r="M692" s="568">
        <f t="shared" si="417"/>
        <v>0</v>
      </c>
      <c r="N692" s="568">
        <f t="shared" si="417"/>
        <v>0</v>
      </c>
      <c r="O692" s="568">
        <f t="shared" si="412"/>
        <v>0</v>
      </c>
      <c r="P692" s="568">
        <f t="shared" si="413"/>
        <v>0</v>
      </c>
      <c r="Q692" s="568">
        <f t="shared" ca="1" si="418"/>
        <v>144340</v>
      </c>
      <c r="R692" s="568">
        <f t="shared" ca="1" si="418"/>
        <v>144340</v>
      </c>
      <c r="S692" s="568">
        <f t="shared" ca="1" si="418"/>
        <v>17990</v>
      </c>
      <c r="T692" s="568">
        <f t="shared" ca="1" si="415"/>
        <v>12.463627546071775</v>
      </c>
      <c r="U692" s="568">
        <f t="shared" ca="1" si="416"/>
        <v>12.463627546071775</v>
      </c>
    </row>
    <row r="693" spans="1:21" ht="18.75" x14ac:dyDescent="0.25">
      <c r="A693" s="674"/>
      <c r="B693" s="718"/>
      <c r="C693" s="718"/>
      <c r="D693" s="562" t="s">
        <v>22</v>
      </c>
      <c r="E693" s="561"/>
      <c r="F693" s="561"/>
      <c r="G693" s="563"/>
      <c r="H693" s="682" t="s">
        <v>14</v>
      </c>
      <c r="I693" s="683"/>
      <c r="J693" s="683"/>
      <c r="K693" s="684"/>
      <c r="L693" s="567">
        <f t="shared" ref="L693:N693" si="419">L694+L695</f>
        <v>0</v>
      </c>
      <c r="M693" s="568">
        <f t="shared" si="419"/>
        <v>0</v>
      </c>
      <c r="N693" s="568">
        <f t="shared" si="419"/>
        <v>0</v>
      </c>
      <c r="O693" s="568">
        <f t="shared" si="412"/>
        <v>0</v>
      </c>
      <c r="P693" s="568">
        <f t="shared" si="413"/>
        <v>0</v>
      </c>
      <c r="Q693" s="568">
        <f t="shared" ref="Q693:S693" ca="1" si="420">Q694+Q695</f>
        <v>144340</v>
      </c>
      <c r="R693" s="568">
        <f t="shared" ca="1" si="420"/>
        <v>144340</v>
      </c>
      <c r="S693" s="568">
        <f t="shared" ca="1" si="420"/>
        <v>17990</v>
      </c>
      <c r="T693" s="568">
        <f t="shared" ca="1" si="415"/>
        <v>12.463627546071775</v>
      </c>
      <c r="U693" s="568">
        <f t="shared" ca="1" si="416"/>
        <v>12.463627546071775</v>
      </c>
    </row>
    <row r="694" spans="1:21" ht="18.75" x14ac:dyDescent="0.25">
      <c r="A694" s="674"/>
      <c r="B694" s="718"/>
      <c r="C694" s="718"/>
      <c r="D694" s="695"/>
      <c r="E694" s="569" t="s">
        <v>158</v>
      </c>
      <c r="F694" s="561"/>
      <c r="G694" s="563"/>
      <c r="H694" s="685" t="s">
        <v>14</v>
      </c>
      <c r="I694" s="565"/>
      <c r="J694" s="565"/>
      <c r="K694" s="566"/>
      <c r="L694" s="571">
        <v>0</v>
      </c>
      <c r="M694" s="572">
        <v>0</v>
      </c>
      <c r="N694" s="572">
        <v>0</v>
      </c>
      <c r="O694" s="572">
        <f t="shared" si="412"/>
        <v>0</v>
      </c>
      <c r="P694" s="572">
        <f t="shared" si="413"/>
        <v>0</v>
      </c>
      <c r="Q694" s="572">
        <v>0</v>
      </c>
      <c r="R694" s="572">
        <v>0</v>
      </c>
      <c r="S694" s="572">
        <v>0</v>
      </c>
      <c r="T694" s="572">
        <f t="shared" si="415"/>
        <v>0</v>
      </c>
      <c r="U694" s="572">
        <f t="shared" si="416"/>
        <v>0</v>
      </c>
    </row>
    <row r="695" spans="1:21" ht="18.75" x14ac:dyDescent="0.25">
      <c r="A695" s="674"/>
      <c r="B695" s="718"/>
      <c r="C695" s="718"/>
      <c r="D695" s="695"/>
      <c r="E695" s="573" t="s">
        <v>159</v>
      </c>
      <c r="F695" s="561"/>
      <c r="G695" s="563"/>
      <c r="H695" s="682" t="s">
        <v>14</v>
      </c>
      <c r="I695" s="565"/>
      <c r="J695" s="565"/>
      <c r="K695" s="566"/>
      <c r="L695" s="567">
        <v>0</v>
      </c>
      <c r="M695" s="568">
        <v>0</v>
      </c>
      <c r="N695" s="568">
        <v>0</v>
      </c>
      <c r="O695" s="568">
        <f t="shared" si="412"/>
        <v>0</v>
      </c>
      <c r="P695" s="568">
        <f t="shared" si="413"/>
        <v>0</v>
      </c>
      <c r="Q695" s="568">
        <f ca="1">IFERROR(__xludf.DUMMYFUNCTION("IMPORTRANGE(""https://docs.google.com/spreadsheets/d/1ItG2mGa2ceCfYo0BwxsXqNm01IGEUdYcSSLTEv9YCik/edit?usp=sharing"",""เบิกจ่ายกองทุน!L24"")"),144340)</f>
        <v>144340</v>
      </c>
      <c r="R695" s="568">
        <f ca="1">IFERROR(__xludf.DUMMYFUNCTION("IMPORTRANGE(""https://docs.google.com/spreadsheets/d/1ItG2mGa2ceCfYo0BwxsXqNm01IGEUdYcSSLTEv9YCik/edit?usp=sharing"",""เบิกจ่ายกองทุน!M24"")"),144340)</f>
        <v>144340</v>
      </c>
      <c r="S695" s="568">
        <f ca="1">IFERROR(__xludf.DUMMYFUNCTION("IMPORTRANGE(""https://docs.google.com/spreadsheets/d/1ItG2mGa2ceCfYo0BwxsXqNm01IGEUdYcSSLTEv9YCik/edit?usp=sharing"",""เบิกจ่ายกองทุน!N24"")"),17990)</f>
        <v>17990</v>
      </c>
      <c r="T695" s="568">
        <f t="shared" ca="1" si="415"/>
        <v>12.463627546071775</v>
      </c>
      <c r="U695" s="568">
        <f t="shared" ca="1" si="416"/>
        <v>12.463627546071775</v>
      </c>
    </row>
    <row r="696" spans="1:21" ht="18.75" x14ac:dyDescent="0.25">
      <c r="A696" s="674"/>
      <c r="B696" s="718"/>
      <c r="C696" s="718"/>
      <c r="D696" s="562" t="s">
        <v>23</v>
      </c>
      <c r="E696" s="561"/>
      <c r="F696" s="561"/>
      <c r="G696" s="563"/>
      <c r="H696" s="686" t="s">
        <v>14</v>
      </c>
      <c r="I696" s="683"/>
      <c r="J696" s="683"/>
      <c r="K696" s="684"/>
      <c r="L696" s="567">
        <f t="shared" ref="L696:N696" si="421">L697+L698</f>
        <v>0</v>
      </c>
      <c r="M696" s="568">
        <f t="shared" si="421"/>
        <v>0</v>
      </c>
      <c r="N696" s="568">
        <f t="shared" si="421"/>
        <v>0</v>
      </c>
      <c r="O696" s="568">
        <f t="shared" si="412"/>
        <v>0</v>
      </c>
      <c r="P696" s="568">
        <f t="shared" si="413"/>
        <v>0</v>
      </c>
      <c r="Q696" s="568">
        <f t="shared" ref="Q696:S696" si="422">Q697+Q698</f>
        <v>0</v>
      </c>
      <c r="R696" s="568">
        <f t="shared" si="422"/>
        <v>0</v>
      </c>
      <c r="S696" s="568">
        <f t="shared" si="422"/>
        <v>0</v>
      </c>
      <c r="T696" s="568">
        <f t="shared" si="415"/>
        <v>0</v>
      </c>
      <c r="U696" s="568">
        <f t="shared" si="416"/>
        <v>0</v>
      </c>
    </row>
    <row r="697" spans="1:21" ht="18.75" x14ac:dyDescent="0.25">
      <c r="A697" s="674"/>
      <c r="B697" s="718"/>
      <c r="C697" s="718"/>
      <c r="D697" s="561"/>
      <c r="E697" s="569" t="s">
        <v>20</v>
      </c>
      <c r="F697" s="561"/>
      <c r="G697" s="563"/>
      <c r="H697" s="685" t="s">
        <v>14</v>
      </c>
      <c r="I697" s="683"/>
      <c r="J697" s="683"/>
      <c r="K697" s="684"/>
      <c r="L697" s="571">
        <v>0</v>
      </c>
      <c r="M697" s="572">
        <v>0</v>
      </c>
      <c r="N697" s="572">
        <v>0</v>
      </c>
      <c r="O697" s="572">
        <f t="shared" si="412"/>
        <v>0</v>
      </c>
      <c r="P697" s="572">
        <f t="shared" si="413"/>
        <v>0</v>
      </c>
      <c r="Q697" s="572">
        <v>0</v>
      </c>
      <c r="R697" s="572">
        <v>0</v>
      </c>
      <c r="S697" s="572">
        <v>0</v>
      </c>
      <c r="T697" s="572">
        <f t="shared" si="415"/>
        <v>0</v>
      </c>
      <c r="U697" s="572">
        <f t="shared" si="416"/>
        <v>0</v>
      </c>
    </row>
    <row r="698" spans="1:21" ht="18.75" x14ac:dyDescent="0.25">
      <c r="A698" s="674"/>
      <c r="B698" s="718"/>
      <c r="C698" s="718"/>
      <c r="D698" s="561"/>
      <c r="E698" s="573" t="s">
        <v>21</v>
      </c>
      <c r="F698" s="561"/>
      <c r="G698" s="563"/>
      <c r="H698" s="686" t="s">
        <v>14</v>
      </c>
      <c r="I698" s="683"/>
      <c r="J698" s="683"/>
      <c r="K698" s="684"/>
      <c r="L698" s="567">
        <v>0</v>
      </c>
      <c r="M698" s="568">
        <v>0</v>
      </c>
      <c r="N698" s="568">
        <v>0</v>
      </c>
      <c r="O698" s="568">
        <f t="shared" si="412"/>
        <v>0</v>
      </c>
      <c r="P698" s="568">
        <f t="shared" si="413"/>
        <v>0</v>
      </c>
      <c r="Q698" s="568">
        <v>0</v>
      </c>
      <c r="R698" s="568">
        <v>0</v>
      </c>
      <c r="S698" s="568">
        <v>0</v>
      </c>
      <c r="T698" s="568">
        <f t="shared" si="415"/>
        <v>0</v>
      </c>
      <c r="U698" s="568">
        <f t="shared" si="416"/>
        <v>0</v>
      </c>
    </row>
    <row r="699" spans="1:21" ht="19.5" x14ac:dyDescent="0.3">
      <c r="A699" s="687"/>
      <c r="B699" s="688"/>
      <c r="C699" s="724" t="s">
        <v>18</v>
      </c>
      <c r="D699" s="689" t="s">
        <v>38</v>
      </c>
      <c r="E699" s="690"/>
      <c r="F699" s="690"/>
      <c r="G699" s="690"/>
      <c r="H699" s="725"/>
      <c r="I699" s="683"/>
      <c r="J699" s="683"/>
      <c r="K699" s="684"/>
      <c r="L699" s="574"/>
      <c r="M699" s="566"/>
      <c r="N699" s="566"/>
      <c r="O699" s="566"/>
      <c r="P699" s="566"/>
      <c r="Q699" s="566"/>
      <c r="R699" s="566"/>
      <c r="S699" s="566"/>
      <c r="T699" s="566"/>
      <c r="U699" s="566"/>
    </row>
    <row r="700" spans="1:21" ht="18.75" x14ac:dyDescent="0.25">
      <c r="A700" s="764"/>
      <c r="B700" s="718"/>
      <c r="C700" s="718"/>
      <c r="D700" s="695"/>
      <c r="E700" s="694" t="s">
        <v>256</v>
      </c>
      <c r="F700" s="695"/>
      <c r="G700" s="692"/>
      <c r="H700" s="686" t="s">
        <v>257</v>
      </c>
      <c r="I700" s="708">
        <f ca="1">IFERROR(__xludf.DUMMYFUNCTION("IMPORTRANGE(""https://docs.google.com/spreadsheets/d/1eHaY18a8A9IcSdp1K8H6x8fbOy06t2VsZHhMHf-1x7Y/edit?usp=sharing"",""แผน!LC24"")"),0)</f>
        <v>0</v>
      </c>
      <c r="J700" s="702">
        <v>0</v>
      </c>
      <c r="K700" s="703">
        <f t="shared" ref="K700:K710" ca="1" si="423">IF(I700&gt;0,J700*100/I700,0)</f>
        <v>0</v>
      </c>
      <c r="L700" s="693"/>
      <c r="M700" s="684"/>
      <c r="N700" s="566"/>
      <c r="O700" s="684"/>
      <c r="P700" s="684"/>
      <c r="Q700" s="684"/>
      <c r="R700" s="684"/>
      <c r="S700" s="566"/>
      <c r="T700" s="684"/>
      <c r="U700" s="684"/>
    </row>
    <row r="701" spans="1:21" ht="19.5" x14ac:dyDescent="0.3">
      <c r="A701" s="764"/>
      <c r="B701" s="718"/>
      <c r="C701" s="718"/>
      <c r="D701" s="695"/>
      <c r="E701" s="1095" t="s">
        <v>258</v>
      </c>
      <c r="F701" s="695"/>
      <c r="G701" s="692"/>
      <c r="H701" s="677" t="s">
        <v>35</v>
      </c>
      <c r="I701" s="697">
        <f t="shared" ref="I701:J701" ca="1" si="424">I703+I705</f>
        <v>55</v>
      </c>
      <c r="J701" s="697">
        <f t="shared" ca="1" si="424"/>
        <v>19</v>
      </c>
      <c r="K701" s="679">
        <f t="shared" ca="1" si="423"/>
        <v>34.545454545454547</v>
      </c>
      <c r="L701" s="693"/>
      <c r="M701" s="684"/>
      <c r="N701" s="684"/>
      <c r="O701" s="684"/>
      <c r="P701" s="684"/>
      <c r="Q701" s="684"/>
      <c r="R701" s="684"/>
      <c r="S701" s="684"/>
      <c r="T701" s="684"/>
      <c r="U701" s="684"/>
    </row>
    <row r="702" spans="1:21" ht="19.5" x14ac:dyDescent="0.3">
      <c r="A702" s="764"/>
      <c r="B702" s="718"/>
      <c r="C702" s="718"/>
      <c r="D702" s="695"/>
      <c r="E702" s="695"/>
      <c r="F702" s="695"/>
      <c r="G702" s="692"/>
      <c r="H702" s="677" t="s">
        <v>46</v>
      </c>
      <c r="I702" s="697">
        <v>0</v>
      </c>
      <c r="J702" s="697">
        <f ca="1">J704+J706</f>
        <v>9.3800000000000008</v>
      </c>
      <c r="K702" s="679">
        <f t="shared" si="423"/>
        <v>0</v>
      </c>
      <c r="L702" s="693"/>
      <c r="M702" s="684"/>
      <c r="N702" s="684"/>
      <c r="O702" s="684"/>
      <c r="P702" s="684"/>
      <c r="Q702" s="684"/>
      <c r="R702" s="684"/>
      <c r="S702" s="684"/>
      <c r="T702" s="684"/>
      <c r="U702" s="684"/>
    </row>
    <row r="703" spans="1:21" ht="18.75" x14ac:dyDescent="0.25">
      <c r="A703" s="764"/>
      <c r="B703" s="718"/>
      <c r="C703" s="718"/>
      <c r="D703" s="695"/>
      <c r="E703" s="695"/>
      <c r="F703" s="694" t="s">
        <v>259</v>
      </c>
      <c r="G703" s="692"/>
      <c r="H703" s="686" t="s">
        <v>35</v>
      </c>
      <c r="I703" s="708">
        <f ca="1">IFERROR(__xludf.DUMMYFUNCTION("IMPORTRANGE(""https://docs.google.com/spreadsheets/d/1eHaY18a8A9IcSdp1K8H6x8fbOy06t2VsZHhMHf-1x7Y/edit?usp=sharing"",""แผน!LJ24"")"),52)</f>
        <v>52</v>
      </c>
      <c r="J703" s="708">
        <f ca="1">IFERROR(__xludf.DUMMYFUNCTION("IMPORTRANGE(""https://docs.google.com/spreadsheets/d/1tdoBKaGub7dwA3U6UFTqxio9LNnvDCQjHKmttSEBsFQ/edit?usp=sharing"",""จัดที่ดิน!AP24"")"),19)</f>
        <v>19</v>
      </c>
      <c r="K703" s="568">
        <f t="shared" ca="1" si="423"/>
        <v>36.53846153846154</v>
      </c>
      <c r="L703" s="693"/>
      <c r="M703" s="684"/>
      <c r="N703" s="684"/>
      <c r="O703" s="684"/>
      <c r="P703" s="684"/>
      <c r="Q703" s="684"/>
      <c r="R703" s="684"/>
      <c r="S703" s="684"/>
      <c r="T703" s="684"/>
      <c r="U703" s="684"/>
    </row>
    <row r="704" spans="1:21" ht="18.75" x14ac:dyDescent="0.25">
      <c r="A704" s="764"/>
      <c r="B704" s="718"/>
      <c r="C704" s="718"/>
      <c r="D704" s="695"/>
      <c r="E704" s="695"/>
      <c r="F704" s="695"/>
      <c r="G704" s="692"/>
      <c r="H704" s="686" t="s">
        <v>46</v>
      </c>
      <c r="I704" s="708">
        <v>0</v>
      </c>
      <c r="J704" s="708">
        <f ca="1">IFERROR(__xludf.DUMMYFUNCTION("IMPORTRANGE(""https://docs.google.com/spreadsheets/d/1tdoBKaGub7dwA3U6UFTqxio9LNnvDCQjHKmttSEBsFQ/edit?usp=sharing"",""จัดที่ดิน!AQ24"")"),9.38)</f>
        <v>9.3800000000000008</v>
      </c>
      <c r="K704" s="568">
        <f t="shared" si="423"/>
        <v>0</v>
      </c>
      <c r="L704" s="693"/>
      <c r="M704" s="684"/>
      <c r="N704" s="684"/>
      <c r="O704" s="684"/>
      <c r="P704" s="684"/>
      <c r="Q704" s="684"/>
      <c r="R704" s="684"/>
      <c r="S704" s="684"/>
      <c r="T704" s="684"/>
      <c r="U704" s="684"/>
    </row>
    <row r="705" spans="1:21" ht="18.75" x14ac:dyDescent="0.25">
      <c r="A705" s="764"/>
      <c r="B705" s="718"/>
      <c r="C705" s="718"/>
      <c r="D705" s="695"/>
      <c r="E705" s="695"/>
      <c r="F705" s="694" t="s">
        <v>260</v>
      </c>
      <c r="G705" s="692"/>
      <c r="H705" s="686" t="s">
        <v>35</v>
      </c>
      <c r="I705" s="708">
        <f ca="1">IFERROR(__xludf.DUMMYFUNCTION("IMPORTRANGE(""https://docs.google.com/spreadsheets/d/1eHaY18a8A9IcSdp1K8H6x8fbOy06t2VsZHhMHf-1x7Y/edit?usp=sharing"",""แผน!LK24"")"),3)</f>
        <v>3</v>
      </c>
      <c r="J705" s="708">
        <f ca="1">IFERROR(__xludf.DUMMYFUNCTION("IMPORTRANGE(""https://docs.google.com/spreadsheets/d/1tdoBKaGub7dwA3U6UFTqxio9LNnvDCQjHKmttSEBsFQ/edit?usp=sharing"",""จัดที่ดิน!AR24"")"),0)</f>
        <v>0</v>
      </c>
      <c r="K705" s="703">
        <f t="shared" ca="1" si="423"/>
        <v>0</v>
      </c>
      <c r="L705" s="693"/>
      <c r="M705" s="684"/>
      <c r="N705" s="684"/>
      <c r="O705" s="684"/>
      <c r="P705" s="684"/>
      <c r="Q705" s="684"/>
      <c r="R705" s="684"/>
      <c r="S705" s="684"/>
      <c r="T705" s="684"/>
      <c r="U705" s="684"/>
    </row>
    <row r="706" spans="1:21" ht="18.75" x14ac:dyDescent="0.25">
      <c r="A706" s="764"/>
      <c r="B706" s="718"/>
      <c r="C706" s="718"/>
      <c r="D706" s="695"/>
      <c r="E706" s="695"/>
      <c r="F706" s="695"/>
      <c r="G706" s="692"/>
      <c r="H706" s="686" t="s">
        <v>46</v>
      </c>
      <c r="I706" s="708">
        <v>0</v>
      </c>
      <c r="J706" s="708">
        <f ca="1">IFERROR(__xludf.DUMMYFUNCTION("IMPORTRANGE(""https://docs.google.com/spreadsheets/d/1tdoBKaGub7dwA3U6UFTqxio9LNnvDCQjHKmttSEBsFQ/edit?usp=sharing"",""จัดที่ดิน!AS24"")"),0)</f>
        <v>0</v>
      </c>
      <c r="K706" s="568">
        <f t="shared" si="423"/>
        <v>0</v>
      </c>
      <c r="L706" s="693"/>
      <c r="M706" s="684"/>
      <c r="N706" s="684"/>
      <c r="O706" s="684"/>
      <c r="P706" s="684"/>
      <c r="Q706" s="684"/>
      <c r="R706" s="684"/>
      <c r="S706" s="684"/>
      <c r="T706" s="684"/>
      <c r="U706" s="684"/>
    </row>
    <row r="707" spans="1:21" ht="18.75" x14ac:dyDescent="0.25">
      <c r="A707" s="764"/>
      <c r="B707" s="718"/>
      <c r="C707" s="718"/>
      <c r="D707" s="695"/>
      <c r="E707" s="694" t="s">
        <v>261</v>
      </c>
      <c r="F707" s="695"/>
      <c r="G707" s="692"/>
      <c r="H707" s="682" t="s">
        <v>35</v>
      </c>
      <c r="I707" s="708">
        <f ca="1">IFERROR(__xludf.DUMMYFUNCTION("IMPORTRANGE(""https://docs.google.com/spreadsheets/d/1eHaY18a8A9IcSdp1K8H6x8fbOy06t2VsZHhMHf-1x7Y/edit?usp=sharing"",""แผน!LJ24"")"),52)</f>
        <v>52</v>
      </c>
      <c r="J707" s="708">
        <f ca="1">IFERROR(__xludf.DUMMYFUNCTION("IMPORTRANGE(""https://docs.google.com/spreadsheets/d/1tdoBKaGub7dwA3U6UFTqxio9LNnvDCQjHKmttSEBsFQ/edit?usp=sharing"",""จัดที่ดิน!BN24"")"),0)</f>
        <v>0</v>
      </c>
      <c r="K707" s="568">
        <f t="shared" ca="1" si="423"/>
        <v>0</v>
      </c>
      <c r="L707" s="693"/>
      <c r="M707" s="684"/>
      <c r="N707" s="684"/>
      <c r="O707" s="684"/>
      <c r="P707" s="684"/>
      <c r="Q707" s="684"/>
      <c r="R707" s="684"/>
      <c r="S707" s="684"/>
      <c r="T707" s="684"/>
      <c r="U707" s="684"/>
    </row>
    <row r="708" spans="1:21" ht="18.75" x14ac:dyDescent="0.25">
      <c r="A708" s="764"/>
      <c r="B708" s="718"/>
      <c r="C708" s="718"/>
      <c r="D708" s="695"/>
      <c r="E708" s="1096" t="s">
        <v>262</v>
      </c>
      <c r="F708" s="695"/>
      <c r="G708" s="692"/>
      <c r="H708" s="682" t="s">
        <v>46</v>
      </c>
      <c r="I708" s="708">
        <v>0</v>
      </c>
      <c r="J708" s="708">
        <f ca="1">IFERROR(__xludf.DUMMYFUNCTION("IMPORTRANGE(""https://docs.google.com/spreadsheets/d/1tdoBKaGub7dwA3U6UFTqxio9LNnvDCQjHKmttSEBsFQ/edit?usp=sharing"",""จัดที่ดิน!BO24"")"),0)</f>
        <v>0</v>
      </c>
      <c r="K708" s="568">
        <f t="shared" si="423"/>
        <v>0</v>
      </c>
      <c r="L708" s="693"/>
      <c r="M708" s="684"/>
      <c r="N708" s="684"/>
      <c r="O708" s="684"/>
      <c r="P708" s="684"/>
      <c r="Q708" s="684"/>
      <c r="R708" s="684"/>
      <c r="S708" s="684"/>
      <c r="T708" s="684"/>
      <c r="U708" s="684"/>
    </row>
    <row r="709" spans="1:21" ht="18.75" x14ac:dyDescent="0.25">
      <c r="A709" s="764"/>
      <c r="B709" s="718"/>
      <c r="C709" s="718"/>
      <c r="D709" s="561"/>
      <c r="E709" s="573" t="s">
        <v>263</v>
      </c>
      <c r="F709" s="561"/>
      <c r="G709" s="563"/>
      <c r="H709" s="722" t="s">
        <v>35</v>
      </c>
      <c r="I709" s="708">
        <f ca="1">IFERROR(__xludf.DUMMYFUNCTION("IMPORTRANGE(""https://docs.google.com/spreadsheets/d/1eHaY18a8A9IcSdp1K8H6x8fbOy06t2VsZHhMHf-1x7Y/edit?usp=sharing"",""แผน!LK24"")"),3)</f>
        <v>3</v>
      </c>
      <c r="J709" s="708">
        <f ca="1">IFERROR(__xludf.DUMMYFUNCTION("IMPORTRANGE(""https://docs.google.com/spreadsheets/d/1tdoBKaGub7dwA3U6UFTqxio9LNnvDCQjHKmttSEBsFQ/edit?usp=sharing"",""จัดที่ดิน!BP24"")"),0)</f>
        <v>0</v>
      </c>
      <c r="K709" s="568">
        <f t="shared" ca="1" si="423"/>
        <v>0</v>
      </c>
      <c r="L709" s="574"/>
      <c r="M709" s="566"/>
      <c r="N709" s="566"/>
      <c r="O709" s="566"/>
      <c r="P709" s="566"/>
      <c r="Q709" s="566"/>
      <c r="R709" s="566"/>
      <c r="S709" s="566"/>
      <c r="T709" s="566"/>
      <c r="U709" s="566"/>
    </row>
    <row r="710" spans="1:21" ht="18.75" x14ac:dyDescent="0.25">
      <c r="A710" s="764"/>
      <c r="B710" s="718"/>
      <c r="C710" s="718"/>
      <c r="D710" s="561"/>
      <c r="E710" s="1096" t="s">
        <v>264</v>
      </c>
      <c r="F710" s="561"/>
      <c r="G710" s="563"/>
      <c r="H710" s="722" t="s">
        <v>46</v>
      </c>
      <c r="I710" s="708">
        <v>0</v>
      </c>
      <c r="J710" s="708">
        <f ca="1">IFERROR(__xludf.DUMMYFUNCTION("IMPORTRANGE(""https://docs.google.com/spreadsheets/d/1tdoBKaGub7dwA3U6UFTqxio9LNnvDCQjHKmttSEBsFQ/edit?usp=sharing"",""จัดที่ดิน!BQ24"")"),0)</f>
        <v>0</v>
      </c>
      <c r="K710" s="568">
        <f t="shared" si="423"/>
        <v>0</v>
      </c>
      <c r="L710" s="574"/>
      <c r="M710" s="566"/>
      <c r="N710" s="566"/>
      <c r="O710" s="566"/>
      <c r="P710" s="566"/>
      <c r="Q710" s="566"/>
      <c r="R710" s="566"/>
      <c r="S710" s="566"/>
      <c r="T710" s="566"/>
      <c r="U710" s="566"/>
    </row>
    <row r="711" spans="1:21" ht="12.75" x14ac:dyDescent="0.2">
      <c r="A711" s="1027"/>
      <c r="B711" s="966"/>
      <c r="C711" s="966"/>
      <c r="D711" s="1028"/>
      <c r="E711" s="1028"/>
      <c r="F711" s="1028"/>
      <c r="G711" s="1029"/>
      <c r="H711" s="967"/>
      <c r="I711" s="968"/>
      <c r="J711" s="968"/>
      <c r="K711" s="969"/>
      <c r="L711" s="970"/>
      <c r="M711" s="969"/>
      <c r="N711" s="969"/>
      <c r="O711" s="969"/>
      <c r="P711" s="969"/>
      <c r="Q711" s="969"/>
      <c r="R711" s="969"/>
      <c r="S711" s="969"/>
      <c r="T711" s="969"/>
      <c r="U711" s="969"/>
    </row>
    <row r="712" spans="1:21" ht="19.5" x14ac:dyDescent="0.3">
      <c r="A712" s="1061"/>
      <c r="B712" s="1097" t="s">
        <v>265</v>
      </c>
      <c r="C712" s="1061"/>
      <c r="D712" s="1063"/>
      <c r="E712" s="1063"/>
      <c r="F712" s="1063"/>
      <c r="G712" s="1064"/>
      <c r="H712" s="1098" t="s">
        <v>46</v>
      </c>
      <c r="I712" s="1066"/>
      <c r="J712" s="1066">
        <f>J724</f>
        <v>0</v>
      </c>
      <c r="K712" s="1099">
        <f>IF(I712&gt;0,J712*100/I712,0)</f>
        <v>0</v>
      </c>
      <c r="L712" s="1068"/>
      <c r="M712" s="1067"/>
      <c r="N712" s="1067"/>
      <c r="O712" s="1067"/>
      <c r="P712" s="1067"/>
      <c r="Q712" s="1067"/>
      <c r="R712" s="1067"/>
      <c r="S712" s="1067"/>
      <c r="T712" s="1067"/>
      <c r="U712" s="1067"/>
    </row>
    <row r="713" spans="1:21" ht="19.5" x14ac:dyDescent="0.3">
      <c r="A713" s="1061"/>
      <c r="B713" s="1097" t="s">
        <v>266</v>
      </c>
      <c r="C713" s="1061"/>
      <c r="D713" s="1063"/>
      <c r="E713" s="1063"/>
      <c r="F713" s="1063"/>
      <c r="G713" s="1064"/>
      <c r="H713" s="1065"/>
      <c r="I713" s="1066"/>
      <c r="J713" s="1066"/>
      <c r="K713" s="1067"/>
      <c r="L713" s="1068"/>
      <c r="M713" s="1067"/>
      <c r="N713" s="1067"/>
      <c r="O713" s="1067"/>
      <c r="P713" s="1067"/>
      <c r="Q713" s="1067"/>
      <c r="R713" s="1067"/>
      <c r="S713" s="1067"/>
      <c r="T713" s="1067"/>
      <c r="U713" s="1067"/>
    </row>
    <row r="714" spans="1:21" ht="19.5" x14ac:dyDescent="0.3">
      <c r="A714" s="674"/>
      <c r="B714" s="718"/>
      <c r="C714" s="767" t="s">
        <v>18</v>
      </c>
      <c r="D714" s="1315" t="s">
        <v>19</v>
      </c>
      <c r="E714" s="1311"/>
      <c r="F714" s="1311"/>
      <c r="G714" s="1312"/>
      <c r="H714" s="799" t="s">
        <v>14</v>
      </c>
      <c r="I714" s="565"/>
      <c r="J714" s="565"/>
      <c r="K714" s="566"/>
      <c r="L714" s="678">
        <f t="shared" ref="L714:N714" si="425">L715+L716</f>
        <v>0</v>
      </c>
      <c r="M714" s="679">
        <f t="shared" si="425"/>
        <v>0</v>
      </c>
      <c r="N714" s="679">
        <f t="shared" si="425"/>
        <v>0</v>
      </c>
      <c r="O714" s="679">
        <f t="shared" ref="O714:O722" si="426">IF(L714&gt;0,N714*100/L714,0)</f>
        <v>0</v>
      </c>
      <c r="P714" s="679">
        <f t="shared" ref="P714:P722" si="427">IF(M714&gt;0,N714*100/M714,0)</f>
        <v>0</v>
      </c>
      <c r="Q714" s="679">
        <f t="shared" ref="Q714:S714" si="428">Q715+Q716</f>
        <v>0</v>
      </c>
      <c r="R714" s="679">
        <f t="shared" si="428"/>
        <v>0</v>
      </c>
      <c r="S714" s="679">
        <f t="shared" si="428"/>
        <v>0</v>
      </c>
      <c r="T714" s="679">
        <f t="shared" ref="T714:T722" si="429">IF(Q714&gt;0,S714*100/Q714,0)</f>
        <v>0</v>
      </c>
      <c r="U714" s="679">
        <f t="shared" ref="U714:U722" si="430">IF(R714&gt;0,S714*100/R714,0)</f>
        <v>0</v>
      </c>
    </row>
    <row r="715" spans="1:21" ht="18.75" x14ac:dyDescent="0.25">
      <c r="A715" s="674"/>
      <c r="B715" s="718"/>
      <c r="C715" s="718"/>
      <c r="D715" s="695"/>
      <c r="E715" s="569" t="s">
        <v>158</v>
      </c>
      <c r="F715" s="561"/>
      <c r="G715" s="563"/>
      <c r="H715" s="685" t="s">
        <v>14</v>
      </c>
      <c r="I715" s="565"/>
      <c r="J715" s="565"/>
      <c r="K715" s="566"/>
      <c r="L715" s="571">
        <f t="shared" ref="L715:N716" si="431">L718+L721</f>
        <v>0</v>
      </c>
      <c r="M715" s="572">
        <f t="shared" si="431"/>
        <v>0</v>
      </c>
      <c r="N715" s="572">
        <f t="shared" si="431"/>
        <v>0</v>
      </c>
      <c r="O715" s="572">
        <f t="shared" si="426"/>
        <v>0</v>
      </c>
      <c r="P715" s="572">
        <f t="shared" si="427"/>
        <v>0</v>
      </c>
      <c r="Q715" s="572">
        <f t="shared" ref="Q715:S716" si="432">Q718+Q721</f>
        <v>0</v>
      </c>
      <c r="R715" s="572">
        <f t="shared" si="432"/>
        <v>0</v>
      </c>
      <c r="S715" s="572">
        <f t="shared" si="432"/>
        <v>0</v>
      </c>
      <c r="T715" s="572">
        <f t="shared" si="429"/>
        <v>0</v>
      </c>
      <c r="U715" s="572">
        <f t="shared" si="430"/>
        <v>0</v>
      </c>
    </row>
    <row r="716" spans="1:21" ht="18.75" x14ac:dyDescent="0.25">
      <c r="A716" s="674"/>
      <c r="B716" s="718"/>
      <c r="C716" s="718"/>
      <c r="D716" s="695"/>
      <c r="E716" s="569" t="s">
        <v>159</v>
      </c>
      <c r="F716" s="561"/>
      <c r="G716" s="563"/>
      <c r="H716" s="685" t="s">
        <v>14</v>
      </c>
      <c r="I716" s="565"/>
      <c r="J716" s="565"/>
      <c r="K716" s="566"/>
      <c r="L716" s="567">
        <f t="shared" si="431"/>
        <v>0</v>
      </c>
      <c r="M716" s="568">
        <f t="shared" si="431"/>
        <v>0</v>
      </c>
      <c r="N716" s="568">
        <f t="shared" si="431"/>
        <v>0</v>
      </c>
      <c r="O716" s="568">
        <f t="shared" si="426"/>
        <v>0</v>
      </c>
      <c r="P716" s="568">
        <f t="shared" si="427"/>
        <v>0</v>
      </c>
      <c r="Q716" s="568">
        <f t="shared" si="432"/>
        <v>0</v>
      </c>
      <c r="R716" s="568">
        <f t="shared" si="432"/>
        <v>0</v>
      </c>
      <c r="S716" s="568">
        <f t="shared" si="432"/>
        <v>0</v>
      </c>
      <c r="T716" s="568">
        <f t="shared" si="429"/>
        <v>0</v>
      </c>
      <c r="U716" s="568">
        <f t="shared" si="430"/>
        <v>0</v>
      </c>
    </row>
    <row r="717" spans="1:21" ht="19.5" x14ac:dyDescent="0.3">
      <c r="A717" s="674"/>
      <c r="B717" s="718"/>
      <c r="C717" s="718"/>
      <c r="D717" s="798" t="s">
        <v>22</v>
      </c>
      <c r="E717" s="561"/>
      <c r="F717" s="561"/>
      <c r="G717" s="563"/>
      <c r="H717" s="799" t="s">
        <v>14</v>
      </c>
      <c r="I717" s="683"/>
      <c r="J717" s="683"/>
      <c r="K717" s="684"/>
      <c r="L717" s="567">
        <f t="shared" ref="L717:N717" si="433">L718+L719</f>
        <v>0</v>
      </c>
      <c r="M717" s="568">
        <f t="shared" si="433"/>
        <v>0</v>
      </c>
      <c r="N717" s="568">
        <f t="shared" si="433"/>
        <v>0</v>
      </c>
      <c r="O717" s="568">
        <f t="shared" si="426"/>
        <v>0</v>
      </c>
      <c r="P717" s="568">
        <f t="shared" si="427"/>
        <v>0</v>
      </c>
      <c r="Q717" s="568">
        <f t="shared" ref="Q717:S717" si="434">Q718+Q719</f>
        <v>0</v>
      </c>
      <c r="R717" s="568">
        <f t="shared" si="434"/>
        <v>0</v>
      </c>
      <c r="S717" s="568">
        <f t="shared" si="434"/>
        <v>0</v>
      </c>
      <c r="T717" s="568">
        <f t="shared" si="429"/>
        <v>0</v>
      </c>
      <c r="U717" s="568">
        <f t="shared" si="430"/>
        <v>0</v>
      </c>
    </row>
    <row r="718" spans="1:21" ht="18.75" x14ac:dyDescent="0.25">
      <c r="A718" s="674"/>
      <c r="B718" s="718"/>
      <c r="C718" s="718"/>
      <c r="D718" s="695"/>
      <c r="E718" s="569" t="s">
        <v>158</v>
      </c>
      <c r="F718" s="561"/>
      <c r="G718" s="563"/>
      <c r="H718" s="685" t="s">
        <v>14</v>
      </c>
      <c r="I718" s="565"/>
      <c r="J718" s="565"/>
      <c r="K718" s="566"/>
      <c r="L718" s="571">
        <v>0</v>
      </c>
      <c r="M718" s="572">
        <v>0</v>
      </c>
      <c r="N718" s="572">
        <v>0</v>
      </c>
      <c r="O718" s="572">
        <f t="shared" si="426"/>
        <v>0</v>
      </c>
      <c r="P718" s="572">
        <f t="shared" si="427"/>
        <v>0</v>
      </c>
      <c r="Q718" s="572">
        <v>0</v>
      </c>
      <c r="R718" s="572">
        <v>0</v>
      </c>
      <c r="S718" s="572">
        <v>0</v>
      </c>
      <c r="T718" s="572">
        <f t="shared" si="429"/>
        <v>0</v>
      </c>
      <c r="U718" s="572">
        <f t="shared" si="430"/>
        <v>0</v>
      </c>
    </row>
    <row r="719" spans="1:21" ht="18.75" x14ac:dyDescent="0.25">
      <c r="A719" s="674"/>
      <c r="B719" s="718"/>
      <c r="C719" s="718"/>
      <c r="D719" s="695"/>
      <c r="E719" s="569" t="s">
        <v>159</v>
      </c>
      <c r="F719" s="561"/>
      <c r="G719" s="563"/>
      <c r="H719" s="685" t="s">
        <v>14</v>
      </c>
      <c r="I719" s="565"/>
      <c r="J719" s="565"/>
      <c r="K719" s="566"/>
      <c r="L719" s="567">
        <v>0</v>
      </c>
      <c r="M719" s="568">
        <v>0</v>
      </c>
      <c r="N719" s="568">
        <v>0</v>
      </c>
      <c r="O719" s="568">
        <f t="shared" si="426"/>
        <v>0</v>
      </c>
      <c r="P719" s="568">
        <f t="shared" si="427"/>
        <v>0</v>
      </c>
      <c r="Q719" s="568">
        <v>0</v>
      </c>
      <c r="R719" s="568">
        <v>0</v>
      </c>
      <c r="S719" s="568">
        <v>0</v>
      </c>
      <c r="T719" s="568">
        <f t="shared" si="429"/>
        <v>0</v>
      </c>
      <c r="U719" s="568">
        <f t="shared" si="430"/>
        <v>0</v>
      </c>
    </row>
    <row r="720" spans="1:21" ht="19.5" x14ac:dyDescent="0.3">
      <c r="A720" s="674"/>
      <c r="B720" s="718"/>
      <c r="C720" s="718"/>
      <c r="D720" s="798" t="s">
        <v>23</v>
      </c>
      <c r="E720" s="561"/>
      <c r="F720" s="561"/>
      <c r="G720" s="563"/>
      <c r="H720" s="1041" t="s">
        <v>14</v>
      </c>
      <c r="I720" s="683"/>
      <c r="J720" s="683"/>
      <c r="K720" s="684"/>
      <c r="L720" s="567">
        <f t="shared" ref="L720:N720" si="435">L721+L722</f>
        <v>0</v>
      </c>
      <c r="M720" s="568">
        <f t="shared" si="435"/>
        <v>0</v>
      </c>
      <c r="N720" s="568">
        <f t="shared" si="435"/>
        <v>0</v>
      </c>
      <c r="O720" s="568">
        <f t="shared" si="426"/>
        <v>0</v>
      </c>
      <c r="P720" s="568">
        <f t="shared" si="427"/>
        <v>0</v>
      </c>
      <c r="Q720" s="568">
        <f t="shared" ref="Q720:S720" si="436">Q721+Q722</f>
        <v>0</v>
      </c>
      <c r="R720" s="568">
        <f t="shared" si="436"/>
        <v>0</v>
      </c>
      <c r="S720" s="568">
        <f t="shared" si="436"/>
        <v>0</v>
      </c>
      <c r="T720" s="568">
        <f t="shared" si="429"/>
        <v>0</v>
      </c>
      <c r="U720" s="568">
        <f t="shared" si="430"/>
        <v>0</v>
      </c>
    </row>
    <row r="721" spans="1:21" ht="18.75" x14ac:dyDescent="0.25">
      <c r="A721" s="674"/>
      <c r="B721" s="718"/>
      <c r="C721" s="718"/>
      <c r="D721" s="561"/>
      <c r="E721" s="569" t="s">
        <v>20</v>
      </c>
      <c r="F721" s="561"/>
      <c r="G721" s="563"/>
      <c r="H721" s="685" t="s">
        <v>14</v>
      </c>
      <c r="I721" s="683"/>
      <c r="J721" s="683"/>
      <c r="K721" s="684"/>
      <c r="L721" s="571">
        <v>0</v>
      </c>
      <c r="M721" s="572">
        <v>0</v>
      </c>
      <c r="N721" s="572">
        <v>0</v>
      </c>
      <c r="O721" s="572">
        <f t="shared" si="426"/>
        <v>0</v>
      </c>
      <c r="P721" s="572">
        <f t="shared" si="427"/>
        <v>0</v>
      </c>
      <c r="Q721" s="572">
        <v>0</v>
      </c>
      <c r="R721" s="572">
        <v>0</v>
      </c>
      <c r="S721" s="572">
        <v>0</v>
      </c>
      <c r="T721" s="572">
        <f t="shared" si="429"/>
        <v>0</v>
      </c>
      <c r="U721" s="572">
        <f t="shared" si="430"/>
        <v>0</v>
      </c>
    </row>
    <row r="722" spans="1:21" ht="18.75" x14ac:dyDescent="0.25">
      <c r="A722" s="674"/>
      <c r="B722" s="718"/>
      <c r="C722" s="718"/>
      <c r="D722" s="561"/>
      <c r="E722" s="569" t="s">
        <v>21</v>
      </c>
      <c r="F722" s="561"/>
      <c r="G722" s="563"/>
      <c r="H722" s="734" t="s">
        <v>14</v>
      </c>
      <c r="I722" s="683"/>
      <c r="J722" s="683"/>
      <c r="K722" s="684"/>
      <c r="L722" s="567">
        <v>0</v>
      </c>
      <c r="M722" s="568">
        <v>0</v>
      </c>
      <c r="N722" s="568">
        <v>0</v>
      </c>
      <c r="O722" s="568">
        <f t="shared" si="426"/>
        <v>0</v>
      </c>
      <c r="P722" s="568">
        <f t="shared" si="427"/>
        <v>0</v>
      </c>
      <c r="Q722" s="568">
        <v>0</v>
      </c>
      <c r="R722" s="568">
        <v>0</v>
      </c>
      <c r="S722" s="568">
        <v>0</v>
      </c>
      <c r="T722" s="568">
        <f t="shared" si="429"/>
        <v>0</v>
      </c>
      <c r="U722" s="568">
        <f t="shared" si="430"/>
        <v>0</v>
      </c>
    </row>
    <row r="723" spans="1:21" ht="19.5" x14ac:dyDescent="0.3">
      <c r="A723" s="687"/>
      <c r="B723" s="688"/>
      <c r="C723" s="767" t="s">
        <v>18</v>
      </c>
      <c r="D723" s="1100" t="s">
        <v>38</v>
      </c>
      <c r="E723" s="690"/>
      <c r="F723" s="690"/>
      <c r="G723" s="691"/>
      <c r="H723" s="725"/>
      <c r="I723" s="683"/>
      <c r="J723" s="683"/>
      <c r="K723" s="684"/>
      <c r="L723" s="693"/>
      <c r="M723" s="684"/>
      <c r="N723" s="684"/>
      <c r="O723" s="684"/>
      <c r="P723" s="684"/>
      <c r="Q723" s="684"/>
      <c r="R723" s="684"/>
      <c r="S723" s="684"/>
      <c r="T723" s="684"/>
      <c r="U723" s="684"/>
    </row>
    <row r="724" spans="1:21" ht="18.75" x14ac:dyDescent="0.25">
      <c r="A724" s="764"/>
      <c r="B724" s="718"/>
      <c r="C724" s="718"/>
      <c r="D724" s="561"/>
      <c r="E724" s="569" t="s">
        <v>267</v>
      </c>
      <c r="F724" s="561"/>
      <c r="G724" s="563"/>
      <c r="H724" s="685" t="s">
        <v>46</v>
      </c>
      <c r="I724" s="735">
        <v>0</v>
      </c>
      <c r="J724" s="565"/>
      <c r="K724" s="566"/>
      <c r="L724" s="574"/>
      <c r="M724" s="566"/>
      <c r="N724" s="566"/>
      <c r="O724" s="566"/>
      <c r="P724" s="566"/>
      <c r="Q724" s="566"/>
      <c r="R724" s="566"/>
      <c r="S724" s="566"/>
      <c r="T724" s="566"/>
      <c r="U724" s="566"/>
    </row>
    <row r="725" spans="1:21" ht="18.75" x14ac:dyDescent="0.25">
      <c r="A725" s="984"/>
      <c r="B725" s="514"/>
      <c r="C725" s="514"/>
      <c r="D725" s="513"/>
      <c r="E725" s="738" t="s">
        <v>268</v>
      </c>
      <c r="F725" s="513"/>
      <c r="G725" s="577"/>
      <c r="H725" s="1101" t="s">
        <v>46</v>
      </c>
      <c r="I725" s="740">
        <v>0</v>
      </c>
      <c r="J725" s="579"/>
      <c r="K725" s="580"/>
      <c r="L725" s="581"/>
      <c r="M725" s="580"/>
      <c r="N725" s="580"/>
      <c r="O725" s="580"/>
      <c r="P725" s="580"/>
      <c r="Q725" s="580"/>
      <c r="R725" s="580"/>
      <c r="S725" s="580"/>
      <c r="T725" s="580"/>
      <c r="U725" s="580"/>
    </row>
    <row r="726" spans="1:21" ht="19.5" x14ac:dyDescent="0.3">
      <c r="A726" s="1061"/>
      <c r="B726" s="1062" t="s">
        <v>269</v>
      </c>
      <c r="C726" s="1061"/>
      <c r="D726" s="1063"/>
      <c r="E726" s="1063"/>
      <c r="F726" s="1063"/>
      <c r="G726" s="1064"/>
      <c r="H726" s="1092" t="s">
        <v>35</v>
      </c>
      <c r="I726" s="1093">
        <f ca="1">IFERROR(__xludf.DUMMYFUNCTION("IMPORTRANGE(""https://docs.google.com/spreadsheets/d/1eHaY18a8A9IcSdp1K8H6x8fbOy06t2VsZHhMHf-1x7Y/edit?usp=sharing"",""แผน!GA24"")"),128)</f>
        <v>128</v>
      </c>
      <c r="J726" s="1093">
        <f>J742+J746+J749</f>
        <v>125</v>
      </c>
      <c r="K726" s="1094">
        <f t="shared" ref="K726:K727" ca="1" si="437">IF(I726&gt;0,J726*100/I726,0)</f>
        <v>97.65625</v>
      </c>
      <c r="L726" s="1068"/>
      <c r="M726" s="1067"/>
      <c r="N726" s="1067"/>
      <c r="O726" s="1067"/>
      <c r="P726" s="1067"/>
      <c r="Q726" s="1067"/>
      <c r="R726" s="1067"/>
      <c r="S726" s="1067"/>
      <c r="T726" s="1067"/>
      <c r="U726" s="1067"/>
    </row>
    <row r="727" spans="1:21" ht="19.5" x14ac:dyDescent="0.3">
      <c r="A727" s="1102"/>
      <c r="B727" s="1061"/>
      <c r="C727" s="1061"/>
      <c r="D727" s="1063"/>
      <c r="E727" s="1063"/>
      <c r="F727" s="1063"/>
      <c r="G727" s="1064"/>
      <c r="H727" s="1092" t="s">
        <v>46</v>
      </c>
      <c r="I727" s="1093">
        <f ca="1">IFERROR(__xludf.DUMMYFUNCTION("IMPORTRANGE(""https://docs.google.com/spreadsheets/d/1eHaY18a8A9IcSdp1K8H6x8fbOy06t2VsZHhMHf-1x7Y/edit?usp=sharing"",""แผน!FZ24"")"),1250)</f>
        <v>1250</v>
      </c>
      <c r="J727" s="1093">
        <f>J752+J755</f>
        <v>0</v>
      </c>
      <c r="K727" s="1094">
        <f t="shared" ca="1" si="437"/>
        <v>0</v>
      </c>
      <c r="L727" s="1068"/>
      <c r="M727" s="1067"/>
      <c r="N727" s="1067"/>
      <c r="O727" s="1067"/>
      <c r="P727" s="1067"/>
      <c r="Q727" s="1067"/>
      <c r="R727" s="1067"/>
      <c r="S727" s="1067"/>
      <c r="T727" s="1067"/>
      <c r="U727" s="1067"/>
    </row>
    <row r="728" spans="1:21" ht="19.5" x14ac:dyDescent="0.3">
      <c r="A728" s="674"/>
      <c r="B728" s="718"/>
      <c r="C728" s="724" t="s">
        <v>18</v>
      </c>
      <c r="D728" s="1310" t="s">
        <v>19</v>
      </c>
      <c r="E728" s="1311"/>
      <c r="F728" s="1311"/>
      <c r="G728" s="1312"/>
      <c r="H728" s="780" t="s">
        <v>14</v>
      </c>
      <c r="I728" s="565"/>
      <c r="J728" s="565"/>
      <c r="K728" s="566"/>
      <c r="L728" s="678">
        <f t="shared" ref="L728:N728" si="438">L729+L730</f>
        <v>0</v>
      </c>
      <c r="M728" s="679">
        <f t="shared" si="438"/>
        <v>0</v>
      </c>
      <c r="N728" s="679">
        <f t="shared" si="438"/>
        <v>0</v>
      </c>
      <c r="O728" s="679">
        <f t="shared" ref="O728:O736" si="439">IF(L728&gt;0,N728*100/L728,0)</f>
        <v>0</v>
      </c>
      <c r="P728" s="679">
        <f t="shared" ref="P728:P736" si="440">IF(M728&gt;0,N728*100/M728,0)</f>
        <v>0</v>
      </c>
      <c r="Q728" s="679">
        <f t="shared" ref="Q728:S728" ca="1" si="441">Q729+Q730</f>
        <v>1008470</v>
      </c>
      <c r="R728" s="679">
        <f t="shared" ca="1" si="441"/>
        <v>1008470</v>
      </c>
      <c r="S728" s="679">
        <f t="shared" ca="1" si="441"/>
        <v>115745</v>
      </c>
      <c r="T728" s="679">
        <f t="shared" ref="T728:T736" ca="1" si="442">IF(Q728&gt;0,S728*100/Q728,0)</f>
        <v>11.477287375925908</v>
      </c>
      <c r="U728" s="679">
        <f t="shared" ref="U728:U736" ca="1" si="443">IF(R728&gt;0,S728*100/R728,0)</f>
        <v>11.477287375925908</v>
      </c>
    </row>
    <row r="729" spans="1:21" ht="18.75" x14ac:dyDescent="0.25">
      <c r="A729" s="674"/>
      <c r="B729" s="718"/>
      <c r="C729" s="718"/>
      <c r="D729" s="695"/>
      <c r="E729" s="569" t="s">
        <v>158</v>
      </c>
      <c r="F729" s="561"/>
      <c r="G729" s="563"/>
      <c r="H729" s="685" t="s">
        <v>14</v>
      </c>
      <c r="I729" s="565"/>
      <c r="J729" s="565"/>
      <c r="K729" s="566"/>
      <c r="L729" s="571">
        <f t="shared" ref="L729:N730" si="444">L732+L735</f>
        <v>0</v>
      </c>
      <c r="M729" s="572">
        <f t="shared" si="444"/>
        <v>0</v>
      </c>
      <c r="N729" s="572">
        <f t="shared" si="444"/>
        <v>0</v>
      </c>
      <c r="O729" s="572">
        <f t="shared" si="439"/>
        <v>0</v>
      </c>
      <c r="P729" s="572">
        <f t="shared" si="440"/>
        <v>0</v>
      </c>
      <c r="Q729" s="572">
        <f t="shared" ref="Q729:S730" si="445">Q732+Q735</f>
        <v>0</v>
      </c>
      <c r="R729" s="572">
        <f t="shared" si="445"/>
        <v>0</v>
      </c>
      <c r="S729" s="572">
        <f t="shared" si="445"/>
        <v>0</v>
      </c>
      <c r="T729" s="572">
        <f t="shared" si="442"/>
        <v>0</v>
      </c>
      <c r="U729" s="572">
        <f t="shared" si="443"/>
        <v>0</v>
      </c>
    </row>
    <row r="730" spans="1:21" ht="18.75" x14ac:dyDescent="0.25">
      <c r="A730" s="674"/>
      <c r="B730" s="718"/>
      <c r="C730" s="718"/>
      <c r="D730" s="695"/>
      <c r="E730" s="573" t="s">
        <v>159</v>
      </c>
      <c r="F730" s="561"/>
      <c r="G730" s="563"/>
      <c r="H730" s="682" t="s">
        <v>14</v>
      </c>
      <c r="I730" s="565"/>
      <c r="J730" s="565"/>
      <c r="K730" s="566"/>
      <c r="L730" s="567">
        <f t="shared" si="444"/>
        <v>0</v>
      </c>
      <c r="M730" s="568">
        <f t="shared" si="444"/>
        <v>0</v>
      </c>
      <c r="N730" s="568">
        <f t="shared" si="444"/>
        <v>0</v>
      </c>
      <c r="O730" s="568">
        <f t="shared" si="439"/>
        <v>0</v>
      </c>
      <c r="P730" s="568">
        <f t="shared" si="440"/>
        <v>0</v>
      </c>
      <c r="Q730" s="568">
        <f t="shared" ca="1" si="445"/>
        <v>1008470</v>
      </c>
      <c r="R730" s="568">
        <f t="shared" ca="1" si="445"/>
        <v>1008470</v>
      </c>
      <c r="S730" s="568">
        <f t="shared" ca="1" si="445"/>
        <v>115745</v>
      </c>
      <c r="T730" s="568">
        <f t="shared" ca="1" si="442"/>
        <v>11.477287375925908</v>
      </c>
      <c r="U730" s="568">
        <f t="shared" ca="1" si="443"/>
        <v>11.477287375925908</v>
      </c>
    </row>
    <row r="731" spans="1:21" ht="18.75" x14ac:dyDescent="0.25">
      <c r="A731" s="674"/>
      <c r="B731" s="718"/>
      <c r="C731" s="718"/>
      <c r="D731" s="562" t="s">
        <v>22</v>
      </c>
      <c r="E731" s="561"/>
      <c r="F731" s="561"/>
      <c r="G731" s="563"/>
      <c r="H731" s="682" t="s">
        <v>14</v>
      </c>
      <c r="I731" s="683"/>
      <c r="J731" s="683"/>
      <c r="K731" s="684"/>
      <c r="L731" s="567">
        <f t="shared" ref="L731:N731" si="446">L732+L733</f>
        <v>0</v>
      </c>
      <c r="M731" s="568">
        <f t="shared" si="446"/>
        <v>0</v>
      </c>
      <c r="N731" s="568">
        <f t="shared" si="446"/>
        <v>0</v>
      </c>
      <c r="O731" s="568">
        <f t="shared" si="439"/>
        <v>0</v>
      </c>
      <c r="P731" s="568">
        <f t="shared" si="440"/>
        <v>0</v>
      </c>
      <c r="Q731" s="568">
        <f t="shared" ref="Q731:S731" ca="1" si="447">Q732+Q733</f>
        <v>1008470</v>
      </c>
      <c r="R731" s="568">
        <f t="shared" ca="1" si="447"/>
        <v>1008470</v>
      </c>
      <c r="S731" s="568">
        <f t="shared" ca="1" si="447"/>
        <v>115745</v>
      </c>
      <c r="T731" s="568">
        <f t="shared" ca="1" si="442"/>
        <v>11.477287375925908</v>
      </c>
      <c r="U731" s="568">
        <f t="shared" ca="1" si="443"/>
        <v>11.477287375925908</v>
      </c>
    </row>
    <row r="732" spans="1:21" ht="18.75" x14ac:dyDescent="0.25">
      <c r="A732" s="674"/>
      <c r="B732" s="718"/>
      <c r="C732" s="718"/>
      <c r="D732" s="695"/>
      <c r="E732" s="569" t="s">
        <v>158</v>
      </c>
      <c r="F732" s="561"/>
      <c r="G732" s="563"/>
      <c r="H732" s="685" t="s">
        <v>14</v>
      </c>
      <c r="I732" s="565"/>
      <c r="J732" s="565"/>
      <c r="K732" s="566"/>
      <c r="L732" s="571">
        <v>0</v>
      </c>
      <c r="M732" s="572">
        <v>0</v>
      </c>
      <c r="N732" s="572">
        <v>0</v>
      </c>
      <c r="O732" s="572">
        <f t="shared" si="439"/>
        <v>0</v>
      </c>
      <c r="P732" s="572">
        <f t="shared" si="440"/>
        <v>0</v>
      </c>
      <c r="Q732" s="572">
        <v>0</v>
      </c>
      <c r="R732" s="572">
        <v>0</v>
      </c>
      <c r="S732" s="572">
        <v>0</v>
      </c>
      <c r="T732" s="572">
        <f t="shared" si="442"/>
        <v>0</v>
      </c>
      <c r="U732" s="572">
        <f t="shared" si="443"/>
        <v>0</v>
      </c>
    </row>
    <row r="733" spans="1:21" ht="18.75" x14ac:dyDescent="0.25">
      <c r="A733" s="674"/>
      <c r="B733" s="718"/>
      <c r="C733" s="718"/>
      <c r="D733" s="695"/>
      <c r="E733" s="573" t="s">
        <v>159</v>
      </c>
      <c r="F733" s="561"/>
      <c r="G733" s="563"/>
      <c r="H733" s="682" t="s">
        <v>14</v>
      </c>
      <c r="I733" s="565"/>
      <c r="J733" s="565"/>
      <c r="K733" s="566"/>
      <c r="L733" s="567">
        <v>0</v>
      </c>
      <c r="M733" s="568">
        <v>0</v>
      </c>
      <c r="N733" s="568">
        <v>0</v>
      </c>
      <c r="O733" s="568">
        <f t="shared" si="439"/>
        <v>0</v>
      </c>
      <c r="P733" s="568">
        <f t="shared" si="440"/>
        <v>0</v>
      </c>
      <c r="Q733" s="568">
        <f ca="1">IFERROR(__xludf.DUMMYFUNCTION("IMPORTRANGE(""https://docs.google.com/spreadsheets/d/1ItG2mGa2ceCfYo0BwxsXqNm01IGEUdYcSSLTEv9YCik/edit?usp=sharing"",""เบิกจ่ายกองทุน!O24"")"),1008470)</f>
        <v>1008470</v>
      </c>
      <c r="R733" s="568">
        <f ca="1">IFERROR(__xludf.DUMMYFUNCTION("IMPORTRANGE(""https://docs.google.com/spreadsheets/d/1ItG2mGa2ceCfYo0BwxsXqNm01IGEUdYcSSLTEv9YCik/edit?usp=sharing"",""เบิกจ่ายกองทุน!P24"")"),1008470)</f>
        <v>1008470</v>
      </c>
      <c r="S733" s="568">
        <f ca="1">IFERROR(__xludf.DUMMYFUNCTION("IMPORTRANGE(""https://docs.google.com/spreadsheets/d/1ItG2mGa2ceCfYo0BwxsXqNm01IGEUdYcSSLTEv9YCik/edit?usp=sharing"",""เบิกจ่ายกองทุน!Q24"")"),115745)</f>
        <v>115745</v>
      </c>
      <c r="T733" s="568">
        <f t="shared" ca="1" si="442"/>
        <v>11.477287375925908</v>
      </c>
      <c r="U733" s="568">
        <f t="shared" ca="1" si="443"/>
        <v>11.477287375925908</v>
      </c>
    </row>
    <row r="734" spans="1:21" ht="18.75" x14ac:dyDescent="0.25">
      <c r="A734" s="674"/>
      <c r="B734" s="718"/>
      <c r="C734" s="718"/>
      <c r="D734" s="562" t="s">
        <v>23</v>
      </c>
      <c r="E734" s="718"/>
      <c r="F734" s="718"/>
      <c r="G734" s="563"/>
      <c r="H734" s="686" t="s">
        <v>14</v>
      </c>
      <c r="I734" s="683"/>
      <c r="J734" s="683"/>
      <c r="K734" s="684"/>
      <c r="L734" s="567">
        <f t="shared" ref="L734:N734" si="448">L735+L736</f>
        <v>0</v>
      </c>
      <c r="M734" s="568">
        <f t="shared" si="448"/>
        <v>0</v>
      </c>
      <c r="N734" s="568">
        <f t="shared" si="448"/>
        <v>0</v>
      </c>
      <c r="O734" s="568">
        <f t="shared" si="439"/>
        <v>0</v>
      </c>
      <c r="P734" s="568">
        <f t="shared" si="440"/>
        <v>0</v>
      </c>
      <c r="Q734" s="568">
        <f t="shared" ref="Q734:S734" si="449">Q735+Q736</f>
        <v>0</v>
      </c>
      <c r="R734" s="568">
        <f t="shared" si="449"/>
        <v>0</v>
      </c>
      <c r="S734" s="568">
        <f t="shared" si="449"/>
        <v>0</v>
      </c>
      <c r="T734" s="568">
        <f t="shared" si="442"/>
        <v>0</v>
      </c>
      <c r="U734" s="568">
        <f t="shared" si="443"/>
        <v>0</v>
      </c>
    </row>
    <row r="735" spans="1:21" ht="18.75" x14ac:dyDescent="0.25">
      <c r="A735" s="674"/>
      <c r="B735" s="718"/>
      <c r="C735" s="718"/>
      <c r="D735" s="718"/>
      <c r="E735" s="767" t="s">
        <v>20</v>
      </c>
      <c r="F735" s="718"/>
      <c r="G735" s="563"/>
      <c r="H735" s="685" t="s">
        <v>14</v>
      </c>
      <c r="I735" s="683"/>
      <c r="J735" s="683"/>
      <c r="K735" s="684"/>
      <c r="L735" s="571">
        <v>0</v>
      </c>
      <c r="M735" s="572">
        <v>0</v>
      </c>
      <c r="N735" s="572">
        <v>0</v>
      </c>
      <c r="O735" s="572">
        <f t="shared" si="439"/>
        <v>0</v>
      </c>
      <c r="P735" s="572">
        <f t="shared" si="440"/>
        <v>0</v>
      </c>
      <c r="Q735" s="572">
        <v>0</v>
      </c>
      <c r="R735" s="572">
        <v>0</v>
      </c>
      <c r="S735" s="572">
        <v>0</v>
      </c>
      <c r="T735" s="572">
        <f t="shared" si="442"/>
        <v>0</v>
      </c>
      <c r="U735" s="572">
        <f t="shared" si="443"/>
        <v>0</v>
      </c>
    </row>
    <row r="736" spans="1:21" ht="18.75" x14ac:dyDescent="0.25">
      <c r="A736" s="674"/>
      <c r="B736" s="718"/>
      <c r="C736" s="718"/>
      <c r="D736" s="718"/>
      <c r="E736" s="765" t="s">
        <v>21</v>
      </c>
      <c r="F736" s="718"/>
      <c r="G736" s="563"/>
      <c r="H736" s="686" t="s">
        <v>14</v>
      </c>
      <c r="I736" s="683"/>
      <c r="J736" s="683"/>
      <c r="K736" s="684"/>
      <c r="L736" s="567">
        <v>0</v>
      </c>
      <c r="M736" s="568">
        <v>0</v>
      </c>
      <c r="N736" s="568">
        <v>0</v>
      </c>
      <c r="O736" s="568">
        <f t="shared" si="439"/>
        <v>0</v>
      </c>
      <c r="P736" s="568">
        <f t="shared" si="440"/>
        <v>0</v>
      </c>
      <c r="Q736" s="568">
        <v>0</v>
      </c>
      <c r="R736" s="568">
        <v>0</v>
      </c>
      <c r="S736" s="568">
        <v>0</v>
      </c>
      <c r="T736" s="568">
        <f t="shared" si="442"/>
        <v>0</v>
      </c>
      <c r="U736" s="568">
        <f t="shared" si="443"/>
        <v>0</v>
      </c>
    </row>
    <row r="737" spans="1:21" ht="19.5" x14ac:dyDescent="0.3">
      <c r="A737" s="687"/>
      <c r="B737" s="688"/>
      <c r="C737" s="724" t="s">
        <v>18</v>
      </c>
      <c r="D737" s="956" t="s">
        <v>38</v>
      </c>
      <c r="E737" s="758"/>
      <c r="F737" s="690"/>
      <c r="G737" s="691"/>
      <c r="H737" s="725"/>
      <c r="I737" s="565"/>
      <c r="J737" s="565"/>
      <c r="K737" s="566"/>
      <c r="L737" s="574"/>
      <c r="M737" s="566"/>
      <c r="N737" s="566"/>
      <c r="O737" s="566"/>
      <c r="P737" s="566"/>
      <c r="Q737" s="566"/>
      <c r="R737" s="566"/>
      <c r="S737" s="566"/>
      <c r="T737" s="566"/>
      <c r="U737" s="566"/>
    </row>
    <row r="738" spans="1:21" ht="19.5" x14ac:dyDescent="0.3">
      <c r="A738" s="687"/>
      <c r="B738" s="688"/>
      <c r="C738" s="688"/>
      <c r="D738" s="1103" t="s">
        <v>121</v>
      </c>
      <c r="E738" s="688"/>
      <c r="F738" s="688"/>
      <c r="G738" s="692"/>
      <c r="H738" s="727"/>
      <c r="I738" s="565"/>
      <c r="J738" s="565"/>
      <c r="K738" s="566"/>
      <c r="L738" s="574"/>
      <c r="M738" s="566"/>
      <c r="N738" s="566"/>
      <c r="O738" s="566"/>
      <c r="P738" s="566"/>
      <c r="Q738" s="566"/>
      <c r="R738" s="566"/>
      <c r="S738" s="566"/>
      <c r="T738" s="566"/>
      <c r="U738" s="566"/>
    </row>
    <row r="739" spans="1:21" ht="18.75" x14ac:dyDescent="0.25">
      <c r="A739" s="687"/>
      <c r="B739" s="688"/>
      <c r="C739" s="688"/>
      <c r="D739" s="688"/>
      <c r="E739" s="1079" t="s">
        <v>270</v>
      </c>
      <c r="F739" s="688"/>
      <c r="G739" s="692"/>
      <c r="H739" s="727"/>
      <c r="I739" s="565"/>
      <c r="J739" s="565"/>
      <c r="K739" s="566"/>
      <c r="L739" s="574"/>
      <c r="M739" s="566"/>
      <c r="N739" s="566"/>
      <c r="O739" s="566"/>
      <c r="P739" s="566"/>
      <c r="Q739" s="566"/>
      <c r="R739" s="566"/>
      <c r="S739" s="566"/>
      <c r="T739" s="566"/>
      <c r="U739" s="566"/>
    </row>
    <row r="740" spans="1:21" ht="18.75" x14ac:dyDescent="0.25">
      <c r="A740" s="687"/>
      <c r="B740" s="688"/>
      <c r="C740" s="688"/>
      <c r="D740" s="688"/>
      <c r="E740" s="688"/>
      <c r="F740" s="1079" t="s">
        <v>271</v>
      </c>
      <c r="G740" s="692"/>
      <c r="H740" s="681" t="s">
        <v>46</v>
      </c>
      <c r="I740" s="708">
        <f ca="1">IFERROR(__xludf.DUMMYFUNCTION("IMPORTRANGE(""https://docs.google.com/spreadsheets/d/1eHaY18a8A9IcSdp1K8H6x8fbOy06t2VsZHhMHf-1x7Y/edit?usp=sharing"",""แผน!GB24"")"),1000)</f>
        <v>1000</v>
      </c>
      <c r="J740" s="702">
        <v>1000</v>
      </c>
      <c r="K740" s="568">
        <f ca="1">IF(I740&gt;0,J740*100/I740,0)</f>
        <v>100</v>
      </c>
      <c r="L740" s="574"/>
      <c r="M740" s="566"/>
      <c r="N740" s="566"/>
      <c r="O740" s="566"/>
      <c r="P740" s="566"/>
      <c r="Q740" s="566"/>
      <c r="R740" s="566"/>
      <c r="S740" s="566"/>
      <c r="T740" s="566"/>
      <c r="U740" s="566"/>
    </row>
    <row r="741" spans="1:21" ht="18.75" x14ac:dyDescent="0.25">
      <c r="A741" s="849"/>
      <c r="B741" s="850"/>
      <c r="C741" s="850"/>
      <c r="D741" s="850"/>
      <c r="E741" s="850"/>
      <c r="F741" s="1104" t="s">
        <v>306</v>
      </c>
      <c r="G741" s="852"/>
      <c r="H741" s="839" t="s">
        <v>35</v>
      </c>
      <c r="I741" s="829"/>
      <c r="J741" s="1105">
        <v>0</v>
      </c>
      <c r="K741" s="830"/>
      <c r="L741" s="1106"/>
      <c r="M741" s="830"/>
      <c r="N741" s="830"/>
      <c r="O741" s="830"/>
      <c r="P741" s="830"/>
      <c r="Q741" s="830"/>
      <c r="R741" s="830"/>
      <c r="S741" s="830"/>
      <c r="T741" s="830"/>
      <c r="U741" s="830"/>
    </row>
    <row r="742" spans="1:21" ht="18.75" x14ac:dyDescent="0.25">
      <c r="A742" s="849"/>
      <c r="B742" s="850"/>
      <c r="C742" s="850"/>
      <c r="D742" s="850"/>
      <c r="E742" s="850"/>
      <c r="F742" s="1104" t="s">
        <v>307</v>
      </c>
      <c r="G742" s="852"/>
      <c r="H742" s="839" t="s">
        <v>35</v>
      </c>
      <c r="I742" s="960">
        <f ca="1">IFERROR(__xludf.DUMMYFUNCTION("IMPORTRANGE(""https://docs.google.com/spreadsheets/d/1eHaY18a8A9IcSdp1K8H6x8fbOy06t2VsZHhMHf-1x7Y/edit?usp=sharing"",""แผน!GC24"")"),100)</f>
        <v>100</v>
      </c>
      <c r="J742" s="1105">
        <v>100</v>
      </c>
      <c r="K742" s="841">
        <f ca="1">IF(I742&gt;0,J742*100/I742,0)</f>
        <v>100</v>
      </c>
      <c r="L742" s="1106"/>
      <c r="M742" s="830"/>
      <c r="N742" s="830"/>
      <c r="O742" s="830"/>
      <c r="P742" s="830"/>
      <c r="Q742" s="830"/>
      <c r="R742" s="830"/>
      <c r="S742" s="830"/>
      <c r="T742" s="830"/>
      <c r="U742" s="830"/>
    </row>
    <row r="743" spans="1:21" ht="18.75" x14ac:dyDescent="0.25">
      <c r="A743" s="849"/>
      <c r="B743" s="850"/>
      <c r="C743" s="850"/>
      <c r="D743" s="850"/>
      <c r="E743" s="1104" t="s">
        <v>274</v>
      </c>
      <c r="F743" s="850"/>
      <c r="G743" s="852"/>
      <c r="H743" s="959"/>
      <c r="I743" s="829"/>
      <c r="J743" s="829"/>
      <c r="K743" s="830"/>
      <c r="L743" s="1106"/>
      <c r="M743" s="830"/>
      <c r="N743" s="830"/>
      <c r="O743" s="830"/>
      <c r="P743" s="830"/>
      <c r="Q743" s="830"/>
      <c r="R743" s="830"/>
      <c r="S743" s="830"/>
      <c r="T743" s="830"/>
      <c r="U743" s="830"/>
    </row>
    <row r="744" spans="1:21" ht="18.75" x14ac:dyDescent="0.25">
      <c r="A744" s="849"/>
      <c r="B744" s="850"/>
      <c r="C744" s="850"/>
      <c r="D744" s="850"/>
      <c r="E744" s="850"/>
      <c r="F744" s="1104" t="s">
        <v>271</v>
      </c>
      <c r="G744" s="852"/>
      <c r="H744" s="839" t="s">
        <v>46</v>
      </c>
      <c r="I744" s="960">
        <f ca="1">IFERROR(__xludf.DUMMYFUNCTION("IMPORTRANGE(""https://docs.google.com/spreadsheets/d/1eHaY18a8A9IcSdp1K8H6x8fbOy06t2VsZHhMHf-1x7Y/edit?usp=sharing"",""แผน!GD24"")"),250)</f>
        <v>250</v>
      </c>
      <c r="J744" s="1105">
        <v>250</v>
      </c>
      <c r="K744" s="841">
        <f ca="1">IF(I744&gt;0,J744*100/I744,0)</f>
        <v>100</v>
      </c>
      <c r="L744" s="1106"/>
      <c r="M744" s="830"/>
      <c r="N744" s="830"/>
      <c r="O744" s="830"/>
      <c r="P744" s="830"/>
      <c r="Q744" s="830"/>
      <c r="R744" s="830"/>
      <c r="S744" s="830"/>
      <c r="T744" s="830"/>
      <c r="U744" s="830"/>
    </row>
    <row r="745" spans="1:21" ht="18.75" x14ac:dyDescent="0.25">
      <c r="A745" s="849"/>
      <c r="B745" s="850"/>
      <c r="C745" s="850"/>
      <c r="D745" s="850"/>
      <c r="E745" s="850"/>
      <c r="F745" s="1104" t="s">
        <v>308</v>
      </c>
      <c r="G745" s="852"/>
      <c r="H745" s="839" t="s">
        <v>35</v>
      </c>
      <c r="I745" s="829"/>
      <c r="J745" s="1105"/>
      <c r="K745" s="830"/>
      <c r="L745" s="1106"/>
      <c r="M745" s="830"/>
      <c r="N745" s="830"/>
      <c r="O745" s="830"/>
      <c r="P745" s="830"/>
      <c r="Q745" s="830"/>
      <c r="R745" s="830"/>
      <c r="S745" s="830"/>
      <c r="T745" s="830"/>
      <c r="U745" s="830"/>
    </row>
    <row r="746" spans="1:21" ht="18.75" x14ac:dyDescent="0.25">
      <c r="A746" s="849"/>
      <c r="B746" s="850"/>
      <c r="C746" s="850"/>
      <c r="D746" s="850"/>
      <c r="E746" s="850"/>
      <c r="F746" s="1104" t="s">
        <v>309</v>
      </c>
      <c r="G746" s="852"/>
      <c r="H746" s="839" t="s">
        <v>35</v>
      </c>
      <c r="I746" s="960">
        <f ca="1">IFERROR(__xludf.DUMMYFUNCTION("IMPORTRANGE(""https://docs.google.com/spreadsheets/d/1eHaY18a8A9IcSdp1K8H6x8fbOy06t2VsZHhMHf-1x7Y/edit?usp=sharing"",""แผน!GE24"")"),25)</f>
        <v>25</v>
      </c>
      <c r="J746" s="1105">
        <v>25</v>
      </c>
      <c r="K746" s="841">
        <f ca="1">IF(I746&gt;0,J746*100/I746,0)</f>
        <v>100</v>
      </c>
      <c r="L746" s="1106"/>
      <c r="M746" s="830"/>
      <c r="N746" s="830"/>
      <c r="O746" s="830"/>
      <c r="P746" s="830"/>
      <c r="Q746" s="830"/>
      <c r="R746" s="830"/>
      <c r="S746" s="830"/>
      <c r="T746" s="830"/>
      <c r="U746" s="830"/>
    </row>
    <row r="747" spans="1:21" ht="18.75" x14ac:dyDescent="0.25">
      <c r="A747" s="849"/>
      <c r="B747" s="850"/>
      <c r="C747" s="850"/>
      <c r="D747" s="850"/>
      <c r="E747" s="1104" t="s">
        <v>277</v>
      </c>
      <c r="F747" s="1107"/>
      <c r="G747" s="852"/>
      <c r="H747" s="959"/>
      <c r="I747" s="829"/>
      <c r="J747" s="829"/>
      <c r="K747" s="830"/>
      <c r="L747" s="1106"/>
      <c r="M747" s="830"/>
      <c r="N747" s="830"/>
      <c r="O747" s="830"/>
      <c r="P747" s="830"/>
      <c r="Q747" s="830"/>
      <c r="R747" s="830"/>
      <c r="S747" s="830"/>
      <c r="T747" s="830"/>
      <c r="U747" s="830"/>
    </row>
    <row r="748" spans="1:21" ht="18.75" x14ac:dyDescent="0.25">
      <c r="A748" s="849"/>
      <c r="B748" s="850"/>
      <c r="C748" s="850"/>
      <c r="D748" s="850"/>
      <c r="E748" s="850"/>
      <c r="F748" s="1104" t="s">
        <v>310</v>
      </c>
      <c r="G748" s="852"/>
      <c r="H748" s="839" t="s">
        <v>35</v>
      </c>
      <c r="I748" s="829"/>
      <c r="J748" s="1105">
        <v>0</v>
      </c>
      <c r="K748" s="830"/>
      <c r="L748" s="1106"/>
      <c r="M748" s="830"/>
      <c r="N748" s="830"/>
      <c r="O748" s="830"/>
      <c r="P748" s="830"/>
      <c r="Q748" s="830"/>
      <c r="R748" s="830"/>
      <c r="S748" s="830"/>
      <c r="T748" s="830"/>
      <c r="U748" s="830"/>
    </row>
    <row r="749" spans="1:21" ht="18.75" x14ac:dyDescent="0.25">
      <c r="A749" s="849"/>
      <c r="B749" s="850"/>
      <c r="C749" s="850"/>
      <c r="D749" s="850"/>
      <c r="E749" s="850"/>
      <c r="F749" s="1104" t="s">
        <v>311</v>
      </c>
      <c r="G749" s="852"/>
      <c r="H749" s="839" t="s">
        <v>35</v>
      </c>
      <c r="I749" s="960">
        <f ca="1">IFERROR(__xludf.DUMMYFUNCTION("IMPORTRANGE(""https://docs.google.com/spreadsheets/d/1eHaY18a8A9IcSdp1K8H6x8fbOy06t2VsZHhMHf-1x7Y/edit?usp=sharing"",""แผน!GF24"")"),3)</f>
        <v>3</v>
      </c>
      <c r="J749" s="1105">
        <v>0</v>
      </c>
      <c r="K749" s="841">
        <f ca="1">IF(I749&gt;0,J749*100/I749,0)</f>
        <v>0</v>
      </c>
      <c r="L749" s="1106"/>
      <c r="M749" s="830"/>
      <c r="N749" s="830"/>
      <c r="O749" s="830"/>
      <c r="P749" s="830"/>
      <c r="Q749" s="830"/>
      <c r="R749" s="830"/>
      <c r="S749" s="830"/>
      <c r="T749" s="830"/>
      <c r="U749" s="830"/>
    </row>
    <row r="750" spans="1:21" ht="19.5" x14ac:dyDescent="0.3">
      <c r="A750" s="849"/>
      <c r="B750" s="850"/>
      <c r="C750" s="850"/>
      <c r="D750" s="1108" t="s">
        <v>50</v>
      </c>
      <c r="E750" s="850"/>
      <c r="F750" s="1107"/>
      <c r="G750" s="852"/>
      <c r="H750" s="959"/>
      <c r="I750" s="829"/>
      <c r="J750" s="829"/>
      <c r="K750" s="830"/>
      <c r="L750" s="1106"/>
      <c r="M750" s="830"/>
      <c r="N750" s="830"/>
      <c r="O750" s="830"/>
      <c r="P750" s="830"/>
      <c r="Q750" s="830"/>
      <c r="R750" s="830"/>
      <c r="S750" s="830"/>
      <c r="T750" s="830"/>
      <c r="U750" s="830"/>
    </row>
    <row r="751" spans="1:21" ht="18.75" x14ac:dyDescent="0.25">
      <c r="A751" s="849"/>
      <c r="B751" s="850"/>
      <c r="C751" s="850"/>
      <c r="D751" s="850"/>
      <c r="E751" s="1104" t="s">
        <v>270</v>
      </c>
      <c r="F751" s="1107"/>
      <c r="G751" s="852"/>
      <c r="H751" s="959"/>
      <c r="I751" s="829"/>
      <c r="J751" s="829"/>
      <c r="K751" s="830"/>
      <c r="L751" s="1106"/>
      <c r="M751" s="830"/>
      <c r="N751" s="830"/>
      <c r="O751" s="830"/>
      <c r="P751" s="830"/>
      <c r="Q751" s="830"/>
      <c r="R751" s="830"/>
      <c r="S751" s="830"/>
      <c r="T751" s="830"/>
      <c r="U751" s="830"/>
    </row>
    <row r="752" spans="1:21" ht="18.75" x14ac:dyDescent="0.25">
      <c r="A752" s="849"/>
      <c r="B752" s="850"/>
      <c r="C752" s="850"/>
      <c r="D752" s="850"/>
      <c r="E752" s="850"/>
      <c r="F752" s="1109" t="s">
        <v>312</v>
      </c>
      <c r="G752" s="852"/>
      <c r="H752" s="839" t="s">
        <v>46</v>
      </c>
      <c r="I752" s="960">
        <f ca="1">IFERROR(__xludf.DUMMYFUNCTION("IMPORTRANGE(""https://docs.google.com/spreadsheets/d/1eHaY18a8A9IcSdp1K8H6x8fbOy06t2VsZHhMHf-1x7Y/edit?usp=sharing"",""แผน!GB24"")"),1000)</f>
        <v>1000</v>
      </c>
      <c r="J752" s="1105">
        <v>0</v>
      </c>
      <c r="K752" s="841">
        <f ca="1">IF(I752&gt;0,J752*100/I752,0)</f>
        <v>0</v>
      </c>
      <c r="L752" s="1106"/>
      <c r="M752" s="830"/>
      <c r="N752" s="830"/>
      <c r="O752" s="830"/>
      <c r="P752" s="830"/>
      <c r="Q752" s="830"/>
      <c r="R752" s="830"/>
      <c r="S752" s="830"/>
      <c r="T752" s="830"/>
      <c r="U752" s="830"/>
    </row>
    <row r="753" spans="1:21" ht="18.75" x14ac:dyDescent="0.25">
      <c r="A753" s="849"/>
      <c r="B753" s="850"/>
      <c r="C753" s="850"/>
      <c r="D753" s="850"/>
      <c r="E753" s="850"/>
      <c r="F753" s="1109" t="s">
        <v>313</v>
      </c>
      <c r="G753" s="852"/>
      <c r="H753" s="839" t="s">
        <v>46</v>
      </c>
      <c r="I753" s="829"/>
      <c r="J753" s="1105">
        <v>0</v>
      </c>
      <c r="K753" s="830"/>
      <c r="L753" s="1106"/>
      <c r="M753" s="830"/>
      <c r="N753" s="830"/>
      <c r="O753" s="830"/>
      <c r="P753" s="830"/>
      <c r="Q753" s="830"/>
      <c r="R753" s="830"/>
      <c r="S753" s="830"/>
      <c r="T753" s="830"/>
      <c r="U753" s="830"/>
    </row>
    <row r="754" spans="1:21" ht="18.75" x14ac:dyDescent="0.25">
      <c r="A754" s="849"/>
      <c r="B754" s="850"/>
      <c r="C754" s="850"/>
      <c r="D754" s="850"/>
      <c r="E754" s="1104" t="s">
        <v>274</v>
      </c>
      <c r="F754" s="1107"/>
      <c r="G754" s="852"/>
      <c r="H754" s="959"/>
      <c r="I754" s="829"/>
      <c r="J754" s="829"/>
      <c r="K754" s="830"/>
      <c r="L754" s="1106"/>
      <c r="M754" s="830"/>
      <c r="N754" s="830"/>
      <c r="O754" s="830"/>
      <c r="P754" s="830"/>
      <c r="Q754" s="830"/>
      <c r="R754" s="830"/>
      <c r="S754" s="830"/>
      <c r="T754" s="830"/>
      <c r="U754" s="830"/>
    </row>
    <row r="755" spans="1:21" ht="18.75" x14ac:dyDescent="0.25">
      <c r="A755" s="849"/>
      <c r="B755" s="850"/>
      <c r="C755" s="850"/>
      <c r="D755" s="850"/>
      <c r="E755" s="1107"/>
      <c r="F755" s="1109" t="s">
        <v>314</v>
      </c>
      <c r="G755" s="852"/>
      <c r="H755" s="839" t="s">
        <v>46</v>
      </c>
      <c r="I755" s="960">
        <f ca="1">IFERROR(__xludf.DUMMYFUNCTION("IMPORTRANGE(""https://docs.google.com/spreadsheets/d/1eHaY18a8A9IcSdp1K8H6x8fbOy06t2VsZHhMHf-1x7Y/edit?usp=sharing"",""แผน!GD24"")"),250)</f>
        <v>250</v>
      </c>
      <c r="J755" s="1105">
        <v>0</v>
      </c>
      <c r="K755" s="841">
        <f ca="1">IF(I755&gt;0,J755*100/I755,0)</f>
        <v>0</v>
      </c>
      <c r="L755" s="1106"/>
      <c r="M755" s="830"/>
      <c r="N755" s="830"/>
      <c r="O755" s="830"/>
      <c r="P755" s="830"/>
      <c r="Q755" s="830"/>
      <c r="R755" s="830"/>
      <c r="S755" s="830"/>
      <c r="T755" s="830"/>
      <c r="U755" s="830"/>
    </row>
    <row r="756" spans="1:21" ht="18.75" x14ac:dyDescent="0.25">
      <c r="A756" s="849"/>
      <c r="B756" s="850"/>
      <c r="C756" s="850"/>
      <c r="D756" s="850"/>
      <c r="E756" s="1107"/>
      <c r="F756" s="1109" t="s">
        <v>315</v>
      </c>
      <c r="G756" s="852"/>
      <c r="H756" s="839" t="s">
        <v>46</v>
      </c>
      <c r="I756" s="829"/>
      <c r="J756" s="1105">
        <v>0</v>
      </c>
      <c r="K756" s="830"/>
      <c r="L756" s="1106"/>
      <c r="M756" s="830"/>
      <c r="N756" s="830"/>
      <c r="O756" s="830"/>
      <c r="P756" s="830"/>
      <c r="Q756" s="830"/>
      <c r="R756" s="830"/>
      <c r="S756" s="830"/>
      <c r="T756" s="830"/>
      <c r="U756" s="830"/>
    </row>
    <row r="757" spans="1:21" ht="18.75" x14ac:dyDescent="0.25">
      <c r="A757" s="1110"/>
      <c r="B757" s="1110"/>
      <c r="C757" s="1110"/>
      <c r="D757" s="1110"/>
      <c r="E757" s="1111" t="s">
        <v>284</v>
      </c>
      <c r="F757" s="1112"/>
      <c r="G757" s="1113"/>
      <c r="H757" s="1114" t="s">
        <v>35</v>
      </c>
      <c r="I757" s="1115"/>
      <c r="J757" s="861">
        <v>0</v>
      </c>
      <c r="K757" s="1116"/>
      <c r="L757" s="1116"/>
      <c r="M757" s="1116"/>
      <c r="N757" s="1116"/>
      <c r="O757" s="1116"/>
      <c r="P757" s="1116"/>
      <c r="Q757" s="1116"/>
      <c r="R757" s="1116"/>
      <c r="S757" s="1116"/>
      <c r="T757" s="1116"/>
      <c r="U757" s="1116"/>
    </row>
    <row r="758" spans="1:21" ht="19.5" x14ac:dyDescent="0.3">
      <c r="A758" s="1061"/>
      <c r="B758" s="1062" t="s">
        <v>285</v>
      </c>
      <c r="C758" s="1061"/>
      <c r="D758" s="1063"/>
      <c r="E758" s="1063"/>
      <c r="F758" s="1063"/>
      <c r="G758" s="1064"/>
      <c r="H758" s="1092" t="s">
        <v>35</v>
      </c>
      <c r="I758" s="1093">
        <f t="shared" ref="I758:J758" ca="1" si="450">I772</f>
        <v>70</v>
      </c>
      <c r="J758" s="1093">
        <f t="shared" si="450"/>
        <v>70</v>
      </c>
      <c r="K758" s="1094">
        <f t="shared" ref="K758:K759" ca="1" si="451">IF(I758&gt;0,J758*100/I758,0)</f>
        <v>100</v>
      </c>
      <c r="L758" s="1068"/>
      <c r="M758" s="1067"/>
      <c r="N758" s="1067"/>
      <c r="O758" s="1067"/>
      <c r="P758" s="1067"/>
      <c r="Q758" s="1067"/>
      <c r="R758" s="1067"/>
      <c r="S758" s="1067"/>
      <c r="T758" s="1067"/>
      <c r="U758" s="1067"/>
    </row>
    <row r="759" spans="1:21" ht="19.5" x14ac:dyDescent="0.3">
      <c r="A759" s="1102"/>
      <c r="B759" s="1061"/>
      <c r="C759" s="1061"/>
      <c r="D759" s="1063"/>
      <c r="E759" s="1063"/>
      <c r="F759" s="1063"/>
      <c r="G759" s="1064"/>
      <c r="H759" s="1092" t="s">
        <v>46</v>
      </c>
      <c r="I759" s="1093">
        <f t="shared" ref="I759:J759" ca="1" si="452">I774</f>
        <v>140</v>
      </c>
      <c r="J759" s="1093">
        <f t="shared" si="452"/>
        <v>140</v>
      </c>
      <c r="K759" s="1094">
        <f t="shared" ca="1" si="451"/>
        <v>100</v>
      </c>
      <c r="L759" s="1068"/>
      <c r="M759" s="1067"/>
      <c r="N759" s="1067"/>
      <c r="O759" s="1067"/>
      <c r="P759" s="1067"/>
      <c r="Q759" s="1067"/>
      <c r="R759" s="1067"/>
      <c r="S759" s="1067"/>
      <c r="T759" s="1067"/>
      <c r="U759" s="1067"/>
    </row>
    <row r="760" spans="1:21" ht="19.5" x14ac:dyDescent="0.3">
      <c r="A760" s="674"/>
      <c r="B760" s="718"/>
      <c r="C760" s="724" t="s">
        <v>18</v>
      </c>
      <c r="D760" s="1310" t="s">
        <v>19</v>
      </c>
      <c r="E760" s="1311"/>
      <c r="F760" s="1311"/>
      <c r="G760" s="1312"/>
      <c r="H760" s="780" t="s">
        <v>14</v>
      </c>
      <c r="I760" s="565"/>
      <c r="J760" s="565"/>
      <c r="K760" s="566"/>
      <c r="L760" s="678">
        <f t="shared" ref="L760:N760" si="453">L761+L762</f>
        <v>0</v>
      </c>
      <c r="M760" s="679">
        <f t="shared" si="453"/>
        <v>0</v>
      </c>
      <c r="N760" s="679">
        <f t="shared" si="453"/>
        <v>0</v>
      </c>
      <c r="O760" s="679">
        <f t="shared" ref="O760:O768" si="454">IF(L760&gt;0,N760*100/L760,0)</f>
        <v>0</v>
      </c>
      <c r="P760" s="679">
        <f t="shared" ref="P760:P768" si="455">IF(M760&gt;0,N760*100/M760,0)</f>
        <v>0</v>
      </c>
      <c r="Q760" s="679">
        <f t="shared" ref="Q760:S760" ca="1" si="456">Q761+Q762</f>
        <v>479400</v>
      </c>
      <c r="R760" s="679">
        <f t="shared" ca="1" si="456"/>
        <v>479400</v>
      </c>
      <c r="S760" s="679">
        <f t="shared" ca="1" si="456"/>
        <v>267975</v>
      </c>
      <c r="T760" s="679">
        <f t="shared" ref="T760:T768" ca="1" si="457">IF(Q760&gt;0,S760*100/Q760,0)</f>
        <v>55.897997496871092</v>
      </c>
      <c r="U760" s="679">
        <f t="shared" ref="U760:U768" ca="1" si="458">IF(R760&gt;0,S760*100/R760,0)</f>
        <v>55.897997496871092</v>
      </c>
    </row>
    <row r="761" spans="1:21" ht="18.75" x14ac:dyDescent="0.25">
      <c r="A761" s="674"/>
      <c r="B761" s="718"/>
      <c r="C761" s="718"/>
      <c r="D761" s="695"/>
      <c r="E761" s="569" t="s">
        <v>158</v>
      </c>
      <c r="F761" s="561"/>
      <c r="G761" s="563"/>
      <c r="H761" s="685" t="s">
        <v>14</v>
      </c>
      <c r="I761" s="565"/>
      <c r="J761" s="565"/>
      <c r="K761" s="566"/>
      <c r="L761" s="571">
        <f t="shared" ref="L761:N762" si="459">L764+L767</f>
        <v>0</v>
      </c>
      <c r="M761" s="572">
        <f t="shared" si="459"/>
        <v>0</v>
      </c>
      <c r="N761" s="572">
        <f t="shared" si="459"/>
        <v>0</v>
      </c>
      <c r="O761" s="572">
        <f t="shared" si="454"/>
        <v>0</v>
      </c>
      <c r="P761" s="572">
        <f t="shared" si="455"/>
        <v>0</v>
      </c>
      <c r="Q761" s="572">
        <f t="shared" ref="Q761:S762" si="460">Q764+Q767</f>
        <v>0</v>
      </c>
      <c r="R761" s="572">
        <f t="shared" si="460"/>
        <v>0</v>
      </c>
      <c r="S761" s="572">
        <f t="shared" si="460"/>
        <v>0</v>
      </c>
      <c r="T761" s="572">
        <f t="shared" si="457"/>
        <v>0</v>
      </c>
      <c r="U761" s="572">
        <f t="shared" si="458"/>
        <v>0</v>
      </c>
    </row>
    <row r="762" spans="1:21" ht="18.75" x14ac:dyDescent="0.25">
      <c r="A762" s="674"/>
      <c r="B762" s="718"/>
      <c r="C762" s="720"/>
      <c r="D762" s="695"/>
      <c r="E762" s="573" t="s">
        <v>159</v>
      </c>
      <c r="F762" s="561"/>
      <c r="G762" s="563"/>
      <c r="H762" s="682" t="s">
        <v>14</v>
      </c>
      <c r="I762" s="565"/>
      <c r="J762" s="565"/>
      <c r="K762" s="566"/>
      <c r="L762" s="567">
        <f t="shared" si="459"/>
        <v>0</v>
      </c>
      <c r="M762" s="568">
        <f t="shared" si="459"/>
        <v>0</v>
      </c>
      <c r="N762" s="568">
        <f t="shared" si="459"/>
        <v>0</v>
      </c>
      <c r="O762" s="568">
        <f t="shared" si="454"/>
        <v>0</v>
      </c>
      <c r="P762" s="568">
        <f t="shared" si="455"/>
        <v>0</v>
      </c>
      <c r="Q762" s="568">
        <f t="shared" ca="1" si="460"/>
        <v>479400</v>
      </c>
      <c r="R762" s="568">
        <f t="shared" ca="1" si="460"/>
        <v>479400</v>
      </c>
      <c r="S762" s="568">
        <f t="shared" ca="1" si="460"/>
        <v>267975</v>
      </c>
      <c r="T762" s="568">
        <f t="shared" ca="1" si="457"/>
        <v>55.897997496871092</v>
      </c>
      <c r="U762" s="568">
        <f t="shared" ca="1" si="458"/>
        <v>55.897997496871092</v>
      </c>
    </row>
    <row r="763" spans="1:21" ht="18.75" x14ac:dyDescent="0.25">
      <c r="A763" s="674"/>
      <c r="B763" s="718"/>
      <c r="C763" s="720"/>
      <c r="D763" s="562" t="s">
        <v>22</v>
      </c>
      <c r="E763" s="561"/>
      <c r="F763" s="561"/>
      <c r="G763" s="563"/>
      <c r="H763" s="682" t="s">
        <v>14</v>
      </c>
      <c r="I763" s="683"/>
      <c r="J763" s="683"/>
      <c r="K763" s="684"/>
      <c r="L763" s="567">
        <f t="shared" ref="L763:N763" si="461">L764+L765</f>
        <v>0</v>
      </c>
      <c r="M763" s="568">
        <f t="shared" si="461"/>
        <v>0</v>
      </c>
      <c r="N763" s="568">
        <f t="shared" si="461"/>
        <v>0</v>
      </c>
      <c r="O763" s="568">
        <f t="shared" si="454"/>
        <v>0</v>
      </c>
      <c r="P763" s="568">
        <f t="shared" si="455"/>
        <v>0</v>
      </c>
      <c r="Q763" s="568">
        <f t="shared" ref="Q763:S763" ca="1" si="462">Q764+Q765</f>
        <v>479400</v>
      </c>
      <c r="R763" s="568">
        <f t="shared" ca="1" si="462"/>
        <v>479400</v>
      </c>
      <c r="S763" s="568">
        <f t="shared" ca="1" si="462"/>
        <v>267975</v>
      </c>
      <c r="T763" s="568">
        <f t="shared" ca="1" si="457"/>
        <v>55.897997496871092</v>
      </c>
      <c r="U763" s="568">
        <f t="shared" ca="1" si="458"/>
        <v>55.897997496871092</v>
      </c>
    </row>
    <row r="764" spans="1:21" ht="18.75" x14ac:dyDescent="0.25">
      <c r="A764" s="674"/>
      <c r="B764" s="718"/>
      <c r="C764" s="720"/>
      <c r="D764" s="695"/>
      <c r="E764" s="569" t="s">
        <v>158</v>
      </c>
      <c r="F764" s="561"/>
      <c r="G764" s="563"/>
      <c r="H764" s="685" t="s">
        <v>14</v>
      </c>
      <c r="I764" s="565"/>
      <c r="J764" s="565"/>
      <c r="K764" s="566"/>
      <c r="L764" s="571">
        <v>0</v>
      </c>
      <c r="M764" s="572">
        <v>0</v>
      </c>
      <c r="N764" s="572">
        <v>0</v>
      </c>
      <c r="O764" s="572">
        <f t="shared" si="454"/>
        <v>0</v>
      </c>
      <c r="P764" s="572">
        <f t="shared" si="455"/>
        <v>0</v>
      </c>
      <c r="Q764" s="572">
        <v>0</v>
      </c>
      <c r="R764" s="572">
        <v>0</v>
      </c>
      <c r="S764" s="572">
        <v>0</v>
      </c>
      <c r="T764" s="572">
        <f t="shared" si="457"/>
        <v>0</v>
      </c>
      <c r="U764" s="572">
        <f t="shared" si="458"/>
        <v>0</v>
      </c>
    </row>
    <row r="765" spans="1:21" ht="18.75" x14ac:dyDescent="0.25">
      <c r="A765" s="674"/>
      <c r="B765" s="718"/>
      <c r="C765" s="720"/>
      <c r="D765" s="695"/>
      <c r="E765" s="573" t="s">
        <v>159</v>
      </c>
      <c r="F765" s="561"/>
      <c r="G765" s="563"/>
      <c r="H765" s="682" t="s">
        <v>14</v>
      </c>
      <c r="I765" s="565"/>
      <c r="J765" s="565"/>
      <c r="K765" s="566"/>
      <c r="L765" s="567">
        <v>0</v>
      </c>
      <c r="M765" s="568">
        <v>0</v>
      </c>
      <c r="N765" s="568">
        <v>0</v>
      </c>
      <c r="O765" s="568">
        <f t="shared" si="454"/>
        <v>0</v>
      </c>
      <c r="P765" s="568">
        <f t="shared" si="455"/>
        <v>0</v>
      </c>
      <c r="Q765" s="568">
        <f ca="1">IFERROR(__xludf.DUMMYFUNCTION("IMPORTRANGE(""https://docs.google.com/spreadsheets/d/1ItG2mGa2ceCfYo0BwxsXqNm01IGEUdYcSSLTEv9YCik/edit?usp=sharing"",""เบิกจ่ายกองทุน!AA24"")"),479400)</f>
        <v>479400</v>
      </c>
      <c r="R765" s="568">
        <f ca="1">IFERROR(__xludf.DUMMYFUNCTION("IMPORTRANGE(""https://docs.google.com/spreadsheets/d/1ItG2mGa2ceCfYo0BwxsXqNm01IGEUdYcSSLTEv9YCik/edit?usp=sharing"",""เบิกจ่ายกองทุน!AB24"")"),479400)</f>
        <v>479400</v>
      </c>
      <c r="S765" s="568">
        <f ca="1">IFERROR(__xludf.DUMMYFUNCTION("IMPORTRANGE(""https://docs.google.com/spreadsheets/d/1ItG2mGa2ceCfYo0BwxsXqNm01IGEUdYcSSLTEv9YCik/edit?usp=sharing"",""เบิกจ่ายกองทุน!AC24"")"),267975)</f>
        <v>267975</v>
      </c>
      <c r="T765" s="568">
        <f t="shared" ca="1" si="457"/>
        <v>55.897997496871092</v>
      </c>
      <c r="U765" s="568">
        <f t="shared" ca="1" si="458"/>
        <v>55.897997496871092</v>
      </c>
    </row>
    <row r="766" spans="1:21" ht="18.75" x14ac:dyDescent="0.25">
      <c r="A766" s="674"/>
      <c r="B766" s="718"/>
      <c r="C766" s="718"/>
      <c r="D766" s="562" t="s">
        <v>23</v>
      </c>
      <c r="E766" s="718"/>
      <c r="F766" s="561"/>
      <c r="G766" s="563"/>
      <c r="H766" s="686" t="s">
        <v>14</v>
      </c>
      <c r="I766" s="683"/>
      <c r="J766" s="683"/>
      <c r="K766" s="684"/>
      <c r="L766" s="567">
        <f t="shared" ref="L766:N766" si="463">L767+L768</f>
        <v>0</v>
      </c>
      <c r="M766" s="568">
        <f t="shared" si="463"/>
        <v>0</v>
      </c>
      <c r="N766" s="568">
        <f t="shared" si="463"/>
        <v>0</v>
      </c>
      <c r="O766" s="568">
        <f t="shared" si="454"/>
        <v>0</v>
      </c>
      <c r="P766" s="568">
        <f t="shared" si="455"/>
        <v>0</v>
      </c>
      <c r="Q766" s="568">
        <f t="shared" ref="Q766:S766" si="464">Q767+Q768</f>
        <v>0</v>
      </c>
      <c r="R766" s="568">
        <f t="shared" si="464"/>
        <v>0</v>
      </c>
      <c r="S766" s="568">
        <f t="shared" si="464"/>
        <v>0</v>
      </c>
      <c r="T766" s="568">
        <f t="shared" si="457"/>
        <v>0</v>
      </c>
      <c r="U766" s="568">
        <f t="shared" si="458"/>
        <v>0</v>
      </c>
    </row>
    <row r="767" spans="1:21" ht="18.75" x14ac:dyDescent="0.25">
      <c r="A767" s="674"/>
      <c r="B767" s="718"/>
      <c r="C767" s="718"/>
      <c r="D767" s="718"/>
      <c r="E767" s="767" t="s">
        <v>20</v>
      </c>
      <c r="F767" s="561"/>
      <c r="G767" s="563"/>
      <c r="H767" s="685" t="s">
        <v>14</v>
      </c>
      <c r="I767" s="683"/>
      <c r="J767" s="683"/>
      <c r="K767" s="684"/>
      <c r="L767" s="571">
        <v>0</v>
      </c>
      <c r="M767" s="572">
        <v>0</v>
      </c>
      <c r="N767" s="572">
        <v>0</v>
      </c>
      <c r="O767" s="572">
        <f t="shared" si="454"/>
        <v>0</v>
      </c>
      <c r="P767" s="572">
        <f t="shared" si="455"/>
        <v>0</v>
      </c>
      <c r="Q767" s="572">
        <v>0</v>
      </c>
      <c r="R767" s="572">
        <v>0</v>
      </c>
      <c r="S767" s="572">
        <v>0</v>
      </c>
      <c r="T767" s="572">
        <f t="shared" si="457"/>
        <v>0</v>
      </c>
      <c r="U767" s="572">
        <f t="shared" si="458"/>
        <v>0</v>
      </c>
    </row>
    <row r="768" spans="1:21" ht="18.75" x14ac:dyDescent="0.25">
      <c r="A768" s="674"/>
      <c r="B768" s="718"/>
      <c r="C768" s="718"/>
      <c r="D768" s="718"/>
      <c r="E768" s="765" t="s">
        <v>21</v>
      </c>
      <c r="F768" s="561"/>
      <c r="G768" s="563"/>
      <c r="H768" s="686" t="s">
        <v>14</v>
      </c>
      <c r="I768" s="683"/>
      <c r="J768" s="683"/>
      <c r="K768" s="684"/>
      <c r="L768" s="567">
        <v>0</v>
      </c>
      <c r="M768" s="568">
        <v>0</v>
      </c>
      <c r="N768" s="568">
        <v>0</v>
      </c>
      <c r="O768" s="568">
        <f t="shared" si="454"/>
        <v>0</v>
      </c>
      <c r="P768" s="568">
        <f t="shared" si="455"/>
        <v>0</v>
      </c>
      <c r="Q768" s="568">
        <v>0</v>
      </c>
      <c r="R768" s="568">
        <v>0</v>
      </c>
      <c r="S768" s="568">
        <v>0</v>
      </c>
      <c r="T768" s="568">
        <f t="shared" si="457"/>
        <v>0</v>
      </c>
      <c r="U768" s="568">
        <f t="shared" si="458"/>
        <v>0</v>
      </c>
    </row>
    <row r="769" spans="1:21" ht="19.5" x14ac:dyDescent="0.3">
      <c r="A769" s="687"/>
      <c r="B769" s="688"/>
      <c r="C769" s="1117" t="s">
        <v>18</v>
      </c>
      <c r="D769" s="1078" t="s">
        <v>38</v>
      </c>
      <c r="E769" s="758"/>
      <c r="F769" s="690"/>
      <c r="G769" s="691"/>
      <c r="H769" s="725"/>
      <c r="I769" s="565"/>
      <c r="J769" s="565"/>
      <c r="K769" s="566"/>
      <c r="L769" s="574"/>
      <c r="M769" s="566"/>
      <c r="N769" s="566"/>
      <c r="O769" s="566"/>
      <c r="P769" s="566"/>
      <c r="Q769" s="566"/>
      <c r="R769" s="566"/>
      <c r="S769" s="566"/>
      <c r="T769" s="566"/>
      <c r="U769" s="566"/>
    </row>
    <row r="770" spans="1:21" ht="18.75" x14ac:dyDescent="0.25">
      <c r="A770" s="687"/>
      <c r="B770" s="688"/>
      <c r="C770" s="688"/>
      <c r="D770" s="1042" t="s">
        <v>286</v>
      </c>
      <c r="E770" s="688"/>
      <c r="F770" s="695"/>
      <c r="G770" s="692"/>
      <c r="H770" s="734" t="s">
        <v>35</v>
      </c>
      <c r="I770" s="735">
        <f ca="1">IFERROR(__xludf.DUMMYFUNCTION("IMPORTRANGE(""https://docs.google.com/spreadsheets/d/1eHaY18a8A9IcSdp1K8H6x8fbOy06t2VsZHhMHf-1x7Y/edit?usp=sharing"",""แผน!FI24"")"),0)</f>
        <v>0</v>
      </c>
      <c r="J770" s="735">
        <v>0</v>
      </c>
      <c r="K770" s="572">
        <f ca="1">IF(I770&gt;0,J770*100/I770,0)</f>
        <v>0</v>
      </c>
      <c r="L770" s="574"/>
      <c r="M770" s="566"/>
      <c r="N770" s="566"/>
      <c r="O770" s="566"/>
      <c r="P770" s="566"/>
      <c r="Q770" s="566"/>
      <c r="R770" s="566"/>
      <c r="S770" s="566"/>
      <c r="T770" s="566"/>
      <c r="U770" s="566"/>
    </row>
    <row r="771" spans="1:21" ht="18.75" x14ac:dyDescent="0.25">
      <c r="A771" s="687"/>
      <c r="B771" s="688"/>
      <c r="C771" s="688"/>
      <c r="D771" s="1042" t="s">
        <v>287</v>
      </c>
      <c r="E771" s="688"/>
      <c r="F771" s="695"/>
      <c r="G771" s="692"/>
      <c r="H771" s="725"/>
      <c r="I771" s="565"/>
      <c r="J771" s="565"/>
      <c r="K771" s="566"/>
      <c r="L771" s="574"/>
      <c r="M771" s="566"/>
      <c r="N771" s="566"/>
      <c r="O771" s="566"/>
      <c r="P771" s="566"/>
      <c r="Q771" s="566"/>
      <c r="R771" s="566"/>
      <c r="S771" s="566"/>
      <c r="T771" s="566"/>
      <c r="U771" s="566"/>
    </row>
    <row r="772" spans="1:21" ht="18.75" x14ac:dyDescent="0.25">
      <c r="A772" s="687"/>
      <c r="B772" s="688"/>
      <c r="C772" s="688"/>
      <c r="D772" s="1079" t="s">
        <v>288</v>
      </c>
      <c r="E772" s="688"/>
      <c r="F772" s="695"/>
      <c r="G772" s="692"/>
      <c r="H772" s="686" t="s">
        <v>35</v>
      </c>
      <c r="I772" s="708">
        <f ca="1">IFERROR(__xludf.DUMMYFUNCTION("IMPORTRANGE(""https://docs.google.com/spreadsheets/d/1eHaY18a8A9IcSdp1K8H6x8fbOy06t2VsZHhMHf-1x7Y/edit?usp=sharing"",""แผน!FQ24"")"),70)</f>
        <v>70</v>
      </c>
      <c r="J772" s="702">
        <v>70</v>
      </c>
      <c r="K772" s="568">
        <f ca="1">IF(I772&gt;0,J772*100/I772,0)</f>
        <v>100</v>
      </c>
      <c r="L772" s="574"/>
      <c r="M772" s="566"/>
      <c r="N772" s="566"/>
      <c r="O772" s="566"/>
      <c r="P772" s="566"/>
      <c r="Q772" s="566"/>
      <c r="R772" s="566"/>
      <c r="S772" s="566"/>
      <c r="T772" s="566"/>
      <c r="U772" s="566"/>
    </row>
    <row r="773" spans="1:21" ht="18.75" x14ac:dyDescent="0.25">
      <c r="A773" s="687"/>
      <c r="B773" s="688"/>
      <c r="C773" s="688"/>
      <c r="D773" s="1079" t="s">
        <v>289</v>
      </c>
      <c r="E773" s="688"/>
      <c r="F773" s="695"/>
      <c r="G773" s="692"/>
      <c r="H773" s="725"/>
      <c r="I773" s="565"/>
      <c r="J773" s="565"/>
      <c r="K773" s="566"/>
      <c r="L773" s="574"/>
      <c r="M773" s="566"/>
      <c r="N773" s="566"/>
      <c r="O773" s="566"/>
      <c r="P773" s="566"/>
      <c r="Q773" s="566"/>
      <c r="R773" s="566"/>
      <c r="S773" s="566"/>
      <c r="T773" s="566"/>
      <c r="U773" s="566"/>
    </row>
    <row r="774" spans="1:21" ht="18.75" x14ac:dyDescent="0.25">
      <c r="A774" s="687"/>
      <c r="B774" s="688"/>
      <c r="C774" s="688"/>
      <c r="D774" s="1079" t="s">
        <v>290</v>
      </c>
      <c r="E774" s="688"/>
      <c r="F774" s="695"/>
      <c r="G774" s="692"/>
      <c r="H774" s="686" t="s">
        <v>46</v>
      </c>
      <c r="I774" s="708">
        <f ca="1">IFERROR(__xludf.DUMMYFUNCTION("IMPORTRANGE(""https://docs.google.com/spreadsheets/d/1eHaY18a8A9IcSdp1K8H6x8fbOy06t2VsZHhMHf-1x7Y/edit?usp=sharing"",""แผน!FR24"")"),140)</f>
        <v>140</v>
      </c>
      <c r="J774" s="702">
        <v>140</v>
      </c>
      <c r="K774" s="568">
        <f ca="1">IF(I774&gt;0,J774*100/I774,0)</f>
        <v>100</v>
      </c>
      <c r="L774" s="574"/>
      <c r="M774" s="566"/>
      <c r="N774" s="566"/>
      <c r="O774" s="566"/>
      <c r="P774" s="566"/>
      <c r="Q774" s="566"/>
      <c r="R774" s="566"/>
      <c r="S774" s="566"/>
      <c r="T774" s="566"/>
      <c r="U774" s="566"/>
    </row>
    <row r="775" spans="1:21" ht="18.75" x14ac:dyDescent="0.25">
      <c r="A775" s="687"/>
      <c r="B775" s="688"/>
      <c r="C775" s="688"/>
      <c r="D775" s="1079" t="s">
        <v>50</v>
      </c>
      <c r="E775" s="695"/>
      <c r="F775" s="561"/>
      <c r="G775" s="563"/>
      <c r="H775" s="686" t="s">
        <v>46</v>
      </c>
      <c r="I775" s="708">
        <f ca="1">IFERROR(__xludf.DUMMYFUNCTION("IMPORTRANGE(""https://docs.google.com/spreadsheets/d/1eHaY18a8A9IcSdp1K8H6x8fbOy06t2VsZHhMHf-1x7Y/edit?usp=sharing"",""แผน!FS24"")"),140)</f>
        <v>140</v>
      </c>
      <c r="J775" s="702">
        <v>140</v>
      </c>
      <c r="K775" s="566"/>
      <c r="L775" s="574"/>
      <c r="M775" s="566"/>
      <c r="N775" s="566"/>
      <c r="O775" s="566"/>
      <c r="P775" s="566"/>
      <c r="Q775" s="566"/>
      <c r="R775" s="566"/>
      <c r="S775" s="566"/>
      <c r="T775" s="566"/>
      <c r="U775" s="566"/>
    </row>
    <row r="776" spans="1:21" ht="18.75" x14ac:dyDescent="0.25">
      <c r="A776" s="863"/>
      <c r="B776" s="864"/>
      <c r="C776" s="864"/>
      <c r="D776" s="864"/>
      <c r="E776" s="512"/>
      <c r="F776" s="512"/>
      <c r="G776" s="577"/>
      <c r="H776" s="1089" t="s">
        <v>35</v>
      </c>
      <c r="I776" s="989">
        <f ca="1">IFERROR(__xludf.DUMMYFUNCTION("IMPORTRANGE(""https://docs.google.com/spreadsheets/d/1eHaY18a8A9IcSdp1K8H6x8fbOy06t2VsZHhMHf-1x7Y/edit?usp=sharing"",""แผน!FT24"")"),70)</f>
        <v>70</v>
      </c>
      <c r="J776" s="990">
        <v>70</v>
      </c>
      <c r="K776" s="580"/>
      <c r="L776" s="581"/>
      <c r="M776" s="580"/>
      <c r="N776" s="580"/>
      <c r="O776" s="580"/>
      <c r="P776" s="580"/>
      <c r="Q776" s="580"/>
      <c r="R776" s="580"/>
      <c r="S776" s="580"/>
      <c r="T776" s="580"/>
      <c r="U776" s="580"/>
    </row>
    <row r="777" spans="1:21" ht="19.5" x14ac:dyDescent="0.3">
      <c r="A777" s="1118" t="s">
        <v>291</v>
      </c>
      <c r="B777" s="1119"/>
      <c r="C777" s="1119"/>
      <c r="D777" s="1120"/>
      <c r="E777" s="1119"/>
      <c r="F777" s="1119"/>
      <c r="G777" s="1121"/>
      <c r="H777" s="112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1123"/>
      <c r="J777" s="1124"/>
      <c r="K777" s="1125"/>
      <c r="L777" s="1125"/>
      <c r="M777" s="1125"/>
      <c r="N777" s="1125"/>
      <c r="O777" s="1125"/>
      <c r="P777" s="1125"/>
      <c r="Q777" s="1125"/>
      <c r="R777" s="1125"/>
      <c r="S777" s="1125"/>
      <c r="T777" s="1125"/>
      <c r="U777" s="1125"/>
    </row>
    <row r="778" spans="1:21" ht="18.75" x14ac:dyDescent="0.25">
      <c r="A778" s="560"/>
      <c r="B778" s="573" t="s">
        <v>292</v>
      </c>
      <c r="C778" s="561"/>
      <c r="D778" s="718"/>
      <c r="E778" s="561"/>
      <c r="F778" s="561"/>
      <c r="G778" s="563"/>
      <c r="H778" s="564" t="s">
        <v>14</v>
      </c>
      <c r="I778" s="708">
        <f ca="1">IFERROR(__xludf.DUMMYFUNCTION("IMPORTRANGE(""https://docs.google.com/spreadsheets/d/10OvvATaaLtwErnr3qtWFcTmtbfpFEt5Bsqel9sXx0uE/edit?usp=sharing"",""งานกองทุน!D24"")"),3700000)</f>
        <v>3700000</v>
      </c>
      <c r="J778" s="708">
        <f ca="1">IFERROR(__xludf.DUMMYFUNCTION("IMPORTRANGE(""https://docs.google.com/spreadsheets/d/10OvvATaaLtwErnr3qtWFcTmtbfpFEt5Bsqel9sXx0uE/edit?usp=sharing"",""งานกองทุน!F24"")"),1808010.96)</f>
        <v>1808010.96</v>
      </c>
      <c r="K778" s="568">
        <f t="shared" ref="K778:K785" ca="1" si="465">IF(I778&gt;0,J778*100/I778,0)</f>
        <v>48.865161081081084</v>
      </c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</row>
    <row r="779" spans="1:21" ht="18.75" x14ac:dyDescent="0.25">
      <c r="A779" s="560"/>
      <c r="B779" s="561"/>
      <c r="C779" s="561"/>
      <c r="D779" s="718"/>
      <c r="E779" s="561"/>
      <c r="F779" s="561"/>
      <c r="G779" s="563"/>
      <c r="H779" s="564" t="s">
        <v>35</v>
      </c>
      <c r="I779" s="708">
        <f ca="1">IFERROR(__xludf.DUMMYFUNCTION("IMPORTRANGE(""https://docs.google.com/spreadsheets/d/10OvvATaaLtwErnr3qtWFcTmtbfpFEt5Bsqel9sXx0uE/edit?usp=sharing"",""งานกองทุน!C24"")"),155)</f>
        <v>155</v>
      </c>
      <c r="J779" s="708">
        <f ca="1">IFERROR(__xludf.DUMMYFUNCTION("IMPORTRANGE(""https://docs.google.com/spreadsheets/d/10OvvATaaLtwErnr3qtWFcTmtbfpFEt5Bsqel9sXx0uE/edit?usp=sharing"",""งานกองทุน!E24"")"),78)</f>
        <v>78</v>
      </c>
      <c r="K779" s="568">
        <f t="shared" ca="1" si="465"/>
        <v>50.322580645161288</v>
      </c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</row>
    <row r="780" spans="1:21" ht="18.75" x14ac:dyDescent="0.25">
      <c r="A780" s="560"/>
      <c r="B780" s="573" t="s">
        <v>293</v>
      </c>
      <c r="C780" s="561"/>
      <c r="D780" s="718"/>
      <c r="E780" s="561"/>
      <c r="F780" s="561"/>
      <c r="G780" s="563"/>
      <c r="H780" s="564" t="s">
        <v>14</v>
      </c>
      <c r="I780" s="708">
        <f ca="1">IFERROR(__xludf.DUMMYFUNCTION("IMPORTRANGE(""https://docs.google.com/spreadsheets/d/10OvvATaaLtwErnr3qtWFcTmtbfpFEt5Bsqel9sXx0uE/edit?usp=sharing"",""งานกองทุน!I24"")"),537634.68)</f>
        <v>537634.68000000005</v>
      </c>
      <c r="J780" s="708">
        <f ca="1">IFERROR(__xludf.DUMMYFUNCTION("IMPORTRANGE(""https://docs.google.com/spreadsheets/d/10OvvATaaLtwErnr3qtWFcTmtbfpFEt5Bsqel9sXx0uE/edit?usp=sharing"",""งานกองทุน!K24"")"),120311.59)</f>
        <v>120311.59</v>
      </c>
      <c r="K780" s="568">
        <f t="shared" ca="1" si="465"/>
        <v>22.377944443613643</v>
      </c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</row>
    <row r="781" spans="1:21" ht="18.75" x14ac:dyDescent="0.25">
      <c r="A781" s="560"/>
      <c r="B781" s="561"/>
      <c r="C781" s="561"/>
      <c r="D781" s="718"/>
      <c r="E781" s="561"/>
      <c r="F781" s="561"/>
      <c r="G781" s="563"/>
      <c r="H781" s="564" t="s">
        <v>35</v>
      </c>
      <c r="I781" s="708">
        <f ca="1">IFERROR(__xludf.DUMMYFUNCTION("IMPORTRANGE(""https://docs.google.com/spreadsheets/d/10OvvATaaLtwErnr3qtWFcTmtbfpFEt5Bsqel9sXx0uE/edit?usp=sharing"",""งานกองทุน!H24"")"),47)</f>
        <v>47</v>
      </c>
      <c r="J781" s="708">
        <f ca="1">IFERROR(__xludf.DUMMYFUNCTION("IMPORTRANGE(""https://docs.google.com/spreadsheets/d/10OvvATaaLtwErnr3qtWFcTmtbfpFEt5Bsqel9sXx0uE/edit?usp=sharing"",""งานกองทุน!J24"")"),34)</f>
        <v>34</v>
      </c>
      <c r="K781" s="568">
        <f t="shared" ca="1" si="465"/>
        <v>72.340425531914889</v>
      </c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</row>
    <row r="782" spans="1:21" ht="18.75" x14ac:dyDescent="0.25">
      <c r="A782" s="560"/>
      <c r="B782" s="573" t="s">
        <v>294</v>
      </c>
      <c r="C782" s="561"/>
      <c r="D782" s="718"/>
      <c r="E782" s="561"/>
      <c r="F782" s="561"/>
      <c r="G782" s="563"/>
      <c r="H782" s="564" t="s">
        <v>14</v>
      </c>
      <c r="I782" s="708">
        <f ca="1">IFERROR(__xludf.DUMMYFUNCTION("IMPORTRANGE(""https://docs.google.com/spreadsheets/d/10OvvATaaLtwErnr3qtWFcTmtbfpFEt5Bsqel9sXx0uE/edit?usp=sharing"",""งานกองทุน!N24"")"),0)</f>
        <v>0</v>
      </c>
      <c r="J782" s="708">
        <f ca="1">IFERROR(__xludf.DUMMYFUNCTION("IMPORTRANGE(""https://docs.google.com/spreadsheets/d/10OvvATaaLtwErnr3qtWFcTmtbfpFEt5Bsqel9sXx0uE/edit?usp=sharing"",""งานกองทุน!P24"")"),0)</f>
        <v>0</v>
      </c>
      <c r="K782" s="568">
        <f t="shared" ca="1" si="465"/>
        <v>0</v>
      </c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</row>
    <row r="783" spans="1:21" ht="18.75" x14ac:dyDescent="0.25">
      <c r="A783" s="560"/>
      <c r="B783" s="561"/>
      <c r="C783" s="561"/>
      <c r="D783" s="718"/>
      <c r="E783" s="561"/>
      <c r="F783" s="561"/>
      <c r="G783" s="563"/>
      <c r="H783" s="564" t="s">
        <v>35</v>
      </c>
      <c r="I783" s="708">
        <f ca="1">IFERROR(__xludf.DUMMYFUNCTION("IMPORTRANGE(""https://docs.google.com/spreadsheets/d/10OvvATaaLtwErnr3qtWFcTmtbfpFEt5Bsqel9sXx0uE/edit?usp=sharing"",""งานกองทุน!M24"")"),0)</f>
        <v>0</v>
      </c>
      <c r="J783" s="708">
        <f ca="1">IFERROR(__xludf.DUMMYFUNCTION("IMPORTRANGE(""https://docs.google.com/spreadsheets/d/10OvvATaaLtwErnr3qtWFcTmtbfpFEt5Bsqel9sXx0uE/edit?usp=sharing"",""งานกองทุน!O24"")"),0)</f>
        <v>0</v>
      </c>
      <c r="K783" s="568">
        <f t="shared" ca="1" si="465"/>
        <v>0</v>
      </c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</row>
    <row r="784" spans="1:21" ht="18.75" x14ac:dyDescent="0.25">
      <c r="A784" s="560"/>
      <c r="B784" s="573" t="s">
        <v>295</v>
      </c>
      <c r="C784" s="561"/>
      <c r="D784" s="718"/>
      <c r="E784" s="561"/>
      <c r="F784" s="561"/>
      <c r="G784" s="563"/>
      <c r="H784" s="564" t="s">
        <v>14</v>
      </c>
      <c r="I784" s="708">
        <f ca="1">IFERROR(__xludf.DUMMYFUNCTION("IMPORTRANGE(""https://docs.google.com/spreadsheets/d/10OvvATaaLtwErnr3qtWFcTmtbfpFEt5Bsqel9sXx0uE/edit?usp=sharing"",""งานกองทุน!S24"")"),4648000)</f>
        <v>4648000</v>
      </c>
      <c r="J784" s="708">
        <f ca="1">IFERROR(__xludf.DUMMYFUNCTION("IMPORTRANGE(""https://docs.google.com/spreadsheets/d/10OvvATaaLtwErnr3qtWFcTmtbfpFEt5Bsqel9sXx0uE/edit?usp=sharing"",""งานกองทุน!U24"")"),1061000)</f>
        <v>1061000</v>
      </c>
      <c r="K784" s="568">
        <f t="shared" ca="1" si="465"/>
        <v>22.827022375215147</v>
      </c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</row>
    <row r="785" spans="1:21" ht="18.75" x14ac:dyDescent="0.25">
      <c r="A785" s="575"/>
      <c r="B785" s="513"/>
      <c r="C785" s="513"/>
      <c r="D785" s="514"/>
      <c r="E785" s="513"/>
      <c r="F785" s="513"/>
      <c r="G785" s="577"/>
      <c r="H785" s="578" t="s">
        <v>35</v>
      </c>
      <c r="I785" s="989">
        <f ca="1">IFERROR(__xludf.DUMMYFUNCTION("IMPORTRANGE(""https://docs.google.com/spreadsheets/d/10OvvATaaLtwErnr3qtWFcTmtbfpFEt5Bsqel9sXx0uE/edit?usp=sharing"",""งานกองทุน!R24"")"),166)</f>
        <v>166</v>
      </c>
      <c r="J785" s="989">
        <f ca="1">IFERROR(__xludf.DUMMYFUNCTION("IMPORTRANGE(""https://docs.google.com/spreadsheets/d/10OvvATaaLtwErnr3qtWFcTmtbfpFEt5Bsqel9sXx0uE/edit?usp=sharing"",""งานกองทุน!T24"")"),43)</f>
        <v>43</v>
      </c>
      <c r="K785" s="655">
        <f t="shared" ca="1" si="465"/>
        <v>25.903614457831324</v>
      </c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</row>
    <row r="786" spans="1:21" ht="12.75" x14ac:dyDescent="0.2">
      <c r="A786" s="510"/>
      <c r="B786" s="510"/>
      <c r="C786" s="510"/>
      <c r="D786" s="510"/>
      <c r="E786" s="510"/>
      <c r="F786" s="510"/>
      <c r="G786" s="510"/>
      <c r="H786" s="510"/>
      <c r="I786" s="510"/>
      <c r="J786" s="510"/>
      <c r="K786" s="510"/>
      <c r="L786" s="510"/>
      <c r="M786" s="510"/>
      <c r="N786" s="510"/>
      <c r="O786" s="510"/>
      <c r="P786" s="510"/>
      <c r="Q786" s="510"/>
      <c r="R786" s="510"/>
      <c r="S786" s="510"/>
      <c r="T786" s="510"/>
      <c r="U786" s="510"/>
    </row>
    <row r="787" spans="1:21" ht="16.5" x14ac:dyDescent="0.25">
      <c r="A787" s="1126" t="s">
        <v>296</v>
      </c>
      <c r="B787" s="510"/>
      <c r="C787" s="510"/>
      <c r="D787" s="510"/>
      <c r="E787" s="510"/>
      <c r="F787" s="510"/>
      <c r="G787" s="510"/>
      <c r="H787" s="510"/>
      <c r="I787" s="510"/>
      <c r="J787" s="510"/>
      <c r="K787" s="510"/>
      <c r="L787" s="510"/>
      <c r="M787" s="510"/>
      <c r="N787" s="510"/>
      <c r="O787" s="510"/>
      <c r="P787" s="510"/>
      <c r="Q787" s="510"/>
      <c r="R787" s="510"/>
      <c r="S787" s="510"/>
      <c r="T787" s="510"/>
      <c r="U787" s="510"/>
    </row>
    <row r="788" spans="1:21" ht="16.5" x14ac:dyDescent="0.25">
      <c r="A788" s="112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510"/>
      <c r="C788" s="510"/>
      <c r="D788" s="510"/>
      <c r="E788" s="510"/>
      <c r="F788" s="510"/>
      <c r="G788" s="510"/>
      <c r="H788" s="510"/>
      <c r="I788" s="510"/>
      <c r="J788" s="510"/>
      <c r="K788" s="510"/>
      <c r="L788" s="510"/>
      <c r="M788" s="510"/>
      <c r="N788" s="510"/>
      <c r="O788" s="510"/>
      <c r="P788" s="510"/>
      <c r="Q788" s="510"/>
      <c r="R788" s="510"/>
      <c r="S788" s="510"/>
      <c r="T788" s="510"/>
      <c r="U788" s="510"/>
    </row>
    <row r="789" spans="1:21" ht="16.5" x14ac:dyDescent="0.25">
      <c r="A789" s="112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510"/>
      <c r="C789" s="510"/>
      <c r="D789" s="510"/>
      <c r="E789" s="510"/>
      <c r="F789" s="510"/>
      <c r="G789" s="510"/>
      <c r="H789" s="510"/>
      <c r="I789" s="510"/>
      <c r="J789" s="510"/>
      <c r="K789" s="510"/>
      <c r="L789" s="510"/>
      <c r="M789" s="510"/>
      <c r="N789" s="510"/>
      <c r="O789" s="510"/>
      <c r="P789" s="510"/>
      <c r="Q789" s="510"/>
      <c r="R789" s="510"/>
      <c r="S789" s="510"/>
      <c r="T789" s="510"/>
      <c r="U789" s="510"/>
    </row>
  </sheetData>
  <mergeCells count="25">
    <mergeCell ref="Q4:U4"/>
    <mergeCell ref="A5:G6"/>
    <mergeCell ref="I5:K5"/>
    <mergeCell ref="L5:M5"/>
    <mergeCell ref="N5:P5"/>
    <mergeCell ref="Q5:R5"/>
    <mergeCell ref="B57:G57"/>
    <mergeCell ref="L4:P4"/>
    <mergeCell ref="A1:U1"/>
    <mergeCell ref="A2:U2"/>
    <mergeCell ref="A3:U3"/>
    <mergeCell ref="S5:U5"/>
    <mergeCell ref="A7:G7"/>
    <mergeCell ref="A17:G17"/>
    <mergeCell ref="A30:G30"/>
    <mergeCell ref="A56:G56"/>
    <mergeCell ref="D714:G714"/>
    <mergeCell ref="D728:G728"/>
    <mergeCell ref="D760:G760"/>
    <mergeCell ref="D413:G413"/>
    <mergeCell ref="D493:F493"/>
    <mergeCell ref="D599:G599"/>
    <mergeCell ref="D616:G616"/>
    <mergeCell ref="D642:G642"/>
    <mergeCell ref="D690:G690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4706-3C86-4B9B-800F-06F2C3F0BC3F}">
  <sheetPr>
    <outlinePr summaryBelow="0" summaryRight="0"/>
  </sheetPr>
  <dimension ref="A1:U789"/>
  <sheetViews>
    <sheetView view="pageBreakPreview" zoomScale="60" zoomScaleNormal="60" workbookViewId="0">
      <pane xSplit="8" ySplit="6" topLeftCell="I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0.28515625" bestFit="1" customWidth="1"/>
    <col min="15" max="15" width="19.28515625" bestFit="1" customWidth="1"/>
    <col min="16" max="16" width="20.7109375" bestFit="1" customWidth="1"/>
    <col min="17" max="18" width="20.28515625" bestFit="1" customWidth="1"/>
    <col min="19" max="19" width="17.85546875" bestFit="1" customWidth="1"/>
    <col min="20" max="20" width="19.28515625" bestFit="1" customWidth="1"/>
    <col min="21" max="21" width="20.7109375" bestFit="1" customWidth="1"/>
  </cols>
  <sheetData>
    <row r="1" spans="1:21" ht="15.75" customHeight="1" x14ac:dyDescent="0.3">
      <c r="A1" s="1335" t="s">
        <v>0</v>
      </c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5"/>
      <c r="N1" s="1335"/>
      <c r="O1" s="1335"/>
      <c r="P1" s="1335"/>
      <c r="Q1" s="1335"/>
      <c r="R1" s="1335"/>
      <c r="S1" s="1335"/>
      <c r="T1" s="1335"/>
      <c r="U1" s="1335"/>
    </row>
    <row r="2" spans="1:21" ht="15.75" customHeight="1" x14ac:dyDescent="0.3">
      <c r="A2" s="1335" t="s">
        <v>333</v>
      </c>
      <c r="B2" s="1335"/>
      <c r="C2" s="1335"/>
      <c r="D2" s="1335"/>
      <c r="E2" s="1335"/>
      <c r="F2" s="1335"/>
      <c r="G2" s="1335"/>
      <c r="H2" s="1335"/>
      <c r="I2" s="1335"/>
      <c r="J2" s="1335"/>
      <c r="K2" s="1335"/>
      <c r="L2" s="1335"/>
      <c r="M2" s="1335"/>
      <c r="N2" s="1335"/>
      <c r="O2" s="1335"/>
      <c r="P2" s="1335"/>
      <c r="Q2" s="1335"/>
      <c r="R2" s="1335"/>
      <c r="S2" s="1335"/>
      <c r="T2" s="1335"/>
      <c r="U2" s="1335"/>
    </row>
    <row r="3" spans="1:21" ht="15.75" customHeight="1" x14ac:dyDescent="0.3">
      <c r="A3" s="1335" t="s">
        <v>350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  <c r="L3" s="1335"/>
      <c r="M3" s="1335"/>
      <c r="N3" s="1335"/>
      <c r="O3" s="1335"/>
      <c r="P3" s="1335"/>
      <c r="Q3" s="1335"/>
      <c r="R3" s="1335"/>
      <c r="S3" s="1335"/>
      <c r="T3" s="1335"/>
      <c r="U3" s="1335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1336"/>
      <c r="L4" s="1337" t="s">
        <v>2</v>
      </c>
      <c r="M4" s="1292"/>
      <c r="N4" s="1292"/>
      <c r="O4" s="1292"/>
      <c r="P4" s="1293"/>
      <c r="Q4" s="1338" t="s">
        <v>3</v>
      </c>
      <c r="R4" s="1292"/>
      <c r="S4" s="1292"/>
      <c r="T4" s="1292"/>
      <c r="U4" s="1293"/>
    </row>
    <row r="5" spans="1:21" ht="15.75" customHeight="1" x14ac:dyDescent="0.3">
      <c r="A5" s="1339" t="s">
        <v>4</v>
      </c>
      <c r="B5" s="1289"/>
      <c r="C5" s="1289"/>
      <c r="D5" s="1289"/>
      <c r="E5" s="1289"/>
      <c r="F5" s="1289"/>
      <c r="G5" s="1290"/>
      <c r="H5" s="1340" t="s">
        <v>5</v>
      </c>
      <c r="I5" s="1309" t="s">
        <v>6</v>
      </c>
      <c r="J5" s="1292"/>
      <c r="K5" s="1293"/>
      <c r="L5" s="1341" t="s">
        <v>7</v>
      </c>
      <c r="M5" s="1293"/>
      <c r="N5" s="1302" t="s">
        <v>8</v>
      </c>
      <c r="O5" s="1292"/>
      <c r="P5" s="1293"/>
      <c r="Q5" s="1303" t="s">
        <v>7</v>
      </c>
      <c r="R5" s="1293"/>
      <c r="S5" s="1302" t="s">
        <v>8</v>
      </c>
      <c r="T5" s="1292"/>
      <c r="U5" s="1293"/>
    </row>
    <row r="6" spans="1:21" ht="15.75" customHeight="1" x14ac:dyDescent="0.3">
      <c r="A6" s="1291"/>
      <c r="B6" s="1292"/>
      <c r="C6" s="1292"/>
      <c r="D6" s="1292"/>
      <c r="E6" s="1292"/>
      <c r="F6" s="1292"/>
      <c r="G6" s="1293"/>
      <c r="H6" s="1342"/>
      <c r="I6" s="6" t="s">
        <v>9</v>
      </c>
      <c r="J6" s="7" t="s">
        <v>10</v>
      </c>
      <c r="K6" s="6" t="s">
        <v>11</v>
      </c>
      <c r="L6" s="1343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x14ac:dyDescent="0.2">
      <c r="A7" s="1344"/>
      <c r="B7" s="1292"/>
      <c r="C7" s="1292"/>
      <c r="D7" s="1292"/>
      <c r="E7" s="1292"/>
      <c r="F7" s="1292"/>
      <c r="G7" s="1293"/>
      <c r="H7" s="14"/>
      <c r="I7" s="15"/>
      <c r="J7" s="15"/>
      <c r="K7" s="16"/>
      <c r="L7" s="1345"/>
      <c r="M7" s="16"/>
      <c r="N7" s="16"/>
      <c r="O7" s="16"/>
      <c r="P7" s="16"/>
      <c r="Q7" s="16"/>
      <c r="R7" s="16"/>
      <c r="S7" s="16"/>
      <c r="T7" s="16"/>
      <c r="U7" s="16"/>
    </row>
    <row r="8" spans="1:21" ht="12.75" x14ac:dyDescent="0.2">
      <c r="A8" s="17"/>
      <c r="B8" s="18"/>
      <c r="C8" s="18"/>
      <c r="D8" s="18"/>
      <c r="E8" s="18"/>
      <c r="F8" s="18"/>
      <c r="G8" s="19"/>
      <c r="H8" s="19"/>
      <c r="I8" s="20"/>
      <c r="J8" s="20"/>
      <c r="K8" s="21"/>
      <c r="L8" s="1346"/>
      <c r="M8" s="21"/>
      <c r="N8" s="21"/>
      <c r="O8" s="21"/>
      <c r="P8" s="21"/>
      <c r="Q8" s="21"/>
      <c r="R8" s="21"/>
      <c r="S8" s="21"/>
      <c r="T8" s="21"/>
      <c r="U8" s="21"/>
    </row>
    <row r="9" spans="1:21" ht="12.75" x14ac:dyDescent="0.2">
      <c r="A9" s="17"/>
      <c r="B9" s="18"/>
      <c r="C9" s="18"/>
      <c r="D9" s="18"/>
      <c r="E9" s="18"/>
      <c r="F9" s="18"/>
      <c r="G9" s="19"/>
      <c r="H9" s="19"/>
      <c r="I9" s="20"/>
      <c r="J9" s="20"/>
      <c r="K9" s="21"/>
      <c r="L9" s="1346"/>
      <c r="M9" s="21"/>
      <c r="N9" s="21"/>
      <c r="O9" s="21"/>
      <c r="P9" s="21"/>
      <c r="Q9" s="21"/>
      <c r="R9" s="21"/>
      <c r="S9" s="21"/>
      <c r="T9" s="21"/>
      <c r="U9" s="21"/>
    </row>
    <row r="10" spans="1:21" ht="12.75" x14ac:dyDescent="0.2">
      <c r="A10" s="17"/>
      <c r="B10" s="18"/>
      <c r="C10" s="18"/>
      <c r="D10" s="18"/>
      <c r="E10" s="18"/>
      <c r="F10" s="18"/>
      <c r="G10" s="19"/>
      <c r="H10" s="19"/>
      <c r="I10" s="20"/>
      <c r="J10" s="20"/>
      <c r="K10" s="21"/>
      <c r="L10" s="1346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2.75" x14ac:dyDescent="0.2">
      <c r="A11" s="17"/>
      <c r="B11" s="18"/>
      <c r="C11" s="18"/>
      <c r="D11" s="18"/>
      <c r="E11" s="18"/>
      <c r="F11" s="18"/>
      <c r="G11" s="19"/>
      <c r="H11" s="19"/>
      <c r="I11" s="20"/>
      <c r="J11" s="20"/>
      <c r="K11" s="21"/>
      <c r="L11" s="1346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2.75" x14ac:dyDescent="0.2">
      <c r="A12" s="17"/>
      <c r="B12" s="18"/>
      <c r="C12" s="18"/>
      <c r="D12" s="18"/>
      <c r="E12" s="18"/>
      <c r="F12" s="18"/>
      <c r="G12" s="19"/>
      <c r="H12" s="19"/>
      <c r="I12" s="20"/>
      <c r="J12" s="20"/>
      <c r="K12" s="21"/>
      <c r="L12" s="1346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12.75" x14ac:dyDescent="0.2">
      <c r="A13" s="17"/>
      <c r="B13" s="18"/>
      <c r="C13" s="18"/>
      <c r="D13" s="18"/>
      <c r="E13" s="18"/>
      <c r="F13" s="18"/>
      <c r="G13" s="19"/>
      <c r="H13" s="19"/>
      <c r="I13" s="20"/>
      <c r="J13" s="20"/>
      <c r="K13" s="21"/>
      <c r="L13" s="1346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2.75" x14ac:dyDescent="0.2">
      <c r="A14" s="17"/>
      <c r="B14" s="18"/>
      <c r="C14" s="18"/>
      <c r="D14" s="18"/>
      <c r="E14" s="18"/>
      <c r="F14" s="18"/>
      <c r="G14" s="19"/>
      <c r="H14" s="19"/>
      <c r="I14" s="20"/>
      <c r="J14" s="20"/>
      <c r="K14" s="21"/>
      <c r="L14" s="1346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2.75" x14ac:dyDescent="0.2">
      <c r="A15" s="17"/>
      <c r="B15" s="18"/>
      <c r="C15" s="18"/>
      <c r="D15" s="18"/>
      <c r="E15" s="18"/>
      <c r="F15" s="18"/>
      <c r="G15" s="19"/>
      <c r="H15" s="19"/>
      <c r="I15" s="20"/>
      <c r="J15" s="20"/>
      <c r="K15" s="21"/>
      <c r="L15" s="1346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2.75" x14ac:dyDescent="0.2">
      <c r="A16" s="13"/>
      <c r="B16" s="22"/>
      <c r="C16" s="22"/>
      <c r="D16" s="22"/>
      <c r="E16" s="22"/>
      <c r="F16" s="22"/>
      <c r="G16" s="14"/>
      <c r="H16" s="14"/>
      <c r="I16" s="15"/>
      <c r="J16" s="15"/>
      <c r="K16" s="16"/>
      <c r="L16" s="1345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15.75" customHeight="1" x14ac:dyDescent="0.3">
      <c r="A17" s="1295" t="s">
        <v>298</v>
      </c>
      <c r="B17" s="1292"/>
      <c r="C17" s="1292"/>
      <c r="D17" s="1292"/>
      <c r="E17" s="1292"/>
      <c r="F17" s="1292"/>
      <c r="G17" s="1293"/>
      <c r="H17" s="23"/>
      <c r="I17" s="24"/>
      <c r="J17" s="24"/>
      <c r="K17" s="25"/>
      <c r="L17" s="1347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5.75" customHeight="1" x14ac:dyDescent="0.3">
      <c r="A18" s="26"/>
      <c r="B18" s="27"/>
      <c r="C18" s="28" t="s">
        <v>18</v>
      </c>
      <c r="D18" s="29" t="s">
        <v>19</v>
      </c>
      <c r="E18" s="27"/>
      <c r="F18" s="27"/>
      <c r="G18" s="30"/>
      <c r="H18" s="31" t="s">
        <v>14</v>
      </c>
      <c r="I18" s="32"/>
      <c r="J18" s="32"/>
      <c r="K18" s="33"/>
      <c r="L18" s="1348">
        <f t="shared" ref="L18:N18" ca="1" si="0">L19+L20</f>
        <v>2187380</v>
      </c>
      <c r="M18" s="1349">
        <f t="shared" ca="1" si="0"/>
        <v>2075037</v>
      </c>
      <c r="N18" s="1349">
        <f t="shared" ca="1" si="0"/>
        <v>1194290.96</v>
      </c>
      <c r="O18" s="1349">
        <f t="shared" ref="O18:O26" ca="1" si="1">IF(L18&gt;0,N18*100/L18,0)</f>
        <v>54.599153324982396</v>
      </c>
      <c r="P18" s="1349">
        <f t="shared" ref="P18:P26" ca="1" si="2">IF(M18&gt;0,N18*100/M18,0)</f>
        <v>57.555164558511485</v>
      </c>
      <c r="Q18" s="1349">
        <f t="shared" ref="Q18:S18" ca="1" si="3">Q19+Q20</f>
        <v>1341278.3900000001</v>
      </c>
      <c r="R18" s="1349">
        <f t="shared" ca="1" si="3"/>
        <v>1341278</v>
      </c>
      <c r="S18" s="1349">
        <f t="shared" ca="1" si="3"/>
        <v>574220</v>
      </c>
      <c r="T18" s="1349">
        <f t="shared" ref="T18:T26" ca="1" si="4">IF(Q18&gt;0,S18*100/Q18,0)</f>
        <v>42.811395775935814</v>
      </c>
      <c r="U18" s="1349">
        <f t="shared" ref="U18:U26" ca="1" si="5">IF(R18&gt;0,S18*100/R18,0)</f>
        <v>42.811408224096716</v>
      </c>
    </row>
    <row r="19" spans="1:21" ht="15.75" customHeight="1" x14ac:dyDescent="0.25">
      <c r="A19" s="26"/>
      <c r="B19" s="27"/>
      <c r="C19" s="27"/>
      <c r="D19" s="27"/>
      <c r="E19" s="1350" t="s">
        <v>20</v>
      </c>
      <c r="F19" s="27"/>
      <c r="G19" s="30"/>
      <c r="H19" s="1351" t="s">
        <v>14</v>
      </c>
      <c r="I19" s="32"/>
      <c r="J19" s="32"/>
      <c r="K19" s="33"/>
      <c r="L19" s="1352">
        <f t="shared" ref="L19:N20" si="6">L22+L25</f>
        <v>0</v>
      </c>
      <c r="M19" s="1353">
        <f t="shared" si="6"/>
        <v>0</v>
      </c>
      <c r="N19" s="1353">
        <f t="shared" si="6"/>
        <v>0</v>
      </c>
      <c r="O19" s="1353">
        <f t="shared" si="1"/>
        <v>0</v>
      </c>
      <c r="P19" s="1353">
        <f t="shared" si="2"/>
        <v>0</v>
      </c>
      <c r="Q19" s="1353">
        <f t="shared" ref="Q19:S20" si="7">Q22+Q25</f>
        <v>0</v>
      </c>
      <c r="R19" s="1353">
        <f t="shared" si="7"/>
        <v>0</v>
      </c>
      <c r="S19" s="1353">
        <f t="shared" si="7"/>
        <v>0</v>
      </c>
      <c r="T19" s="1353">
        <f t="shared" si="4"/>
        <v>0</v>
      </c>
      <c r="U19" s="1353">
        <f t="shared" si="5"/>
        <v>0</v>
      </c>
    </row>
    <row r="20" spans="1:21" ht="15.75" customHeight="1" x14ac:dyDescent="0.25">
      <c r="A20" s="26"/>
      <c r="B20" s="27"/>
      <c r="C20" s="27"/>
      <c r="D20" s="27"/>
      <c r="E20" s="35" t="s">
        <v>21</v>
      </c>
      <c r="F20" s="27"/>
      <c r="G20" s="30"/>
      <c r="H20" s="36" t="s">
        <v>14</v>
      </c>
      <c r="I20" s="32"/>
      <c r="J20" s="32"/>
      <c r="K20" s="33"/>
      <c r="L20" s="1354">
        <f t="shared" ca="1" si="6"/>
        <v>2187380</v>
      </c>
      <c r="M20" s="1355">
        <f t="shared" ca="1" si="6"/>
        <v>2075037</v>
      </c>
      <c r="N20" s="1355">
        <f t="shared" ca="1" si="6"/>
        <v>1194290.96</v>
      </c>
      <c r="O20" s="1355">
        <f t="shared" ca="1" si="1"/>
        <v>54.599153324982396</v>
      </c>
      <c r="P20" s="1355">
        <f t="shared" ca="1" si="2"/>
        <v>57.555164558511485</v>
      </c>
      <c r="Q20" s="1355">
        <f t="shared" ca="1" si="7"/>
        <v>1341278.3900000001</v>
      </c>
      <c r="R20" s="1355">
        <f t="shared" ca="1" si="7"/>
        <v>1341278</v>
      </c>
      <c r="S20" s="1355">
        <f t="shared" ca="1" si="7"/>
        <v>574220</v>
      </c>
      <c r="T20" s="1355">
        <f t="shared" ca="1" si="4"/>
        <v>42.811395775935814</v>
      </c>
      <c r="U20" s="1355">
        <f t="shared" ca="1" si="5"/>
        <v>42.811408224096716</v>
      </c>
    </row>
    <row r="21" spans="1:21" ht="15.75" customHeight="1" x14ac:dyDescent="0.25">
      <c r="A21" s="39"/>
      <c r="B21" s="40"/>
      <c r="C21" s="40"/>
      <c r="D21" s="41" t="s">
        <v>22</v>
      </c>
      <c r="E21" s="40"/>
      <c r="F21" s="40"/>
      <c r="G21" s="42"/>
      <c r="H21" s="43" t="s">
        <v>14</v>
      </c>
      <c r="I21" s="44"/>
      <c r="J21" s="44"/>
      <c r="K21" s="45"/>
      <c r="L21" s="1356">
        <f t="shared" ref="L21:N21" ca="1" si="8">L22+L23</f>
        <v>2147980</v>
      </c>
      <c r="M21" s="224">
        <f t="shared" ca="1" si="8"/>
        <v>2035637</v>
      </c>
      <c r="N21" s="224">
        <f t="shared" ca="1" si="8"/>
        <v>1156290.96</v>
      </c>
      <c r="O21" s="224">
        <f t="shared" ca="1" si="1"/>
        <v>53.831551504203951</v>
      </c>
      <c r="P21" s="224">
        <f t="shared" ca="1" si="2"/>
        <v>56.802414182882309</v>
      </c>
      <c r="Q21" s="224">
        <f t="shared" ref="Q21:S21" ca="1" si="9">Q22+Q23</f>
        <v>1341278.3900000001</v>
      </c>
      <c r="R21" s="224">
        <f t="shared" ca="1" si="9"/>
        <v>1341278</v>
      </c>
      <c r="S21" s="224">
        <f t="shared" ca="1" si="9"/>
        <v>574220</v>
      </c>
      <c r="T21" s="224">
        <f t="shared" ca="1" si="4"/>
        <v>42.811395775935814</v>
      </c>
      <c r="U21" s="224">
        <f t="shared" ca="1" si="5"/>
        <v>42.811408224096716</v>
      </c>
    </row>
    <row r="22" spans="1:21" ht="15.75" customHeight="1" x14ac:dyDescent="0.25">
      <c r="A22" s="39"/>
      <c r="B22" s="40"/>
      <c r="C22" s="40"/>
      <c r="D22" s="40"/>
      <c r="E22" s="156" t="s">
        <v>20</v>
      </c>
      <c r="F22" s="40"/>
      <c r="G22" s="42"/>
      <c r="H22" s="1357" t="s">
        <v>14</v>
      </c>
      <c r="I22" s="44"/>
      <c r="J22" s="44"/>
      <c r="K22" s="45"/>
      <c r="L22" s="1358">
        <f t="shared" ref="L22:N23" si="10">L48+L63+L76+L98+L129+L143+L161+L190+L177+L270+L286+L307+L324+L337+L360+L517</f>
        <v>0</v>
      </c>
      <c r="M22" s="83">
        <f t="shared" si="10"/>
        <v>0</v>
      </c>
      <c r="N22" s="83">
        <f t="shared" si="10"/>
        <v>0</v>
      </c>
      <c r="O22" s="83">
        <f t="shared" si="1"/>
        <v>0</v>
      </c>
      <c r="P22" s="83">
        <f t="shared" si="2"/>
        <v>0</v>
      </c>
      <c r="Q22" s="83">
        <f t="shared" ref="Q22:S23" si="11">Q76+Q98+Q121+Q143+Q161+Q177+Q190+Q270+Q286+Q307+Q337+Q379+Q396+Q417+Q497+Q603+Q620+Q646+Q694+Q718+Q732+Q764</f>
        <v>0</v>
      </c>
      <c r="R22" s="83">
        <f t="shared" si="11"/>
        <v>0</v>
      </c>
      <c r="S22" s="83">
        <f t="shared" si="11"/>
        <v>0</v>
      </c>
      <c r="T22" s="83">
        <f t="shared" si="4"/>
        <v>0</v>
      </c>
      <c r="U22" s="83">
        <f t="shared" si="5"/>
        <v>0</v>
      </c>
    </row>
    <row r="23" spans="1:21" ht="15.75" customHeight="1" x14ac:dyDescent="0.25">
      <c r="A23" s="39"/>
      <c r="B23" s="40"/>
      <c r="C23" s="40"/>
      <c r="D23" s="40"/>
      <c r="E23" s="47" t="s">
        <v>21</v>
      </c>
      <c r="F23" s="40"/>
      <c r="G23" s="42"/>
      <c r="H23" s="43" t="s">
        <v>14</v>
      </c>
      <c r="I23" s="44"/>
      <c r="J23" s="44"/>
      <c r="K23" s="45"/>
      <c r="L23" s="1356">
        <f t="shared" ca="1" si="10"/>
        <v>2147980</v>
      </c>
      <c r="M23" s="224">
        <f t="shared" ca="1" si="10"/>
        <v>2035637</v>
      </c>
      <c r="N23" s="224">
        <f t="shared" ca="1" si="10"/>
        <v>1156290.96</v>
      </c>
      <c r="O23" s="224">
        <f t="shared" ca="1" si="1"/>
        <v>53.831551504203951</v>
      </c>
      <c r="P23" s="224">
        <f t="shared" ca="1" si="2"/>
        <v>56.802414182882309</v>
      </c>
      <c r="Q23" s="224">
        <f t="shared" ca="1" si="11"/>
        <v>1341278.3900000001</v>
      </c>
      <c r="R23" s="224">
        <f t="shared" ca="1" si="11"/>
        <v>1341278</v>
      </c>
      <c r="S23" s="224">
        <f t="shared" ca="1" si="11"/>
        <v>574220</v>
      </c>
      <c r="T23" s="224">
        <f t="shared" ca="1" si="4"/>
        <v>42.811395775935814</v>
      </c>
      <c r="U23" s="224">
        <f t="shared" ca="1" si="5"/>
        <v>42.811408224096716</v>
      </c>
    </row>
    <row r="24" spans="1:21" ht="15.75" customHeight="1" x14ac:dyDescent="0.25">
      <c r="A24" s="39"/>
      <c r="B24" s="40"/>
      <c r="C24" s="40"/>
      <c r="D24" s="41" t="s">
        <v>23</v>
      </c>
      <c r="E24" s="40"/>
      <c r="F24" s="40"/>
      <c r="G24" s="42"/>
      <c r="H24" s="43" t="s">
        <v>14</v>
      </c>
      <c r="I24" s="44"/>
      <c r="J24" s="44"/>
      <c r="K24" s="45"/>
      <c r="L24" s="1356">
        <f t="shared" ref="L24:N24" ca="1" si="12">L25+L26</f>
        <v>39400</v>
      </c>
      <c r="M24" s="224">
        <f t="shared" ca="1" si="12"/>
        <v>39400</v>
      </c>
      <c r="N24" s="224">
        <f t="shared" ca="1" si="12"/>
        <v>38000</v>
      </c>
      <c r="O24" s="224">
        <f t="shared" ca="1" si="1"/>
        <v>96.44670050761421</v>
      </c>
      <c r="P24" s="224">
        <f t="shared" ca="1" si="2"/>
        <v>96.44670050761421</v>
      </c>
      <c r="Q24" s="224">
        <f t="shared" ref="Q24:S24" ca="1" si="13">Q25+Q26</f>
        <v>0</v>
      </c>
      <c r="R24" s="224">
        <f t="shared" ca="1" si="13"/>
        <v>0</v>
      </c>
      <c r="S24" s="224">
        <f t="shared" ca="1" si="13"/>
        <v>0</v>
      </c>
      <c r="T24" s="224">
        <f t="shared" ca="1" si="4"/>
        <v>0</v>
      </c>
      <c r="U24" s="224">
        <f t="shared" ca="1" si="5"/>
        <v>0</v>
      </c>
    </row>
    <row r="25" spans="1:21" ht="15.75" customHeight="1" x14ac:dyDescent="0.25">
      <c r="A25" s="39"/>
      <c r="B25" s="40"/>
      <c r="C25" s="40"/>
      <c r="D25" s="40"/>
      <c r="E25" s="156" t="s">
        <v>20</v>
      </c>
      <c r="F25" s="40"/>
      <c r="G25" s="42"/>
      <c r="H25" s="1357" t="s">
        <v>14</v>
      </c>
      <c r="I25" s="44"/>
      <c r="J25" s="44"/>
      <c r="K25" s="45"/>
      <c r="L25" s="1358">
        <f t="shared" ref="L25:N26" si="14">L51+L66+L79+L101+L132+L146+L164+L193+L180+L273+L289+L310+L327+L340+L363+L520</f>
        <v>0</v>
      </c>
      <c r="M25" s="83">
        <f t="shared" si="14"/>
        <v>0</v>
      </c>
      <c r="N25" s="83">
        <f t="shared" si="14"/>
        <v>0</v>
      </c>
      <c r="O25" s="83">
        <f t="shared" si="1"/>
        <v>0</v>
      </c>
      <c r="P25" s="83">
        <f t="shared" si="2"/>
        <v>0</v>
      </c>
      <c r="Q25" s="83">
        <f t="shared" ref="Q25:S26" si="15">Q79+Q101+Q124+Q146+Q164+Q180+Q193+Q273+Q289+Q310+Q340+Q382+Q399+Q420+Q500+Q606+Q623+Q649+Q697+Q721+Q735+Q767</f>
        <v>0</v>
      </c>
      <c r="R25" s="83">
        <f t="shared" si="15"/>
        <v>0</v>
      </c>
      <c r="S25" s="83">
        <f t="shared" si="15"/>
        <v>0</v>
      </c>
      <c r="T25" s="83">
        <f t="shared" si="4"/>
        <v>0</v>
      </c>
      <c r="U25" s="83">
        <f t="shared" si="5"/>
        <v>0</v>
      </c>
    </row>
    <row r="26" spans="1:21" ht="15.75" customHeight="1" x14ac:dyDescent="0.25">
      <c r="A26" s="39"/>
      <c r="B26" s="40"/>
      <c r="C26" s="40"/>
      <c r="D26" s="40"/>
      <c r="E26" s="47" t="s">
        <v>21</v>
      </c>
      <c r="F26" s="40"/>
      <c r="G26" s="42"/>
      <c r="H26" s="43" t="s">
        <v>14</v>
      </c>
      <c r="I26" s="44"/>
      <c r="J26" s="44"/>
      <c r="K26" s="45"/>
      <c r="L26" s="1356">
        <f t="shared" ca="1" si="14"/>
        <v>39400</v>
      </c>
      <c r="M26" s="224">
        <f t="shared" ca="1" si="14"/>
        <v>39400</v>
      </c>
      <c r="N26" s="224">
        <f t="shared" ca="1" si="14"/>
        <v>38000</v>
      </c>
      <c r="O26" s="224">
        <f t="shared" ca="1" si="1"/>
        <v>96.44670050761421</v>
      </c>
      <c r="P26" s="224">
        <f t="shared" ca="1" si="2"/>
        <v>96.44670050761421</v>
      </c>
      <c r="Q26" s="83">
        <f t="shared" ca="1" si="15"/>
        <v>0</v>
      </c>
      <c r="R26" s="83">
        <f t="shared" ca="1" si="15"/>
        <v>0</v>
      </c>
      <c r="S26" s="83">
        <f t="shared" ca="1" si="15"/>
        <v>0</v>
      </c>
      <c r="T26" s="224">
        <f t="shared" ca="1" si="4"/>
        <v>0</v>
      </c>
      <c r="U26" s="224">
        <f t="shared" ca="1" si="5"/>
        <v>0</v>
      </c>
    </row>
    <row r="27" spans="1:21" ht="15.75" customHeight="1" x14ac:dyDescent="0.25">
      <c r="A27" s="39"/>
      <c r="B27" s="40"/>
      <c r="C27" s="40"/>
      <c r="D27" s="41" t="s">
        <v>24</v>
      </c>
      <c r="E27" s="40"/>
      <c r="F27" s="40"/>
      <c r="G27" s="42"/>
      <c r="H27" s="43" t="s">
        <v>14</v>
      </c>
      <c r="I27" s="44"/>
      <c r="J27" s="44"/>
      <c r="K27" s="45"/>
      <c r="L27" s="1359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5.75" customHeight="1" x14ac:dyDescent="0.25">
      <c r="A28" s="39"/>
      <c r="B28" s="40"/>
      <c r="C28" s="40"/>
      <c r="D28" s="40"/>
      <c r="E28" s="156" t="s">
        <v>20</v>
      </c>
      <c r="F28" s="40"/>
      <c r="G28" s="42"/>
      <c r="H28" s="1357" t="s">
        <v>14</v>
      </c>
      <c r="I28" s="44"/>
      <c r="J28" s="44"/>
      <c r="K28" s="45"/>
      <c r="L28" s="1359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15.75" customHeight="1" x14ac:dyDescent="0.25">
      <c r="A29" s="50"/>
      <c r="B29" s="1"/>
      <c r="C29" s="1"/>
      <c r="D29" s="1"/>
      <c r="E29" s="51" t="s">
        <v>21</v>
      </c>
      <c r="F29" s="1"/>
      <c r="G29" s="52"/>
      <c r="H29" s="53" t="s">
        <v>14</v>
      </c>
      <c r="I29" s="54"/>
      <c r="J29" s="54"/>
      <c r="K29" s="3"/>
      <c r="L29" s="1360"/>
      <c r="M29" s="3"/>
      <c r="N29" s="3"/>
      <c r="O29" s="3"/>
      <c r="P29" s="3"/>
      <c r="Q29" s="3"/>
      <c r="R29" s="3"/>
      <c r="S29" s="3"/>
      <c r="T29" s="3"/>
      <c r="U29" s="3"/>
    </row>
    <row r="30" spans="1:21" ht="12.75" x14ac:dyDescent="0.2">
      <c r="A30" s="1344"/>
      <c r="B30" s="1292"/>
      <c r="C30" s="1292"/>
      <c r="D30" s="1292"/>
      <c r="E30" s="1292"/>
      <c r="F30" s="1292"/>
      <c r="G30" s="1293"/>
      <c r="H30" s="14"/>
      <c r="I30" s="15"/>
      <c r="J30" s="15"/>
      <c r="K30" s="16"/>
      <c r="L30" s="1345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2.75" x14ac:dyDescent="0.2">
      <c r="A31" s="17"/>
      <c r="B31" s="18"/>
      <c r="C31" s="18"/>
      <c r="D31" s="18"/>
      <c r="E31" s="18"/>
      <c r="F31" s="18"/>
      <c r="G31" s="19"/>
      <c r="H31" s="19"/>
      <c r="I31" s="20"/>
      <c r="J31" s="20"/>
      <c r="K31" s="21"/>
      <c r="L31" s="1346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2.75" x14ac:dyDescent="0.2">
      <c r="A32" s="17"/>
      <c r="B32" s="18"/>
      <c r="C32" s="18"/>
      <c r="D32" s="18"/>
      <c r="E32" s="18"/>
      <c r="F32" s="18"/>
      <c r="G32" s="19"/>
      <c r="H32" s="19"/>
      <c r="I32" s="20"/>
      <c r="J32" s="20"/>
      <c r="K32" s="21"/>
      <c r="L32" s="1346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2.75" x14ac:dyDescent="0.2">
      <c r="A33" s="17"/>
      <c r="B33" s="18"/>
      <c r="C33" s="18"/>
      <c r="D33" s="18"/>
      <c r="E33" s="18"/>
      <c r="F33" s="18"/>
      <c r="G33" s="19"/>
      <c r="H33" s="19"/>
      <c r="I33" s="20"/>
      <c r="J33" s="20"/>
      <c r="K33" s="21"/>
      <c r="L33" s="1346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2.75" x14ac:dyDescent="0.2">
      <c r="A34" s="17"/>
      <c r="B34" s="18"/>
      <c r="C34" s="18"/>
      <c r="D34" s="18"/>
      <c r="E34" s="18"/>
      <c r="F34" s="18"/>
      <c r="G34" s="19"/>
      <c r="H34" s="19"/>
      <c r="I34" s="20"/>
      <c r="J34" s="20"/>
      <c r="K34" s="21"/>
      <c r="L34" s="1346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2.75" x14ac:dyDescent="0.2">
      <c r="A35" s="17"/>
      <c r="B35" s="18"/>
      <c r="C35" s="18"/>
      <c r="D35" s="18"/>
      <c r="E35" s="18"/>
      <c r="F35" s="18"/>
      <c r="G35" s="19"/>
      <c r="H35" s="19"/>
      <c r="I35" s="20"/>
      <c r="J35" s="20"/>
      <c r="K35" s="21"/>
      <c r="L35" s="1346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2.75" x14ac:dyDescent="0.2">
      <c r="A36" s="17"/>
      <c r="B36" s="18"/>
      <c r="C36" s="18"/>
      <c r="D36" s="18"/>
      <c r="E36" s="18"/>
      <c r="F36" s="18"/>
      <c r="G36" s="19"/>
      <c r="H36" s="19"/>
      <c r="I36" s="20"/>
      <c r="J36" s="20"/>
      <c r="K36" s="21"/>
      <c r="L36" s="1346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2.75" x14ac:dyDescent="0.2">
      <c r="A37" s="17"/>
      <c r="B37" s="18"/>
      <c r="C37" s="18"/>
      <c r="D37" s="18"/>
      <c r="E37" s="18"/>
      <c r="F37" s="18"/>
      <c r="G37" s="19"/>
      <c r="H37" s="19"/>
      <c r="I37" s="20"/>
      <c r="J37" s="20"/>
      <c r="K37" s="21"/>
      <c r="L37" s="1346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2.75" x14ac:dyDescent="0.2">
      <c r="A38" s="17"/>
      <c r="B38" s="18"/>
      <c r="C38" s="18"/>
      <c r="D38" s="18"/>
      <c r="E38" s="18"/>
      <c r="F38" s="18"/>
      <c r="G38" s="19"/>
      <c r="H38" s="19"/>
      <c r="I38" s="20"/>
      <c r="J38" s="20"/>
      <c r="K38" s="21"/>
      <c r="L38" s="1346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2.75" x14ac:dyDescent="0.2">
      <c r="A39" s="13"/>
      <c r="B39" s="22"/>
      <c r="C39" s="22"/>
      <c r="D39" s="22"/>
      <c r="E39" s="22"/>
      <c r="F39" s="22"/>
      <c r="G39" s="14"/>
      <c r="H39" s="14"/>
      <c r="I39" s="15"/>
      <c r="J39" s="15"/>
      <c r="K39" s="16"/>
      <c r="L39" s="1345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9.5" x14ac:dyDescent="0.3">
      <c r="A40" s="55" t="s">
        <v>25</v>
      </c>
      <c r="B40" s="56"/>
      <c r="C40" s="56"/>
      <c r="D40" s="56"/>
      <c r="E40" s="56"/>
      <c r="F40" s="56"/>
      <c r="G40" s="57"/>
      <c r="H40" s="57"/>
      <c r="I40" s="58"/>
      <c r="J40" s="58"/>
      <c r="K40" s="59"/>
      <c r="L40" s="1361">
        <f t="shared" ref="L40:N40" ca="1" si="16">L44+L59+L72+L94+L125+L139+L157+L173+L186+L266+L282+L303+L320+L333+L356</f>
        <v>2187380</v>
      </c>
      <c r="M40" s="1362">
        <f t="shared" ca="1" si="16"/>
        <v>2075037</v>
      </c>
      <c r="N40" s="1362">
        <f t="shared" ca="1" si="16"/>
        <v>1194290.96</v>
      </c>
      <c r="O40" s="1362">
        <f ca="1">IF(L40&gt;0,N40*100/L40,0)</f>
        <v>54.599153324982396</v>
      </c>
      <c r="P40" s="1362">
        <f ca="1">IF(M40&gt;0,N40*100/M40,0)</f>
        <v>57.555164558511485</v>
      </c>
      <c r="Q40" s="59"/>
      <c r="R40" s="59"/>
      <c r="S40" s="59"/>
      <c r="T40" s="59"/>
      <c r="U40" s="59"/>
    </row>
    <row r="41" spans="1:21" ht="19.5" x14ac:dyDescent="0.3">
      <c r="A41" s="60" t="s">
        <v>26</v>
      </c>
      <c r="B41" s="61"/>
      <c r="C41" s="61"/>
      <c r="D41" s="61"/>
      <c r="E41" s="61"/>
      <c r="F41" s="61"/>
      <c r="G41" s="61"/>
      <c r="H41" s="61"/>
      <c r="I41" s="62"/>
      <c r="J41" s="62"/>
      <c r="K41" s="63"/>
      <c r="L41" s="63"/>
      <c r="M41" s="63"/>
      <c r="N41" s="63"/>
      <c r="O41" s="63"/>
      <c r="P41" s="64"/>
      <c r="Q41" s="63"/>
      <c r="R41" s="63"/>
      <c r="S41" s="63"/>
      <c r="T41" s="63"/>
      <c r="U41" s="64"/>
    </row>
    <row r="42" spans="1:21" ht="19.5" x14ac:dyDescent="0.3">
      <c r="A42" s="65"/>
      <c r="B42" s="66" t="s">
        <v>27</v>
      </c>
      <c r="C42" s="65"/>
      <c r="D42" s="65"/>
      <c r="E42" s="65"/>
      <c r="F42" s="65"/>
      <c r="G42" s="67"/>
      <c r="H42" s="67"/>
      <c r="I42" s="68"/>
      <c r="J42" s="68"/>
      <c r="K42" s="69"/>
      <c r="L42" s="1363"/>
      <c r="M42" s="69"/>
      <c r="N42" s="69"/>
      <c r="O42" s="69"/>
      <c r="P42" s="69"/>
      <c r="Q42" s="69"/>
      <c r="R42" s="69"/>
      <c r="S42" s="69"/>
      <c r="T42" s="69"/>
      <c r="U42" s="69"/>
    </row>
    <row r="43" spans="1:21" ht="12.75" x14ac:dyDescent="0.2">
      <c r="A43" s="17"/>
      <c r="B43" s="18"/>
      <c r="C43" s="18"/>
      <c r="D43" s="18"/>
      <c r="E43" s="18"/>
      <c r="F43" s="18"/>
      <c r="G43" s="19"/>
      <c r="H43" s="19"/>
      <c r="I43" s="20"/>
      <c r="J43" s="20"/>
      <c r="K43" s="21"/>
      <c r="L43" s="1346"/>
      <c r="M43" s="21"/>
      <c r="N43" s="21"/>
      <c r="O43" s="21"/>
      <c r="P43" s="21"/>
      <c r="Q43" s="21"/>
      <c r="R43" s="21"/>
      <c r="S43" s="21"/>
      <c r="T43" s="21"/>
      <c r="U43" s="21"/>
    </row>
    <row r="44" spans="1:21" ht="19.5" x14ac:dyDescent="0.3">
      <c r="A44" s="70"/>
      <c r="B44" s="71"/>
      <c r="C44" s="72" t="s">
        <v>18</v>
      </c>
      <c r="D44" s="1364" t="s">
        <v>19</v>
      </c>
      <c r="E44" s="71"/>
      <c r="F44" s="71"/>
      <c r="G44" s="74"/>
      <c r="H44" s="75" t="s">
        <v>14</v>
      </c>
      <c r="I44" s="76"/>
      <c r="J44" s="76"/>
      <c r="K44" s="77"/>
      <c r="L44" s="1365">
        <f t="shared" ref="L44:N44" ca="1" si="17">L45+L46</f>
        <v>199500</v>
      </c>
      <c r="M44" s="1366">
        <f t="shared" ca="1" si="17"/>
        <v>200752</v>
      </c>
      <c r="N44" s="1366">
        <f t="shared" ca="1" si="17"/>
        <v>101897</v>
      </c>
      <c r="O44" s="1366">
        <f t="shared" ref="O44:O52" ca="1" si="18">IF(L44&gt;0,N44*100/L44,0)</f>
        <v>51.076190476190476</v>
      </c>
      <c r="P44" s="1366">
        <f t="shared" ref="P44:P52" ca="1" si="19">IF(M44&gt;0,N44*100/M44,0)</f>
        <v>50.757651231370048</v>
      </c>
      <c r="Q44" s="1366">
        <f t="shared" ref="Q44:S44" si="20">Q45+Q46</f>
        <v>0</v>
      </c>
      <c r="R44" s="1366">
        <f t="shared" si="20"/>
        <v>0</v>
      </c>
      <c r="S44" s="1366">
        <f t="shared" si="20"/>
        <v>0</v>
      </c>
      <c r="T44" s="1366">
        <f t="shared" ref="T44:T52" si="21">IF(Q44&gt;0,S44*100/Q44,0)</f>
        <v>0</v>
      </c>
      <c r="U44" s="1366">
        <f t="shared" ref="U44:U52" si="22">IF(R44&gt;0,S44*100/R44,0)</f>
        <v>0</v>
      </c>
    </row>
    <row r="45" spans="1:21" ht="18.75" x14ac:dyDescent="0.25">
      <c r="A45" s="70"/>
      <c r="B45" s="71"/>
      <c r="C45" s="71"/>
      <c r="D45" s="71"/>
      <c r="E45" s="1367" t="s">
        <v>20</v>
      </c>
      <c r="F45" s="71"/>
      <c r="G45" s="74"/>
      <c r="H45" s="1368" t="s">
        <v>14</v>
      </c>
      <c r="I45" s="76"/>
      <c r="J45" s="76"/>
      <c r="K45" s="77"/>
      <c r="L45" s="1369">
        <f t="shared" ref="L45:N46" si="23">L48+L51</f>
        <v>0</v>
      </c>
      <c r="M45" s="1370">
        <f t="shared" si="23"/>
        <v>0</v>
      </c>
      <c r="N45" s="1370">
        <f t="shared" si="23"/>
        <v>0</v>
      </c>
      <c r="O45" s="1370">
        <f t="shared" si="18"/>
        <v>0</v>
      </c>
      <c r="P45" s="1370">
        <f t="shared" si="19"/>
        <v>0</v>
      </c>
      <c r="Q45" s="1370">
        <f t="shared" ref="Q45:S46" si="24">Q48+Q51</f>
        <v>0</v>
      </c>
      <c r="R45" s="1370">
        <f t="shared" si="24"/>
        <v>0</v>
      </c>
      <c r="S45" s="1370">
        <f t="shared" si="24"/>
        <v>0</v>
      </c>
      <c r="T45" s="1370">
        <f t="shared" si="21"/>
        <v>0</v>
      </c>
      <c r="U45" s="1370">
        <f t="shared" si="22"/>
        <v>0</v>
      </c>
    </row>
    <row r="46" spans="1:21" ht="18.75" x14ac:dyDescent="0.25">
      <c r="A46" s="70"/>
      <c r="B46" s="71"/>
      <c r="C46" s="71"/>
      <c r="D46" s="71"/>
      <c r="E46" s="79" t="s">
        <v>21</v>
      </c>
      <c r="F46" s="71"/>
      <c r="G46" s="74"/>
      <c r="H46" s="80" t="s">
        <v>14</v>
      </c>
      <c r="I46" s="76"/>
      <c r="J46" s="76"/>
      <c r="K46" s="77"/>
      <c r="L46" s="1371">
        <f t="shared" ca="1" si="23"/>
        <v>199500</v>
      </c>
      <c r="M46" s="1372">
        <f t="shared" ca="1" si="23"/>
        <v>200752</v>
      </c>
      <c r="N46" s="1372">
        <f t="shared" ca="1" si="23"/>
        <v>101897</v>
      </c>
      <c r="O46" s="1372">
        <f t="shared" ca="1" si="18"/>
        <v>51.076190476190476</v>
      </c>
      <c r="P46" s="1372">
        <f t="shared" ca="1" si="19"/>
        <v>50.757651231370048</v>
      </c>
      <c r="Q46" s="1372">
        <f t="shared" si="24"/>
        <v>0</v>
      </c>
      <c r="R46" s="1372">
        <f t="shared" si="24"/>
        <v>0</v>
      </c>
      <c r="S46" s="1372">
        <f t="shared" si="24"/>
        <v>0</v>
      </c>
      <c r="T46" s="1372">
        <f t="shared" si="21"/>
        <v>0</v>
      </c>
      <c r="U46" s="1372">
        <f t="shared" si="22"/>
        <v>0</v>
      </c>
    </row>
    <row r="47" spans="1:21" ht="18.75" x14ac:dyDescent="0.25">
      <c r="A47" s="39"/>
      <c r="B47" s="40"/>
      <c r="C47" s="40"/>
      <c r="D47" s="41" t="s">
        <v>22</v>
      </c>
      <c r="E47" s="40"/>
      <c r="F47" s="40"/>
      <c r="G47" s="42"/>
      <c r="H47" s="43" t="s">
        <v>14</v>
      </c>
      <c r="I47" s="44"/>
      <c r="J47" s="44"/>
      <c r="K47" s="45"/>
      <c r="L47" s="1356">
        <f t="shared" ref="L47:N47" ca="1" si="25">L48+L49</f>
        <v>199500</v>
      </c>
      <c r="M47" s="224">
        <f t="shared" ca="1" si="25"/>
        <v>200752</v>
      </c>
      <c r="N47" s="224">
        <f t="shared" ca="1" si="25"/>
        <v>101897</v>
      </c>
      <c r="O47" s="224">
        <f t="shared" ca="1" si="18"/>
        <v>51.076190476190476</v>
      </c>
      <c r="P47" s="224">
        <f t="shared" ca="1" si="19"/>
        <v>50.757651231370048</v>
      </c>
      <c r="Q47" s="224">
        <f t="shared" ref="Q47:S47" si="26">Q48+Q49</f>
        <v>0</v>
      </c>
      <c r="R47" s="224">
        <f t="shared" si="26"/>
        <v>0</v>
      </c>
      <c r="S47" s="224">
        <f t="shared" si="26"/>
        <v>0</v>
      </c>
      <c r="T47" s="224">
        <f t="shared" si="21"/>
        <v>0</v>
      </c>
      <c r="U47" s="224">
        <f t="shared" si="22"/>
        <v>0</v>
      </c>
    </row>
    <row r="48" spans="1:21" ht="18.75" x14ac:dyDescent="0.25">
      <c r="A48" s="39"/>
      <c r="B48" s="40"/>
      <c r="C48" s="40"/>
      <c r="D48" s="40"/>
      <c r="E48" s="156" t="s">
        <v>20</v>
      </c>
      <c r="F48" s="40"/>
      <c r="G48" s="42"/>
      <c r="H48" s="1357" t="s">
        <v>14</v>
      </c>
      <c r="I48" s="44"/>
      <c r="J48" s="44"/>
      <c r="K48" s="45"/>
      <c r="L48" s="1358">
        <v>0</v>
      </c>
      <c r="M48" s="83">
        <v>0</v>
      </c>
      <c r="N48" s="83">
        <v>0</v>
      </c>
      <c r="O48" s="83">
        <f t="shared" si="18"/>
        <v>0</v>
      </c>
      <c r="P48" s="83">
        <f t="shared" si="19"/>
        <v>0</v>
      </c>
      <c r="Q48" s="83">
        <v>0</v>
      </c>
      <c r="R48" s="83">
        <v>0</v>
      </c>
      <c r="S48" s="83">
        <v>0</v>
      </c>
      <c r="T48" s="83">
        <f t="shared" si="21"/>
        <v>0</v>
      </c>
      <c r="U48" s="83">
        <f t="shared" si="22"/>
        <v>0</v>
      </c>
    </row>
    <row r="49" spans="1:21" ht="18.75" x14ac:dyDescent="0.25">
      <c r="A49" s="39"/>
      <c r="B49" s="40"/>
      <c r="C49" s="40"/>
      <c r="D49" s="40"/>
      <c r="E49" s="47" t="s">
        <v>21</v>
      </c>
      <c r="F49" s="40"/>
      <c r="G49" s="42"/>
      <c r="H49" s="43" t="s">
        <v>14</v>
      </c>
      <c r="I49" s="44"/>
      <c r="J49" s="44"/>
      <c r="K49" s="45"/>
      <c r="L49" s="1356">
        <f ca="1">IFERROR(__xludf.DUMMYFUNCTION("IMPORTRANGE(""https://docs.google.com/spreadsheets/d/1-uDff_7J0KD5mKrp0Vvzr7lt3OU09vwQwhkpOPPYv2Y/edit?usp=sharing"",""งบพรบ!P25"")"),199500)</f>
        <v>199500</v>
      </c>
      <c r="M49" s="224">
        <f ca="1">IFERROR(__xludf.DUMMYFUNCTION("IMPORTRANGE(""https://docs.google.com/spreadsheets/d/1-uDff_7J0KD5mKrp0Vvzr7lt3OU09vwQwhkpOPPYv2Y/edit?usp=sharing"",""งบพรบ!V25"")"),200752)</f>
        <v>200752</v>
      </c>
      <c r="N49" s="224">
        <f ca="1">IFERROR(__xludf.DUMMYFUNCTION("IMPORTRANGE(""https://docs.google.com/spreadsheets/d/1-uDff_7J0KD5mKrp0Vvzr7lt3OU09vwQwhkpOPPYv2Y/edit?usp=sharing"",""งบพรบ!Y25"")"),101897)</f>
        <v>101897</v>
      </c>
      <c r="O49" s="224">
        <f t="shared" ca="1" si="18"/>
        <v>51.076190476190476</v>
      </c>
      <c r="P49" s="224">
        <f t="shared" ca="1" si="19"/>
        <v>50.757651231370048</v>
      </c>
      <c r="Q49" s="224">
        <v>0</v>
      </c>
      <c r="R49" s="224">
        <v>0</v>
      </c>
      <c r="S49" s="224">
        <v>0</v>
      </c>
      <c r="T49" s="224">
        <f t="shared" si="21"/>
        <v>0</v>
      </c>
      <c r="U49" s="224">
        <f t="shared" si="22"/>
        <v>0</v>
      </c>
    </row>
    <row r="50" spans="1:21" ht="18.75" x14ac:dyDescent="0.25">
      <c r="A50" s="39"/>
      <c r="B50" s="40"/>
      <c r="C50" s="40"/>
      <c r="D50" s="41" t="s">
        <v>23</v>
      </c>
      <c r="E50" s="40"/>
      <c r="F50" s="40"/>
      <c r="G50" s="42"/>
      <c r="H50" s="43" t="s">
        <v>14</v>
      </c>
      <c r="I50" s="44"/>
      <c r="J50" s="44"/>
      <c r="K50" s="45"/>
      <c r="L50" s="1356">
        <f t="shared" ref="L50:N50" ca="1" si="27">L51+L52</f>
        <v>0</v>
      </c>
      <c r="M50" s="224">
        <f t="shared" ca="1" si="27"/>
        <v>0</v>
      </c>
      <c r="N50" s="224">
        <f t="shared" ca="1" si="27"/>
        <v>0</v>
      </c>
      <c r="O50" s="224">
        <f t="shared" ca="1" si="18"/>
        <v>0</v>
      </c>
      <c r="P50" s="224">
        <f t="shared" ca="1" si="19"/>
        <v>0</v>
      </c>
      <c r="Q50" s="224">
        <f t="shared" ref="Q50:S50" si="28">Q51+Q52</f>
        <v>0</v>
      </c>
      <c r="R50" s="224">
        <f t="shared" si="28"/>
        <v>0</v>
      </c>
      <c r="S50" s="224">
        <f t="shared" si="28"/>
        <v>0</v>
      </c>
      <c r="T50" s="224">
        <f t="shared" si="21"/>
        <v>0</v>
      </c>
      <c r="U50" s="224">
        <f t="shared" si="22"/>
        <v>0</v>
      </c>
    </row>
    <row r="51" spans="1:21" ht="18.75" x14ac:dyDescent="0.25">
      <c r="A51" s="39"/>
      <c r="B51" s="40"/>
      <c r="C51" s="40"/>
      <c r="D51" s="40"/>
      <c r="E51" s="156" t="s">
        <v>20</v>
      </c>
      <c r="F51" s="40"/>
      <c r="G51" s="42"/>
      <c r="H51" s="1357" t="s">
        <v>14</v>
      </c>
      <c r="I51" s="44"/>
      <c r="J51" s="44"/>
      <c r="K51" s="45"/>
      <c r="L51" s="1358">
        <v>0</v>
      </c>
      <c r="M51" s="83">
        <v>0</v>
      </c>
      <c r="N51" s="83">
        <v>0</v>
      </c>
      <c r="O51" s="83">
        <f t="shared" si="18"/>
        <v>0</v>
      </c>
      <c r="P51" s="83">
        <f t="shared" si="19"/>
        <v>0</v>
      </c>
      <c r="Q51" s="83">
        <v>0</v>
      </c>
      <c r="R51" s="83">
        <v>0</v>
      </c>
      <c r="S51" s="83">
        <v>0</v>
      </c>
      <c r="T51" s="83">
        <f t="shared" si="21"/>
        <v>0</v>
      </c>
      <c r="U51" s="83">
        <f t="shared" si="22"/>
        <v>0</v>
      </c>
    </row>
    <row r="52" spans="1:21" ht="18.75" x14ac:dyDescent="0.25">
      <c r="A52" s="39"/>
      <c r="B52" s="40"/>
      <c r="C52" s="40"/>
      <c r="D52" s="40"/>
      <c r="E52" s="47" t="s">
        <v>21</v>
      </c>
      <c r="F52" s="40"/>
      <c r="G52" s="42"/>
      <c r="H52" s="43" t="s">
        <v>14</v>
      </c>
      <c r="I52" s="44"/>
      <c r="J52" s="44"/>
      <c r="K52" s="45"/>
      <c r="L52" s="1356">
        <f ca="1">IFERROR(__xludf.DUMMYFUNCTION("IMPORTRANGE(""https://docs.google.com/spreadsheets/d/1-uDff_7J0KD5mKrp0Vvzr7lt3OU09vwQwhkpOPPYv2Y/edit?usp=sharing"",""งบพรบ!S25"")"),0)</f>
        <v>0</v>
      </c>
      <c r="M52" s="224">
        <f ca="1">IFERROR(__xludf.DUMMYFUNCTION("IMPORTRANGE(""https://docs.google.com/spreadsheets/d/1-uDff_7J0KD5mKrp0Vvzr7lt3OU09vwQwhkpOPPYv2Y/edit?usp=sharing"",""งบพรบ!W25"")"),0)</f>
        <v>0</v>
      </c>
      <c r="N52" s="224">
        <f ca="1">IFERROR(__xludf.DUMMYFUNCTION("IMPORTRANGE(""https://docs.google.com/spreadsheets/d/1-uDff_7J0KD5mKrp0Vvzr7lt3OU09vwQwhkpOPPYv2Y/edit?usp=sharing"",""งบพรบ!Z25"")"),0)</f>
        <v>0</v>
      </c>
      <c r="O52" s="224">
        <f t="shared" ca="1" si="18"/>
        <v>0</v>
      </c>
      <c r="P52" s="224">
        <f t="shared" ca="1" si="19"/>
        <v>0</v>
      </c>
      <c r="Q52" s="224">
        <v>0</v>
      </c>
      <c r="R52" s="224">
        <v>0</v>
      </c>
      <c r="S52" s="224">
        <v>0</v>
      </c>
      <c r="T52" s="224">
        <f t="shared" si="21"/>
        <v>0</v>
      </c>
      <c r="U52" s="224">
        <f t="shared" si="22"/>
        <v>0</v>
      </c>
    </row>
    <row r="53" spans="1:21" ht="18.75" x14ac:dyDescent="0.25">
      <c r="A53" s="39"/>
      <c r="B53" s="40"/>
      <c r="C53" s="40"/>
      <c r="D53" s="41" t="s">
        <v>24</v>
      </c>
      <c r="E53" s="40"/>
      <c r="F53" s="40"/>
      <c r="G53" s="42"/>
      <c r="H53" s="43" t="s">
        <v>14</v>
      </c>
      <c r="I53" s="44"/>
      <c r="J53" s="44"/>
      <c r="K53" s="45"/>
      <c r="L53" s="1359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18.75" x14ac:dyDescent="0.25">
      <c r="A54" s="39"/>
      <c r="B54" s="40"/>
      <c r="C54" s="40"/>
      <c r="D54" s="40"/>
      <c r="E54" s="156" t="s">
        <v>20</v>
      </c>
      <c r="F54" s="40"/>
      <c r="G54" s="42"/>
      <c r="H54" s="1357" t="s">
        <v>14</v>
      </c>
      <c r="I54" s="44"/>
      <c r="J54" s="44"/>
      <c r="K54" s="45"/>
      <c r="L54" s="1359"/>
      <c r="M54" s="45"/>
      <c r="N54" s="45"/>
      <c r="O54" s="45"/>
      <c r="P54" s="45"/>
      <c r="Q54" s="45"/>
      <c r="R54" s="45"/>
      <c r="S54" s="45"/>
      <c r="T54" s="45"/>
      <c r="U54" s="45"/>
    </row>
    <row r="55" spans="1:21" ht="18.75" x14ac:dyDescent="0.25">
      <c r="A55" s="50"/>
      <c r="B55" s="1"/>
      <c r="C55" s="1"/>
      <c r="D55" s="1"/>
      <c r="E55" s="51" t="s">
        <v>21</v>
      </c>
      <c r="F55" s="1"/>
      <c r="G55" s="52"/>
      <c r="H55" s="53" t="s">
        <v>14</v>
      </c>
      <c r="I55" s="54"/>
      <c r="J55" s="54"/>
      <c r="K55" s="3"/>
      <c r="L55" s="1360"/>
      <c r="M55" s="3"/>
      <c r="N55" s="3"/>
      <c r="O55" s="3"/>
      <c r="P55" s="3"/>
      <c r="Q55" s="3"/>
      <c r="R55" s="3"/>
      <c r="S55" s="3"/>
      <c r="T55" s="3"/>
      <c r="U55" s="3"/>
    </row>
    <row r="56" spans="1:21" ht="19.5" x14ac:dyDescent="0.3">
      <c r="A56" s="1296" t="s">
        <v>28</v>
      </c>
      <c r="B56" s="1292"/>
      <c r="C56" s="1292"/>
      <c r="D56" s="1292"/>
      <c r="E56" s="1292"/>
      <c r="F56" s="1292"/>
      <c r="G56" s="1293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1297" t="s">
        <v>29</v>
      </c>
      <c r="C57" s="1285"/>
      <c r="D57" s="1285"/>
      <c r="E57" s="1285"/>
      <c r="F57" s="1285"/>
      <c r="G57" s="1286"/>
      <c r="H57" s="89"/>
      <c r="I57" s="90"/>
      <c r="J57" s="90"/>
      <c r="K57" s="91"/>
      <c r="L57" s="137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1374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1375" t="s">
        <v>19</v>
      </c>
      <c r="E59" s="99"/>
      <c r="F59" s="99"/>
      <c r="G59" s="102"/>
      <c r="H59" s="103" t="s">
        <v>14</v>
      </c>
      <c r="I59" s="104"/>
      <c r="J59" s="104"/>
      <c r="K59" s="105"/>
      <c r="L59" s="1376">
        <f t="shared" ref="L59:N59" ca="1" si="29">L60+L61</f>
        <v>720100</v>
      </c>
      <c r="M59" s="1377">
        <f t="shared" ca="1" si="29"/>
        <v>720100</v>
      </c>
      <c r="N59" s="1377">
        <f t="shared" ca="1" si="29"/>
        <v>437451</v>
      </c>
      <c r="O59" s="1377">
        <f t="shared" ref="O59:O67" ca="1" si="30">IF(L59&gt;0,N59*100/L59,0)</f>
        <v>60.748646021385916</v>
      </c>
      <c r="P59" s="1377">
        <f t="shared" ref="P59:P67" ca="1" si="31">IF(M59&gt;0,N59*100/M59,0)</f>
        <v>60.748646021385916</v>
      </c>
      <c r="Q59" s="1377">
        <f t="shared" ref="Q59:S59" si="32">Q60+Q61</f>
        <v>0</v>
      </c>
      <c r="R59" s="1377">
        <f t="shared" si="32"/>
        <v>0</v>
      </c>
      <c r="S59" s="1377">
        <f t="shared" si="32"/>
        <v>0</v>
      </c>
      <c r="T59" s="1377">
        <f t="shared" ref="T59:T67" si="33">IF(Q59&gt;0,S59*100/Q59,0)</f>
        <v>0</v>
      </c>
      <c r="U59" s="1377">
        <f t="shared" ref="U59:U67" si="34">IF(R59&gt;0,S59*100/R59,0)</f>
        <v>0</v>
      </c>
    </row>
    <row r="60" spans="1:21" ht="18.75" x14ac:dyDescent="0.25">
      <c r="A60" s="98"/>
      <c r="B60" s="99"/>
      <c r="C60" s="99"/>
      <c r="D60" s="99"/>
      <c r="E60" s="1378" t="s">
        <v>20</v>
      </c>
      <c r="F60" s="99"/>
      <c r="G60" s="102"/>
      <c r="H60" s="1379" t="s">
        <v>14</v>
      </c>
      <c r="I60" s="104"/>
      <c r="J60" s="104"/>
      <c r="K60" s="105"/>
      <c r="L60" s="1380">
        <f t="shared" ref="L60:N61" si="35">L63+L66</f>
        <v>0</v>
      </c>
      <c r="M60" s="1381">
        <f t="shared" si="35"/>
        <v>0</v>
      </c>
      <c r="N60" s="1381">
        <f t="shared" si="35"/>
        <v>0</v>
      </c>
      <c r="O60" s="1381">
        <f t="shared" si="30"/>
        <v>0</v>
      </c>
      <c r="P60" s="1381">
        <f t="shared" si="31"/>
        <v>0</v>
      </c>
      <c r="Q60" s="1381">
        <f t="shared" ref="Q60:S61" si="36">Q63+Q66</f>
        <v>0</v>
      </c>
      <c r="R60" s="1381">
        <f t="shared" si="36"/>
        <v>0</v>
      </c>
      <c r="S60" s="1381">
        <f t="shared" si="36"/>
        <v>0</v>
      </c>
      <c r="T60" s="1381">
        <f t="shared" si="33"/>
        <v>0</v>
      </c>
      <c r="U60" s="1381">
        <f t="shared" si="34"/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1382">
        <f t="shared" ca="1" si="35"/>
        <v>720100</v>
      </c>
      <c r="M61" s="1383">
        <f t="shared" ca="1" si="35"/>
        <v>720100</v>
      </c>
      <c r="N61" s="1383">
        <f t="shared" ca="1" si="35"/>
        <v>437451</v>
      </c>
      <c r="O61" s="1383">
        <f t="shared" ca="1" si="30"/>
        <v>60.748646021385916</v>
      </c>
      <c r="P61" s="1383">
        <f t="shared" ca="1" si="31"/>
        <v>60.748646021385916</v>
      </c>
      <c r="Q61" s="1383">
        <f t="shared" si="36"/>
        <v>0</v>
      </c>
      <c r="R61" s="1383">
        <f t="shared" si="36"/>
        <v>0</v>
      </c>
      <c r="S61" s="1383">
        <f t="shared" si="36"/>
        <v>0</v>
      </c>
      <c r="T61" s="1383">
        <f t="shared" si="33"/>
        <v>0</v>
      </c>
      <c r="U61" s="1383">
        <f t="shared" si="34"/>
        <v>0</v>
      </c>
    </row>
    <row r="62" spans="1:21" ht="18.75" x14ac:dyDescent="0.25">
      <c r="A62" s="39"/>
      <c r="B62" s="40"/>
      <c r="C62" s="40"/>
      <c r="D62" s="41" t="s">
        <v>22</v>
      </c>
      <c r="E62" s="40"/>
      <c r="F62" s="40"/>
      <c r="G62" s="42"/>
      <c r="H62" s="43" t="s">
        <v>14</v>
      </c>
      <c r="I62" s="44"/>
      <c r="J62" s="44"/>
      <c r="K62" s="45"/>
      <c r="L62" s="1356">
        <f t="shared" ref="L62:N62" ca="1" si="37">L63+L64</f>
        <v>680700</v>
      </c>
      <c r="M62" s="224">
        <f t="shared" ca="1" si="37"/>
        <v>680700</v>
      </c>
      <c r="N62" s="224">
        <f t="shared" ca="1" si="37"/>
        <v>399451</v>
      </c>
      <c r="O62" s="224">
        <f t="shared" ca="1" si="30"/>
        <v>58.682385779344791</v>
      </c>
      <c r="P62" s="224">
        <f t="shared" ca="1" si="31"/>
        <v>58.682385779344791</v>
      </c>
      <c r="Q62" s="224">
        <f t="shared" ref="Q62:S62" si="38">Q63+Q64</f>
        <v>0</v>
      </c>
      <c r="R62" s="224">
        <f t="shared" si="38"/>
        <v>0</v>
      </c>
      <c r="S62" s="224">
        <f t="shared" si="38"/>
        <v>0</v>
      </c>
      <c r="T62" s="224">
        <f t="shared" si="33"/>
        <v>0</v>
      </c>
      <c r="U62" s="224">
        <f t="shared" si="34"/>
        <v>0</v>
      </c>
    </row>
    <row r="63" spans="1:21" ht="18.75" x14ac:dyDescent="0.25">
      <c r="A63" s="39"/>
      <c r="B63" s="40"/>
      <c r="C63" s="40"/>
      <c r="D63" s="40"/>
      <c r="E63" s="156" t="s">
        <v>20</v>
      </c>
      <c r="F63" s="40"/>
      <c r="G63" s="42"/>
      <c r="H63" s="1357" t="s">
        <v>14</v>
      </c>
      <c r="I63" s="44"/>
      <c r="J63" s="44"/>
      <c r="K63" s="45"/>
      <c r="L63" s="1358">
        <v>0</v>
      </c>
      <c r="M63" s="83">
        <v>0</v>
      </c>
      <c r="N63" s="83">
        <v>0</v>
      </c>
      <c r="O63" s="83">
        <f t="shared" si="30"/>
        <v>0</v>
      </c>
      <c r="P63" s="83">
        <f t="shared" si="31"/>
        <v>0</v>
      </c>
      <c r="Q63" s="83">
        <v>0</v>
      </c>
      <c r="R63" s="83">
        <v>0</v>
      </c>
      <c r="S63" s="83">
        <v>0</v>
      </c>
      <c r="T63" s="83">
        <f t="shared" si="33"/>
        <v>0</v>
      </c>
      <c r="U63" s="83">
        <f t="shared" si="34"/>
        <v>0</v>
      </c>
    </row>
    <row r="64" spans="1:21" ht="18.75" x14ac:dyDescent="0.25">
      <c r="A64" s="39"/>
      <c r="B64" s="40"/>
      <c r="C64" s="40"/>
      <c r="D64" s="40"/>
      <c r="E64" s="47" t="s">
        <v>21</v>
      </c>
      <c r="F64" s="40"/>
      <c r="G64" s="42"/>
      <c r="H64" s="43" t="s">
        <v>14</v>
      </c>
      <c r="I64" s="44"/>
      <c r="J64" s="44"/>
      <c r="K64" s="45"/>
      <c r="L64" s="1356">
        <f ca="1">IFERROR(__xludf.DUMMYFUNCTION("IMPORTRANGE(""https://docs.google.com/spreadsheets/d/1-uDff_7J0KD5mKrp0Vvzr7lt3OU09vwQwhkpOPPYv2Y/edit?usp=sharing"",""งบพรบ!AC25"")"),680700)</f>
        <v>680700</v>
      </c>
      <c r="M64" s="224">
        <f ca="1">IFERROR(__xludf.DUMMYFUNCTION("IMPORTRANGE(""https://docs.google.com/spreadsheets/d/1-uDff_7J0KD5mKrp0Vvzr7lt3OU09vwQwhkpOPPYv2Y/edit?usp=sharing"",""งบพรบ!AH25"")"),680700)</f>
        <v>680700</v>
      </c>
      <c r="N64" s="224">
        <f ca="1">IFERROR(__xludf.DUMMYFUNCTION("IMPORTRANGE(""https://docs.google.com/spreadsheets/d/1-uDff_7J0KD5mKrp0Vvzr7lt3OU09vwQwhkpOPPYv2Y/edit?usp=sharing"",""งบพรบ!AJ25"")"),399451)</f>
        <v>399451</v>
      </c>
      <c r="O64" s="224">
        <f t="shared" ca="1" si="30"/>
        <v>58.682385779344791</v>
      </c>
      <c r="P64" s="224">
        <f t="shared" ca="1" si="31"/>
        <v>58.682385779344791</v>
      </c>
      <c r="Q64" s="224">
        <v>0</v>
      </c>
      <c r="R64" s="224">
        <v>0</v>
      </c>
      <c r="S64" s="224">
        <v>0</v>
      </c>
      <c r="T64" s="224">
        <f t="shared" si="33"/>
        <v>0</v>
      </c>
      <c r="U64" s="224">
        <f t="shared" si="34"/>
        <v>0</v>
      </c>
    </row>
    <row r="65" spans="1:21" ht="18.75" x14ac:dyDescent="0.25">
      <c r="A65" s="39"/>
      <c r="B65" s="40"/>
      <c r="C65" s="40"/>
      <c r="D65" s="41" t="s">
        <v>23</v>
      </c>
      <c r="E65" s="40"/>
      <c r="F65" s="40"/>
      <c r="G65" s="42"/>
      <c r="H65" s="43" t="s">
        <v>14</v>
      </c>
      <c r="I65" s="44"/>
      <c r="J65" s="44"/>
      <c r="K65" s="45"/>
      <c r="L65" s="1356">
        <f t="shared" ref="L65:N65" ca="1" si="39">L66+L67</f>
        <v>39400</v>
      </c>
      <c r="M65" s="224">
        <f t="shared" ca="1" si="39"/>
        <v>39400</v>
      </c>
      <c r="N65" s="224">
        <f t="shared" ca="1" si="39"/>
        <v>38000</v>
      </c>
      <c r="O65" s="224">
        <f t="shared" ca="1" si="30"/>
        <v>96.44670050761421</v>
      </c>
      <c r="P65" s="224">
        <f t="shared" ca="1" si="31"/>
        <v>96.44670050761421</v>
      </c>
      <c r="Q65" s="224">
        <f t="shared" ref="Q65:S65" si="40">Q66+Q67</f>
        <v>0</v>
      </c>
      <c r="R65" s="224">
        <f t="shared" si="40"/>
        <v>0</v>
      </c>
      <c r="S65" s="224">
        <f t="shared" si="40"/>
        <v>0</v>
      </c>
      <c r="T65" s="224">
        <f t="shared" si="33"/>
        <v>0</v>
      </c>
      <c r="U65" s="224">
        <f t="shared" si="34"/>
        <v>0</v>
      </c>
    </row>
    <row r="66" spans="1:21" ht="18.75" x14ac:dyDescent="0.25">
      <c r="A66" s="39"/>
      <c r="B66" s="40"/>
      <c r="C66" s="40"/>
      <c r="D66" s="40"/>
      <c r="E66" s="156" t="s">
        <v>20</v>
      </c>
      <c r="F66" s="40"/>
      <c r="G66" s="42"/>
      <c r="H66" s="1357" t="s">
        <v>14</v>
      </c>
      <c r="I66" s="44"/>
      <c r="J66" s="44"/>
      <c r="K66" s="45"/>
      <c r="L66" s="1358">
        <v>0</v>
      </c>
      <c r="M66" s="83">
        <v>0</v>
      </c>
      <c r="N66" s="83">
        <v>0</v>
      </c>
      <c r="O66" s="83">
        <f t="shared" si="30"/>
        <v>0</v>
      </c>
      <c r="P66" s="83">
        <f t="shared" si="31"/>
        <v>0</v>
      </c>
      <c r="Q66" s="83">
        <v>0</v>
      </c>
      <c r="R66" s="83">
        <v>0</v>
      </c>
      <c r="S66" s="83">
        <v>0</v>
      </c>
      <c r="T66" s="83">
        <f t="shared" si="33"/>
        <v>0</v>
      </c>
      <c r="U66" s="83">
        <f t="shared" si="34"/>
        <v>0</v>
      </c>
    </row>
    <row r="67" spans="1:21" ht="18.75" x14ac:dyDescent="0.25">
      <c r="A67" s="50"/>
      <c r="B67" s="1"/>
      <c r="C67" s="1"/>
      <c r="D67" s="1"/>
      <c r="E67" s="51" t="s">
        <v>21</v>
      </c>
      <c r="F67" s="1"/>
      <c r="G67" s="52"/>
      <c r="H67" s="53" t="s">
        <v>14</v>
      </c>
      <c r="I67" s="54"/>
      <c r="J67" s="54"/>
      <c r="K67" s="3"/>
      <c r="L67" s="1384">
        <f ca="1">IFERROR(__xludf.DUMMYFUNCTION("IMPORTRANGE(""https://docs.google.com/spreadsheets/d/1-uDff_7J0KD5mKrp0Vvzr7lt3OU09vwQwhkpOPPYv2Y/edit?usp=sharing"",""งบพรบ!AF25"")"),39400)</f>
        <v>39400</v>
      </c>
      <c r="M67" s="448">
        <f ca="1">IFERROR(__xludf.DUMMYFUNCTION("IMPORTRANGE(""https://docs.google.com/spreadsheets/d/1-uDff_7J0KD5mKrp0Vvzr7lt3OU09vwQwhkpOPPYv2Y/edit?usp=sharing"",""งบพรบ!AI25"")"),39400)</f>
        <v>39400</v>
      </c>
      <c r="N67" s="448">
        <f ca="1">IFERROR(__xludf.DUMMYFUNCTION("IMPORTRANGE(""https://docs.google.com/spreadsheets/d/1-uDff_7J0KD5mKrp0Vvzr7lt3OU09vwQwhkpOPPYv2Y/edit?usp=sharing"",""งบพรบ!AK25"")"),38000)</f>
        <v>38000</v>
      </c>
      <c r="O67" s="448">
        <f t="shared" ca="1" si="30"/>
        <v>96.44670050761421</v>
      </c>
      <c r="P67" s="448">
        <f t="shared" ca="1" si="31"/>
        <v>96.44670050761421</v>
      </c>
      <c r="Q67" s="448">
        <v>0</v>
      </c>
      <c r="R67" s="448">
        <v>0</v>
      </c>
      <c r="S67" s="448">
        <v>0</v>
      </c>
      <c r="T67" s="448">
        <f t="shared" si="33"/>
        <v>0</v>
      </c>
      <c r="U67" s="448">
        <f t="shared" si="34"/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1385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8" t="s">
        <v>33</v>
      </c>
      <c r="C70" s="27"/>
      <c r="D70" s="125"/>
      <c r="E70" s="27"/>
      <c r="F70" s="27"/>
      <c r="G70" s="30"/>
      <c r="H70" s="126" t="s">
        <v>34</v>
      </c>
      <c r="I70" s="1386">
        <f t="shared" ref="I70:J71" ca="1" si="41">I82</f>
        <v>0</v>
      </c>
      <c r="J70" s="1386">
        <f t="shared" si="41"/>
        <v>0</v>
      </c>
      <c r="K70" s="1349">
        <f t="shared" ref="K70:K71" ca="1" si="42">IF(I70&gt;0,J70*100/I70,0)</f>
        <v>0</v>
      </c>
      <c r="L70" s="1387"/>
      <c r="M70" s="33"/>
      <c r="N70" s="33"/>
      <c r="O70" s="33"/>
      <c r="P70" s="33"/>
      <c r="Q70" s="33"/>
      <c r="R70" s="33"/>
      <c r="S70" s="33"/>
      <c r="T70" s="33"/>
      <c r="U70" s="33"/>
    </row>
    <row r="71" spans="1:21" ht="19.5" x14ac:dyDescent="0.3">
      <c r="A71" s="124"/>
      <c r="B71" s="27"/>
      <c r="C71" s="27"/>
      <c r="D71" s="125"/>
      <c r="E71" s="27"/>
      <c r="F71" s="27"/>
      <c r="G71" s="30"/>
      <c r="H71" s="126" t="s">
        <v>35</v>
      </c>
      <c r="I71" s="1386">
        <f t="shared" ca="1" si="41"/>
        <v>0</v>
      </c>
      <c r="J71" s="1386">
        <f t="shared" si="41"/>
        <v>0</v>
      </c>
      <c r="K71" s="1349">
        <f t="shared" ca="1" si="42"/>
        <v>0</v>
      </c>
      <c r="L71" s="1387"/>
      <c r="M71" s="33"/>
      <c r="N71" s="33"/>
      <c r="O71" s="33"/>
      <c r="P71" s="33"/>
      <c r="Q71" s="33"/>
      <c r="R71" s="33"/>
      <c r="S71" s="33"/>
      <c r="T71" s="33"/>
      <c r="U71" s="33"/>
    </row>
    <row r="72" spans="1:21" ht="19.5" x14ac:dyDescent="0.3">
      <c r="A72" s="128"/>
      <c r="B72" s="40"/>
      <c r="C72" s="129" t="s">
        <v>18</v>
      </c>
      <c r="D72" s="1388" t="s">
        <v>19</v>
      </c>
      <c r="E72" s="40"/>
      <c r="F72" s="40"/>
      <c r="G72" s="42"/>
      <c r="H72" s="131" t="s">
        <v>14</v>
      </c>
      <c r="I72" s="44"/>
      <c r="J72" s="44"/>
      <c r="K72" s="45"/>
      <c r="L72" s="1389">
        <f t="shared" ref="L72:N72" ca="1" si="43">L73+L74</f>
        <v>0</v>
      </c>
      <c r="M72" s="1390">
        <f t="shared" ca="1" si="43"/>
        <v>0</v>
      </c>
      <c r="N72" s="1390">
        <f t="shared" ca="1" si="43"/>
        <v>0</v>
      </c>
      <c r="O72" s="1390">
        <f t="shared" ref="O72:O80" ca="1" si="44">IF(L72&gt;0,N72*100/L72,0)</f>
        <v>0</v>
      </c>
      <c r="P72" s="1390">
        <f t="shared" ref="P72:P80" ca="1" si="45">IF(M72&gt;0,N72*100/M72,0)</f>
        <v>0</v>
      </c>
      <c r="Q72" s="1390">
        <f t="shared" ref="Q72:S72" ca="1" si="46">Q73+Q74</f>
        <v>0</v>
      </c>
      <c r="R72" s="1390">
        <f t="shared" ca="1" si="46"/>
        <v>0</v>
      </c>
      <c r="S72" s="1390">
        <f t="shared" ca="1" si="46"/>
        <v>0</v>
      </c>
      <c r="T72" s="1390">
        <f t="shared" ref="T72:T80" ca="1" si="47">IF(Q72&gt;0,S72*100/Q72,0)</f>
        <v>0</v>
      </c>
      <c r="U72" s="1390">
        <f t="shared" ref="U72:U80" ca="1" si="48">IF(R72&gt;0,S72*100/R72,0)</f>
        <v>0</v>
      </c>
    </row>
    <row r="73" spans="1:21" ht="18.75" x14ac:dyDescent="0.25">
      <c r="A73" s="128"/>
      <c r="B73" s="40"/>
      <c r="C73" s="40"/>
      <c r="D73" s="40"/>
      <c r="E73" s="156" t="s">
        <v>20</v>
      </c>
      <c r="F73" s="40"/>
      <c r="G73" s="42"/>
      <c r="H73" s="157" t="s">
        <v>14</v>
      </c>
      <c r="I73" s="44"/>
      <c r="J73" s="44"/>
      <c r="K73" s="45"/>
      <c r="L73" s="1358">
        <f t="shared" ref="L73:N74" si="49">L76+L79</f>
        <v>0</v>
      </c>
      <c r="M73" s="83">
        <f t="shared" si="49"/>
        <v>0</v>
      </c>
      <c r="N73" s="83">
        <f t="shared" si="49"/>
        <v>0</v>
      </c>
      <c r="O73" s="83">
        <f t="shared" si="44"/>
        <v>0</v>
      </c>
      <c r="P73" s="83">
        <f t="shared" si="45"/>
        <v>0</v>
      </c>
      <c r="Q73" s="83">
        <f t="shared" ref="Q73:S74" si="50">Q76+Q79</f>
        <v>0</v>
      </c>
      <c r="R73" s="83">
        <f t="shared" si="50"/>
        <v>0</v>
      </c>
      <c r="S73" s="83">
        <f t="shared" si="50"/>
        <v>0</v>
      </c>
      <c r="T73" s="83">
        <f t="shared" si="47"/>
        <v>0</v>
      </c>
      <c r="U73" s="83">
        <f t="shared" si="48"/>
        <v>0</v>
      </c>
    </row>
    <row r="74" spans="1:21" ht="18.75" x14ac:dyDescent="0.25">
      <c r="A74" s="128"/>
      <c r="B74" s="40"/>
      <c r="C74" s="40"/>
      <c r="D74" s="40"/>
      <c r="E74" s="47" t="s">
        <v>21</v>
      </c>
      <c r="F74" s="40"/>
      <c r="G74" s="42"/>
      <c r="H74" s="133" t="s">
        <v>14</v>
      </c>
      <c r="I74" s="44"/>
      <c r="J74" s="44"/>
      <c r="K74" s="45"/>
      <c r="L74" s="1356">
        <f t="shared" ca="1" si="49"/>
        <v>0</v>
      </c>
      <c r="M74" s="224">
        <f t="shared" ca="1" si="49"/>
        <v>0</v>
      </c>
      <c r="N74" s="224">
        <f t="shared" ca="1" si="49"/>
        <v>0</v>
      </c>
      <c r="O74" s="224">
        <f t="shared" ca="1" si="44"/>
        <v>0</v>
      </c>
      <c r="P74" s="224">
        <f t="shared" ca="1" si="45"/>
        <v>0</v>
      </c>
      <c r="Q74" s="224">
        <f t="shared" ca="1" si="50"/>
        <v>0</v>
      </c>
      <c r="R74" s="224">
        <f t="shared" ca="1" si="50"/>
        <v>0</v>
      </c>
      <c r="S74" s="224">
        <f t="shared" ca="1" si="50"/>
        <v>0</v>
      </c>
      <c r="T74" s="224">
        <f t="shared" ca="1" si="47"/>
        <v>0</v>
      </c>
      <c r="U74" s="224">
        <f t="shared" ca="1" si="48"/>
        <v>0</v>
      </c>
    </row>
    <row r="75" spans="1:21" ht="18.75" x14ac:dyDescent="0.25">
      <c r="A75" s="128"/>
      <c r="B75" s="40"/>
      <c r="C75" s="40"/>
      <c r="D75" s="41" t="s">
        <v>22</v>
      </c>
      <c r="E75" s="40"/>
      <c r="F75" s="40"/>
      <c r="G75" s="42"/>
      <c r="H75" s="134" t="s">
        <v>14</v>
      </c>
      <c r="I75" s="135"/>
      <c r="J75" s="135"/>
      <c r="K75" s="136"/>
      <c r="L75" s="1356">
        <f t="shared" ref="L75:N75" ca="1" si="51">L76+L77</f>
        <v>0</v>
      </c>
      <c r="M75" s="224">
        <f t="shared" ca="1" si="51"/>
        <v>0</v>
      </c>
      <c r="N75" s="224">
        <f t="shared" ca="1" si="51"/>
        <v>0</v>
      </c>
      <c r="O75" s="224">
        <f t="shared" ca="1" si="44"/>
        <v>0</v>
      </c>
      <c r="P75" s="224">
        <f t="shared" ca="1" si="45"/>
        <v>0</v>
      </c>
      <c r="Q75" s="224">
        <f t="shared" ref="Q75:S75" ca="1" si="52">Q76+Q77</f>
        <v>0</v>
      </c>
      <c r="R75" s="224">
        <f t="shared" ca="1" si="52"/>
        <v>0</v>
      </c>
      <c r="S75" s="224">
        <f t="shared" ca="1" si="52"/>
        <v>0</v>
      </c>
      <c r="T75" s="224">
        <f t="shared" ca="1" si="47"/>
        <v>0</v>
      </c>
      <c r="U75" s="224">
        <f t="shared" ca="1" si="48"/>
        <v>0</v>
      </c>
    </row>
    <row r="76" spans="1:21" ht="18.75" x14ac:dyDescent="0.25">
      <c r="A76" s="128"/>
      <c r="B76" s="40"/>
      <c r="C76" s="40"/>
      <c r="D76" s="40"/>
      <c r="E76" s="156" t="s">
        <v>36</v>
      </c>
      <c r="F76" s="40"/>
      <c r="G76" s="42"/>
      <c r="H76" s="159" t="s">
        <v>14</v>
      </c>
      <c r="I76" s="135"/>
      <c r="J76" s="135"/>
      <c r="K76" s="136"/>
      <c r="L76" s="1358">
        <v>0</v>
      </c>
      <c r="M76" s="83">
        <v>0</v>
      </c>
      <c r="N76" s="83">
        <v>0</v>
      </c>
      <c r="O76" s="83">
        <f t="shared" si="44"/>
        <v>0</v>
      </c>
      <c r="P76" s="83">
        <f t="shared" si="45"/>
        <v>0</v>
      </c>
      <c r="Q76" s="83">
        <v>0</v>
      </c>
      <c r="R76" s="83">
        <v>0</v>
      </c>
      <c r="S76" s="83">
        <v>0</v>
      </c>
      <c r="T76" s="83">
        <f t="shared" si="47"/>
        <v>0</v>
      </c>
      <c r="U76" s="83">
        <f t="shared" si="48"/>
        <v>0</v>
      </c>
    </row>
    <row r="77" spans="1:21" ht="18.75" x14ac:dyDescent="0.25">
      <c r="A77" s="128"/>
      <c r="B77" s="40"/>
      <c r="C77" s="40"/>
      <c r="D77" s="40"/>
      <c r="E77" s="47" t="s">
        <v>37</v>
      </c>
      <c r="F77" s="40"/>
      <c r="G77" s="42"/>
      <c r="H77" s="134" t="s">
        <v>14</v>
      </c>
      <c r="I77" s="135"/>
      <c r="J77" s="135"/>
      <c r="K77" s="136"/>
      <c r="L77" s="1356">
        <f ca="1">IFERROR(__xludf.DUMMYFUNCTION("IMPORTRANGE(""https://docs.google.com/spreadsheets/d/1-uDff_7J0KD5mKrp0Vvzr7lt3OU09vwQwhkpOPPYv2Y/edit?usp=sharing"",""งบพรบ!AM25"")"),0)</f>
        <v>0</v>
      </c>
      <c r="M77" s="224">
        <f ca="1">IFERROR(__xludf.DUMMYFUNCTION("IMPORTRANGE(""https://docs.google.com/spreadsheets/d/1-uDff_7J0KD5mKrp0Vvzr7lt3OU09vwQwhkpOPPYv2Y/edit?usp=sharing"",""งบพรบ!AR25"")"),0)</f>
        <v>0</v>
      </c>
      <c r="N77" s="224">
        <f ca="1">IFERROR(__xludf.DUMMYFUNCTION("IMPORTRANGE(""https://docs.google.com/spreadsheets/d/1-uDff_7J0KD5mKrp0Vvzr7lt3OU09vwQwhkpOPPYv2Y/edit?usp=sharing"",""งบพรบ!AT25"")"),0)</f>
        <v>0</v>
      </c>
      <c r="O77" s="224">
        <f t="shared" ca="1" si="44"/>
        <v>0</v>
      </c>
      <c r="P77" s="224">
        <f t="shared" ca="1" si="45"/>
        <v>0</v>
      </c>
      <c r="Q77" s="224">
        <f ca="1">IFERROR(__xludf.DUMMYFUNCTION("IMPORTRANGE(""https://docs.google.com/spreadsheets/d/1ItG2mGa2ceCfYo0BwxsXqNm01IGEUdYcSSLTEv9YCik/edit?usp=sharing"",""เบิกจ่ายกองทุน!BH25"")"),0)</f>
        <v>0</v>
      </c>
      <c r="R77" s="224">
        <f ca="1">IFERROR(__xludf.DUMMYFUNCTION("IMPORTRANGE(""https://docs.google.com/spreadsheets/d/1ItG2mGa2ceCfYo0BwxsXqNm01IGEUdYcSSLTEv9YCik/edit?usp=sharing"",""เบิกจ่ายกองทุน!BI25"")"),0)</f>
        <v>0</v>
      </c>
      <c r="S77" s="224">
        <f ca="1">IFERROR(__xludf.DUMMYFUNCTION("IMPORTRANGE(""https://docs.google.com/spreadsheets/d/1ItG2mGa2ceCfYo0BwxsXqNm01IGEUdYcSSLTEv9YCik/edit?usp=sharing"",""เบิกจ่ายกองทุน!BJ25"")"),0)</f>
        <v>0</v>
      </c>
      <c r="T77" s="224">
        <f t="shared" ca="1" si="47"/>
        <v>0</v>
      </c>
      <c r="U77" s="224">
        <f t="shared" ca="1" si="48"/>
        <v>0</v>
      </c>
    </row>
    <row r="78" spans="1:21" ht="18.75" x14ac:dyDescent="0.25">
      <c r="A78" s="128"/>
      <c r="B78" s="40"/>
      <c r="C78" s="40"/>
      <c r="D78" s="41" t="s">
        <v>23</v>
      </c>
      <c r="E78" s="40"/>
      <c r="F78" s="40"/>
      <c r="G78" s="42"/>
      <c r="H78" s="137" t="s">
        <v>14</v>
      </c>
      <c r="I78" s="135"/>
      <c r="J78" s="135"/>
      <c r="K78" s="136"/>
      <c r="L78" s="1356">
        <f t="shared" ref="L78:N78" ca="1" si="53">L79+L80</f>
        <v>0</v>
      </c>
      <c r="M78" s="224">
        <f t="shared" ca="1" si="53"/>
        <v>0</v>
      </c>
      <c r="N78" s="224">
        <f t="shared" ca="1" si="53"/>
        <v>0</v>
      </c>
      <c r="O78" s="224">
        <f t="shared" ca="1" si="44"/>
        <v>0</v>
      </c>
      <c r="P78" s="224">
        <f t="shared" ca="1" si="45"/>
        <v>0</v>
      </c>
      <c r="Q78" s="224">
        <f t="shared" ref="Q78:S78" ca="1" si="54">Q79+Q80</f>
        <v>0</v>
      </c>
      <c r="R78" s="224">
        <f t="shared" ca="1" si="54"/>
        <v>0</v>
      </c>
      <c r="S78" s="224">
        <f t="shared" ca="1" si="54"/>
        <v>0</v>
      </c>
      <c r="T78" s="224">
        <f t="shared" ca="1" si="47"/>
        <v>0</v>
      </c>
      <c r="U78" s="224">
        <f t="shared" ca="1" si="48"/>
        <v>0</v>
      </c>
    </row>
    <row r="79" spans="1:21" ht="18.75" x14ac:dyDescent="0.25">
      <c r="A79" s="128"/>
      <c r="B79" s="40"/>
      <c r="C79" s="40"/>
      <c r="D79" s="40"/>
      <c r="E79" s="156" t="s">
        <v>20</v>
      </c>
      <c r="F79" s="40"/>
      <c r="G79" s="42"/>
      <c r="H79" s="159" t="s">
        <v>14</v>
      </c>
      <c r="I79" s="135"/>
      <c r="J79" s="135"/>
      <c r="K79" s="136"/>
      <c r="L79" s="1358">
        <v>0</v>
      </c>
      <c r="M79" s="224">
        <v>0</v>
      </c>
      <c r="N79" s="224">
        <v>0</v>
      </c>
      <c r="O79" s="83">
        <f t="shared" si="44"/>
        <v>0</v>
      </c>
      <c r="P79" s="83">
        <f t="shared" si="45"/>
        <v>0</v>
      </c>
      <c r="Q79" s="83">
        <v>0</v>
      </c>
      <c r="R79" s="224">
        <v>0</v>
      </c>
      <c r="S79" s="224">
        <v>0</v>
      </c>
      <c r="T79" s="83">
        <f t="shared" si="47"/>
        <v>0</v>
      </c>
      <c r="U79" s="83">
        <f t="shared" si="48"/>
        <v>0</v>
      </c>
    </row>
    <row r="80" spans="1:21" ht="18.75" x14ac:dyDescent="0.25">
      <c r="A80" s="128"/>
      <c r="B80" s="40"/>
      <c r="C80" s="40"/>
      <c r="D80" s="40"/>
      <c r="E80" s="47" t="s">
        <v>21</v>
      </c>
      <c r="F80" s="40"/>
      <c r="G80" s="42"/>
      <c r="H80" s="137" t="s">
        <v>14</v>
      </c>
      <c r="I80" s="135"/>
      <c r="J80" s="135"/>
      <c r="K80" s="136"/>
      <c r="L80" s="1356">
        <f ca="1">IFERROR(__xludf.DUMMYFUNCTION("IMPORTRANGE(""https://docs.google.com/spreadsheets/d/1-uDff_7J0KD5mKrp0Vvzr7lt3OU09vwQwhkpOPPYv2Y/edit?usp=sharing"",""งบพรบ!AP25"")"),0)</f>
        <v>0</v>
      </c>
      <c r="M80" s="224">
        <f ca="1">IFERROR(__xludf.DUMMYFUNCTION("IMPORTRANGE(""https://docs.google.com/spreadsheets/d/1-uDff_7J0KD5mKrp0Vvzr7lt3OU09vwQwhkpOPPYv2Y/edit?usp=sharing"",""งบพรบ!AS25"")"),0)</f>
        <v>0</v>
      </c>
      <c r="N80" s="224">
        <f ca="1">IFERROR(__xludf.DUMMYFUNCTION("IMPORTRANGE(""https://docs.google.com/spreadsheets/d/1-uDff_7J0KD5mKrp0Vvzr7lt3OU09vwQwhkpOPPYv2Y/edit?usp=sharing"",""งบพรบ!AU25"")"),0)</f>
        <v>0</v>
      </c>
      <c r="O80" s="224">
        <f t="shared" ca="1" si="44"/>
        <v>0</v>
      </c>
      <c r="P80" s="224">
        <f t="shared" ca="1" si="45"/>
        <v>0</v>
      </c>
      <c r="Q80" s="224">
        <f ca="1">IFERROR(__xludf.DUMMYFUNCTION("IMPORTRANGE(""https://docs.google.com/spreadsheets/d/1ItG2mGa2ceCfYo0BwxsXqNm01IGEUdYcSSLTEv9YCik/edit?usp=sharing"",""เบิกจ่ายกองทุน!BK25"")"),0)</f>
        <v>0</v>
      </c>
      <c r="R80" s="224">
        <f ca="1">IFERROR(__xludf.DUMMYFUNCTION("IMPORTRANGE(""https://docs.google.com/spreadsheets/d/1ItG2mGa2ceCfYo0BwxsXqNm01IGEUdYcSSLTEv9YCik/edit?usp=sharing"",""เบิกจ่ายกองทุน!BL25"")"),0)</f>
        <v>0</v>
      </c>
      <c r="S80" s="224">
        <f ca="1">IFERROR(__xludf.DUMMYFUNCTION("IMPORTRANGE(""https://docs.google.com/spreadsheets/d/1ItG2mGa2ceCfYo0BwxsXqNm01IGEUdYcSSLTEv9YCik/edit?usp=sharing"",""เบิกจ่ายกองทุน!BM25"")"),0)</f>
        <v>0</v>
      </c>
      <c r="T80" s="224">
        <f t="shared" ca="1" si="47"/>
        <v>0</v>
      </c>
      <c r="U80" s="224">
        <f t="shared" ca="1" si="48"/>
        <v>0</v>
      </c>
    </row>
    <row r="81" spans="1:21" ht="19.5" x14ac:dyDescent="0.3">
      <c r="A81" s="138"/>
      <c r="B81" s="139"/>
      <c r="C81" s="129" t="s">
        <v>18</v>
      </c>
      <c r="D81" s="1391" t="s">
        <v>38</v>
      </c>
      <c r="E81" s="141"/>
      <c r="F81" s="141"/>
      <c r="G81" s="142"/>
      <c r="H81" s="143"/>
      <c r="I81" s="135"/>
      <c r="J81" s="135"/>
      <c r="K81" s="136"/>
      <c r="L81" s="1392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328">
        <f t="shared" ref="I82:J83" ca="1" si="55">I84+I86+I88</f>
        <v>0</v>
      </c>
      <c r="J82" s="328">
        <f t="shared" si="55"/>
        <v>0</v>
      </c>
      <c r="K82" s="1393">
        <f t="shared" ref="K82:K90" ca="1" si="56">IF(I82&gt;0,J82*100/I82,0)</f>
        <v>0</v>
      </c>
      <c r="L82" s="1392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328">
        <f t="shared" ca="1" si="55"/>
        <v>0</v>
      </c>
      <c r="J83" s="328">
        <f t="shared" si="55"/>
        <v>0</v>
      </c>
      <c r="K83" s="1393">
        <f t="shared" ca="1" si="56"/>
        <v>0</v>
      </c>
      <c r="L83" s="1392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394">
        <f ca="1">IFERROR(__xludf.DUMMYFUNCTION("IMPORTRANGE(""https://docs.google.com/spreadsheets/d/1eHaY18a8A9IcSdp1K8H6x8fbOy06t2VsZHhMHf-1x7Y/edit?usp=sharing"",""แผน!H25"")"),0)</f>
        <v>0</v>
      </c>
      <c r="J84" s="1395">
        <v>0</v>
      </c>
      <c r="K84" s="1396">
        <f t="shared" ca="1" si="56"/>
        <v>0</v>
      </c>
      <c r="L84" s="1392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394">
        <f ca="1">IFERROR(__xludf.DUMMYFUNCTION("IMPORTRANGE(""https://docs.google.com/spreadsheets/d/1eHaY18a8A9IcSdp1K8H6x8fbOy06t2VsZHhMHf-1x7Y/edit?usp=sharing"",""แผน!I25"")"),0)</f>
        <v>0</v>
      </c>
      <c r="J85" s="1395">
        <v>0</v>
      </c>
      <c r="K85" s="1396">
        <f t="shared" ca="1" si="56"/>
        <v>0</v>
      </c>
      <c r="L85" s="1392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394">
        <f ca="1">IFERROR(__xludf.DUMMYFUNCTION("IMPORTRANGE(""https://docs.google.com/spreadsheets/d/1eHaY18a8A9IcSdp1K8H6x8fbOy06t2VsZHhMHf-1x7Y/edit?usp=sharing"",""แผน!F25"")"),0)</f>
        <v>0</v>
      </c>
      <c r="J86" s="1395">
        <v>0</v>
      </c>
      <c r="K86" s="1396">
        <f t="shared" ca="1" si="56"/>
        <v>0</v>
      </c>
      <c r="L86" s="1392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394">
        <f ca="1">IFERROR(__xludf.DUMMYFUNCTION("IMPORTRANGE(""https://docs.google.com/spreadsheets/d/1eHaY18a8A9IcSdp1K8H6x8fbOy06t2VsZHhMHf-1x7Y/edit?usp=sharing"",""แผน!G25"")"),0)</f>
        <v>0</v>
      </c>
      <c r="J87" s="1395">
        <v>0</v>
      </c>
      <c r="K87" s="1396">
        <f t="shared" ca="1" si="56"/>
        <v>0</v>
      </c>
      <c r="L87" s="1392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394">
        <f ca="1">IFERROR(__xludf.DUMMYFUNCTION("IMPORTRANGE(""https://docs.google.com/spreadsheets/d/1eHaY18a8A9IcSdp1K8H6x8fbOy06t2VsZHhMHf-1x7Y/edit?usp=sharing"",""แผน!D25"")"),0)</f>
        <v>0</v>
      </c>
      <c r="J88" s="1395">
        <v>0</v>
      </c>
      <c r="K88" s="1396">
        <f t="shared" ca="1" si="56"/>
        <v>0</v>
      </c>
      <c r="L88" s="1392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394">
        <f ca="1">IFERROR(__xludf.DUMMYFUNCTION("IMPORTRANGE(""https://docs.google.com/spreadsheets/d/1eHaY18a8A9IcSdp1K8H6x8fbOy06t2VsZHhMHf-1x7Y/edit?usp=sharing"",""แผน!E25"")"),0)</f>
        <v>0</v>
      </c>
      <c r="J89" s="1395">
        <v>0</v>
      </c>
      <c r="K89" s="1396">
        <f t="shared" ca="1" si="56"/>
        <v>0</v>
      </c>
      <c r="L89" s="1392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3" t="s">
        <v>34</v>
      </c>
      <c r="I90" s="1394">
        <f ca="1">IFERROR(__xludf.DUMMYFUNCTION("IMPORTRANGE(""https://docs.google.com/spreadsheets/d/1eHaY18a8A9IcSdp1K8H6x8fbOy06t2VsZHhMHf-1x7Y/edit?usp=sharing"",""แผน!J25"")"),0)</f>
        <v>0</v>
      </c>
      <c r="J90" s="1395">
        <v>0</v>
      </c>
      <c r="K90" s="1396">
        <f t="shared" ca="1" si="56"/>
        <v>0</v>
      </c>
      <c r="L90" s="1392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1385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8" t="s">
        <v>45</v>
      </c>
      <c r="C92" s="27"/>
      <c r="D92" s="125"/>
      <c r="E92" s="27"/>
      <c r="F92" s="27"/>
      <c r="G92" s="30"/>
      <c r="H92" s="126" t="s">
        <v>46</v>
      </c>
      <c r="I92" s="1386">
        <f t="shared" ref="I92:J93" ca="1" si="57">I108</f>
        <v>60</v>
      </c>
      <c r="J92" s="1386">
        <f t="shared" si="57"/>
        <v>0</v>
      </c>
      <c r="K92" s="1349">
        <f t="shared" ref="K92:K93" ca="1" si="58">IF(I92&gt;0,J92*100/I92,0)</f>
        <v>0</v>
      </c>
      <c r="L92" s="1387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19.5" x14ac:dyDescent="0.3">
      <c r="A93" s="124"/>
      <c r="B93" s="27"/>
      <c r="C93" s="27"/>
      <c r="D93" s="125"/>
      <c r="E93" s="27"/>
      <c r="F93" s="27"/>
      <c r="G93" s="30"/>
      <c r="H93" s="126" t="s">
        <v>35</v>
      </c>
      <c r="I93" s="1386">
        <f t="shared" ca="1" si="57"/>
        <v>20</v>
      </c>
      <c r="J93" s="1386">
        <f t="shared" si="57"/>
        <v>0</v>
      </c>
      <c r="K93" s="1349">
        <f t="shared" ca="1" si="58"/>
        <v>0</v>
      </c>
      <c r="L93" s="1387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19.5" x14ac:dyDescent="0.3">
      <c r="A94" s="128"/>
      <c r="B94" s="40"/>
      <c r="C94" s="129" t="s">
        <v>18</v>
      </c>
      <c r="D94" s="1388" t="s">
        <v>19</v>
      </c>
      <c r="E94" s="40"/>
      <c r="F94" s="40"/>
      <c r="G94" s="42"/>
      <c r="H94" s="131" t="s">
        <v>14</v>
      </c>
      <c r="I94" s="44"/>
      <c r="J94" s="44"/>
      <c r="K94" s="45"/>
      <c r="L94" s="1389">
        <f t="shared" ref="L94:N94" ca="1" si="59">L95+L96</f>
        <v>0</v>
      </c>
      <c r="M94" s="1390">
        <f t="shared" ca="1" si="59"/>
        <v>0</v>
      </c>
      <c r="N94" s="1390">
        <f t="shared" ca="1" si="59"/>
        <v>0</v>
      </c>
      <c r="O94" s="1390">
        <f t="shared" ref="O94:O102" ca="1" si="60">IF(L94&gt;0,N94*100/L94,0)</f>
        <v>0</v>
      </c>
      <c r="P94" s="1390">
        <f t="shared" ref="P94:P102" ca="1" si="61">IF(M94&gt;0,N94*100/M94,0)</f>
        <v>0</v>
      </c>
      <c r="Q94" s="1390">
        <f t="shared" ref="Q94:S94" ca="1" si="62">Q95+Q96</f>
        <v>170160</v>
      </c>
      <c r="R94" s="1390">
        <f t="shared" ca="1" si="62"/>
        <v>170160</v>
      </c>
      <c r="S94" s="1390">
        <f t="shared" ca="1" si="62"/>
        <v>77540</v>
      </c>
      <c r="T94" s="1390">
        <f t="shared" ref="T94:T102" ca="1" si="63">IF(Q94&gt;0,S94*100/Q94,0)</f>
        <v>45.568876351669019</v>
      </c>
      <c r="U94" s="1390">
        <f t="shared" ref="U94:U102" ca="1" si="64">IF(R94&gt;0,S94*100/R94,0)</f>
        <v>45.568876351669019</v>
      </c>
    </row>
    <row r="95" spans="1:21" ht="18.75" x14ac:dyDescent="0.25">
      <c r="A95" s="128"/>
      <c r="B95" s="40"/>
      <c r="C95" s="40"/>
      <c r="D95" s="40"/>
      <c r="E95" s="156" t="s">
        <v>20</v>
      </c>
      <c r="F95" s="40"/>
      <c r="G95" s="42"/>
      <c r="H95" s="157" t="s">
        <v>14</v>
      </c>
      <c r="I95" s="44"/>
      <c r="J95" s="44"/>
      <c r="K95" s="45"/>
      <c r="L95" s="1358">
        <f t="shared" ref="L95:N96" si="65">L98+L101</f>
        <v>0</v>
      </c>
      <c r="M95" s="83">
        <f t="shared" si="65"/>
        <v>0</v>
      </c>
      <c r="N95" s="83">
        <f t="shared" si="65"/>
        <v>0</v>
      </c>
      <c r="O95" s="83">
        <f t="shared" si="60"/>
        <v>0</v>
      </c>
      <c r="P95" s="83">
        <f t="shared" si="61"/>
        <v>0</v>
      </c>
      <c r="Q95" s="83">
        <f t="shared" ref="Q95:S96" si="66">Q98+Q101</f>
        <v>0</v>
      </c>
      <c r="R95" s="83">
        <f t="shared" si="66"/>
        <v>0</v>
      </c>
      <c r="S95" s="83">
        <f t="shared" si="66"/>
        <v>0</v>
      </c>
      <c r="T95" s="83">
        <f t="shared" si="63"/>
        <v>0</v>
      </c>
      <c r="U95" s="83">
        <f t="shared" si="64"/>
        <v>0</v>
      </c>
    </row>
    <row r="96" spans="1:21" ht="18.75" x14ac:dyDescent="0.25">
      <c r="A96" s="128"/>
      <c r="B96" s="40"/>
      <c r="C96" s="40"/>
      <c r="D96" s="40"/>
      <c r="E96" s="47" t="s">
        <v>21</v>
      </c>
      <c r="F96" s="40"/>
      <c r="G96" s="42"/>
      <c r="H96" s="133" t="s">
        <v>14</v>
      </c>
      <c r="I96" s="44"/>
      <c r="J96" s="44"/>
      <c r="K96" s="45"/>
      <c r="L96" s="1356">
        <f t="shared" ca="1" si="65"/>
        <v>0</v>
      </c>
      <c r="M96" s="224">
        <f t="shared" ca="1" si="65"/>
        <v>0</v>
      </c>
      <c r="N96" s="224">
        <f t="shared" ca="1" si="65"/>
        <v>0</v>
      </c>
      <c r="O96" s="224">
        <f t="shared" ca="1" si="60"/>
        <v>0</v>
      </c>
      <c r="P96" s="224">
        <f t="shared" ca="1" si="61"/>
        <v>0</v>
      </c>
      <c r="Q96" s="224">
        <f t="shared" ca="1" si="66"/>
        <v>170160</v>
      </c>
      <c r="R96" s="224">
        <f t="shared" ca="1" si="66"/>
        <v>170160</v>
      </c>
      <c r="S96" s="224">
        <f t="shared" ca="1" si="66"/>
        <v>77540</v>
      </c>
      <c r="T96" s="224">
        <f t="shared" ca="1" si="63"/>
        <v>45.568876351669019</v>
      </c>
      <c r="U96" s="224">
        <f t="shared" ca="1" si="64"/>
        <v>45.568876351669019</v>
      </c>
    </row>
    <row r="97" spans="1:21" ht="18.75" x14ac:dyDescent="0.25">
      <c r="A97" s="128"/>
      <c r="B97" s="40"/>
      <c r="C97" s="40"/>
      <c r="D97" s="41" t="s">
        <v>22</v>
      </c>
      <c r="E97" s="40"/>
      <c r="F97" s="40"/>
      <c r="G97" s="42"/>
      <c r="H97" s="134" t="s">
        <v>14</v>
      </c>
      <c r="I97" s="135"/>
      <c r="J97" s="135"/>
      <c r="K97" s="136"/>
      <c r="L97" s="1356">
        <f t="shared" ref="L97:N97" ca="1" si="67">L98+L99</f>
        <v>0</v>
      </c>
      <c r="M97" s="224">
        <f t="shared" ca="1" si="67"/>
        <v>0</v>
      </c>
      <c r="N97" s="224">
        <f t="shared" ca="1" si="67"/>
        <v>0</v>
      </c>
      <c r="O97" s="224">
        <f t="shared" ca="1" si="60"/>
        <v>0</v>
      </c>
      <c r="P97" s="224">
        <f t="shared" ca="1" si="61"/>
        <v>0</v>
      </c>
      <c r="Q97" s="224">
        <f t="shared" ref="Q97:S97" ca="1" si="68">Q98+Q99</f>
        <v>170160</v>
      </c>
      <c r="R97" s="224">
        <f t="shared" ca="1" si="68"/>
        <v>170160</v>
      </c>
      <c r="S97" s="224">
        <f t="shared" ca="1" si="68"/>
        <v>77540</v>
      </c>
      <c r="T97" s="224">
        <f t="shared" ca="1" si="63"/>
        <v>45.568876351669019</v>
      </c>
      <c r="U97" s="224">
        <f t="shared" ca="1" si="64"/>
        <v>45.568876351669019</v>
      </c>
    </row>
    <row r="98" spans="1:21" ht="18.75" x14ac:dyDescent="0.25">
      <c r="A98" s="128"/>
      <c r="B98" s="40"/>
      <c r="C98" s="40"/>
      <c r="D98" s="40"/>
      <c r="E98" s="156" t="s">
        <v>36</v>
      </c>
      <c r="F98" s="40"/>
      <c r="G98" s="42"/>
      <c r="H98" s="159" t="s">
        <v>14</v>
      </c>
      <c r="I98" s="135"/>
      <c r="J98" s="135"/>
      <c r="K98" s="136"/>
      <c r="L98" s="1358">
        <v>0</v>
      </c>
      <c r="M98" s="83">
        <v>0</v>
      </c>
      <c r="N98" s="83">
        <v>0</v>
      </c>
      <c r="O98" s="83">
        <f t="shared" si="60"/>
        <v>0</v>
      </c>
      <c r="P98" s="83">
        <f t="shared" si="61"/>
        <v>0</v>
      </c>
      <c r="Q98" s="83">
        <v>0</v>
      </c>
      <c r="R98" s="83">
        <v>0</v>
      </c>
      <c r="S98" s="83">
        <v>0</v>
      </c>
      <c r="T98" s="83">
        <f t="shared" si="63"/>
        <v>0</v>
      </c>
      <c r="U98" s="83">
        <f t="shared" si="64"/>
        <v>0</v>
      </c>
    </row>
    <row r="99" spans="1:21" ht="18.75" x14ac:dyDescent="0.25">
      <c r="A99" s="128"/>
      <c r="B99" s="40"/>
      <c r="C99" s="40"/>
      <c r="D99" s="40"/>
      <c r="E99" s="47" t="s">
        <v>37</v>
      </c>
      <c r="F99" s="40"/>
      <c r="G99" s="42"/>
      <c r="H99" s="134" t="s">
        <v>14</v>
      </c>
      <c r="I99" s="135"/>
      <c r="J99" s="135"/>
      <c r="K99" s="136"/>
      <c r="L99" s="1356">
        <f ca="1">IFERROR(__xludf.DUMMYFUNCTION("IMPORTRANGE(""https://docs.google.com/spreadsheets/d/1-uDff_7J0KD5mKrp0Vvzr7lt3OU09vwQwhkpOPPYv2Y/edit?usp=sharing"",""งบพรบ!AW25"")"),0)</f>
        <v>0</v>
      </c>
      <c r="M99" s="224">
        <f ca="1">IFERROR(__xludf.DUMMYFUNCTION("IMPORTRANGE(""https://docs.google.com/spreadsheets/d/1-uDff_7J0KD5mKrp0Vvzr7lt3OU09vwQwhkpOPPYv2Y/edit?usp=sharing"",""งบพรบ!BB25"")"),0)</f>
        <v>0</v>
      </c>
      <c r="N99" s="224">
        <f ca="1">IFERROR(__xludf.DUMMYFUNCTION("IMPORTRANGE(""https://docs.google.com/spreadsheets/d/1-uDff_7J0KD5mKrp0Vvzr7lt3OU09vwQwhkpOPPYv2Y/edit?usp=sharing"",""งบพรบ!BD25"")"),0)</f>
        <v>0</v>
      </c>
      <c r="O99" s="224">
        <f t="shared" ca="1" si="60"/>
        <v>0</v>
      </c>
      <c r="P99" s="224">
        <f t="shared" ca="1" si="61"/>
        <v>0</v>
      </c>
      <c r="Q99" s="224">
        <f ca="1">IFERROR(__xludf.DUMMYFUNCTION("IMPORTRANGE(""https://docs.google.com/spreadsheets/d/1ItG2mGa2ceCfYo0BwxsXqNm01IGEUdYcSSLTEv9YCik/edit?usp=sharing"",""เบิกจ่ายกองทุน!AJ25"")"),170160)</f>
        <v>170160</v>
      </c>
      <c r="R99" s="224">
        <f ca="1">IFERROR(__xludf.DUMMYFUNCTION("IMPORTRANGE(""https://docs.google.com/spreadsheets/d/1ItG2mGa2ceCfYo0BwxsXqNm01IGEUdYcSSLTEv9YCik/edit?usp=sharing"",""เบิกจ่ายกองทุน!AK25"")"),170160)</f>
        <v>170160</v>
      </c>
      <c r="S99" s="224">
        <f ca="1">IFERROR(__xludf.DUMMYFUNCTION("IMPORTRANGE(""https://docs.google.com/spreadsheets/d/1ItG2mGa2ceCfYo0BwxsXqNm01IGEUdYcSSLTEv9YCik/edit?usp=sharing"",""เบิกจ่ายกองทุน!AL25"")"),77540)</f>
        <v>77540</v>
      </c>
      <c r="T99" s="224">
        <f t="shared" ca="1" si="63"/>
        <v>45.568876351669019</v>
      </c>
      <c r="U99" s="224">
        <f t="shared" ca="1" si="64"/>
        <v>45.568876351669019</v>
      </c>
    </row>
    <row r="100" spans="1:21" ht="18.75" x14ac:dyDescent="0.25">
      <c r="A100" s="128"/>
      <c r="B100" s="40"/>
      <c r="C100" s="40"/>
      <c r="D100" s="41" t="s">
        <v>23</v>
      </c>
      <c r="E100" s="40"/>
      <c r="F100" s="40"/>
      <c r="G100" s="42"/>
      <c r="H100" s="137" t="s">
        <v>14</v>
      </c>
      <c r="I100" s="135"/>
      <c r="J100" s="135"/>
      <c r="K100" s="136"/>
      <c r="L100" s="1356">
        <f t="shared" ref="L100:N100" ca="1" si="69">L101+L102</f>
        <v>0</v>
      </c>
      <c r="M100" s="224">
        <f t="shared" ca="1" si="69"/>
        <v>0</v>
      </c>
      <c r="N100" s="224">
        <f t="shared" ca="1" si="69"/>
        <v>0</v>
      </c>
      <c r="O100" s="224">
        <f t="shared" ca="1" si="60"/>
        <v>0</v>
      </c>
      <c r="P100" s="224">
        <f t="shared" ca="1" si="61"/>
        <v>0</v>
      </c>
      <c r="Q100" s="224">
        <f t="shared" ref="Q100:S100" si="70">Q101+Q102</f>
        <v>0</v>
      </c>
      <c r="R100" s="224">
        <f t="shared" si="70"/>
        <v>0</v>
      </c>
      <c r="S100" s="224">
        <f t="shared" si="70"/>
        <v>0</v>
      </c>
      <c r="T100" s="224">
        <f t="shared" si="63"/>
        <v>0</v>
      </c>
      <c r="U100" s="224">
        <f t="shared" si="64"/>
        <v>0</v>
      </c>
    </row>
    <row r="101" spans="1:21" ht="18.75" x14ac:dyDescent="0.25">
      <c r="A101" s="128"/>
      <c r="B101" s="40"/>
      <c r="C101" s="40"/>
      <c r="D101" s="40"/>
      <c r="E101" s="156" t="s">
        <v>20</v>
      </c>
      <c r="F101" s="40"/>
      <c r="G101" s="42"/>
      <c r="H101" s="159" t="s">
        <v>14</v>
      </c>
      <c r="I101" s="135"/>
      <c r="J101" s="135"/>
      <c r="K101" s="136"/>
      <c r="L101" s="1358">
        <v>0</v>
      </c>
      <c r="M101" s="83">
        <v>0</v>
      </c>
      <c r="N101" s="83">
        <v>0</v>
      </c>
      <c r="O101" s="83">
        <f t="shared" si="60"/>
        <v>0</v>
      </c>
      <c r="P101" s="83">
        <f t="shared" si="61"/>
        <v>0</v>
      </c>
      <c r="Q101" s="83">
        <v>0</v>
      </c>
      <c r="R101" s="83">
        <v>0</v>
      </c>
      <c r="S101" s="83">
        <v>0</v>
      </c>
      <c r="T101" s="83">
        <f t="shared" si="63"/>
        <v>0</v>
      </c>
      <c r="U101" s="83">
        <f t="shared" si="64"/>
        <v>0</v>
      </c>
    </row>
    <row r="102" spans="1:21" ht="18.75" x14ac:dyDescent="0.25">
      <c r="A102" s="128"/>
      <c r="B102" s="40"/>
      <c r="C102" s="40"/>
      <c r="D102" s="40"/>
      <c r="E102" s="47" t="s">
        <v>21</v>
      </c>
      <c r="F102" s="40"/>
      <c r="G102" s="42"/>
      <c r="H102" s="137" t="s">
        <v>14</v>
      </c>
      <c r="I102" s="135"/>
      <c r="J102" s="135"/>
      <c r="K102" s="136"/>
      <c r="L102" s="1356">
        <f ca="1">IFERROR(__xludf.DUMMYFUNCTION("IMPORTRANGE(""https://docs.google.com/spreadsheets/d/1-uDff_7J0KD5mKrp0Vvzr7lt3OU09vwQwhkpOPPYv2Y/edit?usp=sharing"",""งบพรบ!AZ25"")"),0)</f>
        <v>0</v>
      </c>
      <c r="M102" s="224">
        <f ca="1">IFERROR(__xludf.DUMMYFUNCTION("IMPORTRANGE(""https://docs.google.com/spreadsheets/d/1-uDff_7J0KD5mKrp0Vvzr7lt3OU09vwQwhkpOPPYv2Y/edit?usp=sharing"",""งบพรบ!BC25"")"),0)</f>
        <v>0</v>
      </c>
      <c r="N102" s="224">
        <f ca="1">IFERROR(__xludf.DUMMYFUNCTION("IMPORTRANGE(""https://docs.google.com/spreadsheets/d/1-uDff_7J0KD5mKrp0Vvzr7lt3OU09vwQwhkpOPPYv2Y/edit?usp=sharing"",""งบพรบ!BE25"")"),0)</f>
        <v>0</v>
      </c>
      <c r="O102" s="224">
        <f t="shared" ca="1" si="60"/>
        <v>0</v>
      </c>
      <c r="P102" s="224">
        <f t="shared" ca="1" si="61"/>
        <v>0</v>
      </c>
      <c r="Q102" s="224">
        <v>0</v>
      </c>
      <c r="R102" s="224">
        <v>0</v>
      </c>
      <c r="S102" s="224">
        <v>0</v>
      </c>
      <c r="T102" s="224">
        <f t="shared" si="63"/>
        <v>0</v>
      </c>
      <c r="U102" s="224">
        <f t="shared" si="64"/>
        <v>0</v>
      </c>
    </row>
    <row r="103" spans="1:21" ht="19.5" x14ac:dyDescent="0.3">
      <c r="A103" s="138"/>
      <c r="B103" s="139"/>
      <c r="C103" s="129" t="s">
        <v>18</v>
      </c>
      <c r="D103" s="1391" t="s">
        <v>38</v>
      </c>
      <c r="E103" s="141"/>
      <c r="F103" s="141"/>
      <c r="G103" s="142"/>
      <c r="H103" s="143"/>
      <c r="I103" s="135"/>
      <c r="J103" s="44"/>
      <c r="K103" s="45"/>
      <c r="L103" s="1359"/>
      <c r="M103" s="45"/>
      <c r="N103" s="45"/>
      <c r="O103" s="136"/>
      <c r="P103" s="136"/>
      <c r="Q103" s="45"/>
      <c r="R103" s="45"/>
      <c r="S103" s="45"/>
      <c r="T103" s="136"/>
      <c r="U103" s="136"/>
    </row>
    <row r="104" spans="1:21" ht="12.75" x14ac:dyDescent="0.2">
      <c r="A104" s="162"/>
      <c r="B104" s="163"/>
      <c r="C104" s="163"/>
      <c r="D104" s="18"/>
      <c r="E104" s="18"/>
      <c r="F104" s="18"/>
      <c r="G104" s="19"/>
      <c r="H104" s="19"/>
      <c r="I104" s="20"/>
      <c r="J104" s="20"/>
      <c r="K104" s="21"/>
      <c r="L104" s="1346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12.75" x14ac:dyDescent="0.2">
      <c r="A105" s="162"/>
      <c r="B105" s="163"/>
      <c r="C105" s="163"/>
      <c r="D105" s="18"/>
      <c r="E105" s="18"/>
      <c r="F105" s="18"/>
      <c r="G105" s="19"/>
      <c r="H105" s="19"/>
      <c r="I105" s="20"/>
      <c r="J105" s="20"/>
      <c r="K105" s="21"/>
      <c r="L105" s="1346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12.75" x14ac:dyDescent="0.2">
      <c r="A106" s="162"/>
      <c r="B106" s="163"/>
      <c r="C106" s="163"/>
      <c r="D106" s="163"/>
      <c r="E106" s="18"/>
      <c r="F106" s="18"/>
      <c r="G106" s="19"/>
      <c r="H106" s="19"/>
      <c r="I106" s="20"/>
      <c r="J106" s="20"/>
      <c r="K106" s="21"/>
      <c r="L106" s="1346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19.5" x14ac:dyDescent="0.3">
      <c r="A107" s="138"/>
      <c r="B107" s="139"/>
      <c r="C107" s="139"/>
      <c r="D107" s="164" t="s">
        <v>47</v>
      </c>
      <c r="E107" s="165"/>
      <c r="F107" s="145"/>
      <c r="G107" s="143"/>
      <c r="H107" s="42"/>
      <c r="I107" s="44"/>
      <c r="J107" s="44"/>
      <c r="K107" s="45"/>
      <c r="L107" s="1359"/>
      <c r="M107" s="45"/>
      <c r="N107" s="45"/>
      <c r="O107" s="136"/>
      <c r="P107" s="136"/>
      <c r="Q107" s="45"/>
      <c r="R107" s="45"/>
      <c r="S107" s="45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3" t="s">
        <v>46</v>
      </c>
      <c r="I108" s="184">
        <f ca="1">IFERROR(__xludf.DUMMYFUNCTION("IMPORTRANGE(""https://docs.google.com/spreadsheets/d/1eHaY18a8A9IcSdp1K8H6x8fbOy06t2VsZHhMHf-1x7Y/edit?usp=sharing"",""แผน!N25"")"),60)</f>
        <v>60</v>
      </c>
      <c r="J108" s="1395">
        <v>0</v>
      </c>
      <c r="K108" s="224">
        <f t="shared" ref="K108:K109" ca="1" si="71">IF(I108&gt;0,J108*100/I108,0)</f>
        <v>0</v>
      </c>
      <c r="L108" s="1359"/>
      <c r="M108" s="45"/>
      <c r="N108" s="45"/>
      <c r="O108" s="136"/>
      <c r="P108" s="136"/>
      <c r="Q108" s="45"/>
      <c r="R108" s="45"/>
      <c r="S108" s="45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3" t="s">
        <v>35</v>
      </c>
      <c r="I109" s="184">
        <f ca="1">IFERROR(__xludf.DUMMYFUNCTION("IMPORTRANGE(""https://docs.google.com/spreadsheets/d/1eHaY18a8A9IcSdp1K8H6x8fbOy06t2VsZHhMHf-1x7Y/edit?usp=sharing"",""แผน!O25"")"),20)</f>
        <v>20</v>
      </c>
      <c r="J109" s="1395">
        <v>0</v>
      </c>
      <c r="K109" s="224">
        <f t="shared" ca="1" si="71"/>
        <v>0</v>
      </c>
      <c r="L109" s="1359"/>
      <c r="M109" s="45"/>
      <c r="N109" s="45"/>
      <c r="O109" s="136"/>
      <c r="P109" s="136"/>
      <c r="Q109" s="45"/>
      <c r="R109" s="45"/>
      <c r="S109" s="45"/>
      <c r="T109" s="136"/>
      <c r="U109" s="136"/>
    </row>
    <row r="110" spans="1:21" ht="12.75" x14ac:dyDescent="0.2">
      <c r="A110" s="162"/>
      <c r="B110" s="163"/>
      <c r="C110" s="163"/>
      <c r="D110" s="18"/>
      <c r="E110" s="18"/>
      <c r="F110" s="18"/>
      <c r="G110" s="19"/>
      <c r="H110" s="19"/>
      <c r="I110" s="20"/>
      <c r="J110" s="20"/>
      <c r="K110" s="21"/>
      <c r="L110" s="1346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2.75" x14ac:dyDescent="0.2">
      <c r="A111" s="162"/>
      <c r="B111" s="163"/>
      <c r="C111" s="163"/>
      <c r="D111" s="18"/>
      <c r="E111" s="18"/>
      <c r="F111" s="18"/>
      <c r="G111" s="19"/>
      <c r="H111" s="19"/>
      <c r="I111" s="20"/>
      <c r="J111" s="20"/>
      <c r="K111" s="21"/>
      <c r="L111" s="1346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12.75" x14ac:dyDescent="0.2">
      <c r="A112" s="162"/>
      <c r="B112" s="163"/>
      <c r="C112" s="163"/>
      <c r="D112" s="18"/>
      <c r="E112" s="18"/>
      <c r="F112" s="18"/>
      <c r="G112" s="19"/>
      <c r="H112" s="19"/>
      <c r="I112" s="20"/>
      <c r="J112" s="20"/>
      <c r="K112" s="21"/>
      <c r="L112" s="1346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8.75" x14ac:dyDescent="0.25">
      <c r="A113" s="1397"/>
      <c r="B113" s="431"/>
      <c r="C113" s="431"/>
      <c r="D113" s="368" t="s">
        <v>50</v>
      </c>
      <c r="E113" s="433"/>
      <c r="F113" s="433"/>
      <c r="G113" s="434"/>
      <c r="H113" s="1398" t="s">
        <v>46</v>
      </c>
      <c r="I113" s="1399">
        <f ca="1">IFERROR(__xludf.DUMMYFUNCTION("IMPORTRANGE(""https://docs.google.com/spreadsheets/d/1eHaY18a8A9IcSdp1K8H6x8fbOy06t2VsZHhMHf-1x7Y/edit?usp=sharing"",""แผน!N25"")"),60)</f>
        <v>60</v>
      </c>
      <c r="J113" s="437">
        <v>0</v>
      </c>
      <c r="K113" s="372">
        <f t="shared" ref="K113:K114" ca="1" si="72">IF(I113&gt;0,J113*100/I113,0)</f>
        <v>0</v>
      </c>
      <c r="L113" s="373"/>
      <c r="M113" s="373"/>
      <c r="N113" s="373"/>
      <c r="O113" s="438"/>
      <c r="P113" s="438"/>
      <c r="Q113" s="373"/>
      <c r="R113" s="373"/>
      <c r="S113" s="373"/>
      <c r="T113" s="438"/>
      <c r="U113" s="43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394">
        <f ca="1">IFERROR(__xludf.DUMMYFUNCTION("IMPORTRANGE(""https://docs.google.com/spreadsheets/d/1eHaY18a8A9IcSdp1K8H6x8fbOy06t2VsZHhMHf-1x7Y/edit?usp=sharing"",""แผน!O25"")"),20)</f>
        <v>20</v>
      </c>
      <c r="J114" s="1395">
        <v>0</v>
      </c>
      <c r="K114" s="224">
        <f t="shared" ca="1" si="72"/>
        <v>0</v>
      </c>
      <c r="L114" s="45"/>
      <c r="M114" s="45"/>
      <c r="N114" s="45"/>
      <c r="O114" s="136"/>
      <c r="P114" s="136"/>
      <c r="Q114" s="45"/>
      <c r="R114" s="45"/>
      <c r="S114" s="45"/>
      <c r="T114" s="136"/>
      <c r="U114" s="136"/>
    </row>
    <row r="115" spans="1:21" ht="19.5" x14ac:dyDescent="0.3">
      <c r="A115" s="1400" t="s">
        <v>51</v>
      </c>
      <c r="B115" s="1401"/>
      <c r="C115" s="1402"/>
      <c r="D115" s="1403"/>
      <c r="E115" s="1403"/>
      <c r="F115" s="1403"/>
      <c r="G115" s="1403"/>
      <c r="H115" s="1401"/>
      <c r="I115" s="1404"/>
      <c r="J115" s="1404"/>
      <c r="K115" s="1405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71" t="s">
        <v>52</v>
      </c>
      <c r="C116" s="172"/>
      <c r="D116" s="125"/>
      <c r="E116" s="27"/>
      <c r="F116" s="27"/>
      <c r="G116" s="30"/>
      <c r="H116" s="173" t="s">
        <v>35</v>
      </c>
      <c r="I116" s="1386">
        <f t="shared" ref="I116:J116" ca="1" si="73">I127</f>
        <v>20</v>
      </c>
      <c r="J116" s="1386">
        <f t="shared" si="73"/>
        <v>20</v>
      </c>
      <c r="K116" s="1349">
        <f ca="1">IF(I116&gt;0,J116*100/I116,0)</f>
        <v>100</v>
      </c>
      <c r="L116" s="1387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ht="19.5" x14ac:dyDescent="0.3">
      <c r="A117" s="128"/>
      <c r="B117" s="158"/>
      <c r="C117" s="161" t="s">
        <v>18</v>
      </c>
      <c r="D117" s="1388" t="s">
        <v>19</v>
      </c>
      <c r="E117" s="40"/>
      <c r="F117" s="40"/>
      <c r="G117" s="42"/>
      <c r="H117" s="131" t="s">
        <v>14</v>
      </c>
      <c r="I117" s="44"/>
      <c r="J117" s="44"/>
      <c r="K117" s="45"/>
      <c r="L117" s="1389">
        <f t="shared" ref="L117:N117" ca="1" si="74">L118+L119</f>
        <v>0</v>
      </c>
      <c r="M117" s="1390">
        <f t="shared" ca="1" si="74"/>
        <v>0</v>
      </c>
      <c r="N117" s="1390">
        <f t="shared" ca="1" si="74"/>
        <v>0</v>
      </c>
      <c r="O117" s="1390">
        <f t="shared" ref="O117:O125" ca="1" si="75">IF(L117&gt;0,N117*100/L117,0)</f>
        <v>0</v>
      </c>
      <c r="P117" s="1390">
        <f t="shared" ref="P117:P125" ca="1" si="76">IF(M117&gt;0,N117*100/M117,0)</f>
        <v>0</v>
      </c>
      <c r="Q117" s="1390">
        <f t="shared" ref="Q117:S117" ca="1" si="77">Q118+Q119</f>
        <v>209360</v>
      </c>
      <c r="R117" s="1390">
        <f t="shared" ca="1" si="77"/>
        <v>209360</v>
      </c>
      <c r="S117" s="1390">
        <f t="shared" ca="1" si="77"/>
        <v>125520</v>
      </c>
      <c r="T117" s="1390">
        <f t="shared" ref="T117:T125" ca="1" si="78">IF(Q117&gt;0,S117*100/Q117,0)</f>
        <v>59.95414596866641</v>
      </c>
      <c r="U117" s="1390">
        <f t="shared" ref="U117:U125" ca="1" si="79">IF(R117&gt;0,S117*100/R117,0)</f>
        <v>59.95414596866641</v>
      </c>
    </row>
    <row r="118" spans="1:21" ht="18.75" x14ac:dyDescent="0.25">
      <c r="A118" s="128"/>
      <c r="B118" s="158"/>
      <c r="C118" s="158"/>
      <c r="D118" s="158"/>
      <c r="E118" s="156" t="s">
        <v>20</v>
      </c>
      <c r="F118" s="40"/>
      <c r="G118" s="42"/>
      <c r="H118" s="157" t="s">
        <v>14</v>
      </c>
      <c r="I118" s="44"/>
      <c r="J118" s="44"/>
      <c r="K118" s="45"/>
      <c r="L118" s="1358">
        <f t="shared" ref="L118:N119" si="80">L121+L124</f>
        <v>0</v>
      </c>
      <c r="M118" s="83">
        <f t="shared" si="80"/>
        <v>0</v>
      </c>
      <c r="N118" s="83">
        <f t="shared" si="80"/>
        <v>0</v>
      </c>
      <c r="O118" s="83">
        <f t="shared" si="75"/>
        <v>0</v>
      </c>
      <c r="P118" s="83">
        <f t="shared" si="76"/>
        <v>0</v>
      </c>
      <c r="Q118" s="83">
        <f t="shared" ref="Q118:S119" si="81">Q121+Q124</f>
        <v>0</v>
      </c>
      <c r="R118" s="83">
        <f t="shared" si="81"/>
        <v>0</v>
      </c>
      <c r="S118" s="83">
        <f t="shared" si="81"/>
        <v>0</v>
      </c>
      <c r="T118" s="83">
        <f t="shared" si="78"/>
        <v>0</v>
      </c>
      <c r="U118" s="83">
        <f t="shared" si="79"/>
        <v>0</v>
      </c>
    </row>
    <row r="119" spans="1:21" ht="18.75" x14ac:dyDescent="0.25">
      <c r="A119" s="128"/>
      <c r="B119" s="158"/>
      <c r="C119" s="158"/>
      <c r="D119" s="158"/>
      <c r="E119" s="47" t="s">
        <v>21</v>
      </c>
      <c r="F119" s="40"/>
      <c r="G119" s="42"/>
      <c r="H119" s="133" t="s">
        <v>14</v>
      </c>
      <c r="I119" s="44"/>
      <c r="J119" s="44"/>
      <c r="K119" s="45"/>
      <c r="L119" s="1356">
        <f t="shared" ca="1" si="80"/>
        <v>0</v>
      </c>
      <c r="M119" s="224">
        <f t="shared" ca="1" si="80"/>
        <v>0</v>
      </c>
      <c r="N119" s="224">
        <f t="shared" ca="1" si="80"/>
        <v>0</v>
      </c>
      <c r="O119" s="224">
        <f t="shared" ca="1" si="75"/>
        <v>0</v>
      </c>
      <c r="P119" s="224">
        <f t="shared" ca="1" si="76"/>
        <v>0</v>
      </c>
      <c r="Q119" s="224">
        <f t="shared" ca="1" si="81"/>
        <v>209360</v>
      </c>
      <c r="R119" s="224">
        <f t="shared" ca="1" si="81"/>
        <v>209360</v>
      </c>
      <c r="S119" s="224">
        <f t="shared" ca="1" si="81"/>
        <v>125520</v>
      </c>
      <c r="T119" s="224">
        <f t="shared" ca="1" si="78"/>
        <v>59.95414596866641</v>
      </c>
      <c r="U119" s="224">
        <f t="shared" ca="1" si="79"/>
        <v>59.95414596866641</v>
      </c>
    </row>
    <row r="120" spans="1:21" ht="18.75" x14ac:dyDescent="0.25">
      <c r="A120" s="128"/>
      <c r="B120" s="158"/>
      <c r="C120" s="174"/>
      <c r="D120" s="1406" t="s">
        <v>22</v>
      </c>
      <c r="E120" s="40"/>
      <c r="F120" s="40"/>
      <c r="G120" s="42"/>
      <c r="H120" s="175" t="s">
        <v>14</v>
      </c>
      <c r="I120" s="44"/>
      <c r="J120" s="44"/>
      <c r="K120" s="45"/>
      <c r="L120" s="1356">
        <f t="shared" ref="L120:N120" ca="1" si="82">L121+L122</f>
        <v>0</v>
      </c>
      <c r="M120" s="224">
        <f t="shared" ca="1" si="82"/>
        <v>0</v>
      </c>
      <c r="N120" s="224">
        <f t="shared" ca="1" si="82"/>
        <v>0</v>
      </c>
      <c r="O120" s="224">
        <f t="shared" ca="1" si="75"/>
        <v>0</v>
      </c>
      <c r="P120" s="224">
        <f t="shared" ca="1" si="76"/>
        <v>0</v>
      </c>
      <c r="Q120" s="224">
        <f t="shared" ref="Q120:S120" ca="1" si="83">Q121+Q122</f>
        <v>209360</v>
      </c>
      <c r="R120" s="224">
        <f t="shared" ca="1" si="83"/>
        <v>209360</v>
      </c>
      <c r="S120" s="224">
        <f t="shared" ca="1" si="83"/>
        <v>125520</v>
      </c>
      <c r="T120" s="224">
        <f t="shared" ca="1" si="78"/>
        <v>59.95414596866641</v>
      </c>
      <c r="U120" s="224">
        <f t="shared" ca="1" si="79"/>
        <v>59.95414596866641</v>
      </c>
    </row>
    <row r="121" spans="1:21" ht="18.75" x14ac:dyDescent="0.25">
      <c r="A121" s="128"/>
      <c r="B121" s="158"/>
      <c r="C121" s="174"/>
      <c r="D121" s="158"/>
      <c r="E121" s="156" t="s">
        <v>36</v>
      </c>
      <c r="F121" s="40"/>
      <c r="G121" s="42"/>
      <c r="H121" s="176" t="s">
        <v>14</v>
      </c>
      <c r="I121" s="44"/>
      <c r="J121" s="44"/>
      <c r="K121" s="45"/>
      <c r="L121" s="1358">
        <v>0</v>
      </c>
      <c r="M121" s="83">
        <v>0</v>
      </c>
      <c r="N121" s="83">
        <v>0</v>
      </c>
      <c r="O121" s="83">
        <f t="shared" si="75"/>
        <v>0</v>
      </c>
      <c r="P121" s="83">
        <f t="shared" si="76"/>
        <v>0</v>
      </c>
      <c r="Q121" s="83">
        <v>0</v>
      </c>
      <c r="R121" s="83">
        <v>0</v>
      </c>
      <c r="S121" s="83">
        <v>0</v>
      </c>
      <c r="T121" s="83">
        <f t="shared" si="78"/>
        <v>0</v>
      </c>
      <c r="U121" s="83">
        <f t="shared" si="79"/>
        <v>0</v>
      </c>
    </row>
    <row r="122" spans="1:21" ht="18.75" x14ac:dyDescent="0.25">
      <c r="A122" s="128"/>
      <c r="B122" s="158"/>
      <c r="C122" s="174"/>
      <c r="D122" s="158"/>
      <c r="E122" s="47" t="s">
        <v>37</v>
      </c>
      <c r="F122" s="40"/>
      <c r="G122" s="42"/>
      <c r="H122" s="175" t="s">
        <v>14</v>
      </c>
      <c r="I122" s="44"/>
      <c r="J122" s="44"/>
      <c r="K122" s="45"/>
      <c r="L122" s="1356">
        <f ca="1">IFERROR(__xludf.DUMMYFUNCTION("IMPORTRANGE(""https://docs.google.com/spreadsheets/d/1-uDff_7J0KD5mKrp0Vvzr7lt3OU09vwQwhkpOPPYv2Y/edit?usp=sharing"",""งบพรบ!BG25"")"),0)</f>
        <v>0</v>
      </c>
      <c r="M122" s="224">
        <f ca="1">IFERROR(__xludf.DUMMYFUNCTION("IMPORTRANGE(""https://docs.google.com/spreadsheets/d/1-uDff_7J0KD5mKrp0Vvzr7lt3OU09vwQwhkpOPPYv2Y/edit?usp=sharing"",""งบพรบ!BL25"")"),0)</f>
        <v>0</v>
      </c>
      <c r="N122" s="224">
        <f ca="1">IFERROR(__xludf.DUMMYFUNCTION("IMPORTRANGE(""https://docs.google.com/spreadsheets/d/1-uDff_7J0KD5mKrp0Vvzr7lt3OU09vwQwhkpOPPYv2Y/edit?usp=sharing"",""งบพรบ!BN25"")"),0)</f>
        <v>0</v>
      </c>
      <c r="O122" s="224">
        <f t="shared" ca="1" si="75"/>
        <v>0</v>
      </c>
      <c r="P122" s="224">
        <f t="shared" ca="1" si="76"/>
        <v>0</v>
      </c>
      <c r="Q122" s="224">
        <f ca="1">IFERROR(__xludf.DUMMYFUNCTION("IMPORTRANGE(""https://docs.google.com/spreadsheets/d/1ItG2mGa2ceCfYo0BwxsXqNm01IGEUdYcSSLTEv9YCik/edit?usp=sharing"",""เบิกจ่ายกองทุน!U25"")"),209360)</f>
        <v>209360</v>
      </c>
      <c r="R122" s="224">
        <f ca="1">IFERROR(__xludf.DUMMYFUNCTION("IMPORTRANGE(""https://docs.google.com/spreadsheets/d/1ItG2mGa2ceCfYo0BwxsXqNm01IGEUdYcSSLTEv9YCik/edit?usp=sharing"",""เบิกจ่ายกองทุน!V25"")"),209360)</f>
        <v>209360</v>
      </c>
      <c r="S122" s="224">
        <f ca="1">IFERROR(__xludf.DUMMYFUNCTION("IMPORTRANGE(""https://docs.google.com/spreadsheets/d/1ItG2mGa2ceCfYo0BwxsXqNm01IGEUdYcSSLTEv9YCik/edit?usp=sharing"",""เบิกจ่ายกองทุน!W25"")"),125520)</f>
        <v>125520</v>
      </c>
      <c r="T122" s="224">
        <f t="shared" ca="1" si="78"/>
        <v>59.95414596866641</v>
      </c>
      <c r="U122" s="224">
        <f t="shared" ca="1" si="79"/>
        <v>59.95414596866641</v>
      </c>
    </row>
    <row r="123" spans="1:21" ht="18.75" x14ac:dyDescent="0.25">
      <c r="A123" s="128"/>
      <c r="B123" s="40"/>
      <c r="C123" s="174"/>
      <c r="D123" s="1406" t="s">
        <v>23</v>
      </c>
      <c r="E123" s="40"/>
      <c r="F123" s="40"/>
      <c r="G123" s="42"/>
      <c r="H123" s="133" t="s">
        <v>14</v>
      </c>
      <c r="I123" s="44"/>
      <c r="J123" s="44"/>
      <c r="K123" s="45"/>
      <c r="L123" s="1356">
        <f t="shared" ref="L123:N123" ca="1" si="84">L124+L125</f>
        <v>0</v>
      </c>
      <c r="M123" s="224">
        <f t="shared" ca="1" si="84"/>
        <v>0</v>
      </c>
      <c r="N123" s="224">
        <f t="shared" ca="1" si="84"/>
        <v>0</v>
      </c>
      <c r="O123" s="224">
        <f t="shared" ca="1" si="75"/>
        <v>0</v>
      </c>
      <c r="P123" s="224">
        <f t="shared" ca="1" si="76"/>
        <v>0</v>
      </c>
      <c r="Q123" s="224">
        <f t="shared" ref="Q123:S123" ca="1" si="85">Q124+Q125</f>
        <v>0</v>
      </c>
      <c r="R123" s="224">
        <f t="shared" ca="1" si="85"/>
        <v>0</v>
      </c>
      <c r="S123" s="224">
        <f t="shared" ca="1" si="85"/>
        <v>0</v>
      </c>
      <c r="T123" s="224">
        <f t="shared" ca="1" si="78"/>
        <v>0</v>
      </c>
      <c r="U123" s="224">
        <f t="shared" ca="1" si="79"/>
        <v>0</v>
      </c>
    </row>
    <row r="124" spans="1:21" ht="18.75" x14ac:dyDescent="0.25">
      <c r="A124" s="128"/>
      <c r="B124" s="40"/>
      <c r="C124" s="174"/>
      <c r="D124" s="158"/>
      <c r="E124" s="156" t="s">
        <v>20</v>
      </c>
      <c r="F124" s="40"/>
      <c r="G124" s="42"/>
      <c r="H124" s="176" t="s">
        <v>14</v>
      </c>
      <c r="I124" s="44"/>
      <c r="J124" s="44"/>
      <c r="K124" s="45"/>
      <c r="L124" s="1358">
        <v>0</v>
      </c>
      <c r="M124" s="83">
        <v>0</v>
      </c>
      <c r="N124" s="83">
        <v>0</v>
      </c>
      <c r="O124" s="83">
        <f t="shared" si="75"/>
        <v>0</v>
      </c>
      <c r="P124" s="83">
        <f t="shared" si="76"/>
        <v>0</v>
      </c>
      <c r="Q124" s="83">
        <v>0</v>
      </c>
      <c r="R124" s="83">
        <v>0</v>
      </c>
      <c r="S124" s="83">
        <v>0</v>
      </c>
      <c r="T124" s="83">
        <f t="shared" si="78"/>
        <v>0</v>
      </c>
      <c r="U124" s="83">
        <f t="shared" si="79"/>
        <v>0</v>
      </c>
    </row>
    <row r="125" spans="1:21" ht="18.75" x14ac:dyDescent="0.25">
      <c r="A125" s="128"/>
      <c r="B125" s="40"/>
      <c r="C125" s="40"/>
      <c r="D125" s="40"/>
      <c r="E125" s="47" t="s">
        <v>21</v>
      </c>
      <c r="F125" s="40"/>
      <c r="G125" s="42"/>
      <c r="H125" s="133" t="s">
        <v>14</v>
      </c>
      <c r="I125" s="44"/>
      <c r="J125" s="44"/>
      <c r="K125" s="45"/>
      <c r="L125" s="1356">
        <f ca="1">IFERROR(__xludf.DUMMYFUNCTION("IMPORTRANGE(""https://docs.google.com/spreadsheets/d/1-uDff_7J0KD5mKrp0Vvzr7lt3OU09vwQwhkpOPPYv2Y/edit?usp=sharing"",""งบพรบ!BJ25"")"),0)</f>
        <v>0</v>
      </c>
      <c r="M125" s="224">
        <f ca="1">IFERROR(__xludf.DUMMYFUNCTION("IMPORTRANGE(""https://docs.google.com/spreadsheets/d/1-uDff_7J0KD5mKrp0Vvzr7lt3OU09vwQwhkpOPPYv2Y/edit?usp=sharing"",""งบพรบ!BM25"")"),0)</f>
        <v>0</v>
      </c>
      <c r="N125" s="224">
        <f ca="1">IFERROR(__xludf.DUMMYFUNCTION("IMPORTRANGE(""https://docs.google.com/spreadsheets/d/1-uDff_7J0KD5mKrp0Vvzr7lt3OU09vwQwhkpOPPYv2Y/edit?usp=sharing"",""งบพรบ!BO25"")"),0)</f>
        <v>0</v>
      </c>
      <c r="O125" s="224">
        <f t="shared" ca="1" si="75"/>
        <v>0</v>
      </c>
      <c r="P125" s="224">
        <f t="shared" ca="1" si="76"/>
        <v>0</v>
      </c>
      <c r="Q125" s="224">
        <f ca="1">IFERROR(__xludf.DUMMYFUNCTION("IMPORTRANGE(""https://docs.google.com/spreadsheets/d/1ItG2mGa2ceCfYo0BwxsXqNm01IGEUdYcSSLTEv9YCik/edit?usp=sharing"",""เบิกจ่ายกองทุน!X25"")"),0)</f>
        <v>0</v>
      </c>
      <c r="R125" s="224">
        <f ca="1">IFERROR(__xludf.DUMMYFUNCTION("IMPORTRANGE(""https://docs.google.com/spreadsheets/d/1ItG2mGa2ceCfYo0BwxsXqNm01IGEUdYcSSLTEv9YCik/edit?usp=sharing"",""เบิกจ่ายกองทุน!Y25"")"),0)</f>
        <v>0</v>
      </c>
      <c r="S125" s="224">
        <f ca="1">IFERROR(__xludf.DUMMYFUNCTION("IMPORTRANGE(""https://docs.google.com/spreadsheets/d/1ItG2mGa2ceCfYo0BwxsXqNm01IGEUdYcSSLTEv9YCik/edit?usp=sharing"",""เบิกจ่ายกองทุน!Z25"")"),0)</f>
        <v>0</v>
      </c>
      <c r="T125" s="224">
        <f t="shared" ca="1" si="78"/>
        <v>0</v>
      </c>
      <c r="U125" s="224">
        <f t="shared" ca="1" si="79"/>
        <v>0</v>
      </c>
    </row>
    <row r="126" spans="1:21" ht="19.5" x14ac:dyDescent="0.3">
      <c r="A126" s="138"/>
      <c r="B126" s="139"/>
      <c r="C126" s="177" t="s">
        <v>18</v>
      </c>
      <c r="D126" s="1391" t="s">
        <v>38</v>
      </c>
      <c r="E126" s="141"/>
      <c r="F126" s="141"/>
      <c r="G126" s="142"/>
      <c r="H126" s="178"/>
      <c r="I126" s="44"/>
      <c r="J126" s="44"/>
      <c r="K126" s="45"/>
      <c r="L126" s="1359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84">
        <f ca="1">IFERROR(__xludf.DUMMYFUNCTION("IMPORTRANGE(""https://docs.google.com/spreadsheets/d/1eHaY18a8A9IcSdp1K8H6x8fbOy06t2VsZHhMHf-1x7Y/edit?usp=sharing"",""แผน!FF25"")"),20)</f>
        <v>20</v>
      </c>
      <c r="J127" s="1395">
        <v>20</v>
      </c>
      <c r="K127" s="224">
        <f t="shared" ref="K127:K130" ca="1" si="86">IF(I127&gt;0,J127*100/I127,0)</f>
        <v>100</v>
      </c>
      <c r="L127" s="1359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84">
        <f ca="1">IFERROR(__xludf.DUMMYFUNCTION("IMPORTRANGE(""https://docs.google.com/spreadsheets/d/1eHaY18a8A9IcSdp1K8H6x8fbOy06t2VsZHhMHf-1x7Y/edit?usp=sharing"",""แผน!FG25"")"),0)</f>
        <v>0</v>
      </c>
      <c r="J128" s="1395">
        <v>1</v>
      </c>
      <c r="K128" s="224">
        <f t="shared" ca="1" si="86"/>
        <v>0</v>
      </c>
      <c r="L128" s="1359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84">
        <f ca="1">IFERROR(__xludf.DUMMYFUNCTION("IMPORTRANGE(""https://docs.google.com/spreadsheets/d/1eHaY18a8A9IcSdp1K8H6x8fbOy06t2VsZHhMHf-1x7Y/edit?usp=sharing"",""แผน!FH25"")"),20)</f>
        <v>20</v>
      </c>
      <c r="J129" s="1395">
        <v>20</v>
      </c>
      <c r="K129" s="224">
        <f t="shared" ca="1" si="86"/>
        <v>100</v>
      </c>
      <c r="L129" s="1359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84">
        <f ca="1">IFERROR(__xludf.DUMMYFUNCTION("IMPORTRANGE(""https://docs.google.com/spreadsheets/d/1eHaY18a8A9IcSdp1K8H6x8fbOy06t2VsZHhMHf-1x7Y/edit?usp=sharing"",""แผน!FI25"")"),0)</f>
        <v>0</v>
      </c>
      <c r="J130" s="1395">
        <v>1</v>
      </c>
      <c r="K130" s="224">
        <f t="shared" ca="1" si="86"/>
        <v>0</v>
      </c>
      <c r="L130" s="1359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ht="18.75" x14ac:dyDescent="0.25">
      <c r="A131" s="138"/>
      <c r="B131" s="139"/>
      <c r="C131" s="139"/>
      <c r="D131" s="179" t="s">
        <v>56</v>
      </c>
      <c r="E131" s="145"/>
      <c r="F131" s="145"/>
      <c r="G131" s="143"/>
      <c r="H131" s="157" t="s">
        <v>35</v>
      </c>
      <c r="I131" s="44"/>
      <c r="J131" s="44"/>
      <c r="K131" s="45"/>
      <c r="L131" s="1359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ht="18.75" x14ac:dyDescent="0.25">
      <c r="A132" s="138"/>
      <c r="B132" s="139"/>
      <c r="C132" s="139"/>
      <c r="D132" s="179" t="s">
        <v>57</v>
      </c>
      <c r="E132" s="145"/>
      <c r="F132" s="145"/>
      <c r="G132" s="143"/>
      <c r="H132" s="180"/>
      <c r="I132" s="44"/>
      <c r="J132" s="44"/>
      <c r="K132" s="45"/>
      <c r="L132" s="1359"/>
      <c r="M132" s="45"/>
      <c r="N132" s="45"/>
      <c r="O132" s="45"/>
      <c r="P132" s="45"/>
      <c r="Q132" s="45"/>
      <c r="R132" s="45"/>
      <c r="S132" s="45"/>
      <c r="T132" s="45"/>
      <c r="U132" s="45"/>
    </row>
    <row r="133" spans="1:21" ht="12.75" x14ac:dyDescent="0.2">
      <c r="A133" s="162"/>
      <c r="B133" s="163"/>
      <c r="C133" s="163"/>
      <c r="D133" s="18"/>
      <c r="E133" s="18"/>
      <c r="F133" s="18"/>
      <c r="G133" s="19"/>
      <c r="H133" s="181"/>
      <c r="I133" s="20"/>
      <c r="J133" s="20"/>
      <c r="K133" s="21"/>
      <c r="L133" s="1346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ht="19.5" x14ac:dyDescent="0.3">
      <c r="A134" s="118" t="s">
        <v>58</v>
      </c>
      <c r="B134" s="119"/>
      <c r="C134" s="168"/>
      <c r="D134" s="119"/>
      <c r="E134" s="119"/>
      <c r="F134" s="119"/>
      <c r="G134" s="119"/>
      <c r="H134" s="119"/>
      <c r="I134" s="169"/>
      <c r="J134" s="169"/>
      <c r="K134" s="170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8" t="s">
        <v>59</v>
      </c>
      <c r="C135" s="172"/>
      <c r="D135" s="125"/>
      <c r="E135" s="27"/>
      <c r="F135" s="27"/>
      <c r="G135" s="27"/>
      <c r="H135" s="27"/>
      <c r="I135" s="182"/>
      <c r="J135" s="32"/>
      <c r="K135" s="33"/>
      <c r="L135" s="1387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1:21" ht="19.5" x14ac:dyDescent="0.3">
      <c r="A136" s="124"/>
      <c r="B136" s="27"/>
      <c r="C136" s="183" t="s">
        <v>60</v>
      </c>
      <c r="D136" s="125"/>
      <c r="E136" s="27"/>
      <c r="F136" s="27"/>
      <c r="G136" s="30"/>
      <c r="H136" s="126" t="s">
        <v>61</v>
      </c>
      <c r="I136" s="1386">
        <f t="shared" ref="I136:J136" ca="1" si="87">I154</f>
        <v>0</v>
      </c>
      <c r="J136" s="1386">
        <f t="shared" si="87"/>
        <v>0</v>
      </c>
      <c r="K136" s="1349">
        <f t="shared" ref="K136:K138" ca="1" si="88">IF(I136&gt;0,J136*100/I136,0)</f>
        <v>0</v>
      </c>
      <c r="L136" s="1387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1:21" ht="19.5" x14ac:dyDescent="0.3">
      <c r="A137" s="124"/>
      <c r="B137" s="27"/>
      <c r="C137" s="183" t="s">
        <v>62</v>
      </c>
      <c r="D137" s="125"/>
      <c r="E137" s="27"/>
      <c r="F137" s="27"/>
      <c r="G137" s="30"/>
      <c r="H137" s="126" t="s">
        <v>35</v>
      </c>
      <c r="I137" s="1386">
        <f t="shared" ref="I137:J138" ca="1" si="89">I152</f>
        <v>0</v>
      </c>
      <c r="J137" s="1386">
        <f t="shared" si="89"/>
        <v>0</v>
      </c>
      <c r="K137" s="1349">
        <f t="shared" ca="1" si="88"/>
        <v>0</v>
      </c>
      <c r="L137" s="1387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:21" ht="19.5" x14ac:dyDescent="0.3">
      <c r="A138" s="124"/>
      <c r="B138" s="27"/>
      <c r="C138" s="172"/>
      <c r="D138" s="125"/>
      <c r="E138" s="27"/>
      <c r="F138" s="27"/>
      <c r="G138" s="30"/>
      <c r="H138" s="126" t="s">
        <v>54</v>
      </c>
      <c r="I138" s="1386">
        <f t="shared" ca="1" si="89"/>
        <v>0</v>
      </c>
      <c r="J138" s="1386">
        <f t="shared" si="89"/>
        <v>0</v>
      </c>
      <c r="K138" s="1349">
        <f t="shared" ca="1" si="88"/>
        <v>0</v>
      </c>
      <c r="L138" s="1387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1:21" ht="19.5" x14ac:dyDescent="0.3">
      <c r="A139" s="128"/>
      <c r="B139" s="40"/>
      <c r="C139" s="129" t="s">
        <v>18</v>
      </c>
      <c r="D139" s="1388" t="s">
        <v>19</v>
      </c>
      <c r="E139" s="40"/>
      <c r="F139" s="40"/>
      <c r="G139" s="42"/>
      <c r="H139" s="131" t="s">
        <v>14</v>
      </c>
      <c r="I139" s="44"/>
      <c r="J139" s="44"/>
      <c r="K139" s="45"/>
      <c r="L139" s="1389">
        <f t="shared" ref="L139:N139" ca="1" si="90">L140+L141</f>
        <v>0</v>
      </c>
      <c r="M139" s="1390">
        <f t="shared" ca="1" si="90"/>
        <v>0</v>
      </c>
      <c r="N139" s="1390">
        <f t="shared" ca="1" si="90"/>
        <v>0</v>
      </c>
      <c r="O139" s="1390">
        <f t="shared" ref="O139:O147" ca="1" si="91">IF(L139&gt;0,N139*100/L139,0)</f>
        <v>0</v>
      </c>
      <c r="P139" s="1390">
        <f t="shared" ref="P139:P147" ca="1" si="92">IF(M139&gt;0,N139*100/M139,0)</f>
        <v>0</v>
      </c>
      <c r="Q139" s="1390">
        <f t="shared" ref="Q139:S139" ca="1" si="93">Q140+Q141</f>
        <v>0</v>
      </c>
      <c r="R139" s="1390">
        <f t="shared" ca="1" si="93"/>
        <v>0</v>
      </c>
      <c r="S139" s="1390">
        <f t="shared" ca="1" si="93"/>
        <v>0</v>
      </c>
      <c r="T139" s="1390">
        <f t="shared" ref="T139:T147" ca="1" si="94">IF(Q139&gt;0,S139*100/Q139,0)</f>
        <v>0</v>
      </c>
      <c r="U139" s="1390">
        <f t="shared" ref="U139:U147" ca="1" si="95">IF(R139&gt;0,S139*100/R139,0)</f>
        <v>0</v>
      </c>
    </row>
    <row r="140" spans="1:21" ht="18.75" x14ac:dyDescent="0.25">
      <c r="A140" s="128"/>
      <c r="B140" s="40"/>
      <c r="C140" s="40"/>
      <c r="D140" s="40"/>
      <c r="E140" s="156" t="s">
        <v>20</v>
      </c>
      <c r="F140" s="40"/>
      <c r="G140" s="42"/>
      <c r="H140" s="157" t="s">
        <v>14</v>
      </c>
      <c r="I140" s="44"/>
      <c r="J140" s="44"/>
      <c r="K140" s="45"/>
      <c r="L140" s="1358">
        <f t="shared" ref="L140:N141" si="96">L143+L146</f>
        <v>0</v>
      </c>
      <c r="M140" s="83">
        <f t="shared" si="96"/>
        <v>0</v>
      </c>
      <c r="N140" s="83">
        <f t="shared" si="96"/>
        <v>0</v>
      </c>
      <c r="O140" s="83">
        <f t="shared" si="91"/>
        <v>0</v>
      </c>
      <c r="P140" s="83">
        <f t="shared" si="92"/>
        <v>0</v>
      </c>
      <c r="Q140" s="83">
        <f t="shared" ref="Q140:S141" si="97">Q143+Q146</f>
        <v>0</v>
      </c>
      <c r="R140" s="83">
        <f t="shared" si="97"/>
        <v>0</v>
      </c>
      <c r="S140" s="83">
        <f t="shared" si="97"/>
        <v>0</v>
      </c>
      <c r="T140" s="83">
        <f t="shared" si="94"/>
        <v>0</v>
      </c>
      <c r="U140" s="83">
        <f t="shared" si="95"/>
        <v>0</v>
      </c>
    </row>
    <row r="141" spans="1:21" ht="18.75" x14ac:dyDescent="0.25">
      <c r="A141" s="128"/>
      <c r="B141" s="40"/>
      <c r="C141" s="40"/>
      <c r="D141" s="40"/>
      <c r="E141" s="47" t="s">
        <v>21</v>
      </c>
      <c r="F141" s="40"/>
      <c r="G141" s="42"/>
      <c r="H141" s="133" t="s">
        <v>14</v>
      </c>
      <c r="I141" s="44"/>
      <c r="J141" s="44"/>
      <c r="K141" s="45"/>
      <c r="L141" s="1356">
        <f t="shared" ca="1" si="96"/>
        <v>0</v>
      </c>
      <c r="M141" s="224">
        <f t="shared" ca="1" si="96"/>
        <v>0</v>
      </c>
      <c r="N141" s="224">
        <f t="shared" ca="1" si="96"/>
        <v>0</v>
      </c>
      <c r="O141" s="224">
        <f t="shared" ca="1" si="91"/>
        <v>0</v>
      </c>
      <c r="P141" s="224">
        <f t="shared" ca="1" si="92"/>
        <v>0</v>
      </c>
      <c r="Q141" s="224">
        <f t="shared" ca="1" si="97"/>
        <v>0</v>
      </c>
      <c r="R141" s="224">
        <f t="shared" ca="1" si="97"/>
        <v>0</v>
      </c>
      <c r="S141" s="224">
        <f t="shared" ca="1" si="97"/>
        <v>0</v>
      </c>
      <c r="T141" s="224">
        <f t="shared" ca="1" si="94"/>
        <v>0</v>
      </c>
      <c r="U141" s="224">
        <f t="shared" ca="1" si="95"/>
        <v>0</v>
      </c>
    </row>
    <row r="142" spans="1:21" ht="18.75" x14ac:dyDescent="0.25">
      <c r="A142" s="128"/>
      <c r="B142" s="40"/>
      <c r="C142" s="40"/>
      <c r="D142" s="41" t="s">
        <v>22</v>
      </c>
      <c r="E142" s="40"/>
      <c r="F142" s="40"/>
      <c r="G142" s="42"/>
      <c r="H142" s="134" t="s">
        <v>14</v>
      </c>
      <c r="I142" s="135"/>
      <c r="J142" s="135"/>
      <c r="K142" s="136"/>
      <c r="L142" s="1356">
        <f t="shared" ref="L142:N142" ca="1" si="98">L143+L144</f>
        <v>0</v>
      </c>
      <c r="M142" s="224">
        <f t="shared" ca="1" si="98"/>
        <v>0</v>
      </c>
      <c r="N142" s="224">
        <f t="shared" ca="1" si="98"/>
        <v>0</v>
      </c>
      <c r="O142" s="224">
        <f t="shared" ca="1" si="91"/>
        <v>0</v>
      </c>
      <c r="P142" s="224">
        <f t="shared" ca="1" si="92"/>
        <v>0</v>
      </c>
      <c r="Q142" s="224">
        <f t="shared" ref="Q142:S142" ca="1" si="99">Q143+Q144</f>
        <v>0</v>
      </c>
      <c r="R142" s="224">
        <f t="shared" ca="1" si="99"/>
        <v>0</v>
      </c>
      <c r="S142" s="224">
        <f t="shared" ca="1" si="99"/>
        <v>0</v>
      </c>
      <c r="T142" s="224">
        <f t="shared" ca="1" si="94"/>
        <v>0</v>
      </c>
      <c r="U142" s="224">
        <f t="shared" ca="1" si="95"/>
        <v>0</v>
      </c>
    </row>
    <row r="143" spans="1:21" ht="18.75" x14ac:dyDescent="0.25">
      <c r="A143" s="128"/>
      <c r="B143" s="40"/>
      <c r="C143" s="40"/>
      <c r="D143" s="40"/>
      <c r="E143" s="156" t="s">
        <v>36</v>
      </c>
      <c r="F143" s="40"/>
      <c r="G143" s="42"/>
      <c r="H143" s="159" t="s">
        <v>14</v>
      </c>
      <c r="I143" s="135"/>
      <c r="J143" s="135"/>
      <c r="K143" s="136"/>
      <c r="L143" s="1358">
        <v>0</v>
      </c>
      <c r="M143" s="83">
        <v>0</v>
      </c>
      <c r="N143" s="83">
        <v>0</v>
      </c>
      <c r="O143" s="83">
        <f t="shared" si="91"/>
        <v>0</v>
      </c>
      <c r="P143" s="83">
        <f t="shared" si="92"/>
        <v>0</v>
      </c>
      <c r="Q143" s="83">
        <v>0</v>
      </c>
      <c r="R143" s="83">
        <v>0</v>
      </c>
      <c r="S143" s="83">
        <v>0</v>
      </c>
      <c r="T143" s="83">
        <f t="shared" si="94"/>
        <v>0</v>
      </c>
      <c r="U143" s="83">
        <f t="shared" si="95"/>
        <v>0</v>
      </c>
    </row>
    <row r="144" spans="1:21" ht="18.75" x14ac:dyDescent="0.25">
      <c r="A144" s="128"/>
      <c r="B144" s="40"/>
      <c r="C144" s="40"/>
      <c r="D144" s="40"/>
      <c r="E144" s="47" t="s">
        <v>37</v>
      </c>
      <c r="F144" s="40"/>
      <c r="G144" s="42"/>
      <c r="H144" s="134" t="s">
        <v>14</v>
      </c>
      <c r="I144" s="135"/>
      <c r="J144" s="135"/>
      <c r="K144" s="136"/>
      <c r="L144" s="1356">
        <f ca="1">IFERROR(__xludf.DUMMYFUNCTION("IMPORTRANGE(""https://docs.google.com/spreadsheets/d/1-uDff_7J0KD5mKrp0Vvzr7lt3OU09vwQwhkpOPPYv2Y/edit?usp=sharing"",""งบพรบ!BQ25"")"),0)</f>
        <v>0</v>
      </c>
      <c r="M144" s="224">
        <f ca="1">IFERROR(__xludf.DUMMYFUNCTION("IMPORTRANGE(""https://docs.google.com/spreadsheets/d/1-uDff_7J0KD5mKrp0Vvzr7lt3OU09vwQwhkpOPPYv2Y/edit?usp=sharing"",""งบพรบ!BV25"")"),0)</f>
        <v>0</v>
      </c>
      <c r="N144" s="224">
        <f ca="1">IFERROR(__xludf.DUMMYFUNCTION("IMPORTRANGE(""https://docs.google.com/spreadsheets/d/1-uDff_7J0KD5mKrp0Vvzr7lt3OU09vwQwhkpOPPYv2Y/edit?usp=sharing"",""งบพรบ!BX25"")"),0)</f>
        <v>0</v>
      </c>
      <c r="O144" s="224">
        <f t="shared" ca="1" si="91"/>
        <v>0</v>
      </c>
      <c r="P144" s="224">
        <f t="shared" ca="1" si="92"/>
        <v>0</v>
      </c>
      <c r="Q144" s="224">
        <f ca="1">IFERROR(__xludf.DUMMYFUNCTION("IMPORTRANGE(""https://docs.google.com/spreadsheets/d/1ItG2mGa2ceCfYo0BwxsXqNm01IGEUdYcSSLTEv9YCik/edit?usp=sharing"",""เบิกจ่ายกองทุน!CF25"")"),0)</f>
        <v>0</v>
      </c>
      <c r="R144" s="224">
        <f ca="1">IFERROR(__xludf.DUMMYFUNCTION("IMPORTRANGE(""https://docs.google.com/spreadsheets/d/1ItG2mGa2ceCfYo0BwxsXqNm01IGEUdYcSSLTEv9YCik/edit?usp=sharing"",""เบิกจ่ายกองทุน!CG25"")"),0)</f>
        <v>0</v>
      </c>
      <c r="S144" s="224">
        <f ca="1">IFERROR(__xludf.DUMMYFUNCTION("IMPORTRANGE(""https://docs.google.com/spreadsheets/d/1ItG2mGa2ceCfYo0BwxsXqNm01IGEUdYcSSLTEv9YCik/edit?usp=sharing"",""เบิกจ่ายกองทุน!CH25"")"),0)</f>
        <v>0</v>
      </c>
      <c r="T144" s="224">
        <f t="shared" ca="1" si="94"/>
        <v>0</v>
      </c>
      <c r="U144" s="224">
        <f t="shared" ca="1" si="95"/>
        <v>0</v>
      </c>
    </row>
    <row r="145" spans="1:21" ht="18.75" x14ac:dyDescent="0.25">
      <c r="A145" s="128"/>
      <c r="B145" s="40"/>
      <c r="C145" s="40"/>
      <c r="D145" s="41" t="s">
        <v>23</v>
      </c>
      <c r="E145" s="40"/>
      <c r="F145" s="40"/>
      <c r="G145" s="42"/>
      <c r="H145" s="137" t="s">
        <v>14</v>
      </c>
      <c r="I145" s="135"/>
      <c r="J145" s="135"/>
      <c r="K145" s="136"/>
      <c r="L145" s="1356">
        <f t="shared" ref="L145:N145" ca="1" si="100">L146+L147</f>
        <v>0</v>
      </c>
      <c r="M145" s="224">
        <f t="shared" ca="1" si="100"/>
        <v>0</v>
      </c>
      <c r="N145" s="224">
        <f t="shared" ca="1" si="100"/>
        <v>0</v>
      </c>
      <c r="O145" s="224">
        <f t="shared" ca="1" si="91"/>
        <v>0</v>
      </c>
      <c r="P145" s="224">
        <f t="shared" ca="1" si="92"/>
        <v>0</v>
      </c>
      <c r="Q145" s="224">
        <f t="shared" ref="Q145:S145" ca="1" si="101">Q146+Q147</f>
        <v>0</v>
      </c>
      <c r="R145" s="224">
        <f t="shared" ca="1" si="101"/>
        <v>0</v>
      </c>
      <c r="S145" s="224">
        <f t="shared" ca="1" si="101"/>
        <v>0</v>
      </c>
      <c r="T145" s="224">
        <f t="shared" ca="1" si="94"/>
        <v>0</v>
      </c>
      <c r="U145" s="224">
        <f t="shared" ca="1" si="95"/>
        <v>0</v>
      </c>
    </row>
    <row r="146" spans="1:21" ht="18.75" x14ac:dyDescent="0.25">
      <c r="A146" s="128"/>
      <c r="B146" s="40"/>
      <c r="C146" s="40"/>
      <c r="D146" s="40"/>
      <c r="E146" s="156" t="s">
        <v>20</v>
      </c>
      <c r="F146" s="40"/>
      <c r="G146" s="42"/>
      <c r="H146" s="159" t="s">
        <v>14</v>
      </c>
      <c r="I146" s="135"/>
      <c r="J146" s="135"/>
      <c r="K146" s="136"/>
      <c r="L146" s="1358">
        <v>0</v>
      </c>
      <c r="M146" s="83">
        <v>0</v>
      </c>
      <c r="N146" s="83">
        <v>0</v>
      </c>
      <c r="O146" s="83">
        <f t="shared" si="91"/>
        <v>0</v>
      </c>
      <c r="P146" s="83">
        <f t="shared" si="92"/>
        <v>0</v>
      </c>
      <c r="Q146" s="83">
        <v>0</v>
      </c>
      <c r="R146" s="83">
        <v>0</v>
      </c>
      <c r="S146" s="83">
        <v>0</v>
      </c>
      <c r="T146" s="83">
        <f t="shared" si="94"/>
        <v>0</v>
      </c>
      <c r="U146" s="83">
        <f t="shared" si="95"/>
        <v>0</v>
      </c>
    </row>
    <row r="147" spans="1:21" ht="18.75" x14ac:dyDescent="0.25">
      <c r="A147" s="128"/>
      <c r="B147" s="40"/>
      <c r="C147" s="40"/>
      <c r="D147" s="40"/>
      <c r="E147" s="47" t="s">
        <v>21</v>
      </c>
      <c r="F147" s="40"/>
      <c r="G147" s="42"/>
      <c r="H147" s="137" t="s">
        <v>14</v>
      </c>
      <c r="I147" s="135"/>
      <c r="J147" s="135"/>
      <c r="K147" s="136"/>
      <c r="L147" s="1356">
        <f ca="1">IFERROR(__xludf.DUMMYFUNCTION("IMPORTRANGE(""https://docs.google.com/spreadsheets/d/1-uDff_7J0KD5mKrp0Vvzr7lt3OU09vwQwhkpOPPYv2Y/edit?usp=sharing"",""งบพรบ!BT25"")"),0)</f>
        <v>0</v>
      </c>
      <c r="M147" s="224">
        <f ca="1">IFERROR(__xludf.DUMMYFUNCTION("IMPORTRANGE(""https://docs.google.com/spreadsheets/d/1-uDff_7J0KD5mKrp0Vvzr7lt3OU09vwQwhkpOPPYv2Y/edit?usp=sharing"",""งบพรบ!BW25"")"),0)</f>
        <v>0</v>
      </c>
      <c r="N147" s="224">
        <f ca="1">IFERROR(__xludf.DUMMYFUNCTION("IMPORTRANGE(""https://docs.google.com/spreadsheets/d/1-uDff_7J0KD5mKrp0Vvzr7lt3OU09vwQwhkpOPPYv2Y/edit?usp=sharing"",""งบพรบ!BY25"")"),0)</f>
        <v>0</v>
      </c>
      <c r="O147" s="224">
        <f t="shared" ca="1" si="91"/>
        <v>0</v>
      </c>
      <c r="P147" s="224">
        <f t="shared" ca="1" si="92"/>
        <v>0</v>
      </c>
      <c r="Q147" s="224">
        <f ca="1">IFERROR(__xludf.DUMMYFUNCTION("IMPORTRANGE(""https://docs.google.com/spreadsheets/d/1ItG2mGa2ceCfYo0BwxsXqNm01IGEUdYcSSLTEv9YCik/edit?usp=sharing"",""เบิกจ่ายกองทุน!CI25"")"),0)</f>
        <v>0</v>
      </c>
      <c r="R147" s="224">
        <f ca="1">IFERROR(__xludf.DUMMYFUNCTION("IMPORTRANGE(""https://docs.google.com/spreadsheets/d/1ItG2mGa2ceCfYo0BwxsXqNm01IGEUdYcSSLTEv9YCik/edit?usp=sharing"",""เบิกจ่ายกองทุน!CJ25"")"),0)</f>
        <v>0</v>
      </c>
      <c r="S147" s="224">
        <f ca="1">IFERROR(__xludf.DUMMYFUNCTION("IMPORTRANGE(""https://docs.google.com/spreadsheets/d/1ItG2mGa2ceCfYo0BwxsXqNm01IGEUdYcSSLTEv9YCik/edit?usp=sharing"",""เบิกจ่ายกองทุน!CK25"")"),0)</f>
        <v>0</v>
      </c>
      <c r="T147" s="224">
        <f t="shared" ca="1" si="94"/>
        <v>0</v>
      </c>
      <c r="U147" s="224">
        <f t="shared" ca="1" si="95"/>
        <v>0</v>
      </c>
    </row>
    <row r="148" spans="1:21" ht="19.5" x14ac:dyDescent="0.3">
      <c r="A148" s="138"/>
      <c r="B148" s="139"/>
      <c r="C148" s="129" t="s">
        <v>18</v>
      </c>
      <c r="D148" s="1391" t="s">
        <v>38</v>
      </c>
      <c r="E148" s="141"/>
      <c r="F148" s="141"/>
      <c r="G148" s="142"/>
      <c r="H148" s="178"/>
      <c r="I148" s="44"/>
      <c r="J148" s="44"/>
      <c r="K148" s="45"/>
      <c r="L148" s="1359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1:21" ht="18.75" x14ac:dyDescent="0.25">
      <c r="A149" s="128"/>
      <c r="B149" s="40"/>
      <c r="C149" s="40"/>
      <c r="D149" s="47" t="s">
        <v>63</v>
      </c>
      <c r="E149" s="40"/>
      <c r="F149" s="40"/>
      <c r="G149" s="42"/>
      <c r="H149" s="178"/>
      <c r="I149" s="44"/>
      <c r="J149" s="1395">
        <v>0</v>
      </c>
      <c r="K149" s="45"/>
      <c r="L149" s="1359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1:21" ht="19.5" x14ac:dyDescent="0.3">
      <c r="A150" s="128"/>
      <c r="B150" s="40"/>
      <c r="C150" s="40"/>
      <c r="D150" s="145"/>
      <c r="E150" s="129" t="s">
        <v>64</v>
      </c>
      <c r="F150" s="40"/>
      <c r="G150" s="42"/>
      <c r="H150" s="137" t="s">
        <v>35</v>
      </c>
      <c r="I150" s="184">
        <f ca="1">IFERROR(__xludf.DUMMYFUNCTION("IMPORTRANGE(""https://docs.google.com/spreadsheets/d/1eHaY18a8A9IcSdp1K8H6x8fbOy06t2VsZHhMHf-1x7Y/edit?usp=sharing"",""แผน!U25"")"),0)</f>
        <v>0</v>
      </c>
      <c r="J150" s="1395">
        <v>0</v>
      </c>
      <c r="K150" s="224">
        <f t="shared" ref="K150:K154" ca="1" si="102">IF(I150&gt;0,J150*100/I150,0)</f>
        <v>0</v>
      </c>
      <c r="L150" s="1359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1:21" ht="18.75" x14ac:dyDescent="0.25">
      <c r="A151" s="128"/>
      <c r="B151" s="40"/>
      <c r="C151" s="40"/>
      <c r="D151" s="145"/>
      <c r="E151" s="40"/>
      <c r="F151" s="40"/>
      <c r="G151" s="42"/>
      <c r="H151" s="137" t="s">
        <v>54</v>
      </c>
      <c r="I151" s="184">
        <f ca="1">IFERROR(__xludf.DUMMYFUNCTION("IMPORTRANGE(""https://docs.google.com/spreadsheets/d/1eHaY18a8A9IcSdp1K8H6x8fbOy06t2VsZHhMHf-1x7Y/edit?usp=sharing"",""แผน!V25"")"),0)</f>
        <v>0</v>
      </c>
      <c r="J151" s="1395">
        <v>0</v>
      </c>
      <c r="K151" s="224">
        <f t="shared" ca="1" si="102"/>
        <v>0</v>
      </c>
      <c r="L151" s="1359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1:21" ht="19.5" x14ac:dyDescent="0.3">
      <c r="A152" s="128"/>
      <c r="B152" s="40"/>
      <c r="C152" s="40"/>
      <c r="D152" s="145"/>
      <c r="E152" s="129" t="s">
        <v>65</v>
      </c>
      <c r="F152" s="40"/>
      <c r="G152" s="42"/>
      <c r="H152" s="137" t="s">
        <v>35</v>
      </c>
      <c r="I152" s="184">
        <f ca="1">IFERROR(__xludf.DUMMYFUNCTION("IMPORTRANGE(""https://docs.google.com/spreadsheets/d/1eHaY18a8A9IcSdp1K8H6x8fbOy06t2VsZHhMHf-1x7Y/edit?usp=sharing"",""แผน!W25"")"),0)</f>
        <v>0</v>
      </c>
      <c r="J152" s="1395">
        <v>0</v>
      </c>
      <c r="K152" s="224">
        <f t="shared" ca="1" si="102"/>
        <v>0</v>
      </c>
      <c r="L152" s="1359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1:21" ht="18.75" x14ac:dyDescent="0.25">
      <c r="A153" s="128"/>
      <c r="B153" s="40"/>
      <c r="C153" s="40"/>
      <c r="D153" s="40"/>
      <c r="E153" s="40"/>
      <c r="F153" s="40"/>
      <c r="G153" s="42"/>
      <c r="H153" s="137" t="s">
        <v>54</v>
      </c>
      <c r="I153" s="184">
        <f ca="1">IFERROR(__xludf.DUMMYFUNCTION("IMPORTRANGE(""https://docs.google.com/spreadsheets/d/1eHaY18a8A9IcSdp1K8H6x8fbOy06t2VsZHhMHf-1x7Y/edit?usp=sharing"",""แผน!X25"")"),0)</f>
        <v>0</v>
      </c>
      <c r="J153" s="1395">
        <v>0</v>
      </c>
      <c r="K153" s="224">
        <f t="shared" ca="1" si="102"/>
        <v>0</v>
      </c>
      <c r="L153" s="1359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1:21" ht="18.75" x14ac:dyDescent="0.25">
      <c r="A154" s="128"/>
      <c r="B154" s="40"/>
      <c r="C154" s="40"/>
      <c r="D154" s="47" t="s">
        <v>66</v>
      </c>
      <c r="E154" s="40"/>
      <c r="F154" s="40"/>
      <c r="G154" s="42"/>
      <c r="H154" s="137" t="s">
        <v>61</v>
      </c>
      <c r="I154" s="184">
        <f ca="1">IFERROR(__xludf.DUMMYFUNCTION("IMPORTRANGE(""https://docs.google.com/spreadsheets/d/1eHaY18a8A9IcSdp1K8H6x8fbOy06t2VsZHhMHf-1x7Y/edit?usp=sharing"",""แผน!Y25"")"),0)</f>
        <v>0</v>
      </c>
      <c r="J154" s="1395">
        <v>0</v>
      </c>
      <c r="K154" s="224">
        <f t="shared" ca="1" si="102"/>
        <v>0</v>
      </c>
      <c r="L154" s="1359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1:21" ht="19.5" x14ac:dyDescent="0.3">
      <c r="A155" s="118" t="s">
        <v>67</v>
      </c>
      <c r="B155" s="119"/>
      <c r="C155" s="168"/>
      <c r="D155" s="119"/>
      <c r="E155" s="119"/>
      <c r="F155" s="119"/>
      <c r="G155" s="119"/>
      <c r="H155" s="119"/>
      <c r="I155" s="169"/>
      <c r="J155" s="169"/>
      <c r="K155" s="170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8" t="s">
        <v>68</v>
      </c>
      <c r="C156" s="27"/>
      <c r="D156" s="27"/>
      <c r="E156" s="27"/>
      <c r="F156" s="27"/>
      <c r="G156" s="30"/>
      <c r="H156" s="173" t="s">
        <v>35</v>
      </c>
      <c r="I156" s="1386">
        <f t="shared" ref="I156:J156" ca="1" si="103">I167</f>
        <v>15</v>
      </c>
      <c r="J156" s="1386">
        <f t="shared" si="103"/>
        <v>15</v>
      </c>
      <c r="K156" s="1349">
        <f ca="1">IF(I156&gt;0,J156*100/I156,0)</f>
        <v>100</v>
      </c>
      <c r="L156" s="1387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1:21" ht="19.5" x14ac:dyDescent="0.3">
      <c r="A157" s="128"/>
      <c r="B157" s="40"/>
      <c r="C157" s="129" t="s">
        <v>18</v>
      </c>
      <c r="D157" s="1388" t="s">
        <v>19</v>
      </c>
      <c r="E157" s="40"/>
      <c r="F157" s="40"/>
      <c r="G157" s="42"/>
      <c r="H157" s="131" t="s">
        <v>14</v>
      </c>
      <c r="I157" s="44"/>
      <c r="J157" s="44"/>
      <c r="K157" s="45"/>
      <c r="L157" s="1389">
        <f t="shared" ref="L157:N157" ca="1" si="104">L158+L159</f>
        <v>4500</v>
      </c>
      <c r="M157" s="1390">
        <f t="shared" ca="1" si="104"/>
        <v>5610</v>
      </c>
      <c r="N157" s="1390">
        <f t="shared" ca="1" si="104"/>
        <v>5174</v>
      </c>
      <c r="O157" s="1390">
        <f t="shared" ref="O157:O165" ca="1" si="105">IF(L157&gt;0,N157*100/L157,0)</f>
        <v>114.97777777777777</v>
      </c>
      <c r="P157" s="1390">
        <f t="shared" ref="P157:P165" ca="1" si="106">IF(M157&gt;0,N157*100/M157,0)</f>
        <v>92.228163992869881</v>
      </c>
      <c r="Q157" s="1390">
        <f t="shared" ref="Q157:S157" ca="1" si="107">Q158+Q159</f>
        <v>0</v>
      </c>
      <c r="R157" s="1390">
        <f t="shared" ca="1" si="107"/>
        <v>0</v>
      </c>
      <c r="S157" s="1390">
        <f t="shared" ca="1" si="107"/>
        <v>0</v>
      </c>
      <c r="T157" s="1390">
        <f t="shared" ref="T157:T165" ca="1" si="108">IF(Q157&gt;0,S157*100/Q157,0)</f>
        <v>0</v>
      </c>
      <c r="U157" s="1390">
        <f t="shared" ref="U157:U165" ca="1" si="109">IF(R157&gt;0,S157*100/R157,0)</f>
        <v>0</v>
      </c>
    </row>
    <row r="158" spans="1:21" ht="18.75" x14ac:dyDescent="0.25">
      <c r="A158" s="128"/>
      <c r="B158" s="40"/>
      <c r="C158" s="40"/>
      <c r="D158" s="40"/>
      <c r="E158" s="156" t="s">
        <v>20</v>
      </c>
      <c r="F158" s="40"/>
      <c r="G158" s="42"/>
      <c r="H158" s="157" t="s">
        <v>14</v>
      </c>
      <c r="I158" s="44"/>
      <c r="J158" s="44"/>
      <c r="K158" s="45"/>
      <c r="L158" s="1358">
        <f t="shared" ref="L158:N159" si="110">L161+L164</f>
        <v>0</v>
      </c>
      <c r="M158" s="83">
        <f t="shared" si="110"/>
        <v>0</v>
      </c>
      <c r="N158" s="83">
        <f t="shared" si="110"/>
        <v>0</v>
      </c>
      <c r="O158" s="83">
        <f t="shared" si="105"/>
        <v>0</v>
      </c>
      <c r="P158" s="83">
        <f t="shared" si="106"/>
        <v>0</v>
      </c>
      <c r="Q158" s="83">
        <f t="shared" ref="Q158:S159" si="111">Q161+Q164</f>
        <v>0</v>
      </c>
      <c r="R158" s="83">
        <f t="shared" si="111"/>
        <v>0</v>
      </c>
      <c r="S158" s="83">
        <f t="shared" si="111"/>
        <v>0</v>
      </c>
      <c r="T158" s="83">
        <f t="shared" si="108"/>
        <v>0</v>
      </c>
      <c r="U158" s="83">
        <f t="shared" si="109"/>
        <v>0</v>
      </c>
    </row>
    <row r="159" spans="1:21" ht="18.75" x14ac:dyDescent="0.25">
      <c r="A159" s="128"/>
      <c r="B159" s="40"/>
      <c r="C159" s="40"/>
      <c r="D159" s="40"/>
      <c r="E159" s="47" t="s">
        <v>21</v>
      </c>
      <c r="F159" s="40"/>
      <c r="G159" s="42"/>
      <c r="H159" s="133" t="s">
        <v>14</v>
      </c>
      <c r="I159" s="44"/>
      <c r="J159" s="44"/>
      <c r="K159" s="45"/>
      <c r="L159" s="1356">
        <f t="shared" ca="1" si="110"/>
        <v>4500</v>
      </c>
      <c r="M159" s="224">
        <f t="shared" ca="1" si="110"/>
        <v>5610</v>
      </c>
      <c r="N159" s="224">
        <f t="shared" ca="1" si="110"/>
        <v>5174</v>
      </c>
      <c r="O159" s="224">
        <f t="shared" ca="1" si="105"/>
        <v>114.97777777777777</v>
      </c>
      <c r="P159" s="224">
        <f t="shared" ca="1" si="106"/>
        <v>92.228163992869881</v>
      </c>
      <c r="Q159" s="224">
        <f t="shared" ca="1" si="111"/>
        <v>0</v>
      </c>
      <c r="R159" s="224">
        <f t="shared" ca="1" si="111"/>
        <v>0</v>
      </c>
      <c r="S159" s="224">
        <f t="shared" ca="1" si="111"/>
        <v>0</v>
      </c>
      <c r="T159" s="224">
        <f t="shared" ca="1" si="108"/>
        <v>0</v>
      </c>
      <c r="U159" s="224">
        <f t="shared" ca="1" si="109"/>
        <v>0</v>
      </c>
    </row>
    <row r="160" spans="1:21" ht="18.75" x14ac:dyDescent="0.25">
      <c r="A160" s="128"/>
      <c r="B160" s="40"/>
      <c r="C160" s="40"/>
      <c r="D160" s="41" t="s">
        <v>22</v>
      </c>
      <c r="E160" s="40"/>
      <c r="F160" s="40"/>
      <c r="G160" s="42"/>
      <c r="H160" s="134" t="s">
        <v>14</v>
      </c>
      <c r="I160" s="135"/>
      <c r="J160" s="135"/>
      <c r="K160" s="136"/>
      <c r="L160" s="1356">
        <f t="shared" ref="L160:N160" ca="1" si="112">L161+L162</f>
        <v>4500</v>
      </c>
      <c r="M160" s="224">
        <f t="shared" ca="1" si="112"/>
        <v>5610</v>
      </c>
      <c r="N160" s="224">
        <f t="shared" ca="1" si="112"/>
        <v>5174</v>
      </c>
      <c r="O160" s="224">
        <f t="shared" ca="1" si="105"/>
        <v>114.97777777777777</v>
      </c>
      <c r="P160" s="224">
        <f t="shared" ca="1" si="106"/>
        <v>92.228163992869881</v>
      </c>
      <c r="Q160" s="224">
        <f t="shared" ref="Q160:S160" ca="1" si="113">Q161+Q162</f>
        <v>0</v>
      </c>
      <c r="R160" s="224">
        <f t="shared" ca="1" si="113"/>
        <v>0</v>
      </c>
      <c r="S160" s="224">
        <f t="shared" ca="1" si="113"/>
        <v>0</v>
      </c>
      <c r="T160" s="224">
        <f t="shared" ca="1" si="108"/>
        <v>0</v>
      </c>
      <c r="U160" s="224">
        <f t="shared" ca="1" si="109"/>
        <v>0</v>
      </c>
    </row>
    <row r="161" spans="1:21" ht="18.75" x14ac:dyDescent="0.25">
      <c r="A161" s="128"/>
      <c r="B161" s="40"/>
      <c r="C161" s="40"/>
      <c r="D161" s="40"/>
      <c r="E161" s="156" t="s">
        <v>36</v>
      </c>
      <c r="F161" s="40"/>
      <c r="G161" s="42"/>
      <c r="H161" s="159" t="s">
        <v>14</v>
      </c>
      <c r="I161" s="135"/>
      <c r="J161" s="135"/>
      <c r="K161" s="136"/>
      <c r="L161" s="1358">
        <v>0</v>
      </c>
      <c r="M161" s="83">
        <v>0</v>
      </c>
      <c r="N161" s="83">
        <v>0</v>
      </c>
      <c r="O161" s="83">
        <f t="shared" si="105"/>
        <v>0</v>
      </c>
      <c r="P161" s="83">
        <f t="shared" si="106"/>
        <v>0</v>
      </c>
      <c r="Q161" s="83">
        <v>0</v>
      </c>
      <c r="R161" s="83">
        <v>0</v>
      </c>
      <c r="S161" s="83">
        <v>0</v>
      </c>
      <c r="T161" s="83">
        <f t="shared" si="108"/>
        <v>0</v>
      </c>
      <c r="U161" s="83">
        <f t="shared" si="109"/>
        <v>0</v>
      </c>
    </row>
    <row r="162" spans="1:21" ht="18.75" x14ac:dyDescent="0.25">
      <c r="A162" s="128"/>
      <c r="B162" s="40"/>
      <c r="C162" s="40"/>
      <c r="D162" s="40"/>
      <c r="E162" s="47" t="s">
        <v>37</v>
      </c>
      <c r="F162" s="40"/>
      <c r="G162" s="42"/>
      <c r="H162" s="134" t="s">
        <v>14</v>
      </c>
      <c r="I162" s="135"/>
      <c r="J162" s="135"/>
      <c r="K162" s="136"/>
      <c r="L162" s="1356">
        <f ca="1">IFERROR(__xludf.DUMMYFUNCTION("IMPORTRANGE(""https://docs.google.com/spreadsheets/d/1-uDff_7J0KD5mKrp0Vvzr7lt3OU09vwQwhkpOPPYv2Y/edit?usp=sharing"",""งบพรบ!CA25"")"),4500)</f>
        <v>4500</v>
      </c>
      <c r="M162" s="224">
        <f ca="1">IFERROR(__xludf.DUMMYFUNCTION("IMPORTRANGE(""https://docs.google.com/spreadsheets/d/1-uDff_7J0KD5mKrp0Vvzr7lt3OU09vwQwhkpOPPYv2Y/edit?usp=sharing"",""งบพรบ!CF25"")"),5610)</f>
        <v>5610</v>
      </c>
      <c r="N162" s="224">
        <f ca="1">IFERROR(__xludf.DUMMYFUNCTION("IMPORTRANGE(""https://docs.google.com/spreadsheets/d/1-uDff_7J0KD5mKrp0Vvzr7lt3OU09vwQwhkpOPPYv2Y/edit?usp=sharing"",""งบพรบ!CH25"")"),5174)</f>
        <v>5174</v>
      </c>
      <c r="O162" s="224">
        <f t="shared" ca="1" si="105"/>
        <v>114.97777777777777</v>
      </c>
      <c r="P162" s="224">
        <f t="shared" ca="1" si="106"/>
        <v>92.228163992869881</v>
      </c>
      <c r="Q162" s="224">
        <f ca="1">IFERROR(__xludf.DUMMYFUNCTION("IMPORTRANGE(""https://docs.google.com/spreadsheets/d/1ItG2mGa2ceCfYo0BwxsXqNm01IGEUdYcSSLTEv9YCik/edit?usp=sharing"",""เบิกจ่ายกองทุน!AM25"")"),0)</f>
        <v>0</v>
      </c>
      <c r="R162" s="224">
        <f ca="1">IFERROR(__xludf.DUMMYFUNCTION("IMPORTRANGE(""https://docs.google.com/spreadsheets/d/1ItG2mGa2ceCfYo0BwxsXqNm01IGEUdYcSSLTEv9YCik/edit?usp=sharing"",""เบิกจ่ายกองทุน!AN25"")"),0)</f>
        <v>0</v>
      </c>
      <c r="S162" s="224">
        <f ca="1">IFERROR(__xludf.DUMMYFUNCTION("IMPORTRANGE(""https://docs.google.com/spreadsheets/d/1ItG2mGa2ceCfYo0BwxsXqNm01IGEUdYcSSLTEv9YCik/edit?usp=sharing"",""เบิกจ่ายกองทุน!AO25"")"),0)</f>
        <v>0</v>
      </c>
      <c r="T162" s="224">
        <f t="shared" ca="1" si="108"/>
        <v>0</v>
      </c>
      <c r="U162" s="224">
        <f t="shared" ca="1" si="109"/>
        <v>0</v>
      </c>
    </row>
    <row r="163" spans="1:21" ht="18.75" x14ac:dyDescent="0.25">
      <c r="A163" s="128"/>
      <c r="B163" s="40"/>
      <c r="C163" s="40"/>
      <c r="D163" s="41" t="s">
        <v>23</v>
      </c>
      <c r="E163" s="40"/>
      <c r="F163" s="40"/>
      <c r="G163" s="42"/>
      <c r="H163" s="137" t="s">
        <v>14</v>
      </c>
      <c r="I163" s="135"/>
      <c r="J163" s="135"/>
      <c r="K163" s="136"/>
      <c r="L163" s="1356">
        <f t="shared" ref="L163:N163" ca="1" si="114">L164+L165</f>
        <v>0</v>
      </c>
      <c r="M163" s="224">
        <f t="shared" ca="1" si="114"/>
        <v>0</v>
      </c>
      <c r="N163" s="224">
        <f t="shared" ca="1" si="114"/>
        <v>0</v>
      </c>
      <c r="O163" s="224">
        <f t="shared" ca="1" si="105"/>
        <v>0</v>
      </c>
      <c r="P163" s="224">
        <f t="shared" ca="1" si="106"/>
        <v>0</v>
      </c>
      <c r="Q163" s="224">
        <f t="shared" ref="Q163:S163" si="115">Q164+Q165</f>
        <v>0</v>
      </c>
      <c r="R163" s="224">
        <f t="shared" si="115"/>
        <v>0</v>
      </c>
      <c r="S163" s="224">
        <f t="shared" si="115"/>
        <v>0</v>
      </c>
      <c r="T163" s="224">
        <f t="shared" si="108"/>
        <v>0</v>
      </c>
      <c r="U163" s="224">
        <f t="shared" si="109"/>
        <v>0</v>
      </c>
    </row>
    <row r="164" spans="1:21" ht="18.75" x14ac:dyDescent="0.25">
      <c r="A164" s="128"/>
      <c r="B164" s="40"/>
      <c r="C164" s="40"/>
      <c r="D164" s="40"/>
      <c r="E164" s="156" t="s">
        <v>20</v>
      </c>
      <c r="F164" s="40"/>
      <c r="G164" s="42"/>
      <c r="H164" s="159" t="s">
        <v>14</v>
      </c>
      <c r="I164" s="135"/>
      <c r="J164" s="135"/>
      <c r="K164" s="136"/>
      <c r="L164" s="1358">
        <v>0</v>
      </c>
      <c r="M164" s="83">
        <v>0</v>
      </c>
      <c r="N164" s="83">
        <v>0</v>
      </c>
      <c r="O164" s="83">
        <f t="shared" si="105"/>
        <v>0</v>
      </c>
      <c r="P164" s="83">
        <f t="shared" si="106"/>
        <v>0</v>
      </c>
      <c r="Q164" s="83">
        <v>0</v>
      </c>
      <c r="R164" s="83">
        <v>0</v>
      </c>
      <c r="S164" s="83">
        <v>0</v>
      </c>
      <c r="T164" s="83">
        <f t="shared" si="108"/>
        <v>0</v>
      </c>
      <c r="U164" s="83">
        <f t="shared" si="109"/>
        <v>0</v>
      </c>
    </row>
    <row r="165" spans="1:21" ht="18.75" x14ac:dyDescent="0.25">
      <c r="A165" s="128"/>
      <c r="B165" s="40"/>
      <c r="C165" s="40"/>
      <c r="D165" s="40"/>
      <c r="E165" s="47" t="s">
        <v>21</v>
      </c>
      <c r="F165" s="40"/>
      <c r="G165" s="42"/>
      <c r="H165" s="137" t="s">
        <v>14</v>
      </c>
      <c r="I165" s="135"/>
      <c r="J165" s="135"/>
      <c r="K165" s="136"/>
      <c r="L165" s="1356">
        <f ca="1">IFERROR(__xludf.DUMMYFUNCTION("IMPORTRANGE(""https://docs.google.com/spreadsheets/d/1-uDff_7J0KD5mKrp0Vvzr7lt3OU09vwQwhkpOPPYv2Y/edit?usp=sharing"",""งบพรบ!CD25"")"),0)</f>
        <v>0</v>
      </c>
      <c r="M165" s="224">
        <f ca="1">IFERROR(__xludf.DUMMYFUNCTION("IMPORTRANGE(""https://docs.google.com/spreadsheets/d/1-uDff_7J0KD5mKrp0Vvzr7lt3OU09vwQwhkpOPPYv2Y/edit?usp=sharing"",""งบพรบ!CG25"")"),0)</f>
        <v>0</v>
      </c>
      <c r="N165" s="224">
        <f ca="1">IFERROR(__xludf.DUMMYFUNCTION("IMPORTRANGE(""https://docs.google.com/spreadsheets/d/1-uDff_7J0KD5mKrp0Vvzr7lt3OU09vwQwhkpOPPYv2Y/edit?usp=sharing"",""งบพรบ!CI25"")"),0)</f>
        <v>0</v>
      </c>
      <c r="O165" s="224">
        <f t="shared" ca="1" si="105"/>
        <v>0</v>
      </c>
      <c r="P165" s="224">
        <f t="shared" ca="1" si="106"/>
        <v>0</v>
      </c>
      <c r="Q165" s="224">
        <v>0</v>
      </c>
      <c r="R165" s="224">
        <v>0</v>
      </c>
      <c r="S165" s="224">
        <v>0</v>
      </c>
      <c r="T165" s="224">
        <f t="shared" si="108"/>
        <v>0</v>
      </c>
      <c r="U165" s="224">
        <f t="shared" si="109"/>
        <v>0</v>
      </c>
    </row>
    <row r="166" spans="1:21" ht="19.5" x14ac:dyDescent="0.3">
      <c r="A166" s="138"/>
      <c r="B166" s="139"/>
      <c r="C166" s="129" t="s">
        <v>18</v>
      </c>
      <c r="D166" s="1391" t="s">
        <v>38</v>
      </c>
      <c r="E166" s="141"/>
      <c r="F166" s="141"/>
      <c r="G166" s="142"/>
      <c r="H166" s="178"/>
      <c r="I166" s="44"/>
      <c r="J166" s="44"/>
      <c r="K166" s="45"/>
      <c r="L166" s="1359"/>
      <c r="M166" s="45"/>
      <c r="N166" s="45"/>
      <c r="O166" s="45"/>
      <c r="P166" s="45"/>
      <c r="Q166" s="45"/>
      <c r="R166" s="45"/>
      <c r="S166" s="45"/>
      <c r="T166" s="45"/>
      <c r="U166" s="45"/>
    </row>
    <row r="167" spans="1:21" ht="18.75" x14ac:dyDescent="0.25">
      <c r="A167" s="128"/>
      <c r="B167" s="40"/>
      <c r="C167" s="40"/>
      <c r="D167" s="47" t="s">
        <v>69</v>
      </c>
      <c r="E167" s="40"/>
      <c r="F167" s="40"/>
      <c r="G167" s="42"/>
      <c r="H167" s="137" t="s">
        <v>35</v>
      </c>
      <c r="I167" s="184">
        <f ca="1">IFERROR(__xludf.DUMMYFUNCTION("IMPORTRANGE(""https://docs.google.com/spreadsheets/d/1eHaY18a8A9IcSdp1K8H6x8fbOy06t2VsZHhMHf-1x7Y/edit?usp=sharing"",""แผน!Z25"")"),15)</f>
        <v>15</v>
      </c>
      <c r="J167" s="1395">
        <v>15</v>
      </c>
      <c r="K167" s="224">
        <f t="shared" ref="K167:K169" ca="1" si="116">IF(I167&gt;0,J167*100/I167,0)</f>
        <v>100</v>
      </c>
      <c r="L167" s="1359"/>
      <c r="M167" s="45"/>
      <c r="N167" s="45"/>
      <c r="O167" s="45"/>
      <c r="P167" s="45"/>
      <c r="Q167" s="45"/>
      <c r="R167" s="45"/>
      <c r="S167" s="45"/>
      <c r="T167" s="45"/>
      <c r="U167" s="45"/>
    </row>
    <row r="168" spans="1:21" ht="18.75" x14ac:dyDescent="0.25">
      <c r="A168" s="128"/>
      <c r="B168" s="40"/>
      <c r="C168" s="40"/>
      <c r="D168" s="156" t="s">
        <v>70</v>
      </c>
      <c r="E168" s="40"/>
      <c r="F168" s="40"/>
      <c r="G168" s="42"/>
      <c r="H168" s="378" t="s">
        <v>35</v>
      </c>
      <c r="I168" s="423">
        <f ca="1">I167</f>
        <v>15</v>
      </c>
      <c r="J168" s="1407">
        <v>0</v>
      </c>
      <c r="K168" s="83">
        <f t="shared" ca="1" si="116"/>
        <v>0</v>
      </c>
      <c r="L168" s="1359"/>
      <c r="M168" s="45"/>
      <c r="N168" s="45"/>
      <c r="O168" s="45"/>
      <c r="P168" s="45"/>
      <c r="Q168" s="45"/>
      <c r="R168" s="45"/>
      <c r="S168" s="45"/>
      <c r="T168" s="45"/>
      <c r="U168" s="45"/>
    </row>
    <row r="169" spans="1:21" ht="18.75" x14ac:dyDescent="0.25">
      <c r="A169" s="185"/>
      <c r="B169" s="1"/>
      <c r="C169" s="1"/>
      <c r="D169" s="424" t="s">
        <v>71</v>
      </c>
      <c r="E169" s="1"/>
      <c r="F169" s="1"/>
      <c r="G169" s="52"/>
      <c r="H169" s="1408" t="s">
        <v>35</v>
      </c>
      <c r="I169" s="426">
        <f ca="1">I167</f>
        <v>15</v>
      </c>
      <c r="J169" s="1409">
        <v>0</v>
      </c>
      <c r="K169" s="1410">
        <f t="shared" ca="1" si="116"/>
        <v>0</v>
      </c>
      <c r="L169" s="1360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9.5" x14ac:dyDescent="0.3">
      <c r="A170" s="189" t="s">
        <v>72</v>
      </c>
      <c r="B170" s="190"/>
      <c r="C170" s="190"/>
      <c r="D170" s="190"/>
      <c r="E170" s="191"/>
      <c r="F170" s="191"/>
      <c r="G170" s="191"/>
      <c r="H170" s="191"/>
      <c r="I170" s="192"/>
      <c r="J170" s="192"/>
      <c r="K170" s="193"/>
      <c r="L170" s="193"/>
      <c r="M170" s="193"/>
      <c r="N170" s="193"/>
      <c r="O170" s="193"/>
      <c r="P170" s="194"/>
      <c r="Q170" s="193"/>
      <c r="R170" s="193"/>
      <c r="S170" s="193"/>
      <c r="T170" s="193"/>
      <c r="U170" s="194"/>
    </row>
    <row r="171" spans="1:21" ht="19.5" x14ac:dyDescent="0.3">
      <c r="A171" s="195" t="s">
        <v>73</v>
      </c>
      <c r="B171" s="196"/>
      <c r="C171" s="196"/>
      <c r="D171" s="197"/>
      <c r="E171" s="197"/>
      <c r="F171" s="197"/>
      <c r="G171" s="197"/>
      <c r="H171" s="198"/>
      <c r="I171" s="199"/>
      <c r="J171" s="199"/>
      <c r="K171" s="200"/>
      <c r="L171" s="1411"/>
      <c r="M171" s="200"/>
      <c r="N171" s="200"/>
      <c r="O171" s="200"/>
      <c r="P171" s="200"/>
      <c r="Q171" s="200"/>
      <c r="R171" s="200"/>
      <c r="S171" s="200"/>
      <c r="T171" s="200"/>
      <c r="U171" s="200"/>
    </row>
    <row r="172" spans="1:21" ht="19.5" x14ac:dyDescent="0.3">
      <c r="A172" s="201"/>
      <c r="B172" s="202" t="s">
        <v>74</v>
      </c>
      <c r="C172" s="203"/>
      <c r="D172" s="141"/>
      <c r="E172" s="141"/>
      <c r="F172" s="141"/>
      <c r="G172" s="142"/>
      <c r="H172" s="204" t="s">
        <v>35</v>
      </c>
      <c r="I172" s="1412">
        <f t="shared" ref="I172:J172" ca="1" si="117">I183+I184</f>
        <v>17</v>
      </c>
      <c r="J172" s="1412">
        <f t="shared" si="117"/>
        <v>7</v>
      </c>
      <c r="K172" s="1413">
        <f ca="1">IF(I172&gt;0,J172*100/I172,0)</f>
        <v>41.176470588235297</v>
      </c>
      <c r="L172" s="1414"/>
      <c r="M172" s="207"/>
      <c r="N172" s="207"/>
      <c r="O172" s="207"/>
      <c r="P172" s="207"/>
      <c r="Q172" s="207"/>
      <c r="R172" s="207"/>
      <c r="S172" s="207"/>
      <c r="T172" s="207"/>
      <c r="U172" s="207"/>
    </row>
    <row r="173" spans="1:21" ht="19.5" x14ac:dyDescent="0.3">
      <c r="A173" s="128"/>
      <c r="B173" s="40"/>
      <c r="C173" s="129" t="s">
        <v>18</v>
      </c>
      <c r="D173" s="1388" t="s">
        <v>19</v>
      </c>
      <c r="E173" s="40"/>
      <c r="F173" s="40"/>
      <c r="G173" s="42"/>
      <c r="H173" s="131" t="s">
        <v>14</v>
      </c>
      <c r="I173" s="44"/>
      <c r="J173" s="44"/>
      <c r="K173" s="45"/>
      <c r="L173" s="1389">
        <f t="shared" ref="L173:N173" ca="1" si="118">L174+L175</f>
        <v>19590</v>
      </c>
      <c r="M173" s="1390">
        <f t="shared" ca="1" si="118"/>
        <v>39980</v>
      </c>
      <c r="N173" s="1390">
        <f t="shared" ca="1" si="118"/>
        <v>37402</v>
      </c>
      <c r="O173" s="1390">
        <f t="shared" ref="O173:O181" ca="1" si="119">IF(L173&gt;0,N173*100/L173,0)</f>
        <v>190.92394078611537</v>
      </c>
      <c r="P173" s="1390">
        <f t="shared" ref="P173:P181" ca="1" si="120">IF(M173&gt;0,N173*100/M173,0)</f>
        <v>93.551775887943975</v>
      </c>
      <c r="Q173" s="1390">
        <f t="shared" ref="Q173:S173" ca="1" si="121">Q174+Q175</f>
        <v>0</v>
      </c>
      <c r="R173" s="1390">
        <f t="shared" ca="1" si="121"/>
        <v>0</v>
      </c>
      <c r="S173" s="1390">
        <f t="shared" ca="1" si="121"/>
        <v>0</v>
      </c>
      <c r="T173" s="1390">
        <f t="shared" ref="T173:T181" ca="1" si="122">IF(Q173&gt;0,S173*100/Q173,0)</f>
        <v>0</v>
      </c>
      <c r="U173" s="1390">
        <f t="shared" ref="U173:U181" ca="1" si="123">IF(R173&gt;0,S173*100/R173,0)</f>
        <v>0</v>
      </c>
    </row>
    <row r="174" spans="1:21" ht="18.75" x14ac:dyDescent="0.25">
      <c r="A174" s="128"/>
      <c r="B174" s="40"/>
      <c r="C174" s="40"/>
      <c r="D174" s="40"/>
      <c r="E174" s="156" t="s">
        <v>20</v>
      </c>
      <c r="F174" s="40"/>
      <c r="G174" s="42"/>
      <c r="H174" s="157" t="s">
        <v>14</v>
      </c>
      <c r="I174" s="44"/>
      <c r="J174" s="44"/>
      <c r="K174" s="45"/>
      <c r="L174" s="1358">
        <f t="shared" ref="L174:N175" si="124">L177+L180</f>
        <v>0</v>
      </c>
      <c r="M174" s="83">
        <f t="shared" si="124"/>
        <v>0</v>
      </c>
      <c r="N174" s="83">
        <f t="shared" si="124"/>
        <v>0</v>
      </c>
      <c r="O174" s="83">
        <f t="shared" si="119"/>
        <v>0</v>
      </c>
      <c r="P174" s="83">
        <f t="shared" si="120"/>
        <v>0</v>
      </c>
      <c r="Q174" s="83">
        <f t="shared" ref="Q174:S175" si="125">Q177+Q180</f>
        <v>0</v>
      </c>
      <c r="R174" s="83">
        <f t="shared" si="125"/>
        <v>0</v>
      </c>
      <c r="S174" s="83">
        <f t="shared" si="125"/>
        <v>0</v>
      </c>
      <c r="T174" s="83">
        <f t="shared" si="122"/>
        <v>0</v>
      </c>
      <c r="U174" s="83">
        <f t="shared" si="123"/>
        <v>0</v>
      </c>
    </row>
    <row r="175" spans="1:21" ht="18.75" x14ac:dyDescent="0.25">
      <c r="A175" s="128"/>
      <c r="B175" s="40"/>
      <c r="C175" s="40"/>
      <c r="D175" s="40"/>
      <c r="E175" s="47" t="s">
        <v>21</v>
      </c>
      <c r="F175" s="40"/>
      <c r="G175" s="42"/>
      <c r="H175" s="133" t="s">
        <v>14</v>
      </c>
      <c r="I175" s="44"/>
      <c r="J175" s="44"/>
      <c r="K175" s="45"/>
      <c r="L175" s="1356">
        <f t="shared" ca="1" si="124"/>
        <v>19590</v>
      </c>
      <c r="M175" s="224">
        <f t="shared" ca="1" si="124"/>
        <v>39980</v>
      </c>
      <c r="N175" s="224">
        <f t="shared" ca="1" si="124"/>
        <v>37402</v>
      </c>
      <c r="O175" s="224">
        <f t="shared" ca="1" si="119"/>
        <v>190.92394078611537</v>
      </c>
      <c r="P175" s="224">
        <f t="shared" ca="1" si="120"/>
        <v>93.551775887943975</v>
      </c>
      <c r="Q175" s="224">
        <f t="shared" ca="1" si="125"/>
        <v>0</v>
      </c>
      <c r="R175" s="224">
        <f t="shared" ca="1" si="125"/>
        <v>0</v>
      </c>
      <c r="S175" s="224">
        <f t="shared" ca="1" si="125"/>
        <v>0</v>
      </c>
      <c r="T175" s="224">
        <f t="shared" ca="1" si="122"/>
        <v>0</v>
      </c>
      <c r="U175" s="224">
        <f t="shared" ca="1" si="123"/>
        <v>0</v>
      </c>
    </row>
    <row r="176" spans="1:21" ht="18.75" x14ac:dyDescent="0.25">
      <c r="A176" s="128"/>
      <c r="B176" s="40"/>
      <c r="C176" s="40"/>
      <c r="D176" s="41" t="s">
        <v>22</v>
      </c>
      <c r="E176" s="40"/>
      <c r="F176" s="40"/>
      <c r="G176" s="42"/>
      <c r="H176" s="134" t="s">
        <v>14</v>
      </c>
      <c r="I176" s="135"/>
      <c r="J176" s="135"/>
      <c r="K176" s="136"/>
      <c r="L176" s="1356">
        <f t="shared" ref="L176:N176" ca="1" si="126">L177+L178</f>
        <v>19590</v>
      </c>
      <c r="M176" s="224">
        <f t="shared" ca="1" si="126"/>
        <v>39980</v>
      </c>
      <c r="N176" s="224">
        <f t="shared" ca="1" si="126"/>
        <v>37402</v>
      </c>
      <c r="O176" s="224">
        <f t="shared" ca="1" si="119"/>
        <v>190.92394078611537</v>
      </c>
      <c r="P176" s="224">
        <f t="shared" ca="1" si="120"/>
        <v>93.551775887943975</v>
      </c>
      <c r="Q176" s="224">
        <f t="shared" ref="Q176:S176" ca="1" si="127">Q177+Q178</f>
        <v>0</v>
      </c>
      <c r="R176" s="224">
        <f t="shared" ca="1" si="127"/>
        <v>0</v>
      </c>
      <c r="S176" s="224">
        <f t="shared" ca="1" si="127"/>
        <v>0</v>
      </c>
      <c r="T176" s="224">
        <f t="shared" ca="1" si="122"/>
        <v>0</v>
      </c>
      <c r="U176" s="224">
        <f t="shared" ca="1" si="123"/>
        <v>0</v>
      </c>
    </row>
    <row r="177" spans="1:21" ht="18.75" x14ac:dyDescent="0.25">
      <c r="A177" s="128"/>
      <c r="B177" s="40"/>
      <c r="C177" s="40"/>
      <c r="D177" s="40"/>
      <c r="E177" s="156" t="s">
        <v>36</v>
      </c>
      <c r="F177" s="40"/>
      <c r="G177" s="42"/>
      <c r="H177" s="159" t="s">
        <v>14</v>
      </c>
      <c r="I177" s="135"/>
      <c r="J177" s="135"/>
      <c r="K177" s="136"/>
      <c r="L177" s="1358">
        <v>0</v>
      </c>
      <c r="M177" s="83">
        <v>0</v>
      </c>
      <c r="N177" s="83">
        <v>0</v>
      </c>
      <c r="O177" s="83">
        <f t="shared" si="119"/>
        <v>0</v>
      </c>
      <c r="P177" s="83">
        <f t="shared" si="120"/>
        <v>0</v>
      </c>
      <c r="Q177" s="83">
        <v>0</v>
      </c>
      <c r="R177" s="83">
        <v>0</v>
      </c>
      <c r="S177" s="83">
        <v>0</v>
      </c>
      <c r="T177" s="83">
        <f t="shared" si="122"/>
        <v>0</v>
      </c>
      <c r="U177" s="83">
        <f t="shared" si="123"/>
        <v>0</v>
      </c>
    </row>
    <row r="178" spans="1:21" ht="18.75" x14ac:dyDescent="0.25">
      <c r="A178" s="128"/>
      <c r="B178" s="40"/>
      <c r="C178" s="40"/>
      <c r="D178" s="40"/>
      <c r="E178" s="47" t="s">
        <v>37</v>
      </c>
      <c r="F178" s="40"/>
      <c r="G178" s="42"/>
      <c r="H178" s="134" t="s">
        <v>14</v>
      </c>
      <c r="I178" s="135"/>
      <c r="J178" s="135"/>
      <c r="K178" s="136"/>
      <c r="L178" s="1356">
        <f ca="1">IFERROR(__xludf.DUMMYFUNCTION("IMPORTRANGE(""https://docs.google.com/spreadsheets/d/1-uDff_7J0KD5mKrp0Vvzr7lt3OU09vwQwhkpOPPYv2Y/edit?usp=sharing"",""งบพรบ!CK25"")"),19590)</f>
        <v>19590</v>
      </c>
      <c r="M178" s="224">
        <f ca="1">IFERROR(__xludf.DUMMYFUNCTION("IMPORTRANGE(""https://docs.google.com/spreadsheets/d/1-uDff_7J0KD5mKrp0Vvzr7lt3OU09vwQwhkpOPPYv2Y/edit?usp=sharing"",""งบพรบ!CP25"")"),39980)</f>
        <v>39980</v>
      </c>
      <c r="N178" s="224">
        <f ca="1">IFERROR(__xludf.DUMMYFUNCTION("IMPORTRANGE(""https://docs.google.com/spreadsheets/d/1-uDff_7J0KD5mKrp0Vvzr7lt3OU09vwQwhkpOPPYv2Y/edit?usp=sharing"",""งบพรบ!CR25"")"),37402)</f>
        <v>37402</v>
      </c>
      <c r="O178" s="224">
        <f t="shared" ca="1" si="119"/>
        <v>190.92394078611537</v>
      </c>
      <c r="P178" s="224">
        <f t="shared" ca="1" si="120"/>
        <v>93.551775887943975</v>
      </c>
      <c r="Q178" s="224">
        <f ca="1">IFERROR(__xludf.DUMMYFUNCTION("IMPORTRANGE(""https://docs.google.com/spreadsheets/d/1ItG2mGa2ceCfYo0BwxsXqNm01IGEUdYcSSLTEv9YCik/edit?usp=sharing"",""เบิกจ่ายกองทุน!DG25"")"),0)</f>
        <v>0</v>
      </c>
      <c r="R178" s="224">
        <f ca="1">IFERROR(__xludf.DUMMYFUNCTION("IMPORTRANGE(""https://docs.google.com/spreadsheets/d/1ItG2mGa2ceCfYo0BwxsXqNm01IGEUdYcSSLTEv9YCik/edit?usp=sharing"",""เบิกจ่ายกองทุน!DH25"")"),0)</f>
        <v>0</v>
      </c>
      <c r="S178" s="224">
        <f ca="1">IFERROR(__xludf.DUMMYFUNCTION("IMPORTRANGE(""https://docs.google.com/spreadsheets/d/1ItG2mGa2ceCfYo0BwxsXqNm01IGEUdYcSSLTEv9YCik/edit?usp=sharing"",""เบิกจ่ายกองทุน!DI25"")"),0)</f>
        <v>0</v>
      </c>
      <c r="T178" s="224">
        <f t="shared" ca="1" si="122"/>
        <v>0</v>
      </c>
      <c r="U178" s="224">
        <f t="shared" ca="1" si="123"/>
        <v>0</v>
      </c>
    </row>
    <row r="179" spans="1:21" ht="18.75" x14ac:dyDescent="0.25">
      <c r="A179" s="128"/>
      <c r="B179" s="40"/>
      <c r="C179" s="40"/>
      <c r="D179" s="41" t="s">
        <v>23</v>
      </c>
      <c r="E179" s="40"/>
      <c r="F179" s="40"/>
      <c r="G179" s="42"/>
      <c r="H179" s="137" t="s">
        <v>14</v>
      </c>
      <c r="I179" s="135"/>
      <c r="J179" s="135"/>
      <c r="K179" s="136"/>
      <c r="L179" s="1356">
        <f t="shared" ref="L179:N179" ca="1" si="128">L180+L181</f>
        <v>0</v>
      </c>
      <c r="M179" s="224">
        <f t="shared" ca="1" si="128"/>
        <v>0</v>
      </c>
      <c r="N179" s="224">
        <f t="shared" ca="1" si="128"/>
        <v>0</v>
      </c>
      <c r="O179" s="224">
        <f t="shared" ca="1" si="119"/>
        <v>0</v>
      </c>
      <c r="P179" s="224">
        <f t="shared" ca="1" si="120"/>
        <v>0</v>
      </c>
      <c r="Q179" s="224">
        <f t="shared" ref="Q179:S179" si="129">Q180+Q181</f>
        <v>0</v>
      </c>
      <c r="R179" s="224">
        <f t="shared" si="129"/>
        <v>0</v>
      </c>
      <c r="S179" s="224">
        <f t="shared" si="129"/>
        <v>0</v>
      </c>
      <c r="T179" s="224">
        <f t="shared" si="122"/>
        <v>0</v>
      </c>
      <c r="U179" s="224">
        <f t="shared" si="123"/>
        <v>0</v>
      </c>
    </row>
    <row r="180" spans="1:21" ht="18.75" x14ac:dyDescent="0.25">
      <c r="A180" s="128"/>
      <c r="B180" s="40"/>
      <c r="C180" s="40"/>
      <c r="D180" s="40"/>
      <c r="E180" s="156" t="s">
        <v>20</v>
      </c>
      <c r="F180" s="40"/>
      <c r="G180" s="42"/>
      <c r="H180" s="159" t="s">
        <v>14</v>
      </c>
      <c r="I180" s="135"/>
      <c r="J180" s="135"/>
      <c r="K180" s="136"/>
      <c r="L180" s="1358">
        <v>0</v>
      </c>
      <c r="M180" s="83">
        <v>0</v>
      </c>
      <c r="N180" s="83">
        <v>0</v>
      </c>
      <c r="O180" s="83">
        <f t="shared" si="119"/>
        <v>0</v>
      </c>
      <c r="P180" s="83">
        <f t="shared" si="120"/>
        <v>0</v>
      </c>
      <c r="Q180" s="83">
        <v>0</v>
      </c>
      <c r="R180" s="83">
        <v>0</v>
      </c>
      <c r="S180" s="83">
        <v>0</v>
      </c>
      <c r="T180" s="83">
        <f t="shared" si="122"/>
        <v>0</v>
      </c>
      <c r="U180" s="83">
        <f t="shared" si="123"/>
        <v>0</v>
      </c>
    </row>
    <row r="181" spans="1:21" ht="18.75" x14ac:dyDescent="0.25">
      <c r="A181" s="128"/>
      <c r="B181" s="40"/>
      <c r="C181" s="40"/>
      <c r="D181" s="40"/>
      <c r="E181" s="47" t="s">
        <v>21</v>
      </c>
      <c r="F181" s="40"/>
      <c r="G181" s="42"/>
      <c r="H181" s="137" t="s">
        <v>14</v>
      </c>
      <c r="I181" s="135"/>
      <c r="J181" s="135"/>
      <c r="K181" s="136"/>
      <c r="L181" s="1356">
        <f ca="1">IFERROR(__xludf.DUMMYFUNCTION("IMPORTRANGE(""https://docs.google.com/spreadsheets/d/1-uDff_7J0KD5mKrp0Vvzr7lt3OU09vwQwhkpOPPYv2Y/edit?usp=sharing"",""งบพรบ!CN25"")"),0)</f>
        <v>0</v>
      </c>
      <c r="M181" s="224">
        <f ca="1">IFERROR(__xludf.DUMMYFUNCTION("IMPORTRANGE(""https://docs.google.com/spreadsheets/d/1-uDff_7J0KD5mKrp0Vvzr7lt3OU09vwQwhkpOPPYv2Y/edit?usp=sharing"",""งบพรบ!CQ25"")"),0)</f>
        <v>0</v>
      </c>
      <c r="N181" s="224">
        <f ca="1">IFERROR(__xludf.DUMMYFUNCTION("IMPORTRANGE(""https://docs.google.com/spreadsheets/d/1-uDff_7J0KD5mKrp0Vvzr7lt3OU09vwQwhkpOPPYv2Y/edit?usp=sharing"",""งบพรบ!CS25"")"),0)</f>
        <v>0</v>
      </c>
      <c r="O181" s="224">
        <f t="shared" ca="1" si="119"/>
        <v>0</v>
      </c>
      <c r="P181" s="224">
        <f t="shared" ca="1" si="120"/>
        <v>0</v>
      </c>
      <c r="Q181" s="224">
        <v>0</v>
      </c>
      <c r="R181" s="224">
        <v>0</v>
      </c>
      <c r="S181" s="224">
        <v>0</v>
      </c>
      <c r="T181" s="224">
        <f t="shared" si="122"/>
        <v>0</v>
      </c>
      <c r="U181" s="224">
        <f t="shared" si="123"/>
        <v>0</v>
      </c>
    </row>
    <row r="182" spans="1:21" ht="19.5" x14ac:dyDescent="0.3">
      <c r="A182" s="138"/>
      <c r="B182" s="139"/>
      <c r="C182" s="129" t="s">
        <v>18</v>
      </c>
      <c r="D182" s="1391" t="s">
        <v>38</v>
      </c>
      <c r="E182" s="141"/>
      <c r="F182" s="141"/>
      <c r="G182" s="142"/>
      <c r="H182" s="178"/>
      <c r="I182" s="44"/>
      <c r="J182" s="44"/>
      <c r="K182" s="45"/>
      <c r="L182" s="1359"/>
      <c r="M182" s="45"/>
      <c r="N182" s="45"/>
      <c r="O182" s="45"/>
      <c r="P182" s="45"/>
      <c r="Q182" s="45"/>
      <c r="R182" s="45"/>
      <c r="S182" s="45"/>
      <c r="T182" s="45"/>
      <c r="U182" s="45"/>
    </row>
    <row r="183" spans="1:21" ht="18.75" x14ac:dyDescent="0.25">
      <c r="A183" s="208"/>
      <c r="B183" s="40"/>
      <c r="C183" s="158"/>
      <c r="D183" s="209" t="s">
        <v>75</v>
      </c>
      <c r="E183" s="40"/>
      <c r="F183" s="40"/>
      <c r="G183" s="42"/>
      <c r="H183" s="210" t="s">
        <v>35</v>
      </c>
      <c r="I183" s="184">
        <f ca="1">IFERROR(__xludf.DUMMYFUNCTION("IMPORTRANGE(""https://docs.google.com/spreadsheets/d/1eHaY18a8A9IcSdp1K8H6x8fbOy06t2VsZHhMHf-1x7Y/edit?usp=sharing"",""แผน!AA25"")"),17)</f>
        <v>17</v>
      </c>
      <c r="J183" s="1395">
        <v>7</v>
      </c>
      <c r="K183" s="224">
        <f t="shared" ref="K183:K185" ca="1" si="130">IF(I183&gt;0,J183*100/I183,0)</f>
        <v>41.176470588235297</v>
      </c>
      <c r="L183" s="1359"/>
      <c r="M183" s="45"/>
      <c r="N183" s="45"/>
      <c r="O183" s="45"/>
      <c r="P183" s="45"/>
      <c r="Q183" s="45"/>
      <c r="R183" s="45"/>
      <c r="S183" s="45"/>
      <c r="T183" s="45"/>
      <c r="U183" s="45"/>
    </row>
    <row r="184" spans="1:21" ht="18.75" x14ac:dyDescent="0.25">
      <c r="A184" s="208"/>
      <c r="B184" s="158"/>
      <c r="C184" s="158"/>
      <c r="D184" s="314" t="s">
        <v>76</v>
      </c>
      <c r="E184" s="40"/>
      <c r="F184" s="40"/>
      <c r="G184" s="42"/>
      <c r="H184" s="1415" t="s">
        <v>35</v>
      </c>
      <c r="I184" s="423">
        <v>0</v>
      </c>
      <c r="J184" s="423">
        <v>0</v>
      </c>
      <c r="K184" s="83">
        <f t="shared" si="130"/>
        <v>0</v>
      </c>
      <c r="L184" s="1359"/>
      <c r="M184" s="45"/>
      <c r="N184" s="45"/>
      <c r="O184" s="45"/>
      <c r="P184" s="45"/>
      <c r="Q184" s="45"/>
      <c r="R184" s="45"/>
      <c r="S184" s="45"/>
      <c r="T184" s="45"/>
      <c r="U184" s="45"/>
    </row>
    <row r="185" spans="1:21" ht="19.5" x14ac:dyDescent="0.3">
      <c r="A185" s="201"/>
      <c r="B185" s="202" t="s">
        <v>77</v>
      </c>
      <c r="C185" s="203"/>
      <c r="D185" s="141"/>
      <c r="E185" s="141"/>
      <c r="F185" s="141"/>
      <c r="G185" s="142"/>
      <c r="H185" s="204" t="s">
        <v>35</v>
      </c>
      <c r="I185" s="1412">
        <f t="shared" ref="I185:J185" ca="1" si="131">I230+I231</f>
        <v>0</v>
      </c>
      <c r="J185" s="1412">
        <f t="shared" si="131"/>
        <v>0</v>
      </c>
      <c r="K185" s="1413">
        <f t="shared" ca="1" si="130"/>
        <v>0</v>
      </c>
      <c r="L185" s="1414"/>
      <c r="M185" s="207"/>
      <c r="N185" s="207"/>
      <c r="O185" s="207"/>
      <c r="P185" s="207"/>
      <c r="Q185" s="207"/>
      <c r="R185" s="207"/>
      <c r="S185" s="207"/>
      <c r="T185" s="207"/>
      <c r="U185" s="207"/>
    </row>
    <row r="186" spans="1:21" ht="19.5" x14ac:dyDescent="0.3">
      <c r="A186" s="128"/>
      <c r="B186" s="40"/>
      <c r="C186" s="129" t="s">
        <v>18</v>
      </c>
      <c r="D186" s="1388" t="s">
        <v>19</v>
      </c>
      <c r="E186" s="40"/>
      <c r="F186" s="40"/>
      <c r="G186" s="42"/>
      <c r="H186" s="131" t="s">
        <v>14</v>
      </c>
      <c r="I186" s="44"/>
      <c r="J186" s="44"/>
      <c r="K186" s="45"/>
      <c r="L186" s="1389">
        <f t="shared" ref="L186:N186" ca="1" si="132">L187+L188</f>
        <v>127500</v>
      </c>
      <c r="M186" s="1390">
        <f t="shared" ca="1" si="132"/>
        <v>137200</v>
      </c>
      <c r="N186" s="1390">
        <f t="shared" ca="1" si="132"/>
        <v>81881</v>
      </c>
      <c r="O186" s="1390">
        <f t="shared" ref="O186:O194" ca="1" si="133">IF(L186&gt;0,N186*100/L186,0)</f>
        <v>64.220392156862744</v>
      </c>
      <c r="P186" s="1390">
        <f t="shared" ref="P186:P194" ca="1" si="134">IF(M186&gt;0,N186*100/M186,0)</f>
        <v>59.680029154518948</v>
      </c>
      <c r="Q186" s="1390">
        <f t="shared" ref="Q186:S186" ca="1" si="135">Q187+Q188</f>
        <v>14000</v>
      </c>
      <c r="R186" s="1390">
        <f t="shared" ca="1" si="135"/>
        <v>14000</v>
      </c>
      <c r="S186" s="1390">
        <f t="shared" ca="1" si="135"/>
        <v>0</v>
      </c>
      <c r="T186" s="1390">
        <f t="shared" ref="T186:T194" ca="1" si="136">IF(Q186&gt;0,S186*100/Q186,0)</f>
        <v>0</v>
      </c>
      <c r="U186" s="1390">
        <f t="shared" ref="U186:U194" ca="1" si="137">IF(R186&gt;0,S186*100/R186,0)</f>
        <v>0</v>
      </c>
    </row>
    <row r="187" spans="1:21" ht="18.75" x14ac:dyDescent="0.25">
      <c r="A187" s="128"/>
      <c r="B187" s="40"/>
      <c r="C187" s="40"/>
      <c r="D187" s="40"/>
      <c r="E187" s="156" t="s">
        <v>20</v>
      </c>
      <c r="F187" s="40"/>
      <c r="G187" s="42"/>
      <c r="H187" s="157" t="s">
        <v>14</v>
      </c>
      <c r="I187" s="44"/>
      <c r="J187" s="44"/>
      <c r="K187" s="45"/>
      <c r="L187" s="1358">
        <f t="shared" ref="L187:N188" si="138">L190+L193</f>
        <v>0</v>
      </c>
      <c r="M187" s="83">
        <f t="shared" si="138"/>
        <v>0</v>
      </c>
      <c r="N187" s="83">
        <f t="shared" si="138"/>
        <v>0</v>
      </c>
      <c r="O187" s="83">
        <f t="shared" si="133"/>
        <v>0</v>
      </c>
      <c r="P187" s="83">
        <f t="shared" si="134"/>
        <v>0</v>
      </c>
      <c r="Q187" s="83">
        <f t="shared" ref="Q187:S188" si="139">Q190+Q193</f>
        <v>0</v>
      </c>
      <c r="R187" s="83">
        <f t="shared" si="139"/>
        <v>0</v>
      </c>
      <c r="S187" s="83">
        <f t="shared" si="139"/>
        <v>0</v>
      </c>
      <c r="T187" s="83">
        <f t="shared" si="136"/>
        <v>0</v>
      </c>
      <c r="U187" s="83">
        <f t="shared" si="137"/>
        <v>0</v>
      </c>
    </row>
    <row r="188" spans="1:21" ht="18.75" x14ac:dyDescent="0.25">
      <c r="A188" s="128"/>
      <c r="B188" s="40"/>
      <c r="C188" s="40"/>
      <c r="D188" s="40"/>
      <c r="E188" s="47" t="s">
        <v>21</v>
      </c>
      <c r="F188" s="40"/>
      <c r="G188" s="42"/>
      <c r="H188" s="133" t="s">
        <v>14</v>
      </c>
      <c r="I188" s="44"/>
      <c r="J188" s="44"/>
      <c r="K188" s="45"/>
      <c r="L188" s="1356">
        <f t="shared" ca="1" si="138"/>
        <v>127500</v>
      </c>
      <c r="M188" s="224">
        <f t="shared" ca="1" si="138"/>
        <v>137200</v>
      </c>
      <c r="N188" s="224">
        <f t="shared" ca="1" si="138"/>
        <v>81881</v>
      </c>
      <c r="O188" s="224">
        <f t="shared" ca="1" si="133"/>
        <v>64.220392156862744</v>
      </c>
      <c r="P188" s="224">
        <f t="shared" ca="1" si="134"/>
        <v>59.680029154518948</v>
      </c>
      <c r="Q188" s="224">
        <f t="shared" ca="1" si="139"/>
        <v>14000</v>
      </c>
      <c r="R188" s="224">
        <f t="shared" ca="1" si="139"/>
        <v>14000</v>
      </c>
      <c r="S188" s="224">
        <f t="shared" ca="1" si="139"/>
        <v>0</v>
      </c>
      <c r="T188" s="224">
        <f t="shared" ca="1" si="136"/>
        <v>0</v>
      </c>
      <c r="U188" s="224">
        <f t="shared" ca="1" si="137"/>
        <v>0</v>
      </c>
    </row>
    <row r="189" spans="1:21" ht="18.75" x14ac:dyDescent="0.25">
      <c r="A189" s="128"/>
      <c r="B189" s="40"/>
      <c r="C189" s="40"/>
      <c r="D189" s="41" t="s">
        <v>22</v>
      </c>
      <c r="E189" s="40"/>
      <c r="F189" s="40"/>
      <c r="G189" s="42"/>
      <c r="H189" s="134" t="s">
        <v>14</v>
      </c>
      <c r="I189" s="135"/>
      <c r="J189" s="135"/>
      <c r="K189" s="136"/>
      <c r="L189" s="1356">
        <f t="shared" ref="L189:N189" ca="1" si="140">L190+L191</f>
        <v>127500</v>
      </c>
      <c r="M189" s="224">
        <f t="shared" ca="1" si="140"/>
        <v>137200</v>
      </c>
      <c r="N189" s="224">
        <f t="shared" ca="1" si="140"/>
        <v>81881</v>
      </c>
      <c r="O189" s="224">
        <f t="shared" ca="1" si="133"/>
        <v>64.220392156862744</v>
      </c>
      <c r="P189" s="224">
        <f t="shared" ca="1" si="134"/>
        <v>59.680029154518948</v>
      </c>
      <c r="Q189" s="224">
        <f t="shared" ref="Q189:S189" ca="1" si="141">Q190+Q191</f>
        <v>14000</v>
      </c>
      <c r="R189" s="224">
        <f t="shared" ca="1" si="141"/>
        <v>14000</v>
      </c>
      <c r="S189" s="224">
        <f t="shared" ca="1" si="141"/>
        <v>0</v>
      </c>
      <c r="T189" s="224">
        <f t="shared" ca="1" si="136"/>
        <v>0</v>
      </c>
      <c r="U189" s="224">
        <f t="shared" ca="1" si="137"/>
        <v>0</v>
      </c>
    </row>
    <row r="190" spans="1:21" ht="18.75" x14ac:dyDescent="0.25">
      <c r="A190" s="128"/>
      <c r="B190" s="40"/>
      <c r="C190" s="40"/>
      <c r="D190" s="40"/>
      <c r="E190" s="156" t="s">
        <v>36</v>
      </c>
      <c r="F190" s="40"/>
      <c r="G190" s="42"/>
      <c r="H190" s="159" t="s">
        <v>14</v>
      </c>
      <c r="I190" s="135"/>
      <c r="J190" s="135"/>
      <c r="K190" s="136"/>
      <c r="L190" s="1358">
        <v>0</v>
      </c>
      <c r="M190" s="83">
        <v>0</v>
      </c>
      <c r="N190" s="83">
        <v>0</v>
      </c>
      <c r="O190" s="83">
        <f t="shared" si="133"/>
        <v>0</v>
      </c>
      <c r="P190" s="83">
        <f t="shared" si="134"/>
        <v>0</v>
      </c>
      <c r="Q190" s="83">
        <v>0</v>
      </c>
      <c r="R190" s="83">
        <v>0</v>
      </c>
      <c r="S190" s="83">
        <v>0</v>
      </c>
      <c r="T190" s="83">
        <f t="shared" si="136"/>
        <v>0</v>
      </c>
      <c r="U190" s="83">
        <f t="shared" si="137"/>
        <v>0</v>
      </c>
    </row>
    <row r="191" spans="1:21" ht="18.75" x14ac:dyDescent="0.25">
      <c r="A191" s="128"/>
      <c r="B191" s="40"/>
      <c r="C191" s="40"/>
      <c r="D191" s="40"/>
      <c r="E191" s="47" t="s">
        <v>37</v>
      </c>
      <c r="F191" s="40"/>
      <c r="G191" s="42"/>
      <c r="H191" s="134" t="s">
        <v>14</v>
      </c>
      <c r="I191" s="135"/>
      <c r="J191" s="135"/>
      <c r="K191" s="136"/>
      <c r="L191" s="1356">
        <f ca="1">IFERROR(__xludf.DUMMYFUNCTION("IMPORTRANGE(""https://docs.google.com/spreadsheets/d/1-uDff_7J0KD5mKrp0Vvzr7lt3OU09vwQwhkpOPPYv2Y/edit?usp=sharing"",""งบพรบ!CU25"")"),127500)</f>
        <v>127500</v>
      </c>
      <c r="M191" s="224">
        <f ca="1">IFERROR(__xludf.DUMMYFUNCTION("IMPORTRANGE(""https://docs.google.com/spreadsheets/d/1-uDff_7J0KD5mKrp0Vvzr7lt3OU09vwQwhkpOPPYv2Y/edit?usp=sharing"",""งบพรบ!CZ25"")"),137200)</f>
        <v>137200</v>
      </c>
      <c r="N191" s="224">
        <f ca="1">IFERROR(__xludf.DUMMYFUNCTION("IMPORTRANGE(""https://docs.google.com/spreadsheets/d/1-uDff_7J0KD5mKrp0Vvzr7lt3OU09vwQwhkpOPPYv2Y/edit?usp=sharing"",""งบพรบ!DB25"")"),81881)</f>
        <v>81881</v>
      </c>
      <c r="O191" s="224">
        <f t="shared" ca="1" si="133"/>
        <v>64.220392156862744</v>
      </c>
      <c r="P191" s="224">
        <f t="shared" ca="1" si="134"/>
        <v>59.680029154518948</v>
      </c>
      <c r="Q191" s="224">
        <f ca="1">IFERROR(__xludf.DUMMYFUNCTION("IMPORTRANGE(""https://docs.google.com/spreadsheets/d/1ItG2mGa2ceCfYo0BwxsXqNm01IGEUdYcSSLTEv9YCik/edit?usp=sharing"",""เบิกจ่ายกองทุน!BQ25"")"),14000)</f>
        <v>14000</v>
      </c>
      <c r="R191" s="224">
        <f ca="1">IFERROR(__xludf.DUMMYFUNCTION("IMPORTRANGE(""https://docs.google.com/spreadsheets/d/1ItG2mGa2ceCfYo0BwxsXqNm01IGEUdYcSSLTEv9YCik/edit?usp=sharing"",""เบิกจ่ายกองทุน!BR25"")"),14000)</f>
        <v>14000</v>
      </c>
      <c r="S191" s="224">
        <f ca="1">IFERROR(__xludf.DUMMYFUNCTION("IMPORTRANGE(""https://docs.google.com/spreadsheets/d/1ItG2mGa2ceCfYo0BwxsXqNm01IGEUdYcSSLTEv9YCik/edit?usp=sharing"",""เบิกจ่ายกองทุน!BS25"")"),0)</f>
        <v>0</v>
      </c>
      <c r="T191" s="224">
        <f t="shared" ca="1" si="136"/>
        <v>0</v>
      </c>
      <c r="U191" s="224">
        <f t="shared" ca="1" si="137"/>
        <v>0</v>
      </c>
    </row>
    <row r="192" spans="1:21" ht="18.75" x14ac:dyDescent="0.25">
      <c r="A192" s="128"/>
      <c r="B192" s="40"/>
      <c r="C192" s="40"/>
      <c r="D192" s="41" t="s">
        <v>23</v>
      </c>
      <c r="E192" s="40"/>
      <c r="F192" s="40"/>
      <c r="G192" s="42"/>
      <c r="H192" s="137" t="s">
        <v>14</v>
      </c>
      <c r="I192" s="135"/>
      <c r="J192" s="135"/>
      <c r="K192" s="136"/>
      <c r="L192" s="1356">
        <f t="shared" ref="L192:N192" ca="1" si="142">L193+L194</f>
        <v>0</v>
      </c>
      <c r="M192" s="224">
        <f t="shared" ca="1" si="142"/>
        <v>0</v>
      </c>
      <c r="N192" s="224">
        <f t="shared" ca="1" si="142"/>
        <v>0</v>
      </c>
      <c r="O192" s="224">
        <f t="shared" ca="1" si="133"/>
        <v>0</v>
      </c>
      <c r="P192" s="224">
        <f t="shared" ca="1" si="134"/>
        <v>0</v>
      </c>
      <c r="Q192" s="224">
        <f t="shared" ref="Q192:S192" ca="1" si="143">Q193+Q194</f>
        <v>0</v>
      </c>
      <c r="R192" s="224">
        <f t="shared" ca="1" si="143"/>
        <v>0</v>
      </c>
      <c r="S192" s="224">
        <f t="shared" ca="1" si="143"/>
        <v>0</v>
      </c>
      <c r="T192" s="224">
        <f t="shared" ca="1" si="136"/>
        <v>0</v>
      </c>
      <c r="U192" s="224">
        <f t="shared" ca="1" si="137"/>
        <v>0</v>
      </c>
    </row>
    <row r="193" spans="1:21" ht="18.75" x14ac:dyDescent="0.25">
      <c r="A193" s="128"/>
      <c r="B193" s="40"/>
      <c r="C193" s="40"/>
      <c r="D193" s="40"/>
      <c r="E193" s="156" t="s">
        <v>20</v>
      </c>
      <c r="F193" s="40"/>
      <c r="G193" s="42"/>
      <c r="H193" s="159" t="s">
        <v>14</v>
      </c>
      <c r="I193" s="135"/>
      <c r="J193" s="135"/>
      <c r="K193" s="136"/>
      <c r="L193" s="1358">
        <v>0</v>
      </c>
      <c r="M193" s="83">
        <v>0</v>
      </c>
      <c r="N193" s="83">
        <v>0</v>
      </c>
      <c r="O193" s="83">
        <f t="shared" si="133"/>
        <v>0</v>
      </c>
      <c r="P193" s="83">
        <f t="shared" si="134"/>
        <v>0</v>
      </c>
      <c r="Q193" s="83">
        <v>0</v>
      </c>
      <c r="R193" s="83">
        <v>0</v>
      </c>
      <c r="S193" s="83">
        <v>0</v>
      </c>
      <c r="T193" s="83">
        <f t="shared" si="136"/>
        <v>0</v>
      </c>
      <c r="U193" s="83">
        <f t="shared" si="137"/>
        <v>0</v>
      </c>
    </row>
    <row r="194" spans="1:21" ht="18.75" x14ac:dyDescent="0.25">
      <c r="A194" s="128"/>
      <c r="B194" s="40"/>
      <c r="C194" s="40"/>
      <c r="D194" s="40"/>
      <c r="E194" s="47" t="s">
        <v>21</v>
      </c>
      <c r="F194" s="40"/>
      <c r="G194" s="42"/>
      <c r="H194" s="137" t="s">
        <v>14</v>
      </c>
      <c r="I194" s="135"/>
      <c r="J194" s="135"/>
      <c r="K194" s="136"/>
      <c r="L194" s="1356">
        <f ca="1">IFERROR(__xludf.DUMMYFUNCTION("IMPORTRANGE(""https://docs.google.com/spreadsheets/d/1-uDff_7J0KD5mKrp0Vvzr7lt3OU09vwQwhkpOPPYv2Y/edit?usp=sharing"",""งบพรบ!CX25"")"),0)</f>
        <v>0</v>
      </c>
      <c r="M194" s="224">
        <f ca="1">IFERROR(__xludf.DUMMYFUNCTION("IMPORTRANGE(""https://docs.google.com/spreadsheets/d/1-uDff_7J0KD5mKrp0Vvzr7lt3OU09vwQwhkpOPPYv2Y/edit?usp=sharing"",""งบพรบ!DA25"")"),0)</f>
        <v>0</v>
      </c>
      <c r="N194" s="224">
        <f ca="1">IFERROR(__xludf.DUMMYFUNCTION("IMPORTRANGE(""https://docs.google.com/spreadsheets/d/1-uDff_7J0KD5mKrp0Vvzr7lt3OU09vwQwhkpOPPYv2Y/edit?usp=sharing"",""งบพรบ!DC25"")"),0)</f>
        <v>0</v>
      </c>
      <c r="O194" s="224">
        <f t="shared" ca="1" si="133"/>
        <v>0</v>
      </c>
      <c r="P194" s="224">
        <f t="shared" ca="1" si="134"/>
        <v>0</v>
      </c>
      <c r="Q194" s="224">
        <f ca="1">IFERROR(__xludf.DUMMYFUNCTION("IMPORTRANGE(""https://docs.google.com/spreadsheets/d/1ItG2mGa2ceCfYo0BwxsXqNm01IGEUdYcSSLTEv9YCik/edit?usp=sharing"",""เบิกจ่ายกองทุน!BT25"")"),0)</f>
        <v>0</v>
      </c>
      <c r="R194" s="224">
        <f ca="1">IFERROR(__xludf.DUMMYFUNCTION("IMPORTRANGE(""https://docs.google.com/spreadsheets/d/1ItG2mGa2ceCfYo0BwxsXqNm01IGEUdYcSSLTEv9YCik/edit?usp=sharing"",""เบิกจ่ายกองทุน!BU25"")"),0)</f>
        <v>0</v>
      </c>
      <c r="S194" s="224">
        <f ca="1">IFERROR(__xludf.DUMMYFUNCTION("IMPORTRANGE(""https://docs.google.com/spreadsheets/d/1ItG2mGa2ceCfYo0BwxsXqNm01IGEUdYcSSLTEv9YCik/edit?usp=sharing"",""เบิกจ่ายกองทุน!BV25"")"),0)</f>
        <v>0</v>
      </c>
      <c r="T194" s="224">
        <f t="shared" ca="1" si="136"/>
        <v>0</v>
      </c>
      <c r="U194" s="224">
        <f t="shared" ca="1" si="137"/>
        <v>0</v>
      </c>
    </row>
    <row r="195" spans="1:21" ht="19.5" x14ac:dyDescent="0.3">
      <c r="A195" s="211"/>
      <c r="B195" s="212"/>
      <c r="C195" s="213" t="s">
        <v>78</v>
      </c>
      <c r="D195" s="214"/>
      <c r="E195" s="214"/>
      <c r="F195" s="214"/>
      <c r="G195" s="215"/>
      <c r="H195" s="216" t="s">
        <v>79</v>
      </c>
      <c r="I195" s="303">
        <f t="shared" ref="I195:J195" ca="1" si="144">I198</f>
        <v>4</v>
      </c>
      <c r="J195" s="303">
        <f t="shared" si="144"/>
        <v>2</v>
      </c>
      <c r="K195" s="304">
        <f ca="1">IF(I195&gt;0,J195*100/I195,0)</f>
        <v>50</v>
      </c>
      <c r="L195" s="1416"/>
      <c r="M195" s="219"/>
      <c r="N195" s="219"/>
      <c r="O195" s="219"/>
      <c r="P195" s="219"/>
      <c r="Q195" s="219"/>
      <c r="R195" s="219"/>
      <c r="S195" s="219"/>
      <c r="T195" s="219"/>
      <c r="U195" s="219"/>
    </row>
    <row r="196" spans="1:21" ht="19.5" x14ac:dyDescent="0.3">
      <c r="A196" s="128"/>
      <c r="B196" s="40"/>
      <c r="C196" s="129" t="s">
        <v>18</v>
      </c>
      <c r="D196" s="1417" t="s">
        <v>19</v>
      </c>
      <c r="E196" s="40"/>
      <c r="F196" s="40"/>
      <c r="G196" s="42"/>
      <c r="H196" s="221" t="s">
        <v>14</v>
      </c>
      <c r="I196" s="44"/>
      <c r="J196" s="44"/>
      <c r="K196" s="45"/>
      <c r="L196" s="1389">
        <f ca="1">IFERROR(__xludf.DUMMYFUNCTION("IMPORTRANGE(""https://docs.google.com/spreadsheets/d/1eHaY18a8A9IcSdp1K8H6x8fbOy06t2VsZHhMHf-1x7Y/edit?usp=sharing"",""แผน!AB25"")"),6000)</f>
        <v>6000</v>
      </c>
      <c r="M196" s="45"/>
      <c r="N196" s="1418">
        <v>2080</v>
      </c>
      <c r="O196" s="1390">
        <f ca="1">IF(L196&gt;0,N196*100/L196,0)</f>
        <v>34.666666666666664</v>
      </c>
      <c r="P196" s="1390">
        <f>IF(M196&gt;0,N196*100/M196,0)</f>
        <v>0</v>
      </c>
      <c r="Q196" s="45"/>
      <c r="R196" s="45"/>
      <c r="S196" s="45"/>
      <c r="T196" s="45"/>
      <c r="U196" s="45"/>
    </row>
    <row r="197" spans="1:21" ht="19.5" x14ac:dyDescent="0.3">
      <c r="A197" s="138"/>
      <c r="B197" s="139"/>
      <c r="C197" s="129" t="s">
        <v>18</v>
      </c>
      <c r="D197" s="1391" t="s">
        <v>38</v>
      </c>
      <c r="E197" s="141"/>
      <c r="F197" s="141"/>
      <c r="G197" s="142"/>
      <c r="H197" s="143"/>
      <c r="I197" s="44"/>
      <c r="J197" s="44"/>
      <c r="K197" s="45"/>
      <c r="L197" s="1359"/>
      <c r="M197" s="45"/>
      <c r="N197" s="45"/>
      <c r="O197" s="45"/>
      <c r="P197" s="45"/>
      <c r="Q197" s="45"/>
      <c r="R197" s="45"/>
      <c r="S197" s="45"/>
      <c r="T197" s="45"/>
      <c r="U197" s="45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84">
        <f ca="1">IFERROR(__xludf.DUMMYFUNCTION("IMPORTRANGE(""https://docs.google.com/spreadsheets/d/1eHaY18a8A9IcSdp1K8H6x8fbOy06t2VsZHhMHf-1x7Y/edit?usp=sharing"",""แผน!AE25"")"),4)</f>
        <v>4</v>
      </c>
      <c r="J198" s="1395">
        <v>2</v>
      </c>
      <c r="K198" s="224">
        <f ca="1">IF(I198&gt;0,J198*100/I198,0)</f>
        <v>50</v>
      </c>
      <c r="L198" s="1359"/>
      <c r="M198" s="45"/>
      <c r="N198" s="45"/>
      <c r="O198" s="45"/>
      <c r="P198" s="45"/>
      <c r="Q198" s="45"/>
      <c r="R198" s="45"/>
      <c r="S198" s="45"/>
      <c r="T198" s="45"/>
      <c r="U198" s="45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0" t="s">
        <v>35</v>
      </c>
      <c r="I199" s="44"/>
      <c r="J199" s="184">
        <f>J200+J201</f>
        <v>76</v>
      </c>
      <c r="K199" s="45"/>
      <c r="L199" s="1359"/>
      <c r="M199" s="45"/>
      <c r="N199" s="45"/>
      <c r="O199" s="45"/>
      <c r="P199" s="45"/>
      <c r="Q199" s="45"/>
      <c r="R199" s="45"/>
      <c r="S199" s="45"/>
      <c r="T199" s="45"/>
      <c r="U199" s="45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0" t="s">
        <v>35</v>
      </c>
      <c r="I200" s="44"/>
      <c r="J200" s="1395">
        <v>26</v>
      </c>
      <c r="K200" s="45"/>
      <c r="L200" s="1359"/>
      <c r="M200" s="45"/>
      <c r="N200" s="45"/>
      <c r="O200" s="45"/>
      <c r="P200" s="45"/>
      <c r="Q200" s="45"/>
      <c r="R200" s="45"/>
      <c r="S200" s="45"/>
      <c r="T200" s="45"/>
      <c r="U200" s="45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0" t="s">
        <v>35</v>
      </c>
      <c r="I201" s="44"/>
      <c r="J201" s="1395">
        <v>50</v>
      </c>
      <c r="K201" s="45"/>
      <c r="L201" s="1359"/>
      <c r="M201" s="45"/>
      <c r="N201" s="45"/>
      <c r="O201" s="45"/>
      <c r="P201" s="45"/>
      <c r="Q201" s="45"/>
      <c r="R201" s="45"/>
      <c r="S201" s="45"/>
      <c r="T201" s="45"/>
      <c r="U201" s="45"/>
    </row>
    <row r="202" spans="1:21" ht="19.5" x14ac:dyDescent="0.3">
      <c r="A202" s="211"/>
      <c r="B202" s="212"/>
      <c r="C202" s="213" t="s">
        <v>84</v>
      </c>
      <c r="D202" s="214"/>
      <c r="E202" s="214"/>
      <c r="F202" s="214"/>
      <c r="G202" s="215"/>
      <c r="H202" s="223" t="s">
        <v>85</v>
      </c>
      <c r="I202" s="303">
        <f t="shared" ref="I202:J202" ca="1" si="145">I209</f>
        <v>2</v>
      </c>
      <c r="J202" s="303">
        <f t="shared" si="145"/>
        <v>1</v>
      </c>
      <c r="K202" s="304">
        <f ca="1">IF(I202&gt;0,J202*100/I202,0)</f>
        <v>50</v>
      </c>
      <c r="L202" s="1416"/>
      <c r="M202" s="219"/>
      <c r="N202" s="219"/>
      <c r="O202" s="219"/>
      <c r="P202" s="219"/>
      <c r="Q202" s="219"/>
      <c r="R202" s="219"/>
      <c r="S202" s="219"/>
      <c r="T202" s="219"/>
      <c r="U202" s="219"/>
    </row>
    <row r="203" spans="1:21" ht="19.5" x14ac:dyDescent="0.3">
      <c r="A203" s="128"/>
      <c r="B203" s="40"/>
      <c r="C203" s="129" t="s">
        <v>18</v>
      </c>
      <c r="D203" s="1417" t="s">
        <v>19</v>
      </c>
      <c r="E203" s="40"/>
      <c r="F203" s="40"/>
      <c r="G203" s="42"/>
      <c r="H203" s="221" t="s">
        <v>14</v>
      </c>
      <c r="I203" s="135"/>
      <c r="J203" s="135"/>
      <c r="K203" s="136"/>
      <c r="L203" s="1389">
        <f ca="1">L204+L205+L206+L207</f>
        <v>13000</v>
      </c>
      <c r="M203" s="45"/>
      <c r="N203" s="1390">
        <f>N204+N205+N206+N207</f>
        <v>8000</v>
      </c>
      <c r="O203" s="1390">
        <f ca="1">IF(L203&gt;0,N203*100/L203,0)</f>
        <v>61.53846153846154</v>
      </c>
      <c r="P203" s="1390">
        <f>IF(M203&gt;0,N203*100/M203,0)</f>
        <v>0</v>
      </c>
      <c r="Q203" s="1419">
        <f ca="1">Q204+Q205+Q206+Q207</f>
        <v>14000</v>
      </c>
      <c r="R203" s="373"/>
      <c r="S203" s="1420">
        <f>S204+S205+S206+S207</f>
        <v>0</v>
      </c>
      <c r="T203" s="1420">
        <f ca="1">IF(Q203&gt;0,S203*100/Q203,0)</f>
        <v>0</v>
      </c>
      <c r="U203" s="1420">
        <f>IF(R203&gt;0,S203*100/R203,0)</f>
        <v>0</v>
      </c>
    </row>
    <row r="204" spans="1:21" ht="18.75" x14ac:dyDescent="0.25">
      <c r="A204" s="128"/>
      <c r="B204" s="158"/>
      <c r="C204" s="40"/>
      <c r="D204" s="1421" t="s">
        <v>317</v>
      </c>
      <c r="E204" s="40"/>
      <c r="F204" s="40"/>
      <c r="G204" s="42"/>
      <c r="H204" s="134" t="s">
        <v>14</v>
      </c>
      <c r="I204" s="135"/>
      <c r="J204" s="135"/>
      <c r="K204" s="136"/>
      <c r="L204" s="1356">
        <f ca="1">IFERROR(__xludf.DUMMYFUNCTION("IMPORTRANGE(""https://docs.google.com/spreadsheets/d/1eHaY18a8A9IcSdp1K8H6x8fbOy06t2VsZHhMHf-1x7Y/edit?usp=sharing"",""แผน!AG25"")"),1000)</f>
        <v>1000</v>
      </c>
      <c r="M204" s="45"/>
      <c r="N204" s="1422">
        <v>0</v>
      </c>
      <c r="O204" s="136"/>
      <c r="P204" s="45"/>
      <c r="Q204" s="1356">
        <v>0</v>
      </c>
      <c r="R204" s="45"/>
      <c r="S204" s="224">
        <v>0</v>
      </c>
      <c r="T204" s="136"/>
      <c r="U204" s="45"/>
    </row>
    <row r="205" spans="1:21" ht="18.75" x14ac:dyDescent="0.25">
      <c r="A205" s="208"/>
      <c r="B205" s="158"/>
      <c r="C205" s="40"/>
      <c r="D205" s="47" t="s">
        <v>301</v>
      </c>
      <c r="E205" s="40"/>
      <c r="F205" s="40"/>
      <c r="G205" s="42"/>
      <c r="H205" s="43" t="s">
        <v>14</v>
      </c>
      <c r="I205" s="44"/>
      <c r="J205" s="44"/>
      <c r="K205" s="45"/>
      <c r="L205" s="1356">
        <f ca="1">IFERROR(__xludf.DUMMYFUNCTION("IMPORTRANGE(""https://docs.google.com/spreadsheets/d/1eHaY18a8A9IcSdp1K8H6x8fbOy06t2VsZHhMHf-1x7Y/edit?usp=sharing"",""แผน!AH25"")"),0)</f>
        <v>0</v>
      </c>
      <c r="M205" s="45"/>
      <c r="N205" s="1422">
        <v>0</v>
      </c>
      <c r="O205" s="136"/>
      <c r="P205" s="45"/>
      <c r="Q205" s="1356">
        <v>0</v>
      </c>
      <c r="R205" s="45"/>
      <c r="S205" s="224">
        <v>0</v>
      </c>
      <c r="T205" s="136"/>
      <c r="U205" s="45"/>
    </row>
    <row r="206" spans="1:21" ht="18.75" x14ac:dyDescent="0.25">
      <c r="A206" s="208"/>
      <c r="B206" s="158"/>
      <c r="C206" s="40"/>
      <c r="D206" s="47" t="s">
        <v>88</v>
      </c>
      <c r="E206" s="40"/>
      <c r="F206" s="40"/>
      <c r="G206" s="42"/>
      <c r="H206" s="43" t="s">
        <v>14</v>
      </c>
      <c r="I206" s="44"/>
      <c r="J206" s="44"/>
      <c r="K206" s="45"/>
      <c r="L206" s="1356">
        <f ca="1">IFERROR(__xludf.DUMMYFUNCTION("IMPORTRANGE(""https://docs.google.com/spreadsheets/d/1eHaY18a8A9IcSdp1K8H6x8fbOy06t2VsZHhMHf-1x7Y/edit?usp=sharing"",""แผน!AI25"")"),8000)</f>
        <v>8000</v>
      </c>
      <c r="M206" s="45"/>
      <c r="N206" s="1422">
        <v>8000</v>
      </c>
      <c r="O206" s="136"/>
      <c r="P206" s="45"/>
      <c r="Q206" s="1356">
        <f ca="1">IFERROR(__xludf.DUMMYFUNCTION("IMPORTRANGE(""https://docs.google.com/spreadsheets/d/1eHaY18a8A9IcSdp1K8H6x8fbOy06t2VsZHhMHf-1x7Y/edit?usp=sharing"",""แผน!LV25"")"),14000)</f>
        <v>14000</v>
      </c>
      <c r="R206" s="45"/>
      <c r="S206" s="1422">
        <v>0</v>
      </c>
      <c r="T206" s="136"/>
      <c r="U206" s="45"/>
    </row>
    <row r="207" spans="1:21" ht="18.75" x14ac:dyDescent="0.25">
      <c r="A207" s="208"/>
      <c r="B207" s="158"/>
      <c r="C207" s="40"/>
      <c r="D207" s="47" t="s">
        <v>89</v>
      </c>
      <c r="E207" s="40"/>
      <c r="F207" s="40"/>
      <c r="G207" s="42"/>
      <c r="H207" s="43" t="s">
        <v>14</v>
      </c>
      <c r="I207" s="44"/>
      <c r="J207" s="44"/>
      <c r="K207" s="45"/>
      <c r="L207" s="1356">
        <f ca="1">IFERROR(__xludf.DUMMYFUNCTION("IMPORTRANGE(""https://docs.google.com/spreadsheets/d/1eHaY18a8A9IcSdp1K8H6x8fbOy06t2VsZHhMHf-1x7Y/edit?usp=sharing"",""แผน!AJ25"")"),4000)</f>
        <v>4000</v>
      </c>
      <c r="M207" s="45"/>
      <c r="N207" s="1422">
        <v>0</v>
      </c>
      <c r="O207" s="136"/>
      <c r="P207" s="45"/>
      <c r="Q207" s="1356">
        <v>0</v>
      </c>
      <c r="R207" s="45"/>
      <c r="S207" s="224">
        <v>0</v>
      </c>
      <c r="T207" s="136"/>
      <c r="U207" s="45"/>
    </row>
    <row r="208" spans="1:21" ht="19.5" x14ac:dyDescent="0.3">
      <c r="A208" s="138"/>
      <c r="B208" s="139"/>
      <c r="C208" s="129" t="s">
        <v>18</v>
      </c>
      <c r="D208" s="1391" t="s">
        <v>38</v>
      </c>
      <c r="E208" s="141"/>
      <c r="F208" s="141"/>
      <c r="G208" s="142"/>
      <c r="H208" s="143"/>
      <c r="I208" s="135"/>
      <c r="J208" s="135"/>
      <c r="K208" s="136"/>
      <c r="L208" s="1392"/>
      <c r="M208" s="136"/>
      <c r="N208" s="136"/>
      <c r="O208" s="136"/>
      <c r="P208" s="136"/>
      <c r="Q208" s="1392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25" t="s">
        <v>85</v>
      </c>
      <c r="I209" s="184">
        <f ca="1">IFERROR(__xludf.DUMMYFUNCTION("IMPORTRANGE(""https://docs.google.com/spreadsheets/d/1eHaY18a8A9IcSdp1K8H6x8fbOy06t2VsZHhMHf-1x7Y/edit?usp=sharing"",""แผน!AK25"")"),2)</f>
        <v>2</v>
      </c>
      <c r="J209" s="1395">
        <v>1</v>
      </c>
      <c r="K209" s="1396">
        <f ca="1">IF(I209&gt;0,J209*100/I209,0)</f>
        <v>50</v>
      </c>
      <c r="L209" s="1359"/>
      <c r="M209" s="45"/>
      <c r="N209" s="45"/>
      <c r="O209" s="45"/>
      <c r="P209" s="45"/>
      <c r="Q209" s="1359"/>
      <c r="R209" s="45"/>
      <c r="S209" s="45"/>
      <c r="T209" s="45"/>
      <c r="U209" s="45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4"/>
      <c r="J210" s="44"/>
      <c r="K210" s="136"/>
      <c r="L210" s="1359"/>
      <c r="M210" s="45"/>
      <c r="N210" s="45"/>
      <c r="O210" s="45"/>
      <c r="P210" s="45"/>
      <c r="Q210" s="1359"/>
      <c r="R210" s="45"/>
      <c r="S210" s="45"/>
      <c r="T210" s="45"/>
      <c r="U210" s="45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25" t="s">
        <v>85</v>
      </c>
      <c r="I211" s="184">
        <f ca="1">IFERROR(__xludf.DUMMYFUNCTION("IMPORTRANGE(""https://docs.google.com/spreadsheets/d/1eHaY18a8A9IcSdp1K8H6x8fbOy06t2VsZHhMHf-1x7Y/edit?usp=sharing"",""แผน!JX25"")"),1)</f>
        <v>1</v>
      </c>
      <c r="J211" s="1395">
        <v>1</v>
      </c>
      <c r="K211" s="1396">
        <f t="shared" ref="K211:K213" ca="1" si="146">IF(I211&gt;0,J211*100/I211,0)</f>
        <v>100</v>
      </c>
      <c r="L211" s="1359"/>
      <c r="M211" s="45"/>
      <c r="N211" s="45"/>
      <c r="O211" s="45"/>
      <c r="P211" s="45"/>
      <c r="Q211" s="1359"/>
      <c r="R211" s="45"/>
      <c r="S211" s="45"/>
      <c r="T211" s="45"/>
      <c r="U211" s="45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84">
        <f ca="1">IFERROR(__xludf.DUMMYFUNCTION("IMPORTRANGE(""https://docs.google.com/spreadsheets/d/1eHaY18a8A9IcSdp1K8H6x8fbOy06t2VsZHhMHf-1x7Y/edit?usp=sharing"",""แผน!JY25"")"),0)</f>
        <v>0</v>
      </c>
      <c r="J212" s="1395">
        <v>0</v>
      </c>
      <c r="K212" s="1396">
        <f t="shared" ca="1" si="146"/>
        <v>0</v>
      </c>
      <c r="L212" s="1359"/>
      <c r="M212" s="45"/>
      <c r="N212" s="45"/>
      <c r="O212" s="45"/>
      <c r="P212" s="45"/>
      <c r="Q212" s="1359"/>
      <c r="R212" s="45"/>
      <c r="S212" s="45"/>
      <c r="T212" s="45"/>
      <c r="U212" s="45"/>
    </row>
    <row r="213" spans="1:21" ht="19.5" x14ac:dyDescent="0.3">
      <c r="A213" s="211"/>
      <c r="B213" s="212"/>
      <c r="C213" s="213" t="s">
        <v>94</v>
      </c>
      <c r="D213" s="214"/>
      <c r="E213" s="214"/>
      <c r="F213" s="214"/>
      <c r="G213" s="215"/>
      <c r="H213" s="223" t="s">
        <v>85</v>
      </c>
      <c r="I213" s="303">
        <f t="shared" ref="I213:J213" ca="1" si="147">I220</f>
        <v>0</v>
      </c>
      <c r="J213" s="303">
        <f t="shared" si="147"/>
        <v>0</v>
      </c>
      <c r="K213" s="304">
        <f t="shared" ca="1" si="146"/>
        <v>0</v>
      </c>
      <c r="L213" s="1416"/>
      <c r="M213" s="219"/>
      <c r="N213" s="219"/>
      <c r="O213" s="219"/>
      <c r="P213" s="219"/>
      <c r="Q213" s="1416"/>
      <c r="R213" s="219"/>
      <c r="S213" s="219"/>
      <c r="T213" s="219"/>
      <c r="U213" s="219"/>
    </row>
    <row r="214" spans="1:21" ht="19.5" x14ac:dyDescent="0.3">
      <c r="A214" s="128"/>
      <c r="B214" s="40"/>
      <c r="C214" s="129" t="s">
        <v>18</v>
      </c>
      <c r="D214" s="1417" t="s">
        <v>19</v>
      </c>
      <c r="E214" s="40"/>
      <c r="F214" s="40"/>
      <c r="G214" s="42"/>
      <c r="H214" s="221" t="s">
        <v>14</v>
      </c>
      <c r="I214" s="135"/>
      <c r="J214" s="135"/>
      <c r="K214" s="136"/>
      <c r="L214" s="1389">
        <f ca="1">L215+L216+L217</f>
        <v>0</v>
      </c>
      <c r="M214" s="45"/>
      <c r="N214" s="1390">
        <f>N215+N216+N217</f>
        <v>0</v>
      </c>
      <c r="O214" s="1390">
        <f ca="1">IF(L214&gt;0,N214*100/L214,0)</f>
        <v>0</v>
      </c>
      <c r="P214" s="1390">
        <f>IF(M214&gt;0,N214*100/M214,0)</f>
        <v>0</v>
      </c>
      <c r="Q214" s="1389">
        <f ca="1">Q215+Q216+Q217</f>
        <v>0</v>
      </c>
      <c r="R214" s="45"/>
      <c r="S214" s="1390">
        <f>S215+S216+S217</f>
        <v>229220</v>
      </c>
      <c r="T214" s="1390">
        <f ca="1">IF(Q214&gt;0,S214*100/Q214,0)</f>
        <v>0</v>
      </c>
      <c r="U214" s="1390">
        <f>IF(R214&gt;0,S214*100/R214,0)</f>
        <v>0</v>
      </c>
    </row>
    <row r="215" spans="1:21" ht="18.75" x14ac:dyDescent="0.25">
      <c r="A215" s="128"/>
      <c r="B215" s="158"/>
      <c r="C215" s="40"/>
      <c r="D215" s="47" t="s">
        <v>86</v>
      </c>
      <c r="E215" s="40"/>
      <c r="F215" s="40"/>
      <c r="G215" s="42"/>
      <c r="H215" s="134" t="s">
        <v>14</v>
      </c>
      <c r="I215" s="135"/>
      <c r="J215" s="135"/>
      <c r="K215" s="136"/>
      <c r="L215" s="1356">
        <f ca="1">IFERROR(__xludf.DUMMYFUNCTION("IMPORTRANGE(""https://docs.google.com/spreadsheets/d/1eHaY18a8A9IcSdp1K8H6x8fbOy06t2VsZHhMHf-1x7Y/edit?usp=sharing"",""แผน!AM25"")"),0)</f>
        <v>0</v>
      </c>
      <c r="M215" s="45"/>
      <c r="N215" s="1422">
        <v>0</v>
      </c>
      <c r="O215" s="136"/>
      <c r="P215" s="45"/>
      <c r="Q215" s="1356">
        <v>0</v>
      </c>
      <c r="R215" s="45"/>
      <c r="S215" s="224">
        <v>0</v>
      </c>
      <c r="T215" s="136"/>
      <c r="U215" s="45"/>
    </row>
    <row r="216" spans="1:21" ht="18.75" x14ac:dyDescent="0.25">
      <c r="A216" s="208"/>
      <c r="B216" s="158"/>
      <c r="C216" s="158"/>
      <c r="D216" s="47" t="s">
        <v>95</v>
      </c>
      <c r="E216" s="40"/>
      <c r="F216" s="40"/>
      <c r="G216" s="42"/>
      <c r="H216" s="134" t="s">
        <v>14</v>
      </c>
      <c r="I216" s="44"/>
      <c r="J216" s="44"/>
      <c r="K216" s="45"/>
      <c r="L216" s="1356">
        <f ca="1">IFERROR(__xludf.DUMMYFUNCTION("IMPORTRANGE(""https://docs.google.com/spreadsheets/d/1eHaY18a8A9IcSdp1K8H6x8fbOy06t2VsZHhMHf-1x7Y/edit?usp=sharing"",""แผน!AN25"")"),0)</f>
        <v>0</v>
      </c>
      <c r="M216" s="45"/>
      <c r="N216" s="1422">
        <v>0</v>
      </c>
      <c r="O216" s="136"/>
      <c r="P216" s="45"/>
      <c r="Q216" s="1356">
        <v>0</v>
      </c>
      <c r="R216" s="45"/>
      <c r="S216" s="224">
        <v>0</v>
      </c>
      <c r="T216" s="136"/>
      <c r="U216" s="45"/>
    </row>
    <row r="217" spans="1:21" ht="18.75" x14ac:dyDescent="0.25">
      <c r="A217" s="208"/>
      <c r="B217" s="158"/>
      <c r="C217" s="158"/>
      <c r="D217" s="47" t="s">
        <v>88</v>
      </c>
      <c r="E217" s="40"/>
      <c r="F217" s="40"/>
      <c r="G217" s="42"/>
      <c r="H217" s="134" t="s">
        <v>14</v>
      </c>
      <c r="I217" s="44"/>
      <c r="J217" s="44"/>
      <c r="K217" s="45"/>
      <c r="L217" s="1356">
        <f ca="1">IFERROR(__xludf.DUMMYFUNCTION("IMPORTRANGE(""https://docs.google.com/spreadsheets/d/1eHaY18a8A9IcSdp1K8H6x8fbOy06t2VsZHhMHf-1x7Y/edit?usp=sharing"",""แผน!AO25"")"),0)</f>
        <v>0</v>
      </c>
      <c r="M217" s="45"/>
      <c r="N217" s="1422">
        <v>0</v>
      </c>
      <c r="O217" s="136"/>
      <c r="P217" s="45"/>
      <c r="Q217" s="1356">
        <f ca="1">IFERROR(__xludf.DUMMYFUNCTION("IMPORTRANGE(""https://docs.google.com/spreadsheets/d/1eHaY18a8A9IcSdp1K8H6x8fbOy06t2VsZHhMHf-1x7Y/edit?usp=sharing"",""แผน!LY25"")"),0)</f>
        <v>0</v>
      </c>
      <c r="R217" s="45"/>
      <c r="S217" s="1422">
        <v>229220</v>
      </c>
      <c r="T217" s="136"/>
      <c r="U217" s="45"/>
    </row>
    <row r="218" spans="1:21" ht="19.5" x14ac:dyDescent="0.3">
      <c r="A218" s="138"/>
      <c r="B218" s="139"/>
      <c r="C218" s="161" t="s">
        <v>18</v>
      </c>
      <c r="D218" s="1391" t="s">
        <v>38</v>
      </c>
      <c r="E218" s="141"/>
      <c r="F218" s="141"/>
      <c r="G218" s="142"/>
      <c r="H218" s="143"/>
      <c r="I218" s="135"/>
      <c r="J218" s="44"/>
      <c r="K218" s="45"/>
      <c r="L218" s="1359"/>
      <c r="M218" s="45"/>
      <c r="N218" s="45"/>
      <c r="O218" s="136"/>
      <c r="P218" s="136"/>
      <c r="Q218" s="1359"/>
      <c r="R218" s="45"/>
      <c r="S218" s="45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25" t="s">
        <v>85</v>
      </c>
      <c r="I219" s="184">
        <f ca="1">IFERROR(__xludf.DUMMYFUNCTION("IMPORTRANGE(""https://docs.google.com/spreadsheets/d/1eHaY18a8A9IcSdp1K8H6x8fbOy06t2VsZHhMHf-1x7Y/edit?usp=sharing"",""แผน!AP25"")"),0)</f>
        <v>0</v>
      </c>
      <c r="J219" s="1395">
        <v>0</v>
      </c>
      <c r="K219" s="224">
        <f t="shared" ref="K219:K221" ca="1" si="148">IF(I219&gt;0,J219*100/I219,0)</f>
        <v>0</v>
      </c>
      <c r="L219" s="1359"/>
      <c r="M219" s="45"/>
      <c r="N219" s="45"/>
      <c r="O219" s="45"/>
      <c r="P219" s="45"/>
      <c r="Q219" s="1359"/>
      <c r="R219" s="45"/>
      <c r="S219" s="45"/>
      <c r="T219" s="45"/>
      <c r="U219" s="45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25" t="s">
        <v>85</v>
      </c>
      <c r="I220" s="184">
        <f ca="1">IFERROR(__xludf.DUMMYFUNCTION("IMPORTRANGE(""https://docs.google.com/spreadsheets/d/1eHaY18a8A9IcSdp1K8H6x8fbOy06t2VsZHhMHf-1x7Y/edit?usp=sharing"",""แผน!AP25"")"),0)</f>
        <v>0</v>
      </c>
      <c r="J220" s="1395">
        <v>0</v>
      </c>
      <c r="K220" s="224">
        <f t="shared" ca="1" si="148"/>
        <v>0</v>
      </c>
      <c r="L220" s="1359"/>
      <c r="M220" s="45"/>
      <c r="N220" s="45"/>
      <c r="O220" s="45"/>
      <c r="P220" s="45"/>
      <c r="Q220" s="1359"/>
      <c r="R220" s="45"/>
      <c r="S220" s="45"/>
      <c r="T220" s="45"/>
      <c r="U220" s="45"/>
    </row>
    <row r="221" spans="1:21" ht="19.5" x14ac:dyDescent="0.3">
      <c r="A221" s="211"/>
      <c r="B221" s="212"/>
      <c r="C221" s="213" t="s">
        <v>98</v>
      </c>
      <c r="D221" s="214"/>
      <c r="E221" s="214"/>
      <c r="F221" s="214"/>
      <c r="G221" s="215"/>
      <c r="H221" s="216" t="s">
        <v>99</v>
      </c>
      <c r="I221" s="303">
        <f t="shared" ref="I221:J221" ca="1" si="149">I229</f>
        <v>100000</v>
      </c>
      <c r="J221" s="303">
        <f t="shared" si="149"/>
        <v>0</v>
      </c>
      <c r="K221" s="304">
        <f t="shared" ca="1" si="148"/>
        <v>0</v>
      </c>
      <c r="L221" s="1416"/>
      <c r="M221" s="219"/>
      <c r="N221" s="219"/>
      <c r="O221" s="219"/>
      <c r="P221" s="219"/>
      <c r="Q221" s="219"/>
      <c r="R221" s="219"/>
      <c r="S221" s="219"/>
      <c r="T221" s="219"/>
      <c r="U221" s="219"/>
    </row>
    <row r="222" spans="1:21" ht="19.5" x14ac:dyDescent="0.3">
      <c r="A222" s="128"/>
      <c r="B222" s="40"/>
      <c r="C222" s="129" t="s">
        <v>18</v>
      </c>
      <c r="D222" s="1417" t="s">
        <v>19</v>
      </c>
      <c r="E222" s="40"/>
      <c r="F222" s="40"/>
      <c r="G222" s="42"/>
      <c r="H222" s="221" t="s">
        <v>14</v>
      </c>
      <c r="I222" s="135"/>
      <c r="J222" s="135"/>
      <c r="K222" s="136"/>
      <c r="L222" s="1389">
        <f ca="1">L223+L224+L225</f>
        <v>12500</v>
      </c>
      <c r="M222" s="45"/>
      <c r="N222" s="1390">
        <f>N223+N224+N225</f>
        <v>0</v>
      </c>
      <c r="O222" s="1390">
        <f ca="1">IF(L222&gt;0,N222*100/L222,0)</f>
        <v>0</v>
      </c>
      <c r="P222" s="1390">
        <f>IF(M222&gt;0,N222*100/M222,0)</f>
        <v>0</v>
      </c>
      <c r="Q222" s="45"/>
      <c r="R222" s="45"/>
      <c r="S222" s="45"/>
      <c r="T222" s="45"/>
      <c r="U222" s="45"/>
    </row>
    <row r="223" spans="1:21" ht="18.75" x14ac:dyDescent="0.25">
      <c r="A223" s="128"/>
      <c r="B223" s="158"/>
      <c r="C223" s="40"/>
      <c r="D223" s="1421" t="s">
        <v>302</v>
      </c>
      <c r="E223" s="40"/>
      <c r="F223" s="40"/>
      <c r="G223" s="42"/>
      <c r="H223" s="134" t="s">
        <v>14</v>
      </c>
      <c r="I223" s="135"/>
      <c r="J223" s="135"/>
      <c r="K223" s="136"/>
      <c r="L223" s="1356">
        <f ca="1">IFERROR(__xludf.DUMMYFUNCTION("IMPORTRANGE(""https://docs.google.com/spreadsheets/d/1eHaY18a8A9IcSdp1K8H6x8fbOy06t2VsZHhMHf-1x7Y/edit?usp=sharing"",""แผน!AR25"")"),2500)</f>
        <v>2500</v>
      </c>
      <c r="M223" s="45"/>
      <c r="N223" s="1422">
        <v>0</v>
      </c>
      <c r="O223" s="136"/>
      <c r="P223" s="45"/>
      <c r="Q223" s="45"/>
      <c r="R223" s="45"/>
      <c r="S223" s="45"/>
      <c r="T223" s="136"/>
      <c r="U223" s="45"/>
    </row>
    <row r="224" spans="1:21" ht="18.75" x14ac:dyDescent="0.25">
      <c r="A224" s="208"/>
      <c r="B224" s="158"/>
      <c r="C224" s="158"/>
      <c r="D224" s="47" t="s">
        <v>301</v>
      </c>
      <c r="E224" s="40"/>
      <c r="F224" s="40"/>
      <c r="G224" s="42"/>
      <c r="H224" s="134" t="s">
        <v>14</v>
      </c>
      <c r="I224" s="44"/>
      <c r="J224" s="44"/>
      <c r="K224" s="45"/>
      <c r="L224" s="1356">
        <f ca="1">IFERROR(__xludf.DUMMYFUNCTION("IMPORTRANGE(""https://docs.google.com/spreadsheets/d/1eHaY18a8A9IcSdp1K8H6x8fbOy06t2VsZHhMHf-1x7Y/edit?usp=sharing"",""แผน!AS25"")"),10000)</f>
        <v>10000</v>
      </c>
      <c r="M224" s="45"/>
      <c r="N224" s="1422">
        <v>0</v>
      </c>
      <c r="O224" s="136"/>
      <c r="P224" s="45"/>
      <c r="Q224" s="45"/>
      <c r="R224" s="45"/>
      <c r="S224" s="45"/>
      <c r="T224" s="136"/>
      <c r="U224" s="45"/>
    </row>
    <row r="225" spans="1:21" ht="18.75" x14ac:dyDescent="0.25">
      <c r="A225" s="208"/>
      <c r="B225" s="158"/>
      <c r="C225" s="158"/>
      <c r="D225" s="47" t="s">
        <v>88</v>
      </c>
      <c r="E225" s="40"/>
      <c r="F225" s="40"/>
      <c r="G225" s="42"/>
      <c r="H225" s="134" t="s">
        <v>14</v>
      </c>
      <c r="I225" s="44"/>
      <c r="J225" s="44"/>
      <c r="K225" s="45"/>
      <c r="L225" s="1356">
        <f ca="1">IFERROR(__xludf.DUMMYFUNCTION("IMPORTRANGE(""https://docs.google.com/spreadsheets/d/1eHaY18a8A9IcSdp1K8H6x8fbOy06t2VsZHhMHf-1x7Y/edit?usp=sharing"",""แผน!AT25"")"),0)</f>
        <v>0</v>
      </c>
      <c r="M225" s="45"/>
      <c r="N225" s="1422">
        <v>0</v>
      </c>
      <c r="O225" s="136"/>
      <c r="P225" s="45"/>
      <c r="Q225" s="45"/>
      <c r="R225" s="45"/>
      <c r="S225" s="45"/>
      <c r="T225" s="136"/>
      <c r="U225" s="45"/>
    </row>
    <row r="226" spans="1:21" ht="19.5" x14ac:dyDescent="0.3">
      <c r="A226" s="138"/>
      <c r="B226" s="139"/>
      <c r="C226" s="161" t="s">
        <v>18</v>
      </c>
      <c r="D226" s="1391" t="s">
        <v>38</v>
      </c>
      <c r="E226" s="141"/>
      <c r="F226" s="141"/>
      <c r="G226" s="142"/>
      <c r="H226" s="143"/>
      <c r="I226" s="135"/>
      <c r="J226" s="135"/>
      <c r="K226" s="136"/>
      <c r="L226" s="1392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7" t="s">
        <v>101</v>
      </c>
      <c r="E227" s="145"/>
      <c r="F227" s="145"/>
      <c r="G227" s="143"/>
      <c r="H227" s="143"/>
      <c r="I227" s="44"/>
      <c r="J227" s="44"/>
      <c r="K227" s="136"/>
      <c r="L227" s="1392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84">
        <f ca="1">IFERROR(__xludf.DUMMYFUNCTION("IMPORTRANGE(""https://docs.google.com/spreadsheets/d/1eHaY18a8A9IcSdp1K8H6x8fbOy06t2VsZHhMHf-1x7Y/edit?usp=sharing"",""แผน!AV25"")"),100000)</f>
        <v>100000</v>
      </c>
      <c r="J228" s="1395">
        <v>0</v>
      </c>
      <c r="K228" s="1396">
        <f t="shared" ref="K228:K231" ca="1" si="150">IF(I228&gt;0,J228*100/I228,0)</f>
        <v>0</v>
      </c>
      <c r="L228" s="1392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84">
        <f ca="1">IFERROR(__xludf.DUMMYFUNCTION("IMPORTRANGE(""https://docs.google.com/spreadsheets/d/1eHaY18a8A9IcSdp1K8H6x8fbOy06t2VsZHhMHf-1x7Y/edit?usp=sharing"",""แผน!AV25"")"),100000)</f>
        <v>100000</v>
      </c>
      <c r="J229" s="1395">
        <v>0</v>
      </c>
      <c r="K229" s="1396">
        <f t="shared" ca="1" si="150"/>
        <v>0</v>
      </c>
      <c r="L229" s="1359"/>
      <c r="M229" s="45"/>
      <c r="N229" s="45"/>
      <c r="O229" s="45"/>
      <c r="P229" s="45"/>
      <c r="Q229" s="45"/>
      <c r="R229" s="45"/>
      <c r="S229" s="45"/>
      <c r="T229" s="45"/>
      <c r="U229" s="45"/>
    </row>
    <row r="230" spans="1:21" ht="18.75" x14ac:dyDescent="0.25">
      <c r="A230" s="138"/>
      <c r="B230" s="139"/>
      <c r="C230" s="139"/>
      <c r="D230" s="47" t="s">
        <v>104</v>
      </c>
      <c r="E230" s="145"/>
      <c r="F230" s="145"/>
      <c r="G230" s="143"/>
      <c r="H230" s="150" t="s">
        <v>35</v>
      </c>
      <c r="I230" s="184">
        <f ca="1">IFERROR(__xludf.DUMMYFUNCTION("IMPORTRANGE(""https://docs.google.com/spreadsheets/d/1eHaY18a8A9IcSdp1K8H6x8fbOy06t2VsZHhMHf-1x7Y/edit?usp=sharing"",""แผน!AU25"")"),0)</f>
        <v>0</v>
      </c>
      <c r="J230" s="1395">
        <v>0</v>
      </c>
      <c r="K230" s="1396">
        <f t="shared" ca="1" si="150"/>
        <v>0</v>
      </c>
      <c r="L230" s="1359"/>
      <c r="M230" s="45"/>
      <c r="N230" s="45"/>
      <c r="O230" s="45"/>
      <c r="P230" s="45"/>
      <c r="Q230" s="45"/>
      <c r="R230" s="45"/>
      <c r="S230" s="45"/>
      <c r="T230" s="45"/>
      <c r="U230" s="45"/>
    </row>
    <row r="231" spans="1:21" ht="19.5" x14ac:dyDescent="0.3">
      <c r="A231" s="211"/>
      <c r="B231" s="212"/>
      <c r="C231" s="213" t="s">
        <v>105</v>
      </c>
      <c r="D231" s="214"/>
      <c r="E231" s="214"/>
      <c r="F231" s="214"/>
      <c r="G231" s="215"/>
      <c r="H231" s="216" t="s">
        <v>35</v>
      </c>
      <c r="I231" s="303">
        <f t="shared" ref="I231:J231" ca="1" si="151">I242+I253</f>
        <v>0</v>
      </c>
      <c r="J231" s="303">
        <f t="shared" si="151"/>
        <v>0</v>
      </c>
      <c r="K231" s="304">
        <f t="shared" ca="1" si="150"/>
        <v>0</v>
      </c>
      <c r="L231" s="1416"/>
      <c r="M231" s="219"/>
      <c r="N231" s="219"/>
      <c r="O231" s="219"/>
      <c r="P231" s="219"/>
      <c r="Q231" s="219"/>
      <c r="R231" s="219"/>
      <c r="S231" s="219"/>
      <c r="T231" s="219"/>
      <c r="U231" s="219"/>
    </row>
    <row r="232" spans="1:21" ht="19.5" x14ac:dyDescent="0.3">
      <c r="A232" s="128"/>
      <c r="B232" s="40"/>
      <c r="C232" s="129" t="s">
        <v>18</v>
      </c>
      <c r="D232" s="1388" t="s">
        <v>19</v>
      </c>
      <c r="E232" s="40"/>
      <c r="F232" s="40"/>
      <c r="G232" s="42"/>
      <c r="H232" s="221" t="s">
        <v>14</v>
      </c>
      <c r="I232" s="135"/>
      <c r="J232" s="135"/>
      <c r="K232" s="136"/>
      <c r="L232" s="1423">
        <f t="shared" ref="L232:L236" ca="1" si="152">L243+L254</f>
        <v>0</v>
      </c>
      <c r="M232" s="45"/>
      <c r="N232" s="1424">
        <f t="shared" ref="N232:N236" si="153">N243+N254</f>
        <v>0</v>
      </c>
      <c r="O232" s="45"/>
      <c r="P232" s="45"/>
      <c r="Q232" s="45"/>
      <c r="R232" s="45"/>
      <c r="S232" s="45"/>
      <c r="T232" s="45"/>
      <c r="U232" s="45"/>
    </row>
    <row r="233" spans="1:21" ht="18.75" x14ac:dyDescent="0.25">
      <c r="A233" s="128"/>
      <c r="B233" s="158"/>
      <c r="C233" s="40"/>
      <c r="D233" s="47" t="s">
        <v>86</v>
      </c>
      <c r="E233" s="40"/>
      <c r="F233" s="40"/>
      <c r="G233" s="42"/>
      <c r="H233" s="134" t="s">
        <v>14</v>
      </c>
      <c r="I233" s="135"/>
      <c r="J233" s="135"/>
      <c r="K233" s="136"/>
      <c r="L233" s="1358">
        <f t="shared" ca="1" si="152"/>
        <v>0</v>
      </c>
      <c r="M233" s="45"/>
      <c r="N233" s="83">
        <f t="shared" si="153"/>
        <v>0</v>
      </c>
      <c r="O233" s="45"/>
      <c r="P233" s="45"/>
      <c r="Q233" s="1425">
        <v>0</v>
      </c>
      <c r="R233" s="1426">
        <v>0</v>
      </c>
      <c r="S233" s="1426">
        <v>0</v>
      </c>
      <c r="T233" s="45"/>
      <c r="U233" s="45"/>
    </row>
    <row r="234" spans="1:21" ht="18.75" x14ac:dyDescent="0.25">
      <c r="A234" s="208"/>
      <c r="B234" s="158"/>
      <c r="C234" s="158"/>
      <c r="D234" s="47" t="s">
        <v>88</v>
      </c>
      <c r="E234" s="40"/>
      <c r="F234" s="40"/>
      <c r="G234" s="42"/>
      <c r="H234" s="134" t="s">
        <v>14</v>
      </c>
      <c r="I234" s="44"/>
      <c r="J234" s="44"/>
      <c r="K234" s="45"/>
      <c r="L234" s="1358">
        <f t="shared" ca="1" si="152"/>
        <v>0</v>
      </c>
      <c r="M234" s="45"/>
      <c r="N234" s="83">
        <f t="shared" si="153"/>
        <v>0</v>
      </c>
      <c r="O234" s="45"/>
      <c r="P234" s="45"/>
      <c r="Q234" s="1427">
        <v>0</v>
      </c>
      <c r="R234" s="1428">
        <v>0</v>
      </c>
      <c r="S234" s="1428">
        <v>0</v>
      </c>
      <c r="T234" s="45"/>
      <c r="U234" s="45"/>
    </row>
    <row r="235" spans="1:21" ht="18.75" x14ac:dyDescent="0.25">
      <c r="A235" s="208"/>
      <c r="B235" s="158"/>
      <c r="C235" s="158"/>
      <c r="D235" s="47" t="s">
        <v>106</v>
      </c>
      <c r="E235" s="40"/>
      <c r="F235" s="40"/>
      <c r="G235" s="42"/>
      <c r="H235" s="134" t="s">
        <v>14</v>
      </c>
      <c r="I235" s="44"/>
      <c r="J235" s="44"/>
      <c r="K235" s="45"/>
      <c r="L235" s="1358">
        <f t="shared" ca="1" si="152"/>
        <v>0</v>
      </c>
      <c r="M235" s="45"/>
      <c r="N235" s="83">
        <f t="shared" si="153"/>
        <v>0</v>
      </c>
      <c r="O235" s="45"/>
      <c r="P235" s="45"/>
      <c r="Q235" s="1427">
        <v>0</v>
      </c>
      <c r="R235" s="1428">
        <v>0</v>
      </c>
      <c r="S235" s="1428">
        <v>0</v>
      </c>
      <c r="T235" s="45"/>
      <c r="U235" s="45"/>
    </row>
    <row r="236" spans="1:21" ht="18.75" x14ac:dyDescent="0.25">
      <c r="A236" s="208"/>
      <c r="B236" s="158"/>
      <c r="C236" s="158"/>
      <c r="D236" s="47" t="s">
        <v>107</v>
      </c>
      <c r="E236" s="40"/>
      <c r="F236" s="40"/>
      <c r="G236" s="42"/>
      <c r="H236" s="134" t="s">
        <v>14</v>
      </c>
      <c r="I236" s="44"/>
      <c r="J236" s="44"/>
      <c r="K236" s="45"/>
      <c r="L236" s="1358">
        <f t="shared" ca="1" si="152"/>
        <v>0</v>
      </c>
      <c r="M236" s="45"/>
      <c r="N236" s="83">
        <f t="shared" si="153"/>
        <v>0</v>
      </c>
      <c r="O236" s="45"/>
      <c r="P236" s="45"/>
      <c r="Q236" s="1427">
        <v>0</v>
      </c>
      <c r="R236" s="1428">
        <v>0</v>
      </c>
      <c r="S236" s="1428">
        <v>0</v>
      </c>
      <c r="T236" s="45"/>
      <c r="U236" s="45"/>
    </row>
    <row r="237" spans="1:21" ht="19.5" x14ac:dyDescent="0.3">
      <c r="A237" s="138"/>
      <c r="B237" s="139"/>
      <c r="C237" s="161" t="s">
        <v>18</v>
      </c>
      <c r="D237" s="1391" t="s">
        <v>38</v>
      </c>
      <c r="E237" s="141"/>
      <c r="F237" s="141"/>
      <c r="G237" s="142"/>
      <c r="H237" s="143"/>
      <c r="I237" s="135"/>
      <c r="J237" s="44"/>
      <c r="K237" s="45"/>
      <c r="L237" s="1359"/>
      <c r="M237" s="45"/>
      <c r="N237" s="45"/>
      <c r="O237" s="136"/>
      <c r="P237" s="136"/>
      <c r="Q237" s="45"/>
      <c r="R237" s="45"/>
      <c r="S237" s="45"/>
      <c r="T237" s="136"/>
      <c r="U237" s="136"/>
    </row>
    <row r="238" spans="1:21" ht="18.75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84">
        <f t="shared" ref="I238:J238" ca="1" si="154">I249+I260</f>
        <v>0</v>
      </c>
      <c r="J238" s="184">
        <f t="shared" si="154"/>
        <v>0</v>
      </c>
      <c r="K238" s="224">
        <f ca="1">IF(I238&gt;0,J238*100/I238,0)</f>
        <v>0</v>
      </c>
      <c r="L238" s="1359"/>
      <c r="M238" s="45"/>
      <c r="N238" s="45"/>
      <c r="O238" s="45"/>
      <c r="P238" s="45"/>
      <c r="Q238" s="45"/>
      <c r="R238" s="45"/>
      <c r="S238" s="45"/>
      <c r="T238" s="45"/>
      <c r="U238" s="45"/>
    </row>
    <row r="239" spans="1:21" ht="18.75" x14ac:dyDescent="0.25">
      <c r="A239" s="138"/>
      <c r="B239" s="139"/>
      <c r="C239" s="139"/>
      <c r="D239" s="234" t="s">
        <v>43</v>
      </c>
      <c r="E239" s="145"/>
      <c r="F239" s="145"/>
      <c r="G239" s="143"/>
      <c r="H239" s="143"/>
      <c r="I239" s="44"/>
      <c r="J239" s="44"/>
      <c r="K239" s="45"/>
      <c r="L239" s="1359"/>
      <c r="M239" s="45"/>
      <c r="N239" s="45"/>
      <c r="O239" s="136"/>
      <c r="P239" s="136"/>
      <c r="Q239" s="45"/>
      <c r="R239" s="45"/>
      <c r="S239" s="45"/>
      <c r="T239" s="136"/>
      <c r="U239" s="136"/>
    </row>
    <row r="240" spans="1:21" ht="18.75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84">
        <f t="shared" ref="I240:J241" si="155">I251+I262</f>
        <v>0</v>
      </c>
      <c r="J240" s="184">
        <f t="shared" si="155"/>
        <v>0</v>
      </c>
      <c r="K240" s="224">
        <f t="shared" ref="K240:K242" si="156">IF(I240&gt;0,J240*100/I240,0)</f>
        <v>0</v>
      </c>
      <c r="L240" s="1359"/>
      <c r="M240" s="45"/>
      <c r="N240" s="45"/>
      <c r="O240" s="45"/>
      <c r="P240" s="45"/>
      <c r="Q240" s="45"/>
      <c r="R240" s="45"/>
      <c r="S240" s="45"/>
      <c r="T240" s="45"/>
      <c r="U240" s="45"/>
    </row>
    <row r="241" spans="1:21" ht="18.75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84">
        <f t="shared" si="155"/>
        <v>0</v>
      </c>
      <c r="J241" s="184">
        <f t="shared" si="155"/>
        <v>0</v>
      </c>
      <c r="K241" s="224">
        <f t="shared" si="156"/>
        <v>0</v>
      </c>
      <c r="L241" s="1359"/>
      <c r="M241" s="45"/>
      <c r="N241" s="45"/>
      <c r="O241" s="45"/>
      <c r="P241" s="45"/>
      <c r="Q241" s="45"/>
      <c r="R241" s="45"/>
      <c r="S241" s="45"/>
      <c r="T241" s="45"/>
      <c r="U241" s="45"/>
    </row>
    <row r="242" spans="1:21" ht="19.5" x14ac:dyDescent="0.3">
      <c r="A242" s="211"/>
      <c r="B242" s="212"/>
      <c r="C242" s="1429" t="s">
        <v>111</v>
      </c>
      <c r="D242" s="214"/>
      <c r="E242" s="214"/>
      <c r="F242" s="214"/>
      <c r="G242" s="215"/>
      <c r="H242" s="1430" t="s">
        <v>35</v>
      </c>
      <c r="I242" s="1431">
        <f t="shared" ref="I242:J242" ca="1" si="157">I249</f>
        <v>0</v>
      </c>
      <c r="J242" s="1431">
        <f t="shared" si="157"/>
        <v>0</v>
      </c>
      <c r="K242" s="1432">
        <f t="shared" ca="1" si="156"/>
        <v>0</v>
      </c>
      <c r="L242" s="1416"/>
      <c r="M242" s="219"/>
      <c r="N242" s="219"/>
      <c r="O242" s="219"/>
      <c r="P242" s="219"/>
      <c r="Q242" s="219"/>
      <c r="R242" s="219"/>
      <c r="S242" s="219"/>
      <c r="T242" s="219"/>
      <c r="U242" s="219"/>
    </row>
    <row r="243" spans="1:21" ht="19.5" x14ac:dyDescent="0.3">
      <c r="A243" s="128"/>
      <c r="B243" s="40"/>
      <c r="C243" s="1433" t="s">
        <v>18</v>
      </c>
      <c r="D243" s="1434" t="s">
        <v>19</v>
      </c>
      <c r="E243" s="40"/>
      <c r="F243" s="40"/>
      <c r="G243" s="42"/>
      <c r="H243" s="375" t="s">
        <v>14</v>
      </c>
      <c r="I243" s="135"/>
      <c r="J243" s="135"/>
      <c r="K243" s="136"/>
      <c r="L243" s="1389">
        <f ca="1">L244+L245+L246+L247</f>
        <v>0</v>
      </c>
      <c r="M243" s="45"/>
      <c r="N243" s="1390">
        <f>N244+N245+N246+N247</f>
        <v>0</v>
      </c>
      <c r="O243" s="1390">
        <f ca="1">IF(L243&gt;0,N243*100/L243,0)</f>
        <v>0</v>
      </c>
      <c r="P243" s="1390">
        <f>IF(M243&gt;0,N243*100/M243,0)</f>
        <v>0</v>
      </c>
      <c r="Q243" s="45"/>
      <c r="R243" s="45"/>
      <c r="S243" s="45"/>
      <c r="T243" s="45"/>
      <c r="U243" s="45"/>
    </row>
    <row r="244" spans="1:21" ht="18.75" x14ac:dyDescent="0.25">
      <c r="A244" s="128"/>
      <c r="B244" s="158"/>
      <c r="C244" s="40"/>
      <c r="D244" s="156" t="s">
        <v>86</v>
      </c>
      <c r="E244" s="40"/>
      <c r="F244" s="40"/>
      <c r="G244" s="42"/>
      <c r="H244" s="159" t="s">
        <v>14</v>
      </c>
      <c r="I244" s="135"/>
      <c r="J244" s="135"/>
      <c r="K244" s="136"/>
      <c r="L244" s="1356">
        <f ca="1">IFERROR(__xludf.DUMMYFUNCTION("IMPORTRANGE(""https://docs.google.com/spreadsheets/d/1eHaY18a8A9IcSdp1K8H6x8fbOy06t2VsZHhMHf-1x7Y/edit?usp=sharing"",""แผน!AX25"")"),0)</f>
        <v>0</v>
      </c>
      <c r="M244" s="45"/>
      <c r="N244" s="1422">
        <v>0</v>
      </c>
      <c r="O244" s="45"/>
      <c r="P244" s="45"/>
      <c r="Q244" s="45"/>
      <c r="R244" s="45"/>
      <c r="S244" s="45"/>
      <c r="T244" s="45"/>
      <c r="U244" s="45"/>
    </row>
    <row r="245" spans="1:21" ht="18.75" x14ac:dyDescent="0.25">
      <c r="A245" s="208"/>
      <c r="B245" s="158"/>
      <c r="C245" s="158"/>
      <c r="D245" s="156" t="s">
        <v>88</v>
      </c>
      <c r="E245" s="40"/>
      <c r="F245" s="40"/>
      <c r="G245" s="42"/>
      <c r="H245" s="159" t="s">
        <v>14</v>
      </c>
      <c r="I245" s="44"/>
      <c r="J245" s="44"/>
      <c r="K245" s="45"/>
      <c r="L245" s="1356">
        <f ca="1">IFERROR(__xludf.DUMMYFUNCTION("IMPORTRANGE(""https://docs.google.com/spreadsheets/d/1eHaY18a8A9IcSdp1K8H6x8fbOy06t2VsZHhMHf-1x7Y/edit?usp=sharing"",""แผน!AY25"")"),0)</f>
        <v>0</v>
      </c>
      <c r="M245" s="45"/>
      <c r="N245" s="1422">
        <v>0</v>
      </c>
      <c r="O245" s="45"/>
      <c r="P245" s="45"/>
      <c r="Q245" s="45"/>
      <c r="R245" s="45"/>
      <c r="S245" s="45"/>
      <c r="T245" s="45"/>
      <c r="U245" s="45"/>
    </row>
    <row r="246" spans="1:21" ht="18.75" x14ac:dyDescent="0.25">
      <c r="A246" s="208"/>
      <c r="B246" s="158"/>
      <c r="C246" s="158"/>
      <c r="D246" s="156" t="s">
        <v>106</v>
      </c>
      <c r="E246" s="40"/>
      <c r="F246" s="40"/>
      <c r="G246" s="42"/>
      <c r="H246" s="159" t="s">
        <v>14</v>
      </c>
      <c r="I246" s="44"/>
      <c r="J246" s="44"/>
      <c r="K246" s="45"/>
      <c r="L246" s="1356">
        <f ca="1">IFERROR(__xludf.DUMMYFUNCTION("IMPORTRANGE(""https://docs.google.com/spreadsheets/d/1eHaY18a8A9IcSdp1K8H6x8fbOy06t2VsZHhMHf-1x7Y/edit?usp=sharing"",""แผน!AZ25"")"),0)</f>
        <v>0</v>
      </c>
      <c r="M246" s="45"/>
      <c r="N246" s="1422">
        <v>0</v>
      </c>
      <c r="O246" s="45"/>
      <c r="P246" s="45"/>
      <c r="Q246" s="45"/>
      <c r="R246" s="45"/>
      <c r="S246" s="45"/>
      <c r="T246" s="45"/>
      <c r="U246" s="45"/>
    </row>
    <row r="247" spans="1:21" ht="18.75" x14ac:dyDescent="0.25">
      <c r="A247" s="208"/>
      <c r="B247" s="158"/>
      <c r="C247" s="158"/>
      <c r="D247" s="156" t="s">
        <v>107</v>
      </c>
      <c r="E247" s="40"/>
      <c r="F247" s="40"/>
      <c r="G247" s="42"/>
      <c r="H247" s="159" t="s">
        <v>14</v>
      </c>
      <c r="I247" s="44"/>
      <c r="J247" s="44"/>
      <c r="K247" s="45"/>
      <c r="L247" s="1356">
        <f ca="1">IFERROR(__xludf.DUMMYFUNCTION("IMPORTRANGE(""https://docs.google.com/spreadsheets/d/1eHaY18a8A9IcSdp1K8H6x8fbOy06t2VsZHhMHf-1x7Y/edit?usp=sharing"",""แผน!BA25"")"),0)</f>
        <v>0</v>
      </c>
      <c r="M247" s="45"/>
      <c r="N247" s="1422">
        <v>0</v>
      </c>
      <c r="O247" s="45"/>
      <c r="P247" s="45"/>
      <c r="Q247" s="45"/>
      <c r="R247" s="45"/>
      <c r="S247" s="45"/>
      <c r="T247" s="45"/>
      <c r="U247" s="45"/>
    </row>
    <row r="248" spans="1:21" ht="19.5" x14ac:dyDescent="0.3">
      <c r="A248" s="138"/>
      <c r="B248" s="139"/>
      <c r="C248" s="1435" t="s">
        <v>18</v>
      </c>
      <c r="D248" s="1436" t="s">
        <v>38</v>
      </c>
      <c r="E248" s="141"/>
      <c r="F248" s="141"/>
      <c r="G248" s="142"/>
      <c r="H248" s="143"/>
      <c r="I248" s="135"/>
      <c r="J248" s="44"/>
      <c r="K248" s="45"/>
      <c r="L248" s="1359"/>
      <c r="M248" s="45"/>
      <c r="N248" s="45"/>
      <c r="O248" s="136"/>
      <c r="P248" s="136"/>
      <c r="Q248" s="45"/>
      <c r="R248" s="45"/>
      <c r="S248" s="45"/>
      <c r="T248" s="136"/>
      <c r="U248" s="136"/>
    </row>
    <row r="249" spans="1:21" ht="18.75" x14ac:dyDescent="0.25">
      <c r="A249" s="138"/>
      <c r="B249" s="139"/>
      <c r="C249" s="139"/>
      <c r="D249" s="179" t="s">
        <v>108</v>
      </c>
      <c r="E249" s="145"/>
      <c r="F249" s="145"/>
      <c r="G249" s="143"/>
      <c r="H249" s="1437" t="s">
        <v>35</v>
      </c>
      <c r="I249" s="423">
        <f ca="1">IFERROR(__xludf.DUMMYFUNCTION("IMPORTRANGE(""https://docs.google.com/spreadsheets/d/1eHaY18a8A9IcSdp1K8H6x8fbOy06t2VsZHhMHf-1x7Y/edit?usp=sharing"",""แผน!BG25"")"),0)</f>
        <v>0</v>
      </c>
      <c r="J249" s="1407">
        <v>0</v>
      </c>
      <c r="K249" s="83">
        <f ca="1">IF(I249&gt;0,J249*100/I249,0)</f>
        <v>0</v>
      </c>
      <c r="L249" s="1359"/>
      <c r="M249" s="45"/>
      <c r="N249" s="45"/>
      <c r="O249" s="45"/>
      <c r="P249" s="45"/>
      <c r="Q249" s="45"/>
      <c r="R249" s="45"/>
      <c r="S249" s="45"/>
      <c r="T249" s="45"/>
      <c r="U249" s="45"/>
    </row>
    <row r="250" spans="1:21" ht="18.75" x14ac:dyDescent="0.25">
      <c r="A250" s="138"/>
      <c r="B250" s="139"/>
      <c r="C250" s="139"/>
      <c r="D250" s="1438" t="s">
        <v>43</v>
      </c>
      <c r="E250" s="145"/>
      <c r="F250" s="145"/>
      <c r="G250" s="143"/>
      <c r="H250" s="143"/>
      <c r="I250" s="44"/>
      <c r="J250" s="44"/>
      <c r="K250" s="45"/>
      <c r="L250" s="1359"/>
      <c r="M250" s="45"/>
      <c r="N250" s="45"/>
      <c r="O250" s="136"/>
      <c r="P250" s="136"/>
      <c r="Q250" s="45"/>
      <c r="R250" s="45"/>
      <c r="S250" s="45"/>
      <c r="T250" s="136"/>
      <c r="U250" s="136"/>
    </row>
    <row r="251" spans="1:21" ht="18.75" x14ac:dyDescent="0.25">
      <c r="A251" s="138"/>
      <c r="B251" s="139"/>
      <c r="C251" s="139"/>
      <c r="D251" s="139"/>
      <c r="E251" s="1439" t="s">
        <v>109</v>
      </c>
      <c r="F251" s="145"/>
      <c r="G251" s="143"/>
      <c r="H251" s="1437" t="s">
        <v>35</v>
      </c>
      <c r="I251" s="423">
        <v>0</v>
      </c>
      <c r="J251" s="1407">
        <v>0</v>
      </c>
      <c r="K251" s="83">
        <f t="shared" ref="K251:K253" si="158">IF(I251&gt;0,J251*100/I251,0)</f>
        <v>0</v>
      </c>
      <c r="L251" s="1359"/>
      <c r="M251" s="45"/>
      <c r="N251" s="45"/>
      <c r="O251" s="45"/>
      <c r="P251" s="45"/>
      <c r="Q251" s="45"/>
      <c r="R251" s="45"/>
      <c r="S251" s="45"/>
      <c r="T251" s="45"/>
      <c r="U251" s="45"/>
    </row>
    <row r="252" spans="1:21" ht="18.75" x14ac:dyDescent="0.25">
      <c r="A252" s="138"/>
      <c r="B252" s="139"/>
      <c r="C252" s="139"/>
      <c r="D252" s="139"/>
      <c r="E252" s="1439" t="s">
        <v>110</v>
      </c>
      <c r="F252" s="145"/>
      <c r="G252" s="143"/>
      <c r="H252" s="1437" t="s">
        <v>61</v>
      </c>
      <c r="I252" s="423">
        <v>0</v>
      </c>
      <c r="J252" s="1407">
        <v>0</v>
      </c>
      <c r="K252" s="83">
        <f t="shared" si="158"/>
        <v>0</v>
      </c>
      <c r="L252" s="1359"/>
      <c r="M252" s="45"/>
      <c r="N252" s="45"/>
      <c r="O252" s="45"/>
      <c r="P252" s="45"/>
      <c r="Q252" s="45"/>
      <c r="R252" s="45"/>
      <c r="S252" s="45"/>
      <c r="T252" s="45"/>
      <c r="U252" s="45"/>
    </row>
    <row r="253" spans="1:21" ht="19.5" x14ac:dyDescent="0.3">
      <c r="A253" s="211"/>
      <c r="B253" s="212"/>
      <c r="C253" s="1429" t="s">
        <v>112</v>
      </c>
      <c r="D253" s="214"/>
      <c r="E253" s="214"/>
      <c r="F253" s="214"/>
      <c r="G253" s="215"/>
      <c r="H253" s="1430" t="s">
        <v>35</v>
      </c>
      <c r="I253" s="1431">
        <f t="shared" ref="I253:J253" ca="1" si="159">I260</f>
        <v>0</v>
      </c>
      <c r="J253" s="1431">
        <f t="shared" si="159"/>
        <v>0</v>
      </c>
      <c r="K253" s="1432">
        <f t="shared" ca="1" si="158"/>
        <v>0</v>
      </c>
      <c r="L253" s="1416"/>
      <c r="M253" s="219"/>
      <c r="N253" s="219"/>
      <c r="O253" s="219"/>
      <c r="P253" s="219"/>
      <c r="Q253" s="219"/>
      <c r="R253" s="219"/>
      <c r="S253" s="219"/>
      <c r="T253" s="219"/>
      <c r="U253" s="219"/>
    </row>
    <row r="254" spans="1:21" ht="19.5" x14ac:dyDescent="0.3">
      <c r="A254" s="128"/>
      <c r="B254" s="40"/>
      <c r="C254" s="1433" t="s">
        <v>18</v>
      </c>
      <c r="D254" s="1440" t="s">
        <v>19</v>
      </c>
      <c r="E254" s="40"/>
      <c r="F254" s="40"/>
      <c r="G254" s="42"/>
      <c r="H254" s="375" t="s">
        <v>14</v>
      </c>
      <c r="I254" s="135"/>
      <c r="J254" s="135"/>
      <c r="K254" s="136"/>
      <c r="L254" s="1389">
        <f ca="1">L255+L256+L257+L258</f>
        <v>0</v>
      </c>
      <c r="M254" s="45"/>
      <c r="N254" s="1390">
        <f>N255+N256+N257+N258</f>
        <v>0</v>
      </c>
      <c r="O254" s="1390">
        <f ca="1">IF(L254&gt;0,N254*100/L254,0)</f>
        <v>0</v>
      </c>
      <c r="P254" s="1390">
        <f>IF(M254&gt;0,N254*100/M254,0)</f>
        <v>0</v>
      </c>
      <c r="Q254" s="45"/>
      <c r="R254" s="45"/>
      <c r="S254" s="45"/>
      <c r="T254" s="45"/>
      <c r="U254" s="45"/>
    </row>
    <row r="255" spans="1:21" ht="18.75" x14ac:dyDescent="0.25">
      <c r="A255" s="128"/>
      <c r="B255" s="158"/>
      <c r="C255" s="40"/>
      <c r="D255" s="156" t="s">
        <v>86</v>
      </c>
      <c r="E255" s="40"/>
      <c r="F255" s="40"/>
      <c r="G255" s="42"/>
      <c r="H255" s="159" t="s">
        <v>14</v>
      </c>
      <c r="I255" s="135"/>
      <c r="J255" s="135"/>
      <c r="K255" s="136"/>
      <c r="L255" s="1356">
        <f ca="1">IFERROR(__xludf.DUMMYFUNCTION("IMPORTRANGE(""https://docs.google.com/spreadsheets/d/1eHaY18a8A9IcSdp1K8H6x8fbOy06t2VsZHhMHf-1x7Y/edit?usp=sharing"",""แผน!BB25"")"),0)</f>
        <v>0</v>
      </c>
      <c r="M255" s="45"/>
      <c r="N255" s="1422">
        <v>0</v>
      </c>
      <c r="O255" s="45"/>
      <c r="P255" s="45"/>
      <c r="Q255" s="45"/>
      <c r="R255" s="45"/>
      <c r="S255" s="45"/>
      <c r="T255" s="45"/>
      <c r="U255" s="45"/>
    </row>
    <row r="256" spans="1:21" ht="18.75" x14ac:dyDescent="0.25">
      <c r="A256" s="208"/>
      <c r="B256" s="158"/>
      <c r="C256" s="158"/>
      <c r="D256" s="156" t="s">
        <v>88</v>
      </c>
      <c r="E256" s="40"/>
      <c r="F256" s="40"/>
      <c r="G256" s="42"/>
      <c r="H256" s="159" t="s">
        <v>14</v>
      </c>
      <c r="I256" s="44"/>
      <c r="J256" s="44"/>
      <c r="K256" s="45"/>
      <c r="L256" s="1356">
        <f ca="1">IFERROR(__xludf.DUMMYFUNCTION("IMPORTRANGE(""https://docs.google.com/spreadsheets/d/1eHaY18a8A9IcSdp1K8H6x8fbOy06t2VsZHhMHf-1x7Y/edit?usp=sharing"",""แผน!BC25"")"),0)</f>
        <v>0</v>
      </c>
      <c r="M256" s="45"/>
      <c r="N256" s="1422">
        <v>0</v>
      </c>
      <c r="O256" s="45"/>
      <c r="P256" s="45"/>
      <c r="Q256" s="45"/>
      <c r="R256" s="45"/>
      <c r="S256" s="45"/>
      <c r="T256" s="45"/>
      <c r="U256" s="45"/>
    </row>
    <row r="257" spans="1:21" ht="18.75" x14ac:dyDescent="0.25">
      <c r="A257" s="208"/>
      <c r="B257" s="158"/>
      <c r="C257" s="158"/>
      <c r="D257" s="156" t="s">
        <v>106</v>
      </c>
      <c r="E257" s="40"/>
      <c r="F257" s="40"/>
      <c r="G257" s="42"/>
      <c r="H257" s="159" t="s">
        <v>14</v>
      </c>
      <c r="I257" s="44"/>
      <c r="J257" s="44"/>
      <c r="K257" s="45"/>
      <c r="L257" s="1356">
        <f ca="1">IFERROR(__xludf.DUMMYFUNCTION("IMPORTRANGE(""https://docs.google.com/spreadsheets/d/1eHaY18a8A9IcSdp1K8H6x8fbOy06t2VsZHhMHf-1x7Y/edit?usp=sharing"",""แผน!BD25"")"),0)</f>
        <v>0</v>
      </c>
      <c r="M257" s="45"/>
      <c r="N257" s="1422">
        <v>0</v>
      </c>
      <c r="O257" s="45"/>
      <c r="P257" s="45"/>
      <c r="Q257" s="45"/>
      <c r="R257" s="45"/>
      <c r="S257" s="45"/>
      <c r="T257" s="45"/>
      <c r="U257" s="45"/>
    </row>
    <row r="258" spans="1:21" ht="18.75" x14ac:dyDescent="0.25">
      <c r="A258" s="208"/>
      <c r="B258" s="158"/>
      <c r="C258" s="158"/>
      <c r="D258" s="156" t="s">
        <v>107</v>
      </c>
      <c r="E258" s="40"/>
      <c r="F258" s="40"/>
      <c r="G258" s="42"/>
      <c r="H258" s="159" t="s">
        <v>14</v>
      </c>
      <c r="I258" s="44"/>
      <c r="J258" s="44"/>
      <c r="K258" s="45"/>
      <c r="L258" s="1356">
        <f ca="1">IFERROR(__xludf.DUMMYFUNCTION("IMPORTRANGE(""https://docs.google.com/spreadsheets/d/1eHaY18a8A9IcSdp1K8H6x8fbOy06t2VsZHhMHf-1x7Y/edit?usp=sharing"",""แผน!BE25"")"),0)</f>
        <v>0</v>
      </c>
      <c r="M258" s="45"/>
      <c r="N258" s="1422">
        <v>0</v>
      </c>
      <c r="O258" s="45"/>
      <c r="P258" s="45"/>
      <c r="Q258" s="45"/>
      <c r="R258" s="45"/>
      <c r="S258" s="45"/>
      <c r="T258" s="45"/>
      <c r="U258" s="45"/>
    </row>
    <row r="259" spans="1:21" ht="19.5" x14ac:dyDescent="0.3">
      <c r="A259" s="138"/>
      <c r="B259" s="139"/>
      <c r="C259" s="1435" t="s">
        <v>18</v>
      </c>
      <c r="D259" s="1436" t="s">
        <v>38</v>
      </c>
      <c r="E259" s="141"/>
      <c r="F259" s="141"/>
      <c r="G259" s="142"/>
      <c r="H259" s="143"/>
      <c r="I259" s="135"/>
      <c r="J259" s="44"/>
      <c r="K259" s="45"/>
      <c r="L259" s="1359"/>
      <c r="M259" s="45"/>
      <c r="N259" s="45"/>
      <c r="O259" s="136"/>
      <c r="P259" s="136"/>
      <c r="Q259" s="45"/>
      <c r="R259" s="45"/>
      <c r="S259" s="45"/>
      <c r="T259" s="136"/>
      <c r="U259" s="136"/>
    </row>
    <row r="260" spans="1:21" ht="18.75" x14ac:dyDescent="0.25">
      <c r="A260" s="138"/>
      <c r="B260" s="139"/>
      <c r="C260" s="139"/>
      <c r="D260" s="179" t="s">
        <v>108</v>
      </c>
      <c r="E260" s="145"/>
      <c r="F260" s="145"/>
      <c r="G260" s="143"/>
      <c r="H260" s="1437" t="s">
        <v>35</v>
      </c>
      <c r="I260" s="423">
        <f ca="1">IFERROR(__xludf.DUMMYFUNCTION("IMPORTRANGE(""https://docs.google.com/spreadsheets/d/1eHaY18a8A9IcSdp1K8H6x8fbOy06t2VsZHhMHf-1x7Y/edit?usp=sharing"",""แผน!BH25"")"),0)</f>
        <v>0</v>
      </c>
      <c r="J260" s="1407">
        <v>0</v>
      </c>
      <c r="K260" s="83">
        <f ca="1">IF(I260&gt;0,J260*100/I260,0)</f>
        <v>0</v>
      </c>
      <c r="L260" s="1359"/>
      <c r="M260" s="45"/>
      <c r="N260" s="45"/>
      <c r="O260" s="45"/>
      <c r="P260" s="45"/>
      <c r="Q260" s="45"/>
      <c r="R260" s="45"/>
      <c r="S260" s="45"/>
      <c r="T260" s="45"/>
      <c r="U260" s="45"/>
    </row>
    <row r="261" spans="1:21" ht="18.75" x14ac:dyDescent="0.25">
      <c r="A261" s="138"/>
      <c r="B261" s="139"/>
      <c r="C261" s="139"/>
      <c r="D261" s="1438" t="s">
        <v>43</v>
      </c>
      <c r="E261" s="145"/>
      <c r="F261" s="145"/>
      <c r="G261" s="143"/>
      <c r="H261" s="143"/>
      <c r="I261" s="44"/>
      <c r="J261" s="44"/>
      <c r="K261" s="45"/>
      <c r="L261" s="1359"/>
      <c r="M261" s="45"/>
      <c r="N261" s="45"/>
      <c r="O261" s="136"/>
      <c r="P261" s="136"/>
      <c r="Q261" s="45"/>
      <c r="R261" s="45"/>
      <c r="S261" s="45"/>
      <c r="T261" s="136"/>
      <c r="U261" s="136"/>
    </row>
    <row r="262" spans="1:21" ht="18.75" x14ac:dyDescent="0.25">
      <c r="A262" s="138"/>
      <c r="B262" s="139"/>
      <c r="C262" s="139"/>
      <c r="D262" s="139"/>
      <c r="E262" s="1439" t="s">
        <v>109</v>
      </c>
      <c r="F262" s="145"/>
      <c r="G262" s="143"/>
      <c r="H262" s="1437" t="s">
        <v>35</v>
      </c>
      <c r="I262" s="44"/>
      <c r="J262" s="1407">
        <v>0</v>
      </c>
      <c r="K262" s="83">
        <f t="shared" ref="K262:K263" si="160">IF(I262&gt;0,J262*100/I262,0)</f>
        <v>0</v>
      </c>
      <c r="L262" s="1359"/>
      <c r="M262" s="45"/>
      <c r="N262" s="45"/>
      <c r="O262" s="45"/>
      <c r="P262" s="45"/>
      <c r="Q262" s="45"/>
      <c r="R262" s="45"/>
      <c r="S262" s="45"/>
      <c r="T262" s="45"/>
      <c r="U262" s="45"/>
    </row>
    <row r="263" spans="1:21" ht="18.75" x14ac:dyDescent="0.25">
      <c r="A263" s="138"/>
      <c r="B263" s="139"/>
      <c r="C263" s="139"/>
      <c r="D263" s="139"/>
      <c r="E263" s="1439" t="s">
        <v>110</v>
      </c>
      <c r="F263" s="145"/>
      <c r="G263" s="143"/>
      <c r="H263" s="1437" t="s">
        <v>61</v>
      </c>
      <c r="I263" s="44"/>
      <c r="J263" s="1407">
        <v>0</v>
      </c>
      <c r="K263" s="83">
        <f t="shared" si="160"/>
        <v>0</v>
      </c>
      <c r="L263" s="1359"/>
      <c r="M263" s="45"/>
      <c r="N263" s="45"/>
      <c r="O263" s="45"/>
      <c r="P263" s="45"/>
      <c r="Q263" s="45"/>
      <c r="R263" s="45"/>
      <c r="S263" s="45"/>
      <c r="T263" s="45"/>
      <c r="U263" s="45"/>
    </row>
    <row r="264" spans="1:21" ht="19.5" x14ac:dyDescent="0.3">
      <c r="A264" s="1441" t="s">
        <v>113</v>
      </c>
      <c r="B264" s="1442"/>
      <c r="C264" s="1442"/>
      <c r="D264" s="1443"/>
      <c r="E264" s="1443"/>
      <c r="F264" s="1443"/>
      <c r="G264" s="1444"/>
      <c r="H264" s="1444"/>
      <c r="I264" s="1445"/>
      <c r="J264" s="1445"/>
      <c r="K264" s="1446"/>
      <c r="L264" s="1447"/>
      <c r="M264" s="1446"/>
      <c r="N264" s="1446"/>
      <c r="O264" s="1446"/>
      <c r="P264" s="1446"/>
      <c r="Q264" s="1446"/>
      <c r="R264" s="1446"/>
      <c r="S264" s="1446"/>
      <c r="T264" s="1446"/>
      <c r="U264" s="1446"/>
    </row>
    <row r="265" spans="1:21" ht="19.5" x14ac:dyDescent="0.3">
      <c r="A265" s="1448"/>
      <c r="B265" s="1449" t="s">
        <v>114</v>
      </c>
      <c r="C265" s="1450"/>
      <c r="D265" s="1451"/>
      <c r="E265" s="1451"/>
      <c r="F265" s="1451"/>
      <c r="G265" s="1452"/>
      <c r="H265" s="1453" t="s">
        <v>35</v>
      </c>
      <c r="I265" s="1454">
        <f t="shared" ref="I265:J265" ca="1" si="161">I276</f>
        <v>20</v>
      </c>
      <c r="J265" s="1454">
        <f t="shared" si="161"/>
        <v>20</v>
      </c>
      <c r="K265" s="1455">
        <f ca="1">IF(I265&gt;0,J265*100/I265,0)</f>
        <v>100</v>
      </c>
      <c r="L265" s="1456"/>
      <c r="M265" s="1457"/>
      <c r="N265" s="1457"/>
      <c r="O265" s="1457"/>
      <c r="P265" s="1457"/>
      <c r="Q265" s="1457"/>
      <c r="R265" s="1457"/>
      <c r="S265" s="1457"/>
      <c r="T265" s="1457"/>
      <c r="U265" s="1457"/>
    </row>
    <row r="266" spans="1:21" ht="19.5" x14ac:dyDescent="0.3">
      <c r="A266" s="1458"/>
      <c r="B266" s="1459"/>
      <c r="C266" s="1460" t="s">
        <v>18</v>
      </c>
      <c r="D266" s="1461" t="s">
        <v>19</v>
      </c>
      <c r="E266" s="1459"/>
      <c r="F266" s="1459"/>
      <c r="G266" s="1462"/>
      <c r="H266" s="1463" t="s">
        <v>14</v>
      </c>
      <c r="I266" s="1464"/>
      <c r="J266" s="1464"/>
      <c r="K266" s="1465"/>
      <c r="L266" s="1466">
        <f t="shared" ref="L266:N266" ca="1" si="162">L267+L268</f>
        <v>5000</v>
      </c>
      <c r="M266" s="1467">
        <f t="shared" ca="1" si="162"/>
        <v>5000</v>
      </c>
      <c r="N266" s="1467">
        <f t="shared" ca="1" si="162"/>
        <v>0</v>
      </c>
      <c r="O266" s="1467">
        <f t="shared" ref="O266:O274" ca="1" si="163">IF(L266&gt;0,N266*100/L266,0)</f>
        <v>0</v>
      </c>
      <c r="P266" s="1467">
        <f t="shared" ref="P266:P274" ca="1" si="164">IF(M266&gt;0,N266*100/M266,0)</f>
        <v>0</v>
      </c>
      <c r="Q266" s="1467">
        <f t="shared" ref="Q266:S266" ca="1" si="165">Q267+Q268</f>
        <v>47880</v>
      </c>
      <c r="R266" s="1467">
        <f t="shared" ca="1" si="165"/>
        <v>47880</v>
      </c>
      <c r="S266" s="1467">
        <f t="shared" ca="1" si="165"/>
        <v>41740</v>
      </c>
      <c r="T266" s="1467">
        <f t="shared" ref="T266:T274" ca="1" si="166">IF(Q266&gt;0,S266*100/Q266,0)</f>
        <v>87.176274018379289</v>
      </c>
      <c r="U266" s="1467">
        <f t="shared" ref="U266:U274" ca="1" si="167">IF(R266&gt;0,S266*100/R266,0)</f>
        <v>87.176274018379289</v>
      </c>
    </row>
    <row r="267" spans="1:21" ht="18.75" x14ac:dyDescent="0.25">
      <c r="A267" s="1468"/>
      <c r="B267" s="1469"/>
      <c r="C267" s="1469"/>
      <c r="D267" s="1469"/>
      <c r="E267" s="156" t="s">
        <v>20</v>
      </c>
      <c r="F267" s="1469"/>
      <c r="G267" s="1470"/>
      <c r="H267" s="157" t="s">
        <v>14</v>
      </c>
      <c r="I267" s="1471"/>
      <c r="J267" s="1471"/>
      <c r="K267" s="1472"/>
      <c r="L267" s="1358">
        <f t="shared" ref="L267:N268" si="168">L270+L273</f>
        <v>0</v>
      </c>
      <c r="M267" s="83">
        <f t="shared" si="168"/>
        <v>0</v>
      </c>
      <c r="N267" s="83">
        <f t="shared" si="168"/>
        <v>0</v>
      </c>
      <c r="O267" s="83">
        <f t="shared" si="163"/>
        <v>0</v>
      </c>
      <c r="P267" s="83">
        <f t="shared" si="164"/>
        <v>0</v>
      </c>
      <c r="Q267" s="83">
        <f t="shared" ref="Q267:S268" si="169">Q270+Q273</f>
        <v>0</v>
      </c>
      <c r="R267" s="83">
        <f t="shared" si="169"/>
        <v>0</v>
      </c>
      <c r="S267" s="83">
        <f t="shared" si="169"/>
        <v>0</v>
      </c>
      <c r="T267" s="83">
        <f t="shared" si="166"/>
        <v>0</v>
      </c>
      <c r="U267" s="83">
        <f t="shared" si="167"/>
        <v>0</v>
      </c>
    </row>
    <row r="268" spans="1:21" ht="18.75" x14ac:dyDescent="0.25">
      <c r="A268" s="1458"/>
      <c r="B268" s="1459"/>
      <c r="C268" s="1459"/>
      <c r="D268" s="1459"/>
      <c r="E268" s="1473" t="s">
        <v>21</v>
      </c>
      <c r="F268" s="1459"/>
      <c r="G268" s="1462"/>
      <c r="H268" s="1474" t="s">
        <v>14</v>
      </c>
      <c r="I268" s="1464"/>
      <c r="J268" s="1464"/>
      <c r="K268" s="1465"/>
      <c r="L268" s="1475">
        <f t="shared" ca="1" si="168"/>
        <v>5000</v>
      </c>
      <c r="M268" s="1476">
        <f t="shared" ca="1" si="168"/>
        <v>5000</v>
      </c>
      <c r="N268" s="1476">
        <f t="shared" ca="1" si="168"/>
        <v>0</v>
      </c>
      <c r="O268" s="1476">
        <f t="shared" ca="1" si="163"/>
        <v>0</v>
      </c>
      <c r="P268" s="1476">
        <f t="shared" ca="1" si="164"/>
        <v>0</v>
      </c>
      <c r="Q268" s="1476">
        <f t="shared" ca="1" si="169"/>
        <v>47880</v>
      </c>
      <c r="R268" s="1476">
        <f t="shared" ca="1" si="169"/>
        <v>47880</v>
      </c>
      <c r="S268" s="1476">
        <f t="shared" ca="1" si="169"/>
        <v>41740</v>
      </c>
      <c r="T268" s="1476">
        <f t="shared" ca="1" si="166"/>
        <v>87.176274018379289</v>
      </c>
      <c r="U268" s="1476">
        <f t="shared" ca="1" si="167"/>
        <v>87.176274018379289</v>
      </c>
    </row>
    <row r="269" spans="1:21" ht="18.75" x14ac:dyDescent="0.25">
      <c r="A269" s="1458"/>
      <c r="B269" s="1459"/>
      <c r="C269" s="1459"/>
      <c r="D269" s="1477" t="s">
        <v>22</v>
      </c>
      <c r="E269" s="1459"/>
      <c r="F269" s="1459"/>
      <c r="G269" s="1462"/>
      <c r="H269" s="1478" t="s">
        <v>14</v>
      </c>
      <c r="I269" s="1479"/>
      <c r="J269" s="1479"/>
      <c r="K269" s="1480"/>
      <c r="L269" s="1475">
        <f t="shared" ref="L269:N269" ca="1" si="170">L270+L271</f>
        <v>5000</v>
      </c>
      <c r="M269" s="1476">
        <f t="shared" ca="1" si="170"/>
        <v>5000</v>
      </c>
      <c r="N269" s="1476">
        <f t="shared" ca="1" si="170"/>
        <v>0</v>
      </c>
      <c r="O269" s="1476">
        <f t="shared" ca="1" si="163"/>
        <v>0</v>
      </c>
      <c r="P269" s="1476">
        <f t="shared" ca="1" si="164"/>
        <v>0</v>
      </c>
      <c r="Q269" s="1476">
        <f t="shared" ref="Q269:S269" ca="1" si="171">Q270+Q271</f>
        <v>47880</v>
      </c>
      <c r="R269" s="1476">
        <f t="shared" ca="1" si="171"/>
        <v>47880</v>
      </c>
      <c r="S269" s="1476">
        <f t="shared" ca="1" si="171"/>
        <v>41740</v>
      </c>
      <c r="T269" s="1476">
        <f t="shared" ca="1" si="166"/>
        <v>87.176274018379289</v>
      </c>
      <c r="U269" s="1476">
        <f t="shared" ca="1" si="167"/>
        <v>87.176274018379289</v>
      </c>
    </row>
    <row r="270" spans="1:21" ht="18.75" x14ac:dyDescent="0.25">
      <c r="A270" s="1468"/>
      <c r="B270" s="1469"/>
      <c r="C270" s="1469"/>
      <c r="D270" s="1469"/>
      <c r="E270" s="156" t="s">
        <v>36</v>
      </c>
      <c r="F270" s="1469"/>
      <c r="G270" s="1470"/>
      <c r="H270" s="159" t="s">
        <v>14</v>
      </c>
      <c r="I270" s="1481"/>
      <c r="J270" s="1481"/>
      <c r="K270" s="1482"/>
      <c r="L270" s="1358">
        <v>0</v>
      </c>
      <c r="M270" s="83">
        <v>0</v>
      </c>
      <c r="N270" s="83">
        <v>0</v>
      </c>
      <c r="O270" s="83">
        <f t="shared" si="163"/>
        <v>0</v>
      </c>
      <c r="P270" s="83">
        <f t="shared" si="164"/>
        <v>0</v>
      </c>
      <c r="Q270" s="83">
        <v>0</v>
      </c>
      <c r="R270" s="83">
        <v>0</v>
      </c>
      <c r="S270" s="83">
        <v>0</v>
      </c>
      <c r="T270" s="83">
        <f t="shared" si="166"/>
        <v>0</v>
      </c>
      <c r="U270" s="83">
        <f t="shared" si="167"/>
        <v>0</v>
      </c>
    </row>
    <row r="271" spans="1:21" ht="18.75" x14ac:dyDescent="0.25">
      <c r="A271" s="1458"/>
      <c r="B271" s="1459"/>
      <c r="C271" s="1459"/>
      <c r="D271" s="1459"/>
      <c r="E271" s="1473" t="s">
        <v>37</v>
      </c>
      <c r="F271" s="1459"/>
      <c r="G271" s="1462"/>
      <c r="H271" s="1478" t="s">
        <v>14</v>
      </c>
      <c r="I271" s="1479"/>
      <c r="J271" s="1479"/>
      <c r="K271" s="1480"/>
      <c r="L271" s="1475">
        <f ca="1">IFERROR(__xludf.DUMMYFUNCTION("IMPORTRANGE(""https://docs.google.com/spreadsheets/d/1-uDff_7J0KD5mKrp0Vvzr7lt3OU09vwQwhkpOPPYv2Y/edit?usp=sharing"",""งบพรบ!DE25"")"),5000)</f>
        <v>5000</v>
      </c>
      <c r="M271" s="1476">
        <f ca="1">IFERROR(__xludf.DUMMYFUNCTION("IMPORTRANGE(""https://docs.google.com/spreadsheets/d/1-uDff_7J0KD5mKrp0Vvzr7lt3OU09vwQwhkpOPPYv2Y/edit?usp=sharing"",""งบพรบ!DJ25"")"),5000)</f>
        <v>5000</v>
      </c>
      <c r="N271" s="1476">
        <f ca="1">IFERROR(__xludf.DUMMYFUNCTION("IMPORTRANGE(""https://docs.google.com/spreadsheets/d/1-uDff_7J0KD5mKrp0Vvzr7lt3OU09vwQwhkpOPPYv2Y/edit?usp=sharing"",""งบพรบ!DL25"")"),0)</f>
        <v>0</v>
      </c>
      <c r="O271" s="1476">
        <f t="shared" ca="1" si="163"/>
        <v>0</v>
      </c>
      <c r="P271" s="1476">
        <f t="shared" ca="1" si="164"/>
        <v>0</v>
      </c>
      <c r="Q271" s="1476">
        <f ca="1">IFERROR(__xludf.DUMMYFUNCTION("IMPORTRANGE(""https://docs.google.com/spreadsheets/d/1ItG2mGa2ceCfYo0BwxsXqNm01IGEUdYcSSLTEv9YCik/edit?usp=sharing"",""เบิกจ่ายกองทุน!AP25"")"),47880)</f>
        <v>47880</v>
      </c>
      <c r="R271" s="1476">
        <f ca="1">IFERROR(__xludf.DUMMYFUNCTION("IMPORTRANGE(""https://docs.google.com/spreadsheets/d/1ItG2mGa2ceCfYo0BwxsXqNm01IGEUdYcSSLTEv9YCik/edit?usp=sharing"",""เบิกจ่ายกองทุน!AQ25"")"),47880)</f>
        <v>47880</v>
      </c>
      <c r="S271" s="1476">
        <f ca="1">IFERROR(__xludf.DUMMYFUNCTION("IMPORTRANGE(""https://docs.google.com/spreadsheets/d/1ItG2mGa2ceCfYo0BwxsXqNm01IGEUdYcSSLTEv9YCik/edit?usp=sharing"",""เบิกจ่ายกองทุน!AR25"")"),41740)</f>
        <v>41740</v>
      </c>
      <c r="T271" s="1476">
        <f t="shared" ca="1" si="166"/>
        <v>87.176274018379289</v>
      </c>
      <c r="U271" s="1476">
        <f t="shared" ca="1" si="167"/>
        <v>87.176274018379289</v>
      </c>
    </row>
    <row r="272" spans="1:21" ht="18.75" x14ac:dyDescent="0.25">
      <c r="A272" s="1458"/>
      <c r="B272" s="1459"/>
      <c r="C272" s="1459"/>
      <c r="D272" s="1477" t="s">
        <v>23</v>
      </c>
      <c r="E272" s="1459"/>
      <c r="F272" s="1459"/>
      <c r="G272" s="1462"/>
      <c r="H272" s="1483" t="s">
        <v>14</v>
      </c>
      <c r="I272" s="1479"/>
      <c r="J272" s="1479"/>
      <c r="K272" s="1480"/>
      <c r="L272" s="1475">
        <f t="shared" ref="L272:N272" ca="1" si="172">L273+L274</f>
        <v>0</v>
      </c>
      <c r="M272" s="1476">
        <f t="shared" ca="1" si="172"/>
        <v>0</v>
      </c>
      <c r="N272" s="1476">
        <f t="shared" ca="1" si="172"/>
        <v>0</v>
      </c>
      <c r="O272" s="1476">
        <f t="shared" ca="1" si="163"/>
        <v>0</v>
      </c>
      <c r="P272" s="1476">
        <f t="shared" ca="1" si="164"/>
        <v>0</v>
      </c>
      <c r="Q272" s="1476">
        <f t="shared" ref="Q272:S272" si="173">Q273+Q274</f>
        <v>0</v>
      </c>
      <c r="R272" s="1476">
        <f t="shared" si="173"/>
        <v>0</v>
      </c>
      <c r="S272" s="1476">
        <f t="shared" si="173"/>
        <v>0</v>
      </c>
      <c r="T272" s="1476">
        <f t="shared" si="166"/>
        <v>0</v>
      </c>
      <c r="U272" s="1476">
        <f t="shared" si="167"/>
        <v>0</v>
      </c>
    </row>
    <row r="273" spans="1:21" ht="18.75" x14ac:dyDescent="0.25">
      <c r="A273" s="1468"/>
      <c r="B273" s="1469"/>
      <c r="C273" s="1469"/>
      <c r="D273" s="1469"/>
      <c r="E273" s="156" t="s">
        <v>20</v>
      </c>
      <c r="F273" s="1469"/>
      <c r="G273" s="1470"/>
      <c r="H273" s="159" t="s">
        <v>14</v>
      </c>
      <c r="I273" s="1481"/>
      <c r="J273" s="1481"/>
      <c r="K273" s="1482"/>
      <c r="L273" s="1358">
        <v>0</v>
      </c>
      <c r="M273" s="83">
        <v>0</v>
      </c>
      <c r="N273" s="83">
        <v>0</v>
      </c>
      <c r="O273" s="83">
        <f t="shared" si="163"/>
        <v>0</v>
      </c>
      <c r="P273" s="83">
        <f t="shared" si="164"/>
        <v>0</v>
      </c>
      <c r="Q273" s="83">
        <v>0</v>
      </c>
      <c r="R273" s="83">
        <v>0</v>
      </c>
      <c r="S273" s="83">
        <v>0</v>
      </c>
      <c r="T273" s="83">
        <f t="shared" si="166"/>
        <v>0</v>
      </c>
      <c r="U273" s="83">
        <f t="shared" si="167"/>
        <v>0</v>
      </c>
    </row>
    <row r="274" spans="1:21" ht="18.75" x14ac:dyDescent="0.25">
      <c r="A274" s="1458"/>
      <c r="B274" s="1459"/>
      <c r="C274" s="1459"/>
      <c r="D274" s="1459"/>
      <c r="E274" s="1473" t="s">
        <v>21</v>
      </c>
      <c r="F274" s="1459"/>
      <c r="G274" s="1462"/>
      <c r="H274" s="1483" t="s">
        <v>14</v>
      </c>
      <c r="I274" s="1479"/>
      <c r="J274" s="1479"/>
      <c r="K274" s="1480"/>
      <c r="L274" s="1475">
        <f ca="1">IFERROR(__xludf.DUMMYFUNCTION("IMPORTRANGE(""https://docs.google.com/spreadsheets/d/1-uDff_7J0KD5mKrp0Vvzr7lt3OU09vwQwhkpOPPYv2Y/edit?usp=sharing"",""งบพรบ!DH25"")"),0)</f>
        <v>0</v>
      </c>
      <c r="M274" s="1476">
        <f ca="1">IFERROR(__xludf.DUMMYFUNCTION("IMPORTRANGE(""https://docs.google.com/spreadsheets/d/1-uDff_7J0KD5mKrp0Vvzr7lt3OU09vwQwhkpOPPYv2Y/edit?usp=sharing"",""งบพรบ!DK25"")"),0)</f>
        <v>0</v>
      </c>
      <c r="N274" s="1476">
        <f ca="1">IFERROR(__xludf.DUMMYFUNCTION("IMPORTRANGE(""https://docs.google.com/spreadsheets/d/1-uDff_7J0KD5mKrp0Vvzr7lt3OU09vwQwhkpOPPYv2Y/edit?usp=sharing"",""งบพรบ!DM25"")"),0)</f>
        <v>0</v>
      </c>
      <c r="O274" s="1476">
        <f t="shared" ca="1" si="163"/>
        <v>0</v>
      </c>
      <c r="P274" s="1476">
        <f t="shared" ca="1" si="164"/>
        <v>0</v>
      </c>
      <c r="Q274" s="1476">
        <v>0</v>
      </c>
      <c r="R274" s="1476">
        <v>0</v>
      </c>
      <c r="S274" s="1476">
        <v>0</v>
      </c>
      <c r="T274" s="1476">
        <f t="shared" si="166"/>
        <v>0</v>
      </c>
      <c r="U274" s="1476">
        <f t="shared" si="167"/>
        <v>0</v>
      </c>
    </row>
    <row r="275" spans="1:21" ht="19.5" x14ac:dyDescent="0.3">
      <c r="A275" s="1484"/>
      <c r="B275" s="1485"/>
      <c r="C275" s="1473" t="s">
        <v>18</v>
      </c>
      <c r="D275" s="1486" t="s">
        <v>38</v>
      </c>
      <c r="E275" s="1451"/>
      <c r="F275" s="1451"/>
      <c r="G275" s="1452"/>
      <c r="H275" s="1487"/>
      <c r="I275" s="1479"/>
      <c r="J275" s="1479"/>
      <c r="K275" s="1480"/>
      <c r="L275" s="1488"/>
      <c r="M275" s="1480"/>
      <c r="N275" s="1480"/>
      <c r="O275" s="1480"/>
      <c r="P275" s="1480"/>
      <c r="Q275" s="1480"/>
      <c r="R275" s="1480"/>
      <c r="S275" s="1480"/>
      <c r="T275" s="1480"/>
      <c r="U275" s="1480"/>
    </row>
    <row r="276" spans="1:21" ht="18.75" x14ac:dyDescent="0.25">
      <c r="A276" s="1489"/>
      <c r="B276" s="367"/>
      <c r="C276" s="367"/>
      <c r="D276" s="1490" t="s">
        <v>115</v>
      </c>
      <c r="E276" s="366"/>
      <c r="F276" s="366"/>
      <c r="G276" s="369"/>
      <c r="H276" s="1491" t="s">
        <v>35</v>
      </c>
      <c r="I276" s="371">
        <f ca="1">IFERROR(__xludf.DUMMYFUNCTION("IMPORTRANGE(""https://docs.google.com/spreadsheets/d/1eHaY18a8A9IcSdp1K8H6x8fbOy06t2VsZHhMHf-1x7Y/edit?usp=sharing"",""แผน!EC25"")"),20)</f>
        <v>20</v>
      </c>
      <c r="J276" s="437">
        <v>20</v>
      </c>
      <c r="K276" s="372">
        <f ca="1">IF(I276&gt;0,J276*100/I276,0)</f>
        <v>100</v>
      </c>
      <c r="L276" s="1359"/>
      <c r="M276" s="45"/>
      <c r="N276" s="45"/>
      <c r="O276" s="45"/>
      <c r="P276" s="45"/>
      <c r="Q276" s="45"/>
      <c r="R276" s="45"/>
      <c r="S276" s="45"/>
      <c r="T276" s="45"/>
      <c r="U276" s="45"/>
    </row>
    <row r="277" spans="1:21" ht="18.75" x14ac:dyDescent="0.25">
      <c r="A277" s="249"/>
      <c r="B277" s="250"/>
      <c r="C277" s="250"/>
      <c r="D277" s="1492" t="s">
        <v>116</v>
      </c>
      <c r="E277" s="252"/>
      <c r="F277" s="252"/>
      <c r="G277" s="253"/>
      <c r="H277" s="1493" t="s">
        <v>35</v>
      </c>
      <c r="I277" s="426">
        <v>0</v>
      </c>
      <c r="J277" s="426">
        <v>0</v>
      </c>
      <c r="K277" s="1494">
        <v>0</v>
      </c>
      <c r="L277" s="1495"/>
      <c r="M277" s="255"/>
      <c r="N277" s="255"/>
      <c r="O277" s="255"/>
      <c r="P277" s="255"/>
      <c r="Q277" s="255"/>
      <c r="R277" s="255"/>
      <c r="S277" s="255"/>
      <c r="T277" s="255"/>
      <c r="U277" s="255"/>
    </row>
    <row r="278" spans="1:21" ht="19.5" x14ac:dyDescent="0.3">
      <c r="A278" s="256" t="s">
        <v>117</v>
      </c>
      <c r="B278" s="257"/>
      <c r="C278" s="257"/>
      <c r="D278" s="257"/>
      <c r="E278" s="258"/>
      <c r="F278" s="258"/>
      <c r="G278" s="258"/>
      <c r="H278" s="258"/>
      <c r="I278" s="259"/>
      <c r="J278" s="259"/>
      <c r="K278" s="260"/>
      <c r="L278" s="260"/>
      <c r="M278" s="260"/>
      <c r="N278" s="260"/>
      <c r="O278" s="260"/>
      <c r="P278" s="261"/>
      <c r="Q278" s="260"/>
      <c r="R278" s="260"/>
      <c r="S278" s="260"/>
      <c r="T278" s="260"/>
      <c r="U278" s="261"/>
    </row>
    <row r="279" spans="1:21" ht="19.5" x14ac:dyDescent="0.3">
      <c r="A279" s="262" t="s">
        <v>118</v>
      </c>
      <c r="B279" s="263"/>
      <c r="C279" s="264"/>
      <c r="D279" s="263"/>
      <c r="E279" s="263"/>
      <c r="F279" s="263"/>
      <c r="G279" s="263"/>
      <c r="H279" s="263"/>
      <c r="I279" s="265"/>
      <c r="J279" s="266"/>
      <c r="K279" s="267"/>
      <c r="L279" s="1496"/>
      <c r="M279" s="267"/>
      <c r="N279" s="267"/>
      <c r="O279" s="267"/>
      <c r="P279" s="267"/>
      <c r="Q279" s="267"/>
      <c r="R279" s="267"/>
      <c r="S279" s="267"/>
      <c r="T279" s="267"/>
      <c r="U279" s="267"/>
    </row>
    <row r="280" spans="1:21" ht="19.5" x14ac:dyDescent="0.3">
      <c r="A280" s="268"/>
      <c r="B280" s="269" t="s">
        <v>119</v>
      </c>
      <c r="C280" s="270"/>
      <c r="D280" s="271"/>
      <c r="E280" s="270"/>
      <c r="F280" s="270"/>
      <c r="G280" s="272"/>
      <c r="H280" s="273" t="s">
        <v>35</v>
      </c>
      <c r="I280" s="1497">
        <f t="shared" ref="I280:J280" ca="1" si="174">I293</f>
        <v>10</v>
      </c>
      <c r="J280" s="1497">
        <f t="shared" si="174"/>
        <v>10</v>
      </c>
      <c r="K280" s="1498">
        <f t="shared" ref="K280:K281" ca="1" si="175">IF(I280&gt;0,J280*100/I280,0)</f>
        <v>100</v>
      </c>
      <c r="L280" s="1499"/>
      <c r="M280" s="276"/>
      <c r="N280" s="276"/>
      <c r="O280" s="276"/>
      <c r="P280" s="276"/>
      <c r="Q280" s="276"/>
      <c r="R280" s="276"/>
      <c r="S280" s="276"/>
      <c r="T280" s="276"/>
      <c r="U280" s="276"/>
    </row>
    <row r="281" spans="1:21" ht="19.5" x14ac:dyDescent="0.3">
      <c r="A281" s="268"/>
      <c r="B281" s="270"/>
      <c r="C281" s="270"/>
      <c r="D281" s="271"/>
      <c r="E281" s="270"/>
      <c r="F281" s="270"/>
      <c r="G281" s="272"/>
      <c r="H281" s="273" t="s">
        <v>46</v>
      </c>
      <c r="I281" s="1497">
        <f t="shared" ref="I281:J281" ca="1" si="176">I292</f>
        <v>100</v>
      </c>
      <c r="J281" s="1497">
        <f t="shared" si="176"/>
        <v>100</v>
      </c>
      <c r="K281" s="1498">
        <f t="shared" ca="1" si="175"/>
        <v>100</v>
      </c>
      <c r="L281" s="1499"/>
      <c r="M281" s="276"/>
      <c r="N281" s="276"/>
      <c r="O281" s="276"/>
      <c r="P281" s="276"/>
      <c r="Q281" s="276"/>
      <c r="R281" s="276"/>
      <c r="S281" s="276"/>
      <c r="T281" s="276"/>
      <c r="U281" s="276"/>
    </row>
    <row r="282" spans="1:21" ht="19.5" x14ac:dyDescent="0.3">
      <c r="A282" s="128"/>
      <c r="B282" s="40"/>
      <c r="C282" s="129" t="s">
        <v>18</v>
      </c>
      <c r="D282" s="1388" t="s">
        <v>19</v>
      </c>
      <c r="E282" s="40"/>
      <c r="F282" s="40"/>
      <c r="G282" s="42"/>
      <c r="H282" s="131" t="s">
        <v>14</v>
      </c>
      <c r="I282" s="44"/>
      <c r="J282" s="44"/>
      <c r="K282" s="45"/>
      <c r="L282" s="1389">
        <f t="shared" ref="L282:N282" ca="1" si="177">L283+L284</f>
        <v>185220</v>
      </c>
      <c r="M282" s="1390">
        <f t="shared" ca="1" si="177"/>
        <v>185220</v>
      </c>
      <c r="N282" s="1390">
        <f t="shared" ca="1" si="177"/>
        <v>111911.16</v>
      </c>
      <c r="O282" s="1390">
        <f t="shared" ref="O282:O290" ca="1" si="178">IF(L282&gt;0,N282*100/L282,0)</f>
        <v>60.420667314544865</v>
      </c>
      <c r="P282" s="1390">
        <f t="shared" ref="P282:P290" ca="1" si="179">IF(M282&gt;0,N282*100/M282,0)</f>
        <v>60.420667314544865</v>
      </c>
      <c r="Q282" s="1390">
        <f t="shared" ref="Q282:S282" si="180">Q283+Q284</f>
        <v>0</v>
      </c>
      <c r="R282" s="1390">
        <f t="shared" si="180"/>
        <v>0</v>
      </c>
      <c r="S282" s="1390">
        <f t="shared" si="180"/>
        <v>0</v>
      </c>
      <c r="T282" s="1390">
        <f t="shared" ref="T282:T290" si="181">IF(Q282&gt;0,S282*100/Q282,0)</f>
        <v>0</v>
      </c>
      <c r="U282" s="1390">
        <f t="shared" ref="U282:U290" si="182">IF(R282&gt;0,S282*100/R282,0)</f>
        <v>0</v>
      </c>
    </row>
    <row r="283" spans="1:21" ht="18.75" x14ac:dyDescent="0.25">
      <c r="A283" s="128"/>
      <c r="B283" s="40"/>
      <c r="C283" s="40"/>
      <c r="D283" s="40"/>
      <c r="E283" s="156" t="s">
        <v>20</v>
      </c>
      <c r="F283" s="40"/>
      <c r="G283" s="42"/>
      <c r="H283" s="157" t="s">
        <v>14</v>
      </c>
      <c r="I283" s="44"/>
      <c r="J283" s="44"/>
      <c r="K283" s="45"/>
      <c r="L283" s="1358">
        <f t="shared" ref="L283:N284" si="183">L286+L289</f>
        <v>0</v>
      </c>
      <c r="M283" s="83">
        <f t="shared" si="183"/>
        <v>0</v>
      </c>
      <c r="N283" s="83">
        <f t="shared" si="183"/>
        <v>0</v>
      </c>
      <c r="O283" s="83">
        <f t="shared" si="178"/>
        <v>0</v>
      </c>
      <c r="P283" s="83">
        <f t="shared" si="179"/>
        <v>0</v>
      </c>
      <c r="Q283" s="83">
        <f t="shared" ref="Q283:S284" si="184">Q286+Q289</f>
        <v>0</v>
      </c>
      <c r="R283" s="83">
        <f t="shared" si="184"/>
        <v>0</v>
      </c>
      <c r="S283" s="83">
        <f t="shared" si="184"/>
        <v>0</v>
      </c>
      <c r="T283" s="83">
        <f t="shared" si="181"/>
        <v>0</v>
      </c>
      <c r="U283" s="83">
        <f t="shared" si="182"/>
        <v>0</v>
      </c>
    </row>
    <row r="284" spans="1:21" ht="18.75" x14ac:dyDescent="0.25">
      <c r="A284" s="128"/>
      <c r="B284" s="40"/>
      <c r="C284" s="40"/>
      <c r="D284" s="40"/>
      <c r="E284" s="47" t="s">
        <v>21</v>
      </c>
      <c r="F284" s="40"/>
      <c r="G284" s="42"/>
      <c r="H284" s="133" t="s">
        <v>14</v>
      </c>
      <c r="I284" s="44"/>
      <c r="J284" s="44"/>
      <c r="K284" s="45"/>
      <c r="L284" s="1356">
        <f t="shared" ca="1" si="183"/>
        <v>185220</v>
      </c>
      <c r="M284" s="224">
        <f t="shared" ca="1" si="183"/>
        <v>185220</v>
      </c>
      <c r="N284" s="224">
        <f t="shared" ca="1" si="183"/>
        <v>111911.16</v>
      </c>
      <c r="O284" s="224">
        <f t="shared" ca="1" si="178"/>
        <v>60.420667314544865</v>
      </c>
      <c r="P284" s="224">
        <f t="shared" ca="1" si="179"/>
        <v>60.420667314544865</v>
      </c>
      <c r="Q284" s="224">
        <f t="shared" si="184"/>
        <v>0</v>
      </c>
      <c r="R284" s="224">
        <f t="shared" si="184"/>
        <v>0</v>
      </c>
      <c r="S284" s="224">
        <f t="shared" si="184"/>
        <v>0</v>
      </c>
      <c r="T284" s="224">
        <f t="shared" si="181"/>
        <v>0</v>
      </c>
      <c r="U284" s="224">
        <f t="shared" si="182"/>
        <v>0</v>
      </c>
    </row>
    <row r="285" spans="1:21" ht="18.75" x14ac:dyDescent="0.25">
      <c r="A285" s="128"/>
      <c r="B285" s="40"/>
      <c r="C285" s="40"/>
      <c r="D285" s="41" t="s">
        <v>22</v>
      </c>
      <c r="E285" s="40"/>
      <c r="F285" s="40"/>
      <c r="G285" s="42"/>
      <c r="H285" s="134" t="s">
        <v>14</v>
      </c>
      <c r="I285" s="135"/>
      <c r="J285" s="135"/>
      <c r="K285" s="136"/>
      <c r="L285" s="1356">
        <f t="shared" ref="L285:N285" ca="1" si="185">L286+L287</f>
        <v>185220</v>
      </c>
      <c r="M285" s="224">
        <f t="shared" ca="1" si="185"/>
        <v>185220</v>
      </c>
      <c r="N285" s="224">
        <f t="shared" ca="1" si="185"/>
        <v>111911.16</v>
      </c>
      <c r="O285" s="224">
        <f t="shared" ca="1" si="178"/>
        <v>60.420667314544865</v>
      </c>
      <c r="P285" s="224">
        <f t="shared" ca="1" si="179"/>
        <v>60.420667314544865</v>
      </c>
      <c r="Q285" s="224">
        <f t="shared" ref="Q285:S285" si="186">Q286+Q287</f>
        <v>0</v>
      </c>
      <c r="R285" s="224">
        <f t="shared" si="186"/>
        <v>0</v>
      </c>
      <c r="S285" s="224">
        <f t="shared" si="186"/>
        <v>0</v>
      </c>
      <c r="T285" s="224">
        <f t="shared" si="181"/>
        <v>0</v>
      </c>
      <c r="U285" s="224">
        <f t="shared" si="182"/>
        <v>0</v>
      </c>
    </row>
    <row r="286" spans="1:21" ht="18.75" x14ac:dyDescent="0.25">
      <c r="A286" s="128"/>
      <c r="B286" s="40"/>
      <c r="C286" s="40"/>
      <c r="D286" s="40"/>
      <c r="E286" s="156" t="s">
        <v>36</v>
      </c>
      <c r="F286" s="40"/>
      <c r="G286" s="42"/>
      <c r="H286" s="159" t="s">
        <v>14</v>
      </c>
      <c r="I286" s="135"/>
      <c r="J286" s="135"/>
      <c r="K286" s="136"/>
      <c r="L286" s="1358">
        <v>0</v>
      </c>
      <c r="M286" s="83">
        <v>0</v>
      </c>
      <c r="N286" s="83">
        <v>0</v>
      </c>
      <c r="O286" s="83">
        <f t="shared" si="178"/>
        <v>0</v>
      </c>
      <c r="P286" s="83">
        <f t="shared" si="179"/>
        <v>0</v>
      </c>
      <c r="Q286" s="83">
        <v>0</v>
      </c>
      <c r="R286" s="83">
        <v>0</v>
      </c>
      <c r="S286" s="83">
        <v>0</v>
      </c>
      <c r="T286" s="83">
        <f t="shared" si="181"/>
        <v>0</v>
      </c>
      <c r="U286" s="83">
        <f t="shared" si="182"/>
        <v>0</v>
      </c>
    </row>
    <row r="287" spans="1:21" ht="18.75" x14ac:dyDescent="0.25">
      <c r="A287" s="128"/>
      <c r="B287" s="40"/>
      <c r="C287" s="40"/>
      <c r="D287" s="40"/>
      <c r="E287" s="47" t="s">
        <v>37</v>
      </c>
      <c r="F287" s="40"/>
      <c r="G287" s="42"/>
      <c r="H287" s="134" t="s">
        <v>14</v>
      </c>
      <c r="I287" s="135"/>
      <c r="J287" s="135"/>
      <c r="K287" s="136"/>
      <c r="L287" s="1356">
        <f ca="1">IFERROR(__xludf.DUMMYFUNCTION("IMPORTRANGE(""https://docs.google.com/spreadsheets/d/1-uDff_7J0KD5mKrp0Vvzr7lt3OU09vwQwhkpOPPYv2Y/edit?usp=sharing"",""งบพรบ!DO25"")"),185220)</f>
        <v>185220</v>
      </c>
      <c r="M287" s="224">
        <f ca="1">IFERROR(__xludf.DUMMYFUNCTION("IMPORTRANGE(""https://docs.google.com/spreadsheets/d/1-uDff_7J0KD5mKrp0Vvzr7lt3OU09vwQwhkpOPPYv2Y/edit?usp=sharing"",""งบพรบ!DT25"")"),185220)</f>
        <v>185220</v>
      </c>
      <c r="N287" s="224">
        <f ca="1">IFERROR(__xludf.DUMMYFUNCTION("IMPORTRANGE(""https://docs.google.com/spreadsheets/d/1-uDff_7J0KD5mKrp0Vvzr7lt3OU09vwQwhkpOPPYv2Y/edit?usp=sharing"",""งบพรบ!DV25"")"),111911.16)</f>
        <v>111911.16</v>
      </c>
      <c r="O287" s="224">
        <f t="shared" ca="1" si="178"/>
        <v>60.420667314544865</v>
      </c>
      <c r="P287" s="224">
        <f t="shared" ca="1" si="179"/>
        <v>60.420667314544865</v>
      </c>
      <c r="Q287" s="224">
        <v>0</v>
      </c>
      <c r="R287" s="224">
        <v>0</v>
      </c>
      <c r="S287" s="224">
        <v>0</v>
      </c>
      <c r="T287" s="83">
        <f t="shared" si="181"/>
        <v>0</v>
      </c>
      <c r="U287" s="83">
        <f t="shared" si="182"/>
        <v>0</v>
      </c>
    </row>
    <row r="288" spans="1:21" ht="18.75" x14ac:dyDescent="0.25">
      <c r="A288" s="128"/>
      <c r="B288" s="40"/>
      <c r="C288" s="40"/>
      <c r="D288" s="41" t="s">
        <v>23</v>
      </c>
      <c r="E288" s="40"/>
      <c r="F288" s="40"/>
      <c r="G288" s="42"/>
      <c r="H288" s="137" t="s">
        <v>14</v>
      </c>
      <c r="I288" s="135"/>
      <c r="J288" s="135"/>
      <c r="K288" s="136"/>
      <c r="L288" s="1356">
        <f t="shared" ref="L288:N288" ca="1" si="187">L289+L290</f>
        <v>0</v>
      </c>
      <c r="M288" s="224">
        <f t="shared" ca="1" si="187"/>
        <v>0</v>
      </c>
      <c r="N288" s="224">
        <f t="shared" ca="1" si="187"/>
        <v>0</v>
      </c>
      <c r="O288" s="224">
        <f t="shared" ca="1" si="178"/>
        <v>0</v>
      </c>
      <c r="P288" s="224">
        <f t="shared" ca="1" si="179"/>
        <v>0</v>
      </c>
      <c r="Q288" s="224">
        <f t="shared" ref="Q288:S288" si="188">Q289+Q290</f>
        <v>0</v>
      </c>
      <c r="R288" s="224">
        <f t="shared" si="188"/>
        <v>0</v>
      </c>
      <c r="S288" s="224">
        <f t="shared" si="188"/>
        <v>0</v>
      </c>
      <c r="T288" s="224">
        <f t="shared" si="181"/>
        <v>0</v>
      </c>
      <c r="U288" s="224">
        <f t="shared" si="182"/>
        <v>0</v>
      </c>
    </row>
    <row r="289" spans="1:21" ht="18.75" x14ac:dyDescent="0.25">
      <c r="A289" s="128"/>
      <c r="B289" s="40"/>
      <c r="C289" s="40"/>
      <c r="D289" s="40"/>
      <c r="E289" s="156" t="s">
        <v>20</v>
      </c>
      <c r="F289" s="40"/>
      <c r="G289" s="42"/>
      <c r="H289" s="159" t="s">
        <v>14</v>
      </c>
      <c r="I289" s="135"/>
      <c r="J289" s="135"/>
      <c r="K289" s="136"/>
      <c r="L289" s="1358">
        <v>0</v>
      </c>
      <c r="M289" s="83">
        <v>0</v>
      </c>
      <c r="N289" s="83">
        <v>0</v>
      </c>
      <c r="O289" s="83">
        <f t="shared" si="178"/>
        <v>0</v>
      </c>
      <c r="P289" s="83">
        <f t="shared" si="179"/>
        <v>0</v>
      </c>
      <c r="Q289" s="83">
        <v>0</v>
      </c>
      <c r="R289" s="83">
        <v>0</v>
      </c>
      <c r="S289" s="83">
        <v>0</v>
      </c>
      <c r="T289" s="83">
        <f t="shared" si="181"/>
        <v>0</v>
      </c>
      <c r="U289" s="83">
        <f t="shared" si="182"/>
        <v>0</v>
      </c>
    </row>
    <row r="290" spans="1:21" ht="18.75" x14ac:dyDescent="0.25">
      <c r="A290" s="128"/>
      <c r="B290" s="40"/>
      <c r="C290" s="40"/>
      <c r="D290" s="40"/>
      <c r="E290" s="47" t="s">
        <v>21</v>
      </c>
      <c r="F290" s="40"/>
      <c r="G290" s="42"/>
      <c r="H290" s="137" t="s">
        <v>14</v>
      </c>
      <c r="I290" s="135"/>
      <c r="J290" s="135"/>
      <c r="K290" s="136"/>
      <c r="L290" s="1356">
        <f ca="1">IFERROR(__xludf.DUMMYFUNCTION("IMPORTRANGE(""https://docs.google.com/spreadsheets/d/1-uDff_7J0KD5mKrp0Vvzr7lt3OU09vwQwhkpOPPYv2Y/edit?usp=sharing"",""งบพรบ!DR25"")"),0)</f>
        <v>0</v>
      </c>
      <c r="M290" s="224">
        <f ca="1">IFERROR(__xludf.DUMMYFUNCTION("IMPORTRANGE(""https://docs.google.com/spreadsheets/d/1-uDff_7J0KD5mKrp0Vvzr7lt3OU09vwQwhkpOPPYv2Y/edit?usp=sharing"",""งบพรบ!DU25"")"),0)</f>
        <v>0</v>
      </c>
      <c r="N290" s="224">
        <f ca="1">IFERROR(__xludf.DUMMYFUNCTION("IMPORTRANGE(""https://docs.google.com/spreadsheets/d/1-uDff_7J0KD5mKrp0Vvzr7lt3OU09vwQwhkpOPPYv2Y/edit?usp=sharing"",""งบพรบ!DW25"")"),0)</f>
        <v>0</v>
      </c>
      <c r="O290" s="224">
        <f t="shared" ca="1" si="178"/>
        <v>0</v>
      </c>
      <c r="P290" s="224">
        <f t="shared" ca="1" si="179"/>
        <v>0</v>
      </c>
      <c r="Q290" s="224">
        <v>0</v>
      </c>
      <c r="R290" s="224">
        <v>0</v>
      </c>
      <c r="S290" s="224">
        <v>0</v>
      </c>
      <c r="T290" s="224">
        <f t="shared" si="181"/>
        <v>0</v>
      </c>
      <c r="U290" s="224">
        <f t="shared" si="182"/>
        <v>0</v>
      </c>
    </row>
    <row r="291" spans="1:21" ht="19.5" x14ac:dyDescent="0.3">
      <c r="A291" s="138"/>
      <c r="B291" s="139"/>
      <c r="C291" s="129" t="s">
        <v>18</v>
      </c>
      <c r="D291" s="1391" t="s">
        <v>38</v>
      </c>
      <c r="E291" s="141"/>
      <c r="F291" s="141"/>
      <c r="G291" s="142"/>
      <c r="H291" s="143"/>
      <c r="I291" s="135"/>
      <c r="J291" s="135"/>
      <c r="K291" s="136"/>
      <c r="L291" s="1392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3" t="s">
        <v>46</v>
      </c>
      <c r="I292" s="184">
        <f ca="1">IFERROR(__xludf.DUMMYFUNCTION("IMPORTRANGE(""https://docs.google.com/spreadsheets/d/1eHaY18a8A9IcSdp1K8H6x8fbOy06t2VsZHhMHf-1x7Y/edit?usp=sharing"",""แผน!EE25"")"),100)</f>
        <v>100</v>
      </c>
      <c r="J292" s="1395">
        <v>100</v>
      </c>
      <c r="K292" s="1396">
        <f t="shared" ref="K292:K293" ca="1" si="189">IF(I292&gt;0,J292*100/I292,0)</f>
        <v>100</v>
      </c>
      <c r="L292" s="1392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328">
        <f ca="1">IFERROR(__xludf.DUMMYFUNCTION("IMPORTRANGE(""https://docs.google.com/spreadsheets/d/1eHaY18a8A9IcSdp1K8H6x8fbOy06t2VsZHhMHf-1x7Y/edit?usp=sharing"",""แผน!ED25"")"),10)</f>
        <v>10</v>
      </c>
      <c r="J293" s="328">
        <f>J296</f>
        <v>10</v>
      </c>
      <c r="K293" s="1393">
        <f t="shared" ca="1" si="189"/>
        <v>100</v>
      </c>
      <c r="L293" s="1392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4" t="s">
        <v>122</v>
      </c>
      <c r="F294" s="145"/>
      <c r="G294" s="143"/>
      <c r="H294" s="143"/>
      <c r="I294" s="135"/>
      <c r="J294" s="44"/>
      <c r="K294" s="136"/>
      <c r="L294" s="1392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394">
        <f ca="1">IFERROR(__xludf.DUMMYFUNCTION("IMPORTRANGE(""https://docs.google.com/spreadsheets/d/1eHaY18a8A9IcSdp1K8H6x8fbOy06t2VsZHhMHf-1x7Y/edit?usp=sharing"",""แผน!ED25"")"),10)</f>
        <v>10</v>
      </c>
      <c r="J295" s="1395">
        <v>21</v>
      </c>
      <c r="K295" s="1396">
        <f t="shared" ref="K295:K296" ca="1" si="190">IF(I295&gt;0,J295*100/I295,0)</f>
        <v>210</v>
      </c>
      <c r="L295" s="1392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394">
        <f ca="1">IFERROR(__xludf.DUMMYFUNCTION("IMPORTRANGE(""https://docs.google.com/spreadsheets/d/1eHaY18a8A9IcSdp1K8H6x8fbOy06t2VsZHhMHf-1x7Y/edit?usp=sharing"",""แผน!ED25"")"),10)</f>
        <v>10</v>
      </c>
      <c r="J296" s="1395">
        <v>10</v>
      </c>
      <c r="K296" s="1396">
        <f t="shared" ca="1" si="190"/>
        <v>100</v>
      </c>
      <c r="L296" s="1392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2"/>
      <c r="B297" s="163"/>
      <c r="C297" s="163"/>
      <c r="D297" s="18"/>
      <c r="E297" s="18"/>
      <c r="F297" s="18"/>
      <c r="G297" s="19"/>
      <c r="H297" s="19"/>
      <c r="I297" s="20"/>
      <c r="J297" s="20"/>
      <c r="K297" s="21"/>
      <c r="L297" s="1346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12.75" x14ac:dyDescent="0.2">
      <c r="A298" s="162"/>
      <c r="B298" s="163"/>
      <c r="C298" s="163"/>
      <c r="D298" s="18"/>
      <c r="E298" s="18"/>
      <c r="F298" s="18"/>
      <c r="G298" s="19"/>
      <c r="H298" s="19"/>
      <c r="I298" s="20"/>
      <c r="J298" s="20"/>
      <c r="K298" s="21"/>
      <c r="L298" s="1346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1:21" ht="12.75" x14ac:dyDescent="0.2">
      <c r="A299" s="277"/>
      <c r="B299" s="278"/>
      <c r="C299" s="278"/>
      <c r="D299" s="22"/>
      <c r="E299" s="22"/>
      <c r="F299" s="22"/>
      <c r="G299" s="14"/>
      <c r="H299" s="14"/>
      <c r="I299" s="15"/>
      <c r="J299" s="15"/>
      <c r="K299" s="16"/>
      <c r="L299" s="1345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 ht="19.5" x14ac:dyDescent="0.3">
      <c r="A300" s="279" t="s">
        <v>125</v>
      </c>
      <c r="B300" s="280"/>
      <c r="C300" s="280"/>
      <c r="D300" s="280"/>
      <c r="E300" s="281"/>
      <c r="F300" s="281"/>
      <c r="G300" s="281"/>
      <c r="H300" s="281"/>
      <c r="I300" s="282"/>
      <c r="J300" s="282"/>
      <c r="K300" s="283"/>
      <c r="L300" s="283"/>
      <c r="M300" s="283"/>
      <c r="N300" s="283"/>
      <c r="O300" s="283"/>
      <c r="P300" s="284"/>
      <c r="Q300" s="283"/>
      <c r="R300" s="283"/>
      <c r="S300" s="283"/>
      <c r="T300" s="283"/>
      <c r="U300" s="284"/>
    </row>
    <row r="301" spans="1:21" ht="19.5" x14ac:dyDescent="0.3">
      <c r="A301" s="285" t="s">
        <v>126</v>
      </c>
      <c r="B301" s="286"/>
      <c r="C301" s="286"/>
      <c r="D301" s="287"/>
      <c r="E301" s="287"/>
      <c r="F301" s="287"/>
      <c r="G301" s="288"/>
      <c r="H301" s="288"/>
      <c r="I301" s="289"/>
      <c r="J301" s="289"/>
      <c r="K301" s="290"/>
      <c r="L301" s="1500"/>
      <c r="M301" s="290"/>
      <c r="N301" s="290"/>
      <c r="O301" s="290"/>
      <c r="P301" s="290"/>
      <c r="Q301" s="290"/>
      <c r="R301" s="290"/>
      <c r="S301" s="290"/>
      <c r="T301" s="290"/>
      <c r="U301" s="290"/>
    </row>
    <row r="302" spans="1:21" ht="19.5" x14ac:dyDescent="0.3">
      <c r="A302" s="291"/>
      <c r="B302" s="292" t="s">
        <v>127</v>
      </c>
      <c r="C302" s="293"/>
      <c r="D302" s="293"/>
      <c r="E302" s="293"/>
      <c r="F302" s="293"/>
      <c r="G302" s="294"/>
      <c r="H302" s="295" t="s">
        <v>35</v>
      </c>
      <c r="I302" s="1501">
        <f t="shared" ref="I302:J302" ca="1" si="191">I314</f>
        <v>25</v>
      </c>
      <c r="J302" s="1501">
        <f t="shared" si="191"/>
        <v>0</v>
      </c>
      <c r="K302" s="1502">
        <f ca="1">IF(I302&gt;0,J302*100/I302,0)</f>
        <v>0</v>
      </c>
      <c r="L302" s="1503"/>
      <c r="M302" s="298"/>
      <c r="N302" s="298"/>
      <c r="O302" s="298"/>
      <c r="P302" s="298"/>
      <c r="Q302" s="298"/>
      <c r="R302" s="298"/>
      <c r="S302" s="298"/>
      <c r="T302" s="298"/>
      <c r="U302" s="298"/>
    </row>
    <row r="303" spans="1:21" ht="19.5" x14ac:dyDescent="0.3">
      <c r="A303" s="128"/>
      <c r="B303" s="40"/>
      <c r="C303" s="129" t="s">
        <v>18</v>
      </c>
      <c r="D303" s="1388" t="s">
        <v>19</v>
      </c>
      <c r="E303" s="40"/>
      <c r="F303" s="40"/>
      <c r="G303" s="42"/>
      <c r="H303" s="131" t="s">
        <v>14</v>
      </c>
      <c r="I303" s="44"/>
      <c r="J303" s="44"/>
      <c r="K303" s="45"/>
      <c r="L303" s="1389">
        <f t="shared" ref="L303:N303" ca="1" si="192">L304+L305</f>
        <v>0</v>
      </c>
      <c r="M303" s="1390">
        <f t="shared" ca="1" si="192"/>
        <v>0</v>
      </c>
      <c r="N303" s="1390">
        <f t="shared" ca="1" si="192"/>
        <v>0</v>
      </c>
      <c r="O303" s="1390">
        <f t="shared" ref="O303:O311" ca="1" si="193">IF(L303&gt;0,N303*100/L303,0)</f>
        <v>0</v>
      </c>
      <c r="P303" s="1390">
        <f t="shared" ref="P303:P311" ca="1" si="194">IF(M303&gt;0,N303*100/M303,0)</f>
        <v>0</v>
      </c>
      <c r="Q303" s="1390">
        <f t="shared" ref="Q303:S303" ca="1" si="195">Q304+Q305</f>
        <v>228095.39</v>
      </c>
      <c r="R303" s="1390">
        <f t="shared" ca="1" si="195"/>
        <v>228095</v>
      </c>
      <c r="S303" s="1390">
        <f t="shared" ca="1" si="195"/>
        <v>0</v>
      </c>
      <c r="T303" s="1390">
        <f t="shared" ref="T303:T311" ca="1" si="196">IF(Q303&gt;0,S303*100/Q303,0)</f>
        <v>0</v>
      </c>
      <c r="U303" s="1390">
        <f t="shared" ref="U303:U311" ca="1" si="197">IF(R303&gt;0,S303*100/R303,0)</f>
        <v>0</v>
      </c>
    </row>
    <row r="304" spans="1:21" ht="18.75" x14ac:dyDescent="0.25">
      <c r="A304" s="128"/>
      <c r="B304" s="40"/>
      <c r="C304" s="40"/>
      <c r="D304" s="40"/>
      <c r="E304" s="156" t="s">
        <v>20</v>
      </c>
      <c r="F304" s="40"/>
      <c r="G304" s="42"/>
      <c r="H304" s="157" t="s">
        <v>14</v>
      </c>
      <c r="I304" s="44"/>
      <c r="J304" s="44"/>
      <c r="K304" s="45"/>
      <c r="L304" s="1358">
        <f t="shared" ref="L304:N305" si="198">L307+L310</f>
        <v>0</v>
      </c>
      <c r="M304" s="83">
        <f t="shared" si="198"/>
        <v>0</v>
      </c>
      <c r="N304" s="83">
        <f t="shared" si="198"/>
        <v>0</v>
      </c>
      <c r="O304" s="83">
        <f t="shared" si="193"/>
        <v>0</v>
      </c>
      <c r="P304" s="83">
        <f t="shared" si="194"/>
        <v>0</v>
      </c>
      <c r="Q304" s="83">
        <f t="shared" ref="Q304:S305" si="199">Q307+Q310</f>
        <v>0</v>
      </c>
      <c r="R304" s="83">
        <f t="shared" si="199"/>
        <v>0</v>
      </c>
      <c r="S304" s="83">
        <f t="shared" si="199"/>
        <v>0</v>
      </c>
      <c r="T304" s="83">
        <f t="shared" si="196"/>
        <v>0</v>
      </c>
      <c r="U304" s="83">
        <f t="shared" si="197"/>
        <v>0</v>
      </c>
    </row>
    <row r="305" spans="1:21" ht="18.75" x14ac:dyDescent="0.25">
      <c r="A305" s="128"/>
      <c r="B305" s="40"/>
      <c r="C305" s="40"/>
      <c r="D305" s="40"/>
      <c r="E305" s="47" t="s">
        <v>21</v>
      </c>
      <c r="F305" s="40"/>
      <c r="G305" s="42"/>
      <c r="H305" s="133" t="s">
        <v>14</v>
      </c>
      <c r="I305" s="44"/>
      <c r="J305" s="44"/>
      <c r="K305" s="45"/>
      <c r="L305" s="1356">
        <f t="shared" ca="1" si="198"/>
        <v>0</v>
      </c>
      <c r="M305" s="224">
        <f t="shared" ca="1" si="198"/>
        <v>0</v>
      </c>
      <c r="N305" s="224">
        <f t="shared" ca="1" si="198"/>
        <v>0</v>
      </c>
      <c r="O305" s="224">
        <f t="shared" ca="1" si="193"/>
        <v>0</v>
      </c>
      <c r="P305" s="224">
        <f t="shared" ca="1" si="194"/>
        <v>0</v>
      </c>
      <c r="Q305" s="224">
        <f t="shared" ca="1" si="199"/>
        <v>228095.39</v>
      </c>
      <c r="R305" s="224">
        <f t="shared" ca="1" si="199"/>
        <v>228095</v>
      </c>
      <c r="S305" s="224">
        <f t="shared" ca="1" si="199"/>
        <v>0</v>
      </c>
      <c r="T305" s="224">
        <f t="shared" ca="1" si="196"/>
        <v>0</v>
      </c>
      <c r="U305" s="224">
        <f t="shared" ca="1" si="197"/>
        <v>0</v>
      </c>
    </row>
    <row r="306" spans="1:21" ht="18.75" x14ac:dyDescent="0.25">
      <c r="A306" s="128"/>
      <c r="B306" s="40"/>
      <c r="C306" s="40"/>
      <c r="D306" s="41" t="s">
        <v>22</v>
      </c>
      <c r="E306" s="40"/>
      <c r="F306" s="40"/>
      <c r="G306" s="42"/>
      <c r="H306" s="134" t="s">
        <v>14</v>
      </c>
      <c r="I306" s="135"/>
      <c r="J306" s="135"/>
      <c r="K306" s="136"/>
      <c r="L306" s="1356">
        <f t="shared" ref="L306:N306" ca="1" si="200">L307+L308</f>
        <v>0</v>
      </c>
      <c r="M306" s="224">
        <f t="shared" ca="1" si="200"/>
        <v>0</v>
      </c>
      <c r="N306" s="224">
        <f t="shared" ca="1" si="200"/>
        <v>0</v>
      </c>
      <c r="O306" s="224">
        <f t="shared" ca="1" si="193"/>
        <v>0</v>
      </c>
      <c r="P306" s="224">
        <f t="shared" ca="1" si="194"/>
        <v>0</v>
      </c>
      <c r="Q306" s="224">
        <f t="shared" ref="Q306:S306" ca="1" si="201">Q307+Q308</f>
        <v>228095.39</v>
      </c>
      <c r="R306" s="224">
        <f t="shared" ca="1" si="201"/>
        <v>228095</v>
      </c>
      <c r="S306" s="224">
        <f t="shared" ca="1" si="201"/>
        <v>0</v>
      </c>
      <c r="T306" s="224">
        <f t="shared" ca="1" si="196"/>
        <v>0</v>
      </c>
      <c r="U306" s="224">
        <f t="shared" ca="1" si="197"/>
        <v>0</v>
      </c>
    </row>
    <row r="307" spans="1:21" ht="18.75" x14ac:dyDescent="0.25">
      <c r="A307" s="128"/>
      <c r="B307" s="40"/>
      <c r="C307" s="40"/>
      <c r="D307" s="40"/>
      <c r="E307" s="156" t="s">
        <v>36</v>
      </c>
      <c r="F307" s="40"/>
      <c r="G307" s="42"/>
      <c r="H307" s="159" t="s">
        <v>14</v>
      </c>
      <c r="I307" s="135"/>
      <c r="J307" s="135"/>
      <c r="K307" s="136"/>
      <c r="L307" s="1358">
        <v>0</v>
      </c>
      <c r="M307" s="83">
        <v>0</v>
      </c>
      <c r="N307" s="83">
        <v>0</v>
      </c>
      <c r="O307" s="83">
        <f t="shared" si="193"/>
        <v>0</v>
      </c>
      <c r="P307" s="83">
        <f t="shared" si="194"/>
        <v>0</v>
      </c>
      <c r="Q307" s="83">
        <v>0</v>
      </c>
      <c r="R307" s="83">
        <v>0</v>
      </c>
      <c r="S307" s="83">
        <v>0</v>
      </c>
      <c r="T307" s="83">
        <f t="shared" si="196"/>
        <v>0</v>
      </c>
      <c r="U307" s="83">
        <f t="shared" si="197"/>
        <v>0</v>
      </c>
    </row>
    <row r="308" spans="1:21" ht="18.75" x14ac:dyDescent="0.25">
      <c r="A308" s="128"/>
      <c r="B308" s="40"/>
      <c r="C308" s="40"/>
      <c r="D308" s="40"/>
      <c r="E308" s="47" t="s">
        <v>37</v>
      </c>
      <c r="F308" s="40"/>
      <c r="G308" s="42"/>
      <c r="H308" s="134" t="s">
        <v>14</v>
      </c>
      <c r="I308" s="135"/>
      <c r="J308" s="135"/>
      <c r="K308" s="136"/>
      <c r="L308" s="1356">
        <f ca="1">IFERROR(__xludf.DUMMYFUNCTION("IMPORTRANGE(""https://docs.google.com/spreadsheets/d/1-uDff_7J0KD5mKrp0Vvzr7lt3OU09vwQwhkpOPPYv2Y/edit?usp=sharing"",""งบพรบ!DY25"")"),0)</f>
        <v>0</v>
      </c>
      <c r="M308" s="224">
        <f ca="1">IFERROR(__xludf.DUMMYFUNCTION("IMPORTRANGE(""https://docs.google.com/spreadsheets/d/1-uDff_7J0KD5mKrp0Vvzr7lt3OU09vwQwhkpOPPYv2Y/edit?usp=sharing"",""งบพรบ!ED25"")"),0)</f>
        <v>0</v>
      </c>
      <c r="N308" s="224">
        <f ca="1">IFERROR(__xludf.DUMMYFUNCTION("IMPORTRANGE(""https://docs.google.com/spreadsheets/d/1-uDff_7J0KD5mKrp0Vvzr7lt3OU09vwQwhkpOPPYv2Y/edit?usp=sharing"",""งบพรบ!EF25"")"),0)</f>
        <v>0</v>
      </c>
      <c r="O308" s="224">
        <f t="shared" ca="1" si="193"/>
        <v>0</v>
      </c>
      <c r="P308" s="224">
        <f t="shared" ca="1" si="194"/>
        <v>0</v>
      </c>
      <c r="Q308" s="224">
        <f ca="1">IFERROR(__xludf.DUMMYFUNCTION("IMPORTRANGE(""https://docs.google.com/spreadsheets/d/1ItG2mGa2ceCfYo0BwxsXqNm01IGEUdYcSSLTEv9YCik/edit?usp=sharing"",""เบิกจ่ายกองทุน!BB25"")"),228095.39)</f>
        <v>228095.39</v>
      </c>
      <c r="R308" s="224">
        <f ca="1">IFERROR(__xludf.DUMMYFUNCTION("IMPORTRANGE(""https://docs.google.com/spreadsheets/d/1ItG2mGa2ceCfYo0BwxsXqNm01IGEUdYcSSLTEv9YCik/edit?usp=sharing"",""เบิกจ่ายกองทุน!BC25"")"),228095)</f>
        <v>228095</v>
      </c>
      <c r="S308" s="224">
        <f ca="1">IFERROR(__xludf.DUMMYFUNCTION("IMPORTRANGE(""https://docs.google.com/spreadsheets/d/1ItG2mGa2ceCfYo0BwxsXqNm01IGEUdYcSSLTEv9YCik/edit?usp=sharing"",""เบิกจ่ายกองทุน!BD25"")"),0)</f>
        <v>0</v>
      </c>
      <c r="T308" s="224">
        <f t="shared" ca="1" si="196"/>
        <v>0</v>
      </c>
      <c r="U308" s="224">
        <f t="shared" ca="1" si="197"/>
        <v>0</v>
      </c>
    </row>
    <row r="309" spans="1:21" ht="18.75" x14ac:dyDescent="0.25">
      <c r="A309" s="128"/>
      <c r="B309" s="40"/>
      <c r="C309" s="40"/>
      <c r="D309" s="41" t="s">
        <v>23</v>
      </c>
      <c r="E309" s="40"/>
      <c r="F309" s="40"/>
      <c r="G309" s="42"/>
      <c r="H309" s="137" t="s">
        <v>14</v>
      </c>
      <c r="I309" s="135"/>
      <c r="J309" s="135"/>
      <c r="K309" s="136"/>
      <c r="L309" s="1356">
        <f t="shared" ref="L309:N309" ca="1" si="202">L310+L311</f>
        <v>0</v>
      </c>
      <c r="M309" s="224">
        <f t="shared" ca="1" si="202"/>
        <v>0</v>
      </c>
      <c r="N309" s="224">
        <f t="shared" ca="1" si="202"/>
        <v>0</v>
      </c>
      <c r="O309" s="224">
        <f t="shared" ca="1" si="193"/>
        <v>0</v>
      </c>
      <c r="P309" s="224">
        <f t="shared" ca="1" si="194"/>
        <v>0</v>
      </c>
      <c r="Q309" s="224">
        <f t="shared" ref="Q309:S309" si="203">Q310+Q311</f>
        <v>0</v>
      </c>
      <c r="R309" s="224">
        <f t="shared" si="203"/>
        <v>0</v>
      </c>
      <c r="S309" s="224">
        <f t="shared" si="203"/>
        <v>0</v>
      </c>
      <c r="T309" s="224">
        <f t="shared" si="196"/>
        <v>0</v>
      </c>
      <c r="U309" s="224">
        <f t="shared" si="197"/>
        <v>0</v>
      </c>
    </row>
    <row r="310" spans="1:21" ht="18.75" x14ac:dyDescent="0.25">
      <c r="A310" s="128"/>
      <c r="B310" s="40"/>
      <c r="C310" s="40"/>
      <c r="D310" s="40"/>
      <c r="E310" s="156" t="s">
        <v>20</v>
      </c>
      <c r="F310" s="40"/>
      <c r="G310" s="42"/>
      <c r="H310" s="159" t="s">
        <v>14</v>
      </c>
      <c r="I310" s="135"/>
      <c r="J310" s="135"/>
      <c r="K310" s="136"/>
      <c r="L310" s="1358">
        <v>0</v>
      </c>
      <c r="M310" s="83">
        <v>0</v>
      </c>
      <c r="N310" s="83">
        <v>0</v>
      </c>
      <c r="O310" s="83">
        <f t="shared" si="193"/>
        <v>0</v>
      </c>
      <c r="P310" s="83">
        <f t="shared" si="194"/>
        <v>0</v>
      </c>
      <c r="Q310" s="83">
        <v>0</v>
      </c>
      <c r="R310" s="83">
        <v>0</v>
      </c>
      <c r="S310" s="83">
        <v>0</v>
      </c>
      <c r="T310" s="83">
        <f t="shared" si="196"/>
        <v>0</v>
      </c>
      <c r="U310" s="83">
        <f t="shared" si="197"/>
        <v>0</v>
      </c>
    </row>
    <row r="311" spans="1:21" ht="18.75" x14ac:dyDescent="0.25">
      <c r="A311" s="128"/>
      <c r="B311" s="40"/>
      <c r="C311" s="40"/>
      <c r="D311" s="40"/>
      <c r="E311" s="47" t="s">
        <v>21</v>
      </c>
      <c r="F311" s="40"/>
      <c r="G311" s="42"/>
      <c r="H311" s="137" t="s">
        <v>14</v>
      </c>
      <c r="I311" s="135"/>
      <c r="J311" s="135"/>
      <c r="K311" s="136"/>
      <c r="L311" s="1356">
        <f ca="1">IFERROR(__xludf.DUMMYFUNCTION("IMPORTRANGE(""https://docs.google.com/spreadsheets/d/1-uDff_7J0KD5mKrp0Vvzr7lt3OU09vwQwhkpOPPYv2Y/edit?usp=sharing"",""งบพรบ!EB25"")"),0)</f>
        <v>0</v>
      </c>
      <c r="M311" s="224">
        <f ca="1">IFERROR(__xludf.DUMMYFUNCTION("IMPORTRANGE(""https://docs.google.com/spreadsheets/d/1-uDff_7J0KD5mKrp0Vvzr7lt3OU09vwQwhkpOPPYv2Y/edit?usp=sharing"",""งบพรบ!EE25"")"),0)</f>
        <v>0</v>
      </c>
      <c r="N311" s="224">
        <f ca="1">IFERROR(__xludf.DUMMYFUNCTION("IMPORTRANGE(""https://docs.google.com/spreadsheets/d/1-uDff_7J0KD5mKrp0Vvzr7lt3OU09vwQwhkpOPPYv2Y/edit?usp=sharing"",""งบพรบ!EG25"")"),0)</f>
        <v>0</v>
      </c>
      <c r="O311" s="224">
        <f t="shared" ca="1" si="193"/>
        <v>0</v>
      </c>
      <c r="P311" s="224">
        <f t="shared" ca="1" si="194"/>
        <v>0</v>
      </c>
      <c r="Q311" s="224">
        <v>0</v>
      </c>
      <c r="R311" s="224">
        <v>0</v>
      </c>
      <c r="S311" s="224">
        <v>0</v>
      </c>
      <c r="T311" s="224">
        <f t="shared" si="196"/>
        <v>0</v>
      </c>
      <c r="U311" s="224">
        <f t="shared" si="197"/>
        <v>0</v>
      </c>
    </row>
    <row r="312" spans="1:21" ht="19.5" x14ac:dyDescent="0.3">
      <c r="A312" s="138"/>
      <c r="B312" s="139"/>
      <c r="C312" s="129" t="s">
        <v>18</v>
      </c>
      <c r="D312" s="1391" t="s">
        <v>38</v>
      </c>
      <c r="E312" s="141"/>
      <c r="F312" s="141"/>
      <c r="G312" s="142"/>
      <c r="H312" s="143"/>
      <c r="I312" s="44"/>
      <c r="J312" s="44"/>
      <c r="K312" s="45"/>
      <c r="L312" s="1359"/>
      <c r="M312" s="45"/>
      <c r="N312" s="45"/>
      <c r="O312" s="45"/>
      <c r="P312" s="45"/>
      <c r="Q312" s="45"/>
      <c r="R312" s="45"/>
      <c r="S312" s="45"/>
      <c r="T312" s="45"/>
      <c r="U312" s="45"/>
    </row>
    <row r="313" spans="1:21" ht="18.75" x14ac:dyDescent="0.25">
      <c r="A313" s="162"/>
      <c r="B313" s="163"/>
      <c r="C313" s="163"/>
      <c r="D313" s="1504"/>
      <c r="E313" s="18"/>
      <c r="F313" s="18"/>
      <c r="G313" s="19"/>
      <c r="H313" s="19"/>
      <c r="I313" s="20"/>
      <c r="J313" s="1505"/>
      <c r="K313" s="21"/>
      <c r="L313" s="1346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84">
        <f ca="1">IFERROR(__xludf.DUMMYFUNCTION("IMPORTRANGE(""https://docs.google.com/spreadsheets/d/1eHaY18a8A9IcSdp1K8H6x8fbOy06t2VsZHhMHf-1x7Y/edit?usp=sharing"",""แผน!EF25"")"),25)</f>
        <v>25</v>
      </c>
      <c r="J314" s="1395">
        <v>0</v>
      </c>
      <c r="K314" s="224">
        <f ca="1">IF(I314&gt;0,J314*100/I314,0)</f>
        <v>0</v>
      </c>
      <c r="L314" s="1359"/>
      <c r="M314" s="45"/>
      <c r="N314" s="45"/>
      <c r="O314" s="45"/>
      <c r="P314" s="45"/>
      <c r="Q314" s="45"/>
      <c r="R314" s="45"/>
      <c r="S314" s="45"/>
      <c r="T314" s="45"/>
      <c r="U314" s="45"/>
    </row>
    <row r="315" spans="1:21" ht="18.75" x14ac:dyDescent="0.25">
      <c r="A315" s="162"/>
      <c r="B315" s="163"/>
      <c r="C315" s="163"/>
      <c r="D315" s="1504"/>
      <c r="E315" s="18"/>
      <c r="F315" s="18"/>
      <c r="G315" s="19"/>
      <c r="H315" s="1506"/>
      <c r="I315" s="1505"/>
      <c r="J315" s="1505"/>
      <c r="K315" s="1507"/>
      <c r="L315" s="1346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1:21" ht="18.75" x14ac:dyDescent="0.25">
      <c r="A316" s="162"/>
      <c r="B316" s="163"/>
      <c r="C316" s="163"/>
      <c r="D316" s="1504"/>
      <c r="E316" s="18"/>
      <c r="F316" s="18"/>
      <c r="G316" s="19"/>
      <c r="H316" s="1506"/>
      <c r="I316" s="1505"/>
      <c r="J316" s="1505"/>
      <c r="K316" s="1507"/>
      <c r="L316" s="1346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1:21" ht="18.75" x14ac:dyDescent="0.25">
      <c r="A317" s="162"/>
      <c r="B317" s="163"/>
      <c r="C317" s="163"/>
      <c r="D317" s="1508"/>
      <c r="E317" s="18"/>
      <c r="F317" s="18"/>
      <c r="G317" s="19"/>
      <c r="H317" s="1509"/>
      <c r="I317" s="1510"/>
      <c r="J317" s="1510"/>
      <c r="K317" s="1511"/>
      <c r="L317" s="1346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1:21" ht="19.5" x14ac:dyDescent="0.3">
      <c r="A318" s="285" t="s">
        <v>131</v>
      </c>
      <c r="B318" s="286"/>
      <c r="C318" s="286"/>
      <c r="D318" s="287"/>
      <c r="E318" s="286"/>
      <c r="F318" s="286"/>
      <c r="G318" s="286"/>
      <c r="H318" s="287"/>
      <c r="I318" s="289"/>
      <c r="J318" s="289"/>
      <c r="K318" s="290"/>
      <c r="L318" s="1500"/>
      <c r="M318" s="290"/>
      <c r="N318" s="290"/>
      <c r="O318" s="290"/>
      <c r="P318" s="290"/>
      <c r="Q318" s="290"/>
      <c r="R318" s="290"/>
      <c r="S318" s="290"/>
      <c r="T318" s="290"/>
      <c r="U318" s="290"/>
    </row>
    <row r="319" spans="1:21" ht="19.5" x14ac:dyDescent="0.3">
      <c r="A319" s="299"/>
      <c r="B319" s="292" t="s">
        <v>132</v>
      </c>
      <c r="C319" s="300"/>
      <c r="D319" s="301"/>
      <c r="E319" s="293"/>
      <c r="F319" s="293"/>
      <c r="G319" s="294"/>
      <c r="H319" s="295" t="s">
        <v>133</v>
      </c>
      <c r="I319" s="1501">
        <f t="shared" ref="I319:J319" ca="1" si="204">I330</f>
        <v>0</v>
      </c>
      <c r="J319" s="1501">
        <f t="shared" si="204"/>
        <v>0</v>
      </c>
      <c r="K319" s="1502">
        <f ca="1">IF(I319&gt;0,J319*100/I319,0)</f>
        <v>0</v>
      </c>
      <c r="L319" s="1503"/>
      <c r="M319" s="298"/>
      <c r="N319" s="298"/>
      <c r="O319" s="298"/>
      <c r="P319" s="298"/>
      <c r="Q319" s="298"/>
      <c r="R319" s="298"/>
      <c r="S319" s="298"/>
      <c r="T319" s="298"/>
      <c r="U319" s="298"/>
    </row>
    <row r="320" spans="1:21" ht="19.5" x14ac:dyDescent="0.3">
      <c r="A320" s="128"/>
      <c r="B320" s="40"/>
      <c r="C320" s="129" t="s">
        <v>18</v>
      </c>
      <c r="D320" s="1388" t="s">
        <v>19</v>
      </c>
      <c r="E320" s="40"/>
      <c r="F320" s="40"/>
      <c r="G320" s="42"/>
      <c r="H320" s="131" t="s">
        <v>14</v>
      </c>
      <c r="I320" s="44"/>
      <c r="J320" s="44"/>
      <c r="K320" s="45"/>
      <c r="L320" s="1389">
        <f t="shared" ref="L320:N320" ca="1" si="205">L321+L322</f>
        <v>0</v>
      </c>
      <c r="M320" s="1390">
        <f t="shared" ca="1" si="205"/>
        <v>0</v>
      </c>
      <c r="N320" s="1390">
        <f t="shared" ca="1" si="205"/>
        <v>0</v>
      </c>
      <c r="O320" s="1390">
        <f t="shared" ref="O320:O328" ca="1" si="206">IF(L320&gt;0,N320*100/L320,0)</f>
        <v>0</v>
      </c>
      <c r="P320" s="1390">
        <f t="shared" ref="P320:P328" ca="1" si="207">IF(M320&gt;0,N320*100/M320,0)</f>
        <v>0</v>
      </c>
      <c r="Q320" s="1390">
        <f t="shared" ref="Q320:S320" si="208">Q321+Q322</f>
        <v>0</v>
      </c>
      <c r="R320" s="1390">
        <f t="shared" si="208"/>
        <v>0</v>
      </c>
      <c r="S320" s="1390">
        <f t="shared" si="208"/>
        <v>0</v>
      </c>
      <c r="T320" s="1390">
        <f t="shared" ref="T320:T328" si="209">IF(Q320&gt;0,S320*100/Q320,0)</f>
        <v>0</v>
      </c>
      <c r="U320" s="1390">
        <f t="shared" ref="U320:U328" si="210">IF(R320&gt;0,S320*100/R320,0)</f>
        <v>0</v>
      </c>
    </row>
    <row r="321" spans="1:21" ht="18.75" x14ac:dyDescent="0.25">
      <c r="A321" s="128"/>
      <c r="B321" s="40"/>
      <c r="C321" s="40"/>
      <c r="D321" s="40"/>
      <c r="E321" s="156" t="s">
        <v>20</v>
      </c>
      <c r="F321" s="40"/>
      <c r="G321" s="42"/>
      <c r="H321" s="157" t="s">
        <v>14</v>
      </c>
      <c r="I321" s="44"/>
      <c r="J321" s="44"/>
      <c r="K321" s="45"/>
      <c r="L321" s="1358">
        <f t="shared" ref="L321:N322" si="211">L324+L327</f>
        <v>0</v>
      </c>
      <c r="M321" s="83">
        <f t="shared" si="211"/>
        <v>0</v>
      </c>
      <c r="N321" s="83">
        <f t="shared" si="211"/>
        <v>0</v>
      </c>
      <c r="O321" s="83">
        <f t="shared" si="206"/>
        <v>0</v>
      </c>
      <c r="P321" s="83">
        <f t="shared" si="207"/>
        <v>0</v>
      </c>
      <c r="Q321" s="83">
        <f t="shared" ref="Q321:S322" si="212">Q324+Q327</f>
        <v>0</v>
      </c>
      <c r="R321" s="83">
        <f t="shared" si="212"/>
        <v>0</v>
      </c>
      <c r="S321" s="83">
        <f t="shared" si="212"/>
        <v>0</v>
      </c>
      <c r="T321" s="83">
        <f t="shared" si="209"/>
        <v>0</v>
      </c>
      <c r="U321" s="83">
        <f t="shared" si="210"/>
        <v>0</v>
      </c>
    </row>
    <row r="322" spans="1:21" ht="18.75" x14ac:dyDescent="0.25">
      <c r="A322" s="128"/>
      <c r="B322" s="40"/>
      <c r="C322" s="40"/>
      <c r="D322" s="40"/>
      <c r="E322" s="47" t="s">
        <v>21</v>
      </c>
      <c r="F322" s="40"/>
      <c r="G322" s="42"/>
      <c r="H322" s="133" t="s">
        <v>14</v>
      </c>
      <c r="I322" s="44"/>
      <c r="J322" s="44"/>
      <c r="K322" s="45"/>
      <c r="L322" s="1356">
        <f t="shared" ca="1" si="211"/>
        <v>0</v>
      </c>
      <c r="M322" s="224">
        <f t="shared" ca="1" si="211"/>
        <v>0</v>
      </c>
      <c r="N322" s="224">
        <f t="shared" ca="1" si="211"/>
        <v>0</v>
      </c>
      <c r="O322" s="224">
        <f t="shared" ca="1" si="206"/>
        <v>0</v>
      </c>
      <c r="P322" s="224">
        <f t="shared" ca="1" si="207"/>
        <v>0</v>
      </c>
      <c r="Q322" s="224">
        <f t="shared" si="212"/>
        <v>0</v>
      </c>
      <c r="R322" s="224">
        <f t="shared" si="212"/>
        <v>0</v>
      </c>
      <c r="S322" s="224">
        <f t="shared" si="212"/>
        <v>0</v>
      </c>
      <c r="T322" s="224">
        <f t="shared" si="209"/>
        <v>0</v>
      </c>
      <c r="U322" s="224">
        <f t="shared" si="210"/>
        <v>0</v>
      </c>
    </row>
    <row r="323" spans="1:21" ht="18.75" x14ac:dyDescent="0.25">
      <c r="A323" s="128"/>
      <c r="B323" s="40"/>
      <c r="C323" s="40"/>
      <c r="D323" s="41" t="s">
        <v>22</v>
      </c>
      <c r="E323" s="40"/>
      <c r="F323" s="40"/>
      <c r="G323" s="42"/>
      <c r="H323" s="134" t="s">
        <v>14</v>
      </c>
      <c r="I323" s="135"/>
      <c r="J323" s="135"/>
      <c r="K323" s="136"/>
      <c r="L323" s="1356">
        <f t="shared" ref="L323:N323" ca="1" si="213">L324+L325</f>
        <v>0</v>
      </c>
      <c r="M323" s="224">
        <f t="shared" ca="1" si="213"/>
        <v>0</v>
      </c>
      <c r="N323" s="224">
        <f t="shared" ca="1" si="213"/>
        <v>0</v>
      </c>
      <c r="O323" s="224">
        <f t="shared" ca="1" si="206"/>
        <v>0</v>
      </c>
      <c r="P323" s="224">
        <f t="shared" ca="1" si="207"/>
        <v>0</v>
      </c>
      <c r="Q323" s="224">
        <f t="shared" ref="Q323:S323" si="214">Q324+Q325</f>
        <v>0</v>
      </c>
      <c r="R323" s="224">
        <f t="shared" si="214"/>
        <v>0</v>
      </c>
      <c r="S323" s="224">
        <f t="shared" si="214"/>
        <v>0</v>
      </c>
      <c r="T323" s="224">
        <f t="shared" si="209"/>
        <v>0</v>
      </c>
      <c r="U323" s="224">
        <f t="shared" si="210"/>
        <v>0</v>
      </c>
    </row>
    <row r="324" spans="1:21" ht="18.75" x14ac:dyDescent="0.25">
      <c r="A324" s="128"/>
      <c r="B324" s="40"/>
      <c r="C324" s="40"/>
      <c r="D324" s="40"/>
      <c r="E324" s="156" t="s">
        <v>36</v>
      </c>
      <c r="F324" s="40"/>
      <c r="G324" s="42"/>
      <c r="H324" s="159" t="s">
        <v>14</v>
      </c>
      <c r="I324" s="135"/>
      <c r="J324" s="135"/>
      <c r="K324" s="136"/>
      <c r="L324" s="1358">
        <v>0</v>
      </c>
      <c r="M324" s="83">
        <v>0</v>
      </c>
      <c r="N324" s="83">
        <v>0</v>
      </c>
      <c r="O324" s="83">
        <f t="shared" si="206"/>
        <v>0</v>
      </c>
      <c r="P324" s="83">
        <f t="shared" si="207"/>
        <v>0</v>
      </c>
      <c r="Q324" s="83">
        <v>0</v>
      </c>
      <c r="R324" s="83">
        <v>0</v>
      </c>
      <c r="S324" s="83">
        <v>0</v>
      </c>
      <c r="T324" s="83">
        <f t="shared" si="209"/>
        <v>0</v>
      </c>
      <c r="U324" s="83">
        <f t="shared" si="210"/>
        <v>0</v>
      </c>
    </row>
    <row r="325" spans="1:21" ht="18.75" x14ac:dyDescent="0.25">
      <c r="A325" s="128"/>
      <c r="B325" s="40"/>
      <c r="C325" s="40"/>
      <c r="D325" s="40"/>
      <c r="E325" s="47" t="s">
        <v>37</v>
      </c>
      <c r="F325" s="40"/>
      <c r="G325" s="42"/>
      <c r="H325" s="134" t="s">
        <v>14</v>
      </c>
      <c r="I325" s="135"/>
      <c r="J325" s="135"/>
      <c r="K325" s="136"/>
      <c r="L325" s="1356">
        <f ca="1">IFERROR(__xludf.DUMMYFUNCTION("IMPORTRANGE(""https://docs.google.com/spreadsheets/d/1-uDff_7J0KD5mKrp0Vvzr7lt3OU09vwQwhkpOPPYv2Y/edit?usp=sharing"",""งบพรบ!EI25"")"),0)</f>
        <v>0</v>
      </c>
      <c r="M325" s="224">
        <f ca="1">IFERROR(__xludf.DUMMYFUNCTION("IMPORTRANGE(""https://docs.google.com/spreadsheets/d/1-uDff_7J0KD5mKrp0Vvzr7lt3OU09vwQwhkpOPPYv2Y/edit?usp=sharing"",""งบพรบ!EN25"")"),0)</f>
        <v>0</v>
      </c>
      <c r="N325" s="224">
        <f ca="1">IFERROR(__xludf.DUMMYFUNCTION("IMPORTRANGE(""https://docs.google.com/spreadsheets/d/1-uDff_7J0KD5mKrp0Vvzr7lt3OU09vwQwhkpOPPYv2Y/edit?usp=sharing"",""งบพรบ!EP25"")"),0)</f>
        <v>0</v>
      </c>
      <c r="O325" s="224">
        <f t="shared" ca="1" si="206"/>
        <v>0</v>
      </c>
      <c r="P325" s="224">
        <f t="shared" ca="1" si="207"/>
        <v>0</v>
      </c>
      <c r="Q325" s="224">
        <v>0</v>
      </c>
      <c r="R325" s="224">
        <v>0</v>
      </c>
      <c r="S325" s="224">
        <v>0</v>
      </c>
      <c r="T325" s="224">
        <f t="shared" si="209"/>
        <v>0</v>
      </c>
      <c r="U325" s="224">
        <f t="shared" si="210"/>
        <v>0</v>
      </c>
    </row>
    <row r="326" spans="1:21" ht="18.75" x14ac:dyDescent="0.25">
      <c r="A326" s="128"/>
      <c r="B326" s="40"/>
      <c r="C326" s="40"/>
      <c r="D326" s="41" t="s">
        <v>23</v>
      </c>
      <c r="E326" s="40"/>
      <c r="F326" s="40"/>
      <c r="G326" s="42"/>
      <c r="H326" s="137" t="s">
        <v>14</v>
      </c>
      <c r="I326" s="135"/>
      <c r="J326" s="135"/>
      <c r="K326" s="136"/>
      <c r="L326" s="1356">
        <f t="shared" ref="L326:N326" ca="1" si="215">L327+L328</f>
        <v>0</v>
      </c>
      <c r="M326" s="224">
        <f t="shared" ca="1" si="215"/>
        <v>0</v>
      </c>
      <c r="N326" s="224">
        <f t="shared" ca="1" si="215"/>
        <v>0</v>
      </c>
      <c r="O326" s="224">
        <f t="shared" ca="1" si="206"/>
        <v>0</v>
      </c>
      <c r="P326" s="224">
        <f t="shared" ca="1" si="207"/>
        <v>0</v>
      </c>
      <c r="Q326" s="224">
        <f t="shared" ref="Q326:S326" si="216">Q327+Q328</f>
        <v>0</v>
      </c>
      <c r="R326" s="224">
        <f t="shared" si="216"/>
        <v>0</v>
      </c>
      <c r="S326" s="224">
        <f t="shared" si="216"/>
        <v>0</v>
      </c>
      <c r="T326" s="224">
        <f t="shared" si="209"/>
        <v>0</v>
      </c>
      <c r="U326" s="224">
        <f t="shared" si="210"/>
        <v>0</v>
      </c>
    </row>
    <row r="327" spans="1:21" ht="18.75" x14ac:dyDescent="0.25">
      <c r="A327" s="128"/>
      <c r="B327" s="40"/>
      <c r="C327" s="40"/>
      <c r="D327" s="40"/>
      <c r="E327" s="156" t="s">
        <v>20</v>
      </c>
      <c r="F327" s="40"/>
      <c r="G327" s="42"/>
      <c r="H327" s="159" t="s">
        <v>14</v>
      </c>
      <c r="I327" s="135"/>
      <c r="J327" s="135"/>
      <c r="K327" s="136"/>
      <c r="L327" s="1358">
        <v>0</v>
      </c>
      <c r="M327" s="83">
        <v>0</v>
      </c>
      <c r="N327" s="83">
        <v>0</v>
      </c>
      <c r="O327" s="83">
        <f t="shared" si="206"/>
        <v>0</v>
      </c>
      <c r="P327" s="83">
        <f t="shared" si="207"/>
        <v>0</v>
      </c>
      <c r="Q327" s="83">
        <v>0</v>
      </c>
      <c r="R327" s="83">
        <v>0</v>
      </c>
      <c r="S327" s="83">
        <v>0</v>
      </c>
      <c r="T327" s="83">
        <f t="shared" si="209"/>
        <v>0</v>
      </c>
      <c r="U327" s="83">
        <f t="shared" si="210"/>
        <v>0</v>
      </c>
    </row>
    <row r="328" spans="1:21" ht="18.75" x14ac:dyDescent="0.25">
      <c r="A328" s="128"/>
      <c r="B328" s="40"/>
      <c r="C328" s="40"/>
      <c r="D328" s="40"/>
      <c r="E328" s="47" t="s">
        <v>21</v>
      </c>
      <c r="F328" s="40"/>
      <c r="G328" s="42"/>
      <c r="H328" s="137" t="s">
        <v>14</v>
      </c>
      <c r="I328" s="135"/>
      <c r="J328" s="135"/>
      <c r="K328" s="136"/>
      <c r="L328" s="1356">
        <f ca="1">IFERROR(__xludf.DUMMYFUNCTION("IMPORTRANGE(""https://docs.google.com/spreadsheets/d/1-uDff_7J0KD5mKrp0Vvzr7lt3OU09vwQwhkpOPPYv2Y/edit?usp=sharing"",""งบพรบ!EL25"")"),0)</f>
        <v>0</v>
      </c>
      <c r="M328" s="224">
        <f ca="1">IFERROR(__xludf.DUMMYFUNCTION("IMPORTRANGE(""https://docs.google.com/spreadsheets/d/1-uDff_7J0KD5mKrp0Vvzr7lt3OU09vwQwhkpOPPYv2Y/edit?usp=sharing"",""งบพรบ!EO25"")"),0)</f>
        <v>0</v>
      </c>
      <c r="N328" s="224">
        <f ca="1">IFERROR(__xludf.DUMMYFUNCTION("IMPORTRANGE(""https://docs.google.com/spreadsheets/d/1-uDff_7J0KD5mKrp0Vvzr7lt3OU09vwQwhkpOPPYv2Y/edit?usp=sharing"",""งบพรบ!EQ25"")"),0)</f>
        <v>0</v>
      </c>
      <c r="O328" s="224">
        <f t="shared" ca="1" si="206"/>
        <v>0</v>
      </c>
      <c r="P328" s="224">
        <f t="shared" ca="1" si="207"/>
        <v>0</v>
      </c>
      <c r="Q328" s="224">
        <v>0</v>
      </c>
      <c r="R328" s="224">
        <v>0</v>
      </c>
      <c r="S328" s="224">
        <v>0</v>
      </c>
      <c r="T328" s="224">
        <f t="shared" si="209"/>
        <v>0</v>
      </c>
      <c r="U328" s="224">
        <f t="shared" si="210"/>
        <v>0</v>
      </c>
    </row>
    <row r="329" spans="1:21" ht="19.5" x14ac:dyDescent="0.3">
      <c r="A329" s="138"/>
      <c r="B329" s="139"/>
      <c r="C329" s="129" t="s">
        <v>18</v>
      </c>
      <c r="D329" s="1391" t="s">
        <v>38</v>
      </c>
      <c r="E329" s="141"/>
      <c r="F329" s="141"/>
      <c r="G329" s="142"/>
      <c r="H329" s="143"/>
      <c r="I329" s="135"/>
      <c r="J329" s="44"/>
      <c r="K329" s="45"/>
      <c r="L329" s="1359"/>
      <c r="M329" s="45"/>
      <c r="N329" s="45"/>
      <c r="O329" s="136"/>
      <c r="P329" s="136"/>
      <c r="Q329" s="45"/>
      <c r="R329" s="45"/>
      <c r="S329" s="45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3" t="s">
        <v>133</v>
      </c>
      <c r="I330" s="184">
        <f ca="1">IFERROR(__xludf.DUMMYFUNCTION("IMPORTRANGE(""https://docs.google.com/spreadsheets/d/1eHaY18a8A9IcSdp1K8H6x8fbOy06t2VsZHhMHf-1x7Y/edit?usp=sharing"",""แผน!EJ25"")"),0)</f>
        <v>0</v>
      </c>
      <c r="J330" s="1395">
        <v>0</v>
      </c>
      <c r="K330" s="224">
        <f ca="1">IF(I330&gt;0,J330*100/I330,0)</f>
        <v>0</v>
      </c>
      <c r="L330" s="1359"/>
      <c r="M330" s="45"/>
      <c r="N330" s="45"/>
      <c r="O330" s="136"/>
      <c r="P330" s="136"/>
      <c r="Q330" s="45"/>
      <c r="R330" s="45"/>
      <c r="S330" s="45"/>
      <c r="T330" s="136"/>
      <c r="U330" s="136"/>
    </row>
    <row r="331" spans="1:21" ht="19.5" x14ac:dyDescent="0.3">
      <c r="A331" s="285" t="s">
        <v>135</v>
      </c>
      <c r="B331" s="286"/>
      <c r="C331" s="286"/>
      <c r="D331" s="287"/>
      <c r="E331" s="286"/>
      <c r="F331" s="286"/>
      <c r="G331" s="286"/>
      <c r="H331" s="287"/>
      <c r="I331" s="289"/>
      <c r="J331" s="289"/>
      <c r="K331" s="290"/>
      <c r="L331" s="1500"/>
      <c r="M331" s="290"/>
      <c r="N331" s="290"/>
      <c r="O331" s="290"/>
      <c r="P331" s="290"/>
      <c r="Q331" s="290"/>
      <c r="R331" s="290"/>
      <c r="S331" s="290"/>
      <c r="T331" s="290"/>
      <c r="U331" s="290"/>
    </row>
    <row r="332" spans="1:21" ht="19.5" x14ac:dyDescent="0.3">
      <c r="A332" s="291"/>
      <c r="B332" s="292" t="s">
        <v>136</v>
      </c>
      <c r="C332" s="301"/>
      <c r="D332" s="293"/>
      <c r="E332" s="293"/>
      <c r="F332" s="293"/>
      <c r="G332" s="294"/>
      <c r="H332" s="295" t="s">
        <v>35</v>
      </c>
      <c r="I332" s="1512">
        <f ca="1">I344</f>
        <v>260</v>
      </c>
      <c r="J332" s="1513">
        <f ca="1">J344+J347+J348+J349+J353</f>
        <v>1267</v>
      </c>
      <c r="K332" s="1514">
        <f ca="1">IF(I332&gt;0,J332*100/I332,0)</f>
        <v>487.30769230769232</v>
      </c>
      <c r="L332" s="1503"/>
      <c r="M332" s="298"/>
      <c r="N332" s="298"/>
      <c r="O332" s="298"/>
      <c r="P332" s="298"/>
      <c r="Q332" s="298"/>
      <c r="R332" s="298"/>
      <c r="S332" s="298"/>
      <c r="T332" s="298"/>
      <c r="U332" s="298"/>
    </row>
    <row r="333" spans="1:21" ht="19.5" x14ac:dyDescent="0.3">
      <c r="A333" s="128"/>
      <c r="B333" s="40"/>
      <c r="C333" s="129" t="s">
        <v>18</v>
      </c>
      <c r="D333" s="1388" t="s">
        <v>19</v>
      </c>
      <c r="E333" s="40"/>
      <c r="F333" s="40"/>
      <c r="G333" s="42"/>
      <c r="H333" s="131" t="s">
        <v>14</v>
      </c>
      <c r="I333" s="44"/>
      <c r="J333" s="44"/>
      <c r="K333" s="45"/>
      <c r="L333" s="1389">
        <f t="shared" ref="L333:N333" ca="1" si="217">L334+L335</f>
        <v>180000</v>
      </c>
      <c r="M333" s="1390">
        <f t="shared" ca="1" si="217"/>
        <v>110000</v>
      </c>
      <c r="N333" s="1390">
        <f t="shared" ca="1" si="217"/>
        <v>91661.8</v>
      </c>
      <c r="O333" s="1390">
        <f t="shared" ref="O333:O341" ca="1" si="218">IF(L333&gt;0,N333*100/L333,0)</f>
        <v>50.923222222222222</v>
      </c>
      <c r="P333" s="1390">
        <f t="shared" ref="P333:P341" ca="1" si="219">IF(M333&gt;0,N333*100/M333,0)</f>
        <v>83.328909090909093</v>
      </c>
      <c r="Q333" s="1390">
        <f t="shared" ref="Q333:S333" si="220">Q334+Q335</f>
        <v>0</v>
      </c>
      <c r="R333" s="1390">
        <f t="shared" si="220"/>
        <v>0</v>
      </c>
      <c r="S333" s="1390">
        <f t="shared" si="220"/>
        <v>0</v>
      </c>
      <c r="T333" s="1390">
        <f t="shared" ref="T333:T341" si="221">IF(Q333&gt;0,S333*100/Q333,0)</f>
        <v>0</v>
      </c>
      <c r="U333" s="1390">
        <f t="shared" ref="U333:U341" si="222">IF(R333&gt;0,S333*100/R333,0)</f>
        <v>0</v>
      </c>
    </row>
    <row r="334" spans="1:21" ht="18.75" x14ac:dyDescent="0.25">
      <c r="A334" s="128"/>
      <c r="B334" s="40"/>
      <c r="C334" s="40"/>
      <c r="D334" s="40"/>
      <c r="E334" s="156" t="s">
        <v>20</v>
      </c>
      <c r="F334" s="40"/>
      <c r="G334" s="42"/>
      <c r="H334" s="157" t="s">
        <v>14</v>
      </c>
      <c r="I334" s="44"/>
      <c r="J334" s="44"/>
      <c r="K334" s="45"/>
      <c r="L334" s="1358">
        <f t="shared" ref="L334:N335" si="223">L337+L340</f>
        <v>0</v>
      </c>
      <c r="M334" s="83">
        <f t="shared" si="223"/>
        <v>0</v>
      </c>
      <c r="N334" s="83">
        <f t="shared" si="223"/>
        <v>0</v>
      </c>
      <c r="O334" s="83">
        <f t="shared" si="218"/>
        <v>0</v>
      </c>
      <c r="P334" s="83">
        <f t="shared" si="219"/>
        <v>0</v>
      </c>
      <c r="Q334" s="83">
        <f t="shared" ref="Q334:S335" si="224">Q337+Q340</f>
        <v>0</v>
      </c>
      <c r="R334" s="83">
        <f t="shared" si="224"/>
        <v>0</v>
      </c>
      <c r="S334" s="83">
        <f t="shared" si="224"/>
        <v>0</v>
      </c>
      <c r="T334" s="83">
        <f t="shared" si="221"/>
        <v>0</v>
      </c>
      <c r="U334" s="83">
        <f t="shared" si="222"/>
        <v>0</v>
      </c>
    </row>
    <row r="335" spans="1:21" ht="18.75" x14ac:dyDescent="0.25">
      <c r="A335" s="128"/>
      <c r="B335" s="40"/>
      <c r="C335" s="40"/>
      <c r="D335" s="40"/>
      <c r="E335" s="47" t="s">
        <v>21</v>
      </c>
      <c r="F335" s="40"/>
      <c r="G335" s="42"/>
      <c r="H335" s="133" t="s">
        <v>14</v>
      </c>
      <c r="I335" s="44"/>
      <c r="J335" s="44"/>
      <c r="K335" s="45"/>
      <c r="L335" s="1356">
        <f t="shared" ca="1" si="223"/>
        <v>180000</v>
      </c>
      <c r="M335" s="224">
        <f t="shared" ca="1" si="223"/>
        <v>110000</v>
      </c>
      <c r="N335" s="224">
        <f t="shared" ca="1" si="223"/>
        <v>91661.8</v>
      </c>
      <c r="O335" s="224">
        <f t="shared" ca="1" si="218"/>
        <v>50.923222222222222</v>
      </c>
      <c r="P335" s="224">
        <f t="shared" ca="1" si="219"/>
        <v>83.328909090909093</v>
      </c>
      <c r="Q335" s="224">
        <f t="shared" si="224"/>
        <v>0</v>
      </c>
      <c r="R335" s="224">
        <f t="shared" si="224"/>
        <v>0</v>
      </c>
      <c r="S335" s="224">
        <f t="shared" si="224"/>
        <v>0</v>
      </c>
      <c r="T335" s="224">
        <f t="shared" si="221"/>
        <v>0</v>
      </c>
      <c r="U335" s="224">
        <f t="shared" si="222"/>
        <v>0</v>
      </c>
    </row>
    <row r="336" spans="1:21" ht="18.75" x14ac:dyDescent="0.25">
      <c r="A336" s="128"/>
      <c r="B336" s="40"/>
      <c r="C336" s="40"/>
      <c r="D336" s="41" t="s">
        <v>22</v>
      </c>
      <c r="E336" s="40"/>
      <c r="F336" s="40"/>
      <c r="G336" s="42"/>
      <c r="H336" s="134" t="s">
        <v>14</v>
      </c>
      <c r="I336" s="135"/>
      <c r="J336" s="135"/>
      <c r="K336" s="136"/>
      <c r="L336" s="1356">
        <f t="shared" ref="L336:N336" ca="1" si="225">L337+L338</f>
        <v>180000</v>
      </c>
      <c r="M336" s="224">
        <f t="shared" ca="1" si="225"/>
        <v>110000</v>
      </c>
      <c r="N336" s="224">
        <f t="shared" ca="1" si="225"/>
        <v>91661.8</v>
      </c>
      <c r="O336" s="224">
        <f t="shared" ca="1" si="218"/>
        <v>50.923222222222222</v>
      </c>
      <c r="P336" s="224">
        <f t="shared" ca="1" si="219"/>
        <v>83.328909090909093</v>
      </c>
      <c r="Q336" s="224">
        <f t="shared" ref="Q336:S336" si="226">Q337+Q338</f>
        <v>0</v>
      </c>
      <c r="R336" s="224">
        <f t="shared" si="226"/>
        <v>0</v>
      </c>
      <c r="S336" s="224">
        <f t="shared" si="226"/>
        <v>0</v>
      </c>
      <c r="T336" s="224">
        <f t="shared" si="221"/>
        <v>0</v>
      </c>
      <c r="U336" s="224">
        <f t="shared" si="222"/>
        <v>0</v>
      </c>
    </row>
    <row r="337" spans="1:21" ht="18.75" x14ac:dyDescent="0.25">
      <c r="A337" s="128"/>
      <c r="B337" s="40"/>
      <c r="C337" s="40"/>
      <c r="D337" s="40"/>
      <c r="E337" s="156" t="s">
        <v>36</v>
      </c>
      <c r="F337" s="40"/>
      <c r="G337" s="42"/>
      <c r="H337" s="159" t="s">
        <v>14</v>
      </c>
      <c r="I337" s="135"/>
      <c r="J337" s="135"/>
      <c r="K337" s="136"/>
      <c r="L337" s="1358">
        <v>0</v>
      </c>
      <c r="M337" s="83">
        <v>0</v>
      </c>
      <c r="N337" s="83">
        <v>0</v>
      </c>
      <c r="O337" s="83">
        <f t="shared" si="218"/>
        <v>0</v>
      </c>
      <c r="P337" s="83">
        <f t="shared" si="219"/>
        <v>0</v>
      </c>
      <c r="Q337" s="83">
        <v>0</v>
      </c>
      <c r="R337" s="83">
        <v>0</v>
      </c>
      <c r="S337" s="83">
        <v>0</v>
      </c>
      <c r="T337" s="83">
        <f t="shared" si="221"/>
        <v>0</v>
      </c>
      <c r="U337" s="83">
        <f t="shared" si="222"/>
        <v>0</v>
      </c>
    </row>
    <row r="338" spans="1:21" ht="18.75" x14ac:dyDescent="0.25">
      <c r="A338" s="128"/>
      <c r="B338" s="40"/>
      <c r="C338" s="40"/>
      <c r="D338" s="40"/>
      <c r="E338" s="47" t="s">
        <v>37</v>
      </c>
      <c r="F338" s="40"/>
      <c r="G338" s="42"/>
      <c r="H338" s="134" t="s">
        <v>14</v>
      </c>
      <c r="I338" s="135"/>
      <c r="J338" s="135"/>
      <c r="K338" s="136"/>
      <c r="L338" s="1356">
        <f ca="1">IFERROR(__xludf.DUMMYFUNCTION("IMPORTRANGE(""https://docs.google.com/spreadsheets/d/1-uDff_7J0KD5mKrp0Vvzr7lt3OU09vwQwhkpOPPYv2Y/edit?usp=sharing"",""งบพรบ!ES25"")"),180000)</f>
        <v>180000</v>
      </c>
      <c r="M338" s="224">
        <f ca="1">IFERROR(__xludf.DUMMYFUNCTION("IMPORTRANGE(""https://docs.google.com/spreadsheets/d/1-uDff_7J0KD5mKrp0Vvzr7lt3OU09vwQwhkpOPPYv2Y/edit?usp=sharing"",""งบพรบ!EX25"")"),110000)</f>
        <v>110000</v>
      </c>
      <c r="N338" s="224">
        <f ca="1">IFERROR(__xludf.DUMMYFUNCTION("IMPORTRANGE(""https://docs.google.com/spreadsheets/d/1-uDff_7J0KD5mKrp0Vvzr7lt3OU09vwQwhkpOPPYv2Y/edit?usp=sharing"",""งบพรบ!EZ25"")"),91661.8)</f>
        <v>91661.8</v>
      </c>
      <c r="O338" s="224">
        <f t="shared" ca="1" si="218"/>
        <v>50.923222222222222</v>
      </c>
      <c r="P338" s="224">
        <f t="shared" ca="1" si="219"/>
        <v>83.328909090909093</v>
      </c>
      <c r="Q338" s="224">
        <v>0</v>
      </c>
      <c r="R338" s="224">
        <v>0</v>
      </c>
      <c r="S338" s="224">
        <v>0</v>
      </c>
      <c r="T338" s="224">
        <f t="shared" si="221"/>
        <v>0</v>
      </c>
      <c r="U338" s="224">
        <f t="shared" si="222"/>
        <v>0</v>
      </c>
    </row>
    <row r="339" spans="1:21" ht="18.75" x14ac:dyDescent="0.25">
      <c r="A339" s="128"/>
      <c r="B339" s="40"/>
      <c r="C339" s="40"/>
      <c r="D339" s="41" t="s">
        <v>23</v>
      </c>
      <c r="E339" s="40"/>
      <c r="F339" s="40"/>
      <c r="G339" s="42"/>
      <c r="H339" s="137" t="s">
        <v>14</v>
      </c>
      <c r="I339" s="135"/>
      <c r="J339" s="135"/>
      <c r="K339" s="136"/>
      <c r="L339" s="1356">
        <f t="shared" ref="L339:N339" ca="1" si="227">L340+L341</f>
        <v>0</v>
      </c>
      <c r="M339" s="224">
        <f t="shared" ca="1" si="227"/>
        <v>0</v>
      </c>
      <c r="N339" s="224">
        <f t="shared" ca="1" si="227"/>
        <v>0</v>
      </c>
      <c r="O339" s="224">
        <f t="shared" ca="1" si="218"/>
        <v>0</v>
      </c>
      <c r="P339" s="224">
        <f t="shared" ca="1" si="219"/>
        <v>0</v>
      </c>
      <c r="Q339" s="224">
        <f t="shared" ref="Q339:S339" si="228">Q340+Q341</f>
        <v>0</v>
      </c>
      <c r="R339" s="224">
        <f t="shared" si="228"/>
        <v>0</v>
      </c>
      <c r="S339" s="224">
        <f t="shared" si="228"/>
        <v>0</v>
      </c>
      <c r="T339" s="224">
        <f t="shared" si="221"/>
        <v>0</v>
      </c>
      <c r="U339" s="224">
        <f t="shared" si="222"/>
        <v>0</v>
      </c>
    </row>
    <row r="340" spans="1:21" ht="18.75" x14ac:dyDescent="0.25">
      <c r="A340" s="128"/>
      <c r="B340" s="40"/>
      <c r="C340" s="40"/>
      <c r="D340" s="40"/>
      <c r="E340" s="156" t="s">
        <v>20</v>
      </c>
      <c r="F340" s="40"/>
      <c r="G340" s="42"/>
      <c r="H340" s="159" t="s">
        <v>14</v>
      </c>
      <c r="I340" s="135"/>
      <c r="J340" s="135"/>
      <c r="K340" s="136"/>
      <c r="L340" s="1358">
        <v>0</v>
      </c>
      <c r="M340" s="83">
        <v>0</v>
      </c>
      <c r="N340" s="83">
        <v>0</v>
      </c>
      <c r="O340" s="83">
        <f t="shared" si="218"/>
        <v>0</v>
      </c>
      <c r="P340" s="83">
        <f t="shared" si="219"/>
        <v>0</v>
      </c>
      <c r="Q340" s="83">
        <v>0</v>
      </c>
      <c r="R340" s="83">
        <v>0</v>
      </c>
      <c r="S340" s="83">
        <v>0</v>
      </c>
      <c r="T340" s="83">
        <f t="shared" si="221"/>
        <v>0</v>
      </c>
      <c r="U340" s="83">
        <f t="shared" si="222"/>
        <v>0</v>
      </c>
    </row>
    <row r="341" spans="1:21" ht="18.75" x14ac:dyDescent="0.25">
      <c r="A341" s="128"/>
      <c r="B341" s="40"/>
      <c r="C341" s="40"/>
      <c r="D341" s="40"/>
      <c r="E341" s="47" t="s">
        <v>21</v>
      </c>
      <c r="F341" s="40"/>
      <c r="G341" s="42"/>
      <c r="H341" s="137" t="s">
        <v>14</v>
      </c>
      <c r="I341" s="135"/>
      <c r="J341" s="135"/>
      <c r="K341" s="136"/>
      <c r="L341" s="1356">
        <f ca="1">IFERROR(__xludf.DUMMYFUNCTION("IMPORTRANGE(""https://docs.google.com/spreadsheets/d/1-uDff_7J0KD5mKrp0Vvzr7lt3OU09vwQwhkpOPPYv2Y/edit?usp=sharing"",""งบพรบ!EV25"")"),0)</f>
        <v>0</v>
      </c>
      <c r="M341" s="224">
        <f ca="1">IFERROR(__xludf.DUMMYFUNCTION("IMPORTRANGE(""https://docs.google.com/spreadsheets/d/1-uDff_7J0KD5mKrp0Vvzr7lt3OU09vwQwhkpOPPYv2Y/edit?usp=sharing"",""งบพรบ!EY25"")"),0)</f>
        <v>0</v>
      </c>
      <c r="N341" s="224">
        <f ca="1">IFERROR(__xludf.DUMMYFUNCTION("IMPORTRANGE(""https://docs.google.com/spreadsheets/d/1-uDff_7J0KD5mKrp0Vvzr7lt3OU09vwQwhkpOPPYv2Y/edit?usp=sharing"",""งบพรบ!FA25"")"),0)</f>
        <v>0</v>
      </c>
      <c r="O341" s="224">
        <f t="shared" ca="1" si="218"/>
        <v>0</v>
      </c>
      <c r="P341" s="224">
        <f t="shared" ca="1" si="219"/>
        <v>0</v>
      </c>
      <c r="Q341" s="224">
        <v>0</v>
      </c>
      <c r="R341" s="224">
        <v>0</v>
      </c>
      <c r="S341" s="224">
        <v>0</v>
      </c>
      <c r="T341" s="224">
        <f t="shared" si="221"/>
        <v>0</v>
      </c>
      <c r="U341" s="224">
        <f t="shared" si="222"/>
        <v>0</v>
      </c>
    </row>
    <row r="342" spans="1:21" ht="19.5" x14ac:dyDescent="0.3">
      <c r="A342" s="138"/>
      <c r="B342" s="139"/>
      <c r="C342" s="129" t="s">
        <v>18</v>
      </c>
      <c r="D342" s="202" t="s">
        <v>38</v>
      </c>
      <c r="E342" s="141"/>
      <c r="F342" s="141"/>
      <c r="G342" s="142"/>
      <c r="H342" s="42"/>
      <c r="I342" s="44"/>
      <c r="J342" s="44"/>
      <c r="K342" s="45"/>
      <c r="L342" s="1359"/>
      <c r="M342" s="45"/>
      <c r="N342" s="45"/>
      <c r="O342" s="136"/>
      <c r="P342" s="136"/>
      <c r="Q342" s="45"/>
      <c r="R342" s="45"/>
      <c r="S342" s="45"/>
      <c r="T342" s="136"/>
      <c r="U342" s="136"/>
    </row>
    <row r="343" spans="1:21" ht="19.5" x14ac:dyDescent="0.3">
      <c r="A343" s="1515"/>
      <c r="B343" s="1516"/>
      <c r="C343" s="1517"/>
      <c r="D343" s="1516"/>
      <c r="E343" s="1518" t="s">
        <v>137</v>
      </c>
      <c r="F343" s="1516"/>
      <c r="G343" s="1519"/>
      <c r="H343" s="1520" t="s">
        <v>35</v>
      </c>
      <c r="I343" s="1521">
        <v>0</v>
      </c>
      <c r="J343" s="1521">
        <f ca="1">J344+J347+J348+J349</f>
        <v>155</v>
      </c>
      <c r="K343" s="1522">
        <v>0</v>
      </c>
      <c r="L343" s="1416"/>
      <c r="M343" s="219"/>
      <c r="N343" s="219"/>
      <c r="O343" s="219"/>
      <c r="P343" s="219"/>
      <c r="Q343" s="219"/>
      <c r="R343" s="219"/>
      <c r="S343" s="219"/>
      <c r="T343" s="219"/>
      <c r="U343" s="219"/>
    </row>
    <row r="344" spans="1:21" ht="18.75" x14ac:dyDescent="0.25">
      <c r="A344" s="208"/>
      <c r="B344" s="40"/>
      <c r="C344" s="158"/>
      <c r="D344" s="145"/>
      <c r="E344" s="149" t="s">
        <v>138</v>
      </c>
      <c r="F344" s="40"/>
      <c r="G344" s="42"/>
      <c r="H344" s="210" t="s">
        <v>35</v>
      </c>
      <c r="I344" s="184">
        <f ca="1">IFERROR(__xludf.DUMMYFUNCTION("IMPORTRANGE(""https://docs.google.com/spreadsheets/d/1eHaY18a8A9IcSdp1K8H6x8fbOy06t2VsZHhMHf-1x7Y/edit?usp=sharing"",""แผน!EK25"")"),260)</f>
        <v>260</v>
      </c>
      <c r="J344" s="184">
        <f ca="1">IFERROR(__xludf.DUMMYFUNCTION("IMPORTRANGE(""https://docs.google.com/spreadsheets/d/1awYsYK3VOup2i3Pq_Yjnu8DRu_mYwSBnCR2QPthd0rU/edit?usp=sharing"",""ศูนย์ยกเว้นโฉนด!D25"")"),54)</f>
        <v>54</v>
      </c>
      <c r="K344" s="224">
        <f ca="1">IF(I344&gt;0,J344*100/I344,0)</f>
        <v>20.76923076923077</v>
      </c>
      <c r="L344" s="1359"/>
      <c r="M344" s="45"/>
      <c r="N344" s="45"/>
      <c r="O344" s="45"/>
      <c r="P344" s="45"/>
      <c r="Q344" s="45"/>
      <c r="R344" s="45"/>
      <c r="S344" s="45"/>
      <c r="T344" s="45"/>
      <c r="U344" s="45"/>
    </row>
    <row r="345" spans="1:21" ht="18.75" x14ac:dyDescent="0.25">
      <c r="A345" s="208"/>
      <c r="B345" s="40"/>
      <c r="C345" s="158"/>
      <c r="D345" s="145"/>
      <c r="E345" s="149" t="s">
        <v>139</v>
      </c>
      <c r="F345" s="40"/>
      <c r="G345" s="42"/>
      <c r="H345" s="180"/>
      <c r="I345" s="44"/>
      <c r="J345" s="44"/>
      <c r="K345" s="45"/>
      <c r="L345" s="1359"/>
      <c r="M345" s="45"/>
      <c r="N345" s="45"/>
      <c r="O345" s="45"/>
      <c r="P345" s="45"/>
      <c r="Q345" s="45"/>
      <c r="R345" s="45"/>
      <c r="S345" s="45"/>
      <c r="T345" s="45"/>
      <c r="U345" s="45"/>
    </row>
    <row r="346" spans="1:21" ht="18.75" x14ac:dyDescent="0.25">
      <c r="A346" s="208"/>
      <c r="B346" s="40"/>
      <c r="C346" s="158"/>
      <c r="D346" s="145"/>
      <c r="E346" s="145"/>
      <c r="F346" s="149" t="s">
        <v>140</v>
      </c>
      <c r="G346" s="42"/>
      <c r="H346" s="175" t="s">
        <v>141</v>
      </c>
      <c r="I346" s="184">
        <f ca="1">IFERROR(__xludf.DUMMYFUNCTION("IMPORTRANGE(""https://docs.google.com/spreadsheets/d/1eHaY18a8A9IcSdp1K8H6x8fbOy06t2VsZHhMHf-1x7Y/edit?usp=sharing"",""แผน!EL25"")"),4)</f>
        <v>4</v>
      </c>
      <c r="J346" s="184">
        <f ca="1">IFERROR(__xludf.DUMMYFUNCTION("IMPORTRANGE(""https://docs.google.com/spreadsheets/d/1awYsYK3VOup2i3Pq_Yjnu8DRu_mYwSBnCR2QPthd0rU/edit?usp=sharing"",""ศูนย์รวม!E25"")"),2)</f>
        <v>2</v>
      </c>
      <c r="K346" s="224">
        <f ca="1">IF(I346&gt;0,J346*100/I346,0)</f>
        <v>50</v>
      </c>
      <c r="L346" s="1359"/>
      <c r="M346" s="45"/>
      <c r="N346" s="45"/>
      <c r="O346" s="45"/>
      <c r="P346" s="45"/>
      <c r="Q346" s="45"/>
      <c r="R346" s="45"/>
      <c r="S346" s="45"/>
      <c r="T346" s="45"/>
      <c r="U346" s="45"/>
    </row>
    <row r="347" spans="1:21" ht="18.75" x14ac:dyDescent="0.25">
      <c r="A347" s="208"/>
      <c r="B347" s="40"/>
      <c r="C347" s="158"/>
      <c r="D347" s="145"/>
      <c r="E347" s="145"/>
      <c r="F347" s="149" t="s">
        <v>142</v>
      </c>
      <c r="G347" s="42"/>
      <c r="H347" s="175" t="s">
        <v>35</v>
      </c>
      <c r="I347" s="44"/>
      <c r="J347" s="184">
        <f ca="1">IFERROR(__xludf.DUMMYFUNCTION("IMPORTRANGE(""https://docs.google.com/spreadsheets/d/1awYsYK3VOup2i3Pq_Yjnu8DRu_mYwSBnCR2QPthd0rU/edit?usp=sharing"",""ศูนย์ยกเว้นโฉนด!F25"")"),37)</f>
        <v>37</v>
      </c>
      <c r="K347" s="45"/>
      <c r="L347" s="1359"/>
      <c r="M347" s="45"/>
      <c r="N347" s="45"/>
      <c r="O347" s="45"/>
      <c r="P347" s="45"/>
      <c r="Q347" s="45"/>
      <c r="R347" s="45"/>
      <c r="S347" s="45"/>
      <c r="T347" s="45"/>
      <c r="U347" s="45"/>
    </row>
    <row r="348" spans="1:21" ht="18.75" x14ac:dyDescent="0.25">
      <c r="A348" s="208"/>
      <c r="B348" s="40"/>
      <c r="C348" s="158"/>
      <c r="D348" s="145"/>
      <c r="E348" s="149" t="s">
        <v>143</v>
      </c>
      <c r="F348" s="145"/>
      <c r="G348" s="42"/>
      <c r="H348" s="175" t="s">
        <v>35</v>
      </c>
      <c r="I348" s="44"/>
      <c r="J348" s="184">
        <f ca="1">IFERROR(__xludf.DUMMYFUNCTION("IMPORTRANGE(""https://docs.google.com/spreadsheets/d/1awYsYK3VOup2i3Pq_Yjnu8DRu_mYwSBnCR2QPthd0rU/edit?usp=sharing"",""ศูนย์ยกเว้นโฉนด!G25"")"),4)</f>
        <v>4</v>
      </c>
      <c r="K348" s="45"/>
      <c r="L348" s="1359"/>
      <c r="M348" s="45"/>
      <c r="N348" s="45"/>
      <c r="O348" s="45"/>
      <c r="P348" s="45"/>
      <c r="Q348" s="45"/>
      <c r="R348" s="45"/>
      <c r="S348" s="45"/>
      <c r="T348" s="45"/>
      <c r="U348" s="45"/>
    </row>
    <row r="349" spans="1:21" ht="18.75" x14ac:dyDescent="0.25">
      <c r="A349" s="208"/>
      <c r="B349" s="40"/>
      <c r="C349" s="158"/>
      <c r="D349" s="139"/>
      <c r="E349" s="149" t="s">
        <v>144</v>
      </c>
      <c r="F349" s="145"/>
      <c r="G349" s="42"/>
      <c r="H349" s="175" t="s">
        <v>35</v>
      </c>
      <c r="I349" s="44"/>
      <c r="J349" s="184">
        <f ca="1">IFERROR(__xludf.DUMMYFUNCTION("IMPORTRANGE(""https://docs.google.com/spreadsheets/d/1awYsYK3VOup2i3Pq_Yjnu8DRu_mYwSBnCR2QPthd0rU/edit?usp=sharing"",""ศูนย์ยกเว้นโฉนด!H25"")"),60)</f>
        <v>60</v>
      </c>
      <c r="K349" s="45"/>
      <c r="L349" s="1359"/>
      <c r="M349" s="45"/>
      <c r="N349" s="45"/>
      <c r="O349" s="45"/>
      <c r="P349" s="45"/>
      <c r="Q349" s="45"/>
      <c r="R349" s="45"/>
      <c r="S349" s="45"/>
      <c r="T349" s="45"/>
      <c r="U349" s="45"/>
    </row>
    <row r="350" spans="1:21" ht="16.5" x14ac:dyDescent="0.25">
      <c r="A350" s="158"/>
      <c r="B350" s="40"/>
      <c r="C350" s="158"/>
      <c r="D350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0"/>
      <c r="F350" s="40"/>
      <c r="G350" s="42"/>
      <c r="H350" s="180"/>
      <c r="I350" s="44"/>
      <c r="J350" s="44"/>
      <c r="K350" s="45"/>
      <c r="L350" s="1359"/>
      <c r="M350" s="45"/>
      <c r="N350" s="45"/>
      <c r="O350" s="45"/>
      <c r="P350" s="45"/>
      <c r="Q350" s="45"/>
      <c r="R350" s="45"/>
      <c r="S350" s="45"/>
      <c r="T350" s="45"/>
      <c r="U350" s="45"/>
    </row>
    <row r="351" spans="1:21" ht="19.5" x14ac:dyDescent="0.3">
      <c r="A351" s="211"/>
      <c r="B351" s="214"/>
      <c r="C351" s="212"/>
      <c r="D351" s="214"/>
      <c r="E351" s="1523" t="s">
        <v>145</v>
      </c>
      <c r="F351" s="214"/>
      <c r="G351" s="215"/>
      <c r="H351" s="216" t="s">
        <v>35</v>
      </c>
      <c r="I351" s="303">
        <v>0</v>
      </c>
      <c r="J351" s="303">
        <f ca="1">J352+J353</f>
        <v>1112</v>
      </c>
      <c r="K351" s="304">
        <v>0</v>
      </c>
      <c r="L351" s="1416"/>
      <c r="M351" s="219"/>
      <c r="N351" s="219"/>
      <c r="O351" s="219"/>
      <c r="P351" s="219"/>
      <c r="Q351" s="219"/>
      <c r="R351" s="219"/>
      <c r="S351" s="219"/>
      <c r="T351" s="219"/>
      <c r="U351" s="219"/>
    </row>
    <row r="352" spans="1:21" ht="18.75" x14ac:dyDescent="0.25">
      <c r="A352" s="158"/>
      <c r="B352" s="40"/>
      <c r="C352" s="158"/>
      <c r="D352" s="145"/>
      <c r="E352" s="149" t="s">
        <v>146</v>
      </c>
      <c r="F352" s="40"/>
      <c r="G352" s="42"/>
      <c r="H352" s="133" t="s">
        <v>35</v>
      </c>
      <c r="I352" s="44"/>
      <c r="J352" s="184">
        <f ca="1">IFERROR(__xludf.DUMMYFUNCTION("IMPORTRANGE(""https://docs.google.com/spreadsheets/d/1awYsYK3VOup2i3Pq_Yjnu8DRu_mYwSBnCR2QPthd0rU/edit?usp=sharing"",""โฉนดM3!G25"")"),0)</f>
        <v>0</v>
      </c>
      <c r="K352" s="45"/>
      <c r="L352" s="1359"/>
      <c r="M352" s="45"/>
      <c r="N352" s="45"/>
      <c r="O352" s="45"/>
      <c r="P352" s="45"/>
      <c r="Q352" s="45"/>
      <c r="R352" s="45"/>
      <c r="S352" s="45"/>
      <c r="T352" s="45"/>
      <c r="U352" s="45"/>
    </row>
    <row r="353" spans="1:21" ht="18.75" x14ac:dyDescent="0.25">
      <c r="A353" s="158"/>
      <c r="B353" s="40"/>
      <c r="C353" s="158"/>
      <c r="D353" s="145"/>
      <c r="E353" s="149" t="s">
        <v>147</v>
      </c>
      <c r="F353" s="40"/>
      <c r="G353" s="42"/>
      <c r="H353" s="133" t="s">
        <v>35</v>
      </c>
      <c r="I353" s="44"/>
      <c r="J353" s="184">
        <f ca="1">IFERROR(__xludf.DUMMYFUNCTION("IMPORTRANGE(""https://docs.google.com/spreadsheets/d/1awYsYK3VOup2i3Pq_Yjnu8DRu_mYwSBnCR2QPthd0rU/edit?usp=sharing"",""โฉนดM3!H25"")"),1112)</f>
        <v>1112</v>
      </c>
      <c r="K353" s="45"/>
      <c r="L353" s="1359"/>
      <c r="M353" s="45"/>
      <c r="N353" s="45"/>
      <c r="O353" s="45"/>
      <c r="P353" s="45"/>
      <c r="Q353" s="45"/>
      <c r="R353" s="45"/>
      <c r="S353" s="45"/>
      <c r="T353" s="45"/>
      <c r="U353" s="45"/>
    </row>
    <row r="354" spans="1:21" ht="16.5" x14ac:dyDescent="0.25">
      <c r="A354" s="158"/>
      <c r="B354" s="40"/>
      <c r="C354" s="158"/>
      <c r="D354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0"/>
      <c r="F354" s="40"/>
      <c r="G354" s="42"/>
      <c r="H354" s="180"/>
      <c r="I354" s="44"/>
      <c r="J354" s="44"/>
      <c r="K354" s="45"/>
      <c r="L354" s="1359"/>
      <c r="M354" s="45"/>
      <c r="N354" s="45"/>
      <c r="O354" s="45"/>
      <c r="P354" s="45"/>
      <c r="Q354" s="45"/>
      <c r="R354" s="45"/>
      <c r="S354" s="45"/>
      <c r="T354" s="45"/>
      <c r="U354" s="45"/>
    </row>
    <row r="355" spans="1:21" ht="19.5" x14ac:dyDescent="0.3">
      <c r="A355" s="291"/>
      <c r="B355" s="292" t="s">
        <v>148</v>
      </c>
      <c r="C355" s="301"/>
      <c r="D355" s="293"/>
      <c r="E355" s="293"/>
      <c r="F355" s="293"/>
      <c r="G355" s="294"/>
      <c r="H355" s="294"/>
      <c r="I355" s="307"/>
      <c r="J355" s="307"/>
      <c r="K355" s="298"/>
      <c r="L355" s="1503"/>
      <c r="M355" s="298"/>
      <c r="N355" s="298"/>
      <c r="O355" s="298"/>
      <c r="P355" s="298"/>
      <c r="Q355" s="298"/>
      <c r="R355" s="298"/>
      <c r="S355" s="298"/>
      <c r="T355" s="298"/>
      <c r="U355" s="298"/>
    </row>
    <row r="356" spans="1:21" ht="19.5" x14ac:dyDescent="0.3">
      <c r="A356" s="128"/>
      <c r="B356" s="40"/>
      <c r="C356" s="129" t="s">
        <v>18</v>
      </c>
      <c r="D356" s="1388" t="s">
        <v>19</v>
      </c>
      <c r="E356" s="40"/>
      <c r="F356" s="40"/>
      <c r="G356" s="42"/>
      <c r="H356" s="131" t="s">
        <v>14</v>
      </c>
      <c r="I356" s="44"/>
      <c r="J356" s="44"/>
      <c r="K356" s="45"/>
      <c r="L356" s="1389">
        <f t="shared" ref="L356:N356" ca="1" si="229">L357+L358</f>
        <v>745970</v>
      </c>
      <c r="M356" s="1390">
        <f t="shared" ca="1" si="229"/>
        <v>671175</v>
      </c>
      <c r="N356" s="1390">
        <f t="shared" ca="1" si="229"/>
        <v>326913</v>
      </c>
      <c r="O356" s="1390">
        <f t="shared" ref="O356:O364" ca="1" si="230">IF(L356&gt;0,N356*100/L356,0)</f>
        <v>43.823880316902823</v>
      </c>
      <c r="P356" s="1390">
        <f t="shared" ref="P356:P364" ca="1" si="231">IF(M356&gt;0,N356*100/M356,0)</f>
        <v>48.707565091071629</v>
      </c>
      <c r="Q356" s="1390">
        <f t="shared" ref="Q356:S356" si="232">Q357+Q358</f>
        <v>0</v>
      </c>
      <c r="R356" s="1390">
        <f t="shared" si="232"/>
        <v>0</v>
      </c>
      <c r="S356" s="1390">
        <f t="shared" si="232"/>
        <v>0</v>
      </c>
      <c r="T356" s="1390">
        <f t="shared" ref="T356:T364" si="233">IF(Q356&gt;0,S356*100/Q356,0)</f>
        <v>0</v>
      </c>
      <c r="U356" s="1390">
        <f t="shared" ref="U356:U364" si="234">IF(R356&gt;0,S356*100/R356,0)</f>
        <v>0</v>
      </c>
    </row>
    <row r="357" spans="1:21" ht="18.75" x14ac:dyDescent="0.25">
      <c r="A357" s="128"/>
      <c r="B357" s="40"/>
      <c r="C357" s="40"/>
      <c r="D357" s="40"/>
      <c r="E357" s="156" t="s">
        <v>20</v>
      </c>
      <c r="F357" s="40"/>
      <c r="G357" s="42"/>
      <c r="H357" s="157" t="s">
        <v>14</v>
      </c>
      <c r="I357" s="44"/>
      <c r="J357" s="44"/>
      <c r="K357" s="45"/>
      <c r="L357" s="1358">
        <f t="shared" ref="L357:N358" si="235">L360+L363</f>
        <v>0</v>
      </c>
      <c r="M357" s="83">
        <f t="shared" si="235"/>
        <v>0</v>
      </c>
      <c r="N357" s="83">
        <f t="shared" si="235"/>
        <v>0</v>
      </c>
      <c r="O357" s="83">
        <f t="shared" si="230"/>
        <v>0</v>
      </c>
      <c r="P357" s="83">
        <f t="shared" si="231"/>
        <v>0</v>
      </c>
      <c r="Q357" s="83">
        <f t="shared" ref="Q357:S358" si="236">Q360+Q363</f>
        <v>0</v>
      </c>
      <c r="R357" s="83">
        <f t="shared" si="236"/>
        <v>0</v>
      </c>
      <c r="S357" s="83">
        <f t="shared" si="236"/>
        <v>0</v>
      </c>
      <c r="T357" s="83">
        <f t="shared" si="233"/>
        <v>0</v>
      </c>
      <c r="U357" s="83">
        <f t="shared" si="234"/>
        <v>0</v>
      </c>
    </row>
    <row r="358" spans="1:21" ht="18.75" x14ac:dyDescent="0.25">
      <c r="A358" s="128"/>
      <c r="B358" s="40"/>
      <c r="C358" s="40"/>
      <c r="D358" s="40"/>
      <c r="E358" s="47" t="s">
        <v>21</v>
      </c>
      <c r="F358" s="40"/>
      <c r="G358" s="42"/>
      <c r="H358" s="133" t="s">
        <v>14</v>
      </c>
      <c r="I358" s="44"/>
      <c r="J358" s="44"/>
      <c r="K358" s="45"/>
      <c r="L358" s="1356">
        <f t="shared" ca="1" si="235"/>
        <v>745970</v>
      </c>
      <c r="M358" s="224">
        <f t="shared" ca="1" si="235"/>
        <v>671175</v>
      </c>
      <c r="N358" s="224">
        <f t="shared" ca="1" si="235"/>
        <v>326913</v>
      </c>
      <c r="O358" s="224">
        <f t="shared" ca="1" si="230"/>
        <v>43.823880316902823</v>
      </c>
      <c r="P358" s="224">
        <f t="shared" ca="1" si="231"/>
        <v>48.707565091071629</v>
      </c>
      <c r="Q358" s="224">
        <f t="shared" si="236"/>
        <v>0</v>
      </c>
      <c r="R358" s="224">
        <f t="shared" si="236"/>
        <v>0</v>
      </c>
      <c r="S358" s="224">
        <f t="shared" si="236"/>
        <v>0</v>
      </c>
      <c r="T358" s="224">
        <f t="shared" si="233"/>
        <v>0</v>
      </c>
      <c r="U358" s="224">
        <f t="shared" si="234"/>
        <v>0</v>
      </c>
    </row>
    <row r="359" spans="1:21" ht="18.75" x14ac:dyDescent="0.25">
      <c r="A359" s="128"/>
      <c r="B359" s="40"/>
      <c r="C359" s="40"/>
      <c r="D359" s="41" t="s">
        <v>22</v>
      </c>
      <c r="E359" s="40"/>
      <c r="F359" s="40"/>
      <c r="G359" s="42"/>
      <c r="H359" s="134" t="s">
        <v>14</v>
      </c>
      <c r="I359" s="135"/>
      <c r="J359" s="135"/>
      <c r="K359" s="136"/>
      <c r="L359" s="1356">
        <f t="shared" ref="L359:N359" ca="1" si="237">L360+L361</f>
        <v>745970</v>
      </c>
      <c r="M359" s="224">
        <f t="shared" ca="1" si="237"/>
        <v>671175</v>
      </c>
      <c r="N359" s="224">
        <f t="shared" ca="1" si="237"/>
        <v>326913</v>
      </c>
      <c r="O359" s="224">
        <f t="shared" ca="1" si="230"/>
        <v>43.823880316902823</v>
      </c>
      <c r="P359" s="224">
        <f t="shared" ca="1" si="231"/>
        <v>48.707565091071629</v>
      </c>
      <c r="Q359" s="224">
        <f t="shared" ref="Q359:S359" si="238">Q360+Q361</f>
        <v>0</v>
      </c>
      <c r="R359" s="224">
        <f t="shared" si="238"/>
        <v>0</v>
      </c>
      <c r="S359" s="224">
        <f t="shared" si="238"/>
        <v>0</v>
      </c>
      <c r="T359" s="224">
        <f t="shared" si="233"/>
        <v>0</v>
      </c>
      <c r="U359" s="224">
        <f t="shared" si="234"/>
        <v>0</v>
      </c>
    </row>
    <row r="360" spans="1:21" ht="18.75" x14ac:dyDescent="0.25">
      <c r="A360" s="128"/>
      <c r="B360" s="40"/>
      <c r="C360" s="40"/>
      <c r="D360" s="40"/>
      <c r="E360" s="156" t="s">
        <v>36</v>
      </c>
      <c r="F360" s="40"/>
      <c r="G360" s="42"/>
      <c r="H360" s="159" t="s">
        <v>14</v>
      </c>
      <c r="I360" s="135"/>
      <c r="J360" s="135"/>
      <c r="K360" s="136"/>
      <c r="L360" s="1358">
        <v>0</v>
      </c>
      <c r="M360" s="83">
        <v>0</v>
      </c>
      <c r="N360" s="83">
        <v>0</v>
      </c>
      <c r="O360" s="83">
        <f t="shared" si="230"/>
        <v>0</v>
      </c>
      <c r="P360" s="83">
        <f t="shared" si="231"/>
        <v>0</v>
      </c>
      <c r="Q360" s="83">
        <v>0</v>
      </c>
      <c r="R360" s="83">
        <v>0</v>
      </c>
      <c r="S360" s="83">
        <v>0</v>
      </c>
      <c r="T360" s="83">
        <f t="shared" si="233"/>
        <v>0</v>
      </c>
      <c r="U360" s="83">
        <f t="shared" si="234"/>
        <v>0</v>
      </c>
    </row>
    <row r="361" spans="1:21" ht="18.75" x14ac:dyDescent="0.25">
      <c r="A361" s="128"/>
      <c r="B361" s="40"/>
      <c r="C361" s="40"/>
      <c r="D361" s="40"/>
      <c r="E361" s="47" t="s">
        <v>37</v>
      </c>
      <c r="F361" s="40"/>
      <c r="G361" s="42"/>
      <c r="H361" s="134" t="s">
        <v>14</v>
      </c>
      <c r="I361" s="135"/>
      <c r="J361" s="135"/>
      <c r="K361" s="136"/>
      <c r="L361" s="1356">
        <f ca="1">IFERROR(__xludf.DUMMYFUNCTION("IMPORTRANGE(""https://docs.google.com/spreadsheets/d/1-uDff_7J0KD5mKrp0Vvzr7lt3OU09vwQwhkpOPPYv2Y/edit?usp=sharing"",""งบพรบ!FC25"")"),745970)</f>
        <v>745970</v>
      </c>
      <c r="M361" s="224">
        <f ca="1">IFERROR(__xludf.DUMMYFUNCTION("IMPORTRANGE(""https://docs.google.com/spreadsheets/d/1-uDff_7J0KD5mKrp0Vvzr7lt3OU09vwQwhkpOPPYv2Y/edit?usp=sharing"",""งบพรบ!FH25"")"),671175)</f>
        <v>671175</v>
      </c>
      <c r="N361" s="224">
        <f ca="1">IFERROR(__xludf.DUMMYFUNCTION("IMPORTRANGE(""https://docs.google.com/spreadsheets/d/1-uDff_7J0KD5mKrp0Vvzr7lt3OU09vwQwhkpOPPYv2Y/edit?usp=sharing"",""งบพรบ!FJ25"")"),326913)</f>
        <v>326913</v>
      </c>
      <c r="O361" s="224">
        <f t="shared" ca="1" si="230"/>
        <v>43.823880316902823</v>
      </c>
      <c r="P361" s="224">
        <f t="shared" ca="1" si="231"/>
        <v>48.707565091071629</v>
      </c>
      <c r="Q361" s="224">
        <v>0</v>
      </c>
      <c r="R361" s="224">
        <v>0</v>
      </c>
      <c r="S361" s="224">
        <v>0</v>
      </c>
      <c r="T361" s="224">
        <f t="shared" si="233"/>
        <v>0</v>
      </c>
      <c r="U361" s="224">
        <f t="shared" si="234"/>
        <v>0</v>
      </c>
    </row>
    <row r="362" spans="1:21" ht="18.75" x14ac:dyDescent="0.25">
      <c r="A362" s="128"/>
      <c r="B362" s="40"/>
      <c r="C362" s="40"/>
      <c r="D362" s="41" t="s">
        <v>23</v>
      </c>
      <c r="E362" s="40"/>
      <c r="F362" s="40"/>
      <c r="G362" s="42"/>
      <c r="H362" s="137" t="s">
        <v>14</v>
      </c>
      <c r="I362" s="135"/>
      <c r="J362" s="135"/>
      <c r="K362" s="136"/>
      <c r="L362" s="1356">
        <f t="shared" ref="L362:N362" ca="1" si="239">L363+L364</f>
        <v>0</v>
      </c>
      <c r="M362" s="224">
        <f t="shared" ca="1" si="239"/>
        <v>0</v>
      </c>
      <c r="N362" s="224">
        <f t="shared" ca="1" si="239"/>
        <v>0</v>
      </c>
      <c r="O362" s="224">
        <f t="shared" ca="1" si="230"/>
        <v>0</v>
      </c>
      <c r="P362" s="224">
        <f t="shared" ca="1" si="231"/>
        <v>0</v>
      </c>
      <c r="Q362" s="224">
        <f t="shared" ref="Q362:S362" si="240">Q363+Q364</f>
        <v>0</v>
      </c>
      <c r="R362" s="224">
        <f t="shared" si="240"/>
        <v>0</v>
      </c>
      <c r="S362" s="224">
        <f t="shared" si="240"/>
        <v>0</v>
      </c>
      <c r="T362" s="224">
        <f t="shared" si="233"/>
        <v>0</v>
      </c>
      <c r="U362" s="224">
        <f t="shared" si="234"/>
        <v>0</v>
      </c>
    </row>
    <row r="363" spans="1:21" ht="18.75" x14ac:dyDescent="0.25">
      <c r="A363" s="128"/>
      <c r="B363" s="40"/>
      <c r="C363" s="40"/>
      <c r="D363" s="40"/>
      <c r="E363" s="156" t="s">
        <v>20</v>
      </c>
      <c r="F363" s="40"/>
      <c r="G363" s="42"/>
      <c r="H363" s="159" t="s">
        <v>14</v>
      </c>
      <c r="I363" s="135"/>
      <c r="J363" s="135"/>
      <c r="K363" s="136"/>
      <c r="L363" s="1358">
        <v>0</v>
      </c>
      <c r="M363" s="83">
        <v>0</v>
      </c>
      <c r="N363" s="83">
        <v>0</v>
      </c>
      <c r="O363" s="83">
        <f t="shared" si="230"/>
        <v>0</v>
      </c>
      <c r="P363" s="83">
        <f t="shared" si="231"/>
        <v>0</v>
      </c>
      <c r="Q363" s="83">
        <v>0</v>
      </c>
      <c r="R363" s="83">
        <v>0</v>
      </c>
      <c r="S363" s="83">
        <v>0</v>
      </c>
      <c r="T363" s="83">
        <f t="shared" si="233"/>
        <v>0</v>
      </c>
      <c r="U363" s="83">
        <f t="shared" si="234"/>
        <v>0</v>
      </c>
    </row>
    <row r="364" spans="1:21" ht="18.75" x14ac:dyDescent="0.25">
      <c r="A364" s="128"/>
      <c r="B364" s="40"/>
      <c r="C364" s="40"/>
      <c r="D364" s="40"/>
      <c r="E364" s="47" t="s">
        <v>21</v>
      </c>
      <c r="F364" s="40"/>
      <c r="G364" s="42"/>
      <c r="H364" s="137" t="s">
        <v>14</v>
      </c>
      <c r="I364" s="135"/>
      <c r="J364" s="135"/>
      <c r="K364" s="136"/>
      <c r="L364" s="1356">
        <f ca="1">IFERROR(__xludf.DUMMYFUNCTION("IMPORTRANGE(""https://docs.google.com/spreadsheets/d/1-uDff_7J0KD5mKrp0Vvzr7lt3OU09vwQwhkpOPPYv2Y/edit?usp=sharing"",""งบพรบ!FF25"")"),0)</f>
        <v>0</v>
      </c>
      <c r="M364" s="224">
        <f ca="1">IFERROR(__xludf.DUMMYFUNCTION("IMPORTRANGE(""https://docs.google.com/spreadsheets/d/1-uDff_7J0KD5mKrp0Vvzr7lt3OU09vwQwhkpOPPYv2Y/edit?usp=sharing"",""งบพรบ!FI25"")"),0)</f>
        <v>0</v>
      </c>
      <c r="N364" s="224">
        <f ca="1">IFERROR(__xludf.DUMMYFUNCTION("IMPORTRANGE(""https://docs.google.com/spreadsheets/d/1-uDff_7J0KD5mKrp0Vvzr7lt3OU09vwQwhkpOPPYv2Y/edit?usp=sharing"",""งบพรบ!FK25"")"),0)</f>
        <v>0</v>
      </c>
      <c r="O364" s="224">
        <f t="shared" ca="1" si="230"/>
        <v>0</v>
      </c>
      <c r="P364" s="224">
        <f t="shared" ca="1" si="231"/>
        <v>0</v>
      </c>
      <c r="Q364" s="224">
        <v>0</v>
      </c>
      <c r="R364" s="224">
        <v>0</v>
      </c>
      <c r="S364" s="224">
        <v>0</v>
      </c>
      <c r="T364" s="224">
        <f t="shared" si="233"/>
        <v>0</v>
      </c>
      <c r="U364" s="224">
        <f t="shared" si="234"/>
        <v>0</v>
      </c>
    </row>
    <row r="365" spans="1:21" ht="19.5" x14ac:dyDescent="0.3">
      <c r="A365" s="211"/>
      <c r="B365" s="212"/>
      <c r="C365" s="214"/>
      <c r="D365" s="1523" t="s">
        <v>149</v>
      </c>
      <c r="E365" s="214"/>
      <c r="F365" s="214"/>
      <c r="G365" s="215"/>
      <c r="H365" s="223" t="s">
        <v>35</v>
      </c>
      <c r="I365" s="303">
        <f t="shared" ref="I365:J365" ca="1" si="241">I371</f>
        <v>59</v>
      </c>
      <c r="J365" s="303">
        <f t="shared" ca="1" si="241"/>
        <v>12</v>
      </c>
      <c r="K365" s="304">
        <f ca="1">IF(I365&gt;0,J365*100/I365,0)</f>
        <v>20.338983050847457</v>
      </c>
      <c r="L365" s="1416"/>
      <c r="M365" s="219"/>
      <c r="N365" s="219"/>
      <c r="O365" s="219"/>
      <c r="P365" s="219"/>
      <c r="Q365" s="219"/>
      <c r="R365" s="219"/>
      <c r="S365" s="219"/>
      <c r="T365" s="219"/>
      <c r="U365" s="219"/>
    </row>
    <row r="366" spans="1:21" ht="19.5" x14ac:dyDescent="0.3">
      <c r="A366" s="138"/>
      <c r="B366" s="139"/>
      <c r="C366" s="129" t="s">
        <v>18</v>
      </c>
      <c r="D366" s="1391" t="s">
        <v>38</v>
      </c>
      <c r="E366" s="141"/>
      <c r="F366" s="141"/>
      <c r="G366" s="142"/>
      <c r="H366" s="143"/>
      <c r="I366" s="44"/>
      <c r="J366" s="44"/>
      <c r="K366" s="45"/>
      <c r="L366" s="1392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3" t="s">
        <v>35</v>
      </c>
      <c r="I367" s="184">
        <v>0</v>
      </c>
      <c r="J367" s="184">
        <f ca="1">IFERROR(__xludf.DUMMYFUNCTION("IMPORTRANGE(""https://docs.google.com/spreadsheets/d/1tdoBKaGub7dwA3U6UFTqxio9LNnvDCQjHKmttSEBsFQ/edit?usp=sharing"",""จัดที่ดิน!AB25"")"),3)</f>
        <v>3</v>
      </c>
      <c r="K367" s="224">
        <f t="shared" ref="K367:K372" si="242">IF(I367&gt;0,J367*100/I367,0)</f>
        <v>0</v>
      </c>
      <c r="L367" s="1392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3" t="s">
        <v>46</v>
      </c>
      <c r="I368" s="184">
        <f ca="1">IFERROR(__xludf.DUMMYFUNCTION("IMPORTRANGE(""https://docs.google.com/spreadsheets/d/1eHaY18a8A9IcSdp1K8H6x8fbOy06t2VsZHhMHf-1x7Y/edit?usp=sharing"",""แผน!EW25"")"),115)</f>
        <v>115</v>
      </c>
      <c r="J368" s="1524">
        <f ca="1">IFERROR(__xludf.DUMMYFUNCTION("IMPORTRANGE(""https://docs.google.com/spreadsheets/d/1tdoBKaGub7dwA3U6UFTqxio9LNnvDCQjHKmttSEBsFQ/edit?usp=sharing"",""จัดที่ดิน!AC25"")"),3.73)</f>
        <v>3.73</v>
      </c>
      <c r="K368" s="224">
        <f t="shared" ca="1" si="242"/>
        <v>3.2434782608695651</v>
      </c>
      <c r="L368" s="1392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84">
        <f ca="1">IFERROR(__xludf.DUMMYFUNCTION("IMPORTRANGE(""https://docs.google.com/spreadsheets/d/1eHaY18a8A9IcSdp1K8H6x8fbOy06t2VsZHhMHf-1x7Y/edit?usp=sharing"",""แผน!EX25"")"),59)</f>
        <v>59</v>
      </c>
      <c r="J369" s="184">
        <f ca="1">IFERROR(__xludf.DUMMYFUNCTION("IMPORTRANGE(""https://docs.google.com/spreadsheets/d/1tdoBKaGub7dwA3U6UFTqxio9LNnvDCQjHKmttSEBsFQ/edit?usp=sharing"",""จัดที่ดิน!AD25"")"),12)</f>
        <v>12</v>
      </c>
      <c r="K369" s="224">
        <f t="shared" ca="1" si="242"/>
        <v>20.338983050847457</v>
      </c>
      <c r="L369" s="1392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84">
        <v>0</v>
      </c>
      <c r="J370" s="1524">
        <f ca="1">IFERROR(__xludf.DUMMYFUNCTION("IMPORTRANGE(""https://docs.google.com/spreadsheets/d/1tdoBKaGub7dwA3U6UFTqxio9LNnvDCQjHKmttSEBsFQ/edit?usp=sharing"",""จัดที่ดิน!AE25"")"),45.27)</f>
        <v>45.27</v>
      </c>
      <c r="K370" s="224">
        <f t="shared" si="242"/>
        <v>0</v>
      </c>
      <c r="L370" s="1392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08" t="s">
        <v>152</v>
      </c>
      <c r="F371" s="145"/>
      <c r="G371" s="143"/>
      <c r="H371" s="150" t="s">
        <v>35</v>
      </c>
      <c r="I371" s="184">
        <f ca="1">IFERROR(__xludf.DUMMYFUNCTION("IMPORTRANGE(""https://docs.google.com/spreadsheets/d/1eHaY18a8A9IcSdp1K8H6x8fbOy06t2VsZHhMHf-1x7Y/edit?usp=sharing"",""แผน!EY25"")"),59)</f>
        <v>59</v>
      </c>
      <c r="J371" s="184">
        <f ca="1">IFERROR(__xludf.DUMMYFUNCTION("IMPORTRANGE(""https://docs.google.com/spreadsheets/d/1tdoBKaGub7dwA3U6UFTqxio9LNnvDCQjHKmttSEBsFQ/edit?usp=sharing"",""จัดที่ดิน!AF25"")"),12)</f>
        <v>12</v>
      </c>
      <c r="K371" s="224">
        <f t="shared" ca="1" si="242"/>
        <v>20.338983050847457</v>
      </c>
      <c r="L371" s="1392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84">
        <v>0</v>
      </c>
      <c r="J372" s="1524">
        <f ca="1">IFERROR(__xludf.DUMMYFUNCTION("IMPORTRANGE(""https://docs.google.com/spreadsheets/d/1tdoBKaGub7dwA3U6UFTqxio9LNnvDCQjHKmttSEBsFQ/edit?usp=sharing"",""จัดที่ดิน!AG25"")"),44.31)</f>
        <v>44.31</v>
      </c>
      <c r="K372" s="224">
        <f t="shared" si="242"/>
        <v>0</v>
      </c>
      <c r="L372" s="1392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2"/>
      <c r="B373" s="1"/>
      <c r="C373" s="2"/>
      <c r="D373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2"/>
      <c r="H373" s="52"/>
      <c r="I373" s="54"/>
      <c r="J373" s="54"/>
      <c r="K373" s="3"/>
      <c r="L373" s="1360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9.5" x14ac:dyDescent="0.3">
      <c r="A374" s="1525"/>
      <c r="B374" s="1526" t="s">
        <v>153</v>
      </c>
      <c r="C374" s="1527"/>
      <c r="D374" s="1528"/>
      <c r="E374" s="1529"/>
      <c r="F374" s="1529"/>
      <c r="G374" s="1530"/>
      <c r="H374" s="1531" t="s">
        <v>46</v>
      </c>
      <c r="I374" s="1532">
        <f t="shared" ref="I374:J374" ca="1" si="243">I385</f>
        <v>0</v>
      </c>
      <c r="J374" s="1532">
        <f t="shared" si="243"/>
        <v>0</v>
      </c>
      <c r="K374" s="1533">
        <f ca="1">IF(I374&gt;0,J374*100/I374,0)</f>
        <v>0</v>
      </c>
      <c r="L374" s="1503"/>
      <c r="M374" s="298"/>
      <c r="N374" s="298"/>
      <c r="O374" s="298"/>
      <c r="P374" s="298"/>
      <c r="Q374" s="298"/>
      <c r="R374" s="298"/>
      <c r="S374" s="298"/>
      <c r="T374" s="298"/>
      <c r="U374" s="298"/>
    </row>
    <row r="375" spans="1:21" ht="19.5" x14ac:dyDescent="0.3">
      <c r="A375" s="128"/>
      <c r="B375" s="158"/>
      <c r="C375" s="161" t="s">
        <v>18</v>
      </c>
      <c r="D375" s="1534" t="s">
        <v>19</v>
      </c>
      <c r="E375" s="40"/>
      <c r="F375" s="40"/>
      <c r="G375" s="42"/>
      <c r="H375" s="131" t="s">
        <v>14</v>
      </c>
      <c r="I375" s="44"/>
      <c r="J375" s="44"/>
      <c r="K375" s="45"/>
      <c r="L375" s="1389">
        <f t="shared" ref="L375:N375" ca="1" si="244">L376+L377</f>
        <v>0</v>
      </c>
      <c r="M375" s="1390">
        <f t="shared" ca="1" si="244"/>
        <v>0</v>
      </c>
      <c r="N375" s="1390">
        <f t="shared" ca="1" si="244"/>
        <v>0</v>
      </c>
      <c r="O375" s="1390">
        <f t="shared" ref="O375:O383" ca="1" si="245">IF(L375&gt;0,N375*100/L375,0)</f>
        <v>0</v>
      </c>
      <c r="P375" s="1390">
        <f t="shared" ref="P375:P383" ca="1" si="246">IF(M375&gt;0,N375*100/M375,0)</f>
        <v>0</v>
      </c>
      <c r="Q375" s="1390">
        <f t="shared" ref="Q375:S375" ca="1" si="247">Q376+Q377</f>
        <v>0</v>
      </c>
      <c r="R375" s="1390">
        <f t="shared" ca="1" si="247"/>
        <v>0</v>
      </c>
      <c r="S375" s="1390">
        <f t="shared" ca="1" si="247"/>
        <v>0</v>
      </c>
      <c r="T375" s="1390">
        <f t="shared" ref="T375:T383" ca="1" si="248">IF(Q375&gt;0,S375*100/Q375,0)</f>
        <v>0</v>
      </c>
      <c r="U375" s="1390">
        <f t="shared" ref="U375:U383" ca="1" si="249">IF(R375&gt;0,S375*100/R375,0)</f>
        <v>0</v>
      </c>
    </row>
    <row r="376" spans="1:21" ht="18.75" x14ac:dyDescent="0.25">
      <c r="A376" s="128"/>
      <c r="B376" s="158"/>
      <c r="C376" s="158"/>
      <c r="D376" s="158"/>
      <c r="E376" s="156" t="s">
        <v>20</v>
      </c>
      <c r="F376" s="40"/>
      <c r="G376" s="42"/>
      <c r="H376" s="157" t="s">
        <v>14</v>
      </c>
      <c r="I376" s="44"/>
      <c r="J376" s="44"/>
      <c r="K376" s="45"/>
      <c r="L376" s="1358">
        <f t="shared" ref="L376:N377" si="250">L379+L382</f>
        <v>0</v>
      </c>
      <c r="M376" s="83">
        <f t="shared" si="250"/>
        <v>0</v>
      </c>
      <c r="N376" s="83">
        <f t="shared" si="250"/>
        <v>0</v>
      </c>
      <c r="O376" s="83">
        <f t="shared" si="245"/>
        <v>0</v>
      </c>
      <c r="P376" s="83">
        <f t="shared" si="246"/>
        <v>0</v>
      </c>
      <c r="Q376" s="83">
        <f t="shared" ref="Q376:S377" si="251">Q379+Q382</f>
        <v>0</v>
      </c>
      <c r="R376" s="83">
        <f t="shared" si="251"/>
        <v>0</v>
      </c>
      <c r="S376" s="83">
        <f t="shared" si="251"/>
        <v>0</v>
      </c>
      <c r="T376" s="83">
        <f t="shared" si="248"/>
        <v>0</v>
      </c>
      <c r="U376" s="83">
        <f t="shared" si="249"/>
        <v>0</v>
      </c>
    </row>
    <row r="377" spans="1:21" ht="18.75" x14ac:dyDescent="0.25">
      <c r="A377" s="128"/>
      <c r="B377" s="158"/>
      <c r="C377" s="158"/>
      <c r="D377" s="158"/>
      <c r="E377" s="47" t="s">
        <v>21</v>
      </c>
      <c r="F377" s="40"/>
      <c r="G377" s="42"/>
      <c r="H377" s="133" t="s">
        <v>14</v>
      </c>
      <c r="I377" s="44"/>
      <c r="J377" s="44"/>
      <c r="K377" s="45"/>
      <c r="L377" s="1356">
        <f t="shared" ca="1" si="250"/>
        <v>0</v>
      </c>
      <c r="M377" s="224">
        <f t="shared" ca="1" si="250"/>
        <v>0</v>
      </c>
      <c r="N377" s="224">
        <f t="shared" ca="1" si="250"/>
        <v>0</v>
      </c>
      <c r="O377" s="224">
        <f t="shared" ca="1" si="245"/>
        <v>0</v>
      </c>
      <c r="P377" s="224">
        <f t="shared" ca="1" si="246"/>
        <v>0</v>
      </c>
      <c r="Q377" s="224">
        <f t="shared" ca="1" si="251"/>
        <v>0</v>
      </c>
      <c r="R377" s="224">
        <f t="shared" ca="1" si="251"/>
        <v>0</v>
      </c>
      <c r="S377" s="224">
        <f t="shared" ca="1" si="251"/>
        <v>0</v>
      </c>
      <c r="T377" s="224">
        <f t="shared" ca="1" si="248"/>
        <v>0</v>
      </c>
      <c r="U377" s="224">
        <f t="shared" ca="1" si="249"/>
        <v>0</v>
      </c>
    </row>
    <row r="378" spans="1:21" ht="18.75" x14ac:dyDescent="0.25">
      <c r="A378" s="128"/>
      <c r="B378" s="158"/>
      <c r="C378" s="158"/>
      <c r="D378" s="1406" t="s">
        <v>22</v>
      </c>
      <c r="E378" s="40"/>
      <c r="F378" s="40"/>
      <c r="G378" s="42"/>
      <c r="H378" s="134" t="s">
        <v>14</v>
      </c>
      <c r="I378" s="135"/>
      <c r="J378" s="135"/>
      <c r="K378" s="136"/>
      <c r="L378" s="1356">
        <f t="shared" ref="L378:N378" ca="1" si="252">L379+L380</f>
        <v>0</v>
      </c>
      <c r="M378" s="224">
        <f t="shared" ca="1" si="252"/>
        <v>0</v>
      </c>
      <c r="N378" s="224">
        <f t="shared" ca="1" si="252"/>
        <v>0</v>
      </c>
      <c r="O378" s="224">
        <f t="shared" ca="1" si="245"/>
        <v>0</v>
      </c>
      <c r="P378" s="224">
        <f t="shared" ca="1" si="246"/>
        <v>0</v>
      </c>
      <c r="Q378" s="224">
        <f t="shared" ref="Q378:S378" ca="1" si="253">Q379+Q380</f>
        <v>0</v>
      </c>
      <c r="R378" s="224">
        <f t="shared" ca="1" si="253"/>
        <v>0</v>
      </c>
      <c r="S378" s="224">
        <f t="shared" ca="1" si="253"/>
        <v>0</v>
      </c>
      <c r="T378" s="224">
        <f t="shared" ca="1" si="248"/>
        <v>0</v>
      </c>
      <c r="U378" s="224">
        <f t="shared" ca="1" si="249"/>
        <v>0</v>
      </c>
    </row>
    <row r="379" spans="1:21" ht="18.75" x14ac:dyDescent="0.25">
      <c r="A379" s="128"/>
      <c r="B379" s="158"/>
      <c r="C379" s="158"/>
      <c r="D379" s="158"/>
      <c r="E379" s="156" t="s">
        <v>36</v>
      </c>
      <c r="F379" s="40"/>
      <c r="G379" s="42"/>
      <c r="H379" s="159" t="s">
        <v>14</v>
      </c>
      <c r="I379" s="135"/>
      <c r="J379" s="135"/>
      <c r="K379" s="136"/>
      <c r="L379" s="1358">
        <v>0</v>
      </c>
      <c r="M379" s="83">
        <v>0</v>
      </c>
      <c r="N379" s="83">
        <v>0</v>
      </c>
      <c r="O379" s="83">
        <f t="shared" si="245"/>
        <v>0</v>
      </c>
      <c r="P379" s="83">
        <f t="shared" si="246"/>
        <v>0</v>
      </c>
      <c r="Q379" s="83">
        <v>0</v>
      </c>
      <c r="R379" s="83">
        <v>0</v>
      </c>
      <c r="S379" s="83">
        <v>0</v>
      </c>
      <c r="T379" s="83">
        <f t="shared" si="248"/>
        <v>0</v>
      </c>
      <c r="U379" s="83">
        <f t="shared" si="249"/>
        <v>0</v>
      </c>
    </row>
    <row r="380" spans="1:21" ht="18.75" x14ac:dyDescent="0.25">
      <c r="A380" s="128"/>
      <c r="B380" s="158"/>
      <c r="C380" s="158"/>
      <c r="D380" s="158"/>
      <c r="E380" s="209" t="s">
        <v>37</v>
      </c>
      <c r="F380" s="158"/>
      <c r="G380" s="180"/>
      <c r="H380" s="134" t="s">
        <v>14</v>
      </c>
      <c r="I380" s="135"/>
      <c r="J380" s="135"/>
      <c r="K380" s="136"/>
      <c r="L380" s="1356">
        <f ca="1">IFERROR(__xludf.DUMMYFUNCTION("IMPORTRANGE(""https://docs.google.com/spreadsheets/d/1-uDff_7J0KD5mKrp0Vvzr7lt3OU09vwQwhkpOPPYv2Y/edit?usp=sharing"",""งบพรบ!IE25"")"),0)</f>
        <v>0</v>
      </c>
      <c r="M380" s="224">
        <f ca="1">IFERROR(__xludf.DUMMYFUNCTION("IMPORTRANGE(""https://docs.google.com/spreadsheets/d/1-uDff_7J0KD5mKrp0Vvzr7lt3OU09vwQwhkpOPPYv2Y/edit?usp=sharing"",""งบพรบ!IJ25"")"),0)</f>
        <v>0</v>
      </c>
      <c r="N380" s="224">
        <f ca="1">IFERROR(__xludf.DUMMYFUNCTION("IMPORTRANGE(""https://docs.google.com/spreadsheets/d/1-uDff_7J0KD5mKrp0Vvzr7lt3OU09vwQwhkpOPPYv2Y/edit?usp=sharing"",""งบพรบ!IL25"")"),0)</f>
        <v>0</v>
      </c>
      <c r="O380" s="224">
        <f t="shared" ca="1" si="245"/>
        <v>0</v>
      </c>
      <c r="P380" s="224">
        <f t="shared" ca="1" si="246"/>
        <v>0</v>
      </c>
      <c r="Q380" s="224">
        <f ca="1">IFERROR(__xludf.DUMMYFUNCTION("IMPORTRANGE(""https://docs.google.com/spreadsheets/d/1ItG2mGa2ceCfYo0BwxsXqNm01IGEUdYcSSLTEv9YCik/edit?usp=sharing"",""เบิกจ่ายกองทุน!BW25"")"),0)</f>
        <v>0</v>
      </c>
      <c r="R380" s="224">
        <f ca="1">IFERROR(__xludf.DUMMYFUNCTION("IMPORTRANGE(""https://docs.google.com/spreadsheets/d/1ItG2mGa2ceCfYo0BwxsXqNm01IGEUdYcSSLTEv9YCik/edit?usp=sharing"",""เบิกจ่ายกองทุน!BX25"")"),0)</f>
        <v>0</v>
      </c>
      <c r="S380" s="224">
        <f ca="1">IFERROR(__xludf.DUMMYFUNCTION("IMPORTRANGE(""https://docs.google.com/spreadsheets/d/1ItG2mGa2ceCfYo0BwxsXqNm01IGEUdYcSSLTEv9YCik/edit?usp=sharing"",""เบิกจ่ายกองทุน!BY25"")"),0)</f>
        <v>0</v>
      </c>
      <c r="T380" s="224">
        <f t="shared" ca="1" si="248"/>
        <v>0</v>
      </c>
      <c r="U380" s="224">
        <f t="shared" ca="1" si="249"/>
        <v>0</v>
      </c>
    </row>
    <row r="381" spans="1:21" ht="18.75" x14ac:dyDescent="0.25">
      <c r="A381" s="128"/>
      <c r="B381" s="158"/>
      <c r="C381" s="158"/>
      <c r="D381" s="1406" t="s">
        <v>23</v>
      </c>
      <c r="E381" s="40"/>
      <c r="F381" s="40"/>
      <c r="G381" s="42"/>
      <c r="H381" s="137" t="s">
        <v>14</v>
      </c>
      <c r="I381" s="135"/>
      <c r="J381" s="135"/>
      <c r="K381" s="136"/>
      <c r="L381" s="1356">
        <f t="shared" ref="L381:N381" ca="1" si="254">L382+L383</f>
        <v>0</v>
      </c>
      <c r="M381" s="224">
        <f t="shared" ca="1" si="254"/>
        <v>0</v>
      </c>
      <c r="N381" s="224">
        <f t="shared" ca="1" si="254"/>
        <v>0</v>
      </c>
      <c r="O381" s="224">
        <f t="shared" ca="1" si="245"/>
        <v>0</v>
      </c>
      <c r="P381" s="224">
        <f t="shared" ca="1" si="246"/>
        <v>0</v>
      </c>
      <c r="Q381" s="224">
        <f t="shared" ref="Q381:S381" si="255">Q382+Q383</f>
        <v>0</v>
      </c>
      <c r="R381" s="224">
        <f t="shared" si="255"/>
        <v>0</v>
      </c>
      <c r="S381" s="224">
        <f t="shared" si="255"/>
        <v>0</v>
      </c>
      <c r="T381" s="224">
        <f t="shared" si="248"/>
        <v>0</v>
      </c>
      <c r="U381" s="224">
        <f t="shared" si="249"/>
        <v>0</v>
      </c>
    </row>
    <row r="382" spans="1:21" ht="18.75" x14ac:dyDescent="0.25">
      <c r="A382" s="128"/>
      <c r="B382" s="158"/>
      <c r="C382" s="158"/>
      <c r="D382" s="158"/>
      <c r="E382" s="156" t="s">
        <v>20</v>
      </c>
      <c r="F382" s="40"/>
      <c r="G382" s="42"/>
      <c r="H382" s="159" t="s">
        <v>14</v>
      </c>
      <c r="I382" s="135"/>
      <c r="J382" s="135"/>
      <c r="K382" s="136"/>
      <c r="L382" s="1358">
        <v>0</v>
      </c>
      <c r="M382" s="83">
        <v>0</v>
      </c>
      <c r="N382" s="83">
        <v>0</v>
      </c>
      <c r="O382" s="83">
        <f t="shared" si="245"/>
        <v>0</v>
      </c>
      <c r="P382" s="83">
        <f t="shared" si="246"/>
        <v>0</v>
      </c>
      <c r="Q382" s="83">
        <v>0</v>
      </c>
      <c r="R382" s="83">
        <v>0</v>
      </c>
      <c r="S382" s="83">
        <v>0</v>
      </c>
      <c r="T382" s="83">
        <f t="shared" si="248"/>
        <v>0</v>
      </c>
      <c r="U382" s="83">
        <f t="shared" si="249"/>
        <v>0</v>
      </c>
    </row>
    <row r="383" spans="1:21" ht="18.75" x14ac:dyDescent="0.25">
      <c r="A383" s="128"/>
      <c r="B383" s="158"/>
      <c r="C383" s="158"/>
      <c r="D383" s="158"/>
      <c r="E383" s="47" t="s">
        <v>21</v>
      </c>
      <c r="F383" s="40"/>
      <c r="G383" s="42"/>
      <c r="H383" s="137" t="s">
        <v>14</v>
      </c>
      <c r="I383" s="135"/>
      <c r="J383" s="135"/>
      <c r="K383" s="136"/>
      <c r="L383" s="1356">
        <f ca="1">IFERROR(__xludf.DUMMYFUNCTION("IMPORTRANGE(""https://docs.google.com/spreadsheets/d/1-uDff_7J0KD5mKrp0Vvzr7lt3OU09vwQwhkpOPPYv2Y/edit?usp=sharing"",""งบพรบ!IH25"")"),0)</f>
        <v>0</v>
      </c>
      <c r="M383" s="224">
        <f ca="1">IFERROR(__xludf.DUMMYFUNCTION("IMPORTRANGE(""https://docs.google.com/spreadsheets/d/1-uDff_7J0KD5mKrp0Vvzr7lt3OU09vwQwhkpOPPYv2Y/edit?usp=sharing"",""งบพรบ!IK25"")"),0)</f>
        <v>0</v>
      </c>
      <c r="N383" s="224">
        <f ca="1">IFERROR(__xludf.DUMMYFUNCTION("IMPORTRANGE(""https://docs.google.com/spreadsheets/d/1-uDff_7J0KD5mKrp0Vvzr7lt3OU09vwQwhkpOPPYv2Y/edit?usp=sharing"",""งบพรบ!IM25"")"),0)</f>
        <v>0</v>
      </c>
      <c r="O383" s="224">
        <f t="shared" ca="1" si="245"/>
        <v>0</v>
      </c>
      <c r="P383" s="224">
        <f t="shared" ca="1" si="246"/>
        <v>0</v>
      </c>
      <c r="Q383" s="224">
        <v>0</v>
      </c>
      <c r="R383" s="224">
        <v>0</v>
      </c>
      <c r="S383" s="224">
        <v>0</v>
      </c>
      <c r="T383" s="224">
        <f t="shared" si="248"/>
        <v>0</v>
      </c>
      <c r="U383" s="224">
        <f t="shared" si="249"/>
        <v>0</v>
      </c>
    </row>
    <row r="384" spans="1:21" ht="19.5" x14ac:dyDescent="0.3">
      <c r="A384" s="138"/>
      <c r="B384" s="139"/>
      <c r="C384" s="161" t="s">
        <v>18</v>
      </c>
      <c r="D384" s="1535" t="s">
        <v>38</v>
      </c>
      <c r="E384" s="141"/>
      <c r="F384" s="141"/>
      <c r="G384" s="142"/>
      <c r="H384" s="178"/>
      <c r="I384" s="135"/>
      <c r="J384" s="44"/>
      <c r="K384" s="45"/>
      <c r="L384" s="1359"/>
      <c r="M384" s="45"/>
      <c r="N384" s="45"/>
      <c r="O384" s="136"/>
      <c r="P384" s="136"/>
      <c r="Q384" s="45"/>
      <c r="R384" s="45"/>
      <c r="S384" s="45"/>
      <c r="T384" s="136"/>
      <c r="U384" s="136"/>
    </row>
    <row r="385" spans="1:21" ht="18.75" x14ac:dyDescent="0.25">
      <c r="A385" s="208"/>
      <c r="B385" s="158"/>
      <c r="C385" s="158"/>
      <c r="D385" s="158"/>
      <c r="E385" s="47" t="s">
        <v>154</v>
      </c>
      <c r="F385" s="40"/>
      <c r="G385" s="42"/>
      <c r="H385" s="133" t="s">
        <v>34</v>
      </c>
      <c r="I385" s="184">
        <f ca="1">IFERROR(__xludf.DUMMYFUNCTION("IMPORTRANGE(""https://docs.google.com/spreadsheets/d/1eHaY18a8A9IcSdp1K8H6x8fbOy06t2VsZHhMHf-1x7Y/edit?usp=sharing"",""แผน!JQ25"")"),0)</f>
        <v>0</v>
      </c>
      <c r="J385" s="184">
        <v>0</v>
      </c>
      <c r="K385" s="224">
        <f t="shared" ref="K385:K388" ca="1" si="256">IF(I385&gt;0,J385*100/I385,0)</f>
        <v>0</v>
      </c>
      <c r="L385" s="1359"/>
      <c r="M385" s="45"/>
      <c r="N385" s="45"/>
      <c r="O385" s="45"/>
      <c r="P385" s="45"/>
      <c r="Q385" s="45"/>
      <c r="R385" s="45"/>
      <c r="S385" s="45"/>
      <c r="T385" s="45"/>
      <c r="U385" s="45"/>
    </row>
    <row r="386" spans="1:21" ht="18.75" x14ac:dyDescent="0.25">
      <c r="A386" s="158"/>
      <c r="B386" s="158"/>
      <c r="C386" s="158"/>
      <c r="D386" s="158"/>
      <c r="E386" s="158"/>
      <c r="F386" s="158"/>
      <c r="G386" s="180"/>
      <c r="H386" s="133" t="s">
        <v>46</v>
      </c>
      <c r="I386" s="184">
        <f ca="1">IFERROR(__xludf.DUMMYFUNCTION("IMPORTRANGE(""https://docs.google.com/spreadsheets/d/1eHaY18a8A9IcSdp1K8H6x8fbOy06t2VsZHhMHf-1x7Y/edit?usp=sharing"",""แผน!JQ25"")"),0)</f>
        <v>0</v>
      </c>
      <c r="J386" s="184">
        <v>0</v>
      </c>
      <c r="K386" s="224">
        <f t="shared" ca="1" si="256"/>
        <v>0</v>
      </c>
      <c r="L386" s="1359"/>
      <c r="M386" s="45"/>
      <c r="N386" s="45"/>
      <c r="O386" s="45"/>
      <c r="P386" s="45"/>
      <c r="Q386" s="45"/>
      <c r="R386" s="45"/>
      <c r="S386" s="45"/>
      <c r="T386" s="45"/>
      <c r="U386" s="45"/>
    </row>
    <row r="387" spans="1:21" ht="18.75" x14ac:dyDescent="0.25">
      <c r="A387" s="158"/>
      <c r="B387" s="158"/>
      <c r="C387" s="158"/>
      <c r="D387" s="158"/>
      <c r="E387" s="314" t="s">
        <v>155</v>
      </c>
      <c r="F387" s="158"/>
      <c r="G387" s="180"/>
      <c r="H387" s="157" t="s">
        <v>34</v>
      </c>
      <c r="I387" s="423">
        <v>0</v>
      </c>
      <c r="J387" s="423">
        <v>0</v>
      </c>
      <c r="K387" s="83">
        <f t="shared" si="256"/>
        <v>0</v>
      </c>
      <c r="L387" s="1359"/>
      <c r="M387" s="45"/>
      <c r="N387" s="45"/>
      <c r="O387" s="45"/>
      <c r="P387" s="45"/>
      <c r="Q387" s="45"/>
      <c r="R387" s="45"/>
      <c r="S387" s="45"/>
      <c r="T387" s="45"/>
      <c r="U387" s="45"/>
    </row>
    <row r="388" spans="1:21" ht="18.75" x14ac:dyDescent="0.25">
      <c r="A388" s="158"/>
      <c r="B388" s="158"/>
      <c r="C388" s="158"/>
      <c r="D388" s="158"/>
      <c r="E388" s="158"/>
      <c r="F388" s="158"/>
      <c r="G388" s="180"/>
      <c r="H388" s="157" t="s">
        <v>46</v>
      </c>
      <c r="I388" s="423">
        <v>0</v>
      </c>
      <c r="J388" s="423">
        <v>0</v>
      </c>
      <c r="K388" s="83">
        <f t="shared" si="256"/>
        <v>0</v>
      </c>
      <c r="L388" s="1359"/>
      <c r="M388" s="45"/>
      <c r="N388" s="45"/>
      <c r="O388" s="45"/>
      <c r="P388" s="45"/>
      <c r="Q388" s="45"/>
      <c r="R388" s="45"/>
      <c r="S388" s="45"/>
      <c r="T388" s="45"/>
      <c r="U388" s="45"/>
    </row>
    <row r="389" spans="1:21" ht="12.75" x14ac:dyDescent="0.2">
      <c r="A389" s="228"/>
      <c r="B389" s="228"/>
      <c r="C389" s="228"/>
      <c r="D389" s="228"/>
      <c r="E389" s="228"/>
      <c r="F389" s="228"/>
      <c r="G389" s="231"/>
      <c r="H389" s="231"/>
      <c r="I389" s="232"/>
      <c r="J389" s="232"/>
      <c r="K389" s="233"/>
      <c r="L389" s="1536"/>
      <c r="M389" s="233"/>
      <c r="N389" s="233"/>
      <c r="O389" s="233"/>
      <c r="P389" s="233"/>
      <c r="Q389" s="233"/>
      <c r="R389" s="233"/>
      <c r="S389" s="233"/>
      <c r="T389" s="233"/>
      <c r="U389" s="233"/>
    </row>
    <row r="390" spans="1:21" ht="12.75" x14ac:dyDescent="0.2">
      <c r="A390" s="316"/>
      <c r="B390" s="316"/>
      <c r="C390" s="316"/>
      <c r="D390" s="316"/>
      <c r="E390" s="316"/>
      <c r="F390" s="316"/>
      <c r="G390" s="317"/>
      <c r="H390" s="317"/>
      <c r="I390" s="318"/>
      <c r="J390" s="318"/>
      <c r="K390" s="319"/>
      <c r="L390" s="1537"/>
      <c r="M390" s="319"/>
      <c r="N390" s="319"/>
      <c r="O390" s="319"/>
      <c r="P390" s="319"/>
      <c r="Q390" s="319"/>
      <c r="R390" s="319"/>
      <c r="S390" s="319"/>
      <c r="T390" s="319"/>
      <c r="U390" s="319"/>
    </row>
    <row r="391" spans="1:21" ht="19.5" x14ac:dyDescent="0.3">
      <c r="A391" s="299"/>
      <c r="B391" s="310" t="s">
        <v>156</v>
      </c>
      <c r="C391" s="300"/>
      <c r="D391" s="301"/>
      <c r="E391" s="293"/>
      <c r="F391" s="293"/>
      <c r="G391" s="294"/>
      <c r="H391" s="311" t="s">
        <v>61</v>
      </c>
      <c r="I391" s="307">
        <f t="shared" ref="I391:J391" si="257">I402</f>
        <v>0</v>
      </c>
      <c r="J391" s="307">
        <f t="shared" si="257"/>
        <v>0</v>
      </c>
      <c r="K391" s="1502">
        <f>IF(I391&gt;0,J391*100/I391,0)</f>
        <v>0</v>
      </c>
      <c r="L391" s="1503"/>
      <c r="M391" s="298"/>
      <c r="N391" s="298"/>
      <c r="O391" s="298"/>
      <c r="P391" s="298"/>
      <c r="Q391" s="298"/>
      <c r="R391" s="298"/>
      <c r="S391" s="298"/>
      <c r="T391" s="298"/>
      <c r="U391" s="298"/>
    </row>
    <row r="392" spans="1:21" ht="19.5" x14ac:dyDescent="0.3">
      <c r="A392" s="128"/>
      <c r="B392" s="158"/>
      <c r="C392" s="161" t="s">
        <v>18</v>
      </c>
      <c r="D392" s="1534" t="s">
        <v>19</v>
      </c>
      <c r="E392" s="40"/>
      <c r="F392" s="40"/>
      <c r="G392" s="42"/>
      <c r="H392" s="131" t="s">
        <v>14</v>
      </c>
      <c r="I392" s="44"/>
      <c r="J392" s="44"/>
      <c r="K392" s="45"/>
      <c r="L392" s="1389">
        <f t="shared" ref="L392:N392" si="258">L393+L394</f>
        <v>0</v>
      </c>
      <c r="M392" s="1390">
        <f t="shared" si="258"/>
        <v>0</v>
      </c>
      <c r="N392" s="1390">
        <f t="shared" si="258"/>
        <v>0</v>
      </c>
      <c r="O392" s="1390">
        <f t="shared" ref="O392:O400" si="259">IF(L392&gt;0,N392*100/L392,0)</f>
        <v>0</v>
      </c>
      <c r="P392" s="1390">
        <f t="shared" ref="P392:P400" si="260">IF(M392&gt;0,N392*100/M392,0)</f>
        <v>0</v>
      </c>
      <c r="Q392" s="1390">
        <f t="shared" ref="Q392:S392" ca="1" si="261">Q393+Q394</f>
        <v>0</v>
      </c>
      <c r="R392" s="1390">
        <f t="shared" ca="1" si="261"/>
        <v>0</v>
      </c>
      <c r="S392" s="1390">
        <f t="shared" ca="1" si="261"/>
        <v>0</v>
      </c>
      <c r="T392" s="1390">
        <f t="shared" ref="T392:T400" ca="1" si="262">IF(Q392&gt;0,S392*100/Q392,0)</f>
        <v>0</v>
      </c>
      <c r="U392" s="1390">
        <f t="shared" ref="U392:U400" ca="1" si="263">IF(R392&gt;0,S392*100/R392,0)</f>
        <v>0</v>
      </c>
    </row>
    <row r="393" spans="1:21" ht="18.75" x14ac:dyDescent="0.25">
      <c r="A393" s="128"/>
      <c r="B393" s="158"/>
      <c r="C393" s="158"/>
      <c r="D393" s="158"/>
      <c r="E393" s="156" t="s">
        <v>20</v>
      </c>
      <c r="F393" s="40"/>
      <c r="G393" s="42"/>
      <c r="H393" s="157" t="s">
        <v>14</v>
      </c>
      <c r="I393" s="44"/>
      <c r="J393" s="44"/>
      <c r="K393" s="45"/>
      <c r="L393" s="1358">
        <f t="shared" ref="L393:N394" si="264">L396+L399</f>
        <v>0</v>
      </c>
      <c r="M393" s="83">
        <f t="shared" si="264"/>
        <v>0</v>
      </c>
      <c r="N393" s="83">
        <f t="shared" si="264"/>
        <v>0</v>
      </c>
      <c r="O393" s="83">
        <f t="shared" si="259"/>
        <v>0</v>
      </c>
      <c r="P393" s="83">
        <f t="shared" si="260"/>
        <v>0</v>
      </c>
      <c r="Q393" s="83">
        <f t="shared" ref="Q393:S394" si="265">Q396+Q399</f>
        <v>0</v>
      </c>
      <c r="R393" s="83">
        <f t="shared" si="265"/>
        <v>0</v>
      </c>
      <c r="S393" s="83">
        <f t="shared" si="265"/>
        <v>0</v>
      </c>
      <c r="T393" s="83">
        <f t="shared" si="262"/>
        <v>0</v>
      </c>
      <c r="U393" s="83">
        <f t="shared" si="263"/>
        <v>0</v>
      </c>
    </row>
    <row r="394" spans="1:21" ht="18.75" x14ac:dyDescent="0.25">
      <c r="A394" s="128"/>
      <c r="B394" s="158"/>
      <c r="C394" s="158"/>
      <c r="D394" s="158"/>
      <c r="E394" s="47" t="s">
        <v>21</v>
      </c>
      <c r="F394" s="40"/>
      <c r="G394" s="42"/>
      <c r="H394" s="133" t="s">
        <v>14</v>
      </c>
      <c r="I394" s="44"/>
      <c r="J394" s="44"/>
      <c r="K394" s="45"/>
      <c r="L394" s="1356">
        <f t="shared" si="264"/>
        <v>0</v>
      </c>
      <c r="M394" s="224">
        <f t="shared" si="264"/>
        <v>0</v>
      </c>
      <c r="N394" s="224">
        <f t="shared" si="264"/>
        <v>0</v>
      </c>
      <c r="O394" s="224">
        <f t="shared" si="259"/>
        <v>0</v>
      </c>
      <c r="P394" s="224">
        <f t="shared" si="260"/>
        <v>0</v>
      </c>
      <c r="Q394" s="224">
        <f t="shared" ca="1" si="265"/>
        <v>0</v>
      </c>
      <c r="R394" s="224">
        <f t="shared" ca="1" si="265"/>
        <v>0</v>
      </c>
      <c r="S394" s="224">
        <f t="shared" ca="1" si="265"/>
        <v>0</v>
      </c>
      <c r="T394" s="224">
        <f t="shared" ca="1" si="262"/>
        <v>0</v>
      </c>
      <c r="U394" s="224">
        <f t="shared" ca="1" si="263"/>
        <v>0</v>
      </c>
    </row>
    <row r="395" spans="1:21" ht="18.75" x14ac:dyDescent="0.25">
      <c r="A395" s="128"/>
      <c r="B395" s="158"/>
      <c r="C395" s="158"/>
      <c r="D395" s="1406" t="s">
        <v>22</v>
      </c>
      <c r="E395" s="40"/>
      <c r="F395" s="40"/>
      <c r="G395" s="42"/>
      <c r="H395" s="134" t="s">
        <v>14</v>
      </c>
      <c r="I395" s="135"/>
      <c r="J395" s="135"/>
      <c r="K395" s="136"/>
      <c r="L395" s="1356">
        <f t="shared" ref="L395:N395" si="266">L396+L397</f>
        <v>0</v>
      </c>
      <c r="M395" s="224">
        <f t="shared" si="266"/>
        <v>0</v>
      </c>
      <c r="N395" s="224">
        <f t="shared" si="266"/>
        <v>0</v>
      </c>
      <c r="O395" s="224">
        <f t="shared" si="259"/>
        <v>0</v>
      </c>
      <c r="P395" s="224">
        <f t="shared" si="260"/>
        <v>0</v>
      </c>
      <c r="Q395" s="224">
        <f t="shared" ref="Q395:S395" ca="1" si="267">Q396+Q397</f>
        <v>0</v>
      </c>
      <c r="R395" s="224">
        <f t="shared" ca="1" si="267"/>
        <v>0</v>
      </c>
      <c r="S395" s="224">
        <f t="shared" ca="1" si="267"/>
        <v>0</v>
      </c>
      <c r="T395" s="224">
        <f t="shared" ca="1" si="262"/>
        <v>0</v>
      </c>
      <c r="U395" s="224">
        <f t="shared" ca="1" si="263"/>
        <v>0</v>
      </c>
    </row>
    <row r="396" spans="1:21" ht="18.75" x14ac:dyDescent="0.25">
      <c r="A396" s="128"/>
      <c r="B396" s="158"/>
      <c r="C396" s="158"/>
      <c r="D396" s="158"/>
      <c r="E396" s="156" t="s">
        <v>36</v>
      </c>
      <c r="F396" s="40"/>
      <c r="G396" s="42"/>
      <c r="H396" s="159" t="s">
        <v>14</v>
      </c>
      <c r="I396" s="135"/>
      <c r="J396" s="135"/>
      <c r="K396" s="136"/>
      <c r="L396" s="1358">
        <v>0</v>
      </c>
      <c r="M396" s="83">
        <v>0</v>
      </c>
      <c r="N396" s="83">
        <v>0</v>
      </c>
      <c r="O396" s="83">
        <f t="shared" si="259"/>
        <v>0</v>
      </c>
      <c r="P396" s="83">
        <f t="shared" si="260"/>
        <v>0</v>
      </c>
      <c r="Q396" s="83">
        <v>0</v>
      </c>
      <c r="R396" s="83">
        <v>0</v>
      </c>
      <c r="S396" s="83">
        <v>0</v>
      </c>
      <c r="T396" s="83">
        <f t="shared" si="262"/>
        <v>0</v>
      </c>
      <c r="U396" s="83">
        <f t="shared" si="263"/>
        <v>0</v>
      </c>
    </row>
    <row r="397" spans="1:21" ht="18.75" x14ac:dyDescent="0.25">
      <c r="A397" s="128"/>
      <c r="B397" s="158"/>
      <c r="C397" s="158"/>
      <c r="D397" s="158"/>
      <c r="E397" s="209" t="s">
        <v>37</v>
      </c>
      <c r="F397" s="158"/>
      <c r="G397" s="180"/>
      <c r="H397" s="134" t="s">
        <v>14</v>
      </c>
      <c r="I397" s="135"/>
      <c r="J397" s="135"/>
      <c r="K397" s="136"/>
      <c r="L397" s="1356">
        <v>0</v>
      </c>
      <c r="M397" s="224">
        <v>0</v>
      </c>
      <c r="N397" s="224">
        <v>0</v>
      </c>
      <c r="O397" s="224">
        <f t="shared" si="259"/>
        <v>0</v>
      </c>
      <c r="P397" s="224">
        <f t="shared" si="260"/>
        <v>0</v>
      </c>
      <c r="Q397" s="224">
        <f ca="1">IFERROR(__xludf.DUMMYFUNCTION("IMPORTRANGE(""https://docs.google.com/spreadsheets/d/1ItG2mGa2ceCfYo0BwxsXqNm01IGEUdYcSSLTEv9YCik/edit?usp=sharing"",""เบิกจ่ายกองทุน!CL25"")"),0)</f>
        <v>0</v>
      </c>
      <c r="R397" s="224">
        <f ca="1">IFERROR(__xludf.DUMMYFUNCTION("IMPORTRANGE(""https://docs.google.com/spreadsheets/d/1ItG2mGa2ceCfYo0BwxsXqNm01IGEUdYcSSLTEv9YCik/edit?usp=sharing"",""เบิกจ่ายกองทุน!CM25"")"),0)</f>
        <v>0</v>
      </c>
      <c r="S397" s="224">
        <f ca="1">IFERROR(__xludf.DUMMYFUNCTION("IMPORTRANGE(""https://docs.google.com/spreadsheets/d/1ItG2mGa2ceCfYo0BwxsXqNm01IGEUdYcSSLTEv9YCik/edit?usp=sharing"",""เบิกจ่ายกองทุน!CN25"")"),0)</f>
        <v>0</v>
      </c>
      <c r="T397" s="224">
        <f t="shared" ca="1" si="262"/>
        <v>0</v>
      </c>
      <c r="U397" s="224">
        <f t="shared" ca="1" si="263"/>
        <v>0</v>
      </c>
    </row>
    <row r="398" spans="1:21" ht="18.75" x14ac:dyDescent="0.25">
      <c r="A398" s="128"/>
      <c r="B398" s="158"/>
      <c r="C398" s="158"/>
      <c r="D398" s="1406" t="s">
        <v>23</v>
      </c>
      <c r="E398" s="40"/>
      <c r="F398" s="40"/>
      <c r="G398" s="42"/>
      <c r="H398" s="137" t="s">
        <v>14</v>
      </c>
      <c r="I398" s="135"/>
      <c r="J398" s="135"/>
      <c r="K398" s="136"/>
      <c r="L398" s="1356">
        <f t="shared" ref="L398:N398" si="268">L399+L400</f>
        <v>0</v>
      </c>
      <c r="M398" s="224">
        <f t="shared" si="268"/>
        <v>0</v>
      </c>
      <c r="N398" s="224">
        <f t="shared" si="268"/>
        <v>0</v>
      </c>
      <c r="O398" s="224">
        <f t="shared" si="259"/>
        <v>0</v>
      </c>
      <c r="P398" s="224">
        <f t="shared" si="260"/>
        <v>0</v>
      </c>
      <c r="Q398" s="224">
        <f t="shared" ref="Q398:S398" si="269">Q399+Q400</f>
        <v>0</v>
      </c>
      <c r="R398" s="224">
        <f t="shared" si="269"/>
        <v>0</v>
      </c>
      <c r="S398" s="224">
        <f t="shared" si="269"/>
        <v>0</v>
      </c>
      <c r="T398" s="224">
        <f t="shared" si="262"/>
        <v>0</v>
      </c>
      <c r="U398" s="224">
        <f t="shared" si="263"/>
        <v>0</v>
      </c>
    </row>
    <row r="399" spans="1:21" ht="18.75" x14ac:dyDescent="0.25">
      <c r="A399" s="128"/>
      <c r="B399" s="158"/>
      <c r="C399" s="158"/>
      <c r="D399" s="158"/>
      <c r="E399" s="156" t="s">
        <v>20</v>
      </c>
      <c r="F399" s="40"/>
      <c r="G399" s="42"/>
      <c r="H399" s="159" t="s">
        <v>14</v>
      </c>
      <c r="I399" s="135"/>
      <c r="J399" s="135"/>
      <c r="K399" s="136"/>
      <c r="L399" s="1358">
        <v>0</v>
      </c>
      <c r="M399" s="83">
        <v>0</v>
      </c>
      <c r="N399" s="83">
        <v>0</v>
      </c>
      <c r="O399" s="83">
        <f t="shared" si="259"/>
        <v>0</v>
      </c>
      <c r="P399" s="83">
        <f t="shared" si="260"/>
        <v>0</v>
      </c>
      <c r="Q399" s="83">
        <v>0</v>
      </c>
      <c r="R399" s="83">
        <v>0</v>
      </c>
      <c r="S399" s="83">
        <v>0</v>
      </c>
      <c r="T399" s="83">
        <f t="shared" si="262"/>
        <v>0</v>
      </c>
      <c r="U399" s="83">
        <f t="shared" si="263"/>
        <v>0</v>
      </c>
    </row>
    <row r="400" spans="1:21" ht="18.75" x14ac:dyDescent="0.25">
      <c r="A400" s="128"/>
      <c r="B400" s="158"/>
      <c r="C400" s="158"/>
      <c r="D400" s="158"/>
      <c r="E400" s="47" t="s">
        <v>21</v>
      </c>
      <c r="F400" s="40"/>
      <c r="G400" s="42"/>
      <c r="H400" s="137" t="s">
        <v>14</v>
      </c>
      <c r="I400" s="135"/>
      <c r="J400" s="135"/>
      <c r="K400" s="136"/>
      <c r="L400" s="1356">
        <v>0</v>
      </c>
      <c r="M400" s="224">
        <v>0</v>
      </c>
      <c r="N400" s="224">
        <v>0</v>
      </c>
      <c r="O400" s="224">
        <f t="shared" si="259"/>
        <v>0</v>
      </c>
      <c r="P400" s="224">
        <f t="shared" si="260"/>
        <v>0</v>
      </c>
      <c r="Q400" s="224">
        <v>0</v>
      </c>
      <c r="R400" s="224">
        <v>0</v>
      </c>
      <c r="S400" s="224">
        <v>0</v>
      </c>
      <c r="T400" s="224">
        <f t="shared" si="262"/>
        <v>0</v>
      </c>
      <c r="U400" s="224">
        <f t="shared" si="263"/>
        <v>0</v>
      </c>
    </row>
    <row r="401" spans="1:21" ht="19.5" x14ac:dyDescent="0.3">
      <c r="A401" s="138"/>
      <c r="B401" s="139"/>
      <c r="C401" s="161" t="s">
        <v>18</v>
      </c>
      <c r="D401" s="1535" t="s">
        <v>38</v>
      </c>
      <c r="E401" s="141"/>
      <c r="F401" s="141"/>
      <c r="G401" s="142"/>
      <c r="H401" s="178"/>
      <c r="I401" s="135"/>
      <c r="J401" s="44"/>
      <c r="K401" s="45"/>
      <c r="L401" s="1359"/>
      <c r="M401" s="45"/>
      <c r="N401" s="45"/>
      <c r="O401" s="136"/>
      <c r="P401" s="136"/>
      <c r="Q401" s="45"/>
      <c r="R401" s="45"/>
      <c r="S401" s="45"/>
      <c r="T401" s="136"/>
      <c r="U401" s="136"/>
    </row>
    <row r="402" spans="1:21" ht="12.75" x14ac:dyDescent="0.2">
      <c r="A402" s="227"/>
      <c r="B402" s="228"/>
      <c r="C402" s="228"/>
      <c r="D402" s="228"/>
      <c r="E402" s="229"/>
      <c r="F402" s="229"/>
      <c r="G402" s="230"/>
      <c r="H402" s="231"/>
      <c r="I402" s="232"/>
      <c r="J402" s="232"/>
      <c r="K402" s="233"/>
      <c r="L402" s="1536"/>
      <c r="M402" s="233"/>
      <c r="N402" s="233"/>
      <c r="O402" s="233"/>
      <c r="P402" s="233"/>
      <c r="Q402" s="233"/>
      <c r="R402" s="233"/>
      <c r="S402" s="233"/>
      <c r="T402" s="233"/>
      <c r="U402" s="233"/>
    </row>
    <row r="403" spans="1:21" ht="12.75" x14ac:dyDescent="0.2">
      <c r="A403" s="228"/>
      <c r="B403" s="228"/>
      <c r="C403" s="228"/>
      <c r="D403" s="228"/>
      <c r="E403" s="228"/>
      <c r="F403" s="228"/>
      <c r="G403" s="231"/>
      <c r="H403" s="231"/>
      <c r="I403" s="232"/>
      <c r="J403" s="232"/>
      <c r="K403" s="233"/>
      <c r="L403" s="1536"/>
      <c r="M403" s="233"/>
      <c r="N403" s="233"/>
      <c r="O403" s="233"/>
      <c r="P403" s="233"/>
      <c r="Q403" s="233"/>
      <c r="R403" s="233"/>
      <c r="S403" s="233"/>
      <c r="T403" s="233"/>
      <c r="U403" s="233"/>
    </row>
    <row r="404" spans="1:21" ht="12.75" x14ac:dyDescent="0.2">
      <c r="A404" s="228"/>
      <c r="B404" s="228"/>
      <c r="C404" s="228"/>
      <c r="D404" s="228"/>
      <c r="E404" s="228"/>
      <c r="F404" s="228"/>
      <c r="G404" s="231"/>
      <c r="H404" s="231"/>
      <c r="I404" s="232"/>
      <c r="J404" s="232"/>
      <c r="K404" s="233"/>
      <c r="L404" s="1536"/>
      <c r="M404" s="233"/>
      <c r="N404" s="233"/>
      <c r="O404" s="233"/>
      <c r="P404" s="233"/>
      <c r="Q404" s="233"/>
      <c r="R404" s="233"/>
      <c r="S404" s="233"/>
      <c r="T404" s="233"/>
      <c r="U404" s="233"/>
    </row>
    <row r="405" spans="1:21" ht="12.75" x14ac:dyDescent="0.2">
      <c r="A405" s="228"/>
      <c r="B405" s="228"/>
      <c r="C405" s="228"/>
      <c r="D405" s="228"/>
      <c r="E405" s="228"/>
      <c r="F405" s="228"/>
      <c r="G405" s="231"/>
      <c r="H405" s="231"/>
      <c r="I405" s="232"/>
      <c r="J405" s="232"/>
      <c r="K405" s="233"/>
      <c r="L405" s="1536"/>
      <c r="M405" s="233"/>
      <c r="N405" s="233"/>
      <c r="O405" s="233"/>
      <c r="P405" s="233"/>
      <c r="Q405" s="233"/>
      <c r="R405" s="233"/>
      <c r="S405" s="233"/>
      <c r="T405" s="233"/>
      <c r="U405" s="233"/>
    </row>
    <row r="406" spans="1:21" ht="12.75" x14ac:dyDescent="0.2">
      <c r="A406" s="228"/>
      <c r="B406" s="228"/>
      <c r="C406" s="228"/>
      <c r="D406" s="228"/>
      <c r="E406" s="228"/>
      <c r="F406" s="228"/>
      <c r="G406" s="231"/>
      <c r="H406" s="231"/>
      <c r="I406" s="232"/>
      <c r="J406" s="232"/>
      <c r="K406" s="233"/>
      <c r="L406" s="1536"/>
      <c r="M406" s="233"/>
      <c r="N406" s="233"/>
      <c r="O406" s="233"/>
      <c r="P406" s="233"/>
      <c r="Q406" s="233"/>
      <c r="R406" s="233"/>
      <c r="S406" s="233"/>
      <c r="T406" s="233"/>
      <c r="U406" s="233"/>
    </row>
    <row r="407" spans="1:21" ht="12.75" x14ac:dyDescent="0.2">
      <c r="A407" s="228"/>
      <c r="B407" s="228"/>
      <c r="C407" s="228"/>
      <c r="D407" s="228"/>
      <c r="E407" s="228"/>
      <c r="F407" s="228"/>
      <c r="G407" s="231"/>
      <c r="H407" s="231"/>
      <c r="I407" s="232"/>
      <c r="J407" s="232"/>
      <c r="K407" s="233"/>
      <c r="L407" s="1536"/>
      <c r="M407" s="233"/>
      <c r="N407" s="233"/>
      <c r="O407" s="233"/>
      <c r="P407" s="233"/>
      <c r="Q407" s="233"/>
      <c r="R407" s="233"/>
      <c r="S407" s="233"/>
      <c r="T407" s="233"/>
      <c r="U407" s="233"/>
    </row>
    <row r="408" spans="1:21" ht="12.75" x14ac:dyDescent="0.2">
      <c r="A408" s="228"/>
      <c r="B408" s="228"/>
      <c r="C408" s="228"/>
      <c r="D408" s="228"/>
      <c r="E408" s="228"/>
      <c r="F408" s="228"/>
      <c r="G408" s="231"/>
      <c r="H408" s="231"/>
      <c r="I408" s="232"/>
      <c r="J408" s="232"/>
      <c r="K408" s="233"/>
      <c r="L408" s="1536"/>
      <c r="M408" s="233"/>
      <c r="N408" s="233"/>
      <c r="O408" s="233"/>
      <c r="P408" s="233"/>
      <c r="Q408" s="233"/>
      <c r="R408" s="233"/>
      <c r="S408" s="233"/>
      <c r="T408" s="233"/>
      <c r="U408" s="233"/>
    </row>
    <row r="409" spans="1:21" ht="12.75" x14ac:dyDescent="0.2">
      <c r="A409" s="228"/>
      <c r="B409" s="228"/>
      <c r="C409" s="228"/>
      <c r="D409" s="228"/>
      <c r="E409" s="228"/>
      <c r="F409" s="228"/>
      <c r="G409" s="231"/>
      <c r="H409" s="231"/>
      <c r="I409" s="232"/>
      <c r="J409" s="232"/>
      <c r="K409" s="233"/>
      <c r="L409" s="1536"/>
      <c r="M409" s="233"/>
      <c r="N409" s="233"/>
      <c r="O409" s="233"/>
      <c r="P409" s="233"/>
      <c r="Q409" s="233"/>
      <c r="R409" s="233"/>
      <c r="S409" s="233"/>
      <c r="T409" s="233"/>
      <c r="U409" s="233"/>
    </row>
    <row r="410" spans="1:21" ht="12.75" x14ac:dyDescent="0.2">
      <c r="A410" s="228"/>
      <c r="B410" s="228"/>
      <c r="C410" s="228"/>
      <c r="D410" s="228"/>
      <c r="E410" s="228"/>
      <c r="F410" s="228"/>
      <c r="G410" s="231"/>
      <c r="H410" s="231"/>
      <c r="I410" s="232"/>
      <c r="J410" s="232"/>
      <c r="K410" s="233"/>
      <c r="L410" s="1536"/>
      <c r="M410" s="233"/>
      <c r="N410" s="233"/>
      <c r="O410" s="233"/>
      <c r="P410" s="233"/>
      <c r="Q410" s="233"/>
      <c r="R410" s="233"/>
      <c r="S410" s="233"/>
      <c r="T410" s="233"/>
      <c r="U410" s="233"/>
    </row>
    <row r="411" spans="1:21" ht="12.75" x14ac:dyDescent="0.2">
      <c r="A411" s="316"/>
      <c r="B411" s="316"/>
      <c r="C411" s="316"/>
      <c r="D411" s="316"/>
      <c r="E411" s="316"/>
      <c r="F411" s="316"/>
      <c r="G411" s="317"/>
      <c r="H411" s="317"/>
      <c r="I411" s="318"/>
      <c r="J411" s="318"/>
      <c r="K411" s="319"/>
      <c r="L411" s="1537"/>
      <c r="M411" s="319"/>
      <c r="N411" s="319"/>
      <c r="O411" s="319"/>
      <c r="P411" s="319"/>
      <c r="Q411" s="319"/>
      <c r="R411" s="319"/>
      <c r="S411" s="319"/>
      <c r="T411" s="319"/>
      <c r="U411" s="319"/>
    </row>
    <row r="412" spans="1:21" ht="19.5" x14ac:dyDescent="0.3">
      <c r="A412" s="301"/>
      <c r="B412" s="310" t="s">
        <v>157</v>
      </c>
      <c r="C412" s="301"/>
      <c r="D412" s="301"/>
      <c r="E412" s="301"/>
      <c r="F412" s="301"/>
      <c r="G412" s="320"/>
      <c r="H412" s="321" t="s">
        <v>46</v>
      </c>
      <c r="I412" s="1501">
        <f t="shared" ref="I412:J412" ca="1" si="270">I423</f>
        <v>0</v>
      </c>
      <c r="J412" s="1501">
        <f t="shared" si="270"/>
        <v>0</v>
      </c>
      <c r="K412" s="1502">
        <f ca="1">IF(I412&gt;0,J412*100/I412,0)</f>
        <v>0</v>
      </c>
      <c r="L412" s="1503"/>
      <c r="M412" s="298"/>
      <c r="N412" s="298"/>
      <c r="O412" s="298"/>
      <c r="P412" s="298"/>
      <c r="Q412" s="298"/>
      <c r="R412" s="298"/>
      <c r="S412" s="298"/>
      <c r="T412" s="298"/>
      <c r="U412" s="298"/>
    </row>
    <row r="413" spans="1:21" ht="19.5" x14ac:dyDescent="0.3">
      <c r="A413" s="128"/>
      <c r="B413" s="158"/>
      <c r="C413" s="322" t="s">
        <v>18</v>
      </c>
      <c r="D413" s="1538" t="s">
        <v>19</v>
      </c>
      <c r="E413" s="1292"/>
      <c r="F413" s="1292"/>
      <c r="G413" s="1293"/>
      <c r="H413" s="323" t="s">
        <v>14</v>
      </c>
      <c r="I413" s="44"/>
      <c r="J413" s="44"/>
      <c r="K413" s="45"/>
      <c r="L413" s="1389">
        <f t="shared" ref="L413:N413" ca="1" si="271">L414+L415</f>
        <v>0</v>
      </c>
      <c r="M413" s="1390">
        <f t="shared" ca="1" si="271"/>
        <v>0</v>
      </c>
      <c r="N413" s="1390">
        <f t="shared" ca="1" si="271"/>
        <v>0</v>
      </c>
      <c r="O413" s="1390">
        <f t="shared" ref="O413:O421" ca="1" si="272">IF(L413&gt;0,N413*100/L413,0)</f>
        <v>0</v>
      </c>
      <c r="P413" s="1390">
        <f t="shared" ref="P413:P421" ca="1" si="273">IF(M413&gt;0,N413*100/M413,0)</f>
        <v>0</v>
      </c>
      <c r="Q413" s="1390">
        <f t="shared" ref="Q413:S413" ca="1" si="274">Q414+Q415</f>
        <v>0</v>
      </c>
      <c r="R413" s="1390">
        <f t="shared" ca="1" si="274"/>
        <v>0</v>
      </c>
      <c r="S413" s="1390">
        <f t="shared" ca="1" si="274"/>
        <v>0</v>
      </c>
      <c r="T413" s="1390">
        <f t="shared" ref="T413:T421" ca="1" si="275">IF(Q413&gt;0,S413*100/Q413,0)</f>
        <v>0</v>
      </c>
      <c r="U413" s="1390">
        <f t="shared" ref="U413:U421" ca="1" si="276">IF(R413&gt;0,S413*100/R413,0)</f>
        <v>0</v>
      </c>
    </row>
    <row r="414" spans="1:21" ht="18.75" x14ac:dyDescent="0.25">
      <c r="A414" s="128"/>
      <c r="B414" s="158"/>
      <c r="C414" s="158"/>
      <c r="D414" s="158"/>
      <c r="E414" s="314" t="s">
        <v>158</v>
      </c>
      <c r="F414" s="158"/>
      <c r="G414" s="180"/>
      <c r="H414" s="176" t="s">
        <v>14</v>
      </c>
      <c r="I414" s="44"/>
      <c r="J414" s="44"/>
      <c r="K414" s="45"/>
      <c r="L414" s="1358">
        <f t="shared" ref="L414:N415" si="277">L417+L420</f>
        <v>0</v>
      </c>
      <c r="M414" s="83">
        <f t="shared" si="277"/>
        <v>0</v>
      </c>
      <c r="N414" s="83">
        <f t="shared" si="277"/>
        <v>0</v>
      </c>
      <c r="O414" s="83">
        <f t="shared" si="272"/>
        <v>0</v>
      </c>
      <c r="P414" s="83">
        <f t="shared" si="273"/>
        <v>0</v>
      </c>
      <c r="Q414" s="83">
        <f t="shared" ref="Q414:S415" si="278">Q417+Q420</f>
        <v>0</v>
      </c>
      <c r="R414" s="83">
        <f t="shared" si="278"/>
        <v>0</v>
      </c>
      <c r="S414" s="83">
        <f t="shared" si="278"/>
        <v>0</v>
      </c>
      <c r="T414" s="83">
        <f t="shared" si="275"/>
        <v>0</v>
      </c>
      <c r="U414" s="83">
        <f t="shared" si="276"/>
        <v>0</v>
      </c>
    </row>
    <row r="415" spans="1:21" ht="18.75" x14ac:dyDescent="0.25">
      <c r="A415" s="128"/>
      <c r="B415" s="158"/>
      <c r="C415" s="158"/>
      <c r="D415" s="158"/>
      <c r="E415" s="209" t="s">
        <v>159</v>
      </c>
      <c r="F415" s="158"/>
      <c r="G415" s="180"/>
      <c r="H415" s="175" t="s">
        <v>14</v>
      </c>
      <c r="I415" s="44"/>
      <c r="J415" s="44"/>
      <c r="K415" s="45"/>
      <c r="L415" s="1356">
        <f t="shared" ca="1" si="277"/>
        <v>0</v>
      </c>
      <c r="M415" s="224">
        <f t="shared" ca="1" si="277"/>
        <v>0</v>
      </c>
      <c r="N415" s="224">
        <f t="shared" ca="1" si="277"/>
        <v>0</v>
      </c>
      <c r="O415" s="224">
        <f t="shared" ca="1" si="272"/>
        <v>0</v>
      </c>
      <c r="P415" s="224">
        <f t="shared" ca="1" si="273"/>
        <v>0</v>
      </c>
      <c r="Q415" s="224">
        <f t="shared" ca="1" si="278"/>
        <v>0</v>
      </c>
      <c r="R415" s="224">
        <f t="shared" ca="1" si="278"/>
        <v>0</v>
      </c>
      <c r="S415" s="224">
        <f t="shared" ca="1" si="278"/>
        <v>0</v>
      </c>
      <c r="T415" s="224">
        <f t="shared" ca="1" si="275"/>
        <v>0</v>
      </c>
      <c r="U415" s="224">
        <f t="shared" ca="1" si="276"/>
        <v>0</v>
      </c>
    </row>
    <row r="416" spans="1:21" ht="19.5" x14ac:dyDescent="0.3">
      <c r="A416" s="128"/>
      <c r="B416" s="158"/>
      <c r="C416" s="158"/>
      <c r="D416" s="1534" t="s">
        <v>22</v>
      </c>
      <c r="E416" s="158"/>
      <c r="F416" s="158"/>
      <c r="G416" s="180"/>
      <c r="H416" s="323" t="s">
        <v>14</v>
      </c>
      <c r="I416" s="44"/>
      <c r="J416" s="44"/>
      <c r="K416" s="45"/>
      <c r="L416" s="1356">
        <f t="shared" ref="L416:N416" ca="1" si="279">L417+L418</f>
        <v>0</v>
      </c>
      <c r="M416" s="224">
        <f t="shared" ca="1" si="279"/>
        <v>0</v>
      </c>
      <c r="N416" s="224">
        <f t="shared" ca="1" si="279"/>
        <v>0</v>
      </c>
      <c r="O416" s="224">
        <f t="shared" ca="1" si="272"/>
        <v>0</v>
      </c>
      <c r="P416" s="224">
        <f t="shared" ca="1" si="273"/>
        <v>0</v>
      </c>
      <c r="Q416" s="224">
        <f t="shared" ref="Q416:S416" ca="1" si="280">Q417+Q418</f>
        <v>0</v>
      </c>
      <c r="R416" s="224">
        <f t="shared" ca="1" si="280"/>
        <v>0</v>
      </c>
      <c r="S416" s="224">
        <f t="shared" ca="1" si="280"/>
        <v>0</v>
      </c>
      <c r="T416" s="224">
        <f t="shared" ca="1" si="275"/>
        <v>0</v>
      </c>
      <c r="U416" s="224">
        <f t="shared" ca="1" si="276"/>
        <v>0</v>
      </c>
    </row>
    <row r="417" spans="1:21" ht="18.75" x14ac:dyDescent="0.25">
      <c r="A417" s="128"/>
      <c r="B417" s="158"/>
      <c r="C417" s="158"/>
      <c r="D417" s="158"/>
      <c r="E417" s="314" t="s">
        <v>158</v>
      </c>
      <c r="F417" s="158"/>
      <c r="G417" s="180"/>
      <c r="H417" s="176" t="s">
        <v>14</v>
      </c>
      <c r="I417" s="44"/>
      <c r="J417" s="44"/>
      <c r="K417" s="45"/>
      <c r="L417" s="1358">
        <v>0</v>
      </c>
      <c r="M417" s="83">
        <v>0</v>
      </c>
      <c r="N417" s="83">
        <v>0</v>
      </c>
      <c r="O417" s="83">
        <f t="shared" si="272"/>
        <v>0</v>
      </c>
      <c r="P417" s="83">
        <f t="shared" si="273"/>
        <v>0</v>
      </c>
      <c r="Q417" s="83">
        <v>0</v>
      </c>
      <c r="R417" s="83">
        <v>0</v>
      </c>
      <c r="S417" s="83">
        <v>0</v>
      </c>
      <c r="T417" s="83">
        <f t="shared" si="275"/>
        <v>0</v>
      </c>
      <c r="U417" s="83">
        <f t="shared" si="276"/>
        <v>0</v>
      </c>
    </row>
    <row r="418" spans="1:21" ht="18.75" x14ac:dyDescent="0.25">
      <c r="A418" s="128"/>
      <c r="B418" s="158"/>
      <c r="C418" s="158"/>
      <c r="D418" s="158"/>
      <c r="E418" s="209" t="s">
        <v>159</v>
      </c>
      <c r="F418" s="158"/>
      <c r="G418" s="180"/>
      <c r="H418" s="175" t="s">
        <v>14</v>
      </c>
      <c r="I418" s="44"/>
      <c r="J418" s="44"/>
      <c r="K418" s="45"/>
      <c r="L418" s="1356">
        <f ca="1">IFERROR(__xludf.DUMMYFUNCTION("IMPORTRANGE(""https://docs.google.com/spreadsheets/d/1-uDff_7J0KD5mKrp0Vvzr7lt3OU09vwQwhkpOPPYv2Y/edit?usp=sharing"",""งบพรบ!IO25"")"),0)</f>
        <v>0</v>
      </c>
      <c r="M418" s="224">
        <f ca="1">IFERROR(__xludf.DUMMYFUNCTION("IMPORTRANGE(""https://docs.google.com/spreadsheets/d/1-uDff_7J0KD5mKrp0Vvzr7lt3OU09vwQwhkpOPPYv2Y/edit?usp=sharing"",""งบพรบ!IT25"")"),0)</f>
        <v>0</v>
      </c>
      <c r="N418" s="224">
        <f ca="1">IFERROR(__xludf.DUMMYFUNCTION("IMPORTRANGE(""https://docs.google.com/spreadsheets/d/1-uDff_7J0KD5mKrp0Vvzr7lt3OU09vwQwhkpOPPYv2Y/edit?usp=sharing"",""งบพรบ!IV25"")"),0)</f>
        <v>0</v>
      </c>
      <c r="O418" s="224">
        <f t="shared" ca="1" si="272"/>
        <v>0</v>
      </c>
      <c r="P418" s="224">
        <f t="shared" ca="1" si="273"/>
        <v>0</v>
      </c>
      <c r="Q418" s="224">
        <f ca="1">IFERROR(__xludf.DUMMYFUNCTION("IMPORTRANGE(""https://docs.google.com/spreadsheets/d/1ItG2mGa2ceCfYo0BwxsXqNm01IGEUdYcSSLTEv9YCik/edit?usp=sharing"",""เบิกจ่ายกองทุน!BZ25"")"),0)</f>
        <v>0</v>
      </c>
      <c r="R418" s="224">
        <f ca="1">IFERROR(__xludf.DUMMYFUNCTION("IMPORTRANGE(""https://docs.google.com/spreadsheets/d/1ItG2mGa2ceCfYo0BwxsXqNm01IGEUdYcSSLTEv9YCik/edit?usp=sharing"",""เบิกจ่ายกองทุน!CA25"")"),0)</f>
        <v>0</v>
      </c>
      <c r="S418" s="224">
        <f ca="1">IFERROR(__xludf.DUMMYFUNCTION("IMPORTRANGE(""https://docs.google.com/spreadsheets/d/1ItG2mGa2ceCfYo0BwxsXqNm01IGEUdYcSSLTEv9YCik/edit?usp=sharing"",""เบิกจ่ายกองทุน!CB25"")"),0)</f>
        <v>0</v>
      </c>
      <c r="T418" s="224">
        <f t="shared" ca="1" si="275"/>
        <v>0</v>
      </c>
      <c r="U418" s="224">
        <f t="shared" ca="1" si="276"/>
        <v>0</v>
      </c>
    </row>
    <row r="419" spans="1:21" ht="19.5" x14ac:dyDescent="0.3">
      <c r="A419" s="128"/>
      <c r="B419" s="158"/>
      <c r="C419" s="158"/>
      <c r="D419" s="1534" t="s">
        <v>23</v>
      </c>
      <c r="E419" s="158"/>
      <c r="F419" s="158"/>
      <c r="G419" s="180"/>
      <c r="H419" s="131" t="s">
        <v>14</v>
      </c>
      <c r="I419" s="44"/>
      <c r="J419" s="44"/>
      <c r="K419" s="45"/>
      <c r="L419" s="1356">
        <f t="shared" ref="L419:N419" ca="1" si="281">L420+L421</f>
        <v>0</v>
      </c>
      <c r="M419" s="224">
        <f t="shared" ca="1" si="281"/>
        <v>0</v>
      </c>
      <c r="N419" s="224">
        <f t="shared" ca="1" si="281"/>
        <v>0</v>
      </c>
      <c r="O419" s="224">
        <f t="shared" ca="1" si="272"/>
        <v>0</v>
      </c>
      <c r="P419" s="224">
        <f t="shared" ca="1" si="273"/>
        <v>0</v>
      </c>
      <c r="Q419" s="224">
        <f t="shared" ref="Q419:S419" si="282">Q420+Q421</f>
        <v>0</v>
      </c>
      <c r="R419" s="224">
        <f t="shared" si="282"/>
        <v>0</v>
      </c>
      <c r="S419" s="224">
        <f t="shared" si="282"/>
        <v>0</v>
      </c>
      <c r="T419" s="224">
        <f t="shared" si="275"/>
        <v>0</v>
      </c>
      <c r="U419" s="224">
        <f t="shared" si="276"/>
        <v>0</v>
      </c>
    </row>
    <row r="420" spans="1:21" ht="18.75" x14ac:dyDescent="0.25">
      <c r="A420" s="128"/>
      <c r="B420" s="158"/>
      <c r="C420" s="158"/>
      <c r="D420" s="158"/>
      <c r="E420" s="314" t="s">
        <v>20</v>
      </c>
      <c r="F420" s="158"/>
      <c r="G420" s="180"/>
      <c r="H420" s="176" t="s">
        <v>14</v>
      </c>
      <c r="I420" s="44"/>
      <c r="J420" s="44"/>
      <c r="K420" s="45"/>
      <c r="L420" s="1358">
        <v>0</v>
      </c>
      <c r="M420" s="83">
        <v>0</v>
      </c>
      <c r="N420" s="83">
        <v>0</v>
      </c>
      <c r="O420" s="83">
        <f t="shared" si="272"/>
        <v>0</v>
      </c>
      <c r="P420" s="83">
        <f t="shared" si="273"/>
        <v>0</v>
      </c>
      <c r="Q420" s="83">
        <v>0</v>
      </c>
      <c r="R420" s="83">
        <v>0</v>
      </c>
      <c r="S420" s="83">
        <v>0</v>
      </c>
      <c r="T420" s="83">
        <f t="shared" si="275"/>
        <v>0</v>
      </c>
      <c r="U420" s="83">
        <f t="shared" si="276"/>
        <v>0</v>
      </c>
    </row>
    <row r="421" spans="1:21" ht="18.75" x14ac:dyDescent="0.25">
      <c r="A421" s="128"/>
      <c r="B421" s="158"/>
      <c r="C421" s="158"/>
      <c r="D421" s="158"/>
      <c r="E421" s="209" t="s">
        <v>21</v>
      </c>
      <c r="F421" s="158"/>
      <c r="G421" s="180"/>
      <c r="H421" s="133" t="s">
        <v>14</v>
      </c>
      <c r="I421" s="44"/>
      <c r="J421" s="44"/>
      <c r="K421" s="45"/>
      <c r="L421" s="1356">
        <f ca="1">IFERROR(__xludf.DUMMYFUNCTION("IMPORTRANGE(""https://docs.google.com/spreadsheets/d/1-uDff_7J0KD5mKrp0Vvzr7lt3OU09vwQwhkpOPPYv2Y/edit?usp=sharing"",""งบพรบ!IR25"")"),0)</f>
        <v>0</v>
      </c>
      <c r="M421" s="224">
        <f ca="1">IFERROR(__xludf.DUMMYFUNCTION("IMPORTRANGE(""https://docs.google.com/spreadsheets/d/1-uDff_7J0KD5mKrp0Vvzr7lt3OU09vwQwhkpOPPYv2Y/edit?usp=sharing"",""งบพรบ!IU25"")"),0)</f>
        <v>0</v>
      </c>
      <c r="N421" s="224">
        <f ca="1">IFERROR(__xludf.DUMMYFUNCTION("IMPORTRANGE(""https://docs.google.com/spreadsheets/d/1-uDff_7J0KD5mKrp0Vvzr7lt3OU09vwQwhkpOPPYv2Y/edit?usp=sharing"",""งบพรบ!IW25"")"),0)</f>
        <v>0</v>
      </c>
      <c r="O421" s="224">
        <f t="shared" ca="1" si="272"/>
        <v>0</v>
      </c>
      <c r="P421" s="224">
        <f t="shared" ca="1" si="273"/>
        <v>0</v>
      </c>
      <c r="Q421" s="224">
        <v>0</v>
      </c>
      <c r="R421" s="224">
        <v>0</v>
      </c>
      <c r="S421" s="224">
        <v>0</v>
      </c>
      <c r="T421" s="224">
        <f t="shared" si="275"/>
        <v>0</v>
      </c>
      <c r="U421" s="224">
        <f t="shared" si="276"/>
        <v>0</v>
      </c>
    </row>
    <row r="422" spans="1:21" ht="19.5" x14ac:dyDescent="0.3">
      <c r="A422" s="208"/>
      <c r="B422" s="158"/>
      <c r="C422" s="322" t="s">
        <v>18</v>
      </c>
      <c r="D422" s="1539" t="s">
        <v>38</v>
      </c>
      <c r="E422" s="158"/>
      <c r="F422" s="158"/>
      <c r="G422" s="180"/>
      <c r="H422" s="180"/>
      <c r="I422" s="44"/>
      <c r="J422" s="44"/>
      <c r="K422" s="45"/>
      <c r="L422" s="1359"/>
      <c r="M422" s="45"/>
      <c r="N422" s="45"/>
      <c r="O422" s="45"/>
      <c r="P422" s="45"/>
      <c r="Q422" s="45"/>
      <c r="R422" s="45"/>
      <c r="S422" s="45"/>
      <c r="T422" s="45"/>
      <c r="U422" s="45"/>
    </row>
    <row r="423" spans="1:21" ht="19.5" x14ac:dyDescent="0.3">
      <c r="A423" s="208"/>
      <c r="B423" s="161" t="s">
        <v>160</v>
      </c>
      <c r="C423" s="158"/>
      <c r="D423" s="158"/>
      <c r="E423" s="158"/>
      <c r="F423" s="158"/>
      <c r="G423" s="180"/>
      <c r="H423" s="323" t="s">
        <v>46</v>
      </c>
      <c r="I423" s="328">
        <f t="shared" ref="I423:J423" ca="1" si="283">I440</f>
        <v>0</v>
      </c>
      <c r="J423" s="328">
        <f t="shared" si="283"/>
        <v>0</v>
      </c>
      <c r="K423" s="1390">
        <f t="shared" ref="K423:K425" ca="1" si="284">IF(I423&gt;0,J423*100/I423,0)</f>
        <v>0</v>
      </c>
      <c r="L423" s="1359"/>
      <c r="M423" s="45"/>
      <c r="N423" s="45"/>
      <c r="O423" s="45"/>
      <c r="P423" s="45"/>
      <c r="Q423" s="45"/>
      <c r="R423" s="45"/>
      <c r="S423" s="45"/>
      <c r="T423" s="45"/>
      <c r="U423" s="45"/>
    </row>
    <row r="424" spans="1:21" ht="19.5" x14ac:dyDescent="0.3">
      <c r="A424" s="208"/>
      <c r="B424" s="158"/>
      <c r="C424" s="161" t="s">
        <v>161</v>
      </c>
      <c r="D424" s="158"/>
      <c r="E424" s="158"/>
      <c r="F424" s="158"/>
      <c r="G424" s="180"/>
      <c r="H424" s="131" t="s">
        <v>46</v>
      </c>
      <c r="I424" s="328">
        <f ca="1">IFERROR(__xludf.DUMMYFUNCTION("IMPORTRANGE(""https://docs.google.com/spreadsheets/d/1eHaY18a8A9IcSdp1K8H6x8fbOy06t2VsZHhMHf-1x7Y/edit?usp=sharing"",""แผน!HJ25"")"),0)</f>
        <v>0</v>
      </c>
      <c r="J424" s="328">
        <f t="shared" ref="J424:J425" si="285">J426+J428+J430</f>
        <v>0</v>
      </c>
      <c r="K424" s="1390">
        <f t="shared" ca="1" si="284"/>
        <v>0</v>
      </c>
      <c r="L424" s="1359"/>
      <c r="M424" s="45"/>
      <c r="N424" s="45"/>
      <c r="O424" s="45"/>
      <c r="P424" s="45"/>
      <c r="Q424" s="45"/>
      <c r="R424" s="45"/>
      <c r="S424" s="45"/>
      <c r="T424" s="45"/>
      <c r="U424" s="45"/>
    </row>
    <row r="425" spans="1:21" ht="19.5" x14ac:dyDescent="0.3">
      <c r="A425" s="208"/>
      <c r="B425" s="158"/>
      <c r="C425" s="158"/>
      <c r="D425" s="158"/>
      <c r="E425" s="158"/>
      <c r="F425" s="158"/>
      <c r="G425" s="180"/>
      <c r="H425" s="131" t="s">
        <v>34</v>
      </c>
      <c r="I425" s="328">
        <f ca="1">IFERROR(__xludf.DUMMYFUNCTION("IMPORTRANGE(""https://docs.google.com/spreadsheets/d/1eHaY18a8A9IcSdp1K8H6x8fbOy06t2VsZHhMHf-1x7Y/edit?usp=sharing"",""แผน!HK25"")"),0)</f>
        <v>0</v>
      </c>
      <c r="J425" s="328">
        <f t="shared" si="285"/>
        <v>0</v>
      </c>
      <c r="K425" s="1390">
        <f t="shared" ca="1" si="284"/>
        <v>0</v>
      </c>
      <c r="L425" s="1359"/>
      <c r="M425" s="45"/>
      <c r="N425" s="45"/>
      <c r="O425" s="45"/>
      <c r="P425" s="45"/>
      <c r="Q425" s="45"/>
      <c r="R425" s="45"/>
      <c r="S425" s="45"/>
      <c r="T425" s="45"/>
      <c r="U425" s="45"/>
    </row>
    <row r="426" spans="1:21" ht="18.75" x14ac:dyDescent="0.25">
      <c r="A426" s="208"/>
      <c r="B426" s="158"/>
      <c r="C426" s="158"/>
      <c r="D426" s="209" t="s">
        <v>162</v>
      </c>
      <c r="E426" s="158"/>
      <c r="F426" s="158"/>
      <c r="G426" s="180"/>
      <c r="H426" s="133" t="s">
        <v>46</v>
      </c>
      <c r="I426" s="44"/>
      <c r="J426" s="44"/>
      <c r="K426" s="45"/>
      <c r="L426" s="1359"/>
      <c r="M426" s="45"/>
      <c r="N426" s="45"/>
      <c r="O426" s="45"/>
      <c r="P426" s="45"/>
      <c r="Q426" s="45"/>
      <c r="R426" s="45"/>
      <c r="S426" s="45"/>
      <c r="T426" s="45"/>
      <c r="U426" s="45"/>
    </row>
    <row r="427" spans="1:21" ht="18.75" x14ac:dyDescent="0.25">
      <c r="A427" s="208"/>
      <c r="B427" s="158"/>
      <c r="C427" s="158"/>
      <c r="D427" s="158"/>
      <c r="E427" s="158"/>
      <c r="F427" s="158"/>
      <c r="G427" s="180"/>
      <c r="H427" s="133" t="s">
        <v>34</v>
      </c>
      <c r="I427" s="44"/>
      <c r="J427" s="44"/>
      <c r="K427" s="45"/>
      <c r="L427" s="1359"/>
      <c r="M427" s="45"/>
      <c r="N427" s="45"/>
      <c r="O427" s="45"/>
      <c r="P427" s="45"/>
      <c r="Q427" s="45"/>
      <c r="R427" s="45"/>
      <c r="S427" s="45"/>
      <c r="T427" s="45"/>
      <c r="U427" s="45"/>
    </row>
    <row r="428" spans="1:21" ht="18.75" x14ac:dyDescent="0.25">
      <c r="A428" s="208"/>
      <c r="B428" s="158"/>
      <c r="C428" s="158"/>
      <c r="D428" s="209" t="s">
        <v>163</v>
      </c>
      <c r="E428" s="158"/>
      <c r="F428" s="158"/>
      <c r="G428" s="180"/>
      <c r="H428" s="133" t="s">
        <v>46</v>
      </c>
      <c r="I428" s="44"/>
      <c r="J428" s="44"/>
      <c r="K428" s="45"/>
      <c r="L428" s="1359"/>
      <c r="M428" s="45"/>
      <c r="N428" s="45"/>
      <c r="O428" s="45"/>
      <c r="P428" s="45"/>
      <c r="Q428" s="45"/>
      <c r="R428" s="45"/>
      <c r="S428" s="45"/>
      <c r="T428" s="45"/>
      <c r="U428" s="45"/>
    </row>
    <row r="429" spans="1:21" ht="18.75" x14ac:dyDescent="0.25">
      <c r="A429" s="208"/>
      <c r="B429" s="158"/>
      <c r="C429" s="158"/>
      <c r="D429" s="158"/>
      <c r="E429" s="158"/>
      <c r="F429" s="158"/>
      <c r="G429" s="180"/>
      <c r="H429" s="133" t="s">
        <v>34</v>
      </c>
      <c r="I429" s="44"/>
      <c r="J429" s="44"/>
      <c r="K429" s="45"/>
      <c r="L429" s="1359"/>
      <c r="M429" s="45"/>
      <c r="N429" s="45"/>
      <c r="O429" s="45"/>
      <c r="P429" s="45"/>
      <c r="Q429" s="45"/>
      <c r="R429" s="45"/>
      <c r="S429" s="45"/>
      <c r="T429" s="45"/>
      <c r="U429" s="45"/>
    </row>
    <row r="430" spans="1:21" ht="18.75" x14ac:dyDescent="0.25">
      <c r="A430" s="208"/>
      <c r="B430" s="158"/>
      <c r="C430" s="158"/>
      <c r="D430" s="209" t="s">
        <v>164</v>
      </c>
      <c r="E430" s="158"/>
      <c r="F430" s="158"/>
      <c r="G430" s="180"/>
      <c r="H430" s="133" t="s">
        <v>46</v>
      </c>
      <c r="I430" s="44"/>
      <c r="J430" s="44"/>
      <c r="K430" s="45"/>
      <c r="L430" s="1359"/>
      <c r="M430" s="45"/>
      <c r="N430" s="45"/>
      <c r="O430" s="45"/>
      <c r="P430" s="45"/>
      <c r="Q430" s="45"/>
      <c r="R430" s="45"/>
      <c r="S430" s="45"/>
      <c r="T430" s="45"/>
      <c r="U430" s="45"/>
    </row>
    <row r="431" spans="1:21" ht="18.75" x14ac:dyDescent="0.25">
      <c r="A431" s="208"/>
      <c r="B431" s="158"/>
      <c r="C431" s="158"/>
      <c r="D431" s="158"/>
      <c r="E431" s="158"/>
      <c r="F431" s="158"/>
      <c r="G431" s="180"/>
      <c r="H431" s="133" t="s">
        <v>34</v>
      </c>
      <c r="I431" s="44"/>
      <c r="J431" s="44"/>
      <c r="K431" s="45"/>
      <c r="L431" s="1359"/>
      <c r="M431" s="45"/>
      <c r="N431" s="45"/>
      <c r="O431" s="45"/>
      <c r="P431" s="45"/>
      <c r="Q431" s="45"/>
      <c r="R431" s="45"/>
      <c r="S431" s="45"/>
      <c r="T431" s="45"/>
      <c r="U431" s="45"/>
    </row>
    <row r="432" spans="1:21" ht="19.5" x14ac:dyDescent="0.3">
      <c r="A432" s="208"/>
      <c r="B432" s="158"/>
      <c r="C432" s="161" t="s">
        <v>165</v>
      </c>
      <c r="D432" s="158"/>
      <c r="E432" s="158"/>
      <c r="F432" s="158"/>
      <c r="G432" s="180"/>
      <c r="H432" s="131" t="s">
        <v>46</v>
      </c>
      <c r="I432" s="328">
        <f ca="1">IFERROR(__xludf.DUMMYFUNCTION("IMPORTRANGE(""https://docs.google.com/spreadsheets/d/1eHaY18a8A9IcSdp1K8H6x8fbOy06t2VsZHhMHf-1x7Y/edit?usp=sharing"",""แผน!HJ25"")"),0)</f>
        <v>0</v>
      </c>
      <c r="J432" s="328">
        <f t="shared" ref="J432:J433" si="286">J434+J436+J438</f>
        <v>0</v>
      </c>
      <c r="K432" s="1390">
        <f t="shared" ref="K432:K433" ca="1" si="287">IF(I432&gt;0,J432*100/I432,0)</f>
        <v>0</v>
      </c>
      <c r="L432" s="1359"/>
      <c r="M432" s="45"/>
      <c r="N432" s="45"/>
      <c r="O432" s="45"/>
      <c r="P432" s="45"/>
      <c r="Q432" s="45"/>
      <c r="R432" s="45"/>
      <c r="S432" s="45"/>
      <c r="T432" s="45"/>
      <c r="U432" s="45"/>
    </row>
    <row r="433" spans="1:21" ht="19.5" x14ac:dyDescent="0.3">
      <c r="A433" s="208"/>
      <c r="B433" s="158"/>
      <c r="C433" s="158"/>
      <c r="D433" s="158"/>
      <c r="E433" s="158"/>
      <c r="F433" s="158"/>
      <c r="G433" s="180"/>
      <c r="H433" s="131" t="s">
        <v>34</v>
      </c>
      <c r="I433" s="328">
        <f ca="1">IFERROR(__xludf.DUMMYFUNCTION("IMPORTRANGE(""https://docs.google.com/spreadsheets/d/1eHaY18a8A9IcSdp1K8H6x8fbOy06t2VsZHhMHf-1x7Y/edit?usp=sharing"",""แผน!HK25"")"),0)</f>
        <v>0</v>
      </c>
      <c r="J433" s="328">
        <f t="shared" si="286"/>
        <v>0</v>
      </c>
      <c r="K433" s="1390">
        <f t="shared" ca="1" si="287"/>
        <v>0</v>
      </c>
      <c r="L433" s="1359"/>
      <c r="M433" s="45"/>
      <c r="N433" s="45"/>
      <c r="O433" s="45"/>
      <c r="P433" s="45"/>
      <c r="Q433" s="45"/>
      <c r="R433" s="45"/>
      <c r="S433" s="45"/>
      <c r="T433" s="45"/>
      <c r="U433" s="45"/>
    </row>
    <row r="434" spans="1:21" ht="18.75" x14ac:dyDescent="0.25">
      <c r="A434" s="208"/>
      <c r="B434" s="158"/>
      <c r="C434" s="158"/>
      <c r="D434" s="209" t="s">
        <v>166</v>
      </c>
      <c r="E434" s="158"/>
      <c r="F434" s="158"/>
      <c r="G434" s="180"/>
      <c r="H434" s="133" t="s">
        <v>46</v>
      </c>
      <c r="I434" s="44"/>
      <c r="J434" s="44"/>
      <c r="K434" s="45"/>
      <c r="L434" s="1359"/>
      <c r="M434" s="45"/>
      <c r="N434" s="45"/>
      <c r="O434" s="45"/>
      <c r="P434" s="45"/>
      <c r="Q434" s="45"/>
      <c r="R434" s="45"/>
      <c r="S434" s="45"/>
      <c r="T434" s="45"/>
      <c r="U434" s="45"/>
    </row>
    <row r="435" spans="1:21" ht="18.75" x14ac:dyDescent="0.25">
      <c r="A435" s="208"/>
      <c r="B435" s="158"/>
      <c r="C435" s="158"/>
      <c r="D435" s="158"/>
      <c r="E435" s="158"/>
      <c r="F435" s="158"/>
      <c r="G435" s="180"/>
      <c r="H435" s="133" t="s">
        <v>34</v>
      </c>
      <c r="I435" s="44"/>
      <c r="J435" s="44"/>
      <c r="K435" s="45"/>
      <c r="L435" s="1359"/>
      <c r="M435" s="45"/>
      <c r="N435" s="45"/>
      <c r="O435" s="45"/>
      <c r="P435" s="45"/>
      <c r="Q435" s="45"/>
      <c r="R435" s="45"/>
      <c r="S435" s="45"/>
      <c r="T435" s="45"/>
      <c r="U435" s="45"/>
    </row>
    <row r="436" spans="1:21" ht="18.75" x14ac:dyDescent="0.25">
      <c r="A436" s="208"/>
      <c r="B436" s="158"/>
      <c r="C436" s="158"/>
      <c r="D436" s="209" t="s">
        <v>167</v>
      </c>
      <c r="E436" s="158"/>
      <c r="F436" s="158"/>
      <c r="G436" s="180"/>
      <c r="H436" s="133" t="s">
        <v>46</v>
      </c>
      <c r="I436" s="44"/>
      <c r="J436" s="44"/>
      <c r="K436" s="45"/>
      <c r="L436" s="1359"/>
      <c r="M436" s="45"/>
      <c r="N436" s="45"/>
      <c r="O436" s="45"/>
      <c r="P436" s="45"/>
      <c r="Q436" s="45"/>
      <c r="R436" s="45"/>
      <c r="S436" s="45"/>
      <c r="T436" s="45"/>
      <c r="U436" s="45"/>
    </row>
    <row r="437" spans="1:21" ht="18.75" x14ac:dyDescent="0.25">
      <c r="A437" s="208"/>
      <c r="B437" s="158"/>
      <c r="C437" s="158"/>
      <c r="D437" s="158"/>
      <c r="E437" s="158"/>
      <c r="F437" s="158"/>
      <c r="G437" s="180"/>
      <c r="H437" s="133" t="s">
        <v>34</v>
      </c>
      <c r="I437" s="44"/>
      <c r="J437" s="44"/>
      <c r="K437" s="45"/>
      <c r="L437" s="1359"/>
      <c r="M437" s="45"/>
      <c r="N437" s="45"/>
      <c r="O437" s="45"/>
      <c r="P437" s="45"/>
      <c r="Q437" s="45"/>
      <c r="R437" s="45"/>
      <c r="S437" s="45"/>
      <c r="T437" s="45"/>
      <c r="U437" s="45"/>
    </row>
    <row r="438" spans="1:21" ht="18.75" x14ac:dyDescent="0.25">
      <c r="A438" s="208"/>
      <c r="B438" s="158"/>
      <c r="C438" s="158"/>
      <c r="D438" s="209" t="s">
        <v>168</v>
      </c>
      <c r="E438" s="158"/>
      <c r="F438" s="158"/>
      <c r="G438" s="180"/>
      <c r="H438" s="133" t="s">
        <v>46</v>
      </c>
      <c r="I438" s="44"/>
      <c r="J438" s="44"/>
      <c r="K438" s="45"/>
      <c r="L438" s="1359"/>
      <c r="M438" s="45"/>
      <c r="N438" s="45"/>
      <c r="O438" s="45"/>
      <c r="P438" s="45"/>
      <c r="Q438" s="45"/>
      <c r="R438" s="45"/>
      <c r="S438" s="45"/>
      <c r="T438" s="45"/>
      <c r="U438" s="45"/>
    </row>
    <row r="439" spans="1:21" ht="18.75" x14ac:dyDescent="0.25">
      <c r="A439" s="208"/>
      <c r="B439" s="158"/>
      <c r="C439" s="158"/>
      <c r="D439" s="158"/>
      <c r="E439" s="158"/>
      <c r="F439" s="158"/>
      <c r="G439" s="180"/>
      <c r="H439" s="133" t="s">
        <v>34</v>
      </c>
      <c r="I439" s="44"/>
      <c r="J439" s="44"/>
      <c r="K439" s="45"/>
      <c r="L439" s="1359"/>
      <c r="M439" s="45"/>
      <c r="N439" s="45"/>
      <c r="O439" s="45"/>
      <c r="P439" s="45"/>
      <c r="Q439" s="45"/>
      <c r="R439" s="45"/>
      <c r="S439" s="45"/>
      <c r="T439" s="45"/>
      <c r="U439" s="45"/>
    </row>
    <row r="440" spans="1:21" ht="19.5" x14ac:dyDescent="0.3">
      <c r="A440" s="208"/>
      <c r="B440" s="158"/>
      <c r="C440" s="161" t="s">
        <v>169</v>
      </c>
      <c r="D440" s="158"/>
      <c r="E440" s="158"/>
      <c r="F440" s="158"/>
      <c r="G440" s="180"/>
      <c r="H440" s="131" t="s">
        <v>46</v>
      </c>
      <c r="I440" s="328">
        <f ca="1">IFERROR(__xludf.DUMMYFUNCTION("IMPORTRANGE(""https://docs.google.com/spreadsheets/d/1eHaY18a8A9IcSdp1K8H6x8fbOy06t2VsZHhMHf-1x7Y/edit?usp=sharing"",""แผน!HJ25"")"),0)</f>
        <v>0</v>
      </c>
      <c r="J440" s="328">
        <f t="shared" ref="J440:J441" si="288">J442+J444+J446+J452+J454</f>
        <v>0</v>
      </c>
      <c r="K440" s="1390">
        <f t="shared" ref="K440:K441" ca="1" si="289">IF(I440&gt;0,J440*100/I440,0)</f>
        <v>0</v>
      </c>
      <c r="L440" s="1359"/>
      <c r="M440" s="45"/>
      <c r="N440" s="45"/>
      <c r="O440" s="45"/>
      <c r="P440" s="45"/>
      <c r="Q440" s="45"/>
      <c r="R440" s="45"/>
      <c r="S440" s="45"/>
      <c r="T440" s="45"/>
      <c r="U440" s="45"/>
    </row>
    <row r="441" spans="1:21" ht="19.5" x14ac:dyDescent="0.3">
      <c r="A441" s="208"/>
      <c r="B441" s="158"/>
      <c r="C441" s="158"/>
      <c r="D441" s="158"/>
      <c r="E441" s="158"/>
      <c r="F441" s="158"/>
      <c r="G441" s="180"/>
      <c r="H441" s="131" t="s">
        <v>34</v>
      </c>
      <c r="I441" s="328">
        <f ca="1">IFERROR(__xludf.DUMMYFUNCTION("IMPORTRANGE(""https://docs.google.com/spreadsheets/d/1eHaY18a8A9IcSdp1K8H6x8fbOy06t2VsZHhMHf-1x7Y/edit?usp=sharing"",""แผน!HK25"")"),0)</f>
        <v>0</v>
      </c>
      <c r="J441" s="328">
        <f t="shared" si="288"/>
        <v>0</v>
      </c>
      <c r="K441" s="1390">
        <f t="shared" ca="1" si="289"/>
        <v>0</v>
      </c>
      <c r="L441" s="1359"/>
      <c r="M441" s="45"/>
      <c r="N441" s="45"/>
      <c r="O441" s="45"/>
      <c r="P441" s="45"/>
      <c r="Q441" s="45"/>
      <c r="R441" s="45"/>
      <c r="S441" s="45"/>
      <c r="T441" s="45"/>
      <c r="U441" s="45"/>
    </row>
    <row r="442" spans="1:21" ht="18.75" x14ac:dyDescent="0.25">
      <c r="A442" s="208"/>
      <c r="B442" s="158"/>
      <c r="C442" s="158"/>
      <c r="D442" s="209" t="s">
        <v>170</v>
      </c>
      <c r="E442" s="158"/>
      <c r="F442" s="158"/>
      <c r="G442" s="180"/>
      <c r="H442" s="133" t="s">
        <v>46</v>
      </c>
      <c r="I442" s="44"/>
      <c r="J442" s="44"/>
      <c r="K442" s="45"/>
      <c r="L442" s="1359"/>
      <c r="M442" s="45"/>
      <c r="N442" s="45"/>
      <c r="O442" s="45"/>
      <c r="P442" s="45"/>
      <c r="Q442" s="45"/>
      <c r="R442" s="45"/>
      <c r="S442" s="45"/>
      <c r="T442" s="45"/>
      <c r="U442" s="45"/>
    </row>
    <row r="443" spans="1:21" ht="18.75" x14ac:dyDescent="0.25">
      <c r="A443" s="208"/>
      <c r="B443" s="158"/>
      <c r="C443" s="158"/>
      <c r="D443" s="158"/>
      <c r="E443" s="158"/>
      <c r="F443" s="158"/>
      <c r="G443" s="180"/>
      <c r="H443" s="133" t="s">
        <v>34</v>
      </c>
      <c r="I443" s="44"/>
      <c r="J443" s="44"/>
      <c r="K443" s="45"/>
      <c r="L443" s="1359"/>
      <c r="M443" s="45"/>
      <c r="N443" s="45"/>
      <c r="O443" s="45"/>
      <c r="P443" s="45"/>
      <c r="Q443" s="45"/>
      <c r="R443" s="45"/>
      <c r="S443" s="45"/>
      <c r="T443" s="45"/>
      <c r="U443" s="45"/>
    </row>
    <row r="444" spans="1:21" ht="18.75" x14ac:dyDescent="0.25">
      <c r="A444" s="208"/>
      <c r="B444" s="158"/>
      <c r="C444" s="158"/>
      <c r="D444" s="209" t="s">
        <v>171</v>
      </c>
      <c r="E444" s="158"/>
      <c r="F444" s="158"/>
      <c r="G444" s="180"/>
      <c r="H444" s="133" t="s">
        <v>46</v>
      </c>
      <c r="I444" s="44"/>
      <c r="J444" s="44"/>
      <c r="K444" s="45"/>
      <c r="L444" s="1359"/>
      <c r="M444" s="45"/>
      <c r="N444" s="45"/>
      <c r="O444" s="45"/>
      <c r="P444" s="45"/>
      <c r="Q444" s="45"/>
      <c r="R444" s="45"/>
      <c r="S444" s="45"/>
      <c r="T444" s="45"/>
      <c r="U444" s="45"/>
    </row>
    <row r="445" spans="1:21" ht="18.75" x14ac:dyDescent="0.25">
      <c r="A445" s="208"/>
      <c r="B445" s="158"/>
      <c r="C445" s="158"/>
      <c r="D445" s="158"/>
      <c r="E445" s="158"/>
      <c r="F445" s="158"/>
      <c r="G445" s="180"/>
      <c r="H445" s="133" t="s">
        <v>34</v>
      </c>
      <c r="I445" s="44"/>
      <c r="J445" s="44"/>
      <c r="K445" s="45"/>
      <c r="L445" s="1359"/>
      <c r="M445" s="45"/>
      <c r="N445" s="45"/>
      <c r="O445" s="45"/>
      <c r="P445" s="45"/>
      <c r="Q445" s="45"/>
      <c r="R445" s="45"/>
      <c r="S445" s="45"/>
      <c r="T445" s="45"/>
      <c r="U445" s="45"/>
    </row>
    <row r="446" spans="1:21" ht="19.5" x14ac:dyDescent="0.3">
      <c r="A446" s="208"/>
      <c r="B446" s="158"/>
      <c r="C446" s="158"/>
      <c r="D446" s="209" t="s">
        <v>172</v>
      </c>
      <c r="E446" s="158"/>
      <c r="F446" s="158"/>
      <c r="G446" s="180"/>
      <c r="H446" s="133" t="s">
        <v>46</v>
      </c>
      <c r="I446" s="44"/>
      <c r="J446" s="328">
        <f t="shared" ref="J446:J447" si="290">J448+J450</f>
        <v>0</v>
      </c>
      <c r="K446" s="45"/>
      <c r="L446" s="1359"/>
      <c r="M446" s="45"/>
      <c r="N446" s="45"/>
      <c r="O446" s="45"/>
      <c r="P446" s="45"/>
      <c r="Q446" s="45"/>
      <c r="R446" s="45"/>
      <c r="S446" s="45"/>
      <c r="T446" s="45"/>
      <c r="U446" s="45"/>
    </row>
    <row r="447" spans="1:21" ht="19.5" x14ac:dyDescent="0.3">
      <c r="A447" s="208"/>
      <c r="B447" s="158"/>
      <c r="C447" s="158"/>
      <c r="D447" s="158"/>
      <c r="E447" s="158"/>
      <c r="F447" s="158"/>
      <c r="G447" s="180"/>
      <c r="H447" s="133" t="s">
        <v>34</v>
      </c>
      <c r="I447" s="44"/>
      <c r="J447" s="328">
        <f t="shared" si="290"/>
        <v>0</v>
      </c>
      <c r="K447" s="45"/>
      <c r="L447" s="1359"/>
      <c r="M447" s="45"/>
      <c r="N447" s="45"/>
      <c r="O447" s="45"/>
      <c r="P447" s="45"/>
      <c r="Q447" s="45"/>
      <c r="R447" s="45"/>
      <c r="S447" s="45"/>
      <c r="T447" s="45"/>
      <c r="U447" s="45"/>
    </row>
    <row r="448" spans="1:21" ht="18.75" x14ac:dyDescent="0.25">
      <c r="A448" s="208"/>
      <c r="B448" s="158"/>
      <c r="C448" s="158"/>
      <c r="D448" s="158"/>
      <c r="E448" s="209" t="s">
        <v>173</v>
      </c>
      <c r="F448" s="158"/>
      <c r="G448" s="180"/>
      <c r="H448" s="133" t="s">
        <v>46</v>
      </c>
      <c r="I448" s="44"/>
      <c r="J448" s="44"/>
      <c r="K448" s="45"/>
      <c r="L448" s="1359"/>
      <c r="M448" s="45"/>
      <c r="N448" s="45"/>
      <c r="O448" s="45"/>
      <c r="P448" s="45"/>
      <c r="Q448" s="45"/>
      <c r="R448" s="45"/>
      <c r="S448" s="45"/>
      <c r="T448" s="45"/>
      <c r="U448" s="45"/>
    </row>
    <row r="449" spans="1:21" ht="18.75" x14ac:dyDescent="0.25">
      <c r="A449" s="208"/>
      <c r="B449" s="158"/>
      <c r="C449" s="158"/>
      <c r="D449" s="158"/>
      <c r="E449" s="158"/>
      <c r="F449" s="158"/>
      <c r="G449" s="180"/>
      <c r="H449" s="133" t="s">
        <v>34</v>
      </c>
      <c r="I449" s="44"/>
      <c r="J449" s="44"/>
      <c r="K449" s="45"/>
      <c r="L449" s="1359"/>
      <c r="M449" s="45"/>
      <c r="N449" s="45"/>
      <c r="O449" s="45"/>
      <c r="P449" s="45"/>
      <c r="Q449" s="45"/>
      <c r="R449" s="45"/>
      <c r="S449" s="45"/>
      <c r="T449" s="45"/>
      <c r="U449" s="45"/>
    </row>
    <row r="450" spans="1:21" ht="18.75" x14ac:dyDescent="0.25">
      <c r="A450" s="208"/>
      <c r="B450" s="158"/>
      <c r="C450" s="158"/>
      <c r="D450" s="158"/>
      <c r="E450" s="209" t="s">
        <v>174</v>
      </c>
      <c r="F450" s="158"/>
      <c r="G450" s="180"/>
      <c r="H450" s="133" t="s">
        <v>46</v>
      </c>
      <c r="I450" s="44"/>
      <c r="J450" s="44"/>
      <c r="K450" s="45"/>
      <c r="L450" s="1359"/>
      <c r="M450" s="45"/>
      <c r="N450" s="45"/>
      <c r="O450" s="45"/>
      <c r="P450" s="45"/>
      <c r="Q450" s="45"/>
      <c r="R450" s="45"/>
      <c r="S450" s="45"/>
      <c r="T450" s="45"/>
      <c r="U450" s="45"/>
    </row>
    <row r="451" spans="1:21" ht="18.75" x14ac:dyDescent="0.25">
      <c r="A451" s="208"/>
      <c r="B451" s="158"/>
      <c r="C451" s="158"/>
      <c r="D451" s="158"/>
      <c r="E451" s="158"/>
      <c r="F451" s="158"/>
      <c r="G451" s="180"/>
      <c r="H451" s="133" t="s">
        <v>34</v>
      </c>
      <c r="I451" s="44"/>
      <c r="J451" s="44"/>
      <c r="K451" s="45"/>
      <c r="L451" s="1359"/>
      <c r="M451" s="45"/>
      <c r="N451" s="45"/>
      <c r="O451" s="45"/>
      <c r="P451" s="45"/>
      <c r="Q451" s="45"/>
      <c r="R451" s="45"/>
      <c r="S451" s="45"/>
      <c r="T451" s="45"/>
      <c r="U451" s="45"/>
    </row>
    <row r="452" spans="1:21" ht="18.75" x14ac:dyDescent="0.25">
      <c r="A452" s="208"/>
      <c r="B452" s="158"/>
      <c r="C452" s="158"/>
      <c r="D452" s="209" t="s">
        <v>175</v>
      </c>
      <c r="E452" s="158"/>
      <c r="F452" s="158"/>
      <c r="G452" s="180"/>
      <c r="H452" s="133" t="s">
        <v>46</v>
      </c>
      <c r="I452" s="44"/>
      <c r="J452" s="44"/>
      <c r="K452" s="45"/>
      <c r="L452" s="1359"/>
      <c r="M452" s="45"/>
      <c r="N452" s="45"/>
      <c r="O452" s="45"/>
      <c r="P452" s="45"/>
      <c r="Q452" s="45"/>
      <c r="R452" s="45"/>
      <c r="S452" s="45"/>
      <c r="T452" s="45"/>
      <c r="U452" s="45"/>
    </row>
    <row r="453" spans="1:21" ht="18.75" x14ac:dyDescent="0.25">
      <c r="A453" s="208"/>
      <c r="B453" s="158"/>
      <c r="C453" s="158"/>
      <c r="D453" s="158"/>
      <c r="E453" s="158"/>
      <c r="F453" s="158"/>
      <c r="G453" s="180"/>
      <c r="H453" s="133" t="s">
        <v>34</v>
      </c>
      <c r="I453" s="44"/>
      <c r="J453" s="44"/>
      <c r="K453" s="45"/>
      <c r="L453" s="1359"/>
      <c r="M453" s="45"/>
      <c r="N453" s="45"/>
      <c r="O453" s="45"/>
      <c r="P453" s="45"/>
      <c r="Q453" s="45"/>
      <c r="R453" s="45"/>
      <c r="S453" s="45"/>
      <c r="T453" s="45"/>
      <c r="U453" s="45"/>
    </row>
    <row r="454" spans="1:21" ht="18.75" x14ac:dyDescent="0.25">
      <c r="A454" s="208"/>
      <c r="B454" s="158"/>
      <c r="C454" s="158"/>
      <c r="D454" s="209" t="s">
        <v>176</v>
      </c>
      <c r="E454" s="158"/>
      <c r="F454" s="158"/>
      <c r="G454" s="180"/>
      <c r="H454" s="133" t="s">
        <v>46</v>
      </c>
      <c r="I454" s="44"/>
      <c r="J454" s="1540"/>
      <c r="K454" s="45"/>
      <c r="L454" s="1359"/>
      <c r="M454" s="45"/>
      <c r="N454" s="45"/>
      <c r="O454" s="45"/>
      <c r="P454" s="45"/>
      <c r="Q454" s="45"/>
      <c r="R454" s="45"/>
      <c r="S454" s="45"/>
      <c r="T454" s="45"/>
      <c r="U454" s="45"/>
    </row>
    <row r="455" spans="1:21" ht="18.75" x14ac:dyDescent="0.25">
      <c r="A455" s="208"/>
      <c r="B455" s="158"/>
      <c r="C455" s="158"/>
      <c r="D455" s="158"/>
      <c r="E455" s="158"/>
      <c r="F455" s="158"/>
      <c r="G455" s="180"/>
      <c r="H455" s="133" t="s">
        <v>34</v>
      </c>
      <c r="I455" s="44"/>
      <c r="J455" s="44"/>
      <c r="K455" s="45"/>
      <c r="L455" s="1359"/>
      <c r="M455" s="45"/>
      <c r="N455" s="45"/>
      <c r="O455" s="45"/>
      <c r="P455" s="45"/>
      <c r="Q455" s="45"/>
      <c r="R455" s="45"/>
      <c r="S455" s="45"/>
      <c r="T455" s="45"/>
      <c r="U455" s="45"/>
    </row>
    <row r="456" spans="1:21" ht="19.5" x14ac:dyDescent="0.3">
      <c r="A456" s="208"/>
      <c r="B456" s="161" t="s">
        <v>177</v>
      </c>
      <c r="C456" s="158"/>
      <c r="D456" s="158"/>
      <c r="E456" s="158"/>
      <c r="F456" s="158"/>
      <c r="G456" s="180"/>
      <c r="H456" s="323" t="s">
        <v>46</v>
      </c>
      <c r="I456" s="328">
        <f t="shared" ref="I456:J456" ca="1" si="291">I457</f>
        <v>0</v>
      </c>
      <c r="J456" s="328">
        <f t="shared" si="291"/>
        <v>0</v>
      </c>
      <c r="K456" s="1390">
        <f t="shared" ref="K456:K458" ca="1" si="292">IF(I456&gt;0,J456*100/I456,0)</f>
        <v>0</v>
      </c>
      <c r="L456" s="1359"/>
      <c r="M456" s="45"/>
      <c r="N456" s="45"/>
      <c r="O456" s="45"/>
      <c r="P456" s="45"/>
      <c r="Q456" s="45"/>
      <c r="R456" s="45"/>
      <c r="S456" s="45"/>
      <c r="T456" s="45"/>
      <c r="U456" s="45"/>
    </row>
    <row r="457" spans="1:21" ht="19.5" x14ac:dyDescent="0.3">
      <c r="A457" s="208"/>
      <c r="B457" s="158"/>
      <c r="C457" s="161" t="s">
        <v>178</v>
      </c>
      <c r="D457" s="158"/>
      <c r="E457" s="158"/>
      <c r="F457" s="158"/>
      <c r="G457" s="180"/>
      <c r="H457" s="131" t="s">
        <v>46</v>
      </c>
      <c r="I457" s="328">
        <f ca="1">IFERROR(__xludf.DUMMYFUNCTION("IMPORTRANGE(""https://docs.google.com/spreadsheets/d/1eHaY18a8A9IcSdp1K8H6x8fbOy06t2VsZHhMHf-1x7Y/edit?usp=sharing"",""แผน!HL25"")"),0)</f>
        <v>0</v>
      </c>
      <c r="J457" s="328">
        <f t="shared" ref="J457:J458" si="293">J459+J467+J473</f>
        <v>0</v>
      </c>
      <c r="K457" s="1390">
        <f t="shared" ca="1" si="292"/>
        <v>0</v>
      </c>
      <c r="L457" s="1359"/>
      <c r="M457" s="45"/>
      <c r="N457" s="45"/>
      <c r="O457" s="45"/>
      <c r="P457" s="45"/>
      <c r="Q457" s="45"/>
      <c r="R457" s="45"/>
      <c r="S457" s="45"/>
      <c r="T457" s="45"/>
      <c r="U457" s="45"/>
    </row>
    <row r="458" spans="1:21" ht="19.5" x14ac:dyDescent="0.3">
      <c r="A458" s="208"/>
      <c r="B458" s="158"/>
      <c r="C458" s="158"/>
      <c r="D458" s="158"/>
      <c r="E458" s="158"/>
      <c r="F458" s="158"/>
      <c r="G458" s="180"/>
      <c r="H458" s="131" t="s">
        <v>34</v>
      </c>
      <c r="I458" s="328">
        <f ca="1">IFERROR(__xludf.DUMMYFUNCTION("IMPORTRANGE(""https://docs.google.com/spreadsheets/d/1eHaY18a8A9IcSdp1K8H6x8fbOy06t2VsZHhMHf-1x7Y/edit?usp=sharing"",""แผน!HM25"")"),0)</f>
        <v>0</v>
      </c>
      <c r="J458" s="328">
        <f t="shared" si="293"/>
        <v>0</v>
      </c>
      <c r="K458" s="1390">
        <f t="shared" ca="1" si="292"/>
        <v>0</v>
      </c>
      <c r="L458" s="1359"/>
      <c r="M458" s="45"/>
      <c r="N458" s="45"/>
      <c r="O458" s="45"/>
      <c r="P458" s="45"/>
      <c r="Q458" s="45"/>
      <c r="R458" s="45"/>
      <c r="S458" s="45"/>
      <c r="T458" s="45"/>
      <c r="U458" s="45"/>
    </row>
    <row r="459" spans="1:21" ht="18.75" x14ac:dyDescent="0.25">
      <c r="A459" s="208"/>
      <c r="B459" s="158"/>
      <c r="C459" s="209" t="s">
        <v>179</v>
      </c>
      <c r="D459" s="158"/>
      <c r="E459" s="158"/>
      <c r="F459" s="158"/>
      <c r="G459" s="180"/>
      <c r="H459" s="133" t="s">
        <v>46</v>
      </c>
      <c r="I459" s="44"/>
      <c r="J459" s="184">
        <f t="shared" ref="J459:J460" si="294">J461+J463</f>
        <v>0</v>
      </c>
      <c r="K459" s="45"/>
      <c r="L459" s="1359"/>
      <c r="M459" s="45"/>
      <c r="N459" s="45"/>
      <c r="O459" s="45"/>
      <c r="P459" s="45"/>
      <c r="Q459" s="45"/>
      <c r="R459" s="45"/>
      <c r="S459" s="45"/>
      <c r="T459" s="45"/>
      <c r="U459" s="45"/>
    </row>
    <row r="460" spans="1:21" ht="18.75" x14ac:dyDescent="0.25">
      <c r="A460" s="208"/>
      <c r="B460" s="158"/>
      <c r="C460" s="158"/>
      <c r="D460" s="158"/>
      <c r="E460" s="158"/>
      <c r="F460" s="158"/>
      <c r="G460" s="180"/>
      <c r="H460" s="133" t="s">
        <v>34</v>
      </c>
      <c r="I460" s="44"/>
      <c r="J460" s="184">
        <f t="shared" si="294"/>
        <v>0</v>
      </c>
      <c r="K460" s="45"/>
      <c r="L460" s="1359"/>
      <c r="M460" s="45"/>
      <c r="N460" s="45"/>
      <c r="O460" s="45"/>
      <c r="P460" s="45"/>
      <c r="Q460" s="45"/>
      <c r="R460" s="45"/>
      <c r="S460" s="45"/>
      <c r="T460" s="45"/>
      <c r="U460" s="45"/>
    </row>
    <row r="461" spans="1:21" ht="18.75" x14ac:dyDescent="0.25">
      <c r="A461" s="208"/>
      <c r="B461" s="158"/>
      <c r="C461" s="158"/>
      <c r="D461" s="326" t="s">
        <v>180</v>
      </c>
      <c r="E461" s="158"/>
      <c r="F461" s="158"/>
      <c r="G461" s="180"/>
      <c r="H461" s="133" t="s">
        <v>46</v>
      </c>
      <c r="I461" s="44"/>
      <c r="J461" s="44"/>
      <c r="K461" s="45"/>
      <c r="L461" s="1359"/>
      <c r="M461" s="45"/>
      <c r="N461" s="45"/>
      <c r="O461" s="45"/>
      <c r="P461" s="45"/>
      <c r="Q461" s="45"/>
      <c r="R461" s="45"/>
      <c r="S461" s="45"/>
      <c r="T461" s="45"/>
      <c r="U461" s="45"/>
    </row>
    <row r="462" spans="1:21" ht="18.75" x14ac:dyDescent="0.25">
      <c r="A462" s="208"/>
      <c r="B462" s="158"/>
      <c r="C462" s="158"/>
      <c r="D462" s="158"/>
      <c r="E462" s="158"/>
      <c r="F462" s="158"/>
      <c r="G462" s="180"/>
      <c r="H462" s="133" t="s">
        <v>34</v>
      </c>
      <c r="I462" s="44"/>
      <c r="J462" s="44"/>
      <c r="K462" s="45"/>
      <c r="L462" s="1359"/>
      <c r="M462" s="45"/>
      <c r="N462" s="45"/>
      <c r="O462" s="45"/>
      <c r="P462" s="45"/>
      <c r="Q462" s="45"/>
      <c r="R462" s="45"/>
      <c r="S462" s="45"/>
      <c r="T462" s="45"/>
      <c r="U462" s="45"/>
    </row>
    <row r="463" spans="1:21" ht="18.75" x14ac:dyDescent="0.25">
      <c r="A463" s="208"/>
      <c r="B463" s="158"/>
      <c r="C463" s="158"/>
      <c r="D463" s="326" t="s">
        <v>181</v>
      </c>
      <c r="E463" s="158"/>
      <c r="F463" s="158"/>
      <c r="G463" s="180"/>
      <c r="H463" s="133" t="s">
        <v>46</v>
      </c>
      <c r="I463" s="44"/>
      <c r="J463" s="44"/>
      <c r="K463" s="45"/>
      <c r="L463" s="1359"/>
      <c r="M463" s="45"/>
      <c r="N463" s="45"/>
      <c r="O463" s="45"/>
      <c r="P463" s="45"/>
      <c r="Q463" s="45"/>
      <c r="R463" s="45"/>
      <c r="S463" s="45"/>
      <c r="T463" s="45"/>
      <c r="U463" s="45"/>
    </row>
    <row r="464" spans="1:21" ht="18.75" x14ac:dyDescent="0.25">
      <c r="A464" s="208"/>
      <c r="B464" s="158"/>
      <c r="C464" s="158"/>
      <c r="D464" s="158"/>
      <c r="E464" s="158"/>
      <c r="F464" s="158"/>
      <c r="G464" s="180"/>
      <c r="H464" s="133" t="s">
        <v>34</v>
      </c>
      <c r="I464" s="44"/>
      <c r="J464" s="44"/>
      <c r="K464" s="45"/>
      <c r="L464" s="1359"/>
      <c r="M464" s="45"/>
      <c r="N464" s="45"/>
      <c r="O464" s="45"/>
      <c r="P464" s="45"/>
      <c r="Q464" s="45"/>
      <c r="R464" s="45"/>
      <c r="S464" s="45"/>
      <c r="T464" s="45"/>
      <c r="U464" s="45"/>
    </row>
    <row r="465" spans="1:21" ht="18.75" x14ac:dyDescent="0.25">
      <c r="A465" s="208"/>
      <c r="B465" s="158"/>
      <c r="C465" s="158"/>
      <c r="D465" s="326" t="s">
        <v>182</v>
      </c>
      <c r="E465" s="158"/>
      <c r="F465" s="158"/>
      <c r="G465" s="180"/>
      <c r="H465" s="133" t="s">
        <v>46</v>
      </c>
      <c r="I465" s="44"/>
      <c r="J465" s="44"/>
      <c r="K465" s="45"/>
      <c r="L465" s="1359"/>
      <c r="M465" s="45"/>
      <c r="N465" s="45"/>
      <c r="O465" s="45"/>
      <c r="P465" s="45"/>
      <c r="Q465" s="45"/>
      <c r="R465" s="45"/>
      <c r="S465" s="45"/>
      <c r="T465" s="45"/>
      <c r="U465" s="45"/>
    </row>
    <row r="466" spans="1:21" ht="18.75" x14ac:dyDescent="0.25">
      <c r="A466" s="208"/>
      <c r="B466" s="158"/>
      <c r="C466" s="158"/>
      <c r="D466" s="158"/>
      <c r="E466" s="158"/>
      <c r="F466" s="158"/>
      <c r="G466" s="180"/>
      <c r="H466" s="133" t="s">
        <v>34</v>
      </c>
      <c r="I466" s="44"/>
      <c r="J466" s="44"/>
      <c r="K466" s="45"/>
      <c r="L466" s="1359"/>
      <c r="M466" s="45"/>
      <c r="N466" s="45"/>
      <c r="O466" s="45"/>
      <c r="P466" s="45"/>
      <c r="Q466" s="45"/>
      <c r="R466" s="45"/>
      <c r="S466" s="45"/>
      <c r="T466" s="45"/>
      <c r="U466" s="45"/>
    </row>
    <row r="467" spans="1:21" ht="18.75" x14ac:dyDescent="0.25">
      <c r="A467" s="208"/>
      <c r="B467" s="158"/>
      <c r="C467" s="326" t="s">
        <v>183</v>
      </c>
      <c r="D467" s="158"/>
      <c r="E467" s="158"/>
      <c r="F467" s="158"/>
      <c r="G467" s="180"/>
      <c r="H467" s="133" t="s">
        <v>46</v>
      </c>
      <c r="I467" s="44"/>
      <c r="J467" s="184">
        <f t="shared" ref="J467:J468" si="295">J469+J471</f>
        <v>0</v>
      </c>
      <c r="K467" s="45"/>
      <c r="L467" s="1359"/>
      <c r="M467" s="45"/>
      <c r="N467" s="45"/>
      <c r="O467" s="45"/>
      <c r="P467" s="45"/>
      <c r="Q467" s="45"/>
      <c r="R467" s="45"/>
      <c r="S467" s="45"/>
      <c r="T467" s="45"/>
      <c r="U467" s="45"/>
    </row>
    <row r="468" spans="1:21" ht="18.75" x14ac:dyDescent="0.25">
      <c r="A468" s="208"/>
      <c r="B468" s="158"/>
      <c r="C468" s="158"/>
      <c r="D468" s="158"/>
      <c r="E468" s="158"/>
      <c r="F468" s="158"/>
      <c r="G468" s="180"/>
      <c r="H468" s="133" t="s">
        <v>34</v>
      </c>
      <c r="I468" s="44"/>
      <c r="J468" s="184">
        <f t="shared" si="295"/>
        <v>0</v>
      </c>
      <c r="K468" s="45"/>
      <c r="L468" s="1359"/>
      <c r="M468" s="45"/>
      <c r="N468" s="45"/>
      <c r="O468" s="45"/>
      <c r="P468" s="45"/>
      <c r="Q468" s="45"/>
      <c r="R468" s="45"/>
      <c r="S468" s="45"/>
      <c r="T468" s="45"/>
      <c r="U468" s="45"/>
    </row>
    <row r="469" spans="1:21" ht="18.75" x14ac:dyDescent="0.25">
      <c r="A469" s="208"/>
      <c r="B469" s="158"/>
      <c r="C469" s="158"/>
      <c r="D469" s="326" t="s">
        <v>184</v>
      </c>
      <c r="E469" s="158"/>
      <c r="F469" s="158"/>
      <c r="G469" s="180"/>
      <c r="H469" s="133" t="s">
        <v>46</v>
      </c>
      <c r="I469" s="44"/>
      <c r="J469" s="44"/>
      <c r="K469" s="45"/>
      <c r="L469" s="1359"/>
      <c r="M469" s="45"/>
      <c r="N469" s="45"/>
      <c r="O469" s="45"/>
      <c r="P469" s="45"/>
      <c r="Q469" s="45"/>
      <c r="R469" s="45"/>
      <c r="S469" s="45"/>
      <c r="T469" s="45"/>
      <c r="U469" s="45"/>
    </row>
    <row r="470" spans="1:21" ht="18.75" x14ac:dyDescent="0.25">
      <c r="A470" s="208"/>
      <c r="B470" s="158"/>
      <c r="C470" s="158"/>
      <c r="D470" s="158"/>
      <c r="E470" s="158"/>
      <c r="F470" s="158"/>
      <c r="G470" s="180"/>
      <c r="H470" s="133" t="s">
        <v>34</v>
      </c>
      <c r="I470" s="44"/>
      <c r="J470" s="44"/>
      <c r="K470" s="45"/>
      <c r="L470" s="1359"/>
      <c r="M470" s="45"/>
      <c r="N470" s="45"/>
      <c r="O470" s="45"/>
      <c r="P470" s="45"/>
      <c r="Q470" s="45"/>
      <c r="R470" s="45"/>
      <c r="S470" s="45"/>
      <c r="T470" s="45"/>
      <c r="U470" s="45"/>
    </row>
    <row r="471" spans="1:21" ht="18.75" x14ac:dyDescent="0.25">
      <c r="A471" s="208"/>
      <c r="B471" s="158"/>
      <c r="C471" s="158"/>
      <c r="D471" s="326" t="s">
        <v>185</v>
      </c>
      <c r="E471" s="158"/>
      <c r="F471" s="158"/>
      <c r="G471" s="180"/>
      <c r="H471" s="133" t="s">
        <v>46</v>
      </c>
      <c r="I471" s="44"/>
      <c r="J471" s="44"/>
      <c r="K471" s="45"/>
      <c r="L471" s="1359"/>
      <c r="M471" s="45"/>
      <c r="N471" s="45"/>
      <c r="O471" s="45"/>
      <c r="P471" s="45"/>
      <c r="Q471" s="45"/>
      <c r="R471" s="45"/>
      <c r="S471" s="45"/>
      <c r="T471" s="45"/>
      <c r="U471" s="45"/>
    </row>
    <row r="472" spans="1:21" ht="18.75" x14ac:dyDescent="0.25">
      <c r="A472" s="208"/>
      <c r="B472" s="158"/>
      <c r="C472" s="158"/>
      <c r="D472" s="158"/>
      <c r="E472" s="158"/>
      <c r="F472" s="158"/>
      <c r="G472" s="180"/>
      <c r="H472" s="133" t="s">
        <v>34</v>
      </c>
      <c r="I472" s="44"/>
      <c r="J472" s="44"/>
      <c r="K472" s="45"/>
      <c r="L472" s="1359"/>
      <c r="M472" s="45"/>
      <c r="N472" s="45"/>
      <c r="O472" s="45"/>
      <c r="P472" s="45"/>
      <c r="Q472" s="45"/>
      <c r="R472" s="45"/>
      <c r="S472" s="45"/>
      <c r="T472" s="45"/>
      <c r="U472" s="45"/>
    </row>
    <row r="473" spans="1:21" ht="18.75" x14ac:dyDescent="0.25">
      <c r="A473" s="208"/>
      <c r="B473" s="158"/>
      <c r="C473" s="209" t="s">
        <v>186</v>
      </c>
      <c r="D473" s="158"/>
      <c r="E473" s="158"/>
      <c r="F473" s="158"/>
      <c r="G473" s="180"/>
      <c r="H473" s="133" t="s">
        <v>46</v>
      </c>
      <c r="I473" s="44"/>
      <c r="J473" s="44"/>
      <c r="K473" s="45"/>
      <c r="L473" s="1359"/>
      <c r="M473" s="45"/>
      <c r="N473" s="45"/>
      <c r="O473" s="45"/>
      <c r="P473" s="45"/>
      <c r="Q473" s="45"/>
      <c r="R473" s="45"/>
      <c r="S473" s="45"/>
      <c r="T473" s="45"/>
      <c r="U473" s="45"/>
    </row>
    <row r="474" spans="1:21" ht="18.75" x14ac:dyDescent="0.25">
      <c r="A474" s="208"/>
      <c r="B474" s="158"/>
      <c r="C474" s="158"/>
      <c r="D474" s="158"/>
      <c r="E474" s="158"/>
      <c r="F474" s="158"/>
      <c r="G474" s="180"/>
      <c r="H474" s="133" t="s">
        <v>34</v>
      </c>
      <c r="I474" s="44"/>
      <c r="J474" s="44"/>
      <c r="K474" s="45"/>
      <c r="L474" s="1359"/>
      <c r="M474" s="45"/>
      <c r="N474" s="45"/>
      <c r="O474" s="45"/>
      <c r="P474" s="45"/>
      <c r="Q474" s="45"/>
      <c r="R474" s="45"/>
      <c r="S474" s="45"/>
      <c r="T474" s="45"/>
      <c r="U474" s="45"/>
    </row>
    <row r="475" spans="1:21" ht="19.5" x14ac:dyDescent="0.3">
      <c r="A475" s="208"/>
      <c r="B475" s="327" t="s">
        <v>187</v>
      </c>
      <c r="C475" s="158"/>
      <c r="D475" s="158"/>
      <c r="E475" s="158"/>
      <c r="F475" s="158"/>
      <c r="G475" s="180"/>
      <c r="H475" s="131" t="s">
        <v>46</v>
      </c>
      <c r="I475" s="328">
        <v>0</v>
      </c>
      <c r="J475" s="328">
        <f>J478+J480</f>
        <v>0</v>
      </c>
      <c r="K475" s="1390">
        <f t="shared" ref="K475:K477" si="296">IF(I475&gt;0,J475*100/I475,0)</f>
        <v>0</v>
      </c>
      <c r="L475" s="1359"/>
      <c r="M475" s="45"/>
      <c r="N475" s="45"/>
      <c r="O475" s="45"/>
      <c r="P475" s="45"/>
      <c r="Q475" s="45"/>
      <c r="R475" s="45"/>
      <c r="S475" s="45"/>
      <c r="T475" s="45"/>
      <c r="U475" s="45"/>
    </row>
    <row r="476" spans="1:21" ht="19.5" x14ac:dyDescent="0.3">
      <c r="A476" s="208"/>
      <c r="B476" s="158"/>
      <c r="C476" s="161" t="s">
        <v>188</v>
      </c>
      <c r="D476" s="158"/>
      <c r="E476" s="158"/>
      <c r="F476" s="158"/>
      <c r="G476" s="180"/>
      <c r="H476" s="131" t="s">
        <v>46</v>
      </c>
      <c r="I476" s="328">
        <v>0</v>
      </c>
      <c r="J476" s="328">
        <f t="shared" ref="J476:J477" si="297">J478+J480</f>
        <v>0</v>
      </c>
      <c r="K476" s="1390">
        <f t="shared" si="296"/>
        <v>0</v>
      </c>
      <c r="L476" s="1359"/>
      <c r="M476" s="45"/>
      <c r="N476" s="45"/>
      <c r="O476" s="45"/>
      <c r="P476" s="45"/>
      <c r="Q476" s="45"/>
      <c r="R476" s="45"/>
      <c r="S476" s="45"/>
      <c r="T476" s="45"/>
      <c r="U476" s="45"/>
    </row>
    <row r="477" spans="1:21" ht="19.5" x14ac:dyDescent="0.3">
      <c r="A477" s="208"/>
      <c r="B477" s="158"/>
      <c r="C477" s="209" t="s">
        <v>189</v>
      </c>
      <c r="D477" s="158"/>
      <c r="E477" s="158"/>
      <c r="F477" s="158"/>
      <c r="G477" s="180"/>
      <c r="H477" s="131" t="s">
        <v>34</v>
      </c>
      <c r="I477" s="328">
        <v>0</v>
      </c>
      <c r="J477" s="328">
        <f t="shared" si="297"/>
        <v>0</v>
      </c>
      <c r="K477" s="1390">
        <f t="shared" si="296"/>
        <v>0</v>
      </c>
      <c r="L477" s="1359"/>
      <c r="M477" s="45"/>
      <c r="N477" s="45"/>
      <c r="O477" s="45"/>
      <c r="P477" s="45"/>
      <c r="Q477" s="45"/>
      <c r="R477" s="45"/>
      <c r="S477" s="45"/>
      <c r="T477" s="45"/>
      <c r="U477" s="45"/>
    </row>
    <row r="478" spans="1:21" ht="18.75" x14ac:dyDescent="0.25">
      <c r="A478" s="208"/>
      <c r="B478" s="158"/>
      <c r="C478" s="158"/>
      <c r="D478" s="209" t="s">
        <v>190</v>
      </c>
      <c r="E478" s="158"/>
      <c r="F478" s="158"/>
      <c r="G478" s="180"/>
      <c r="H478" s="133" t="s">
        <v>46</v>
      </c>
      <c r="I478" s="44"/>
      <c r="J478" s="44"/>
      <c r="K478" s="45"/>
      <c r="L478" s="1359"/>
      <c r="M478" s="45"/>
      <c r="N478" s="45"/>
      <c r="O478" s="45"/>
      <c r="P478" s="45"/>
      <c r="Q478" s="45"/>
      <c r="R478" s="45"/>
      <c r="S478" s="45"/>
      <c r="T478" s="45"/>
      <c r="U478" s="45"/>
    </row>
    <row r="479" spans="1:21" ht="18.75" x14ac:dyDescent="0.25">
      <c r="A479" s="208"/>
      <c r="B479" s="158"/>
      <c r="C479" s="158"/>
      <c r="D479" s="158"/>
      <c r="E479" s="158"/>
      <c r="F479" s="158"/>
      <c r="G479" s="180"/>
      <c r="H479" s="133" t="s">
        <v>34</v>
      </c>
      <c r="I479" s="44"/>
      <c r="J479" s="44"/>
      <c r="K479" s="45"/>
      <c r="L479" s="1359"/>
      <c r="M479" s="45"/>
      <c r="N479" s="45"/>
      <c r="O479" s="45"/>
      <c r="P479" s="45"/>
      <c r="Q479" s="45"/>
      <c r="R479" s="45"/>
      <c r="S479" s="45"/>
      <c r="T479" s="45"/>
      <c r="U479" s="45"/>
    </row>
    <row r="480" spans="1:21" ht="18.75" x14ac:dyDescent="0.25">
      <c r="A480" s="208"/>
      <c r="B480" s="158"/>
      <c r="C480" s="158"/>
      <c r="D480" s="326" t="s">
        <v>191</v>
      </c>
      <c r="E480" s="158"/>
      <c r="F480" s="158"/>
      <c r="G480" s="180"/>
      <c r="H480" s="133" t="s">
        <v>46</v>
      </c>
      <c r="I480" s="44"/>
      <c r="J480" s="44"/>
      <c r="K480" s="45"/>
      <c r="L480" s="1359"/>
      <c r="M480" s="45"/>
      <c r="N480" s="45"/>
      <c r="O480" s="45"/>
      <c r="P480" s="45"/>
      <c r="Q480" s="45"/>
      <c r="R480" s="45"/>
      <c r="S480" s="45"/>
      <c r="T480" s="45"/>
      <c r="U480" s="45"/>
    </row>
    <row r="481" spans="1:21" ht="18.75" x14ac:dyDescent="0.25">
      <c r="A481" s="208"/>
      <c r="B481" s="158"/>
      <c r="C481" s="158"/>
      <c r="D481" s="158"/>
      <c r="E481" s="158"/>
      <c r="F481" s="158"/>
      <c r="G481" s="180"/>
      <c r="H481" s="133" t="s">
        <v>34</v>
      </c>
      <c r="I481" s="44"/>
      <c r="J481" s="44"/>
      <c r="K481" s="45"/>
      <c r="L481" s="1359"/>
      <c r="M481" s="45"/>
      <c r="N481" s="45"/>
      <c r="O481" s="45"/>
      <c r="P481" s="45"/>
      <c r="Q481" s="45"/>
      <c r="R481" s="45"/>
      <c r="S481" s="45"/>
      <c r="T481" s="45"/>
      <c r="U481" s="45"/>
    </row>
    <row r="482" spans="1:21" ht="18.75" x14ac:dyDescent="0.25">
      <c r="A482" s="208"/>
      <c r="B482" s="158"/>
      <c r="C482" s="158"/>
      <c r="D482" s="326" t="s">
        <v>192</v>
      </c>
      <c r="E482" s="158"/>
      <c r="F482" s="158"/>
      <c r="G482" s="180"/>
      <c r="H482" s="133" t="s">
        <v>46</v>
      </c>
      <c r="I482" s="44"/>
      <c r="J482" s="184">
        <f ca="1">IFERROR(__xludf.DUMMYFUNCTION("IMPORTRANGE(""https://docs.google.com/spreadsheets/d/1eHaY18a8A9IcSdp1K8H6x8fbOy06t2VsZHhMHf-1x7Y/edit?usp=sharing"",""แผน!HN25"")"),0)</f>
        <v>0</v>
      </c>
      <c r="K482" s="45"/>
      <c r="L482" s="1359"/>
      <c r="M482" s="45"/>
      <c r="N482" s="45"/>
      <c r="O482" s="45"/>
      <c r="P482" s="45"/>
      <c r="Q482" s="45"/>
      <c r="R482" s="45"/>
      <c r="S482" s="45"/>
      <c r="T482" s="45"/>
      <c r="U482" s="45"/>
    </row>
    <row r="483" spans="1:21" ht="18.75" x14ac:dyDescent="0.25">
      <c r="A483" s="208"/>
      <c r="B483" s="158"/>
      <c r="C483" s="158"/>
      <c r="D483" s="158"/>
      <c r="E483" s="158"/>
      <c r="F483" s="158"/>
      <c r="G483" s="180"/>
      <c r="H483" s="133" t="s">
        <v>34</v>
      </c>
      <c r="I483" s="44"/>
      <c r="J483" s="184">
        <f ca="1">IFERROR(__xludf.DUMMYFUNCTION("IMPORTRANGE(""https://docs.google.com/spreadsheets/d/1eHaY18a8A9IcSdp1K8H6x8fbOy06t2VsZHhMHf-1x7Y/edit?usp=sharing"",""แผน!HO25"")"),0)</f>
        <v>0</v>
      </c>
      <c r="K483" s="45"/>
      <c r="L483" s="1359"/>
      <c r="M483" s="45"/>
      <c r="N483" s="45"/>
      <c r="O483" s="45"/>
      <c r="P483" s="45"/>
      <c r="Q483" s="45"/>
      <c r="R483" s="45"/>
      <c r="S483" s="45"/>
      <c r="T483" s="45"/>
      <c r="U483" s="45"/>
    </row>
    <row r="484" spans="1:21" ht="19.5" x14ac:dyDescent="0.3">
      <c r="A484" s="208"/>
      <c r="B484" s="158"/>
      <c r="C484" s="161" t="s">
        <v>193</v>
      </c>
      <c r="D484" s="158"/>
      <c r="E484" s="158"/>
      <c r="F484" s="158"/>
      <c r="G484" s="180"/>
      <c r="H484" s="131" t="s">
        <v>46</v>
      </c>
      <c r="I484" s="44">
        <f t="shared" ref="I484:I485" si="298">J480</f>
        <v>0</v>
      </c>
      <c r="J484" s="328">
        <f t="shared" ref="J484:J485" si="299">J486+J488+J490</f>
        <v>0</v>
      </c>
      <c r="K484" s="1390">
        <f t="shared" ref="K484:K485" si="300">IF(I484&gt;0,J484*100/I484,0)</f>
        <v>0</v>
      </c>
      <c r="L484" s="1359"/>
      <c r="M484" s="45"/>
      <c r="N484" s="45"/>
      <c r="O484" s="45"/>
      <c r="P484" s="45"/>
      <c r="Q484" s="45"/>
      <c r="R484" s="45"/>
      <c r="S484" s="45"/>
      <c r="T484" s="45"/>
      <c r="U484" s="45"/>
    </row>
    <row r="485" spans="1:21" ht="19.5" x14ac:dyDescent="0.3">
      <c r="A485" s="208"/>
      <c r="B485" s="158"/>
      <c r="C485" s="209" t="s">
        <v>194</v>
      </c>
      <c r="D485" s="158"/>
      <c r="E485" s="158"/>
      <c r="F485" s="158"/>
      <c r="G485" s="180"/>
      <c r="H485" s="131" t="s">
        <v>34</v>
      </c>
      <c r="I485" s="44">
        <f t="shared" si="298"/>
        <v>0</v>
      </c>
      <c r="J485" s="328">
        <f t="shared" si="299"/>
        <v>0</v>
      </c>
      <c r="K485" s="1390">
        <f t="shared" si="300"/>
        <v>0</v>
      </c>
      <c r="L485" s="1359"/>
      <c r="M485" s="45"/>
      <c r="N485" s="45"/>
      <c r="O485" s="45"/>
      <c r="P485" s="45"/>
      <c r="Q485" s="45"/>
      <c r="R485" s="45"/>
      <c r="S485" s="45"/>
      <c r="T485" s="45"/>
      <c r="U485" s="45"/>
    </row>
    <row r="486" spans="1:21" ht="18.75" x14ac:dyDescent="0.25">
      <c r="A486" s="208"/>
      <c r="B486" s="158"/>
      <c r="C486" s="158"/>
      <c r="D486" s="326" t="s">
        <v>195</v>
      </c>
      <c r="E486" s="158"/>
      <c r="F486" s="158"/>
      <c r="G486" s="180"/>
      <c r="H486" s="133" t="s">
        <v>46</v>
      </c>
      <c r="I486" s="44"/>
      <c r="J486" s="44"/>
      <c r="K486" s="45"/>
      <c r="L486" s="1359"/>
      <c r="M486" s="45"/>
      <c r="N486" s="45"/>
      <c r="O486" s="45"/>
      <c r="P486" s="45"/>
      <c r="Q486" s="45"/>
      <c r="R486" s="45"/>
      <c r="S486" s="45"/>
      <c r="T486" s="45"/>
      <c r="U486" s="45"/>
    </row>
    <row r="487" spans="1:21" ht="18.75" x14ac:dyDescent="0.25">
      <c r="A487" s="208"/>
      <c r="B487" s="158"/>
      <c r="C487" s="158"/>
      <c r="D487" s="158"/>
      <c r="E487" s="158"/>
      <c r="F487" s="158"/>
      <c r="G487" s="180"/>
      <c r="H487" s="133" t="s">
        <v>34</v>
      </c>
      <c r="I487" s="44"/>
      <c r="J487" s="44"/>
      <c r="K487" s="45"/>
      <c r="L487" s="1359"/>
      <c r="M487" s="45"/>
      <c r="N487" s="45"/>
      <c r="O487" s="45"/>
      <c r="P487" s="45"/>
      <c r="Q487" s="45"/>
      <c r="R487" s="45"/>
      <c r="S487" s="45"/>
      <c r="T487" s="45"/>
      <c r="U487" s="45"/>
    </row>
    <row r="488" spans="1:21" ht="18.75" x14ac:dyDescent="0.25">
      <c r="A488" s="208"/>
      <c r="B488" s="158"/>
      <c r="C488" s="158"/>
      <c r="D488" s="326" t="s">
        <v>196</v>
      </c>
      <c r="E488" s="158"/>
      <c r="F488" s="158"/>
      <c r="G488" s="180"/>
      <c r="H488" s="133" t="s">
        <v>46</v>
      </c>
      <c r="I488" s="44"/>
      <c r="J488" s="44"/>
      <c r="K488" s="45"/>
      <c r="L488" s="1359"/>
      <c r="M488" s="45"/>
      <c r="N488" s="45"/>
      <c r="O488" s="45"/>
      <c r="P488" s="45"/>
      <c r="Q488" s="45"/>
      <c r="R488" s="45"/>
      <c r="S488" s="45"/>
      <c r="T488" s="45"/>
      <c r="U488" s="45"/>
    </row>
    <row r="489" spans="1:21" ht="18.75" x14ac:dyDescent="0.25">
      <c r="A489" s="208"/>
      <c r="B489" s="158"/>
      <c r="C489" s="158"/>
      <c r="D489" s="158"/>
      <c r="E489" s="158"/>
      <c r="F489" s="158"/>
      <c r="G489" s="180"/>
      <c r="H489" s="133" t="s">
        <v>34</v>
      </c>
      <c r="I489" s="44"/>
      <c r="J489" s="44"/>
      <c r="K489" s="45"/>
      <c r="L489" s="1359"/>
      <c r="M489" s="45"/>
      <c r="N489" s="45"/>
      <c r="O489" s="45"/>
      <c r="P489" s="45"/>
      <c r="Q489" s="45"/>
      <c r="R489" s="45"/>
      <c r="S489" s="45"/>
      <c r="T489" s="45"/>
      <c r="U489" s="45"/>
    </row>
    <row r="490" spans="1:21" ht="18.75" x14ac:dyDescent="0.25">
      <c r="A490" s="208"/>
      <c r="B490" s="158"/>
      <c r="C490" s="158"/>
      <c r="D490" s="326" t="s">
        <v>197</v>
      </c>
      <c r="E490" s="158"/>
      <c r="F490" s="158"/>
      <c r="G490" s="180"/>
      <c r="H490" s="133" t="s">
        <v>46</v>
      </c>
      <c r="I490" s="44"/>
      <c r="J490" s="44"/>
      <c r="K490" s="45"/>
      <c r="L490" s="1359"/>
      <c r="M490" s="45"/>
      <c r="N490" s="45"/>
      <c r="O490" s="45"/>
      <c r="P490" s="45"/>
      <c r="Q490" s="45"/>
      <c r="R490" s="45"/>
      <c r="S490" s="45"/>
      <c r="T490" s="45"/>
      <c r="U490" s="45"/>
    </row>
    <row r="491" spans="1:21" ht="18.75" x14ac:dyDescent="0.25">
      <c r="A491" s="329"/>
      <c r="B491" s="2"/>
      <c r="C491" s="2"/>
      <c r="D491" s="2"/>
      <c r="E491" s="2"/>
      <c r="F491" s="2"/>
      <c r="G491" s="330"/>
      <c r="H491" s="331" t="s">
        <v>34</v>
      </c>
      <c r="I491" s="54"/>
      <c r="J491" s="54"/>
      <c r="K491" s="3"/>
      <c r="L491" s="1360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9.5" x14ac:dyDescent="0.3">
      <c r="A492" s="299"/>
      <c r="B492" s="310" t="s">
        <v>198</v>
      </c>
      <c r="C492" s="301"/>
      <c r="D492" s="301"/>
      <c r="E492" s="293"/>
      <c r="F492" s="293"/>
      <c r="G492" s="294"/>
      <c r="H492" s="321" t="s">
        <v>35</v>
      </c>
      <c r="I492" s="1501">
        <f t="shared" ref="I492:J492" ca="1" si="301">I503</f>
        <v>0</v>
      </c>
      <c r="J492" s="1501">
        <f t="shared" ca="1" si="301"/>
        <v>0</v>
      </c>
      <c r="K492" s="1502">
        <f ca="1">IF(I492&gt;0,J492*100/I492,0)</f>
        <v>0</v>
      </c>
      <c r="L492" s="1503"/>
      <c r="M492" s="298"/>
      <c r="N492" s="298"/>
      <c r="O492" s="298"/>
      <c r="P492" s="298"/>
      <c r="Q492" s="298"/>
      <c r="R492" s="298"/>
      <c r="S492" s="298"/>
      <c r="T492" s="298"/>
      <c r="U492" s="298"/>
    </row>
    <row r="493" spans="1:21" ht="19.5" x14ac:dyDescent="0.3">
      <c r="A493" s="128"/>
      <c r="B493" s="158"/>
      <c r="C493" s="177" t="s">
        <v>18</v>
      </c>
      <c r="D493" s="1538" t="s">
        <v>19</v>
      </c>
      <c r="E493" s="1292"/>
      <c r="F493" s="1292"/>
      <c r="G493" s="42"/>
      <c r="H493" s="221" t="s">
        <v>14</v>
      </c>
      <c r="I493" s="44"/>
      <c r="J493" s="44"/>
      <c r="K493" s="45"/>
      <c r="L493" s="1389">
        <f t="shared" ref="L493:N493" ca="1" si="302">L494+L495</f>
        <v>0</v>
      </c>
      <c r="M493" s="1390">
        <f t="shared" ca="1" si="302"/>
        <v>0</v>
      </c>
      <c r="N493" s="1390">
        <f t="shared" ca="1" si="302"/>
        <v>0</v>
      </c>
      <c r="O493" s="1390">
        <f t="shared" ref="O493:O501" ca="1" si="303">IF(L493&gt;0,N493*100/L493,0)</f>
        <v>0</v>
      </c>
      <c r="P493" s="1390">
        <f t="shared" ref="P493:P501" ca="1" si="304">IF(M493&gt;0,N493*100/M493,0)</f>
        <v>0</v>
      </c>
      <c r="Q493" s="1390">
        <f t="shared" ref="Q493:S493" ca="1" si="305">Q494+Q495</f>
        <v>0</v>
      </c>
      <c r="R493" s="1390">
        <f t="shared" ca="1" si="305"/>
        <v>0</v>
      </c>
      <c r="S493" s="1390">
        <f t="shared" ca="1" si="305"/>
        <v>0</v>
      </c>
      <c r="T493" s="1390">
        <f t="shared" ref="T493:T501" ca="1" si="306">IF(Q493&gt;0,S493*100/Q493,0)</f>
        <v>0</v>
      </c>
      <c r="U493" s="1390">
        <f t="shared" ref="U493:U501" ca="1" si="307">IF(R493&gt;0,S493*100/R493,0)</f>
        <v>0</v>
      </c>
    </row>
    <row r="494" spans="1:21" ht="18.75" x14ac:dyDescent="0.25">
      <c r="A494" s="128"/>
      <c r="B494" s="158"/>
      <c r="C494" s="158"/>
      <c r="D494" s="139"/>
      <c r="E494" s="156" t="s">
        <v>158</v>
      </c>
      <c r="F494" s="40"/>
      <c r="G494" s="42"/>
      <c r="H494" s="159" t="s">
        <v>14</v>
      </c>
      <c r="I494" s="44"/>
      <c r="J494" s="44"/>
      <c r="K494" s="45"/>
      <c r="L494" s="1358">
        <f t="shared" ref="L494:N495" si="308">L497+L500</f>
        <v>0</v>
      </c>
      <c r="M494" s="83">
        <f t="shared" si="308"/>
        <v>0</v>
      </c>
      <c r="N494" s="83">
        <f t="shared" si="308"/>
        <v>0</v>
      </c>
      <c r="O494" s="83">
        <f t="shared" si="303"/>
        <v>0</v>
      </c>
      <c r="P494" s="83">
        <f t="shared" si="304"/>
        <v>0</v>
      </c>
      <c r="Q494" s="83">
        <f t="shared" ref="Q494:S495" si="309">Q497+Q500</f>
        <v>0</v>
      </c>
      <c r="R494" s="83">
        <f t="shared" si="309"/>
        <v>0</v>
      </c>
      <c r="S494" s="83">
        <f t="shared" si="309"/>
        <v>0</v>
      </c>
      <c r="T494" s="83">
        <f t="shared" si="306"/>
        <v>0</v>
      </c>
      <c r="U494" s="83">
        <f t="shared" si="307"/>
        <v>0</v>
      </c>
    </row>
    <row r="495" spans="1:21" ht="18.75" x14ac:dyDescent="0.25">
      <c r="A495" s="128"/>
      <c r="B495" s="158"/>
      <c r="C495" s="158"/>
      <c r="D495" s="139"/>
      <c r="E495" s="47" t="s">
        <v>159</v>
      </c>
      <c r="F495" s="40"/>
      <c r="G495" s="42"/>
      <c r="H495" s="134" t="s">
        <v>14</v>
      </c>
      <c r="I495" s="44"/>
      <c r="J495" s="44"/>
      <c r="K495" s="45"/>
      <c r="L495" s="1356">
        <f t="shared" ca="1" si="308"/>
        <v>0</v>
      </c>
      <c r="M495" s="224">
        <f t="shared" ca="1" si="308"/>
        <v>0</v>
      </c>
      <c r="N495" s="224">
        <f t="shared" ca="1" si="308"/>
        <v>0</v>
      </c>
      <c r="O495" s="224">
        <f t="shared" ca="1" si="303"/>
        <v>0</v>
      </c>
      <c r="P495" s="224">
        <f t="shared" ca="1" si="304"/>
        <v>0</v>
      </c>
      <c r="Q495" s="224">
        <f t="shared" ca="1" si="309"/>
        <v>0</v>
      </c>
      <c r="R495" s="224">
        <f t="shared" ca="1" si="309"/>
        <v>0</v>
      </c>
      <c r="S495" s="224">
        <f t="shared" ca="1" si="309"/>
        <v>0</v>
      </c>
      <c r="T495" s="224">
        <f t="shared" ca="1" si="306"/>
        <v>0</v>
      </c>
      <c r="U495" s="224">
        <f t="shared" ca="1" si="307"/>
        <v>0</v>
      </c>
    </row>
    <row r="496" spans="1:21" ht="18.75" x14ac:dyDescent="0.25">
      <c r="A496" s="128"/>
      <c r="B496" s="158"/>
      <c r="C496" s="158"/>
      <c r="D496" s="1406" t="s">
        <v>22</v>
      </c>
      <c r="E496" s="40"/>
      <c r="F496" s="40"/>
      <c r="G496" s="42"/>
      <c r="H496" s="134" t="s">
        <v>14</v>
      </c>
      <c r="I496" s="135"/>
      <c r="J496" s="135"/>
      <c r="K496" s="136"/>
      <c r="L496" s="1356">
        <f t="shared" ref="L496:N496" ca="1" si="310">L497+L498</f>
        <v>0</v>
      </c>
      <c r="M496" s="224">
        <f t="shared" ca="1" si="310"/>
        <v>0</v>
      </c>
      <c r="N496" s="224">
        <f t="shared" ca="1" si="310"/>
        <v>0</v>
      </c>
      <c r="O496" s="224">
        <f t="shared" ca="1" si="303"/>
        <v>0</v>
      </c>
      <c r="P496" s="224">
        <f t="shared" ca="1" si="304"/>
        <v>0</v>
      </c>
      <c r="Q496" s="224">
        <f t="shared" ref="Q496:S496" ca="1" si="311">Q497+Q498</f>
        <v>0</v>
      </c>
      <c r="R496" s="224">
        <f t="shared" ca="1" si="311"/>
        <v>0</v>
      </c>
      <c r="S496" s="224">
        <f t="shared" ca="1" si="311"/>
        <v>0</v>
      </c>
      <c r="T496" s="224">
        <f t="shared" ca="1" si="306"/>
        <v>0</v>
      </c>
      <c r="U496" s="224">
        <f t="shared" ca="1" si="307"/>
        <v>0</v>
      </c>
    </row>
    <row r="497" spans="1:21" ht="18.75" x14ac:dyDescent="0.25">
      <c r="A497" s="128"/>
      <c r="B497" s="158"/>
      <c r="C497" s="158"/>
      <c r="D497" s="139"/>
      <c r="E497" s="156" t="s">
        <v>158</v>
      </c>
      <c r="F497" s="40"/>
      <c r="G497" s="42"/>
      <c r="H497" s="159" t="s">
        <v>14</v>
      </c>
      <c r="I497" s="44"/>
      <c r="J497" s="44"/>
      <c r="K497" s="45"/>
      <c r="L497" s="1358">
        <v>0</v>
      </c>
      <c r="M497" s="83">
        <v>0</v>
      </c>
      <c r="N497" s="83">
        <v>0</v>
      </c>
      <c r="O497" s="83">
        <f t="shared" si="303"/>
        <v>0</v>
      </c>
      <c r="P497" s="83">
        <f t="shared" si="304"/>
        <v>0</v>
      </c>
      <c r="Q497" s="83">
        <v>0</v>
      </c>
      <c r="R497" s="83">
        <v>0</v>
      </c>
      <c r="S497" s="83">
        <v>0</v>
      </c>
      <c r="T497" s="83">
        <f t="shared" si="306"/>
        <v>0</v>
      </c>
      <c r="U497" s="83">
        <f t="shared" si="307"/>
        <v>0</v>
      </c>
    </row>
    <row r="498" spans="1:21" ht="18.75" x14ac:dyDescent="0.25">
      <c r="A498" s="128"/>
      <c r="B498" s="158"/>
      <c r="C498" s="158"/>
      <c r="D498" s="139"/>
      <c r="E498" s="47" t="s">
        <v>159</v>
      </c>
      <c r="F498" s="40"/>
      <c r="G498" s="42"/>
      <c r="H498" s="134" t="s">
        <v>14</v>
      </c>
      <c r="I498" s="44"/>
      <c r="J498" s="44"/>
      <c r="K498" s="45"/>
      <c r="L498" s="1356">
        <f ca="1">IFERROR(__xludf.DUMMYFUNCTION("IMPORTRANGE(""https://docs.google.com/spreadsheets/d/1-uDff_7J0KD5mKrp0Vvzr7lt3OU09vwQwhkpOPPYv2Y/edit?usp=sharing"",""งบพรบ!HU25"")"),0)</f>
        <v>0</v>
      </c>
      <c r="M498" s="224">
        <f ca="1">IFERROR(__xludf.DUMMYFUNCTION("IMPORTRANGE(""https://docs.google.com/spreadsheets/d/1-uDff_7J0KD5mKrp0Vvzr7lt3OU09vwQwhkpOPPYv2Y/edit?usp=sharing"",""งบพรบ!HZ25"")"),0)</f>
        <v>0</v>
      </c>
      <c r="N498" s="224">
        <f ca="1">IFERROR(__xludf.DUMMYFUNCTION("IMPORTRANGE(""https://docs.google.com/spreadsheets/d/1-uDff_7J0KD5mKrp0Vvzr7lt3OU09vwQwhkpOPPYv2Y/edit?usp=sharing"",""งบพรบ!IB25"")"),0)</f>
        <v>0</v>
      </c>
      <c r="O498" s="224">
        <f t="shared" ca="1" si="303"/>
        <v>0</v>
      </c>
      <c r="P498" s="224">
        <f t="shared" ca="1" si="304"/>
        <v>0</v>
      </c>
      <c r="Q498" s="224">
        <f ca="1">IFERROR(__xludf.DUMMYFUNCTION("IMPORTRANGE(""https://docs.google.com/spreadsheets/d/1ItG2mGa2ceCfYo0BwxsXqNm01IGEUdYcSSLTEv9YCik/edit?usp=sharing"",""เบิกจ่ายกองทุน!AD25"")"),0)</f>
        <v>0</v>
      </c>
      <c r="R498" s="224">
        <f ca="1">IFERROR(__xludf.DUMMYFUNCTION("IMPORTRANGE(""https://docs.google.com/spreadsheets/d/1ItG2mGa2ceCfYo0BwxsXqNm01IGEUdYcSSLTEv9YCik/edit?usp=sharing"",""เบิกจ่ายกองทุน!AE25"")"),0)</f>
        <v>0</v>
      </c>
      <c r="S498" s="224">
        <f ca="1">IFERROR(__xludf.DUMMYFUNCTION("IMPORTRANGE(""https://docs.google.com/spreadsheets/d/1ItG2mGa2ceCfYo0BwxsXqNm01IGEUdYcSSLTEv9YCik/edit?usp=sharing"",""เบิกจ่ายกองทุน!AF25"")"),0)</f>
        <v>0</v>
      </c>
      <c r="T498" s="224">
        <f t="shared" ca="1" si="306"/>
        <v>0</v>
      </c>
      <c r="U498" s="224">
        <f t="shared" ca="1" si="307"/>
        <v>0</v>
      </c>
    </row>
    <row r="499" spans="1:21" ht="18.75" x14ac:dyDescent="0.25">
      <c r="A499" s="128"/>
      <c r="B499" s="158"/>
      <c r="C499" s="158"/>
      <c r="D499" s="1406" t="s">
        <v>23</v>
      </c>
      <c r="E499" s="40"/>
      <c r="F499" s="40"/>
      <c r="G499" s="42"/>
      <c r="H499" s="137" t="s">
        <v>14</v>
      </c>
      <c r="I499" s="135"/>
      <c r="J499" s="135"/>
      <c r="K499" s="136"/>
      <c r="L499" s="1356">
        <f t="shared" ref="L499:N499" ca="1" si="312">L500+L501</f>
        <v>0</v>
      </c>
      <c r="M499" s="224">
        <f t="shared" ca="1" si="312"/>
        <v>0</v>
      </c>
      <c r="N499" s="224">
        <f t="shared" ca="1" si="312"/>
        <v>0</v>
      </c>
      <c r="O499" s="224">
        <f t="shared" ca="1" si="303"/>
        <v>0</v>
      </c>
      <c r="P499" s="224">
        <f t="shared" ca="1" si="304"/>
        <v>0</v>
      </c>
      <c r="Q499" s="224">
        <f t="shared" ref="Q499:S499" si="313">Q500+Q501</f>
        <v>0</v>
      </c>
      <c r="R499" s="224">
        <f t="shared" si="313"/>
        <v>0</v>
      </c>
      <c r="S499" s="224">
        <f t="shared" si="313"/>
        <v>0</v>
      </c>
      <c r="T499" s="224">
        <f t="shared" si="306"/>
        <v>0</v>
      </c>
      <c r="U499" s="224">
        <f t="shared" si="307"/>
        <v>0</v>
      </c>
    </row>
    <row r="500" spans="1:21" ht="18.75" x14ac:dyDescent="0.25">
      <c r="A500" s="128"/>
      <c r="B500" s="158"/>
      <c r="C500" s="158"/>
      <c r="D500" s="158"/>
      <c r="E500" s="156" t="s">
        <v>20</v>
      </c>
      <c r="F500" s="40"/>
      <c r="G500" s="42"/>
      <c r="H500" s="159" t="s">
        <v>14</v>
      </c>
      <c r="I500" s="135"/>
      <c r="J500" s="135"/>
      <c r="K500" s="136"/>
      <c r="L500" s="1358">
        <v>0</v>
      </c>
      <c r="M500" s="83">
        <v>0</v>
      </c>
      <c r="N500" s="83">
        <v>0</v>
      </c>
      <c r="O500" s="83">
        <f t="shared" si="303"/>
        <v>0</v>
      </c>
      <c r="P500" s="83">
        <f t="shared" si="304"/>
        <v>0</v>
      </c>
      <c r="Q500" s="83">
        <v>0</v>
      </c>
      <c r="R500" s="83">
        <v>0</v>
      </c>
      <c r="S500" s="83">
        <v>0</v>
      </c>
      <c r="T500" s="83">
        <f t="shared" si="306"/>
        <v>0</v>
      </c>
      <c r="U500" s="83">
        <f t="shared" si="307"/>
        <v>0</v>
      </c>
    </row>
    <row r="501" spans="1:21" ht="18.75" x14ac:dyDescent="0.25">
      <c r="A501" s="128"/>
      <c r="B501" s="158"/>
      <c r="C501" s="158"/>
      <c r="D501" s="158"/>
      <c r="E501" s="47" t="s">
        <v>21</v>
      </c>
      <c r="F501" s="40"/>
      <c r="G501" s="42"/>
      <c r="H501" s="137" t="s">
        <v>14</v>
      </c>
      <c r="I501" s="135"/>
      <c r="J501" s="135"/>
      <c r="K501" s="136"/>
      <c r="L501" s="1356">
        <f ca="1">IFERROR(__xludf.DUMMYFUNCTION("IMPORTRANGE(""https://docs.google.com/spreadsheets/d/1-uDff_7J0KD5mKrp0Vvzr7lt3OU09vwQwhkpOPPYv2Y/edit?usp=sharing"",""งบพรบ!HX25"")"),0)</f>
        <v>0</v>
      </c>
      <c r="M501" s="224">
        <f ca="1">IFERROR(__xludf.DUMMYFUNCTION("IMPORTRANGE(""https://docs.google.com/spreadsheets/d/1-uDff_7J0KD5mKrp0Vvzr7lt3OU09vwQwhkpOPPYv2Y/edit?usp=sharing"",""งบพรบ!IA25"")"),0)</f>
        <v>0</v>
      </c>
      <c r="N501" s="224">
        <f ca="1">IFERROR(__xludf.DUMMYFUNCTION("IMPORTRANGE(""https://docs.google.com/spreadsheets/d/1-uDff_7J0KD5mKrp0Vvzr7lt3OU09vwQwhkpOPPYv2Y/edit?usp=sharing"",""งบพรบ!IC25"")"),0)</f>
        <v>0</v>
      </c>
      <c r="O501" s="224">
        <f t="shared" ca="1" si="303"/>
        <v>0</v>
      </c>
      <c r="P501" s="224">
        <f t="shared" ca="1" si="304"/>
        <v>0</v>
      </c>
      <c r="Q501" s="224">
        <v>0</v>
      </c>
      <c r="R501" s="224">
        <v>0</v>
      </c>
      <c r="S501" s="224">
        <v>0</v>
      </c>
      <c r="T501" s="224">
        <f t="shared" si="306"/>
        <v>0</v>
      </c>
      <c r="U501" s="224">
        <f t="shared" si="307"/>
        <v>0</v>
      </c>
    </row>
    <row r="502" spans="1:21" ht="19.5" x14ac:dyDescent="0.3">
      <c r="A502" s="138"/>
      <c r="B502" s="139"/>
      <c r="C502" s="177" t="s">
        <v>18</v>
      </c>
      <c r="D502" s="1535" t="s">
        <v>38</v>
      </c>
      <c r="E502" s="141"/>
      <c r="F502" s="141"/>
      <c r="G502" s="142"/>
      <c r="H502" s="178"/>
      <c r="I502" s="135"/>
      <c r="J502" s="135"/>
      <c r="K502" s="136"/>
      <c r="L502" s="1392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08"/>
      <c r="B503" s="158"/>
      <c r="C503" s="158"/>
      <c r="D503" s="161" t="s">
        <v>199</v>
      </c>
      <c r="E503" s="40"/>
      <c r="F503" s="40"/>
      <c r="G503" s="42"/>
      <c r="H503" s="133" t="s">
        <v>35</v>
      </c>
      <c r="I503" s="328">
        <f ca="1">IFERROR(__xludf.DUMMYFUNCTION("IMPORTRANGE(""https://docs.google.com/spreadsheets/d/1eHaY18a8A9IcSdp1K8H6x8fbOy06t2VsZHhMHf-1x7Y/edit?usp=sharing"",""แผน!GX25"")"),0)</f>
        <v>0</v>
      </c>
      <c r="J503" s="328">
        <f ca="1">IF(AND(J504=I504,J505=I505,J506=I506,J507=I507),I503,0)</f>
        <v>0</v>
      </c>
      <c r="K503" s="1390">
        <f t="shared" ref="K503:K509" ca="1" si="314">IF(I503&gt;0,J503*100/I503,0)</f>
        <v>0</v>
      </c>
      <c r="L503" s="1359"/>
      <c r="M503" s="45"/>
      <c r="N503" s="45"/>
      <c r="O503" s="45"/>
      <c r="P503" s="45"/>
      <c r="Q503" s="45"/>
      <c r="R503" s="45"/>
      <c r="S503" s="45"/>
      <c r="T503" s="45"/>
      <c r="U503" s="45"/>
    </row>
    <row r="504" spans="1:21" ht="18.75" x14ac:dyDescent="0.25">
      <c r="A504" s="208"/>
      <c r="B504" s="158"/>
      <c r="C504" s="158"/>
      <c r="D504" s="158"/>
      <c r="E504" s="47" t="s">
        <v>200</v>
      </c>
      <c r="F504" s="40"/>
      <c r="G504" s="42"/>
      <c r="H504" s="133" t="s">
        <v>35</v>
      </c>
      <c r="I504" s="184">
        <f ca="1">IFERROR(__xludf.DUMMYFUNCTION("IMPORTRANGE(""https://docs.google.com/spreadsheets/d/1eHaY18a8A9IcSdp1K8H6x8fbOy06t2VsZHhMHf-1x7Y/edit?usp=sharing"",""แผน!GY25"")"),0)</f>
        <v>0</v>
      </c>
      <c r="J504" s="1395">
        <v>0</v>
      </c>
      <c r="K504" s="224">
        <f t="shared" ca="1" si="314"/>
        <v>0</v>
      </c>
      <c r="L504" s="1359"/>
      <c r="M504" s="45"/>
      <c r="N504" s="45"/>
      <c r="O504" s="45"/>
      <c r="P504" s="45"/>
      <c r="Q504" s="45"/>
      <c r="R504" s="45"/>
      <c r="S504" s="45"/>
      <c r="T504" s="45"/>
      <c r="U504" s="45"/>
    </row>
    <row r="505" spans="1:21" ht="18.75" x14ac:dyDescent="0.25">
      <c r="A505" s="208"/>
      <c r="B505" s="158"/>
      <c r="C505" s="158"/>
      <c r="D505" s="158"/>
      <c r="E505" s="47" t="s">
        <v>201</v>
      </c>
      <c r="F505" s="40"/>
      <c r="G505" s="42"/>
      <c r="H505" s="133" t="s">
        <v>35</v>
      </c>
      <c r="I505" s="184">
        <f ca="1">IFERROR(__xludf.DUMMYFUNCTION("IMPORTRANGE(""https://docs.google.com/spreadsheets/d/1eHaY18a8A9IcSdp1K8H6x8fbOy06t2VsZHhMHf-1x7Y/edit?usp=sharing"",""แผน!GZ25"")"),0)</f>
        <v>0</v>
      </c>
      <c r="J505" s="1395">
        <v>0</v>
      </c>
      <c r="K505" s="224">
        <f t="shared" ca="1" si="314"/>
        <v>0</v>
      </c>
      <c r="L505" s="1359"/>
      <c r="M505" s="45"/>
      <c r="N505" s="45"/>
      <c r="O505" s="45"/>
      <c r="P505" s="45"/>
      <c r="Q505" s="45"/>
      <c r="R505" s="45"/>
      <c r="S505" s="45"/>
      <c r="T505" s="45"/>
      <c r="U505" s="45"/>
    </row>
    <row r="506" spans="1:21" ht="18.75" x14ac:dyDescent="0.25">
      <c r="A506" s="208"/>
      <c r="B506" s="158"/>
      <c r="C506" s="158"/>
      <c r="D506" s="158"/>
      <c r="E506" s="47" t="s">
        <v>202</v>
      </c>
      <c r="F506" s="40"/>
      <c r="G506" s="42"/>
      <c r="H506" s="133" t="s">
        <v>35</v>
      </c>
      <c r="I506" s="184">
        <f ca="1">IFERROR(__xludf.DUMMYFUNCTION("IMPORTRANGE(""https://docs.google.com/spreadsheets/d/1eHaY18a8A9IcSdp1K8H6x8fbOy06t2VsZHhMHf-1x7Y/edit?usp=sharing"",""แผน!HA25"")"),0)</f>
        <v>0</v>
      </c>
      <c r="J506" s="1395">
        <v>0</v>
      </c>
      <c r="K506" s="224">
        <f t="shared" ca="1" si="314"/>
        <v>0</v>
      </c>
      <c r="L506" s="1359"/>
      <c r="M506" s="45"/>
      <c r="N506" s="45"/>
      <c r="O506" s="45"/>
      <c r="P506" s="45"/>
      <c r="Q506" s="45"/>
      <c r="R506" s="45"/>
      <c r="S506" s="45"/>
      <c r="T506" s="45"/>
      <c r="U506" s="45"/>
    </row>
    <row r="507" spans="1:21" ht="18.75" x14ac:dyDescent="0.25">
      <c r="A507" s="208"/>
      <c r="B507" s="158"/>
      <c r="C507" s="158"/>
      <c r="D507" s="158"/>
      <c r="E507" s="332" t="s">
        <v>203</v>
      </c>
      <c r="F507" s="40"/>
      <c r="G507" s="42"/>
      <c r="H507" s="133" t="s">
        <v>35</v>
      </c>
      <c r="I507" s="184">
        <f ca="1">IFERROR(__xludf.DUMMYFUNCTION("IMPORTRANGE(""https://docs.google.com/spreadsheets/d/1eHaY18a8A9IcSdp1K8H6x8fbOy06t2VsZHhMHf-1x7Y/edit?usp=sharing"",""แผน!HB25"")"),0)</f>
        <v>0</v>
      </c>
      <c r="J507" s="1395">
        <v>0</v>
      </c>
      <c r="K507" s="224">
        <f t="shared" ca="1" si="314"/>
        <v>0</v>
      </c>
      <c r="L507" s="1359"/>
      <c r="M507" s="45"/>
      <c r="N507" s="45"/>
      <c r="O507" s="45"/>
      <c r="P507" s="45"/>
      <c r="Q507" s="45"/>
      <c r="R507" s="45"/>
      <c r="S507" s="45"/>
      <c r="T507" s="45"/>
      <c r="U507" s="45"/>
    </row>
    <row r="508" spans="1:21" ht="18.75" x14ac:dyDescent="0.25">
      <c r="A508" s="208"/>
      <c r="B508" s="158"/>
      <c r="C508" s="158"/>
      <c r="D508" s="158"/>
      <c r="E508" s="47" t="s">
        <v>204</v>
      </c>
      <c r="F508" s="40"/>
      <c r="G508" s="42"/>
      <c r="H508" s="133" t="s">
        <v>35</v>
      </c>
      <c r="I508" s="184">
        <v>0</v>
      </c>
      <c r="J508" s="184">
        <v>0</v>
      </c>
      <c r="K508" s="224">
        <f t="shared" si="314"/>
        <v>0</v>
      </c>
      <c r="L508" s="1359"/>
      <c r="M508" s="45"/>
      <c r="N508" s="45"/>
      <c r="O508" s="45"/>
      <c r="P508" s="45"/>
      <c r="Q508" s="45"/>
      <c r="R508" s="45"/>
      <c r="S508" s="45"/>
      <c r="T508" s="45"/>
      <c r="U508" s="45"/>
    </row>
    <row r="509" spans="1:21" ht="19.5" x14ac:dyDescent="0.3">
      <c r="A509" s="329"/>
      <c r="B509" s="2"/>
      <c r="C509" s="2"/>
      <c r="D509" s="333" t="s">
        <v>50</v>
      </c>
      <c r="E509" s="1"/>
      <c r="F509" s="1"/>
      <c r="G509" s="52"/>
      <c r="H509" s="331" t="s">
        <v>35</v>
      </c>
      <c r="I509" s="188">
        <f ca="1">IFERROR(__xludf.DUMMYFUNCTION("IMPORTRANGE(""https://docs.google.com/spreadsheets/d/1eHaY18a8A9IcSdp1K8H6x8fbOy06t2VsZHhMHf-1x7Y/edit?usp=sharing"",""แผน!HC25"")"),0)</f>
        <v>0</v>
      </c>
      <c r="J509" s="1541">
        <v>0</v>
      </c>
      <c r="K509" s="448">
        <f t="shared" ca="1" si="314"/>
        <v>0</v>
      </c>
      <c r="L509" s="1360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9.5" x14ac:dyDescent="0.3">
      <c r="A510" s="1542" t="s">
        <v>205</v>
      </c>
      <c r="B510" s="336"/>
      <c r="C510" s="336"/>
      <c r="D510" s="336"/>
      <c r="E510" s="337"/>
      <c r="F510" s="337"/>
      <c r="G510" s="337"/>
      <c r="H510" s="337"/>
      <c r="I510" s="338"/>
      <c r="J510" s="338"/>
      <c r="K510" s="339"/>
      <c r="L510" s="1543"/>
      <c r="M510" s="341"/>
      <c r="N510" s="341"/>
      <c r="O510" s="341"/>
      <c r="P510" s="341"/>
      <c r="Q510" s="341"/>
      <c r="R510" s="341"/>
      <c r="S510" s="341"/>
      <c r="T510" s="341"/>
      <c r="U510" s="341"/>
    </row>
    <row r="511" spans="1:21" ht="19.5" x14ac:dyDescent="0.3">
      <c r="A511" s="1544" t="s">
        <v>206</v>
      </c>
      <c r="B511" s="343"/>
      <c r="C511" s="343"/>
      <c r="D511" s="344"/>
      <c r="E511" s="343"/>
      <c r="F511" s="343"/>
      <c r="G511" s="343"/>
      <c r="H511" s="345"/>
      <c r="I511" s="346"/>
      <c r="J511" s="346"/>
      <c r="K511" s="347"/>
      <c r="L511" s="1545"/>
      <c r="M511" s="348"/>
      <c r="N511" s="348"/>
      <c r="O511" s="348"/>
      <c r="P511" s="348"/>
      <c r="Q511" s="348"/>
      <c r="R511" s="348"/>
      <c r="S511" s="348"/>
      <c r="T511" s="348"/>
      <c r="U511" s="348"/>
    </row>
    <row r="512" spans="1:21" ht="19.5" x14ac:dyDescent="0.3">
      <c r="A512" s="349"/>
      <c r="B512" s="1546" t="s">
        <v>207</v>
      </c>
      <c r="C512" s="351"/>
      <c r="D512" s="352"/>
      <c r="E512" s="352"/>
      <c r="F512" s="352"/>
      <c r="G512" s="353"/>
      <c r="H512" s="1547" t="s">
        <v>61</v>
      </c>
      <c r="I512" s="1548">
        <f t="shared" ref="I512:J512" si="315">I524</f>
        <v>0</v>
      </c>
      <c r="J512" s="1548">
        <f t="shared" si="315"/>
        <v>0</v>
      </c>
      <c r="K512" s="1549">
        <f>IF(I512&gt;0,J512*100/I512,0)</f>
        <v>0</v>
      </c>
      <c r="L512" s="1550"/>
      <c r="M512" s="357"/>
      <c r="N512" s="357"/>
      <c r="O512" s="357"/>
      <c r="P512" s="357"/>
      <c r="Q512" s="357"/>
      <c r="R512" s="357"/>
      <c r="S512" s="357"/>
      <c r="T512" s="357"/>
      <c r="U512" s="357"/>
    </row>
    <row r="513" spans="1:21" ht="19.5" x14ac:dyDescent="0.3">
      <c r="A513" s="128"/>
      <c r="B513" s="40"/>
      <c r="C513" s="1433" t="s">
        <v>18</v>
      </c>
      <c r="D513" s="1434" t="s">
        <v>19</v>
      </c>
      <c r="E513" s="40"/>
      <c r="F513" s="40"/>
      <c r="G513" s="42"/>
      <c r="H513" s="1551" t="s">
        <v>14</v>
      </c>
      <c r="I513" s="44"/>
      <c r="J513" s="44"/>
      <c r="K513" s="45"/>
      <c r="L513" s="1389">
        <f t="shared" ref="L513:N513" ca="1" si="316">L514+L515</f>
        <v>0</v>
      </c>
      <c r="M513" s="1390">
        <f t="shared" ca="1" si="316"/>
        <v>0</v>
      </c>
      <c r="N513" s="1390">
        <f t="shared" ca="1" si="316"/>
        <v>0</v>
      </c>
      <c r="O513" s="1390">
        <f t="shared" ref="O513:O521" ca="1" si="317">IF(L513&gt;0,N513*100/L513,0)</f>
        <v>0</v>
      </c>
      <c r="P513" s="1390">
        <f t="shared" ref="P513:P521" ca="1" si="318">IF(M513&gt;0,N513*100/M513,0)</f>
        <v>0</v>
      </c>
      <c r="Q513" s="1390">
        <f t="shared" ref="Q513:S513" si="319">Q514+Q515</f>
        <v>0</v>
      </c>
      <c r="R513" s="1390">
        <f t="shared" si="319"/>
        <v>0</v>
      </c>
      <c r="S513" s="1390">
        <f t="shared" si="319"/>
        <v>0</v>
      </c>
      <c r="T513" s="1390">
        <f t="shared" ref="T513:T521" si="320">IF(Q513&gt;0,S513*100/Q513,0)</f>
        <v>0</v>
      </c>
      <c r="U513" s="1390">
        <f t="shared" ref="U513:U521" si="321">IF(R513&gt;0,S513*100/R513,0)</f>
        <v>0</v>
      </c>
    </row>
    <row r="514" spans="1:21" ht="18.75" x14ac:dyDescent="0.25">
      <c r="A514" s="128"/>
      <c r="B514" s="40"/>
      <c r="C514" s="40"/>
      <c r="D514" s="40"/>
      <c r="E514" s="156" t="s">
        <v>20</v>
      </c>
      <c r="F514" s="40"/>
      <c r="G514" s="42"/>
      <c r="H514" s="157" t="s">
        <v>14</v>
      </c>
      <c r="I514" s="44"/>
      <c r="J514" s="44"/>
      <c r="K514" s="45"/>
      <c r="L514" s="1358">
        <f t="shared" ref="L514:N515" si="322">L517+L520</f>
        <v>0</v>
      </c>
      <c r="M514" s="83">
        <f t="shared" si="322"/>
        <v>0</v>
      </c>
      <c r="N514" s="83">
        <f t="shared" si="322"/>
        <v>0</v>
      </c>
      <c r="O514" s="83">
        <f t="shared" si="317"/>
        <v>0</v>
      </c>
      <c r="P514" s="83">
        <f t="shared" si="318"/>
        <v>0</v>
      </c>
      <c r="Q514" s="83">
        <f t="shared" ref="Q514:S515" si="323">Q517+Q520</f>
        <v>0</v>
      </c>
      <c r="R514" s="83">
        <f t="shared" si="323"/>
        <v>0</v>
      </c>
      <c r="S514" s="83">
        <f t="shared" si="323"/>
        <v>0</v>
      </c>
      <c r="T514" s="83">
        <f t="shared" si="320"/>
        <v>0</v>
      </c>
      <c r="U514" s="83">
        <f t="shared" si="321"/>
        <v>0</v>
      </c>
    </row>
    <row r="515" spans="1:21" ht="18.75" x14ac:dyDescent="0.25">
      <c r="A515" s="128"/>
      <c r="B515" s="40"/>
      <c r="C515" s="40"/>
      <c r="D515" s="40"/>
      <c r="E515" s="156" t="s">
        <v>21</v>
      </c>
      <c r="F515" s="40"/>
      <c r="G515" s="42"/>
      <c r="H515" s="157" t="s">
        <v>14</v>
      </c>
      <c r="I515" s="44"/>
      <c r="J515" s="44"/>
      <c r="K515" s="45"/>
      <c r="L515" s="1356">
        <f t="shared" ca="1" si="322"/>
        <v>0</v>
      </c>
      <c r="M515" s="224">
        <f t="shared" ca="1" si="322"/>
        <v>0</v>
      </c>
      <c r="N515" s="224">
        <f t="shared" ca="1" si="322"/>
        <v>0</v>
      </c>
      <c r="O515" s="224">
        <f t="shared" ca="1" si="317"/>
        <v>0</v>
      </c>
      <c r="P515" s="224">
        <f t="shared" ca="1" si="318"/>
        <v>0</v>
      </c>
      <c r="Q515" s="224">
        <f t="shared" si="323"/>
        <v>0</v>
      </c>
      <c r="R515" s="224">
        <f t="shared" si="323"/>
        <v>0</v>
      </c>
      <c r="S515" s="224">
        <f t="shared" si="323"/>
        <v>0</v>
      </c>
      <c r="T515" s="224">
        <f t="shared" si="320"/>
        <v>0</v>
      </c>
      <c r="U515" s="224">
        <f t="shared" si="321"/>
        <v>0</v>
      </c>
    </row>
    <row r="516" spans="1:21" ht="18.75" x14ac:dyDescent="0.25">
      <c r="A516" s="128"/>
      <c r="B516" s="40"/>
      <c r="C516" s="40"/>
      <c r="D516" s="1552" t="s">
        <v>22</v>
      </c>
      <c r="E516" s="40"/>
      <c r="F516" s="40"/>
      <c r="G516" s="42"/>
      <c r="H516" s="159" t="s">
        <v>14</v>
      </c>
      <c r="I516" s="135"/>
      <c r="J516" s="135"/>
      <c r="K516" s="136"/>
      <c r="L516" s="1356">
        <f t="shared" ref="L516:N516" ca="1" si="324">L517+L518</f>
        <v>0</v>
      </c>
      <c r="M516" s="224">
        <f t="shared" ca="1" si="324"/>
        <v>0</v>
      </c>
      <c r="N516" s="224">
        <f t="shared" ca="1" si="324"/>
        <v>0</v>
      </c>
      <c r="O516" s="224">
        <f t="shared" ca="1" si="317"/>
        <v>0</v>
      </c>
      <c r="P516" s="224">
        <f t="shared" ca="1" si="318"/>
        <v>0</v>
      </c>
      <c r="Q516" s="224">
        <f t="shared" ref="Q516:S516" si="325">Q517+Q518</f>
        <v>0</v>
      </c>
      <c r="R516" s="224">
        <f t="shared" si="325"/>
        <v>0</v>
      </c>
      <c r="S516" s="224">
        <f t="shared" si="325"/>
        <v>0</v>
      </c>
      <c r="T516" s="224">
        <f t="shared" si="320"/>
        <v>0</v>
      </c>
      <c r="U516" s="224">
        <f t="shared" si="321"/>
        <v>0</v>
      </c>
    </row>
    <row r="517" spans="1:21" ht="18.75" x14ac:dyDescent="0.25">
      <c r="A517" s="128"/>
      <c r="B517" s="40"/>
      <c r="C517" s="40"/>
      <c r="D517" s="40"/>
      <c r="E517" s="156" t="s">
        <v>36</v>
      </c>
      <c r="F517" s="40"/>
      <c r="G517" s="42"/>
      <c r="H517" s="159" t="s">
        <v>14</v>
      </c>
      <c r="I517" s="135"/>
      <c r="J517" s="135"/>
      <c r="K517" s="136"/>
      <c r="L517" s="1358">
        <v>0</v>
      </c>
      <c r="M517" s="83">
        <v>0</v>
      </c>
      <c r="N517" s="83">
        <v>0</v>
      </c>
      <c r="O517" s="83">
        <f t="shared" si="317"/>
        <v>0</v>
      </c>
      <c r="P517" s="83">
        <f t="shared" si="318"/>
        <v>0</v>
      </c>
      <c r="Q517" s="83">
        <v>0</v>
      </c>
      <c r="R517" s="83">
        <v>0</v>
      </c>
      <c r="S517" s="83">
        <v>0</v>
      </c>
      <c r="T517" s="83">
        <f t="shared" si="320"/>
        <v>0</v>
      </c>
      <c r="U517" s="83">
        <f t="shared" si="321"/>
        <v>0</v>
      </c>
    </row>
    <row r="518" spans="1:21" ht="18.75" x14ac:dyDescent="0.25">
      <c r="A518" s="128"/>
      <c r="B518" s="40"/>
      <c r="C518" s="40"/>
      <c r="D518" s="40"/>
      <c r="E518" s="156" t="s">
        <v>37</v>
      </c>
      <c r="F518" s="40"/>
      <c r="G518" s="42"/>
      <c r="H518" s="159" t="s">
        <v>14</v>
      </c>
      <c r="I518" s="135"/>
      <c r="J518" s="135"/>
      <c r="K518" s="136"/>
      <c r="L518" s="1356">
        <f ca="1">IFERROR(__xludf.DUMMYFUNCTION("IMPORTRANGE(""https://docs.google.com/spreadsheets/d/1-uDff_7J0KD5mKrp0Vvzr7lt3OU09vwQwhkpOPPYv2Y/edit?usp=sharing"",""งบพรบ!FM25"")"),0)</f>
        <v>0</v>
      </c>
      <c r="M518" s="224">
        <f ca="1">IFERROR(__xludf.DUMMYFUNCTION("IMPORTRANGE(""https://docs.google.com/spreadsheets/d/1-uDff_7J0KD5mKrp0Vvzr7lt3OU09vwQwhkpOPPYv2Y/edit?usp=sharing"",""งบพรบ!FR25"")"),0)</f>
        <v>0</v>
      </c>
      <c r="N518" s="224">
        <f ca="1">IFERROR(__xludf.DUMMYFUNCTION("IMPORTRANGE(""https://docs.google.com/spreadsheets/d/1-uDff_7J0KD5mKrp0Vvzr7lt3OU09vwQwhkpOPPYv2Y/edit?usp=sharing"",""งบพรบ!FT25"")"),0)</f>
        <v>0</v>
      </c>
      <c r="O518" s="224">
        <f t="shared" ca="1" si="317"/>
        <v>0</v>
      </c>
      <c r="P518" s="224">
        <f t="shared" ca="1" si="318"/>
        <v>0</v>
      </c>
      <c r="Q518" s="224">
        <v>0</v>
      </c>
      <c r="R518" s="224">
        <v>0</v>
      </c>
      <c r="S518" s="224">
        <v>0</v>
      </c>
      <c r="T518" s="224">
        <f t="shared" si="320"/>
        <v>0</v>
      </c>
      <c r="U518" s="224">
        <f t="shared" si="321"/>
        <v>0</v>
      </c>
    </row>
    <row r="519" spans="1:21" ht="18.75" x14ac:dyDescent="0.25">
      <c r="A519" s="128"/>
      <c r="B519" s="40"/>
      <c r="C519" s="40"/>
      <c r="D519" s="1552" t="s">
        <v>23</v>
      </c>
      <c r="E519" s="40"/>
      <c r="F519" s="40"/>
      <c r="G519" s="42"/>
      <c r="H519" s="378" t="s">
        <v>14</v>
      </c>
      <c r="I519" s="135"/>
      <c r="J519" s="135"/>
      <c r="K519" s="136"/>
      <c r="L519" s="1356">
        <f t="shared" ref="L519:N519" ca="1" si="326">L520+L521</f>
        <v>0</v>
      </c>
      <c r="M519" s="224">
        <f t="shared" ca="1" si="326"/>
        <v>0</v>
      </c>
      <c r="N519" s="224">
        <f t="shared" ca="1" si="326"/>
        <v>0</v>
      </c>
      <c r="O519" s="224">
        <f t="shared" ca="1" si="317"/>
        <v>0</v>
      </c>
      <c r="P519" s="224">
        <f t="shared" ca="1" si="318"/>
        <v>0</v>
      </c>
      <c r="Q519" s="224">
        <f t="shared" ref="Q519:S519" si="327">Q520+Q521</f>
        <v>0</v>
      </c>
      <c r="R519" s="224">
        <f t="shared" si="327"/>
        <v>0</v>
      </c>
      <c r="S519" s="224">
        <f t="shared" si="327"/>
        <v>0</v>
      </c>
      <c r="T519" s="224">
        <f t="shared" si="320"/>
        <v>0</v>
      </c>
      <c r="U519" s="224">
        <f t="shared" si="321"/>
        <v>0</v>
      </c>
    </row>
    <row r="520" spans="1:21" ht="18.75" x14ac:dyDescent="0.25">
      <c r="A520" s="128"/>
      <c r="B520" s="40"/>
      <c r="C520" s="40"/>
      <c r="D520" s="40"/>
      <c r="E520" s="156" t="s">
        <v>20</v>
      </c>
      <c r="F520" s="40"/>
      <c r="G520" s="42"/>
      <c r="H520" s="159" t="s">
        <v>14</v>
      </c>
      <c r="I520" s="135"/>
      <c r="J520" s="135"/>
      <c r="K520" s="136"/>
      <c r="L520" s="1358">
        <v>0</v>
      </c>
      <c r="M520" s="83">
        <v>0</v>
      </c>
      <c r="N520" s="83">
        <v>0</v>
      </c>
      <c r="O520" s="83">
        <f t="shared" si="317"/>
        <v>0</v>
      </c>
      <c r="P520" s="83">
        <f t="shared" si="318"/>
        <v>0</v>
      </c>
      <c r="Q520" s="83">
        <v>0</v>
      </c>
      <c r="R520" s="83">
        <v>0</v>
      </c>
      <c r="S520" s="83">
        <v>0</v>
      </c>
      <c r="T520" s="83">
        <f t="shared" si="320"/>
        <v>0</v>
      </c>
      <c r="U520" s="83">
        <f t="shared" si="321"/>
        <v>0</v>
      </c>
    </row>
    <row r="521" spans="1:21" ht="18.75" x14ac:dyDescent="0.25">
      <c r="A521" s="128"/>
      <c r="B521" s="40"/>
      <c r="C521" s="40"/>
      <c r="D521" s="40"/>
      <c r="E521" s="156" t="s">
        <v>21</v>
      </c>
      <c r="F521" s="40"/>
      <c r="G521" s="42"/>
      <c r="H521" s="378" t="s">
        <v>14</v>
      </c>
      <c r="I521" s="135"/>
      <c r="J521" s="135"/>
      <c r="K521" s="136"/>
      <c r="L521" s="1356">
        <f ca="1">IFERROR(__xludf.DUMMYFUNCTION("IMPORTRANGE(""https://docs.google.com/spreadsheets/d/1-uDff_7J0KD5mKrp0Vvzr7lt3OU09vwQwhkpOPPYv2Y/edit?usp=sharing"",""งบพรบ!FP25"")"),0)</f>
        <v>0</v>
      </c>
      <c r="M521" s="224">
        <f ca="1">IFERROR(__xludf.DUMMYFUNCTION("IMPORTRANGE(""https://docs.google.com/spreadsheets/d/1-uDff_7J0KD5mKrp0Vvzr7lt3OU09vwQwhkpOPPYv2Y/edit?usp=sharing"",""งบพรบ!FS25"")"),0)</f>
        <v>0</v>
      </c>
      <c r="N521" s="224">
        <f ca="1">IFERROR(__xludf.DUMMYFUNCTION("IMPORTRANGE(""https://docs.google.com/spreadsheets/d/1-uDff_7J0KD5mKrp0Vvzr7lt3OU09vwQwhkpOPPYv2Y/edit?usp=sharing"",""งบพรบ!FU25"")"),0)</f>
        <v>0</v>
      </c>
      <c r="O521" s="224">
        <f t="shared" ca="1" si="317"/>
        <v>0</v>
      </c>
      <c r="P521" s="224">
        <f t="shared" ca="1" si="318"/>
        <v>0</v>
      </c>
      <c r="Q521" s="224">
        <v>0</v>
      </c>
      <c r="R521" s="224">
        <v>0</v>
      </c>
      <c r="S521" s="224">
        <v>0</v>
      </c>
      <c r="T521" s="224">
        <f t="shared" si="320"/>
        <v>0</v>
      </c>
      <c r="U521" s="224">
        <f t="shared" si="321"/>
        <v>0</v>
      </c>
    </row>
    <row r="522" spans="1:21" ht="19.5" x14ac:dyDescent="0.3">
      <c r="A522" s="138"/>
      <c r="B522" s="139"/>
      <c r="C522" s="1433" t="s">
        <v>18</v>
      </c>
      <c r="D522" s="1436" t="s">
        <v>38</v>
      </c>
      <c r="E522" s="141"/>
      <c r="F522" s="141"/>
      <c r="G522" s="142"/>
      <c r="H522" s="143"/>
      <c r="I522" s="135"/>
      <c r="J522" s="44"/>
      <c r="K522" s="45"/>
      <c r="L522" s="1359"/>
      <c r="M522" s="45"/>
      <c r="N522" s="45"/>
      <c r="O522" s="136"/>
      <c r="P522" s="136"/>
      <c r="Q522" s="45"/>
      <c r="R522" s="45"/>
      <c r="S522" s="45"/>
      <c r="T522" s="136"/>
      <c r="U522" s="136"/>
    </row>
    <row r="523" spans="1:21" ht="18.75" x14ac:dyDescent="0.25">
      <c r="A523" s="208"/>
      <c r="B523" s="40"/>
      <c r="C523" s="158"/>
      <c r="D523" s="179" t="s">
        <v>208</v>
      </c>
      <c r="E523" s="139"/>
      <c r="F523" s="40"/>
      <c r="G523" s="42"/>
      <c r="H523" s="1415" t="s">
        <v>11</v>
      </c>
      <c r="I523" s="423">
        <v>0</v>
      </c>
      <c r="J523" s="1407">
        <v>0</v>
      </c>
      <c r="K523" s="83">
        <f t="shared" ref="K523:K524" si="328">IF(I523&gt;0,J523*100/I523,0)</f>
        <v>0</v>
      </c>
      <c r="L523" s="1359"/>
      <c r="M523" s="45"/>
      <c r="N523" s="45"/>
      <c r="O523" s="45"/>
      <c r="P523" s="45"/>
      <c r="Q523" s="45"/>
      <c r="R523" s="45"/>
      <c r="S523" s="45"/>
      <c r="T523" s="45"/>
      <c r="U523" s="45"/>
    </row>
    <row r="524" spans="1:21" ht="18.75" x14ac:dyDescent="0.25">
      <c r="A524" s="329"/>
      <c r="B524" s="1"/>
      <c r="C524" s="2"/>
      <c r="D524" s="1553" t="s">
        <v>209</v>
      </c>
      <c r="E524" s="250"/>
      <c r="F524" s="1"/>
      <c r="G524" s="52"/>
      <c r="H524" s="1554" t="s">
        <v>61</v>
      </c>
      <c r="I524" s="426">
        <v>0</v>
      </c>
      <c r="J524" s="1409">
        <v>0</v>
      </c>
      <c r="K524" s="1410">
        <f t="shared" si="328"/>
        <v>0</v>
      </c>
      <c r="L524" s="1359"/>
      <c r="M524" s="45"/>
      <c r="N524" s="45"/>
      <c r="O524" s="45"/>
      <c r="P524" s="45"/>
      <c r="Q524" s="45"/>
      <c r="R524" s="45"/>
      <c r="S524" s="45"/>
      <c r="T524" s="45"/>
      <c r="U524" s="45"/>
    </row>
    <row r="525" spans="1:21" ht="12.75" x14ac:dyDescent="0.2">
      <c r="A525" s="1555"/>
      <c r="B525" s="1556"/>
      <c r="C525" s="1556"/>
      <c r="D525" s="1557"/>
      <c r="E525" s="1557"/>
      <c r="F525" s="1557"/>
      <c r="G525" s="1558"/>
      <c r="H525" s="1559"/>
      <c r="I525" s="1560"/>
      <c r="J525" s="1560"/>
      <c r="K525" s="1561"/>
      <c r="L525" s="1536"/>
      <c r="M525" s="233"/>
      <c r="N525" s="233"/>
      <c r="O525" s="233"/>
      <c r="P525" s="233"/>
      <c r="Q525" s="233"/>
      <c r="R525" s="233"/>
      <c r="S525" s="233"/>
      <c r="T525" s="233"/>
      <c r="U525" s="233"/>
    </row>
    <row r="526" spans="1:21" ht="12.75" x14ac:dyDescent="0.2">
      <c r="A526" s="227"/>
      <c r="B526" s="228"/>
      <c r="C526" s="228"/>
      <c r="D526" s="229"/>
      <c r="E526" s="229"/>
      <c r="F526" s="229"/>
      <c r="G526" s="230"/>
      <c r="H526" s="231"/>
      <c r="I526" s="232"/>
      <c r="J526" s="232"/>
      <c r="K526" s="233"/>
      <c r="L526" s="1536"/>
      <c r="M526" s="233"/>
      <c r="N526" s="233"/>
      <c r="O526" s="233"/>
      <c r="P526" s="233"/>
      <c r="Q526" s="233"/>
      <c r="R526" s="233"/>
      <c r="S526" s="233"/>
      <c r="T526" s="233"/>
      <c r="U526" s="233"/>
    </row>
    <row r="527" spans="1:21" ht="12.75" x14ac:dyDescent="0.2">
      <c r="A527" s="227"/>
      <c r="B527" s="228"/>
      <c r="C527" s="228"/>
      <c r="D527" s="229"/>
      <c r="E527" s="229"/>
      <c r="F527" s="229"/>
      <c r="G527" s="230"/>
      <c r="H527" s="231"/>
      <c r="I527" s="232"/>
      <c r="J527" s="232"/>
      <c r="K527" s="233"/>
      <c r="L527" s="1536"/>
      <c r="M527" s="233"/>
      <c r="N527" s="233"/>
      <c r="O527" s="233"/>
      <c r="P527" s="233"/>
      <c r="Q527" s="233"/>
      <c r="R527" s="233"/>
      <c r="S527" s="233"/>
      <c r="T527" s="233"/>
      <c r="U527" s="233"/>
    </row>
    <row r="528" spans="1:21" ht="12.75" x14ac:dyDescent="0.2">
      <c r="A528" s="227"/>
      <c r="B528" s="228"/>
      <c r="C528" s="228"/>
      <c r="D528" s="229"/>
      <c r="E528" s="229"/>
      <c r="F528" s="229"/>
      <c r="G528" s="230"/>
      <c r="H528" s="231"/>
      <c r="I528" s="232"/>
      <c r="J528" s="232"/>
      <c r="K528" s="233"/>
      <c r="L528" s="1536"/>
      <c r="M528" s="233"/>
      <c r="N528" s="233"/>
      <c r="O528" s="233"/>
      <c r="P528" s="233"/>
      <c r="Q528" s="233"/>
      <c r="R528" s="233"/>
      <c r="S528" s="233"/>
      <c r="T528" s="233"/>
      <c r="U528" s="233"/>
    </row>
    <row r="529" spans="1:21" ht="12.75" x14ac:dyDescent="0.2">
      <c r="A529" s="227"/>
      <c r="B529" s="228"/>
      <c r="C529" s="228"/>
      <c r="D529" s="229"/>
      <c r="E529" s="229"/>
      <c r="F529" s="229"/>
      <c r="G529" s="230"/>
      <c r="H529" s="231"/>
      <c r="I529" s="232"/>
      <c r="J529" s="232"/>
      <c r="K529" s="233"/>
      <c r="L529" s="1536"/>
      <c r="M529" s="233"/>
      <c r="N529" s="233"/>
      <c r="O529" s="233"/>
      <c r="P529" s="233"/>
      <c r="Q529" s="233"/>
      <c r="R529" s="233"/>
      <c r="S529" s="233"/>
      <c r="T529" s="233"/>
      <c r="U529" s="233"/>
    </row>
    <row r="530" spans="1:21" ht="12.75" x14ac:dyDescent="0.2">
      <c r="A530" s="227"/>
      <c r="B530" s="228"/>
      <c r="C530" s="228"/>
      <c r="D530" s="229"/>
      <c r="E530" s="229"/>
      <c r="F530" s="229"/>
      <c r="G530" s="230"/>
      <c r="H530" s="231"/>
      <c r="I530" s="232"/>
      <c r="J530" s="232"/>
      <c r="K530" s="233"/>
      <c r="L530" s="1536"/>
      <c r="M530" s="233"/>
      <c r="N530" s="233"/>
      <c r="O530" s="233"/>
      <c r="P530" s="233"/>
      <c r="Q530" s="233"/>
      <c r="R530" s="233"/>
      <c r="S530" s="233"/>
      <c r="T530" s="233"/>
      <c r="U530" s="233"/>
    </row>
    <row r="531" spans="1:21" ht="12.75" x14ac:dyDescent="0.2">
      <c r="A531" s="227"/>
      <c r="B531" s="228"/>
      <c r="C531" s="228"/>
      <c r="D531" s="229"/>
      <c r="E531" s="229"/>
      <c r="F531" s="229"/>
      <c r="G531" s="230"/>
      <c r="H531" s="231"/>
      <c r="I531" s="232"/>
      <c r="J531" s="232"/>
      <c r="K531" s="233"/>
      <c r="L531" s="1536"/>
      <c r="M531" s="233"/>
      <c r="N531" s="233"/>
      <c r="O531" s="233"/>
      <c r="P531" s="233"/>
      <c r="Q531" s="233"/>
      <c r="R531" s="233"/>
      <c r="S531" s="233"/>
      <c r="T531" s="233"/>
      <c r="U531" s="233"/>
    </row>
    <row r="532" spans="1:21" ht="12.75" x14ac:dyDescent="0.2">
      <c r="A532" s="360"/>
      <c r="B532" s="316"/>
      <c r="C532" s="316"/>
      <c r="D532" s="361"/>
      <c r="E532" s="361"/>
      <c r="F532" s="361"/>
      <c r="G532" s="362"/>
      <c r="H532" s="317"/>
      <c r="I532" s="318"/>
      <c r="J532" s="318"/>
      <c r="K532" s="319"/>
      <c r="L532" s="1537"/>
      <c r="M532" s="319"/>
      <c r="N532" s="319"/>
      <c r="O532" s="319"/>
      <c r="P532" s="319"/>
      <c r="Q532" s="319"/>
      <c r="R532" s="319"/>
      <c r="S532" s="319"/>
      <c r="T532" s="319"/>
      <c r="U532" s="319"/>
    </row>
    <row r="533" spans="1:21" ht="19.5" x14ac:dyDescent="0.3">
      <c r="A533" s="349"/>
      <c r="B533" s="350" t="s">
        <v>210</v>
      </c>
      <c r="C533" s="351"/>
      <c r="D533" s="352"/>
      <c r="E533" s="352"/>
      <c r="F533" s="352"/>
      <c r="G533" s="353"/>
      <c r="H533" s="363" t="s">
        <v>61</v>
      </c>
      <c r="I533" s="374">
        <f t="shared" ref="I533:J533" si="329">I545</f>
        <v>0</v>
      </c>
      <c r="J533" s="374">
        <f t="shared" si="329"/>
        <v>0</v>
      </c>
      <c r="K533" s="1562">
        <f>IF(I533&gt;0,J533*100/I533,0)</f>
        <v>0</v>
      </c>
      <c r="L533" s="1550"/>
      <c r="M533" s="357"/>
      <c r="N533" s="357"/>
      <c r="O533" s="357"/>
      <c r="P533" s="357"/>
      <c r="Q533" s="357"/>
      <c r="R533" s="357"/>
      <c r="S533" s="357"/>
      <c r="T533" s="357"/>
      <c r="U533" s="357"/>
    </row>
    <row r="534" spans="1:21" ht="19.5" x14ac:dyDescent="0.3">
      <c r="A534" s="128"/>
      <c r="B534" s="40"/>
      <c r="C534" s="129" t="s">
        <v>18</v>
      </c>
      <c r="D534" s="1388" t="s">
        <v>19</v>
      </c>
      <c r="E534" s="40"/>
      <c r="F534" s="40"/>
      <c r="G534" s="42"/>
      <c r="H534" s="131" t="s">
        <v>14</v>
      </c>
      <c r="I534" s="44"/>
      <c r="J534" s="44"/>
      <c r="K534" s="45"/>
      <c r="L534" s="1389">
        <f t="shared" ref="L534:N534" ca="1" si="330">L535+L536</f>
        <v>0</v>
      </c>
      <c r="M534" s="1390">
        <f t="shared" ca="1" si="330"/>
        <v>0</v>
      </c>
      <c r="N534" s="1390">
        <f t="shared" ca="1" si="330"/>
        <v>0</v>
      </c>
      <c r="O534" s="1390">
        <f t="shared" ref="O534:O542" ca="1" si="331">IF(L534&gt;0,N534*100/L534,0)</f>
        <v>0</v>
      </c>
      <c r="P534" s="1390">
        <f t="shared" ref="P534:P542" ca="1" si="332">IF(M534&gt;0,N534*100/M534,0)</f>
        <v>0</v>
      </c>
      <c r="Q534" s="1390">
        <f t="shared" ref="Q534:S534" si="333">Q535+Q536</f>
        <v>0</v>
      </c>
      <c r="R534" s="1390">
        <f t="shared" si="333"/>
        <v>0</v>
      </c>
      <c r="S534" s="1390">
        <f t="shared" si="333"/>
        <v>0</v>
      </c>
      <c r="T534" s="1390">
        <f t="shared" ref="T534:T542" si="334">IF(Q534&gt;0,S534*100/Q534,0)</f>
        <v>0</v>
      </c>
      <c r="U534" s="1390">
        <f t="shared" ref="U534:U542" si="335">IF(R534&gt;0,S534*100/R534,0)</f>
        <v>0</v>
      </c>
    </row>
    <row r="535" spans="1:21" ht="18.75" x14ac:dyDescent="0.25">
      <c r="A535" s="128"/>
      <c r="B535" s="158"/>
      <c r="C535" s="40"/>
      <c r="D535" s="40"/>
      <c r="E535" s="156" t="s">
        <v>20</v>
      </c>
      <c r="F535" s="40"/>
      <c r="G535" s="42"/>
      <c r="H535" s="157" t="s">
        <v>14</v>
      </c>
      <c r="I535" s="44"/>
      <c r="J535" s="44"/>
      <c r="K535" s="45"/>
      <c r="L535" s="1358">
        <f t="shared" ref="L535:N536" si="336">L538+L541</f>
        <v>0</v>
      </c>
      <c r="M535" s="83">
        <f t="shared" si="336"/>
        <v>0</v>
      </c>
      <c r="N535" s="83">
        <f t="shared" si="336"/>
        <v>0</v>
      </c>
      <c r="O535" s="83">
        <f t="shared" si="331"/>
        <v>0</v>
      </c>
      <c r="P535" s="83">
        <f t="shared" si="332"/>
        <v>0</v>
      </c>
      <c r="Q535" s="83">
        <f t="shared" ref="Q535:S536" si="337">Q538+Q541</f>
        <v>0</v>
      </c>
      <c r="R535" s="83">
        <f t="shared" si="337"/>
        <v>0</v>
      </c>
      <c r="S535" s="83">
        <f t="shared" si="337"/>
        <v>0</v>
      </c>
      <c r="T535" s="83">
        <f t="shared" si="334"/>
        <v>0</v>
      </c>
      <c r="U535" s="83">
        <f t="shared" si="335"/>
        <v>0</v>
      </c>
    </row>
    <row r="536" spans="1:21" ht="18.75" x14ac:dyDescent="0.25">
      <c r="A536" s="128"/>
      <c r="B536" s="40"/>
      <c r="C536" s="158"/>
      <c r="D536" s="40"/>
      <c r="E536" s="209" t="s">
        <v>21</v>
      </c>
      <c r="F536" s="40"/>
      <c r="G536" s="42"/>
      <c r="H536" s="133" t="s">
        <v>14</v>
      </c>
      <c r="I536" s="44"/>
      <c r="J536" s="44"/>
      <c r="K536" s="45"/>
      <c r="L536" s="1356">
        <f t="shared" ca="1" si="336"/>
        <v>0</v>
      </c>
      <c r="M536" s="224">
        <f t="shared" ca="1" si="336"/>
        <v>0</v>
      </c>
      <c r="N536" s="224">
        <f t="shared" ca="1" si="336"/>
        <v>0</v>
      </c>
      <c r="O536" s="224">
        <f t="shared" ca="1" si="331"/>
        <v>0</v>
      </c>
      <c r="P536" s="224">
        <f t="shared" ca="1" si="332"/>
        <v>0</v>
      </c>
      <c r="Q536" s="224">
        <f t="shared" si="337"/>
        <v>0</v>
      </c>
      <c r="R536" s="224">
        <f t="shared" si="337"/>
        <v>0</v>
      </c>
      <c r="S536" s="224">
        <f t="shared" si="337"/>
        <v>0</v>
      </c>
      <c r="T536" s="224">
        <f t="shared" si="334"/>
        <v>0</v>
      </c>
      <c r="U536" s="224">
        <f t="shared" si="335"/>
        <v>0</v>
      </c>
    </row>
    <row r="537" spans="1:21" ht="18.75" x14ac:dyDescent="0.25">
      <c r="A537" s="128"/>
      <c r="B537" s="40"/>
      <c r="C537" s="158"/>
      <c r="D537" s="41" t="s">
        <v>22</v>
      </c>
      <c r="E537" s="158"/>
      <c r="F537" s="40"/>
      <c r="G537" s="42"/>
      <c r="H537" s="134" t="s">
        <v>14</v>
      </c>
      <c r="I537" s="135"/>
      <c r="J537" s="135"/>
      <c r="K537" s="136"/>
      <c r="L537" s="1356">
        <f t="shared" ref="L537:N537" ca="1" si="338">L538+L539</f>
        <v>0</v>
      </c>
      <c r="M537" s="224">
        <f t="shared" ca="1" si="338"/>
        <v>0</v>
      </c>
      <c r="N537" s="224">
        <f t="shared" ca="1" si="338"/>
        <v>0</v>
      </c>
      <c r="O537" s="224">
        <f t="shared" ca="1" si="331"/>
        <v>0</v>
      </c>
      <c r="P537" s="224">
        <f t="shared" ca="1" si="332"/>
        <v>0</v>
      </c>
      <c r="Q537" s="224">
        <f t="shared" ref="Q537:S537" si="339">Q538+Q539</f>
        <v>0</v>
      </c>
      <c r="R537" s="224">
        <f t="shared" si="339"/>
        <v>0</v>
      </c>
      <c r="S537" s="224">
        <f t="shared" si="339"/>
        <v>0</v>
      </c>
      <c r="T537" s="224">
        <f t="shared" si="334"/>
        <v>0</v>
      </c>
      <c r="U537" s="224">
        <f t="shared" si="335"/>
        <v>0</v>
      </c>
    </row>
    <row r="538" spans="1:21" ht="18.75" x14ac:dyDescent="0.25">
      <c r="A538" s="128"/>
      <c r="B538" s="40"/>
      <c r="C538" s="40"/>
      <c r="D538" s="40"/>
      <c r="E538" s="156" t="s">
        <v>36</v>
      </c>
      <c r="F538" s="40"/>
      <c r="G538" s="42"/>
      <c r="H538" s="159" t="s">
        <v>14</v>
      </c>
      <c r="I538" s="135"/>
      <c r="J538" s="135"/>
      <c r="K538" s="136"/>
      <c r="L538" s="1358">
        <v>0</v>
      </c>
      <c r="M538" s="83">
        <v>0</v>
      </c>
      <c r="N538" s="83">
        <v>0</v>
      </c>
      <c r="O538" s="83">
        <f t="shared" si="331"/>
        <v>0</v>
      </c>
      <c r="P538" s="83">
        <f t="shared" si="332"/>
        <v>0</v>
      </c>
      <c r="Q538" s="83">
        <v>0</v>
      </c>
      <c r="R538" s="83">
        <v>0</v>
      </c>
      <c r="S538" s="83">
        <v>0</v>
      </c>
      <c r="T538" s="83">
        <f t="shared" si="334"/>
        <v>0</v>
      </c>
      <c r="U538" s="83">
        <f t="shared" si="335"/>
        <v>0</v>
      </c>
    </row>
    <row r="539" spans="1:21" ht="18.75" x14ac:dyDescent="0.25">
      <c r="A539" s="128"/>
      <c r="B539" s="40"/>
      <c r="C539" s="40"/>
      <c r="D539" s="40"/>
      <c r="E539" s="47" t="s">
        <v>37</v>
      </c>
      <c r="F539" s="40"/>
      <c r="G539" s="42"/>
      <c r="H539" s="134" t="s">
        <v>14</v>
      </c>
      <c r="I539" s="135"/>
      <c r="J539" s="135"/>
      <c r="K539" s="136"/>
      <c r="L539" s="1356">
        <f ca="1">IFERROR(__xludf.DUMMYFUNCTION("IMPORTRANGE(""https://docs.google.com/spreadsheets/d/1-uDff_7J0KD5mKrp0Vvzr7lt3OU09vwQwhkpOPPYv2Y/edit?usp=sharing"",""งบพรบ!FW25"")"),0)</f>
        <v>0</v>
      </c>
      <c r="M539" s="224">
        <f ca="1">IFERROR(__xludf.DUMMYFUNCTION("IMPORTRANGE(""https://docs.google.com/spreadsheets/d/1-uDff_7J0KD5mKrp0Vvzr7lt3OU09vwQwhkpOPPYv2Y/edit?usp=sharing"",""งบพรบ!GB25"")"),0)</f>
        <v>0</v>
      </c>
      <c r="N539" s="224">
        <f ca="1">IFERROR(__xludf.DUMMYFUNCTION("IMPORTRANGE(""https://docs.google.com/spreadsheets/d/1-uDff_7J0KD5mKrp0Vvzr7lt3OU09vwQwhkpOPPYv2Y/edit?usp=sharing"",""งบพรบ!GD25"")"),0)</f>
        <v>0</v>
      </c>
      <c r="O539" s="224">
        <f t="shared" ca="1" si="331"/>
        <v>0</v>
      </c>
      <c r="P539" s="224">
        <f t="shared" ca="1" si="332"/>
        <v>0</v>
      </c>
      <c r="Q539" s="224">
        <v>0</v>
      </c>
      <c r="R539" s="224">
        <v>0</v>
      </c>
      <c r="S539" s="224">
        <v>0</v>
      </c>
      <c r="T539" s="224">
        <f t="shared" si="334"/>
        <v>0</v>
      </c>
      <c r="U539" s="224">
        <f t="shared" si="335"/>
        <v>0</v>
      </c>
    </row>
    <row r="540" spans="1:21" ht="18.75" x14ac:dyDescent="0.25">
      <c r="A540" s="128"/>
      <c r="B540" s="40"/>
      <c r="C540" s="40"/>
      <c r="D540" s="41" t="s">
        <v>23</v>
      </c>
      <c r="E540" s="40"/>
      <c r="F540" s="40"/>
      <c r="G540" s="42"/>
      <c r="H540" s="137" t="s">
        <v>14</v>
      </c>
      <c r="I540" s="135"/>
      <c r="J540" s="135"/>
      <c r="K540" s="136"/>
      <c r="L540" s="1356">
        <f t="shared" ref="L540:N540" ca="1" si="340">L541+L542</f>
        <v>0</v>
      </c>
      <c r="M540" s="224">
        <f t="shared" ca="1" si="340"/>
        <v>0</v>
      </c>
      <c r="N540" s="224">
        <f t="shared" ca="1" si="340"/>
        <v>0</v>
      </c>
      <c r="O540" s="224">
        <f t="shared" ca="1" si="331"/>
        <v>0</v>
      </c>
      <c r="P540" s="224">
        <f t="shared" ca="1" si="332"/>
        <v>0</v>
      </c>
      <c r="Q540" s="224">
        <f t="shared" ref="Q540:S540" si="341">Q541+Q542</f>
        <v>0</v>
      </c>
      <c r="R540" s="224">
        <f t="shared" si="341"/>
        <v>0</v>
      </c>
      <c r="S540" s="224">
        <f t="shared" si="341"/>
        <v>0</v>
      </c>
      <c r="T540" s="224">
        <f t="shared" si="334"/>
        <v>0</v>
      </c>
      <c r="U540" s="224">
        <f t="shared" si="335"/>
        <v>0</v>
      </c>
    </row>
    <row r="541" spans="1:21" ht="18.75" x14ac:dyDescent="0.25">
      <c r="A541" s="128"/>
      <c r="B541" s="40"/>
      <c r="C541" s="40"/>
      <c r="D541" s="40"/>
      <c r="E541" s="156" t="s">
        <v>20</v>
      </c>
      <c r="F541" s="40"/>
      <c r="G541" s="42"/>
      <c r="H541" s="159" t="s">
        <v>14</v>
      </c>
      <c r="I541" s="135"/>
      <c r="J541" s="135"/>
      <c r="K541" s="136"/>
      <c r="L541" s="1358">
        <v>0</v>
      </c>
      <c r="M541" s="83">
        <v>0</v>
      </c>
      <c r="N541" s="83">
        <v>0</v>
      </c>
      <c r="O541" s="83">
        <f t="shared" si="331"/>
        <v>0</v>
      </c>
      <c r="P541" s="83">
        <f t="shared" si="332"/>
        <v>0</v>
      </c>
      <c r="Q541" s="83">
        <v>0</v>
      </c>
      <c r="R541" s="83">
        <v>0</v>
      </c>
      <c r="S541" s="83">
        <v>0</v>
      </c>
      <c r="T541" s="83">
        <f t="shared" si="334"/>
        <v>0</v>
      </c>
      <c r="U541" s="83">
        <f t="shared" si="335"/>
        <v>0</v>
      </c>
    </row>
    <row r="542" spans="1:21" ht="18.75" x14ac:dyDescent="0.25">
      <c r="A542" s="128"/>
      <c r="B542" s="40"/>
      <c r="C542" s="40"/>
      <c r="D542" s="40"/>
      <c r="E542" s="47" t="s">
        <v>21</v>
      </c>
      <c r="F542" s="40"/>
      <c r="G542" s="42"/>
      <c r="H542" s="137" t="s">
        <v>14</v>
      </c>
      <c r="I542" s="135"/>
      <c r="J542" s="135"/>
      <c r="K542" s="136"/>
      <c r="L542" s="1356">
        <f ca="1">IFERROR(__xludf.DUMMYFUNCTION("IMPORTRANGE(""https://docs.google.com/spreadsheets/d/1-uDff_7J0KD5mKrp0Vvzr7lt3OU09vwQwhkpOPPYv2Y/edit?usp=sharing"",""งบพรบ!FZ25"")"),0)</f>
        <v>0</v>
      </c>
      <c r="M542" s="224">
        <f ca="1">IFERROR(__xludf.DUMMYFUNCTION("IMPORTRANGE(""https://docs.google.com/spreadsheets/d/1-uDff_7J0KD5mKrp0Vvzr7lt3OU09vwQwhkpOPPYv2Y/edit?usp=sharing"",""งบพรบ!GC25"")"),0)</f>
        <v>0</v>
      </c>
      <c r="N542" s="224">
        <f ca="1">IFERROR(__xludf.DUMMYFUNCTION("IMPORTRANGE(""https://docs.google.com/spreadsheets/d/1-uDff_7J0KD5mKrp0Vvzr7lt3OU09vwQwhkpOPPYv2Y/edit?usp=sharing"",""งบพรบ!GE25"")"),0)</f>
        <v>0</v>
      </c>
      <c r="O542" s="224">
        <f t="shared" ca="1" si="331"/>
        <v>0</v>
      </c>
      <c r="P542" s="224">
        <f t="shared" ca="1" si="332"/>
        <v>0</v>
      </c>
      <c r="Q542" s="224">
        <v>0</v>
      </c>
      <c r="R542" s="224">
        <v>0</v>
      </c>
      <c r="S542" s="224">
        <v>0</v>
      </c>
      <c r="T542" s="224">
        <f t="shared" si="334"/>
        <v>0</v>
      </c>
      <c r="U542" s="224">
        <f t="shared" si="335"/>
        <v>0</v>
      </c>
    </row>
    <row r="543" spans="1:21" ht="19.5" x14ac:dyDescent="0.3">
      <c r="A543" s="138"/>
      <c r="B543" s="139"/>
      <c r="C543" s="364" t="s">
        <v>18</v>
      </c>
      <c r="D543" s="1391" t="s">
        <v>38</v>
      </c>
      <c r="E543" s="141"/>
      <c r="F543" s="141"/>
      <c r="G543" s="142"/>
      <c r="H543" s="143"/>
      <c r="I543" s="135"/>
      <c r="J543" s="44"/>
      <c r="K543" s="45"/>
      <c r="L543" s="1359"/>
      <c r="M543" s="45"/>
      <c r="N543" s="45"/>
      <c r="O543" s="136"/>
      <c r="P543" s="136"/>
      <c r="Q543" s="45"/>
      <c r="R543" s="45"/>
      <c r="S543" s="45"/>
      <c r="T543" s="136"/>
      <c r="U543" s="136"/>
    </row>
    <row r="544" spans="1:21" ht="12.75" x14ac:dyDescent="0.2">
      <c r="A544" s="227"/>
      <c r="B544" s="229"/>
      <c r="C544" s="228"/>
      <c r="D544" s="229"/>
      <c r="E544" s="228"/>
      <c r="F544" s="229"/>
      <c r="G544" s="230"/>
      <c r="H544" s="230"/>
      <c r="I544" s="232"/>
      <c r="J544" s="232"/>
      <c r="K544" s="233"/>
      <c r="L544" s="1536"/>
      <c r="M544" s="233"/>
      <c r="N544" s="233"/>
      <c r="O544" s="233"/>
      <c r="P544" s="233"/>
      <c r="Q544" s="233"/>
      <c r="R544" s="233"/>
      <c r="S544" s="233"/>
      <c r="T544" s="233"/>
      <c r="U544" s="233"/>
    </row>
    <row r="545" spans="1:21" ht="12.75" x14ac:dyDescent="0.2">
      <c r="A545" s="227"/>
      <c r="B545" s="229"/>
      <c r="C545" s="228"/>
      <c r="D545" s="229"/>
      <c r="E545" s="228"/>
      <c r="F545" s="229"/>
      <c r="G545" s="230"/>
      <c r="H545" s="230"/>
      <c r="I545" s="232"/>
      <c r="J545" s="232"/>
      <c r="K545" s="233"/>
      <c r="L545" s="1536"/>
      <c r="M545" s="233"/>
      <c r="N545" s="233"/>
      <c r="O545" s="233"/>
      <c r="P545" s="233"/>
      <c r="Q545" s="233"/>
      <c r="R545" s="233"/>
      <c r="S545" s="233"/>
      <c r="T545" s="233"/>
      <c r="U545" s="233"/>
    </row>
    <row r="546" spans="1:21" ht="12.75" x14ac:dyDescent="0.2">
      <c r="A546" s="227"/>
      <c r="B546" s="228"/>
      <c r="C546" s="228"/>
      <c r="D546" s="229"/>
      <c r="E546" s="229"/>
      <c r="F546" s="229"/>
      <c r="G546" s="230"/>
      <c r="H546" s="231"/>
      <c r="I546" s="232"/>
      <c r="J546" s="232"/>
      <c r="K546" s="233"/>
      <c r="L546" s="1536"/>
      <c r="M546" s="233"/>
      <c r="N546" s="233"/>
      <c r="O546" s="233"/>
      <c r="P546" s="233"/>
      <c r="Q546" s="233"/>
      <c r="R546" s="233"/>
      <c r="S546" s="233"/>
      <c r="T546" s="233"/>
      <c r="U546" s="233"/>
    </row>
    <row r="547" spans="1:21" ht="12.75" x14ac:dyDescent="0.2">
      <c r="A547" s="227"/>
      <c r="B547" s="228"/>
      <c r="C547" s="228"/>
      <c r="D547" s="229"/>
      <c r="E547" s="229"/>
      <c r="F547" s="229"/>
      <c r="G547" s="230"/>
      <c r="H547" s="231"/>
      <c r="I547" s="232"/>
      <c r="J547" s="232"/>
      <c r="K547" s="233"/>
      <c r="L547" s="1536"/>
      <c r="M547" s="233"/>
      <c r="N547" s="233"/>
      <c r="O547" s="233"/>
      <c r="P547" s="233"/>
      <c r="Q547" s="233"/>
      <c r="R547" s="233"/>
      <c r="S547" s="233"/>
      <c r="T547" s="233"/>
      <c r="U547" s="233"/>
    </row>
    <row r="548" spans="1:21" ht="12.75" x14ac:dyDescent="0.2">
      <c r="A548" s="227"/>
      <c r="B548" s="228"/>
      <c r="C548" s="228"/>
      <c r="D548" s="229"/>
      <c r="E548" s="229"/>
      <c r="F548" s="229"/>
      <c r="G548" s="230"/>
      <c r="H548" s="231"/>
      <c r="I548" s="232"/>
      <c r="J548" s="232"/>
      <c r="K548" s="233"/>
      <c r="L548" s="1536"/>
      <c r="M548" s="233"/>
      <c r="N548" s="233"/>
      <c r="O548" s="233"/>
      <c r="P548" s="233"/>
      <c r="Q548" s="233"/>
      <c r="R548" s="233"/>
      <c r="S548" s="233"/>
      <c r="T548" s="233"/>
      <c r="U548" s="233"/>
    </row>
    <row r="549" spans="1:21" ht="12.75" x14ac:dyDescent="0.2">
      <c r="A549" s="227"/>
      <c r="B549" s="228"/>
      <c r="C549" s="228"/>
      <c r="D549" s="229"/>
      <c r="E549" s="229"/>
      <c r="F549" s="229"/>
      <c r="G549" s="230"/>
      <c r="H549" s="231"/>
      <c r="I549" s="232"/>
      <c r="J549" s="232"/>
      <c r="K549" s="233"/>
      <c r="L549" s="1536"/>
      <c r="M549" s="233"/>
      <c r="N549" s="233"/>
      <c r="O549" s="233"/>
      <c r="P549" s="233"/>
      <c r="Q549" s="233"/>
      <c r="R549" s="233"/>
      <c r="S549" s="233"/>
      <c r="T549" s="233"/>
      <c r="U549" s="233"/>
    </row>
    <row r="550" spans="1:21" ht="12.75" x14ac:dyDescent="0.2">
      <c r="A550" s="227"/>
      <c r="B550" s="228"/>
      <c r="C550" s="228"/>
      <c r="D550" s="229"/>
      <c r="E550" s="229"/>
      <c r="F550" s="229"/>
      <c r="G550" s="230"/>
      <c r="H550" s="231"/>
      <c r="I550" s="232"/>
      <c r="J550" s="232"/>
      <c r="K550" s="233"/>
      <c r="L550" s="1536"/>
      <c r="M550" s="233"/>
      <c r="N550" s="233"/>
      <c r="O550" s="233"/>
      <c r="P550" s="233"/>
      <c r="Q550" s="233"/>
      <c r="R550" s="233"/>
      <c r="S550" s="233"/>
      <c r="T550" s="233"/>
      <c r="U550" s="233"/>
    </row>
    <row r="551" spans="1:21" ht="12.75" x14ac:dyDescent="0.2">
      <c r="A551" s="227"/>
      <c r="B551" s="228"/>
      <c r="C551" s="228"/>
      <c r="D551" s="229"/>
      <c r="E551" s="229"/>
      <c r="F551" s="229"/>
      <c r="G551" s="230"/>
      <c r="H551" s="231"/>
      <c r="I551" s="232"/>
      <c r="J551" s="232"/>
      <c r="K551" s="233"/>
      <c r="L551" s="1536"/>
      <c r="M551" s="233"/>
      <c r="N551" s="233"/>
      <c r="O551" s="233"/>
      <c r="P551" s="233"/>
      <c r="Q551" s="233"/>
      <c r="R551" s="233"/>
      <c r="S551" s="233"/>
      <c r="T551" s="233"/>
      <c r="U551" s="233"/>
    </row>
    <row r="552" spans="1:21" ht="12.75" x14ac:dyDescent="0.2">
      <c r="A552" s="227"/>
      <c r="B552" s="228"/>
      <c r="C552" s="228"/>
      <c r="D552" s="229"/>
      <c r="E552" s="229"/>
      <c r="F552" s="229"/>
      <c r="G552" s="230"/>
      <c r="H552" s="231"/>
      <c r="I552" s="232"/>
      <c r="J552" s="232"/>
      <c r="K552" s="233"/>
      <c r="L552" s="1536"/>
      <c r="M552" s="233"/>
      <c r="N552" s="233"/>
      <c r="O552" s="233"/>
      <c r="P552" s="233"/>
      <c r="Q552" s="233"/>
      <c r="R552" s="233"/>
      <c r="S552" s="233"/>
      <c r="T552" s="233"/>
      <c r="U552" s="233"/>
    </row>
    <row r="553" spans="1:21" ht="12.75" x14ac:dyDescent="0.2">
      <c r="A553" s="360"/>
      <c r="B553" s="316"/>
      <c r="C553" s="316"/>
      <c r="D553" s="361"/>
      <c r="E553" s="361"/>
      <c r="F553" s="361"/>
      <c r="G553" s="362"/>
      <c r="H553" s="317"/>
      <c r="I553" s="318"/>
      <c r="J553" s="318"/>
      <c r="K553" s="319"/>
      <c r="L553" s="1537"/>
      <c r="M553" s="319"/>
      <c r="N553" s="319"/>
      <c r="O553" s="319"/>
      <c r="P553" s="319"/>
      <c r="Q553" s="319"/>
      <c r="R553" s="319"/>
      <c r="S553" s="319"/>
      <c r="T553" s="319"/>
      <c r="U553" s="319"/>
    </row>
    <row r="554" spans="1:21" ht="19.5" x14ac:dyDescent="0.3">
      <c r="A554" s="349"/>
      <c r="B554" s="350" t="s">
        <v>211</v>
      </c>
      <c r="C554" s="351"/>
      <c r="D554" s="352"/>
      <c r="E554" s="352"/>
      <c r="F554" s="352"/>
      <c r="G554" s="353"/>
      <c r="H554" s="363" t="s">
        <v>61</v>
      </c>
      <c r="I554" s="374">
        <f t="shared" ref="I554:J554" si="342">I566</f>
        <v>0</v>
      </c>
      <c r="J554" s="374">
        <f t="shared" si="342"/>
        <v>0</v>
      </c>
      <c r="K554" s="1562">
        <f>IF(I554&gt;0,J554*100/I554,0)</f>
        <v>0</v>
      </c>
      <c r="L554" s="1550"/>
      <c r="M554" s="357"/>
      <c r="N554" s="357"/>
      <c r="O554" s="357"/>
      <c r="P554" s="357"/>
      <c r="Q554" s="357"/>
      <c r="R554" s="357"/>
      <c r="S554" s="357"/>
      <c r="T554" s="357"/>
      <c r="U554" s="357"/>
    </row>
    <row r="555" spans="1:21" ht="19.5" x14ac:dyDescent="0.3">
      <c r="A555" s="128"/>
      <c r="B555" s="40"/>
      <c r="C555" s="129" t="s">
        <v>18</v>
      </c>
      <c r="D555" s="1388" t="s">
        <v>19</v>
      </c>
      <c r="E555" s="40"/>
      <c r="F555" s="40"/>
      <c r="G555" s="42"/>
      <c r="H555" s="131" t="s">
        <v>14</v>
      </c>
      <c r="I555" s="44"/>
      <c r="J555" s="44"/>
      <c r="K555" s="45"/>
      <c r="L555" s="1389">
        <f t="shared" ref="L555:N555" ca="1" si="343">L556+L557</f>
        <v>1975000</v>
      </c>
      <c r="M555" s="1390">
        <f t="shared" ca="1" si="343"/>
        <v>1975000</v>
      </c>
      <c r="N555" s="1390">
        <f t="shared" ca="1" si="343"/>
        <v>0</v>
      </c>
      <c r="O555" s="1390">
        <f t="shared" ref="O555:O563" ca="1" si="344">IF(L555&gt;0,N555*100/L555,0)</f>
        <v>0</v>
      </c>
      <c r="P555" s="1390">
        <f t="shared" ref="P555:P563" ca="1" si="345">IF(M555&gt;0,N555*100/M555,0)</f>
        <v>0</v>
      </c>
      <c r="Q555" s="1390">
        <f t="shared" ref="Q555:S555" si="346">Q556+Q557</f>
        <v>0</v>
      </c>
      <c r="R555" s="1390">
        <f t="shared" si="346"/>
        <v>0</v>
      </c>
      <c r="S555" s="1390">
        <f t="shared" si="346"/>
        <v>0</v>
      </c>
      <c r="T555" s="1390">
        <f t="shared" ref="T555:T563" si="347">IF(Q555&gt;0,S555*100/Q555,0)</f>
        <v>0</v>
      </c>
      <c r="U555" s="1390">
        <f t="shared" ref="U555:U563" si="348">IF(R555&gt;0,S555*100/R555,0)</f>
        <v>0</v>
      </c>
    </row>
    <row r="556" spans="1:21" ht="18.75" x14ac:dyDescent="0.25">
      <c r="A556" s="128"/>
      <c r="B556" s="158"/>
      <c r="C556" s="40"/>
      <c r="D556" s="40"/>
      <c r="E556" s="156" t="s">
        <v>20</v>
      </c>
      <c r="F556" s="40"/>
      <c r="G556" s="42"/>
      <c r="H556" s="157" t="s">
        <v>14</v>
      </c>
      <c r="I556" s="44"/>
      <c r="J556" s="44"/>
      <c r="K556" s="45"/>
      <c r="L556" s="1358">
        <f t="shared" ref="L556:N557" si="349">L559+L562</f>
        <v>0</v>
      </c>
      <c r="M556" s="83">
        <f t="shared" si="349"/>
        <v>0</v>
      </c>
      <c r="N556" s="83">
        <f t="shared" si="349"/>
        <v>0</v>
      </c>
      <c r="O556" s="83">
        <f t="shared" si="344"/>
        <v>0</v>
      </c>
      <c r="P556" s="83">
        <f t="shared" si="345"/>
        <v>0</v>
      </c>
      <c r="Q556" s="83">
        <f t="shared" ref="Q556:S557" si="350">Q559+Q562</f>
        <v>0</v>
      </c>
      <c r="R556" s="83">
        <f t="shared" si="350"/>
        <v>0</v>
      </c>
      <c r="S556" s="83">
        <f t="shared" si="350"/>
        <v>0</v>
      </c>
      <c r="T556" s="83">
        <f t="shared" si="347"/>
        <v>0</v>
      </c>
      <c r="U556" s="83">
        <f t="shared" si="348"/>
        <v>0</v>
      </c>
    </row>
    <row r="557" spans="1:21" ht="18.75" x14ac:dyDescent="0.25">
      <c r="A557" s="128"/>
      <c r="B557" s="40"/>
      <c r="C557" s="158"/>
      <c r="D557" s="40"/>
      <c r="E557" s="209" t="s">
        <v>21</v>
      </c>
      <c r="F557" s="40"/>
      <c r="G557" s="42"/>
      <c r="H557" s="133" t="s">
        <v>14</v>
      </c>
      <c r="I557" s="44"/>
      <c r="J557" s="44"/>
      <c r="K557" s="45"/>
      <c r="L557" s="1356">
        <f t="shared" ca="1" si="349"/>
        <v>1975000</v>
      </c>
      <c r="M557" s="224">
        <f t="shared" ca="1" si="349"/>
        <v>1975000</v>
      </c>
      <c r="N557" s="224">
        <f t="shared" ca="1" si="349"/>
        <v>0</v>
      </c>
      <c r="O557" s="224">
        <f t="shared" ca="1" si="344"/>
        <v>0</v>
      </c>
      <c r="P557" s="224">
        <f t="shared" ca="1" si="345"/>
        <v>0</v>
      </c>
      <c r="Q557" s="224">
        <f t="shared" si="350"/>
        <v>0</v>
      </c>
      <c r="R557" s="224">
        <f t="shared" si="350"/>
        <v>0</v>
      </c>
      <c r="S557" s="224">
        <f t="shared" si="350"/>
        <v>0</v>
      </c>
      <c r="T557" s="224">
        <f t="shared" si="347"/>
        <v>0</v>
      </c>
      <c r="U557" s="224">
        <f t="shared" si="348"/>
        <v>0</v>
      </c>
    </row>
    <row r="558" spans="1:21" ht="18.75" x14ac:dyDescent="0.25">
      <c r="A558" s="128"/>
      <c r="B558" s="40"/>
      <c r="C558" s="158"/>
      <c r="D558" s="41" t="s">
        <v>22</v>
      </c>
      <c r="E558" s="158"/>
      <c r="F558" s="40"/>
      <c r="G558" s="42"/>
      <c r="H558" s="134" t="s">
        <v>14</v>
      </c>
      <c r="I558" s="135"/>
      <c r="J558" s="135"/>
      <c r="K558" s="136"/>
      <c r="L558" s="1356">
        <f t="shared" ref="L558:N558" ca="1" si="351">L559+L560</f>
        <v>0</v>
      </c>
      <c r="M558" s="224">
        <f t="shared" ca="1" si="351"/>
        <v>0</v>
      </c>
      <c r="N558" s="224">
        <f t="shared" ca="1" si="351"/>
        <v>0</v>
      </c>
      <c r="O558" s="224">
        <f t="shared" ca="1" si="344"/>
        <v>0</v>
      </c>
      <c r="P558" s="224">
        <f t="shared" ca="1" si="345"/>
        <v>0</v>
      </c>
      <c r="Q558" s="224">
        <f t="shared" ref="Q558:S558" si="352">Q559+Q560</f>
        <v>0</v>
      </c>
      <c r="R558" s="224">
        <f t="shared" si="352"/>
        <v>0</v>
      </c>
      <c r="S558" s="224">
        <f t="shared" si="352"/>
        <v>0</v>
      </c>
      <c r="T558" s="224">
        <f t="shared" si="347"/>
        <v>0</v>
      </c>
      <c r="U558" s="224">
        <f t="shared" si="348"/>
        <v>0</v>
      </c>
    </row>
    <row r="559" spans="1:21" ht="18.75" x14ac:dyDescent="0.25">
      <c r="A559" s="128"/>
      <c r="B559" s="40"/>
      <c r="C559" s="40"/>
      <c r="D559" s="40"/>
      <c r="E559" s="156" t="s">
        <v>36</v>
      </c>
      <c r="F559" s="40"/>
      <c r="G559" s="42"/>
      <c r="H559" s="159" t="s">
        <v>14</v>
      </c>
      <c r="I559" s="135"/>
      <c r="J559" s="135"/>
      <c r="K559" s="136"/>
      <c r="L559" s="1358">
        <v>0</v>
      </c>
      <c r="M559" s="83">
        <v>0</v>
      </c>
      <c r="N559" s="83">
        <v>0</v>
      </c>
      <c r="O559" s="83">
        <f t="shared" si="344"/>
        <v>0</v>
      </c>
      <c r="P559" s="83">
        <f t="shared" si="345"/>
        <v>0</v>
      </c>
      <c r="Q559" s="83">
        <v>0</v>
      </c>
      <c r="R559" s="83">
        <v>0</v>
      </c>
      <c r="S559" s="83">
        <v>0</v>
      </c>
      <c r="T559" s="83">
        <f t="shared" si="347"/>
        <v>0</v>
      </c>
      <c r="U559" s="83">
        <f t="shared" si="348"/>
        <v>0</v>
      </c>
    </row>
    <row r="560" spans="1:21" ht="18.75" x14ac:dyDescent="0.25">
      <c r="A560" s="128"/>
      <c r="B560" s="40"/>
      <c r="C560" s="40"/>
      <c r="D560" s="40"/>
      <c r="E560" s="47" t="s">
        <v>37</v>
      </c>
      <c r="F560" s="40"/>
      <c r="G560" s="42"/>
      <c r="H560" s="134" t="s">
        <v>14</v>
      </c>
      <c r="I560" s="135"/>
      <c r="J560" s="135"/>
      <c r="K560" s="136"/>
      <c r="L560" s="1356">
        <f ca="1">IFERROR(__xludf.DUMMYFUNCTION("IMPORTRANGE(""https://docs.google.com/spreadsheets/d/1-uDff_7J0KD5mKrp0Vvzr7lt3OU09vwQwhkpOPPYv2Y/edit?usp=sharing"",""งบพรบ!GG25"")"),0)</f>
        <v>0</v>
      </c>
      <c r="M560" s="224">
        <f ca="1">IFERROR(__xludf.DUMMYFUNCTION("IMPORTRANGE(""https://docs.google.com/spreadsheets/d/1-uDff_7J0KD5mKrp0Vvzr7lt3OU09vwQwhkpOPPYv2Y/edit?usp=sharing"",""งบพรบ!GL25"")"),0)</f>
        <v>0</v>
      </c>
      <c r="N560" s="224">
        <f ca="1">IFERROR(__xludf.DUMMYFUNCTION("IMPORTRANGE(""https://docs.google.com/spreadsheets/d/1-uDff_7J0KD5mKrp0Vvzr7lt3OU09vwQwhkpOPPYv2Y/edit?usp=sharing"",""งบพรบ!GN25"")"),0)</f>
        <v>0</v>
      </c>
      <c r="O560" s="224">
        <f t="shared" ca="1" si="344"/>
        <v>0</v>
      </c>
      <c r="P560" s="224">
        <f t="shared" ca="1" si="345"/>
        <v>0</v>
      </c>
      <c r="Q560" s="224">
        <v>0</v>
      </c>
      <c r="R560" s="224">
        <v>0</v>
      </c>
      <c r="S560" s="224">
        <v>0</v>
      </c>
      <c r="T560" s="224">
        <f t="shared" si="347"/>
        <v>0</v>
      </c>
      <c r="U560" s="224">
        <f t="shared" si="348"/>
        <v>0</v>
      </c>
    </row>
    <row r="561" spans="1:21" ht="18.75" x14ac:dyDescent="0.25">
      <c r="A561" s="128"/>
      <c r="B561" s="40"/>
      <c r="C561" s="40"/>
      <c r="D561" s="41" t="s">
        <v>23</v>
      </c>
      <c r="E561" s="40"/>
      <c r="F561" s="40"/>
      <c r="G561" s="42"/>
      <c r="H561" s="137" t="s">
        <v>14</v>
      </c>
      <c r="I561" s="135"/>
      <c r="J561" s="135"/>
      <c r="K561" s="136"/>
      <c r="L561" s="1356">
        <f t="shared" ref="L561:N561" ca="1" si="353">L562+L563</f>
        <v>1975000</v>
      </c>
      <c r="M561" s="224">
        <f t="shared" ca="1" si="353"/>
        <v>1975000</v>
      </c>
      <c r="N561" s="224">
        <f t="shared" ca="1" si="353"/>
        <v>0</v>
      </c>
      <c r="O561" s="224">
        <f t="shared" ca="1" si="344"/>
        <v>0</v>
      </c>
      <c r="P561" s="224">
        <f t="shared" ca="1" si="345"/>
        <v>0</v>
      </c>
      <c r="Q561" s="224">
        <f t="shared" ref="Q561:S561" si="354">Q562+Q563</f>
        <v>0</v>
      </c>
      <c r="R561" s="224">
        <f t="shared" si="354"/>
        <v>0</v>
      </c>
      <c r="S561" s="224">
        <f t="shared" si="354"/>
        <v>0</v>
      </c>
      <c r="T561" s="224">
        <f t="shared" si="347"/>
        <v>0</v>
      </c>
      <c r="U561" s="224">
        <f t="shared" si="348"/>
        <v>0</v>
      </c>
    </row>
    <row r="562" spans="1:21" ht="18.75" x14ac:dyDescent="0.25">
      <c r="A562" s="128"/>
      <c r="B562" s="40"/>
      <c r="C562" s="40"/>
      <c r="D562" s="40"/>
      <c r="E562" s="156" t="s">
        <v>20</v>
      </c>
      <c r="F562" s="40"/>
      <c r="G562" s="42"/>
      <c r="H562" s="159" t="s">
        <v>14</v>
      </c>
      <c r="I562" s="135"/>
      <c r="J562" s="135"/>
      <c r="K562" s="136"/>
      <c r="L562" s="1358">
        <v>0</v>
      </c>
      <c r="M562" s="83">
        <v>0</v>
      </c>
      <c r="N562" s="83">
        <v>0</v>
      </c>
      <c r="O562" s="83">
        <f t="shared" si="344"/>
        <v>0</v>
      </c>
      <c r="P562" s="83">
        <f t="shared" si="345"/>
        <v>0</v>
      </c>
      <c r="Q562" s="83">
        <v>0</v>
      </c>
      <c r="R562" s="83">
        <v>0</v>
      </c>
      <c r="S562" s="83">
        <v>0</v>
      </c>
      <c r="T562" s="83">
        <f t="shared" si="347"/>
        <v>0</v>
      </c>
      <c r="U562" s="83">
        <f t="shared" si="348"/>
        <v>0</v>
      </c>
    </row>
    <row r="563" spans="1:21" ht="18.75" x14ac:dyDescent="0.25">
      <c r="A563" s="128"/>
      <c r="B563" s="40"/>
      <c r="C563" s="40"/>
      <c r="D563" s="40"/>
      <c r="E563" s="47" t="s">
        <v>21</v>
      </c>
      <c r="F563" s="40"/>
      <c r="G563" s="42"/>
      <c r="H563" s="137" t="s">
        <v>14</v>
      </c>
      <c r="I563" s="135"/>
      <c r="J563" s="135"/>
      <c r="K563" s="136"/>
      <c r="L563" s="1356">
        <f ca="1">IFERROR(__xludf.DUMMYFUNCTION("IMPORTRANGE(""https://docs.google.com/spreadsheets/d/1-uDff_7J0KD5mKrp0Vvzr7lt3OU09vwQwhkpOPPYv2Y/edit?usp=sharing"",""งบพรบ!GJ25"")"),1975000)</f>
        <v>1975000</v>
      </c>
      <c r="M563" s="224">
        <f ca="1">IFERROR(__xludf.DUMMYFUNCTION("IMPORTRANGE(""https://docs.google.com/spreadsheets/d/1-uDff_7J0KD5mKrp0Vvzr7lt3OU09vwQwhkpOPPYv2Y/edit?usp=sharing"",""งบพรบ!GM25"")"),1975000)</f>
        <v>1975000</v>
      </c>
      <c r="N563" s="224">
        <f ca="1">IFERROR(__xludf.DUMMYFUNCTION("IMPORTRANGE(""https://docs.google.com/spreadsheets/d/1-uDff_7J0KD5mKrp0Vvzr7lt3OU09vwQwhkpOPPYv2Y/edit?usp=sharing"",""งบพรบ!GO25"")"),0)</f>
        <v>0</v>
      </c>
      <c r="O563" s="224">
        <f t="shared" ca="1" si="344"/>
        <v>0</v>
      </c>
      <c r="P563" s="224">
        <f t="shared" ca="1" si="345"/>
        <v>0</v>
      </c>
      <c r="Q563" s="224">
        <v>0</v>
      </c>
      <c r="R563" s="224">
        <v>0</v>
      </c>
      <c r="S563" s="224">
        <v>0</v>
      </c>
      <c r="T563" s="224">
        <f t="shared" si="347"/>
        <v>0</v>
      </c>
      <c r="U563" s="224">
        <f t="shared" si="348"/>
        <v>0</v>
      </c>
    </row>
    <row r="564" spans="1:21" ht="19.5" x14ac:dyDescent="0.3">
      <c r="A564" s="138"/>
      <c r="B564" s="139"/>
      <c r="C564" s="364" t="s">
        <v>18</v>
      </c>
      <c r="D564" s="1391" t="s">
        <v>38</v>
      </c>
      <c r="E564" s="141"/>
      <c r="F564" s="141"/>
      <c r="G564" s="142"/>
      <c r="H564" s="143"/>
      <c r="I564" s="135"/>
      <c r="J564" s="44"/>
      <c r="K564" s="45"/>
      <c r="L564" s="1359"/>
      <c r="M564" s="45"/>
      <c r="N564" s="45"/>
      <c r="O564" s="136"/>
      <c r="P564" s="136"/>
      <c r="Q564" s="45"/>
      <c r="R564" s="45"/>
      <c r="S564" s="45"/>
      <c r="T564" s="136"/>
      <c r="U564" s="136"/>
    </row>
    <row r="565" spans="1:21" ht="12.75" x14ac:dyDescent="0.2">
      <c r="A565" s="227"/>
      <c r="B565" s="229"/>
      <c r="C565" s="228"/>
      <c r="D565" s="229"/>
      <c r="E565" s="228"/>
      <c r="F565" s="229"/>
      <c r="G565" s="230"/>
      <c r="H565" s="230"/>
      <c r="I565" s="232"/>
      <c r="J565" s="232"/>
      <c r="K565" s="233"/>
      <c r="L565" s="1536"/>
      <c r="M565" s="233"/>
      <c r="N565" s="233"/>
      <c r="O565" s="233"/>
      <c r="P565" s="233"/>
      <c r="Q565" s="233"/>
      <c r="R565" s="233"/>
      <c r="S565" s="233"/>
      <c r="T565" s="233"/>
      <c r="U565" s="233"/>
    </row>
    <row r="566" spans="1:21" ht="12.75" x14ac:dyDescent="0.2">
      <c r="A566" s="227"/>
      <c r="B566" s="229"/>
      <c r="C566" s="228"/>
      <c r="D566" s="229"/>
      <c r="E566" s="228"/>
      <c r="F566" s="229"/>
      <c r="G566" s="230"/>
      <c r="H566" s="230"/>
      <c r="I566" s="232"/>
      <c r="J566" s="232"/>
      <c r="K566" s="233"/>
      <c r="L566" s="1536"/>
      <c r="M566" s="233"/>
      <c r="N566" s="233"/>
      <c r="O566" s="233"/>
      <c r="P566" s="233"/>
      <c r="Q566" s="233"/>
      <c r="R566" s="233"/>
      <c r="S566" s="233"/>
      <c r="T566" s="233"/>
      <c r="U566" s="233"/>
    </row>
    <row r="567" spans="1:21" ht="12.75" x14ac:dyDescent="0.2">
      <c r="A567" s="227"/>
      <c r="B567" s="228"/>
      <c r="C567" s="228"/>
      <c r="D567" s="229"/>
      <c r="E567" s="229"/>
      <c r="F567" s="229"/>
      <c r="G567" s="230"/>
      <c r="H567" s="231"/>
      <c r="I567" s="232"/>
      <c r="J567" s="232"/>
      <c r="K567" s="233"/>
      <c r="L567" s="1536"/>
      <c r="M567" s="233"/>
      <c r="N567" s="233"/>
      <c r="O567" s="233"/>
      <c r="P567" s="233"/>
      <c r="Q567" s="233"/>
      <c r="R567" s="233"/>
      <c r="S567" s="233"/>
      <c r="T567" s="233"/>
      <c r="U567" s="233"/>
    </row>
    <row r="568" spans="1:21" ht="12.75" x14ac:dyDescent="0.2">
      <c r="A568" s="227"/>
      <c r="B568" s="228"/>
      <c r="C568" s="228"/>
      <c r="D568" s="229"/>
      <c r="E568" s="229"/>
      <c r="F568" s="229"/>
      <c r="G568" s="230"/>
      <c r="H568" s="231"/>
      <c r="I568" s="232"/>
      <c r="J568" s="232"/>
      <c r="K568" s="233"/>
      <c r="L568" s="1536"/>
      <c r="M568" s="233"/>
      <c r="N568" s="233"/>
      <c r="O568" s="233"/>
      <c r="P568" s="233"/>
      <c r="Q568" s="233"/>
      <c r="R568" s="233"/>
      <c r="S568" s="233"/>
      <c r="T568" s="233"/>
      <c r="U568" s="233"/>
    </row>
    <row r="569" spans="1:21" ht="12.75" x14ac:dyDescent="0.2">
      <c r="A569" s="227"/>
      <c r="B569" s="228"/>
      <c r="C569" s="228"/>
      <c r="D569" s="229"/>
      <c r="E569" s="229"/>
      <c r="F569" s="229"/>
      <c r="G569" s="230"/>
      <c r="H569" s="231"/>
      <c r="I569" s="232"/>
      <c r="J569" s="232"/>
      <c r="K569" s="233"/>
      <c r="L569" s="1536"/>
      <c r="M569" s="233"/>
      <c r="N569" s="233"/>
      <c r="O569" s="233"/>
      <c r="P569" s="233"/>
      <c r="Q569" s="233"/>
      <c r="R569" s="233"/>
      <c r="S569" s="233"/>
      <c r="T569" s="233"/>
      <c r="U569" s="233"/>
    </row>
    <row r="570" spans="1:21" ht="12.75" x14ac:dyDescent="0.2">
      <c r="A570" s="227"/>
      <c r="B570" s="228"/>
      <c r="C570" s="228"/>
      <c r="D570" s="229"/>
      <c r="E570" s="229"/>
      <c r="F570" s="229"/>
      <c r="G570" s="230"/>
      <c r="H570" s="231"/>
      <c r="I570" s="232"/>
      <c r="J570" s="232"/>
      <c r="K570" s="233"/>
      <c r="L570" s="1536"/>
      <c r="M570" s="233"/>
      <c r="N570" s="233"/>
      <c r="O570" s="233"/>
      <c r="P570" s="233"/>
      <c r="Q570" s="233"/>
      <c r="R570" s="233"/>
      <c r="S570" s="233"/>
      <c r="T570" s="233"/>
      <c r="U570" s="233"/>
    </row>
    <row r="571" spans="1:21" ht="12.75" x14ac:dyDescent="0.2">
      <c r="A571" s="227"/>
      <c r="B571" s="228"/>
      <c r="C571" s="228"/>
      <c r="D571" s="229"/>
      <c r="E571" s="229"/>
      <c r="F571" s="229"/>
      <c r="G571" s="230"/>
      <c r="H571" s="231"/>
      <c r="I571" s="232"/>
      <c r="J571" s="232"/>
      <c r="K571" s="233"/>
      <c r="L571" s="1536"/>
      <c r="M571" s="233"/>
      <c r="N571" s="233"/>
      <c r="O571" s="233"/>
      <c r="P571" s="233"/>
      <c r="Q571" s="233"/>
      <c r="R571" s="233"/>
      <c r="S571" s="233"/>
      <c r="T571" s="233"/>
      <c r="U571" s="233"/>
    </row>
    <row r="572" spans="1:21" ht="12.75" x14ac:dyDescent="0.2">
      <c r="A572" s="227"/>
      <c r="B572" s="228"/>
      <c r="C572" s="228"/>
      <c r="D572" s="229"/>
      <c r="E572" s="229"/>
      <c r="F572" s="229"/>
      <c r="G572" s="230"/>
      <c r="H572" s="231"/>
      <c r="I572" s="232"/>
      <c r="J572" s="232"/>
      <c r="K572" s="233"/>
      <c r="L572" s="1536"/>
      <c r="M572" s="233"/>
      <c r="N572" s="233"/>
      <c r="O572" s="233"/>
      <c r="P572" s="233"/>
      <c r="Q572" s="233"/>
      <c r="R572" s="233"/>
      <c r="S572" s="233"/>
      <c r="T572" s="233"/>
      <c r="U572" s="233"/>
    </row>
    <row r="573" spans="1:21" ht="12.75" x14ac:dyDescent="0.2">
      <c r="A573" s="227"/>
      <c r="B573" s="228"/>
      <c r="C573" s="228"/>
      <c r="D573" s="229"/>
      <c r="E573" s="229"/>
      <c r="F573" s="229"/>
      <c r="G573" s="230"/>
      <c r="H573" s="231"/>
      <c r="I573" s="232"/>
      <c r="J573" s="232"/>
      <c r="K573" s="233"/>
      <c r="L573" s="1536"/>
      <c r="M573" s="233"/>
      <c r="N573" s="233"/>
      <c r="O573" s="233"/>
      <c r="P573" s="233"/>
      <c r="Q573" s="233"/>
      <c r="R573" s="233"/>
      <c r="S573" s="233"/>
      <c r="T573" s="233"/>
      <c r="U573" s="233"/>
    </row>
    <row r="574" spans="1:21" ht="12.75" x14ac:dyDescent="0.2">
      <c r="A574" s="360"/>
      <c r="B574" s="316"/>
      <c r="C574" s="316"/>
      <c r="D574" s="361"/>
      <c r="E574" s="361"/>
      <c r="F574" s="361"/>
      <c r="G574" s="362"/>
      <c r="H574" s="317"/>
      <c r="I574" s="318"/>
      <c r="J574" s="318"/>
      <c r="K574" s="319"/>
      <c r="L574" s="1537"/>
      <c r="M574" s="319"/>
      <c r="N574" s="319"/>
      <c r="O574" s="319"/>
      <c r="P574" s="319"/>
      <c r="Q574" s="319"/>
      <c r="R574" s="319"/>
      <c r="S574" s="319"/>
      <c r="T574" s="319"/>
      <c r="U574" s="319"/>
    </row>
    <row r="575" spans="1:21" ht="19.5" x14ac:dyDescent="0.3">
      <c r="A575" s="349"/>
      <c r="B575" s="350" t="s">
        <v>212</v>
      </c>
      <c r="C575" s="351"/>
      <c r="D575" s="352"/>
      <c r="E575" s="352"/>
      <c r="F575" s="352"/>
      <c r="G575" s="353"/>
      <c r="H575" s="363" t="s">
        <v>61</v>
      </c>
      <c r="I575" s="374">
        <f t="shared" ref="I575:J575" si="355">I587</f>
        <v>0</v>
      </c>
      <c r="J575" s="374">
        <f t="shared" si="355"/>
        <v>0</v>
      </c>
      <c r="K575" s="1562">
        <f>IF(I575&gt;0,J575*100/I575,0)</f>
        <v>0</v>
      </c>
      <c r="L575" s="1550"/>
      <c r="M575" s="357"/>
      <c r="N575" s="357"/>
      <c r="O575" s="357"/>
      <c r="P575" s="357"/>
      <c r="Q575" s="357"/>
      <c r="R575" s="357"/>
      <c r="S575" s="357"/>
      <c r="T575" s="357"/>
      <c r="U575" s="357"/>
    </row>
    <row r="576" spans="1:21" ht="19.5" x14ac:dyDescent="0.3">
      <c r="A576" s="128"/>
      <c r="B576" s="40"/>
      <c r="C576" s="129" t="s">
        <v>18</v>
      </c>
      <c r="D576" s="1388" t="s">
        <v>19</v>
      </c>
      <c r="E576" s="40"/>
      <c r="F576" s="40"/>
      <c r="G576" s="42"/>
      <c r="H576" s="131" t="s">
        <v>14</v>
      </c>
      <c r="I576" s="44"/>
      <c r="J576" s="44"/>
      <c r="K576" s="45"/>
      <c r="L576" s="1389">
        <f t="shared" ref="L576:N576" ca="1" si="356">L577+L578</f>
        <v>312195</v>
      </c>
      <c r="M576" s="1390">
        <f t="shared" ca="1" si="356"/>
        <v>0</v>
      </c>
      <c r="N576" s="1390">
        <f t="shared" ca="1" si="356"/>
        <v>0</v>
      </c>
      <c r="O576" s="1390">
        <f t="shared" ref="O576:O584" ca="1" si="357">IF(L576&gt;0,N576*100/L576,0)</f>
        <v>0</v>
      </c>
      <c r="P576" s="1390">
        <f t="shared" ref="P576:P584" ca="1" si="358">IF(M576&gt;0,N576*100/M576,0)</f>
        <v>0</v>
      </c>
      <c r="Q576" s="1390">
        <f t="shared" ref="Q576:S576" si="359">Q577+Q578</f>
        <v>0</v>
      </c>
      <c r="R576" s="1390">
        <f t="shared" si="359"/>
        <v>0</v>
      </c>
      <c r="S576" s="1390">
        <f t="shared" si="359"/>
        <v>0</v>
      </c>
      <c r="T576" s="1390">
        <f t="shared" ref="T576:T584" si="360">IF(Q576&gt;0,S576*100/Q576,0)</f>
        <v>0</v>
      </c>
      <c r="U576" s="1390">
        <f t="shared" ref="U576:U584" si="361">IF(R576&gt;0,S576*100/R576,0)</f>
        <v>0</v>
      </c>
    </row>
    <row r="577" spans="1:21" ht="18.75" x14ac:dyDescent="0.25">
      <c r="A577" s="128"/>
      <c r="B577" s="158"/>
      <c r="C577" s="40"/>
      <c r="D577" s="40"/>
      <c r="E577" s="156" t="s">
        <v>20</v>
      </c>
      <c r="F577" s="40"/>
      <c r="G577" s="42"/>
      <c r="H577" s="157" t="s">
        <v>14</v>
      </c>
      <c r="I577" s="44"/>
      <c r="J577" s="44"/>
      <c r="K577" s="45"/>
      <c r="L577" s="1358">
        <f t="shared" ref="L577:N578" si="362">L580+L583</f>
        <v>0</v>
      </c>
      <c r="M577" s="83">
        <f t="shared" si="362"/>
        <v>0</v>
      </c>
      <c r="N577" s="83">
        <f t="shared" si="362"/>
        <v>0</v>
      </c>
      <c r="O577" s="83">
        <f t="shared" si="357"/>
        <v>0</v>
      </c>
      <c r="P577" s="83">
        <f t="shared" si="358"/>
        <v>0</v>
      </c>
      <c r="Q577" s="83">
        <f t="shared" ref="Q577:S578" si="363">Q580+Q583</f>
        <v>0</v>
      </c>
      <c r="R577" s="83">
        <f t="shared" si="363"/>
        <v>0</v>
      </c>
      <c r="S577" s="83">
        <f t="shared" si="363"/>
        <v>0</v>
      </c>
      <c r="T577" s="83">
        <f t="shared" si="360"/>
        <v>0</v>
      </c>
      <c r="U577" s="83">
        <f t="shared" si="361"/>
        <v>0</v>
      </c>
    </row>
    <row r="578" spans="1:21" ht="18.75" x14ac:dyDescent="0.25">
      <c r="A578" s="128"/>
      <c r="B578" s="40"/>
      <c r="C578" s="158"/>
      <c r="D578" s="40"/>
      <c r="E578" s="209" t="s">
        <v>21</v>
      </c>
      <c r="F578" s="40"/>
      <c r="G578" s="42"/>
      <c r="H578" s="133" t="s">
        <v>14</v>
      </c>
      <c r="I578" s="44"/>
      <c r="J578" s="44"/>
      <c r="K578" s="45"/>
      <c r="L578" s="1356">
        <f t="shared" ca="1" si="362"/>
        <v>312195</v>
      </c>
      <c r="M578" s="224">
        <f t="shared" ca="1" si="362"/>
        <v>0</v>
      </c>
      <c r="N578" s="224">
        <f t="shared" ca="1" si="362"/>
        <v>0</v>
      </c>
      <c r="O578" s="224">
        <f t="shared" ca="1" si="357"/>
        <v>0</v>
      </c>
      <c r="P578" s="224">
        <f t="shared" ca="1" si="358"/>
        <v>0</v>
      </c>
      <c r="Q578" s="224">
        <f t="shared" si="363"/>
        <v>0</v>
      </c>
      <c r="R578" s="224">
        <f t="shared" si="363"/>
        <v>0</v>
      </c>
      <c r="S578" s="224">
        <f t="shared" si="363"/>
        <v>0</v>
      </c>
      <c r="T578" s="224">
        <f t="shared" si="360"/>
        <v>0</v>
      </c>
      <c r="U578" s="224">
        <f t="shared" si="361"/>
        <v>0</v>
      </c>
    </row>
    <row r="579" spans="1:21" ht="18.75" x14ac:dyDescent="0.25">
      <c r="A579" s="128"/>
      <c r="B579" s="40"/>
      <c r="C579" s="158"/>
      <c r="D579" s="41" t="s">
        <v>22</v>
      </c>
      <c r="E579" s="158"/>
      <c r="F579" s="40"/>
      <c r="G579" s="42"/>
      <c r="H579" s="134" t="s">
        <v>14</v>
      </c>
      <c r="I579" s="135"/>
      <c r="J579" s="135"/>
      <c r="K579" s="136"/>
      <c r="L579" s="1356">
        <f t="shared" ref="L579:N579" ca="1" si="364">L580+L581</f>
        <v>312195</v>
      </c>
      <c r="M579" s="224">
        <f t="shared" ca="1" si="364"/>
        <v>0</v>
      </c>
      <c r="N579" s="224">
        <f t="shared" ca="1" si="364"/>
        <v>0</v>
      </c>
      <c r="O579" s="224">
        <f t="shared" ca="1" si="357"/>
        <v>0</v>
      </c>
      <c r="P579" s="224">
        <f t="shared" ca="1" si="358"/>
        <v>0</v>
      </c>
      <c r="Q579" s="224">
        <f t="shared" ref="Q579:S579" si="365">Q580+Q581</f>
        <v>0</v>
      </c>
      <c r="R579" s="224">
        <f t="shared" si="365"/>
        <v>0</v>
      </c>
      <c r="S579" s="224">
        <f t="shared" si="365"/>
        <v>0</v>
      </c>
      <c r="T579" s="224">
        <f t="shared" si="360"/>
        <v>0</v>
      </c>
      <c r="U579" s="224">
        <f t="shared" si="361"/>
        <v>0</v>
      </c>
    </row>
    <row r="580" spans="1:21" ht="18.75" x14ac:dyDescent="0.25">
      <c r="A580" s="128"/>
      <c r="B580" s="40"/>
      <c r="C580" s="40"/>
      <c r="D580" s="40"/>
      <c r="E580" s="156" t="s">
        <v>36</v>
      </c>
      <c r="F580" s="40"/>
      <c r="G580" s="42"/>
      <c r="H580" s="159" t="s">
        <v>14</v>
      </c>
      <c r="I580" s="135"/>
      <c r="J580" s="135"/>
      <c r="K580" s="136"/>
      <c r="L580" s="1358">
        <v>0</v>
      </c>
      <c r="M580" s="83">
        <v>0</v>
      </c>
      <c r="N580" s="83">
        <v>0</v>
      </c>
      <c r="O580" s="83">
        <f t="shared" si="357"/>
        <v>0</v>
      </c>
      <c r="P580" s="83">
        <f t="shared" si="358"/>
        <v>0</v>
      </c>
      <c r="Q580" s="83">
        <v>0</v>
      </c>
      <c r="R580" s="83">
        <v>0</v>
      </c>
      <c r="S580" s="83">
        <v>0</v>
      </c>
      <c r="T580" s="83">
        <f t="shared" si="360"/>
        <v>0</v>
      </c>
      <c r="U580" s="83">
        <f t="shared" si="361"/>
        <v>0</v>
      </c>
    </row>
    <row r="581" spans="1:21" ht="18.75" x14ac:dyDescent="0.25">
      <c r="A581" s="128"/>
      <c r="B581" s="40"/>
      <c r="C581" s="40"/>
      <c r="D581" s="40"/>
      <c r="E581" s="47" t="s">
        <v>37</v>
      </c>
      <c r="F581" s="40"/>
      <c r="G581" s="42"/>
      <c r="H581" s="134" t="s">
        <v>14</v>
      </c>
      <c r="I581" s="135"/>
      <c r="J581" s="135"/>
      <c r="K581" s="136"/>
      <c r="L581" s="1356">
        <f ca="1">IFERROR(__xludf.DUMMYFUNCTION("IMPORTRANGE(""https://docs.google.com/spreadsheets/d/1-uDff_7J0KD5mKrp0Vvzr7lt3OU09vwQwhkpOPPYv2Y/edit?usp=sharing"",""งบพรบ!GQ25"")"),312195)</f>
        <v>312195</v>
      </c>
      <c r="M581" s="224">
        <f ca="1">IFERROR(__xludf.DUMMYFUNCTION("IMPORTRANGE(""https://docs.google.com/spreadsheets/d/1-uDff_7J0KD5mKrp0Vvzr7lt3OU09vwQwhkpOPPYv2Y/edit?usp=sharing"",""งบพรบ!GV25"")"),0)</f>
        <v>0</v>
      </c>
      <c r="N581" s="224">
        <f ca="1">IFERROR(__xludf.DUMMYFUNCTION("IMPORTRANGE(""https://docs.google.com/spreadsheets/d/1-uDff_7J0KD5mKrp0Vvzr7lt3OU09vwQwhkpOPPYv2Y/edit?usp=sharing"",""งบพรบ!GX25"")"),0)</f>
        <v>0</v>
      </c>
      <c r="O581" s="224">
        <f t="shared" ca="1" si="357"/>
        <v>0</v>
      </c>
      <c r="P581" s="224">
        <f t="shared" ca="1" si="358"/>
        <v>0</v>
      </c>
      <c r="Q581" s="224">
        <v>0</v>
      </c>
      <c r="R581" s="224">
        <v>0</v>
      </c>
      <c r="S581" s="224">
        <v>0</v>
      </c>
      <c r="T581" s="224">
        <f t="shared" si="360"/>
        <v>0</v>
      </c>
      <c r="U581" s="224">
        <f t="shared" si="361"/>
        <v>0</v>
      </c>
    </row>
    <row r="582" spans="1:21" ht="18.75" x14ac:dyDescent="0.25">
      <c r="A582" s="128"/>
      <c r="B582" s="40"/>
      <c r="C582" s="40"/>
      <c r="D582" s="41" t="s">
        <v>23</v>
      </c>
      <c r="E582" s="40"/>
      <c r="F582" s="40"/>
      <c r="G582" s="42"/>
      <c r="H582" s="137" t="s">
        <v>14</v>
      </c>
      <c r="I582" s="135"/>
      <c r="J582" s="135"/>
      <c r="K582" s="136"/>
      <c r="L582" s="1356">
        <f t="shared" ref="L582:N582" ca="1" si="366">L583+L584</f>
        <v>0</v>
      </c>
      <c r="M582" s="224">
        <f t="shared" ca="1" si="366"/>
        <v>0</v>
      </c>
      <c r="N582" s="224">
        <f t="shared" ca="1" si="366"/>
        <v>0</v>
      </c>
      <c r="O582" s="224">
        <f t="shared" ca="1" si="357"/>
        <v>0</v>
      </c>
      <c r="P582" s="224">
        <f t="shared" ca="1" si="358"/>
        <v>0</v>
      </c>
      <c r="Q582" s="224">
        <f t="shared" ref="Q582:S582" si="367">Q583+Q584</f>
        <v>0</v>
      </c>
      <c r="R582" s="224">
        <f t="shared" si="367"/>
        <v>0</v>
      </c>
      <c r="S582" s="224">
        <f t="shared" si="367"/>
        <v>0</v>
      </c>
      <c r="T582" s="224">
        <f t="shared" si="360"/>
        <v>0</v>
      </c>
      <c r="U582" s="224">
        <f t="shared" si="361"/>
        <v>0</v>
      </c>
    </row>
    <row r="583" spans="1:21" ht="18.75" x14ac:dyDescent="0.25">
      <c r="A583" s="128"/>
      <c r="B583" s="40"/>
      <c r="C583" s="40"/>
      <c r="D583" s="40"/>
      <c r="E583" s="156" t="s">
        <v>20</v>
      </c>
      <c r="F583" s="40"/>
      <c r="G583" s="42"/>
      <c r="H583" s="159" t="s">
        <v>14</v>
      </c>
      <c r="I583" s="135"/>
      <c r="J583" s="135"/>
      <c r="K583" s="136"/>
      <c r="L583" s="1358">
        <v>0</v>
      </c>
      <c r="M583" s="83">
        <v>0</v>
      </c>
      <c r="N583" s="83">
        <v>0</v>
      </c>
      <c r="O583" s="83">
        <f t="shared" si="357"/>
        <v>0</v>
      </c>
      <c r="P583" s="83">
        <f t="shared" si="358"/>
        <v>0</v>
      </c>
      <c r="Q583" s="83">
        <v>0</v>
      </c>
      <c r="R583" s="83">
        <v>0</v>
      </c>
      <c r="S583" s="83">
        <v>0</v>
      </c>
      <c r="T583" s="83">
        <f t="shared" si="360"/>
        <v>0</v>
      </c>
      <c r="U583" s="83">
        <f t="shared" si="361"/>
        <v>0</v>
      </c>
    </row>
    <row r="584" spans="1:21" ht="18.75" x14ac:dyDescent="0.25">
      <c r="A584" s="128"/>
      <c r="B584" s="40"/>
      <c r="C584" s="40"/>
      <c r="D584" s="40"/>
      <c r="E584" s="47" t="s">
        <v>21</v>
      </c>
      <c r="F584" s="40"/>
      <c r="G584" s="42"/>
      <c r="H584" s="137" t="s">
        <v>14</v>
      </c>
      <c r="I584" s="135"/>
      <c r="J584" s="135"/>
      <c r="K584" s="136"/>
      <c r="L584" s="1356">
        <f ca="1">IFERROR(__xludf.DUMMYFUNCTION("IMPORTRANGE(""https://docs.google.com/spreadsheets/d/1-uDff_7J0KD5mKrp0Vvzr7lt3OU09vwQwhkpOPPYv2Y/edit?usp=sharing"",""งบพรบ!GT25"")"),0)</f>
        <v>0</v>
      </c>
      <c r="M584" s="224">
        <f ca="1">IFERROR(__xludf.DUMMYFUNCTION("IMPORTRANGE(""https://docs.google.com/spreadsheets/d/1-uDff_7J0KD5mKrp0Vvzr7lt3OU09vwQwhkpOPPYv2Y/edit?usp=sharing"",""งบพรบ!GW25"")"),0)</f>
        <v>0</v>
      </c>
      <c r="N584" s="224">
        <f ca="1">IFERROR(__xludf.DUMMYFUNCTION("IMPORTRANGE(""https://docs.google.com/spreadsheets/d/1-uDff_7J0KD5mKrp0Vvzr7lt3OU09vwQwhkpOPPYv2Y/edit?usp=sharing"",""งบพรบ!GY25"")"),0)</f>
        <v>0</v>
      </c>
      <c r="O584" s="224">
        <f t="shared" ca="1" si="357"/>
        <v>0</v>
      </c>
      <c r="P584" s="224">
        <f t="shared" ca="1" si="358"/>
        <v>0</v>
      </c>
      <c r="Q584" s="224">
        <v>0</v>
      </c>
      <c r="R584" s="224">
        <v>0</v>
      </c>
      <c r="S584" s="224">
        <v>0</v>
      </c>
      <c r="T584" s="224">
        <f t="shared" si="360"/>
        <v>0</v>
      </c>
      <c r="U584" s="224">
        <f t="shared" si="361"/>
        <v>0</v>
      </c>
    </row>
    <row r="585" spans="1:21" ht="19.5" x14ac:dyDescent="0.3">
      <c r="A585" s="138"/>
      <c r="B585" s="139"/>
      <c r="C585" s="364" t="s">
        <v>18</v>
      </c>
      <c r="D585" s="1391" t="s">
        <v>38</v>
      </c>
      <c r="E585" s="141"/>
      <c r="F585" s="141"/>
      <c r="G585" s="142"/>
      <c r="H585" s="143"/>
      <c r="I585" s="135"/>
      <c r="J585" s="44"/>
      <c r="K585" s="45"/>
      <c r="L585" s="1359"/>
      <c r="M585" s="45"/>
      <c r="N585" s="45"/>
      <c r="O585" s="136"/>
      <c r="P585" s="136"/>
      <c r="Q585" s="45"/>
      <c r="R585" s="45"/>
      <c r="S585" s="45"/>
      <c r="T585" s="136"/>
      <c r="U585" s="136"/>
    </row>
    <row r="586" spans="1:21" ht="12.75" x14ac:dyDescent="0.2">
      <c r="A586" s="227"/>
      <c r="B586" s="229"/>
      <c r="C586" s="228"/>
      <c r="D586" s="229"/>
      <c r="E586" s="228"/>
      <c r="F586" s="229"/>
      <c r="G586" s="230"/>
      <c r="H586" s="230"/>
      <c r="I586" s="232"/>
      <c r="J586" s="232"/>
      <c r="K586" s="233"/>
      <c r="L586" s="1536"/>
      <c r="M586" s="233"/>
      <c r="N586" s="233"/>
      <c r="O586" s="233"/>
      <c r="P586" s="233"/>
      <c r="Q586" s="233"/>
      <c r="R586" s="233"/>
      <c r="S586" s="233"/>
      <c r="T586" s="233"/>
      <c r="U586" s="233"/>
    </row>
    <row r="587" spans="1:21" ht="12.75" x14ac:dyDescent="0.2">
      <c r="A587" s="227"/>
      <c r="B587" s="229"/>
      <c r="C587" s="228"/>
      <c r="D587" s="229"/>
      <c r="E587" s="228"/>
      <c r="F587" s="229"/>
      <c r="G587" s="230"/>
      <c r="H587" s="230"/>
      <c r="I587" s="232"/>
      <c r="J587" s="232"/>
      <c r="K587" s="233"/>
      <c r="L587" s="1536"/>
      <c r="M587" s="233"/>
      <c r="N587" s="233"/>
      <c r="O587" s="233"/>
      <c r="P587" s="233"/>
      <c r="Q587" s="233"/>
      <c r="R587" s="233"/>
      <c r="S587" s="233"/>
      <c r="T587" s="233"/>
      <c r="U587" s="233"/>
    </row>
    <row r="588" spans="1:21" ht="12.75" x14ac:dyDescent="0.2">
      <c r="A588" s="227"/>
      <c r="B588" s="228"/>
      <c r="C588" s="228"/>
      <c r="D588" s="229"/>
      <c r="E588" s="229"/>
      <c r="F588" s="229"/>
      <c r="G588" s="230"/>
      <c r="H588" s="231"/>
      <c r="I588" s="232"/>
      <c r="J588" s="232"/>
      <c r="K588" s="233"/>
      <c r="L588" s="1536"/>
      <c r="M588" s="233"/>
      <c r="N588" s="233"/>
      <c r="O588" s="233"/>
      <c r="P588" s="233"/>
      <c r="Q588" s="233"/>
      <c r="R588" s="233"/>
      <c r="S588" s="233"/>
      <c r="T588" s="233"/>
      <c r="U588" s="233"/>
    </row>
    <row r="589" spans="1:21" ht="12.75" x14ac:dyDescent="0.2">
      <c r="A589" s="227"/>
      <c r="B589" s="228"/>
      <c r="C589" s="228"/>
      <c r="D589" s="229"/>
      <c r="E589" s="229"/>
      <c r="F589" s="229"/>
      <c r="G589" s="230"/>
      <c r="H589" s="231"/>
      <c r="I589" s="232"/>
      <c r="J589" s="232"/>
      <c r="K589" s="233"/>
      <c r="L589" s="1536"/>
      <c r="M589" s="233"/>
      <c r="N589" s="233"/>
      <c r="O589" s="233"/>
      <c r="P589" s="233"/>
      <c r="Q589" s="233"/>
      <c r="R589" s="233"/>
      <c r="S589" s="233"/>
      <c r="T589" s="233"/>
      <c r="U589" s="233"/>
    </row>
    <row r="590" spans="1:21" ht="12.75" x14ac:dyDescent="0.2">
      <c r="A590" s="227"/>
      <c r="B590" s="228"/>
      <c r="C590" s="228"/>
      <c r="D590" s="229"/>
      <c r="E590" s="229"/>
      <c r="F590" s="229"/>
      <c r="G590" s="230"/>
      <c r="H590" s="231"/>
      <c r="I590" s="232"/>
      <c r="J590" s="232"/>
      <c r="K590" s="233"/>
      <c r="L590" s="1536"/>
      <c r="M590" s="233"/>
      <c r="N590" s="233"/>
      <c r="O590" s="233"/>
      <c r="P590" s="233"/>
      <c r="Q590" s="233"/>
      <c r="R590" s="233"/>
      <c r="S590" s="233"/>
      <c r="T590" s="233"/>
      <c r="U590" s="233"/>
    </row>
    <row r="591" spans="1:21" ht="12.75" x14ac:dyDescent="0.2">
      <c r="A591" s="227"/>
      <c r="B591" s="228"/>
      <c r="C591" s="228"/>
      <c r="D591" s="229"/>
      <c r="E591" s="229"/>
      <c r="F591" s="229"/>
      <c r="G591" s="230"/>
      <c r="H591" s="231"/>
      <c r="I591" s="232"/>
      <c r="J591" s="232"/>
      <c r="K591" s="233"/>
      <c r="L591" s="1536"/>
      <c r="M591" s="233"/>
      <c r="N591" s="233"/>
      <c r="O591" s="233"/>
      <c r="P591" s="233"/>
      <c r="Q591" s="233"/>
      <c r="R591" s="233"/>
      <c r="S591" s="233"/>
      <c r="T591" s="233"/>
      <c r="U591" s="233"/>
    </row>
    <row r="592" spans="1:21" ht="12.75" x14ac:dyDescent="0.2">
      <c r="A592" s="227"/>
      <c r="B592" s="228"/>
      <c r="C592" s="228"/>
      <c r="D592" s="229"/>
      <c r="E592" s="229"/>
      <c r="F592" s="229"/>
      <c r="G592" s="230"/>
      <c r="H592" s="231"/>
      <c r="I592" s="232"/>
      <c r="J592" s="232"/>
      <c r="K592" s="233"/>
      <c r="L592" s="1536"/>
      <c r="M592" s="233"/>
      <c r="N592" s="233"/>
      <c r="O592" s="233"/>
      <c r="P592" s="233"/>
      <c r="Q592" s="233"/>
      <c r="R592" s="233"/>
      <c r="S592" s="233"/>
      <c r="T592" s="233"/>
      <c r="U592" s="233"/>
    </row>
    <row r="593" spans="1:21" ht="12.75" x14ac:dyDescent="0.2">
      <c r="A593" s="227"/>
      <c r="B593" s="228"/>
      <c r="C593" s="228"/>
      <c r="D593" s="229"/>
      <c r="E593" s="229"/>
      <c r="F593" s="229"/>
      <c r="G593" s="230"/>
      <c r="H593" s="231"/>
      <c r="I593" s="232"/>
      <c r="J593" s="232"/>
      <c r="K593" s="233"/>
      <c r="L593" s="1536"/>
      <c r="M593" s="233"/>
      <c r="N593" s="233"/>
      <c r="O593" s="233"/>
      <c r="P593" s="233"/>
      <c r="Q593" s="233"/>
      <c r="R593" s="233"/>
      <c r="S593" s="233"/>
      <c r="T593" s="233"/>
      <c r="U593" s="233"/>
    </row>
    <row r="594" spans="1:21" ht="12.75" x14ac:dyDescent="0.2">
      <c r="A594" s="227"/>
      <c r="B594" s="228"/>
      <c r="C594" s="228"/>
      <c r="D594" s="229"/>
      <c r="E594" s="229"/>
      <c r="F594" s="229"/>
      <c r="G594" s="230"/>
      <c r="H594" s="231"/>
      <c r="I594" s="232"/>
      <c r="J594" s="232"/>
      <c r="K594" s="233"/>
      <c r="L594" s="1536"/>
      <c r="M594" s="233"/>
      <c r="N594" s="233"/>
      <c r="O594" s="233"/>
      <c r="P594" s="233"/>
      <c r="Q594" s="233"/>
      <c r="R594" s="233"/>
      <c r="S594" s="233"/>
      <c r="T594" s="233"/>
      <c r="U594" s="233"/>
    </row>
    <row r="595" spans="1:21" ht="12.75" x14ac:dyDescent="0.2">
      <c r="A595" s="360"/>
      <c r="B595" s="316"/>
      <c r="C595" s="316"/>
      <c r="D595" s="361"/>
      <c r="E595" s="361"/>
      <c r="F595" s="361"/>
      <c r="G595" s="362"/>
      <c r="H595" s="317"/>
      <c r="I595" s="318"/>
      <c r="J595" s="318"/>
      <c r="K595" s="319"/>
      <c r="L595" s="1537"/>
      <c r="M595" s="319"/>
      <c r="N595" s="319"/>
      <c r="O595" s="319"/>
      <c r="P595" s="319"/>
      <c r="Q595" s="319"/>
      <c r="R595" s="319"/>
      <c r="S595" s="319"/>
      <c r="T595" s="319"/>
      <c r="U595" s="319"/>
    </row>
    <row r="596" spans="1:21" ht="19.5" x14ac:dyDescent="0.3">
      <c r="A596" s="1563" t="s">
        <v>213</v>
      </c>
      <c r="B596" s="119"/>
      <c r="C596" s="168"/>
      <c r="D596" s="119"/>
      <c r="E596" s="119"/>
      <c r="F596" s="119"/>
      <c r="G596" s="119"/>
      <c r="H596" s="120"/>
      <c r="I596" s="169"/>
      <c r="J596" s="169"/>
      <c r="K596" s="170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1564" t="s">
        <v>214</v>
      </c>
      <c r="C597" s="172"/>
      <c r="D597" s="125"/>
      <c r="E597" s="27"/>
      <c r="F597" s="27"/>
      <c r="G597" s="27"/>
      <c r="H597" s="1565" t="s">
        <v>99</v>
      </c>
      <c r="I597" s="182"/>
      <c r="J597" s="32"/>
      <c r="K597" s="33"/>
      <c r="L597" s="1387"/>
      <c r="M597" s="33"/>
      <c r="N597" s="33"/>
      <c r="O597" s="33"/>
      <c r="P597" s="33"/>
      <c r="Q597" s="33"/>
      <c r="R597" s="33"/>
      <c r="S597" s="33"/>
      <c r="T597" s="33"/>
      <c r="U597" s="33"/>
    </row>
    <row r="598" spans="1:21" ht="19.5" x14ac:dyDescent="0.3">
      <c r="A598" s="1566"/>
      <c r="B598" s="1567" t="s">
        <v>215</v>
      </c>
      <c r="C598" s="125"/>
      <c r="D598" s="27"/>
      <c r="E598" s="27"/>
      <c r="F598" s="27"/>
      <c r="G598" s="30"/>
      <c r="H598" s="1568" t="s">
        <v>35</v>
      </c>
      <c r="I598" s="32"/>
      <c r="J598" s="32"/>
      <c r="K598" s="33"/>
      <c r="L598" s="1387"/>
      <c r="M598" s="33"/>
      <c r="N598" s="33"/>
      <c r="O598" s="33"/>
      <c r="P598" s="33"/>
      <c r="Q598" s="33"/>
      <c r="R598" s="33"/>
      <c r="S598" s="33"/>
      <c r="T598" s="33"/>
      <c r="U598" s="33"/>
    </row>
    <row r="599" spans="1:21" ht="19.5" x14ac:dyDescent="0.3">
      <c r="A599" s="128"/>
      <c r="B599" s="158"/>
      <c r="C599" s="177" t="s">
        <v>18</v>
      </c>
      <c r="D599" s="1569" t="s">
        <v>19</v>
      </c>
      <c r="E599" s="1285"/>
      <c r="F599" s="1285"/>
      <c r="G599" s="1286"/>
      <c r="H599" s="375" t="s">
        <v>14</v>
      </c>
      <c r="I599" s="44"/>
      <c r="J599" s="44"/>
      <c r="K599" s="45"/>
      <c r="L599" s="1389">
        <f t="shared" ref="L599:N599" ca="1" si="368">L600+L601</f>
        <v>12967</v>
      </c>
      <c r="M599" s="1390">
        <f t="shared" ca="1" si="368"/>
        <v>0</v>
      </c>
      <c r="N599" s="1390">
        <f t="shared" ca="1" si="368"/>
        <v>0</v>
      </c>
      <c r="O599" s="1390">
        <f t="shared" ref="O599:O607" ca="1" si="369">IF(L599&gt;0,N599*100/L599,0)</f>
        <v>0</v>
      </c>
      <c r="P599" s="1390">
        <f t="shared" ref="P599:P607" ca="1" si="370">IF(M599&gt;0,N599*100/M599,0)</f>
        <v>0</v>
      </c>
      <c r="Q599" s="1390">
        <f t="shared" ref="Q599:S599" ca="1" si="371">Q600+Q601</f>
        <v>0</v>
      </c>
      <c r="R599" s="1390">
        <f t="shared" ca="1" si="371"/>
        <v>0</v>
      </c>
      <c r="S599" s="1390">
        <f t="shared" ca="1" si="371"/>
        <v>0</v>
      </c>
      <c r="T599" s="1390">
        <f t="shared" ref="T599:T607" ca="1" si="372">IF(Q599&gt;0,S599*100/Q599,0)</f>
        <v>0</v>
      </c>
      <c r="U599" s="1390">
        <f t="shared" ref="U599:U607" ca="1" si="373">IF(R599&gt;0,S599*100/R599,0)</f>
        <v>0</v>
      </c>
    </row>
    <row r="600" spans="1:21" ht="18.75" x14ac:dyDescent="0.25">
      <c r="A600" s="128"/>
      <c r="B600" s="158"/>
      <c r="C600" s="158"/>
      <c r="D600" s="145"/>
      <c r="E600" s="156" t="s">
        <v>158</v>
      </c>
      <c r="F600" s="40"/>
      <c r="G600" s="42"/>
      <c r="H600" s="159" t="s">
        <v>14</v>
      </c>
      <c r="I600" s="44"/>
      <c r="J600" s="44"/>
      <c r="K600" s="45"/>
      <c r="L600" s="1358">
        <f t="shared" ref="L600:N601" si="374">L603+L606</f>
        <v>0</v>
      </c>
      <c r="M600" s="83">
        <f t="shared" si="374"/>
        <v>0</v>
      </c>
      <c r="N600" s="83">
        <f t="shared" si="374"/>
        <v>0</v>
      </c>
      <c r="O600" s="83">
        <f t="shared" si="369"/>
        <v>0</v>
      </c>
      <c r="P600" s="83">
        <f t="shared" si="370"/>
        <v>0</v>
      </c>
      <c r="Q600" s="83">
        <f t="shared" ref="Q600:S601" si="375">Q603+Q606</f>
        <v>0</v>
      </c>
      <c r="R600" s="83">
        <f t="shared" si="375"/>
        <v>0</v>
      </c>
      <c r="S600" s="83">
        <f t="shared" si="375"/>
        <v>0</v>
      </c>
      <c r="T600" s="83">
        <f t="shared" si="372"/>
        <v>0</v>
      </c>
      <c r="U600" s="83">
        <f t="shared" si="373"/>
        <v>0</v>
      </c>
    </row>
    <row r="601" spans="1:21" ht="18.75" x14ac:dyDescent="0.25">
      <c r="A601" s="128"/>
      <c r="B601" s="158"/>
      <c r="C601" s="158"/>
      <c r="D601" s="145"/>
      <c r="E601" s="156" t="s">
        <v>159</v>
      </c>
      <c r="F601" s="40"/>
      <c r="G601" s="42"/>
      <c r="H601" s="159" t="s">
        <v>14</v>
      </c>
      <c r="I601" s="44"/>
      <c r="J601" s="44"/>
      <c r="K601" s="45"/>
      <c r="L601" s="1356">
        <f t="shared" ca="1" si="374"/>
        <v>12967</v>
      </c>
      <c r="M601" s="224">
        <f t="shared" ca="1" si="374"/>
        <v>0</v>
      </c>
      <c r="N601" s="224">
        <f t="shared" ca="1" si="374"/>
        <v>0</v>
      </c>
      <c r="O601" s="224">
        <f t="shared" ca="1" si="369"/>
        <v>0</v>
      </c>
      <c r="P601" s="224">
        <f t="shared" ca="1" si="370"/>
        <v>0</v>
      </c>
      <c r="Q601" s="224">
        <f t="shared" ca="1" si="375"/>
        <v>0</v>
      </c>
      <c r="R601" s="224">
        <f t="shared" ca="1" si="375"/>
        <v>0</v>
      </c>
      <c r="S601" s="224">
        <f t="shared" ca="1" si="375"/>
        <v>0</v>
      </c>
      <c r="T601" s="224">
        <f t="shared" ca="1" si="372"/>
        <v>0</v>
      </c>
      <c r="U601" s="224">
        <f t="shared" ca="1" si="373"/>
        <v>0</v>
      </c>
    </row>
    <row r="602" spans="1:21" ht="19.5" x14ac:dyDescent="0.3">
      <c r="A602" s="128"/>
      <c r="B602" s="158"/>
      <c r="C602" s="158"/>
      <c r="D602" s="1434" t="s">
        <v>22</v>
      </c>
      <c r="E602" s="40"/>
      <c r="F602" s="40"/>
      <c r="G602" s="42"/>
      <c r="H602" s="375" t="s">
        <v>14</v>
      </c>
      <c r="I602" s="135"/>
      <c r="J602" s="135"/>
      <c r="K602" s="136"/>
      <c r="L602" s="1356">
        <f t="shared" ref="L602:N602" ca="1" si="376">L603+L604</f>
        <v>12967</v>
      </c>
      <c r="M602" s="224">
        <f t="shared" ca="1" si="376"/>
        <v>0</v>
      </c>
      <c r="N602" s="224">
        <f t="shared" ca="1" si="376"/>
        <v>0</v>
      </c>
      <c r="O602" s="224">
        <f t="shared" ca="1" si="369"/>
        <v>0</v>
      </c>
      <c r="P602" s="224">
        <f t="shared" ca="1" si="370"/>
        <v>0</v>
      </c>
      <c r="Q602" s="224">
        <f t="shared" ref="Q602:S602" ca="1" si="377">Q603+Q604</f>
        <v>0</v>
      </c>
      <c r="R602" s="224">
        <f t="shared" ca="1" si="377"/>
        <v>0</v>
      </c>
      <c r="S602" s="224">
        <f t="shared" ca="1" si="377"/>
        <v>0</v>
      </c>
      <c r="T602" s="224">
        <f t="shared" ca="1" si="372"/>
        <v>0</v>
      </c>
      <c r="U602" s="224">
        <f t="shared" ca="1" si="373"/>
        <v>0</v>
      </c>
    </row>
    <row r="603" spans="1:21" ht="18.75" x14ac:dyDescent="0.25">
      <c r="A603" s="128"/>
      <c r="B603" s="158"/>
      <c r="C603" s="158"/>
      <c r="D603" s="145"/>
      <c r="E603" s="156" t="s">
        <v>158</v>
      </c>
      <c r="F603" s="40"/>
      <c r="G603" s="42"/>
      <c r="H603" s="159" t="s">
        <v>14</v>
      </c>
      <c r="I603" s="44"/>
      <c r="J603" s="44"/>
      <c r="K603" s="45"/>
      <c r="L603" s="1358">
        <v>0</v>
      </c>
      <c r="M603" s="83">
        <v>0</v>
      </c>
      <c r="N603" s="83">
        <v>0</v>
      </c>
      <c r="O603" s="83">
        <f t="shared" si="369"/>
        <v>0</v>
      </c>
      <c r="P603" s="83">
        <f t="shared" si="370"/>
        <v>0</v>
      </c>
      <c r="Q603" s="83">
        <v>0</v>
      </c>
      <c r="R603" s="83">
        <v>0</v>
      </c>
      <c r="S603" s="83">
        <v>0</v>
      </c>
      <c r="T603" s="83">
        <f t="shared" si="372"/>
        <v>0</v>
      </c>
      <c r="U603" s="83">
        <f t="shared" si="373"/>
        <v>0</v>
      </c>
    </row>
    <row r="604" spans="1:21" ht="18.75" x14ac:dyDescent="0.25">
      <c r="A604" s="128"/>
      <c r="B604" s="158"/>
      <c r="C604" s="158"/>
      <c r="D604" s="145"/>
      <c r="E604" s="156" t="s">
        <v>159</v>
      </c>
      <c r="F604" s="40"/>
      <c r="G604" s="42"/>
      <c r="H604" s="159" t="s">
        <v>14</v>
      </c>
      <c r="I604" s="44"/>
      <c r="J604" s="44"/>
      <c r="K604" s="45"/>
      <c r="L604" s="1356">
        <f ca="1">IFERROR(__xludf.DUMMYFUNCTION("IMPORTRANGE(""https://docs.google.com/spreadsheets/d/1-uDff_7J0KD5mKrp0Vvzr7lt3OU09vwQwhkpOPPYv2Y/edit?usp=sharing"",""งบพรบ!HK25"")"),12967)</f>
        <v>12967</v>
      </c>
      <c r="M604" s="224">
        <f ca="1">IFERROR(__xludf.DUMMYFUNCTION("IMPORTRANGE(""https://docs.google.com/spreadsheets/d/1-uDff_7J0KD5mKrp0Vvzr7lt3OU09vwQwhkpOPPYv2Y/edit?usp=sharing"",""งบพรบ!HP25"")"),0)</f>
        <v>0</v>
      </c>
      <c r="N604" s="224">
        <f ca="1">IFERROR(__xludf.DUMMYFUNCTION("IMPORTRANGE(""https://docs.google.com/spreadsheets/d/1-uDff_7J0KD5mKrp0Vvzr7lt3OU09vwQwhkpOPPYv2Y/edit?usp=sharing"",""งบพรบ!HR25"")"),0)</f>
        <v>0</v>
      </c>
      <c r="O604" s="224">
        <f t="shared" ca="1" si="369"/>
        <v>0</v>
      </c>
      <c r="P604" s="224">
        <f t="shared" ca="1" si="370"/>
        <v>0</v>
      </c>
      <c r="Q604" s="224">
        <f ca="1">IFERROR(__xludf.DUMMYFUNCTION("IMPORTRANGE(""https://docs.google.com/spreadsheets/d/1ItG2mGa2ceCfYo0BwxsXqNm01IGEUdYcSSLTEv9YCik/edit?usp=sharing"",""เบิกจ่ายกองทุน!AV25"")"),0)</f>
        <v>0</v>
      </c>
      <c r="R604" s="224">
        <f ca="1">IFERROR(__xludf.DUMMYFUNCTION("IMPORTRANGE(""https://docs.google.com/spreadsheets/d/1ItG2mGa2ceCfYo0BwxsXqNm01IGEUdYcSSLTEv9YCik/edit?usp=sharing"",""เบิกจ่ายกองทุน!AW25"")"),0)</f>
        <v>0</v>
      </c>
      <c r="S604" s="224">
        <f ca="1">IFERROR(__xludf.DUMMYFUNCTION("IMPORTRANGE(""https://docs.google.com/spreadsheets/d/1ItG2mGa2ceCfYo0BwxsXqNm01IGEUdYcSSLTEv9YCik/edit?usp=sharing"",""เบิกจ่ายกองทุน!AX25"")"),0)</f>
        <v>0</v>
      </c>
      <c r="T604" s="224">
        <f t="shared" ca="1" si="372"/>
        <v>0</v>
      </c>
      <c r="U604" s="224">
        <f t="shared" ca="1" si="373"/>
        <v>0</v>
      </c>
    </row>
    <row r="605" spans="1:21" ht="19.5" x14ac:dyDescent="0.3">
      <c r="A605" s="128"/>
      <c r="B605" s="158"/>
      <c r="C605" s="158"/>
      <c r="D605" s="1434" t="s">
        <v>23</v>
      </c>
      <c r="E605" s="158"/>
      <c r="F605" s="40"/>
      <c r="G605" s="42"/>
      <c r="H605" s="377" t="s">
        <v>14</v>
      </c>
      <c r="I605" s="135"/>
      <c r="J605" s="135"/>
      <c r="K605" s="136"/>
      <c r="L605" s="1356">
        <f t="shared" ref="L605:N605" ca="1" si="378">L606+L607</f>
        <v>0</v>
      </c>
      <c r="M605" s="224">
        <f t="shared" ca="1" si="378"/>
        <v>0</v>
      </c>
      <c r="N605" s="224">
        <f t="shared" ca="1" si="378"/>
        <v>0</v>
      </c>
      <c r="O605" s="224">
        <f t="shared" ca="1" si="369"/>
        <v>0</v>
      </c>
      <c r="P605" s="224">
        <f t="shared" ca="1" si="370"/>
        <v>0</v>
      </c>
      <c r="Q605" s="224">
        <f t="shared" ref="Q605:S605" ca="1" si="379">Q606+Q607</f>
        <v>0</v>
      </c>
      <c r="R605" s="224">
        <f t="shared" ca="1" si="379"/>
        <v>0</v>
      </c>
      <c r="S605" s="224">
        <f t="shared" ca="1" si="379"/>
        <v>0</v>
      </c>
      <c r="T605" s="224">
        <f t="shared" ca="1" si="372"/>
        <v>0</v>
      </c>
      <c r="U605" s="224">
        <f t="shared" ca="1" si="373"/>
        <v>0</v>
      </c>
    </row>
    <row r="606" spans="1:21" ht="18.75" x14ac:dyDescent="0.25">
      <c r="A606" s="128"/>
      <c r="B606" s="158"/>
      <c r="C606" s="158"/>
      <c r="D606" s="158"/>
      <c r="E606" s="314" t="s">
        <v>20</v>
      </c>
      <c r="F606" s="40"/>
      <c r="G606" s="42"/>
      <c r="H606" s="159" t="s">
        <v>14</v>
      </c>
      <c r="I606" s="135"/>
      <c r="J606" s="135"/>
      <c r="K606" s="136"/>
      <c r="L606" s="1358">
        <v>0</v>
      </c>
      <c r="M606" s="83">
        <v>0</v>
      </c>
      <c r="N606" s="83">
        <v>0</v>
      </c>
      <c r="O606" s="83">
        <f t="shared" si="369"/>
        <v>0</v>
      </c>
      <c r="P606" s="83">
        <f t="shared" si="370"/>
        <v>0</v>
      </c>
      <c r="Q606" s="83">
        <v>0</v>
      </c>
      <c r="R606" s="83">
        <v>0</v>
      </c>
      <c r="S606" s="83">
        <v>0</v>
      </c>
      <c r="T606" s="83">
        <f t="shared" si="372"/>
        <v>0</v>
      </c>
      <c r="U606" s="83">
        <f t="shared" si="373"/>
        <v>0</v>
      </c>
    </row>
    <row r="607" spans="1:21" ht="18.75" x14ac:dyDescent="0.25">
      <c r="A607" s="128"/>
      <c r="B607" s="158"/>
      <c r="C607" s="158"/>
      <c r="D607" s="40"/>
      <c r="E607" s="314" t="s">
        <v>21</v>
      </c>
      <c r="F607" s="40"/>
      <c r="G607" s="42"/>
      <c r="H607" s="378" t="s">
        <v>14</v>
      </c>
      <c r="I607" s="135"/>
      <c r="J607" s="135"/>
      <c r="K607" s="136"/>
      <c r="L607" s="1356">
        <f ca="1">IFERROR(__xludf.DUMMYFUNCTION("IMPORTRANGE(""https://docs.google.com/spreadsheets/d/1-uDff_7J0KD5mKrp0Vvzr7lt3OU09vwQwhkpOPPYv2Y/edit?usp=sharing"",""งบพรบ!HN25"")"),0)</f>
        <v>0</v>
      </c>
      <c r="M607" s="224">
        <f ca="1">IFERROR(__xludf.DUMMYFUNCTION("IMPORTRANGE(""https://docs.google.com/spreadsheets/d/1-uDff_7J0KD5mKrp0Vvzr7lt3OU09vwQwhkpOPPYv2Y/edit?usp=sharing"",""งบพรบ!HQ25"")"),0)</f>
        <v>0</v>
      </c>
      <c r="N607" s="224">
        <f ca="1">IFERROR(__xludf.DUMMYFUNCTION("IMPORTRANGE(""https://docs.google.com/spreadsheets/d/1-uDff_7J0KD5mKrp0Vvzr7lt3OU09vwQwhkpOPPYv2Y/edit?usp=sharing"",""งบพรบ!HS25"")"),0)</f>
        <v>0</v>
      </c>
      <c r="O607" s="224">
        <f t="shared" ca="1" si="369"/>
        <v>0</v>
      </c>
      <c r="P607" s="224">
        <f t="shared" ca="1" si="370"/>
        <v>0</v>
      </c>
      <c r="Q607" s="224">
        <f ca="1">IFERROR(__xludf.DUMMYFUNCTION("IMPORTRANGE(""https://docs.google.com/spreadsheets/d/1ItG2mGa2ceCfYo0BwxsXqNm01IGEUdYcSSLTEv9YCik/edit?usp=sharing"",""เบิกจ่ายกองทุน!AY25"")"),0)</f>
        <v>0</v>
      </c>
      <c r="R607" s="224">
        <f ca="1">IFERROR(__xludf.DUMMYFUNCTION("IMPORTRANGE(""https://docs.google.com/spreadsheets/d/1ItG2mGa2ceCfYo0BwxsXqNm01IGEUdYcSSLTEv9YCik/edit?usp=sharing"",""เบิกจ่ายกองทุน!AZ25"")"),0)</f>
        <v>0</v>
      </c>
      <c r="S607" s="224">
        <f ca="1">IFERROR(__xludf.DUMMYFUNCTION("IMPORTRANGE(""https://docs.google.com/spreadsheets/d/1ItG2mGa2ceCfYo0BwxsXqNm01IGEUdYcSSLTEv9YCik/edit?usp=sharing"",""เบิกจ่ายกองทุน!BA25"")"),0)</f>
        <v>0</v>
      </c>
      <c r="T607" s="224">
        <f t="shared" ca="1" si="372"/>
        <v>0</v>
      </c>
      <c r="U607" s="224">
        <f t="shared" ca="1" si="373"/>
        <v>0</v>
      </c>
    </row>
    <row r="608" spans="1:21" ht="19.5" x14ac:dyDescent="0.3">
      <c r="A608" s="138"/>
      <c r="B608" s="139"/>
      <c r="C608" s="177" t="s">
        <v>18</v>
      </c>
      <c r="D608" s="1436" t="s">
        <v>38</v>
      </c>
      <c r="E608" s="141"/>
      <c r="F608" s="141"/>
      <c r="G608" s="142"/>
      <c r="H608" s="178"/>
      <c r="I608" s="135"/>
      <c r="J608" s="135"/>
      <c r="K608" s="136"/>
      <c r="L608" s="1359"/>
      <c r="M608" s="45"/>
      <c r="N608" s="45"/>
      <c r="O608" s="45"/>
      <c r="P608" s="45"/>
      <c r="Q608" s="45"/>
      <c r="R608" s="45"/>
      <c r="S608" s="45"/>
      <c r="T608" s="45"/>
      <c r="U608" s="45"/>
    </row>
    <row r="609" spans="1:21" ht="18.75" x14ac:dyDescent="0.25">
      <c r="A609" s="138"/>
      <c r="B609" s="139"/>
      <c r="C609" s="139"/>
      <c r="D609" s="379" t="s">
        <v>216</v>
      </c>
      <c r="E609" s="145"/>
      <c r="F609" s="145"/>
      <c r="G609" s="143"/>
      <c r="H609" s="159" t="s">
        <v>99</v>
      </c>
      <c r="I609" s="44"/>
      <c r="J609" s="44"/>
      <c r="K609" s="136"/>
      <c r="L609" s="1359"/>
      <c r="M609" s="45"/>
      <c r="N609" s="45"/>
      <c r="O609" s="45"/>
      <c r="P609" s="45"/>
      <c r="Q609" s="45"/>
      <c r="R609" s="45"/>
      <c r="S609" s="45"/>
      <c r="T609" s="45"/>
      <c r="U609" s="45"/>
    </row>
    <row r="610" spans="1:21" ht="19.5" x14ac:dyDescent="0.3">
      <c r="A610" s="138"/>
      <c r="B610" s="139"/>
      <c r="C610" s="139"/>
      <c r="D610" s="379" t="s">
        <v>217</v>
      </c>
      <c r="E610" s="145"/>
      <c r="F610" s="145"/>
      <c r="G610" s="143"/>
      <c r="H610" s="375" t="s">
        <v>35</v>
      </c>
      <c r="I610" s="44"/>
      <c r="J610" s="44"/>
      <c r="K610" s="136"/>
      <c r="L610" s="1359"/>
      <c r="M610" s="45"/>
      <c r="N610" s="45"/>
      <c r="O610" s="45"/>
      <c r="P610" s="45"/>
      <c r="Q610" s="45"/>
      <c r="R610" s="45"/>
      <c r="S610" s="45"/>
      <c r="T610" s="45"/>
      <c r="U610" s="45"/>
    </row>
    <row r="611" spans="1:21" ht="18.75" x14ac:dyDescent="0.25">
      <c r="A611" s="138"/>
      <c r="B611" s="139"/>
      <c r="C611" s="139"/>
      <c r="D611" s="139"/>
      <c r="E611" s="379" t="s">
        <v>218</v>
      </c>
      <c r="F611" s="145"/>
      <c r="G611" s="143"/>
      <c r="H611" s="378" t="s">
        <v>35</v>
      </c>
      <c r="I611" s="44"/>
      <c r="J611" s="44"/>
      <c r="K611" s="136"/>
      <c r="L611" s="1359"/>
      <c r="M611" s="45"/>
      <c r="N611" s="45"/>
      <c r="O611" s="45"/>
      <c r="P611" s="45"/>
      <c r="Q611" s="45"/>
      <c r="R611" s="45"/>
      <c r="S611" s="45"/>
      <c r="T611" s="45"/>
      <c r="U611" s="45"/>
    </row>
    <row r="612" spans="1:21" ht="19.5" thickBot="1" x14ac:dyDescent="0.3">
      <c r="A612" s="1570"/>
      <c r="B612" s="1571"/>
      <c r="C612" s="1571"/>
      <c r="D612" s="1571"/>
      <c r="E612" s="1572" t="s">
        <v>219</v>
      </c>
      <c r="F612" s="1573"/>
      <c r="G612" s="1574"/>
      <c r="H612" s="1575" t="s">
        <v>35</v>
      </c>
      <c r="I612" s="1576"/>
      <c r="J612" s="1576"/>
      <c r="K612" s="1577"/>
      <c r="L612" s="1578"/>
      <c r="M612" s="1579"/>
      <c r="N612" s="1579"/>
      <c r="O612" s="1579"/>
      <c r="P612" s="1579"/>
      <c r="Q612" s="1579"/>
      <c r="R612" s="1579"/>
      <c r="S612" s="1579"/>
      <c r="T612" s="1579"/>
      <c r="U612" s="1579"/>
    </row>
    <row r="613" spans="1:21" ht="19.5" x14ac:dyDescent="0.3">
      <c r="A613" s="380" t="s">
        <v>220</v>
      </c>
      <c r="B613" s="381"/>
      <c r="C613" s="381"/>
      <c r="D613" s="382"/>
      <c r="E613" s="382"/>
      <c r="F613" s="382"/>
      <c r="G613" s="383"/>
      <c r="H613" s="384"/>
      <c r="I613" s="385"/>
      <c r="J613" s="385"/>
      <c r="K613" s="386"/>
      <c r="L613" s="1580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x14ac:dyDescent="0.3">
      <c r="A614" s="387"/>
      <c r="B614" s="388" t="s">
        <v>221</v>
      </c>
      <c r="C614" s="387"/>
      <c r="D614" s="389"/>
      <c r="E614" s="389"/>
      <c r="F614" s="389"/>
      <c r="G614" s="390"/>
      <c r="H614" s="391"/>
      <c r="I614" s="392"/>
      <c r="J614" s="392"/>
      <c r="K614" s="393"/>
      <c r="L614" s="158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222</v>
      </c>
      <c r="C615" s="394"/>
      <c r="D615" s="396"/>
      <c r="E615" s="396"/>
      <c r="F615" s="396"/>
      <c r="G615" s="397"/>
      <c r="H615" s="398" t="s">
        <v>46</v>
      </c>
      <c r="I615" s="1582">
        <f t="shared" ref="I615:J615" ca="1" si="380">I626</f>
        <v>50</v>
      </c>
      <c r="J615" s="1582">
        <f t="shared" si="380"/>
        <v>0</v>
      </c>
      <c r="K615" s="1583">
        <f ca="1">IF(I615&gt;0,J615*100/I615,0)</f>
        <v>0</v>
      </c>
      <c r="L615" s="1584"/>
      <c r="M615" s="401"/>
      <c r="N615" s="401"/>
      <c r="O615" s="401"/>
      <c r="P615" s="401"/>
      <c r="Q615" s="401"/>
      <c r="R615" s="401"/>
      <c r="S615" s="401"/>
      <c r="T615" s="401"/>
      <c r="U615" s="401"/>
    </row>
    <row r="616" spans="1:21" ht="19.5" x14ac:dyDescent="0.3">
      <c r="A616" s="128"/>
      <c r="B616" s="158"/>
      <c r="C616" s="177" t="s">
        <v>18</v>
      </c>
      <c r="D616" s="1585" t="s">
        <v>19</v>
      </c>
      <c r="E616" s="1285"/>
      <c r="F616" s="1285"/>
      <c r="G616" s="1286"/>
      <c r="H616" s="221" t="s">
        <v>14</v>
      </c>
      <c r="I616" s="44"/>
      <c r="J616" s="44"/>
      <c r="K616" s="45"/>
      <c r="L616" s="1389">
        <f t="shared" ref="L616:N616" si="381">L617+L618</f>
        <v>0</v>
      </c>
      <c r="M616" s="1390">
        <f t="shared" si="381"/>
        <v>0</v>
      </c>
      <c r="N616" s="1390">
        <f t="shared" si="381"/>
        <v>0</v>
      </c>
      <c r="O616" s="1390">
        <f t="shared" ref="O616:O624" si="382">IF(L616&gt;0,N616*100/L616,0)</f>
        <v>0</v>
      </c>
      <c r="P616" s="1390">
        <f t="shared" ref="P616:P624" si="383">IF(M616&gt;0,N616*100/M616,0)</f>
        <v>0</v>
      </c>
      <c r="Q616" s="1390">
        <f t="shared" ref="Q616:S616" ca="1" si="384">Q617+Q618</f>
        <v>7275</v>
      </c>
      <c r="R616" s="1390">
        <f t="shared" ca="1" si="384"/>
        <v>7275</v>
      </c>
      <c r="S616" s="1390">
        <f t="shared" ca="1" si="384"/>
        <v>0</v>
      </c>
      <c r="T616" s="1390">
        <f t="shared" ref="T616:T624" ca="1" si="385">IF(Q616&gt;0,S616*100/Q616,0)</f>
        <v>0</v>
      </c>
      <c r="U616" s="1390">
        <f t="shared" ref="U616:U624" ca="1" si="386">IF(R616&gt;0,S616*100/R616,0)</f>
        <v>0</v>
      </c>
    </row>
    <row r="617" spans="1:21" ht="18.75" x14ac:dyDescent="0.25">
      <c r="A617" s="128"/>
      <c r="B617" s="158"/>
      <c r="C617" s="158"/>
      <c r="D617" s="145"/>
      <c r="E617" s="156" t="s">
        <v>158</v>
      </c>
      <c r="F617" s="40"/>
      <c r="G617" s="42"/>
      <c r="H617" s="159" t="s">
        <v>14</v>
      </c>
      <c r="I617" s="44"/>
      <c r="J617" s="44"/>
      <c r="K617" s="45"/>
      <c r="L617" s="1358">
        <f t="shared" ref="L617:N618" si="387">L620+L623</f>
        <v>0</v>
      </c>
      <c r="M617" s="83">
        <f t="shared" si="387"/>
        <v>0</v>
      </c>
      <c r="N617" s="83">
        <f t="shared" si="387"/>
        <v>0</v>
      </c>
      <c r="O617" s="83">
        <f t="shared" si="382"/>
        <v>0</v>
      </c>
      <c r="P617" s="83">
        <f t="shared" si="383"/>
        <v>0</v>
      </c>
      <c r="Q617" s="83">
        <f t="shared" ref="Q617:S618" si="388">Q620+Q623</f>
        <v>0</v>
      </c>
      <c r="R617" s="83">
        <f t="shared" si="388"/>
        <v>0</v>
      </c>
      <c r="S617" s="83">
        <f t="shared" si="388"/>
        <v>0</v>
      </c>
      <c r="T617" s="83">
        <f t="shared" si="385"/>
        <v>0</v>
      </c>
      <c r="U617" s="83">
        <f t="shared" si="386"/>
        <v>0</v>
      </c>
    </row>
    <row r="618" spans="1:21" ht="18.75" x14ac:dyDescent="0.25">
      <c r="A618" s="128"/>
      <c r="B618" s="158"/>
      <c r="C618" s="158"/>
      <c r="D618" s="145"/>
      <c r="E618" s="47" t="s">
        <v>159</v>
      </c>
      <c r="F618" s="40"/>
      <c r="G618" s="42"/>
      <c r="H618" s="134" t="s">
        <v>14</v>
      </c>
      <c r="I618" s="44"/>
      <c r="J618" s="44"/>
      <c r="K618" s="45"/>
      <c r="L618" s="1356">
        <f t="shared" si="387"/>
        <v>0</v>
      </c>
      <c r="M618" s="224">
        <f t="shared" si="387"/>
        <v>0</v>
      </c>
      <c r="N618" s="224">
        <f t="shared" si="387"/>
        <v>0</v>
      </c>
      <c r="O618" s="224">
        <f t="shared" si="382"/>
        <v>0</v>
      </c>
      <c r="P618" s="224">
        <f t="shared" si="383"/>
        <v>0</v>
      </c>
      <c r="Q618" s="224">
        <f t="shared" ca="1" si="388"/>
        <v>7275</v>
      </c>
      <c r="R618" s="224">
        <f t="shared" ca="1" si="388"/>
        <v>7275</v>
      </c>
      <c r="S618" s="224">
        <f t="shared" ca="1" si="388"/>
        <v>0</v>
      </c>
      <c r="T618" s="224">
        <f t="shared" ca="1" si="385"/>
        <v>0</v>
      </c>
      <c r="U618" s="224">
        <f t="shared" ca="1" si="386"/>
        <v>0</v>
      </c>
    </row>
    <row r="619" spans="1:21" ht="18.75" x14ac:dyDescent="0.25">
      <c r="A619" s="128"/>
      <c r="B619" s="158"/>
      <c r="C619" s="158"/>
      <c r="D619" s="41" t="s">
        <v>22</v>
      </c>
      <c r="E619" s="40"/>
      <c r="F619" s="40"/>
      <c r="G619" s="42"/>
      <c r="H619" s="134" t="s">
        <v>14</v>
      </c>
      <c r="I619" s="135"/>
      <c r="J619" s="135"/>
      <c r="K619" s="136"/>
      <c r="L619" s="1356">
        <f t="shared" ref="L619:N619" si="389">L620+L621</f>
        <v>0</v>
      </c>
      <c r="M619" s="224">
        <f t="shared" si="389"/>
        <v>0</v>
      </c>
      <c r="N619" s="224">
        <f t="shared" si="389"/>
        <v>0</v>
      </c>
      <c r="O619" s="224">
        <f t="shared" si="382"/>
        <v>0</v>
      </c>
      <c r="P619" s="224">
        <f t="shared" si="383"/>
        <v>0</v>
      </c>
      <c r="Q619" s="224">
        <f t="shared" ref="Q619:S619" ca="1" si="390">Q620+Q621</f>
        <v>7275</v>
      </c>
      <c r="R619" s="224">
        <f t="shared" ca="1" si="390"/>
        <v>7275</v>
      </c>
      <c r="S619" s="224">
        <f t="shared" ca="1" si="390"/>
        <v>0</v>
      </c>
      <c r="T619" s="224">
        <f t="shared" ca="1" si="385"/>
        <v>0</v>
      </c>
      <c r="U619" s="224">
        <f t="shared" ca="1" si="386"/>
        <v>0</v>
      </c>
    </row>
    <row r="620" spans="1:21" ht="18.75" x14ac:dyDescent="0.25">
      <c r="A620" s="128"/>
      <c r="B620" s="158"/>
      <c r="C620" s="158"/>
      <c r="D620" s="145"/>
      <c r="E620" s="156" t="s">
        <v>158</v>
      </c>
      <c r="F620" s="40"/>
      <c r="G620" s="42"/>
      <c r="H620" s="159" t="s">
        <v>14</v>
      </c>
      <c r="I620" s="44"/>
      <c r="J620" s="44"/>
      <c r="K620" s="45"/>
      <c r="L620" s="1358">
        <v>0</v>
      </c>
      <c r="M620" s="83">
        <v>0</v>
      </c>
      <c r="N620" s="83">
        <v>0</v>
      </c>
      <c r="O620" s="83">
        <f t="shared" si="382"/>
        <v>0</v>
      </c>
      <c r="P620" s="83">
        <f t="shared" si="383"/>
        <v>0</v>
      </c>
      <c r="Q620" s="83">
        <v>0</v>
      </c>
      <c r="R620" s="83">
        <v>0</v>
      </c>
      <c r="S620" s="83">
        <v>0</v>
      </c>
      <c r="T620" s="83">
        <f t="shared" si="385"/>
        <v>0</v>
      </c>
      <c r="U620" s="83">
        <f t="shared" si="386"/>
        <v>0</v>
      </c>
    </row>
    <row r="621" spans="1:21" ht="18.75" x14ac:dyDescent="0.25">
      <c r="A621" s="128"/>
      <c r="B621" s="158"/>
      <c r="C621" s="158"/>
      <c r="D621" s="145"/>
      <c r="E621" s="47" t="s">
        <v>159</v>
      </c>
      <c r="F621" s="40"/>
      <c r="G621" s="42"/>
      <c r="H621" s="134" t="s">
        <v>14</v>
      </c>
      <c r="I621" s="44"/>
      <c r="J621" s="44"/>
      <c r="K621" s="45"/>
      <c r="L621" s="1356">
        <v>0</v>
      </c>
      <c r="M621" s="224">
        <v>0</v>
      </c>
      <c r="N621" s="224">
        <v>0</v>
      </c>
      <c r="O621" s="224">
        <f t="shared" si="382"/>
        <v>0</v>
      </c>
      <c r="P621" s="224">
        <f t="shared" si="383"/>
        <v>0</v>
      </c>
      <c r="Q621" s="224">
        <f ca="1">IFERROR(__xludf.DUMMYFUNCTION("IMPORTRANGE(""https://docs.google.com/spreadsheets/d/1ItG2mGa2ceCfYo0BwxsXqNm01IGEUdYcSSLTEv9YCik/edit?usp=sharing"",""เบิกจ่ายกองทุน!F25"")"),7275)</f>
        <v>7275</v>
      </c>
      <c r="R621" s="224">
        <f ca="1">IFERROR(__xludf.DUMMYFUNCTION("IMPORTRANGE(""https://docs.google.com/spreadsheets/d/1ItG2mGa2ceCfYo0BwxsXqNm01IGEUdYcSSLTEv9YCik/edit?usp=sharing"",""เบิกจ่ายกองทุน!G25"")"),7275)</f>
        <v>7275</v>
      </c>
      <c r="S621" s="224">
        <f ca="1">IFERROR(__xludf.DUMMYFUNCTION("IMPORTRANGE(""https://docs.google.com/spreadsheets/d/1ItG2mGa2ceCfYo0BwxsXqNm01IGEUdYcSSLTEv9YCik/edit?usp=sharing"",""เบิกจ่ายกองทุน!H25"")"),0)</f>
        <v>0</v>
      </c>
      <c r="T621" s="224">
        <f t="shared" ca="1" si="385"/>
        <v>0</v>
      </c>
      <c r="U621" s="224">
        <f t="shared" ca="1" si="386"/>
        <v>0</v>
      </c>
    </row>
    <row r="622" spans="1:21" ht="18.75" x14ac:dyDescent="0.25">
      <c r="A622" s="128"/>
      <c r="B622" s="158"/>
      <c r="C622" s="158"/>
      <c r="D622" s="41" t="s">
        <v>23</v>
      </c>
      <c r="E622" s="40"/>
      <c r="F622" s="40"/>
      <c r="G622" s="42"/>
      <c r="H622" s="137" t="s">
        <v>14</v>
      </c>
      <c r="I622" s="135"/>
      <c r="J622" s="135"/>
      <c r="K622" s="136"/>
      <c r="L622" s="1356">
        <f t="shared" ref="L622:N622" si="391">L623+L624</f>
        <v>0</v>
      </c>
      <c r="M622" s="224">
        <f t="shared" si="391"/>
        <v>0</v>
      </c>
      <c r="N622" s="224">
        <f t="shared" si="391"/>
        <v>0</v>
      </c>
      <c r="O622" s="224">
        <f t="shared" si="382"/>
        <v>0</v>
      </c>
      <c r="P622" s="224">
        <f t="shared" si="383"/>
        <v>0</v>
      </c>
      <c r="Q622" s="224">
        <f t="shared" ref="Q622:S622" si="392">Q623+Q624</f>
        <v>0</v>
      </c>
      <c r="R622" s="224">
        <f t="shared" si="392"/>
        <v>0</v>
      </c>
      <c r="S622" s="224">
        <f t="shared" si="392"/>
        <v>0</v>
      </c>
      <c r="T622" s="224">
        <f t="shared" si="385"/>
        <v>0</v>
      </c>
      <c r="U622" s="224">
        <f t="shared" si="386"/>
        <v>0</v>
      </c>
    </row>
    <row r="623" spans="1:21" ht="18.75" x14ac:dyDescent="0.25">
      <c r="A623" s="128"/>
      <c r="B623" s="158"/>
      <c r="C623" s="158"/>
      <c r="D623" s="158"/>
      <c r="E623" s="156" t="s">
        <v>20</v>
      </c>
      <c r="F623" s="40"/>
      <c r="G623" s="42"/>
      <c r="H623" s="159" t="s">
        <v>14</v>
      </c>
      <c r="I623" s="135"/>
      <c r="J623" s="135"/>
      <c r="K623" s="136"/>
      <c r="L623" s="1358">
        <v>0</v>
      </c>
      <c r="M623" s="83">
        <v>0</v>
      </c>
      <c r="N623" s="83">
        <v>0</v>
      </c>
      <c r="O623" s="83">
        <f t="shared" si="382"/>
        <v>0</v>
      </c>
      <c r="P623" s="83">
        <f t="shared" si="383"/>
        <v>0</v>
      </c>
      <c r="Q623" s="83">
        <v>0</v>
      </c>
      <c r="R623" s="83">
        <v>0</v>
      </c>
      <c r="S623" s="83">
        <v>0</v>
      </c>
      <c r="T623" s="83">
        <f t="shared" si="385"/>
        <v>0</v>
      </c>
      <c r="U623" s="83">
        <f t="shared" si="386"/>
        <v>0</v>
      </c>
    </row>
    <row r="624" spans="1:21" ht="18.75" x14ac:dyDescent="0.25">
      <c r="A624" s="128"/>
      <c r="B624" s="158"/>
      <c r="C624" s="158"/>
      <c r="D624" s="158"/>
      <c r="E624" s="47" t="s">
        <v>21</v>
      </c>
      <c r="F624" s="40"/>
      <c r="G624" s="42"/>
      <c r="H624" s="137" t="s">
        <v>14</v>
      </c>
      <c r="I624" s="135"/>
      <c r="J624" s="135"/>
      <c r="K624" s="136"/>
      <c r="L624" s="1356">
        <v>0</v>
      </c>
      <c r="M624" s="224">
        <v>0</v>
      </c>
      <c r="N624" s="224">
        <v>0</v>
      </c>
      <c r="O624" s="224">
        <f t="shared" si="382"/>
        <v>0</v>
      </c>
      <c r="P624" s="224">
        <f t="shared" si="383"/>
        <v>0</v>
      </c>
      <c r="Q624" s="224">
        <v>0</v>
      </c>
      <c r="R624" s="224">
        <v>0</v>
      </c>
      <c r="S624" s="224">
        <v>0</v>
      </c>
      <c r="T624" s="224">
        <f t="shared" si="385"/>
        <v>0</v>
      </c>
      <c r="U624" s="224">
        <f t="shared" si="386"/>
        <v>0</v>
      </c>
    </row>
    <row r="625" spans="1:21" ht="19.5" x14ac:dyDescent="0.3">
      <c r="A625" s="138"/>
      <c r="B625" s="139"/>
      <c r="C625" s="177" t="s">
        <v>18</v>
      </c>
      <c r="D625" s="1586" t="s">
        <v>38</v>
      </c>
      <c r="E625" s="141"/>
      <c r="F625" s="141"/>
      <c r="G625" s="142"/>
      <c r="H625" s="178"/>
      <c r="I625" s="135"/>
      <c r="J625" s="135"/>
      <c r="K625" s="136"/>
      <c r="L625" s="1392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03" t="s">
        <v>223</v>
      </c>
      <c r="E626" s="145"/>
      <c r="F626" s="145"/>
      <c r="G626" s="143"/>
      <c r="H626" s="404" t="s">
        <v>46</v>
      </c>
      <c r="I626" s="328">
        <f ca="1">IFERROR(__xludf.DUMMYFUNCTION("IMPORTRANGE(""https://docs.google.com/spreadsheets/d/1eHaY18a8A9IcSdp1K8H6x8fbOy06t2VsZHhMHf-1x7Y/edit?usp=sharing"",""แผน!ID25"")"),50)</f>
        <v>50</v>
      </c>
      <c r="J626" s="328">
        <f>J632</f>
        <v>0</v>
      </c>
      <c r="K626" s="1390">
        <f ca="1">IF(I626&gt;0,J626*100/I626,0)</f>
        <v>0</v>
      </c>
      <c r="L626" s="1392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84">
        <f ca="1">IFERROR(__xludf.DUMMYFUNCTION("IMPORTRANGE(""https://docs.google.com/spreadsheets/d/1eHaY18a8A9IcSdp1K8H6x8fbOy06t2VsZHhMHf-1x7Y/edit?usp=sharing"",""แผน!IC25"")"),1)</f>
        <v>1</v>
      </c>
      <c r="J627" s="1395">
        <v>0</v>
      </c>
      <c r="K627" s="224">
        <f t="shared" ref="K627:K628" ca="1" si="393">IF(I627&gt;0,(J627*100)/I627,0)</f>
        <v>0</v>
      </c>
      <c r="L627" s="1392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84">
        <f ca="1">IFERROR(__xludf.DUMMYFUNCTION("IMPORTRANGE(""https://docs.google.com/spreadsheets/d/1eHaY18a8A9IcSdp1K8H6x8fbOy06t2VsZHhMHf-1x7Y/edit?usp=sharing"",""แผน!IC25"")"),1)</f>
        <v>1</v>
      </c>
      <c r="J628" s="1395">
        <v>0</v>
      </c>
      <c r="K628" s="224">
        <f t="shared" ca="1" si="393"/>
        <v>0</v>
      </c>
      <c r="L628" s="1392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4"/>
      <c r="J629" s="1395">
        <v>0</v>
      </c>
      <c r="K629" s="224">
        <f t="shared" ref="K629:K631" ca="1" si="394">IF(I$626&gt;0,J629*100/I$626,0)</f>
        <v>0</v>
      </c>
      <c r="L629" s="1392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4"/>
      <c r="J630" s="1395">
        <v>0</v>
      </c>
      <c r="K630" s="224">
        <f t="shared" ca="1" si="394"/>
        <v>0</v>
      </c>
      <c r="L630" s="1392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4"/>
      <c r="J631" s="1395">
        <v>0</v>
      </c>
      <c r="K631" s="224">
        <f t="shared" ca="1" si="394"/>
        <v>0</v>
      </c>
      <c r="L631" s="1392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4"/>
      <c r="J632" s="328">
        <f>J633+J634</f>
        <v>0</v>
      </c>
      <c r="K632" s="1390">
        <f ca="1">IF(I626&gt;0,J632*100/I626,0)</f>
        <v>0</v>
      </c>
      <c r="L632" s="1392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4"/>
      <c r="J633" s="1395">
        <v>0</v>
      </c>
      <c r="K633" s="45"/>
      <c r="L633" s="1392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4"/>
      <c r="J634" s="1395">
        <v>0</v>
      </c>
      <c r="K634" s="45"/>
      <c r="L634" s="1392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03" t="s">
        <v>232</v>
      </c>
      <c r="E635" s="145"/>
      <c r="F635" s="145"/>
      <c r="G635" s="143"/>
      <c r="H635" s="137" t="s">
        <v>46</v>
      </c>
      <c r="I635" s="328">
        <f ca="1">IFERROR(__xludf.DUMMYFUNCTION("IMPORTRANGE(""https://docs.google.com/spreadsheets/d/1eHaY18a8A9IcSdp1K8H6x8fbOy06t2VsZHhMHf-1x7Y/edit?usp=sharing"",""แผน!IE25"")"),0)</f>
        <v>0</v>
      </c>
      <c r="J635" s="328">
        <f>J636</f>
        <v>0</v>
      </c>
      <c r="K635" s="1390">
        <f ca="1">IF(I635&gt;0,J635*100/I635,0)</f>
        <v>0</v>
      </c>
      <c r="L635" s="1392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4"/>
      <c r="J636" s="184">
        <f>J637+J638</f>
        <v>0</v>
      </c>
      <c r="K636" s="45"/>
      <c r="L636" s="1392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4"/>
      <c r="J637" s="1395">
        <v>0</v>
      </c>
      <c r="K637" s="45"/>
      <c r="L637" s="1392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4"/>
      <c r="J638" s="1395">
        <v>0</v>
      </c>
      <c r="K638" s="45"/>
      <c r="L638" s="1392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4"/>
      <c r="J639" s="1395">
        <v>0</v>
      </c>
      <c r="K639" s="45"/>
      <c r="L639" s="1392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4"/>
      <c r="J640" s="1395">
        <v>0</v>
      </c>
      <c r="K640" s="45"/>
      <c r="L640" s="1392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394"/>
      <c r="B641" s="395" t="s">
        <v>236</v>
      </c>
      <c r="C641" s="394"/>
      <c r="D641" s="396"/>
      <c r="E641" s="396"/>
      <c r="F641" s="396"/>
      <c r="G641" s="397"/>
      <c r="H641" s="405"/>
      <c r="I641" s="406"/>
      <c r="J641" s="406"/>
      <c r="K641" s="401"/>
      <c r="L641" s="1584"/>
      <c r="M641" s="401"/>
      <c r="N641" s="401"/>
      <c r="O641" s="401"/>
      <c r="P641" s="401"/>
      <c r="Q641" s="401"/>
      <c r="R641" s="401"/>
      <c r="S641" s="401"/>
      <c r="T641" s="401"/>
      <c r="U641" s="401"/>
    </row>
    <row r="642" spans="1:21" ht="19.5" x14ac:dyDescent="0.3">
      <c r="A642" s="128"/>
      <c r="B642" s="158"/>
      <c r="C642" s="209" t="s">
        <v>18</v>
      </c>
      <c r="D642" s="1585" t="s">
        <v>19</v>
      </c>
      <c r="E642" s="1285"/>
      <c r="F642" s="1285"/>
      <c r="G642" s="1286"/>
      <c r="H642" s="221" t="s">
        <v>14</v>
      </c>
      <c r="I642" s="44"/>
      <c r="J642" s="44"/>
      <c r="K642" s="45"/>
      <c r="L642" s="1389">
        <f t="shared" ref="L642:N642" si="395">L643+L644</f>
        <v>0</v>
      </c>
      <c r="M642" s="1390">
        <f t="shared" si="395"/>
        <v>0</v>
      </c>
      <c r="N642" s="1390">
        <f t="shared" si="395"/>
        <v>0</v>
      </c>
      <c r="O642" s="1390">
        <f t="shared" ref="O642:O650" si="396">IF(L642&gt;0,N642*100/L642,0)</f>
        <v>0</v>
      </c>
      <c r="P642" s="1390">
        <f t="shared" ref="P642:P650" si="397">IF(M642&gt;0,N642*100/M642,0)</f>
        <v>0</v>
      </c>
      <c r="Q642" s="1390">
        <f t="shared" ref="Q642:S642" ca="1" si="398">Q643+Q644</f>
        <v>0</v>
      </c>
      <c r="R642" s="1390">
        <f t="shared" ca="1" si="398"/>
        <v>0</v>
      </c>
      <c r="S642" s="1390">
        <f t="shared" ca="1" si="398"/>
        <v>0</v>
      </c>
      <c r="T642" s="1390">
        <f t="shared" ref="T642:T650" ca="1" si="399">IF(Q642&gt;0,S642*100/Q642,0)</f>
        <v>0</v>
      </c>
      <c r="U642" s="1390">
        <f t="shared" ref="U642:U650" ca="1" si="400">IF(R642&gt;0,S642*100/R642,0)</f>
        <v>0</v>
      </c>
    </row>
    <row r="643" spans="1:21" ht="18.75" x14ac:dyDescent="0.25">
      <c r="A643" s="128"/>
      <c r="B643" s="158"/>
      <c r="C643" s="158"/>
      <c r="D643" s="145"/>
      <c r="E643" s="156" t="s">
        <v>158</v>
      </c>
      <c r="F643" s="40"/>
      <c r="G643" s="42"/>
      <c r="H643" s="159" t="s">
        <v>14</v>
      </c>
      <c r="I643" s="44"/>
      <c r="J643" s="44"/>
      <c r="K643" s="45"/>
      <c r="L643" s="1358">
        <f t="shared" ref="L643:N644" si="401">L646+L649</f>
        <v>0</v>
      </c>
      <c r="M643" s="83">
        <f t="shared" si="401"/>
        <v>0</v>
      </c>
      <c r="N643" s="83">
        <f t="shared" si="401"/>
        <v>0</v>
      </c>
      <c r="O643" s="83">
        <f t="shared" si="396"/>
        <v>0</v>
      </c>
      <c r="P643" s="83">
        <f t="shared" si="397"/>
        <v>0</v>
      </c>
      <c r="Q643" s="83">
        <f t="shared" ref="Q643:S644" si="402">Q646+Q649</f>
        <v>0</v>
      </c>
      <c r="R643" s="83">
        <f t="shared" si="402"/>
        <v>0</v>
      </c>
      <c r="S643" s="83">
        <f t="shared" si="402"/>
        <v>0</v>
      </c>
      <c r="T643" s="83">
        <f t="shared" si="399"/>
        <v>0</v>
      </c>
      <c r="U643" s="83">
        <f t="shared" si="400"/>
        <v>0</v>
      </c>
    </row>
    <row r="644" spans="1:21" ht="18.75" x14ac:dyDescent="0.25">
      <c r="A644" s="128"/>
      <c r="B644" s="158"/>
      <c r="C644" s="158"/>
      <c r="D644" s="145"/>
      <c r="E644" s="47" t="s">
        <v>159</v>
      </c>
      <c r="F644" s="40"/>
      <c r="G644" s="42"/>
      <c r="H644" s="134" t="s">
        <v>14</v>
      </c>
      <c r="I644" s="44"/>
      <c r="J644" s="44"/>
      <c r="K644" s="45"/>
      <c r="L644" s="1356">
        <f t="shared" si="401"/>
        <v>0</v>
      </c>
      <c r="M644" s="224">
        <f t="shared" si="401"/>
        <v>0</v>
      </c>
      <c r="N644" s="224">
        <f t="shared" si="401"/>
        <v>0</v>
      </c>
      <c r="O644" s="224">
        <f t="shared" si="396"/>
        <v>0</v>
      </c>
      <c r="P644" s="224">
        <f t="shared" si="397"/>
        <v>0</v>
      </c>
      <c r="Q644" s="224">
        <f t="shared" ca="1" si="402"/>
        <v>0</v>
      </c>
      <c r="R644" s="224">
        <f t="shared" ca="1" si="402"/>
        <v>0</v>
      </c>
      <c r="S644" s="224">
        <f t="shared" ca="1" si="402"/>
        <v>0</v>
      </c>
      <c r="T644" s="224">
        <f t="shared" ca="1" si="399"/>
        <v>0</v>
      </c>
      <c r="U644" s="224">
        <f t="shared" ca="1" si="400"/>
        <v>0</v>
      </c>
    </row>
    <row r="645" spans="1:21" ht="18.75" x14ac:dyDescent="0.25">
      <c r="A645" s="128"/>
      <c r="B645" s="158"/>
      <c r="C645" s="158"/>
      <c r="D645" s="41" t="s">
        <v>22</v>
      </c>
      <c r="E645" s="40"/>
      <c r="F645" s="40"/>
      <c r="G645" s="42"/>
      <c r="H645" s="134" t="s">
        <v>14</v>
      </c>
      <c r="I645" s="135"/>
      <c r="J645" s="135"/>
      <c r="K645" s="136"/>
      <c r="L645" s="1356">
        <f t="shared" ref="L645:N645" si="403">L646+L647</f>
        <v>0</v>
      </c>
      <c r="M645" s="224">
        <f t="shared" si="403"/>
        <v>0</v>
      </c>
      <c r="N645" s="224">
        <f t="shared" si="403"/>
        <v>0</v>
      </c>
      <c r="O645" s="224">
        <f t="shared" si="396"/>
        <v>0</v>
      </c>
      <c r="P645" s="224">
        <f t="shared" si="397"/>
        <v>0</v>
      </c>
      <c r="Q645" s="224">
        <f t="shared" ref="Q645:S645" ca="1" si="404">Q646+Q647</f>
        <v>0</v>
      </c>
      <c r="R645" s="224">
        <f t="shared" ca="1" si="404"/>
        <v>0</v>
      </c>
      <c r="S645" s="224">
        <f t="shared" ca="1" si="404"/>
        <v>0</v>
      </c>
      <c r="T645" s="224">
        <f t="shared" ca="1" si="399"/>
        <v>0</v>
      </c>
      <c r="U645" s="224">
        <f t="shared" ca="1" si="400"/>
        <v>0</v>
      </c>
    </row>
    <row r="646" spans="1:21" ht="18.75" x14ac:dyDescent="0.25">
      <c r="A646" s="128"/>
      <c r="B646" s="158"/>
      <c r="C646" s="158"/>
      <c r="D646" s="145"/>
      <c r="E646" s="156" t="s">
        <v>158</v>
      </c>
      <c r="F646" s="40"/>
      <c r="G646" s="42"/>
      <c r="H646" s="159" t="s">
        <v>14</v>
      </c>
      <c r="I646" s="44"/>
      <c r="J646" s="44"/>
      <c r="K646" s="45"/>
      <c r="L646" s="1358">
        <v>0</v>
      </c>
      <c r="M646" s="83">
        <v>0</v>
      </c>
      <c r="N646" s="83">
        <v>0</v>
      </c>
      <c r="O646" s="83">
        <f t="shared" si="396"/>
        <v>0</v>
      </c>
      <c r="P646" s="83">
        <f t="shared" si="397"/>
        <v>0</v>
      </c>
      <c r="Q646" s="83">
        <v>0</v>
      </c>
      <c r="R646" s="83">
        <v>0</v>
      </c>
      <c r="S646" s="83">
        <v>0</v>
      </c>
      <c r="T646" s="83">
        <f t="shared" si="399"/>
        <v>0</v>
      </c>
      <c r="U646" s="83">
        <f t="shared" si="400"/>
        <v>0</v>
      </c>
    </row>
    <row r="647" spans="1:21" ht="18.75" x14ac:dyDescent="0.25">
      <c r="A647" s="128"/>
      <c r="B647" s="158"/>
      <c r="C647" s="158"/>
      <c r="D647" s="145"/>
      <c r="E647" s="47" t="s">
        <v>159</v>
      </c>
      <c r="F647" s="40"/>
      <c r="G647" s="42"/>
      <c r="H647" s="134" t="s">
        <v>14</v>
      </c>
      <c r="I647" s="44"/>
      <c r="J647" s="44"/>
      <c r="K647" s="45"/>
      <c r="L647" s="1356">
        <v>0</v>
      </c>
      <c r="M647" s="224">
        <v>0</v>
      </c>
      <c r="N647" s="224">
        <v>0</v>
      </c>
      <c r="O647" s="224">
        <f t="shared" si="396"/>
        <v>0</v>
      </c>
      <c r="P647" s="224">
        <f t="shared" si="397"/>
        <v>0</v>
      </c>
      <c r="Q647" s="224">
        <f ca="1">IFERROR(__xludf.DUMMYFUNCTION("IMPORTRANGE(""https://docs.google.com/spreadsheets/d/1ItG2mGa2ceCfYo0BwxsXqNm01IGEUdYcSSLTEv9YCik/edit?usp=sharing"",""เบิกจ่ายกองทุน!I25"")"),0)</f>
        <v>0</v>
      </c>
      <c r="R647" s="224">
        <f ca="1">IFERROR(__xludf.DUMMYFUNCTION("IMPORTRANGE(""https://docs.google.com/spreadsheets/d/1ItG2mGa2ceCfYo0BwxsXqNm01IGEUdYcSSLTEv9YCik/edit?usp=sharing"",""เบิกจ่ายกองทุน!J25"")"),0)</f>
        <v>0</v>
      </c>
      <c r="S647" s="224">
        <f ca="1">IFERROR(__xludf.DUMMYFUNCTION("IMPORTRANGE(""https://docs.google.com/spreadsheets/d/1ItG2mGa2ceCfYo0BwxsXqNm01IGEUdYcSSLTEv9YCik/edit?usp=sharing"",""เบิกจ่ายกองทุน!K25"")"),0)</f>
        <v>0</v>
      </c>
      <c r="T647" s="224">
        <f t="shared" ca="1" si="399"/>
        <v>0</v>
      </c>
      <c r="U647" s="224">
        <f t="shared" ca="1" si="400"/>
        <v>0</v>
      </c>
    </row>
    <row r="648" spans="1:21" ht="18.75" x14ac:dyDescent="0.25">
      <c r="A648" s="128"/>
      <c r="B648" s="158"/>
      <c r="C648" s="158"/>
      <c r="D648" s="41" t="s">
        <v>23</v>
      </c>
      <c r="E648" s="40"/>
      <c r="F648" s="40"/>
      <c r="G648" s="42"/>
      <c r="H648" s="137" t="s">
        <v>14</v>
      </c>
      <c r="I648" s="135"/>
      <c r="J648" s="135"/>
      <c r="K648" s="136"/>
      <c r="L648" s="1356">
        <f t="shared" ref="L648:N648" si="405">L649+L650</f>
        <v>0</v>
      </c>
      <c r="M648" s="224">
        <f t="shared" si="405"/>
        <v>0</v>
      </c>
      <c r="N648" s="224">
        <f t="shared" si="405"/>
        <v>0</v>
      </c>
      <c r="O648" s="224">
        <f t="shared" si="396"/>
        <v>0</v>
      </c>
      <c r="P648" s="224">
        <f t="shared" si="397"/>
        <v>0</v>
      </c>
      <c r="Q648" s="224">
        <f t="shared" ref="Q648:S648" si="406">Q649+Q650</f>
        <v>0</v>
      </c>
      <c r="R648" s="224">
        <f t="shared" si="406"/>
        <v>0</v>
      </c>
      <c r="S648" s="224">
        <f t="shared" si="406"/>
        <v>0</v>
      </c>
      <c r="T648" s="224">
        <f t="shared" si="399"/>
        <v>0</v>
      </c>
      <c r="U648" s="224">
        <f t="shared" si="400"/>
        <v>0</v>
      </c>
    </row>
    <row r="649" spans="1:21" ht="18.75" x14ac:dyDescent="0.25">
      <c r="A649" s="128"/>
      <c r="B649" s="158"/>
      <c r="C649" s="158"/>
      <c r="D649" s="40"/>
      <c r="E649" s="156" t="s">
        <v>20</v>
      </c>
      <c r="F649" s="40"/>
      <c r="G649" s="42"/>
      <c r="H649" s="159" t="s">
        <v>14</v>
      </c>
      <c r="I649" s="135"/>
      <c r="J649" s="135"/>
      <c r="K649" s="136"/>
      <c r="L649" s="1358">
        <v>0</v>
      </c>
      <c r="M649" s="83">
        <v>0</v>
      </c>
      <c r="N649" s="83">
        <v>0</v>
      </c>
      <c r="O649" s="83">
        <f t="shared" si="396"/>
        <v>0</v>
      </c>
      <c r="P649" s="83">
        <f t="shared" si="397"/>
        <v>0</v>
      </c>
      <c r="Q649" s="83">
        <v>0</v>
      </c>
      <c r="R649" s="83">
        <v>0</v>
      </c>
      <c r="S649" s="83">
        <v>0</v>
      </c>
      <c r="T649" s="83">
        <f t="shared" si="399"/>
        <v>0</v>
      </c>
      <c r="U649" s="83">
        <f t="shared" si="400"/>
        <v>0</v>
      </c>
    </row>
    <row r="650" spans="1:21" ht="18.75" x14ac:dyDescent="0.25">
      <c r="A650" s="128"/>
      <c r="B650" s="158"/>
      <c r="C650" s="158"/>
      <c r="D650" s="40"/>
      <c r="E650" s="47" t="s">
        <v>21</v>
      </c>
      <c r="F650" s="40"/>
      <c r="G650" s="42"/>
      <c r="H650" s="137" t="s">
        <v>14</v>
      </c>
      <c r="I650" s="135"/>
      <c r="J650" s="135"/>
      <c r="K650" s="136"/>
      <c r="L650" s="1356">
        <v>0</v>
      </c>
      <c r="M650" s="224">
        <v>0</v>
      </c>
      <c r="N650" s="224">
        <v>0</v>
      </c>
      <c r="O650" s="224">
        <f t="shared" si="396"/>
        <v>0</v>
      </c>
      <c r="P650" s="224">
        <f t="shared" si="397"/>
        <v>0</v>
      </c>
      <c r="Q650" s="224">
        <v>0</v>
      </c>
      <c r="R650" s="224">
        <v>0</v>
      </c>
      <c r="S650" s="224">
        <v>0</v>
      </c>
      <c r="T650" s="224">
        <f t="shared" si="399"/>
        <v>0</v>
      </c>
      <c r="U650" s="224">
        <f t="shared" si="400"/>
        <v>0</v>
      </c>
    </row>
    <row r="651" spans="1:21" ht="19.5" x14ac:dyDescent="0.3">
      <c r="A651" s="138"/>
      <c r="B651" s="139"/>
      <c r="C651" s="209" t="s">
        <v>18</v>
      </c>
      <c r="D651" s="1587" t="s">
        <v>38</v>
      </c>
      <c r="E651" s="141"/>
      <c r="F651" s="141"/>
      <c r="G651" s="142"/>
      <c r="H651" s="178"/>
      <c r="I651" s="135"/>
      <c r="J651" s="135"/>
      <c r="K651" s="136"/>
      <c r="L651" s="1392"/>
      <c r="M651" s="136"/>
      <c r="N651" s="136"/>
      <c r="O651" s="136"/>
      <c r="P651" s="136"/>
      <c r="Q651" s="45"/>
      <c r="R651" s="45"/>
      <c r="S651" s="45"/>
      <c r="T651" s="136"/>
      <c r="U651" s="136"/>
    </row>
    <row r="652" spans="1:21" ht="18.75" x14ac:dyDescent="0.25">
      <c r="A652" s="208"/>
      <c r="B652" s="158"/>
      <c r="C652" s="158"/>
      <c r="D652" s="47" t="s">
        <v>237</v>
      </c>
      <c r="E652" s="40"/>
      <c r="F652" s="40"/>
      <c r="G652" s="42"/>
      <c r="H652" s="137" t="s">
        <v>46</v>
      </c>
      <c r="I652" s="1588">
        <f ca="1">IFERROR(__xludf.DUMMYFUNCTION("IMPORTRANGE(""https://docs.google.com/spreadsheets/d/1eHaY18a8A9IcSdp1K8H6x8fbOy06t2VsZHhMHf-1x7Y/edit?usp=sharing"",""แผน!IF25"")"),0)</f>
        <v>0</v>
      </c>
      <c r="J652" s="184">
        <f ca="1">IFERROR(__xludf.DUMMYFUNCTION("IMPORTRANGE(""https://docs.google.com/spreadsheets/d/1tdoBKaGub7dwA3U6UFTqxio9LNnvDCQjHKmttSEBsFQ/edit?usp=sharing"",""จัดที่ดิน!AU25"")"),0)</f>
        <v>0</v>
      </c>
      <c r="K652" s="224">
        <f t="shared" ref="K652:K654" ca="1" si="407">IF(I652&gt;0,J652*100/I652,0)</f>
        <v>0</v>
      </c>
      <c r="L652" s="1359"/>
      <c r="M652" s="45"/>
      <c r="N652" s="409"/>
      <c r="O652" s="45"/>
      <c r="P652" s="45"/>
      <c r="Q652" s="45"/>
      <c r="R652" s="45"/>
      <c r="S652" s="409"/>
      <c r="T652" s="45"/>
      <c r="U652" s="45"/>
    </row>
    <row r="653" spans="1:21" ht="18.75" x14ac:dyDescent="0.25">
      <c r="A653" s="208"/>
      <c r="B653" s="158"/>
      <c r="C653" s="158"/>
      <c r="D653" s="47" t="s">
        <v>238</v>
      </c>
      <c r="E653" s="40"/>
      <c r="F653" s="40"/>
      <c r="G653" s="42"/>
      <c r="H653" s="137" t="s">
        <v>35</v>
      </c>
      <c r="I653" s="1588">
        <f ca="1">IFERROR(__xludf.DUMMYFUNCTION("IMPORTRANGE(""https://docs.google.com/spreadsheets/d/1eHaY18a8A9IcSdp1K8H6x8fbOy06t2VsZHhMHf-1x7Y/edit?usp=sharing"",""แผน!IG25"")"),0)</f>
        <v>0</v>
      </c>
      <c r="J653" s="184">
        <f ca="1">IFERROR(__xludf.DUMMYFUNCTION("IMPORTRANGE(""https://docs.google.com/spreadsheets/d/1tdoBKaGub7dwA3U6UFTqxio9LNnvDCQjHKmttSEBsFQ/edit?usp=sharing"",""จัดที่ดิน!AW25"")"),0)</f>
        <v>0</v>
      </c>
      <c r="K653" s="224">
        <f t="shared" ca="1" si="407"/>
        <v>0</v>
      </c>
      <c r="L653" s="1359"/>
      <c r="M653" s="45"/>
      <c r="N653" s="409"/>
      <c r="O653" s="45"/>
      <c r="P653" s="45"/>
      <c r="Q653" s="45"/>
      <c r="R653" s="45"/>
      <c r="S653" s="409"/>
      <c r="T653" s="45"/>
      <c r="U653" s="45"/>
    </row>
    <row r="654" spans="1:21" ht="19.5" x14ac:dyDescent="0.3">
      <c r="A654" s="208"/>
      <c r="B654" s="158"/>
      <c r="C654" s="158"/>
      <c r="D654" s="47" t="s">
        <v>239</v>
      </c>
      <c r="E654" s="40"/>
      <c r="F654" s="40"/>
      <c r="G654" s="42"/>
      <c r="H654" s="404" t="s">
        <v>46</v>
      </c>
      <c r="I654" s="1589">
        <f ca="1">IFERROR(__xludf.DUMMYFUNCTION("IMPORTRANGE(""https://docs.google.com/spreadsheets/d/1eHaY18a8A9IcSdp1K8H6x8fbOy06t2VsZHhMHf-1x7Y/edit?usp=sharing"",""แผน!IH25"")"),0)</f>
        <v>0</v>
      </c>
      <c r="J654" s="328">
        <f>J657+J660</f>
        <v>0</v>
      </c>
      <c r="K654" s="1390">
        <f t="shared" ca="1" si="407"/>
        <v>0</v>
      </c>
      <c r="L654" s="1359"/>
      <c r="M654" s="45"/>
      <c r="N654" s="409"/>
      <c r="O654" s="45"/>
      <c r="P654" s="45"/>
      <c r="Q654" s="45"/>
      <c r="R654" s="45"/>
      <c r="S654" s="409"/>
      <c r="T654" s="45"/>
      <c r="U654" s="45"/>
    </row>
    <row r="655" spans="1:21" ht="18.75" x14ac:dyDescent="0.25">
      <c r="A655" s="208"/>
      <c r="B655" s="158"/>
      <c r="C655" s="158"/>
      <c r="D655" s="40"/>
      <c r="E655" s="47" t="s">
        <v>240</v>
      </c>
      <c r="F655" s="40"/>
      <c r="G655" s="42"/>
      <c r="H655" s="137" t="s">
        <v>35</v>
      </c>
      <c r="I655" s="180"/>
      <c r="J655" s="1395">
        <v>0</v>
      </c>
      <c r="K655" s="45"/>
      <c r="L655" s="1359"/>
      <c r="M655" s="45"/>
      <c r="N655" s="409"/>
      <c r="O655" s="45"/>
      <c r="P655" s="45"/>
      <c r="Q655" s="45"/>
      <c r="R655" s="45"/>
      <c r="S655" s="409"/>
      <c r="T655" s="45"/>
      <c r="U655" s="45"/>
    </row>
    <row r="656" spans="1:21" ht="18.75" x14ac:dyDescent="0.25">
      <c r="A656" s="208"/>
      <c r="B656" s="158"/>
      <c r="C656" s="158"/>
      <c r="D656" s="40"/>
      <c r="E656" s="40"/>
      <c r="F656" s="40"/>
      <c r="G656" s="42"/>
      <c r="H656" s="137" t="s">
        <v>34</v>
      </c>
      <c r="I656" s="180"/>
      <c r="J656" s="1395">
        <v>0</v>
      </c>
      <c r="K656" s="45"/>
      <c r="L656" s="1359"/>
      <c r="M656" s="45"/>
      <c r="N656" s="409"/>
      <c r="O656" s="45"/>
      <c r="P656" s="45"/>
      <c r="Q656" s="45"/>
      <c r="R656" s="45"/>
      <c r="S656" s="409"/>
      <c r="T656" s="45"/>
      <c r="U656" s="45"/>
    </row>
    <row r="657" spans="1:21" ht="18.75" x14ac:dyDescent="0.25">
      <c r="A657" s="208"/>
      <c r="B657" s="158"/>
      <c r="C657" s="158"/>
      <c r="D657" s="40"/>
      <c r="E657" s="40"/>
      <c r="F657" s="40"/>
      <c r="G657" s="42"/>
      <c r="H657" s="137" t="s">
        <v>46</v>
      </c>
      <c r="I657" s="1588">
        <f ca="1">IFERROR(__xludf.DUMMYFUNCTION("IMPORTRANGE(""https://docs.google.com/spreadsheets/d/1eHaY18a8A9IcSdp1K8H6x8fbOy06t2VsZHhMHf-1x7Y/edit?usp=sharing"",""แผน!II25"")"),0)</f>
        <v>0</v>
      </c>
      <c r="J657" s="1395">
        <v>0</v>
      </c>
      <c r="K657" s="45"/>
      <c r="L657" s="1359"/>
      <c r="M657" s="45"/>
      <c r="N657" s="409"/>
      <c r="O657" s="45"/>
      <c r="P657" s="45"/>
      <c r="Q657" s="45"/>
      <c r="R657" s="45"/>
      <c r="S657" s="409"/>
      <c r="T657" s="45"/>
      <c r="U657" s="45"/>
    </row>
    <row r="658" spans="1:21" ht="18.75" x14ac:dyDescent="0.25">
      <c r="A658" s="208"/>
      <c r="B658" s="158"/>
      <c r="C658" s="158"/>
      <c r="D658" s="40"/>
      <c r="E658" s="47" t="s">
        <v>241</v>
      </c>
      <c r="F658" s="40"/>
      <c r="G658" s="42"/>
      <c r="H658" s="137" t="s">
        <v>35</v>
      </c>
      <c r="I658" s="180"/>
      <c r="J658" s="1395">
        <v>0</v>
      </c>
      <c r="K658" s="45"/>
      <c r="L658" s="1359"/>
      <c r="M658" s="45"/>
      <c r="N658" s="409"/>
      <c r="O658" s="45"/>
      <c r="P658" s="45"/>
      <c r="Q658" s="45"/>
      <c r="R658" s="45"/>
      <c r="S658" s="409"/>
      <c r="T658" s="45"/>
      <c r="U658" s="45"/>
    </row>
    <row r="659" spans="1:21" ht="18.75" x14ac:dyDescent="0.25">
      <c r="A659" s="208"/>
      <c r="B659" s="158"/>
      <c r="C659" s="158"/>
      <c r="D659" s="40"/>
      <c r="E659" s="40"/>
      <c r="F659" s="40"/>
      <c r="G659" s="42"/>
      <c r="H659" s="137" t="s">
        <v>34</v>
      </c>
      <c r="I659" s="180"/>
      <c r="J659" s="1395">
        <v>0</v>
      </c>
      <c r="K659" s="45"/>
      <c r="L659" s="1359"/>
      <c r="M659" s="45"/>
      <c r="N659" s="409"/>
      <c r="O659" s="45"/>
      <c r="P659" s="45"/>
      <c r="Q659" s="45"/>
      <c r="R659" s="45"/>
      <c r="S659" s="409"/>
      <c r="T659" s="45"/>
      <c r="U659" s="45"/>
    </row>
    <row r="660" spans="1:21" ht="18.75" x14ac:dyDescent="0.25">
      <c r="A660" s="208"/>
      <c r="B660" s="158"/>
      <c r="C660" s="158"/>
      <c r="D660" s="40"/>
      <c r="E660" s="40"/>
      <c r="F660" s="40"/>
      <c r="G660" s="42"/>
      <c r="H660" s="137" t="s">
        <v>46</v>
      </c>
      <c r="I660" s="1588">
        <f ca="1">IFERROR(__xludf.DUMMYFUNCTION("IMPORTRANGE(""https://docs.google.com/spreadsheets/d/1eHaY18a8A9IcSdp1K8H6x8fbOy06t2VsZHhMHf-1x7Y/edit?usp=sharing"",""แผน!IJ25"")"),0)</f>
        <v>0</v>
      </c>
      <c r="J660" s="1395">
        <v>0</v>
      </c>
      <c r="K660" s="45"/>
      <c r="L660" s="1359"/>
      <c r="M660" s="45"/>
      <c r="N660" s="409"/>
      <c r="O660" s="45"/>
      <c r="P660" s="45"/>
      <c r="Q660" s="45"/>
      <c r="R660" s="45"/>
      <c r="S660" s="409"/>
      <c r="T660" s="45"/>
      <c r="U660" s="45"/>
    </row>
    <row r="661" spans="1:21" ht="19.5" x14ac:dyDescent="0.3">
      <c r="A661" s="208"/>
      <c r="B661" s="158"/>
      <c r="C661" s="158"/>
      <c r="D661" s="332" t="s">
        <v>242</v>
      </c>
      <c r="E661" s="40"/>
      <c r="F661" s="40"/>
      <c r="G661" s="42"/>
      <c r="H661" s="404" t="s">
        <v>46</v>
      </c>
      <c r="I661" s="1589">
        <f ca="1">IFERROR(__xludf.DUMMYFUNCTION("IMPORTRANGE(""https://docs.google.com/spreadsheets/d/1eHaY18a8A9IcSdp1K8H6x8fbOy06t2VsZHhMHf-1x7Y/edit?usp=sharing"",""แผน!IK25"")"),0)</f>
        <v>0</v>
      </c>
      <c r="J661" s="328">
        <f>J667+J670</f>
        <v>0</v>
      </c>
      <c r="K661" s="1390">
        <f ca="1">IF(I661&gt;0,J661*100/I661,0)</f>
        <v>0</v>
      </c>
      <c r="L661" s="1359"/>
      <c r="M661" s="45"/>
      <c r="N661" s="409"/>
      <c r="O661" s="45"/>
      <c r="P661" s="45"/>
      <c r="Q661" s="45"/>
      <c r="R661" s="45"/>
      <c r="S661" s="409"/>
      <c r="T661" s="45"/>
      <c r="U661" s="45"/>
    </row>
    <row r="662" spans="1:21" ht="18.75" x14ac:dyDescent="0.25">
      <c r="A662" s="208"/>
      <c r="B662" s="158"/>
      <c r="C662" s="158"/>
      <c r="D662" s="40"/>
      <c r="E662" s="47" t="s">
        <v>243</v>
      </c>
      <c r="F662" s="40"/>
      <c r="G662" s="42"/>
      <c r="H662" s="137" t="s">
        <v>34</v>
      </c>
      <c r="I662" s="180"/>
      <c r="J662" s="1395">
        <v>0</v>
      </c>
      <c r="K662" s="45"/>
      <c r="L662" s="1590"/>
      <c r="M662" s="45"/>
      <c r="N662" s="409"/>
      <c r="O662" s="45"/>
      <c r="P662" s="45"/>
      <c r="Q662" s="409"/>
      <c r="R662" s="45"/>
      <c r="S662" s="409"/>
      <c r="T662" s="45"/>
      <c r="U662" s="45"/>
    </row>
    <row r="663" spans="1:21" ht="18.75" x14ac:dyDescent="0.25">
      <c r="A663" s="208"/>
      <c r="B663" s="158"/>
      <c r="C663" s="158"/>
      <c r="D663" s="40"/>
      <c r="E663" s="40"/>
      <c r="F663" s="40"/>
      <c r="G663" s="42"/>
      <c r="H663" s="137" t="s">
        <v>46</v>
      </c>
      <c r="I663" s="180"/>
      <c r="J663" s="1395">
        <v>0</v>
      </c>
      <c r="K663" s="45"/>
      <c r="L663" s="1590"/>
      <c r="M663" s="45"/>
      <c r="N663" s="409"/>
      <c r="O663" s="45"/>
      <c r="P663" s="45"/>
      <c r="Q663" s="409"/>
      <c r="R663" s="45"/>
      <c r="S663" s="409"/>
      <c r="T663" s="45"/>
      <c r="U663" s="45"/>
    </row>
    <row r="664" spans="1:21" ht="18.75" x14ac:dyDescent="0.25">
      <c r="A664" s="208"/>
      <c r="B664" s="158"/>
      <c r="C664" s="158"/>
      <c r="D664" s="40"/>
      <c r="E664" s="47" t="s">
        <v>244</v>
      </c>
      <c r="F664" s="40"/>
      <c r="G664" s="42"/>
      <c r="H664" s="178"/>
      <c r="I664" s="180"/>
      <c r="J664" s="44"/>
      <c r="K664" s="45"/>
      <c r="L664" s="1590"/>
      <c r="M664" s="45"/>
      <c r="N664" s="409"/>
      <c r="O664" s="45"/>
      <c r="P664" s="45"/>
      <c r="Q664" s="409"/>
      <c r="R664" s="45"/>
      <c r="S664" s="409"/>
      <c r="T664" s="45"/>
      <c r="U664" s="45"/>
    </row>
    <row r="665" spans="1:21" ht="18.75" x14ac:dyDescent="0.25">
      <c r="A665" s="208"/>
      <c r="B665" s="158"/>
      <c r="C665" s="158"/>
      <c r="D665" s="40"/>
      <c r="E665" s="40"/>
      <c r="F665" s="47" t="s">
        <v>245</v>
      </c>
      <c r="G665" s="42"/>
      <c r="H665" s="137" t="s">
        <v>35</v>
      </c>
      <c r="I665" s="180"/>
      <c r="J665" s="1395">
        <v>0</v>
      </c>
      <c r="K665" s="45"/>
      <c r="L665" s="1590"/>
      <c r="M665" s="45"/>
      <c r="N665" s="409"/>
      <c r="O665" s="45"/>
      <c r="P665" s="45"/>
      <c r="Q665" s="409"/>
      <c r="R665" s="45"/>
      <c r="S665" s="409"/>
      <c r="T665" s="45"/>
      <c r="U665" s="45"/>
    </row>
    <row r="666" spans="1:21" ht="18.75" x14ac:dyDescent="0.25">
      <c r="A666" s="208"/>
      <c r="B666" s="158"/>
      <c r="C666" s="158"/>
      <c r="D666" s="40"/>
      <c r="E666" s="40"/>
      <c r="F666" s="40"/>
      <c r="G666" s="42"/>
      <c r="H666" s="137" t="s">
        <v>34</v>
      </c>
      <c r="I666" s="180"/>
      <c r="J666" s="1395">
        <v>0</v>
      </c>
      <c r="K666" s="45"/>
      <c r="L666" s="1590"/>
      <c r="M666" s="45"/>
      <c r="N666" s="409"/>
      <c r="O666" s="45"/>
      <c r="P666" s="45"/>
      <c r="Q666" s="409"/>
      <c r="R666" s="45"/>
      <c r="S666" s="409"/>
      <c r="T666" s="45"/>
      <c r="U666" s="45"/>
    </row>
    <row r="667" spans="1:21" ht="18.75" x14ac:dyDescent="0.25">
      <c r="A667" s="208"/>
      <c r="B667" s="158"/>
      <c r="C667" s="158"/>
      <c r="D667" s="40"/>
      <c r="E667" s="40"/>
      <c r="F667" s="40"/>
      <c r="G667" s="42"/>
      <c r="H667" s="137" t="s">
        <v>46</v>
      </c>
      <c r="I667" s="180"/>
      <c r="J667" s="1395">
        <v>0</v>
      </c>
      <c r="K667" s="45"/>
      <c r="L667" s="1590"/>
      <c r="M667" s="45"/>
      <c r="N667" s="409"/>
      <c r="O667" s="45"/>
      <c r="P667" s="45"/>
      <c r="Q667" s="409"/>
      <c r="R667" s="45"/>
      <c r="S667" s="409"/>
      <c r="T667" s="45"/>
      <c r="U667" s="45"/>
    </row>
    <row r="668" spans="1:21" ht="18.75" x14ac:dyDescent="0.25">
      <c r="A668" s="208"/>
      <c r="B668" s="158"/>
      <c r="C668" s="158"/>
      <c r="D668" s="40"/>
      <c r="E668" s="40"/>
      <c r="F668" s="47" t="s">
        <v>246</v>
      </c>
      <c r="G668" s="42"/>
      <c r="H668" s="137" t="s">
        <v>35</v>
      </c>
      <c r="I668" s="180"/>
      <c r="J668" s="1395">
        <v>0</v>
      </c>
      <c r="K668" s="45"/>
      <c r="L668" s="1590"/>
      <c r="M668" s="45"/>
      <c r="N668" s="409"/>
      <c r="O668" s="45"/>
      <c r="P668" s="45"/>
      <c r="Q668" s="409"/>
      <c r="R668" s="45"/>
      <c r="S668" s="409"/>
      <c r="T668" s="45"/>
      <c r="U668" s="45"/>
    </row>
    <row r="669" spans="1:21" ht="18.75" x14ac:dyDescent="0.25">
      <c r="A669" s="208"/>
      <c r="B669" s="158"/>
      <c r="C669" s="158"/>
      <c r="D669" s="40"/>
      <c r="E669" s="40"/>
      <c r="F669" s="40"/>
      <c r="G669" s="42"/>
      <c r="H669" s="137" t="s">
        <v>34</v>
      </c>
      <c r="I669" s="180"/>
      <c r="J669" s="1395">
        <v>0</v>
      </c>
      <c r="K669" s="45"/>
      <c r="L669" s="1590"/>
      <c r="M669" s="45"/>
      <c r="N669" s="409"/>
      <c r="O669" s="45"/>
      <c r="P669" s="45"/>
      <c r="Q669" s="409"/>
      <c r="R669" s="45"/>
      <c r="S669" s="409"/>
      <c r="T669" s="45"/>
      <c r="U669" s="45"/>
    </row>
    <row r="670" spans="1:21" ht="18.75" x14ac:dyDescent="0.25">
      <c r="A670" s="208"/>
      <c r="B670" s="158"/>
      <c r="C670" s="158"/>
      <c r="D670" s="40"/>
      <c r="E670" s="40"/>
      <c r="F670" s="40"/>
      <c r="G670" s="42"/>
      <c r="H670" s="137" t="s">
        <v>46</v>
      </c>
      <c r="I670" s="180"/>
      <c r="J670" s="1395">
        <v>0</v>
      </c>
      <c r="K670" s="45"/>
      <c r="L670" s="1590"/>
      <c r="M670" s="45"/>
      <c r="N670" s="409"/>
      <c r="O670" s="45"/>
      <c r="P670" s="45"/>
      <c r="Q670" s="409"/>
      <c r="R670" s="45"/>
      <c r="S670" s="409"/>
      <c r="T670" s="45"/>
      <c r="U670" s="45"/>
    </row>
    <row r="671" spans="1:21" ht="18.75" x14ac:dyDescent="0.25">
      <c r="A671" s="208"/>
      <c r="B671" s="158"/>
      <c r="C671" s="158"/>
      <c r="D671" s="47" t="s">
        <v>247</v>
      </c>
      <c r="E671" s="40"/>
      <c r="F671" s="40"/>
      <c r="G671" s="42"/>
      <c r="H671" s="137" t="s">
        <v>35</v>
      </c>
      <c r="I671" s="180"/>
      <c r="J671" s="184">
        <f ca="1">IFERROR(__xludf.DUMMYFUNCTION("IMPORTRANGE(""https://docs.google.com/spreadsheets/d/1tdoBKaGub7dwA3U6UFTqxio9LNnvDCQjHKmttSEBsFQ/edit?usp=sharing"",""จัดที่ดิน!AY25"")"),0)</f>
        <v>0</v>
      </c>
      <c r="K671" s="45"/>
      <c r="L671" s="1359"/>
      <c r="M671" s="45"/>
      <c r="N671" s="409"/>
      <c r="O671" s="45"/>
      <c r="P671" s="45"/>
      <c r="Q671" s="45"/>
      <c r="R671" s="45"/>
      <c r="S671" s="409"/>
      <c r="T671" s="45"/>
      <c r="U671" s="45"/>
    </row>
    <row r="672" spans="1:21" ht="18.75" x14ac:dyDescent="0.25">
      <c r="A672" s="208"/>
      <c r="B672" s="158"/>
      <c r="C672" s="158"/>
      <c r="D672" s="40"/>
      <c r="E672" s="40"/>
      <c r="F672" s="40"/>
      <c r="G672" s="42"/>
      <c r="H672" s="137" t="s">
        <v>34</v>
      </c>
      <c r="I672" s="180"/>
      <c r="J672" s="184">
        <f ca="1">IFERROR(__xludf.DUMMYFUNCTION("IMPORTRANGE(""https://docs.google.com/spreadsheets/d/1tdoBKaGub7dwA3U6UFTqxio9LNnvDCQjHKmttSEBsFQ/edit?usp=sharing"",""จัดที่ดิน!AZ25"")"),0)</f>
        <v>0</v>
      </c>
      <c r="K672" s="45"/>
      <c r="L672" s="1590"/>
      <c r="M672" s="45"/>
      <c r="N672" s="409"/>
      <c r="O672" s="45"/>
      <c r="P672" s="45"/>
      <c r="Q672" s="409"/>
      <c r="R672" s="45"/>
      <c r="S672" s="409"/>
      <c r="T672" s="45"/>
      <c r="U672" s="45"/>
    </row>
    <row r="673" spans="1:21" ht="18.75" x14ac:dyDescent="0.25">
      <c r="A673" s="208"/>
      <c r="B673" s="158"/>
      <c r="C673" s="158"/>
      <c r="D673" s="40"/>
      <c r="E673" s="40"/>
      <c r="F673" s="40"/>
      <c r="G673" s="42"/>
      <c r="H673" s="137" t="s">
        <v>46</v>
      </c>
      <c r="I673" s="1588">
        <f ca="1">IFERROR(__xludf.DUMMYFUNCTION("IMPORTRANGE(""https://docs.google.com/spreadsheets/d/1eHaY18a8A9IcSdp1K8H6x8fbOy06t2VsZHhMHf-1x7Y/edit?usp=sharing"",""แผน!IL25"")"),0)</f>
        <v>0</v>
      </c>
      <c r="J673" s="184">
        <f ca="1">IFERROR(__xludf.DUMMYFUNCTION("IMPORTRANGE(""https://docs.google.com/spreadsheets/d/1tdoBKaGub7dwA3U6UFTqxio9LNnvDCQjHKmttSEBsFQ/edit?usp=sharing"",""จัดที่ดิน!BA25"")"),0)</f>
        <v>0</v>
      </c>
      <c r="K673" s="224">
        <f t="shared" ref="K673:K676" ca="1" si="408">IF(I673&gt;0,J673*100/I673,0)</f>
        <v>0</v>
      </c>
      <c r="L673" s="1590"/>
      <c r="M673" s="45"/>
      <c r="N673" s="409"/>
      <c r="O673" s="45"/>
      <c r="P673" s="45"/>
      <c r="Q673" s="409"/>
      <c r="R673" s="45"/>
      <c r="S673" s="409"/>
      <c r="T673" s="45"/>
      <c r="U673" s="45"/>
    </row>
    <row r="674" spans="1:21" ht="19.5" x14ac:dyDescent="0.3">
      <c r="A674" s="208"/>
      <c r="B674" s="158"/>
      <c r="C674" s="158"/>
      <c r="D674" s="47" t="s">
        <v>248</v>
      </c>
      <c r="E674" s="40"/>
      <c r="F674" s="40"/>
      <c r="G674" s="42"/>
      <c r="H674" s="404" t="s">
        <v>35</v>
      </c>
      <c r="I674" s="1589">
        <f ca="1">IFERROR(__xludf.DUMMYFUNCTION("IMPORTRANGE(""https://docs.google.com/spreadsheets/d/1eHaY18a8A9IcSdp1K8H6x8fbOy06t2VsZHhMHf-1x7Y/edit?usp=sharing"",""แผน!IM25"")"),0)</f>
        <v>0</v>
      </c>
      <c r="J674" s="328">
        <f ca="1">J676+J679</f>
        <v>0</v>
      </c>
      <c r="K674" s="1390">
        <f t="shared" ca="1" si="408"/>
        <v>0</v>
      </c>
      <c r="L674" s="1590"/>
      <c r="M674" s="45"/>
      <c r="N674" s="409"/>
      <c r="O674" s="45"/>
      <c r="P674" s="45"/>
      <c r="Q674" s="409"/>
      <c r="R674" s="45"/>
      <c r="S674" s="409"/>
      <c r="T674" s="45"/>
      <c r="U674" s="45"/>
    </row>
    <row r="675" spans="1:21" ht="19.5" x14ac:dyDescent="0.3">
      <c r="A675" s="208"/>
      <c r="B675" s="158"/>
      <c r="C675" s="158"/>
      <c r="D675" s="40"/>
      <c r="E675" s="40"/>
      <c r="F675" s="40"/>
      <c r="G675" s="42"/>
      <c r="H675" s="404" t="s">
        <v>46</v>
      </c>
      <c r="I675" s="1589">
        <f ca="1">IFERROR(__xludf.DUMMYFUNCTION("IMPORTRANGE(""https://docs.google.com/spreadsheets/d/1eHaY18a8A9IcSdp1K8H6x8fbOy06t2VsZHhMHf-1x7Y/edit?usp=sharing"",""แผน!IN25"")"),0)</f>
        <v>0</v>
      </c>
      <c r="J675" s="328">
        <f ca="1">J678+J681</f>
        <v>0</v>
      </c>
      <c r="K675" s="1390">
        <f t="shared" ca="1" si="408"/>
        <v>0</v>
      </c>
      <c r="L675" s="1359"/>
      <c r="M675" s="45"/>
      <c r="N675" s="409"/>
      <c r="O675" s="45"/>
      <c r="P675" s="45"/>
      <c r="Q675" s="45"/>
      <c r="R675" s="45"/>
      <c r="S675" s="409"/>
      <c r="T675" s="45"/>
      <c r="U675" s="45"/>
    </row>
    <row r="676" spans="1:21" ht="18.75" x14ac:dyDescent="0.25">
      <c r="A676" s="208"/>
      <c r="B676" s="158"/>
      <c r="C676" s="158"/>
      <c r="D676" s="40"/>
      <c r="E676" s="47" t="s">
        <v>249</v>
      </c>
      <c r="F676" s="40"/>
      <c r="G676" s="42"/>
      <c r="H676" s="137" t="s">
        <v>35</v>
      </c>
      <c r="I676" s="1588">
        <f ca="1">IFERROR(__xludf.DUMMYFUNCTION("IMPORTRANGE(""https://docs.google.com/spreadsheets/d/1eHaY18a8A9IcSdp1K8H6x8fbOy06t2VsZHhMHf-1x7Y/edit?usp=sharing"",""แผน!IO25"")"),0)</f>
        <v>0</v>
      </c>
      <c r="J676" s="184">
        <f ca="1">IFERROR(__xludf.DUMMYFUNCTION("IMPORTRANGE(""https://docs.google.com/spreadsheets/d/1tdoBKaGub7dwA3U6UFTqxio9LNnvDCQjHKmttSEBsFQ/edit?usp=sharing"",""จัดที่ดิน!BF25"")"),0)</f>
        <v>0</v>
      </c>
      <c r="K676" s="224">
        <f t="shared" ca="1" si="408"/>
        <v>0</v>
      </c>
      <c r="L676" s="1359"/>
      <c r="M676" s="45"/>
      <c r="N676" s="409"/>
      <c r="O676" s="45"/>
      <c r="P676" s="45"/>
      <c r="Q676" s="45"/>
      <c r="R676" s="45"/>
      <c r="S676" s="409"/>
      <c r="T676" s="45"/>
      <c r="U676" s="45"/>
    </row>
    <row r="677" spans="1:21" ht="18.75" x14ac:dyDescent="0.25">
      <c r="A677" s="208"/>
      <c r="B677" s="158"/>
      <c r="C677" s="158"/>
      <c r="D677" s="40"/>
      <c r="E677" s="40"/>
      <c r="F677" s="40"/>
      <c r="G677" s="42"/>
      <c r="H677" s="137" t="s">
        <v>34</v>
      </c>
      <c r="I677" s="180"/>
      <c r="J677" s="184">
        <f ca="1">IFERROR(__xludf.DUMMYFUNCTION("IMPORTRANGE(""https://docs.google.com/spreadsheets/d/1tdoBKaGub7dwA3U6UFTqxio9LNnvDCQjHKmttSEBsFQ/edit?usp=sharing"",""จัดที่ดิน!BG25"")"),0)</f>
        <v>0</v>
      </c>
      <c r="K677" s="45"/>
      <c r="L677" s="1590"/>
      <c r="M677" s="45"/>
      <c r="N677" s="409"/>
      <c r="O677" s="45"/>
      <c r="P677" s="45"/>
      <c r="Q677" s="409"/>
      <c r="R677" s="45"/>
      <c r="S677" s="409"/>
      <c r="T677" s="45"/>
      <c r="U677" s="45"/>
    </row>
    <row r="678" spans="1:21" ht="18.75" x14ac:dyDescent="0.25">
      <c r="A678" s="208"/>
      <c r="B678" s="158"/>
      <c r="C678" s="158"/>
      <c r="D678" s="40"/>
      <c r="E678" s="40"/>
      <c r="F678" s="40"/>
      <c r="G678" s="42"/>
      <c r="H678" s="137" t="s">
        <v>46</v>
      </c>
      <c r="I678" s="1588">
        <f ca="1">IFERROR(__xludf.DUMMYFUNCTION("IMPORTRANGE(""https://docs.google.com/spreadsheets/d/1eHaY18a8A9IcSdp1K8H6x8fbOy06t2VsZHhMHf-1x7Y/edit?usp=sharing"",""แผน!IP25"")"),0)</f>
        <v>0</v>
      </c>
      <c r="J678" s="184">
        <f ca="1">IFERROR(__xludf.DUMMYFUNCTION("IMPORTRANGE(""https://docs.google.com/spreadsheets/d/1tdoBKaGub7dwA3U6UFTqxio9LNnvDCQjHKmttSEBsFQ/edit?usp=sharing"",""จัดที่ดิน!BH25"")"),0)</f>
        <v>0</v>
      </c>
      <c r="K678" s="224">
        <f t="shared" ref="K678:K679" ca="1" si="409">IF(I678&gt;0,J678*100/I678,0)</f>
        <v>0</v>
      </c>
      <c r="L678" s="1590"/>
      <c r="M678" s="45"/>
      <c r="N678" s="409"/>
      <c r="O678" s="45"/>
      <c r="P678" s="45"/>
      <c r="Q678" s="409"/>
      <c r="R678" s="45"/>
      <c r="S678" s="409"/>
      <c r="T678" s="45"/>
      <c r="U678" s="45"/>
    </row>
    <row r="679" spans="1:21" ht="18.75" x14ac:dyDescent="0.25">
      <c r="A679" s="208"/>
      <c r="B679" s="158"/>
      <c r="C679" s="158"/>
      <c r="D679" s="40"/>
      <c r="E679" s="47" t="s">
        <v>250</v>
      </c>
      <c r="F679" s="40"/>
      <c r="G679" s="42"/>
      <c r="H679" s="137" t="s">
        <v>35</v>
      </c>
      <c r="I679" s="1588">
        <f ca="1">IFERROR(__xludf.DUMMYFUNCTION("IMPORTRANGE(""https://docs.google.com/spreadsheets/d/1eHaY18a8A9IcSdp1K8H6x8fbOy06t2VsZHhMHf-1x7Y/edit?usp=sharing"",""แผน!IQ25"")"),0)</f>
        <v>0</v>
      </c>
      <c r="J679" s="184">
        <f ca="1">IFERROR(__xludf.DUMMYFUNCTION("IMPORTRANGE(""https://docs.google.com/spreadsheets/d/1tdoBKaGub7dwA3U6UFTqxio9LNnvDCQjHKmttSEBsFQ/edit?usp=sharing"",""จัดที่ดิน!BK25"")"),0)</f>
        <v>0</v>
      </c>
      <c r="K679" s="224">
        <f t="shared" ca="1" si="409"/>
        <v>0</v>
      </c>
      <c r="L679" s="1359"/>
      <c r="M679" s="45"/>
      <c r="N679" s="409"/>
      <c r="O679" s="45"/>
      <c r="P679" s="45"/>
      <c r="Q679" s="45"/>
      <c r="R679" s="45"/>
      <c r="S679" s="409"/>
      <c r="T679" s="45"/>
      <c r="U679" s="45"/>
    </row>
    <row r="680" spans="1:21" ht="18.75" x14ac:dyDescent="0.25">
      <c r="A680" s="208"/>
      <c r="B680" s="158"/>
      <c r="C680" s="158"/>
      <c r="D680" s="40"/>
      <c r="E680" s="40"/>
      <c r="F680" s="40"/>
      <c r="G680" s="42"/>
      <c r="H680" s="137" t="s">
        <v>34</v>
      </c>
      <c r="I680" s="180"/>
      <c r="J680" s="184">
        <f ca="1">IFERROR(__xludf.DUMMYFUNCTION("IMPORTRANGE(""https://docs.google.com/spreadsheets/d/1tdoBKaGub7dwA3U6UFTqxio9LNnvDCQjHKmttSEBsFQ/edit?usp=sharing"",""จัดที่ดิน!BL25"")"),0)</f>
        <v>0</v>
      </c>
      <c r="K680" s="45"/>
      <c r="L680" s="1590"/>
      <c r="M680" s="45"/>
      <c r="N680" s="409"/>
      <c r="O680" s="45"/>
      <c r="P680" s="45"/>
      <c r="Q680" s="409"/>
      <c r="R680" s="45"/>
      <c r="S680" s="409"/>
      <c r="T680" s="45"/>
      <c r="U680" s="45"/>
    </row>
    <row r="681" spans="1:21" ht="18.75" x14ac:dyDescent="0.25">
      <c r="A681" s="208"/>
      <c r="B681" s="158"/>
      <c r="C681" s="158"/>
      <c r="D681" s="40"/>
      <c r="E681" s="40"/>
      <c r="F681" s="40"/>
      <c r="G681" s="42"/>
      <c r="H681" s="137" t="s">
        <v>46</v>
      </c>
      <c r="I681" s="1588">
        <f ca="1">IFERROR(__xludf.DUMMYFUNCTION("IMPORTRANGE(""https://docs.google.com/spreadsheets/d/1eHaY18a8A9IcSdp1K8H6x8fbOy06t2VsZHhMHf-1x7Y/edit?usp=sharing"",""แผน!IR25"")"),0)</f>
        <v>0</v>
      </c>
      <c r="J681" s="184">
        <f ca="1">IFERROR(__xludf.DUMMYFUNCTION("IMPORTRANGE(""https://docs.google.com/spreadsheets/d/1tdoBKaGub7dwA3U6UFTqxio9LNnvDCQjHKmttSEBsFQ/edit?usp=sharing"",""จัดที่ดิน!BM25"")"),0)</f>
        <v>0</v>
      </c>
      <c r="K681" s="224">
        <f t="shared" ref="K681:K682" ca="1" si="410">IF(I681&gt;0,J681*100/I681,0)</f>
        <v>0</v>
      </c>
      <c r="L681" s="1590"/>
      <c r="M681" s="45"/>
      <c r="N681" s="409"/>
      <c r="O681" s="45"/>
      <c r="P681" s="45"/>
      <c r="Q681" s="409"/>
      <c r="R681" s="45"/>
      <c r="S681" s="409"/>
      <c r="T681" s="45"/>
      <c r="U681" s="45"/>
    </row>
    <row r="682" spans="1:21" ht="19.5" x14ac:dyDescent="0.3">
      <c r="A682" s="208"/>
      <c r="B682" s="158"/>
      <c r="C682" s="158"/>
      <c r="D682" s="47" t="s">
        <v>251</v>
      </c>
      <c r="E682" s="40"/>
      <c r="F682" s="40"/>
      <c r="G682" s="42"/>
      <c r="H682" s="404" t="s">
        <v>46</v>
      </c>
      <c r="I682" s="1589">
        <f ca="1">IFERROR(__xludf.DUMMYFUNCTION("IMPORTRANGE(""https://docs.google.com/spreadsheets/d/1eHaY18a8A9IcSdp1K8H6x8fbOy06t2VsZHhMHf-1x7Y/edit?usp=sharing"",""แผน!IS25"")"),0)</f>
        <v>0</v>
      </c>
      <c r="J682" s="328">
        <f>J685+J688</f>
        <v>0</v>
      </c>
      <c r="K682" s="1390">
        <f t="shared" ca="1" si="410"/>
        <v>0</v>
      </c>
      <c r="L682" s="1359"/>
      <c r="M682" s="45"/>
      <c r="N682" s="409"/>
      <c r="O682" s="45"/>
      <c r="P682" s="45"/>
      <c r="Q682" s="45"/>
      <c r="R682" s="45"/>
      <c r="S682" s="409"/>
      <c r="T682" s="45"/>
      <c r="U682" s="45"/>
    </row>
    <row r="683" spans="1:21" ht="18.75" x14ac:dyDescent="0.25">
      <c r="A683" s="208"/>
      <c r="B683" s="158"/>
      <c r="C683" s="158"/>
      <c r="D683" s="40"/>
      <c r="E683" s="47" t="s">
        <v>252</v>
      </c>
      <c r="F683" s="40"/>
      <c r="G683" s="42"/>
      <c r="H683" s="137" t="s">
        <v>35</v>
      </c>
      <c r="I683" s="180"/>
      <c r="J683" s="1395">
        <v>0</v>
      </c>
      <c r="K683" s="45"/>
      <c r="L683" s="1590"/>
      <c r="M683" s="45"/>
      <c r="N683" s="409"/>
      <c r="O683" s="45"/>
      <c r="P683" s="45"/>
      <c r="Q683" s="409"/>
      <c r="R683" s="45"/>
      <c r="S683" s="409"/>
      <c r="T683" s="45"/>
      <c r="U683" s="45"/>
    </row>
    <row r="684" spans="1:21" ht="18.75" x14ac:dyDescent="0.25">
      <c r="A684" s="208"/>
      <c r="B684" s="158"/>
      <c r="C684" s="158"/>
      <c r="D684" s="40"/>
      <c r="E684" s="40"/>
      <c r="F684" s="40"/>
      <c r="G684" s="42"/>
      <c r="H684" s="137" t="s">
        <v>34</v>
      </c>
      <c r="I684" s="180"/>
      <c r="J684" s="1395">
        <v>0</v>
      </c>
      <c r="K684" s="45"/>
      <c r="L684" s="1590"/>
      <c r="M684" s="45"/>
      <c r="N684" s="409"/>
      <c r="O684" s="45"/>
      <c r="P684" s="45"/>
      <c r="Q684" s="409"/>
      <c r="R684" s="45"/>
      <c r="S684" s="409"/>
      <c r="T684" s="45"/>
      <c r="U684" s="45"/>
    </row>
    <row r="685" spans="1:21" ht="18.75" x14ac:dyDescent="0.25">
      <c r="A685" s="208"/>
      <c r="B685" s="158"/>
      <c r="C685" s="158"/>
      <c r="D685" s="40"/>
      <c r="E685" s="40"/>
      <c r="F685" s="40"/>
      <c r="G685" s="42"/>
      <c r="H685" s="137" t="s">
        <v>46</v>
      </c>
      <c r="I685" s="180"/>
      <c r="J685" s="1395">
        <v>0</v>
      </c>
      <c r="K685" s="45"/>
      <c r="L685" s="1590"/>
      <c r="M685" s="45"/>
      <c r="N685" s="409"/>
      <c r="O685" s="45"/>
      <c r="P685" s="45"/>
      <c r="Q685" s="409"/>
      <c r="R685" s="45"/>
      <c r="S685" s="409"/>
      <c r="T685" s="45"/>
      <c r="U685" s="45"/>
    </row>
    <row r="686" spans="1:21" ht="18.75" x14ac:dyDescent="0.25">
      <c r="A686" s="208"/>
      <c r="B686" s="158"/>
      <c r="C686" s="158"/>
      <c r="D686" s="40"/>
      <c r="E686" s="47" t="s">
        <v>253</v>
      </c>
      <c r="F686" s="40"/>
      <c r="G686" s="42"/>
      <c r="H686" s="137" t="s">
        <v>35</v>
      </c>
      <c r="I686" s="180"/>
      <c r="J686" s="1395">
        <v>0</v>
      </c>
      <c r="K686" s="45"/>
      <c r="L686" s="1590"/>
      <c r="M686" s="45"/>
      <c r="N686" s="409"/>
      <c r="O686" s="45"/>
      <c r="P686" s="45"/>
      <c r="Q686" s="409"/>
      <c r="R686" s="45"/>
      <c r="S686" s="409"/>
      <c r="T686" s="45"/>
      <c r="U686" s="45"/>
    </row>
    <row r="687" spans="1:21" ht="18.75" x14ac:dyDescent="0.25">
      <c r="A687" s="208"/>
      <c r="B687" s="158"/>
      <c r="C687" s="158"/>
      <c r="D687" s="40"/>
      <c r="E687" s="40"/>
      <c r="F687" s="40"/>
      <c r="G687" s="42"/>
      <c r="H687" s="137" t="s">
        <v>34</v>
      </c>
      <c r="I687" s="180"/>
      <c r="J687" s="1395">
        <v>0</v>
      </c>
      <c r="K687" s="45"/>
      <c r="L687" s="1590"/>
      <c r="M687" s="45"/>
      <c r="N687" s="409"/>
      <c r="O687" s="45"/>
      <c r="P687" s="45"/>
      <c r="Q687" s="409"/>
      <c r="R687" s="45"/>
      <c r="S687" s="409"/>
      <c r="T687" s="45"/>
      <c r="U687" s="45"/>
    </row>
    <row r="688" spans="1:21" ht="19.5" x14ac:dyDescent="0.3">
      <c r="A688" s="249"/>
      <c r="B688" s="412" t="s">
        <v>254</v>
      </c>
      <c r="C688" s="250"/>
      <c r="D688" s="252"/>
      <c r="E688" s="252"/>
      <c r="F688" s="252"/>
      <c r="G688" s="253"/>
      <c r="H688" s="186" t="s">
        <v>46</v>
      </c>
      <c r="I688" s="330"/>
      <c r="J688" s="1541">
        <v>0</v>
      </c>
      <c r="K688" s="3"/>
      <c r="L688" s="1591"/>
      <c r="M688" s="3"/>
      <c r="N688" s="413"/>
      <c r="O688" s="3"/>
      <c r="P688" s="3"/>
      <c r="Q688" s="413"/>
      <c r="R688" s="3"/>
      <c r="S688" s="413"/>
      <c r="T688" s="3"/>
      <c r="U688" s="3"/>
    </row>
    <row r="689" spans="1:21" ht="19.5" x14ac:dyDescent="0.3">
      <c r="A689" s="387"/>
      <c r="B689" s="388" t="s">
        <v>255</v>
      </c>
      <c r="C689" s="387"/>
      <c r="D689" s="389"/>
      <c r="E689" s="389"/>
      <c r="F689" s="389"/>
      <c r="G689" s="390"/>
      <c r="H689" s="414" t="s">
        <v>35</v>
      </c>
      <c r="I689" s="1592">
        <f t="shared" ref="I689:J689" ca="1" si="411">I707</f>
        <v>0</v>
      </c>
      <c r="J689" s="1592">
        <f t="shared" ca="1" si="411"/>
        <v>0</v>
      </c>
      <c r="K689" s="1593">
        <f ca="1">IF(I689&gt;0,J689*100/I689,0)</f>
        <v>0</v>
      </c>
      <c r="L689" s="1581"/>
      <c r="M689" s="393"/>
      <c r="N689" s="393"/>
      <c r="O689" s="393"/>
      <c r="P689" s="393"/>
      <c r="Q689" s="393"/>
      <c r="R689" s="393"/>
      <c r="S689" s="393"/>
      <c r="T689" s="393"/>
      <c r="U689" s="393"/>
    </row>
    <row r="690" spans="1:21" ht="19.5" x14ac:dyDescent="0.3">
      <c r="A690" s="128"/>
      <c r="B690" s="158"/>
      <c r="C690" s="177" t="s">
        <v>18</v>
      </c>
      <c r="D690" s="1585" t="s">
        <v>19</v>
      </c>
      <c r="E690" s="1285"/>
      <c r="F690" s="1285"/>
      <c r="G690" s="1286"/>
      <c r="H690" s="221" t="s">
        <v>14</v>
      </c>
      <c r="I690" s="44"/>
      <c r="J690" s="44"/>
      <c r="K690" s="45"/>
      <c r="L690" s="1389">
        <f t="shared" ref="L690:N690" si="412">L691+L692</f>
        <v>0</v>
      </c>
      <c r="M690" s="1390">
        <f t="shared" si="412"/>
        <v>0</v>
      </c>
      <c r="N690" s="1390">
        <f t="shared" si="412"/>
        <v>0</v>
      </c>
      <c r="O690" s="1390">
        <f t="shared" ref="O690:O698" si="413">IF(L690&gt;0,N690*100/L690,0)</f>
        <v>0</v>
      </c>
      <c r="P690" s="1390">
        <f t="shared" ref="P690:P698" si="414">IF(M690&gt;0,N690*100/M690,0)</f>
        <v>0</v>
      </c>
      <c r="Q690" s="1390">
        <f t="shared" ref="Q690:S690" ca="1" si="415">Q691+Q692</f>
        <v>97970</v>
      </c>
      <c r="R690" s="1390">
        <f t="shared" ca="1" si="415"/>
        <v>97970</v>
      </c>
      <c r="S690" s="1390">
        <f t="shared" ca="1" si="415"/>
        <v>0</v>
      </c>
      <c r="T690" s="1390">
        <f t="shared" ref="T690:T698" ca="1" si="416">IF(Q690&gt;0,S690*100/Q690,0)</f>
        <v>0</v>
      </c>
      <c r="U690" s="1390">
        <f t="shared" ref="U690:U698" ca="1" si="417">IF(R690&gt;0,S690*100/R690,0)</f>
        <v>0</v>
      </c>
    </row>
    <row r="691" spans="1:21" ht="18.75" x14ac:dyDescent="0.25">
      <c r="A691" s="128"/>
      <c r="B691" s="158"/>
      <c r="C691" s="158"/>
      <c r="D691" s="145"/>
      <c r="E691" s="156" t="s">
        <v>158</v>
      </c>
      <c r="F691" s="40"/>
      <c r="G691" s="42"/>
      <c r="H691" s="159" t="s">
        <v>14</v>
      </c>
      <c r="I691" s="44"/>
      <c r="J691" s="44"/>
      <c r="K691" s="45"/>
      <c r="L691" s="1358">
        <f t="shared" ref="L691:N692" si="418">L694+L697</f>
        <v>0</v>
      </c>
      <c r="M691" s="83">
        <f t="shared" si="418"/>
        <v>0</v>
      </c>
      <c r="N691" s="83">
        <f t="shared" si="418"/>
        <v>0</v>
      </c>
      <c r="O691" s="83">
        <f t="shared" si="413"/>
        <v>0</v>
      </c>
      <c r="P691" s="83">
        <f t="shared" si="414"/>
        <v>0</v>
      </c>
      <c r="Q691" s="83">
        <f t="shared" ref="Q691:S692" si="419">Q694+Q697</f>
        <v>0</v>
      </c>
      <c r="R691" s="83">
        <f t="shared" si="419"/>
        <v>0</v>
      </c>
      <c r="S691" s="83">
        <f t="shared" si="419"/>
        <v>0</v>
      </c>
      <c r="T691" s="83">
        <f t="shared" si="416"/>
        <v>0</v>
      </c>
      <c r="U691" s="83">
        <f t="shared" si="417"/>
        <v>0</v>
      </c>
    </row>
    <row r="692" spans="1:21" ht="18.75" x14ac:dyDescent="0.25">
      <c r="A692" s="128"/>
      <c r="B692" s="158"/>
      <c r="C692" s="158"/>
      <c r="D692" s="145"/>
      <c r="E692" s="47" t="s">
        <v>159</v>
      </c>
      <c r="F692" s="40"/>
      <c r="G692" s="42"/>
      <c r="H692" s="134" t="s">
        <v>14</v>
      </c>
      <c r="I692" s="44"/>
      <c r="J692" s="44"/>
      <c r="K692" s="45"/>
      <c r="L692" s="1356">
        <f t="shared" si="418"/>
        <v>0</v>
      </c>
      <c r="M692" s="224">
        <f t="shared" si="418"/>
        <v>0</v>
      </c>
      <c r="N692" s="224">
        <f t="shared" si="418"/>
        <v>0</v>
      </c>
      <c r="O692" s="224">
        <f t="shared" si="413"/>
        <v>0</v>
      </c>
      <c r="P692" s="224">
        <f t="shared" si="414"/>
        <v>0</v>
      </c>
      <c r="Q692" s="224">
        <f t="shared" ca="1" si="419"/>
        <v>97970</v>
      </c>
      <c r="R692" s="224">
        <f t="shared" ca="1" si="419"/>
        <v>97970</v>
      </c>
      <c r="S692" s="224">
        <f t="shared" ca="1" si="419"/>
        <v>0</v>
      </c>
      <c r="T692" s="224">
        <f t="shared" ca="1" si="416"/>
        <v>0</v>
      </c>
      <c r="U692" s="224">
        <f t="shared" ca="1" si="417"/>
        <v>0</v>
      </c>
    </row>
    <row r="693" spans="1:21" ht="18.75" x14ac:dyDescent="0.25">
      <c r="A693" s="128"/>
      <c r="B693" s="158"/>
      <c r="C693" s="158"/>
      <c r="D693" s="41" t="s">
        <v>22</v>
      </c>
      <c r="E693" s="40"/>
      <c r="F693" s="40"/>
      <c r="G693" s="42"/>
      <c r="H693" s="134" t="s">
        <v>14</v>
      </c>
      <c r="I693" s="135"/>
      <c r="J693" s="135"/>
      <c r="K693" s="136"/>
      <c r="L693" s="1356">
        <f t="shared" ref="L693:N693" si="420">L694+L695</f>
        <v>0</v>
      </c>
      <c r="M693" s="224">
        <f t="shared" si="420"/>
        <v>0</v>
      </c>
      <c r="N693" s="224">
        <f t="shared" si="420"/>
        <v>0</v>
      </c>
      <c r="O693" s="224">
        <f t="shared" si="413"/>
        <v>0</v>
      </c>
      <c r="P693" s="224">
        <f t="shared" si="414"/>
        <v>0</v>
      </c>
      <c r="Q693" s="224">
        <f t="shared" ref="Q693:S693" ca="1" si="421">Q694+Q695</f>
        <v>97970</v>
      </c>
      <c r="R693" s="224">
        <f t="shared" ca="1" si="421"/>
        <v>97970</v>
      </c>
      <c r="S693" s="224">
        <f t="shared" ca="1" si="421"/>
        <v>0</v>
      </c>
      <c r="T693" s="224">
        <f t="shared" ca="1" si="416"/>
        <v>0</v>
      </c>
      <c r="U693" s="224">
        <f t="shared" ca="1" si="417"/>
        <v>0</v>
      </c>
    </row>
    <row r="694" spans="1:21" ht="18.75" x14ac:dyDescent="0.25">
      <c r="A694" s="128"/>
      <c r="B694" s="158"/>
      <c r="C694" s="158"/>
      <c r="D694" s="145"/>
      <c r="E694" s="156" t="s">
        <v>158</v>
      </c>
      <c r="F694" s="40"/>
      <c r="G694" s="42"/>
      <c r="H694" s="159" t="s">
        <v>14</v>
      </c>
      <c r="I694" s="44"/>
      <c r="J694" s="44"/>
      <c r="K694" s="45"/>
      <c r="L694" s="1358">
        <v>0</v>
      </c>
      <c r="M694" s="83">
        <v>0</v>
      </c>
      <c r="N694" s="83">
        <v>0</v>
      </c>
      <c r="O694" s="83">
        <f t="shared" si="413"/>
        <v>0</v>
      </c>
      <c r="P694" s="83">
        <f t="shared" si="414"/>
        <v>0</v>
      </c>
      <c r="Q694" s="83">
        <v>0</v>
      </c>
      <c r="R694" s="83">
        <v>0</v>
      </c>
      <c r="S694" s="83">
        <v>0</v>
      </c>
      <c r="T694" s="83">
        <f t="shared" si="416"/>
        <v>0</v>
      </c>
      <c r="U694" s="83">
        <f t="shared" si="417"/>
        <v>0</v>
      </c>
    </row>
    <row r="695" spans="1:21" ht="18.75" x14ac:dyDescent="0.25">
      <c r="A695" s="128"/>
      <c r="B695" s="158"/>
      <c r="C695" s="158"/>
      <c r="D695" s="145"/>
      <c r="E695" s="47" t="s">
        <v>159</v>
      </c>
      <c r="F695" s="40"/>
      <c r="G695" s="42"/>
      <c r="H695" s="134" t="s">
        <v>14</v>
      </c>
      <c r="I695" s="44"/>
      <c r="J695" s="44"/>
      <c r="K695" s="45"/>
      <c r="L695" s="1356">
        <v>0</v>
      </c>
      <c r="M695" s="224">
        <v>0</v>
      </c>
      <c r="N695" s="224">
        <v>0</v>
      </c>
      <c r="O695" s="224">
        <f t="shared" si="413"/>
        <v>0</v>
      </c>
      <c r="P695" s="224">
        <f t="shared" si="414"/>
        <v>0</v>
      </c>
      <c r="Q695" s="224">
        <f ca="1">IFERROR(__xludf.DUMMYFUNCTION("IMPORTRANGE(""https://docs.google.com/spreadsheets/d/1ItG2mGa2ceCfYo0BwxsXqNm01IGEUdYcSSLTEv9YCik/edit?usp=sharing"",""เบิกจ่ายกองทุน!L25"")"),97970)</f>
        <v>97970</v>
      </c>
      <c r="R695" s="224">
        <f ca="1">IFERROR(__xludf.DUMMYFUNCTION("IMPORTRANGE(""https://docs.google.com/spreadsheets/d/1ItG2mGa2ceCfYo0BwxsXqNm01IGEUdYcSSLTEv9YCik/edit?usp=sharing"",""เบิกจ่ายกองทุน!M25"")"),97970)</f>
        <v>97970</v>
      </c>
      <c r="S695" s="224">
        <f ca="1">IFERROR(__xludf.DUMMYFUNCTION("IMPORTRANGE(""https://docs.google.com/spreadsheets/d/1ItG2mGa2ceCfYo0BwxsXqNm01IGEUdYcSSLTEv9YCik/edit?usp=sharing"",""เบิกจ่ายกองทุน!N25"")"),0)</f>
        <v>0</v>
      </c>
      <c r="T695" s="224">
        <f t="shared" ca="1" si="416"/>
        <v>0</v>
      </c>
      <c r="U695" s="224">
        <f t="shared" ca="1" si="417"/>
        <v>0</v>
      </c>
    </row>
    <row r="696" spans="1:21" ht="18.75" x14ac:dyDescent="0.25">
      <c r="A696" s="128"/>
      <c r="B696" s="158"/>
      <c r="C696" s="158"/>
      <c r="D696" s="41" t="s">
        <v>23</v>
      </c>
      <c r="E696" s="40"/>
      <c r="F696" s="40"/>
      <c r="G696" s="42"/>
      <c r="H696" s="137" t="s">
        <v>14</v>
      </c>
      <c r="I696" s="135"/>
      <c r="J696" s="135"/>
      <c r="K696" s="136"/>
      <c r="L696" s="1356">
        <f t="shared" ref="L696:N696" si="422">L697+L698</f>
        <v>0</v>
      </c>
      <c r="M696" s="224">
        <f t="shared" si="422"/>
        <v>0</v>
      </c>
      <c r="N696" s="224">
        <f t="shared" si="422"/>
        <v>0</v>
      </c>
      <c r="O696" s="224">
        <f t="shared" si="413"/>
        <v>0</v>
      </c>
      <c r="P696" s="224">
        <f t="shared" si="414"/>
        <v>0</v>
      </c>
      <c r="Q696" s="224">
        <f t="shared" ref="Q696:S696" si="423">Q697+Q698</f>
        <v>0</v>
      </c>
      <c r="R696" s="224">
        <f t="shared" si="423"/>
        <v>0</v>
      </c>
      <c r="S696" s="224">
        <f t="shared" si="423"/>
        <v>0</v>
      </c>
      <c r="T696" s="224">
        <f t="shared" si="416"/>
        <v>0</v>
      </c>
      <c r="U696" s="224">
        <f t="shared" si="417"/>
        <v>0</v>
      </c>
    </row>
    <row r="697" spans="1:21" ht="18.75" x14ac:dyDescent="0.25">
      <c r="A697" s="128"/>
      <c r="B697" s="158"/>
      <c r="C697" s="158"/>
      <c r="D697" s="40"/>
      <c r="E697" s="156" t="s">
        <v>20</v>
      </c>
      <c r="F697" s="40"/>
      <c r="G697" s="42"/>
      <c r="H697" s="159" t="s">
        <v>14</v>
      </c>
      <c r="I697" s="135"/>
      <c r="J697" s="135"/>
      <c r="K697" s="136"/>
      <c r="L697" s="1358">
        <v>0</v>
      </c>
      <c r="M697" s="83">
        <v>0</v>
      </c>
      <c r="N697" s="83">
        <v>0</v>
      </c>
      <c r="O697" s="83">
        <f t="shared" si="413"/>
        <v>0</v>
      </c>
      <c r="P697" s="83">
        <f t="shared" si="414"/>
        <v>0</v>
      </c>
      <c r="Q697" s="83">
        <v>0</v>
      </c>
      <c r="R697" s="83">
        <v>0</v>
      </c>
      <c r="S697" s="83">
        <v>0</v>
      </c>
      <c r="T697" s="83">
        <f t="shared" si="416"/>
        <v>0</v>
      </c>
      <c r="U697" s="83">
        <f t="shared" si="417"/>
        <v>0</v>
      </c>
    </row>
    <row r="698" spans="1:21" ht="18.75" x14ac:dyDescent="0.25">
      <c r="A698" s="128"/>
      <c r="B698" s="158"/>
      <c r="C698" s="158"/>
      <c r="D698" s="40"/>
      <c r="E698" s="47" t="s">
        <v>21</v>
      </c>
      <c r="F698" s="40"/>
      <c r="G698" s="42"/>
      <c r="H698" s="137" t="s">
        <v>14</v>
      </c>
      <c r="I698" s="135"/>
      <c r="J698" s="135"/>
      <c r="K698" s="136"/>
      <c r="L698" s="1356">
        <v>0</v>
      </c>
      <c r="M698" s="224">
        <v>0</v>
      </c>
      <c r="N698" s="224">
        <v>0</v>
      </c>
      <c r="O698" s="224">
        <f t="shared" si="413"/>
        <v>0</v>
      </c>
      <c r="P698" s="224">
        <f t="shared" si="414"/>
        <v>0</v>
      </c>
      <c r="Q698" s="224">
        <v>0</v>
      </c>
      <c r="R698" s="224">
        <v>0</v>
      </c>
      <c r="S698" s="224">
        <v>0</v>
      </c>
      <c r="T698" s="224">
        <f t="shared" si="416"/>
        <v>0</v>
      </c>
      <c r="U698" s="224">
        <f t="shared" si="417"/>
        <v>0</v>
      </c>
    </row>
    <row r="699" spans="1:21" ht="19.5" x14ac:dyDescent="0.3">
      <c r="A699" s="138"/>
      <c r="B699" s="139"/>
      <c r="C699" s="177" t="s">
        <v>18</v>
      </c>
      <c r="D699" s="1391" t="s">
        <v>38</v>
      </c>
      <c r="E699" s="141"/>
      <c r="F699" s="141"/>
      <c r="G699" s="141"/>
      <c r="H699" s="178"/>
      <c r="I699" s="135"/>
      <c r="J699" s="135"/>
      <c r="K699" s="136"/>
      <c r="L699" s="1359"/>
      <c r="M699" s="45"/>
      <c r="N699" s="45"/>
      <c r="O699" s="45"/>
      <c r="P699" s="45"/>
      <c r="Q699" s="45"/>
      <c r="R699" s="45"/>
      <c r="S699" s="45"/>
      <c r="T699" s="45"/>
      <c r="U699" s="45"/>
    </row>
    <row r="700" spans="1:21" ht="18.75" x14ac:dyDescent="0.25">
      <c r="A700" s="208"/>
      <c r="B700" s="158"/>
      <c r="C700" s="158"/>
      <c r="D700" s="145"/>
      <c r="E700" s="144" t="s">
        <v>256</v>
      </c>
      <c r="F700" s="145"/>
      <c r="G700" s="143"/>
      <c r="H700" s="137" t="s">
        <v>257</v>
      </c>
      <c r="I700" s="184">
        <f ca="1">IFERROR(__xludf.DUMMYFUNCTION("IMPORTRANGE(""https://docs.google.com/spreadsheets/d/1eHaY18a8A9IcSdp1K8H6x8fbOy06t2VsZHhMHf-1x7Y/edit?usp=sharing"",""แผน!LC25"")"),1)</f>
        <v>1</v>
      </c>
      <c r="J700" s="1395">
        <v>0</v>
      </c>
      <c r="K700" s="1396">
        <f t="shared" ref="K700:K710" ca="1" si="424">IF(I700&gt;0,J700*100/I700,0)</f>
        <v>0</v>
      </c>
      <c r="L700" s="1392"/>
      <c r="M700" s="136"/>
      <c r="N700" s="45"/>
      <c r="O700" s="136"/>
      <c r="P700" s="136"/>
      <c r="Q700" s="136"/>
      <c r="R700" s="136"/>
      <c r="S700" s="45"/>
      <c r="T700" s="136"/>
      <c r="U700" s="136"/>
    </row>
    <row r="701" spans="1:21" ht="19.5" x14ac:dyDescent="0.3">
      <c r="A701" s="208"/>
      <c r="B701" s="158"/>
      <c r="C701" s="158"/>
      <c r="D701" s="145"/>
      <c r="E701" s="417" t="s">
        <v>258</v>
      </c>
      <c r="F701" s="145"/>
      <c r="G701" s="143"/>
      <c r="H701" s="131" t="s">
        <v>35</v>
      </c>
      <c r="I701" s="328">
        <f t="shared" ref="I701:J701" ca="1" si="425">I703+I705</f>
        <v>2</v>
      </c>
      <c r="J701" s="328">
        <f t="shared" ca="1" si="425"/>
        <v>0</v>
      </c>
      <c r="K701" s="1390">
        <f t="shared" ca="1" si="424"/>
        <v>0</v>
      </c>
      <c r="L701" s="1392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08"/>
      <c r="B702" s="158"/>
      <c r="C702" s="158"/>
      <c r="D702" s="145"/>
      <c r="E702" s="145"/>
      <c r="F702" s="145"/>
      <c r="G702" s="143"/>
      <c r="H702" s="131" t="s">
        <v>46</v>
      </c>
      <c r="I702" s="328">
        <v>0</v>
      </c>
      <c r="J702" s="328">
        <f ca="1">J704+J706</f>
        <v>0</v>
      </c>
      <c r="K702" s="1390">
        <f t="shared" si="424"/>
        <v>0</v>
      </c>
      <c r="L702" s="1392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08"/>
      <c r="B703" s="158"/>
      <c r="C703" s="158"/>
      <c r="D703" s="145"/>
      <c r="E703" s="145"/>
      <c r="F703" s="144" t="s">
        <v>259</v>
      </c>
      <c r="G703" s="143"/>
      <c r="H703" s="137" t="s">
        <v>35</v>
      </c>
      <c r="I703" s="184">
        <f ca="1">IFERROR(__xludf.DUMMYFUNCTION("IMPORTRANGE(""https://docs.google.com/spreadsheets/d/1eHaY18a8A9IcSdp1K8H6x8fbOy06t2VsZHhMHf-1x7Y/edit?usp=sharing"",""แผน!LJ25"")"),0)</f>
        <v>0</v>
      </c>
      <c r="J703" s="184">
        <f ca="1">IFERROR(__xludf.DUMMYFUNCTION("IMPORTRANGE(""https://docs.google.com/spreadsheets/d/1tdoBKaGub7dwA3U6UFTqxio9LNnvDCQjHKmttSEBsFQ/edit?usp=sharing"",""จัดที่ดิน!AP25"")"),0)</f>
        <v>0</v>
      </c>
      <c r="K703" s="224">
        <f t="shared" ca="1" si="424"/>
        <v>0</v>
      </c>
      <c r="L703" s="1392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8"/>
      <c r="B704" s="158"/>
      <c r="C704" s="158"/>
      <c r="D704" s="145"/>
      <c r="E704" s="145"/>
      <c r="F704" s="145"/>
      <c r="G704" s="143"/>
      <c r="H704" s="137" t="s">
        <v>46</v>
      </c>
      <c r="I704" s="184">
        <v>0</v>
      </c>
      <c r="J704" s="184">
        <f ca="1">IFERROR(__xludf.DUMMYFUNCTION("IMPORTRANGE(""https://docs.google.com/spreadsheets/d/1tdoBKaGub7dwA3U6UFTqxio9LNnvDCQjHKmttSEBsFQ/edit?usp=sharing"",""จัดที่ดิน!AQ25"")"),0)</f>
        <v>0</v>
      </c>
      <c r="K704" s="224">
        <f t="shared" si="424"/>
        <v>0</v>
      </c>
      <c r="L704" s="1392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8"/>
      <c r="B705" s="158"/>
      <c r="C705" s="158"/>
      <c r="D705" s="145"/>
      <c r="E705" s="145"/>
      <c r="F705" s="144" t="s">
        <v>260</v>
      </c>
      <c r="G705" s="143"/>
      <c r="H705" s="137" t="s">
        <v>35</v>
      </c>
      <c r="I705" s="184">
        <f ca="1">IFERROR(__xludf.DUMMYFUNCTION("IMPORTRANGE(""https://docs.google.com/spreadsheets/d/1eHaY18a8A9IcSdp1K8H6x8fbOy06t2VsZHhMHf-1x7Y/edit?usp=sharing"",""แผน!LK25"")"),2)</f>
        <v>2</v>
      </c>
      <c r="J705" s="184">
        <f ca="1">IFERROR(__xludf.DUMMYFUNCTION("IMPORTRANGE(""https://docs.google.com/spreadsheets/d/1tdoBKaGub7dwA3U6UFTqxio9LNnvDCQjHKmttSEBsFQ/edit?usp=sharing"",""จัดที่ดิน!AR25"")"),0)</f>
        <v>0</v>
      </c>
      <c r="K705" s="1396">
        <f t="shared" ca="1" si="424"/>
        <v>0</v>
      </c>
      <c r="L705" s="1392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8"/>
      <c r="B706" s="158"/>
      <c r="C706" s="158"/>
      <c r="D706" s="145"/>
      <c r="E706" s="145"/>
      <c r="F706" s="145"/>
      <c r="G706" s="143"/>
      <c r="H706" s="137" t="s">
        <v>46</v>
      </c>
      <c r="I706" s="184">
        <v>0</v>
      </c>
      <c r="J706" s="184">
        <f ca="1">IFERROR(__xludf.DUMMYFUNCTION("IMPORTRANGE(""https://docs.google.com/spreadsheets/d/1tdoBKaGub7dwA3U6UFTqxio9LNnvDCQjHKmttSEBsFQ/edit?usp=sharing"",""จัดที่ดิน!AS25"")"),0)</f>
        <v>0</v>
      </c>
      <c r="K706" s="224">
        <f t="shared" si="424"/>
        <v>0</v>
      </c>
      <c r="L706" s="1392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8"/>
      <c r="B707" s="158"/>
      <c r="C707" s="158"/>
      <c r="D707" s="145"/>
      <c r="E707" s="144" t="s">
        <v>261</v>
      </c>
      <c r="F707" s="145"/>
      <c r="G707" s="143"/>
      <c r="H707" s="134" t="s">
        <v>35</v>
      </c>
      <c r="I707" s="184">
        <f ca="1">IFERROR(__xludf.DUMMYFUNCTION("IMPORTRANGE(""https://docs.google.com/spreadsheets/d/1eHaY18a8A9IcSdp1K8H6x8fbOy06t2VsZHhMHf-1x7Y/edit?usp=sharing"",""แผน!LJ25"")"),0)</f>
        <v>0</v>
      </c>
      <c r="J707" s="184">
        <f ca="1">IFERROR(__xludf.DUMMYFUNCTION("IMPORTRANGE(""https://docs.google.com/spreadsheets/d/1tdoBKaGub7dwA3U6UFTqxio9LNnvDCQjHKmttSEBsFQ/edit?usp=sharing"",""จัดที่ดิน!BN25"")"),0)</f>
        <v>0</v>
      </c>
      <c r="K707" s="224">
        <f t="shared" ca="1" si="424"/>
        <v>0</v>
      </c>
      <c r="L707" s="1392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8"/>
      <c r="B708" s="158"/>
      <c r="C708" s="158"/>
      <c r="D708" s="145"/>
      <c r="E708" s="418" t="s">
        <v>262</v>
      </c>
      <c r="F708" s="145"/>
      <c r="G708" s="143"/>
      <c r="H708" s="134" t="s">
        <v>46</v>
      </c>
      <c r="I708" s="184">
        <v>0</v>
      </c>
      <c r="J708" s="184">
        <f ca="1">IFERROR(__xludf.DUMMYFUNCTION("IMPORTRANGE(""https://docs.google.com/spreadsheets/d/1tdoBKaGub7dwA3U6UFTqxio9LNnvDCQjHKmttSEBsFQ/edit?usp=sharing"",""จัดที่ดิน!BO25"")"),0)</f>
        <v>0</v>
      </c>
      <c r="K708" s="224">
        <f t="shared" si="424"/>
        <v>0</v>
      </c>
      <c r="L708" s="1392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8"/>
      <c r="B709" s="158"/>
      <c r="C709" s="158"/>
      <c r="D709" s="40"/>
      <c r="E709" s="47" t="s">
        <v>263</v>
      </c>
      <c r="F709" s="40"/>
      <c r="G709" s="42"/>
      <c r="H709" s="175" t="s">
        <v>35</v>
      </c>
      <c r="I709" s="184">
        <f ca="1">IFERROR(__xludf.DUMMYFUNCTION("IMPORTRANGE(""https://docs.google.com/spreadsheets/d/1eHaY18a8A9IcSdp1K8H6x8fbOy06t2VsZHhMHf-1x7Y/edit?usp=sharing"",""แผน!LK25"")"),2)</f>
        <v>2</v>
      </c>
      <c r="J709" s="184">
        <f ca="1">IFERROR(__xludf.DUMMYFUNCTION("IMPORTRANGE(""https://docs.google.com/spreadsheets/d/1tdoBKaGub7dwA3U6UFTqxio9LNnvDCQjHKmttSEBsFQ/edit?usp=sharing"",""จัดที่ดิน!BP25"")"),0)</f>
        <v>0</v>
      </c>
      <c r="K709" s="224">
        <f t="shared" ca="1" si="424"/>
        <v>0</v>
      </c>
      <c r="L709" s="1359"/>
      <c r="M709" s="45"/>
      <c r="N709" s="45"/>
      <c r="O709" s="45"/>
      <c r="P709" s="45"/>
      <c r="Q709" s="45"/>
      <c r="R709" s="45"/>
      <c r="S709" s="45"/>
      <c r="T709" s="45"/>
      <c r="U709" s="45"/>
    </row>
    <row r="710" spans="1:21" ht="18.75" x14ac:dyDescent="0.25">
      <c r="A710" s="208"/>
      <c r="B710" s="158"/>
      <c r="C710" s="158"/>
      <c r="D710" s="40"/>
      <c r="E710" s="418" t="s">
        <v>264</v>
      </c>
      <c r="F710" s="40"/>
      <c r="G710" s="42"/>
      <c r="H710" s="175" t="s">
        <v>46</v>
      </c>
      <c r="I710" s="184">
        <v>0</v>
      </c>
      <c r="J710" s="184">
        <f ca="1">IFERROR(__xludf.DUMMYFUNCTION("IMPORTRANGE(""https://docs.google.com/spreadsheets/d/1tdoBKaGub7dwA3U6UFTqxio9LNnvDCQjHKmttSEBsFQ/edit?usp=sharing"",""จัดที่ดิน!BQ25"")"),0)</f>
        <v>0</v>
      </c>
      <c r="K710" s="224">
        <f t="shared" si="424"/>
        <v>0</v>
      </c>
      <c r="L710" s="1359"/>
      <c r="M710" s="45"/>
      <c r="N710" s="45"/>
      <c r="O710" s="45"/>
      <c r="P710" s="45"/>
      <c r="Q710" s="45"/>
      <c r="R710" s="45"/>
      <c r="S710" s="45"/>
      <c r="T710" s="45"/>
      <c r="U710" s="45"/>
    </row>
    <row r="711" spans="1:21" ht="12.75" x14ac:dyDescent="0.2">
      <c r="A711" s="360"/>
      <c r="B711" s="316"/>
      <c r="C711" s="316"/>
      <c r="D711" s="361"/>
      <c r="E711" s="361"/>
      <c r="F711" s="361"/>
      <c r="G711" s="362"/>
      <c r="H711" s="317"/>
      <c r="I711" s="318"/>
      <c r="J711" s="318"/>
      <c r="K711" s="319"/>
      <c r="L711" s="1537"/>
      <c r="M711" s="319"/>
      <c r="N711" s="319"/>
      <c r="O711" s="319"/>
      <c r="P711" s="319"/>
      <c r="Q711" s="319"/>
      <c r="R711" s="319"/>
      <c r="S711" s="319"/>
      <c r="T711" s="319"/>
      <c r="U711" s="319"/>
    </row>
    <row r="712" spans="1:21" ht="19.5" x14ac:dyDescent="0.3">
      <c r="A712" s="387"/>
      <c r="B712" s="419" t="s">
        <v>265</v>
      </c>
      <c r="C712" s="387"/>
      <c r="D712" s="389"/>
      <c r="E712" s="389"/>
      <c r="F712" s="389"/>
      <c r="G712" s="390"/>
      <c r="H712" s="420" t="s">
        <v>46</v>
      </c>
      <c r="I712" s="392"/>
      <c r="J712" s="392">
        <f>J724</f>
        <v>0</v>
      </c>
      <c r="K712" s="1594">
        <f>IF(I712&gt;0,J712*100/I712,0)</f>
        <v>0</v>
      </c>
      <c r="L712" s="1581"/>
      <c r="M712" s="393"/>
      <c r="N712" s="393"/>
      <c r="O712" s="393"/>
      <c r="P712" s="393"/>
      <c r="Q712" s="393"/>
      <c r="R712" s="393"/>
      <c r="S712" s="393"/>
      <c r="T712" s="393"/>
      <c r="U712" s="393"/>
    </row>
    <row r="713" spans="1:21" ht="19.5" x14ac:dyDescent="0.3">
      <c r="A713" s="387"/>
      <c r="B713" s="419" t="s">
        <v>266</v>
      </c>
      <c r="C713" s="387"/>
      <c r="D713" s="389"/>
      <c r="E713" s="389"/>
      <c r="F713" s="389"/>
      <c r="G713" s="390"/>
      <c r="H713" s="391"/>
      <c r="I713" s="392"/>
      <c r="J713" s="392"/>
      <c r="K713" s="393"/>
      <c r="L713" s="1581"/>
      <c r="M713" s="393"/>
      <c r="N713" s="393"/>
      <c r="O713" s="393"/>
      <c r="P713" s="393"/>
      <c r="Q713" s="393"/>
      <c r="R713" s="393"/>
      <c r="S713" s="393"/>
      <c r="T713" s="393"/>
      <c r="U713" s="393"/>
    </row>
    <row r="714" spans="1:21" ht="19.5" x14ac:dyDescent="0.3">
      <c r="A714" s="128"/>
      <c r="B714" s="158"/>
      <c r="C714" s="314" t="s">
        <v>18</v>
      </c>
      <c r="D714" s="1569" t="s">
        <v>19</v>
      </c>
      <c r="E714" s="1285"/>
      <c r="F714" s="1285"/>
      <c r="G714" s="1286"/>
      <c r="H714" s="375" t="s">
        <v>14</v>
      </c>
      <c r="I714" s="44"/>
      <c r="J714" s="44"/>
      <c r="K714" s="45"/>
      <c r="L714" s="1389">
        <f t="shared" ref="L714:N714" si="426">L715+L716</f>
        <v>0</v>
      </c>
      <c r="M714" s="1390">
        <f t="shared" si="426"/>
        <v>0</v>
      </c>
      <c r="N714" s="1390">
        <f t="shared" si="426"/>
        <v>0</v>
      </c>
      <c r="O714" s="1390">
        <f t="shared" ref="O714:O722" si="427">IF(L714&gt;0,N714*100/L714,0)</f>
        <v>0</v>
      </c>
      <c r="P714" s="1390">
        <f t="shared" ref="P714:P722" si="428">IF(M714&gt;0,N714*100/M714,0)</f>
        <v>0</v>
      </c>
      <c r="Q714" s="1390">
        <f t="shared" ref="Q714:S714" si="429">Q715+Q716</f>
        <v>0</v>
      </c>
      <c r="R714" s="1390">
        <f t="shared" si="429"/>
        <v>0</v>
      </c>
      <c r="S714" s="1390">
        <f t="shared" si="429"/>
        <v>0</v>
      </c>
      <c r="T714" s="1390">
        <f t="shared" ref="T714:T722" si="430">IF(Q714&gt;0,S714*100/Q714,0)</f>
        <v>0</v>
      </c>
      <c r="U714" s="1390">
        <f t="shared" ref="U714:U722" si="431">IF(R714&gt;0,S714*100/R714,0)</f>
        <v>0</v>
      </c>
    </row>
    <row r="715" spans="1:21" ht="18.75" x14ac:dyDescent="0.25">
      <c r="A715" s="128"/>
      <c r="B715" s="158"/>
      <c r="C715" s="158"/>
      <c r="D715" s="145"/>
      <c r="E715" s="156" t="s">
        <v>158</v>
      </c>
      <c r="F715" s="40"/>
      <c r="G715" s="42"/>
      <c r="H715" s="159" t="s">
        <v>14</v>
      </c>
      <c r="I715" s="44"/>
      <c r="J715" s="44"/>
      <c r="K715" s="45"/>
      <c r="L715" s="1358">
        <f t="shared" ref="L715:N716" si="432">L718+L721</f>
        <v>0</v>
      </c>
      <c r="M715" s="83">
        <f t="shared" si="432"/>
        <v>0</v>
      </c>
      <c r="N715" s="83">
        <f t="shared" si="432"/>
        <v>0</v>
      </c>
      <c r="O715" s="83">
        <f t="shared" si="427"/>
        <v>0</v>
      </c>
      <c r="P715" s="83">
        <f t="shared" si="428"/>
        <v>0</v>
      </c>
      <c r="Q715" s="83">
        <f t="shared" ref="Q715:S716" si="433">Q718+Q721</f>
        <v>0</v>
      </c>
      <c r="R715" s="83">
        <f t="shared" si="433"/>
        <v>0</v>
      </c>
      <c r="S715" s="83">
        <f t="shared" si="433"/>
        <v>0</v>
      </c>
      <c r="T715" s="83">
        <f t="shared" si="430"/>
        <v>0</v>
      </c>
      <c r="U715" s="83">
        <f t="shared" si="431"/>
        <v>0</v>
      </c>
    </row>
    <row r="716" spans="1:21" ht="18.75" x14ac:dyDescent="0.25">
      <c r="A716" s="128"/>
      <c r="B716" s="158"/>
      <c r="C716" s="158"/>
      <c r="D716" s="145"/>
      <c r="E716" s="156" t="s">
        <v>159</v>
      </c>
      <c r="F716" s="40"/>
      <c r="G716" s="42"/>
      <c r="H716" s="159" t="s">
        <v>14</v>
      </c>
      <c r="I716" s="44"/>
      <c r="J716" s="44"/>
      <c r="K716" s="45"/>
      <c r="L716" s="1356">
        <f t="shared" si="432"/>
        <v>0</v>
      </c>
      <c r="M716" s="224">
        <f t="shared" si="432"/>
        <v>0</v>
      </c>
      <c r="N716" s="224">
        <f t="shared" si="432"/>
        <v>0</v>
      </c>
      <c r="O716" s="224">
        <f t="shared" si="427"/>
        <v>0</v>
      </c>
      <c r="P716" s="224">
        <f t="shared" si="428"/>
        <v>0</v>
      </c>
      <c r="Q716" s="224">
        <f t="shared" si="433"/>
        <v>0</v>
      </c>
      <c r="R716" s="224">
        <f t="shared" si="433"/>
        <v>0</v>
      </c>
      <c r="S716" s="224">
        <f t="shared" si="433"/>
        <v>0</v>
      </c>
      <c r="T716" s="224">
        <f t="shared" si="430"/>
        <v>0</v>
      </c>
      <c r="U716" s="224">
        <f t="shared" si="431"/>
        <v>0</v>
      </c>
    </row>
    <row r="717" spans="1:21" ht="19.5" x14ac:dyDescent="0.3">
      <c r="A717" s="128"/>
      <c r="B717" s="158"/>
      <c r="C717" s="158"/>
      <c r="D717" s="1434" t="s">
        <v>22</v>
      </c>
      <c r="E717" s="40"/>
      <c r="F717" s="40"/>
      <c r="G717" s="42"/>
      <c r="H717" s="375" t="s">
        <v>14</v>
      </c>
      <c r="I717" s="135"/>
      <c r="J717" s="135"/>
      <c r="K717" s="136"/>
      <c r="L717" s="1356">
        <f t="shared" ref="L717:N717" si="434">L718+L719</f>
        <v>0</v>
      </c>
      <c r="M717" s="224">
        <f t="shared" si="434"/>
        <v>0</v>
      </c>
      <c r="N717" s="224">
        <f t="shared" si="434"/>
        <v>0</v>
      </c>
      <c r="O717" s="224">
        <f t="shared" si="427"/>
        <v>0</v>
      </c>
      <c r="P717" s="224">
        <f t="shared" si="428"/>
        <v>0</v>
      </c>
      <c r="Q717" s="224">
        <f t="shared" ref="Q717:S717" si="435">Q718+Q719</f>
        <v>0</v>
      </c>
      <c r="R717" s="224">
        <f t="shared" si="435"/>
        <v>0</v>
      </c>
      <c r="S717" s="224">
        <f t="shared" si="435"/>
        <v>0</v>
      </c>
      <c r="T717" s="224">
        <f t="shared" si="430"/>
        <v>0</v>
      </c>
      <c r="U717" s="224">
        <f t="shared" si="431"/>
        <v>0</v>
      </c>
    </row>
    <row r="718" spans="1:21" ht="18.75" x14ac:dyDescent="0.25">
      <c r="A718" s="128"/>
      <c r="B718" s="158"/>
      <c r="C718" s="158"/>
      <c r="D718" s="145"/>
      <c r="E718" s="156" t="s">
        <v>158</v>
      </c>
      <c r="F718" s="40"/>
      <c r="G718" s="42"/>
      <c r="H718" s="159" t="s">
        <v>14</v>
      </c>
      <c r="I718" s="44"/>
      <c r="J718" s="44"/>
      <c r="K718" s="45"/>
      <c r="L718" s="1358">
        <v>0</v>
      </c>
      <c r="M718" s="83">
        <v>0</v>
      </c>
      <c r="N718" s="83">
        <v>0</v>
      </c>
      <c r="O718" s="83">
        <f t="shared" si="427"/>
        <v>0</v>
      </c>
      <c r="P718" s="83">
        <f t="shared" si="428"/>
        <v>0</v>
      </c>
      <c r="Q718" s="83">
        <v>0</v>
      </c>
      <c r="R718" s="83">
        <v>0</v>
      </c>
      <c r="S718" s="83">
        <v>0</v>
      </c>
      <c r="T718" s="83">
        <f t="shared" si="430"/>
        <v>0</v>
      </c>
      <c r="U718" s="83">
        <f t="shared" si="431"/>
        <v>0</v>
      </c>
    </row>
    <row r="719" spans="1:21" ht="18.75" x14ac:dyDescent="0.25">
      <c r="A719" s="128"/>
      <c r="B719" s="158"/>
      <c r="C719" s="158"/>
      <c r="D719" s="145"/>
      <c r="E719" s="156" t="s">
        <v>159</v>
      </c>
      <c r="F719" s="40"/>
      <c r="G719" s="42"/>
      <c r="H719" s="159" t="s">
        <v>14</v>
      </c>
      <c r="I719" s="44"/>
      <c r="J719" s="44"/>
      <c r="K719" s="45"/>
      <c r="L719" s="1356">
        <v>0</v>
      </c>
      <c r="M719" s="224">
        <v>0</v>
      </c>
      <c r="N719" s="224">
        <v>0</v>
      </c>
      <c r="O719" s="224">
        <f t="shared" si="427"/>
        <v>0</v>
      </c>
      <c r="P719" s="224">
        <f t="shared" si="428"/>
        <v>0</v>
      </c>
      <c r="Q719" s="224">
        <v>0</v>
      </c>
      <c r="R719" s="224">
        <v>0</v>
      </c>
      <c r="S719" s="224">
        <v>0</v>
      </c>
      <c r="T719" s="224">
        <f t="shared" si="430"/>
        <v>0</v>
      </c>
      <c r="U719" s="224">
        <f t="shared" si="431"/>
        <v>0</v>
      </c>
    </row>
    <row r="720" spans="1:21" ht="19.5" x14ac:dyDescent="0.3">
      <c r="A720" s="128"/>
      <c r="B720" s="158"/>
      <c r="C720" s="158"/>
      <c r="D720" s="1434" t="s">
        <v>23</v>
      </c>
      <c r="E720" s="40"/>
      <c r="F720" s="40"/>
      <c r="G720" s="42"/>
      <c r="H720" s="377" t="s">
        <v>14</v>
      </c>
      <c r="I720" s="135"/>
      <c r="J720" s="135"/>
      <c r="K720" s="136"/>
      <c r="L720" s="1356">
        <f t="shared" ref="L720:N720" si="436">L721+L722</f>
        <v>0</v>
      </c>
      <c r="M720" s="224">
        <f t="shared" si="436"/>
        <v>0</v>
      </c>
      <c r="N720" s="224">
        <f t="shared" si="436"/>
        <v>0</v>
      </c>
      <c r="O720" s="224">
        <f t="shared" si="427"/>
        <v>0</v>
      </c>
      <c r="P720" s="224">
        <f t="shared" si="428"/>
        <v>0</v>
      </c>
      <c r="Q720" s="224">
        <f t="shared" ref="Q720:S720" si="437">Q721+Q722</f>
        <v>0</v>
      </c>
      <c r="R720" s="224">
        <f t="shared" si="437"/>
        <v>0</v>
      </c>
      <c r="S720" s="224">
        <f t="shared" si="437"/>
        <v>0</v>
      </c>
      <c r="T720" s="224">
        <f t="shared" si="430"/>
        <v>0</v>
      </c>
      <c r="U720" s="224">
        <f t="shared" si="431"/>
        <v>0</v>
      </c>
    </row>
    <row r="721" spans="1:21" ht="18.75" x14ac:dyDescent="0.25">
      <c r="A721" s="128"/>
      <c r="B721" s="158"/>
      <c r="C721" s="158"/>
      <c r="D721" s="40"/>
      <c r="E721" s="156" t="s">
        <v>20</v>
      </c>
      <c r="F721" s="40"/>
      <c r="G721" s="42"/>
      <c r="H721" s="159" t="s">
        <v>14</v>
      </c>
      <c r="I721" s="135"/>
      <c r="J721" s="135"/>
      <c r="K721" s="136"/>
      <c r="L721" s="1358">
        <v>0</v>
      </c>
      <c r="M721" s="83">
        <v>0</v>
      </c>
      <c r="N721" s="83">
        <v>0</v>
      </c>
      <c r="O721" s="83">
        <f t="shared" si="427"/>
        <v>0</v>
      </c>
      <c r="P721" s="83">
        <f t="shared" si="428"/>
        <v>0</v>
      </c>
      <c r="Q721" s="83">
        <v>0</v>
      </c>
      <c r="R721" s="83">
        <v>0</v>
      </c>
      <c r="S721" s="83">
        <v>0</v>
      </c>
      <c r="T721" s="83">
        <f t="shared" si="430"/>
        <v>0</v>
      </c>
      <c r="U721" s="83">
        <f t="shared" si="431"/>
        <v>0</v>
      </c>
    </row>
    <row r="722" spans="1:21" ht="18.75" x14ac:dyDescent="0.25">
      <c r="A722" s="128"/>
      <c r="B722" s="158"/>
      <c r="C722" s="158"/>
      <c r="D722" s="40"/>
      <c r="E722" s="156" t="s">
        <v>21</v>
      </c>
      <c r="F722" s="40"/>
      <c r="G722" s="42"/>
      <c r="H722" s="378" t="s">
        <v>14</v>
      </c>
      <c r="I722" s="135"/>
      <c r="J722" s="135"/>
      <c r="K722" s="136"/>
      <c r="L722" s="1356">
        <v>0</v>
      </c>
      <c r="M722" s="224">
        <v>0</v>
      </c>
      <c r="N722" s="224">
        <v>0</v>
      </c>
      <c r="O722" s="224">
        <f t="shared" si="427"/>
        <v>0</v>
      </c>
      <c r="P722" s="224">
        <f t="shared" si="428"/>
        <v>0</v>
      </c>
      <c r="Q722" s="224">
        <v>0</v>
      </c>
      <c r="R722" s="224">
        <v>0</v>
      </c>
      <c r="S722" s="224">
        <v>0</v>
      </c>
      <c r="T722" s="224">
        <f t="shared" si="430"/>
        <v>0</v>
      </c>
      <c r="U722" s="224">
        <f t="shared" si="431"/>
        <v>0</v>
      </c>
    </row>
    <row r="723" spans="1:21" ht="19.5" x14ac:dyDescent="0.3">
      <c r="A723" s="138"/>
      <c r="B723" s="139"/>
      <c r="C723" s="314" t="s">
        <v>18</v>
      </c>
      <c r="D723" s="1595" t="s">
        <v>38</v>
      </c>
      <c r="E723" s="141"/>
      <c r="F723" s="141"/>
      <c r="G723" s="142"/>
      <c r="H723" s="178"/>
      <c r="I723" s="135"/>
      <c r="J723" s="135"/>
      <c r="K723" s="136"/>
      <c r="L723" s="1392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08"/>
      <c r="B724" s="158"/>
      <c r="C724" s="158"/>
      <c r="D724" s="40"/>
      <c r="E724" s="156" t="s">
        <v>267</v>
      </c>
      <c r="F724" s="40"/>
      <c r="G724" s="42"/>
      <c r="H724" s="159" t="s">
        <v>46</v>
      </c>
      <c r="I724" s="423">
        <v>0</v>
      </c>
      <c r="J724" s="44"/>
      <c r="K724" s="45"/>
      <c r="L724" s="1359"/>
      <c r="M724" s="45"/>
      <c r="N724" s="45"/>
      <c r="O724" s="45"/>
      <c r="P724" s="45"/>
      <c r="Q724" s="45"/>
      <c r="R724" s="45"/>
      <c r="S724" s="45"/>
      <c r="T724" s="45"/>
      <c r="U724" s="45"/>
    </row>
    <row r="725" spans="1:21" ht="18.75" x14ac:dyDescent="0.25">
      <c r="A725" s="329"/>
      <c r="B725" s="2"/>
      <c r="C725" s="2"/>
      <c r="D725" s="1"/>
      <c r="E725" s="424" t="s">
        <v>268</v>
      </c>
      <c r="F725" s="1"/>
      <c r="G725" s="52"/>
      <c r="H725" s="425" t="s">
        <v>46</v>
      </c>
      <c r="I725" s="426">
        <v>0</v>
      </c>
      <c r="J725" s="54"/>
      <c r="K725" s="3"/>
      <c r="L725" s="1360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9.5" x14ac:dyDescent="0.3">
      <c r="A726" s="387"/>
      <c r="B726" s="388" t="s">
        <v>269</v>
      </c>
      <c r="C726" s="387"/>
      <c r="D726" s="389"/>
      <c r="E726" s="389"/>
      <c r="F726" s="389"/>
      <c r="G726" s="390"/>
      <c r="H726" s="427" t="s">
        <v>35</v>
      </c>
      <c r="I726" s="1596">
        <f ca="1">IFERROR(__xludf.DUMMYFUNCTION("IMPORTRANGE(""https://docs.google.com/spreadsheets/d/1eHaY18a8A9IcSdp1K8H6x8fbOy06t2VsZHhMHf-1x7Y/edit?usp=sharing"",""แผน!GA25"")"),16)</f>
        <v>16</v>
      </c>
      <c r="J726" s="1596">
        <f>J742+J746+J749</f>
        <v>0</v>
      </c>
      <c r="K726" s="1593">
        <f t="shared" ref="K726:K727" ca="1" si="438">IF(I726&gt;0,J726*100/I726,0)</f>
        <v>0</v>
      </c>
      <c r="L726" s="1581"/>
      <c r="M726" s="393"/>
      <c r="N726" s="393"/>
      <c r="O726" s="393"/>
      <c r="P726" s="393"/>
      <c r="Q726" s="393"/>
      <c r="R726" s="393"/>
      <c r="S726" s="393"/>
      <c r="T726" s="393"/>
      <c r="U726" s="393"/>
    </row>
    <row r="727" spans="1:21" ht="19.5" x14ac:dyDescent="0.3">
      <c r="A727" s="429"/>
      <c r="B727" s="387"/>
      <c r="C727" s="387"/>
      <c r="D727" s="389"/>
      <c r="E727" s="389"/>
      <c r="F727" s="389"/>
      <c r="G727" s="390"/>
      <c r="H727" s="427" t="s">
        <v>46</v>
      </c>
      <c r="I727" s="1596">
        <f ca="1">IFERROR(__xludf.DUMMYFUNCTION("IMPORTRANGE(""https://docs.google.com/spreadsheets/d/1eHaY18a8A9IcSdp1K8H6x8fbOy06t2VsZHhMHf-1x7Y/edit?usp=sharing"",""แผน!FZ25"")"),150)</f>
        <v>150</v>
      </c>
      <c r="J727" s="1596">
        <f>J752+J755</f>
        <v>0</v>
      </c>
      <c r="K727" s="1593">
        <f t="shared" ca="1" si="438"/>
        <v>0</v>
      </c>
      <c r="L727" s="1581"/>
      <c r="M727" s="393"/>
      <c r="N727" s="393"/>
      <c r="O727" s="393"/>
      <c r="P727" s="393"/>
      <c r="Q727" s="393"/>
      <c r="R727" s="393"/>
      <c r="S727" s="393"/>
      <c r="T727" s="393"/>
      <c r="U727" s="393"/>
    </row>
    <row r="728" spans="1:21" ht="19.5" x14ac:dyDescent="0.3">
      <c r="A728" s="128"/>
      <c r="B728" s="158"/>
      <c r="C728" s="177" t="s">
        <v>18</v>
      </c>
      <c r="D728" s="1585" t="s">
        <v>19</v>
      </c>
      <c r="E728" s="1285"/>
      <c r="F728" s="1285"/>
      <c r="G728" s="1286"/>
      <c r="H728" s="221" t="s">
        <v>14</v>
      </c>
      <c r="I728" s="44"/>
      <c r="J728" s="44"/>
      <c r="K728" s="45"/>
      <c r="L728" s="1389">
        <f t="shared" ref="L728:N728" si="439">L729+L730</f>
        <v>0</v>
      </c>
      <c r="M728" s="1390">
        <f t="shared" si="439"/>
        <v>0</v>
      </c>
      <c r="N728" s="1390">
        <f t="shared" si="439"/>
        <v>0</v>
      </c>
      <c r="O728" s="1390">
        <f t="shared" ref="O728:O736" si="440">IF(L728&gt;0,N728*100/L728,0)</f>
        <v>0</v>
      </c>
      <c r="P728" s="1390">
        <f t="shared" ref="P728:P736" si="441">IF(M728&gt;0,N728*100/M728,0)</f>
        <v>0</v>
      </c>
      <c r="Q728" s="1390">
        <f t="shared" ref="Q728:S728" ca="1" si="442">Q729+Q730</f>
        <v>144438</v>
      </c>
      <c r="R728" s="1390">
        <f t="shared" ca="1" si="442"/>
        <v>144438</v>
      </c>
      <c r="S728" s="1390">
        <f t="shared" ca="1" si="442"/>
        <v>0</v>
      </c>
      <c r="T728" s="1390">
        <f t="shared" ref="T728:T736" ca="1" si="443">IF(Q728&gt;0,S728*100/Q728,0)</f>
        <v>0</v>
      </c>
      <c r="U728" s="1390">
        <f t="shared" ref="U728:U736" ca="1" si="444">IF(R728&gt;0,S728*100/R728,0)</f>
        <v>0</v>
      </c>
    </row>
    <row r="729" spans="1:21" ht="18.75" x14ac:dyDescent="0.25">
      <c r="A729" s="128"/>
      <c r="B729" s="158"/>
      <c r="C729" s="158"/>
      <c r="D729" s="145"/>
      <c r="E729" s="156" t="s">
        <v>158</v>
      </c>
      <c r="F729" s="40"/>
      <c r="G729" s="42"/>
      <c r="H729" s="159" t="s">
        <v>14</v>
      </c>
      <c r="I729" s="44"/>
      <c r="J729" s="44"/>
      <c r="K729" s="45"/>
      <c r="L729" s="1358">
        <f t="shared" ref="L729:N730" si="445">L732+L735</f>
        <v>0</v>
      </c>
      <c r="M729" s="83">
        <f t="shared" si="445"/>
        <v>0</v>
      </c>
      <c r="N729" s="83">
        <f t="shared" si="445"/>
        <v>0</v>
      </c>
      <c r="O729" s="83">
        <f t="shared" si="440"/>
        <v>0</v>
      </c>
      <c r="P729" s="83">
        <f t="shared" si="441"/>
        <v>0</v>
      </c>
      <c r="Q729" s="83">
        <f t="shared" ref="Q729:S730" si="446">Q732+Q735</f>
        <v>0</v>
      </c>
      <c r="R729" s="83">
        <f t="shared" si="446"/>
        <v>0</v>
      </c>
      <c r="S729" s="83">
        <f t="shared" si="446"/>
        <v>0</v>
      </c>
      <c r="T729" s="83">
        <f t="shared" si="443"/>
        <v>0</v>
      </c>
      <c r="U729" s="83">
        <f t="shared" si="444"/>
        <v>0</v>
      </c>
    </row>
    <row r="730" spans="1:21" ht="18.75" x14ac:dyDescent="0.25">
      <c r="A730" s="128"/>
      <c r="B730" s="158"/>
      <c r="C730" s="158"/>
      <c r="D730" s="145"/>
      <c r="E730" s="47" t="s">
        <v>159</v>
      </c>
      <c r="F730" s="40"/>
      <c r="G730" s="42"/>
      <c r="H730" s="134" t="s">
        <v>14</v>
      </c>
      <c r="I730" s="44"/>
      <c r="J730" s="44"/>
      <c r="K730" s="45"/>
      <c r="L730" s="1356">
        <f t="shared" si="445"/>
        <v>0</v>
      </c>
      <c r="M730" s="224">
        <f t="shared" si="445"/>
        <v>0</v>
      </c>
      <c r="N730" s="224">
        <f t="shared" si="445"/>
        <v>0</v>
      </c>
      <c r="O730" s="224">
        <f t="shared" si="440"/>
        <v>0</v>
      </c>
      <c r="P730" s="224">
        <f t="shared" si="441"/>
        <v>0</v>
      </c>
      <c r="Q730" s="224">
        <f t="shared" ca="1" si="446"/>
        <v>144438</v>
      </c>
      <c r="R730" s="224">
        <f t="shared" ca="1" si="446"/>
        <v>144438</v>
      </c>
      <c r="S730" s="224">
        <f t="shared" ca="1" si="446"/>
        <v>0</v>
      </c>
      <c r="T730" s="224">
        <f t="shared" ca="1" si="443"/>
        <v>0</v>
      </c>
      <c r="U730" s="224">
        <f t="shared" ca="1" si="444"/>
        <v>0</v>
      </c>
    </row>
    <row r="731" spans="1:21" ht="18.75" x14ac:dyDescent="0.25">
      <c r="A731" s="128"/>
      <c r="B731" s="158"/>
      <c r="C731" s="158"/>
      <c r="D731" s="41" t="s">
        <v>22</v>
      </c>
      <c r="E731" s="40"/>
      <c r="F731" s="40"/>
      <c r="G731" s="42"/>
      <c r="H731" s="134" t="s">
        <v>14</v>
      </c>
      <c r="I731" s="135"/>
      <c r="J731" s="135"/>
      <c r="K731" s="136"/>
      <c r="L731" s="1356">
        <f t="shared" ref="L731:N731" si="447">L732+L733</f>
        <v>0</v>
      </c>
      <c r="M731" s="224">
        <f t="shared" si="447"/>
        <v>0</v>
      </c>
      <c r="N731" s="224">
        <f t="shared" si="447"/>
        <v>0</v>
      </c>
      <c r="O731" s="224">
        <f t="shared" si="440"/>
        <v>0</v>
      </c>
      <c r="P731" s="224">
        <f t="shared" si="441"/>
        <v>0</v>
      </c>
      <c r="Q731" s="224">
        <f t="shared" ref="Q731:S731" ca="1" si="448">Q732+Q733</f>
        <v>144438</v>
      </c>
      <c r="R731" s="224">
        <f t="shared" ca="1" si="448"/>
        <v>144438</v>
      </c>
      <c r="S731" s="224">
        <f t="shared" ca="1" si="448"/>
        <v>0</v>
      </c>
      <c r="T731" s="224">
        <f t="shared" ca="1" si="443"/>
        <v>0</v>
      </c>
      <c r="U731" s="224">
        <f t="shared" ca="1" si="444"/>
        <v>0</v>
      </c>
    </row>
    <row r="732" spans="1:21" ht="18.75" x14ac:dyDescent="0.25">
      <c r="A732" s="128"/>
      <c r="B732" s="158"/>
      <c r="C732" s="158"/>
      <c r="D732" s="145"/>
      <c r="E732" s="156" t="s">
        <v>158</v>
      </c>
      <c r="F732" s="40"/>
      <c r="G732" s="42"/>
      <c r="H732" s="159" t="s">
        <v>14</v>
      </c>
      <c r="I732" s="44"/>
      <c r="J732" s="44"/>
      <c r="K732" s="45"/>
      <c r="L732" s="1358">
        <v>0</v>
      </c>
      <c r="M732" s="83">
        <v>0</v>
      </c>
      <c r="N732" s="83">
        <v>0</v>
      </c>
      <c r="O732" s="83">
        <f t="shared" si="440"/>
        <v>0</v>
      </c>
      <c r="P732" s="83">
        <f t="shared" si="441"/>
        <v>0</v>
      </c>
      <c r="Q732" s="83">
        <v>0</v>
      </c>
      <c r="R732" s="83">
        <v>0</v>
      </c>
      <c r="S732" s="83">
        <v>0</v>
      </c>
      <c r="T732" s="83">
        <f t="shared" si="443"/>
        <v>0</v>
      </c>
      <c r="U732" s="83">
        <f t="shared" si="444"/>
        <v>0</v>
      </c>
    </row>
    <row r="733" spans="1:21" ht="18.75" x14ac:dyDescent="0.25">
      <c r="A733" s="128"/>
      <c r="B733" s="158"/>
      <c r="C733" s="158"/>
      <c r="D733" s="145"/>
      <c r="E733" s="47" t="s">
        <v>159</v>
      </c>
      <c r="F733" s="40"/>
      <c r="G733" s="42"/>
      <c r="H733" s="134" t="s">
        <v>14</v>
      </c>
      <c r="I733" s="44"/>
      <c r="J733" s="44"/>
      <c r="K733" s="45"/>
      <c r="L733" s="1356">
        <v>0</v>
      </c>
      <c r="M733" s="224">
        <v>0</v>
      </c>
      <c r="N733" s="224">
        <v>0</v>
      </c>
      <c r="O733" s="224">
        <f t="shared" si="440"/>
        <v>0</v>
      </c>
      <c r="P733" s="224">
        <f t="shared" si="441"/>
        <v>0</v>
      </c>
      <c r="Q733" s="224">
        <f ca="1">IFERROR(__xludf.DUMMYFUNCTION("IMPORTRANGE(""https://docs.google.com/spreadsheets/d/1ItG2mGa2ceCfYo0BwxsXqNm01IGEUdYcSSLTEv9YCik/edit?usp=sharing"",""เบิกจ่ายกองทุน!O25"")"),144438)</f>
        <v>144438</v>
      </c>
      <c r="R733" s="224">
        <f ca="1">IFERROR(__xludf.DUMMYFUNCTION("IMPORTRANGE(""https://docs.google.com/spreadsheets/d/1ItG2mGa2ceCfYo0BwxsXqNm01IGEUdYcSSLTEv9YCik/edit?usp=sharing"",""เบิกจ่ายกองทุน!P25"")"),144438)</f>
        <v>144438</v>
      </c>
      <c r="S733" s="224">
        <f ca="1">IFERROR(__xludf.DUMMYFUNCTION("IMPORTRANGE(""https://docs.google.com/spreadsheets/d/1ItG2mGa2ceCfYo0BwxsXqNm01IGEUdYcSSLTEv9YCik/edit?usp=sharing"",""เบิกจ่ายกองทุน!Q25"")"),0)</f>
        <v>0</v>
      </c>
      <c r="T733" s="224">
        <f t="shared" ca="1" si="443"/>
        <v>0</v>
      </c>
      <c r="U733" s="224">
        <f t="shared" ca="1" si="444"/>
        <v>0</v>
      </c>
    </row>
    <row r="734" spans="1:21" ht="18.75" x14ac:dyDescent="0.25">
      <c r="A734" s="128"/>
      <c r="B734" s="158"/>
      <c r="C734" s="158"/>
      <c r="D734" s="41" t="s">
        <v>23</v>
      </c>
      <c r="E734" s="158"/>
      <c r="F734" s="158"/>
      <c r="G734" s="42"/>
      <c r="H734" s="137" t="s">
        <v>14</v>
      </c>
      <c r="I734" s="135"/>
      <c r="J734" s="135"/>
      <c r="K734" s="136"/>
      <c r="L734" s="1356">
        <f t="shared" ref="L734:N734" si="449">L735+L736</f>
        <v>0</v>
      </c>
      <c r="M734" s="224">
        <f t="shared" si="449"/>
        <v>0</v>
      </c>
      <c r="N734" s="224">
        <f t="shared" si="449"/>
        <v>0</v>
      </c>
      <c r="O734" s="224">
        <f t="shared" si="440"/>
        <v>0</v>
      </c>
      <c r="P734" s="224">
        <f t="shared" si="441"/>
        <v>0</v>
      </c>
      <c r="Q734" s="224">
        <f t="shared" ref="Q734:S734" si="450">Q735+Q736</f>
        <v>0</v>
      </c>
      <c r="R734" s="224">
        <f t="shared" si="450"/>
        <v>0</v>
      </c>
      <c r="S734" s="224">
        <f t="shared" si="450"/>
        <v>0</v>
      </c>
      <c r="T734" s="224">
        <f t="shared" si="443"/>
        <v>0</v>
      </c>
      <c r="U734" s="224">
        <f t="shared" si="444"/>
        <v>0</v>
      </c>
    </row>
    <row r="735" spans="1:21" ht="18.75" x14ac:dyDescent="0.25">
      <c r="A735" s="128"/>
      <c r="B735" s="158"/>
      <c r="C735" s="158"/>
      <c r="D735" s="158"/>
      <c r="E735" s="314" t="s">
        <v>20</v>
      </c>
      <c r="F735" s="158"/>
      <c r="G735" s="42"/>
      <c r="H735" s="159" t="s">
        <v>14</v>
      </c>
      <c r="I735" s="135"/>
      <c r="J735" s="135"/>
      <c r="K735" s="136"/>
      <c r="L735" s="1358">
        <v>0</v>
      </c>
      <c r="M735" s="83">
        <v>0</v>
      </c>
      <c r="N735" s="83">
        <v>0</v>
      </c>
      <c r="O735" s="83">
        <f t="shared" si="440"/>
        <v>0</v>
      </c>
      <c r="P735" s="83">
        <f t="shared" si="441"/>
        <v>0</v>
      </c>
      <c r="Q735" s="83">
        <v>0</v>
      </c>
      <c r="R735" s="83">
        <v>0</v>
      </c>
      <c r="S735" s="83">
        <v>0</v>
      </c>
      <c r="T735" s="83">
        <f t="shared" si="443"/>
        <v>0</v>
      </c>
      <c r="U735" s="83">
        <f t="shared" si="444"/>
        <v>0</v>
      </c>
    </row>
    <row r="736" spans="1:21" ht="18.75" x14ac:dyDescent="0.25">
      <c r="A736" s="128"/>
      <c r="B736" s="158"/>
      <c r="C736" s="158"/>
      <c r="D736" s="158"/>
      <c r="E736" s="209" t="s">
        <v>21</v>
      </c>
      <c r="F736" s="158"/>
      <c r="G736" s="42"/>
      <c r="H736" s="137" t="s">
        <v>14</v>
      </c>
      <c r="I736" s="135"/>
      <c r="J736" s="135"/>
      <c r="K736" s="136"/>
      <c r="L736" s="1356">
        <v>0</v>
      </c>
      <c r="M736" s="224">
        <v>0</v>
      </c>
      <c r="N736" s="224">
        <v>0</v>
      </c>
      <c r="O736" s="224">
        <f t="shared" si="440"/>
        <v>0</v>
      </c>
      <c r="P736" s="224">
        <f t="shared" si="441"/>
        <v>0</v>
      </c>
      <c r="Q736" s="224">
        <v>0</v>
      </c>
      <c r="R736" s="224">
        <v>0</v>
      </c>
      <c r="S736" s="224">
        <v>0</v>
      </c>
      <c r="T736" s="224">
        <f t="shared" si="443"/>
        <v>0</v>
      </c>
      <c r="U736" s="224">
        <f t="shared" si="444"/>
        <v>0</v>
      </c>
    </row>
    <row r="737" spans="1:21" ht="19.5" x14ac:dyDescent="0.3">
      <c r="A737" s="138"/>
      <c r="B737" s="139"/>
      <c r="C737" s="177" t="s">
        <v>18</v>
      </c>
      <c r="D737" s="1535" t="s">
        <v>38</v>
      </c>
      <c r="E737" s="203"/>
      <c r="F737" s="141"/>
      <c r="G737" s="142"/>
      <c r="H737" s="178"/>
      <c r="I737" s="44"/>
      <c r="J737" s="44"/>
      <c r="K737" s="45"/>
      <c r="L737" s="1359"/>
      <c r="M737" s="45"/>
      <c r="N737" s="45"/>
      <c r="O737" s="45"/>
      <c r="P737" s="45"/>
      <c r="Q737" s="45"/>
      <c r="R737" s="45"/>
      <c r="S737" s="45"/>
      <c r="T737" s="45"/>
      <c r="U737" s="45"/>
    </row>
    <row r="738" spans="1:21" ht="19.5" x14ac:dyDescent="0.3">
      <c r="A738" s="138"/>
      <c r="B738" s="139"/>
      <c r="C738" s="139"/>
      <c r="D738" s="430" t="s">
        <v>121</v>
      </c>
      <c r="E738" s="139"/>
      <c r="F738" s="139"/>
      <c r="G738" s="143"/>
      <c r="H738" s="180"/>
      <c r="I738" s="44"/>
      <c r="J738" s="44"/>
      <c r="K738" s="45"/>
      <c r="L738" s="1359"/>
      <c r="M738" s="45"/>
      <c r="N738" s="45"/>
      <c r="O738" s="45"/>
      <c r="P738" s="45"/>
      <c r="Q738" s="45"/>
      <c r="R738" s="45"/>
      <c r="S738" s="45"/>
      <c r="T738" s="45"/>
      <c r="U738" s="45"/>
    </row>
    <row r="739" spans="1:21" ht="18.75" x14ac:dyDescent="0.25">
      <c r="A739" s="138"/>
      <c r="B739" s="139"/>
      <c r="C739" s="139"/>
      <c r="D739" s="139"/>
      <c r="E739" s="403" t="s">
        <v>270</v>
      </c>
      <c r="F739" s="139"/>
      <c r="G739" s="143"/>
      <c r="H739" s="180"/>
      <c r="I739" s="44"/>
      <c r="J739" s="44"/>
      <c r="K739" s="45"/>
      <c r="L739" s="1359"/>
      <c r="M739" s="45"/>
      <c r="N739" s="45"/>
      <c r="O739" s="45"/>
      <c r="P739" s="45"/>
      <c r="Q739" s="45"/>
      <c r="R739" s="45"/>
      <c r="S739" s="45"/>
      <c r="T739" s="45"/>
      <c r="U739" s="45"/>
    </row>
    <row r="740" spans="1:21" ht="18.75" x14ac:dyDescent="0.25">
      <c r="A740" s="1484"/>
      <c r="B740" s="1485"/>
      <c r="C740" s="1485"/>
      <c r="D740" s="1485"/>
      <c r="E740" s="1485"/>
      <c r="F740" s="1597" t="s">
        <v>271</v>
      </c>
      <c r="G740" s="1487"/>
      <c r="H740" s="1474" t="s">
        <v>46</v>
      </c>
      <c r="I740" s="1598">
        <f ca="1">IFERROR(__xludf.DUMMYFUNCTION("IMPORTRANGE(""https://docs.google.com/spreadsheets/d/1eHaY18a8A9IcSdp1K8H6x8fbOy06t2VsZHhMHf-1x7Y/edit?usp=sharing"",""แผน!GB25"")"),120)</f>
        <v>120</v>
      </c>
      <c r="J740" s="1599">
        <v>0</v>
      </c>
      <c r="K740" s="1476">
        <f ca="1">IF(I740&gt;0,J740*100/I740,0)</f>
        <v>0</v>
      </c>
      <c r="L740" s="1600"/>
      <c r="M740" s="1465"/>
      <c r="N740" s="1465"/>
      <c r="O740" s="1465"/>
      <c r="P740" s="1465"/>
      <c r="Q740" s="1465"/>
      <c r="R740" s="1465"/>
      <c r="S740" s="1465"/>
      <c r="T740" s="1465"/>
      <c r="U740" s="1465"/>
    </row>
    <row r="741" spans="1:21" ht="18.75" x14ac:dyDescent="0.25">
      <c r="A741" s="1484"/>
      <c r="B741" s="1485"/>
      <c r="C741" s="1485"/>
      <c r="D741" s="1485"/>
      <c r="E741" s="1485"/>
      <c r="F741" s="1597" t="s">
        <v>334</v>
      </c>
      <c r="G741" s="1487"/>
      <c r="H741" s="1474" t="s">
        <v>35</v>
      </c>
      <c r="I741" s="1464"/>
      <c r="J741" s="1599">
        <v>0</v>
      </c>
      <c r="K741" s="1465"/>
      <c r="L741" s="1600"/>
      <c r="M741" s="1465"/>
      <c r="N741" s="1465"/>
      <c r="O741" s="1465"/>
      <c r="P741" s="1465"/>
      <c r="Q741" s="1465"/>
      <c r="R741" s="1465"/>
      <c r="S741" s="1465"/>
      <c r="T741" s="1465"/>
      <c r="U741" s="1465"/>
    </row>
    <row r="742" spans="1:21" ht="18.75" x14ac:dyDescent="0.25">
      <c r="A742" s="1484"/>
      <c r="B742" s="1485"/>
      <c r="C742" s="1485"/>
      <c r="D742" s="1485"/>
      <c r="E742" s="1485"/>
      <c r="F742" s="1597" t="s">
        <v>335</v>
      </c>
      <c r="G742" s="1487"/>
      <c r="H742" s="1474" t="s">
        <v>35</v>
      </c>
      <c r="I742" s="1598">
        <f ca="1">IFERROR(__xludf.DUMMYFUNCTION("IMPORTRANGE(""https://docs.google.com/spreadsheets/d/1eHaY18a8A9IcSdp1K8H6x8fbOy06t2VsZHhMHf-1x7Y/edit?usp=sharing"",""แผน!GC25"")"),12)</f>
        <v>12</v>
      </c>
      <c r="J742" s="1599">
        <v>0</v>
      </c>
      <c r="K742" s="1476">
        <f ca="1">IF(I742&gt;0,J742*100/I742,0)</f>
        <v>0</v>
      </c>
      <c r="L742" s="1600"/>
      <c r="M742" s="1465"/>
      <c r="N742" s="1465"/>
      <c r="O742" s="1465"/>
      <c r="P742" s="1465"/>
      <c r="Q742" s="1465"/>
      <c r="R742" s="1465"/>
      <c r="S742" s="1465"/>
      <c r="T742" s="1465"/>
      <c r="U742" s="1465"/>
    </row>
    <row r="743" spans="1:21" ht="18.75" x14ac:dyDescent="0.25">
      <c r="A743" s="1484"/>
      <c r="B743" s="1485"/>
      <c r="C743" s="1485"/>
      <c r="D743" s="1485"/>
      <c r="E743" s="1597" t="s">
        <v>274</v>
      </c>
      <c r="F743" s="1485"/>
      <c r="G743" s="1487"/>
      <c r="H743" s="1601"/>
      <c r="I743" s="1464"/>
      <c r="J743" s="1464"/>
      <c r="K743" s="1465"/>
      <c r="L743" s="1600"/>
      <c r="M743" s="1465"/>
      <c r="N743" s="1465"/>
      <c r="O743" s="1465"/>
      <c r="P743" s="1465"/>
      <c r="Q743" s="1465"/>
      <c r="R743" s="1465"/>
      <c r="S743" s="1465"/>
      <c r="T743" s="1465"/>
      <c r="U743" s="1465"/>
    </row>
    <row r="744" spans="1:21" ht="18.75" x14ac:dyDescent="0.25">
      <c r="A744" s="1484"/>
      <c r="B744" s="1485"/>
      <c r="C744" s="1485"/>
      <c r="D744" s="1485"/>
      <c r="E744" s="1485"/>
      <c r="F744" s="1597" t="s">
        <v>271</v>
      </c>
      <c r="G744" s="1487"/>
      <c r="H744" s="1474" t="s">
        <v>46</v>
      </c>
      <c r="I744" s="1598">
        <f ca="1">IFERROR(__xludf.DUMMYFUNCTION("IMPORTRANGE(""https://docs.google.com/spreadsheets/d/1eHaY18a8A9IcSdp1K8H6x8fbOy06t2VsZHhMHf-1x7Y/edit?usp=sharing"",""แผน!GD25"")"),30)</f>
        <v>30</v>
      </c>
      <c r="J744" s="1599">
        <v>0</v>
      </c>
      <c r="K744" s="1476">
        <f ca="1">IF(I744&gt;0,J744*100/I744,0)</f>
        <v>0</v>
      </c>
      <c r="L744" s="1600"/>
      <c r="M744" s="1465"/>
      <c r="N744" s="1465"/>
      <c r="O744" s="1465"/>
      <c r="P744" s="1465"/>
      <c r="Q744" s="1465"/>
      <c r="R744" s="1465"/>
      <c r="S744" s="1465"/>
      <c r="T744" s="1465"/>
      <c r="U744" s="1465"/>
    </row>
    <row r="745" spans="1:21" ht="18.75" x14ac:dyDescent="0.25">
      <c r="A745" s="1484"/>
      <c r="B745" s="1485"/>
      <c r="C745" s="1485"/>
      <c r="D745" s="1485"/>
      <c r="E745" s="1485"/>
      <c r="F745" s="1597" t="s">
        <v>336</v>
      </c>
      <c r="G745" s="1487"/>
      <c r="H745" s="1474" t="s">
        <v>35</v>
      </c>
      <c r="I745" s="1464"/>
      <c r="J745" s="1599">
        <v>0</v>
      </c>
      <c r="K745" s="1465"/>
      <c r="L745" s="1600"/>
      <c r="M745" s="1465"/>
      <c r="N745" s="1465"/>
      <c r="O745" s="1465"/>
      <c r="P745" s="1465"/>
      <c r="Q745" s="1465"/>
      <c r="R745" s="1465"/>
      <c r="S745" s="1465"/>
      <c r="T745" s="1465"/>
      <c r="U745" s="1465"/>
    </row>
    <row r="746" spans="1:21" ht="18.75" x14ac:dyDescent="0.25">
      <c r="A746" s="1484"/>
      <c r="B746" s="1485"/>
      <c r="C746" s="1485"/>
      <c r="D746" s="1485"/>
      <c r="E746" s="1485"/>
      <c r="F746" s="1597" t="s">
        <v>337</v>
      </c>
      <c r="G746" s="1487"/>
      <c r="H746" s="1474" t="s">
        <v>35</v>
      </c>
      <c r="I746" s="1598">
        <f ca="1">IFERROR(__xludf.DUMMYFUNCTION("IMPORTRANGE(""https://docs.google.com/spreadsheets/d/1eHaY18a8A9IcSdp1K8H6x8fbOy06t2VsZHhMHf-1x7Y/edit?usp=sharing"",""แผน!GE25"")"),3)</f>
        <v>3</v>
      </c>
      <c r="J746" s="1599">
        <v>0</v>
      </c>
      <c r="K746" s="1476">
        <f ca="1">IF(I746&gt;0,J746*100/I746,0)</f>
        <v>0</v>
      </c>
      <c r="L746" s="1600"/>
      <c r="M746" s="1465"/>
      <c r="N746" s="1465"/>
      <c r="O746" s="1465"/>
      <c r="P746" s="1465"/>
      <c r="Q746" s="1465"/>
      <c r="R746" s="1465"/>
      <c r="S746" s="1465"/>
      <c r="T746" s="1465"/>
      <c r="U746" s="1465"/>
    </row>
    <row r="747" spans="1:21" ht="18.75" x14ac:dyDescent="0.25">
      <c r="A747" s="1484"/>
      <c r="B747" s="1485"/>
      <c r="C747" s="1485"/>
      <c r="D747" s="1485"/>
      <c r="E747" s="1597" t="s">
        <v>277</v>
      </c>
      <c r="F747" s="1602"/>
      <c r="G747" s="1487"/>
      <c r="H747" s="1601"/>
      <c r="I747" s="1464"/>
      <c r="J747" s="1464"/>
      <c r="K747" s="1465"/>
      <c r="L747" s="1600"/>
      <c r="M747" s="1465"/>
      <c r="N747" s="1465"/>
      <c r="O747" s="1465"/>
      <c r="P747" s="1465"/>
      <c r="Q747" s="1465"/>
      <c r="R747" s="1465"/>
      <c r="S747" s="1465"/>
      <c r="T747" s="1465"/>
      <c r="U747" s="1465"/>
    </row>
    <row r="748" spans="1:21" ht="18.75" x14ac:dyDescent="0.25">
      <c r="A748" s="1484"/>
      <c r="B748" s="1485"/>
      <c r="C748" s="1485"/>
      <c r="D748" s="1485"/>
      <c r="E748" s="1485"/>
      <c r="F748" s="1597" t="s">
        <v>338</v>
      </c>
      <c r="G748" s="1487"/>
      <c r="H748" s="1474" t="s">
        <v>35</v>
      </c>
      <c r="I748" s="1464"/>
      <c r="J748" s="1599">
        <v>0</v>
      </c>
      <c r="K748" s="1465"/>
      <c r="L748" s="1600"/>
      <c r="M748" s="1465"/>
      <c r="N748" s="1465"/>
      <c r="O748" s="1465"/>
      <c r="P748" s="1465"/>
      <c r="Q748" s="1465"/>
      <c r="R748" s="1465"/>
      <c r="S748" s="1465"/>
      <c r="T748" s="1465"/>
      <c r="U748" s="1465"/>
    </row>
    <row r="749" spans="1:21" ht="18.75" x14ac:dyDescent="0.25">
      <c r="A749" s="1484"/>
      <c r="B749" s="1485"/>
      <c r="C749" s="1485"/>
      <c r="D749" s="1485"/>
      <c r="E749" s="1485"/>
      <c r="F749" s="1597" t="s">
        <v>339</v>
      </c>
      <c r="G749" s="1487"/>
      <c r="H749" s="1474" t="s">
        <v>35</v>
      </c>
      <c r="I749" s="1598">
        <f ca="1">IFERROR(__xludf.DUMMYFUNCTION("IMPORTRANGE(""https://docs.google.com/spreadsheets/d/1eHaY18a8A9IcSdp1K8H6x8fbOy06t2VsZHhMHf-1x7Y/edit?usp=sharing"",""แผน!GF25"")"),1)</f>
        <v>1</v>
      </c>
      <c r="J749" s="1599">
        <v>0</v>
      </c>
      <c r="K749" s="1476">
        <f ca="1">IF(I749&gt;0,J749*100/I749,0)</f>
        <v>0</v>
      </c>
      <c r="L749" s="1600"/>
      <c r="M749" s="1465"/>
      <c r="N749" s="1465"/>
      <c r="O749" s="1465"/>
      <c r="P749" s="1465"/>
      <c r="Q749" s="1465"/>
      <c r="R749" s="1465"/>
      <c r="S749" s="1465"/>
      <c r="T749" s="1465"/>
      <c r="U749" s="1465"/>
    </row>
    <row r="750" spans="1:21" ht="19.5" x14ac:dyDescent="0.3">
      <c r="A750" s="1484"/>
      <c r="B750" s="1485"/>
      <c r="C750" s="1485"/>
      <c r="D750" s="1603" t="s">
        <v>50</v>
      </c>
      <c r="E750" s="1485"/>
      <c r="F750" s="1602"/>
      <c r="G750" s="1487"/>
      <c r="H750" s="1601"/>
      <c r="I750" s="1464"/>
      <c r="J750" s="1464"/>
      <c r="K750" s="1465"/>
      <c r="L750" s="1600"/>
      <c r="M750" s="1465"/>
      <c r="N750" s="1465"/>
      <c r="O750" s="1465"/>
      <c r="P750" s="1465"/>
      <c r="Q750" s="1465"/>
      <c r="R750" s="1465"/>
      <c r="S750" s="1465"/>
      <c r="T750" s="1465"/>
      <c r="U750" s="1465"/>
    </row>
    <row r="751" spans="1:21" ht="18.75" x14ac:dyDescent="0.25">
      <c r="A751" s="1484"/>
      <c r="B751" s="1485"/>
      <c r="C751" s="1485"/>
      <c r="D751" s="1485"/>
      <c r="E751" s="1597" t="s">
        <v>270</v>
      </c>
      <c r="F751" s="1602"/>
      <c r="G751" s="1487"/>
      <c r="H751" s="1601"/>
      <c r="I751" s="1464"/>
      <c r="J751" s="1464"/>
      <c r="K751" s="1465"/>
      <c r="L751" s="1600"/>
      <c r="M751" s="1465"/>
      <c r="N751" s="1465"/>
      <c r="O751" s="1465"/>
      <c r="P751" s="1465"/>
      <c r="Q751" s="1465"/>
      <c r="R751" s="1465"/>
      <c r="S751" s="1465"/>
      <c r="T751" s="1465"/>
      <c r="U751" s="1465"/>
    </row>
    <row r="752" spans="1:21" ht="18.75" x14ac:dyDescent="0.25">
      <c r="A752" s="1484"/>
      <c r="B752" s="1485"/>
      <c r="C752" s="1485"/>
      <c r="D752" s="1485"/>
      <c r="E752" s="1485"/>
      <c r="F752" s="1604" t="s">
        <v>340</v>
      </c>
      <c r="G752" s="1487"/>
      <c r="H752" s="1474" t="s">
        <v>46</v>
      </c>
      <c r="I752" s="1598">
        <f ca="1">IFERROR(__xludf.DUMMYFUNCTION("IMPORTRANGE(""https://docs.google.com/spreadsheets/d/1eHaY18a8A9IcSdp1K8H6x8fbOy06t2VsZHhMHf-1x7Y/edit?usp=sharing"",""แผน!GB25"")"),120)</f>
        <v>120</v>
      </c>
      <c r="J752" s="1599">
        <v>0</v>
      </c>
      <c r="K752" s="1476">
        <f ca="1">IF(I752&gt;0,J752*100/I752,0)</f>
        <v>0</v>
      </c>
      <c r="L752" s="1600"/>
      <c r="M752" s="1465"/>
      <c r="N752" s="1465"/>
      <c r="O752" s="1465"/>
      <c r="P752" s="1465"/>
      <c r="Q752" s="1465"/>
      <c r="R752" s="1465"/>
      <c r="S752" s="1465"/>
      <c r="T752" s="1465"/>
      <c r="U752" s="1465"/>
    </row>
    <row r="753" spans="1:21" ht="18.75" x14ac:dyDescent="0.25">
      <c r="A753" s="1484"/>
      <c r="B753" s="1485"/>
      <c r="C753" s="1485"/>
      <c r="D753" s="1485"/>
      <c r="E753" s="1485"/>
      <c r="F753" s="1604" t="s">
        <v>341</v>
      </c>
      <c r="G753" s="1487"/>
      <c r="H753" s="1474" t="s">
        <v>46</v>
      </c>
      <c r="I753" s="1464"/>
      <c r="J753" s="1599">
        <v>0</v>
      </c>
      <c r="K753" s="1465"/>
      <c r="L753" s="1600"/>
      <c r="M753" s="1465"/>
      <c r="N753" s="1465"/>
      <c r="O753" s="1465"/>
      <c r="P753" s="1465"/>
      <c r="Q753" s="1465"/>
      <c r="R753" s="1465"/>
      <c r="S753" s="1465"/>
      <c r="T753" s="1465"/>
      <c r="U753" s="1465"/>
    </row>
    <row r="754" spans="1:21" ht="18.75" x14ac:dyDescent="0.25">
      <c r="A754" s="1484"/>
      <c r="B754" s="1485"/>
      <c r="C754" s="1485"/>
      <c r="D754" s="1485"/>
      <c r="E754" s="1597" t="s">
        <v>274</v>
      </c>
      <c r="F754" s="1602"/>
      <c r="G754" s="1487"/>
      <c r="H754" s="1601"/>
      <c r="I754" s="1464"/>
      <c r="J754" s="1464"/>
      <c r="K754" s="1465"/>
      <c r="L754" s="1600"/>
      <c r="M754" s="1465"/>
      <c r="N754" s="1465"/>
      <c r="O754" s="1465"/>
      <c r="P754" s="1465"/>
      <c r="Q754" s="1465"/>
      <c r="R754" s="1465"/>
      <c r="S754" s="1465"/>
      <c r="T754" s="1465"/>
      <c r="U754" s="1465"/>
    </row>
    <row r="755" spans="1:21" ht="18.75" x14ac:dyDescent="0.25">
      <c r="A755" s="1484"/>
      <c r="B755" s="1485"/>
      <c r="C755" s="1485"/>
      <c r="D755" s="1485"/>
      <c r="E755" s="1602"/>
      <c r="F755" s="1604" t="s">
        <v>342</v>
      </c>
      <c r="G755" s="1487"/>
      <c r="H755" s="1474" t="s">
        <v>46</v>
      </c>
      <c r="I755" s="1598">
        <f ca="1">IFERROR(__xludf.DUMMYFUNCTION("IMPORTRANGE(""https://docs.google.com/spreadsheets/d/1eHaY18a8A9IcSdp1K8H6x8fbOy06t2VsZHhMHf-1x7Y/edit?usp=sharing"",""แผน!GD25"")"),30)</f>
        <v>30</v>
      </c>
      <c r="J755" s="1599">
        <v>0</v>
      </c>
      <c r="K755" s="1476">
        <f ca="1">IF(I755&gt;0,J755*100/I755,0)</f>
        <v>0</v>
      </c>
      <c r="L755" s="1600"/>
      <c r="M755" s="1465"/>
      <c r="N755" s="1465"/>
      <c r="O755" s="1465"/>
      <c r="P755" s="1465"/>
      <c r="Q755" s="1465"/>
      <c r="R755" s="1465"/>
      <c r="S755" s="1465"/>
      <c r="T755" s="1465"/>
      <c r="U755" s="1465"/>
    </row>
    <row r="756" spans="1:21" ht="18.75" x14ac:dyDescent="0.25">
      <c r="A756" s="1484"/>
      <c r="B756" s="1485"/>
      <c r="C756" s="1485"/>
      <c r="D756" s="1485"/>
      <c r="E756" s="1602"/>
      <c r="F756" s="1604" t="s">
        <v>343</v>
      </c>
      <c r="G756" s="1487"/>
      <c r="H756" s="1474" t="s">
        <v>46</v>
      </c>
      <c r="I756" s="1464"/>
      <c r="J756" s="1599">
        <v>0</v>
      </c>
      <c r="K756" s="1465"/>
      <c r="L756" s="1600"/>
      <c r="M756" s="1465"/>
      <c r="N756" s="1465"/>
      <c r="O756" s="1465"/>
      <c r="P756" s="1465"/>
      <c r="Q756" s="1465"/>
      <c r="R756" s="1465"/>
      <c r="S756" s="1465"/>
      <c r="T756" s="1465"/>
      <c r="U756" s="1465"/>
    </row>
    <row r="757" spans="1:21" ht="18.75" x14ac:dyDescent="0.25">
      <c r="A757" s="431"/>
      <c r="B757" s="431"/>
      <c r="C757" s="431"/>
      <c r="D757" s="431"/>
      <c r="E757" s="432" t="s">
        <v>284</v>
      </c>
      <c r="F757" s="433"/>
      <c r="G757" s="434"/>
      <c r="H757" s="435" t="s">
        <v>35</v>
      </c>
      <c r="I757" s="436"/>
      <c r="J757" s="437">
        <v>0</v>
      </c>
      <c r="K757" s="438"/>
      <c r="L757" s="438"/>
      <c r="M757" s="438"/>
      <c r="N757" s="438"/>
      <c r="O757" s="438"/>
      <c r="P757" s="438"/>
      <c r="Q757" s="438"/>
      <c r="R757" s="438"/>
      <c r="S757" s="438"/>
      <c r="T757" s="438"/>
      <c r="U757" s="438"/>
    </row>
    <row r="758" spans="1:21" ht="19.5" x14ac:dyDescent="0.3">
      <c r="A758" s="387"/>
      <c r="B758" s="388" t="s">
        <v>285</v>
      </c>
      <c r="C758" s="387"/>
      <c r="D758" s="389"/>
      <c r="E758" s="389"/>
      <c r="F758" s="389"/>
      <c r="G758" s="390"/>
      <c r="H758" s="427" t="s">
        <v>35</v>
      </c>
      <c r="I758" s="1596">
        <f t="shared" ref="I758:J758" ca="1" si="451">I772</f>
        <v>60</v>
      </c>
      <c r="J758" s="1596">
        <f t="shared" si="451"/>
        <v>60</v>
      </c>
      <c r="K758" s="1593">
        <f t="shared" ref="K758:K759" ca="1" si="452">IF(I758&gt;0,J758*100/I758,0)</f>
        <v>100</v>
      </c>
      <c r="L758" s="1581"/>
      <c r="M758" s="393"/>
      <c r="N758" s="393"/>
      <c r="O758" s="393"/>
      <c r="P758" s="393"/>
      <c r="Q758" s="393"/>
      <c r="R758" s="393"/>
      <c r="S758" s="393"/>
      <c r="T758" s="393"/>
      <c r="U758" s="393"/>
    </row>
    <row r="759" spans="1:21" ht="19.5" x14ac:dyDescent="0.3">
      <c r="A759" s="429"/>
      <c r="B759" s="387"/>
      <c r="C759" s="387"/>
      <c r="D759" s="389"/>
      <c r="E759" s="389"/>
      <c r="F759" s="389"/>
      <c r="G759" s="390"/>
      <c r="H759" s="427" t="s">
        <v>46</v>
      </c>
      <c r="I759" s="1596">
        <f t="shared" ref="I759:J759" ca="1" si="453">I774</f>
        <v>120</v>
      </c>
      <c r="J759" s="1596">
        <f t="shared" si="453"/>
        <v>120</v>
      </c>
      <c r="K759" s="1593">
        <f t="shared" ca="1" si="452"/>
        <v>100</v>
      </c>
      <c r="L759" s="1581"/>
      <c r="M759" s="393"/>
      <c r="N759" s="393"/>
      <c r="O759" s="393"/>
      <c r="P759" s="393"/>
      <c r="Q759" s="393"/>
      <c r="R759" s="393"/>
      <c r="S759" s="393"/>
      <c r="T759" s="393"/>
      <c r="U759" s="393"/>
    </row>
    <row r="760" spans="1:21" ht="19.5" x14ac:dyDescent="0.3">
      <c r="A760" s="128"/>
      <c r="B760" s="158"/>
      <c r="C760" s="177" t="s">
        <v>18</v>
      </c>
      <c r="D760" s="1585" t="s">
        <v>19</v>
      </c>
      <c r="E760" s="1285"/>
      <c r="F760" s="1285"/>
      <c r="G760" s="1286"/>
      <c r="H760" s="221" t="s">
        <v>14</v>
      </c>
      <c r="I760" s="44"/>
      <c r="J760" s="44"/>
      <c r="K760" s="45"/>
      <c r="L760" s="1389">
        <f t="shared" ref="L760:N760" si="454">L761+L762</f>
        <v>0</v>
      </c>
      <c r="M760" s="1390">
        <f t="shared" si="454"/>
        <v>0</v>
      </c>
      <c r="N760" s="1390">
        <f t="shared" si="454"/>
        <v>0</v>
      </c>
      <c r="O760" s="1390">
        <f t="shared" ref="O760:O768" si="455">IF(L760&gt;0,N760*100/L760,0)</f>
        <v>0</v>
      </c>
      <c r="P760" s="1390">
        <f t="shared" ref="P760:P768" si="456">IF(M760&gt;0,N760*100/M760,0)</f>
        <v>0</v>
      </c>
      <c r="Q760" s="1390">
        <f t="shared" ref="Q760:S760" ca="1" si="457">Q761+Q762</f>
        <v>422100</v>
      </c>
      <c r="R760" s="1390">
        <f t="shared" ca="1" si="457"/>
        <v>422100</v>
      </c>
      <c r="S760" s="1390">
        <f t="shared" ca="1" si="457"/>
        <v>329420</v>
      </c>
      <c r="T760" s="1390">
        <f t="shared" ref="T760:T768" ca="1" si="458">IF(Q760&gt;0,S760*100/Q760,0)</f>
        <v>78.043117744610285</v>
      </c>
      <c r="U760" s="1390">
        <f t="shared" ref="U760:U768" ca="1" si="459">IF(R760&gt;0,S760*100/R760,0)</f>
        <v>78.043117744610285</v>
      </c>
    </row>
    <row r="761" spans="1:21" ht="18.75" x14ac:dyDescent="0.25">
      <c r="A761" s="128"/>
      <c r="B761" s="158"/>
      <c r="C761" s="158"/>
      <c r="D761" s="145"/>
      <c r="E761" s="156" t="s">
        <v>158</v>
      </c>
      <c r="F761" s="40"/>
      <c r="G761" s="42"/>
      <c r="H761" s="159" t="s">
        <v>14</v>
      </c>
      <c r="I761" s="44"/>
      <c r="J761" s="44"/>
      <c r="K761" s="45"/>
      <c r="L761" s="1358">
        <f t="shared" ref="L761:N762" si="460">L764+L767</f>
        <v>0</v>
      </c>
      <c r="M761" s="83">
        <f t="shared" si="460"/>
        <v>0</v>
      </c>
      <c r="N761" s="83">
        <f t="shared" si="460"/>
        <v>0</v>
      </c>
      <c r="O761" s="83">
        <f t="shared" si="455"/>
        <v>0</v>
      </c>
      <c r="P761" s="83">
        <f t="shared" si="456"/>
        <v>0</v>
      </c>
      <c r="Q761" s="83">
        <f t="shared" ref="Q761:S762" si="461">Q764+Q767</f>
        <v>0</v>
      </c>
      <c r="R761" s="83">
        <f t="shared" si="461"/>
        <v>0</v>
      </c>
      <c r="S761" s="83">
        <f t="shared" si="461"/>
        <v>0</v>
      </c>
      <c r="T761" s="83">
        <f t="shared" si="458"/>
        <v>0</v>
      </c>
      <c r="U761" s="83">
        <f t="shared" si="459"/>
        <v>0</v>
      </c>
    </row>
    <row r="762" spans="1:21" ht="18.75" x14ac:dyDescent="0.25">
      <c r="A762" s="128"/>
      <c r="B762" s="158"/>
      <c r="C762" s="174"/>
      <c r="D762" s="145"/>
      <c r="E762" s="47" t="s">
        <v>159</v>
      </c>
      <c r="F762" s="40"/>
      <c r="G762" s="42"/>
      <c r="H762" s="134" t="s">
        <v>14</v>
      </c>
      <c r="I762" s="44"/>
      <c r="J762" s="44"/>
      <c r="K762" s="45"/>
      <c r="L762" s="1356">
        <f t="shared" si="460"/>
        <v>0</v>
      </c>
      <c r="M762" s="224">
        <f t="shared" si="460"/>
        <v>0</v>
      </c>
      <c r="N762" s="224">
        <f t="shared" si="460"/>
        <v>0</v>
      </c>
      <c r="O762" s="224">
        <f t="shared" si="455"/>
        <v>0</v>
      </c>
      <c r="P762" s="224">
        <f t="shared" si="456"/>
        <v>0</v>
      </c>
      <c r="Q762" s="224">
        <f t="shared" ca="1" si="461"/>
        <v>422100</v>
      </c>
      <c r="R762" s="224">
        <f t="shared" ca="1" si="461"/>
        <v>422100</v>
      </c>
      <c r="S762" s="224">
        <f t="shared" ca="1" si="461"/>
        <v>329420</v>
      </c>
      <c r="T762" s="224">
        <f t="shared" ca="1" si="458"/>
        <v>78.043117744610285</v>
      </c>
      <c r="U762" s="224">
        <f t="shared" ca="1" si="459"/>
        <v>78.043117744610285</v>
      </c>
    </row>
    <row r="763" spans="1:21" ht="18.75" x14ac:dyDescent="0.25">
      <c r="A763" s="128"/>
      <c r="B763" s="158"/>
      <c r="C763" s="174"/>
      <c r="D763" s="41" t="s">
        <v>22</v>
      </c>
      <c r="E763" s="40"/>
      <c r="F763" s="40"/>
      <c r="G763" s="42"/>
      <c r="H763" s="134" t="s">
        <v>14</v>
      </c>
      <c r="I763" s="135"/>
      <c r="J763" s="135"/>
      <c r="K763" s="136"/>
      <c r="L763" s="1356">
        <f t="shared" ref="L763:N763" si="462">L764+L765</f>
        <v>0</v>
      </c>
      <c r="M763" s="224">
        <f t="shared" si="462"/>
        <v>0</v>
      </c>
      <c r="N763" s="224">
        <f t="shared" si="462"/>
        <v>0</v>
      </c>
      <c r="O763" s="224">
        <f t="shared" si="455"/>
        <v>0</v>
      </c>
      <c r="P763" s="224">
        <f t="shared" si="456"/>
        <v>0</v>
      </c>
      <c r="Q763" s="224">
        <f t="shared" ref="Q763:S763" ca="1" si="463">Q764+Q765</f>
        <v>422100</v>
      </c>
      <c r="R763" s="224">
        <f t="shared" ca="1" si="463"/>
        <v>422100</v>
      </c>
      <c r="S763" s="224">
        <f t="shared" ca="1" si="463"/>
        <v>329420</v>
      </c>
      <c r="T763" s="224">
        <f t="shared" ca="1" si="458"/>
        <v>78.043117744610285</v>
      </c>
      <c r="U763" s="224">
        <f t="shared" ca="1" si="459"/>
        <v>78.043117744610285</v>
      </c>
    </row>
    <row r="764" spans="1:21" ht="18.75" x14ac:dyDescent="0.25">
      <c r="A764" s="128"/>
      <c r="B764" s="158"/>
      <c r="C764" s="174"/>
      <c r="D764" s="145"/>
      <c r="E764" s="156" t="s">
        <v>158</v>
      </c>
      <c r="F764" s="40"/>
      <c r="G764" s="42"/>
      <c r="H764" s="159" t="s">
        <v>14</v>
      </c>
      <c r="I764" s="44"/>
      <c r="J764" s="44"/>
      <c r="K764" s="45"/>
      <c r="L764" s="1358">
        <v>0</v>
      </c>
      <c r="M764" s="83">
        <v>0</v>
      </c>
      <c r="N764" s="83">
        <v>0</v>
      </c>
      <c r="O764" s="83">
        <f t="shared" si="455"/>
        <v>0</v>
      </c>
      <c r="P764" s="83">
        <f t="shared" si="456"/>
        <v>0</v>
      </c>
      <c r="Q764" s="83">
        <v>0</v>
      </c>
      <c r="R764" s="83">
        <v>0</v>
      </c>
      <c r="S764" s="83">
        <v>0</v>
      </c>
      <c r="T764" s="83">
        <f t="shared" si="458"/>
        <v>0</v>
      </c>
      <c r="U764" s="83">
        <f t="shared" si="459"/>
        <v>0</v>
      </c>
    </row>
    <row r="765" spans="1:21" ht="18.75" x14ac:dyDescent="0.25">
      <c r="A765" s="128"/>
      <c r="B765" s="158"/>
      <c r="C765" s="174"/>
      <c r="D765" s="145"/>
      <c r="E765" s="47" t="s">
        <v>159</v>
      </c>
      <c r="F765" s="40"/>
      <c r="G765" s="42"/>
      <c r="H765" s="134" t="s">
        <v>14</v>
      </c>
      <c r="I765" s="44"/>
      <c r="J765" s="44"/>
      <c r="K765" s="45"/>
      <c r="L765" s="1356">
        <v>0</v>
      </c>
      <c r="M765" s="224">
        <v>0</v>
      </c>
      <c r="N765" s="224">
        <v>0</v>
      </c>
      <c r="O765" s="224">
        <f t="shared" si="455"/>
        <v>0</v>
      </c>
      <c r="P765" s="224">
        <f t="shared" si="456"/>
        <v>0</v>
      </c>
      <c r="Q765" s="224">
        <f ca="1">IFERROR(__xludf.DUMMYFUNCTION("IMPORTRANGE(""https://docs.google.com/spreadsheets/d/1ItG2mGa2ceCfYo0BwxsXqNm01IGEUdYcSSLTEv9YCik/edit?usp=sharing"",""เบิกจ่ายกองทุน!AA25"")"),422100)</f>
        <v>422100</v>
      </c>
      <c r="R765" s="224">
        <f ca="1">IFERROR(__xludf.DUMMYFUNCTION("IMPORTRANGE(""https://docs.google.com/spreadsheets/d/1ItG2mGa2ceCfYo0BwxsXqNm01IGEUdYcSSLTEv9YCik/edit?usp=sharing"",""เบิกจ่ายกองทุน!AB25"")"),422100)</f>
        <v>422100</v>
      </c>
      <c r="S765" s="224">
        <f ca="1">IFERROR(__xludf.DUMMYFUNCTION("IMPORTRANGE(""https://docs.google.com/spreadsheets/d/1ItG2mGa2ceCfYo0BwxsXqNm01IGEUdYcSSLTEv9YCik/edit?usp=sharing"",""เบิกจ่ายกองทุน!AC25"")"),329420)</f>
        <v>329420</v>
      </c>
      <c r="T765" s="224">
        <f t="shared" ca="1" si="458"/>
        <v>78.043117744610285</v>
      </c>
      <c r="U765" s="224">
        <f t="shared" ca="1" si="459"/>
        <v>78.043117744610285</v>
      </c>
    </row>
    <row r="766" spans="1:21" ht="18.75" x14ac:dyDescent="0.25">
      <c r="A766" s="128"/>
      <c r="B766" s="158"/>
      <c r="C766" s="158"/>
      <c r="D766" s="41" t="s">
        <v>23</v>
      </c>
      <c r="E766" s="158"/>
      <c r="F766" s="40"/>
      <c r="G766" s="42"/>
      <c r="H766" s="137" t="s">
        <v>14</v>
      </c>
      <c r="I766" s="135"/>
      <c r="J766" s="135"/>
      <c r="K766" s="136"/>
      <c r="L766" s="1356">
        <f t="shared" ref="L766:N766" si="464">L767+L768</f>
        <v>0</v>
      </c>
      <c r="M766" s="224">
        <f t="shared" si="464"/>
        <v>0</v>
      </c>
      <c r="N766" s="224">
        <f t="shared" si="464"/>
        <v>0</v>
      </c>
      <c r="O766" s="224">
        <f t="shared" si="455"/>
        <v>0</v>
      </c>
      <c r="P766" s="224">
        <f t="shared" si="456"/>
        <v>0</v>
      </c>
      <c r="Q766" s="224">
        <f t="shared" ref="Q766:S766" si="465">Q767+Q768</f>
        <v>0</v>
      </c>
      <c r="R766" s="224">
        <f t="shared" si="465"/>
        <v>0</v>
      </c>
      <c r="S766" s="224">
        <f t="shared" si="465"/>
        <v>0</v>
      </c>
      <c r="T766" s="224">
        <f t="shared" si="458"/>
        <v>0</v>
      </c>
      <c r="U766" s="224">
        <f t="shared" si="459"/>
        <v>0</v>
      </c>
    </row>
    <row r="767" spans="1:21" ht="18.75" x14ac:dyDescent="0.25">
      <c r="A767" s="128"/>
      <c r="B767" s="158"/>
      <c r="C767" s="158"/>
      <c r="D767" s="158"/>
      <c r="E767" s="314" t="s">
        <v>20</v>
      </c>
      <c r="F767" s="40"/>
      <c r="G767" s="42"/>
      <c r="H767" s="159" t="s">
        <v>14</v>
      </c>
      <c r="I767" s="135"/>
      <c r="J767" s="135"/>
      <c r="K767" s="136"/>
      <c r="L767" s="1358">
        <v>0</v>
      </c>
      <c r="M767" s="83">
        <v>0</v>
      </c>
      <c r="N767" s="83">
        <v>0</v>
      </c>
      <c r="O767" s="83">
        <f t="shared" si="455"/>
        <v>0</v>
      </c>
      <c r="P767" s="83">
        <f t="shared" si="456"/>
        <v>0</v>
      </c>
      <c r="Q767" s="83">
        <v>0</v>
      </c>
      <c r="R767" s="83">
        <v>0</v>
      </c>
      <c r="S767" s="83">
        <v>0</v>
      </c>
      <c r="T767" s="83">
        <f t="shared" si="458"/>
        <v>0</v>
      </c>
      <c r="U767" s="83">
        <f t="shared" si="459"/>
        <v>0</v>
      </c>
    </row>
    <row r="768" spans="1:21" ht="18.75" x14ac:dyDescent="0.25">
      <c r="A768" s="128"/>
      <c r="B768" s="158"/>
      <c r="C768" s="158"/>
      <c r="D768" s="158"/>
      <c r="E768" s="209" t="s">
        <v>21</v>
      </c>
      <c r="F768" s="40"/>
      <c r="G768" s="42"/>
      <c r="H768" s="137" t="s">
        <v>14</v>
      </c>
      <c r="I768" s="135"/>
      <c r="J768" s="135"/>
      <c r="K768" s="136"/>
      <c r="L768" s="1356">
        <v>0</v>
      </c>
      <c r="M768" s="224">
        <v>0</v>
      </c>
      <c r="N768" s="224">
        <v>0</v>
      </c>
      <c r="O768" s="224">
        <f t="shared" si="455"/>
        <v>0</v>
      </c>
      <c r="P768" s="224">
        <f t="shared" si="456"/>
        <v>0</v>
      </c>
      <c r="Q768" s="224">
        <v>0</v>
      </c>
      <c r="R768" s="224">
        <v>0</v>
      </c>
      <c r="S768" s="224">
        <v>0</v>
      </c>
      <c r="T768" s="224">
        <f t="shared" si="458"/>
        <v>0</v>
      </c>
      <c r="U768" s="224">
        <f t="shared" si="459"/>
        <v>0</v>
      </c>
    </row>
    <row r="769" spans="1:21" ht="19.5" x14ac:dyDescent="0.3">
      <c r="A769" s="138"/>
      <c r="B769" s="139"/>
      <c r="C769" s="439" t="s">
        <v>18</v>
      </c>
      <c r="D769" s="1586" t="s">
        <v>38</v>
      </c>
      <c r="E769" s="203"/>
      <c r="F769" s="141"/>
      <c r="G769" s="142"/>
      <c r="H769" s="178"/>
      <c r="I769" s="44"/>
      <c r="J769" s="44"/>
      <c r="K769" s="45"/>
      <c r="L769" s="1359"/>
      <c r="M769" s="45"/>
      <c r="N769" s="45"/>
      <c r="O769" s="45"/>
      <c r="P769" s="45"/>
      <c r="Q769" s="45"/>
      <c r="R769" s="45"/>
      <c r="S769" s="45"/>
      <c r="T769" s="45"/>
      <c r="U769" s="45"/>
    </row>
    <row r="770" spans="1:21" ht="18.75" x14ac:dyDescent="0.25">
      <c r="A770" s="138"/>
      <c r="B770" s="139"/>
      <c r="C770" s="139"/>
      <c r="D770" s="379" t="s">
        <v>286</v>
      </c>
      <c r="E770" s="139"/>
      <c r="F770" s="145"/>
      <c r="G770" s="143"/>
      <c r="H770" s="378" t="s">
        <v>35</v>
      </c>
      <c r="I770" s="423">
        <f ca="1">IFERROR(__xludf.DUMMYFUNCTION("IMPORTRANGE(""https://docs.google.com/spreadsheets/d/1eHaY18a8A9IcSdp1K8H6x8fbOy06t2VsZHhMHf-1x7Y/edit?usp=sharing"",""แผน!FI25"")"),0)</f>
        <v>0</v>
      </c>
      <c r="J770" s="423">
        <v>0</v>
      </c>
      <c r="K770" s="83">
        <f ca="1">IF(I770&gt;0,J770*100/I770,0)</f>
        <v>0</v>
      </c>
      <c r="L770" s="1359"/>
      <c r="M770" s="45"/>
      <c r="N770" s="45"/>
      <c r="O770" s="45"/>
      <c r="P770" s="45"/>
      <c r="Q770" s="45"/>
      <c r="R770" s="45"/>
      <c r="S770" s="45"/>
      <c r="T770" s="45"/>
      <c r="U770" s="45"/>
    </row>
    <row r="771" spans="1:21" ht="18.75" x14ac:dyDescent="0.25">
      <c r="A771" s="138"/>
      <c r="B771" s="139"/>
      <c r="C771" s="139"/>
      <c r="D771" s="379" t="s">
        <v>287</v>
      </c>
      <c r="E771" s="139"/>
      <c r="F771" s="145"/>
      <c r="G771" s="143"/>
      <c r="H771" s="178"/>
      <c r="I771" s="44"/>
      <c r="J771" s="44"/>
      <c r="K771" s="45"/>
      <c r="L771" s="1359"/>
      <c r="M771" s="45"/>
      <c r="N771" s="45"/>
      <c r="O771" s="45"/>
      <c r="P771" s="45"/>
      <c r="Q771" s="45"/>
      <c r="R771" s="45"/>
      <c r="S771" s="45"/>
      <c r="T771" s="45"/>
      <c r="U771" s="45"/>
    </row>
    <row r="772" spans="1:21" ht="18.75" x14ac:dyDescent="0.25">
      <c r="A772" s="138"/>
      <c r="B772" s="139"/>
      <c r="C772" s="139"/>
      <c r="D772" s="403" t="s">
        <v>288</v>
      </c>
      <c r="E772" s="139"/>
      <c r="F772" s="145"/>
      <c r="G772" s="143"/>
      <c r="H772" s="137" t="s">
        <v>35</v>
      </c>
      <c r="I772" s="184">
        <f ca="1">IFERROR(__xludf.DUMMYFUNCTION("IMPORTRANGE(""https://docs.google.com/spreadsheets/d/1eHaY18a8A9IcSdp1K8H6x8fbOy06t2VsZHhMHf-1x7Y/edit?usp=sharing"",""แผน!FQ25"")"),60)</f>
        <v>60</v>
      </c>
      <c r="J772" s="1395">
        <v>60</v>
      </c>
      <c r="K772" s="224">
        <f ca="1">IF(I772&gt;0,J772*100/I772,0)</f>
        <v>100</v>
      </c>
      <c r="L772" s="1359"/>
      <c r="M772" s="45"/>
      <c r="N772" s="45"/>
      <c r="O772" s="45"/>
      <c r="P772" s="45"/>
      <c r="Q772" s="45"/>
      <c r="R772" s="45"/>
      <c r="S772" s="45"/>
      <c r="T772" s="45"/>
      <c r="U772" s="45"/>
    </row>
    <row r="773" spans="1:21" ht="18.75" x14ac:dyDescent="0.25">
      <c r="A773" s="138"/>
      <c r="B773" s="139"/>
      <c r="C773" s="139"/>
      <c r="D773" s="403" t="s">
        <v>289</v>
      </c>
      <c r="E773" s="139"/>
      <c r="F773" s="145"/>
      <c r="G773" s="143"/>
      <c r="H773" s="178"/>
      <c r="I773" s="44"/>
      <c r="J773" s="44"/>
      <c r="K773" s="45"/>
      <c r="L773" s="1359"/>
      <c r="M773" s="45"/>
      <c r="N773" s="45"/>
      <c r="O773" s="45"/>
      <c r="P773" s="45"/>
      <c r="Q773" s="45"/>
      <c r="R773" s="45"/>
      <c r="S773" s="45"/>
      <c r="T773" s="45"/>
      <c r="U773" s="45"/>
    </row>
    <row r="774" spans="1:21" ht="18.75" x14ac:dyDescent="0.25">
      <c r="A774" s="138"/>
      <c r="B774" s="139"/>
      <c r="C774" s="139"/>
      <c r="D774" s="403" t="s">
        <v>290</v>
      </c>
      <c r="E774" s="139"/>
      <c r="F774" s="145"/>
      <c r="G774" s="143"/>
      <c r="H774" s="137" t="s">
        <v>46</v>
      </c>
      <c r="I774" s="184">
        <f ca="1">IFERROR(__xludf.DUMMYFUNCTION("IMPORTRANGE(""https://docs.google.com/spreadsheets/d/1eHaY18a8A9IcSdp1K8H6x8fbOy06t2VsZHhMHf-1x7Y/edit?usp=sharing"",""แผน!FR25"")"),120)</f>
        <v>120</v>
      </c>
      <c r="J774" s="1395">
        <v>120</v>
      </c>
      <c r="K774" s="224">
        <f ca="1">IF(I774&gt;0,J774*100/I774,0)</f>
        <v>100</v>
      </c>
      <c r="L774" s="1359"/>
      <c r="M774" s="45"/>
      <c r="N774" s="45"/>
      <c r="O774" s="45"/>
      <c r="P774" s="45"/>
      <c r="Q774" s="45"/>
      <c r="R774" s="45"/>
      <c r="S774" s="45"/>
      <c r="T774" s="45"/>
      <c r="U774" s="45"/>
    </row>
    <row r="775" spans="1:21" ht="18.75" x14ac:dyDescent="0.25">
      <c r="A775" s="138"/>
      <c r="B775" s="139"/>
      <c r="C775" s="139"/>
      <c r="D775" s="403" t="s">
        <v>50</v>
      </c>
      <c r="E775" s="145"/>
      <c r="F775" s="40"/>
      <c r="G775" s="42"/>
      <c r="H775" s="137" t="s">
        <v>46</v>
      </c>
      <c r="I775" s="184">
        <f ca="1">IFERROR(__xludf.DUMMYFUNCTION("IMPORTRANGE(""https://docs.google.com/spreadsheets/d/1eHaY18a8A9IcSdp1K8H6x8fbOy06t2VsZHhMHf-1x7Y/edit?usp=sharing"",""แผน!FS25"")"),120)</f>
        <v>120</v>
      </c>
      <c r="J775" s="1395">
        <v>120</v>
      </c>
      <c r="K775" s="45"/>
      <c r="L775" s="1359"/>
      <c r="M775" s="45"/>
      <c r="N775" s="45"/>
      <c r="O775" s="45"/>
      <c r="P775" s="45"/>
      <c r="Q775" s="45"/>
      <c r="R775" s="45"/>
      <c r="S775" s="45"/>
      <c r="T775" s="45"/>
      <c r="U775" s="45"/>
    </row>
    <row r="776" spans="1:21" ht="18.75" x14ac:dyDescent="0.25">
      <c r="A776" s="249"/>
      <c r="B776" s="250"/>
      <c r="C776" s="250"/>
      <c r="D776" s="250"/>
      <c r="E776" s="252"/>
      <c r="F776" s="252"/>
      <c r="G776" s="52"/>
      <c r="H776" s="186" t="s">
        <v>35</v>
      </c>
      <c r="I776" s="188">
        <f ca="1">IFERROR(__xludf.DUMMYFUNCTION("IMPORTRANGE(""https://docs.google.com/spreadsheets/d/1eHaY18a8A9IcSdp1K8H6x8fbOy06t2VsZHhMHf-1x7Y/edit?usp=sharing"",""แผน!FT25"")"),60)</f>
        <v>60</v>
      </c>
      <c r="J776" s="1541">
        <v>60</v>
      </c>
      <c r="K776" s="3"/>
      <c r="L776" s="1360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9.5" x14ac:dyDescent="0.3">
      <c r="A777" s="1605" t="s">
        <v>291</v>
      </c>
      <c r="B777" s="442"/>
      <c r="C777" s="442"/>
      <c r="D777" s="441"/>
      <c r="E777" s="442"/>
      <c r="F777" s="442"/>
      <c r="G777" s="443"/>
      <c r="H777" s="1606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45"/>
      <c r="J777" s="446"/>
      <c r="K777" s="447"/>
      <c r="L777" s="447"/>
      <c r="M777" s="447"/>
      <c r="N777" s="447"/>
      <c r="O777" s="447"/>
      <c r="P777" s="447"/>
      <c r="Q777" s="447"/>
      <c r="R777" s="447"/>
      <c r="S777" s="447"/>
      <c r="T777" s="447"/>
      <c r="U777" s="447"/>
    </row>
    <row r="778" spans="1:21" ht="18.75" x14ac:dyDescent="0.25">
      <c r="A778" s="39"/>
      <c r="B778" s="47" t="s">
        <v>292</v>
      </c>
      <c r="C778" s="40"/>
      <c r="D778" s="158"/>
      <c r="E778" s="40"/>
      <c r="F778" s="40"/>
      <c r="G778" s="42"/>
      <c r="H778" s="43" t="s">
        <v>14</v>
      </c>
      <c r="I778" s="184">
        <f ca="1">IFERROR(__xludf.DUMMYFUNCTION("IMPORTRANGE(""https://docs.google.com/spreadsheets/d/10OvvATaaLtwErnr3qtWFcTmtbfpFEt5Bsqel9sXx0uE/edit?usp=sharing"",""งานกองทุน!D25"")"),1087388.89)</f>
        <v>1087388.8899999999</v>
      </c>
      <c r="J778" s="184">
        <f ca="1">IFERROR(__xludf.DUMMYFUNCTION("IMPORTRANGE(""https://docs.google.com/spreadsheets/d/10OvvATaaLtwErnr3qtWFcTmtbfpFEt5Bsqel9sXx0uE/edit?usp=sharing"",""งานกองทุน!F25"")"),656376.86)</f>
        <v>656376.86</v>
      </c>
      <c r="K778" s="224">
        <f t="shared" ref="K778:K785" ca="1" si="466">IF(I778&gt;0,J778*100/I778,0)</f>
        <v>60.362660133487296</v>
      </c>
      <c r="L778" s="45"/>
      <c r="M778" s="45"/>
      <c r="N778" s="45"/>
      <c r="O778" s="45"/>
      <c r="P778" s="45"/>
      <c r="Q778" s="45"/>
      <c r="R778" s="45"/>
      <c r="S778" s="45"/>
      <c r="T778" s="45"/>
      <c r="U778" s="45"/>
    </row>
    <row r="779" spans="1:21" ht="18.75" x14ac:dyDescent="0.25">
      <c r="A779" s="39"/>
      <c r="B779" s="40"/>
      <c r="C779" s="40"/>
      <c r="D779" s="158"/>
      <c r="E779" s="40"/>
      <c r="F779" s="40"/>
      <c r="G779" s="42"/>
      <c r="H779" s="43" t="s">
        <v>35</v>
      </c>
      <c r="I779" s="184">
        <f ca="1">IFERROR(__xludf.DUMMYFUNCTION("IMPORTRANGE(""https://docs.google.com/spreadsheets/d/10OvvATaaLtwErnr3qtWFcTmtbfpFEt5Bsqel9sXx0uE/edit?usp=sharing"",""งานกองทุน!C25"")"),111)</f>
        <v>111</v>
      </c>
      <c r="J779" s="184">
        <f ca="1">IFERROR(__xludf.DUMMYFUNCTION("IMPORTRANGE(""https://docs.google.com/spreadsheets/d/10OvvATaaLtwErnr3qtWFcTmtbfpFEt5Bsqel9sXx0uE/edit?usp=sharing"",""งานกองทุน!E25"")"),69)</f>
        <v>69</v>
      </c>
      <c r="K779" s="224">
        <f t="shared" ca="1" si="466"/>
        <v>62.162162162162161</v>
      </c>
      <c r="L779" s="45"/>
      <c r="M779" s="45"/>
      <c r="N779" s="45"/>
      <c r="O779" s="45"/>
      <c r="P779" s="45"/>
      <c r="Q779" s="45"/>
      <c r="R779" s="45"/>
      <c r="S779" s="45"/>
      <c r="T779" s="45"/>
      <c r="U779" s="45"/>
    </row>
    <row r="780" spans="1:21" ht="18.75" x14ac:dyDescent="0.25">
      <c r="A780" s="39"/>
      <c r="B780" s="47" t="s">
        <v>293</v>
      </c>
      <c r="C780" s="40"/>
      <c r="D780" s="158"/>
      <c r="E780" s="40"/>
      <c r="F780" s="40"/>
      <c r="G780" s="42"/>
      <c r="H780" s="43" t="s">
        <v>14</v>
      </c>
      <c r="I780" s="184">
        <f ca="1">IFERROR(__xludf.DUMMYFUNCTION("IMPORTRANGE(""https://docs.google.com/spreadsheets/d/10OvvATaaLtwErnr3qtWFcTmtbfpFEt5Bsqel9sXx0uE/edit?usp=sharing"",""งานกองทุน!I25"")"),318703.96)</f>
        <v>318703.96000000002</v>
      </c>
      <c r="J780" s="184">
        <f ca="1">IFERROR(__xludf.DUMMYFUNCTION("IMPORTRANGE(""https://docs.google.com/spreadsheets/d/10OvvATaaLtwErnr3qtWFcTmtbfpFEt5Bsqel9sXx0uE/edit?usp=sharing"",""งานกองทุน!K25"")"),109492.04)</f>
        <v>109492.04</v>
      </c>
      <c r="K780" s="224">
        <f t="shared" ca="1" si="466"/>
        <v>34.355406189493216</v>
      </c>
      <c r="L780" s="45"/>
      <c r="M780" s="45"/>
      <c r="N780" s="45"/>
      <c r="O780" s="45"/>
      <c r="P780" s="45"/>
      <c r="Q780" s="45"/>
      <c r="R780" s="45"/>
      <c r="S780" s="45"/>
      <c r="T780" s="45"/>
      <c r="U780" s="45"/>
    </row>
    <row r="781" spans="1:21" ht="18.75" x14ac:dyDescent="0.25">
      <c r="A781" s="39"/>
      <c r="B781" s="40"/>
      <c r="C781" s="40"/>
      <c r="D781" s="158"/>
      <c r="E781" s="40"/>
      <c r="F781" s="40"/>
      <c r="G781" s="42"/>
      <c r="H781" s="43" t="s">
        <v>35</v>
      </c>
      <c r="I781" s="184">
        <f ca="1">IFERROR(__xludf.DUMMYFUNCTION("IMPORTRANGE(""https://docs.google.com/spreadsheets/d/10OvvATaaLtwErnr3qtWFcTmtbfpFEt5Bsqel9sXx0uE/edit?usp=sharing"",""งานกองทุน!H25"")"),18)</f>
        <v>18</v>
      </c>
      <c r="J781" s="184">
        <f ca="1">IFERROR(__xludf.DUMMYFUNCTION("IMPORTRANGE(""https://docs.google.com/spreadsheets/d/10OvvATaaLtwErnr3qtWFcTmtbfpFEt5Bsqel9sXx0uE/edit?usp=sharing"",""งานกองทุน!J25"")"),13)</f>
        <v>13</v>
      </c>
      <c r="K781" s="224">
        <f t="shared" ca="1" si="466"/>
        <v>72.222222222222229</v>
      </c>
      <c r="L781" s="45"/>
      <c r="M781" s="45"/>
      <c r="N781" s="45"/>
      <c r="O781" s="45"/>
      <c r="P781" s="45"/>
      <c r="Q781" s="45"/>
      <c r="R781" s="45"/>
      <c r="S781" s="45"/>
      <c r="T781" s="45"/>
      <c r="U781" s="45"/>
    </row>
    <row r="782" spans="1:21" ht="18.75" x14ac:dyDescent="0.25">
      <c r="A782" s="39"/>
      <c r="B782" s="47" t="s">
        <v>294</v>
      </c>
      <c r="C782" s="40"/>
      <c r="D782" s="158"/>
      <c r="E782" s="40"/>
      <c r="F782" s="40"/>
      <c r="G782" s="42"/>
      <c r="H782" s="43" t="s">
        <v>14</v>
      </c>
      <c r="I782" s="184">
        <f ca="1">IFERROR(__xludf.DUMMYFUNCTION("IMPORTRANGE(""https://docs.google.com/spreadsheets/d/10OvvATaaLtwErnr3qtWFcTmtbfpFEt5Bsqel9sXx0uE/edit?usp=sharing"",""งานกองทุน!N25"")"),0)</f>
        <v>0</v>
      </c>
      <c r="J782" s="184">
        <f ca="1">IFERROR(__xludf.DUMMYFUNCTION("IMPORTRANGE(""https://docs.google.com/spreadsheets/d/10OvvATaaLtwErnr3qtWFcTmtbfpFEt5Bsqel9sXx0uE/edit?usp=sharing"",""งานกองทุน!P25"")"),0)</f>
        <v>0</v>
      </c>
      <c r="K782" s="224">
        <f t="shared" ca="1" si="466"/>
        <v>0</v>
      </c>
      <c r="L782" s="45"/>
      <c r="M782" s="45"/>
      <c r="N782" s="45"/>
      <c r="O782" s="45"/>
      <c r="P782" s="45"/>
      <c r="Q782" s="45"/>
      <c r="R782" s="45"/>
      <c r="S782" s="45"/>
      <c r="T782" s="45"/>
      <c r="U782" s="45"/>
    </row>
    <row r="783" spans="1:21" ht="18.75" x14ac:dyDescent="0.25">
      <c r="A783" s="39"/>
      <c r="B783" s="40"/>
      <c r="C783" s="40"/>
      <c r="D783" s="158"/>
      <c r="E783" s="40"/>
      <c r="F783" s="40"/>
      <c r="G783" s="42"/>
      <c r="H783" s="43" t="s">
        <v>35</v>
      </c>
      <c r="I783" s="184">
        <f ca="1">IFERROR(__xludf.DUMMYFUNCTION("IMPORTRANGE(""https://docs.google.com/spreadsheets/d/10OvvATaaLtwErnr3qtWFcTmtbfpFEt5Bsqel9sXx0uE/edit?usp=sharing"",""งานกองทุน!M25"")"),0)</f>
        <v>0</v>
      </c>
      <c r="J783" s="184">
        <f ca="1">IFERROR(__xludf.DUMMYFUNCTION("IMPORTRANGE(""https://docs.google.com/spreadsheets/d/10OvvATaaLtwErnr3qtWFcTmtbfpFEt5Bsqel9sXx0uE/edit?usp=sharing"",""งานกองทุน!O25"")"),0)</f>
        <v>0</v>
      </c>
      <c r="K783" s="224">
        <f t="shared" ca="1" si="466"/>
        <v>0</v>
      </c>
      <c r="L783" s="45"/>
      <c r="M783" s="45"/>
      <c r="N783" s="45"/>
      <c r="O783" s="45"/>
      <c r="P783" s="45"/>
      <c r="Q783" s="45"/>
      <c r="R783" s="45"/>
      <c r="S783" s="45"/>
      <c r="T783" s="45"/>
      <c r="U783" s="45"/>
    </row>
    <row r="784" spans="1:21" ht="18.75" x14ac:dyDescent="0.25">
      <c r="A784" s="39"/>
      <c r="B784" s="47" t="s">
        <v>295</v>
      </c>
      <c r="C784" s="40"/>
      <c r="D784" s="158"/>
      <c r="E784" s="40"/>
      <c r="F784" s="40"/>
      <c r="G784" s="42"/>
      <c r="H784" s="43" t="s">
        <v>14</v>
      </c>
      <c r="I784" s="184">
        <f ca="1">IFERROR(__xludf.DUMMYFUNCTION("IMPORTRANGE(""https://docs.google.com/spreadsheets/d/10OvvATaaLtwErnr3qtWFcTmtbfpFEt5Bsqel9sXx0uE/edit?usp=sharing"",""งานกองทุน!S25"")"),1652000)</f>
        <v>1652000</v>
      </c>
      <c r="J784" s="184">
        <f ca="1">IFERROR(__xludf.DUMMYFUNCTION("IMPORTRANGE(""https://docs.google.com/spreadsheets/d/10OvvATaaLtwErnr3qtWFcTmtbfpFEt5Bsqel9sXx0uE/edit?usp=sharing"",""งานกองทุน!U25"")"),820000)</f>
        <v>820000</v>
      </c>
      <c r="K784" s="224">
        <f t="shared" ca="1" si="466"/>
        <v>49.63680387409201</v>
      </c>
      <c r="L784" s="45"/>
      <c r="M784" s="45"/>
      <c r="N784" s="45"/>
      <c r="O784" s="45"/>
      <c r="P784" s="45"/>
      <c r="Q784" s="45"/>
      <c r="R784" s="45"/>
      <c r="S784" s="45"/>
      <c r="T784" s="45"/>
      <c r="U784" s="45"/>
    </row>
    <row r="785" spans="1:21" ht="18.75" x14ac:dyDescent="0.25">
      <c r="A785" s="50"/>
      <c r="B785" s="1"/>
      <c r="C785" s="1"/>
      <c r="D785" s="2"/>
      <c r="E785" s="1"/>
      <c r="F785" s="1"/>
      <c r="G785" s="52"/>
      <c r="H785" s="53" t="s">
        <v>35</v>
      </c>
      <c r="I785" s="188">
        <f ca="1">IFERROR(__xludf.DUMMYFUNCTION("IMPORTRANGE(""https://docs.google.com/spreadsheets/d/10OvvATaaLtwErnr3qtWFcTmtbfpFEt5Bsqel9sXx0uE/edit?usp=sharing"",""งานกองทุน!R25"")"),59)</f>
        <v>59</v>
      </c>
      <c r="J785" s="188">
        <f ca="1">IFERROR(__xludf.DUMMYFUNCTION("IMPORTRANGE(""https://docs.google.com/spreadsheets/d/10OvvATaaLtwErnr3qtWFcTmtbfpFEt5Bsqel9sXx0uE/edit?usp=sharing"",""งานกองทุน!T25"")"),22)</f>
        <v>22</v>
      </c>
      <c r="K785" s="448">
        <f t="shared" ca="1" si="466"/>
        <v>37.288135593220339</v>
      </c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2.75" x14ac:dyDescent="0.2">
      <c r="A786" s="165"/>
      <c r="B786" s="165"/>
      <c r="C786" s="165"/>
      <c r="D786" s="165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</row>
    <row r="787" spans="1:21" ht="16.5" x14ac:dyDescent="0.25">
      <c r="A787" s="1607" t="s">
        <v>296</v>
      </c>
      <c r="B787" s="165"/>
      <c r="C787" s="165"/>
      <c r="D787" s="165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</row>
    <row r="788" spans="1:21" ht="16.5" x14ac:dyDescent="0.25">
      <c r="A788" s="160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5"/>
      <c r="C788" s="165"/>
      <c r="D788" s="165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</row>
    <row r="789" spans="1:21" ht="16.5" x14ac:dyDescent="0.25">
      <c r="A789" s="1607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5"/>
      <c r="C789" s="165"/>
      <c r="D789" s="165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</row>
  </sheetData>
  <mergeCells count="25">
    <mergeCell ref="D714:G714"/>
    <mergeCell ref="D728:G728"/>
    <mergeCell ref="D760:G760"/>
    <mergeCell ref="A1:U1"/>
    <mergeCell ref="A2:U2"/>
    <mergeCell ref="A3:U3"/>
    <mergeCell ref="D413:G413"/>
    <mergeCell ref="D493:F493"/>
    <mergeCell ref="D599:G599"/>
    <mergeCell ref="D616:G616"/>
    <mergeCell ref="D642:G642"/>
    <mergeCell ref="D690:G690"/>
    <mergeCell ref="S5:U5"/>
    <mergeCell ref="A7:G7"/>
    <mergeCell ref="A17:G17"/>
    <mergeCell ref="A30:G30"/>
    <mergeCell ref="A56:G56"/>
    <mergeCell ref="B57:G57"/>
    <mergeCell ref="L4:P4"/>
    <mergeCell ref="Q4:U4"/>
    <mergeCell ref="A5:G6"/>
    <mergeCell ref="I5:K5"/>
    <mergeCell ref="L5:M5"/>
    <mergeCell ref="N5:P5"/>
    <mergeCell ref="Q5:R5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7DE2-E2BD-4D72-87C5-91E192B89438}">
  <sheetPr>
    <outlinePr summaryBelow="0" summaryRight="0"/>
  </sheetPr>
  <dimension ref="A1:U789"/>
  <sheetViews>
    <sheetView view="pageBreakPreview" zoomScale="60" zoomScaleNormal="60" workbookViewId="0">
      <pane xSplit="8" ySplit="6" topLeftCell="I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0.28515625" bestFit="1" customWidth="1"/>
    <col min="15" max="15" width="19.28515625" bestFit="1" customWidth="1"/>
    <col min="16" max="16" width="20.7109375" bestFit="1" customWidth="1"/>
    <col min="17" max="18" width="20.28515625" bestFit="1" customWidth="1"/>
    <col min="19" max="19" width="17.85546875" bestFit="1" customWidth="1"/>
    <col min="20" max="20" width="19.28515625" bestFit="1" customWidth="1"/>
    <col min="21" max="21" width="20.7109375" bestFit="1" customWidth="1"/>
  </cols>
  <sheetData>
    <row r="1" spans="1:21" ht="15.75" customHeight="1" x14ac:dyDescent="0.3">
      <c r="A1" s="1335" t="s">
        <v>0</v>
      </c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5"/>
      <c r="N1" s="1335"/>
      <c r="O1" s="1335"/>
      <c r="P1" s="1335"/>
      <c r="Q1" s="1335"/>
      <c r="R1" s="1335"/>
      <c r="S1" s="1335"/>
      <c r="T1" s="1335"/>
      <c r="U1" s="1335"/>
    </row>
    <row r="2" spans="1:21" ht="15.75" customHeight="1" x14ac:dyDescent="0.3">
      <c r="A2" s="1335" t="s">
        <v>344</v>
      </c>
      <c r="B2" s="1335"/>
      <c r="C2" s="1335"/>
      <c r="D2" s="1335"/>
      <c r="E2" s="1335"/>
      <c r="F2" s="1335"/>
      <c r="G2" s="1335"/>
      <c r="H2" s="1335"/>
      <c r="I2" s="1335"/>
      <c r="J2" s="1335"/>
      <c r="K2" s="1335"/>
      <c r="L2" s="1335"/>
      <c r="M2" s="1335"/>
      <c r="N2" s="1335"/>
      <c r="O2" s="1335"/>
      <c r="P2" s="1335"/>
      <c r="Q2" s="1335"/>
      <c r="R2" s="1335"/>
      <c r="S2" s="1335"/>
      <c r="T2" s="1335"/>
      <c r="U2" s="1335"/>
    </row>
    <row r="3" spans="1:21" ht="15.75" customHeight="1" x14ac:dyDescent="0.3">
      <c r="A3" s="1335" t="s">
        <v>350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  <c r="L3" s="1335"/>
      <c r="M3" s="1335"/>
      <c r="N3" s="1335"/>
      <c r="O3" s="1335"/>
      <c r="P3" s="1335"/>
      <c r="Q3" s="1335"/>
      <c r="R3" s="1335"/>
      <c r="S3" s="1335"/>
      <c r="T3" s="1335"/>
      <c r="U3" s="1335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1336"/>
      <c r="L4" s="1337" t="s">
        <v>2</v>
      </c>
      <c r="M4" s="1292"/>
      <c r="N4" s="1292"/>
      <c r="O4" s="1292"/>
      <c r="P4" s="1293"/>
      <c r="Q4" s="1338" t="s">
        <v>3</v>
      </c>
      <c r="R4" s="1292"/>
      <c r="S4" s="1292"/>
      <c r="T4" s="1292"/>
      <c r="U4" s="1293"/>
    </row>
    <row r="5" spans="1:21" ht="15.75" customHeight="1" x14ac:dyDescent="0.3">
      <c r="A5" s="1339" t="s">
        <v>4</v>
      </c>
      <c r="B5" s="1289"/>
      <c r="C5" s="1289"/>
      <c r="D5" s="1289"/>
      <c r="E5" s="1289"/>
      <c r="F5" s="1289"/>
      <c r="G5" s="1290"/>
      <c r="H5" s="1340" t="s">
        <v>5</v>
      </c>
      <c r="I5" s="1309" t="s">
        <v>6</v>
      </c>
      <c r="J5" s="1292"/>
      <c r="K5" s="1293"/>
      <c r="L5" s="1341" t="s">
        <v>7</v>
      </c>
      <c r="M5" s="1293"/>
      <c r="N5" s="1302" t="s">
        <v>8</v>
      </c>
      <c r="O5" s="1292"/>
      <c r="P5" s="1293"/>
      <c r="Q5" s="1303" t="s">
        <v>7</v>
      </c>
      <c r="R5" s="1293"/>
      <c r="S5" s="1302" t="s">
        <v>8</v>
      </c>
      <c r="T5" s="1292"/>
      <c r="U5" s="1293"/>
    </row>
    <row r="6" spans="1:21" ht="15.75" customHeight="1" x14ac:dyDescent="0.3">
      <c r="A6" s="1291"/>
      <c r="B6" s="1292"/>
      <c r="C6" s="1292"/>
      <c r="D6" s="1292"/>
      <c r="E6" s="1292"/>
      <c r="F6" s="1292"/>
      <c r="G6" s="1293"/>
      <c r="H6" s="1342"/>
      <c r="I6" s="6" t="s">
        <v>9</v>
      </c>
      <c r="J6" s="7" t="s">
        <v>10</v>
      </c>
      <c r="K6" s="6" t="s">
        <v>11</v>
      </c>
      <c r="L6" s="1343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x14ac:dyDescent="0.2">
      <c r="A7" s="1344"/>
      <c r="B7" s="1292"/>
      <c r="C7" s="1292"/>
      <c r="D7" s="1292"/>
      <c r="E7" s="1292"/>
      <c r="F7" s="1292"/>
      <c r="G7" s="1293"/>
      <c r="H7" s="14"/>
      <c r="I7" s="15"/>
      <c r="J7" s="15"/>
      <c r="K7" s="16"/>
      <c r="L7" s="1345"/>
      <c r="M7" s="16"/>
      <c r="N7" s="16"/>
      <c r="O7" s="16"/>
      <c r="P7" s="16"/>
      <c r="Q7" s="16"/>
      <c r="R7" s="16"/>
      <c r="S7" s="16"/>
      <c r="T7" s="16"/>
      <c r="U7" s="16"/>
    </row>
    <row r="8" spans="1:21" ht="12.75" x14ac:dyDescent="0.2">
      <c r="A8" s="17"/>
      <c r="B8" s="18"/>
      <c r="C8" s="18"/>
      <c r="D8" s="18"/>
      <c r="E8" s="18"/>
      <c r="F8" s="18"/>
      <c r="G8" s="19"/>
      <c r="H8" s="19"/>
      <c r="I8" s="20"/>
      <c r="J8" s="20"/>
      <c r="K8" s="21"/>
      <c r="L8" s="1346"/>
      <c r="M8" s="21"/>
      <c r="N8" s="21"/>
      <c r="O8" s="21"/>
      <c r="P8" s="21"/>
      <c r="Q8" s="21"/>
      <c r="R8" s="21"/>
      <c r="S8" s="21"/>
      <c r="T8" s="21"/>
      <c r="U8" s="21"/>
    </row>
    <row r="9" spans="1:21" ht="12.75" x14ac:dyDescent="0.2">
      <c r="A9" s="17"/>
      <c r="B9" s="18"/>
      <c r="C9" s="18"/>
      <c r="D9" s="18"/>
      <c r="E9" s="18"/>
      <c r="F9" s="18"/>
      <c r="G9" s="19"/>
      <c r="H9" s="19"/>
      <c r="I9" s="20"/>
      <c r="J9" s="20"/>
      <c r="K9" s="21"/>
      <c r="L9" s="1346"/>
      <c r="M9" s="21"/>
      <c r="N9" s="21"/>
      <c r="O9" s="21"/>
      <c r="P9" s="21"/>
      <c r="Q9" s="21"/>
      <c r="R9" s="21"/>
      <c r="S9" s="21"/>
      <c r="T9" s="21"/>
      <c r="U9" s="21"/>
    </row>
    <row r="10" spans="1:21" ht="12.75" x14ac:dyDescent="0.2">
      <c r="A10" s="17"/>
      <c r="B10" s="18"/>
      <c r="C10" s="18"/>
      <c r="D10" s="18"/>
      <c r="E10" s="18"/>
      <c r="F10" s="18"/>
      <c r="G10" s="19"/>
      <c r="H10" s="19"/>
      <c r="I10" s="20"/>
      <c r="J10" s="20"/>
      <c r="K10" s="21"/>
      <c r="L10" s="1346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2.75" x14ac:dyDescent="0.2">
      <c r="A11" s="17"/>
      <c r="B11" s="18"/>
      <c r="C11" s="18"/>
      <c r="D11" s="18"/>
      <c r="E11" s="18"/>
      <c r="F11" s="18"/>
      <c r="G11" s="19"/>
      <c r="H11" s="19"/>
      <c r="I11" s="20"/>
      <c r="J11" s="20"/>
      <c r="K11" s="21"/>
      <c r="L11" s="1346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2.75" x14ac:dyDescent="0.2">
      <c r="A12" s="17"/>
      <c r="B12" s="18"/>
      <c r="C12" s="18"/>
      <c r="D12" s="18"/>
      <c r="E12" s="18"/>
      <c r="F12" s="18"/>
      <c r="G12" s="19"/>
      <c r="H12" s="19"/>
      <c r="I12" s="20"/>
      <c r="J12" s="20"/>
      <c r="K12" s="21"/>
      <c r="L12" s="1346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12.75" x14ac:dyDescent="0.2">
      <c r="A13" s="17"/>
      <c r="B13" s="18"/>
      <c r="C13" s="18"/>
      <c r="D13" s="18"/>
      <c r="E13" s="18"/>
      <c r="F13" s="18"/>
      <c r="G13" s="19"/>
      <c r="H13" s="19"/>
      <c r="I13" s="20"/>
      <c r="J13" s="20"/>
      <c r="K13" s="21"/>
      <c r="L13" s="1346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2.75" x14ac:dyDescent="0.2">
      <c r="A14" s="17"/>
      <c r="B14" s="18"/>
      <c r="C14" s="18"/>
      <c r="D14" s="18"/>
      <c r="E14" s="18"/>
      <c r="F14" s="18"/>
      <c r="G14" s="19"/>
      <c r="H14" s="19"/>
      <c r="I14" s="20"/>
      <c r="J14" s="20"/>
      <c r="K14" s="21"/>
      <c r="L14" s="1346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2.75" x14ac:dyDescent="0.2">
      <c r="A15" s="17"/>
      <c r="B15" s="18"/>
      <c r="C15" s="18"/>
      <c r="D15" s="18"/>
      <c r="E15" s="18"/>
      <c r="F15" s="18"/>
      <c r="G15" s="19"/>
      <c r="H15" s="19"/>
      <c r="I15" s="20"/>
      <c r="J15" s="20"/>
      <c r="K15" s="21"/>
      <c r="L15" s="1346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2.75" x14ac:dyDescent="0.2">
      <c r="A16" s="13"/>
      <c r="B16" s="22"/>
      <c r="C16" s="22"/>
      <c r="D16" s="22"/>
      <c r="E16" s="22"/>
      <c r="F16" s="22"/>
      <c r="G16" s="14"/>
      <c r="H16" s="14"/>
      <c r="I16" s="15"/>
      <c r="J16" s="15"/>
      <c r="K16" s="16"/>
      <c r="L16" s="1345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15.75" customHeight="1" x14ac:dyDescent="0.3">
      <c r="A17" s="1295" t="s">
        <v>298</v>
      </c>
      <c r="B17" s="1292"/>
      <c r="C17" s="1292"/>
      <c r="D17" s="1292"/>
      <c r="E17" s="1292"/>
      <c r="F17" s="1292"/>
      <c r="G17" s="1293"/>
      <c r="H17" s="23"/>
      <c r="I17" s="24"/>
      <c r="J17" s="24"/>
      <c r="K17" s="25"/>
      <c r="L17" s="1347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5.75" customHeight="1" x14ac:dyDescent="0.3">
      <c r="A18" s="26"/>
      <c r="B18" s="27"/>
      <c r="C18" s="28" t="s">
        <v>18</v>
      </c>
      <c r="D18" s="29" t="s">
        <v>19</v>
      </c>
      <c r="E18" s="27"/>
      <c r="F18" s="27"/>
      <c r="G18" s="30"/>
      <c r="H18" s="31" t="s">
        <v>14</v>
      </c>
      <c r="I18" s="32"/>
      <c r="J18" s="32"/>
      <c r="K18" s="33"/>
      <c r="L18" s="1348">
        <f ca="1">L19+L20</f>
        <v>2849060</v>
      </c>
      <c r="M18" s="1349">
        <f ca="1">M19+M20</f>
        <v>2901815</v>
      </c>
      <c r="N18" s="1349">
        <f ca="1">N19+N20</f>
        <v>1857784.6800000002</v>
      </c>
      <c r="O18" s="1349">
        <f ca="1">IF(L18&gt;0,N18*100/L18,0)</f>
        <v>65.206934216899626</v>
      </c>
      <c r="P18" s="1349">
        <f ca="1">IF(M18&gt;0,N18*100/M18,0)</f>
        <v>64.021472078681796</v>
      </c>
      <c r="Q18" s="1349">
        <f ca="1">Q19+Q20</f>
        <v>3956553.39</v>
      </c>
      <c r="R18" s="1349">
        <f ca="1">R19+R20</f>
        <v>3521693</v>
      </c>
      <c r="S18" s="1349">
        <f ca="1">S19+S20</f>
        <v>587616</v>
      </c>
      <c r="T18" s="1349">
        <f ca="1">IF(Q18&gt;0,S18*100/Q18,0)</f>
        <v>14.85171415821587</v>
      </c>
      <c r="U18" s="1349">
        <f ca="1">IF(R18&gt;0,S18*100/R18,0)</f>
        <v>16.685611153499185</v>
      </c>
    </row>
    <row r="19" spans="1:21" ht="15.75" customHeight="1" x14ac:dyDescent="0.25">
      <c r="A19" s="26"/>
      <c r="B19" s="27"/>
      <c r="C19" s="27"/>
      <c r="D19" s="27"/>
      <c r="E19" s="1350" t="s">
        <v>20</v>
      </c>
      <c r="F19" s="27"/>
      <c r="G19" s="30"/>
      <c r="H19" s="1351" t="s">
        <v>14</v>
      </c>
      <c r="I19" s="32"/>
      <c r="J19" s="32"/>
      <c r="K19" s="33"/>
      <c r="L19" s="1352">
        <f>L22+L25</f>
        <v>0</v>
      </c>
      <c r="M19" s="1353">
        <f>M22+M25</f>
        <v>0</v>
      </c>
      <c r="N19" s="1353">
        <f>N22+N25</f>
        <v>0</v>
      </c>
      <c r="O19" s="1353">
        <f>IF(L19&gt;0,N19*100/L19,0)</f>
        <v>0</v>
      </c>
      <c r="P19" s="1353">
        <f>IF(M19&gt;0,N19*100/M19,0)</f>
        <v>0</v>
      </c>
      <c r="Q19" s="1353">
        <f>Q22+Q25</f>
        <v>0</v>
      </c>
      <c r="R19" s="1353">
        <f>R22+R25</f>
        <v>0</v>
      </c>
      <c r="S19" s="1353">
        <f>S22+S25</f>
        <v>0</v>
      </c>
      <c r="T19" s="1353">
        <f>IF(Q19&gt;0,S19*100/Q19,0)</f>
        <v>0</v>
      </c>
      <c r="U19" s="1353">
        <f>IF(R19&gt;0,S19*100/R19,0)</f>
        <v>0</v>
      </c>
    </row>
    <row r="20" spans="1:21" ht="15.75" customHeight="1" x14ac:dyDescent="0.25">
      <c r="A20" s="26"/>
      <c r="B20" s="27"/>
      <c r="C20" s="27"/>
      <c r="D20" s="27"/>
      <c r="E20" s="35" t="s">
        <v>21</v>
      </c>
      <c r="F20" s="27"/>
      <c r="G20" s="30"/>
      <c r="H20" s="36" t="s">
        <v>14</v>
      </c>
      <c r="I20" s="32"/>
      <c r="J20" s="32"/>
      <c r="K20" s="33"/>
      <c r="L20" s="1354">
        <f ca="1">L23+L26</f>
        <v>2849060</v>
      </c>
      <c r="M20" s="1355">
        <f ca="1">M23+M26</f>
        <v>2901815</v>
      </c>
      <c r="N20" s="1355">
        <f ca="1">N23+N26</f>
        <v>1857784.6800000002</v>
      </c>
      <c r="O20" s="1355">
        <f ca="1">IF(L20&gt;0,N20*100/L20,0)</f>
        <v>65.206934216899626</v>
      </c>
      <c r="P20" s="1355">
        <f ca="1">IF(M20&gt;0,N20*100/M20,0)</f>
        <v>64.021472078681796</v>
      </c>
      <c r="Q20" s="1355">
        <f ca="1">Q23+Q26</f>
        <v>3956553.39</v>
      </c>
      <c r="R20" s="1355">
        <f ca="1">R23+R26</f>
        <v>3521693</v>
      </c>
      <c r="S20" s="1355">
        <f ca="1">S23+S26</f>
        <v>587616</v>
      </c>
      <c r="T20" s="1355">
        <f ca="1">IF(Q20&gt;0,S20*100/Q20,0)</f>
        <v>14.85171415821587</v>
      </c>
      <c r="U20" s="1355">
        <f ca="1">IF(R20&gt;0,S20*100/R20,0)</f>
        <v>16.685611153499185</v>
      </c>
    </row>
    <row r="21" spans="1:21" ht="15.75" customHeight="1" x14ac:dyDescent="0.25">
      <c r="A21" s="39"/>
      <c r="B21" s="40"/>
      <c r="C21" s="40"/>
      <c r="D21" s="41" t="s">
        <v>22</v>
      </c>
      <c r="E21" s="40"/>
      <c r="F21" s="40"/>
      <c r="G21" s="42"/>
      <c r="H21" s="43" t="s">
        <v>14</v>
      </c>
      <c r="I21" s="44"/>
      <c r="J21" s="44"/>
      <c r="K21" s="45"/>
      <c r="L21" s="1356">
        <f ca="1">L22+L23</f>
        <v>2641660</v>
      </c>
      <c r="M21" s="224">
        <f ca="1">M22+M23</f>
        <v>2694415</v>
      </c>
      <c r="N21" s="224">
        <f ca="1">N22+N23</f>
        <v>1857784.6800000002</v>
      </c>
      <c r="O21" s="224">
        <f ca="1">IF(L21&gt;0,N21*100/L21,0)</f>
        <v>70.326411423120319</v>
      </c>
      <c r="P21" s="224">
        <f ca="1">IF(M21&gt;0,N21*100/M21,0)</f>
        <v>68.949463241557083</v>
      </c>
      <c r="Q21" s="224">
        <f ca="1">Q22+Q23</f>
        <v>3956553.39</v>
      </c>
      <c r="R21" s="224">
        <f ca="1">R22+R23</f>
        <v>3521693</v>
      </c>
      <c r="S21" s="224">
        <f ca="1">S22+S23</f>
        <v>587616</v>
      </c>
      <c r="T21" s="224">
        <f ca="1">IF(Q21&gt;0,S21*100/Q21,0)</f>
        <v>14.85171415821587</v>
      </c>
      <c r="U21" s="224">
        <f ca="1">IF(R21&gt;0,S21*100/R21,0)</f>
        <v>16.685611153499185</v>
      </c>
    </row>
    <row r="22" spans="1:21" ht="15.75" customHeight="1" x14ac:dyDescent="0.25">
      <c r="A22" s="39"/>
      <c r="B22" s="40"/>
      <c r="C22" s="40"/>
      <c r="D22" s="40"/>
      <c r="E22" s="156" t="s">
        <v>20</v>
      </c>
      <c r="F22" s="40"/>
      <c r="G22" s="42"/>
      <c r="H22" s="1357" t="s">
        <v>14</v>
      </c>
      <c r="I22" s="44"/>
      <c r="J22" s="44"/>
      <c r="K22" s="45"/>
      <c r="L22" s="1358">
        <f>L48+L63+L76+L98+L129+L143+L161+L190+L177+L270+L286+L307+L324+L337+L360+L517</f>
        <v>0</v>
      </c>
      <c r="M22" s="83">
        <f>M48+M63+M76+M98+M129+M143+M161+M190+M177+M270+M286+M307+M324+M337+M360+M517</f>
        <v>0</v>
      </c>
      <c r="N22" s="83">
        <f>N48+N63+N76+N98+N129+N143+N161+N190+N177+N270+N286+N307+N324+N337+N360+N517</f>
        <v>0</v>
      </c>
      <c r="O22" s="83">
        <f>IF(L22&gt;0,N22*100/L22,0)</f>
        <v>0</v>
      </c>
      <c r="P22" s="83">
        <f>IF(M22&gt;0,N22*100/M22,0)</f>
        <v>0</v>
      </c>
      <c r="Q22" s="83">
        <f>Q76+Q98+Q121+Q143+Q161+Q177+Q190+Q270+Q286+Q307+Q337+Q379+Q396+Q417+Q497+Q603+Q620+Q646+Q694+Q718+Q732+Q764</f>
        <v>0</v>
      </c>
      <c r="R22" s="83">
        <f>R76+R98+R121+R143+R161+R177+R190+R270+R286+R307+R337+R379+R396+R417+R497+R603+R620+R646+R694+R718+R732+R764</f>
        <v>0</v>
      </c>
      <c r="S22" s="83">
        <f>S76+S98+S121+S143+S161+S177+S190+S270+S286+S307+S337+S379+S396+S417+S497+S603+S620+S646+S694+S718+S732+S764</f>
        <v>0</v>
      </c>
      <c r="T22" s="83">
        <f>IF(Q22&gt;0,S22*100/Q22,0)</f>
        <v>0</v>
      </c>
      <c r="U22" s="83">
        <f>IF(R22&gt;0,S22*100/R22,0)</f>
        <v>0</v>
      </c>
    </row>
    <row r="23" spans="1:21" ht="15.75" customHeight="1" x14ac:dyDescent="0.25">
      <c r="A23" s="39"/>
      <c r="B23" s="40"/>
      <c r="C23" s="40"/>
      <c r="D23" s="40"/>
      <c r="E23" s="47" t="s">
        <v>21</v>
      </c>
      <c r="F23" s="40"/>
      <c r="G23" s="42"/>
      <c r="H23" s="43" t="s">
        <v>14</v>
      </c>
      <c r="I23" s="44"/>
      <c r="J23" s="44"/>
      <c r="K23" s="45"/>
      <c r="L23" s="1356">
        <f ca="1">L49+L64+L77+L99+L130+L144+L162+L191+L178+L271+L287+L308+L325+L338+L361+L518</f>
        <v>2641660</v>
      </c>
      <c r="M23" s="224">
        <f ca="1">M49+M64+M77+M99+M130+M144+M162+M191+M178+M271+M287+M308+M325+M338+M361+M518</f>
        <v>2694415</v>
      </c>
      <c r="N23" s="224">
        <f ca="1">N49+N64+N77+N99+N130+N144+N162+N191+N178+N271+N287+N308+N325+N338+N361+N518</f>
        <v>1857784.6800000002</v>
      </c>
      <c r="O23" s="224">
        <f ca="1">IF(L23&gt;0,N23*100/L23,0)</f>
        <v>70.326411423120319</v>
      </c>
      <c r="P23" s="224">
        <f ca="1">IF(M23&gt;0,N23*100/M23,0)</f>
        <v>68.949463241557083</v>
      </c>
      <c r="Q23" s="224">
        <f ca="1">Q77+Q99+Q122+Q144+Q162+Q178+Q191+Q271+Q287+Q308+Q338+Q380+Q397+Q418+Q498+Q604+Q621+Q647+Q695+Q719+Q733+Q765</f>
        <v>3956553.39</v>
      </c>
      <c r="R23" s="224">
        <f ca="1">R77+R99+R122+R144+R162+R178+R191+R271+R287+R308+R338+R380+R397+R418+R498+R604+R621+R647+R695+R719+R733+R765</f>
        <v>3521693</v>
      </c>
      <c r="S23" s="224">
        <f ca="1">S77+S99+S122+S144+S162+S178+S191+S271+S287+S308+S338+S380+S397+S418+S498+S604+S621+S647+S695+S719+S733+S765</f>
        <v>587616</v>
      </c>
      <c r="T23" s="224">
        <f ca="1">IF(Q23&gt;0,S23*100/Q23,0)</f>
        <v>14.85171415821587</v>
      </c>
      <c r="U23" s="224">
        <f ca="1">IF(R23&gt;0,S23*100/R23,0)</f>
        <v>16.685611153499185</v>
      </c>
    </row>
    <row r="24" spans="1:21" ht="15.75" customHeight="1" x14ac:dyDescent="0.25">
      <c r="A24" s="39"/>
      <c r="B24" s="40"/>
      <c r="C24" s="40"/>
      <c r="D24" s="41" t="s">
        <v>23</v>
      </c>
      <c r="E24" s="40"/>
      <c r="F24" s="40"/>
      <c r="G24" s="42"/>
      <c r="H24" s="43" t="s">
        <v>14</v>
      </c>
      <c r="I24" s="44"/>
      <c r="J24" s="44"/>
      <c r="K24" s="45"/>
      <c r="L24" s="1356">
        <f ca="1">L25+L26</f>
        <v>207400</v>
      </c>
      <c r="M24" s="224">
        <f ca="1">M25+M26</f>
        <v>207400</v>
      </c>
      <c r="N24" s="224">
        <f ca="1">N25+N26</f>
        <v>0</v>
      </c>
      <c r="O24" s="224">
        <f ca="1">IF(L24&gt;0,N24*100/L24,0)</f>
        <v>0</v>
      </c>
      <c r="P24" s="224">
        <f ca="1">IF(M24&gt;0,N24*100/M24,0)</f>
        <v>0</v>
      </c>
      <c r="Q24" s="224">
        <f ca="1">Q25+Q26</f>
        <v>0</v>
      </c>
      <c r="R24" s="224">
        <f ca="1">R25+R26</f>
        <v>0</v>
      </c>
      <c r="S24" s="224">
        <f ca="1">S25+S26</f>
        <v>0</v>
      </c>
      <c r="T24" s="224">
        <f ca="1">IF(Q24&gt;0,S24*100/Q24,0)</f>
        <v>0</v>
      </c>
      <c r="U24" s="224">
        <f ca="1">IF(R24&gt;0,S24*100/R24,0)</f>
        <v>0</v>
      </c>
    </row>
    <row r="25" spans="1:21" ht="15.75" customHeight="1" x14ac:dyDescent="0.25">
      <c r="A25" s="39"/>
      <c r="B25" s="40"/>
      <c r="C25" s="40"/>
      <c r="D25" s="40"/>
      <c r="E25" s="156" t="s">
        <v>20</v>
      </c>
      <c r="F25" s="40"/>
      <c r="G25" s="42"/>
      <c r="H25" s="1357" t="s">
        <v>14</v>
      </c>
      <c r="I25" s="44"/>
      <c r="J25" s="44"/>
      <c r="K25" s="45"/>
      <c r="L25" s="1358">
        <f>L51+L66+L79+L101+L132+L146+L164+L193+L180+L273+L289+L310+L327+L340+L363+L520</f>
        <v>0</v>
      </c>
      <c r="M25" s="83">
        <f>M51+M66+M79+M101+M132+M146+M164+M193+M180+M273+M289+M310+M327+M340+M363+M520</f>
        <v>0</v>
      </c>
      <c r="N25" s="83">
        <f>N51+N66+N79+N101+N132+N146+N164+N193+N180+N273+N289+N310+N327+N340+N363+N520</f>
        <v>0</v>
      </c>
      <c r="O25" s="83">
        <f>IF(L25&gt;0,N25*100/L25,0)</f>
        <v>0</v>
      </c>
      <c r="P25" s="83">
        <f>IF(M25&gt;0,N25*100/M25,0)</f>
        <v>0</v>
      </c>
      <c r="Q25" s="83">
        <f>Q79+Q101+Q124+Q146+Q164+Q180+Q193+Q273+Q289+Q310+Q340+Q382+Q399+Q420+Q500+Q606+Q623+Q649+Q697+Q721+Q735+Q767</f>
        <v>0</v>
      </c>
      <c r="R25" s="83">
        <f>R79+R101+R124+R146+R164+R180+R193+R273+R289+R310+R340+R382+R399+R420+R500+R606+R623+R649+R697+R721+R735+R767</f>
        <v>0</v>
      </c>
      <c r="S25" s="83">
        <f>S79+S101+S124+S146+S164+S180+S193+S273+S289+S310+S340+S382+S399+S420+S500+S606+S623+S649+S697+S721+S735+S767</f>
        <v>0</v>
      </c>
      <c r="T25" s="83">
        <f>IF(Q25&gt;0,S25*100/Q25,0)</f>
        <v>0</v>
      </c>
      <c r="U25" s="83">
        <f>IF(R25&gt;0,S25*100/R25,0)</f>
        <v>0</v>
      </c>
    </row>
    <row r="26" spans="1:21" ht="15.75" customHeight="1" x14ac:dyDescent="0.25">
      <c r="A26" s="39"/>
      <c r="B26" s="40"/>
      <c r="C26" s="40"/>
      <c r="D26" s="40"/>
      <c r="E26" s="47" t="s">
        <v>21</v>
      </c>
      <c r="F26" s="40"/>
      <c r="G26" s="42"/>
      <c r="H26" s="43" t="s">
        <v>14</v>
      </c>
      <c r="I26" s="44"/>
      <c r="J26" s="44"/>
      <c r="K26" s="45"/>
      <c r="L26" s="1356">
        <f ca="1">L52+L67+L80+L102+L133+L147+L165+L194+L181+L274+L290+L311+L328+L341+L364+L521</f>
        <v>207400</v>
      </c>
      <c r="M26" s="224">
        <f ca="1">M52+M67+M80+M102+M133+M147+M165+M194+M181+M274+M290+M311+M328+M341+M364+M521</f>
        <v>207400</v>
      </c>
      <c r="N26" s="224">
        <f ca="1">N52+N67+N80+N102+N133+N147+N165+N194+N181+N274+N290+N311+N328+N341+N364+N521</f>
        <v>0</v>
      </c>
      <c r="O26" s="224">
        <f ca="1">IF(L26&gt;0,N26*100/L26,0)</f>
        <v>0</v>
      </c>
      <c r="P26" s="224">
        <f ca="1">IF(M26&gt;0,N26*100/M26,0)</f>
        <v>0</v>
      </c>
      <c r="Q26" s="83">
        <f ca="1">Q80+Q102+Q125+Q147+Q165+Q181+Q194+Q274+Q290+Q311+Q341+Q383+Q400+Q421+Q501+Q607+Q624+Q650+Q698+Q722+Q736+Q768</f>
        <v>0</v>
      </c>
      <c r="R26" s="83">
        <f ca="1">R80+R102+R125+R147+R165+R181+R194+R274+R290+R311+R341+R383+R400+R421+R501+R607+R624+R650+R698+R722+R736+R768</f>
        <v>0</v>
      </c>
      <c r="S26" s="83">
        <f ca="1">S80+S102+S125+S147+S165+S181+S194+S274+S290+S311+S341+S383+S400+S421+S501+S607+S624+S650+S698+S722+S736+S768</f>
        <v>0</v>
      </c>
      <c r="T26" s="224">
        <f ca="1">IF(Q26&gt;0,S26*100/Q26,0)</f>
        <v>0</v>
      </c>
      <c r="U26" s="224">
        <f ca="1">IF(R26&gt;0,S26*100/R26,0)</f>
        <v>0</v>
      </c>
    </row>
    <row r="27" spans="1:21" ht="15.75" customHeight="1" x14ac:dyDescent="0.25">
      <c r="A27" s="39"/>
      <c r="B27" s="40"/>
      <c r="C27" s="40"/>
      <c r="D27" s="41" t="s">
        <v>24</v>
      </c>
      <c r="E27" s="40"/>
      <c r="F27" s="40"/>
      <c r="G27" s="42"/>
      <c r="H27" s="43" t="s">
        <v>14</v>
      </c>
      <c r="I27" s="44"/>
      <c r="J27" s="44"/>
      <c r="K27" s="45"/>
      <c r="L27" s="1359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5.75" customHeight="1" x14ac:dyDescent="0.25">
      <c r="A28" s="39"/>
      <c r="B28" s="40"/>
      <c r="C28" s="40"/>
      <c r="D28" s="40"/>
      <c r="E28" s="156" t="s">
        <v>20</v>
      </c>
      <c r="F28" s="40"/>
      <c r="G28" s="42"/>
      <c r="H28" s="1357" t="s">
        <v>14</v>
      </c>
      <c r="I28" s="44"/>
      <c r="J28" s="44"/>
      <c r="K28" s="45"/>
      <c r="L28" s="1359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15.75" customHeight="1" x14ac:dyDescent="0.25">
      <c r="A29" s="50"/>
      <c r="B29" s="1"/>
      <c r="C29" s="1"/>
      <c r="D29" s="1"/>
      <c r="E29" s="51" t="s">
        <v>21</v>
      </c>
      <c r="F29" s="1"/>
      <c r="G29" s="52"/>
      <c r="H29" s="53" t="s">
        <v>14</v>
      </c>
      <c r="I29" s="54"/>
      <c r="J29" s="54"/>
      <c r="K29" s="3"/>
      <c r="L29" s="1360"/>
      <c r="M29" s="3"/>
      <c r="N29" s="3"/>
      <c r="O29" s="3"/>
      <c r="P29" s="3"/>
      <c r="Q29" s="3"/>
      <c r="R29" s="3"/>
      <c r="S29" s="3"/>
      <c r="T29" s="3"/>
      <c r="U29" s="3"/>
    </row>
    <row r="30" spans="1:21" ht="12.75" x14ac:dyDescent="0.2">
      <c r="A30" s="1344"/>
      <c r="B30" s="1292"/>
      <c r="C30" s="1292"/>
      <c r="D30" s="1292"/>
      <c r="E30" s="1292"/>
      <c r="F30" s="1292"/>
      <c r="G30" s="1293"/>
      <c r="H30" s="14"/>
      <c r="I30" s="15"/>
      <c r="J30" s="15"/>
      <c r="K30" s="16"/>
      <c r="L30" s="1345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2.75" x14ac:dyDescent="0.2">
      <c r="A31" s="17"/>
      <c r="B31" s="18"/>
      <c r="C31" s="18"/>
      <c r="D31" s="18"/>
      <c r="E31" s="18"/>
      <c r="F31" s="18"/>
      <c r="G31" s="19"/>
      <c r="H31" s="19"/>
      <c r="I31" s="20"/>
      <c r="J31" s="20"/>
      <c r="K31" s="21"/>
      <c r="L31" s="1346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2.75" x14ac:dyDescent="0.2">
      <c r="A32" s="17"/>
      <c r="B32" s="18"/>
      <c r="C32" s="18"/>
      <c r="D32" s="18"/>
      <c r="E32" s="18"/>
      <c r="F32" s="18"/>
      <c r="G32" s="19"/>
      <c r="H32" s="19"/>
      <c r="I32" s="20"/>
      <c r="J32" s="20"/>
      <c r="K32" s="21"/>
      <c r="L32" s="1346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2.75" x14ac:dyDescent="0.2">
      <c r="A33" s="17"/>
      <c r="B33" s="18"/>
      <c r="C33" s="18"/>
      <c r="D33" s="18"/>
      <c r="E33" s="18"/>
      <c r="F33" s="18"/>
      <c r="G33" s="19"/>
      <c r="H33" s="19"/>
      <c r="I33" s="20"/>
      <c r="J33" s="20"/>
      <c r="K33" s="21"/>
      <c r="L33" s="1346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2.75" x14ac:dyDescent="0.2">
      <c r="A34" s="17"/>
      <c r="B34" s="18"/>
      <c r="C34" s="18"/>
      <c r="D34" s="18"/>
      <c r="E34" s="18"/>
      <c r="F34" s="18"/>
      <c r="G34" s="19"/>
      <c r="H34" s="19"/>
      <c r="I34" s="20"/>
      <c r="J34" s="20"/>
      <c r="K34" s="21"/>
      <c r="L34" s="1346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2.75" x14ac:dyDescent="0.2">
      <c r="A35" s="17"/>
      <c r="B35" s="18"/>
      <c r="C35" s="18"/>
      <c r="D35" s="18"/>
      <c r="E35" s="18"/>
      <c r="F35" s="18"/>
      <c r="G35" s="19"/>
      <c r="H35" s="19"/>
      <c r="I35" s="20"/>
      <c r="J35" s="20"/>
      <c r="K35" s="21"/>
      <c r="L35" s="1346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2.75" x14ac:dyDescent="0.2">
      <c r="A36" s="17"/>
      <c r="B36" s="18"/>
      <c r="C36" s="18"/>
      <c r="D36" s="18"/>
      <c r="E36" s="18"/>
      <c r="F36" s="18"/>
      <c r="G36" s="19"/>
      <c r="H36" s="19"/>
      <c r="I36" s="20"/>
      <c r="J36" s="20"/>
      <c r="K36" s="21"/>
      <c r="L36" s="1346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2.75" x14ac:dyDescent="0.2">
      <c r="A37" s="17"/>
      <c r="B37" s="18"/>
      <c r="C37" s="18"/>
      <c r="D37" s="18"/>
      <c r="E37" s="18"/>
      <c r="F37" s="18"/>
      <c r="G37" s="19"/>
      <c r="H37" s="19"/>
      <c r="I37" s="20"/>
      <c r="J37" s="20"/>
      <c r="K37" s="21"/>
      <c r="L37" s="1346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2.75" x14ac:dyDescent="0.2">
      <c r="A38" s="17"/>
      <c r="B38" s="18"/>
      <c r="C38" s="18"/>
      <c r="D38" s="18"/>
      <c r="E38" s="18"/>
      <c r="F38" s="18"/>
      <c r="G38" s="19"/>
      <c r="H38" s="19"/>
      <c r="I38" s="20"/>
      <c r="J38" s="20"/>
      <c r="K38" s="21"/>
      <c r="L38" s="1346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2.75" x14ac:dyDescent="0.2">
      <c r="A39" s="13"/>
      <c r="B39" s="22"/>
      <c r="C39" s="22"/>
      <c r="D39" s="22"/>
      <c r="E39" s="22"/>
      <c r="F39" s="22"/>
      <c r="G39" s="14"/>
      <c r="H39" s="14"/>
      <c r="I39" s="15"/>
      <c r="J39" s="15"/>
      <c r="K39" s="16"/>
      <c r="L39" s="1345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9.5" x14ac:dyDescent="0.3">
      <c r="A40" s="55" t="s">
        <v>25</v>
      </c>
      <c r="B40" s="56"/>
      <c r="C40" s="56"/>
      <c r="D40" s="56"/>
      <c r="E40" s="56"/>
      <c r="F40" s="56"/>
      <c r="G40" s="57"/>
      <c r="H40" s="57"/>
      <c r="I40" s="58"/>
      <c r="J40" s="58"/>
      <c r="K40" s="59"/>
      <c r="L40" s="1361">
        <f ca="1">L44+L59+L72+L94+L125+L139+L157+L173+L186+L266+L282+L303+L320+L333+L356</f>
        <v>2849060</v>
      </c>
      <c r="M40" s="1362">
        <f ca="1">M44+M59+M72+M94+M125+M139+M157+M173+M186+M266+M282+M303+M320+M333+M356</f>
        <v>2901815</v>
      </c>
      <c r="N40" s="1362">
        <f ca="1">N44+N59+N72+N94+N125+N139+N157+N173+N186+N266+N282+N303+N320+N333+N356</f>
        <v>1857784.6800000002</v>
      </c>
      <c r="O40" s="1362">
        <f ca="1">IF(L40&gt;0,N40*100/L40,0)</f>
        <v>65.206934216899626</v>
      </c>
      <c r="P40" s="1362">
        <f ca="1">IF(M40&gt;0,N40*100/M40,0)</f>
        <v>64.021472078681796</v>
      </c>
      <c r="Q40" s="59"/>
      <c r="R40" s="59"/>
      <c r="S40" s="59"/>
      <c r="T40" s="59"/>
      <c r="U40" s="59"/>
    </row>
    <row r="41" spans="1:21" ht="19.5" x14ac:dyDescent="0.3">
      <c r="A41" s="60" t="s">
        <v>26</v>
      </c>
      <c r="B41" s="61"/>
      <c r="C41" s="61"/>
      <c r="D41" s="61"/>
      <c r="E41" s="61"/>
      <c r="F41" s="61"/>
      <c r="G41" s="61"/>
      <c r="H41" s="61"/>
      <c r="I41" s="62"/>
      <c r="J41" s="62"/>
      <c r="K41" s="63"/>
      <c r="L41" s="63"/>
      <c r="M41" s="63"/>
      <c r="N41" s="63"/>
      <c r="O41" s="63"/>
      <c r="P41" s="64"/>
      <c r="Q41" s="63"/>
      <c r="R41" s="63"/>
      <c r="S41" s="63"/>
      <c r="T41" s="63"/>
      <c r="U41" s="64"/>
    </row>
    <row r="42" spans="1:21" ht="19.5" x14ac:dyDescent="0.3">
      <c r="A42" s="65"/>
      <c r="B42" s="66" t="s">
        <v>27</v>
      </c>
      <c r="C42" s="65"/>
      <c r="D42" s="65"/>
      <c r="E42" s="65"/>
      <c r="F42" s="65"/>
      <c r="G42" s="67"/>
      <c r="H42" s="67"/>
      <c r="I42" s="68"/>
      <c r="J42" s="68"/>
      <c r="K42" s="69"/>
      <c r="L42" s="1363"/>
      <c r="M42" s="69"/>
      <c r="N42" s="69"/>
      <c r="O42" s="69"/>
      <c r="P42" s="69"/>
      <c r="Q42" s="69"/>
      <c r="R42" s="69"/>
      <c r="S42" s="69"/>
      <c r="T42" s="69"/>
      <c r="U42" s="69"/>
    </row>
    <row r="43" spans="1:21" ht="12.75" x14ac:dyDescent="0.2">
      <c r="A43" s="17"/>
      <c r="B43" s="18"/>
      <c r="C43" s="18"/>
      <c r="D43" s="18"/>
      <c r="E43" s="18"/>
      <c r="F43" s="18"/>
      <c r="G43" s="19"/>
      <c r="H43" s="19"/>
      <c r="I43" s="20"/>
      <c r="J43" s="20"/>
      <c r="K43" s="21"/>
      <c r="L43" s="1346"/>
      <c r="M43" s="21"/>
      <c r="N43" s="21"/>
      <c r="O43" s="21"/>
      <c r="P43" s="21"/>
      <c r="Q43" s="21"/>
      <c r="R43" s="21"/>
      <c r="S43" s="21"/>
      <c r="T43" s="21"/>
      <c r="U43" s="21"/>
    </row>
    <row r="44" spans="1:21" ht="19.5" x14ac:dyDescent="0.3">
      <c r="A44" s="70"/>
      <c r="B44" s="71"/>
      <c r="C44" s="72" t="s">
        <v>18</v>
      </c>
      <c r="D44" s="1364" t="s">
        <v>19</v>
      </c>
      <c r="E44" s="71"/>
      <c r="F44" s="71"/>
      <c r="G44" s="74"/>
      <c r="H44" s="75" t="s">
        <v>14</v>
      </c>
      <c r="I44" s="76"/>
      <c r="J44" s="76"/>
      <c r="K44" s="77"/>
      <c r="L44" s="1365">
        <f ca="1">L45+L46</f>
        <v>541400</v>
      </c>
      <c r="M44" s="1366">
        <f ca="1">M45+M46</f>
        <v>580460</v>
      </c>
      <c r="N44" s="1366">
        <f ca="1">N45+N46</f>
        <v>404489</v>
      </c>
      <c r="O44" s="1366">
        <f ca="1">IF(L44&gt;0,N44*100/L44,0)</f>
        <v>74.711673439231618</v>
      </c>
      <c r="P44" s="1366">
        <f ca="1">IF(M44&gt;0,N44*100/M44,0)</f>
        <v>69.684215966647145</v>
      </c>
      <c r="Q44" s="1366">
        <f>Q45+Q46</f>
        <v>0</v>
      </c>
      <c r="R44" s="1366">
        <f>R45+R46</f>
        <v>0</v>
      </c>
      <c r="S44" s="1366">
        <f>S45+S46</f>
        <v>0</v>
      </c>
      <c r="T44" s="1366">
        <f>IF(Q44&gt;0,S44*100/Q44,0)</f>
        <v>0</v>
      </c>
      <c r="U44" s="1366">
        <f>IF(R44&gt;0,S44*100/R44,0)</f>
        <v>0</v>
      </c>
    </row>
    <row r="45" spans="1:21" ht="18.75" x14ac:dyDescent="0.25">
      <c r="A45" s="70"/>
      <c r="B45" s="71"/>
      <c r="C45" s="71"/>
      <c r="D45" s="71"/>
      <c r="E45" s="1367" t="s">
        <v>20</v>
      </c>
      <c r="F45" s="71"/>
      <c r="G45" s="74"/>
      <c r="H45" s="1368" t="s">
        <v>14</v>
      </c>
      <c r="I45" s="76"/>
      <c r="J45" s="76"/>
      <c r="K45" s="77"/>
      <c r="L45" s="1369">
        <f>L48+L51</f>
        <v>0</v>
      </c>
      <c r="M45" s="1370">
        <f>M48+M51</f>
        <v>0</v>
      </c>
      <c r="N45" s="1370">
        <f>N48+N51</f>
        <v>0</v>
      </c>
      <c r="O45" s="1370">
        <f>IF(L45&gt;0,N45*100/L45,0)</f>
        <v>0</v>
      </c>
      <c r="P45" s="1370">
        <f>IF(M45&gt;0,N45*100/M45,0)</f>
        <v>0</v>
      </c>
      <c r="Q45" s="1370">
        <f>Q48+Q51</f>
        <v>0</v>
      </c>
      <c r="R45" s="1370">
        <f>R48+R51</f>
        <v>0</v>
      </c>
      <c r="S45" s="1370">
        <f>S48+S51</f>
        <v>0</v>
      </c>
      <c r="T45" s="1370">
        <f>IF(Q45&gt;0,S45*100/Q45,0)</f>
        <v>0</v>
      </c>
      <c r="U45" s="1370">
        <f>IF(R45&gt;0,S45*100/R45,0)</f>
        <v>0</v>
      </c>
    </row>
    <row r="46" spans="1:21" ht="18.75" x14ac:dyDescent="0.25">
      <c r="A46" s="70"/>
      <c r="B46" s="71"/>
      <c r="C46" s="71"/>
      <c r="D46" s="71"/>
      <c r="E46" s="79" t="s">
        <v>21</v>
      </c>
      <c r="F46" s="71"/>
      <c r="G46" s="74"/>
      <c r="H46" s="80" t="s">
        <v>14</v>
      </c>
      <c r="I46" s="76"/>
      <c r="J46" s="76"/>
      <c r="K46" s="77"/>
      <c r="L46" s="1371">
        <f ca="1">L49+L52</f>
        <v>541400</v>
      </c>
      <c r="M46" s="1372">
        <f ca="1">M49+M52</f>
        <v>580460</v>
      </c>
      <c r="N46" s="1372">
        <f ca="1">N49+N52</f>
        <v>404489</v>
      </c>
      <c r="O46" s="1372">
        <f ca="1">IF(L46&gt;0,N46*100/L46,0)</f>
        <v>74.711673439231618</v>
      </c>
      <c r="P46" s="1372">
        <f ca="1">IF(M46&gt;0,N46*100/M46,0)</f>
        <v>69.684215966647145</v>
      </c>
      <c r="Q46" s="1372">
        <f>Q49+Q52</f>
        <v>0</v>
      </c>
      <c r="R46" s="1372">
        <f>R49+R52</f>
        <v>0</v>
      </c>
      <c r="S46" s="1372">
        <f>S49+S52</f>
        <v>0</v>
      </c>
      <c r="T46" s="1372">
        <f>IF(Q46&gt;0,S46*100/Q46,0)</f>
        <v>0</v>
      </c>
      <c r="U46" s="1372">
        <f>IF(R46&gt;0,S46*100/R46,0)</f>
        <v>0</v>
      </c>
    </row>
    <row r="47" spans="1:21" ht="18.75" x14ac:dyDescent="0.25">
      <c r="A47" s="39"/>
      <c r="B47" s="40"/>
      <c r="C47" s="40"/>
      <c r="D47" s="41" t="s">
        <v>22</v>
      </c>
      <c r="E47" s="40"/>
      <c r="F47" s="40"/>
      <c r="G47" s="42"/>
      <c r="H47" s="43" t="s">
        <v>14</v>
      </c>
      <c r="I47" s="44"/>
      <c r="J47" s="44"/>
      <c r="K47" s="45"/>
      <c r="L47" s="1356">
        <f ca="1">L48+L49</f>
        <v>541400</v>
      </c>
      <c r="M47" s="224">
        <f ca="1">M48+M49</f>
        <v>580460</v>
      </c>
      <c r="N47" s="224">
        <f ca="1">N48+N49</f>
        <v>404489</v>
      </c>
      <c r="O47" s="224">
        <f ca="1">IF(L47&gt;0,N47*100/L47,0)</f>
        <v>74.711673439231618</v>
      </c>
      <c r="P47" s="224">
        <f ca="1">IF(M47&gt;0,N47*100/M47,0)</f>
        <v>69.684215966647145</v>
      </c>
      <c r="Q47" s="224">
        <f>Q48+Q49</f>
        <v>0</v>
      </c>
      <c r="R47" s="224">
        <f>R48+R49</f>
        <v>0</v>
      </c>
      <c r="S47" s="224">
        <f>S48+S49</f>
        <v>0</v>
      </c>
      <c r="T47" s="224">
        <f>IF(Q47&gt;0,S47*100/Q47,0)</f>
        <v>0</v>
      </c>
      <c r="U47" s="224">
        <f>IF(R47&gt;0,S47*100/R47,0)</f>
        <v>0</v>
      </c>
    </row>
    <row r="48" spans="1:21" ht="18.75" x14ac:dyDescent="0.25">
      <c r="A48" s="39"/>
      <c r="B48" s="40"/>
      <c r="C48" s="40"/>
      <c r="D48" s="40"/>
      <c r="E48" s="156" t="s">
        <v>20</v>
      </c>
      <c r="F48" s="40"/>
      <c r="G48" s="42"/>
      <c r="H48" s="1357" t="s">
        <v>14</v>
      </c>
      <c r="I48" s="44"/>
      <c r="J48" s="44"/>
      <c r="K48" s="45"/>
      <c r="L48" s="1358">
        <v>0</v>
      </c>
      <c r="M48" s="83">
        <v>0</v>
      </c>
      <c r="N48" s="83">
        <v>0</v>
      </c>
      <c r="O48" s="83">
        <f>IF(L48&gt;0,N48*100/L48,0)</f>
        <v>0</v>
      </c>
      <c r="P48" s="83">
        <f>IF(M48&gt;0,N48*100/M48,0)</f>
        <v>0</v>
      </c>
      <c r="Q48" s="83">
        <v>0</v>
      </c>
      <c r="R48" s="83">
        <v>0</v>
      </c>
      <c r="S48" s="83">
        <v>0</v>
      </c>
      <c r="T48" s="83">
        <f>IF(Q48&gt;0,S48*100/Q48,0)</f>
        <v>0</v>
      </c>
      <c r="U48" s="83">
        <f>IF(R48&gt;0,S48*100/R48,0)</f>
        <v>0</v>
      </c>
    </row>
    <row r="49" spans="1:21" ht="18.75" x14ac:dyDescent="0.25">
      <c r="A49" s="39"/>
      <c r="B49" s="40"/>
      <c r="C49" s="40"/>
      <c r="D49" s="40"/>
      <c r="E49" s="47" t="s">
        <v>21</v>
      </c>
      <c r="F49" s="40"/>
      <c r="G49" s="42"/>
      <c r="H49" s="43" t="s">
        <v>14</v>
      </c>
      <c r="I49" s="44"/>
      <c r="J49" s="44"/>
      <c r="K49" s="45"/>
      <c r="L49" s="1356">
        <f ca="1">IFERROR(__xludf.DUMMYFUNCTION("IMPORTRANGE(""https://docs.google.com/spreadsheets/d/1-uDff_7J0KD5mKrp0Vvzr7lt3OU09vwQwhkpOPPYv2Y/edit?usp=sharing"",""งบพรบ!P26"")"),541400)</f>
        <v>541400</v>
      </c>
      <c r="M49" s="224">
        <f ca="1">IFERROR(__xludf.DUMMYFUNCTION("IMPORTRANGE(""https://docs.google.com/spreadsheets/d/1-uDff_7J0KD5mKrp0Vvzr7lt3OU09vwQwhkpOPPYv2Y/edit?usp=sharing"",""งบพรบ!V26"")"),580460)</f>
        <v>580460</v>
      </c>
      <c r="N49" s="224">
        <f ca="1">IFERROR(__xludf.DUMMYFUNCTION("IMPORTRANGE(""https://docs.google.com/spreadsheets/d/1-uDff_7J0KD5mKrp0Vvzr7lt3OU09vwQwhkpOPPYv2Y/edit?usp=sharing"",""งบพรบ!Y26"")"),404489)</f>
        <v>404489</v>
      </c>
      <c r="O49" s="224">
        <f ca="1">IF(L49&gt;0,N49*100/L49,0)</f>
        <v>74.711673439231618</v>
      </c>
      <c r="P49" s="224">
        <f ca="1">IF(M49&gt;0,N49*100/M49,0)</f>
        <v>69.684215966647145</v>
      </c>
      <c r="Q49" s="224">
        <v>0</v>
      </c>
      <c r="R49" s="224">
        <v>0</v>
      </c>
      <c r="S49" s="224">
        <v>0</v>
      </c>
      <c r="T49" s="224">
        <f>IF(Q49&gt;0,S49*100/Q49,0)</f>
        <v>0</v>
      </c>
      <c r="U49" s="224">
        <f>IF(R49&gt;0,S49*100/R49,0)</f>
        <v>0</v>
      </c>
    </row>
    <row r="50" spans="1:21" ht="18.75" x14ac:dyDescent="0.25">
      <c r="A50" s="39"/>
      <c r="B50" s="40"/>
      <c r="C50" s="40"/>
      <c r="D50" s="41" t="s">
        <v>23</v>
      </c>
      <c r="E50" s="40"/>
      <c r="F50" s="40"/>
      <c r="G50" s="42"/>
      <c r="H50" s="43" t="s">
        <v>14</v>
      </c>
      <c r="I50" s="44"/>
      <c r="J50" s="44"/>
      <c r="K50" s="45"/>
      <c r="L50" s="1356">
        <f ca="1">L51+L52</f>
        <v>0</v>
      </c>
      <c r="M50" s="224">
        <f ca="1">M51+M52</f>
        <v>0</v>
      </c>
      <c r="N50" s="224">
        <f ca="1">N51+N52</f>
        <v>0</v>
      </c>
      <c r="O50" s="224">
        <f ca="1">IF(L50&gt;0,N50*100/L50,0)</f>
        <v>0</v>
      </c>
      <c r="P50" s="224">
        <f ca="1">IF(M50&gt;0,N50*100/M50,0)</f>
        <v>0</v>
      </c>
      <c r="Q50" s="224">
        <f>Q51+Q52</f>
        <v>0</v>
      </c>
      <c r="R50" s="224">
        <f>R51+R52</f>
        <v>0</v>
      </c>
      <c r="S50" s="224">
        <f>S51+S52</f>
        <v>0</v>
      </c>
      <c r="T50" s="224">
        <f>IF(Q50&gt;0,S50*100/Q50,0)</f>
        <v>0</v>
      </c>
      <c r="U50" s="224">
        <f>IF(R50&gt;0,S50*100/R50,0)</f>
        <v>0</v>
      </c>
    </row>
    <row r="51" spans="1:21" ht="18.75" x14ac:dyDescent="0.25">
      <c r="A51" s="39"/>
      <c r="B51" s="40"/>
      <c r="C51" s="40"/>
      <c r="D51" s="40"/>
      <c r="E51" s="156" t="s">
        <v>20</v>
      </c>
      <c r="F51" s="40"/>
      <c r="G51" s="42"/>
      <c r="H51" s="1357" t="s">
        <v>14</v>
      </c>
      <c r="I51" s="44"/>
      <c r="J51" s="44"/>
      <c r="K51" s="45"/>
      <c r="L51" s="1358">
        <v>0</v>
      </c>
      <c r="M51" s="83">
        <v>0</v>
      </c>
      <c r="N51" s="83">
        <v>0</v>
      </c>
      <c r="O51" s="83">
        <f>IF(L51&gt;0,N51*100/L51,0)</f>
        <v>0</v>
      </c>
      <c r="P51" s="83">
        <f>IF(M51&gt;0,N51*100/M51,0)</f>
        <v>0</v>
      </c>
      <c r="Q51" s="83">
        <v>0</v>
      </c>
      <c r="R51" s="83">
        <v>0</v>
      </c>
      <c r="S51" s="83">
        <v>0</v>
      </c>
      <c r="T51" s="83">
        <f>IF(Q51&gt;0,S51*100/Q51,0)</f>
        <v>0</v>
      </c>
      <c r="U51" s="83">
        <f>IF(R51&gt;0,S51*100/R51,0)</f>
        <v>0</v>
      </c>
    </row>
    <row r="52" spans="1:21" ht="18.75" x14ac:dyDescent="0.25">
      <c r="A52" s="39"/>
      <c r="B52" s="40"/>
      <c r="C52" s="40"/>
      <c r="D52" s="40"/>
      <c r="E52" s="47" t="s">
        <v>21</v>
      </c>
      <c r="F52" s="40"/>
      <c r="G52" s="42"/>
      <c r="H52" s="43" t="s">
        <v>14</v>
      </c>
      <c r="I52" s="44"/>
      <c r="J52" s="44"/>
      <c r="K52" s="45"/>
      <c r="L52" s="1356">
        <f ca="1">IFERROR(__xludf.DUMMYFUNCTION("IMPORTRANGE(""https://docs.google.com/spreadsheets/d/1-uDff_7J0KD5mKrp0Vvzr7lt3OU09vwQwhkpOPPYv2Y/edit?usp=sharing"",""งบพรบ!S26"")"),0)</f>
        <v>0</v>
      </c>
      <c r="M52" s="224">
        <f ca="1">IFERROR(__xludf.DUMMYFUNCTION("IMPORTRANGE(""https://docs.google.com/spreadsheets/d/1-uDff_7J0KD5mKrp0Vvzr7lt3OU09vwQwhkpOPPYv2Y/edit?usp=sharing"",""งบพรบ!W26"")"),0)</f>
        <v>0</v>
      </c>
      <c r="N52" s="224">
        <f ca="1">IFERROR(__xludf.DUMMYFUNCTION("IMPORTRANGE(""https://docs.google.com/spreadsheets/d/1-uDff_7J0KD5mKrp0Vvzr7lt3OU09vwQwhkpOPPYv2Y/edit?usp=sharing"",""งบพรบ!Z26"")"),0)</f>
        <v>0</v>
      </c>
      <c r="O52" s="224">
        <f ca="1">IF(L52&gt;0,N52*100/L52,0)</f>
        <v>0</v>
      </c>
      <c r="P52" s="224">
        <f ca="1">IF(M52&gt;0,N52*100/M52,0)</f>
        <v>0</v>
      </c>
      <c r="Q52" s="224">
        <v>0</v>
      </c>
      <c r="R52" s="224">
        <v>0</v>
      </c>
      <c r="S52" s="224">
        <v>0</v>
      </c>
      <c r="T52" s="224">
        <f>IF(Q52&gt;0,S52*100/Q52,0)</f>
        <v>0</v>
      </c>
      <c r="U52" s="224">
        <f>IF(R52&gt;0,S52*100/R52,0)</f>
        <v>0</v>
      </c>
    </row>
    <row r="53" spans="1:21" ht="18.75" x14ac:dyDescent="0.25">
      <c r="A53" s="39"/>
      <c r="B53" s="40"/>
      <c r="C53" s="40"/>
      <c r="D53" s="41" t="s">
        <v>24</v>
      </c>
      <c r="E53" s="40"/>
      <c r="F53" s="40"/>
      <c r="G53" s="42"/>
      <c r="H53" s="43" t="s">
        <v>14</v>
      </c>
      <c r="I53" s="44"/>
      <c r="J53" s="44"/>
      <c r="K53" s="45"/>
      <c r="L53" s="1359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18.75" x14ac:dyDescent="0.25">
      <c r="A54" s="39"/>
      <c r="B54" s="40"/>
      <c r="C54" s="40"/>
      <c r="D54" s="40"/>
      <c r="E54" s="156" t="s">
        <v>20</v>
      </c>
      <c r="F54" s="40"/>
      <c r="G54" s="42"/>
      <c r="H54" s="1357" t="s">
        <v>14</v>
      </c>
      <c r="I54" s="44"/>
      <c r="J54" s="44"/>
      <c r="K54" s="45"/>
      <c r="L54" s="1359"/>
      <c r="M54" s="45"/>
      <c r="N54" s="45"/>
      <c r="O54" s="45"/>
      <c r="P54" s="45"/>
      <c r="Q54" s="45"/>
      <c r="R54" s="45"/>
      <c r="S54" s="45"/>
      <c r="T54" s="45"/>
      <c r="U54" s="45"/>
    </row>
    <row r="55" spans="1:21" ht="18.75" x14ac:dyDescent="0.25">
      <c r="A55" s="50"/>
      <c r="B55" s="1"/>
      <c r="C55" s="1"/>
      <c r="D55" s="1"/>
      <c r="E55" s="51" t="s">
        <v>21</v>
      </c>
      <c r="F55" s="1"/>
      <c r="G55" s="52"/>
      <c r="H55" s="53" t="s">
        <v>14</v>
      </c>
      <c r="I55" s="54"/>
      <c r="J55" s="54"/>
      <c r="K55" s="3"/>
      <c r="L55" s="1360"/>
      <c r="M55" s="3"/>
      <c r="N55" s="3"/>
      <c r="O55" s="3"/>
      <c r="P55" s="3"/>
      <c r="Q55" s="3"/>
      <c r="R55" s="3"/>
      <c r="S55" s="3"/>
      <c r="T55" s="3"/>
      <c r="U55" s="3"/>
    </row>
    <row r="56" spans="1:21" ht="19.5" x14ac:dyDescent="0.3">
      <c r="A56" s="1296" t="s">
        <v>28</v>
      </c>
      <c r="B56" s="1292"/>
      <c r="C56" s="1292"/>
      <c r="D56" s="1292"/>
      <c r="E56" s="1292"/>
      <c r="F56" s="1292"/>
      <c r="G56" s="1293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1297" t="s">
        <v>29</v>
      </c>
      <c r="C57" s="1285"/>
      <c r="D57" s="1285"/>
      <c r="E57" s="1285"/>
      <c r="F57" s="1285"/>
      <c r="G57" s="1286"/>
      <c r="H57" s="89"/>
      <c r="I57" s="90"/>
      <c r="J57" s="90"/>
      <c r="K57" s="91"/>
      <c r="L57" s="137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1374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1375" t="s">
        <v>19</v>
      </c>
      <c r="E59" s="99"/>
      <c r="F59" s="99"/>
      <c r="G59" s="102"/>
      <c r="H59" s="103" t="s">
        <v>14</v>
      </c>
      <c r="I59" s="104"/>
      <c r="J59" s="104"/>
      <c r="K59" s="105"/>
      <c r="L59" s="1376">
        <f ca="1">L60+L61</f>
        <v>863000</v>
      </c>
      <c r="M59" s="1377">
        <f ca="1">M60+M61</f>
        <v>863000</v>
      </c>
      <c r="N59" s="1377">
        <f ca="1">N60+N61</f>
        <v>472348.51</v>
      </c>
      <c r="O59" s="1377">
        <f ca="1">IF(L59&gt;0,N59*100/L59,0)</f>
        <v>54.733315179606024</v>
      </c>
      <c r="P59" s="1377">
        <f ca="1">IF(M59&gt;0,N59*100/M59,0)</f>
        <v>54.733315179606024</v>
      </c>
      <c r="Q59" s="1377">
        <f>Q60+Q61</f>
        <v>0</v>
      </c>
      <c r="R59" s="1377">
        <f>R60+R61</f>
        <v>0</v>
      </c>
      <c r="S59" s="1377">
        <f>S60+S61</f>
        <v>0</v>
      </c>
      <c r="T59" s="1377">
        <f>IF(Q59&gt;0,S59*100/Q59,0)</f>
        <v>0</v>
      </c>
      <c r="U59" s="1377">
        <f>IF(R59&gt;0,S59*100/R59,0)</f>
        <v>0</v>
      </c>
    </row>
    <row r="60" spans="1:21" ht="18.75" x14ac:dyDescent="0.25">
      <c r="A60" s="98"/>
      <c r="B60" s="99"/>
      <c r="C60" s="99"/>
      <c r="D60" s="99"/>
      <c r="E60" s="1378" t="s">
        <v>20</v>
      </c>
      <c r="F60" s="99"/>
      <c r="G60" s="102"/>
      <c r="H60" s="1379" t="s">
        <v>14</v>
      </c>
      <c r="I60" s="104"/>
      <c r="J60" s="104"/>
      <c r="K60" s="105"/>
      <c r="L60" s="1380">
        <f>L63+L66</f>
        <v>0</v>
      </c>
      <c r="M60" s="1381">
        <f>M63+M66</f>
        <v>0</v>
      </c>
      <c r="N60" s="1381">
        <f>N63+N66</f>
        <v>0</v>
      </c>
      <c r="O60" s="1381">
        <f>IF(L60&gt;0,N60*100/L60,0)</f>
        <v>0</v>
      </c>
      <c r="P60" s="1381">
        <f>IF(M60&gt;0,N60*100/M60,0)</f>
        <v>0</v>
      </c>
      <c r="Q60" s="1381">
        <f>Q63+Q66</f>
        <v>0</v>
      </c>
      <c r="R60" s="1381">
        <f>R63+R66</f>
        <v>0</v>
      </c>
      <c r="S60" s="1381">
        <f>S63+S66</f>
        <v>0</v>
      </c>
      <c r="T60" s="1381">
        <f>IF(Q60&gt;0,S60*100/Q60,0)</f>
        <v>0</v>
      </c>
      <c r="U60" s="1381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1382">
        <f ca="1">L64+L67</f>
        <v>863000</v>
      </c>
      <c r="M61" s="1383">
        <f ca="1">M64+M67</f>
        <v>863000</v>
      </c>
      <c r="N61" s="1383">
        <f ca="1">N64+N67</f>
        <v>472348.51</v>
      </c>
      <c r="O61" s="1383">
        <f ca="1">IF(L61&gt;0,N61*100/L61,0)</f>
        <v>54.733315179606024</v>
      </c>
      <c r="P61" s="1383">
        <f ca="1">IF(M61&gt;0,N61*100/M61,0)</f>
        <v>54.733315179606024</v>
      </c>
      <c r="Q61" s="1383">
        <f>Q64+Q67</f>
        <v>0</v>
      </c>
      <c r="R61" s="1383">
        <f>R64+R67</f>
        <v>0</v>
      </c>
      <c r="S61" s="1383">
        <f>S64+S67</f>
        <v>0</v>
      </c>
      <c r="T61" s="1383">
        <f>IF(Q61&gt;0,S61*100/Q61,0)</f>
        <v>0</v>
      </c>
      <c r="U61" s="1383">
        <f>IF(R61&gt;0,S61*100/R61,0)</f>
        <v>0</v>
      </c>
    </row>
    <row r="62" spans="1:21" ht="18.75" x14ac:dyDescent="0.25">
      <c r="A62" s="39"/>
      <c r="B62" s="40"/>
      <c r="C62" s="40"/>
      <c r="D62" s="41" t="s">
        <v>22</v>
      </c>
      <c r="E62" s="40"/>
      <c r="F62" s="40"/>
      <c r="G62" s="42"/>
      <c r="H62" s="43" t="s">
        <v>14</v>
      </c>
      <c r="I62" s="44"/>
      <c r="J62" s="44"/>
      <c r="K62" s="45"/>
      <c r="L62" s="1356">
        <f ca="1">L63+L64</f>
        <v>655600</v>
      </c>
      <c r="M62" s="224">
        <f ca="1">M63+M64</f>
        <v>655600</v>
      </c>
      <c r="N62" s="224">
        <f ca="1">N63+N64</f>
        <v>472348.51</v>
      </c>
      <c r="O62" s="224">
        <f ca="1">IF(L62&gt;0,N62*100/L62,0)</f>
        <v>72.048277913361801</v>
      </c>
      <c r="P62" s="224">
        <f ca="1">IF(M62&gt;0,N62*100/M62,0)</f>
        <v>72.048277913361801</v>
      </c>
      <c r="Q62" s="224">
        <f>Q63+Q64</f>
        <v>0</v>
      </c>
      <c r="R62" s="224">
        <f>R63+R64</f>
        <v>0</v>
      </c>
      <c r="S62" s="224">
        <f>S63+S64</f>
        <v>0</v>
      </c>
      <c r="T62" s="224">
        <f>IF(Q62&gt;0,S62*100/Q62,0)</f>
        <v>0</v>
      </c>
      <c r="U62" s="224">
        <f>IF(R62&gt;0,S62*100/R62,0)</f>
        <v>0</v>
      </c>
    </row>
    <row r="63" spans="1:21" ht="18.75" x14ac:dyDescent="0.25">
      <c r="A63" s="39"/>
      <c r="B63" s="40"/>
      <c r="C63" s="40"/>
      <c r="D63" s="40"/>
      <c r="E63" s="156" t="s">
        <v>20</v>
      </c>
      <c r="F63" s="40"/>
      <c r="G63" s="42"/>
      <c r="H63" s="1357" t="s">
        <v>14</v>
      </c>
      <c r="I63" s="44"/>
      <c r="J63" s="44"/>
      <c r="K63" s="45"/>
      <c r="L63" s="1358">
        <v>0</v>
      </c>
      <c r="M63" s="83">
        <v>0</v>
      </c>
      <c r="N63" s="83">
        <v>0</v>
      </c>
      <c r="O63" s="83">
        <f>IF(L63&gt;0,N63*100/L63,0)</f>
        <v>0</v>
      </c>
      <c r="P63" s="83">
        <f>IF(M63&gt;0,N63*100/M63,0)</f>
        <v>0</v>
      </c>
      <c r="Q63" s="83">
        <v>0</v>
      </c>
      <c r="R63" s="83">
        <v>0</v>
      </c>
      <c r="S63" s="83">
        <v>0</v>
      </c>
      <c r="T63" s="83">
        <f>IF(Q63&gt;0,S63*100/Q63,0)</f>
        <v>0</v>
      </c>
      <c r="U63" s="83">
        <f>IF(R63&gt;0,S63*100/R63,0)</f>
        <v>0</v>
      </c>
    </row>
    <row r="64" spans="1:21" ht="18.75" x14ac:dyDescent="0.25">
      <c r="A64" s="39"/>
      <c r="B64" s="40"/>
      <c r="C64" s="40"/>
      <c r="D64" s="40"/>
      <c r="E64" s="47" t="s">
        <v>21</v>
      </c>
      <c r="F64" s="40"/>
      <c r="G64" s="42"/>
      <c r="H64" s="43" t="s">
        <v>14</v>
      </c>
      <c r="I64" s="44"/>
      <c r="J64" s="44"/>
      <c r="K64" s="45"/>
      <c r="L64" s="1356">
        <f ca="1">IFERROR(__xludf.DUMMYFUNCTION("IMPORTRANGE(""https://docs.google.com/spreadsheets/d/1-uDff_7J0KD5mKrp0Vvzr7lt3OU09vwQwhkpOPPYv2Y/edit?usp=sharing"",""งบพรบ!AC26"")"),655600)</f>
        <v>655600</v>
      </c>
      <c r="M64" s="224">
        <f ca="1">IFERROR(__xludf.DUMMYFUNCTION("IMPORTRANGE(""https://docs.google.com/spreadsheets/d/1-uDff_7J0KD5mKrp0Vvzr7lt3OU09vwQwhkpOPPYv2Y/edit?usp=sharing"",""งบพรบ!AH26"")"),655600)</f>
        <v>655600</v>
      </c>
      <c r="N64" s="224">
        <f ca="1">IFERROR(__xludf.DUMMYFUNCTION("IMPORTRANGE(""https://docs.google.com/spreadsheets/d/1-uDff_7J0KD5mKrp0Vvzr7lt3OU09vwQwhkpOPPYv2Y/edit?usp=sharing"",""งบพรบ!AJ26"")"),472348.51)</f>
        <v>472348.51</v>
      </c>
      <c r="O64" s="224">
        <f ca="1">IF(L64&gt;0,N64*100/L64,0)</f>
        <v>72.048277913361801</v>
      </c>
      <c r="P64" s="224">
        <f ca="1">IF(M64&gt;0,N64*100/M64,0)</f>
        <v>72.048277913361801</v>
      </c>
      <c r="Q64" s="224">
        <v>0</v>
      </c>
      <c r="R64" s="224">
        <v>0</v>
      </c>
      <c r="S64" s="224">
        <v>0</v>
      </c>
      <c r="T64" s="224">
        <f>IF(Q64&gt;0,S64*100/Q64,0)</f>
        <v>0</v>
      </c>
      <c r="U64" s="224">
        <f>IF(R64&gt;0,S64*100/R64,0)</f>
        <v>0</v>
      </c>
    </row>
    <row r="65" spans="1:21" ht="18.75" x14ac:dyDescent="0.25">
      <c r="A65" s="39"/>
      <c r="B65" s="40"/>
      <c r="C65" s="40"/>
      <c r="D65" s="41" t="s">
        <v>23</v>
      </c>
      <c r="E65" s="40"/>
      <c r="F65" s="40"/>
      <c r="G65" s="42"/>
      <c r="H65" s="43" t="s">
        <v>14</v>
      </c>
      <c r="I65" s="44"/>
      <c r="J65" s="44"/>
      <c r="K65" s="45"/>
      <c r="L65" s="1356">
        <f ca="1">L66+L67</f>
        <v>207400</v>
      </c>
      <c r="M65" s="224">
        <f ca="1">M66+M67</f>
        <v>207400</v>
      </c>
      <c r="N65" s="224">
        <f ca="1">N66+N67</f>
        <v>0</v>
      </c>
      <c r="O65" s="224">
        <f ca="1">IF(L65&gt;0,N65*100/L65,0)</f>
        <v>0</v>
      </c>
      <c r="P65" s="224">
        <f ca="1">IF(M65&gt;0,N65*100/M65,0)</f>
        <v>0</v>
      </c>
      <c r="Q65" s="224">
        <f>Q66+Q67</f>
        <v>0</v>
      </c>
      <c r="R65" s="224">
        <f>R66+R67</f>
        <v>0</v>
      </c>
      <c r="S65" s="224">
        <f>S66+S67</f>
        <v>0</v>
      </c>
      <c r="T65" s="224">
        <f>IF(Q65&gt;0,S65*100/Q65,0)</f>
        <v>0</v>
      </c>
      <c r="U65" s="224">
        <f>IF(R65&gt;0,S65*100/R65,0)</f>
        <v>0</v>
      </c>
    </row>
    <row r="66" spans="1:21" ht="18.75" x14ac:dyDescent="0.25">
      <c r="A66" s="39"/>
      <c r="B66" s="40"/>
      <c r="C66" s="40"/>
      <c r="D66" s="40"/>
      <c r="E66" s="156" t="s">
        <v>20</v>
      </c>
      <c r="F66" s="40"/>
      <c r="G66" s="42"/>
      <c r="H66" s="1357" t="s">
        <v>14</v>
      </c>
      <c r="I66" s="44"/>
      <c r="J66" s="44"/>
      <c r="K66" s="45"/>
      <c r="L66" s="1358">
        <v>0</v>
      </c>
      <c r="M66" s="83">
        <v>0</v>
      </c>
      <c r="N66" s="83">
        <v>0</v>
      </c>
      <c r="O66" s="83">
        <f>IF(L66&gt;0,N66*100/L66,0)</f>
        <v>0</v>
      </c>
      <c r="P66" s="83">
        <f>IF(M66&gt;0,N66*100/M66,0)</f>
        <v>0</v>
      </c>
      <c r="Q66" s="83">
        <v>0</v>
      </c>
      <c r="R66" s="83">
        <v>0</v>
      </c>
      <c r="S66" s="83">
        <v>0</v>
      </c>
      <c r="T66" s="83">
        <f>IF(Q66&gt;0,S66*100/Q66,0)</f>
        <v>0</v>
      </c>
      <c r="U66" s="83">
        <f>IF(R66&gt;0,S66*100/R66,0)</f>
        <v>0</v>
      </c>
    </row>
    <row r="67" spans="1:21" ht="18.75" x14ac:dyDescent="0.25">
      <c r="A67" s="50"/>
      <c r="B67" s="1"/>
      <c r="C67" s="1"/>
      <c r="D67" s="1"/>
      <c r="E67" s="51" t="s">
        <v>21</v>
      </c>
      <c r="F67" s="1"/>
      <c r="G67" s="52"/>
      <c r="H67" s="53" t="s">
        <v>14</v>
      </c>
      <c r="I67" s="54"/>
      <c r="J67" s="54"/>
      <c r="K67" s="3"/>
      <c r="L67" s="1384">
        <f ca="1">IFERROR(__xludf.DUMMYFUNCTION("IMPORTRANGE(""https://docs.google.com/spreadsheets/d/1-uDff_7J0KD5mKrp0Vvzr7lt3OU09vwQwhkpOPPYv2Y/edit?usp=sharing"",""งบพรบ!AF26"")"),207400)</f>
        <v>207400</v>
      </c>
      <c r="M67" s="448">
        <f ca="1">IFERROR(__xludf.DUMMYFUNCTION("IMPORTRANGE(""https://docs.google.com/spreadsheets/d/1-uDff_7J0KD5mKrp0Vvzr7lt3OU09vwQwhkpOPPYv2Y/edit?usp=sharing"",""งบพรบ!AI26"")"),207400)</f>
        <v>207400</v>
      </c>
      <c r="N67" s="448">
        <f ca="1">IFERROR(__xludf.DUMMYFUNCTION("IMPORTRANGE(""https://docs.google.com/spreadsheets/d/1-uDff_7J0KD5mKrp0Vvzr7lt3OU09vwQwhkpOPPYv2Y/edit?usp=sharing"",""งบพรบ!AK26"")"),0)</f>
        <v>0</v>
      </c>
      <c r="O67" s="448">
        <f ca="1">IF(L67&gt;0,N67*100/L67,0)</f>
        <v>0</v>
      </c>
      <c r="P67" s="448">
        <f ca="1">IF(M67&gt;0,N67*100/M67,0)</f>
        <v>0</v>
      </c>
      <c r="Q67" s="448">
        <v>0</v>
      </c>
      <c r="R67" s="448">
        <v>0</v>
      </c>
      <c r="S67" s="448">
        <v>0</v>
      </c>
      <c r="T67" s="448">
        <f>IF(Q67&gt;0,S67*100/Q67,0)</f>
        <v>0</v>
      </c>
      <c r="U67" s="448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1385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8" t="s">
        <v>33</v>
      </c>
      <c r="C70" s="27"/>
      <c r="D70" s="125"/>
      <c r="E70" s="27"/>
      <c r="F70" s="27"/>
      <c r="G70" s="30"/>
      <c r="H70" s="126" t="s">
        <v>34</v>
      </c>
      <c r="I70" s="1386">
        <f ca="1">I82</f>
        <v>2</v>
      </c>
      <c r="J70" s="1386">
        <f>J82</f>
        <v>0</v>
      </c>
      <c r="K70" s="1349">
        <f ca="1">IF(I70&gt;0,J70*100/I70,0)</f>
        <v>0</v>
      </c>
      <c r="L70" s="1387"/>
      <c r="M70" s="33"/>
      <c r="N70" s="33"/>
      <c r="O70" s="33"/>
      <c r="P70" s="33"/>
      <c r="Q70" s="33"/>
      <c r="R70" s="33"/>
      <c r="S70" s="33"/>
      <c r="T70" s="33"/>
      <c r="U70" s="33"/>
    </row>
    <row r="71" spans="1:21" ht="19.5" x14ac:dyDescent="0.3">
      <c r="A71" s="124"/>
      <c r="B71" s="27"/>
      <c r="C71" s="27"/>
      <c r="D71" s="125"/>
      <c r="E71" s="27"/>
      <c r="F71" s="27"/>
      <c r="G71" s="30"/>
      <c r="H71" s="126" t="s">
        <v>35</v>
      </c>
      <c r="I71" s="1386">
        <f ca="1">I83</f>
        <v>177</v>
      </c>
      <c r="J71" s="1386">
        <f>J83</f>
        <v>0</v>
      </c>
      <c r="K71" s="1349">
        <f ca="1">IF(I71&gt;0,J71*100/I71,0)</f>
        <v>0</v>
      </c>
      <c r="L71" s="1387"/>
      <c r="M71" s="33"/>
      <c r="N71" s="33"/>
      <c r="O71" s="33"/>
      <c r="P71" s="33"/>
      <c r="Q71" s="33"/>
      <c r="R71" s="33"/>
      <c r="S71" s="33"/>
      <c r="T71" s="33"/>
      <c r="U71" s="33"/>
    </row>
    <row r="72" spans="1:21" ht="19.5" x14ac:dyDescent="0.3">
      <c r="A72" s="128"/>
      <c r="B72" s="40"/>
      <c r="C72" s="129" t="s">
        <v>18</v>
      </c>
      <c r="D72" s="1388" t="s">
        <v>19</v>
      </c>
      <c r="E72" s="40"/>
      <c r="F72" s="40"/>
      <c r="G72" s="42"/>
      <c r="H72" s="131" t="s">
        <v>14</v>
      </c>
      <c r="I72" s="44"/>
      <c r="J72" s="44"/>
      <c r="K72" s="45"/>
      <c r="L72" s="1389">
        <f ca="1">L73+L74</f>
        <v>150000</v>
      </c>
      <c r="M72" s="1390">
        <f ca="1">M73+M74</f>
        <v>150000</v>
      </c>
      <c r="N72" s="1390">
        <f ca="1">N73+N74</f>
        <v>98000</v>
      </c>
      <c r="O72" s="1390">
        <f ca="1">IF(L72&gt;0,N72*100/L72,0)</f>
        <v>65.333333333333329</v>
      </c>
      <c r="P72" s="1390">
        <f ca="1">IF(M72&gt;0,N72*100/M72,0)</f>
        <v>65.333333333333329</v>
      </c>
      <c r="Q72" s="1390">
        <f ca="1">Q73+Q74</f>
        <v>1552240</v>
      </c>
      <c r="R72" s="1390">
        <f ca="1">R73+R74</f>
        <v>1552240</v>
      </c>
      <c r="S72" s="1390">
        <f ca="1">S73+S74</f>
        <v>82501</v>
      </c>
      <c r="T72" s="1390">
        <f ca="1">IF(Q72&gt;0,S72*100/Q72,0)</f>
        <v>5.3149641807967836</v>
      </c>
      <c r="U72" s="1390">
        <f ca="1">IF(R72&gt;0,S72*100/R72,0)</f>
        <v>5.3149641807967836</v>
      </c>
    </row>
    <row r="73" spans="1:21" ht="18.75" x14ac:dyDescent="0.25">
      <c r="A73" s="128"/>
      <c r="B73" s="40"/>
      <c r="C73" s="40"/>
      <c r="D73" s="40"/>
      <c r="E73" s="156" t="s">
        <v>20</v>
      </c>
      <c r="F73" s="40"/>
      <c r="G73" s="42"/>
      <c r="H73" s="157" t="s">
        <v>14</v>
      </c>
      <c r="I73" s="44"/>
      <c r="J73" s="44"/>
      <c r="K73" s="45"/>
      <c r="L73" s="1358">
        <f>L76+L79</f>
        <v>0</v>
      </c>
      <c r="M73" s="83">
        <f>M76+M79</f>
        <v>0</v>
      </c>
      <c r="N73" s="83">
        <f>N76+N79</f>
        <v>0</v>
      </c>
      <c r="O73" s="83">
        <f>IF(L73&gt;0,N73*100/L73,0)</f>
        <v>0</v>
      </c>
      <c r="P73" s="83">
        <f>IF(M73&gt;0,N73*100/M73,0)</f>
        <v>0</v>
      </c>
      <c r="Q73" s="83">
        <f>Q76+Q79</f>
        <v>0</v>
      </c>
      <c r="R73" s="83">
        <f>R76+R79</f>
        <v>0</v>
      </c>
      <c r="S73" s="83">
        <f>S76+S79</f>
        <v>0</v>
      </c>
      <c r="T73" s="83">
        <f>IF(Q73&gt;0,S73*100/Q73,0)</f>
        <v>0</v>
      </c>
      <c r="U73" s="83">
        <f>IF(R73&gt;0,S73*100/R73,0)</f>
        <v>0</v>
      </c>
    </row>
    <row r="74" spans="1:21" ht="18.75" x14ac:dyDescent="0.25">
      <c r="A74" s="128"/>
      <c r="B74" s="40"/>
      <c r="C74" s="40"/>
      <c r="D74" s="40"/>
      <c r="E74" s="47" t="s">
        <v>21</v>
      </c>
      <c r="F74" s="40"/>
      <c r="G74" s="42"/>
      <c r="H74" s="133" t="s">
        <v>14</v>
      </c>
      <c r="I74" s="44"/>
      <c r="J74" s="44"/>
      <c r="K74" s="45"/>
      <c r="L74" s="1356">
        <f ca="1">L77+L80</f>
        <v>150000</v>
      </c>
      <c r="M74" s="224">
        <f ca="1">M77+M80</f>
        <v>150000</v>
      </c>
      <c r="N74" s="224">
        <f ca="1">N77+N80</f>
        <v>98000</v>
      </c>
      <c r="O74" s="224">
        <f ca="1">IF(L74&gt;0,N74*100/L74,0)</f>
        <v>65.333333333333329</v>
      </c>
      <c r="P74" s="224">
        <f ca="1">IF(M74&gt;0,N74*100/M74,0)</f>
        <v>65.333333333333329</v>
      </c>
      <c r="Q74" s="224">
        <f ca="1">Q77+Q80</f>
        <v>1552240</v>
      </c>
      <c r="R74" s="224">
        <f ca="1">R77+R80</f>
        <v>1552240</v>
      </c>
      <c r="S74" s="224">
        <f ca="1">S77+S80</f>
        <v>82501</v>
      </c>
      <c r="T74" s="224">
        <f ca="1">IF(Q74&gt;0,S74*100/Q74,0)</f>
        <v>5.3149641807967836</v>
      </c>
      <c r="U74" s="224">
        <f ca="1">IF(R74&gt;0,S74*100/R74,0)</f>
        <v>5.3149641807967836</v>
      </c>
    </row>
    <row r="75" spans="1:21" ht="18.75" x14ac:dyDescent="0.25">
      <c r="A75" s="128"/>
      <c r="B75" s="40"/>
      <c r="C75" s="40"/>
      <c r="D75" s="41" t="s">
        <v>22</v>
      </c>
      <c r="E75" s="40"/>
      <c r="F75" s="40"/>
      <c r="G75" s="42"/>
      <c r="H75" s="134" t="s">
        <v>14</v>
      </c>
      <c r="I75" s="135"/>
      <c r="J75" s="135"/>
      <c r="K75" s="136"/>
      <c r="L75" s="1356">
        <f ca="1">L76+L77</f>
        <v>150000</v>
      </c>
      <c r="M75" s="224">
        <f ca="1">M76+M77</f>
        <v>150000</v>
      </c>
      <c r="N75" s="224">
        <f ca="1">N76+N77</f>
        <v>98000</v>
      </c>
      <c r="O75" s="224">
        <f ca="1">IF(L75&gt;0,N75*100/L75,0)</f>
        <v>65.333333333333329</v>
      </c>
      <c r="P75" s="224">
        <f ca="1">IF(M75&gt;0,N75*100/M75,0)</f>
        <v>65.333333333333329</v>
      </c>
      <c r="Q75" s="224">
        <f ca="1">Q76+Q77</f>
        <v>1552240</v>
      </c>
      <c r="R75" s="224">
        <f ca="1">R76+R77</f>
        <v>1552240</v>
      </c>
      <c r="S75" s="224">
        <f ca="1">S76+S77</f>
        <v>82501</v>
      </c>
      <c r="T75" s="224">
        <f ca="1">IF(Q75&gt;0,S75*100/Q75,0)</f>
        <v>5.3149641807967836</v>
      </c>
      <c r="U75" s="224">
        <f ca="1">IF(R75&gt;0,S75*100/R75,0)</f>
        <v>5.3149641807967836</v>
      </c>
    </row>
    <row r="76" spans="1:21" ht="18.75" x14ac:dyDescent="0.25">
      <c r="A76" s="128"/>
      <c r="B76" s="40"/>
      <c r="C76" s="40"/>
      <c r="D76" s="40"/>
      <c r="E76" s="156" t="s">
        <v>36</v>
      </c>
      <c r="F76" s="40"/>
      <c r="G76" s="42"/>
      <c r="H76" s="159" t="s">
        <v>14</v>
      </c>
      <c r="I76" s="135"/>
      <c r="J76" s="135"/>
      <c r="K76" s="136"/>
      <c r="L76" s="1358">
        <v>0</v>
      </c>
      <c r="M76" s="83">
        <v>0</v>
      </c>
      <c r="N76" s="83">
        <v>0</v>
      </c>
      <c r="O76" s="83">
        <f>IF(L76&gt;0,N76*100/L76,0)</f>
        <v>0</v>
      </c>
      <c r="P76" s="83">
        <f>IF(M76&gt;0,N76*100/M76,0)</f>
        <v>0</v>
      </c>
      <c r="Q76" s="83">
        <v>0</v>
      </c>
      <c r="R76" s="83">
        <v>0</v>
      </c>
      <c r="S76" s="83">
        <v>0</v>
      </c>
      <c r="T76" s="83">
        <f>IF(Q76&gt;0,S76*100/Q76,0)</f>
        <v>0</v>
      </c>
      <c r="U76" s="83">
        <f>IF(R76&gt;0,S76*100/R76,0)</f>
        <v>0</v>
      </c>
    </row>
    <row r="77" spans="1:21" ht="18.75" x14ac:dyDescent="0.25">
      <c r="A77" s="128"/>
      <c r="B77" s="40"/>
      <c r="C77" s="40"/>
      <c r="D77" s="40"/>
      <c r="E77" s="47" t="s">
        <v>37</v>
      </c>
      <c r="F77" s="40"/>
      <c r="G77" s="42"/>
      <c r="H77" s="134" t="s">
        <v>14</v>
      </c>
      <c r="I77" s="135"/>
      <c r="J77" s="135"/>
      <c r="K77" s="136"/>
      <c r="L77" s="1356">
        <f ca="1">IFERROR(__xludf.DUMMYFUNCTION("IMPORTRANGE(""https://docs.google.com/spreadsheets/d/1-uDff_7J0KD5mKrp0Vvzr7lt3OU09vwQwhkpOPPYv2Y/edit?usp=sharing"",""งบพรบ!AM26"")"),150000)</f>
        <v>150000</v>
      </c>
      <c r="M77" s="224">
        <f ca="1">IFERROR(__xludf.DUMMYFUNCTION("IMPORTRANGE(""https://docs.google.com/spreadsheets/d/1-uDff_7J0KD5mKrp0Vvzr7lt3OU09vwQwhkpOPPYv2Y/edit?usp=sharing"",""งบพรบ!AR26"")"),150000)</f>
        <v>150000</v>
      </c>
      <c r="N77" s="224">
        <f ca="1">IFERROR(__xludf.DUMMYFUNCTION("IMPORTRANGE(""https://docs.google.com/spreadsheets/d/1-uDff_7J0KD5mKrp0Vvzr7lt3OU09vwQwhkpOPPYv2Y/edit?usp=sharing"",""งบพรบ!AT26"")"),98000)</f>
        <v>98000</v>
      </c>
      <c r="O77" s="224">
        <f ca="1">IF(L77&gt;0,N77*100/L77,0)</f>
        <v>65.333333333333329</v>
      </c>
      <c r="P77" s="224">
        <f ca="1">IF(M77&gt;0,N77*100/M77,0)</f>
        <v>65.333333333333329</v>
      </c>
      <c r="Q77" s="224">
        <f ca="1">IFERROR(__xludf.DUMMYFUNCTION("IMPORTRANGE(""https://docs.google.com/spreadsheets/d/1ItG2mGa2ceCfYo0BwxsXqNm01IGEUdYcSSLTEv9YCik/edit?usp=sharing"",""เบิกจ่ายกองทุน!BH26"")"),1552240)</f>
        <v>1552240</v>
      </c>
      <c r="R77" s="224">
        <f ca="1">IFERROR(__xludf.DUMMYFUNCTION("IMPORTRANGE(""https://docs.google.com/spreadsheets/d/1ItG2mGa2ceCfYo0BwxsXqNm01IGEUdYcSSLTEv9YCik/edit?usp=sharing"",""เบิกจ่ายกองทุน!BI26"")"),1552240)</f>
        <v>1552240</v>
      </c>
      <c r="S77" s="224">
        <f ca="1">IFERROR(__xludf.DUMMYFUNCTION("IMPORTRANGE(""https://docs.google.com/spreadsheets/d/1ItG2mGa2ceCfYo0BwxsXqNm01IGEUdYcSSLTEv9YCik/edit?usp=sharing"",""เบิกจ่ายกองทุน!BJ26"")"),82501)</f>
        <v>82501</v>
      </c>
      <c r="T77" s="224">
        <f ca="1">IF(Q77&gt;0,S77*100/Q77,0)</f>
        <v>5.3149641807967836</v>
      </c>
      <c r="U77" s="224">
        <f ca="1">IF(R77&gt;0,S77*100/R77,0)</f>
        <v>5.3149641807967836</v>
      </c>
    </row>
    <row r="78" spans="1:21" ht="18.75" x14ac:dyDescent="0.25">
      <c r="A78" s="128"/>
      <c r="B78" s="40"/>
      <c r="C78" s="40"/>
      <c r="D78" s="41" t="s">
        <v>23</v>
      </c>
      <c r="E78" s="40"/>
      <c r="F78" s="40"/>
      <c r="G78" s="42"/>
      <c r="H78" s="137" t="s">
        <v>14</v>
      </c>
      <c r="I78" s="135"/>
      <c r="J78" s="135"/>
      <c r="K78" s="136"/>
      <c r="L78" s="1356">
        <f ca="1">L79+L80</f>
        <v>0</v>
      </c>
      <c r="M78" s="224">
        <f ca="1">M79+M80</f>
        <v>0</v>
      </c>
      <c r="N78" s="224">
        <f ca="1">N79+N80</f>
        <v>0</v>
      </c>
      <c r="O78" s="224">
        <f ca="1">IF(L78&gt;0,N78*100/L78,0)</f>
        <v>0</v>
      </c>
      <c r="P78" s="224">
        <f ca="1">IF(M78&gt;0,N78*100/M78,0)</f>
        <v>0</v>
      </c>
      <c r="Q78" s="224">
        <f ca="1">Q79+Q80</f>
        <v>0</v>
      </c>
      <c r="R78" s="224">
        <f ca="1">R79+R80</f>
        <v>0</v>
      </c>
      <c r="S78" s="224">
        <f ca="1">S79+S80</f>
        <v>0</v>
      </c>
      <c r="T78" s="224">
        <f ca="1">IF(Q78&gt;0,S78*100/Q78,0)</f>
        <v>0</v>
      </c>
      <c r="U78" s="224">
        <f ca="1">IF(R78&gt;0,S78*100/R78,0)</f>
        <v>0</v>
      </c>
    </row>
    <row r="79" spans="1:21" ht="18.75" x14ac:dyDescent="0.25">
      <c r="A79" s="128"/>
      <c r="B79" s="40"/>
      <c r="C79" s="40"/>
      <c r="D79" s="40"/>
      <c r="E79" s="156" t="s">
        <v>20</v>
      </c>
      <c r="F79" s="40"/>
      <c r="G79" s="42"/>
      <c r="H79" s="159" t="s">
        <v>14</v>
      </c>
      <c r="I79" s="135"/>
      <c r="J79" s="135"/>
      <c r="K79" s="136"/>
      <c r="L79" s="1358">
        <v>0</v>
      </c>
      <c r="M79" s="224">
        <v>0</v>
      </c>
      <c r="N79" s="224">
        <v>0</v>
      </c>
      <c r="O79" s="83">
        <f>IF(L79&gt;0,N79*100/L79,0)</f>
        <v>0</v>
      </c>
      <c r="P79" s="83">
        <f>IF(M79&gt;0,N79*100/M79,0)</f>
        <v>0</v>
      </c>
      <c r="Q79" s="83">
        <v>0</v>
      </c>
      <c r="R79" s="224">
        <v>0</v>
      </c>
      <c r="S79" s="224">
        <v>0</v>
      </c>
      <c r="T79" s="83">
        <f>IF(Q79&gt;0,S79*100/Q79,0)</f>
        <v>0</v>
      </c>
      <c r="U79" s="83">
        <f>IF(R79&gt;0,S79*100/R79,0)</f>
        <v>0</v>
      </c>
    </row>
    <row r="80" spans="1:21" ht="18.75" x14ac:dyDescent="0.25">
      <c r="A80" s="128"/>
      <c r="B80" s="40"/>
      <c r="C80" s="40"/>
      <c r="D80" s="40"/>
      <c r="E80" s="47" t="s">
        <v>21</v>
      </c>
      <c r="F80" s="40"/>
      <c r="G80" s="42"/>
      <c r="H80" s="137" t="s">
        <v>14</v>
      </c>
      <c r="I80" s="135"/>
      <c r="J80" s="135"/>
      <c r="K80" s="136"/>
      <c r="L80" s="1356">
        <f ca="1">IFERROR(__xludf.DUMMYFUNCTION("IMPORTRANGE(""https://docs.google.com/spreadsheets/d/1-uDff_7J0KD5mKrp0Vvzr7lt3OU09vwQwhkpOPPYv2Y/edit?usp=sharing"",""งบพรบ!AP26"")"),0)</f>
        <v>0</v>
      </c>
      <c r="M80" s="224">
        <f ca="1">IFERROR(__xludf.DUMMYFUNCTION("IMPORTRANGE(""https://docs.google.com/spreadsheets/d/1-uDff_7J0KD5mKrp0Vvzr7lt3OU09vwQwhkpOPPYv2Y/edit?usp=sharing"",""งบพรบ!AS26"")"),0)</f>
        <v>0</v>
      </c>
      <c r="N80" s="224">
        <f ca="1">IFERROR(__xludf.DUMMYFUNCTION("IMPORTRANGE(""https://docs.google.com/spreadsheets/d/1-uDff_7J0KD5mKrp0Vvzr7lt3OU09vwQwhkpOPPYv2Y/edit?usp=sharing"",""งบพรบ!AU26"")"),0)</f>
        <v>0</v>
      </c>
      <c r="O80" s="224">
        <f ca="1">IF(L80&gt;0,N80*100/L80,0)</f>
        <v>0</v>
      </c>
      <c r="P80" s="224">
        <f ca="1">IF(M80&gt;0,N80*100/M80,0)</f>
        <v>0</v>
      </c>
      <c r="Q80" s="224">
        <f ca="1">IFERROR(__xludf.DUMMYFUNCTION("IMPORTRANGE(""https://docs.google.com/spreadsheets/d/1ItG2mGa2ceCfYo0BwxsXqNm01IGEUdYcSSLTEv9YCik/edit?usp=sharing"",""เบิกจ่ายกองทุน!BK26"")"),0)</f>
        <v>0</v>
      </c>
      <c r="R80" s="224">
        <f ca="1">IFERROR(__xludf.DUMMYFUNCTION("IMPORTRANGE(""https://docs.google.com/spreadsheets/d/1ItG2mGa2ceCfYo0BwxsXqNm01IGEUdYcSSLTEv9YCik/edit?usp=sharing"",""เบิกจ่ายกองทุน!BL26"")"),0)</f>
        <v>0</v>
      </c>
      <c r="S80" s="224">
        <f ca="1">IFERROR(__xludf.DUMMYFUNCTION("IMPORTRANGE(""https://docs.google.com/spreadsheets/d/1ItG2mGa2ceCfYo0BwxsXqNm01IGEUdYcSSLTEv9YCik/edit?usp=sharing"",""เบิกจ่ายกองทุน!BM26"")"),0)</f>
        <v>0</v>
      </c>
      <c r="T80" s="224">
        <f ca="1">IF(Q80&gt;0,S80*100/Q80,0)</f>
        <v>0</v>
      </c>
      <c r="U80" s="224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1391" t="s">
        <v>38</v>
      </c>
      <c r="E81" s="141"/>
      <c r="F81" s="141"/>
      <c r="G81" s="142"/>
      <c r="H81" s="143"/>
      <c r="I81" s="135"/>
      <c r="J81" s="135"/>
      <c r="K81" s="136"/>
      <c r="L81" s="1392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328">
        <f ca="1">I84+I86+I88</f>
        <v>2</v>
      </c>
      <c r="J82" s="328">
        <f>J84+J86+J88</f>
        <v>0</v>
      </c>
      <c r="K82" s="1393">
        <f ca="1">IF(I82&gt;0,J82*100/I82,0)</f>
        <v>0</v>
      </c>
      <c r="L82" s="1392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328">
        <f ca="1">I85+I87+I89</f>
        <v>177</v>
      </c>
      <c r="J83" s="328">
        <f>J85+J87+J89</f>
        <v>0</v>
      </c>
      <c r="K83" s="1393">
        <f ca="1">IF(I83&gt;0,J83*100/I83,0)</f>
        <v>0</v>
      </c>
      <c r="L83" s="1392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394">
        <f ca="1">IFERROR(__xludf.DUMMYFUNCTION("IMPORTRANGE(""https://docs.google.com/spreadsheets/d/1eHaY18a8A9IcSdp1K8H6x8fbOy06t2VsZHhMHf-1x7Y/edit?usp=sharing"",""แผน!H26"")"),2)</f>
        <v>2</v>
      </c>
      <c r="J84" s="1395">
        <v>0</v>
      </c>
      <c r="K84" s="1396">
        <f ca="1">IF(I84&gt;0,J84*100/I84,0)</f>
        <v>0</v>
      </c>
      <c r="L84" s="1392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394">
        <f ca="1">IFERROR(__xludf.DUMMYFUNCTION("IMPORTRANGE(""https://docs.google.com/spreadsheets/d/1eHaY18a8A9IcSdp1K8H6x8fbOy06t2VsZHhMHf-1x7Y/edit?usp=sharing"",""แผน!I26"")"),177)</f>
        <v>177</v>
      </c>
      <c r="J85" s="1395">
        <v>0</v>
      </c>
      <c r="K85" s="1396">
        <f ca="1">IF(I85&gt;0,J85*100/I85,0)</f>
        <v>0</v>
      </c>
      <c r="L85" s="1392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394">
        <f ca="1">IFERROR(__xludf.DUMMYFUNCTION("IMPORTRANGE(""https://docs.google.com/spreadsheets/d/1eHaY18a8A9IcSdp1K8H6x8fbOy06t2VsZHhMHf-1x7Y/edit?usp=sharing"",""แผน!F26"")"),0)</f>
        <v>0</v>
      </c>
      <c r="J86" s="1395">
        <v>0</v>
      </c>
      <c r="K86" s="1396">
        <f ca="1">IF(I86&gt;0,J86*100/I86,0)</f>
        <v>0</v>
      </c>
      <c r="L86" s="1392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394">
        <f ca="1">IFERROR(__xludf.DUMMYFUNCTION("IMPORTRANGE(""https://docs.google.com/spreadsheets/d/1eHaY18a8A9IcSdp1K8H6x8fbOy06t2VsZHhMHf-1x7Y/edit?usp=sharing"",""แผน!G26"")"),0)</f>
        <v>0</v>
      </c>
      <c r="J87" s="1395">
        <v>0</v>
      </c>
      <c r="K87" s="1396">
        <f ca="1">IF(I87&gt;0,J87*100/I87,0)</f>
        <v>0</v>
      </c>
      <c r="L87" s="1392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394">
        <f ca="1">IFERROR(__xludf.DUMMYFUNCTION("IMPORTRANGE(""https://docs.google.com/spreadsheets/d/1eHaY18a8A9IcSdp1K8H6x8fbOy06t2VsZHhMHf-1x7Y/edit?usp=sharing"",""แผน!D26"")"),0)</f>
        <v>0</v>
      </c>
      <c r="J88" s="1395">
        <v>0</v>
      </c>
      <c r="K88" s="1396">
        <f ca="1">IF(I88&gt;0,J88*100/I88,0)</f>
        <v>0</v>
      </c>
      <c r="L88" s="1392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394">
        <f ca="1">IFERROR(__xludf.DUMMYFUNCTION("IMPORTRANGE(""https://docs.google.com/spreadsheets/d/1eHaY18a8A9IcSdp1K8H6x8fbOy06t2VsZHhMHf-1x7Y/edit?usp=sharing"",""แผน!E26"")"),0)</f>
        <v>0</v>
      </c>
      <c r="J89" s="1395">
        <v>0</v>
      </c>
      <c r="K89" s="1396">
        <f ca="1">IF(I89&gt;0,J89*100/I89,0)</f>
        <v>0</v>
      </c>
      <c r="L89" s="1392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3" t="s">
        <v>34</v>
      </c>
      <c r="I90" s="1394">
        <f ca="1">IFERROR(__xludf.DUMMYFUNCTION("IMPORTRANGE(""https://docs.google.com/spreadsheets/d/1eHaY18a8A9IcSdp1K8H6x8fbOy06t2VsZHhMHf-1x7Y/edit?usp=sharing"",""แผน!J26"")"),2)</f>
        <v>2</v>
      </c>
      <c r="J90" s="1395">
        <v>0</v>
      </c>
      <c r="K90" s="1396">
        <f ca="1">IF(I90&gt;0,J90*100/I90,0)</f>
        <v>0</v>
      </c>
      <c r="L90" s="1392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1385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8" t="s">
        <v>45</v>
      </c>
      <c r="C92" s="27"/>
      <c r="D92" s="125"/>
      <c r="E92" s="27"/>
      <c r="F92" s="27"/>
      <c r="G92" s="30"/>
      <c r="H92" s="126" t="s">
        <v>46</v>
      </c>
      <c r="I92" s="1386">
        <f ca="1">I108</f>
        <v>30</v>
      </c>
      <c r="J92" s="1386">
        <f>J108</f>
        <v>0</v>
      </c>
      <c r="K92" s="1349">
        <f ca="1">IF(I92&gt;0,J92*100/I92,0)</f>
        <v>0</v>
      </c>
      <c r="L92" s="1387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19.5" x14ac:dyDescent="0.3">
      <c r="A93" s="124"/>
      <c r="B93" s="27"/>
      <c r="C93" s="27"/>
      <c r="D93" s="125"/>
      <c r="E93" s="27"/>
      <c r="F93" s="27"/>
      <c r="G93" s="30"/>
      <c r="H93" s="126" t="s">
        <v>35</v>
      </c>
      <c r="I93" s="1386">
        <f ca="1">I109</f>
        <v>10</v>
      </c>
      <c r="J93" s="1386">
        <f>J109</f>
        <v>0</v>
      </c>
      <c r="K93" s="1349">
        <f ca="1">IF(I93&gt;0,J93*100/I93,0)</f>
        <v>0</v>
      </c>
      <c r="L93" s="1387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19.5" x14ac:dyDescent="0.3">
      <c r="A94" s="128"/>
      <c r="B94" s="40"/>
      <c r="C94" s="129" t="s">
        <v>18</v>
      </c>
      <c r="D94" s="1388" t="s">
        <v>19</v>
      </c>
      <c r="E94" s="40"/>
      <c r="F94" s="40"/>
      <c r="G94" s="42"/>
      <c r="H94" s="131" t="s">
        <v>14</v>
      </c>
      <c r="I94" s="44"/>
      <c r="J94" s="44"/>
      <c r="K94" s="45"/>
      <c r="L94" s="1389">
        <f ca="1">L95+L96</f>
        <v>0</v>
      </c>
      <c r="M94" s="1390">
        <f ca="1">M95+M96</f>
        <v>0</v>
      </c>
      <c r="N94" s="1390">
        <f ca="1">N95+N96</f>
        <v>0</v>
      </c>
      <c r="O94" s="1390">
        <f ca="1">IF(L94&gt;0,N94*100/L94,0)</f>
        <v>0</v>
      </c>
      <c r="P94" s="1390">
        <f ca="1">IF(M94&gt;0,N94*100/M94,0)</f>
        <v>0</v>
      </c>
      <c r="Q94" s="1390">
        <f ca="1">Q95+Q96</f>
        <v>84420</v>
      </c>
      <c r="R94" s="1390">
        <f ca="1">R95+R96</f>
        <v>84420</v>
      </c>
      <c r="S94" s="1390">
        <f ca="1">S95+S96</f>
        <v>0</v>
      </c>
      <c r="T94" s="1390">
        <f ca="1">IF(Q94&gt;0,S94*100/Q94,0)</f>
        <v>0</v>
      </c>
      <c r="U94" s="1390">
        <f ca="1">IF(R94&gt;0,S94*100/R94,0)</f>
        <v>0</v>
      </c>
    </row>
    <row r="95" spans="1:21" ht="18.75" x14ac:dyDescent="0.25">
      <c r="A95" s="128"/>
      <c r="B95" s="40"/>
      <c r="C95" s="40"/>
      <c r="D95" s="40"/>
      <c r="E95" s="156" t="s">
        <v>20</v>
      </c>
      <c r="F95" s="40"/>
      <c r="G95" s="42"/>
      <c r="H95" s="157" t="s">
        <v>14</v>
      </c>
      <c r="I95" s="44"/>
      <c r="J95" s="44"/>
      <c r="K95" s="45"/>
      <c r="L95" s="1358">
        <f>L98+L101</f>
        <v>0</v>
      </c>
      <c r="M95" s="83">
        <f>M98+M101</f>
        <v>0</v>
      </c>
      <c r="N95" s="83">
        <f>N98+N101</f>
        <v>0</v>
      </c>
      <c r="O95" s="83">
        <f>IF(L95&gt;0,N95*100/L95,0)</f>
        <v>0</v>
      </c>
      <c r="P95" s="83">
        <f>IF(M95&gt;0,N95*100/M95,0)</f>
        <v>0</v>
      </c>
      <c r="Q95" s="83">
        <f>Q98+Q101</f>
        <v>0</v>
      </c>
      <c r="R95" s="83">
        <f>R98+R101</f>
        <v>0</v>
      </c>
      <c r="S95" s="83">
        <f>S98+S101</f>
        <v>0</v>
      </c>
      <c r="T95" s="83">
        <f>IF(Q95&gt;0,S95*100/Q95,0)</f>
        <v>0</v>
      </c>
      <c r="U95" s="83">
        <f>IF(R95&gt;0,S95*100/R95,0)</f>
        <v>0</v>
      </c>
    </row>
    <row r="96" spans="1:21" ht="18.75" x14ac:dyDescent="0.25">
      <c r="A96" s="128"/>
      <c r="B96" s="40"/>
      <c r="C96" s="40"/>
      <c r="D96" s="40"/>
      <c r="E96" s="47" t="s">
        <v>21</v>
      </c>
      <c r="F96" s="40"/>
      <c r="G96" s="42"/>
      <c r="H96" s="133" t="s">
        <v>14</v>
      </c>
      <c r="I96" s="44"/>
      <c r="J96" s="44"/>
      <c r="K96" s="45"/>
      <c r="L96" s="1356">
        <f ca="1">L99+L102</f>
        <v>0</v>
      </c>
      <c r="M96" s="224">
        <f ca="1">M99+M102</f>
        <v>0</v>
      </c>
      <c r="N96" s="224">
        <f ca="1">N99+N102</f>
        <v>0</v>
      </c>
      <c r="O96" s="224">
        <f ca="1">IF(L96&gt;0,N96*100/L96,0)</f>
        <v>0</v>
      </c>
      <c r="P96" s="224">
        <f ca="1">IF(M96&gt;0,N96*100/M96,0)</f>
        <v>0</v>
      </c>
      <c r="Q96" s="224">
        <f ca="1">Q99+Q102</f>
        <v>84420</v>
      </c>
      <c r="R96" s="224">
        <f ca="1">R99+R102</f>
        <v>84420</v>
      </c>
      <c r="S96" s="224">
        <f ca="1">S99+S102</f>
        <v>0</v>
      </c>
      <c r="T96" s="224">
        <f ca="1">IF(Q96&gt;0,S96*100/Q96,0)</f>
        <v>0</v>
      </c>
      <c r="U96" s="224">
        <f ca="1">IF(R96&gt;0,S96*100/R96,0)</f>
        <v>0</v>
      </c>
    </row>
    <row r="97" spans="1:21" ht="18.75" x14ac:dyDescent="0.25">
      <c r="A97" s="128"/>
      <c r="B97" s="40"/>
      <c r="C97" s="40"/>
      <c r="D97" s="41" t="s">
        <v>22</v>
      </c>
      <c r="E97" s="40"/>
      <c r="F97" s="40"/>
      <c r="G97" s="42"/>
      <c r="H97" s="134" t="s">
        <v>14</v>
      </c>
      <c r="I97" s="135"/>
      <c r="J97" s="135"/>
      <c r="K97" s="136"/>
      <c r="L97" s="1356">
        <f ca="1">L98+L99</f>
        <v>0</v>
      </c>
      <c r="M97" s="224">
        <f ca="1">M98+M99</f>
        <v>0</v>
      </c>
      <c r="N97" s="224">
        <f ca="1">N98+N99</f>
        <v>0</v>
      </c>
      <c r="O97" s="224">
        <f ca="1">IF(L97&gt;0,N97*100/L97,0)</f>
        <v>0</v>
      </c>
      <c r="P97" s="224">
        <f ca="1">IF(M97&gt;0,N97*100/M97,0)</f>
        <v>0</v>
      </c>
      <c r="Q97" s="224">
        <f ca="1">Q98+Q99</f>
        <v>84420</v>
      </c>
      <c r="R97" s="224">
        <f ca="1">R98+R99</f>
        <v>84420</v>
      </c>
      <c r="S97" s="224">
        <f ca="1">S98+S99</f>
        <v>0</v>
      </c>
      <c r="T97" s="224">
        <f ca="1">IF(Q97&gt;0,S97*100/Q97,0)</f>
        <v>0</v>
      </c>
      <c r="U97" s="224">
        <f ca="1">IF(R97&gt;0,S97*100/R97,0)</f>
        <v>0</v>
      </c>
    </row>
    <row r="98" spans="1:21" ht="18.75" x14ac:dyDescent="0.25">
      <c r="A98" s="128"/>
      <c r="B98" s="40"/>
      <c r="C98" s="40"/>
      <c r="D98" s="40"/>
      <c r="E98" s="156" t="s">
        <v>36</v>
      </c>
      <c r="F98" s="40"/>
      <c r="G98" s="42"/>
      <c r="H98" s="159" t="s">
        <v>14</v>
      </c>
      <c r="I98" s="135"/>
      <c r="J98" s="135"/>
      <c r="K98" s="136"/>
      <c r="L98" s="1358">
        <v>0</v>
      </c>
      <c r="M98" s="83">
        <v>0</v>
      </c>
      <c r="N98" s="83">
        <v>0</v>
      </c>
      <c r="O98" s="83">
        <f>IF(L98&gt;0,N98*100/L98,0)</f>
        <v>0</v>
      </c>
      <c r="P98" s="83">
        <f>IF(M98&gt;0,N98*100/M98,0)</f>
        <v>0</v>
      </c>
      <c r="Q98" s="83">
        <v>0</v>
      </c>
      <c r="R98" s="83">
        <v>0</v>
      </c>
      <c r="S98" s="83">
        <v>0</v>
      </c>
      <c r="T98" s="83">
        <f>IF(Q98&gt;0,S98*100/Q98,0)</f>
        <v>0</v>
      </c>
      <c r="U98" s="83">
        <f>IF(R98&gt;0,S98*100/R98,0)</f>
        <v>0</v>
      </c>
    </row>
    <row r="99" spans="1:21" ht="18.75" x14ac:dyDescent="0.25">
      <c r="A99" s="128"/>
      <c r="B99" s="40"/>
      <c r="C99" s="40"/>
      <c r="D99" s="40"/>
      <c r="E99" s="47" t="s">
        <v>37</v>
      </c>
      <c r="F99" s="40"/>
      <c r="G99" s="42"/>
      <c r="H99" s="134" t="s">
        <v>14</v>
      </c>
      <c r="I99" s="135"/>
      <c r="J99" s="135"/>
      <c r="K99" s="136"/>
      <c r="L99" s="1356">
        <f ca="1">IFERROR(__xludf.DUMMYFUNCTION("IMPORTRANGE(""https://docs.google.com/spreadsheets/d/1-uDff_7J0KD5mKrp0Vvzr7lt3OU09vwQwhkpOPPYv2Y/edit?usp=sharing"",""งบพรบ!AW26"")"),0)</f>
        <v>0</v>
      </c>
      <c r="M99" s="224">
        <f ca="1">IFERROR(__xludf.DUMMYFUNCTION("IMPORTRANGE(""https://docs.google.com/spreadsheets/d/1-uDff_7J0KD5mKrp0Vvzr7lt3OU09vwQwhkpOPPYv2Y/edit?usp=sharing"",""งบพรบ!BB26"")"),0)</f>
        <v>0</v>
      </c>
      <c r="N99" s="224">
        <f ca="1">IFERROR(__xludf.DUMMYFUNCTION("IMPORTRANGE(""https://docs.google.com/spreadsheets/d/1-uDff_7J0KD5mKrp0Vvzr7lt3OU09vwQwhkpOPPYv2Y/edit?usp=sharing"",""งบพรบ!BD26"")"),0)</f>
        <v>0</v>
      </c>
      <c r="O99" s="224">
        <f ca="1">IF(L99&gt;0,N99*100/L99,0)</f>
        <v>0</v>
      </c>
      <c r="P99" s="224">
        <f ca="1">IF(M99&gt;0,N99*100/M99,0)</f>
        <v>0</v>
      </c>
      <c r="Q99" s="224">
        <f ca="1">IFERROR(__xludf.DUMMYFUNCTION("IMPORTRANGE(""https://docs.google.com/spreadsheets/d/1ItG2mGa2ceCfYo0BwxsXqNm01IGEUdYcSSLTEv9YCik/edit?usp=sharing"",""เบิกจ่ายกองทุน!AJ26"")"),84420)</f>
        <v>84420</v>
      </c>
      <c r="R99" s="224">
        <f ca="1">IFERROR(__xludf.DUMMYFUNCTION("IMPORTRANGE(""https://docs.google.com/spreadsheets/d/1ItG2mGa2ceCfYo0BwxsXqNm01IGEUdYcSSLTEv9YCik/edit?usp=sharing"",""เบิกจ่ายกองทุน!AK26"")"),84420)</f>
        <v>84420</v>
      </c>
      <c r="S99" s="224">
        <f ca="1">IFERROR(__xludf.DUMMYFUNCTION("IMPORTRANGE(""https://docs.google.com/spreadsheets/d/1ItG2mGa2ceCfYo0BwxsXqNm01IGEUdYcSSLTEv9YCik/edit?usp=sharing"",""เบิกจ่ายกองทุน!AL26"")"),0)</f>
        <v>0</v>
      </c>
      <c r="T99" s="224">
        <f ca="1">IF(Q99&gt;0,S99*100/Q99,0)</f>
        <v>0</v>
      </c>
      <c r="U99" s="224">
        <f ca="1">IF(R99&gt;0,S99*100/R99,0)</f>
        <v>0</v>
      </c>
    </row>
    <row r="100" spans="1:21" ht="18.75" x14ac:dyDescent="0.25">
      <c r="A100" s="128"/>
      <c r="B100" s="40"/>
      <c r="C100" s="40"/>
      <c r="D100" s="41" t="s">
        <v>23</v>
      </c>
      <c r="E100" s="40"/>
      <c r="F100" s="40"/>
      <c r="G100" s="42"/>
      <c r="H100" s="137" t="s">
        <v>14</v>
      </c>
      <c r="I100" s="135"/>
      <c r="J100" s="135"/>
      <c r="K100" s="136"/>
      <c r="L100" s="1356">
        <f ca="1">L101+L102</f>
        <v>0</v>
      </c>
      <c r="M100" s="224">
        <f ca="1">M101+M102</f>
        <v>0</v>
      </c>
      <c r="N100" s="224">
        <f ca="1">N101+N102</f>
        <v>0</v>
      </c>
      <c r="O100" s="224">
        <f ca="1">IF(L100&gt;0,N100*100/L100,0)</f>
        <v>0</v>
      </c>
      <c r="P100" s="224">
        <f ca="1">IF(M100&gt;0,N100*100/M100,0)</f>
        <v>0</v>
      </c>
      <c r="Q100" s="224">
        <f>Q101+Q102</f>
        <v>0</v>
      </c>
      <c r="R100" s="224">
        <f>R101+R102</f>
        <v>0</v>
      </c>
      <c r="S100" s="224">
        <f>S101+S102</f>
        <v>0</v>
      </c>
      <c r="T100" s="224">
        <f>IF(Q100&gt;0,S100*100/Q100,0)</f>
        <v>0</v>
      </c>
      <c r="U100" s="224">
        <f>IF(R100&gt;0,S100*100/R100,0)</f>
        <v>0</v>
      </c>
    </row>
    <row r="101" spans="1:21" ht="18.75" x14ac:dyDescent="0.25">
      <c r="A101" s="128"/>
      <c r="B101" s="40"/>
      <c r="C101" s="40"/>
      <c r="D101" s="40"/>
      <c r="E101" s="156" t="s">
        <v>20</v>
      </c>
      <c r="F101" s="40"/>
      <c r="G101" s="42"/>
      <c r="H101" s="159" t="s">
        <v>14</v>
      </c>
      <c r="I101" s="135"/>
      <c r="J101" s="135"/>
      <c r="K101" s="136"/>
      <c r="L101" s="1358">
        <v>0</v>
      </c>
      <c r="M101" s="83">
        <v>0</v>
      </c>
      <c r="N101" s="83">
        <v>0</v>
      </c>
      <c r="O101" s="83">
        <f>IF(L101&gt;0,N101*100/L101,0)</f>
        <v>0</v>
      </c>
      <c r="P101" s="83">
        <f>IF(M101&gt;0,N101*100/M101,0)</f>
        <v>0</v>
      </c>
      <c r="Q101" s="83">
        <v>0</v>
      </c>
      <c r="R101" s="83">
        <v>0</v>
      </c>
      <c r="S101" s="83">
        <v>0</v>
      </c>
      <c r="T101" s="83">
        <f>IF(Q101&gt;0,S101*100/Q101,0)</f>
        <v>0</v>
      </c>
      <c r="U101" s="83">
        <f>IF(R101&gt;0,S101*100/R101,0)</f>
        <v>0</v>
      </c>
    </row>
    <row r="102" spans="1:21" ht="18.75" x14ac:dyDescent="0.25">
      <c r="A102" s="128"/>
      <c r="B102" s="40"/>
      <c r="C102" s="40"/>
      <c r="D102" s="40"/>
      <c r="E102" s="47" t="s">
        <v>21</v>
      </c>
      <c r="F102" s="40"/>
      <c r="G102" s="42"/>
      <c r="H102" s="137" t="s">
        <v>14</v>
      </c>
      <c r="I102" s="135"/>
      <c r="J102" s="135"/>
      <c r="K102" s="136"/>
      <c r="L102" s="1356">
        <f ca="1">IFERROR(__xludf.DUMMYFUNCTION("IMPORTRANGE(""https://docs.google.com/spreadsheets/d/1-uDff_7J0KD5mKrp0Vvzr7lt3OU09vwQwhkpOPPYv2Y/edit?usp=sharing"",""งบพรบ!AZ26"")"),0)</f>
        <v>0</v>
      </c>
      <c r="M102" s="224">
        <f ca="1">IFERROR(__xludf.DUMMYFUNCTION("IMPORTRANGE(""https://docs.google.com/spreadsheets/d/1-uDff_7J0KD5mKrp0Vvzr7lt3OU09vwQwhkpOPPYv2Y/edit?usp=sharing"",""งบพรบ!BC26"")"),0)</f>
        <v>0</v>
      </c>
      <c r="N102" s="224">
        <f ca="1">IFERROR(__xludf.DUMMYFUNCTION("IMPORTRANGE(""https://docs.google.com/spreadsheets/d/1-uDff_7J0KD5mKrp0Vvzr7lt3OU09vwQwhkpOPPYv2Y/edit?usp=sharing"",""งบพรบ!BE26"")"),0)</f>
        <v>0</v>
      </c>
      <c r="O102" s="224">
        <f ca="1">IF(L102&gt;0,N102*100/L102,0)</f>
        <v>0</v>
      </c>
      <c r="P102" s="224">
        <f ca="1">IF(M102&gt;0,N102*100/M102,0)</f>
        <v>0</v>
      </c>
      <c r="Q102" s="224">
        <v>0</v>
      </c>
      <c r="R102" s="224">
        <v>0</v>
      </c>
      <c r="S102" s="224">
        <v>0</v>
      </c>
      <c r="T102" s="224">
        <f>IF(Q102&gt;0,S102*100/Q102,0)</f>
        <v>0</v>
      </c>
      <c r="U102" s="224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1391" t="s">
        <v>38</v>
      </c>
      <c r="E103" s="141"/>
      <c r="F103" s="141"/>
      <c r="G103" s="142"/>
      <c r="H103" s="143"/>
      <c r="I103" s="135"/>
      <c r="J103" s="44"/>
      <c r="K103" s="45"/>
      <c r="L103" s="1359"/>
      <c r="M103" s="45"/>
      <c r="N103" s="45"/>
      <c r="O103" s="136"/>
      <c r="P103" s="136"/>
      <c r="Q103" s="45"/>
      <c r="R103" s="45"/>
      <c r="S103" s="45"/>
      <c r="T103" s="136"/>
      <c r="U103" s="136"/>
    </row>
    <row r="104" spans="1:21" ht="12.75" x14ac:dyDescent="0.2">
      <c r="A104" s="162"/>
      <c r="B104" s="163"/>
      <c r="C104" s="163"/>
      <c r="D104" s="18"/>
      <c r="E104" s="18"/>
      <c r="F104" s="18"/>
      <c r="G104" s="19"/>
      <c r="H104" s="19"/>
      <c r="I104" s="20"/>
      <c r="J104" s="20"/>
      <c r="K104" s="21"/>
      <c r="L104" s="1346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12.75" x14ac:dyDescent="0.2">
      <c r="A105" s="162"/>
      <c r="B105" s="163"/>
      <c r="C105" s="163"/>
      <c r="D105" s="18"/>
      <c r="E105" s="18"/>
      <c r="F105" s="18"/>
      <c r="G105" s="19"/>
      <c r="H105" s="19"/>
      <c r="I105" s="20"/>
      <c r="J105" s="20"/>
      <c r="K105" s="21"/>
      <c r="L105" s="1346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12.75" x14ac:dyDescent="0.2">
      <c r="A106" s="162"/>
      <c r="B106" s="163"/>
      <c r="C106" s="163"/>
      <c r="D106" s="163"/>
      <c r="E106" s="18"/>
      <c r="F106" s="18"/>
      <c r="G106" s="19"/>
      <c r="H106" s="19"/>
      <c r="I106" s="20"/>
      <c r="J106" s="20"/>
      <c r="K106" s="21"/>
      <c r="L106" s="1346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19.5" x14ac:dyDescent="0.3">
      <c r="A107" s="138"/>
      <c r="B107" s="139"/>
      <c r="C107" s="139"/>
      <c r="D107" s="164" t="s">
        <v>47</v>
      </c>
      <c r="E107" s="165"/>
      <c r="F107" s="145"/>
      <c r="G107" s="143"/>
      <c r="H107" s="42"/>
      <c r="I107" s="44"/>
      <c r="J107" s="44"/>
      <c r="K107" s="45"/>
      <c r="L107" s="1359"/>
      <c r="M107" s="45"/>
      <c r="N107" s="45"/>
      <c r="O107" s="136"/>
      <c r="P107" s="136"/>
      <c r="Q107" s="45"/>
      <c r="R107" s="45"/>
      <c r="S107" s="45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3" t="s">
        <v>46</v>
      </c>
      <c r="I108" s="184">
        <f ca="1">IFERROR(__xludf.DUMMYFUNCTION("IMPORTRANGE(""https://docs.google.com/spreadsheets/d/1eHaY18a8A9IcSdp1K8H6x8fbOy06t2VsZHhMHf-1x7Y/edit?usp=sharing"",""แผน!N26"")"),30)</f>
        <v>30</v>
      </c>
      <c r="J108" s="1395">
        <v>0</v>
      </c>
      <c r="K108" s="224">
        <f ca="1">IF(I108&gt;0,J108*100/I108,0)</f>
        <v>0</v>
      </c>
      <c r="L108" s="1359"/>
      <c r="M108" s="45"/>
      <c r="N108" s="45"/>
      <c r="O108" s="136"/>
      <c r="P108" s="136"/>
      <c r="Q108" s="45"/>
      <c r="R108" s="45"/>
      <c r="S108" s="45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3" t="s">
        <v>35</v>
      </c>
      <c r="I109" s="184">
        <f ca="1">IFERROR(__xludf.DUMMYFUNCTION("IMPORTRANGE(""https://docs.google.com/spreadsheets/d/1eHaY18a8A9IcSdp1K8H6x8fbOy06t2VsZHhMHf-1x7Y/edit?usp=sharing"",""แผน!O26"")"),10)</f>
        <v>10</v>
      </c>
      <c r="J109" s="1395">
        <v>0</v>
      </c>
      <c r="K109" s="224">
        <f ca="1">IF(I109&gt;0,J109*100/I109,0)</f>
        <v>0</v>
      </c>
      <c r="L109" s="1359"/>
      <c r="M109" s="45"/>
      <c r="N109" s="45"/>
      <c r="O109" s="136"/>
      <c r="P109" s="136"/>
      <c r="Q109" s="45"/>
      <c r="R109" s="45"/>
      <c r="S109" s="45"/>
      <c r="T109" s="136"/>
      <c r="U109" s="136"/>
    </row>
    <row r="110" spans="1:21" ht="12.75" x14ac:dyDescent="0.2">
      <c r="A110" s="162"/>
      <c r="B110" s="163"/>
      <c r="C110" s="163"/>
      <c r="D110" s="18"/>
      <c r="E110" s="18"/>
      <c r="F110" s="18"/>
      <c r="G110" s="19"/>
      <c r="H110" s="19"/>
      <c r="I110" s="20"/>
      <c r="J110" s="20"/>
      <c r="K110" s="21"/>
      <c r="L110" s="1346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2.75" x14ac:dyDescent="0.2">
      <c r="A111" s="162"/>
      <c r="B111" s="163"/>
      <c r="C111" s="163"/>
      <c r="D111" s="18"/>
      <c r="E111" s="18"/>
      <c r="F111" s="18"/>
      <c r="G111" s="19"/>
      <c r="H111" s="19"/>
      <c r="I111" s="20"/>
      <c r="J111" s="20"/>
      <c r="K111" s="21"/>
      <c r="L111" s="1346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12.75" x14ac:dyDescent="0.2">
      <c r="A112" s="162"/>
      <c r="B112" s="163"/>
      <c r="C112" s="163"/>
      <c r="D112" s="18"/>
      <c r="E112" s="18"/>
      <c r="F112" s="18"/>
      <c r="G112" s="19"/>
      <c r="H112" s="19"/>
      <c r="I112" s="20"/>
      <c r="J112" s="20"/>
      <c r="K112" s="21"/>
      <c r="L112" s="1346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8.75" x14ac:dyDescent="0.25">
      <c r="A113" s="1397"/>
      <c r="B113" s="431"/>
      <c r="C113" s="431"/>
      <c r="D113" s="368" t="s">
        <v>50</v>
      </c>
      <c r="E113" s="433"/>
      <c r="F113" s="433"/>
      <c r="G113" s="434"/>
      <c r="H113" s="1398" t="s">
        <v>46</v>
      </c>
      <c r="I113" s="1399">
        <f ca="1">IFERROR(__xludf.DUMMYFUNCTION("IMPORTRANGE(""https://docs.google.com/spreadsheets/d/1eHaY18a8A9IcSdp1K8H6x8fbOy06t2VsZHhMHf-1x7Y/edit?usp=sharing"",""แผน!N26"")"),30)</f>
        <v>30</v>
      </c>
      <c r="J113" s="437">
        <v>0</v>
      </c>
      <c r="K113" s="372">
        <f ca="1">IF(I113&gt;0,J113*100/I113,0)</f>
        <v>0</v>
      </c>
      <c r="L113" s="373"/>
      <c r="M113" s="373"/>
      <c r="N113" s="373"/>
      <c r="O113" s="438"/>
      <c r="P113" s="438"/>
      <c r="Q113" s="373"/>
      <c r="R113" s="373"/>
      <c r="S113" s="373"/>
      <c r="T113" s="438"/>
      <c r="U113" s="43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394">
        <f ca="1">IFERROR(__xludf.DUMMYFUNCTION("IMPORTRANGE(""https://docs.google.com/spreadsheets/d/1eHaY18a8A9IcSdp1K8H6x8fbOy06t2VsZHhMHf-1x7Y/edit?usp=sharing"",""แผน!O26"")"),10)</f>
        <v>10</v>
      </c>
      <c r="J114" s="1395">
        <v>0</v>
      </c>
      <c r="K114" s="224">
        <f ca="1">IF(I114&gt;0,J114*100/I114,0)</f>
        <v>0</v>
      </c>
      <c r="L114" s="45"/>
      <c r="M114" s="45"/>
      <c r="N114" s="45"/>
      <c r="O114" s="136"/>
      <c r="P114" s="136"/>
      <c r="Q114" s="45"/>
      <c r="R114" s="45"/>
      <c r="S114" s="45"/>
      <c r="T114" s="136"/>
      <c r="U114" s="136"/>
    </row>
    <row r="115" spans="1:21" ht="19.5" x14ac:dyDescent="0.3">
      <c r="A115" s="1400" t="s">
        <v>51</v>
      </c>
      <c r="B115" s="1401"/>
      <c r="C115" s="1402"/>
      <c r="D115" s="1403"/>
      <c r="E115" s="1403"/>
      <c r="F115" s="1403"/>
      <c r="G115" s="1403"/>
      <c r="H115" s="1401"/>
      <c r="I115" s="1404"/>
      <c r="J115" s="1404"/>
      <c r="K115" s="1405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71" t="s">
        <v>52</v>
      </c>
      <c r="C116" s="172"/>
      <c r="D116" s="125"/>
      <c r="E116" s="27"/>
      <c r="F116" s="27"/>
      <c r="G116" s="30"/>
      <c r="H116" s="173" t="s">
        <v>35</v>
      </c>
      <c r="I116" s="1386">
        <f ca="1">I127</f>
        <v>50</v>
      </c>
      <c r="J116" s="1386">
        <f>J127</f>
        <v>50</v>
      </c>
      <c r="K116" s="1349">
        <f ca="1">IF(I116&gt;0,J116*100/I116,0)</f>
        <v>100</v>
      </c>
      <c r="L116" s="1387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ht="19.5" x14ac:dyDescent="0.3">
      <c r="A117" s="128"/>
      <c r="B117" s="158"/>
      <c r="C117" s="161" t="s">
        <v>18</v>
      </c>
      <c r="D117" s="1388" t="s">
        <v>19</v>
      </c>
      <c r="E117" s="40"/>
      <c r="F117" s="40"/>
      <c r="G117" s="42"/>
      <c r="H117" s="131" t="s">
        <v>14</v>
      </c>
      <c r="I117" s="44"/>
      <c r="J117" s="44"/>
      <c r="K117" s="45"/>
      <c r="L117" s="1389">
        <f ca="1">L118+L119</f>
        <v>0</v>
      </c>
      <c r="M117" s="1390">
        <f ca="1">M118+M119</f>
        <v>0</v>
      </c>
      <c r="N117" s="1390">
        <f ca="1">N118+N119</f>
        <v>0</v>
      </c>
      <c r="O117" s="1390">
        <f ca="1">IF(L117&gt;0,N117*100/L117,0)</f>
        <v>0</v>
      </c>
      <c r="P117" s="1390">
        <f ca="1">IF(M117&gt;0,N117*100/M117,0)</f>
        <v>0</v>
      </c>
      <c r="Q117" s="1390">
        <f ca="1">Q118+Q119</f>
        <v>284520</v>
      </c>
      <c r="R117" s="1390">
        <f ca="1">R118+R119</f>
        <v>284520</v>
      </c>
      <c r="S117" s="1390">
        <f ca="1">S118+S119</f>
        <v>195200</v>
      </c>
      <c r="T117" s="1390">
        <f ca="1">IF(Q117&gt;0,S117*100/Q117,0)</f>
        <v>68.606776325038666</v>
      </c>
      <c r="U117" s="1390">
        <f ca="1">IF(R117&gt;0,S117*100/R117,0)</f>
        <v>68.606776325038666</v>
      </c>
    </row>
    <row r="118" spans="1:21" ht="18.75" x14ac:dyDescent="0.25">
      <c r="A118" s="128"/>
      <c r="B118" s="158"/>
      <c r="C118" s="158"/>
      <c r="D118" s="158"/>
      <c r="E118" s="156" t="s">
        <v>20</v>
      </c>
      <c r="F118" s="40"/>
      <c r="G118" s="42"/>
      <c r="H118" s="157" t="s">
        <v>14</v>
      </c>
      <c r="I118" s="44"/>
      <c r="J118" s="44"/>
      <c r="K118" s="45"/>
      <c r="L118" s="1358">
        <f>L121+L124</f>
        <v>0</v>
      </c>
      <c r="M118" s="83">
        <f>M121+M124</f>
        <v>0</v>
      </c>
      <c r="N118" s="83">
        <f>N121+N124</f>
        <v>0</v>
      </c>
      <c r="O118" s="83">
        <f>IF(L118&gt;0,N118*100/L118,0)</f>
        <v>0</v>
      </c>
      <c r="P118" s="83">
        <f>IF(M118&gt;0,N118*100/M118,0)</f>
        <v>0</v>
      </c>
      <c r="Q118" s="83">
        <f>Q121+Q124</f>
        <v>0</v>
      </c>
      <c r="R118" s="83">
        <f>R121+R124</f>
        <v>0</v>
      </c>
      <c r="S118" s="83">
        <f>S121+S124</f>
        <v>0</v>
      </c>
      <c r="T118" s="83">
        <f>IF(Q118&gt;0,S118*100/Q118,0)</f>
        <v>0</v>
      </c>
      <c r="U118" s="83">
        <f>IF(R118&gt;0,S118*100/R118,0)</f>
        <v>0</v>
      </c>
    </row>
    <row r="119" spans="1:21" ht="18.75" x14ac:dyDescent="0.25">
      <c r="A119" s="128"/>
      <c r="B119" s="158"/>
      <c r="C119" s="158"/>
      <c r="D119" s="158"/>
      <c r="E119" s="47" t="s">
        <v>21</v>
      </c>
      <c r="F119" s="40"/>
      <c r="G119" s="42"/>
      <c r="H119" s="133" t="s">
        <v>14</v>
      </c>
      <c r="I119" s="44"/>
      <c r="J119" s="44"/>
      <c r="K119" s="45"/>
      <c r="L119" s="1356">
        <f ca="1">L122+L125</f>
        <v>0</v>
      </c>
      <c r="M119" s="224">
        <f ca="1">M122+M125</f>
        <v>0</v>
      </c>
      <c r="N119" s="224">
        <f ca="1">N122+N125</f>
        <v>0</v>
      </c>
      <c r="O119" s="224">
        <f ca="1">IF(L119&gt;0,N119*100/L119,0)</f>
        <v>0</v>
      </c>
      <c r="P119" s="224">
        <f ca="1">IF(M119&gt;0,N119*100/M119,0)</f>
        <v>0</v>
      </c>
      <c r="Q119" s="224">
        <f ca="1">Q122+Q125</f>
        <v>284520</v>
      </c>
      <c r="R119" s="224">
        <f ca="1">R122+R125</f>
        <v>284520</v>
      </c>
      <c r="S119" s="224">
        <f ca="1">S122+S125</f>
        <v>195200</v>
      </c>
      <c r="T119" s="224">
        <f ca="1">IF(Q119&gt;0,S119*100/Q119,0)</f>
        <v>68.606776325038666</v>
      </c>
      <c r="U119" s="224">
        <f ca="1">IF(R119&gt;0,S119*100/R119,0)</f>
        <v>68.606776325038666</v>
      </c>
    </row>
    <row r="120" spans="1:21" ht="18.75" x14ac:dyDescent="0.25">
      <c r="A120" s="128"/>
      <c r="B120" s="158"/>
      <c r="C120" s="174"/>
      <c r="D120" s="1406" t="s">
        <v>22</v>
      </c>
      <c r="E120" s="40"/>
      <c r="F120" s="40"/>
      <c r="G120" s="42"/>
      <c r="H120" s="175" t="s">
        <v>14</v>
      </c>
      <c r="I120" s="44"/>
      <c r="J120" s="44"/>
      <c r="K120" s="45"/>
      <c r="L120" s="1356">
        <f ca="1">L121+L122</f>
        <v>0</v>
      </c>
      <c r="M120" s="224">
        <f ca="1">M121+M122</f>
        <v>0</v>
      </c>
      <c r="N120" s="224">
        <f ca="1">N121+N122</f>
        <v>0</v>
      </c>
      <c r="O120" s="224">
        <f ca="1">IF(L120&gt;0,N120*100/L120,0)</f>
        <v>0</v>
      </c>
      <c r="P120" s="224">
        <f ca="1">IF(M120&gt;0,N120*100/M120,0)</f>
        <v>0</v>
      </c>
      <c r="Q120" s="224">
        <f ca="1">Q121+Q122</f>
        <v>284520</v>
      </c>
      <c r="R120" s="224">
        <f ca="1">R121+R122</f>
        <v>284520</v>
      </c>
      <c r="S120" s="224">
        <f ca="1">S121+S122</f>
        <v>195200</v>
      </c>
      <c r="T120" s="224">
        <f ca="1">IF(Q120&gt;0,S120*100/Q120,0)</f>
        <v>68.606776325038666</v>
      </c>
      <c r="U120" s="224">
        <f ca="1">IF(R120&gt;0,S120*100/R120,0)</f>
        <v>68.606776325038666</v>
      </c>
    </row>
    <row r="121" spans="1:21" ht="18.75" x14ac:dyDescent="0.25">
      <c r="A121" s="128"/>
      <c r="B121" s="158"/>
      <c r="C121" s="174"/>
      <c r="D121" s="158"/>
      <c r="E121" s="156" t="s">
        <v>36</v>
      </c>
      <c r="F121" s="40"/>
      <c r="G121" s="42"/>
      <c r="H121" s="176" t="s">
        <v>14</v>
      </c>
      <c r="I121" s="44"/>
      <c r="J121" s="44"/>
      <c r="K121" s="45"/>
      <c r="L121" s="1358">
        <v>0</v>
      </c>
      <c r="M121" s="83">
        <v>0</v>
      </c>
      <c r="N121" s="83">
        <v>0</v>
      </c>
      <c r="O121" s="83">
        <f>IF(L121&gt;0,N121*100/L121,0)</f>
        <v>0</v>
      </c>
      <c r="P121" s="83">
        <f>IF(M121&gt;0,N121*100/M121,0)</f>
        <v>0</v>
      </c>
      <c r="Q121" s="83">
        <v>0</v>
      </c>
      <c r="R121" s="83">
        <v>0</v>
      </c>
      <c r="S121" s="83">
        <v>0</v>
      </c>
      <c r="T121" s="83">
        <f>IF(Q121&gt;0,S121*100/Q121,0)</f>
        <v>0</v>
      </c>
      <c r="U121" s="83">
        <f>IF(R121&gt;0,S121*100/R121,0)</f>
        <v>0</v>
      </c>
    </row>
    <row r="122" spans="1:21" ht="18.75" x14ac:dyDescent="0.25">
      <c r="A122" s="128"/>
      <c r="B122" s="158"/>
      <c r="C122" s="174"/>
      <c r="D122" s="158"/>
      <c r="E122" s="47" t="s">
        <v>37</v>
      </c>
      <c r="F122" s="40"/>
      <c r="G122" s="42"/>
      <c r="H122" s="175" t="s">
        <v>14</v>
      </c>
      <c r="I122" s="44"/>
      <c r="J122" s="44"/>
      <c r="K122" s="45"/>
      <c r="L122" s="1356">
        <f ca="1">IFERROR(__xludf.DUMMYFUNCTION("IMPORTRANGE(""https://docs.google.com/spreadsheets/d/1-uDff_7J0KD5mKrp0Vvzr7lt3OU09vwQwhkpOPPYv2Y/edit?usp=sharing"",""งบพรบ!BG26"")"),0)</f>
        <v>0</v>
      </c>
      <c r="M122" s="224">
        <f ca="1">IFERROR(__xludf.DUMMYFUNCTION("IMPORTRANGE(""https://docs.google.com/spreadsheets/d/1-uDff_7J0KD5mKrp0Vvzr7lt3OU09vwQwhkpOPPYv2Y/edit?usp=sharing"",""งบพรบ!BL26"")"),0)</f>
        <v>0</v>
      </c>
      <c r="N122" s="224">
        <f ca="1">IFERROR(__xludf.DUMMYFUNCTION("IMPORTRANGE(""https://docs.google.com/spreadsheets/d/1-uDff_7J0KD5mKrp0Vvzr7lt3OU09vwQwhkpOPPYv2Y/edit?usp=sharing"",""งบพรบ!BN26"")"),0)</f>
        <v>0</v>
      </c>
      <c r="O122" s="224">
        <f ca="1">IF(L122&gt;0,N122*100/L122,0)</f>
        <v>0</v>
      </c>
      <c r="P122" s="224">
        <f ca="1">IF(M122&gt;0,N122*100/M122,0)</f>
        <v>0</v>
      </c>
      <c r="Q122" s="224">
        <f ca="1">IFERROR(__xludf.DUMMYFUNCTION("IMPORTRANGE(""https://docs.google.com/spreadsheets/d/1ItG2mGa2ceCfYo0BwxsXqNm01IGEUdYcSSLTEv9YCik/edit?usp=sharing"",""เบิกจ่ายกองทุน!U26"")"),284520)</f>
        <v>284520</v>
      </c>
      <c r="R122" s="224">
        <f ca="1">IFERROR(__xludf.DUMMYFUNCTION("IMPORTRANGE(""https://docs.google.com/spreadsheets/d/1ItG2mGa2ceCfYo0BwxsXqNm01IGEUdYcSSLTEv9YCik/edit?usp=sharing"",""เบิกจ่ายกองทุน!V26"")"),284520)</f>
        <v>284520</v>
      </c>
      <c r="S122" s="224">
        <f ca="1">IFERROR(__xludf.DUMMYFUNCTION("IMPORTRANGE(""https://docs.google.com/spreadsheets/d/1ItG2mGa2ceCfYo0BwxsXqNm01IGEUdYcSSLTEv9YCik/edit?usp=sharing"",""เบิกจ่ายกองทุน!W26"")"),195200)</f>
        <v>195200</v>
      </c>
      <c r="T122" s="224">
        <f ca="1">IF(Q122&gt;0,S122*100/Q122,0)</f>
        <v>68.606776325038666</v>
      </c>
      <c r="U122" s="224">
        <f ca="1">IF(R122&gt;0,S122*100/R122,0)</f>
        <v>68.606776325038666</v>
      </c>
    </row>
    <row r="123" spans="1:21" ht="18.75" x14ac:dyDescent="0.25">
      <c r="A123" s="128"/>
      <c r="B123" s="40"/>
      <c r="C123" s="174"/>
      <c r="D123" s="1406" t="s">
        <v>23</v>
      </c>
      <c r="E123" s="40"/>
      <c r="F123" s="40"/>
      <c r="G123" s="42"/>
      <c r="H123" s="133" t="s">
        <v>14</v>
      </c>
      <c r="I123" s="44"/>
      <c r="J123" s="44"/>
      <c r="K123" s="45"/>
      <c r="L123" s="1356">
        <f ca="1">L124+L125</f>
        <v>0</v>
      </c>
      <c r="M123" s="224">
        <f ca="1">M124+M125</f>
        <v>0</v>
      </c>
      <c r="N123" s="224">
        <f ca="1">N124+N125</f>
        <v>0</v>
      </c>
      <c r="O123" s="224">
        <f ca="1">IF(L123&gt;0,N123*100/L123,0)</f>
        <v>0</v>
      </c>
      <c r="P123" s="224">
        <f ca="1">IF(M123&gt;0,N123*100/M123,0)</f>
        <v>0</v>
      </c>
      <c r="Q123" s="224">
        <f ca="1">Q124+Q125</f>
        <v>0</v>
      </c>
      <c r="R123" s="224">
        <f ca="1">R124+R125</f>
        <v>0</v>
      </c>
      <c r="S123" s="224">
        <f ca="1">S124+S125</f>
        <v>0</v>
      </c>
      <c r="T123" s="224">
        <f ca="1">IF(Q123&gt;0,S123*100/Q123,0)</f>
        <v>0</v>
      </c>
      <c r="U123" s="224">
        <f ca="1">IF(R123&gt;0,S123*100/R123,0)</f>
        <v>0</v>
      </c>
    </row>
    <row r="124" spans="1:21" ht="18.75" x14ac:dyDescent="0.25">
      <c r="A124" s="128"/>
      <c r="B124" s="40"/>
      <c r="C124" s="174"/>
      <c r="D124" s="158"/>
      <c r="E124" s="156" t="s">
        <v>20</v>
      </c>
      <c r="F124" s="40"/>
      <c r="G124" s="42"/>
      <c r="H124" s="176" t="s">
        <v>14</v>
      </c>
      <c r="I124" s="44"/>
      <c r="J124" s="44"/>
      <c r="K124" s="45"/>
      <c r="L124" s="1358">
        <v>0</v>
      </c>
      <c r="M124" s="83">
        <v>0</v>
      </c>
      <c r="N124" s="83">
        <v>0</v>
      </c>
      <c r="O124" s="83">
        <f>IF(L124&gt;0,N124*100/L124,0)</f>
        <v>0</v>
      </c>
      <c r="P124" s="83">
        <f>IF(M124&gt;0,N124*100/M124,0)</f>
        <v>0</v>
      </c>
      <c r="Q124" s="83">
        <v>0</v>
      </c>
      <c r="R124" s="83">
        <v>0</v>
      </c>
      <c r="S124" s="83">
        <v>0</v>
      </c>
      <c r="T124" s="83">
        <f>IF(Q124&gt;0,S124*100/Q124,0)</f>
        <v>0</v>
      </c>
      <c r="U124" s="83">
        <f>IF(R124&gt;0,S124*100/R124,0)</f>
        <v>0</v>
      </c>
    </row>
    <row r="125" spans="1:21" ht="18.75" x14ac:dyDescent="0.25">
      <c r="A125" s="128"/>
      <c r="B125" s="40"/>
      <c r="C125" s="40"/>
      <c r="D125" s="40"/>
      <c r="E125" s="47" t="s">
        <v>21</v>
      </c>
      <c r="F125" s="40"/>
      <c r="G125" s="42"/>
      <c r="H125" s="133" t="s">
        <v>14</v>
      </c>
      <c r="I125" s="44"/>
      <c r="J125" s="44"/>
      <c r="K125" s="45"/>
      <c r="L125" s="1356">
        <f ca="1">IFERROR(__xludf.DUMMYFUNCTION("IMPORTRANGE(""https://docs.google.com/spreadsheets/d/1-uDff_7J0KD5mKrp0Vvzr7lt3OU09vwQwhkpOPPYv2Y/edit?usp=sharing"",""งบพรบ!BJ26"")"),0)</f>
        <v>0</v>
      </c>
      <c r="M125" s="224">
        <f ca="1">IFERROR(__xludf.DUMMYFUNCTION("IMPORTRANGE(""https://docs.google.com/spreadsheets/d/1-uDff_7J0KD5mKrp0Vvzr7lt3OU09vwQwhkpOPPYv2Y/edit?usp=sharing"",""งบพรบ!BM26"")"),0)</f>
        <v>0</v>
      </c>
      <c r="N125" s="224">
        <f ca="1">IFERROR(__xludf.DUMMYFUNCTION("IMPORTRANGE(""https://docs.google.com/spreadsheets/d/1-uDff_7J0KD5mKrp0Vvzr7lt3OU09vwQwhkpOPPYv2Y/edit?usp=sharing"",""งบพรบ!BO26"")"),0)</f>
        <v>0</v>
      </c>
      <c r="O125" s="224">
        <f ca="1">IF(L125&gt;0,N125*100/L125,0)</f>
        <v>0</v>
      </c>
      <c r="P125" s="224">
        <f ca="1">IF(M125&gt;0,N125*100/M125,0)</f>
        <v>0</v>
      </c>
      <c r="Q125" s="224">
        <f ca="1">IFERROR(__xludf.DUMMYFUNCTION("IMPORTRANGE(""https://docs.google.com/spreadsheets/d/1ItG2mGa2ceCfYo0BwxsXqNm01IGEUdYcSSLTEv9YCik/edit?usp=sharing"",""เบิกจ่ายกองทุน!X26"")"),0)</f>
        <v>0</v>
      </c>
      <c r="R125" s="224">
        <f ca="1">IFERROR(__xludf.DUMMYFUNCTION("IMPORTRANGE(""https://docs.google.com/spreadsheets/d/1ItG2mGa2ceCfYo0BwxsXqNm01IGEUdYcSSLTEv9YCik/edit?usp=sharing"",""เบิกจ่ายกองทุน!Y26"")"),0)</f>
        <v>0</v>
      </c>
      <c r="S125" s="224">
        <f ca="1">IFERROR(__xludf.DUMMYFUNCTION("IMPORTRANGE(""https://docs.google.com/spreadsheets/d/1ItG2mGa2ceCfYo0BwxsXqNm01IGEUdYcSSLTEv9YCik/edit?usp=sharing"",""เบิกจ่ายกองทุน!Z26"")"),0)</f>
        <v>0</v>
      </c>
      <c r="T125" s="224">
        <f ca="1">IF(Q125&gt;0,S125*100/Q125,0)</f>
        <v>0</v>
      </c>
      <c r="U125" s="224">
        <f ca="1">IF(R125&gt;0,S125*100/R125,0)</f>
        <v>0</v>
      </c>
    </row>
    <row r="126" spans="1:21" ht="19.5" x14ac:dyDescent="0.3">
      <c r="A126" s="138"/>
      <c r="B126" s="139"/>
      <c r="C126" s="177" t="s">
        <v>18</v>
      </c>
      <c r="D126" s="1391" t="s">
        <v>38</v>
      </c>
      <c r="E126" s="141"/>
      <c r="F126" s="141"/>
      <c r="G126" s="142"/>
      <c r="H126" s="178"/>
      <c r="I126" s="44"/>
      <c r="J126" s="44"/>
      <c r="K126" s="45"/>
      <c r="L126" s="1359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84">
        <f ca="1">IFERROR(__xludf.DUMMYFUNCTION("IMPORTRANGE(""https://docs.google.com/spreadsheets/d/1eHaY18a8A9IcSdp1K8H6x8fbOy06t2VsZHhMHf-1x7Y/edit?usp=sharing"",""แผน!FF26"")"),50)</f>
        <v>50</v>
      </c>
      <c r="J127" s="1395">
        <v>50</v>
      </c>
      <c r="K127" s="224">
        <f ca="1">IF(I127&gt;0,J127*100/I127,0)</f>
        <v>100</v>
      </c>
      <c r="L127" s="1359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84">
        <f ca="1">IFERROR(__xludf.DUMMYFUNCTION("IMPORTRANGE(""https://docs.google.com/spreadsheets/d/1eHaY18a8A9IcSdp1K8H6x8fbOy06t2VsZHhMHf-1x7Y/edit?usp=sharing"",""แผน!FG26"")"),0)</f>
        <v>0</v>
      </c>
      <c r="J128" s="1395">
        <v>2</v>
      </c>
      <c r="K128" s="224">
        <f ca="1">IF(I128&gt;0,J128*100/I128,0)</f>
        <v>0</v>
      </c>
      <c r="L128" s="1359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84">
        <f ca="1">IFERROR(__xludf.DUMMYFUNCTION("IMPORTRANGE(""https://docs.google.com/spreadsheets/d/1eHaY18a8A9IcSdp1K8H6x8fbOy06t2VsZHhMHf-1x7Y/edit?usp=sharing"",""แผน!FH26"")"),20)</f>
        <v>20</v>
      </c>
      <c r="J129" s="1395">
        <v>20</v>
      </c>
      <c r="K129" s="224">
        <f ca="1">IF(I129&gt;0,J129*100/I129,0)</f>
        <v>100</v>
      </c>
      <c r="L129" s="1359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84">
        <f ca="1">IFERROR(__xludf.DUMMYFUNCTION("IMPORTRANGE(""https://docs.google.com/spreadsheets/d/1eHaY18a8A9IcSdp1K8H6x8fbOy06t2VsZHhMHf-1x7Y/edit?usp=sharing"",""แผน!FI26"")"),0)</f>
        <v>0</v>
      </c>
      <c r="J130" s="1395">
        <v>1</v>
      </c>
      <c r="K130" s="224">
        <f ca="1">IF(I130&gt;0,J130*100/I130,0)</f>
        <v>0</v>
      </c>
      <c r="L130" s="1359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ht="18.75" x14ac:dyDescent="0.25">
      <c r="A131" s="138"/>
      <c r="B131" s="139"/>
      <c r="C131" s="139"/>
      <c r="D131" s="179" t="s">
        <v>56</v>
      </c>
      <c r="E131" s="145"/>
      <c r="F131" s="145"/>
      <c r="G131" s="143"/>
      <c r="H131" s="157" t="s">
        <v>35</v>
      </c>
      <c r="I131" s="44"/>
      <c r="J131" s="44"/>
      <c r="K131" s="45"/>
      <c r="L131" s="1359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ht="18.75" x14ac:dyDescent="0.25">
      <c r="A132" s="138"/>
      <c r="B132" s="139"/>
      <c r="C132" s="139"/>
      <c r="D132" s="179" t="s">
        <v>57</v>
      </c>
      <c r="E132" s="145"/>
      <c r="F132" s="145"/>
      <c r="G132" s="143"/>
      <c r="H132" s="180"/>
      <c r="I132" s="44"/>
      <c r="J132" s="44"/>
      <c r="K132" s="45"/>
      <c r="L132" s="1359"/>
      <c r="M132" s="45"/>
      <c r="N132" s="45"/>
      <c r="O132" s="45"/>
      <c r="P132" s="45"/>
      <c r="Q132" s="45"/>
      <c r="R132" s="45"/>
      <c r="S132" s="45"/>
      <c r="T132" s="45"/>
      <c r="U132" s="45"/>
    </row>
    <row r="133" spans="1:21" ht="12.75" x14ac:dyDescent="0.2">
      <c r="A133" s="162"/>
      <c r="B133" s="163"/>
      <c r="C133" s="163"/>
      <c r="D133" s="18"/>
      <c r="E133" s="18"/>
      <c r="F133" s="18"/>
      <c r="G133" s="19"/>
      <c r="H133" s="181"/>
      <c r="I133" s="20"/>
      <c r="J133" s="20"/>
      <c r="K133" s="21"/>
      <c r="L133" s="1346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ht="19.5" x14ac:dyDescent="0.3">
      <c r="A134" s="118" t="s">
        <v>58</v>
      </c>
      <c r="B134" s="119"/>
      <c r="C134" s="168"/>
      <c r="D134" s="119"/>
      <c r="E134" s="119"/>
      <c r="F134" s="119"/>
      <c r="G134" s="119"/>
      <c r="H134" s="119"/>
      <c r="I134" s="169"/>
      <c r="J134" s="169"/>
      <c r="K134" s="170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8" t="s">
        <v>59</v>
      </c>
      <c r="C135" s="172"/>
      <c r="D135" s="125"/>
      <c r="E135" s="27"/>
      <c r="F135" s="27"/>
      <c r="G135" s="27"/>
      <c r="H135" s="27"/>
      <c r="I135" s="182"/>
      <c r="J135" s="32"/>
      <c r="K135" s="33"/>
      <c r="L135" s="1387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1:21" ht="19.5" x14ac:dyDescent="0.3">
      <c r="A136" s="124"/>
      <c r="B136" s="27"/>
      <c r="C136" s="183" t="s">
        <v>60</v>
      </c>
      <c r="D136" s="125"/>
      <c r="E136" s="27"/>
      <c r="F136" s="27"/>
      <c r="G136" s="30"/>
      <c r="H136" s="126" t="s">
        <v>61</v>
      </c>
      <c r="I136" s="1386">
        <f ca="1">I154</f>
        <v>3</v>
      </c>
      <c r="J136" s="1386">
        <f>J154</f>
        <v>0</v>
      </c>
      <c r="K136" s="1349">
        <f ca="1">IF(I136&gt;0,J136*100/I136,0)</f>
        <v>0</v>
      </c>
      <c r="L136" s="1387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1:21" ht="19.5" x14ac:dyDescent="0.3">
      <c r="A137" s="124"/>
      <c r="B137" s="27"/>
      <c r="C137" s="183" t="s">
        <v>62</v>
      </c>
      <c r="D137" s="125"/>
      <c r="E137" s="27"/>
      <c r="F137" s="27"/>
      <c r="G137" s="30"/>
      <c r="H137" s="126" t="s">
        <v>35</v>
      </c>
      <c r="I137" s="1386">
        <f ca="1">I152</f>
        <v>40</v>
      </c>
      <c r="J137" s="1386">
        <f>J152</f>
        <v>40</v>
      </c>
      <c r="K137" s="1349">
        <f ca="1">IF(I137&gt;0,J137*100/I137,0)</f>
        <v>100</v>
      </c>
      <c r="L137" s="1387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:21" ht="19.5" x14ac:dyDescent="0.3">
      <c r="A138" s="124"/>
      <c r="B138" s="27"/>
      <c r="C138" s="172"/>
      <c r="D138" s="125"/>
      <c r="E138" s="27"/>
      <c r="F138" s="27"/>
      <c r="G138" s="30"/>
      <c r="H138" s="126" t="s">
        <v>54</v>
      </c>
      <c r="I138" s="1386">
        <f ca="1">I153</f>
        <v>4</v>
      </c>
      <c r="J138" s="1386">
        <f>J153</f>
        <v>4</v>
      </c>
      <c r="K138" s="1349">
        <f ca="1">IF(I138&gt;0,J138*100/I138,0)</f>
        <v>100</v>
      </c>
      <c r="L138" s="1387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1:21" ht="19.5" x14ac:dyDescent="0.3">
      <c r="A139" s="128"/>
      <c r="B139" s="40"/>
      <c r="C139" s="129" t="s">
        <v>18</v>
      </c>
      <c r="D139" s="1388" t="s">
        <v>19</v>
      </c>
      <c r="E139" s="40"/>
      <c r="F139" s="40"/>
      <c r="G139" s="42"/>
      <c r="H139" s="131" t="s">
        <v>14</v>
      </c>
      <c r="I139" s="44"/>
      <c r="J139" s="44"/>
      <c r="K139" s="45"/>
      <c r="L139" s="1389">
        <f ca="1">L140+L141</f>
        <v>164700</v>
      </c>
      <c r="M139" s="1390">
        <f ca="1">M140+M141</f>
        <v>159700</v>
      </c>
      <c r="N139" s="1390">
        <f ca="1">N140+N141</f>
        <v>148671.07999999999</v>
      </c>
      <c r="O139" s="1390">
        <f ca="1">IF(L139&gt;0,N139*100/L139,0)</f>
        <v>90.267808136004845</v>
      </c>
      <c r="P139" s="1390">
        <f ca="1">IF(M139&gt;0,N139*100/M139,0)</f>
        <v>93.09397620538509</v>
      </c>
      <c r="Q139" s="1390">
        <f ca="1">Q140+Q141</f>
        <v>434860</v>
      </c>
      <c r="R139" s="1390">
        <f ca="1">R140+R141</f>
        <v>0</v>
      </c>
      <c r="S139" s="1390">
        <f ca="1">S140+S141</f>
        <v>0</v>
      </c>
      <c r="T139" s="1390">
        <f ca="1">IF(Q139&gt;0,S139*100/Q139,0)</f>
        <v>0</v>
      </c>
      <c r="U139" s="1390">
        <f ca="1">IF(R139&gt;0,S139*100/R139,0)</f>
        <v>0</v>
      </c>
    </row>
    <row r="140" spans="1:21" ht="18.75" x14ac:dyDescent="0.25">
      <c r="A140" s="128"/>
      <c r="B140" s="40"/>
      <c r="C140" s="40"/>
      <c r="D140" s="40"/>
      <c r="E140" s="156" t="s">
        <v>20</v>
      </c>
      <c r="F140" s="40"/>
      <c r="G140" s="42"/>
      <c r="H140" s="157" t="s">
        <v>14</v>
      </c>
      <c r="I140" s="44"/>
      <c r="J140" s="44"/>
      <c r="K140" s="45"/>
      <c r="L140" s="1358">
        <f>L143+L146</f>
        <v>0</v>
      </c>
      <c r="M140" s="83">
        <f>M143+M146</f>
        <v>0</v>
      </c>
      <c r="N140" s="83">
        <f>N143+N146</f>
        <v>0</v>
      </c>
      <c r="O140" s="83">
        <f>IF(L140&gt;0,N140*100/L140,0)</f>
        <v>0</v>
      </c>
      <c r="P140" s="83">
        <f>IF(M140&gt;0,N140*100/M140,0)</f>
        <v>0</v>
      </c>
      <c r="Q140" s="83">
        <f>Q143+Q146</f>
        <v>0</v>
      </c>
      <c r="R140" s="83">
        <f>R143+R146</f>
        <v>0</v>
      </c>
      <c r="S140" s="83">
        <f>S143+S146</f>
        <v>0</v>
      </c>
      <c r="T140" s="83">
        <f>IF(Q140&gt;0,S140*100/Q140,0)</f>
        <v>0</v>
      </c>
      <c r="U140" s="83">
        <f>IF(R140&gt;0,S140*100/R140,0)</f>
        <v>0</v>
      </c>
    </row>
    <row r="141" spans="1:21" ht="18.75" x14ac:dyDescent="0.25">
      <c r="A141" s="128"/>
      <c r="B141" s="40"/>
      <c r="C141" s="40"/>
      <c r="D141" s="40"/>
      <c r="E141" s="47" t="s">
        <v>21</v>
      </c>
      <c r="F141" s="40"/>
      <c r="G141" s="42"/>
      <c r="H141" s="133" t="s">
        <v>14</v>
      </c>
      <c r="I141" s="44"/>
      <c r="J141" s="44"/>
      <c r="K141" s="45"/>
      <c r="L141" s="1356">
        <f ca="1">L144+L147</f>
        <v>164700</v>
      </c>
      <c r="M141" s="224">
        <f ca="1">M144+M147</f>
        <v>159700</v>
      </c>
      <c r="N141" s="224">
        <f ca="1">N144+N147</f>
        <v>148671.07999999999</v>
      </c>
      <c r="O141" s="224">
        <f ca="1">IF(L141&gt;0,N141*100/L141,0)</f>
        <v>90.267808136004845</v>
      </c>
      <c r="P141" s="224">
        <f ca="1">IF(M141&gt;0,N141*100/M141,0)</f>
        <v>93.09397620538509</v>
      </c>
      <c r="Q141" s="224">
        <f ca="1">Q144+Q147</f>
        <v>434860</v>
      </c>
      <c r="R141" s="224">
        <f ca="1">R144+R147</f>
        <v>0</v>
      </c>
      <c r="S141" s="224">
        <f ca="1">S144+S147</f>
        <v>0</v>
      </c>
      <c r="T141" s="224">
        <f ca="1">IF(Q141&gt;0,S141*100/Q141,0)</f>
        <v>0</v>
      </c>
      <c r="U141" s="224">
        <f ca="1">IF(R141&gt;0,S141*100/R141,0)</f>
        <v>0</v>
      </c>
    </row>
    <row r="142" spans="1:21" ht="18.75" x14ac:dyDescent="0.25">
      <c r="A142" s="128"/>
      <c r="B142" s="40"/>
      <c r="C142" s="40"/>
      <c r="D142" s="41" t="s">
        <v>22</v>
      </c>
      <c r="E142" s="40"/>
      <c r="F142" s="40"/>
      <c r="G142" s="42"/>
      <c r="H142" s="134" t="s">
        <v>14</v>
      </c>
      <c r="I142" s="135"/>
      <c r="J142" s="135"/>
      <c r="K142" s="136"/>
      <c r="L142" s="1356">
        <f ca="1">L143+L144</f>
        <v>164700</v>
      </c>
      <c r="M142" s="224">
        <f ca="1">M143+M144</f>
        <v>159700</v>
      </c>
      <c r="N142" s="224">
        <f ca="1">N143+N144</f>
        <v>148671.07999999999</v>
      </c>
      <c r="O142" s="224">
        <f ca="1">IF(L142&gt;0,N142*100/L142,0)</f>
        <v>90.267808136004845</v>
      </c>
      <c r="P142" s="224">
        <f ca="1">IF(M142&gt;0,N142*100/M142,0)</f>
        <v>93.09397620538509</v>
      </c>
      <c r="Q142" s="224">
        <f ca="1">Q143+Q144</f>
        <v>434860</v>
      </c>
      <c r="R142" s="224">
        <f ca="1">R143+R144</f>
        <v>0</v>
      </c>
      <c r="S142" s="224">
        <f ca="1">S143+S144</f>
        <v>0</v>
      </c>
      <c r="T142" s="224">
        <f ca="1">IF(Q142&gt;0,S142*100/Q142,0)</f>
        <v>0</v>
      </c>
      <c r="U142" s="224">
        <f ca="1">IF(R142&gt;0,S142*100/R142,0)</f>
        <v>0</v>
      </c>
    </row>
    <row r="143" spans="1:21" ht="18.75" x14ac:dyDescent="0.25">
      <c r="A143" s="128"/>
      <c r="B143" s="40"/>
      <c r="C143" s="40"/>
      <c r="D143" s="40"/>
      <c r="E143" s="156" t="s">
        <v>36</v>
      </c>
      <c r="F143" s="40"/>
      <c r="G143" s="42"/>
      <c r="H143" s="159" t="s">
        <v>14</v>
      </c>
      <c r="I143" s="135"/>
      <c r="J143" s="135"/>
      <c r="K143" s="136"/>
      <c r="L143" s="1358">
        <v>0</v>
      </c>
      <c r="M143" s="83">
        <v>0</v>
      </c>
      <c r="N143" s="83">
        <v>0</v>
      </c>
      <c r="O143" s="83">
        <f>IF(L143&gt;0,N143*100/L143,0)</f>
        <v>0</v>
      </c>
      <c r="P143" s="83">
        <f>IF(M143&gt;0,N143*100/M143,0)</f>
        <v>0</v>
      </c>
      <c r="Q143" s="83">
        <v>0</v>
      </c>
      <c r="R143" s="83">
        <v>0</v>
      </c>
      <c r="S143" s="83">
        <v>0</v>
      </c>
      <c r="T143" s="83">
        <f>IF(Q143&gt;0,S143*100/Q143,0)</f>
        <v>0</v>
      </c>
      <c r="U143" s="83">
        <f>IF(R143&gt;0,S143*100/R143,0)</f>
        <v>0</v>
      </c>
    </row>
    <row r="144" spans="1:21" ht="18.75" x14ac:dyDescent="0.25">
      <c r="A144" s="128"/>
      <c r="B144" s="40"/>
      <c r="C144" s="40"/>
      <c r="D144" s="40"/>
      <c r="E144" s="47" t="s">
        <v>37</v>
      </c>
      <c r="F144" s="40"/>
      <c r="G144" s="42"/>
      <c r="H144" s="134" t="s">
        <v>14</v>
      </c>
      <c r="I144" s="135"/>
      <c r="J144" s="135"/>
      <c r="K144" s="136"/>
      <c r="L144" s="1356">
        <f ca="1">IFERROR(__xludf.DUMMYFUNCTION("IMPORTRANGE(""https://docs.google.com/spreadsheets/d/1-uDff_7J0KD5mKrp0Vvzr7lt3OU09vwQwhkpOPPYv2Y/edit?usp=sharing"",""งบพรบ!BQ26"")"),164700)</f>
        <v>164700</v>
      </c>
      <c r="M144" s="224">
        <f ca="1">IFERROR(__xludf.DUMMYFUNCTION("IMPORTRANGE(""https://docs.google.com/spreadsheets/d/1-uDff_7J0KD5mKrp0Vvzr7lt3OU09vwQwhkpOPPYv2Y/edit?usp=sharing"",""งบพรบ!BV26"")"),159700)</f>
        <v>159700</v>
      </c>
      <c r="N144" s="224">
        <f ca="1">IFERROR(__xludf.DUMMYFUNCTION("IMPORTRANGE(""https://docs.google.com/spreadsheets/d/1-uDff_7J0KD5mKrp0Vvzr7lt3OU09vwQwhkpOPPYv2Y/edit?usp=sharing"",""งบพรบ!BX26"")"),148671.08)</f>
        <v>148671.07999999999</v>
      </c>
      <c r="O144" s="224">
        <f ca="1">IF(L144&gt;0,N144*100/L144,0)</f>
        <v>90.267808136004845</v>
      </c>
      <c r="P144" s="224">
        <f ca="1">IF(M144&gt;0,N144*100/M144,0)</f>
        <v>93.09397620538509</v>
      </c>
      <c r="Q144" s="224">
        <f ca="1">IFERROR(__xludf.DUMMYFUNCTION("IMPORTRANGE(""https://docs.google.com/spreadsheets/d/1ItG2mGa2ceCfYo0BwxsXqNm01IGEUdYcSSLTEv9YCik/edit?usp=sharing"",""เบิกจ่ายกองทุน!CF26"")"),434860)</f>
        <v>434860</v>
      </c>
      <c r="R144" s="224">
        <f ca="1">IFERROR(__xludf.DUMMYFUNCTION("IMPORTRANGE(""https://docs.google.com/spreadsheets/d/1ItG2mGa2ceCfYo0BwxsXqNm01IGEUdYcSSLTEv9YCik/edit?usp=sharing"",""เบิกจ่ายกองทุน!CG26"")"),0)</f>
        <v>0</v>
      </c>
      <c r="S144" s="224">
        <f ca="1">IFERROR(__xludf.DUMMYFUNCTION("IMPORTRANGE(""https://docs.google.com/spreadsheets/d/1ItG2mGa2ceCfYo0BwxsXqNm01IGEUdYcSSLTEv9YCik/edit?usp=sharing"",""เบิกจ่ายกองทุน!CH26"")"),0)</f>
        <v>0</v>
      </c>
      <c r="T144" s="224">
        <f ca="1">IF(Q144&gt;0,S144*100/Q144,0)</f>
        <v>0</v>
      </c>
      <c r="U144" s="224">
        <f ca="1">IF(R144&gt;0,S144*100/R144,0)</f>
        <v>0</v>
      </c>
    </row>
    <row r="145" spans="1:21" ht="18.75" x14ac:dyDescent="0.25">
      <c r="A145" s="128"/>
      <c r="B145" s="40"/>
      <c r="C145" s="40"/>
      <c r="D145" s="41" t="s">
        <v>23</v>
      </c>
      <c r="E145" s="40"/>
      <c r="F145" s="40"/>
      <c r="G145" s="42"/>
      <c r="H145" s="137" t="s">
        <v>14</v>
      </c>
      <c r="I145" s="135"/>
      <c r="J145" s="135"/>
      <c r="K145" s="136"/>
      <c r="L145" s="1356">
        <f ca="1">L146+L147</f>
        <v>0</v>
      </c>
      <c r="M145" s="224">
        <f ca="1">M146+M147</f>
        <v>0</v>
      </c>
      <c r="N145" s="224">
        <f ca="1">N146+N147</f>
        <v>0</v>
      </c>
      <c r="O145" s="224">
        <f ca="1">IF(L145&gt;0,N145*100/L145,0)</f>
        <v>0</v>
      </c>
      <c r="P145" s="224">
        <f ca="1">IF(M145&gt;0,N145*100/M145,0)</f>
        <v>0</v>
      </c>
      <c r="Q145" s="224">
        <f ca="1">Q146+Q147</f>
        <v>0</v>
      </c>
      <c r="R145" s="224">
        <f ca="1">R146+R147</f>
        <v>0</v>
      </c>
      <c r="S145" s="224">
        <f ca="1">S146+S147</f>
        <v>0</v>
      </c>
      <c r="T145" s="224">
        <f ca="1">IF(Q145&gt;0,S145*100/Q145,0)</f>
        <v>0</v>
      </c>
      <c r="U145" s="224">
        <f ca="1">IF(R145&gt;0,S145*100/R145,0)</f>
        <v>0</v>
      </c>
    </row>
    <row r="146" spans="1:21" ht="18.75" x14ac:dyDescent="0.25">
      <c r="A146" s="128"/>
      <c r="B146" s="40"/>
      <c r="C146" s="40"/>
      <c r="D146" s="40"/>
      <c r="E146" s="156" t="s">
        <v>20</v>
      </c>
      <c r="F146" s="40"/>
      <c r="G146" s="42"/>
      <c r="H146" s="159" t="s">
        <v>14</v>
      </c>
      <c r="I146" s="135"/>
      <c r="J146" s="135"/>
      <c r="K146" s="136"/>
      <c r="L146" s="1358">
        <v>0</v>
      </c>
      <c r="M146" s="83">
        <v>0</v>
      </c>
      <c r="N146" s="83">
        <v>0</v>
      </c>
      <c r="O146" s="83">
        <f>IF(L146&gt;0,N146*100/L146,0)</f>
        <v>0</v>
      </c>
      <c r="P146" s="83">
        <f>IF(M146&gt;0,N146*100/M146,0)</f>
        <v>0</v>
      </c>
      <c r="Q146" s="83">
        <v>0</v>
      </c>
      <c r="R146" s="83">
        <v>0</v>
      </c>
      <c r="S146" s="83">
        <v>0</v>
      </c>
      <c r="T146" s="83">
        <f>IF(Q146&gt;0,S146*100/Q146,0)</f>
        <v>0</v>
      </c>
      <c r="U146" s="83">
        <f>IF(R146&gt;0,S146*100/R146,0)</f>
        <v>0</v>
      </c>
    </row>
    <row r="147" spans="1:21" ht="18.75" x14ac:dyDescent="0.25">
      <c r="A147" s="128"/>
      <c r="B147" s="40"/>
      <c r="C147" s="40"/>
      <c r="D147" s="40"/>
      <c r="E147" s="47" t="s">
        <v>21</v>
      </c>
      <c r="F147" s="40"/>
      <c r="G147" s="42"/>
      <c r="H147" s="137" t="s">
        <v>14</v>
      </c>
      <c r="I147" s="135"/>
      <c r="J147" s="135"/>
      <c r="K147" s="136"/>
      <c r="L147" s="1356">
        <f ca="1">IFERROR(__xludf.DUMMYFUNCTION("IMPORTRANGE(""https://docs.google.com/spreadsheets/d/1-uDff_7J0KD5mKrp0Vvzr7lt3OU09vwQwhkpOPPYv2Y/edit?usp=sharing"",""งบพรบ!BT26"")"),0)</f>
        <v>0</v>
      </c>
      <c r="M147" s="224">
        <f ca="1">IFERROR(__xludf.DUMMYFUNCTION("IMPORTRANGE(""https://docs.google.com/spreadsheets/d/1-uDff_7J0KD5mKrp0Vvzr7lt3OU09vwQwhkpOPPYv2Y/edit?usp=sharing"",""งบพรบ!BW26"")"),0)</f>
        <v>0</v>
      </c>
      <c r="N147" s="224">
        <f ca="1">IFERROR(__xludf.DUMMYFUNCTION("IMPORTRANGE(""https://docs.google.com/spreadsheets/d/1-uDff_7J0KD5mKrp0Vvzr7lt3OU09vwQwhkpOPPYv2Y/edit?usp=sharing"",""งบพรบ!BY26"")"),0)</f>
        <v>0</v>
      </c>
      <c r="O147" s="224">
        <f ca="1">IF(L147&gt;0,N147*100/L147,0)</f>
        <v>0</v>
      </c>
      <c r="P147" s="224">
        <f ca="1">IF(M147&gt;0,N147*100/M147,0)</f>
        <v>0</v>
      </c>
      <c r="Q147" s="224">
        <f ca="1">IFERROR(__xludf.DUMMYFUNCTION("IMPORTRANGE(""https://docs.google.com/spreadsheets/d/1ItG2mGa2ceCfYo0BwxsXqNm01IGEUdYcSSLTEv9YCik/edit?usp=sharing"",""เบิกจ่ายกองทุน!CI26"")"),0)</f>
        <v>0</v>
      </c>
      <c r="R147" s="224">
        <f ca="1">IFERROR(__xludf.DUMMYFUNCTION("IMPORTRANGE(""https://docs.google.com/spreadsheets/d/1ItG2mGa2ceCfYo0BwxsXqNm01IGEUdYcSSLTEv9YCik/edit?usp=sharing"",""เบิกจ่ายกองทุน!CJ26"")"),0)</f>
        <v>0</v>
      </c>
      <c r="S147" s="224">
        <f ca="1">IFERROR(__xludf.DUMMYFUNCTION("IMPORTRANGE(""https://docs.google.com/spreadsheets/d/1ItG2mGa2ceCfYo0BwxsXqNm01IGEUdYcSSLTEv9YCik/edit?usp=sharing"",""เบิกจ่ายกองทุน!CK26"")"),0)</f>
        <v>0</v>
      </c>
      <c r="T147" s="224">
        <f ca="1">IF(Q147&gt;0,S147*100/Q147,0)</f>
        <v>0</v>
      </c>
      <c r="U147" s="224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1391" t="s">
        <v>38</v>
      </c>
      <c r="E148" s="141"/>
      <c r="F148" s="141"/>
      <c r="G148" s="142"/>
      <c r="H148" s="178"/>
      <c r="I148" s="44"/>
      <c r="J148" s="44"/>
      <c r="K148" s="45"/>
      <c r="L148" s="1359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1:21" ht="18.75" x14ac:dyDescent="0.25">
      <c r="A149" s="128"/>
      <c r="B149" s="40"/>
      <c r="C149" s="40"/>
      <c r="D149" s="47" t="s">
        <v>63</v>
      </c>
      <c r="E149" s="40"/>
      <c r="F149" s="40"/>
      <c r="G149" s="42"/>
      <c r="H149" s="178"/>
      <c r="I149" s="44"/>
      <c r="J149" s="1395">
        <v>0</v>
      </c>
      <c r="K149" s="45"/>
      <c r="L149" s="1359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1:21" ht="19.5" x14ac:dyDescent="0.3">
      <c r="A150" s="128"/>
      <c r="B150" s="40"/>
      <c r="C150" s="40"/>
      <c r="D150" s="145"/>
      <c r="E150" s="129" t="s">
        <v>64</v>
      </c>
      <c r="F150" s="40"/>
      <c r="G150" s="42"/>
      <c r="H150" s="137" t="s">
        <v>35</v>
      </c>
      <c r="I150" s="184">
        <f ca="1">IFERROR(__xludf.DUMMYFUNCTION("IMPORTRANGE(""https://docs.google.com/spreadsheets/d/1eHaY18a8A9IcSdp1K8H6x8fbOy06t2VsZHhMHf-1x7Y/edit?usp=sharing"",""แผน!U26"")"),30)</f>
        <v>30</v>
      </c>
      <c r="J150" s="1395">
        <v>30</v>
      </c>
      <c r="K150" s="224">
        <f ca="1">IF(I150&gt;0,J150*100/I150,0)</f>
        <v>100</v>
      </c>
      <c r="L150" s="1359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1:21" ht="18.75" x14ac:dyDescent="0.25">
      <c r="A151" s="128"/>
      <c r="B151" s="40"/>
      <c r="C151" s="40"/>
      <c r="D151" s="145"/>
      <c r="E151" s="40"/>
      <c r="F151" s="40"/>
      <c r="G151" s="42"/>
      <c r="H151" s="137" t="s">
        <v>54</v>
      </c>
      <c r="I151" s="184">
        <f ca="1">IFERROR(__xludf.DUMMYFUNCTION("IMPORTRANGE(""https://docs.google.com/spreadsheets/d/1eHaY18a8A9IcSdp1K8H6x8fbOy06t2VsZHhMHf-1x7Y/edit?usp=sharing"",""แผน!V26"")"),3)</f>
        <v>3</v>
      </c>
      <c r="J151" s="1395">
        <v>3</v>
      </c>
      <c r="K151" s="224">
        <f ca="1">IF(I151&gt;0,J151*100/I151,0)</f>
        <v>100</v>
      </c>
      <c r="L151" s="1359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1:21" ht="19.5" x14ac:dyDescent="0.3">
      <c r="A152" s="128"/>
      <c r="B152" s="40"/>
      <c r="C152" s="40"/>
      <c r="D152" s="145"/>
      <c r="E152" s="129" t="s">
        <v>65</v>
      </c>
      <c r="F152" s="40"/>
      <c r="G152" s="42"/>
      <c r="H152" s="137" t="s">
        <v>35</v>
      </c>
      <c r="I152" s="184">
        <f ca="1">IFERROR(__xludf.DUMMYFUNCTION("IMPORTRANGE(""https://docs.google.com/spreadsheets/d/1eHaY18a8A9IcSdp1K8H6x8fbOy06t2VsZHhMHf-1x7Y/edit?usp=sharing"",""แผน!W26"")"),40)</f>
        <v>40</v>
      </c>
      <c r="J152" s="1395">
        <v>40</v>
      </c>
      <c r="K152" s="224">
        <f ca="1">IF(I152&gt;0,J152*100/I152,0)</f>
        <v>100</v>
      </c>
      <c r="L152" s="1359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1:21" ht="18.75" x14ac:dyDescent="0.25">
      <c r="A153" s="128"/>
      <c r="B153" s="40"/>
      <c r="C153" s="40"/>
      <c r="D153" s="40"/>
      <c r="E153" s="40"/>
      <c r="F153" s="40"/>
      <c r="G153" s="42"/>
      <c r="H153" s="137" t="s">
        <v>54</v>
      </c>
      <c r="I153" s="184">
        <f ca="1">IFERROR(__xludf.DUMMYFUNCTION("IMPORTRANGE(""https://docs.google.com/spreadsheets/d/1eHaY18a8A9IcSdp1K8H6x8fbOy06t2VsZHhMHf-1x7Y/edit?usp=sharing"",""แผน!X26"")"),4)</f>
        <v>4</v>
      </c>
      <c r="J153" s="1395">
        <v>4</v>
      </c>
      <c r="K153" s="224">
        <f ca="1">IF(I153&gt;0,J153*100/I153,0)</f>
        <v>100</v>
      </c>
      <c r="L153" s="1359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1:21" ht="18.75" x14ac:dyDescent="0.25">
      <c r="A154" s="128"/>
      <c r="B154" s="40"/>
      <c r="C154" s="40"/>
      <c r="D154" s="47" t="s">
        <v>66</v>
      </c>
      <c r="E154" s="40"/>
      <c r="F154" s="40"/>
      <c r="G154" s="42"/>
      <c r="H154" s="137" t="s">
        <v>61</v>
      </c>
      <c r="I154" s="184">
        <f ca="1">IFERROR(__xludf.DUMMYFUNCTION("IMPORTRANGE(""https://docs.google.com/spreadsheets/d/1eHaY18a8A9IcSdp1K8H6x8fbOy06t2VsZHhMHf-1x7Y/edit?usp=sharing"",""แผน!Y26"")"),3)</f>
        <v>3</v>
      </c>
      <c r="J154" s="1395">
        <v>0</v>
      </c>
      <c r="K154" s="224">
        <f ca="1">IF(I154&gt;0,J154*100/I154,0)</f>
        <v>0</v>
      </c>
      <c r="L154" s="1359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1:21" ht="19.5" x14ac:dyDescent="0.3">
      <c r="A155" s="118" t="s">
        <v>67</v>
      </c>
      <c r="B155" s="119"/>
      <c r="C155" s="168"/>
      <c r="D155" s="119"/>
      <c r="E155" s="119"/>
      <c r="F155" s="119"/>
      <c r="G155" s="119"/>
      <c r="H155" s="119"/>
      <c r="I155" s="169"/>
      <c r="J155" s="169"/>
      <c r="K155" s="170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8" t="s">
        <v>68</v>
      </c>
      <c r="C156" s="27"/>
      <c r="D156" s="27"/>
      <c r="E156" s="27"/>
      <c r="F156" s="27"/>
      <c r="G156" s="30"/>
      <c r="H156" s="173" t="s">
        <v>35</v>
      </c>
      <c r="I156" s="1386">
        <f ca="1">I169</f>
        <v>0</v>
      </c>
      <c r="J156" s="1386">
        <f>J169</f>
        <v>0</v>
      </c>
      <c r="K156" s="1349">
        <f ca="1">IF(I156&gt;0,J156*100/I156,0)</f>
        <v>0</v>
      </c>
      <c r="L156" s="1387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1:21" ht="19.5" x14ac:dyDescent="0.3">
      <c r="A157" s="128"/>
      <c r="B157" s="40"/>
      <c r="C157" s="129" t="s">
        <v>18</v>
      </c>
      <c r="D157" s="1388" t="s">
        <v>19</v>
      </c>
      <c r="E157" s="40"/>
      <c r="F157" s="40"/>
      <c r="G157" s="42"/>
      <c r="H157" s="131" t="s">
        <v>14</v>
      </c>
      <c r="I157" s="44"/>
      <c r="J157" s="44"/>
      <c r="K157" s="45"/>
      <c r="L157" s="1389">
        <f ca="1">L158+L159</f>
        <v>0</v>
      </c>
      <c r="M157" s="1390">
        <f ca="1">M158+M159</f>
        <v>4080</v>
      </c>
      <c r="N157" s="1390">
        <f ca="1">N158+N159</f>
        <v>2480</v>
      </c>
      <c r="O157" s="1390">
        <f ca="1">IF(L157&gt;0,N157*100/L157,0)</f>
        <v>0</v>
      </c>
      <c r="P157" s="1390">
        <f ca="1">IF(M157&gt;0,N157*100/M157,0)</f>
        <v>60.784313725490193</v>
      </c>
      <c r="Q157" s="1390">
        <f ca="1">Q158+Q159</f>
        <v>0</v>
      </c>
      <c r="R157" s="1390">
        <f ca="1">R158+R159</f>
        <v>0</v>
      </c>
      <c r="S157" s="1390">
        <f ca="1">S158+S159</f>
        <v>0</v>
      </c>
      <c r="T157" s="1390">
        <f ca="1">IF(Q157&gt;0,S157*100/Q157,0)</f>
        <v>0</v>
      </c>
      <c r="U157" s="1390">
        <f ca="1">IF(R157&gt;0,S157*100/R157,0)</f>
        <v>0</v>
      </c>
    </row>
    <row r="158" spans="1:21" ht="18.75" x14ac:dyDescent="0.25">
      <c r="A158" s="128"/>
      <c r="B158" s="40"/>
      <c r="C158" s="40"/>
      <c r="D158" s="40"/>
      <c r="E158" s="156" t="s">
        <v>20</v>
      </c>
      <c r="F158" s="40"/>
      <c r="G158" s="42"/>
      <c r="H158" s="157" t="s">
        <v>14</v>
      </c>
      <c r="I158" s="44"/>
      <c r="J158" s="44"/>
      <c r="K158" s="45"/>
      <c r="L158" s="1358">
        <f>L161+L164</f>
        <v>0</v>
      </c>
      <c r="M158" s="83">
        <f>M161+M164</f>
        <v>0</v>
      </c>
      <c r="N158" s="83">
        <f>N161+N164</f>
        <v>0</v>
      </c>
      <c r="O158" s="83">
        <f>IF(L158&gt;0,N158*100/L158,0)</f>
        <v>0</v>
      </c>
      <c r="P158" s="83">
        <f>IF(M158&gt;0,N158*100/M158,0)</f>
        <v>0</v>
      </c>
      <c r="Q158" s="83">
        <f>Q161+Q164</f>
        <v>0</v>
      </c>
      <c r="R158" s="83">
        <f>R161+R164</f>
        <v>0</v>
      </c>
      <c r="S158" s="83">
        <f>S161+S164</f>
        <v>0</v>
      </c>
      <c r="T158" s="83">
        <f>IF(Q158&gt;0,S158*100/Q158,0)</f>
        <v>0</v>
      </c>
      <c r="U158" s="83">
        <f>IF(R158&gt;0,S158*100/R158,0)</f>
        <v>0</v>
      </c>
    </row>
    <row r="159" spans="1:21" ht="18.75" x14ac:dyDescent="0.25">
      <c r="A159" s="128"/>
      <c r="B159" s="40"/>
      <c r="C159" s="40"/>
      <c r="D159" s="40"/>
      <c r="E159" s="47" t="s">
        <v>21</v>
      </c>
      <c r="F159" s="40"/>
      <c r="G159" s="42"/>
      <c r="H159" s="133" t="s">
        <v>14</v>
      </c>
      <c r="I159" s="44"/>
      <c r="J159" s="44"/>
      <c r="K159" s="45"/>
      <c r="L159" s="1356">
        <f ca="1">L162+L165</f>
        <v>0</v>
      </c>
      <c r="M159" s="224">
        <f ca="1">M162+M165</f>
        <v>4080</v>
      </c>
      <c r="N159" s="224">
        <f ca="1">N162+N165</f>
        <v>2480</v>
      </c>
      <c r="O159" s="224">
        <f ca="1">IF(L159&gt;0,N159*100/L159,0)</f>
        <v>0</v>
      </c>
      <c r="P159" s="224">
        <f ca="1">IF(M159&gt;0,N159*100/M159,0)</f>
        <v>60.784313725490193</v>
      </c>
      <c r="Q159" s="224">
        <f ca="1">Q162+Q165</f>
        <v>0</v>
      </c>
      <c r="R159" s="224">
        <f ca="1">R162+R165</f>
        <v>0</v>
      </c>
      <c r="S159" s="224">
        <f ca="1">S162+S165</f>
        <v>0</v>
      </c>
      <c r="T159" s="224">
        <f ca="1">IF(Q159&gt;0,S159*100/Q159,0)</f>
        <v>0</v>
      </c>
      <c r="U159" s="224">
        <f ca="1">IF(R159&gt;0,S159*100/R159,0)</f>
        <v>0</v>
      </c>
    </row>
    <row r="160" spans="1:21" ht="18.75" x14ac:dyDescent="0.25">
      <c r="A160" s="128"/>
      <c r="B160" s="40"/>
      <c r="C160" s="40"/>
      <c r="D160" s="41" t="s">
        <v>22</v>
      </c>
      <c r="E160" s="40"/>
      <c r="F160" s="40"/>
      <c r="G160" s="42"/>
      <c r="H160" s="134" t="s">
        <v>14</v>
      </c>
      <c r="I160" s="135"/>
      <c r="J160" s="135"/>
      <c r="K160" s="136"/>
      <c r="L160" s="1356">
        <f ca="1">L161+L162</f>
        <v>0</v>
      </c>
      <c r="M160" s="224">
        <f ca="1">M161+M162</f>
        <v>4080</v>
      </c>
      <c r="N160" s="224">
        <f ca="1">N161+N162</f>
        <v>2480</v>
      </c>
      <c r="O160" s="224">
        <f ca="1">IF(L160&gt;0,N160*100/L160,0)</f>
        <v>0</v>
      </c>
      <c r="P160" s="224">
        <f ca="1">IF(M160&gt;0,N160*100/M160,0)</f>
        <v>60.784313725490193</v>
      </c>
      <c r="Q160" s="224">
        <f ca="1">Q161+Q162</f>
        <v>0</v>
      </c>
      <c r="R160" s="224">
        <f ca="1">R161+R162</f>
        <v>0</v>
      </c>
      <c r="S160" s="224">
        <f ca="1">S161+S162</f>
        <v>0</v>
      </c>
      <c r="T160" s="224">
        <f ca="1">IF(Q160&gt;0,S160*100/Q160,0)</f>
        <v>0</v>
      </c>
      <c r="U160" s="224">
        <f ca="1">IF(R160&gt;0,S160*100/R160,0)</f>
        <v>0</v>
      </c>
    </row>
    <row r="161" spans="1:21" ht="18.75" x14ac:dyDescent="0.25">
      <c r="A161" s="128"/>
      <c r="B161" s="40"/>
      <c r="C161" s="40"/>
      <c r="D161" s="40"/>
      <c r="E161" s="156" t="s">
        <v>36</v>
      </c>
      <c r="F161" s="40"/>
      <c r="G161" s="42"/>
      <c r="H161" s="159" t="s">
        <v>14</v>
      </c>
      <c r="I161" s="135"/>
      <c r="J161" s="135"/>
      <c r="K161" s="136"/>
      <c r="L161" s="1358">
        <v>0</v>
      </c>
      <c r="M161" s="83">
        <v>0</v>
      </c>
      <c r="N161" s="83">
        <v>0</v>
      </c>
      <c r="O161" s="83">
        <f>IF(L161&gt;0,N161*100/L161,0)</f>
        <v>0</v>
      </c>
      <c r="P161" s="83">
        <f>IF(M161&gt;0,N161*100/M161,0)</f>
        <v>0</v>
      </c>
      <c r="Q161" s="83">
        <v>0</v>
      </c>
      <c r="R161" s="83">
        <v>0</v>
      </c>
      <c r="S161" s="83">
        <v>0</v>
      </c>
      <c r="T161" s="83">
        <f>IF(Q161&gt;0,S161*100/Q161,0)</f>
        <v>0</v>
      </c>
      <c r="U161" s="83">
        <f>IF(R161&gt;0,S161*100/R161,0)</f>
        <v>0</v>
      </c>
    </row>
    <row r="162" spans="1:21" ht="18.75" x14ac:dyDescent="0.25">
      <c r="A162" s="128"/>
      <c r="B162" s="40"/>
      <c r="C162" s="40"/>
      <c r="D162" s="40"/>
      <c r="E162" s="47" t="s">
        <v>37</v>
      </c>
      <c r="F162" s="40"/>
      <c r="G162" s="42"/>
      <c r="H162" s="134" t="s">
        <v>14</v>
      </c>
      <c r="I162" s="135"/>
      <c r="J162" s="135"/>
      <c r="K162" s="136"/>
      <c r="L162" s="1356">
        <f ca="1">IFERROR(__xludf.DUMMYFUNCTION("IMPORTRANGE(""https://docs.google.com/spreadsheets/d/1-uDff_7J0KD5mKrp0Vvzr7lt3OU09vwQwhkpOPPYv2Y/edit?usp=sharing"",""งบพรบ!CA26"")"),0)</f>
        <v>0</v>
      </c>
      <c r="M162" s="224">
        <f ca="1">IFERROR(__xludf.DUMMYFUNCTION("IMPORTRANGE(""https://docs.google.com/spreadsheets/d/1-uDff_7J0KD5mKrp0Vvzr7lt3OU09vwQwhkpOPPYv2Y/edit?usp=sharing"",""งบพรบ!CF26"")"),4080)</f>
        <v>4080</v>
      </c>
      <c r="N162" s="224">
        <f ca="1">IFERROR(__xludf.DUMMYFUNCTION("IMPORTRANGE(""https://docs.google.com/spreadsheets/d/1-uDff_7J0KD5mKrp0Vvzr7lt3OU09vwQwhkpOPPYv2Y/edit?usp=sharing"",""งบพรบ!CH26"")"),2480)</f>
        <v>2480</v>
      </c>
      <c r="O162" s="224">
        <f ca="1">IF(L162&gt;0,N162*100/L162,0)</f>
        <v>0</v>
      </c>
      <c r="P162" s="224">
        <f ca="1">IF(M162&gt;0,N162*100/M162,0)</f>
        <v>60.784313725490193</v>
      </c>
      <c r="Q162" s="224">
        <f ca="1">IFERROR(__xludf.DUMMYFUNCTION("IMPORTRANGE(""https://docs.google.com/spreadsheets/d/1ItG2mGa2ceCfYo0BwxsXqNm01IGEUdYcSSLTEv9YCik/edit?usp=sharing"",""เบิกจ่ายกองทุน!AM26"")"),0)</f>
        <v>0</v>
      </c>
      <c r="R162" s="224">
        <f ca="1">IFERROR(__xludf.DUMMYFUNCTION("IMPORTRANGE(""https://docs.google.com/spreadsheets/d/1ItG2mGa2ceCfYo0BwxsXqNm01IGEUdYcSSLTEv9YCik/edit?usp=sharing"",""เบิกจ่ายกองทุน!AN26"")"),0)</f>
        <v>0</v>
      </c>
      <c r="S162" s="224">
        <f ca="1">IFERROR(__xludf.DUMMYFUNCTION("IMPORTRANGE(""https://docs.google.com/spreadsheets/d/1ItG2mGa2ceCfYo0BwxsXqNm01IGEUdYcSSLTEv9YCik/edit?usp=sharing"",""เบิกจ่ายกองทุน!AO26"")"),0)</f>
        <v>0</v>
      </c>
      <c r="T162" s="224">
        <f ca="1">IF(Q162&gt;0,S162*100/Q162,0)</f>
        <v>0</v>
      </c>
      <c r="U162" s="224">
        <f ca="1">IF(R162&gt;0,S162*100/R162,0)</f>
        <v>0</v>
      </c>
    </row>
    <row r="163" spans="1:21" ht="18.75" x14ac:dyDescent="0.25">
      <c r="A163" s="128"/>
      <c r="B163" s="40"/>
      <c r="C163" s="40"/>
      <c r="D163" s="41" t="s">
        <v>23</v>
      </c>
      <c r="E163" s="40"/>
      <c r="F163" s="40"/>
      <c r="G163" s="42"/>
      <c r="H163" s="137" t="s">
        <v>14</v>
      </c>
      <c r="I163" s="135"/>
      <c r="J163" s="135"/>
      <c r="K163" s="136"/>
      <c r="L163" s="1356">
        <f ca="1">L164+L165</f>
        <v>0</v>
      </c>
      <c r="M163" s="224">
        <f ca="1">M164+M165</f>
        <v>0</v>
      </c>
      <c r="N163" s="224">
        <f ca="1">N164+N165</f>
        <v>0</v>
      </c>
      <c r="O163" s="224">
        <f ca="1">IF(L163&gt;0,N163*100/L163,0)</f>
        <v>0</v>
      </c>
      <c r="P163" s="224">
        <f ca="1">IF(M163&gt;0,N163*100/M163,0)</f>
        <v>0</v>
      </c>
      <c r="Q163" s="224">
        <f>Q164+Q165</f>
        <v>0</v>
      </c>
      <c r="R163" s="224">
        <f>R164+R165</f>
        <v>0</v>
      </c>
      <c r="S163" s="224">
        <f>S164+S165</f>
        <v>0</v>
      </c>
      <c r="T163" s="224">
        <f>IF(Q163&gt;0,S163*100/Q163,0)</f>
        <v>0</v>
      </c>
      <c r="U163" s="224">
        <f>IF(R163&gt;0,S163*100/R163,0)</f>
        <v>0</v>
      </c>
    </row>
    <row r="164" spans="1:21" ht="18.75" x14ac:dyDescent="0.25">
      <c r="A164" s="128"/>
      <c r="B164" s="40"/>
      <c r="C164" s="40"/>
      <c r="D164" s="40"/>
      <c r="E164" s="156" t="s">
        <v>20</v>
      </c>
      <c r="F164" s="40"/>
      <c r="G164" s="42"/>
      <c r="H164" s="159" t="s">
        <v>14</v>
      </c>
      <c r="I164" s="135"/>
      <c r="J164" s="135"/>
      <c r="K164" s="136"/>
      <c r="L164" s="1358">
        <v>0</v>
      </c>
      <c r="M164" s="83">
        <v>0</v>
      </c>
      <c r="N164" s="83">
        <v>0</v>
      </c>
      <c r="O164" s="83">
        <f>IF(L164&gt;0,N164*100/L164,0)</f>
        <v>0</v>
      </c>
      <c r="P164" s="83">
        <f>IF(M164&gt;0,N164*100/M164,0)</f>
        <v>0</v>
      </c>
      <c r="Q164" s="83">
        <v>0</v>
      </c>
      <c r="R164" s="83">
        <v>0</v>
      </c>
      <c r="S164" s="83">
        <v>0</v>
      </c>
      <c r="T164" s="83">
        <f>IF(Q164&gt;0,S164*100/Q164,0)</f>
        <v>0</v>
      </c>
      <c r="U164" s="83">
        <f>IF(R164&gt;0,S164*100/R164,0)</f>
        <v>0</v>
      </c>
    </row>
    <row r="165" spans="1:21" ht="18.75" x14ac:dyDescent="0.25">
      <c r="A165" s="128"/>
      <c r="B165" s="40"/>
      <c r="C165" s="40"/>
      <c r="D165" s="40"/>
      <c r="E165" s="47" t="s">
        <v>21</v>
      </c>
      <c r="F165" s="40"/>
      <c r="G165" s="42"/>
      <c r="H165" s="137" t="s">
        <v>14</v>
      </c>
      <c r="I165" s="135"/>
      <c r="J165" s="135"/>
      <c r="K165" s="136"/>
      <c r="L165" s="1356">
        <f ca="1">IFERROR(__xludf.DUMMYFUNCTION("IMPORTRANGE(""https://docs.google.com/spreadsheets/d/1-uDff_7J0KD5mKrp0Vvzr7lt3OU09vwQwhkpOPPYv2Y/edit?usp=sharing"",""งบพรบ!CD26"")"),0)</f>
        <v>0</v>
      </c>
      <c r="M165" s="224">
        <f ca="1">IFERROR(__xludf.DUMMYFUNCTION("IMPORTRANGE(""https://docs.google.com/spreadsheets/d/1-uDff_7J0KD5mKrp0Vvzr7lt3OU09vwQwhkpOPPYv2Y/edit?usp=sharing"",""งบพรบ!CG26"")"),0)</f>
        <v>0</v>
      </c>
      <c r="N165" s="224">
        <f ca="1">IFERROR(__xludf.DUMMYFUNCTION("IMPORTRANGE(""https://docs.google.com/spreadsheets/d/1-uDff_7J0KD5mKrp0Vvzr7lt3OU09vwQwhkpOPPYv2Y/edit?usp=sharing"",""งบพรบ!CI26"")"),0)</f>
        <v>0</v>
      </c>
      <c r="O165" s="224">
        <f ca="1">IF(L165&gt;0,N165*100/L165,0)</f>
        <v>0</v>
      </c>
      <c r="P165" s="224">
        <f ca="1">IF(M165&gt;0,N165*100/M165,0)</f>
        <v>0</v>
      </c>
      <c r="Q165" s="224">
        <v>0</v>
      </c>
      <c r="R165" s="224">
        <v>0</v>
      </c>
      <c r="S165" s="224">
        <v>0</v>
      </c>
      <c r="T165" s="224">
        <f>IF(Q165&gt;0,S165*100/Q165,0)</f>
        <v>0</v>
      </c>
      <c r="U165" s="224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1391" t="s">
        <v>38</v>
      </c>
      <c r="E166" s="141"/>
      <c r="F166" s="141"/>
      <c r="G166" s="142"/>
      <c r="H166" s="178"/>
      <c r="I166" s="44"/>
      <c r="J166" s="44"/>
      <c r="K166" s="45"/>
      <c r="L166" s="1359"/>
      <c r="M166" s="45"/>
      <c r="N166" s="45"/>
      <c r="O166" s="45"/>
      <c r="P166" s="45"/>
      <c r="Q166" s="45"/>
      <c r="R166" s="45"/>
      <c r="S166" s="45"/>
      <c r="T166" s="45"/>
      <c r="U166" s="45"/>
    </row>
    <row r="167" spans="1:21" ht="18.75" x14ac:dyDescent="0.25">
      <c r="A167" s="128"/>
      <c r="B167" s="40"/>
      <c r="C167" s="40"/>
      <c r="D167" s="47" t="s">
        <v>69</v>
      </c>
      <c r="E167" s="40"/>
      <c r="F167" s="40"/>
      <c r="G167" s="42"/>
      <c r="H167" s="137" t="s">
        <v>35</v>
      </c>
      <c r="I167" s="184">
        <f ca="1">IFERROR(__xludf.DUMMYFUNCTION("IMPORTRANGE(""https://docs.google.com/spreadsheets/d/1eHaY18a8A9IcSdp1K8H6x8fbOy06t2VsZHhMHf-1x7Y/edit?usp=sharing"",""แผน!Z26"")"),0)</f>
        <v>0</v>
      </c>
      <c r="J167" s="1395">
        <v>0</v>
      </c>
      <c r="K167" s="224">
        <f ca="1">IF(I167&gt;0,J167*100/I167,0)</f>
        <v>0</v>
      </c>
      <c r="L167" s="1359"/>
      <c r="M167" s="45"/>
      <c r="N167" s="45"/>
      <c r="O167" s="45"/>
      <c r="P167" s="45"/>
      <c r="Q167" s="45"/>
      <c r="R167" s="45"/>
      <c r="S167" s="45"/>
      <c r="T167" s="45"/>
      <c r="U167" s="45"/>
    </row>
    <row r="168" spans="1:21" ht="18.75" x14ac:dyDescent="0.25">
      <c r="A168" s="128"/>
      <c r="B168" s="40"/>
      <c r="C168" s="40"/>
      <c r="D168" s="156" t="s">
        <v>70</v>
      </c>
      <c r="E168" s="40"/>
      <c r="F168" s="40"/>
      <c r="G168" s="42"/>
      <c r="H168" s="378" t="s">
        <v>35</v>
      </c>
      <c r="I168" s="423">
        <f ca="1">IFERROR(__xludf.DUMMYFUNCTION("IMPORTRANGE(""https://docs.google.com/spreadsheets/d/1eHaY18a8A9IcSdp1K8H6x8fbOy06t2VsZHhMHf-1x7Y/edit?usp=sharing"",""แผน!Z26"")"),0)</f>
        <v>0</v>
      </c>
      <c r="J168" s="1407">
        <v>0</v>
      </c>
      <c r="K168" s="83">
        <f ca="1">IF(I168&gt;0,J168*100/I168,0)</f>
        <v>0</v>
      </c>
      <c r="L168" s="1359"/>
      <c r="M168" s="45"/>
      <c r="N168" s="45"/>
      <c r="O168" s="45"/>
      <c r="P168" s="45"/>
      <c r="Q168" s="45"/>
      <c r="R168" s="45"/>
      <c r="S168" s="45"/>
      <c r="T168" s="45"/>
      <c r="U168" s="45"/>
    </row>
    <row r="169" spans="1:21" ht="18.75" x14ac:dyDescent="0.25">
      <c r="A169" s="185"/>
      <c r="B169" s="1"/>
      <c r="C169" s="1"/>
      <c r="D169" s="424" t="s">
        <v>71</v>
      </c>
      <c r="E169" s="1"/>
      <c r="F169" s="1"/>
      <c r="G169" s="52"/>
      <c r="H169" s="1408" t="s">
        <v>35</v>
      </c>
      <c r="I169" s="426">
        <f ca="1">IFERROR(__xludf.DUMMYFUNCTION("IMPORTRANGE(""https://docs.google.com/spreadsheets/d/1eHaY18a8A9IcSdp1K8H6x8fbOy06t2VsZHhMHf-1x7Y/edit?usp=sharing"",""แผน!Z26"")"),0)</f>
        <v>0</v>
      </c>
      <c r="J169" s="1409">
        <v>0</v>
      </c>
      <c r="K169" s="1410">
        <f ca="1">IF(I169&gt;0,J169*100/I169,0)</f>
        <v>0</v>
      </c>
      <c r="L169" s="1360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9.5" x14ac:dyDescent="0.3">
      <c r="A170" s="189" t="s">
        <v>72</v>
      </c>
      <c r="B170" s="190"/>
      <c r="C170" s="190"/>
      <c r="D170" s="190"/>
      <c r="E170" s="191"/>
      <c r="F170" s="191"/>
      <c r="G170" s="191"/>
      <c r="H170" s="191"/>
      <c r="I170" s="192"/>
      <c r="J170" s="192"/>
      <c r="K170" s="193"/>
      <c r="L170" s="193"/>
      <c r="M170" s="193"/>
      <c r="N170" s="193"/>
      <c r="O170" s="193"/>
      <c r="P170" s="194"/>
      <c r="Q170" s="193"/>
      <c r="R170" s="193"/>
      <c r="S170" s="193"/>
      <c r="T170" s="193"/>
      <c r="U170" s="194"/>
    </row>
    <row r="171" spans="1:21" ht="19.5" x14ac:dyDescent="0.3">
      <c r="A171" s="195" t="s">
        <v>73</v>
      </c>
      <c r="B171" s="196"/>
      <c r="C171" s="196"/>
      <c r="D171" s="197"/>
      <c r="E171" s="197"/>
      <c r="F171" s="197"/>
      <c r="G171" s="197"/>
      <c r="H171" s="198"/>
      <c r="I171" s="199"/>
      <c r="J171" s="199"/>
      <c r="K171" s="200"/>
      <c r="L171" s="1411"/>
      <c r="M171" s="200"/>
      <c r="N171" s="200"/>
      <c r="O171" s="200"/>
      <c r="P171" s="200"/>
      <c r="Q171" s="200"/>
      <c r="R171" s="200"/>
      <c r="S171" s="200"/>
      <c r="T171" s="200"/>
      <c r="U171" s="200"/>
    </row>
    <row r="172" spans="1:21" ht="19.5" x14ac:dyDescent="0.3">
      <c r="A172" s="201"/>
      <c r="B172" s="202" t="s">
        <v>74</v>
      </c>
      <c r="C172" s="203"/>
      <c r="D172" s="141"/>
      <c r="E172" s="141"/>
      <c r="F172" s="141"/>
      <c r="G172" s="142"/>
      <c r="H172" s="204" t="s">
        <v>35</v>
      </c>
      <c r="I172" s="1412">
        <f ca="1">I183+I184</f>
        <v>17</v>
      </c>
      <c r="J172" s="1412">
        <f>J183+J184</f>
        <v>7</v>
      </c>
      <c r="K172" s="1413">
        <f ca="1">IF(I172&gt;0,J172*100/I172,0)</f>
        <v>41.176470588235297</v>
      </c>
      <c r="L172" s="1414"/>
      <c r="M172" s="207"/>
      <c r="N172" s="207"/>
      <c r="O172" s="207"/>
      <c r="P172" s="207"/>
      <c r="Q172" s="207"/>
      <c r="R172" s="207"/>
      <c r="S172" s="207"/>
      <c r="T172" s="207"/>
      <c r="U172" s="207"/>
    </row>
    <row r="173" spans="1:21" ht="19.5" x14ac:dyDescent="0.3">
      <c r="A173" s="128"/>
      <c r="B173" s="40"/>
      <c r="C173" s="129" t="s">
        <v>18</v>
      </c>
      <c r="D173" s="1388" t="s">
        <v>19</v>
      </c>
      <c r="E173" s="40"/>
      <c r="F173" s="40"/>
      <c r="G173" s="42"/>
      <c r="H173" s="131" t="s">
        <v>14</v>
      </c>
      <c r="I173" s="44"/>
      <c r="J173" s="44"/>
      <c r="K173" s="45"/>
      <c r="L173" s="1389">
        <f ca="1">L174+L175</f>
        <v>19590</v>
      </c>
      <c r="M173" s="1390">
        <f ca="1">M174+M175</f>
        <v>142570</v>
      </c>
      <c r="N173" s="1390">
        <f ca="1">N174+N175</f>
        <v>139886</v>
      </c>
      <c r="O173" s="1390">
        <f ca="1">IF(L173&gt;0,N173*100/L173,0)</f>
        <v>714.06840224604389</v>
      </c>
      <c r="P173" s="1390">
        <f ca="1">IF(M173&gt;0,N173*100/M173,0)</f>
        <v>98.117416006172405</v>
      </c>
      <c r="Q173" s="1390">
        <f ca="1">Q174+Q175</f>
        <v>0</v>
      </c>
      <c r="R173" s="1390">
        <f ca="1">R174+R175</f>
        <v>0</v>
      </c>
      <c r="S173" s="1390">
        <f ca="1">S174+S175</f>
        <v>0</v>
      </c>
      <c r="T173" s="1390">
        <f ca="1">IF(Q173&gt;0,S173*100/Q173,0)</f>
        <v>0</v>
      </c>
      <c r="U173" s="1390">
        <f ca="1">IF(R173&gt;0,S173*100/R173,0)</f>
        <v>0</v>
      </c>
    </row>
    <row r="174" spans="1:21" ht="18.75" x14ac:dyDescent="0.25">
      <c r="A174" s="128"/>
      <c r="B174" s="40"/>
      <c r="C174" s="40"/>
      <c r="D174" s="40"/>
      <c r="E174" s="156" t="s">
        <v>20</v>
      </c>
      <c r="F174" s="40"/>
      <c r="G174" s="42"/>
      <c r="H174" s="157" t="s">
        <v>14</v>
      </c>
      <c r="I174" s="44"/>
      <c r="J174" s="44"/>
      <c r="K174" s="45"/>
      <c r="L174" s="1358">
        <f>L177+L180</f>
        <v>0</v>
      </c>
      <c r="M174" s="83">
        <f>M177+M180</f>
        <v>0</v>
      </c>
      <c r="N174" s="83">
        <f>N177+N180</f>
        <v>0</v>
      </c>
      <c r="O174" s="83">
        <f>IF(L174&gt;0,N174*100/L174,0)</f>
        <v>0</v>
      </c>
      <c r="P174" s="83">
        <f>IF(M174&gt;0,N174*100/M174,0)</f>
        <v>0</v>
      </c>
      <c r="Q174" s="83">
        <f>Q177+Q180</f>
        <v>0</v>
      </c>
      <c r="R174" s="83">
        <f>R177+R180</f>
        <v>0</v>
      </c>
      <c r="S174" s="83">
        <f>S177+S180</f>
        <v>0</v>
      </c>
      <c r="T174" s="83">
        <f>IF(Q174&gt;0,S174*100/Q174,0)</f>
        <v>0</v>
      </c>
      <c r="U174" s="83">
        <f>IF(R174&gt;0,S174*100/R174,0)</f>
        <v>0</v>
      </c>
    </row>
    <row r="175" spans="1:21" ht="18.75" x14ac:dyDescent="0.25">
      <c r="A175" s="128"/>
      <c r="B175" s="40"/>
      <c r="C175" s="40"/>
      <c r="D175" s="40"/>
      <c r="E175" s="47" t="s">
        <v>21</v>
      </c>
      <c r="F175" s="40"/>
      <c r="G175" s="42"/>
      <c r="H175" s="133" t="s">
        <v>14</v>
      </c>
      <c r="I175" s="44"/>
      <c r="J175" s="44"/>
      <c r="K175" s="45"/>
      <c r="L175" s="1356">
        <f ca="1">L178+L181</f>
        <v>19590</v>
      </c>
      <c r="M175" s="224">
        <f ca="1">M178+M181</f>
        <v>142570</v>
      </c>
      <c r="N175" s="224">
        <f ca="1">N178+N181</f>
        <v>139886</v>
      </c>
      <c r="O175" s="224">
        <f ca="1">IF(L175&gt;0,N175*100/L175,0)</f>
        <v>714.06840224604389</v>
      </c>
      <c r="P175" s="224">
        <f ca="1">IF(M175&gt;0,N175*100/M175,0)</f>
        <v>98.117416006172405</v>
      </c>
      <c r="Q175" s="224">
        <f ca="1">Q178+Q181</f>
        <v>0</v>
      </c>
      <c r="R175" s="224">
        <f ca="1">R178+R181</f>
        <v>0</v>
      </c>
      <c r="S175" s="224">
        <f ca="1">S178+S181</f>
        <v>0</v>
      </c>
      <c r="T175" s="224">
        <f ca="1">IF(Q175&gt;0,S175*100/Q175,0)</f>
        <v>0</v>
      </c>
      <c r="U175" s="224">
        <f ca="1">IF(R175&gt;0,S175*100/R175,0)</f>
        <v>0</v>
      </c>
    </row>
    <row r="176" spans="1:21" ht="18.75" x14ac:dyDescent="0.25">
      <c r="A176" s="128"/>
      <c r="B176" s="40"/>
      <c r="C176" s="40"/>
      <c r="D176" s="41" t="s">
        <v>22</v>
      </c>
      <c r="E176" s="40"/>
      <c r="F176" s="40"/>
      <c r="G176" s="42"/>
      <c r="H176" s="134" t="s">
        <v>14</v>
      </c>
      <c r="I176" s="135"/>
      <c r="J176" s="135"/>
      <c r="K176" s="136"/>
      <c r="L176" s="1356">
        <f ca="1">L177+L178</f>
        <v>19590</v>
      </c>
      <c r="M176" s="224">
        <f ca="1">M177+M178</f>
        <v>142570</v>
      </c>
      <c r="N176" s="224">
        <f ca="1">N177+N178</f>
        <v>139886</v>
      </c>
      <c r="O176" s="224">
        <f ca="1">IF(L176&gt;0,N176*100/L176,0)</f>
        <v>714.06840224604389</v>
      </c>
      <c r="P176" s="224">
        <f ca="1">IF(M176&gt;0,N176*100/M176,0)</f>
        <v>98.117416006172405</v>
      </c>
      <c r="Q176" s="224">
        <f ca="1">Q177+Q178</f>
        <v>0</v>
      </c>
      <c r="R176" s="224">
        <f ca="1">R177+R178</f>
        <v>0</v>
      </c>
      <c r="S176" s="224">
        <f ca="1">S177+S178</f>
        <v>0</v>
      </c>
      <c r="T176" s="224">
        <f ca="1">IF(Q176&gt;0,S176*100/Q176,0)</f>
        <v>0</v>
      </c>
      <c r="U176" s="224">
        <f ca="1">IF(R176&gt;0,S176*100/R176,0)</f>
        <v>0</v>
      </c>
    </row>
    <row r="177" spans="1:21" ht="18.75" x14ac:dyDescent="0.25">
      <c r="A177" s="128"/>
      <c r="B177" s="40"/>
      <c r="C177" s="40"/>
      <c r="D177" s="40"/>
      <c r="E177" s="156" t="s">
        <v>36</v>
      </c>
      <c r="F177" s="40"/>
      <c r="G177" s="42"/>
      <c r="H177" s="159" t="s">
        <v>14</v>
      </c>
      <c r="I177" s="135"/>
      <c r="J177" s="135"/>
      <c r="K177" s="136"/>
      <c r="L177" s="1358">
        <v>0</v>
      </c>
      <c r="M177" s="83">
        <v>0</v>
      </c>
      <c r="N177" s="83">
        <v>0</v>
      </c>
      <c r="O177" s="83">
        <f>IF(L177&gt;0,N177*100/L177,0)</f>
        <v>0</v>
      </c>
      <c r="P177" s="83">
        <f>IF(M177&gt;0,N177*100/M177,0)</f>
        <v>0</v>
      </c>
      <c r="Q177" s="83">
        <v>0</v>
      </c>
      <c r="R177" s="83">
        <v>0</v>
      </c>
      <c r="S177" s="83">
        <v>0</v>
      </c>
      <c r="T177" s="83">
        <f>IF(Q177&gt;0,S177*100/Q177,0)</f>
        <v>0</v>
      </c>
      <c r="U177" s="83">
        <f>IF(R177&gt;0,S177*100/R177,0)</f>
        <v>0</v>
      </c>
    </row>
    <row r="178" spans="1:21" ht="18.75" x14ac:dyDescent="0.25">
      <c r="A178" s="128"/>
      <c r="B178" s="40"/>
      <c r="C178" s="40"/>
      <c r="D178" s="40"/>
      <c r="E178" s="47" t="s">
        <v>37</v>
      </c>
      <c r="F178" s="40"/>
      <c r="G178" s="42"/>
      <c r="H178" s="134" t="s">
        <v>14</v>
      </c>
      <c r="I178" s="135"/>
      <c r="J178" s="135"/>
      <c r="K178" s="136"/>
      <c r="L178" s="1356">
        <f ca="1">IFERROR(__xludf.DUMMYFUNCTION("IMPORTRANGE(""https://docs.google.com/spreadsheets/d/1-uDff_7J0KD5mKrp0Vvzr7lt3OU09vwQwhkpOPPYv2Y/edit?usp=sharing"",""งบพรบ!CK26"")"),19590)</f>
        <v>19590</v>
      </c>
      <c r="M178" s="224">
        <f ca="1">IFERROR(__xludf.DUMMYFUNCTION("IMPORTRANGE(""https://docs.google.com/spreadsheets/d/1-uDff_7J0KD5mKrp0Vvzr7lt3OU09vwQwhkpOPPYv2Y/edit?usp=sharing"",""งบพรบ!CP26"")"),142570)</f>
        <v>142570</v>
      </c>
      <c r="N178" s="224">
        <f ca="1">IFERROR(__xludf.DUMMYFUNCTION("IMPORTRANGE(""https://docs.google.com/spreadsheets/d/1-uDff_7J0KD5mKrp0Vvzr7lt3OU09vwQwhkpOPPYv2Y/edit?usp=sharing"",""งบพรบ!CR26"")"),139886)</f>
        <v>139886</v>
      </c>
      <c r="O178" s="224">
        <f ca="1">IF(L178&gt;0,N178*100/L178,0)</f>
        <v>714.06840224604389</v>
      </c>
      <c r="P178" s="224">
        <f ca="1">IF(M178&gt;0,N178*100/M178,0)</f>
        <v>98.117416006172405</v>
      </c>
      <c r="Q178" s="224">
        <f ca="1">IFERROR(__xludf.DUMMYFUNCTION("IMPORTRANGE(""https://docs.google.com/spreadsheets/d/1ItG2mGa2ceCfYo0BwxsXqNm01IGEUdYcSSLTEv9YCik/edit?usp=sharing"",""เบิกจ่ายกองทุน!DG26"")"),0)</f>
        <v>0</v>
      </c>
      <c r="R178" s="224">
        <f ca="1">IFERROR(__xludf.DUMMYFUNCTION("IMPORTRANGE(""https://docs.google.com/spreadsheets/d/1ItG2mGa2ceCfYo0BwxsXqNm01IGEUdYcSSLTEv9YCik/edit?usp=sharing"",""เบิกจ่ายกองทุน!DH26"")"),0)</f>
        <v>0</v>
      </c>
      <c r="S178" s="224">
        <f ca="1">IFERROR(__xludf.DUMMYFUNCTION("IMPORTRANGE(""https://docs.google.com/spreadsheets/d/1ItG2mGa2ceCfYo0BwxsXqNm01IGEUdYcSSLTEv9YCik/edit?usp=sharing"",""เบิกจ่ายกองทุน!DI26"")"),0)</f>
        <v>0</v>
      </c>
      <c r="T178" s="224">
        <f ca="1">IF(Q178&gt;0,S178*100/Q178,0)</f>
        <v>0</v>
      </c>
      <c r="U178" s="224">
        <f ca="1">IF(R178&gt;0,S178*100/R178,0)</f>
        <v>0</v>
      </c>
    </row>
    <row r="179" spans="1:21" ht="18.75" x14ac:dyDescent="0.25">
      <c r="A179" s="128"/>
      <c r="B179" s="40"/>
      <c r="C179" s="40"/>
      <c r="D179" s="41" t="s">
        <v>23</v>
      </c>
      <c r="E179" s="40"/>
      <c r="F179" s="40"/>
      <c r="G179" s="42"/>
      <c r="H179" s="137" t="s">
        <v>14</v>
      </c>
      <c r="I179" s="135"/>
      <c r="J179" s="135"/>
      <c r="K179" s="136"/>
      <c r="L179" s="1356">
        <f ca="1">L180+L181</f>
        <v>0</v>
      </c>
      <c r="M179" s="224">
        <f ca="1">M180+M181</f>
        <v>0</v>
      </c>
      <c r="N179" s="224">
        <f ca="1">N180+N181</f>
        <v>0</v>
      </c>
      <c r="O179" s="224">
        <f ca="1">IF(L179&gt;0,N179*100/L179,0)</f>
        <v>0</v>
      </c>
      <c r="P179" s="224">
        <f ca="1">IF(M179&gt;0,N179*100/M179,0)</f>
        <v>0</v>
      </c>
      <c r="Q179" s="224">
        <f>Q180+Q181</f>
        <v>0</v>
      </c>
      <c r="R179" s="224">
        <f>R180+R181</f>
        <v>0</v>
      </c>
      <c r="S179" s="224">
        <f>S180+S181</f>
        <v>0</v>
      </c>
      <c r="T179" s="224">
        <f>IF(Q179&gt;0,S179*100/Q179,0)</f>
        <v>0</v>
      </c>
      <c r="U179" s="224">
        <f>IF(R179&gt;0,S179*100/R179,0)</f>
        <v>0</v>
      </c>
    </row>
    <row r="180" spans="1:21" ht="18.75" x14ac:dyDescent="0.25">
      <c r="A180" s="128"/>
      <c r="B180" s="40"/>
      <c r="C180" s="40"/>
      <c r="D180" s="40"/>
      <c r="E180" s="156" t="s">
        <v>20</v>
      </c>
      <c r="F180" s="40"/>
      <c r="G180" s="42"/>
      <c r="H180" s="159" t="s">
        <v>14</v>
      </c>
      <c r="I180" s="135"/>
      <c r="J180" s="135"/>
      <c r="K180" s="136"/>
      <c r="L180" s="1358">
        <v>0</v>
      </c>
      <c r="M180" s="83">
        <v>0</v>
      </c>
      <c r="N180" s="83">
        <v>0</v>
      </c>
      <c r="O180" s="83">
        <f>IF(L180&gt;0,N180*100/L180,0)</f>
        <v>0</v>
      </c>
      <c r="P180" s="83">
        <f>IF(M180&gt;0,N180*100/M180,0)</f>
        <v>0</v>
      </c>
      <c r="Q180" s="83">
        <v>0</v>
      </c>
      <c r="R180" s="83">
        <v>0</v>
      </c>
      <c r="S180" s="83">
        <v>0</v>
      </c>
      <c r="T180" s="83">
        <f>IF(Q180&gt;0,S180*100/Q180,0)</f>
        <v>0</v>
      </c>
      <c r="U180" s="83">
        <f>IF(R180&gt;0,S180*100/R180,0)</f>
        <v>0</v>
      </c>
    </row>
    <row r="181" spans="1:21" ht="18.75" x14ac:dyDescent="0.25">
      <c r="A181" s="128"/>
      <c r="B181" s="40"/>
      <c r="C181" s="40"/>
      <c r="D181" s="40"/>
      <c r="E181" s="47" t="s">
        <v>21</v>
      </c>
      <c r="F181" s="40"/>
      <c r="G181" s="42"/>
      <c r="H181" s="137" t="s">
        <v>14</v>
      </c>
      <c r="I181" s="135"/>
      <c r="J181" s="135"/>
      <c r="K181" s="136"/>
      <c r="L181" s="1356">
        <f ca="1">IFERROR(__xludf.DUMMYFUNCTION("IMPORTRANGE(""https://docs.google.com/spreadsheets/d/1-uDff_7J0KD5mKrp0Vvzr7lt3OU09vwQwhkpOPPYv2Y/edit?usp=sharing"",""งบพรบ!CN26"")"),0)</f>
        <v>0</v>
      </c>
      <c r="M181" s="224">
        <f ca="1">IFERROR(__xludf.DUMMYFUNCTION("IMPORTRANGE(""https://docs.google.com/spreadsheets/d/1-uDff_7J0KD5mKrp0Vvzr7lt3OU09vwQwhkpOPPYv2Y/edit?usp=sharing"",""งบพรบ!CQ26"")"),0)</f>
        <v>0</v>
      </c>
      <c r="N181" s="224">
        <f ca="1">IFERROR(__xludf.DUMMYFUNCTION("IMPORTRANGE(""https://docs.google.com/spreadsheets/d/1-uDff_7J0KD5mKrp0Vvzr7lt3OU09vwQwhkpOPPYv2Y/edit?usp=sharing"",""งบพรบ!CS26"")"),0)</f>
        <v>0</v>
      </c>
      <c r="O181" s="224">
        <f ca="1">IF(L181&gt;0,N181*100/L181,0)</f>
        <v>0</v>
      </c>
      <c r="P181" s="224">
        <f ca="1">IF(M181&gt;0,N181*100/M181,0)</f>
        <v>0</v>
      </c>
      <c r="Q181" s="224">
        <v>0</v>
      </c>
      <c r="R181" s="224">
        <v>0</v>
      </c>
      <c r="S181" s="224">
        <v>0</v>
      </c>
      <c r="T181" s="224">
        <f>IF(Q181&gt;0,S181*100/Q181,0)</f>
        <v>0</v>
      </c>
      <c r="U181" s="224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1391" t="s">
        <v>38</v>
      </c>
      <c r="E182" s="141"/>
      <c r="F182" s="141"/>
      <c r="G182" s="142"/>
      <c r="H182" s="178"/>
      <c r="I182" s="44"/>
      <c r="J182" s="44"/>
      <c r="K182" s="45"/>
      <c r="L182" s="1359"/>
      <c r="M182" s="45"/>
      <c r="N182" s="45"/>
      <c r="O182" s="45"/>
      <c r="P182" s="45"/>
      <c r="Q182" s="45"/>
      <c r="R182" s="45"/>
      <c r="S182" s="45"/>
      <c r="T182" s="45"/>
      <c r="U182" s="45"/>
    </row>
    <row r="183" spans="1:21" ht="18.75" x14ac:dyDescent="0.25">
      <c r="A183" s="208"/>
      <c r="B183" s="40"/>
      <c r="C183" s="158"/>
      <c r="D183" s="209" t="s">
        <v>75</v>
      </c>
      <c r="E183" s="40"/>
      <c r="F183" s="40"/>
      <c r="G183" s="42"/>
      <c r="H183" s="210" t="s">
        <v>35</v>
      </c>
      <c r="I183" s="184">
        <f ca="1">IFERROR(__xludf.DUMMYFUNCTION("IMPORTRANGE(""https://docs.google.com/spreadsheets/d/1eHaY18a8A9IcSdp1K8H6x8fbOy06t2VsZHhMHf-1x7Y/edit?usp=sharing"",""แผน!AA26"")"),17)</f>
        <v>17</v>
      </c>
      <c r="J183" s="1395">
        <v>7</v>
      </c>
      <c r="K183" s="224">
        <f ca="1">IF(I183&gt;0,J183*100/I183,0)</f>
        <v>41.176470588235297</v>
      </c>
      <c r="L183" s="1359"/>
      <c r="M183" s="45"/>
      <c r="N183" s="45"/>
      <c r="O183" s="45"/>
      <c r="P183" s="45"/>
      <c r="Q183" s="45"/>
      <c r="R183" s="45"/>
      <c r="S183" s="45"/>
      <c r="T183" s="45"/>
      <c r="U183" s="45"/>
    </row>
    <row r="184" spans="1:21" ht="18.75" x14ac:dyDescent="0.25">
      <c r="A184" s="208"/>
      <c r="B184" s="158"/>
      <c r="C184" s="158"/>
      <c r="D184" s="314" t="s">
        <v>76</v>
      </c>
      <c r="E184" s="40"/>
      <c r="F184" s="40"/>
      <c r="G184" s="42"/>
      <c r="H184" s="1415" t="s">
        <v>35</v>
      </c>
      <c r="I184" s="423">
        <v>0</v>
      </c>
      <c r="J184" s="423">
        <v>0</v>
      </c>
      <c r="K184" s="83">
        <f>IF(I184&gt;0,J184*100/I184,0)</f>
        <v>0</v>
      </c>
      <c r="L184" s="1359"/>
      <c r="M184" s="45"/>
      <c r="N184" s="45"/>
      <c r="O184" s="45"/>
      <c r="P184" s="45"/>
      <c r="Q184" s="45"/>
      <c r="R184" s="45"/>
      <c r="S184" s="45"/>
      <c r="T184" s="45"/>
      <c r="U184" s="45"/>
    </row>
    <row r="185" spans="1:21" ht="19.5" x14ac:dyDescent="0.3">
      <c r="A185" s="201"/>
      <c r="B185" s="202" t="s">
        <v>77</v>
      </c>
      <c r="C185" s="203"/>
      <c r="D185" s="141"/>
      <c r="E185" s="141"/>
      <c r="F185" s="141"/>
      <c r="G185" s="142"/>
      <c r="H185" s="204" t="s">
        <v>35</v>
      </c>
      <c r="I185" s="1412">
        <f ca="1">I230+I231</f>
        <v>0</v>
      </c>
      <c r="J185" s="1412">
        <f>J230+J231</f>
        <v>0</v>
      </c>
      <c r="K185" s="1413">
        <f ca="1">IF(I185&gt;0,J185*100/I185,0)</f>
        <v>0</v>
      </c>
      <c r="L185" s="1414"/>
      <c r="M185" s="207"/>
      <c r="N185" s="207"/>
      <c r="O185" s="207"/>
      <c r="P185" s="207"/>
      <c r="Q185" s="207"/>
      <c r="R185" s="207"/>
      <c r="S185" s="207"/>
      <c r="T185" s="207"/>
      <c r="U185" s="207"/>
    </row>
    <row r="186" spans="1:21" ht="19.5" x14ac:dyDescent="0.3">
      <c r="A186" s="128"/>
      <c r="B186" s="40"/>
      <c r="C186" s="129" t="s">
        <v>18</v>
      </c>
      <c r="D186" s="1388" t="s">
        <v>19</v>
      </c>
      <c r="E186" s="40"/>
      <c r="F186" s="40"/>
      <c r="G186" s="42"/>
      <c r="H186" s="131" t="s">
        <v>14</v>
      </c>
      <c r="I186" s="44"/>
      <c r="J186" s="44"/>
      <c r="K186" s="45"/>
      <c r="L186" s="1389">
        <f ca="1">L187+L188</f>
        <v>118500</v>
      </c>
      <c r="M186" s="1390">
        <f ca="1">M187+M188</f>
        <v>118500</v>
      </c>
      <c r="N186" s="1390">
        <f ca="1">N187+N188</f>
        <v>84133.34</v>
      </c>
      <c r="O186" s="1390">
        <f ca="1">IF(L186&gt;0,N186*100/L186,0)</f>
        <v>70.998599156118146</v>
      </c>
      <c r="P186" s="1390">
        <f ca="1">IF(M186&gt;0,N186*100/M186,0)</f>
        <v>70.998599156118146</v>
      </c>
      <c r="Q186" s="1390">
        <f ca="1">Q187+Q188</f>
        <v>28000</v>
      </c>
      <c r="R186" s="1390">
        <f ca="1">R187+R188</f>
        <v>28000</v>
      </c>
      <c r="S186" s="1390">
        <f ca="1">S187+S188</f>
        <v>0</v>
      </c>
      <c r="T186" s="1390">
        <f ca="1">IF(Q186&gt;0,S186*100/Q186,0)</f>
        <v>0</v>
      </c>
      <c r="U186" s="1390">
        <f ca="1">IF(R186&gt;0,S186*100/R186,0)</f>
        <v>0</v>
      </c>
    </row>
    <row r="187" spans="1:21" ht="18.75" x14ac:dyDescent="0.25">
      <c r="A187" s="128"/>
      <c r="B187" s="40"/>
      <c r="C187" s="40"/>
      <c r="D187" s="40"/>
      <c r="E187" s="156" t="s">
        <v>20</v>
      </c>
      <c r="F187" s="40"/>
      <c r="G187" s="42"/>
      <c r="H187" s="157" t="s">
        <v>14</v>
      </c>
      <c r="I187" s="44"/>
      <c r="J187" s="44"/>
      <c r="K187" s="45"/>
      <c r="L187" s="1358">
        <f>L190+L193</f>
        <v>0</v>
      </c>
      <c r="M187" s="83">
        <f>M190+M193</f>
        <v>0</v>
      </c>
      <c r="N187" s="83">
        <f>N190+N193</f>
        <v>0</v>
      </c>
      <c r="O187" s="83">
        <f>IF(L187&gt;0,N187*100/L187,0)</f>
        <v>0</v>
      </c>
      <c r="P187" s="83">
        <f>IF(M187&gt;0,N187*100/M187,0)</f>
        <v>0</v>
      </c>
      <c r="Q187" s="83">
        <f>Q190+Q193</f>
        <v>0</v>
      </c>
      <c r="R187" s="83">
        <f>R190+R193</f>
        <v>0</v>
      </c>
      <c r="S187" s="83">
        <f>S190+S193</f>
        <v>0</v>
      </c>
      <c r="T187" s="83">
        <f>IF(Q187&gt;0,S187*100/Q187,0)</f>
        <v>0</v>
      </c>
      <c r="U187" s="83">
        <f>IF(R187&gt;0,S187*100/R187,0)</f>
        <v>0</v>
      </c>
    </row>
    <row r="188" spans="1:21" ht="18.75" x14ac:dyDescent="0.25">
      <c r="A188" s="128"/>
      <c r="B188" s="40"/>
      <c r="C188" s="40"/>
      <c r="D188" s="40"/>
      <c r="E188" s="47" t="s">
        <v>21</v>
      </c>
      <c r="F188" s="40"/>
      <c r="G188" s="42"/>
      <c r="H188" s="133" t="s">
        <v>14</v>
      </c>
      <c r="I188" s="44"/>
      <c r="J188" s="44"/>
      <c r="K188" s="45"/>
      <c r="L188" s="1356">
        <f ca="1">L191+L194</f>
        <v>118500</v>
      </c>
      <c r="M188" s="224">
        <f ca="1">M191+M194</f>
        <v>118500</v>
      </c>
      <c r="N188" s="224">
        <f ca="1">N191+N194</f>
        <v>84133.34</v>
      </c>
      <c r="O188" s="224">
        <f ca="1">IF(L188&gt;0,N188*100/L188,0)</f>
        <v>70.998599156118146</v>
      </c>
      <c r="P188" s="224">
        <f ca="1">IF(M188&gt;0,N188*100/M188,0)</f>
        <v>70.998599156118146</v>
      </c>
      <c r="Q188" s="224">
        <f ca="1">Q191+Q194</f>
        <v>28000</v>
      </c>
      <c r="R188" s="224">
        <f ca="1">R191+R194</f>
        <v>28000</v>
      </c>
      <c r="S188" s="224">
        <f ca="1">S191+S194</f>
        <v>0</v>
      </c>
      <c r="T188" s="224">
        <f ca="1">IF(Q188&gt;0,S188*100/Q188,0)</f>
        <v>0</v>
      </c>
      <c r="U188" s="224">
        <f ca="1">IF(R188&gt;0,S188*100/R188,0)</f>
        <v>0</v>
      </c>
    </row>
    <row r="189" spans="1:21" ht="18.75" x14ac:dyDescent="0.25">
      <c r="A189" s="128"/>
      <c r="B189" s="40"/>
      <c r="C189" s="40"/>
      <c r="D189" s="41" t="s">
        <v>22</v>
      </c>
      <c r="E189" s="40"/>
      <c r="F189" s="40"/>
      <c r="G189" s="42"/>
      <c r="H189" s="134" t="s">
        <v>14</v>
      </c>
      <c r="I189" s="135"/>
      <c r="J189" s="135"/>
      <c r="K189" s="136"/>
      <c r="L189" s="1356">
        <f ca="1">L190+L191</f>
        <v>118500</v>
      </c>
      <c r="M189" s="224">
        <f ca="1">M190+M191</f>
        <v>118500</v>
      </c>
      <c r="N189" s="224">
        <f ca="1">N190+N191</f>
        <v>84133.34</v>
      </c>
      <c r="O189" s="224">
        <f ca="1">IF(L189&gt;0,N189*100/L189,0)</f>
        <v>70.998599156118146</v>
      </c>
      <c r="P189" s="224">
        <f ca="1">IF(M189&gt;0,N189*100/M189,0)</f>
        <v>70.998599156118146</v>
      </c>
      <c r="Q189" s="224">
        <f ca="1">Q190+Q191</f>
        <v>28000</v>
      </c>
      <c r="R189" s="224">
        <f ca="1">R190+R191</f>
        <v>28000</v>
      </c>
      <c r="S189" s="224">
        <f ca="1">S190+S191</f>
        <v>0</v>
      </c>
      <c r="T189" s="224">
        <f ca="1">IF(Q189&gt;0,S189*100/Q189,0)</f>
        <v>0</v>
      </c>
      <c r="U189" s="224">
        <f ca="1">IF(R189&gt;0,S189*100/R189,0)</f>
        <v>0</v>
      </c>
    </row>
    <row r="190" spans="1:21" ht="18.75" x14ac:dyDescent="0.25">
      <c r="A190" s="128"/>
      <c r="B190" s="40"/>
      <c r="C190" s="40"/>
      <c r="D190" s="40"/>
      <c r="E190" s="156" t="s">
        <v>36</v>
      </c>
      <c r="F190" s="40"/>
      <c r="G190" s="42"/>
      <c r="H190" s="159" t="s">
        <v>14</v>
      </c>
      <c r="I190" s="135"/>
      <c r="J190" s="135"/>
      <c r="K190" s="136"/>
      <c r="L190" s="1358">
        <v>0</v>
      </c>
      <c r="M190" s="83">
        <v>0</v>
      </c>
      <c r="N190" s="83">
        <v>0</v>
      </c>
      <c r="O190" s="83">
        <f>IF(L190&gt;0,N190*100/L190,0)</f>
        <v>0</v>
      </c>
      <c r="P190" s="83">
        <f>IF(M190&gt;0,N190*100/M190,0)</f>
        <v>0</v>
      </c>
      <c r="Q190" s="83">
        <v>0</v>
      </c>
      <c r="R190" s="83">
        <v>0</v>
      </c>
      <c r="S190" s="83">
        <v>0</v>
      </c>
      <c r="T190" s="83">
        <f>IF(Q190&gt;0,S190*100/Q190,0)</f>
        <v>0</v>
      </c>
      <c r="U190" s="83">
        <f>IF(R190&gt;0,S190*100/R190,0)</f>
        <v>0</v>
      </c>
    </row>
    <row r="191" spans="1:21" ht="18.75" x14ac:dyDescent="0.25">
      <c r="A191" s="128"/>
      <c r="B191" s="40"/>
      <c r="C191" s="40"/>
      <c r="D191" s="40"/>
      <c r="E191" s="47" t="s">
        <v>37</v>
      </c>
      <c r="F191" s="40"/>
      <c r="G191" s="42"/>
      <c r="H191" s="134" t="s">
        <v>14</v>
      </c>
      <c r="I191" s="135"/>
      <c r="J191" s="135"/>
      <c r="K191" s="136"/>
      <c r="L191" s="1356">
        <f ca="1">IFERROR(__xludf.DUMMYFUNCTION("IMPORTRANGE(""https://docs.google.com/spreadsheets/d/1-uDff_7J0KD5mKrp0Vvzr7lt3OU09vwQwhkpOPPYv2Y/edit?usp=sharing"",""งบพรบ!CU26"")"),118500)</f>
        <v>118500</v>
      </c>
      <c r="M191" s="224">
        <f ca="1">IFERROR(__xludf.DUMMYFUNCTION("IMPORTRANGE(""https://docs.google.com/spreadsheets/d/1-uDff_7J0KD5mKrp0Vvzr7lt3OU09vwQwhkpOPPYv2Y/edit?usp=sharing"",""งบพรบ!CZ26"")"),118500)</f>
        <v>118500</v>
      </c>
      <c r="N191" s="224">
        <f ca="1">IFERROR(__xludf.DUMMYFUNCTION("IMPORTRANGE(""https://docs.google.com/spreadsheets/d/1-uDff_7J0KD5mKrp0Vvzr7lt3OU09vwQwhkpOPPYv2Y/edit?usp=sharing"",""งบพรบ!DB26"")"),84133.34)</f>
        <v>84133.34</v>
      </c>
      <c r="O191" s="224">
        <f ca="1">IF(L191&gt;0,N191*100/L191,0)</f>
        <v>70.998599156118146</v>
      </c>
      <c r="P191" s="224">
        <f ca="1">IF(M191&gt;0,N191*100/M191,0)</f>
        <v>70.998599156118146</v>
      </c>
      <c r="Q191" s="224">
        <f ca="1">IFERROR(__xludf.DUMMYFUNCTION("IMPORTRANGE(""https://docs.google.com/spreadsheets/d/1ItG2mGa2ceCfYo0BwxsXqNm01IGEUdYcSSLTEv9YCik/edit?usp=sharing"",""เบิกจ่ายกองทุน!BQ26"")"),28000)</f>
        <v>28000</v>
      </c>
      <c r="R191" s="224">
        <f ca="1">IFERROR(__xludf.DUMMYFUNCTION("IMPORTRANGE(""https://docs.google.com/spreadsheets/d/1ItG2mGa2ceCfYo0BwxsXqNm01IGEUdYcSSLTEv9YCik/edit?usp=sharing"",""เบิกจ่ายกองทุน!BR26"")"),28000)</f>
        <v>28000</v>
      </c>
      <c r="S191" s="224">
        <f ca="1">IFERROR(__xludf.DUMMYFUNCTION("IMPORTRANGE(""https://docs.google.com/spreadsheets/d/1ItG2mGa2ceCfYo0BwxsXqNm01IGEUdYcSSLTEv9YCik/edit?usp=sharing"",""เบิกจ่ายกองทุน!BS26"")"),0)</f>
        <v>0</v>
      </c>
      <c r="T191" s="224">
        <f ca="1">IF(Q191&gt;0,S191*100/Q191,0)</f>
        <v>0</v>
      </c>
      <c r="U191" s="224">
        <f ca="1">IF(R191&gt;0,S191*100/R191,0)</f>
        <v>0</v>
      </c>
    </row>
    <row r="192" spans="1:21" ht="18.75" x14ac:dyDescent="0.25">
      <c r="A192" s="128"/>
      <c r="B192" s="40"/>
      <c r="C192" s="40"/>
      <c r="D192" s="41" t="s">
        <v>23</v>
      </c>
      <c r="E192" s="40"/>
      <c r="F192" s="40"/>
      <c r="G192" s="42"/>
      <c r="H192" s="137" t="s">
        <v>14</v>
      </c>
      <c r="I192" s="135"/>
      <c r="J192" s="135"/>
      <c r="K192" s="136"/>
      <c r="L192" s="1356">
        <f ca="1">L193+L194</f>
        <v>0</v>
      </c>
      <c r="M192" s="224">
        <f ca="1">M193+M194</f>
        <v>0</v>
      </c>
      <c r="N192" s="224">
        <f ca="1">N193+N194</f>
        <v>0</v>
      </c>
      <c r="O192" s="224">
        <f ca="1">IF(L192&gt;0,N192*100/L192,0)</f>
        <v>0</v>
      </c>
      <c r="P192" s="224">
        <f ca="1">IF(M192&gt;0,N192*100/M192,0)</f>
        <v>0</v>
      </c>
      <c r="Q192" s="224">
        <f ca="1">Q193+Q194</f>
        <v>0</v>
      </c>
      <c r="R192" s="224">
        <f ca="1">R193+R194</f>
        <v>0</v>
      </c>
      <c r="S192" s="224">
        <f ca="1">S193+S194</f>
        <v>0</v>
      </c>
      <c r="T192" s="224">
        <f ca="1">IF(Q192&gt;0,S192*100/Q192,0)</f>
        <v>0</v>
      </c>
      <c r="U192" s="224">
        <f ca="1">IF(R192&gt;0,S192*100/R192,0)</f>
        <v>0</v>
      </c>
    </row>
    <row r="193" spans="1:21" ht="18.75" x14ac:dyDescent="0.25">
      <c r="A193" s="128"/>
      <c r="B193" s="40"/>
      <c r="C193" s="40"/>
      <c r="D193" s="40"/>
      <c r="E193" s="156" t="s">
        <v>20</v>
      </c>
      <c r="F193" s="40"/>
      <c r="G193" s="42"/>
      <c r="H193" s="159" t="s">
        <v>14</v>
      </c>
      <c r="I193" s="135"/>
      <c r="J193" s="135"/>
      <c r="K193" s="136"/>
      <c r="L193" s="1358">
        <v>0</v>
      </c>
      <c r="M193" s="83">
        <v>0</v>
      </c>
      <c r="N193" s="83">
        <v>0</v>
      </c>
      <c r="O193" s="83">
        <f>IF(L193&gt;0,N193*100/L193,0)</f>
        <v>0</v>
      </c>
      <c r="P193" s="83">
        <f>IF(M193&gt;0,N193*100/M193,0)</f>
        <v>0</v>
      </c>
      <c r="Q193" s="83">
        <v>0</v>
      </c>
      <c r="R193" s="83">
        <v>0</v>
      </c>
      <c r="S193" s="83">
        <v>0</v>
      </c>
      <c r="T193" s="83">
        <f>IF(Q193&gt;0,S193*100/Q193,0)</f>
        <v>0</v>
      </c>
      <c r="U193" s="83">
        <f>IF(R193&gt;0,S193*100/R193,0)</f>
        <v>0</v>
      </c>
    </row>
    <row r="194" spans="1:21" ht="18.75" x14ac:dyDescent="0.25">
      <c r="A194" s="128"/>
      <c r="B194" s="40"/>
      <c r="C194" s="40"/>
      <c r="D194" s="40"/>
      <c r="E194" s="47" t="s">
        <v>21</v>
      </c>
      <c r="F194" s="40"/>
      <c r="G194" s="42"/>
      <c r="H194" s="137" t="s">
        <v>14</v>
      </c>
      <c r="I194" s="135"/>
      <c r="J194" s="135"/>
      <c r="K194" s="136"/>
      <c r="L194" s="1356">
        <f ca="1">IFERROR(__xludf.DUMMYFUNCTION("IMPORTRANGE(""https://docs.google.com/spreadsheets/d/1-uDff_7J0KD5mKrp0Vvzr7lt3OU09vwQwhkpOPPYv2Y/edit?usp=sharing"",""งบพรบ!CX26"")"),0)</f>
        <v>0</v>
      </c>
      <c r="M194" s="224">
        <f ca="1">IFERROR(__xludf.DUMMYFUNCTION("IMPORTRANGE(""https://docs.google.com/spreadsheets/d/1-uDff_7J0KD5mKrp0Vvzr7lt3OU09vwQwhkpOPPYv2Y/edit?usp=sharing"",""งบพรบ!DA26"")"),0)</f>
        <v>0</v>
      </c>
      <c r="N194" s="224">
        <f ca="1">IFERROR(__xludf.DUMMYFUNCTION("IMPORTRANGE(""https://docs.google.com/spreadsheets/d/1-uDff_7J0KD5mKrp0Vvzr7lt3OU09vwQwhkpOPPYv2Y/edit?usp=sharing"",""งบพรบ!DC26"")"),0)</f>
        <v>0</v>
      </c>
      <c r="O194" s="224">
        <f ca="1">IF(L194&gt;0,N194*100/L194,0)</f>
        <v>0</v>
      </c>
      <c r="P194" s="224">
        <f ca="1">IF(M194&gt;0,N194*100/M194,0)</f>
        <v>0</v>
      </c>
      <c r="Q194" s="224">
        <f ca="1">IFERROR(__xludf.DUMMYFUNCTION("IMPORTRANGE(""https://docs.google.com/spreadsheets/d/1ItG2mGa2ceCfYo0BwxsXqNm01IGEUdYcSSLTEv9YCik/edit?usp=sharing"",""เบิกจ่ายกองทุน!BT26"")"),0)</f>
        <v>0</v>
      </c>
      <c r="R194" s="224">
        <f ca="1">IFERROR(__xludf.DUMMYFUNCTION("IMPORTRANGE(""https://docs.google.com/spreadsheets/d/1ItG2mGa2ceCfYo0BwxsXqNm01IGEUdYcSSLTEv9YCik/edit?usp=sharing"",""เบิกจ่ายกองทุน!BU26"")"),0)</f>
        <v>0</v>
      </c>
      <c r="S194" s="224">
        <f ca="1">IFERROR(__xludf.DUMMYFUNCTION("IMPORTRANGE(""https://docs.google.com/spreadsheets/d/1ItG2mGa2ceCfYo0BwxsXqNm01IGEUdYcSSLTEv9YCik/edit?usp=sharing"",""เบิกจ่ายกองทุน!BV26"")"),0)</f>
        <v>0</v>
      </c>
      <c r="T194" s="224">
        <f ca="1">IF(Q194&gt;0,S194*100/Q194,0)</f>
        <v>0</v>
      </c>
      <c r="U194" s="224">
        <f ca="1">IF(R194&gt;0,S194*100/R194,0)</f>
        <v>0</v>
      </c>
    </row>
    <row r="195" spans="1:21" ht="19.5" x14ac:dyDescent="0.3">
      <c r="A195" s="211"/>
      <c r="B195" s="212"/>
      <c r="C195" s="213" t="s">
        <v>78</v>
      </c>
      <c r="D195" s="214"/>
      <c r="E195" s="214"/>
      <c r="F195" s="214"/>
      <c r="G195" s="215"/>
      <c r="H195" s="216" t="s">
        <v>79</v>
      </c>
      <c r="I195" s="303">
        <f ca="1">I198</f>
        <v>4</v>
      </c>
      <c r="J195" s="303">
        <f>J198</f>
        <v>3</v>
      </c>
      <c r="K195" s="304">
        <f ca="1">IF(I195&gt;0,J195*100/I195,0)</f>
        <v>75</v>
      </c>
      <c r="L195" s="1416"/>
      <c r="M195" s="219"/>
      <c r="N195" s="219"/>
      <c r="O195" s="219"/>
      <c r="P195" s="219"/>
      <c r="Q195" s="219"/>
      <c r="R195" s="219"/>
      <c r="S195" s="219"/>
      <c r="T195" s="219"/>
      <c r="U195" s="219"/>
    </row>
    <row r="196" spans="1:21" ht="19.5" x14ac:dyDescent="0.3">
      <c r="A196" s="128"/>
      <c r="B196" s="40"/>
      <c r="C196" s="129" t="s">
        <v>18</v>
      </c>
      <c r="D196" s="1417" t="s">
        <v>19</v>
      </c>
      <c r="E196" s="40"/>
      <c r="F196" s="40"/>
      <c r="G196" s="42"/>
      <c r="H196" s="221" t="s">
        <v>14</v>
      </c>
      <c r="I196" s="44"/>
      <c r="J196" s="44"/>
      <c r="K196" s="45"/>
      <c r="L196" s="1389">
        <f ca="1">IFERROR(__xludf.DUMMYFUNCTION("IMPORTRANGE(""https://docs.google.com/spreadsheets/d/1eHaY18a8A9IcSdp1K8H6x8fbOy06t2VsZHhMHf-1x7Y/edit?usp=sharing"",""แผน!AB26"")"),6000)</f>
        <v>6000</v>
      </c>
      <c r="M196" s="45"/>
      <c r="N196" s="1418">
        <v>0</v>
      </c>
      <c r="O196" s="1390">
        <f ca="1">IF(L196&gt;0,N196*100/L196,0)</f>
        <v>0</v>
      </c>
      <c r="P196" s="1390">
        <f>IF(M196&gt;0,N196*100/M196,0)</f>
        <v>0</v>
      </c>
      <c r="Q196" s="45"/>
      <c r="R196" s="45"/>
      <c r="S196" s="45"/>
      <c r="T196" s="45"/>
      <c r="U196" s="45"/>
    </row>
    <row r="197" spans="1:21" ht="19.5" x14ac:dyDescent="0.3">
      <c r="A197" s="138"/>
      <c r="B197" s="139"/>
      <c r="C197" s="129" t="s">
        <v>18</v>
      </c>
      <c r="D197" s="1391" t="s">
        <v>38</v>
      </c>
      <c r="E197" s="141"/>
      <c r="F197" s="141"/>
      <c r="G197" s="142"/>
      <c r="H197" s="143"/>
      <c r="I197" s="44"/>
      <c r="J197" s="44"/>
      <c r="K197" s="45"/>
      <c r="L197" s="1359"/>
      <c r="M197" s="45"/>
      <c r="N197" s="45"/>
      <c r="O197" s="45"/>
      <c r="P197" s="45"/>
      <c r="Q197" s="45"/>
      <c r="R197" s="45"/>
      <c r="S197" s="45"/>
      <c r="T197" s="45"/>
      <c r="U197" s="45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84">
        <f ca="1">IFERROR(__xludf.DUMMYFUNCTION("IMPORTRANGE(""https://docs.google.com/spreadsheets/d/1eHaY18a8A9IcSdp1K8H6x8fbOy06t2VsZHhMHf-1x7Y/edit?usp=sharing"",""แผน!AE26"")"),4)</f>
        <v>4</v>
      </c>
      <c r="J198" s="1395">
        <v>3</v>
      </c>
      <c r="K198" s="224">
        <f ca="1">IF(I198&gt;0,J198*100/I198,0)</f>
        <v>75</v>
      </c>
      <c r="L198" s="1359"/>
      <c r="M198" s="45"/>
      <c r="N198" s="45"/>
      <c r="O198" s="45"/>
      <c r="P198" s="45"/>
      <c r="Q198" s="45"/>
      <c r="R198" s="45"/>
      <c r="S198" s="45"/>
      <c r="T198" s="45"/>
      <c r="U198" s="45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0" t="s">
        <v>35</v>
      </c>
      <c r="I199" s="44"/>
      <c r="J199" s="184">
        <f>J200+J201</f>
        <v>103</v>
      </c>
      <c r="K199" s="45"/>
      <c r="L199" s="1359"/>
      <c r="M199" s="45"/>
      <c r="N199" s="45"/>
      <c r="O199" s="45"/>
      <c r="P199" s="45"/>
      <c r="Q199" s="45"/>
      <c r="R199" s="45"/>
      <c r="S199" s="45"/>
      <c r="T199" s="45"/>
      <c r="U199" s="45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0" t="s">
        <v>35</v>
      </c>
      <c r="I200" s="44"/>
      <c r="J200" s="1395">
        <v>103</v>
      </c>
      <c r="K200" s="45"/>
      <c r="L200" s="1359"/>
      <c r="M200" s="45"/>
      <c r="N200" s="45"/>
      <c r="O200" s="45"/>
      <c r="P200" s="45"/>
      <c r="Q200" s="45"/>
      <c r="R200" s="45"/>
      <c r="S200" s="45"/>
      <c r="T200" s="45"/>
      <c r="U200" s="45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0" t="s">
        <v>35</v>
      </c>
      <c r="I201" s="44"/>
      <c r="J201" s="1395">
        <v>0</v>
      </c>
      <c r="K201" s="45"/>
      <c r="L201" s="1359"/>
      <c r="M201" s="45"/>
      <c r="N201" s="45"/>
      <c r="O201" s="45"/>
      <c r="P201" s="45"/>
      <c r="Q201" s="45"/>
      <c r="R201" s="45"/>
      <c r="S201" s="45"/>
      <c r="T201" s="45"/>
      <c r="U201" s="45"/>
    </row>
    <row r="202" spans="1:21" ht="19.5" x14ac:dyDescent="0.3">
      <c r="A202" s="211"/>
      <c r="B202" s="212"/>
      <c r="C202" s="213" t="s">
        <v>84</v>
      </c>
      <c r="D202" s="214"/>
      <c r="E202" s="214"/>
      <c r="F202" s="214"/>
      <c r="G202" s="215"/>
      <c r="H202" s="223" t="s">
        <v>85</v>
      </c>
      <c r="I202" s="303">
        <f ca="1">I209</f>
        <v>2</v>
      </c>
      <c r="J202" s="303">
        <f>J209</f>
        <v>0</v>
      </c>
      <c r="K202" s="304">
        <f ca="1">IF(I202&gt;0,J202*100/I202,0)</f>
        <v>0</v>
      </c>
      <c r="L202" s="1416"/>
      <c r="M202" s="219"/>
      <c r="N202" s="219"/>
      <c r="O202" s="219"/>
      <c r="P202" s="219"/>
      <c r="Q202" s="219"/>
      <c r="R202" s="219"/>
      <c r="S202" s="219"/>
      <c r="T202" s="219"/>
      <c r="U202" s="219"/>
    </row>
    <row r="203" spans="1:21" ht="19.5" x14ac:dyDescent="0.3">
      <c r="A203" s="128"/>
      <c r="B203" s="40"/>
      <c r="C203" s="129" t="s">
        <v>18</v>
      </c>
      <c r="D203" s="1417" t="s">
        <v>19</v>
      </c>
      <c r="E203" s="40"/>
      <c r="F203" s="40"/>
      <c r="G203" s="42"/>
      <c r="H203" s="221" t="s">
        <v>14</v>
      </c>
      <c r="I203" s="135"/>
      <c r="J203" s="135"/>
      <c r="K203" s="136"/>
      <c r="L203" s="1389">
        <f ca="1">L204+L205+L206+L207</f>
        <v>8000</v>
      </c>
      <c r="M203" s="45"/>
      <c r="N203" s="1390">
        <f>N204+N205+N206+N207</f>
        <v>0</v>
      </c>
      <c r="O203" s="1390">
        <f ca="1">IF(L203&gt;0,N203*100/L203,0)</f>
        <v>0</v>
      </c>
      <c r="P203" s="1390">
        <f>IF(M203&gt;0,N203*100/M203,0)</f>
        <v>0</v>
      </c>
      <c r="Q203" s="1419">
        <f ca="1">Q204+Q205+Q206+Q207</f>
        <v>28000</v>
      </c>
      <c r="R203" s="373"/>
      <c r="S203" s="1420">
        <f>S204+S205+S206+S207</f>
        <v>0</v>
      </c>
      <c r="T203" s="1420">
        <f ca="1">IF(Q203&gt;0,S203*100/Q203,0)</f>
        <v>0</v>
      </c>
      <c r="U203" s="1420">
        <f>IF(R203&gt;0,S203*100/R203,0)</f>
        <v>0</v>
      </c>
    </row>
    <row r="204" spans="1:21" ht="18.75" x14ac:dyDescent="0.25">
      <c r="A204" s="128"/>
      <c r="B204" s="158"/>
      <c r="C204" s="40"/>
      <c r="D204" s="1421" t="s">
        <v>317</v>
      </c>
      <c r="E204" s="40"/>
      <c r="F204" s="40"/>
      <c r="G204" s="42"/>
      <c r="H204" s="134" t="s">
        <v>14</v>
      </c>
      <c r="I204" s="135"/>
      <c r="J204" s="135"/>
      <c r="K204" s="136"/>
      <c r="L204" s="1356">
        <f ca="1">IFERROR(__xludf.DUMMYFUNCTION("IMPORTRANGE(""https://docs.google.com/spreadsheets/d/1eHaY18a8A9IcSdp1K8H6x8fbOy06t2VsZHhMHf-1x7Y/edit?usp=sharing"",""แผน!AG26"")"),1000)</f>
        <v>1000</v>
      </c>
      <c r="M204" s="45"/>
      <c r="N204" s="1422">
        <v>0</v>
      </c>
      <c r="O204" s="136"/>
      <c r="P204" s="45"/>
      <c r="Q204" s="1356">
        <v>0</v>
      </c>
      <c r="R204" s="45"/>
      <c r="S204" s="224">
        <v>0</v>
      </c>
      <c r="T204" s="136"/>
      <c r="U204" s="45"/>
    </row>
    <row r="205" spans="1:21" ht="18.75" x14ac:dyDescent="0.25">
      <c r="A205" s="208"/>
      <c r="B205" s="158"/>
      <c r="C205" s="40"/>
      <c r="D205" s="47" t="s">
        <v>301</v>
      </c>
      <c r="E205" s="40"/>
      <c r="F205" s="40"/>
      <c r="G205" s="42"/>
      <c r="H205" s="43" t="s">
        <v>14</v>
      </c>
      <c r="I205" s="44"/>
      <c r="J205" s="44"/>
      <c r="K205" s="45"/>
      <c r="L205" s="1356">
        <f ca="1">IFERROR(__xludf.DUMMYFUNCTION("IMPORTRANGE(""https://docs.google.com/spreadsheets/d/1eHaY18a8A9IcSdp1K8H6x8fbOy06t2VsZHhMHf-1x7Y/edit?usp=sharing"",""แผน!AH26"")"),0)</f>
        <v>0</v>
      </c>
      <c r="M205" s="45"/>
      <c r="N205" s="1422">
        <v>0</v>
      </c>
      <c r="O205" s="136"/>
      <c r="P205" s="45"/>
      <c r="Q205" s="1356">
        <v>0</v>
      </c>
      <c r="R205" s="45"/>
      <c r="S205" s="224">
        <v>0</v>
      </c>
      <c r="T205" s="136"/>
      <c r="U205" s="45"/>
    </row>
    <row r="206" spans="1:21" ht="18.75" x14ac:dyDescent="0.25">
      <c r="A206" s="208"/>
      <c r="B206" s="158"/>
      <c r="C206" s="40"/>
      <c r="D206" s="47" t="s">
        <v>88</v>
      </c>
      <c r="E206" s="40"/>
      <c r="F206" s="40"/>
      <c r="G206" s="42"/>
      <c r="H206" s="43" t="s">
        <v>14</v>
      </c>
      <c r="I206" s="44"/>
      <c r="J206" s="44"/>
      <c r="K206" s="45"/>
      <c r="L206" s="1356">
        <f ca="1">IFERROR(__xludf.DUMMYFUNCTION("IMPORTRANGE(""https://docs.google.com/spreadsheets/d/1eHaY18a8A9IcSdp1K8H6x8fbOy06t2VsZHhMHf-1x7Y/edit?usp=sharing"",""แผน!AI26"")"),0)</f>
        <v>0</v>
      </c>
      <c r="M206" s="45"/>
      <c r="N206" s="1422">
        <v>0</v>
      </c>
      <c r="O206" s="136"/>
      <c r="P206" s="45"/>
      <c r="Q206" s="1356">
        <f ca="1">IFERROR(__xludf.DUMMYFUNCTION("IMPORTRANGE(""https://docs.google.com/spreadsheets/d/1eHaY18a8A9IcSdp1K8H6x8fbOy06t2VsZHhMHf-1x7Y/edit?usp=sharing"",""แผน!LV26"")"),28000)</f>
        <v>28000</v>
      </c>
      <c r="R206" s="45"/>
      <c r="S206" s="1422">
        <v>0</v>
      </c>
      <c r="T206" s="136"/>
      <c r="U206" s="45"/>
    </row>
    <row r="207" spans="1:21" ht="18.75" x14ac:dyDescent="0.25">
      <c r="A207" s="208"/>
      <c r="B207" s="158"/>
      <c r="C207" s="40"/>
      <c r="D207" s="47" t="s">
        <v>89</v>
      </c>
      <c r="E207" s="40"/>
      <c r="F207" s="40"/>
      <c r="G207" s="42"/>
      <c r="H207" s="43" t="s">
        <v>14</v>
      </c>
      <c r="I207" s="44"/>
      <c r="J207" s="44"/>
      <c r="K207" s="45"/>
      <c r="L207" s="1356">
        <f ca="1">IFERROR(__xludf.DUMMYFUNCTION("IMPORTRANGE(""https://docs.google.com/spreadsheets/d/1eHaY18a8A9IcSdp1K8H6x8fbOy06t2VsZHhMHf-1x7Y/edit?usp=sharing"",""แผน!AJ26"")"),7000)</f>
        <v>7000</v>
      </c>
      <c r="M207" s="45"/>
      <c r="N207" s="1422">
        <v>0</v>
      </c>
      <c r="O207" s="136"/>
      <c r="P207" s="45"/>
      <c r="Q207" s="1356">
        <v>0</v>
      </c>
      <c r="R207" s="45"/>
      <c r="S207" s="224">
        <v>0</v>
      </c>
      <c r="T207" s="136"/>
      <c r="U207" s="45"/>
    </row>
    <row r="208" spans="1:21" ht="19.5" x14ac:dyDescent="0.3">
      <c r="A208" s="138"/>
      <c r="B208" s="139"/>
      <c r="C208" s="129" t="s">
        <v>18</v>
      </c>
      <c r="D208" s="1391" t="s">
        <v>38</v>
      </c>
      <c r="E208" s="141"/>
      <c r="F208" s="141"/>
      <c r="G208" s="142"/>
      <c r="H208" s="143"/>
      <c r="I208" s="135"/>
      <c r="J208" s="135"/>
      <c r="K208" s="136"/>
      <c r="L208" s="1392"/>
      <c r="M208" s="136"/>
      <c r="N208" s="136"/>
      <c r="O208" s="136"/>
      <c r="P208" s="136"/>
      <c r="Q208" s="1392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25" t="s">
        <v>85</v>
      </c>
      <c r="I209" s="184">
        <f ca="1">IFERROR(__xludf.DUMMYFUNCTION("IMPORTRANGE(""https://docs.google.com/spreadsheets/d/1eHaY18a8A9IcSdp1K8H6x8fbOy06t2VsZHhMHf-1x7Y/edit?usp=sharing"",""แผน!AK26"")"),2)</f>
        <v>2</v>
      </c>
      <c r="J209" s="1395">
        <v>0</v>
      </c>
      <c r="K209" s="1396">
        <f ca="1">IF(I209&gt;0,J209*100/I209,0)</f>
        <v>0</v>
      </c>
      <c r="L209" s="1359"/>
      <c r="M209" s="45"/>
      <c r="N209" s="45"/>
      <c r="O209" s="45"/>
      <c r="P209" s="45"/>
      <c r="Q209" s="1359"/>
      <c r="R209" s="45"/>
      <c r="S209" s="45"/>
      <c r="T209" s="45"/>
      <c r="U209" s="45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4"/>
      <c r="J210" s="44"/>
      <c r="K210" s="136"/>
      <c r="L210" s="1359"/>
      <c r="M210" s="45"/>
      <c r="N210" s="45"/>
      <c r="O210" s="45"/>
      <c r="P210" s="45"/>
      <c r="Q210" s="1359"/>
      <c r="R210" s="45"/>
      <c r="S210" s="45"/>
      <c r="T210" s="45"/>
      <c r="U210" s="45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25" t="s">
        <v>85</v>
      </c>
      <c r="I211" s="184">
        <f ca="1">IFERROR(__xludf.DUMMYFUNCTION("IMPORTRANGE(""https://docs.google.com/spreadsheets/d/1eHaY18a8A9IcSdp1K8H6x8fbOy06t2VsZHhMHf-1x7Y/edit?usp=sharing"",""แผน!JX26"")"),1)</f>
        <v>1</v>
      </c>
      <c r="J211" s="1395">
        <v>1</v>
      </c>
      <c r="K211" s="1396">
        <f ca="1">IF(I211&gt;0,J211*100/I211,0)</f>
        <v>100</v>
      </c>
      <c r="L211" s="1359"/>
      <c r="M211" s="45"/>
      <c r="N211" s="45"/>
      <c r="O211" s="45"/>
      <c r="P211" s="45"/>
      <c r="Q211" s="1359"/>
      <c r="R211" s="45"/>
      <c r="S211" s="45"/>
      <c r="T211" s="45"/>
      <c r="U211" s="45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84">
        <f ca="1">IFERROR(__xludf.DUMMYFUNCTION("IMPORTRANGE(""https://docs.google.com/spreadsheets/d/1eHaY18a8A9IcSdp1K8H6x8fbOy06t2VsZHhMHf-1x7Y/edit?usp=sharing"",""แผน!JY26"")"),1)</f>
        <v>1</v>
      </c>
      <c r="J212" s="1395">
        <v>1</v>
      </c>
      <c r="K212" s="1396">
        <f ca="1">IF(I212&gt;0,J212*100/I212,0)</f>
        <v>100</v>
      </c>
      <c r="L212" s="1359"/>
      <c r="M212" s="45"/>
      <c r="N212" s="45"/>
      <c r="O212" s="45"/>
      <c r="P212" s="45"/>
      <c r="Q212" s="1359"/>
      <c r="R212" s="45"/>
      <c r="S212" s="45"/>
      <c r="T212" s="45"/>
      <c r="U212" s="45"/>
    </row>
    <row r="213" spans="1:21" ht="19.5" x14ac:dyDescent="0.3">
      <c r="A213" s="211"/>
      <c r="B213" s="212"/>
      <c r="C213" s="213" t="s">
        <v>94</v>
      </c>
      <c r="D213" s="214"/>
      <c r="E213" s="214"/>
      <c r="F213" s="214"/>
      <c r="G213" s="215"/>
      <c r="H213" s="223" t="s">
        <v>85</v>
      </c>
      <c r="I213" s="303">
        <f ca="1">I220</f>
        <v>0</v>
      </c>
      <c r="J213" s="303">
        <f>J220</f>
        <v>0</v>
      </c>
      <c r="K213" s="304">
        <f ca="1">IF(I213&gt;0,J213*100/I213,0)</f>
        <v>0</v>
      </c>
      <c r="L213" s="1416"/>
      <c r="M213" s="219"/>
      <c r="N213" s="219"/>
      <c r="O213" s="219"/>
      <c r="P213" s="219"/>
      <c r="Q213" s="1416"/>
      <c r="R213" s="219"/>
      <c r="S213" s="219"/>
      <c r="T213" s="219"/>
      <c r="U213" s="219"/>
    </row>
    <row r="214" spans="1:21" ht="19.5" x14ac:dyDescent="0.3">
      <c r="A214" s="128"/>
      <c r="B214" s="40"/>
      <c r="C214" s="129" t="s">
        <v>18</v>
      </c>
      <c r="D214" s="1417" t="s">
        <v>19</v>
      </c>
      <c r="E214" s="40"/>
      <c r="F214" s="40"/>
      <c r="G214" s="42"/>
      <c r="H214" s="221" t="s">
        <v>14</v>
      </c>
      <c r="I214" s="135"/>
      <c r="J214" s="135"/>
      <c r="K214" s="136"/>
      <c r="L214" s="1389">
        <f ca="1">L215+L216+L217</f>
        <v>0</v>
      </c>
      <c r="M214" s="45"/>
      <c r="N214" s="1390">
        <f>N215+N216+N217</f>
        <v>0</v>
      </c>
      <c r="O214" s="1390">
        <f ca="1">IF(L214&gt;0,N214*100/L214,0)</f>
        <v>0</v>
      </c>
      <c r="P214" s="1390">
        <f>IF(M214&gt;0,N214*100/M214,0)</f>
        <v>0</v>
      </c>
      <c r="Q214" s="1389">
        <f ca="1">Q215+Q216+Q217</f>
        <v>0</v>
      </c>
      <c r="R214" s="45"/>
      <c r="S214" s="1390">
        <f>S215+S216+S217</f>
        <v>229220</v>
      </c>
      <c r="T214" s="1390">
        <f ca="1">IF(Q214&gt;0,S214*100/Q214,0)</f>
        <v>0</v>
      </c>
      <c r="U214" s="1390">
        <f>IF(R214&gt;0,S214*100/R214,0)</f>
        <v>0</v>
      </c>
    </row>
    <row r="215" spans="1:21" ht="18.75" x14ac:dyDescent="0.25">
      <c r="A215" s="128"/>
      <c r="B215" s="158"/>
      <c r="C215" s="40"/>
      <c r="D215" s="47" t="s">
        <v>86</v>
      </c>
      <c r="E215" s="40"/>
      <c r="F215" s="40"/>
      <c r="G215" s="42"/>
      <c r="H215" s="134" t="s">
        <v>14</v>
      </c>
      <c r="I215" s="135"/>
      <c r="J215" s="135"/>
      <c r="K215" s="136"/>
      <c r="L215" s="1356">
        <f ca="1">IFERROR(__xludf.DUMMYFUNCTION("IMPORTRANGE(""https://docs.google.com/spreadsheets/d/1eHaY18a8A9IcSdp1K8H6x8fbOy06t2VsZHhMHf-1x7Y/edit?usp=sharing"",""แผน!AM26"")"),0)</f>
        <v>0</v>
      </c>
      <c r="M215" s="45"/>
      <c r="N215" s="1422">
        <v>0</v>
      </c>
      <c r="O215" s="136"/>
      <c r="P215" s="45"/>
      <c r="Q215" s="1356">
        <v>0</v>
      </c>
      <c r="R215" s="45"/>
      <c r="S215" s="224">
        <v>0</v>
      </c>
      <c r="T215" s="136"/>
      <c r="U215" s="45"/>
    </row>
    <row r="216" spans="1:21" ht="18.75" x14ac:dyDescent="0.25">
      <c r="A216" s="208"/>
      <c r="B216" s="158"/>
      <c r="C216" s="158"/>
      <c r="D216" s="47" t="s">
        <v>95</v>
      </c>
      <c r="E216" s="40"/>
      <c r="F216" s="40"/>
      <c r="G216" s="42"/>
      <c r="H216" s="134" t="s">
        <v>14</v>
      </c>
      <c r="I216" s="44"/>
      <c r="J216" s="44"/>
      <c r="K216" s="45"/>
      <c r="L216" s="1356">
        <f ca="1">IFERROR(__xludf.DUMMYFUNCTION("IMPORTRANGE(""https://docs.google.com/spreadsheets/d/1eHaY18a8A9IcSdp1K8H6x8fbOy06t2VsZHhMHf-1x7Y/edit?usp=sharing"",""แผน!AN26"")"),0)</f>
        <v>0</v>
      </c>
      <c r="M216" s="45"/>
      <c r="N216" s="1422">
        <v>0</v>
      </c>
      <c r="O216" s="136"/>
      <c r="P216" s="45"/>
      <c r="Q216" s="1356">
        <v>0</v>
      </c>
      <c r="R216" s="45"/>
      <c r="S216" s="224">
        <v>0</v>
      </c>
      <c r="T216" s="136"/>
      <c r="U216" s="45"/>
    </row>
    <row r="217" spans="1:21" ht="18.75" x14ac:dyDescent="0.25">
      <c r="A217" s="208"/>
      <c r="B217" s="158"/>
      <c r="C217" s="158"/>
      <c r="D217" s="47" t="s">
        <v>88</v>
      </c>
      <c r="E217" s="40"/>
      <c r="F217" s="40"/>
      <c r="G217" s="42"/>
      <c r="H217" s="134" t="s">
        <v>14</v>
      </c>
      <c r="I217" s="44"/>
      <c r="J217" s="44"/>
      <c r="K217" s="45"/>
      <c r="L217" s="1356">
        <f ca="1">IFERROR(__xludf.DUMMYFUNCTION("IMPORTRANGE(""https://docs.google.com/spreadsheets/d/1eHaY18a8A9IcSdp1K8H6x8fbOy06t2VsZHhMHf-1x7Y/edit?usp=sharing"",""แผน!AO26"")"),0)</f>
        <v>0</v>
      </c>
      <c r="M217" s="45"/>
      <c r="N217" s="1422">
        <v>0</v>
      </c>
      <c r="O217" s="136"/>
      <c r="P217" s="45"/>
      <c r="Q217" s="1356">
        <f ca="1">IFERROR(__xludf.DUMMYFUNCTION("IMPORTRANGE(""https://docs.google.com/spreadsheets/d/1eHaY18a8A9IcSdp1K8H6x8fbOy06t2VsZHhMHf-1x7Y/edit?usp=sharing"",""แผน!LY26"")"),0)</f>
        <v>0</v>
      </c>
      <c r="R217" s="45"/>
      <c r="S217" s="1422">
        <v>229220</v>
      </c>
      <c r="T217" s="136"/>
      <c r="U217" s="45"/>
    </row>
    <row r="218" spans="1:21" ht="19.5" x14ac:dyDescent="0.3">
      <c r="A218" s="138"/>
      <c r="B218" s="139"/>
      <c r="C218" s="161" t="s">
        <v>18</v>
      </c>
      <c r="D218" s="1391" t="s">
        <v>38</v>
      </c>
      <c r="E218" s="141"/>
      <c r="F218" s="141"/>
      <c r="G218" s="142"/>
      <c r="H218" s="143"/>
      <c r="I218" s="135"/>
      <c r="J218" s="44"/>
      <c r="K218" s="45"/>
      <c r="L218" s="1359"/>
      <c r="M218" s="45"/>
      <c r="N218" s="45"/>
      <c r="O218" s="136"/>
      <c r="P218" s="136"/>
      <c r="Q218" s="1359"/>
      <c r="R218" s="45"/>
      <c r="S218" s="45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25" t="s">
        <v>85</v>
      </c>
      <c r="I219" s="184">
        <f ca="1">IFERROR(__xludf.DUMMYFUNCTION("IMPORTRANGE(""https://docs.google.com/spreadsheets/d/1eHaY18a8A9IcSdp1K8H6x8fbOy06t2VsZHhMHf-1x7Y/edit?usp=sharing"",""แผน!AP26"")"),0)</f>
        <v>0</v>
      </c>
      <c r="J219" s="1395">
        <v>0</v>
      </c>
      <c r="K219" s="224">
        <f ca="1">IF(I219&gt;0,J219*100/I219,0)</f>
        <v>0</v>
      </c>
      <c r="L219" s="1359"/>
      <c r="M219" s="45"/>
      <c r="N219" s="45"/>
      <c r="O219" s="45"/>
      <c r="P219" s="45"/>
      <c r="Q219" s="1359"/>
      <c r="R219" s="45"/>
      <c r="S219" s="45"/>
      <c r="T219" s="45"/>
      <c r="U219" s="45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25" t="s">
        <v>85</v>
      </c>
      <c r="I220" s="184">
        <f ca="1">IFERROR(__xludf.DUMMYFUNCTION("IMPORTRANGE(""https://docs.google.com/spreadsheets/d/1eHaY18a8A9IcSdp1K8H6x8fbOy06t2VsZHhMHf-1x7Y/edit?usp=sharing"",""แผน!AP26"")"),0)</f>
        <v>0</v>
      </c>
      <c r="J220" s="1395">
        <v>0</v>
      </c>
      <c r="K220" s="224">
        <f ca="1">IF(I220&gt;0,J220*100/I220,0)</f>
        <v>0</v>
      </c>
      <c r="L220" s="1359"/>
      <c r="M220" s="45"/>
      <c r="N220" s="45"/>
      <c r="O220" s="45"/>
      <c r="P220" s="45"/>
      <c r="Q220" s="1359"/>
      <c r="R220" s="45"/>
      <c r="S220" s="45"/>
      <c r="T220" s="45"/>
      <c r="U220" s="45"/>
    </row>
    <row r="221" spans="1:21" ht="19.5" x14ac:dyDescent="0.3">
      <c r="A221" s="211"/>
      <c r="B221" s="212"/>
      <c r="C221" s="213" t="s">
        <v>98</v>
      </c>
      <c r="D221" s="214"/>
      <c r="E221" s="214"/>
      <c r="F221" s="214"/>
      <c r="G221" s="215"/>
      <c r="H221" s="216" t="s">
        <v>99</v>
      </c>
      <c r="I221" s="303">
        <f ca="1">I229</f>
        <v>50000</v>
      </c>
      <c r="J221" s="303">
        <f>J229</f>
        <v>0</v>
      </c>
      <c r="K221" s="304">
        <f ca="1">IF(I221&gt;0,J221*100/I221,0)</f>
        <v>0</v>
      </c>
      <c r="L221" s="1416"/>
      <c r="M221" s="219"/>
      <c r="N221" s="219"/>
      <c r="O221" s="219"/>
      <c r="P221" s="219"/>
      <c r="Q221" s="219"/>
      <c r="R221" s="219"/>
      <c r="S221" s="219"/>
      <c r="T221" s="219"/>
      <c r="U221" s="219"/>
    </row>
    <row r="222" spans="1:21" ht="19.5" x14ac:dyDescent="0.3">
      <c r="A222" s="128"/>
      <c r="B222" s="40"/>
      <c r="C222" s="129" t="s">
        <v>18</v>
      </c>
      <c r="D222" s="1417" t="s">
        <v>19</v>
      </c>
      <c r="E222" s="40"/>
      <c r="F222" s="40"/>
      <c r="G222" s="42"/>
      <c r="H222" s="221" t="s">
        <v>14</v>
      </c>
      <c r="I222" s="135"/>
      <c r="J222" s="135"/>
      <c r="K222" s="136"/>
      <c r="L222" s="1389">
        <f ca="1">L223+L224+L225</f>
        <v>8500</v>
      </c>
      <c r="M222" s="45"/>
      <c r="N222" s="1390">
        <f>N223+N224+N225</f>
        <v>0</v>
      </c>
      <c r="O222" s="1390">
        <f ca="1">IF(L222&gt;0,N222*100/L222,0)</f>
        <v>0</v>
      </c>
      <c r="P222" s="1390">
        <f>IF(M222&gt;0,N222*100/M222,0)</f>
        <v>0</v>
      </c>
      <c r="Q222" s="45"/>
      <c r="R222" s="45"/>
      <c r="S222" s="45"/>
      <c r="T222" s="45"/>
      <c r="U222" s="45"/>
    </row>
    <row r="223" spans="1:21" ht="18.75" x14ac:dyDescent="0.25">
      <c r="A223" s="128"/>
      <c r="B223" s="158"/>
      <c r="C223" s="40"/>
      <c r="D223" s="1421" t="s">
        <v>302</v>
      </c>
      <c r="E223" s="40"/>
      <c r="F223" s="40"/>
      <c r="G223" s="42"/>
      <c r="H223" s="134" t="s">
        <v>14</v>
      </c>
      <c r="I223" s="135"/>
      <c r="J223" s="135"/>
      <c r="K223" s="136"/>
      <c r="L223" s="1356">
        <f ca="1">IFERROR(__xludf.DUMMYFUNCTION("IMPORTRANGE(""https://docs.google.com/spreadsheets/d/1eHaY18a8A9IcSdp1K8H6x8fbOy06t2VsZHhMHf-1x7Y/edit?usp=sharing"",""แผน!AR26"")"),2500)</f>
        <v>2500</v>
      </c>
      <c r="M223" s="45"/>
      <c r="N223" s="1422">
        <v>0</v>
      </c>
      <c r="O223" s="136"/>
      <c r="P223" s="45"/>
      <c r="Q223" s="45"/>
      <c r="R223" s="45"/>
      <c r="S223" s="45"/>
      <c r="T223" s="136"/>
      <c r="U223" s="45"/>
    </row>
    <row r="224" spans="1:21" ht="18.75" x14ac:dyDescent="0.25">
      <c r="A224" s="208"/>
      <c r="B224" s="158"/>
      <c r="C224" s="158"/>
      <c r="D224" s="47" t="s">
        <v>301</v>
      </c>
      <c r="E224" s="40"/>
      <c r="F224" s="40"/>
      <c r="G224" s="42"/>
      <c r="H224" s="134" t="s">
        <v>14</v>
      </c>
      <c r="I224" s="44"/>
      <c r="J224" s="44"/>
      <c r="K224" s="45"/>
      <c r="L224" s="1356">
        <f ca="1">IFERROR(__xludf.DUMMYFUNCTION("IMPORTRANGE(""https://docs.google.com/spreadsheets/d/1eHaY18a8A9IcSdp1K8H6x8fbOy06t2VsZHhMHf-1x7Y/edit?usp=sharing"",""แผน!AS26"")"),6000)</f>
        <v>6000</v>
      </c>
      <c r="M224" s="45"/>
      <c r="N224" s="1422">
        <v>0</v>
      </c>
      <c r="O224" s="136"/>
      <c r="P224" s="45"/>
      <c r="Q224" s="45"/>
      <c r="R224" s="45"/>
      <c r="S224" s="45"/>
      <c r="T224" s="136"/>
      <c r="U224" s="45"/>
    </row>
    <row r="225" spans="1:21" ht="18.75" x14ac:dyDescent="0.25">
      <c r="A225" s="208"/>
      <c r="B225" s="158"/>
      <c r="C225" s="158"/>
      <c r="D225" s="47" t="s">
        <v>88</v>
      </c>
      <c r="E225" s="40"/>
      <c r="F225" s="40"/>
      <c r="G225" s="42"/>
      <c r="H225" s="134" t="s">
        <v>14</v>
      </c>
      <c r="I225" s="44"/>
      <c r="J225" s="44"/>
      <c r="K225" s="45"/>
      <c r="L225" s="1356">
        <f ca="1">IFERROR(__xludf.DUMMYFUNCTION("IMPORTRANGE(""https://docs.google.com/spreadsheets/d/1eHaY18a8A9IcSdp1K8H6x8fbOy06t2VsZHhMHf-1x7Y/edit?usp=sharing"",""แผน!AT26"")"),0)</f>
        <v>0</v>
      </c>
      <c r="M225" s="45"/>
      <c r="N225" s="1422">
        <v>0</v>
      </c>
      <c r="O225" s="136"/>
      <c r="P225" s="45"/>
      <c r="Q225" s="45"/>
      <c r="R225" s="45"/>
      <c r="S225" s="45"/>
      <c r="T225" s="136"/>
      <c r="U225" s="45"/>
    </row>
    <row r="226" spans="1:21" ht="19.5" x14ac:dyDescent="0.3">
      <c r="A226" s="138"/>
      <c r="B226" s="139"/>
      <c r="C226" s="161" t="s">
        <v>18</v>
      </c>
      <c r="D226" s="1391" t="s">
        <v>38</v>
      </c>
      <c r="E226" s="141"/>
      <c r="F226" s="141"/>
      <c r="G226" s="142"/>
      <c r="H226" s="143"/>
      <c r="I226" s="135"/>
      <c r="J226" s="135"/>
      <c r="K226" s="136"/>
      <c r="L226" s="1392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7" t="s">
        <v>101</v>
      </c>
      <c r="E227" s="145"/>
      <c r="F227" s="145"/>
      <c r="G227" s="143"/>
      <c r="H227" s="143"/>
      <c r="I227" s="44"/>
      <c r="J227" s="44"/>
      <c r="K227" s="136"/>
      <c r="L227" s="1392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84">
        <f ca="1">IFERROR(__xludf.DUMMYFUNCTION("IMPORTRANGE(""https://docs.google.com/spreadsheets/d/1eHaY18a8A9IcSdp1K8H6x8fbOy06t2VsZHhMHf-1x7Y/edit?usp=sharing"",""แผน!AV26"")"),50000)</f>
        <v>50000</v>
      </c>
      <c r="J228" s="1395">
        <v>50000</v>
      </c>
      <c r="K228" s="1396">
        <f ca="1">IF(I228&gt;0,J228*100/I228,0)</f>
        <v>100</v>
      </c>
      <c r="L228" s="1392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84">
        <f ca="1">IFERROR(__xludf.DUMMYFUNCTION("IMPORTRANGE(""https://docs.google.com/spreadsheets/d/1eHaY18a8A9IcSdp1K8H6x8fbOy06t2VsZHhMHf-1x7Y/edit?usp=sharing"",""แผน!AV26"")"),50000)</f>
        <v>50000</v>
      </c>
      <c r="J229" s="1395">
        <v>0</v>
      </c>
      <c r="K229" s="1396">
        <f ca="1">IF(I229&gt;0,J229*100/I229,0)</f>
        <v>0</v>
      </c>
      <c r="L229" s="1359"/>
      <c r="M229" s="45"/>
      <c r="N229" s="45"/>
      <c r="O229" s="45"/>
      <c r="P229" s="45"/>
      <c r="Q229" s="45"/>
      <c r="R229" s="45"/>
      <c r="S229" s="45"/>
      <c r="T229" s="45"/>
      <c r="U229" s="45"/>
    </row>
    <row r="230" spans="1:21" ht="18.75" x14ac:dyDescent="0.25">
      <c r="A230" s="138"/>
      <c r="B230" s="139"/>
      <c r="C230" s="139"/>
      <c r="D230" s="47" t="s">
        <v>104</v>
      </c>
      <c r="E230" s="145"/>
      <c r="F230" s="145"/>
      <c r="G230" s="143"/>
      <c r="H230" s="150" t="s">
        <v>35</v>
      </c>
      <c r="I230" s="184">
        <f ca="1">IFERROR(__xludf.DUMMYFUNCTION("IMPORTRANGE(""https://docs.google.com/spreadsheets/d/1eHaY18a8A9IcSdp1K8H6x8fbOy06t2VsZHhMHf-1x7Y/edit?usp=sharing"",""แผน!AU26"")"),0)</f>
        <v>0</v>
      </c>
      <c r="J230" s="1395">
        <v>0</v>
      </c>
      <c r="K230" s="1396">
        <f ca="1">IF(I230&gt;0,J230*100/I230,0)</f>
        <v>0</v>
      </c>
      <c r="L230" s="1359"/>
      <c r="M230" s="45"/>
      <c r="N230" s="45"/>
      <c r="O230" s="45"/>
      <c r="P230" s="45"/>
      <c r="Q230" s="45"/>
      <c r="R230" s="45"/>
      <c r="S230" s="45"/>
      <c r="T230" s="45"/>
      <c r="U230" s="45"/>
    </row>
    <row r="231" spans="1:21" ht="19.5" x14ac:dyDescent="0.3">
      <c r="A231" s="211"/>
      <c r="B231" s="212"/>
      <c r="C231" s="213" t="s">
        <v>105</v>
      </c>
      <c r="D231" s="214"/>
      <c r="E231" s="214"/>
      <c r="F231" s="214"/>
      <c r="G231" s="215"/>
      <c r="H231" s="216" t="s">
        <v>35</v>
      </c>
      <c r="I231" s="303">
        <f ca="1">I242+I253</f>
        <v>0</v>
      </c>
      <c r="J231" s="303">
        <f>J242+J253</f>
        <v>0</v>
      </c>
      <c r="K231" s="304">
        <f ca="1">IF(I231&gt;0,J231*100/I231,0)</f>
        <v>0</v>
      </c>
      <c r="L231" s="1416"/>
      <c r="M231" s="219"/>
      <c r="N231" s="219"/>
      <c r="O231" s="219"/>
      <c r="P231" s="219"/>
      <c r="Q231" s="219"/>
      <c r="R231" s="219"/>
      <c r="S231" s="219"/>
      <c r="T231" s="219"/>
      <c r="U231" s="219"/>
    </row>
    <row r="232" spans="1:21" ht="19.5" x14ac:dyDescent="0.3">
      <c r="A232" s="128"/>
      <c r="B232" s="40"/>
      <c r="C232" s="129" t="s">
        <v>18</v>
      </c>
      <c r="D232" s="1388" t="s">
        <v>19</v>
      </c>
      <c r="E232" s="40"/>
      <c r="F232" s="40"/>
      <c r="G232" s="42"/>
      <c r="H232" s="221" t="s">
        <v>14</v>
      </c>
      <c r="I232" s="135"/>
      <c r="J232" s="135"/>
      <c r="K232" s="136"/>
      <c r="L232" s="1423">
        <f ca="1">L243+L254</f>
        <v>0</v>
      </c>
      <c r="M232" s="45"/>
      <c r="N232" s="1424">
        <f>N243+N254</f>
        <v>0</v>
      </c>
      <c r="O232" s="45"/>
      <c r="P232" s="45"/>
      <c r="Q232" s="45"/>
      <c r="R232" s="45"/>
      <c r="S232" s="45"/>
      <c r="T232" s="45"/>
      <c r="U232" s="45"/>
    </row>
    <row r="233" spans="1:21" ht="18.75" x14ac:dyDescent="0.25">
      <c r="A233" s="128"/>
      <c r="B233" s="158"/>
      <c r="C233" s="40"/>
      <c r="D233" s="47" t="s">
        <v>86</v>
      </c>
      <c r="E233" s="40"/>
      <c r="F233" s="40"/>
      <c r="G233" s="42"/>
      <c r="H233" s="134" t="s">
        <v>14</v>
      </c>
      <c r="I233" s="135"/>
      <c r="J233" s="135"/>
      <c r="K233" s="136"/>
      <c r="L233" s="1358">
        <f ca="1">L244+L255</f>
        <v>0</v>
      </c>
      <c r="M233" s="45"/>
      <c r="N233" s="83">
        <f>N244+N255</f>
        <v>0</v>
      </c>
      <c r="O233" s="45"/>
      <c r="P233" s="45"/>
      <c r="Q233" s="1425">
        <v>0</v>
      </c>
      <c r="R233" s="1426">
        <v>0</v>
      </c>
      <c r="S233" s="1426">
        <v>0</v>
      </c>
      <c r="T233" s="45"/>
      <c r="U233" s="45"/>
    </row>
    <row r="234" spans="1:21" ht="18.75" x14ac:dyDescent="0.25">
      <c r="A234" s="208"/>
      <c r="B234" s="158"/>
      <c r="C234" s="158"/>
      <c r="D234" s="47" t="s">
        <v>88</v>
      </c>
      <c r="E234" s="40"/>
      <c r="F234" s="40"/>
      <c r="G234" s="42"/>
      <c r="H234" s="134" t="s">
        <v>14</v>
      </c>
      <c r="I234" s="44"/>
      <c r="J234" s="44"/>
      <c r="K234" s="45"/>
      <c r="L234" s="1358">
        <f ca="1">L245+L256</f>
        <v>0</v>
      </c>
      <c r="M234" s="45"/>
      <c r="N234" s="83">
        <f>N245+N256</f>
        <v>0</v>
      </c>
      <c r="O234" s="45"/>
      <c r="P234" s="45"/>
      <c r="Q234" s="1427">
        <v>0</v>
      </c>
      <c r="R234" s="1428">
        <v>0</v>
      </c>
      <c r="S234" s="1428">
        <v>0</v>
      </c>
      <c r="T234" s="45"/>
      <c r="U234" s="45"/>
    </row>
    <row r="235" spans="1:21" ht="18.75" x14ac:dyDescent="0.25">
      <c r="A235" s="208"/>
      <c r="B235" s="158"/>
      <c r="C235" s="158"/>
      <c r="D235" s="47" t="s">
        <v>106</v>
      </c>
      <c r="E235" s="40"/>
      <c r="F235" s="40"/>
      <c r="G235" s="42"/>
      <c r="H235" s="134" t="s">
        <v>14</v>
      </c>
      <c r="I235" s="44"/>
      <c r="J235" s="44"/>
      <c r="K235" s="45"/>
      <c r="L235" s="1358">
        <f ca="1">L246+L257</f>
        <v>0</v>
      </c>
      <c r="M235" s="45"/>
      <c r="N235" s="83">
        <f>N246+N257</f>
        <v>0</v>
      </c>
      <c r="O235" s="45"/>
      <c r="P235" s="45"/>
      <c r="Q235" s="1427">
        <v>0</v>
      </c>
      <c r="R235" s="1428">
        <v>0</v>
      </c>
      <c r="S235" s="1428">
        <v>0</v>
      </c>
      <c r="T235" s="45"/>
      <c r="U235" s="45"/>
    </row>
    <row r="236" spans="1:21" ht="18.75" x14ac:dyDescent="0.25">
      <c r="A236" s="208"/>
      <c r="B236" s="158"/>
      <c r="C236" s="158"/>
      <c r="D236" s="47" t="s">
        <v>107</v>
      </c>
      <c r="E236" s="40"/>
      <c r="F236" s="40"/>
      <c r="G236" s="42"/>
      <c r="H236" s="134" t="s">
        <v>14</v>
      </c>
      <c r="I236" s="44"/>
      <c r="J236" s="44"/>
      <c r="K236" s="45"/>
      <c r="L236" s="1358">
        <f ca="1">L247+L258</f>
        <v>0</v>
      </c>
      <c r="M236" s="45"/>
      <c r="N236" s="83">
        <f>N247+N258</f>
        <v>0</v>
      </c>
      <c r="O236" s="45"/>
      <c r="P236" s="45"/>
      <c r="Q236" s="1427">
        <v>0</v>
      </c>
      <c r="R236" s="1428">
        <v>0</v>
      </c>
      <c r="S236" s="1428">
        <v>0</v>
      </c>
      <c r="T236" s="45"/>
      <c r="U236" s="45"/>
    </row>
    <row r="237" spans="1:21" ht="19.5" x14ac:dyDescent="0.3">
      <c r="A237" s="138"/>
      <c r="B237" s="139"/>
      <c r="C237" s="161" t="s">
        <v>18</v>
      </c>
      <c r="D237" s="1391" t="s">
        <v>38</v>
      </c>
      <c r="E237" s="141"/>
      <c r="F237" s="141"/>
      <c r="G237" s="142"/>
      <c r="H237" s="143"/>
      <c r="I237" s="135"/>
      <c r="J237" s="44"/>
      <c r="K237" s="45"/>
      <c r="L237" s="1359"/>
      <c r="M237" s="45"/>
      <c r="N237" s="45"/>
      <c r="O237" s="136"/>
      <c r="P237" s="136"/>
      <c r="Q237" s="45"/>
      <c r="R237" s="45"/>
      <c r="S237" s="45"/>
      <c r="T237" s="136"/>
      <c r="U237" s="136"/>
    </row>
    <row r="238" spans="1:21" ht="18.75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84">
        <f ca="1">I249+I260</f>
        <v>0</v>
      </c>
      <c r="J238" s="184">
        <f>J249+J260</f>
        <v>0</v>
      </c>
      <c r="K238" s="224">
        <f ca="1">IF(I238&gt;0,J238*100/I238,0)</f>
        <v>0</v>
      </c>
      <c r="L238" s="1359"/>
      <c r="M238" s="45"/>
      <c r="N238" s="45"/>
      <c r="O238" s="45"/>
      <c r="P238" s="45"/>
      <c r="Q238" s="45"/>
      <c r="R238" s="45"/>
      <c r="S238" s="45"/>
      <c r="T238" s="45"/>
      <c r="U238" s="45"/>
    </row>
    <row r="239" spans="1:21" ht="18.75" x14ac:dyDescent="0.25">
      <c r="A239" s="138"/>
      <c r="B239" s="139"/>
      <c r="C239" s="139"/>
      <c r="D239" s="234" t="s">
        <v>43</v>
      </c>
      <c r="E239" s="145"/>
      <c r="F239" s="145"/>
      <c r="G239" s="143"/>
      <c r="H239" s="143"/>
      <c r="I239" s="44"/>
      <c r="J239" s="44"/>
      <c r="K239" s="45"/>
      <c r="L239" s="1359"/>
      <c r="M239" s="45"/>
      <c r="N239" s="45"/>
      <c r="O239" s="136"/>
      <c r="P239" s="136"/>
      <c r="Q239" s="45"/>
      <c r="R239" s="45"/>
      <c r="S239" s="45"/>
      <c r="T239" s="136"/>
      <c r="U239" s="136"/>
    </row>
    <row r="240" spans="1:21" ht="18.75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84">
        <f>I251+I262</f>
        <v>0</v>
      </c>
      <c r="J240" s="184">
        <f>J251+J262</f>
        <v>0</v>
      </c>
      <c r="K240" s="224">
        <f>IF(I240&gt;0,J240*100/I240,0)</f>
        <v>0</v>
      </c>
      <c r="L240" s="1359"/>
      <c r="M240" s="45"/>
      <c r="N240" s="45"/>
      <c r="O240" s="45"/>
      <c r="P240" s="45"/>
      <c r="Q240" s="45"/>
      <c r="R240" s="45"/>
      <c r="S240" s="45"/>
      <c r="T240" s="45"/>
      <c r="U240" s="45"/>
    </row>
    <row r="241" spans="1:21" ht="18.75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84">
        <f>I252+I263</f>
        <v>0</v>
      </c>
      <c r="J241" s="184">
        <f>J252+J263</f>
        <v>0</v>
      </c>
      <c r="K241" s="224">
        <f>IF(I241&gt;0,J241*100/I241,0)</f>
        <v>0</v>
      </c>
      <c r="L241" s="1359"/>
      <c r="M241" s="45"/>
      <c r="N241" s="45"/>
      <c r="O241" s="45"/>
      <c r="P241" s="45"/>
      <c r="Q241" s="45"/>
      <c r="R241" s="45"/>
      <c r="S241" s="45"/>
      <c r="T241" s="45"/>
      <c r="U241" s="45"/>
    </row>
    <row r="242" spans="1:21" ht="19.5" x14ac:dyDescent="0.3">
      <c r="A242" s="211"/>
      <c r="B242" s="212"/>
      <c r="C242" s="1429" t="s">
        <v>111</v>
      </c>
      <c r="D242" s="214"/>
      <c r="E242" s="214"/>
      <c r="F242" s="214"/>
      <c r="G242" s="215"/>
      <c r="H242" s="1430" t="s">
        <v>35</v>
      </c>
      <c r="I242" s="1431">
        <f ca="1">I249</f>
        <v>0</v>
      </c>
      <c r="J242" s="1431">
        <f>J249</f>
        <v>0</v>
      </c>
      <c r="K242" s="1432">
        <f ca="1">IF(I242&gt;0,J242*100/I242,0)</f>
        <v>0</v>
      </c>
      <c r="L242" s="1416"/>
      <c r="M242" s="219"/>
      <c r="N242" s="219"/>
      <c r="O242" s="219"/>
      <c r="P242" s="219"/>
      <c r="Q242" s="219"/>
      <c r="R242" s="219"/>
      <c r="S242" s="219"/>
      <c r="T242" s="219"/>
      <c r="U242" s="219"/>
    </row>
    <row r="243" spans="1:21" ht="19.5" x14ac:dyDescent="0.3">
      <c r="A243" s="128"/>
      <c r="B243" s="40"/>
      <c r="C243" s="1433" t="s">
        <v>18</v>
      </c>
      <c r="D243" s="1434" t="s">
        <v>19</v>
      </c>
      <c r="E243" s="40"/>
      <c r="F243" s="40"/>
      <c r="G243" s="42"/>
      <c r="H243" s="375" t="s">
        <v>14</v>
      </c>
      <c r="I243" s="135"/>
      <c r="J243" s="135"/>
      <c r="K243" s="136"/>
      <c r="L243" s="1389">
        <f ca="1">L244+L245+L246+L247</f>
        <v>0</v>
      </c>
      <c r="M243" s="45"/>
      <c r="N243" s="1390">
        <f>N244+N245+N246+N247</f>
        <v>0</v>
      </c>
      <c r="O243" s="1390">
        <f ca="1">IF(L243&gt;0,N243*100/L243,0)</f>
        <v>0</v>
      </c>
      <c r="P243" s="1390">
        <f>IF(M243&gt;0,N243*100/M243,0)</f>
        <v>0</v>
      </c>
      <c r="Q243" s="45"/>
      <c r="R243" s="45"/>
      <c r="S243" s="45"/>
      <c r="T243" s="45"/>
      <c r="U243" s="45"/>
    </row>
    <row r="244" spans="1:21" ht="18.75" x14ac:dyDescent="0.25">
      <c r="A244" s="128"/>
      <c r="B244" s="158"/>
      <c r="C244" s="40"/>
      <c r="D244" s="156" t="s">
        <v>86</v>
      </c>
      <c r="E244" s="40"/>
      <c r="F244" s="40"/>
      <c r="G244" s="42"/>
      <c r="H244" s="159" t="s">
        <v>14</v>
      </c>
      <c r="I244" s="135"/>
      <c r="J244" s="135"/>
      <c r="K244" s="136"/>
      <c r="L244" s="1356">
        <f ca="1">IFERROR(__xludf.DUMMYFUNCTION("IMPORTRANGE(""https://docs.google.com/spreadsheets/d/1eHaY18a8A9IcSdp1K8H6x8fbOy06t2VsZHhMHf-1x7Y/edit?usp=sharing"",""แผน!AX26"")"),0)</f>
        <v>0</v>
      </c>
      <c r="M244" s="45"/>
      <c r="N244" s="1422">
        <v>0</v>
      </c>
      <c r="O244" s="45"/>
      <c r="P244" s="45"/>
      <c r="Q244" s="45"/>
      <c r="R244" s="45"/>
      <c r="S244" s="45"/>
      <c r="T244" s="45"/>
      <c r="U244" s="45"/>
    </row>
    <row r="245" spans="1:21" ht="18.75" x14ac:dyDescent="0.25">
      <c r="A245" s="208"/>
      <c r="B245" s="158"/>
      <c r="C245" s="158"/>
      <c r="D245" s="156" t="s">
        <v>88</v>
      </c>
      <c r="E245" s="40"/>
      <c r="F245" s="40"/>
      <c r="G245" s="42"/>
      <c r="H245" s="159" t="s">
        <v>14</v>
      </c>
      <c r="I245" s="44"/>
      <c r="J245" s="44"/>
      <c r="K245" s="45"/>
      <c r="L245" s="1356">
        <f ca="1">IFERROR(__xludf.DUMMYFUNCTION("IMPORTRANGE(""https://docs.google.com/spreadsheets/d/1eHaY18a8A9IcSdp1K8H6x8fbOy06t2VsZHhMHf-1x7Y/edit?usp=sharing"",""แผน!AY26"")"),0)</f>
        <v>0</v>
      </c>
      <c r="M245" s="45"/>
      <c r="N245" s="1422">
        <v>0</v>
      </c>
      <c r="O245" s="45"/>
      <c r="P245" s="45"/>
      <c r="Q245" s="45"/>
      <c r="R245" s="45"/>
      <c r="S245" s="45"/>
      <c r="T245" s="45"/>
      <c r="U245" s="45"/>
    </row>
    <row r="246" spans="1:21" ht="18.75" x14ac:dyDescent="0.25">
      <c r="A246" s="208"/>
      <c r="B246" s="158"/>
      <c r="C246" s="158"/>
      <c r="D246" s="156" t="s">
        <v>106</v>
      </c>
      <c r="E246" s="40"/>
      <c r="F246" s="40"/>
      <c r="G246" s="42"/>
      <c r="H246" s="159" t="s">
        <v>14</v>
      </c>
      <c r="I246" s="44"/>
      <c r="J246" s="44"/>
      <c r="K246" s="45"/>
      <c r="L246" s="1356">
        <f ca="1">IFERROR(__xludf.DUMMYFUNCTION("IMPORTRANGE(""https://docs.google.com/spreadsheets/d/1eHaY18a8A9IcSdp1K8H6x8fbOy06t2VsZHhMHf-1x7Y/edit?usp=sharing"",""แผน!AZ26"")"),0)</f>
        <v>0</v>
      </c>
      <c r="M246" s="45"/>
      <c r="N246" s="1422">
        <v>0</v>
      </c>
      <c r="O246" s="45"/>
      <c r="P246" s="45"/>
      <c r="Q246" s="45"/>
      <c r="R246" s="45"/>
      <c r="S246" s="45"/>
      <c r="T246" s="45"/>
      <c r="U246" s="45"/>
    </row>
    <row r="247" spans="1:21" ht="18.75" x14ac:dyDescent="0.25">
      <c r="A247" s="208"/>
      <c r="B247" s="158"/>
      <c r="C247" s="158"/>
      <c r="D247" s="156" t="s">
        <v>107</v>
      </c>
      <c r="E247" s="40"/>
      <c r="F247" s="40"/>
      <c r="G247" s="42"/>
      <c r="H247" s="159" t="s">
        <v>14</v>
      </c>
      <c r="I247" s="44"/>
      <c r="J247" s="44"/>
      <c r="K247" s="45"/>
      <c r="L247" s="1356">
        <f ca="1">IFERROR(__xludf.DUMMYFUNCTION("IMPORTRANGE(""https://docs.google.com/spreadsheets/d/1eHaY18a8A9IcSdp1K8H6x8fbOy06t2VsZHhMHf-1x7Y/edit?usp=sharing"",""แผน!BA26"")"),0)</f>
        <v>0</v>
      </c>
      <c r="M247" s="45"/>
      <c r="N247" s="1422">
        <v>0</v>
      </c>
      <c r="O247" s="45"/>
      <c r="P247" s="45"/>
      <c r="Q247" s="45"/>
      <c r="R247" s="45"/>
      <c r="S247" s="45"/>
      <c r="T247" s="45"/>
      <c r="U247" s="45"/>
    </row>
    <row r="248" spans="1:21" ht="19.5" x14ac:dyDescent="0.3">
      <c r="A248" s="138"/>
      <c r="B248" s="139"/>
      <c r="C248" s="1435" t="s">
        <v>18</v>
      </c>
      <c r="D248" s="1436" t="s">
        <v>38</v>
      </c>
      <c r="E248" s="141"/>
      <c r="F248" s="141"/>
      <c r="G248" s="142"/>
      <c r="H248" s="143"/>
      <c r="I248" s="135"/>
      <c r="J248" s="44"/>
      <c r="K248" s="45"/>
      <c r="L248" s="1359"/>
      <c r="M248" s="45"/>
      <c r="N248" s="45"/>
      <c r="O248" s="136"/>
      <c r="P248" s="136"/>
      <c r="Q248" s="45"/>
      <c r="R248" s="45"/>
      <c r="S248" s="45"/>
      <c r="T248" s="136"/>
      <c r="U248" s="136"/>
    </row>
    <row r="249" spans="1:21" ht="18.75" x14ac:dyDescent="0.25">
      <c r="A249" s="138"/>
      <c r="B249" s="139"/>
      <c r="C249" s="139"/>
      <c r="D249" s="179" t="s">
        <v>108</v>
      </c>
      <c r="E249" s="145"/>
      <c r="F249" s="145"/>
      <c r="G249" s="143"/>
      <c r="H249" s="1437" t="s">
        <v>35</v>
      </c>
      <c r="I249" s="423">
        <f ca="1">IFERROR(__xludf.DUMMYFUNCTION("IMPORTRANGE(""https://docs.google.com/spreadsheets/d/1eHaY18a8A9IcSdp1K8H6x8fbOy06t2VsZHhMHf-1x7Y/edit?usp=sharing"",""แผน!BG26"")"),0)</f>
        <v>0</v>
      </c>
      <c r="J249" s="1407">
        <v>0</v>
      </c>
      <c r="K249" s="83">
        <f ca="1">IF(I249&gt;0,J249*100/I249,0)</f>
        <v>0</v>
      </c>
      <c r="L249" s="1359"/>
      <c r="M249" s="45"/>
      <c r="N249" s="45"/>
      <c r="O249" s="45"/>
      <c r="P249" s="45"/>
      <c r="Q249" s="45"/>
      <c r="R249" s="45"/>
      <c r="S249" s="45"/>
      <c r="T249" s="45"/>
      <c r="U249" s="45"/>
    </row>
    <row r="250" spans="1:21" ht="18.75" x14ac:dyDescent="0.25">
      <c r="A250" s="138"/>
      <c r="B250" s="139"/>
      <c r="C250" s="139"/>
      <c r="D250" s="1438" t="s">
        <v>43</v>
      </c>
      <c r="E250" s="145"/>
      <c r="F250" s="145"/>
      <c r="G250" s="143"/>
      <c r="H250" s="143"/>
      <c r="I250" s="44"/>
      <c r="J250" s="44"/>
      <c r="K250" s="45"/>
      <c r="L250" s="1359"/>
      <c r="M250" s="45"/>
      <c r="N250" s="45"/>
      <c r="O250" s="136"/>
      <c r="P250" s="136"/>
      <c r="Q250" s="45"/>
      <c r="R250" s="45"/>
      <c r="S250" s="45"/>
      <c r="T250" s="136"/>
      <c r="U250" s="136"/>
    </row>
    <row r="251" spans="1:21" ht="18.75" x14ac:dyDescent="0.25">
      <c r="A251" s="138"/>
      <c r="B251" s="139"/>
      <c r="C251" s="139"/>
      <c r="D251" s="139"/>
      <c r="E251" s="1439" t="s">
        <v>109</v>
      </c>
      <c r="F251" s="145"/>
      <c r="G251" s="143"/>
      <c r="H251" s="1437" t="s">
        <v>35</v>
      </c>
      <c r="I251" s="423">
        <v>0</v>
      </c>
      <c r="J251" s="1407">
        <v>0</v>
      </c>
      <c r="K251" s="83">
        <f>IF(I251&gt;0,J251*100/I251,0)</f>
        <v>0</v>
      </c>
      <c r="L251" s="1359"/>
      <c r="M251" s="45"/>
      <c r="N251" s="45"/>
      <c r="O251" s="45"/>
      <c r="P251" s="45"/>
      <c r="Q251" s="45"/>
      <c r="R251" s="45"/>
      <c r="S251" s="45"/>
      <c r="T251" s="45"/>
      <c r="U251" s="45"/>
    </row>
    <row r="252" spans="1:21" ht="18.75" x14ac:dyDescent="0.25">
      <c r="A252" s="138"/>
      <c r="B252" s="139"/>
      <c r="C252" s="139"/>
      <c r="D252" s="139"/>
      <c r="E252" s="1439" t="s">
        <v>110</v>
      </c>
      <c r="F252" s="145"/>
      <c r="G252" s="143"/>
      <c r="H252" s="1437" t="s">
        <v>61</v>
      </c>
      <c r="I252" s="423">
        <v>0</v>
      </c>
      <c r="J252" s="1407">
        <v>0</v>
      </c>
      <c r="K252" s="83">
        <f>IF(I252&gt;0,J252*100/I252,0)</f>
        <v>0</v>
      </c>
      <c r="L252" s="1359"/>
      <c r="M252" s="45"/>
      <c r="N252" s="45"/>
      <c r="O252" s="45"/>
      <c r="P252" s="45"/>
      <c r="Q252" s="45"/>
      <c r="R252" s="45"/>
      <c r="S252" s="45"/>
      <c r="T252" s="45"/>
      <c r="U252" s="45"/>
    </row>
    <row r="253" spans="1:21" ht="19.5" x14ac:dyDescent="0.3">
      <c r="A253" s="211"/>
      <c r="B253" s="212"/>
      <c r="C253" s="1429" t="s">
        <v>112</v>
      </c>
      <c r="D253" s="214"/>
      <c r="E253" s="214"/>
      <c r="F253" s="214"/>
      <c r="G253" s="215"/>
      <c r="H253" s="1430" t="s">
        <v>35</v>
      </c>
      <c r="I253" s="1431">
        <f ca="1">I260</f>
        <v>0</v>
      </c>
      <c r="J253" s="1431">
        <f>J260</f>
        <v>0</v>
      </c>
      <c r="K253" s="1432">
        <f ca="1">IF(I253&gt;0,J253*100/I253,0)</f>
        <v>0</v>
      </c>
      <c r="L253" s="1416"/>
      <c r="M253" s="219"/>
      <c r="N253" s="219"/>
      <c r="O253" s="219"/>
      <c r="P253" s="219"/>
      <c r="Q253" s="219"/>
      <c r="R253" s="219"/>
      <c r="S253" s="219"/>
      <c r="T253" s="219"/>
      <c r="U253" s="219"/>
    </row>
    <row r="254" spans="1:21" ht="19.5" x14ac:dyDescent="0.3">
      <c r="A254" s="128"/>
      <c r="B254" s="40"/>
      <c r="C254" s="1433" t="s">
        <v>18</v>
      </c>
      <c r="D254" s="1440" t="s">
        <v>19</v>
      </c>
      <c r="E254" s="40"/>
      <c r="F254" s="40"/>
      <c r="G254" s="42"/>
      <c r="H254" s="375" t="s">
        <v>14</v>
      </c>
      <c r="I254" s="135"/>
      <c r="J254" s="135"/>
      <c r="K254" s="136"/>
      <c r="L254" s="1389">
        <f ca="1">L255+L256+L257+L258</f>
        <v>0</v>
      </c>
      <c r="M254" s="45"/>
      <c r="N254" s="1390">
        <f>N255+N256+N257+N258</f>
        <v>0</v>
      </c>
      <c r="O254" s="1390">
        <f ca="1">IF(L254&gt;0,N254*100/L254,0)</f>
        <v>0</v>
      </c>
      <c r="P254" s="1390">
        <f>IF(M254&gt;0,N254*100/M254,0)</f>
        <v>0</v>
      </c>
      <c r="Q254" s="45"/>
      <c r="R254" s="45"/>
      <c r="S254" s="45"/>
      <c r="T254" s="45"/>
      <c r="U254" s="45"/>
    </row>
    <row r="255" spans="1:21" ht="18.75" x14ac:dyDescent="0.25">
      <c r="A255" s="128"/>
      <c r="B255" s="158"/>
      <c r="C255" s="40"/>
      <c r="D255" s="156" t="s">
        <v>86</v>
      </c>
      <c r="E255" s="40"/>
      <c r="F255" s="40"/>
      <c r="G255" s="42"/>
      <c r="H255" s="159" t="s">
        <v>14</v>
      </c>
      <c r="I255" s="135"/>
      <c r="J255" s="135"/>
      <c r="K255" s="136"/>
      <c r="L255" s="1356">
        <f ca="1">IFERROR(__xludf.DUMMYFUNCTION("IMPORTRANGE(""https://docs.google.com/spreadsheets/d/1eHaY18a8A9IcSdp1K8H6x8fbOy06t2VsZHhMHf-1x7Y/edit?usp=sharing"",""แผน!BB26"")"),0)</f>
        <v>0</v>
      </c>
      <c r="M255" s="45"/>
      <c r="N255" s="1422">
        <v>0</v>
      </c>
      <c r="O255" s="45"/>
      <c r="P255" s="45"/>
      <c r="Q255" s="45"/>
      <c r="R255" s="45"/>
      <c r="S255" s="45"/>
      <c r="T255" s="45"/>
      <c r="U255" s="45"/>
    </row>
    <row r="256" spans="1:21" ht="18.75" x14ac:dyDescent="0.25">
      <c r="A256" s="208"/>
      <c r="B256" s="158"/>
      <c r="C256" s="158"/>
      <c r="D256" s="156" t="s">
        <v>88</v>
      </c>
      <c r="E256" s="40"/>
      <c r="F256" s="40"/>
      <c r="G256" s="42"/>
      <c r="H256" s="159" t="s">
        <v>14</v>
      </c>
      <c r="I256" s="44"/>
      <c r="J256" s="44"/>
      <c r="K256" s="45"/>
      <c r="L256" s="1356">
        <f ca="1">IFERROR(__xludf.DUMMYFUNCTION("IMPORTRANGE(""https://docs.google.com/spreadsheets/d/1eHaY18a8A9IcSdp1K8H6x8fbOy06t2VsZHhMHf-1x7Y/edit?usp=sharing"",""แผน!BC26"")"),0)</f>
        <v>0</v>
      </c>
      <c r="M256" s="45"/>
      <c r="N256" s="1422">
        <v>0</v>
      </c>
      <c r="O256" s="45"/>
      <c r="P256" s="45"/>
      <c r="Q256" s="45"/>
      <c r="R256" s="45"/>
      <c r="S256" s="45"/>
      <c r="T256" s="45"/>
      <c r="U256" s="45"/>
    </row>
    <row r="257" spans="1:21" ht="18.75" x14ac:dyDescent="0.25">
      <c r="A257" s="208"/>
      <c r="B257" s="158"/>
      <c r="C257" s="158"/>
      <c r="D257" s="156" t="s">
        <v>106</v>
      </c>
      <c r="E257" s="40"/>
      <c r="F257" s="40"/>
      <c r="G257" s="42"/>
      <c r="H257" s="159" t="s">
        <v>14</v>
      </c>
      <c r="I257" s="44"/>
      <c r="J257" s="44"/>
      <c r="K257" s="45"/>
      <c r="L257" s="1356">
        <f ca="1">IFERROR(__xludf.DUMMYFUNCTION("IMPORTRANGE(""https://docs.google.com/spreadsheets/d/1eHaY18a8A9IcSdp1K8H6x8fbOy06t2VsZHhMHf-1x7Y/edit?usp=sharing"",""แผน!BD26"")"),0)</f>
        <v>0</v>
      </c>
      <c r="M257" s="45"/>
      <c r="N257" s="1422">
        <v>0</v>
      </c>
      <c r="O257" s="45"/>
      <c r="P257" s="45"/>
      <c r="Q257" s="45"/>
      <c r="R257" s="45"/>
      <c r="S257" s="45"/>
      <c r="T257" s="45"/>
      <c r="U257" s="45"/>
    </row>
    <row r="258" spans="1:21" ht="18.75" x14ac:dyDescent="0.25">
      <c r="A258" s="208"/>
      <c r="B258" s="158"/>
      <c r="C258" s="158"/>
      <c r="D258" s="156" t="s">
        <v>107</v>
      </c>
      <c r="E258" s="40"/>
      <c r="F258" s="40"/>
      <c r="G258" s="42"/>
      <c r="H258" s="159" t="s">
        <v>14</v>
      </c>
      <c r="I258" s="44"/>
      <c r="J258" s="44"/>
      <c r="K258" s="45"/>
      <c r="L258" s="1356">
        <f ca="1">IFERROR(__xludf.DUMMYFUNCTION("IMPORTRANGE(""https://docs.google.com/spreadsheets/d/1eHaY18a8A9IcSdp1K8H6x8fbOy06t2VsZHhMHf-1x7Y/edit?usp=sharing"",""แผน!BE26"")"),0)</f>
        <v>0</v>
      </c>
      <c r="M258" s="45"/>
      <c r="N258" s="1422">
        <v>0</v>
      </c>
      <c r="O258" s="45"/>
      <c r="P258" s="45"/>
      <c r="Q258" s="45"/>
      <c r="R258" s="45"/>
      <c r="S258" s="45"/>
      <c r="T258" s="45"/>
      <c r="U258" s="45"/>
    </row>
    <row r="259" spans="1:21" ht="19.5" x14ac:dyDescent="0.3">
      <c r="A259" s="138"/>
      <c r="B259" s="139"/>
      <c r="C259" s="1435" t="s">
        <v>18</v>
      </c>
      <c r="D259" s="1436" t="s">
        <v>38</v>
      </c>
      <c r="E259" s="141"/>
      <c r="F259" s="141"/>
      <c r="G259" s="142"/>
      <c r="H259" s="143"/>
      <c r="I259" s="135"/>
      <c r="J259" s="44"/>
      <c r="K259" s="45"/>
      <c r="L259" s="1359"/>
      <c r="M259" s="45"/>
      <c r="N259" s="45"/>
      <c r="O259" s="136"/>
      <c r="P259" s="136"/>
      <c r="Q259" s="45"/>
      <c r="R259" s="45"/>
      <c r="S259" s="45"/>
      <c r="T259" s="136"/>
      <c r="U259" s="136"/>
    </row>
    <row r="260" spans="1:21" ht="18.75" x14ac:dyDescent="0.25">
      <c r="A260" s="138"/>
      <c r="B260" s="139"/>
      <c r="C260" s="139"/>
      <c r="D260" s="179" t="s">
        <v>108</v>
      </c>
      <c r="E260" s="145"/>
      <c r="F260" s="145"/>
      <c r="G260" s="143"/>
      <c r="H260" s="1437" t="s">
        <v>35</v>
      </c>
      <c r="I260" s="423">
        <f ca="1">IFERROR(__xludf.DUMMYFUNCTION("IMPORTRANGE(""https://docs.google.com/spreadsheets/d/1eHaY18a8A9IcSdp1K8H6x8fbOy06t2VsZHhMHf-1x7Y/edit?usp=sharing"",""แผน!BH26"")"),0)</f>
        <v>0</v>
      </c>
      <c r="J260" s="1407">
        <v>0</v>
      </c>
      <c r="K260" s="83">
        <f ca="1">IF(I260&gt;0,J260*100/I260,0)</f>
        <v>0</v>
      </c>
      <c r="L260" s="1359"/>
      <c r="M260" s="45"/>
      <c r="N260" s="45"/>
      <c r="O260" s="45"/>
      <c r="P260" s="45"/>
      <c r="Q260" s="45"/>
      <c r="R260" s="45"/>
      <c r="S260" s="45"/>
      <c r="T260" s="45"/>
      <c r="U260" s="45"/>
    </row>
    <row r="261" spans="1:21" ht="18.75" x14ac:dyDescent="0.25">
      <c r="A261" s="138"/>
      <c r="B261" s="139"/>
      <c r="C261" s="139"/>
      <c r="D261" s="1438" t="s">
        <v>43</v>
      </c>
      <c r="E261" s="145"/>
      <c r="F261" s="145"/>
      <c r="G261" s="143"/>
      <c r="H261" s="143"/>
      <c r="I261" s="44"/>
      <c r="J261" s="44"/>
      <c r="K261" s="45"/>
      <c r="L261" s="1359"/>
      <c r="M261" s="45"/>
      <c r="N261" s="45"/>
      <c r="O261" s="136"/>
      <c r="P261" s="136"/>
      <c r="Q261" s="45"/>
      <c r="R261" s="45"/>
      <c r="S261" s="45"/>
      <c r="T261" s="136"/>
      <c r="U261" s="136"/>
    </row>
    <row r="262" spans="1:21" ht="18.75" x14ac:dyDescent="0.25">
      <c r="A262" s="138"/>
      <c r="B262" s="139"/>
      <c r="C262" s="139"/>
      <c r="D262" s="139"/>
      <c r="E262" s="1439" t="s">
        <v>109</v>
      </c>
      <c r="F262" s="145"/>
      <c r="G262" s="143"/>
      <c r="H262" s="1437" t="s">
        <v>35</v>
      </c>
      <c r="I262" s="44"/>
      <c r="J262" s="1407">
        <v>0</v>
      </c>
      <c r="K262" s="83">
        <f>IF(I262&gt;0,J262*100/I262,0)</f>
        <v>0</v>
      </c>
      <c r="L262" s="1359"/>
      <c r="M262" s="45"/>
      <c r="N262" s="45"/>
      <c r="O262" s="45"/>
      <c r="P262" s="45"/>
      <c r="Q262" s="45"/>
      <c r="R262" s="45"/>
      <c r="S262" s="45"/>
      <c r="T262" s="45"/>
      <c r="U262" s="45"/>
    </row>
    <row r="263" spans="1:21" ht="18.75" x14ac:dyDescent="0.25">
      <c r="A263" s="138"/>
      <c r="B263" s="139"/>
      <c r="C263" s="139"/>
      <c r="D263" s="139"/>
      <c r="E263" s="1439" t="s">
        <v>110</v>
      </c>
      <c r="F263" s="145"/>
      <c r="G263" s="143"/>
      <c r="H263" s="1437" t="s">
        <v>61</v>
      </c>
      <c r="I263" s="44"/>
      <c r="J263" s="1407">
        <v>0</v>
      </c>
      <c r="K263" s="83">
        <f>IF(I263&gt;0,J263*100/I263,0)</f>
        <v>0</v>
      </c>
      <c r="L263" s="1359"/>
      <c r="M263" s="45"/>
      <c r="N263" s="45"/>
      <c r="O263" s="45"/>
      <c r="P263" s="45"/>
      <c r="Q263" s="45"/>
      <c r="R263" s="45"/>
      <c r="S263" s="45"/>
      <c r="T263" s="45"/>
      <c r="U263" s="45"/>
    </row>
    <row r="264" spans="1:21" ht="19.5" x14ac:dyDescent="0.3">
      <c r="A264" s="1441" t="s">
        <v>113</v>
      </c>
      <c r="B264" s="1442"/>
      <c r="C264" s="1442"/>
      <c r="D264" s="1443"/>
      <c r="E264" s="1443"/>
      <c r="F264" s="1443"/>
      <c r="G264" s="1444"/>
      <c r="H264" s="1444"/>
      <c r="I264" s="1445"/>
      <c r="J264" s="1445"/>
      <c r="K264" s="1446"/>
      <c r="L264" s="1447"/>
      <c r="M264" s="1446"/>
      <c r="N264" s="1446"/>
      <c r="O264" s="1446"/>
      <c r="P264" s="1446"/>
      <c r="Q264" s="1446"/>
      <c r="R264" s="1446"/>
      <c r="S264" s="1446"/>
      <c r="T264" s="1446"/>
      <c r="U264" s="1446"/>
    </row>
    <row r="265" spans="1:21" ht="19.5" x14ac:dyDescent="0.3">
      <c r="A265" s="1448"/>
      <c r="B265" s="1449" t="s">
        <v>114</v>
      </c>
      <c r="C265" s="1450"/>
      <c r="D265" s="1451"/>
      <c r="E265" s="1451"/>
      <c r="F265" s="1451"/>
      <c r="G265" s="1452"/>
      <c r="H265" s="1453" t="s">
        <v>35</v>
      </c>
      <c r="I265" s="1454">
        <f ca="1">I276</f>
        <v>22</v>
      </c>
      <c r="J265" s="1454">
        <f>J276</f>
        <v>0</v>
      </c>
      <c r="K265" s="1455">
        <f ca="1">IF(I265&gt;0,J265*100/I265,0)</f>
        <v>0</v>
      </c>
      <c r="L265" s="1456"/>
      <c r="M265" s="1457"/>
      <c r="N265" s="1457"/>
      <c r="O265" s="1457"/>
      <c r="P265" s="1457"/>
      <c r="Q265" s="1457"/>
      <c r="R265" s="1457"/>
      <c r="S265" s="1457"/>
      <c r="T265" s="1457"/>
      <c r="U265" s="1457"/>
    </row>
    <row r="266" spans="1:21" ht="19.5" x14ac:dyDescent="0.3">
      <c r="A266" s="1458"/>
      <c r="B266" s="1459"/>
      <c r="C266" s="1460" t="s">
        <v>18</v>
      </c>
      <c r="D266" s="1461" t="s">
        <v>19</v>
      </c>
      <c r="E266" s="1459"/>
      <c r="F266" s="1459"/>
      <c r="G266" s="1462"/>
      <c r="H266" s="1463" t="s">
        <v>14</v>
      </c>
      <c r="I266" s="1464"/>
      <c r="J266" s="1464"/>
      <c r="K266" s="1465"/>
      <c r="L266" s="1466">
        <f ca="1">L267+L268</f>
        <v>5000</v>
      </c>
      <c r="M266" s="1467">
        <f ca="1">M267+M268</f>
        <v>5000</v>
      </c>
      <c r="N266" s="1467">
        <f ca="1">N267+N268</f>
        <v>5000</v>
      </c>
      <c r="O266" s="1467">
        <f ca="1">IF(L266&gt;0,N266*100/L266,0)</f>
        <v>100</v>
      </c>
      <c r="P266" s="1467">
        <f ca="1">IF(M266&gt;0,N266*100/M266,0)</f>
        <v>100</v>
      </c>
      <c r="Q266" s="1467">
        <f ca="1">Q267+Q268</f>
        <v>50660</v>
      </c>
      <c r="R266" s="1467">
        <f ca="1">R267+R268</f>
        <v>50660</v>
      </c>
      <c r="S266" s="1467">
        <f ca="1">S267+S268</f>
        <v>1740</v>
      </c>
      <c r="T266" s="1467">
        <f ca="1">IF(Q266&gt;0,S266*100/Q266,0)</f>
        <v>3.4346624555862615</v>
      </c>
      <c r="U266" s="1467">
        <f ca="1">IF(R266&gt;0,S266*100/R266,0)</f>
        <v>3.4346624555862615</v>
      </c>
    </row>
    <row r="267" spans="1:21" ht="18.75" x14ac:dyDescent="0.25">
      <c r="A267" s="1468"/>
      <c r="B267" s="1469"/>
      <c r="C267" s="1469"/>
      <c r="D267" s="1469"/>
      <c r="E267" s="156" t="s">
        <v>20</v>
      </c>
      <c r="F267" s="1469"/>
      <c r="G267" s="1470"/>
      <c r="H267" s="157" t="s">
        <v>14</v>
      </c>
      <c r="I267" s="1471"/>
      <c r="J267" s="1471"/>
      <c r="K267" s="1472"/>
      <c r="L267" s="1358">
        <f>L270+L273</f>
        <v>0</v>
      </c>
      <c r="M267" s="83">
        <f>M270+M273</f>
        <v>0</v>
      </c>
      <c r="N267" s="83">
        <f>N270+N273</f>
        <v>0</v>
      </c>
      <c r="O267" s="83">
        <f>IF(L267&gt;0,N267*100/L267,0)</f>
        <v>0</v>
      </c>
      <c r="P267" s="83">
        <f>IF(M267&gt;0,N267*100/M267,0)</f>
        <v>0</v>
      </c>
      <c r="Q267" s="83">
        <f>Q270+Q273</f>
        <v>0</v>
      </c>
      <c r="R267" s="83">
        <f>R270+R273</f>
        <v>0</v>
      </c>
      <c r="S267" s="83">
        <f>S270+S273</f>
        <v>0</v>
      </c>
      <c r="T267" s="83">
        <f>IF(Q267&gt;0,S267*100/Q267,0)</f>
        <v>0</v>
      </c>
      <c r="U267" s="83">
        <f>IF(R267&gt;0,S267*100/R267,0)</f>
        <v>0</v>
      </c>
    </row>
    <row r="268" spans="1:21" ht="18.75" x14ac:dyDescent="0.25">
      <c r="A268" s="1458"/>
      <c r="B268" s="1459"/>
      <c r="C268" s="1459"/>
      <c r="D268" s="1459"/>
      <c r="E268" s="1473" t="s">
        <v>21</v>
      </c>
      <c r="F268" s="1459"/>
      <c r="G268" s="1462"/>
      <c r="H268" s="1474" t="s">
        <v>14</v>
      </c>
      <c r="I268" s="1464"/>
      <c r="J268" s="1464"/>
      <c r="K268" s="1465"/>
      <c r="L268" s="1475">
        <f ca="1">L271+L274</f>
        <v>5000</v>
      </c>
      <c r="M268" s="1476">
        <f ca="1">M271+M274</f>
        <v>5000</v>
      </c>
      <c r="N268" s="1476">
        <f ca="1">N271+N274</f>
        <v>5000</v>
      </c>
      <c r="O268" s="1476">
        <f ca="1">IF(L268&gt;0,N268*100/L268,0)</f>
        <v>100</v>
      </c>
      <c r="P268" s="1476">
        <f ca="1">IF(M268&gt;0,N268*100/M268,0)</f>
        <v>100</v>
      </c>
      <c r="Q268" s="1476">
        <f ca="1">Q271+Q274</f>
        <v>50660</v>
      </c>
      <c r="R268" s="1476">
        <f ca="1">R271+R274</f>
        <v>50660</v>
      </c>
      <c r="S268" s="1476">
        <f ca="1">S271+S274</f>
        <v>1740</v>
      </c>
      <c r="T268" s="1476">
        <f ca="1">IF(Q268&gt;0,S268*100/Q268,0)</f>
        <v>3.4346624555862615</v>
      </c>
      <c r="U268" s="1476">
        <f ca="1">IF(R268&gt;0,S268*100/R268,0)</f>
        <v>3.4346624555862615</v>
      </c>
    </row>
    <row r="269" spans="1:21" ht="18.75" x14ac:dyDescent="0.25">
      <c r="A269" s="1458"/>
      <c r="B269" s="1459"/>
      <c r="C269" s="1459"/>
      <c r="D269" s="1477" t="s">
        <v>22</v>
      </c>
      <c r="E269" s="1459"/>
      <c r="F269" s="1459"/>
      <c r="G269" s="1462"/>
      <c r="H269" s="1478" t="s">
        <v>14</v>
      </c>
      <c r="I269" s="1479"/>
      <c r="J269" s="1479"/>
      <c r="K269" s="1480"/>
      <c r="L269" s="1475">
        <f ca="1">L270+L271</f>
        <v>5000</v>
      </c>
      <c r="M269" s="1476">
        <f ca="1">M270+M271</f>
        <v>5000</v>
      </c>
      <c r="N269" s="1476">
        <f ca="1">N270+N271</f>
        <v>5000</v>
      </c>
      <c r="O269" s="1476">
        <f ca="1">IF(L269&gt;0,N269*100/L269,0)</f>
        <v>100</v>
      </c>
      <c r="P269" s="1476">
        <f ca="1">IF(M269&gt;0,N269*100/M269,0)</f>
        <v>100</v>
      </c>
      <c r="Q269" s="1476">
        <f ca="1">Q270+Q271</f>
        <v>50660</v>
      </c>
      <c r="R269" s="1476">
        <f ca="1">R270+R271</f>
        <v>50660</v>
      </c>
      <c r="S269" s="1476">
        <f ca="1">S270+S271</f>
        <v>1740</v>
      </c>
      <c r="T269" s="1476">
        <f ca="1">IF(Q269&gt;0,S269*100/Q269,0)</f>
        <v>3.4346624555862615</v>
      </c>
      <c r="U269" s="1476">
        <f ca="1">IF(R269&gt;0,S269*100/R269,0)</f>
        <v>3.4346624555862615</v>
      </c>
    </row>
    <row r="270" spans="1:21" ht="18.75" x14ac:dyDescent="0.25">
      <c r="A270" s="1468"/>
      <c r="B270" s="1469"/>
      <c r="C270" s="1469"/>
      <c r="D270" s="1469"/>
      <c r="E270" s="156" t="s">
        <v>36</v>
      </c>
      <c r="F270" s="1469"/>
      <c r="G270" s="1470"/>
      <c r="H270" s="159" t="s">
        <v>14</v>
      </c>
      <c r="I270" s="1481"/>
      <c r="J270" s="1481"/>
      <c r="K270" s="1482"/>
      <c r="L270" s="1358">
        <v>0</v>
      </c>
      <c r="M270" s="83">
        <v>0</v>
      </c>
      <c r="N270" s="83">
        <v>0</v>
      </c>
      <c r="O270" s="83">
        <f>IF(L270&gt;0,N270*100/L270,0)</f>
        <v>0</v>
      </c>
      <c r="P270" s="83">
        <f>IF(M270&gt;0,N270*100/M270,0)</f>
        <v>0</v>
      </c>
      <c r="Q270" s="83">
        <v>0</v>
      </c>
      <c r="R270" s="83">
        <v>0</v>
      </c>
      <c r="S270" s="83">
        <v>0</v>
      </c>
      <c r="T270" s="83">
        <f>IF(Q270&gt;0,S270*100/Q270,0)</f>
        <v>0</v>
      </c>
      <c r="U270" s="83">
        <f>IF(R270&gt;0,S270*100/R270,0)</f>
        <v>0</v>
      </c>
    </row>
    <row r="271" spans="1:21" ht="18.75" x14ac:dyDescent="0.25">
      <c r="A271" s="1458"/>
      <c r="B271" s="1459"/>
      <c r="C271" s="1459"/>
      <c r="D271" s="1459"/>
      <c r="E271" s="1473" t="s">
        <v>37</v>
      </c>
      <c r="F271" s="1459"/>
      <c r="G271" s="1462"/>
      <c r="H271" s="1478" t="s">
        <v>14</v>
      </c>
      <c r="I271" s="1479"/>
      <c r="J271" s="1479"/>
      <c r="K271" s="1480"/>
      <c r="L271" s="1475">
        <f ca="1">IFERROR(__xludf.DUMMYFUNCTION("IMPORTRANGE(""https://docs.google.com/spreadsheets/d/1-uDff_7J0KD5mKrp0Vvzr7lt3OU09vwQwhkpOPPYv2Y/edit?usp=sharing"",""งบพรบ!DE26"")"),5000)</f>
        <v>5000</v>
      </c>
      <c r="M271" s="1476">
        <f ca="1">IFERROR(__xludf.DUMMYFUNCTION("IMPORTRANGE(""https://docs.google.com/spreadsheets/d/1-uDff_7J0KD5mKrp0Vvzr7lt3OU09vwQwhkpOPPYv2Y/edit?usp=sharing"",""งบพรบ!DJ26"")"),5000)</f>
        <v>5000</v>
      </c>
      <c r="N271" s="1476">
        <f ca="1">IFERROR(__xludf.DUMMYFUNCTION("IMPORTRANGE(""https://docs.google.com/spreadsheets/d/1-uDff_7J0KD5mKrp0Vvzr7lt3OU09vwQwhkpOPPYv2Y/edit?usp=sharing"",""งบพรบ!DL26"")"),5000)</f>
        <v>5000</v>
      </c>
      <c r="O271" s="1476">
        <f ca="1">IF(L271&gt;0,N271*100/L271,0)</f>
        <v>100</v>
      </c>
      <c r="P271" s="1476">
        <f ca="1">IF(M271&gt;0,N271*100/M271,0)</f>
        <v>100</v>
      </c>
      <c r="Q271" s="1476">
        <f ca="1">IFERROR(__xludf.DUMMYFUNCTION("IMPORTRANGE(""https://docs.google.com/spreadsheets/d/1ItG2mGa2ceCfYo0BwxsXqNm01IGEUdYcSSLTEv9YCik/edit?usp=sharing"",""เบิกจ่ายกองทุน!AP26"")"),50660)</f>
        <v>50660</v>
      </c>
      <c r="R271" s="1476">
        <f ca="1">IFERROR(__xludf.DUMMYFUNCTION("IMPORTRANGE(""https://docs.google.com/spreadsheets/d/1ItG2mGa2ceCfYo0BwxsXqNm01IGEUdYcSSLTEv9YCik/edit?usp=sharing"",""เบิกจ่ายกองทุน!AQ26"")"),50660)</f>
        <v>50660</v>
      </c>
      <c r="S271" s="1476">
        <f ca="1">IFERROR(__xludf.DUMMYFUNCTION("IMPORTRANGE(""https://docs.google.com/spreadsheets/d/1ItG2mGa2ceCfYo0BwxsXqNm01IGEUdYcSSLTEv9YCik/edit?usp=sharing"",""เบิกจ่ายกองทุน!AR26"")"),1740)</f>
        <v>1740</v>
      </c>
      <c r="T271" s="1476">
        <f ca="1">IF(Q271&gt;0,S271*100/Q271,0)</f>
        <v>3.4346624555862615</v>
      </c>
      <c r="U271" s="1476">
        <f ca="1">IF(R271&gt;0,S271*100/R271,0)</f>
        <v>3.4346624555862615</v>
      </c>
    </row>
    <row r="272" spans="1:21" ht="18.75" x14ac:dyDescent="0.25">
      <c r="A272" s="1458"/>
      <c r="B272" s="1459"/>
      <c r="C272" s="1459"/>
      <c r="D272" s="1477" t="s">
        <v>23</v>
      </c>
      <c r="E272" s="1459"/>
      <c r="F272" s="1459"/>
      <c r="G272" s="1462"/>
      <c r="H272" s="1483" t="s">
        <v>14</v>
      </c>
      <c r="I272" s="1479"/>
      <c r="J272" s="1479"/>
      <c r="K272" s="1480"/>
      <c r="L272" s="1475">
        <f ca="1">L273+L274</f>
        <v>0</v>
      </c>
      <c r="M272" s="1476">
        <f ca="1">M273+M274</f>
        <v>0</v>
      </c>
      <c r="N272" s="1476">
        <f ca="1">N273+N274</f>
        <v>0</v>
      </c>
      <c r="O272" s="1476">
        <f ca="1">IF(L272&gt;0,N272*100/L272,0)</f>
        <v>0</v>
      </c>
      <c r="P272" s="1476">
        <f ca="1">IF(M272&gt;0,N272*100/M272,0)</f>
        <v>0</v>
      </c>
      <c r="Q272" s="1476">
        <f>Q273+Q274</f>
        <v>0</v>
      </c>
      <c r="R272" s="1476">
        <f>R273+R274</f>
        <v>0</v>
      </c>
      <c r="S272" s="1476">
        <f>S273+S274</f>
        <v>0</v>
      </c>
      <c r="T272" s="1476">
        <f>IF(Q272&gt;0,S272*100/Q272,0)</f>
        <v>0</v>
      </c>
      <c r="U272" s="1476">
        <f>IF(R272&gt;0,S272*100/R272,0)</f>
        <v>0</v>
      </c>
    </row>
    <row r="273" spans="1:21" ht="18.75" x14ac:dyDescent="0.25">
      <c r="A273" s="1468"/>
      <c r="B273" s="1469"/>
      <c r="C273" s="1469"/>
      <c r="D273" s="1469"/>
      <c r="E273" s="156" t="s">
        <v>20</v>
      </c>
      <c r="F273" s="1469"/>
      <c r="G273" s="1470"/>
      <c r="H273" s="159" t="s">
        <v>14</v>
      </c>
      <c r="I273" s="1481"/>
      <c r="J273" s="1481"/>
      <c r="K273" s="1482"/>
      <c r="L273" s="1358">
        <v>0</v>
      </c>
      <c r="M273" s="83">
        <v>0</v>
      </c>
      <c r="N273" s="83">
        <v>0</v>
      </c>
      <c r="O273" s="83">
        <f>IF(L273&gt;0,N273*100/L273,0)</f>
        <v>0</v>
      </c>
      <c r="P273" s="83">
        <f>IF(M273&gt;0,N273*100/M273,0)</f>
        <v>0</v>
      </c>
      <c r="Q273" s="83">
        <v>0</v>
      </c>
      <c r="R273" s="83">
        <v>0</v>
      </c>
      <c r="S273" s="83">
        <v>0</v>
      </c>
      <c r="T273" s="83">
        <f>IF(Q273&gt;0,S273*100/Q273,0)</f>
        <v>0</v>
      </c>
      <c r="U273" s="83">
        <f>IF(R273&gt;0,S273*100/R273,0)</f>
        <v>0</v>
      </c>
    </row>
    <row r="274" spans="1:21" ht="18.75" x14ac:dyDescent="0.25">
      <c r="A274" s="1458"/>
      <c r="B274" s="1459"/>
      <c r="C274" s="1459"/>
      <c r="D274" s="1459"/>
      <c r="E274" s="1473" t="s">
        <v>21</v>
      </c>
      <c r="F274" s="1459"/>
      <c r="G274" s="1462"/>
      <c r="H274" s="1483" t="s">
        <v>14</v>
      </c>
      <c r="I274" s="1479"/>
      <c r="J274" s="1479"/>
      <c r="K274" s="1480"/>
      <c r="L274" s="1475">
        <f ca="1">IFERROR(__xludf.DUMMYFUNCTION("IMPORTRANGE(""https://docs.google.com/spreadsheets/d/1-uDff_7J0KD5mKrp0Vvzr7lt3OU09vwQwhkpOPPYv2Y/edit?usp=sharing"",""งบพรบ!DH26"")"),0)</f>
        <v>0</v>
      </c>
      <c r="M274" s="1476">
        <f ca="1">IFERROR(__xludf.DUMMYFUNCTION("IMPORTRANGE(""https://docs.google.com/spreadsheets/d/1-uDff_7J0KD5mKrp0Vvzr7lt3OU09vwQwhkpOPPYv2Y/edit?usp=sharing"",""งบพรบ!DK26"")"),0)</f>
        <v>0</v>
      </c>
      <c r="N274" s="1476">
        <f ca="1">IFERROR(__xludf.DUMMYFUNCTION("IMPORTRANGE(""https://docs.google.com/spreadsheets/d/1-uDff_7J0KD5mKrp0Vvzr7lt3OU09vwQwhkpOPPYv2Y/edit?usp=sharing"",""งบพรบ!DM26"")"),0)</f>
        <v>0</v>
      </c>
      <c r="O274" s="1476">
        <f ca="1">IF(L274&gt;0,N274*100/L274,0)</f>
        <v>0</v>
      </c>
      <c r="P274" s="1476">
        <f ca="1">IF(M274&gt;0,N274*100/M274,0)</f>
        <v>0</v>
      </c>
      <c r="Q274" s="1476">
        <v>0</v>
      </c>
      <c r="R274" s="1476">
        <v>0</v>
      </c>
      <c r="S274" s="1476">
        <v>0</v>
      </c>
      <c r="T274" s="1476">
        <f>IF(Q274&gt;0,S274*100/Q274,0)</f>
        <v>0</v>
      </c>
      <c r="U274" s="1476">
        <f>IF(R274&gt;0,S274*100/R274,0)</f>
        <v>0</v>
      </c>
    </row>
    <row r="275" spans="1:21" ht="19.5" x14ac:dyDescent="0.3">
      <c r="A275" s="1484"/>
      <c r="B275" s="1485"/>
      <c r="C275" s="1473" t="s">
        <v>18</v>
      </c>
      <c r="D275" s="1486" t="s">
        <v>38</v>
      </c>
      <c r="E275" s="1451"/>
      <c r="F275" s="1451"/>
      <c r="G275" s="1452"/>
      <c r="H275" s="1487"/>
      <c r="I275" s="1479"/>
      <c r="J275" s="1479"/>
      <c r="K275" s="1480"/>
      <c r="L275" s="1488"/>
      <c r="M275" s="1480"/>
      <c r="N275" s="1480"/>
      <c r="O275" s="1480"/>
      <c r="P275" s="1480"/>
      <c r="Q275" s="1480"/>
      <c r="R275" s="1480"/>
      <c r="S275" s="1480"/>
      <c r="T275" s="1480"/>
      <c r="U275" s="1480"/>
    </row>
    <row r="276" spans="1:21" ht="18.75" x14ac:dyDescent="0.25">
      <c r="A276" s="1489"/>
      <c r="B276" s="367"/>
      <c r="C276" s="367"/>
      <c r="D276" s="1490" t="s">
        <v>115</v>
      </c>
      <c r="E276" s="366"/>
      <c r="F276" s="366"/>
      <c r="G276" s="369"/>
      <c r="H276" s="1491" t="s">
        <v>35</v>
      </c>
      <c r="I276" s="371">
        <f ca="1">IFERROR(__xludf.DUMMYFUNCTION("IMPORTRANGE(""https://docs.google.com/spreadsheets/d/1eHaY18a8A9IcSdp1K8H6x8fbOy06t2VsZHhMHf-1x7Y/edit?usp=sharing"",""แผน!EC26"")"),22)</f>
        <v>22</v>
      </c>
      <c r="J276" s="437">
        <v>0</v>
      </c>
      <c r="K276" s="372">
        <f ca="1">IF(I276&gt;0,J276*100/I276,0)</f>
        <v>0</v>
      </c>
      <c r="L276" s="1359"/>
      <c r="M276" s="45"/>
      <c r="N276" s="45"/>
      <c r="O276" s="45"/>
      <c r="P276" s="45"/>
      <c r="Q276" s="45"/>
      <c r="R276" s="45"/>
      <c r="S276" s="45"/>
      <c r="T276" s="45"/>
      <c r="U276" s="45"/>
    </row>
    <row r="277" spans="1:21" ht="18.75" x14ac:dyDescent="0.25">
      <c r="A277" s="249"/>
      <c r="B277" s="250"/>
      <c r="C277" s="250"/>
      <c r="D277" s="1492" t="s">
        <v>116</v>
      </c>
      <c r="E277" s="252"/>
      <c r="F277" s="252"/>
      <c r="G277" s="253"/>
      <c r="H277" s="1493" t="s">
        <v>35</v>
      </c>
      <c r="I277" s="426">
        <v>0</v>
      </c>
      <c r="J277" s="426">
        <v>0</v>
      </c>
      <c r="K277" s="1494">
        <v>0</v>
      </c>
      <c r="L277" s="1495"/>
      <c r="M277" s="255"/>
      <c r="N277" s="255"/>
      <c r="O277" s="255"/>
      <c r="P277" s="255"/>
      <c r="Q277" s="255"/>
      <c r="R277" s="255"/>
      <c r="S277" s="255"/>
      <c r="T277" s="255"/>
      <c r="U277" s="255"/>
    </row>
    <row r="278" spans="1:21" ht="19.5" x14ac:dyDescent="0.3">
      <c r="A278" s="256" t="s">
        <v>117</v>
      </c>
      <c r="B278" s="257"/>
      <c r="C278" s="257"/>
      <c r="D278" s="257"/>
      <c r="E278" s="258"/>
      <c r="F278" s="258"/>
      <c r="G278" s="258"/>
      <c r="H278" s="258"/>
      <c r="I278" s="259"/>
      <c r="J278" s="259"/>
      <c r="K278" s="260"/>
      <c r="L278" s="260"/>
      <c r="M278" s="260"/>
      <c r="N278" s="260"/>
      <c r="O278" s="260"/>
      <c r="P278" s="261"/>
      <c r="Q278" s="260"/>
      <c r="R278" s="260"/>
      <c r="S278" s="260"/>
      <c r="T278" s="260"/>
      <c r="U278" s="261"/>
    </row>
    <row r="279" spans="1:21" ht="19.5" x14ac:dyDescent="0.3">
      <c r="A279" s="262" t="s">
        <v>118</v>
      </c>
      <c r="B279" s="263"/>
      <c r="C279" s="264"/>
      <c r="D279" s="263"/>
      <c r="E279" s="263"/>
      <c r="F279" s="263"/>
      <c r="G279" s="263"/>
      <c r="H279" s="263"/>
      <c r="I279" s="265"/>
      <c r="J279" s="266"/>
      <c r="K279" s="267"/>
      <c r="L279" s="1496"/>
      <c r="M279" s="267"/>
      <c r="N279" s="267"/>
      <c r="O279" s="267"/>
      <c r="P279" s="267"/>
      <c r="Q279" s="267"/>
      <c r="R279" s="267"/>
      <c r="S279" s="267"/>
      <c r="T279" s="267"/>
      <c r="U279" s="267"/>
    </row>
    <row r="280" spans="1:21" ht="19.5" x14ac:dyDescent="0.3">
      <c r="A280" s="268"/>
      <c r="B280" s="269" t="s">
        <v>119</v>
      </c>
      <c r="C280" s="270"/>
      <c r="D280" s="271"/>
      <c r="E280" s="270"/>
      <c r="F280" s="270"/>
      <c r="G280" s="272"/>
      <c r="H280" s="273" t="s">
        <v>35</v>
      </c>
      <c r="I280" s="1497">
        <f ca="1">I293</f>
        <v>30</v>
      </c>
      <c r="J280" s="1497">
        <f>J293</f>
        <v>30</v>
      </c>
      <c r="K280" s="1498">
        <f ca="1">IF(I280&gt;0,J280*100/I280,0)</f>
        <v>100</v>
      </c>
      <c r="L280" s="1499"/>
      <c r="M280" s="276"/>
      <c r="N280" s="276"/>
      <c r="O280" s="276"/>
      <c r="P280" s="276"/>
      <c r="Q280" s="276"/>
      <c r="R280" s="276"/>
      <c r="S280" s="276"/>
      <c r="T280" s="276"/>
      <c r="U280" s="276"/>
    </row>
    <row r="281" spans="1:21" ht="19.5" x14ac:dyDescent="0.3">
      <c r="A281" s="268"/>
      <c r="B281" s="270"/>
      <c r="C281" s="270"/>
      <c r="D281" s="271"/>
      <c r="E281" s="270"/>
      <c r="F281" s="270"/>
      <c r="G281" s="272"/>
      <c r="H281" s="273" t="s">
        <v>46</v>
      </c>
      <c r="I281" s="1497">
        <f ca="1">I292</f>
        <v>300</v>
      </c>
      <c r="J281" s="1497">
        <f>J292</f>
        <v>300</v>
      </c>
      <c r="K281" s="1498">
        <f ca="1">IF(I281&gt;0,J281*100/I281,0)</f>
        <v>100</v>
      </c>
      <c r="L281" s="1499"/>
      <c r="M281" s="276"/>
      <c r="N281" s="276"/>
      <c r="O281" s="276"/>
      <c r="P281" s="276"/>
      <c r="Q281" s="276"/>
      <c r="R281" s="276"/>
      <c r="S281" s="276"/>
      <c r="T281" s="276"/>
      <c r="U281" s="276"/>
    </row>
    <row r="282" spans="1:21" ht="19.5" x14ac:dyDescent="0.3">
      <c r="A282" s="128"/>
      <c r="B282" s="40"/>
      <c r="C282" s="129" t="s">
        <v>18</v>
      </c>
      <c r="D282" s="1388" t="s">
        <v>19</v>
      </c>
      <c r="E282" s="40"/>
      <c r="F282" s="40"/>
      <c r="G282" s="42"/>
      <c r="H282" s="131" t="s">
        <v>14</v>
      </c>
      <c r="I282" s="44"/>
      <c r="J282" s="44"/>
      <c r="K282" s="45"/>
      <c r="L282" s="1389">
        <f ca="1">L283+L284</f>
        <v>85120</v>
      </c>
      <c r="M282" s="1390">
        <f ca="1">M283+M284</f>
        <v>85120</v>
      </c>
      <c r="N282" s="1390">
        <f ca="1">N283+N284</f>
        <v>69770</v>
      </c>
      <c r="O282" s="1390">
        <f ca="1">IF(L282&gt;0,N282*100/L282,0)</f>
        <v>81.966635338345867</v>
      </c>
      <c r="P282" s="1390">
        <f ca="1">IF(M282&gt;0,N282*100/M282,0)</f>
        <v>81.966635338345867</v>
      </c>
      <c r="Q282" s="1390">
        <f>Q283+Q284</f>
        <v>0</v>
      </c>
      <c r="R282" s="1390">
        <f>R283+R284</f>
        <v>0</v>
      </c>
      <c r="S282" s="1390">
        <f>S283+S284</f>
        <v>0</v>
      </c>
      <c r="T282" s="1390">
        <f>IF(Q282&gt;0,S282*100/Q282,0)</f>
        <v>0</v>
      </c>
      <c r="U282" s="1390">
        <f>IF(R282&gt;0,S282*100/R282,0)</f>
        <v>0</v>
      </c>
    </row>
    <row r="283" spans="1:21" ht="18.75" x14ac:dyDescent="0.25">
      <c r="A283" s="128"/>
      <c r="B283" s="40"/>
      <c r="C283" s="40"/>
      <c r="D283" s="40"/>
      <c r="E283" s="156" t="s">
        <v>20</v>
      </c>
      <c r="F283" s="40"/>
      <c r="G283" s="42"/>
      <c r="H283" s="157" t="s">
        <v>14</v>
      </c>
      <c r="I283" s="44"/>
      <c r="J283" s="44"/>
      <c r="K283" s="45"/>
      <c r="L283" s="1358">
        <f>L286+L289</f>
        <v>0</v>
      </c>
      <c r="M283" s="83">
        <f>M286+M289</f>
        <v>0</v>
      </c>
      <c r="N283" s="83">
        <f>N286+N289</f>
        <v>0</v>
      </c>
      <c r="O283" s="83">
        <f>IF(L283&gt;0,N283*100/L283,0)</f>
        <v>0</v>
      </c>
      <c r="P283" s="83">
        <f>IF(M283&gt;0,N283*100/M283,0)</f>
        <v>0</v>
      </c>
      <c r="Q283" s="83">
        <f>Q286+Q289</f>
        <v>0</v>
      </c>
      <c r="R283" s="83">
        <f>R286+R289</f>
        <v>0</v>
      </c>
      <c r="S283" s="83">
        <f>S286+S289</f>
        <v>0</v>
      </c>
      <c r="T283" s="83">
        <f>IF(Q283&gt;0,S283*100/Q283,0)</f>
        <v>0</v>
      </c>
      <c r="U283" s="83">
        <f>IF(R283&gt;0,S283*100/R283,0)</f>
        <v>0</v>
      </c>
    </row>
    <row r="284" spans="1:21" ht="18.75" x14ac:dyDescent="0.25">
      <c r="A284" s="128"/>
      <c r="B284" s="40"/>
      <c r="C284" s="40"/>
      <c r="D284" s="40"/>
      <c r="E284" s="47" t="s">
        <v>21</v>
      </c>
      <c r="F284" s="40"/>
      <c r="G284" s="42"/>
      <c r="H284" s="133" t="s">
        <v>14</v>
      </c>
      <c r="I284" s="44"/>
      <c r="J284" s="44"/>
      <c r="K284" s="45"/>
      <c r="L284" s="1356">
        <f ca="1">L287+L290</f>
        <v>85120</v>
      </c>
      <c r="M284" s="224">
        <f ca="1">M287+M290</f>
        <v>85120</v>
      </c>
      <c r="N284" s="224">
        <f ca="1">N287+N290</f>
        <v>69770</v>
      </c>
      <c r="O284" s="224">
        <f ca="1">IF(L284&gt;0,N284*100/L284,0)</f>
        <v>81.966635338345867</v>
      </c>
      <c r="P284" s="224">
        <f ca="1">IF(M284&gt;0,N284*100/M284,0)</f>
        <v>81.966635338345867</v>
      </c>
      <c r="Q284" s="224">
        <f>Q287+Q290</f>
        <v>0</v>
      </c>
      <c r="R284" s="224">
        <f>R287+R290</f>
        <v>0</v>
      </c>
      <c r="S284" s="224">
        <f>S287+S290</f>
        <v>0</v>
      </c>
      <c r="T284" s="224">
        <f>IF(Q284&gt;0,S284*100/Q284,0)</f>
        <v>0</v>
      </c>
      <c r="U284" s="224">
        <f>IF(R284&gt;0,S284*100/R284,0)</f>
        <v>0</v>
      </c>
    </row>
    <row r="285" spans="1:21" ht="18.75" x14ac:dyDescent="0.25">
      <c r="A285" s="128"/>
      <c r="B285" s="40"/>
      <c r="C285" s="40"/>
      <c r="D285" s="41" t="s">
        <v>22</v>
      </c>
      <c r="E285" s="40"/>
      <c r="F285" s="40"/>
      <c r="G285" s="42"/>
      <c r="H285" s="134" t="s">
        <v>14</v>
      </c>
      <c r="I285" s="135"/>
      <c r="J285" s="135"/>
      <c r="K285" s="136"/>
      <c r="L285" s="1356">
        <f ca="1">L286+L287</f>
        <v>85120</v>
      </c>
      <c r="M285" s="224">
        <f ca="1">M286+M287</f>
        <v>85120</v>
      </c>
      <c r="N285" s="224">
        <f ca="1">N286+N287</f>
        <v>69770</v>
      </c>
      <c r="O285" s="224">
        <f ca="1">IF(L285&gt;0,N285*100/L285,0)</f>
        <v>81.966635338345867</v>
      </c>
      <c r="P285" s="224">
        <f ca="1">IF(M285&gt;0,N285*100/M285,0)</f>
        <v>81.966635338345867</v>
      </c>
      <c r="Q285" s="224">
        <f>Q286+Q287</f>
        <v>0</v>
      </c>
      <c r="R285" s="224">
        <f>R286+R287</f>
        <v>0</v>
      </c>
      <c r="S285" s="224">
        <f>S286+S287</f>
        <v>0</v>
      </c>
      <c r="T285" s="224">
        <f>IF(Q285&gt;0,S285*100/Q285,0)</f>
        <v>0</v>
      </c>
      <c r="U285" s="224">
        <f>IF(R285&gt;0,S285*100/R285,0)</f>
        <v>0</v>
      </c>
    </row>
    <row r="286" spans="1:21" ht="18.75" x14ac:dyDescent="0.25">
      <c r="A286" s="128"/>
      <c r="B286" s="40"/>
      <c r="C286" s="40"/>
      <c r="D286" s="40"/>
      <c r="E286" s="156" t="s">
        <v>36</v>
      </c>
      <c r="F286" s="40"/>
      <c r="G286" s="42"/>
      <c r="H286" s="159" t="s">
        <v>14</v>
      </c>
      <c r="I286" s="135"/>
      <c r="J286" s="135"/>
      <c r="K286" s="136"/>
      <c r="L286" s="1358">
        <v>0</v>
      </c>
      <c r="M286" s="83">
        <v>0</v>
      </c>
      <c r="N286" s="83">
        <v>0</v>
      </c>
      <c r="O286" s="83">
        <f>IF(L286&gt;0,N286*100/L286,0)</f>
        <v>0</v>
      </c>
      <c r="P286" s="83">
        <f>IF(M286&gt;0,N286*100/M286,0)</f>
        <v>0</v>
      </c>
      <c r="Q286" s="83">
        <v>0</v>
      </c>
      <c r="R286" s="83">
        <v>0</v>
      </c>
      <c r="S286" s="83">
        <v>0</v>
      </c>
      <c r="T286" s="83">
        <f>IF(Q286&gt;0,S286*100/Q286,0)</f>
        <v>0</v>
      </c>
      <c r="U286" s="83">
        <f>IF(R286&gt;0,S286*100/R286,0)</f>
        <v>0</v>
      </c>
    </row>
    <row r="287" spans="1:21" ht="18.75" x14ac:dyDescent="0.25">
      <c r="A287" s="128"/>
      <c r="B287" s="40"/>
      <c r="C287" s="40"/>
      <c r="D287" s="40"/>
      <c r="E287" s="47" t="s">
        <v>37</v>
      </c>
      <c r="F287" s="40"/>
      <c r="G287" s="42"/>
      <c r="H287" s="134" t="s">
        <v>14</v>
      </c>
      <c r="I287" s="135"/>
      <c r="J287" s="135"/>
      <c r="K287" s="136"/>
      <c r="L287" s="1356">
        <f ca="1">IFERROR(__xludf.DUMMYFUNCTION("IMPORTRANGE(""https://docs.google.com/spreadsheets/d/1-uDff_7J0KD5mKrp0Vvzr7lt3OU09vwQwhkpOPPYv2Y/edit?usp=sharing"",""งบพรบ!DO26"")"),85120)</f>
        <v>85120</v>
      </c>
      <c r="M287" s="224">
        <f ca="1">IFERROR(__xludf.DUMMYFUNCTION("IMPORTRANGE(""https://docs.google.com/spreadsheets/d/1-uDff_7J0KD5mKrp0Vvzr7lt3OU09vwQwhkpOPPYv2Y/edit?usp=sharing"",""งบพรบ!DT26"")"),85120)</f>
        <v>85120</v>
      </c>
      <c r="N287" s="224">
        <f ca="1">IFERROR(__xludf.DUMMYFUNCTION("IMPORTRANGE(""https://docs.google.com/spreadsheets/d/1-uDff_7J0KD5mKrp0Vvzr7lt3OU09vwQwhkpOPPYv2Y/edit?usp=sharing"",""งบพรบ!DV26"")"),69770)</f>
        <v>69770</v>
      </c>
      <c r="O287" s="224">
        <f ca="1">IF(L287&gt;0,N287*100/L287,0)</f>
        <v>81.966635338345867</v>
      </c>
      <c r="P287" s="224">
        <f ca="1">IF(M287&gt;0,N287*100/M287,0)</f>
        <v>81.966635338345867</v>
      </c>
      <c r="Q287" s="224">
        <v>0</v>
      </c>
      <c r="R287" s="224">
        <v>0</v>
      </c>
      <c r="S287" s="224">
        <v>0</v>
      </c>
      <c r="T287" s="83">
        <f>IF(Q287&gt;0,S287*100/Q287,0)</f>
        <v>0</v>
      </c>
      <c r="U287" s="83">
        <f>IF(R287&gt;0,S287*100/R287,0)</f>
        <v>0</v>
      </c>
    </row>
    <row r="288" spans="1:21" ht="18.75" x14ac:dyDescent="0.25">
      <c r="A288" s="128"/>
      <c r="B288" s="40"/>
      <c r="C288" s="40"/>
      <c r="D288" s="41" t="s">
        <v>23</v>
      </c>
      <c r="E288" s="40"/>
      <c r="F288" s="40"/>
      <c r="G288" s="42"/>
      <c r="H288" s="137" t="s">
        <v>14</v>
      </c>
      <c r="I288" s="135"/>
      <c r="J288" s="135"/>
      <c r="K288" s="136"/>
      <c r="L288" s="1356">
        <f ca="1">L289+L290</f>
        <v>0</v>
      </c>
      <c r="M288" s="224">
        <f ca="1">M289+M290</f>
        <v>0</v>
      </c>
      <c r="N288" s="224">
        <f ca="1">N289+N290</f>
        <v>0</v>
      </c>
      <c r="O288" s="224">
        <f ca="1">IF(L288&gt;0,N288*100/L288,0)</f>
        <v>0</v>
      </c>
      <c r="P288" s="224">
        <f ca="1">IF(M288&gt;0,N288*100/M288,0)</f>
        <v>0</v>
      </c>
      <c r="Q288" s="224">
        <f>Q289+Q290</f>
        <v>0</v>
      </c>
      <c r="R288" s="224">
        <f>R289+R290</f>
        <v>0</v>
      </c>
      <c r="S288" s="224">
        <f>S289+S290</f>
        <v>0</v>
      </c>
      <c r="T288" s="224">
        <f>IF(Q288&gt;0,S288*100/Q288,0)</f>
        <v>0</v>
      </c>
      <c r="U288" s="224">
        <f>IF(R288&gt;0,S288*100/R288,0)</f>
        <v>0</v>
      </c>
    </row>
    <row r="289" spans="1:21" ht="18.75" x14ac:dyDescent="0.25">
      <c r="A289" s="128"/>
      <c r="B289" s="40"/>
      <c r="C289" s="40"/>
      <c r="D289" s="40"/>
      <c r="E289" s="156" t="s">
        <v>20</v>
      </c>
      <c r="F289" s="40"/>
      <c r="G289" s="42"/>
      <c r="H289" s="159" t="s">
        <v>14</v>
      </c>
      <c r="I289" s="135"/>
      <c r="J289" s="135"/>
      <c r="K289" s="136"/>
      <c r="L289" s="1358">
        <v>0</v>
      </c>
      <c r="M289" s="83">
        <v>0</v>
      </c>
      <c r="N289" s="83">
        <v>0</v>
      </c>
      <c r="O289" s="83">
        <f>IF(L289&gt;0,N289*100/L289,0)</f>
        <v>0</v>
      </c>
      <c r="P289" s="83">
        <f>IF(M289&gt;0,N289*100/M289,0)</f>
        <v>0</v>
      </c>
      <c r="Q289" s="83">
        <v>0</v>
      </c>
      <c r="R289" s="83">
        <v>0</v>
      </c>
      <c r="S289" s="83">
        <v>0</v>
      </c>
      <c r="T289" s="83">
        <f>IF(Q289&gt;0,S289*100/Q289,0)</f>
        <v>0</v>
      </c>
      <c r="U289" s="83">
        <f>IF(R289&gt;0,S289*100/R289,0)</f>
        <v>0</v>
      </c>
    </row>
    <row r="290" spans="1:21" ht="18.75" x14ac:dyDescent="0.25">
      <c r="A290" s="128"/>
      <c r="B290" s="40"/>
      <c r="C290" s="40"/>
      <c r="D290" s="40"/>
      <c r="E290" s="47" t="s">
        <v>21</v>
      </c>
      <c r="F290" s="40"/>
      <c r="G290" s="42"/>
      <c r="H290" s="137" t="s">
        <v>14</v>
      </c>
      <c r="I290" s="135"/>
      <c r="J290" s="135"/>
      <c r="K290" s="136"/>
      <c r="L290" s="1356">
        <f ca="1">IFERROR(__xludf.DUMMYFUNCTION("IMPORTRANGE(""https://docs.google.com/spreadsheets/d/1-uDff_7J0KD5mKrp0Vvzr7lt3OU09vwQwhkpOPPYv2Y/edit?usp=sharing"",""งบพรบ!DR26"")"),0)</f>
        <v>0</v>
      </c>
      <c r="M290" s="224">
        <f ca="1">IFERROR(__xludf.DUMMYFUNCTION("IMPORTRANGE(""https://docs.google.com/spreadsheets/d/1-uDff_7J0KD5mKrp0Vvzr7lt3OU09vwQwhkpOPPYv2Y/edit?usp=sharing"",""งบพรบ!DU26"")"),0)</f>
        <v>0</v>
      </c>
      <c r="N290" s="224">
        <f ca="1">IFERROR(__xludf.DUMMYFUNCTION("IMPORTRANGE(""https://docs.google.com/spreadsheets/d/1-uDff_7J0KD5mKrp0Vvzr7lt3OU09vwQwhkpOPPYv2Y/edit?usp=sharing"",""งบพรบ!DW26"")"),0)</f>
        <v>0</v>
      </c>
      <c r="O290" s="224">
        <f ca="1">IF(L290&gt;0,N290*100/L290,0)</f>
        <v>0</v>
      </c>
      <c r="P290" s="224">
        <f ca="1">IF(M290&gt;0,N290*100/M290,0)</f>
        <v>0</v>
      </c>
      <c r="Q290" s="224">
        <v>0</v>
      </c>
      <c r="R290" s="224">
        <v>0</v>
      </c>
      <c r="S290" s="224">
        <v>0</v>
      </c>
      <c r="T290" s="224">
        <f>IF(Q290&gt;0,S290*100/Q290,0)</f>
        <v>0</v>
      </c>
      <c r="U290" s="224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1391" t="s">
        <v>38</v>
      </c>
      <c r="E291" s="141"/>
      <c r="F291" s="141"/>
      <c r="G291" s="142"/>
      <c r="H291" s="143"/>
      <c r="I291" s="135"/>
      <c r="J291" s="135"/>
      <c r="K291" s="136"/>
      <c r="L291" s="1392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3" t="s">
        <v>46</v>
      </c>
      <c r="I292" s="184">
        <f ca="1">IFERROR(__xludf.DUMMYFUNCTION("IMPORTRANGE(""https://docs.google.com/spreadsheets/d/1eHaY18a8A9IcSdp1K8H6x8fbOy06t2VsZHhMHf-1x7Y/edit?usp=sharing"",""แผน!EE26"")"),300)</f>
        <v>300</v>
      </c>
      <c r="J292" s="1395">
        <v>300</v>
      </c>
      <c r="K292" s="1396">
        <f ca="1">IF(I292&gt;0,J292*100/I292,0)</f>
        <v>100</v>
      </c>
      <c r="L292" s="1392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328">
        <f ca="1">IFERROR(__xludf.DUMMYFUNCTION("IMPORTRANGE(""https://docs.google.com/spreadsheets/d/1eHaY18a8A9IcSdp1K8H6x8fbOy06t2VsZHhMHf-1x7Y/edit?usp=sharing"",""แผน!ED26"")"),30)</f>
        <v>30</v>
      </c>
      <c r="J293" s="328">
        <f>J296</f>
        <v>30</v>
      </c>
      <c r="K293" s="1393">
        <f ca="1">IF(I293&gt;0,J293*100/I293,0)</f>
        <v>100</v>
      </c>
      <c r="L293" s="1392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4" t="s">
        <v>122</v>
      </c>
      <c r="F294" s="145"/>
      <c r="G294" s="143"/>
      <c r="H294" s="143"/>
      <c r="I294" s="135"/>
      <c r="J294" s="44"/>
      <c r="K294" s="136"/>
      <c r="L294" s="1392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394">
        <f ca="1">IFERROR(__xludf.DUMMYFUNCTION("IMPORTRANGE(""https://docs.google.com/spreadsheets/d/1eHaY18a8A9IcSdp1K8H6x8fbOy06t2VsZHhMHf-1x7Y/edit?usp=sharing"",""แผน!ED26"")"),30)</f>
        <v>30</v>
      </c>
      <c r="J295" s="1395">
        <v>30</v>
      </c>
      <c r="K295" s="1396">
        <f ca="1">IF(I295&gt;0,J295*100/I295,0)</f>
        <v>100</v>
      </c>
      <c r="L295" s="1392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394">
        <f ca="1">IFERROR(__xludf.DUMMYFUNCTION("IMPORTRANGE(""https://docs.google.com/spreadsheets/d/1eHaY18a8A9IcSdp1K8H6x8fbOy06t2VsZHhMHf-1x7Y/edit?usp=sharing"",""แผน!ED26"")"),30)</f>
        <v>30</v>
      </c>
      <c r="J296" s="1395">
        <v>30</v>
      </c>
      <c r="K296" s="1396">
        <f ca="1">IF(I296&gt;0,J296*100/I296,0)</f>
        <v>100</v>
      </c>
      <c r="L296" s="1392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2"/>
      <c r="B297" s="163"/>
      <c r="C297" s="163"/>
      <c r="D297" s="18"/>
      <c r="E297" s="18"/>
      <c r="F297" s="18"/>
      <c r="G297" s="19"/>
      <c r="H297" s="19"/>
      <c r="I297" s="20"/>
      <c r="J297" s="20"/>
      <c r="K297" s="21"/>
      <c r="L297" s="1346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12.75" x14ac:dyDescent="0.2">
      <c r="A298" s="162"/>
      <c r="B298" s="163"/>
      <c r="C298" s="163"/>
      <c r="D298" s="18"/>
      <c r="E298" s="18"/>
      <c r="F298" s="18"/>
      <c r="G298" s="19"/>
      <c r="H298" s="19"/>
      <c r="I298" s="20"/>
      <c r="J298" s="20"/>
      <c r="K298" s="21"/>
      <c r="L298" s="1346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1:21" ht="12.75" x14ac:dyDescent="0.2">
      <c r="A299" s="277"/>
      <c r="B299" s="278"/>
      <c r="C299" s="278"/>
      <c r="D299" s="22"/>
      <c r="E299" s="22"/>
      <c r="F299" s="22"/>
      <c r="G299" s="14"/>
      <c r="H299" s="14"/>
      <c r="I299" s="15"/>
      <c r="J299" s="15"/>
      <c r="K299" s="16"/>
      <c r="L299" s="1345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 ht="19.5" x14ac:dyDescent="0.3">
      <c r="A300" s="279" t="s">
        <v>125</v>
      </c>
      <c r="B300" s="280"/>
      <c r="C300" s="280"/>
      <c r="D300" s="280"/>
      <c r="E300" s="281"/>
      <c r="F300" s="281"/>
      <c r="G300" s="281"/>
      <c r="H300" s="281"/>
      <c r="I300" s="282"/>
      <c r="J300" s="282"/>
      <c r="K300" s="283"/>
      <c r="L300" s="283"/>
      <c r="M300" s="283"/>
      <c r="N300" s="283"/>
      <c r="O300" s="283"/>
      <c r="P300" s="284"/>
      <c r="Q300" s="283"/>
      <c r="R300" s="283"/>
      <c r="S300" s="283"/>
      <c r="T300" s="283"/>
      <c r="U300" s="284"/>
    </row>
    <row r="301" spans="1:21" ht="19.5" x14ac:dyDescent="0.3">
      <c r="A301" s="285" t="s">
        <v>126</v>
      </c>
      <c r="B301" s="286"/>
      <c r="C301" s="286"/>
      <c r="D301" s="287"/>
      <c r="E301" s="287"/>
      <c r="F301" s="287"/>
      <c r="G301" s="288"/>
      <c r="H301" s="288"/>
      <c r="I301" s="289"/>
      <c r="J301" s="289"/>
      <c r="K301" s="290"/>
      <c r="L301" s="1500"/>
      <c r="M301" s="290"/>
      <c r="N301" s="290"/>
      <c r="O301" s="290"/>
      <c r="P301" s="290"/>
      <c r="Q301" s="290"/>
      <c r="R301" s="290"/>
      <c r="S301" s="290"/>
      <c r="T301" s="290"/>
      <c r="U301" s="290"/>
    </row>
    <row r="302" spans="1:21" ht="19.5" x14ac:dyDescent="0.3">
      <c r="A302" s="291"/>
      <c r="B302" s="292" t="s">
        <v>127</v>
      </c>
      <c r="C302" s="293"/>
      <c r="D302" s="293"/>
      <c r="E302" s="293"/>
      <c r="F302" s="293"/>
      <c r="G302" s="294"/>
      <c r="H302" s="295" t="s">
        <v>35</v>
      </c>
      <c r="I302" s="1501">
        <f ca="1">I314</f>
        <v>30</v>
      </c>
      <c r="J302" s="1501">
        <f>J314</f>
        <v>30</v>
      </c>
      <c r="K302" s="1502">
        <f ca="1">IF(I302&gt;0,J302*100/I302,0)</f>
        <v>100</v>
      </c>
      <c r="L302" s="1503"/>
      <c r="M302" s="298"/>
      <c r="N302" s="298"/>
      <c r="O302" s="298"/>
      <c r="P302" s="298"/>
      <c r="Q302" s="298"/>
      <c r="R302" s="298"/>
      <c r="S302" s="298"/>
      <c r="T302" s="298"/>
      <c r="U302" s="298"/>
    </row>
    <row r="303" spans="1:21" ht="19.5" x14ac:dyDescent="0.3">
      <c r="A303" s="128"/>
      <c r="B303" s="40"/>
      <c r="C303" s="129" t="s">
        <v>18</v>
      </c>
      <c r="D303" s="1388" t="s">
        <v>19</v>
      </c>
      <c r="E303" s="40"/>
      <c r="F303" s="40"/>
      <c r="G303" s="42"/>
      <c r="H303" s="131" t="s">
        <v>14</v>
      </c>
      <c r="I303" s="44"/>
      <c r="J303" s="44"/>
      <c r="K303" s="45"/>
      <c r="L303" s="1389">
        <f ca="1">L304+L305</f>
        <v>0</v>
      </c>
      <c r="M303" s="1390">
        <f ca="1">M304+M305</f>
        <v>0</v>
      </c>
      <c r="N303" s="1390">
        <f ca="1">N304+N305</f>
        <v>0</v>
      </c>
      <c r="O303" s="1390">
        <f ca="1">IF(L303&gt;0,N303*100/L303,0)</f>
        <v>0</v>
      </c>
      <c r="P303" s="1390">
        <f ca="1">IF(M303&gt;0,N303*100/M303,0)</f>
        <v>0</v>
      </c>
      <c r="Q303" s="1390">
        <f ca="1">Q304+Q305</f>
        <v>260958.39</v>
      </c>
      <c r="R303" s="1390">
        <f ca="1">R304+R305</f>
        <v>260958</v>
      </c>
      <c r="S303" s="1390">
        <f ca="1">S304+S305</f>
        <v>62555</v>
      </c>
      <c r="T303" s="1390">
        <f ca="1">IF(Q303&gt;0,S303*100/Q303,0)</f>
        <v>23.971254574340374</v>
      </c>
      <c r="U303" s="1390">
        <f ca="1">IF(R303&gt;0,S303*100/R303,0)</f>
        <v>23.971290399221331</v>
      </c>
    </row>
    <row r="304" spans="1:21" ht="18.75" x14ac:dyDescent="0.25">
      <c r="A304" s="128"/>
      <c r="B304" s="40"/>
      <c r="C304" s="40"/>
      <c r="D304" s="40"/>
      <c r="E304" s="156" t="s">
        <v>20</v>
      </c>
      <c r="F304" s="40"/>
      <c r="G304" s="42"/>
      <c r="H304" s="157" t="s">
        <v>14</v>
      </c>
      <c r="I304" s="44"/>
      <c r="J304" s="44"/>
      <c r="K304" s="45"/>
      <c r="L304" s="1358">
        <f>L307+L310</f>
        <v>0</v>
      </c>
      <c r="M304" s="83">
        <f>M307+M310</f>
        <v>0</v>
      </c>
      <c r="N304" s="83">
        <f>N307+N310</f>
        <v>0</v>
      </c>
      <c r="O304" s="83">
        <f>IF(L304&gt;0,N304*100/L304,0)</f>
        <v>0</v>
      </c>
      <c r="P304" s="83">
        <f>IF(M304&gt;0,N304*100/M304,0)</f>
        <v>0</v>
      </c>
      <c r="Q304" s="83">
        <f>Q307+Q310</f>
        <v>0</v>
      </c>
      <c r="R304" s="83">
        <f>R307+R310</f>
        <v>0</v>
      </c>
      <c r="S304" s="83">
        <f>S307+S310</f>
        <v>0</v>
      </c>
      <c r="T304" s="83">
        <f>IF(Q304&gt;0,S304*100/Q304,0)</f>
        <v>0</v>
      </c>
      <c r="U304" s="83">
        <f>IF(R304&gt;0,S304*100/R304,0)</f>
        <v>0</v>
      </c>
    </row>
    <row r="305" spans="1:21" ht="18.75" x14ac:dyDescent="0.25">
      <c r="A305" s="128"/>
      <c r="B305" s="40"/>
      <c r="C305" s="40"/>
      <c r="D305" s="40"/>
      <c r="E305" s="47" t="s">
        <v>21</v>
      </c>
      <c r="F305" s="40"/>
      <c r="G305" s="42"/>
      <c r="H305" s="133" t="s">
        <v>14</v>
      </c>
      <c r="I305" s="44"/>
      <c r="J305" s="44"/>
      <c r="K305" s="45"/>
      <c r="L305" s="1356">
        <f ca="1">L308+L311</f>
        <v>0</v>
      </c>
      <c r="M305" s="224">
        <f ca="1">M308+M311</f>
        <v>0</v>
      </c>
      <c r="N305" s="224">
        <f ca="1">N308+N311</f>
        <v>0</v>
      </c>
      <c r="O305" s="224">
        <f ca="1">IF(L305&gt;0,N305*100/L305,0)</f>
        <v>0</v>
      </c>
      <c r="P305" s="224">
        <f ca="1">IF(M305&gt;0,N305*100/M305,0)</f>
        <v>0</v>
      </c>
      <c r="Q305" s="224">
        <f ca="1">Q308+Q311</f>
        <v>260958.39</v>
      </c>
      <c r="R305" s="224">
        <f ca="1">R308+R311</f>
        <v>260958</v>
      </c>
      <c r="S305" s="224">
        <f ca="1">S308+S311</f>
        <v>62555</v>
      </c>
      <c r="T305" s="224">
        <f ca="1">IF(Q305&gt;0,S305*100/Q305,0)</f>
        <v>23.971254574340374</v>
      </c>
      <c r="U305" s="224">
        <f ca="1">IF(R305&gt;0,S305*100/R305,0)</f>
        <v>23.971290399221331</v>
      </c>
    </row>
    <row r="306" spans="1:21" ht="18.75" x14ac:dyDescent="0.25">
      <c r="A306" s="128"/>
      <c r="B306" s="40"/>
      <c r="C306" s="40"/>
      <c r="D306" s="41" t="s">
        <v>22</v>
      </c>
      <c r="E306" s="40"/>
      <c r="F306" s="40"/>
      <c r="G306" s="42"/>
      <c r="H306" s="134" t="s">
        <v>14</v>
      </c>
      <c r="I306" s="135"/>
      <c r="J306" s="135"/>
      <c r="K306" s="136"/>
      <c r="L306" s="1356">
        <f ca="1">L307+L308</f>
        <v>0</v>
      </c>
      <c r="M306" s="224">
        <f ca="1">M307+M308</f>
        <v>0</v>
      </c>
      <c r="N306" s="224">
        <f ca="1">N307+N308</f>
        <v>0</v>
      </c>
      <c r="O306" s="224">
        <f ca="1">IF(L306&gt;0,N306*100/L306,0)</f>
        <v>0</v>
      </c>
      <c r="P306" s="224">
        <f ca="1">IF(M306&gt;0,N306*100/M306,0)</f>
        <v>0</v>
      </c>
      <c r="Q306" s="224">
        <f ca="1">Q307+Q308</f>
        <v>260958.39</v>
      </c>
      <c r="R306" s="224">
        <f ca="1">R307+R308</f>
        <v>260958</v>
      </c>
      <c r="S306" s="224">
        <f ca="1">S307+S308</f>
        <v>62555</v>
      </c>
      <c r="T306" s="224">
        <f ca="1">IF(Q306&gt;0,S306*100/Q306,0)</f>
        <v>23.971254574340374</v>
      </c>
      <c r="U306" s="224">
        <f ca="1">IF(R306&gt;0,S306*100/R306,0)</f>
        <v>23.971290399221331</v>
      </c>
    </row>
    <row r="307" spans="1:21" ht="18.75" x14ac:dyDescent="0.25">
      <c r="A307" s="128"/>
      <c r="B307" s="40"/>
      <c r="C307" s="40"/>
      <c r="D307" s="40"/>
      <c r="E307" s="156" t="s">
        <v>36</v>
      </c>
      <c r="F307" s="40"/>
      <c r="G307" s="42"/>
      <c r="H307" s="159" t="s">
        <v>14</v>
      </c>
      <c r="I307" s="135"/>
      <c r="J307" s="135"/>
      <c r="K307" s="136"/>
      <c r="L307" s="1358">
        <v>0</v>
      </c>
      <c r="M307" s="83">
        <v>0</v>
      </c>
      <c r="N307" s="83">
        <v>0</v>
      </c>
      <c r="O307" s="83">
        <f>IF(L307&gt;0,N307*100/L307,0)</f>
        <v>0</v>
      </c>
      <c r="P307" s="83">
        <f>IF(M307&gt;0,N307*100/M307,0)</f>
        <v>0</v>
      </c>
      <c r="Q307" s="83">
        <v>0</v>
      </c>
      <c r="R307" s="83">
        <v>0</v>
      </c>
      <c r="S307" s="83">
        <v>0</v>
      </c>
      <c r="T307" s="83">
        <f>IF(Q307&gt;0,S307*100/Q307,0)</f>
        <v>0</v>
      </c>
      <c r="U307" s="83">
        <f>IF(R307&gt;0,S307*100/R307,0)</f>
        <v>0</v>
      </c>
    </row>
    <row r="308" spans="1:21" ht="18.75" x14ac:dyDescent="0.25">
      <c r="A308" s="128"/>
      <c r="B308" s="40"/>
      <c r="C308" s="40"/>
      <c r="D308" s="40"/>
      <c r="E308" s="47" t="s">
        <v>37</v>
      </c>
      <c r="F308" s="40"/>
      <c r="G308" s="42"/>
      <c r="H308" s="134" t="s">
        <v>14</v>
      </c>
      <c r="I308" s="135"/>
      <c r="J308" s="135"/>
      <c r="K308" s="136"/>
      <c r="L308" s="1356">
        <f ca="1">IFERROR(__xludf.DUMMYFUNCTION("IMPORTRANGE(""https://docs.google.com/spreadsheets/d/1-uDff_7J0KD5mKrp0Vvzr7lt3OU09vwQwhkpOPPYv2Y/edit?usp=sharing"",""งบพรบ!DY26"")"),0)</f>
        <v>0</v>
      </c>
      <c r="M308" s="224">
        <f ca="1">IFERROR(__xludf.DUMMYFUNCTION("IMPORTRANGE(""https://docs.google.com/spreadsheets/d/1-uDff_7J0KD5mKrp0Vvzr7lt3OU09vwQwhkpOPPYv2Y/edit?usp=sharing"",""งบพรบ!ED26"")"),0)</f>
        <v>0</v>
      </c>
      <c r="N308" s="224">
        <f ca="1">IFERROR(__xludf.DUMMYFUNCTION("IMPORTRANGE(""https://docs.google.com/spreadsheets/d/1-uDff_7J0KD5mKrp0Vvzr7lt3OU09vwQwhkpOPPYv2Y/edit?usp=sharing"",""งบพรบ!EF26"")"),0)</f>
        <v>0</v>
      </c>
      <c r="O308" s="224">
        <f ca="1">IF(L308&gt;0,N308*100/L308,0)</f>
        <v>0</v>
      </c>
      <c r="P308" s="224">
        <f ca="1">IF(M308&gt;0,N308*100/M308,0)</f>
        <v>0</v>
      </c>
      <c r="Q308" s="224">
        <f ca="1">IFERROR(__xludf.DUMMYFUNCTION("IMPORTRANGE(""https://docs.google.com/spreadsheets/d/1ItG2mGa2ceCfYo0BwxsXqNm01IGEUdYcSSLTEv9YCik/edit?usp=sharing"",""เบิกจ่ายกองทุน!BB26"")"),260958.39)</f>
        <v>260958.39</v>
      </c>
      <c r="R308" s="224">
        <f ca="1">IFERROR(__xludf.DUMMYFUNCTION("IMPORTRANGE(""https://docs.google.com/spreadsheets/d/1ItG2mGa2ceCfYo0BwxsXqNm01IGEUdYcSSLTEv9YCik/edit?usp=sharing"",""เบิกจ่ายกองทุน!BC26"")"),260958)</f>
        <v>260958</v>
      </c>
      <c r="S308" s="224">
        <f ca="1">IFERROR(__xludf.DUMMYFUNCTION("IMPORTRANGE(""https://docs.google.com/spreadsheets/d/1ItG2mGa2ceCfYo0BwxsXqNm01IGEUdYcSSLTEv9YCik/edit?usp=sharing"",""เบิกจ่ายกองทุน!BD26"")"),62555)</f>
        <v>62555</v>
      </c>
      <c r="T308" s="224">
        <f ca="1">IF(Q308&gt;0,S308*100/Q308,0)</f>
        <v>23.971254574340374</v>
      </c>
      <c r="U308" s="224">
        <f ca="1">IF(R308&gt;0,S308*100/R308,0)</f>
        <v>23.971290399221331</v>
      </c>
    </row>
    <row r="309" spans="1:21" ht="18.75" x14ac:dyDescent="0.25">
      <c r="A309" s="128"/>
      <c r="B309" s="40"/>
      <c r="C309" s="40"/>
      <c r="D309" s="41" t="s">
        <v>23</v>
      </c>
      <c r="E309" s="40"/>
      <c r="F309" s="40"/>
      <c r="G309" s="42"/>
      <c r="H309" s="137" t="s">
        <v>14</v>
      </c>
      <c r="I309" s="135"/>
      <c r="J309" s="135"/>
      <c r="K309" s="136"/>
      <c r="L309" s="1356">
        <f ca="1">L310+L311</f>
        <v>0</v>
      </c>
      <c r="M309" s="224">
        <f ca="1">M310+M311</f>
        <v>0</v>
      </c>
      <c r="N309" s="224">
        <f ca="1">N310+N311</f>
        <v>0</v>
      </c>
      <c r="O309" s="224">
        <f ca="1">IF(L309&gt;0,N309*100/L309,0)</f>
        <v>0</v>
      </c>
      <c r="P309" s="224">
        <f ca="1">IF(M309&gt;0,N309*100/M309,0)</f>
        <v>0</v>
      </c>
      <c r="Q309" s="224">
        <f>Q310+Q311</f>
        <v>0</v>
      </c>
      <c r="R309" s="224">
        <f>R310+R311</f>
        <v>0</v>
      </c>
      <c r="S309" s="224">
        <f>S310+S311</f>
        <v>0</v>
      </c>
      <c r="T309" s="224">
        <f>IF(Q309&gt;0,S309*100/Q309,0)</f>
        <v>0</v>
      </c>
      <c r="U309" s="224">
        <f>IF(R309&gt;0,S309*100/R309,0)</f>
        <v>0</v>
      </c>
    </row>
    <row r="310" spans="1:21" ht="18.75" x14ac:dyDescent="0.25">
      <c r="A310" s="128"/>
      <c r="B310" s="40"/>
      <c r="C310" s="40"/>
      <c r="D310" s="40"/>
      <c r="E310" s="156" t="s">
        <v>20</v>
      </c>
      <c r="F310" s="40"/>
      <c r="G310" s="42"/>
      <c r="H310" s="159" t="s">
        <v>14</v>
      </c>
      <c r="I310" s="135"/>
      <c r="J310" s="135"/>
      <c r="K310" s="136"/>
      <c r="L310" s="1358">
        <v>0</v>
      </c>
      <c r="M310" s="83">
        <v>0</v>
      </c>
      <c r="N310" s="83">
        <v>0</v>
      </c>
      <c r="O310" s="83">
        <f>IF(L310&gt;0,N310*100/L310,0)</f>
        <v>0</v>
      </c>
      <c r="P310" s="83">
        <f>IF(M310&gt;0,N310*100/M310,0)</f>
        <v>0</v>
      </c>
      <c r="Q310" s="83">
        <v>0</v>
      </c>
      <c r="R310" s="83">
        <v>0</v>
      </c>
      <c r="S310" s="83">
        <v>0</v>
      </c>
      <c r="T310" s="83">
        <f>IF(Q310&gt;0,S310*100/Q310,0)</f>
        <v>0</v>
      </c>
      <c r="U310" s="83">
        <f>IF(R310&gt;0,S310*100/R310,0)</f>
        <v>0</v>
      </c>
    </row>
    <row r="311" spans="1:21" ht="18.75" x14ac:dyDescent="0.25">
      <c r="A311" s="128"/>
      <c r="B311" s="40"/>
      <c r="C311" s="40"/>
      <c r="D311" s="40"/>
      <c r="E311" s="47" t="s">
        <v>21</v>
      </c>
      <c r="F311" s="40"/>
      <c r="G311" s="42"/>
      <c r="H311" s="137" t="s">
        <v>14</v>
      </c>
      <c r="I311" s="135"/>
      <c r="J311" s="135"/>
      <c r="K311" s="136"/>
      <c r="L311" s="1356">
        <f ca="1">IFERROR(__xludf.DUMMYFUNCTION("IMPORTRANGE(""https://docs.google.com/spreadsheets/d/1-uDff_7J0KD5mKrp0Vvzr7lt3OU09vwQwhkpOPPYv2Y/edit?usp=sharing"",""งบพรบ!EB26"")"),0)</f>
        <v>0</v>
      </c>
      <c r="M311" s="224">
        <f ca="1">IFERROR(__xludf.DUMMYFUNCTION("IMPORTRANGE(""https://docs.google.com/spreadsheets/d/1-uDff_7J0KD5mKrp0Vvzr7lt3OU09vwQwhkpOPPYv2Y/edit?usp=sharing"",""งบพรบ!EE26"")"),0)</f>
        <v>0</v>
      </c>
      <c r="N311" s="224">
        <f ca="1">IFERROR(__xludf.DUMMYFUNCTION("IMPORTRANGE(""https://docs.google.com/spreadsheets/d/1-uDff_7J0KD5mKrp0Vvzr7lt3OU09vwQwhkpOPPYv2Y/edit?usp=sharing"",""งบพรบ!EG26"")"),0)</f>
        <v>0</v>
      </c>
      <c r="O311" s="224">
        <f ca="1">IF(L311&gt;0,N311*100/L311,0)</f>
        <v>0</v>
      </c>
      <c r="P311" s="224">
        <f ca="1">IF(M311&gt;0,N311*100/M311,0)</f>
        <v>0</v>
      </c>
      <c r="Q311" s="224">
        <v>0</v>
      </c>
      <c r="R311" s="224">
        <v>0</v>
      </c>
      <c r="S311" s="224">
        <v>0</v>
      </c>
      <c r="T311" s="224">
        <f>IF(Q311&gt;0,S311*100/Q311,0)</f>
        <v>0</v>
      </c>
      <c r="U311" s="224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1391" t="s">
        <v>38</v>
      </c>
      <c r="E312" s="141"/>
      <c r="F312" s="141"/>
      <c r="G312" s="142"/>
      <c r="H312" s="143"/>
      <c r="I312" s="44"/>
      <c r="J312" s="44"/>
      <c r="K312" s="45"/>
      <c r="L312" s="1359"/>
      <c r="M312" s="45"/>
      <c r="N312" s="45"/>
      <c r="O312" s="45"/>
      <c r="P312" s="45"/>
      <c r="Q312" s="45"/>
      <c r="R312" s="45"/>
      <c r="S312" s="45"/>
      <c r="T312" s="45"/>
      <c r="U312" s="45"/>
    </row>
    <row r="313" spans="1:21" ht="18.75" x14ac:dyDescent="0.25">
      <c r="A313" s="162"/>
      <c r="B313" s="163"/>
      <c r="C313" s="163"/>
      <c r="D313" s="1504"/>
      <c r="E313" s="18"/>
      <c r="F313" s="18"/>
      <c r="G313" s="19"/>
      <c r="H313" s="19"/>
      <c r="I313" s="20"/>
      <c r="J313" s="1505"/>
      <c r="K313" s="21"/>
      <c r="L313" s="1346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84">
        <f ca="1">IFERROR(__xludf.DUMMYFUNCTION("IMPORTRANGE(""https://docs.google.com/spreadsheets/d/1eHaY18a8A9IcSdp1K8H6x8fbOy06t2VsZHhMHf-1x7Y/edit?usp=sharing"",""แผน!EF26"")"),30)</f>
        <v>30</v>
      </c>
      <c r="J314" s="1395">
        <v>30</v>
      </c>
      <c r="K314" s="224">
        <f ca="1">IF(I314&gt;0,J314*100/I314,0)</f>
        <v>100</v>
      </c>
      <c r="L314" s="1359"/>
      <c r="M314" s="45"/>
      <c r="N314" s="45"/>
      <c r="O314" s="45"/>
      <c r="P314" s="45"/>
      <c r="Q314" s="45"/>
      <c r="R314" s="45"/>
      <c r="S314" s="45"/>
      <c r="T314" s="45"/>
      <c r="U314" s="45"/>
    </row>
    <row r="315" spans="1:21" ht="18.75" x14ac:dyDescent="0.25">
      <c r="A315" s="162"/>
      <c r="B315" s="163"/>
      <c r="C315" s="163"/>
      <c r="D315" s="1504"/>
      <c r="E315" s="18"/>
      <c r="F315" s="18"/>
      <c r="G315" s="19"/>
      <c r="H315" s="1506"/>
      <c r="I315" s="1505"/>
      <c r="J315" s="1505"/>
      <c r="K315" s="1507"/>
      <c r="L315" s="1346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1:21" ht="18.75" x14ac:dyDescent="0.25">
      <c r="A316" s="162"/>
      <c r="B316" s="163"/>
      <c r="C316" s="163"/>
      <c r="D316" s="1504"/>
      <c r="E316" s="18"/>
      <c r="F316" s="18"/>
      <c r="G316" s="19"/>
      <c r="H316" s="1506"/>
      <c r="I316" s="1505"/>
      <c r="J316" s="1505"/>
      <c r="K316" s="1507"/>
      <c r="L316" s="1346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1:21" ht="18.75" x14ac:dyDescent="0.25">
      <c r="A317" s="162"/>
      <c r="B317" s="163"/>
      <c r="C317" s="163"/>
      <c r="D317" s="1508"/>
      <c r="E317" s="18"/>
      <c r="F317" s="18"/>
      <c r="G317" s="19"/>
      <c r="H317" s="1509"/>
      <c r="I317" s="1510"/>
      <c r="J317" s="1510"/>
      <c r="K317" s="1511"/>
      <c r="L317" s="1346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1:21" ht="19.5" x14ac:dyDescent="0.3">
      <c r="A318" s="285" t="s">
        <v>131</v>
      </c>
      <c r="B318" s="286"/>
      <c r="C318" s="286"/>
      <c r="D318" s="287"/>
      <c r="E318" s="286"/>
      <c r="F318" s="286"/>
      <c r="G318" s="286"/>
      <c r="H318" s="287"/>
      <c r="I318" s="289"/>
      <c r="J318" s="289"/>
      <c r="K318" s="290"/>
      <c r="L318" s="1500"/>
      <c r="M318" s="290"/>
      <c r="N318" s="290"/>
      <c r="O318" s="290"/>
      <c r="P318" s="290"/>
      <c r="Q318" s="290"/>
      <c r="R318" s="290"/>
      <c r="S318" s="290"/>
      <c r="T318" s="290"/>
      <c r="U318" s="290"/>
    </row>
    <row r="319" spans="1:21" ht="19.5" x14ac:dyDescent="0.3">
      <c r="A319" s="299"/>
      <c r="B319" s="292" t="s">
        <v>132</v>
      </c>
      <c r="C319" s="300"/>
      <c r="D319" s="301"/>
      <c r="E319" s="293"/>
      <c r="F319" s="293"/>
      <c r="G319" s="294"/>
      <c r="H319" s="295" t="s">
        <v>133</v>
      </c>
      <c r="I319" s="1501">
        <f ca="1">I330</f>
        <v>0</v>
      </c>
      <c r="J319" s="1501">
        <f>J330</f>
        <v>0</v>
      </c>
      <c r="K319" s="1502">
        <f ca="1">IF(I319&gt;0,J319*100/I319,0)</f>
        <v>0</v>
      </c>
      <c r="L319" s="1503"/>
      <c r="M319" s="298"/>
      <c r="N319" s="298"/>
      <c r="O319" s="298"/>
      <c r="P319" s="298"/>
      <c r="Q319" s="298"/>
      <c r="R319" s="298"/>
      <c r="S319" s="298"/>
      <c r="T319" s="298"/>
      <c r="U319" s="298"/>
    </row>
    <row r="320" spans="1:21" ht="19.5" x14ac:dyDescent="0.3">
      <c r="A320" s="128"/>
      <c r="B320" s="40"/>
      <c r="C320" s="129" t="s">
        <v>18</v>
      </c>
      <c r="D320" s="1388" t="s">
        <v>19</v>
      </c>
      <c r="E320" s="40"/>
      <c r="F320" s="40"/>
      <c r="G320" s="42"/>
      <c r="H320" s="131" t="s">
        <v>14</v>
      </c>
      <c r="I320" s="44"/>
      <c r="J320" s="44"/>
      <c r="K320" s="45"/>
      <c r="L320" s="1389">
        <f ca="1">L321+L322</f>
        <v>0</v>
      </c>
      <c r="M320" s="1390">
        <f ca="1">M321+M322</f>
        <v>0</v>
      </c>
      <c r="N320" s="1390">
        <f ca="1">N321+N322</f>
        <v>0</v>
      </c>
      <c r="O320" s="1390">
        <f ca="1">IF(L320&gt;0,N320*100/L320,0)</f>
        <v>0</v>
      </c>
      <c r="P320" s="1390">
        <f ca="1">IF(M320&gt;0,N320*100/M320,0)</f>
        <v>0</v>
      </c>
      <c r="Q320" s="1390">
        <f>Q321+Q322</f>
        <v>0</v>
      </c>
      <c r="R320" s="1390">
        <f>R321+R322</f>
        <v>0</v>
      </c>
      <c r="S320" s="1390">
        <f>S321+S322</f>
        <v>0</v>
      </c>
      <c r="T320" s="1390">
        <f>IF(Q320&gt;0,S320*100/Q320,0)</f>
        <v>0</v>
      </c>
      <c r="U320" s="1390">
        <f>IF(R320&gt;0,S320*100/R320,0)</f>
        <v>0</v>
      </c>
    </row>
    <row r="321" spans="1:21" ht="18.75" x14ac:dyDescent="0.25">
      <c r="A321" s="128"/>
      <c r="B321" s="40"/>
      <c r="C321" s="40"/>
      <c r="D321" s="40"/>
      <c r="E321" s="156" t="s">
        <v>20</v>
      </c>
      <c r="F321" s="40"/>
      <c r="G321" s="42"/>
      <c r="H321" s="157" t="s">
        <v>14</v>
      </c>
      <c r="I321" s="44"/>
      <c r="J321" s="44"/>
      <c r="K321" s="45"/>
      <c r="L321" s="1358">
        <f>L324+L327</f>
        <v>0</v>
      </c>
      <c r="M321" s="83">
        <f>M324+M327</f>
        <v>0</v>
      </c>
      <c r="N321" s="83">
        <f>N324+N327</f>
        <v>0</v>
      </c>
      <c r="O321" s="83">
        <f>IF(L321&gt;0,N321*100/L321,0)</f>
        <v>0</v>
      </c>
      <c r="P321" s="83">
        <f>IF(M321&gt;0,N321*100/M321,0)</f>
        <v>0</v>
      </c>
      <c r="Q321" s="83">
        <f>Q324+Q327</f>
        <v>0</v>
      </c>
      <c r="R321" s="83">
        <f>R324+R327</f>
        <v>0</v>
      </c>
      <c r="S321" s="83">
        <f>S324+S327</f>
        <v>0</v>
      </c>
      <c r="T321" s="83">
        <f>IF(Q321&gt;0,S321*100/Q321,0)</f>
        <v>0</v>
      </c>
      <c r="U321" s="83">
        <f>IF(R321&gt;0,S321*100/R321,0)</f>
        <v>0</v>
      </c>
    </row>
    <row r="322" spans="1:21" ht="18.75" x14ac:dyDescent="0.25">
      <c r="A322" s="128"/>
      <c r="B322" s="40"/>
      <c r="C322" s="40"/>
      <c r="D322" s="40"/>
      <c r="E322" s="47" t="s">
        <v>21</v>
      </c>
      <c r="F322" s="40"/>
      <c r="G322" s="42"/>
      <c r="H322" s="133" t="s">
        <v>14</v>
      </c>
      <c r="I322" s="44"/>
      <c r="J322" s="44"/>
      <c r="K322" s="45"/>
      <c r="L322" s="1356">
        <f ca="1">L325+L328</f>
        <v>0</v>
      </c>
      <c r="M322" s="224">
        <f ca="1">M325+M328</f>
        <v>0</v>
      </c>
      <c r="N322" s="224">
        <f ca="1">N325+N328</f>
        <v>0</v>
      </c>
      <c r="O322" s="224">
        <f ca="1">IF(L322&gt;0,N322*100/L322,0)</f>
        <v>0</v>
      </c>
      <c r="P322" s="224">
        <f ca="1">IF(M322&gt;0,N322*100/M322,0)</f>
        <v>0</v>
      </c>
      <c r="Q322" s="224">
        <f>Q325+Q328</f>
        <v>0</v>
      </c>
      <c r="R322" s="224">
        <f>R325+R328</f>
        <v>0</v>
      </c>
      <c r="S322" s="224">
        <f>S325+S328</f>
        <v>0</v>
      </c>
      <c r="T322" s="224">
        <f>IF(Q322&gt;0,S322*100/Q322,0)</f>
        <v>0</v>
      </c>
      <c r="U322" s="224">
        <f>IF(R322&gt;0,S322*100/R322,0)</f>
        <v>0</v>
      </c>
    </row>
    <row r="323" spans="1:21" ht="18.75" x14ac:dyDescent="0.25">
      <c r="A323" s="128"/>
      <c r="B323" s="40"/>
      <c r="C323" s="40"/>
      <c r="D323" s="41" t="s">
        <v>22</v>
      </c>
      <c r="E323" s="40"/>
      <c r="F323" s="40"/>
      <c r="G323" s="42"/>
      <c r="H323" s="134" t="s">
        <v>14</v>
      </c>
      <c r="I323" s="135"/>
      <c r="J323" s="135"/>
      <c r="K323" s="136"/>
      <c r="L323" s="1356">
        <f ca="1">L324+L325</f>
        <v>0</v>
      </c>
      <c r="M323" s="224">
        <f ca="1">M324+M325</f>
        <v>0</v>
      </c>
      <c r="N323" s="224">
        <f ca="1">N324+N325</f>
        <v>0</v>
      </c>
      <c r="O323" s="224">
        <f ca="1">IF(L323&gt;0,N323*100/L323,0)</f>
        <v>0</v>
      </c>
      <c r="P323" s="224">
        <f ca="1">IF(M323&gt;0,N323*100/M323,0)</f>
        <v>0</v>
      </c>
      <c r="Q323" s="224">
        <f>Q324+Q325</f>
        <v>0</v>
      </c>
      <c r="R323" s="224">
        <f>R324+R325</f>
        <v>0</v>
      </c>
      <c r="S323" s="224">
        <f>S324+S325</f>
        <v>0</v>
      </c>
      <c r="T323" s="224">
        <f>IF(Q323&gt;0,S323*100/Q323,0)</f>
        <v>0</v>
      </c>
      <c r="U323" s="224">
        <f>IF(R323&gt;0,S323*100/R323,0)</f>
        <v>0</v>
      </c>
    </row>
    <row r="324" spans="1:21" ht="18.75" x14ac:dyDescent="0.25">
      <c r="A324" s="128"/>
      <c r="B324" s="40"/>
      <c r="C324" s="40"/>
      <c r="D324" s="40"/>
      <c r="E324" s="156" t="s">
        <v>36</v>
      </c>
      <c r="F324" s="40"/>
      <c r="G324" s="42"/>
      <c r="H324" s="159" t="s">
        <v>14</v>
      </c>
      <c r="I324" s="135"/>
      <c r="J324" s="135"/>
      <c r="K324" s="136"/>
      <c r="L324" s="1358">
        <v>0</v>
      </c>
      <c r="M324" s="83">
        <v>0</v>
      </c>
      <c r="N324" s="83">
        <v>0</v>
      </c>
      <c r="O324" s="83">
        <f>IF(L324&gt;0,N324*100/L324,0)</f>
        <v>0</v>
      </c>
      <c r="P324" s="83">
        <f>IF(M324&gt;0,N324*100/M324,0)</f>
        <v>0</v>
      </c>
      <c r="Q324" s="83">
        <v>0</v>
      </c>
      <c r="R324" s="83">
        <v>0</v>
      </c>
      <c r="S324" s="83">
        <v>0</v>
      </c>
      <c r="T324" s="83">
        <f>IF(Q324&gt;0,S324*100/Q324,0)</f>
        <v>0</v>
      </c>
      <c r="U324" s="83">
        <f>IF(R324&gt;0,S324*100/R324,0)</f>
        <v>0</v>
      </c>
    </row>
    <row r="325" spans="1:21" ht="18.75" x14ac:dyDescent="0.25">
      <c r="A325" s="128"/>
      <c r="B325" s="40"/>
      <c r="C325" s="40"/>
      <c r="D325" s="40"/>
      <c r="E325" s="47" t="s">
        <v>37</v>
      </c>
      <c r="F325" s="40"/>
      <c r="G325" s="42"/>
      <c r="H325" s="134" t="s">
        <v>14</v>
      </c>
      <c r="I325" s="135"/>
      <c r="J325" s="135"/>
      <c r="K325" s="136"/>
      <c r="L325" s="1356">
        <f ca="1">IFERROR(__xludf.DUMMYFUNCTION("IMPORTRANGE(""https://docs.google.com/spreadsheets/d/1-uDff_7J0KD5mKrp0Vvzr7lt3OU09vwQwhkpOPPYv2Y/edit?usp=sharing"",""งบพรบ!EI26"")"),0)</f>
        <v>0</v>
      </c>
      <c r="M325" s="224">
        <f ca="1">IFERROR(__xludf.DUMMYFUNCTION("IMPORTRANGE(""https://docs.google.com/spreadsheets/d/1-uDff_7J0KD5mKrp0Vvzr7lt3OU09vwQwhkpOPPYv2Y/edit?usp=sharing"",""งบพรบ!EN26"")"),0)</f>
        <v>0</v>
      </c>
      <c r="N325" s="224">
        <f ca="1">IFERROR(__xludf.DUMMYFUNCTION("IMPORTRANGE(""https://docs.google.com/spreadsheets/d/1-uDff_7J0KD5mKrp0Vvzr7lt3OU09vwQwhkpOPPYv2Y/edit?usp=sharing"",""งบพรบ!EP26"")"),0)</f>
        <v>0</v>
      </c>
      <c r="O325" s="224">
        <f ca="1">IF(L325&gt;0,N325*100/L325,0)</f>
        <v>0</v>
      </c>
      <c r="P325" s="224">
        <f ca="1">IF(M325&gt;0,N325*100/M325,0)</f>
        <v>0</v>
      </c>
      <c r="Q325" s="224">
        <v>0</v>
      </c>
      <c r="R325" s="224">
        <v>0</v>
      </c>
      <c r="S325" s="224">
        <v>0</v>
      </c>
      <c r="T325" s="224">
        <f>IF(Q325&gt;0,S325*100/Q325,0)</f>
        <v>0</v>
      </c>
      <c r="U325" s="224">
        <f>IF(R325&gt;0,S325*100/R325,0)</f>
        <v>0</v>
      </c>
    </row>
    <row r="326" spans="1:21" ht="18.75" x14ac:dyDescent="0.25">
      <c r="A326" s="128"/>
      <c r="B326" s="40"/>
      <c r="C326" s="40"/>
      <c r="D326" s="41" t="s">
        <v>23</v>
      </c>
      <c r="E326" s="40"/>
      <c r="F326" s="40"/>
      <c r="G326" s="42"/>
      <c r="H326" s="137" t="s">
        <v>14</v>
      </c>
      <c r="I326" s="135"/>
      <c r="J326" s="135"/>
      <c r="K326" s="136"/>
      <c r="L326" s="1356">
        <f ca="1">L327+L328</f>
        <v>0</v>
      </c>
      <c r="M326" s="224">
        <f ca="1">M327+M328</f>
        <v>0</v>
      </c>
      <c r="N326" s="224">
        <f ca="1">N327+N328</f>
        <v>0</v>
      </c>
      <c r="O326" s="224">
        <f ca="1">IF(L326&gt;0,N326*100/L326,0)</f>
        <v>0</v>
      </c>
      <c r="P326" s="224">
        <f ca="1">IF(M326&gt;0,N326*100/M326,0)</f>
        <v>0</v>
      </c>
      <c r="Q326" s="224">
        <f>Q327+Q328</f>
        <v>0</v>
      </c>
      <c r="R326" s="224">
        <f>R327+R328</f>
        <v>0</v>
      </c>
      <c r="S326" s="224">
        <f>S327+S328</f>
        <v>0</v>
      </c>
      <c r="T326" s="224">
        <f>IF(Q326&gt;0,S326*100/Q326,0)</f>
        <v>0</v>
      </c>
      <c r="U326" s="224">
        <f>IF(R326&gt;0,S326*100/R326,0)</f>
        <v>0</v>
      </c>
    </row>
    <row r="327" spans="1:21" ht="18.75" x14ac:dyDescent="0.25">
      <c r="A327" s="128"/>
      <c r="B327" s="40"/>
      <c r="C327" s="40"/>
      <c r="D327" s="40"/>
      <c r="E327" s="156" t="s">
        <v>20</v>
      </c>
      <c r="F327" s="40"/>
      <c r="G327" s="42"/>
      <c r="H327" s="159" t="s">
        <v>14</v>
      </c>
      <c r="I327" s="135"/>
      <c r="J327" s="135"/>
      <c r="K327" s="136"/>
      <c r="L327" s="1358">
        <v>0</v>
      </c>
      <c r="M327" s="83">
        <v>0</v>
      </c>
      <c r="N327" s="83">
        <v>0</v>
      </c>
      <c r="O327" s="83">
        <f>IF(L327&gt;0,N327*100/L327,0)</f>
        <v>0</v>
      </c>
      <c r="P327" s="83">
        <f>IF(M327&gt;0,N327*100/M327,0)</f>
        <v>0</v>
      </c>
      <c r="Q327" s="83">
        <v>0</v>
      </c>
      <c r="R327" s="83">
        <v>0</v>
      </c>
      <c r="S327" s="83">
        <v>0</v>
      </c>
      <c r="T327" s="83">
        <f>IF(Q327&gt;0,S327*100/Q327,0)</f>
        <v>0</v>
      </c>
      <c r="U327" s="83">
        <f>IF(R327&gt;0,S327*100/R327,0)</f>
        <v>0</v>
      </c>
    </row>
    <row r="328" spans="1:21" ht="18.75" x14ac:dyDescent="0.25">
      <c r="A328" s="128"/>
      <c r="B328" s="40"/>
      <c r="C328" s="40"/>
      <c r="D328" s="40"/>
      <c r="E328" s="47" t="s">
        <v>21</v>
      </c>
      <c r="F328" s="40"/>
      <c r="G328" s="42"/>
      <c r="H328" s="137" t="s">
        <v>14</v>
      </c>
      <c r="I328" s="135"/>
      <c r="J328" s="135"/>
      <c r="K328" s="136"/>
      <c r="L328" s="1356">
        <f ca="1">IFERROR(__xludf.DUMMYFUNCTION("IMPORTRANGE(""https://docs.google.com/spreadsheets/d/1-uDff_7J0KD5mKrp0Vvzr7lt3OU09vwQwhkpOPPYv2Y/edit?usp=sharing"",""งบพรบ!EL26"")"),0)</f>
        <v>0</v>
      </c>
      <c r="M328" s="224">
        <f ca="1">IFERROR(__xludf.DUMMYFUNCTION("IMPORTRANGE(""https://docs.google.com/spreadsheets/d/1-uDff_7J0KD5mKrp0Vvzr7lt3OU09vwQwhkpOPPYv2Y/edit?usp=sharing"",""งบพรบ!EO26"")"),0)</f>
        <v>0</v>
      </c>
      <c r="N328" s="224">
        <f ca="1">IFERROR(__xludf.DUMMYFUNCTION("IMPORTRANGE(""https://docs.google.com/spreadsheets/d/1-uDff_7J0KD5mKrp0Vvzr7lt3OU09vwQwhkpOPPYv2Y/edit?usp=sharing"",""งบพรบ!EQ26"")"),0)</f>
        <v>0</v>
      </c>
      <c r="O328" s="224">
        <f ca="1">IF(L328&gt;0,N328*100/L328,0)</f>
        <v>0</v>
      </c>
      <c r="P328" s="224">
        <f ca="1">IF(M328&gt;0,N328*100/M328,0)</f>
        <v>0</v>
      </c>
      <c r="Q328" s="224">
        <v>0</v>
      </c>
      <c r="R328" s="224">
        <v>0</v>
      </c>
      <c r="S328" s="224">
        <v>0</v>
      </c>
      <c r="T328" s="224">
        <f>IF(Q328&gt;0,S328*100/Q328,0)</f>
        <v>0</v>
      </c>
      <c r="U328" s="224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1391" t="s">
        <v>38</v>
      </c>
      <c r="E329" s="141"/>
      <c r="F329" s="141"/>
      <c r="G329" s="142"/>
      <c r="H329" s="143"/>
      <c r="I329" s="135"/>
      <c r="J329" s="44"/>
      <c r="K329" s="45"/>
      <c r="L329" s="1359"/>
      <c r="M329" s="45"/>
      <c r="N329" s="45"/>
      <c r="O329" s="136"/>
      <c r="P329" s="136"/>
      <c r="Q329" s="45"/>
      <c r="R329" s="45"/>
      <c r="S329" s="45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3" t="s">
        <v>133</v>
      </c>
      <c r="I330" s="184">
        <f ca="1">IFERROR(__xludf.DUMMYFUNCTION("IMPORTRANGE(""https://docs.google.com/spreadsheets/d/1eHaY18a8A9IcSdp1K8H6x8fbOy06t2VsZHhMHf-1x7Y/edit?usp=sharing"",""แผน!EJ26"")"),0)</f>
        <v>0</v>
      </c>
      <c r="J330" s="1395">
        <v>0</v>
      </c>
      <c r="K330" s="224">
        <f ca="1">IF(I330&gt;0,J330*100/I330,0)</f>
        <v>0</v>
      </c>
      <c r="L330" s="1359"/>
      <c r="M330" s="45"/>
      <c r="N330" s="45"/>
      <c r="O330" s="136"/>
      <c r="P330" s="136"/>
      <c r="Q330" s="45"/>
      <c r="R330" s="45"/>
      <c r="S330" s="45"/>
      <c r="T330" s="136"/>
      <c r="U330" s="136"/>
    </row>
    <row r="331" spans="1:21" ht="19.5" x14ac:dyDescent="0.3">
      <c r="A331" s="285" t="s">
        <v>135</v>
      </c>
      <c r="B331" s="286"/>
      <c r="C331" s="286"/>
      <c r="D331" s="287"/>
      <c r="E331" s="286"/>
      <c r="F331" s="286"/>
      <c r="G331" s="286"/>
      <c r="H331" s="287"/>
      <c r="I331" s="289"/>
      <c r="J331" s="289"/>
      <c r="K331" s="290"/>
      <c r="L331" s="1500"/>
      <c r="M331" s="290"/>
      <c r="N331" s="290"/>
      <c r="O331" s="290"/>
      <c r="P331" s="290"/>
      <c r="Q331" s="290"/>
      <c r="R331" s="290"/>
      <c r="S331" s="290"/>
      <c r="T331" s="290"/>
      <c r="U331" s="290"/>
    </row>
    <row r="332" spans="1:21" ht="19.5" x14ac:dyDescent="0.3">
      <c r="A332" s="291"/>
      <c r="B332" s="292" t="s">
        <v>136</v>
      </c>
      <c r="C332" s="301"/>
      <c r="D332" s="293"/>
      <c r="E332" s="293"/>
      <c r="F332" s="293"/>
      <c r="G332" s="294"/>
      <c r="H332" s="295" t="s">
        <v>35</v>
      </c>
      <c r="I332" s="1512">
        <f ca="1">I344</f>
        <v>1340</v>
      </c>
      <c r="J332" s="1513">
        <f ca="1">J344+J347+J348+J349+J353</f>
        <v>8611</v>
      </c>
      <c r="K332" s="1514">
        <f ca="1">IF(I332&gt;0,J332*100/I332,0)</f>
        <v>642.61194029850742</v>
      </c>
      <c r="L332" s="1503"/>
      <c r="M332" s="298"/>
      <c r="N332" s="298"/>
      <c r="O332" s="298"/>
      <c r="P332" s="298"/>
      <c r="Q332" s="298"/>
      <c r="R332" s="298"/>
      <c r="S332" s="298"/>
      <c r="T332" s="298"/>
      <c r="U332" s="298"/>
    </row>
    <row r="333" spans="1:21" ht="19.5" x14ac:dyDescent="0.3">
      <c r="A333" s="128"/>
      <c r="B333" s="40"/>
      <c r="C333" s="129" t="s">
        <v>18</v>
      </c>
      <c r="D333" s="1388" t="s">
        <v>19</v>
      </c>
      <c r="E333" s="40"/>
      <c r="F333" s="40"/>
      <c r="G333" s="42"/>
      <c r="H333" s="131" t="s">
        <v>14</v>
      </c>
      <c r="I333" s="44"/>
      <c r="J333" s="44"/>
      <c r="K333" s="45"/>
      <c r="L333" s="1389">
        <f ca="1">L334+L335</f>
        <v>187000</v>
      </c>
      <c r="M333" s="1390">
        <f ca="1">M334+M335</f>
        <v>115000</v>
      </c>
      <c r="N333" s="1390">
        <f ca="1">N334+N335</f>
        <v>87770</v>
      </c>
      <c r="O333" s="1390">
        <f ca="1">IF(L333&gt;0,N333*100/L333,0)</f>
        <v>46.935828877005349</v>
      </c>
      <c r="P333" s="1390">
        <f ca="1">IF(M333&gt;0,N333*100/M333,0)</f>
        <v>76.321739130434779</v>
      </c>
      <c r="Q333" s="1390">
        <f>Q334+Q335</f>
        <v>0</v>
      </c>
      <c r="R333" s="1390">
        <f>R334+R335</f>
        <v>0</v>
      </c>
      <c r="S333" s="1390">
        <f>S334+S335</f>
        <v>0</v>
      </c>
      <c r="T333" s="1390">
        <f>IF(Q333&gt;0,S333*100/Q333,0)</f>
        <v>0</v>
      </c>
      <c r="U333" s="1390">
        <f>IF(R333&gt;0,S333*100/R333,0)</f>
        <v>0</v>
      </c>
    </row>
    <row r="334" spans="1:21" ht="18.75" x14ac:dyDescent="0.25">
      <c r="A334" s="128"/>
      <c r="B334" s="40"/>
      <c r="C334" s="40"/>
      <c r="D334" s="40"/>
      <c r="E334" s="156" t="s">
        <v>20</v>
      </c>
      <c r="F334" s="40"/>
      <c r="G334" s="42"/>
      <c r="H334" s="157" t="s">
        <v>14</v>
      </c>
      <c r="I334" s="44"/>
      <c r="J334" s="44"/>
      <c r="K334" s="45"/>
      <c r="L334" s="1358">
        <f>L337+L340</f>
        <v>0</v>
      </c>
      <c r="M334" s="83">
        <f>M337+M340</f>
        <v>0</v>
      </c>
      <c r="N334" s="83">
        <f>N337+N340</f>
        <v>0</v>
      </c>
      <c r="O334" s="83">
        <f>IF(L334&gt;0,N334*100/L334,0)</f>
        <v>0</v>
      </c>
      <c r="P334" s="83">
        <f>IF(M334&gt;0,N334*100/M334,0)</f>
        <v>0</v>
      </c>
      <c r="Q334" s="83">
        <f>Q337+Q340</f>
        <v>0</v>
      </c>
      <c r="R334" s="83">
        <f>R337+R340</f>
        <v>0</v>
      </c>
      <c r="S334" s="83">
        <f>S337+S340</f>
        <v>0</v>
      </c>
      <c r="T334" s="83">
        <f>IF(Q334&gt;0,S334*100/Q334,0)</f>
        <v>0</v>
      </c>
      <c r="U334" s="83">
        <f>IF(R334&gt;0,S334*100/R334,0)</f>
        <v>0</v>
      </c>
    </row>
    <row r="335" spans="1:21" ht="18.75" x14ac:dyDescent="0.25">
      <c r="A335" s="128"/>
      <c r="B335" s="40"/>
      <c r="C335" s="40"/>
      <c r="D335" s="40"/>
      <c r="E335" s="47" t="s">
        <v>21</v>
      </c>
      <c r="F335" s="40"/>
      <c r="G335" s="42"/>
      <c r="H335" s="133" t="s">
        <v>14</v>
      </c>
      <c r="I335" s="44"/>
      <c r="J335" s="44"/>
      <c r="K335" s="45"/>
      <c r="L335" s="1356">
        <f ca="1">L338+L341</f>
        <v>187000</v>
      </c>
      <c r="M335" s="224">
        <f ca="1">M338+M341</f>
        <v>115000</v>
      </c>
      <c r="N335" s="224">
        <f ca="1">N338+N341</f>
        <v>87770</v>
      </c>
      <c r="O335" s="224">
        <f ca="1">IF(L335&gt;0,N335*100/L335,0)</f>
        <v>46.935828877005349</v>
      </c>
      <c r="P335" s="224">
        <f ca="1">IF(M335&gt;0,N335*100/M335,0)</f>
        <v>76.321739130434779</v>
      </c>
      <c r="Q335" s="224">
        <f>Q338+Q341</f>
        <v>0</v>
      </c>
      <c r="R335" s="224">
        <f>R338+R341</f>
        <v>0</v>
      </c>
      <c r="S335" s="224">
        <f>S338+S341</f>
        <v>0</v>
      </c>
      <c r="T335" s="224">
        <f>IF(Q335&gt;0,S335*100/Q335,0)</f>
        <v>0</v>
      </c>
      <c r="U335" s="224">
        <f>IF(R335&gt;0,S335*100/R335,0)</f>
        <v>0</v>
      </c>
    </row>
    <row r="336" spans="1:21" ht="18.75" x14ac:dyDescent="0.25">
      <c r="A336" s="128"/>
      <c r="B336" s="40"/>
      <c r="C336" s="40"/>
      <c r="D336" s="41" t="s">
        <v>22</v>
      </c>
      <c r="E336" s="40"/>
      <c r="F336" s="40"/>
      <c r="G336" s="42"/>
      <c r="H336" s="134" t="s">
        <v>14</v>
      </c>
      <c r="I336" s="135"/>
      <c r="J336" s="135"/>
      <c r="K336" s="136"/>
      <c r="L336" s="1356">
        <f ca="1">L337+L338</f>
        <v>187000</v>
      </c>
      <c r="M336" s="224">
        <f ca="1">M337+M338</f>
        <v>115000</v>
      </c>
      <c r="N336" s="224">
        <f ca="1">N337+N338</f>
        <v>87770</v>
      </c>
      <c r="O336" s="224">
        <f ca="1">IF(L336&gt;0,N336*100/L336,0)</f>
        <v>46.935828877005349</v>
      </c>
      <c r="P336" s="224">
        <f ca="1">IF(M336&gt;0,N336*100/M336,0)</f>
        <v>76.321739130434779</v>
      </c>
      <c r="Q336" s="224">
        <f>Q337+Q338</f>
        <v>0</v>
      </c>
      <c r="R336" s="224">
        <f>R337+R338</f>
        <v>0</v>
      </c>
      <c r="S336" s="224">
        <f>S337+S338</f>
        <v>0</v>
      </c>
      <c r="T336" s="224">
        <f>IF(Q336&gt;0,S336*100/Q336,0)</f>
        <v>0</v>
      </c>
      <c r="U336" s="224">
        <f>IF(R336&gt;0,S336*100/R336,0)</f>
        <v>0</v>
      </c>
    </row>
    <row r="337" spans="1:21" ht="18.75" x14ac:dyDescent="0.25">
      <c r="A337" s="128"/>
      <c r="B337" s="40"/>
      <c r="C337" s="40"/>
      <c r="D337" s="40"/>
      <c r="E337" s="156" t="s">
        <v>36</v>
      </c>
      <c r="F337" s="40"/>
      <c r="G337" s="42"/>
      <c r="H337" s="159" t="s">
        <v>14</v>
      </c>
      <c r="I337" s="135"/>
      <c r="J337" s="135"/>
      <c r="K337" s="136"/>
      <c r="L337" s="1358">
        <v>0</v>
      </c>
      <c r="M337" s="83">
        <v>0</v>
      </c>
      <c r="N337" s="83">
        <v>0</v>
      </c>
      <c r="O337" s="83">
        <f>IF(L337&gt;0,N337*100/L337,0)</f>
        <v>0</v>
      </c>
      <c r="P337" s="83">
        <f>IF(M337&gt;0,N337*100/M337,0)</f>
        <v>0</v>
      </c>
      <c r="Q337" s="83">
        <v>0</v>
      </c>
      <c r="R337" s="83">
        <v>0</v>
      </c>
      <c r="S337" s="83">
        <v>0</v>
      </c>
      <c r="T337" s="83">
        <f>IF(Q337&gt;0,S337*100/Q337,0)</f>
        <v>0</v>
      </c>
      <c r="U337" s="83">
        <f>IF(R337&gt;0,S337*100/R337,0)</f>
        <v>0</v>
      </c>
    </row>
    <row r="338" spans="1:21" ht="18.75" x14ac:dyDescent="0.25">
      <c r="A338" s="128"/>
      <c r="B338" s="40"/>
      <c r="C338" s="40"/>
      <c r="D338" s="40"/>
      <c r="E338" s="47" t="s">
        <v>37</v>
      </c>
      <c r="F338" s="40"/>
      <c r="G338" s="42"/>
      <c r="H338" s="134" t="s">
        <v>14</v>
      </c>
      <c r="I338" s="135"/>
      <c r="J338" s="135"/>
      <c r="K338" s="136"/>
      <c r="L338" s="1356">
        <f ca="1">IFERROR(__xludf.DUMMYFUNCTION("IMPORTRANGE(""https://docs.google.com/spreadsheets/d/1-uDff_7J0KD5mKrp0Vvzr7lt3OU09vwQwhkpOPPYv2Y/edit?usp=sharing"",""งบพรบ!ES26"")"),187000)</f>
        <v>187000</v>
      </c>
      <c r="M338" s="224">
        <f ca="1">IFERROR(__xludf.DUMMYFUNCTION("IMPORTRANGE(""https://docs.google.com/spreadsheets/d/1-uDff_7J0KD5mKrp0Vvzr7lt3OU09vwQwhkpOPPYv2Y/edit?usp=sharing"",""งบพรบ!EX26"")"),115000)</f>
        <v>115000</v>
      </c>
      <c r="N338" s="224">
        <f ca="1">IFERROR(__xludf.DUMMYFUNCTION("IMPORTRANGE(""https://docs.google.com/spreadsheets/d/1-uDff_7J0KD5mKrp0Vvzr7lt3OU09vwQwhkpOPPYv2Y/edit?usp=sharing"",""งบพรบ!EZ26"")"),87770)</f>
        <v>87770</v>
      </c>
      <c r="O338" s="224">
        <f ca="1">IF(L338&gt;0,N338*100/L338,0)</f>
        <v>46.935828877005349</v>
      </c>
      <c r="P338" s="224">
        <f ca="1">IF(M338&gt;0,N338*100/M338,0)</f>
        <v>76.321739130434779</v>
      </c>
      <c r="Q338" s="224">
        <v>0</v>
      </c>
      <c r="R338" s="224">
        <v>0</v>
      </c>
      <c r="S338" s="224">
        <v>0</v>
      </c>
      <c r="T338" s="224">
        <f>IF(Q338&gt;0,S338*100/Q338,0)</f>
        <v>0</v>
      </c>
      <c r="U338" s="224">
        <f>IF(R338&gt;0,S338*100/R338,0)</f>
        <v>0</v>
      </c>
    </row>
    <row r="339" spans="1:21" ht="18.75" x14ac:dyDescent="0.25">
      <c r="A339" s="128"/>
      <c r="B339" s="40"/>
      <c r="C339" s="40"/>
      <c r="D339" s="41" t="s">
        <v>23</v>
      </c>
      <c r="E339" s="40"/>
      <c r="F339" s="40"/>
      <c r="G339" s="42"/>
      <c r="H339" s="137" t="s">
        <v>14</v>
      </c>
      <c r="I339" s="135"/>
      <c r="J339" s="135"/>
      <c r="K339" s="136"/>
      <c r="L339" s="1356">
        <f ca="1">L340+L341</f>
        <v>0</v>
      </c>
      <c r="M339" s="224">
        <f ca="1">M340+M341</f>
        <v>0</v>
      </c>
      <c r="N339" s="224">
        <f ca="1">N340+N341</f>
        <v>0</v>
      </c>
      <c r="O339" s="224">
        <f ca="1">IF(L339&gt;0,N339*100/L339,0)</f>
        <v>0</v>
      </c>
      <c r="P339" s="224">
        <f ca="1">IF(M339&gt;0,N339*100/M339,0)</f>
        <v>0</v>
      </c>
      <c r="Q339" s="224">
        <f>Q340+Q341</f>
        <v>0</v>
      </c>
      <c r="R339" s="224">
        <f>R340+R341</f>
        <v>0</v>
      </c>
      <c r="S339" s="224">
        <f>S340+S341</f>
        <v>0</v>
      </c>
      <c r="T339" s="224">
        <f>IF(Q339&gt;0,S339*100/Q339,0)</f>
        <v>0</v>
      </c>
      <c r="U339" s="224">
        <f>IF(R339&gt;0,S339*100/R339,0)</f>
        <v>0</v>
      </c>
    </row>
    <row r="340" spans="1:21" ht="18.75" x14ac:dyDescent="0.25">
      <c r="A340" s="128"/>
      <c r="B340" s="40"/>
      <c r="C340" s="40"/>
      <c r="D340" s="40"/>
      <c r="E340" s="156" t="s">
        <v>20</v>
      </c>
      <c r="F340" s="40"/>
      <c r="G340" s="42"/>
      <c r="H340" s="159" t="s">
        <v>14</v>
      </c>
      <c r="I340" s="135"/>
      <c r="J340" s="135"/>
      <c r="K340" s="136"/>
      <c r="L340" s="1358">
        <v>0</v>
      </c>
      <c r="M340" s="83">
        <v>0</v>
      </c>
      <c r="N340" s="83">
        <v>0</v>
      </c>
      <c r="O340" s="83">
        <f>IF(L340&gt;0,N340*100/L340,0)</f>
        <v>0</v>
      </c>
      <c r="P340" s="83">
        <f>IF(M340&gt;0,N340*100/M340,0)</f>
        <v>0</v>
      </c>
      <c r="Q340" s="83">
        <v>0</v>
      </c>
      <c r="R340" s="83">
        <v>0</v>
      </c>
      <c r="S340" s="83">
        <v>0</v>
      </c>
      <c r="T340" s="83">
        <f>IF(Q340&gt;0,S340*100/Q340,0)</f>
        <v>0</v>
      </c>
      <c r="U340" s="83">
        <f>IF(R340&gt;0,S340*100/R340,0)</f>
        <v>0</v>
      </c>
    </row>
    <row r="341" spans="1:21" ht="18.75" x14ac:dyDescent="0.25">
      <c r="A341" s="128"/>
      <c r="B341" s="40"/>
      <c r="C341" s="40"/>
      <c r="D341" s="40"/>
      <c r="E341" s="47" t="s">
        <v>21</v>
      </c>
      <c r="F341" s="40"/>
      <c r="G341" s="42"/>
      <c r="H341" s="137" t="s">
        <v>14</v>
      </c>
      <c r="I341" s="135"/>
      <c r="J341" s="135"/>
      <c r="K341" s="136"/>
      <c r="L341" s="1356">
        <f ca="1">IFERROR(__xludf.DUMMYFUNCTION("IMPORTRANGE(""https://docs.google.com/spreadsheets/d/1-uDff_7J0KD5mKrp0Vvzr7lt3OU09vwQwhkpOPPYv2Y/edit?usp=sharing"",""งบพรบ!EV26"")"),0)</f>
        <v>0</v>
      </c>
      <c r="M341" s="224">
        <f ca="1">IFERROR(__xludf.DUMMYFUNCTION("IMPORTRANGE(""https://docs.google.com/spreadsheets/d/1-uDff_7J0KD5mKrp0Vvzr7lt3OU09vwQwhkpOPPYv2Y/edit?usp=sharing"",""งบพรบ!EY26"")"),0)</f>
        <v>0</v>
      </c>
      <c r="N341" s="224">
        <f ca="1">IFERROR(__xludf.DUMMYFUNCTION("IMPORTRANGE(""https://docs.google.com/spreadsheets/d/1-uDff_7J0KD5mKrp0Vvzr7lt3OU09vwQwhkpOPPYv2Y/edit?usp=sharing"",""งบพรบ!FA26"")"),0)</f>
        <v>0</v>
      </c>
      <c r="O341" s="224">
        <f ca="1">IF(L341&gt;0,N341*100/L341,0)</f>
        <v>0</v>
      </c>
      <c r="P341" s="224">
        <f ca="1">IF(M341&gt;0,N341*100/M341,0)</f>
        <v>0</v>
      </c>
      <c r="Q341" s="224">
        <v>0</v>
      </c>
      <c r="R341" s="224">
        <v>0</v>
      </c>
      <c r="S341" s="224">
        <v>0</v>
      </c>
      <c r="T341" s="224">
        <f>IF(Q341&gt;0,S341*100/Q341,0)</f>
        <v>0</v>
      </c>
      <c r="U341" s="224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02" t="s">
        <v>38</v>
      </c>
      <c r="E342" s="141"/>
      <c r="F342" s="141"/>
      <c r="G342" s="142"/>
      <c r="H342" s="42"/>
      <c r="I342" s="44"/>
      <c r="J342" s="44"/>
      <c r="K342" s="45"/>
      <c r="L342" s="1359"/>
      <c r="M342" s="45"/>
      <c r="N342" s="45"/>
      <c r="O342" s="136"/>
      <c r="P342" s="136"/>
      <c r="Q342" s="45"/>
      <c r="R342" s="45"/>
      <c r="S342" s="45"/>
      <c r="T342" s="136"/>
      <c r="U342" s="136"/>
    </row>
    <row r="343" spans="1:21" ht="19.5" x14ac:dyDescent="0.3">
      <c r="A343" s="1515"/>
      <c r="B343" s="1516"/>
      <c r="C343" s="1517"/>
      <c r="D343" s="1516"/>
      <c r="E343" s="1518" t="s">
        <v>137</v>
      </c>
      <c r="F343" s="1516"/>
      <c r="G343" s="1519"/>
      <c r="H343" s="1520" t="s">
        <v>35</v>
      </c>
      <c r="I343" s="1521">
        <v>0</v>
      </c>
      <c r="J343" s="1521">
        <f ca="1">J344+J347+J348+J349</f>
        <v>3789</v>
      </c>
      <c r="K343" s="1522">
        <v>0</v>
      </c>
      <c r="L343" s="1416"/>
      <c r="M343" s="219"/>
      <c r="N343" s="219"/>
      <c r="O343" s="219"/>
      <c r="P343" s="219"/>
      <c r="Q343" s="219"/>
      <c r="R343" s="219"/>
      <c r="S343" s="219"/>
      <c r="T343" s="219"/>
      <c r="U343" s="219"/>
    </row>
    <row r="344" spans="1:21" ht="18.75" x14ac:dyDescent="0.25">
      <c r="A344" s="208"/>
      <c r="B344" s="40"/>
      <c r="C344" s="158"/>
      <c r="D344" s="145"/>
      <c r="E344" s="149" t="s">
        <v>138</v>
      </c>
      <c r="F344" s="40"/>
      <c r="G344" s="42"/>
      <c r="H344" s="210" t="s">
        <v>35</v>
      </c>
      <c r="I344" s="184">
        <f ca="1">IFERROR(__xludf.DUMMYFUNCTION("IMPORTRANGE(""https://docs.google.com/spreadsheets/d/1eHaY18a8A9IcSdp1K8H6x8fbOy06t2VsZHhMHf-1x7Y/edit?usp=sharing"",""แผน!EK26"")"),1340)</f>
        <v>1340</v>
      </c>
      <c r="J344" s="184">
        <f ca="1">IFERROR(__xludf.DUMMYFUNCTION("IMPORTRANGE(""https://docs.google.com/spreadsheets/d/1awYsYK3VOup2i3Pq_Yjnu8DRu_mYwSBnCR2QPthd0rU/edit?usp=sharing"",""ศูนย์ยกเว้นโฉนด!D26"")"),3658)</f>
        <v>3658</v>
      </c>
      <c r="K344" s="224">
        <f ca="1">IF(I344&gt;0,J344*100/I344,0)</f>
        <v>272.9850746268657</v>
      </c>
      <c r="L344" s="1359"/>
      <c r="M344" s="45"/>
      <c r="N344" s="45"/>
      <c r="O344" s="45"/>
      <c r="P344" s="45"/>
      <c r="Q344" s="45"/>
      <c r="R344" s="45"/>
      <c r="S344" s="45"/>
      <c r="T344" s="45"/>
      <c r="U344" s="45"/>
    </row>
    <row r="345" spans="1:21" ht="18.75" x14ac:dyDescent="0.25">
      <c r="A345" s="208"/>
      <c r="B345" s="40"/>
      <c r="C345" s="158"/>
      <c r="D345" s="145"/>
      <c r="E345" s="149" t="s">
        <v>139</v>
      </c>
      <c r="F345" s="40"/>
      <c r="G345" s="42"/>
      <c r="H345" s="180"/>
      <c r="I345" s="44"/>
      <c r="J345" s="44"/>
      <c r="K345" s="45"/>
      <c r="L345" s="1359"/>
      <c r="M345" s="45"/>
      <c r="N345" s="45"/>
      <c r="O345" s="45"/>
      <c r="P345" s="45"/>
      <c r="Q345" s="45"/>
      <c r="R345" s="45"/>
      <c r="S345" s="45"/>
      <c r="T345" s="45"/>
      <c r="U345" s="45"/>
    </row>
    <row r="346" spans="1:21" ht="18.75" x14ac:dyDescent="0.25">
      <c r="A346" s="208"/>
      <c r="B346" s="40"/>
      <c r="C346" s="158"/>
      <c r="D346" s="145"/>
      <c r="E346" s="145"/>
      <c r="F346" s="149" t="s">
        <v>140</v>
      </c>
      <c r="G346" s="42"/>
      <c r="H346" s="175" t="s">
        <v>141</v>
      </c>
      <c r="I346" s="184">
        <f ca="1">IFERROR(__xludf.DUMMYFUNCTION("IMPORTRANGE(""https://docs.google.com/spreadsheets/d/1eHaY18a8A9IcSdp1K8H6x8fbOy06t2VsZHhMHf-1x7Y/edit?usp=sharing"",""แผน!EL26"")"),5)</f>
        <v>5</v>
      </c>
      <c r="J346" s="184">
        <f ca="1">IFERROR(__xludf.DUMMYFUNCTION("IMPORTRANGE(""https://docs.google.com/spreadsheets/d/1awYsYK3VOup2i3Pq_Yjnu8DRu_mYwSBnCR2QPthd0rU/edit?usp=sharing"",""ศูนย์รวม!E26"")"),3)</f>
        <v>3</v>
      </c>
      <c r="K346" s="224">
        <f ca="1">IF(I346&gt;0,J346*100/I346,0)</f>
        <v>60</v>
      </c>
      <c r="L346" s="1359"/>
      <c r="M346" s="45"/>
      <c r="N346" s="45"/>
      <c r="O346" s="45"/>
      <c r="P346" s="45"/>
      <c r="Q346" s="45"/>
      <c r="R346" s="45"/>
      <c r="S346" s="45"/>
      <c r="T346" s="45"/>
      <c r="U346" s="45"/>
    </row>
    <row r="347" spans="1:21" ht="18.75" x14ac:dyDescent="0.25">
      <c r="A347" s="208"/>
      <c r="B347" s="40"/>
      <c r="C347" s="158"/>
      <c r="D347" s="145"/>
      <c r="E347" s="145"/>
      <c r="F347" s="149" t="s">
        <v>142</v>
      </c>
      <c r="G347" s="42"/>
      <c r="H347" s="175" t="s">
        <v>35</v>
      </c>
      <c r="I347" s="44"/>
      <c r="J347" s="184">
        <f ca="1">IFERROR(__xludf.DUMMYFUNCTION("IMPORTRANGE(""https://docs.google.com/spreadsheets/d/1awYsYK3VOup2i3Pq_Yjnu8DRu_mYwSBnCR2QPthd0rU/edit?usp=sharing"",""ศูนย์ยกเว้นโฉนด!F26"")"),128)</f>
        <v>128</v>
      </c>
      <c r="K347" s="45"/>
      <c r="L347" s="1359"/>
      <c r="M347" s="45"/>
      <c r="N347" s="45"/>
      <c r="O347" s="45"/>
      <c r="P347" s="45"/>
      <c r="Q347" s="45"/>
      <c r="R347" s="45"/>
      <c r="S347" s="45"/>
      <c r="T347" s="45"/>
      <c r="U347" s="45"/>
    </row>
    <row r="348" spans="1:21" ht="18.75" x14ac:dyDescent="0.25">
      <c r="A348" s="208"/>
      <c r="B348" s="40"/>
      <c r="C348" s="158"/>
      <c r="D348" s="145"/>
      <c r="E348" s="149" t="s">
        <v>143</v>
      </c>
      <c r="F348" s="145"/>
      <c r="G348" s="42"/>
      <c r="H348" s="175" t="s">
        <v>35</v>
      </c>
      <c r="I348" s="44"/>
      <c r="J348" s="184">
        <f ca="1">IFERROR(__xludf.DUMMYFUNCTION("IMPORTRANGE(""https://docs.google.com/spreadsheets/d/1awYsYK3VOup2i3Pq_Yjnu8DRu_mYwSBnCR2QPthd0rU/edit?usp=sharing"",""ศูนย์ยกเว้นโฉนด!G26"")"),3)</f>
        <v>3</v>
      </c>
      <c r="K348" s="45"/>
      <c r="L348" s="1359"/>
      <c r="M348" s="45"/>
      <c r="N348" s="45"/>
      <c r="O348" s="45"/>
      <c r="P348" s="45"/>
      <c r="Q348" s="45"/>
      <c r="R348" s="45"/>
      <c r="S348" s="45"/>
      <c r="T348" s="45"/>
      <c r="U348" s="45"/>
    </row>
    <row r="349" spans="1:21" ht="18.75" x14ac:dyDescent="0.25">
      <c r="A349" s="208"/>
      <c r="B349" s="40"/>
      <c r="C349" s="158"/>
      <c r="D349" s="139"/>
      <c r="E349" s="149" t="s">
        <v>144</v>
      </c>
      <c r="F349" s="145"/>
      <c r="G349" s="42"/>
      <c r="H349" s="175" t="s">
        <v>35</v>
      </c>
      <c r="I349" s="44"/>
      <c r="J349" s="184">
        <f ca="1">IFERROR(__xludf.DUMMYFUNCTION("IMPORTRANGE(""https://docs.google.com/spreadsheets/d/1awYsYK3VOup2i3Pq_Yjnu8DRu_mYwSBnCR2QPthd0rU/edit?usp=sharing"",""ศูนย์ยกเว้นโฉนด!H26"")"),0)</f>
        <v>0</v>
      </c>
      <c r="K349" s="45"/>
      <c r="L349" s="1359"/>
      <c r="M349" s="45"/>
      <c r="N349" s="45"/>
      <c r="O349" s="45"/>
      <c r="P349" s="45"/>
      <c r="Q349" s="45"/>
      <c r="R349" s="45"/>
      <c r="S349" s="45"/>
      <c r="T349" s="45"/>
      <c r="U349" s="45"/>
    </row>
    <row r="350" spans="1:21" ht="16.5" x14ac:dyDescent="0.25">
      <c r="A350" s="158"/>
      <c r="B350" s="40"/>
      <c r="C350" s="158"/>
      <c r="D350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0"/>
      <c r="F350" s="40"/>
      <c r="G350" s="42"/>
      <c r="H350" s="180"/>
      <c r="I350" s="44"/>
      <c r="J350" s="44"/>
      <c r="K350" s="45"/>
      <c r="L350" s="1359"/>
      <c r="M350" s="45"/>
      <c r="N350" s="45"/>
      <c r="O350" s="45"/>
      <c r="P350" s="45"/>
      <c r="Q350" s="45"/>
      <c r="R350" s="45"/>
      <c r="S350" s="45"/>
      <c r="T350" s="45"/>
      <c r="U350" s="45"/>
    </row>
    <row r="351" spans="1:21" ht="19.5" x14ac:dyDescent="0.3">
      <c r="A351" s="211"/>
      <c r="B351" s="214"/>
      <c r="C351" s="212"/>
      <c r="D351" s="214"/>
      <c r="E351" s="1523" t="s">
        <v>145</v>
      </c>
      <c r="F351" s="214"/>
      <c r="G351" s="215"/>
      <c r="H351" s="216" t="s">
        <v>35</v>
      </c>
      <c r="I351" s="303">
        <v>0</v>
      </c>
      <c r="J351" s="303">
        <f ca="1">J352+J353</f>
        <v>6719</v>
      </c>
      <c r="K351" s="304">
        <v>0</v>
      </c>
      <c r="L351" s="1416"/>
      <c r="M351" s="219"/>
      <c r="N351" s="219"/>
      <c r="O351" s="219"/>
      <c r="P351" s="219"/>
      <c r="Q351" s="219"/>
      <c r="R351" s="219"/>
      <c r="S351" s="219"/>
      <c r="T351" s="219"/>
      <c r="U351" s="219"/>
    </row>
    <row r="352" spans="1:21" ht="18.75" x14ac:dyDescent="0.25">
      <c r="A352" s="158"/>
      <c r="B352" s="40"/>
      <c r="C352" s="158"/>
      <c r="D352" s="145"/>
      <c r="E352" s="149" t="s">
        <v>146</v>
      </c>
      <c r="F352" s="40"/>
      <c r="G352" s="42"/>
      <c r="H352" s="133" t="s">
        <v>35</v>
      </c>
      <c r="I352" s="44"/>
      <c r="J352" s="184">
        <f ca="1">IFERROR(__xludf.DUMMYFUNCTION("IMPORTRANGE(""https://docs.google.com/spreadsheets/d/1awYsYK3VOup2i3Pq_Yjnu8DRu_mYwSBnCR2QPthd0rU/edit?usp=sharing"",""โฉนดM3!G26"")"),1897)</f>
        <v>1897</v>
      </c>
      <c r="K352" s="45"/>
      <c r="L352" s="1359"/>
      <c r="M352" s="45"/>
      <c r="N352" s="45"/>
      <c r="O352" s="45"/>
      <c r="P352" s="45"/>
      <c r="Q352" s="45"/>
      <c r="R352" s="45"/>
      <c r="S352" s="45"/>
      <c r="T352" s="45"/>
      <c r="U352" s="45"/>
    </row>
    <row r="353" spans="1:21" ht="18.75" x14ac:dyDescent="0.25">
      <c r="A353" s="158"/>
      <c r="B353" s="40"/>
      <c r="C353" s="158"/>
      <c r="D353" s="145"/>
      <c r="E353" s="149" t="s">
        <v>147</v>
      </c>
      <c r="F353" s="40"/>
      <c r="G353" s="42"/>
      <c r="H353" s="133" t="s">
        <v>35</v>
      </c>
      <c r="I353" s="44"/>
      <c r="J353" s="184">
        <f ca="1">IFERROR(__xludf.DUMMYFUNCTION("IMPORTRANGE(""https://docs.google.com/spreadsheets/d/1awYsYK3VOup2i3Pq_Yjnu8DRu_mYwSBnCR2QPthd0rU/edit?usp=sharing"",""โฉนดM3!H26"")"),4822)</f>
        <v>4822</v>
      </c>
      <c r="K353" s="45"/>
      <c r="L353" s="1359"/>
      <c r="M353" s="45"/>
      <c r="N353" s="45"/>
      <c r="O353" s="45"/>
      <c r="P353" s="45"/>
      <c r="Q353" s="45"/>
      <c r="R353" s="45"/>
      <c r="S353" s="45"/>
      <c r="T353" s="45"/>
      <c r="U353" s="45"/>
    </row>
    <row r="354" spans="1:21" ht="16.5" x14ac:dyDescent="0.25">
      <c r="A354" s="158"/>
      <c r="B354" s="40"/>
      <c r="C354" s="158"/>
      <c r="D354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0"/>
      <c r="F354" s="40"/>
      <c r="G354" s="42"/>
      <c r="H354" s="180"/>
      <c r="I354" s="44"/>
      <c r="J354" s="44"/>
      <c r="K354" s="45"/>
      <c r="L354" s="1359"/>
      <c r="M354" s="45"/>
      <c r="N354" s="45"/>
      <c r="O354" s="45"/>
      <c r="P354" s="45"/>
      <c r="Q354" s="45"/>
      <c r="R354" s="45"/>
      <c r="S354" s="45"/>
      <c r="T354" s="45"/>
      <c r="U354" s="45"/>
    </row>
    <row r="355" spans="1:21" ht="19.5" x14ac:dyDescent="0.3">
      <c r="A355" s="291"/>
      <c r="B355" s="292" t="s">
        <v>148</v>
      </c>
      <c r="C355" s="301"/>
      <c r="D355" s="293"/>
      <c r="E355" s="293"/>
      <c r="F355" s="293"/>
      <c r="G355" s="294"/>
      <c r="H355" s="294"/>
      <c r="I355" s="307"/>
      <c r="J355" s="307"/>
      <c r="K355" s="298"/>
      <c r="L355" s="1503"/>
      <c r="M355" s="298"/>
      <c r="N355" s="298"/>
      <c r="O355" s="298"/>
      <c r="P355" s="298"/>
      <c r="Q355" s="298"/>
      <c r="R355" s="298"/>
      <c r="S355" s="298"/>
      <c r="T355" s="298"/>
      <c r="U355" s="298"/>
    </row>
    <row r="356" spans="1:21" ht="19.5" x14ac:dyDescent="0.3">
      <c r="A356" s="128"/>
      <c r="B356" s="40"/>
      <c r="C356" s="129" t="s">
        <v>18</v>
      </c>
      <c r="D356" s="1388" t="s">
        <v>19</v>
      </c>
      <c r="E356" s="40"/>
      <c r="F356" s="40"/>
      <c r="G356" s="42"/>
      <c r="H356" s="131" t="s">
        <v>14</v>
      </c>
      <c r="I356" s="44"/>
      <c r="J356" s="44"/>
      <c r="K356" s="45"/>
      <c r="L356" s="1389">
        <f ca="1">L357+L358</f>
        <v>714750</v>
      </c>
      <c r="M356" s="1390">
        <f ca="1">M357+M358</f>
        <v>678385</v>
      </c>
      <c r="N356" s="1390">
        <f ca="1">N357+N358</f>
        <v>345236.75</v>
      </c>
      <c r="O356" s="1390">
        <f ca="1">IF(L356&gt;0,N356*100/L356,0)</f>
        <v>48.301748863238892</v>
      </c>
      <c r="P356" s="1390">
        <f ca="1">IF(M356&gt;0,N356*100/M356,0)</f>
        <v>50.890976362979721</v>
      </c>
      <c r="Q356" s="1390">
        <f>Q357+Q358</f>
        <v>0</v>
      </c>
      <c r="R356" s="1390">
        <f>R357+R358</f>
        <v>0</v>
      </c>
      <c r="S356" s="1390">
        <f>S357+S358</f>
        <v>0</v>
      </c>
      <c r="T356" s="1390">
        <f>IF(Q356&gt;0,S356*100/Q356,0)</f>
        <v>0</v>
      </c>
      <c r="U356" s="1390">
        <f>IF(R356&gt;0,S356*100/R356,0)</f>
        <v>0</v>
      </c>
    </row>
    <row r="357" spans="1:21" ht="18.75" x14ac:dyDescent="0.25">
      <c r="A357" s="128"/>
      <c r="B357" s="40"/>
      <c r="C357" s="40"/>
      <c r="D357" s="40"/>
      <c r="E357" s="156" t="s">
        <v>20</v>
      </c>
      <c r="F357" s="40"/>
      <c r="G357" s="42"/>
      <c r="H357" s="157" t="s">
        <v>14</v>
      </c>
      <c r="I357" s="44"/>
      <c r="J357" s="44"/>
      <c r="K357" s="45"/>
      <c r="L357" s="1358">
        <f>L360+L363</f>
        <v>0</v>
      </c>
      <c r="M357" s="83">
        <f>M360+M363</f>
        <v>0</v>
      </c>
      <c r="N357" s="83">
        <f>N360+N363</f>
        <v>0</v>
      </c>
      <c r="O357" s="83">
        <f>IF(L357&gt;0,N357*100/L357,0)</f>
        <v>0</v>
      </c>
      <c r="P357" s="83">
        <f>IF(M357&gt;0,N357*100/M357,0)</f>
        <v>0</v>
      </c>
      <c r="Q357" s="83">
        <f>Q360+Q363</f>
        <v>0</v>
      </c>
      <c r="R357" s="83">
        <f>R360+R363</f>
        <v>0</v>
      </c>
      <c r="S357" s="83">
        <f>S360+S363</f>
        <v>0</v>
      </c>
      <c r="T357" s="83">
        <f>IF(Q357&gt;0,S357*100/Q357,0)</f>
        <v>0</v>
      </c>
      <c r="U357" s="83">
        <f>IF(R357&gt;0,S357*100/R357,0)</f>
        <v>0</v>
      </c>
    </row>
    <row r="358" spans="1:21" ht="18.75" x14ac:dyDescent="0.25">
      <c r="A358" s="128"/>
      <c r="B358" s="40"/>
      <c r="C358" s="40"/>
      <c r="D358" s="40"/>
      <c r="E358" s="47" t="s">
        <v>21</v>
      </c>
      <c r="F358" s="40"/>
      <c r="G358" s="42"/>
      <c r="H358" s="133" t="s">
        <v>14</v>
      </c>
      <c r="I358" s="44"/>
      <c r="J358" s="44"/>
      <c r="K358" s="45"/>
      <c r="L358" s="1356">
        <f ca="1">L361+L364</f>
        <v>714750</v>
      </c>
      <c r="M358" s="224">
        <f ca="1">M361+M364</f>
        <v>678385</v>
      </c>
      <c r="N358" s="224">
        <f ca="1">N361+N364</f>
        <v>345236.75</v>
      </c>
      <c r="O358" s="224">
        <f ca="1">IF(L358&gt;0,N358*100/L358,0)</f>
        <v>48.301748863238892</v>
      </c>
      <c r="P358" s="224">
        <f ca="1">IF(M358&gt;0,N358*100/M358,0)</f>
        <v>50.890976362979721</v>
      </c>
      <c r="Q358" s="224">
        <f>Q361+Q364</f>
        <v>0</v>
      </c>
      <c r="R358" s="224">
        <f>R361+R364</f>
        <v>0</v>
      </c>
      <c r="S358" s="224">
        <f>S361+S364</f>
        <v>0</v>
      </c>
      <c r="T358" s="224">
        <f>IF(Q358&gt;0,S358*100/Q358,0)</f>
        <v>0</v>
      </c>
      <c r="U358" s="224">
        <f>IF(R358&gt;0,S358*100/R358,0)</f>
        <v>0</v>
      </c>
    </row>
    <row r="359" spans="1:21" ht="18.75" x14ac:dyDescent="0.25">
      <c r="A359" s="128"/>
      <c r="B359" s="40"/>
      <c r="C359" s="40"/>
      <c r="D359" s="41" t="s">
        <v>22</v>
      </c>
      <c r="E359" s="40"/>
      <c r="F359" s="40"/>
      <c r="G359" s="42"/>
      <c r="H359" s="134" t="s">
        <v>14</v>
      </c>
      <c r="I359" s="135"/>
      <c r="J359" s="135"/>
      <c r="K359" s="136"/>
      <c r="L359" s="1356">
        <f ca="1">L360+L361</f>
        <v>714750</v>
      </c>
      <c r="M359" s="224">
        <f ca="1">M360+M361</f>
        <v>678385</v>
      </c>
      <c r="N359" s="224">
        <f ca="1">N360+N361</f>
        <v>345236.75</v>
      </c>
      <c r="O359" s="224">
        <f ca="1">IF(L359&gt;0,N359*100/L359,0)</f>
        <v>48.301748863238892</v>
      </c>
      <c r="P359" s="224">
        <f ca="1">IF(M359&gt;0,N359*100/M359,0)</f>
        <v>50.890976362979721</v>
      </c>
      <c r="Q359" s="224">
        <f>Q360+Q361</f>
        <v>0</v>
      </c>
      <c r="R359" s="224">
        <f>R360+R361</f>
        <v>0</v>
      </c>
      <c r="S359" s="224">
        <f>S360+S361</f>
        <v>0</v>
      </c>
      <c r="T359" s="224">
        <f>IF(Q359&gt;0,S359*100/Q359,0)</f>
        <v>0</v>
      </c>
      <c r="U359" s="224">
        <f>IF(R359&gt;0,S359*100/R359,0)</f>
        <v>0</v>
      </c>
    </row>
    <row r="360" spans="1:21" ht="18.75" x14ac:dyDescent="0.25">
      <c r="A360" s="128"/>
      <c r="B360" s="40"/>
      <c r="C360" s="40"/>
      <c r="D360" s="40"/>
      <c r="E360" s="156" t="s">
        <v>36</v>
      </c>
      <c r="F360" s="40"/>
      <c r="G360" s="42"/>
      <c r="H360" s="159" t="s">
        <v>14</v>
      </c>
      <c r="I360" s="135"/>
      <c r="J360" s="135"/>
      <c r="K360" s="136"/>
      <c r="L360" s="1358">
        <v>0</v>
      </c>
      <c r="M360" s="83">
        <v>0</v>
      </c>
      <c r="N360" s="83">
        <v>0</v>
      </c>
      <c r="O360" s="83">
        <f>IF(L360&gt;0,N360*100/L360,0)</f>
        <v>0</v>
      </c>
      <c r="P360" s="83">
        <f>IF(M360&gt;0,N360*100/M360,0)</f>
        <v>0</v>
      </c>
      <c r="Q360" s="83">
        <v>0</v>
      </c>
      <c r="R360" s="83">
        <v>0</v>
      </c>
      <c r="S360" s="83">
        <v>0</v>
      </c>
      <c r="T360" s="83">
        <f>IF(Q360&gt;0,S360*100/Q360,0)</f>
        <v>0</v>
      </c>
      <c r="U360" s="83">
        <f>IF(R360&gt;0,S360*100/R360,0)</f>
        <v>0</v>
      </c>
    </row>
    <row r="361" spans="1:21" ht="18.75" x14ac:dyDescent="0.25">
      <c r="A361" s="128"/>
      <c r="B361" s="40"/>
      <c r="C361" s="40"/>
      <c r="D361" s="40"/>
      <c r="E361" s="47" t="s">
        <v>37</v>
      </c>
      <c r="F361" s="40"/>
      <c r="G361" s="42"/>
      <c r="H361" s="134" t="s">
        <v>14</v>
      </c>
      <c r="I361" s="135"/>
      <c r="J361" s="135"/>
      <c r="K361" s="136"/>
      <c r="L361" s="1356">
        <f ca="1">IFERROR(__xludf.DUMMYFUNCTION("IMPORTRANGE(""https://docs.google.com/spreadsheets/d/1-uDff_7J0KD5mKrp0Vvzr7lt3OU09vwQwhkpOPPYv2Y/edit?usp=sharing"",""งบพรบ!FC26"")"),714750)</f>
        <v>714750</v>
      </c>
      <c r="M361" s="224">
        <f ca="1">IFERROR(__xludf.DUMMYFUNCTION("IMPORTRANGE(""https://docs.google.com/spreadsheets/d/1-uDff_7J0KD5mKrp0Vvzr7lt3OU09vwQwhkpOPPYv2Y/edit?usp=sharing"",""งบพรบ!FH26"")"),678385)</f>
        <v>678385</v>
      </c>
      <c r="N361" s="224">
        <f ca="1">IFERROR(__xludf.DUMMYFUNCTION("IMPORTRANGE(""https://docs.google.com/spreadsheets/d/1-uDff_7J0KD5mKrp0Vvzr7lt3OU09vwQwhkpOPPYv2Y/edit?usp=sharing"",""งบพรบ!FJ26"")"),345236.75)</f>
        <v>345236.75</v>
      </c>
      <c r="O361" s="224">
        <f ca="1">IF(L361&gt;0,N361*100/L361,0)</f>
        <v>48.301748863238892</v>
      </c>
      <c r="P361" s="224">
        <f ca="1">IF(M361&gt;0,N361*100/M361,0)</f>
        <v>50.890976362979721</v>
      </c>
      <c r="Q361" s="224">
        <v>0</v>
      </c>
      <c r="R361" s="224">
        <v>0</v>
      </c>
      <c r="S361" s="224">
        <v>0</v>
      </c>
      <c r="T361" s="224">
        <f>IF(Q361&gt;0,S361*100/Q361,0)</f>
        <v>0</v>
      </c>
      <c r="U361" s="224">
        <f>IF(R361&gt;0,S361*100/R361,0)</f>
        <v>0</v>
      </c>
    </row>
    <row r="362" spans="1:21" ht="18.75" x14ac:dyDescent="0.25">
      <c r="A362" s="128"/>
      <c r="B362" s="40"/>
      <c r="C362" s="40"/>
      <c r="D362" s="41" t="s">
        <v>23</v>
      </c>
      <c r="E362" s="40"/>
      <c r="F362" s="40"/>
      <c r="G362" s="42"/>
      <c r="H362" s="137" t="s">
        <v>14</v>
      </c>
      <c r="I362" s="135"/>
      <c r="J362" s="135"/>
      <c r="K362" s="136"/>
      <c r="L362" s="1356">
        <f ca="1">L363+L364</f>
        <v>0</v>
      </c>
      <c r="M362" s="224">
        <f ca="1">M363+M364</f>
        <v>0</v>
      </c>
      <c r="N362" s="224">
        <f ca="1">N363+N364</f>
        <v>0</v>
      </c>
      <c r="O362" s="224">
        <f ca="1">IF(L362&gt;0,N362*100/L362,0)</f>
        <v>0</v>
      </c>
      <c r="P362" s="224">
        <f ca="1">IF(M362&gt;0,N362*100/M362,0)</f>
        <v>0</v>
      </c>
      <c r="Q362" s="224">
        <f>Q363+Q364</f>
        <v>0</v>
      </c>
      <c r="R362" s="224">
        <f>R363+R364</f>
        <v>0</v>
      </c>
      <c r="S362" s="224">
        <f>S363+S364</f>
        <v>0</v>
      </c>
      <c r="T362" s="224">
        <f>IF(Q362&gt;0,S362*100/Q362,0)</f>
        <v>0</v>
      </c>
      <c r="U362" s="224">
        <f>IF(R362&gt;0,S362*100/R362,0)</f>
        <v>0</v>
      </c>
    </row>
    <row r="363" spans="1:21" ht="18.75" x14ac:dyDescent="0.25">
      <c r="A363" s="128"/>
      <c r="B363" s="40"/>
      <c r="C363" s="40"/>
      <c r="D363" s="40"/>
      <c r="E363" s="156" t="s">
        <v>20</v>
      </c>
      <c r="F363" s="40"/>
      <c r="G363" s="42"/>
      <c r="H363" s="159" t="s">
        <v>14</v>
      </c>
      <c r="I363" s="135"/>
      <c r="J363" s="135"/>
      <c r="K363" s="136"/>
      <c r="L363" s="1358">
        <v>0</v>
      </c>
      <c r="M363" s="83">
        <v>0</v>
      </c>
      <c r="N363" s="83">
        <v>0</v>
      </c>
      <c r="O363" s="83">
        <f>IF(L363&gt;0,N363*100/L363,0)</f>
        <v>0</v>
      </c>
      <c r="P363" s="83">
        <f>IF(M363&gt;0,N363*100/M363,0)</f>
        <v>0</v>
      </c>
      <c r="Q363" s="83">
        <v>0</v>
      </c>
      <c r="R363" s="83">
        <v>0</v>
      </c>
      <c r="S363" s="83">
        <v>0</v>
      </c>
      <c r="T363" s="83">
        <f>IF(Q363&gt;0,S363*100/Q363,0)</f>
        <v>0</v>
      </c>
      <c r="U363" s="83">
        <f>IF(R363&gt;0,S363*100/R363,0)</f>
        <v>0</v>
      </c>
    </row>
    <row r="364" spans="1:21" ht="18.75" x14ac:dyDescent="0.25">
      <c r="A364" s="128"/>
      <c r="B364" s="40"/>
      <c r="C364" s="40"/>
      <c r="D364" s="40"/>
      <c r="E364" s="47" t="s">
        <v>21</v>
      </c>
      <c r="F364" s="40"/>
      <c r="G364" s="42"/>
      <c r="H364" s="137" t="s">
        <v>14</v>
      </c>
      <c r="I364" s="135"/>
      <c r="J364" s="135"/>
      <c r="K364" s="136"/>
      <c r="L364" s="1356">
        <f ca="1">IFERROR(__xludf.DUMMYFUNCTION("IMPORTRANGE(""https://docs.google.com/spreadsheets/d/1-uDff_7J0KD5mKrp0Vvzr7lt3OU09vwQwhkpOPPYv2Y/edit?usp=sharing"",""งบพรบ!FF26"")"),0)</f>
        <v>0</v>
      </c>
      <c r="M364" s="224">
        <f ca="1">IFERROR(__xludf.DUMMYFUNCTION("IMPORTRANGE(""https://docs.google.com/spreadsheets/d/1-uDff_7J0KD5mKrp0Vvzr7lt3OU09vwQwhkpOPPYv2Y/edit?usp=sharing"",""งบพรบ!FI26"")"),0)</f>
        <v>0</v>
      </c>
      <c r="N364" s="224">
        <f ca="1">IFERROR(__xludf.DUMMYFUNCTION("IMPORTRANGE(""https://docs.google.com/spreadsheets/d/1-uDff_7J0KD5mKrp0Vvzr7lt3OU09vwQwhkpOPPYv2Y/edit?usp=sharing"",""งบพรบ!FK26"")"),0)</f>
        <v>0</v>
      </c>
      <c r="O364" s="224">
        <f ca="1">IF(L364&gt;0,N364*100/L364,0)</f>
        <v>0</v>
      </c>
      <c r="P364" s="224">
        <f ca="1">IF(M364&gt;0,N364*100/M364,0)</f>
        <v>0</v>
      </c>
      <c r="Q364" s="224">
        <v>0</v>
      </c>
      <c r="R364" s="224">
        <v>0</v>
      </c>
      <c r="S364" s="224">
        <v>0</v>
      </c>
      <c r="T364" s="224">
        <f>IF(Q364&gt;0,S364*100/Q364,0)</f>
        <v>0</v>
      </c>
      <c r="U364" s="224">
        <f>IF(R364&gt;0,S364*100/R364,0)</f>
        <v>0</v>
      </c>
    </row>
    <row r="365" spans="1:21" ht="19.5" x14ac:dyDescent="0.3">
      <c r="A365" s="211"/>
      <c r="B365" s="212"/>
      <c r="C365" s="214"/>
      <c r="D365" s="1523" t="s">
        <v>149</v>
      </c>
      <c r="E365" s="214"/>
      <c r="F365" s="214"/>
      <c r="G365" s="215"/>
      <c r="H365" s="223" t="s">
        <v>35</v>
      </c>
      <c r="I365" s="303">
        <f ca="1">I371</f>
        <v>446</v>
      </c>
      <c r="J365" s="303">
        <f ca="1">J371</f>
        <v>481</v>
      </c>
      <c r="K365" s="304">
        <f ca="1">IF(I365&gt;0,J365*100/I365,0)</f>
        <v>107.847533632287</v>
      </c>
      <c r="L365" s="1416"/>
      <c r="M365" s="219"/>
      <c r="N365" s="219"/>
      <c r="O365" s="219"/>
      <c r="P365" s="219"/>
      <c r="Q365" s="219"/>
      <c r="R365" s="219"/>
      <c r="S365" s="219"/>
      <c r="T365" s="219"/>
      <c r="U365" s="219"/>
    </row>
    <row r="366" spans="1:21" ht="19.5" x14ac:dyDescent="0.3">
      <c r="A366" s="138"/>
      <c r="B366" s="139"/>
      <c r="C366" s="129" t="s">
        <v>18</v>
      </c>
      <c r="D366" s="1391" t="s">
        <v>38</v>
      </c>
      <c r="E366" s="141"/>
      <c r="F366" s="141"/>
      <c r="G366" s="142"/>
      <c r="H366" s="143"/>
      <c r="I366" s="44"/>
      <c r="J366" s="44"/>
      <c r="K366" s="45"/>
      <c r="L366" s="1392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3" t="s">
        <v>35</v>
      </c>
      <c r="I367" s="184">
        <v>0</v>
      </c>
      <c r="J367" s="184">
        <f ca="1">IFERROR(__xludf.DUMMYFUNCTION("IMPORTRANGE(""https://docs.google.com/spreadsheets/d/1tdoBKaGub7dwA3U6UFTqxio9LNnvDCQjHKmttSEBsFQ/edit?usp=sharing"",""จัดที่ดิน!AB26"")"),237)</f>
        <v>237</v>
      </c>
      <c r="K367" s="224">
        <f>IF(I367&gt;0,J367*100/I367,0)</f>
        <v>0</v>
      </c>
      <c r="L367" s="1392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3" t="s">
        <v>46</v>
      </c>
      <c r="I368" s="184">
        <f ca="1">IFERROR(__xludf.DUMMYFUNCTION("IMPORTRANGE(""https://docs.google.com/spreadsheets/d/1eHaY18a8A9IcSdp1K8H6x8fbOy06t2VsZHhMHf-1x7Y/edit?usp=sharing"",""แผน!EW26"")"),735)</f>
        <v>735</v>
      </c>
      <c r="J368" s="1524">
        <f ca="1">IFERROR(__xludf.DUMMYFUNCTION("IMPORTRANGE(""https://docs.google.com/spreadsheets/d/1tdoBKaGub7dwA3U6UFTqxio9LNnvDCQjHKmttSEBsFQ/edit?usp=sharing"",""จัดที่ดิน!AC26"")"),972.48)</f>
        <v>972.48</v>
      </c>
      <c r="K368" s="224">
        <f ca="1">IF(I368&gt;0,J368*100/I368,0)</f>
        <v>132.31020408163266</v>
      </c>
      <c r="L368" s="1392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84">
        <f ca="1">IFERROR(__xludf.DUMMYFUNCTION("IMPORTRANGE(""https://docs.google.com/spreadsheets/d/1eHaY18a8A9IcSdp1K8H6x8fbOy06t2VsZHhMHf-1x7Y/edit?usp=sharing"",""แผน!EX26"")"),446)</f>
        <v>446</v>
      </c>
      <c r="J369" s="184">
        <f ca="1">IFERROR(__xludf.DUMMYFUNCTION("IMPORTRANGE(""https://docs.google.com/spreadsheets/d/1tdoBKaGub7dwA3U6UFTqxio9LNnvDCQjHKmttSEBsFQ/edit?usp=sharing"",""จัดที่ดิน!AD26"")"),552)</f>
        <v>552</v>
      </c>
      <c r="K369" s="224">
        <f ca="1">IF(I369&gt;0,J369*100/I369,0)</f>
        <v>123.76681614349776</v>
      </c>
      <c r="L369" s="1392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84">
        <v>0</v>
      </c>
      <c r="J370" s="1524">
        <f ca="1">IFERROR(__xludf.DUMMYFUNCTION("IMPORTRANGE(""https://docs.google.com/spreadsheets/d/1tdoBKaGub7dwA3U6UFTqxio9LNnvDCQjHKmttSEBsFQ/edit?usp=sharing"",""จัดที่ดิน!AE26"")"),2882.74)</f>
        <v>2882.74</v>
      </c>
      <c r="K370" s="224">
        <f>IF(I370&gt;0,J370*100/I370,0)</f>
        <v>0</v>
      </c>
      <c r="L370" s="1392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08" t="s">
        <v>152</v>
      </c>
      <c r="F371" s="145"/>
      <c r="G371" s="143"/>
      <c r="H371" s="150" t="s">
        <v>35</v>
      </c>
      <c r="I371" s="184">
        <f ca="1">IFERROR(__xludf.DUMMYFUNCTION("IMPORTRANGE(""https://docs.google.com/spreadsheets/d/1eHaY18a8A9IcSdp1K8H6x8fbOy06t2VsZHhMHf-1x7Y/edit?usp=sharing"",""แผน!EY26"")"),446)</f>
        <v>446</v>
      </c>
      <c r="J371" s="184">
        <f ca="1">IFERROR(__xludf.DUMMYFUNCTION("IMPORTRANGE(""https://docs.google.com/spreadsheets/d/1tdoBKaGub7dwA3U6UFTqxio9LNnvDCQjHKmttSEBsFQ/edit?usp=sharing"",""จัดที่ดิน!AF26"")"),481)</f>
        <v>481</v>
      </c>
      <c r="K371" s="224">
        <f ca="1">IF(I371&gt;0,J371*100/I371,0)</f>
        <v>107.847533632287</v>
      </c>
      <c r="L371" s="1392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84">
        <v>0</v>
      </c>
      <c r="J372" s="1524">
        <f ca="1">IFERROR(__xludf.DUMMYFUNCTION("IMPORTRANGE(""https://docs.google.com/spreadsheets/d/1tdoBKaGub7dwA3U6UFTqxio9LNnvDCQjHKmttSEBsFQ/edit?usp=sharing"",""จัดที่ดิน!AG26"")"),2673.45)</f>
        <v>2673.45</v>
      </c>
      <c r="K372" s="224">
        <f>IF(I372&gt;0,J372*100/I372,0)</f>
        <v>0</v>
      </c>
      <c r="L372" s="1392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2"/>
      <c r="B373" s="1"/>
      <c r="C373" s="2"/>
      <c r="D373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2"/>
      <c r="H373" s="52"/>
      <c r="I373" s="54"/>
      <c r="J373" s="54"/>
      <c r="K373" s="3"/>
      <c r="L373" s="1360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9.5" x14ac:dyDescent="0.3">
      <c r="A374" s="1525"/>
      <c r="B374" s="1526" t="s">
        <v>153</v>
      </c>
      <c r="C374" s="1527"/>
      <c r="D374" s="1528"/>
      <c r="E374" s="1529"/>
      <c r="F374" s="1529"/>
      <c r="G374" s="1530"/>
      <c r="H374" s="1531" t="s">
        <v>46</v>
      </c>
      <c r="I374" s="1532">
        <f ca="1">I386+I388</f>
        <v>2000</v>
      </c>
      <c r="J374" s="1532">
        <f ca="1">J386+J388</f>
        <v>0</v>
      </c>
      <c r="K374" s="1533">
        <f ca="1">IF(I374&gt;0,J374*100/I374,0)</f>
        <v>0</v>
      </c>
      <c r="L374" s="1503"/>
      <c r="M374" s="298"/>
      <c r="N374" s="298"/>
      <c r="O374" s="298"/>
      <c r="P374" s="298"/>
      <c r="Q374" s="298"/>
      <c r="R374" s="298"/>
      <c r="S374" s="298"/>
      <c r="T374" s="298"/>
      <c r="U374" s="298"/>
    </row>
    <row r="375" spans="1:21" ht="19.5" x14ac:dyDescent="0.3">
      <c r="A375" s="128"/>
      <c r="B375" s="158"/>
      <c r="C375" s="161" t="s">
        <v>18</v>
      </c>
      <c r="D375" s="1534" t="s">
        <v>19</v>
      </c>
      <c r="E375" s="40"/>
      <c r="F375" s="40"/>
      <c r="G375" s="42"/>
      <c r="H375" s="131" t="s">
        <v>14</v>
      </c>
      <c r="I375" s="44"/>
      <c r="J375" s="44"/>
      <c r="K375" s="45"/>
      <c r="L375" s="1389">
        <f ca="1">L376+L377</f>
        <v>44900</v>
      </c>
      <c r="M375" s="1390">
        <f ca="1">M376+M377</f>
        <v>44900</v>
      </c>
      <c r="N375" s="1390">
        <f ca="1">N376+N377</f>
        <v>0</v>
      </c>
      <c r="O375" s="1390">
        <f ca="1">IF(L375&gt;0,N375*100/L375,0)</f>
        <v>0</v>
      </c>
      <c r="P375" s="1390">
        <f ca="1">IF(M375&gt;0,N375*100/M375,0)</f>
        <v>0</v>
      </c>
      <c r="Q375" s="1390">
        <f ca="1">Q376+Q377</f>
        <v>125000</v>
      </c>
      <c r="R375" s="1390">
        <f ca="1">R376+R377</f>
        <v>125000</v>
      </c>
      <c r="S375" s="1390">
        <f ca="1">S376+S377</f>
        <v>0</v>
      </c>
      <c r="T375" s="1390">
        <f ca="1">IF(Q375&gt;0,S375*100/Q375,0)</f>
        <v>0</v>
      </c>
      <c r="U375" s="1390">
        <f ca="1">IF(R375&gt;0,S375*100/R375,0)</f>
        <v>0</v>
      </c>
    </row>
    <row r="376" spans="1:21" ht="18.75" x14ac:dyDescent="0.25">
      <c r="A376" s="128"/>
      <c r="B376" s="158"/>
      <c r="C376" s="158"/>
      <c r="D376" s="158"/>
      <c r="E376" s="156" t="s">
        <v>20</v>
      </c>
      <c r="F376" s="40"/>
      <c r="G376" s="42"/>
      <c r="H376" s="157" t="s">
        <v>14</v>
      </c>
      <c r="I376" s="44"/>
      <c r="J376" s="44"/>
      <c r="K376" s="45"/>
      <c r="L376" s="1358">
        <f>L379+L382</f>
        <v>0</v>
      </c>
      <c r="M376" s="83">
        <f>M379+M382</f>
        <v>0</v>
      </c>
      <c r="N376" s="83">
        <f>N379+N382</f>
        <v>0</v>
      </c>
      <c r="O376" s="83">
        <f>IF(L376&gt;0,N376*100/L376,0)</f>
        <v>0</v>
      </c>
      <c r="P376" s="83">
        <f>IF(M376&gt;0,N376*100/M376,0)</f>
        <v>0</v>
      </c>
      <c r="Q376" s="83">
        <f>Q379+Q382</f>
        <v>0</v>
      </c>
      <c r="R376" s="83">
        <f>R379+R382</f>
        <v>0</v>
      </c>
      <c r="S376" s="83">
        <f>S379+S382</f>
        <v>0</v>
      </c>
      <c r="T376" s="83">
        <f>IF(Q376&gt;0,S376*100/Q376,0)</f>
        <v>0</v>
      </c>
      <c r="U376" s="83">
        <f>IF(R376&gt;0,S376*100/R376,0)</f>
        <v>0</v>
      </c>
    </row>
    <row r="377" spans="1:21" ht="18.75" x14ac:dyDescent="0.25">
      <c r="A377" s="128"/>
      <c r="B377" s="158"/>
      <c r="C377" s="158"/>
      <c r="D377" s="158"/>
      <c r="E377" s="47" t="s">
        <v>21</v>
      </c>
      <c r="F377" s="40"/>
      <c r="G377" s="42"/>
      <c r="H377" s="133" t="s">
        <v>14</v>
      </c>
      <c r="I377" s="44"/>
      <c r="J377" s="44"/>
      <c r="K377" s="45"/>
      <c r="L377" s="1356">
        <f ca="1">L380+L383</f>
        <v>44900</v>
      </c>
      <c r="M377" s="224">
        <f ca="1">M380+M383</f>
        <v>44900</v>
      </c>
      <c r="N377" s="224">
        <f ca="1">N380+N383</f>
        <v>0</v>
      </c>
      <c r="O377" s="224">
        <f ca="1">IF(L377&gt;0,N377*100/L377,0)</f>
        <v>0</v>
      </c>
      <c r="P377" s="224">
        <f ca="1">IF(M377&gt;0,N377*100/M377,0)</f>
        <v>0</v>
      </c>
      <c r="Q377" s="224">
        <f ca="1">Q380+Q383</f>
        <v>125000</v>
      </c>
      <c r="R377" s="224">
        <f ca="1">R380+R383</f>
        <v>125000</v>
      </c>
      <c r="S377" s="224">
        <f ca="1">S380+S383</f>
        <v>0</v>
      </c>
      <c r="T377" s="224">
        <f ca="1">IF(Q377&gt;0,S377*100/Q377,0)</f>
        <v>0</v>
      </c>
      <c r="U377" s="224">
        <f ca="1">IF(R377&gt;0,S377*100/R377,0)</f>
        <v>0</v>
      </c>
    </row>
    <row r="378" spans="1:21" ht="18.75" x14ac:dyDescent="0.25">
      <c r="A378" s="128"/>
      <c r="B378" s="158"/>
      <c r="C378" s="158"/>
      <c r="D378" s="1406" t="s">
        <v>22</v>
      </c>
      <c r="E378" s="40"/>
      <c r="F378" s="40"/>
      <c r="G378" s="42"/>
      <c r="H378" s="134" t="s">
        <v>14</v>
      </c>
      <c r="I378" s="135"/>
      <c r="J378" s="135"/>
      <c r="K378" s="136"/>
      <c r="L378" s="1356">
        <f ca="1">L379+L380</f>
        <v>44900</v>
      </c>
      <c r="M378" s="224">
        <f ca="1">M379+M380</f>
        <v>44900</v>
      </c>
      <c r="N378" s="224">
        <f ca="1">N379+N380</f>
        <v>0</v>
      </c>
      <c r="O378" s="224">
        <f ca="1">IF(L378&gt;0,N378*100/L378,0)</f>
        <v>0</v>
      </c>
      <c r="P378" s="224">
        <f ca="1">IF(M378&gt;0,N378*100/M378,0)</f>
        <v>0</v>
      </c>
      <c r="Q378" s="224">
        <f ca="1">Q379+Q380</f>
        <v>125000</v>
      </c>
      <c r="R378" s="224">
        <f ca="1">R379+R380</f>
        <v>125000</v>
      </c>
      <c r="S378" s="224">
        <f ca="1">S379+S380</f>
        <v>0</v>
      </c>
      <c r="T378" s="224">
        <f ca="1">IF(Q378&gt;0,S378*100/Q378,0)</f>
        <v>0</v>
      </c>
      <c r="U378" s="224">
        <f ca="1">IF(R378&gt;0,S378*100/R378,0)</f>
        <v>0</v>
      </c>
    </row>
    <row r="379" spans="1:21" ht="18.75" x14ac:dyDescent="0.25">
      <c r="A379" s="128"/>
      <c r="B379" s="158"/>
      <c r="C379" s="158"/>
      <c r="D379" s="158"/>
      <c r="E379" s="156" t="s">
        <v>36</v>
      </c>
      <c r="F379" s="40"/>
      <c r="G379" s="42"/>
      <c r="H379" s="159" t="s">
        <v>14</v>
      </c>
      <c r="I379" s="135"/>
      <c r="J379" s="135"/>
      <c r="K379" s="136"/>
      <c r="L379" s="1358">
        <v>0</v>
      </c>
      <c r="M379" s="83">
        <v>0</v>
      </c>
      <c r="N379" s="83">
        <v>0</v>
      </c>
      <c r="O379" s="83">
        <f>IF(L379&gt;0,N379*100/L379,0)</f>
        <v>0</v>
      </c>
      <c r="P379" s="83">
        <f>IF(M379&gt;0,N379*100/M379,0)</f>
        <v>0</v>
      </c>
      <c r="Q379" s="83">
        <v>0</v>
      </c>
      <c r="R379" s="83">
        <v>0</v>
      </c>
      <c r="S379" s="83">
        <v>0</v>
      </c>
      <c r="T379" s="83">
        <f>IF(Q379&gt;0,S379*100/Q379,0)</f>
        <v>0</v>
      </c>
      <c r="U379" s="83">
        <f>IF(R379&gt;0,S379*100/R379,0)</f>
        <v>0</v>
      </c>
    </row>
    <row r="380" spans="1:21" ht="18.75" x14ac:dyDescent="0.25">
      <c r="A380" s="128"/>
      <c r="B380" s="158"/>
      <c r="C380" s="158"/>
      <c r="D380" s="158"/>
      <c r="E380" s="209" t="s">
        <v>37</v>
      </c>
      <c r="F380" s="158"/>
      <c r="G380" s="180"/>
      <c r="H380" s="134" t="s">
        <v>14</v>
      </c>
      <c r="I380" s="135"/>
      <c r="J380" s="135"/>
      <c r="K380" s="136"/>
      <c r="L380" s="1356">
        <f ca="1">IFERROR(__xludf.DUMMYFUNCTION("IMPORTRANGE(""https://docs.google.com/spreadsheets/d/1-uDff_7J0KD5mKrp0Vvzr7lt3OU09vwQwhkpOPPYv2Y/edit?usp=sharing"",""งบพรบ!IE26"")"),44900)</f>
        <v>44900</v>
      </c>
      <c r="M380" s="224">
        <f ca="1">IFERROR(__xludf.DUMMYFUNCTION("IMPORTRANGE(""https://docs.google.com/spreadsheets/d/1-uDff_7J0KD5mKrp0Vvzr7lt3OU09vwQwhkpOPPYv2Y/edit?usp=sharing"",""งบพรบ!IJ26"")"),44900)</f>
        <v>44900</v>
      </c>
      <c r="N380" s="224">
        <f ca="1">IFERROR(__xludf.DUMMYFUNCTION("IMPORTRANGE(""https://docs.google.com/spreadsheets/d/1-uDff_7J0KD5mKrp0Vvzr7lt3OU09vwQwhkpOPPYv2Y/edit?usp=sharing"",""งบพรบ!IL26"")"),0)</f>
        <v>0</v>
      </c>
      <c r="O380" s="224">
        <f ca="1">IF(L380&gt;0,N380*100/L380,0)</f>
        <v>0</v>
      </c>
      <c r="P380" s="224">
        <f ca="1">IF(M380&gt;0,N380*100/M380,0)</f>
        <v>0</v>
      </c>
      <c r="Q380" s="224">
        <f ca="1">IFERROR(__xludf.DUMMYFUNCTION("IMPORTRANGE(""https://docs.google.com/spreadsheets/d/1ItG2mGa2ceCfYo0BwxsXqNm01IGEUdYcSSLTEv9YCik/edit?usp=sharing"",""เบิกจ่ายกองทุน!BW26"")"),125000)</f>
        <v>125000</v>
      </c>
      <c r="R380" s="224">
        <f ca="1">IFERROR(__xludf.DUMMYFUNCTION("IMPORTRANGE(""https://docs.google.com/spreadsheets/d/1ItG2mGa2ceCfYo0BwxsXqNm01IGEUdYcSSLTEv9YCik/edit?usp=sharing"",""เบิกจ่ายกองทุน!BX26"")"),125000)</f>
        <v>125000</v>
      </c>
      <c r="S380" s="224">
        <f ca="1">IFERROR(__xludf.DUMMYFUNCTION("IMPORTRANGE(""https://docs.google.com/spreadsheets/d/1ItG2mGa2ceCfYo0BwxsXqNm01IGEUdYcSSLTEv9YCik/edit?usp=sharing"",""เบิกจ่ายกองทุน!BY26"")"),0)</f>
        <v>0</v>
      </c>
      <c r="T380" s="224">
        <f ca="1">IF(Q380&gt;0,S380*100/Q380,0)</f>
        <v>0</v>
      </c>
      <c r="U380" s="224">
        <f ca="1">IF(R380&gt;0,S380*100/R380,0)</f>
        <v>0</v>
      </c>
    </row>
    <row r="381" spans="1:21" ht="18.75" x14ac:dyDescent="0.25">
      <c r="A381" s="128"/>
      <c r="B381" s="158"/>
      <c r="C381" s="158"/>
      <c r="D381" s="1406" t="s">
        <v>23</v>
      </c>
      <c r="E381" s="40"/>
      <c r="F381" s="40"/>
      <c r="G381" s="42"/>
      <c r="H381" s="137" t="s">
        <v>14</v>
      </c>
      <c r="I381" s="135"/>
      <c r="J381" s="135"/>
      <c r="K381" s="136"/>
      <c r="L381" s="1356">
        <f ca="1">L382+L383</f>
        <v>0</v>
      </c>
      <c r="M381" s="224">
        <f ca="1">M382+M383</f>
        <v>0</v>
      </c>
      <c r="N381" s="224">
        <f ca="1">N382+N383</f>
        <v>0</v>
      </c>
      <c r="O381" s="224">
        <f ca="1">IF(L381&gt;0,N381*100/L381,0)</f>
        <v>0</v>
      </c>
      <c r="P381" s="224">
        <f ca="1">IF(M381&gt;0,N381*100/M381,0)</f>
        <v>0</v>
      </c>
      <c r="Q381" s="224">
        <f>Q382+Q383</f>
        <v>0</v>
      </c>
      <c r="R381" s="224">
        <f>R382+R383</f>
        <v>0</v>
      </c>
      <c r="S381" s="224">
        <f>S382+S383</f>
        <v>0</v>
      </c>
      <c r="T381" s="224">
        <f>IF(Q381&gt;0,S381*100/Q381,0)</f>
        <v>0</v>
      </c>
      <c r="U381" s="224">
        <f>IF(R381&gt;0,S381*100/R381,0)</f>
        <v>0</v>
      </c>
    </row>
    <row r="382" spans="1:21" ht="18.75" x14ac:dyDescent="0.25">
      <c r="A382" s="128"/>
      <c r="B382" s="158"/>
      <c r="C382" s="158"/>
      <c r="D382" s="158"/>
      <c r="E382" s="156" t="s">
        <v>20</v>
      </c>
      <c r="F382" s="40"/>
      <c r="G382" s="42"/>
      <c r="H382" s="159" t="s">
        <v>14</v>
      </c>
      <c r="I382" s="135"/>
      <c r="J382" s="135"/>
      <c r="K382" s="136"/>
      <c r="L382" s="1358">
        <v>0</v>
      </c>
      <c r="M382" s="83">
        <v>0</v>
      </c>
      <c r="N382" s="83">
        <v>0</v>
      </c>
      <c r="O382" s="83">
        <f>IF(L382&gt;0,N382*100/L382,0)</f>
        <v>0</v>
      </c>
      <c r="P382" s="83">
        <f>IF(M382&gt;0,N382*100/M382,0)</f>
        <v>0</v>
      </c>
      <c r="Q382" s="83">
        <v>0</v>
      </c>
      <c r="R382" s="83">
        <v>0</v>
      </c>
      <c r="S382" s="83">
        <v>0</v>
      </c>
      <c r="T382" s="83">
        <f>IF(Q382&gt;0,S382*100/Q382,0)</f>
        <v>0</v>
      </c>
      <c r="U382" s="83">
        <f>IF(R382&gt;0,S382*100/R382,0)</f>
        <v>0</v>
      </c>
    </row>
    <row r="383" spans="1:21" ht="18.75" x14ac:dyDescent="0.25">
      <c r="A383" s="128"/>
      <c r="B383" s="158"/>
      <c r="C383" s="158"/>
      <c r="D383" s="158"/>
      <c r="E383" s="47" t="s">
        <v>21</v>
      </c>
      <c r="F383" s="40"/>
      <c r="G383" s="42"/>
      <c r="H383" s="137" t="s">
        <v>14</v>
      </c>
      <c r="I383" s="135"/>
      <c r="J383" s="135"/>
      <c r="K383" s="136"/>
      <c r="L383" s="1356">
        <f ca="1">IFERROR(__xludf.DUMMYFUNCTION("IMPORTRANGE(""https://docs.google.com/spreadsheets/d/1-uDff_7J0KD5mKrp0Vvzr7lt3OU09vwQwhkpOPPYv2Y/edit?usp=sharing"",""งบพรบ!IH26"")"),0)</f>
        <v>0</v>
      </c>
      <c r="M383" s="224">
        <f ca="1">IFERROR(__xludf.DUMMYFUNCTION("IMPORTRANGE(""https://docs.google.com/spreadsheets/d/1-uDff_7J0KD5mKrp0Vvzr7lt3OU09vwQwhkpOPPYv2Y/edit?usp=sharing"",""งบพรบ!IK26"")"),0)</f>
        <v>0</v>
      </c>
      <c r="N383" s="224">
        <f ca="1">IFERROR(__xludf.DUMMYFUNCTION("IMPORTRANGE(""https://docs.google.com/spreadsheets/d/1-uDff_7J0KD5mKrp0Vvzr7lt3OU09vwQwhkpOPPYv2Y/edit?usp=sharing"",""งบพรบ!IM26"")"),0)</f>
        <v>0</v>
      </c>
      <c r="O383" s="224">
        <f ca="1">IF(L383&gt;0,N383*100/L383,0)</f>
        <v>0</v>
      </c>
      <c r="P383" s="224">
        <f ca="1">IF(M383&gt;0,N383*100/M383,0)</f>
        <v>0</v>
      </c>
      <c r="Q383" s="224">
        <v>0</v>
      </c>
      <c r="R383" s="224">
        <v>0</v>
      </c>
      <c r="S383" s="224">
        <v>0</v>
      </c>
      <c r="T383" s="224">
        <f>IF(Q383&gt;0,S383*100/Q383,0)</f>
        <v>0</v>
      </c>
      <c r="U383" s="224">
        <f>IF(R383&gt;0,S383*100/R383,0)</f>
        <v>0</v>
      </c>
    </row>
    <row r="384" spans="1:21" ht="19.5" x14ac:dyDescent="0.3">
      <c r="A384" s="138"/>
      <c r="B384" s="139"/>
      <c r="C384" s="161" t="s">
        <v>18</v>
      </c>
      <c r="D384" s="1535" t="s">
        <v>38</v>
      </c>
      <c r="E384" s="141"/>
      <c r="F384" s="141"/>
      <c r="G384" s="142"/>
      <c r="H384" s="178"/>
      <c r="I384" s="135"/>
      <c r="J384" s="44"/>
      <c r="K384" s="45"/>
      <c r="L384" s="1359"/>
      <c r="M384" s="45"/>
      <c r="N384" s="45"/>
      <c r="O384" s="136"/>
      <c r="P384" s="136"/>
      <c r="Q384" s="45"/>
      <c r="R384" s="45"/>
      <c r="S384" s="45"/>
      <c r="T384" s="136"/>
      <c r="U384" s="136"/>
    </row>
    <row r="385" spans="1:21" ht="18.75" x14ac:dyDescent="0.25">
      <c r="A385" s="208"/>
      <c r="B385" s="158"/>
      <c r="C385" s="158"/>
      <c r="D385" s="158"/>
      <c r="E385" s="47" t="s">
        <v>154</v>
      </c>
      <c r="F385" s="40"/>
      <c r="G385" s="42"/>
      <c r="H385" s="133" t="s">
        <v>34</v>
      </c>
      <c r="I385" s="184">
        <v>0</v>
      </c>
      <c r="J385" s="184">
        <f ca="1">IFERROR(__xludf.DUMMYFUNCTION("IMPORTRANGE(""https://docs.google.com/spreadsheets/d/1w5rwWK1o49a35cNtocGL0gxDwhFSTZUQu90BiH9_zqM/edit?usp=sharing"",""RTK!H26"")"),0)</f>
        <v>0</v>
      </c>
      <c r="K385" s="224">
        <f>IF(I385&gt;0,J385*100/I385,0)</f>
        <v>0</v>
      </c>
      <c r="L385" s="1359"/>
      <c r="M385" s="45"/>
      <c r="N385" s="45"/>
      <c r="O385" s="45"/>
      <c r="P385" s="45"/>
      <c r="Q385" s="45"/>
      <c r="R385" s="45"/>
      <c r="S385" s="45"/>
      <c r="T385" s="45"/>
      <c r="U385" s="45"/>
    </row>
    <row r="386" spans="1:21" ht="18.75" x14ac:dyDescent="0.25">
      <c r="A386" s="158"/>
      <c r="B386" s="158"/>
      <c r="C386" s="158"/>
      <c r="D386" s="158"/>
      <c r="E386" s="158"/>
      <c r="F386" s="158"/>
      <c r="G386" s="180"/>
      <c r="H386" s="133" t="s">
        <v>46</v>
      </c>
      <c r="I386" s="184">
        <f ca="1">IFERROR(__xludf.DUMMYFUNCTION("IMPORTRANGE(""https://docs.google.com/spreadsheets/d/1w5rwWK1o49a35cNtocGL0gxDwhFSTZUQu90BiH9_zqM/edit?usp=sharing"",""RTK!G26"")"),2000)</f>
        <v>2000</v>
      </c>
      <c r="J386" s="184">
        <f ca="1">IFERROR(__xludf.DUMMYFUNCTION("IMPORTRANGE(""https://docs.google.com/spreadsheets/d/1w5rwWK1o49a35cNtocGL0gxDwhFSTZUQu90BiH9_zqM/edit?usp=sharing"",""RTK!I26"")"),0)</f>
        <v>0</v>
      </c>
      <c r="K386" s="224">
        <f ca="1">IF(I386&gt;0,J386*100/I386,0)</f>
        <v>0</v>
      </c>
      <c r="L386" s="1359"/>
      <c r="M386" s="45"/>
      <c r="N386" s="45"/>
      <c r="O386" s="45"/>
      <c r="P386" s="45"/>
      <c r="Q386" s="45"/>
      <c r="R386" s="45"/>
      <c r="S386" s="45"/>
      <c r="T386" s="45"/>
      <c r="U386" s="45"/>
    </row>
    <row r="387" spans="1:21" ht="18.75" x14ac:dyDescent="0.25">
      <c r="A387" s="1608"/>
      <c r="B387" s="1608"/>
      <c r="C387" s="1608"/>
      <c r="D387" s="1608"/>
      <c r="E387" s="1609" t="s">
        <v>155</v>
      </c>
      <c r="F387" s="1608"/>
      <c r="G387" s="1601"/>
      <c r="H387" s="1474" t="s">
        <v>34</v>
      </c>
      <c r="I387" s="1598">
        <v>0</v>
      </c>
      <c r="J387" s="1598">
        <f ca="1">IFERROR(__xludf.DUMMYFUNCTION("IMPORTRANGE(""https://docs.google.com/spreadsheets/d/1w5rwWK1o49a35cNtocGL0gxDwhFSTZUQu90BiH9_zqM/edit?usp=sharing"",""RTK!L26"")"),0)</f>
        <v>0</v>
      </c>
      <c r="K387" s="1476">
        <f>IF(I387&gt;0,J387*100/I387,0)</f>
        <v>0</v>
      </c>
      <c r="L387" s="1600"/>
      <c r="M387" s="1465"/>
      <c r="N387" s="1465"/>
      <c r="O387" s="1465"/>
      <c r="P387" s="1465"/>
      <c r="Q387" s="1465"/>
      <c r="R387" s="1465"/>
      <c r="S387" s="1465"/>
      <c r="T387" s="1465"/>
      <c r="U387" s="1465"/>
    </row>
    <row r="388" spans="1:21" ht="18.75" x14ac:dyDescent="0.25">
      <c r="A388" s="1608"/>
      <c r="B388" s="1608"/>
      <c r="C388" s="1608"/>
      <c r="D388" s="1608"/>
      <c r="E388" s="1608"/>
      <c r="F388" s="1608"/>
      <c r="G388" s="1601"/>
      <c r="H388" s="1474" t="s">
        <v>46</v>
      </c>
      <c r="I388" s="1598">
        <f ca="1">IFERROR(__xludf.DUMMYFUNCTION("IMPORTRANGE(""https://docs.google.com/spreadsheets/d/1w5rwWK1o49a35cNtocGL0gxDwhFSTZUQu90BiH9_zqM/edit?usp=sharing"",""RTK!K26"")"),0)</f>
        <v>0</v>
      </c>
      <c r="J388" s="1598">
        <f ca="1">IFERROR(__xludf.DUMMYFUNCTION("IMPORTRANGE(""https://docs.google.com/spreadsheets/d/1w5rwWK1o49a35cNtocGL0gxDwhFSTZUQu90BiH9_zqM/edit?usp=sharing"",""RTK!M26"")"),0)</f>
        <v>0</v>
      </c>
      <c r="K388" s="1476">
        <f ca="1">IF(I388&gt;0,J388*100/I388,0)</f>
        <v>0</v>
      </c>
      <c r="L388" s="1600"/>
      <c r="M388" s="1465"/>
      <c r="N388" s="1465"/>
      <c r="O388" s="1465"/>
      <c r="P388" s="1465"/>
      <c r="Q388" s="1465"/>
      <c r="R388" s="1465"/>
      <c r="S388" s="1465"/>
      <c r="T388" s="1465"/>
      <c r="U388" s="1465"/>
    </row>
    <row r="389" spans="1:21" ht="12.75" x14ac:dyDescent="0.2">
      <c r="A389" s="228"/>
      <c r="B389" s="228"/>
      <c r="C389" s="228"/>
      <c r="D389" s="228"/>
      <c r="E389" s="228"/>
      <c r="F389" s="228"/>
      <c r="G389" s="231"/>
      <c r="H389" s="231"/>
      <c r="I389" s="232"/>
      <c r="J389" s="232"/>
      <c r="K389" s="233"/>
      <c r="L389" s="1536"/>
      <c r="M389" s="233"/>
      <c r="N389" s="233"/>
      <c r="O389" s="233"/>
      <c r="P389" s="233"/>
      <c r="Q389" s="233"/>
      <c r="R389" s="233"/>
      <c r="S389" s="233"/>
      <c r="T389" s="233"/>
      <c r="U389" s="233"/>
    </row>
    <row r="390" spans="1:21" ht="12.75" x14ac:dyDescent="0.2">
      <c r="A390" s="316"/>
      <c r="B390" s="316"/>
      <c r="C390" s="316"/>
      <c r="D390" s="316"/>
      <c r="E390" s="316"/>
      <c r="F390" s="316"/>
      <c r="G390" s="317"/>
      <c r="H390" s="317"/>
      <c r="I390" s="318"/>
      <c r="J390" s="318"/>
      <c r="K390" s="319"/>
      <c r="L390" s="1537"/>
      <c r="M390" s="319"/>
      <c r="N390" s="319"/>
      <c r="O390" s="319"/>
      <c r="P390" s="319"/>
      <c r="Q390" s="319"/>
      <c r="R390" s="319"/>
      <c r="S390" s="319"/>
      <c r="T390" s="319"/>
      <c r="U390" s="319"/>
    </row>
    <row r="391" spans="1:21" ht="19.5" x14ac:dyDescent="0.3">
      <c r="A391" s="299"/>
      <c r="B391" s="310" t="s">
        <v>156</v>
      </c>
      <c r="C391" s="300"/>
      <c r="D391" s="301"/>
      <c r="E391" s="293"/>
      <c r="F391" s="293"/>
      <c r="G391" s="294"/>
      <c r="H391" s="311" t="s">
        <v>61</v>
      </c>
      <c r="I391" s="307">
        <f>I402</f>
        <v>0</v>
      </c>
      <c r="J391" s="307">
        <f>J402</f>
        <v>0</v>
      </c>
      <c r="K391" s="1502">
        <f>IF(I391&gt;0,J391*100/I391,0)</f>
        <v>0</v>
      </c>
      <c r="L391" s="1503"/>
      <c r="M391" s="298"/>
      <c r="N391" s="298"/>
      <c r="O391" s="298"/>
      <c r="P391" s="298"/>
      <c r="Q391" s="298"/>
      <c r="R391" s="298"/>
      <c r="S391" s="298"/>
      <c r="T391" s="298"/>
      <c r="U391" s="298"/>
    </row>
    <row r="392" spans="1:21" ht="19.5" x14ac:dyDescent="0.3">
      <c r="A392" s="128"/>
      <c r="B392" s="158"/>
      <c r="C392" s="161" t="s">
        <v>18</v>
      </c>
      <c r="D392" s="1534" t="s">
        <v>19</v>
      </c>
      <c r="E392" s="40"/>
      <c r="F392" s="40"/>
      <c r="G392" s="42"/>
      <c r="H392" s="131" t="s">
        <v>14</v>
      </c>
      <c r="I392" s="44"/>
      <c r="J392" s="44"/>
      <c r="K392" s="45"/>
      <c r="L392" s="1389">
        <f>L393+L394</f>
        <v>0</v>
      </c>
      <c r="M392" s="1390">
        <f>M393+M394</f>
        <v>0</v>
      </c>
      <c r="N392" s="1390">
        <f>N393+N394</f>
        <v>0</v>
      </c>
      <c r="O392" s="1390">
        <f>IF(L392&gt;0,N392*100/L392,0)</f>
        <v>0</v>
      </c>
      <c r="P392" s="1390">
        <f>IF(M392&gt;0,N392*100/M392,0)</f>
        <v>0</v>
      </c>
      <c r="Q392" s="1390">
        <f ca="1">Q393+Q394</f>
        <v>0</v>
      </c>
      <c r="R392" s="1390">
        <f ca="1">R393+R394</f>
        <v>0</v>
      </c>
      <c r="S392" s="1390">
        <f ca="1">S393+S394</f>
        <v>0</v>
      </c>
      <c r="T392" s="1390">
        <f ca="1">IF(Q392&gt;0,S392*100/Q392,0)</f>
        <v>0</v>
      </c>
      <c r="U392" s="1390">
        <f ca="1">IF(R392&gt;0,S392*100/R392,0)</f>
        <v>0</v>
      </c>
    </row>
    <row r="393" spans="1:21" ht="18.75" x14ac:dyDescent="0.25">
      <c r="A393" s="128"/>
      <c r="B393" s="158"/>
      <c r="C393" s="158"/>
      <c r="D393" s="158"/>
      <c r="E393" s="156" t="s">
        <v>20</v>
      </c>
      <c r="F393" s="40"/>
      <c r="G393" s="42"/>
      <c r="H393" s="157" t="s">
        <v>14</v>
      </c>
      <c r="I393" s="44"/>
      <c r="J393" s="44"/>
      <c r="K393" s="45"/>
      <c r="L393" s="1358">
        <f>L396+L399</f>
        <v>0</v>
      </c>
      <c r="M393" s="83">
        <f>M396+M399</f>
        <v>0</v>
      </c>
      <c r="N393" s="83">
        <f>N396+N399</f>
        <v>0</v>
      </c>
      <c r="O393" s="83">
        <f>IF(L393&gt;0,N393*100/L393,0)</f>
        <v>0</v>
      </c>
      <c r="P393" s="83">
        <f>IF(M393&gt;0,N393*100/M393,0)</f>
        <v>0</v>
      </c>
      <c r="Q393" s="83">
        <f>Q396+Q399</f>
        <v>0</v>
      </c>
      <c r="R393" s="83">
        <f>R396+R399</f>
        <v>0</v>
      </c>
      <c r="S393" s="83">
        <f>S396+S399</f>
        <v>0</v>
      </c>
      <c r="T393" s="83">
        <f>IF(Q393&gt;0,S393*100/Q393,0)</f>
        <v>0</v>
      </c>
      <c r="U393" s="83">
        <f>IF(R393&gt;0,S393*100/R393,0)</f>
        <v>0</v>
      </c>
    </row>
    <row r="394" spans="1:21" ht="18.75" x14ac:dyDescent="0.25">
      <c r="A394" s="128"/>
      <c r="B394" s="158"/>
      <c r="C394" s="158"/>
      <c r="D394" s="158"/>
      <c r="E394" s="47" t="s">
        <v>21</v>
      </c>
      <c r="F394" s="40"/>
      <c r="G394" s="42"/>
      <c r="H394" s="133" t="s">
        <v>14</v>
      </c>
      <c r="I394" s="44"/>
      <c r="J394" s="44"/>
      <c r="K394" s="45"/>
      <c r="L394" s="1356">
        <f>L397+L400</f>
        <v>0</v>
      </c>
      <c r="M394" s="224">
        <f>M397+M400</f>
        <v>0</v>
      </c>
      <c r="N394" s="224">
        <f>N397+N400</f>
        <v>0</v>
      </c>
      <c r="O394" s="224">
        <f>IF(L394&gt;0,N394*100/L394,0)</f>
        <v>0</v>
      </c>
      <c r="P394" s="224">
        <f>IF(M394&gt;0,N394*100/M394,0)</f>
        <v>0</v>
      </c>
      <c r="Q394" s="224">
        <f ca="1">Q397+Q400</f>
        <v>0</v>
      </c>
      <c r="R394" s="224">
        <f ca="1">R397+R400</f>
        <v>0</v>
      </c>
      <c r="S394" s="224">
        <f ca="1">S397+S400</f>
        <v>0</v>
      </c>
      <c r="T394" s="224">
        <f ca="1">IF(Q394&gt;0,S394*100/Q394,0)</f>
        <v>0</v>
      </c>
      <c r="U394" s="224">
        <f ca="1">IF(R394&gt;0,S394*100/R394,0)</f>
        <v>0</v>
      </c>
    </row>
    <row r="395" spans="1:21" ht="18.75" x14ac:dyDescent="0.25">
      <c r="A395" s="128"/>
      <c r="B395" s="158"/>
      <c r="C395" s="158"/>
      <c r="D395" s="1406" t="s">
        <v>22</v>
      </c>
      <c r="E395" s="40"/>
      <c r="F395" s="40"/>
      <c r="G395" s="42"/>
      <c r="H395" s="134" t="s">
        <v>14</v>
      </c>
      <c r="I395" s="135"/>
      <c r="J395" s="135"/>
      <c r="K395" s="136"/>
      <c r="L395" s="1356">
        <f>L396+L397</f>
        <v>0</v>
      </c>
      <c r="M395" s="224">
        <f>M396+M397</f>
        <v>0</v>
      </c>
      <c r="N395" s="224">
        <f>N396+N397</f>
        <v>0</v>
      </c>
      <c r="O395" s="224">
        <f>IF(L395&gt;0,N395*100/L395,0)</f>
        <v>0</v>
      </c>
      <c r="P395" s="224">
        <f>IF(M395&gt;0,N395*100/M395,0)</f>
        <v>0</v>
      </c>
      <c r="Q395" s="224">
        <f ca="1">Q396+Q397</f>
        <v>0</v>
      </c>
      <c r="R395" s="224">
        <f ca="1">R396+R397</f>
        <v>0</v>
      </c>
      <c r="S395" s="224">
        <f ca="1">S396+S397</f>
        <v>0</v>
      </c>
      <c r="T395" s="224">
        <f ca="1">IF(Q395&gt;0,S395*100/Q395,0)</f>
        <v>0</v>
      </c>
      <c r="U395" s="224">
        <f ca="1">IF(R395&gt;0,S395*100/R395,0)</f>
        <v>0</v>
      </c>
    </row>
    <row r="396" spans="1:21" ht="18.75" x14ac:dyDescent="0.25">
      <c r="A396" s="128"/>
      <c r="B396" s="158"/>
      <c r="C396" s="158"/>
      <c r="D396" s="158"/>
      <c r="E396" s="156" t="s">
        <v>36</v>
      </c>
      <c r="F396" s="40"/>
      <c r="G396" s="42"/>
      <c r="H396" s="159" t="s">
        <v>14</v>
      </c>
      <c r="I396" s="135"/>
      <c r="J396" s="135"/>
      <c r="K396" s="136"/>
      <c r="L396" s="1358">
        <v>0</v>
      </c>
      <c r="M396" s="83">
        <v>0</v>
      </c>
      <c r="N396" s="83">
        <v>0</v>
      </c>
      <c r="O396" s="83">
        <f>IF(L396&gt;0,N396*100/L396,0)</f>
        <v>0</v>
      </c>
      <c r="P396" s="83">
        <f>IF(M396&gt;0,N396*100/M396,0)</f>
        <v>0</v>
      </c>
      <c r="Q396" s="83">
        <v>0</v>
      </c>
      <c r="R396" s="83">
        <v>0</v>
      </c>
      <c r="S396" s="83">
        <v>0</v>
      </c>
      <c r="T396" s="83">
        <f>IF(Q396&gt;0,S396*100/Q396,0)</f>
        <v>0</v>
      </c>
      <c r="U396" s="83">
        <f>IF(R396&gt;0,S396*100/R396,0)</f>
        <v>0</v>
      </c>
    </row>
    <row r="397" spans="1:21" ht="18.75" x14ac:dyDescent="0.25">
      <c r="A397" s="128"/>
      <c r="B397" s="158"/>
      <c r="C397" s="158"/>
      <c r="D397" s="158"/>
      <c r="E397" s="209" t="s">
        <v>37</v>
      </c>
      <c r="F397" s="158"/>
      <c r="G397" s="180"/>
      <c r="H397" s="134" t="s">
        <v>14</v>
      </c>
      <c r="I397" s="135"/>
      <c r="J397" s="135"/>
      <c r="K397" s="136"/>
      <c r="L397" s="1356">
        <v>0</v>
      </c>
      <c r="M397" s="224">
        <v>0</v>
      </c>
      <c r="N397" s="224">
        <v>0</v>
      </c>
      <c r="O397" s="224">
        <f>IF(L397&gt;0,N397*100/L397,0)</f>
        <v>0</v>
      </c>
      <c r="P397" s="224">
        <f>IF(M397&gt;0,N397*100/M397,0)</f>
        <v>0</v>
      </c>
      <c r="Q397" s="224">
        <f ca="1">IFERROR(__xludf.DUMMYFUNCTION("IMPORTRANGE(""https://docs.google.com/spreadsheets/d/1ItG2mGa2ceCfYo0BwxsXqNm01IGEUdYcSSLTEv9YCik/edit?usp=sharing"",""เบิกจ่ายกองทุน!CL26"")"),0)</f>
        <v>0</v>
      </c>
      <c r="R397" s="224">
        <f ca="1">IFERROR(__xludf.DUMMYFUNCTION("IMPORTRANGE(""https://docs.google.com/spreadsheets/d/1ItG2mGa2ceCfYo0BwxsXqNm01IGEUdYcSSLTEv9YCik/edit?usp=sharing"",""เบิกจ่ายกองทุน!CM26"")"),0)</f>
        <v>0</v>
      </c>
      <c r="S397" s="224">
        <f ca="1">IFERROR(__xludf.DUMMYFUNCTION("IMPORTRANGE(""https://docs.google.com/spreadsheets/d/1ItG2mGa2ceCfYo0BwxsXqNm01IGEUdYcSSLTEv9YCik/edit?usp=sharing"",""เบิกจ่ายกองทุน!CN26"")"),0)</f>
        <v>0</v>
      </c>
      <c r="T397" s="224">
        <f ca="1">IF(Q397&gt;0,S397*100/Q397,0)</f>
        <v>0</v>
      </c>
      <c r="U397" s="224">
        <f ca="1">IF(R397&gt;0,S397*100/R397,0)</f>
        <v>0</v>
      </c>
    </row>
    <row r="398" spans="1:21" ht="18.75" x14ac:dyDescent="0.25">
      <c r="A398" s="128"/>
      <c r="B398" s="158"/>
      <c r="C398" s="158"/>
      <c r="D398" s="1406" t="s">
        <v>23</v>
      </c>
      <c r="E398" s="40"/>
      <c r="F398" s="40"/>
      <c r="G398" s="42"/>
      <c r="H398" s="137" t="s">
        <v>14</v>
      </c>
      <c r="I398" s="135"/>
      <c r="J398" s="135"/>
      <c r="K398" s="136"/>
      <c r="L398" s="1356">
        <f>L399+L400</f>
        <v>0</v>
      </c>
      <c r="M398" s="224">
        <f>M399+M400</f>
        <v>0</v>
      </c>
      <c r="N398" s="224">
        <f>N399+N400</f>
        <v>0</v>
      </c>
      <c r="O398" s="224">
        <f>IF(L398&gt;0,N398*100/L398,0)</f>
        <v>0</v>
      </c>
      <c r="P398" s="224">
        <f>IF(M398&gt;0,N398*100/M398,0)</f>
        <v>0</v>
      </c>
      <c r="Q398" s="224">
        <f>Q399+Q400</f>
        <v>0</v>
      </c>
      <c r="R398" s="224">
        <f>R399+R400</f>
        <v>0</v>
      </c>
      <c r="S398" s="224">
        <f>S399+S400</f>
        <v>0</v>
      </c>
      <c r="T398" s="224">
        <f>IF(Q398&gt;0,S398*100/Q398,0)</f>
        <v>0</v>
      </c>
      <c r="U398" s="224">
        <f>IF(R398&gt;0,S398*100/R398,0)</f>
        <v>0</v>
      </c>
    </row>
    <row r="399" spans="1:21" ht="18.75" x14ac:dyDescent="0.25">
      <c r="A399" s="128"/>
      <c r="B399" s="158"/>
      <c r="C399" s="158"/>
      <c r="D399" s="158"/>
      <c r="E399" s="156" t="s">
        <v>20</v>
      </c>
      <c r="F399" s="40"/>
      <c r="G399" s="42"/>
      <c r="H399" s="159" t="s">
        <v>14</v>
      </c>
      <c r="I399" s="135"/>
      <c r="J399" s="135"/>
      <c r="K399" s="136"/>
      <c r="L399" s="1358">
        <v>0</v>
      </c>
      <c r="M399" s="83">
        <v>0</v>
      </c>
      <c r="N399" s="83">
        <v>0</v>
      </c>
      <c r="O399" s="83">
        <f>IF(L399&gt;0,N399*100/L399,0)</f>
        <v>0</v>
      </c>
      <c r="P399" s="83">
        <f>IF(M399&gt;0,N399*100/M399,0)</f>
        <v>0</v>
      </c>
      <c r="Q399" s="83">
        <v>0</v>
      </c>
      <c r="R399" s="83">
        <v>0</v>
      </c>
      <c r="S399" s="83">
        <v>0</v>
      </c>
      <c r="T399" s="83">
        <f>IF(Q399&gt;0,S399*100/Q399,0)</f>
        <v>0</v>
      </c>
      <c r="U399" s="83">
        <f>IF(R399&gt;0,S399*100/R399,0)</f>
        <v>0</v>
      </c>
    </row>
    <row r="400" spans="1:21" ht="18.75" x14ac:dyDescent="0.25">
      <c r="A400" s="128"/>
      <c r="B400" s="158"/>
      <c r="C400" s="158"/>
      <c r="D400" s="158"/>
      <c r="E400" s="47" t="s">
        <v>21</v>
      </c>
      <c r="F400" s="40"/>
      <c r="G400" s="42"/>
      <c r="H400" s="137" t="s">
        <v>14</v>
      </c>
      <c r="I400" s="135"/>
      <c r="J400" s="135"/>
      <c r="K400" s="136"/>
      <c r="L400" s="1356">
        <v>0</v>
      </c>
      <c r="M400" s="224">
        <v>0</v>
      </c>
      <c r="N400" s="224">
        <v>0</v>
      </c>
      <c r="O400" s="224">
        <f>IF(L400&gt;0,N400*100/L400,0)</f>
        <v>0</v>
      </c>
      <c r="P400" s="224">
        <f>IF(M400&gt;0,N400*100/M400,0)</f>
        <v>0</v>
      </c>
      <c r="Q400" s="224">
        <v>0</v>
      </c>
      <c r="R400" s="224">
        <v>0</v>
      </c>
      <c r="S400" s="224">
        <v>0</v>
      </c>
      <c r="T400" s="224">
        <f>IF(Q400&gt;0,S400*100/Q400,0)</f>
        <v>0</v>
      </c>
      <c r="U400" s="224">
        <f>IF(R400&gt;0,S400*100/R400,0)</f>
        <v>0</v>
      </c>
    </row>
    <row r="401" spans="1:21" ht="19.5" x14ac:dyDescent="0.3">
      <c r="A401" s="138"/>
      <c r="B401" s="139"/>
      <c r="C401" s="161" t="s">
        <v>18</v>
      </c>
      <c r="D401" s="1535" t="s">
        <v>38</v>
      </c>
      <c r="E401" s="141"/>
      <c r="F401" s="141"/>
      <c r="G401" s="142"/>
      <c r="H401" s="178"/>
      <c r="I401" s="135"/>
      <c r="J401" s="44"/>
      <c r="K401" s="45"/>
      <c r="L401" s="1359"/>
      <c r="M401" s="45"/>
      <c r="N401" s="45"/>
      <c r="O401" s="136"/>
      <c r="P401" s="136"/>
      <c r="Q401" s="45"/>
      <c r="R401" s="45"/>
      <c r="S401" s="45"/>
      <c r="T401" s="136"/>
      <c r="U401" s="136"/>
    </row>
    <row r="402" spans="1:21" ht="12.75" x14ac:dyDescent="0.2">
      <c r="A402" s="227"/>
      <c r="B402" s="228"/>
      <c r="C402" s="228"/>
      <c r="D402" s="228"/>
      <c r="E402" s="229"/>
      <c r="F402" s="229"/>
      <c r="G402" s="230"/>
      <c r="H402" s="231"/>
      <c r="I402" s="232"/>
      <c r="J402" s="232"/>
      <c r="K402" s="233"/>
      <c r="L402" s="1536"/>
      <c r="M402" s="233"/>
      <c r="N402" s="233"/>
      <c r="O402" s="233"/>
      <c r="P402" s="233"/>
      <c r="Q402" s="233"/>
      <c r="R402" s="233"/>
      <c r="S402" s="233"/>
      <c r="T402" s="233"/>
      <c r="U402" s="233"/>
    </row>
    <row r="403" spans="1:21" ht="12.75" x14ac:dyDescent="0.2">
      <c r="A403" s="228"/>
      <c r="B403" s="228"/>
      <c r="C403" s="228"/>
      <c r="D403" s="228"/>
      <c r="E403" s="228"/>
      <c r="F403" s="228"/>
      <c r="G403" s="231"/>
      <c r="H403" s="231"/>
      <c r="I403" s="232"/>
      <c r="J403" s="232"/>
      <c r="K403" s="233"/>
      <c r="L403" s="1536"/>
      <c r="M403" s="233"/>
      <c r="N403" s="233"/>
      <c r="O403" s="233"/>
      <c r="P403" s="233"/>
      <c r="Q403" s="233"/>
      <c r="R403" s="233"/>
      <c r="S403" s="233"/>
      <c r="T403" s="233"/>
      <c r="U403" s="233"/>
    </row>
    <row r="404" spans="1:21" ht="12.75" x14ac:dyDescent="0.2">
      <c r="A404" s="228"/>
      <c r="B404" s="228"/>
      <c r="C404" s="228"/>
      <c r="D404" s="228"/>
      <c r="E404" s="228"/>
      <c r="F404" s="228"/>
      <c r="G404" s="231"/>
      <c r="H404" s="231"/>
      <c r="I404" s="232"/>
      <c r="J404" s="232"/>
      <c r="K404" s="233"/>
      <c r="L404" s="1536"/>
      <c r="M404" s="233"/>
      <c r="N404" s="233"/>
      <c r="O404" s="233"/>
      <c r="P404" s="233"/>
      <c r="Q404" s="233"/>
      <c r="R404" s="233"/>
      <c r="S404" s="233"/>
      <c r="T404" s="233"/>
      <c r="U404" s="233"/>
    </row>
    <row r="405" spans="1:21" ht="12.75" x14ac:dyDescent="0.2">
      <c r="A405" s="228"/>
      <c r="B405" s="228"/>
      <c r="C405" s="228"/>
      <c r="D405" s="228"/>
      <c r="E405" s="228"/>
      <c r="F405" s="228"/>
      <c r="G405" s="231"/>
      <c r="H405" s="231"/>
      <c r="I405" s="232"/>
      <c r="J405" s="232"/>
      <c r="K405" s="233"/>
      <c r="L405" s="1536"/>
      <c r="M405" s="233"/>
      <c r="N405" s="233"/>
      <c r="O405" s="233"/>
      <c r="P405" s="233"/>
      <c r="Q405" s="233"/>
      <c r="R405" s="233"/>
      <c r="S405" s="233"/>
      <c r="T405" s="233"/>
      <c r="U405" s="233"/>
    </row>
    <row r="406" spans="1:21" ht="12.75" x14ac:dyDescent="0.2">
      <c r="A406" s="228"/>
      <c r="B406" s="228"/>
      <c r="C406" s="228"/>
      <c r="D406" s="228"/>
      <c r="E406" s="228"/>
      <c r="F406" s="228"/>
      <c r="G406" s="231"/>
      <c r="H406" s="231"/>
      <c r="I406" s="232"/>
      <c r="J406" s="232"/>
      <c r="K406" s="233"/>
      <c r="L406" s="1536"/>
      <c r="M406" s="233"/>
      <c r="N406" s="233"/>
      <c r="O406" s="233"/>
      <c r="P406" s="233"/>
      <c r="Q406" s="233"/>
      <c r="R406" s="233"/>
      <c r="S406" s="233"/>
      <c r="T406" s="233"/>
      <c r="U406" s="233"/>
    </row>
    <row r="407" spans="1:21" ht="12.75" x14ac:dyDescent="0.2">
      <c r="A407" s="228"/>
      <c r="B407" s="228"/>
      <c r="C407" s="228"/>
      <c r="D407" s="228"/>
      <c r="E407" s="228"/>
      <c r="F407" s="228"/>
      <c r="G407" s="231"/>
      <c r="H407" s="231"/>
      <c r="I407" s="232"/>
      <c r="J407" s="232"/>
      <c r="K407" s="233"/>
      <c r="L407" s="1536"/>
      <c r="M407" s="233"/>
      <c r="N407" s="233"/>
      <c r="O407" s="233"/>
      <c r="P407" s="233"/>
      <c r="Q407" s="233"/>
      <c r="R407" s="233"/>
      <c r="S407" s="233"/>
      <c r="T407" s="233"/>
      <c r="U407" s="233"/>
    </row>
    <row r="408" spans="1:21" ht="12.75" x14ac:dyDescent="0.2">
      <c r="A408" s="228"/>
      <c r="B408" s="228"/>
      <c r="C408" s="228"/>
      <c r="D408" s="228"/>
      <c r="E408" s="228"/>
      <c r="F408" s="228"/>
      <c r="G408" s="231"/>
      <c r="H408" s="231"/>
      <c r="I408" s="232"/>
      <c r="J408" s="232"/>
      <c r="K408" s="233"/>
      <c r="L408" s="1536"/>
      <c r="M408" s="233"/>
      <c r="N408" s="233"/>
      <c r="O408" s="233"/>
      <c r="P408" s="233"/>
      <c r="Q408" s="233"/>
      <c r="R408" s="233"/>
      <c r="S408" s="233"/>
      <c r="T408" s="233"/>
      <c r="U408" s="233"/>
    </row>
    <row r="409" spans="1:21" ht="12.75" x14ac:dyDescent="0.2">
      <c r="A409" s="228"/>
      <c r="B409" s="228"/>
      <c r="C409" s="228"/>
      <c r="D409" s="228"/>
      <c r="E409" s="228"/>
      <c r="F409" s="228"/>
      <c r="G409" s="231"/>
      <c r="H409" s="231"/>
      <c r="I409" s="232"/>
      <c r="J409" s="232"/>
      <c r="K409" s="233"/>
      <c r="L409" s="1536"/>
      <c r="M409" s="233"/>
      <c r="N409" s="233"/>
      <c r="O409" s="233"/>
      <c r="P409" s="233"/>
      <c r="Q409" s="233"/>
      <c r="R409" s="233"/>
      <c r="S409" s="233"/>
      <c r="T409" s="233"/>
      <c r="U409" s="233"/>
    </row>
    <row r="410" spans="1:21" ht="12.75" x14ac:dyDescent="0.2">
      <c r="A410" s="228"/>
      <c r="B410" s="228"/>
      <c r="C410" s="228"/>
      <c r="D410" s="228"/>
      <c r="E410" s="228"/>
      <c r="F410" s="228"/>
      <c r="G410" s="231"/>
      <c r="H410" s="231"/>
      <c r="I410" s="232"/>
      <c r="J410" s="232"/>
      <c r="K410" s="233"/>
      <c r="L410" s="1536"/>
      <c r="M410" s="233"/>
      <c r="N410" s="233"/>
      <c r="O410" s="233"/>
      <c r="P410" s="233"/>
      <c r="Q410" s="233"/>
      <c r="R410" s="233"/>
      <c r="S410" s="233"/>
      <c r="T410" s="233"/>
      <c r="U410" s="233"/>
    </row>
    <row r="411" spans="1:21" ht="12.75" x14ac:dyDescent="0.2">
      <c r="A411" s="316"/>
      <c r="B411" s="316"/>
      <c r="C411" s="316"/>
      <c r="D411" s="316"/>
      <c r="E411" s="316"/>
      <c r="F411" s="316"/>
      <c r="G411" s="317"/>
      <c r="H411" s="317"/>
      <c r="I411" s="318"/>
      <c r="J411" s="318"/>
      <c r="K411" s="319"/>
      <c r="L411" s="1537"/>
      <c r="M411" s="319"/>
      <c r="N411" s="319"/>
      <c r="O411" s="319"/>
      <c r="P411" s="319"/>
      <c r="Q411" s="319"/>
      <c r="R411" s="319"/>
      <c r="S411" s="319"/>
      <c r="T411" s="319"/>
      <c r="U411" s="319"/>
    </row>
    <row r="412" spans="1:21" ht="19.5" x14ac:dyDescent="0.3">
      <c r="A412" s="301"/>
      <c r="B412" s="310" t="s">
        <v>157</v>
      </c>
      <c r="C412" s="301"/>
      <c r="D412" s="301"/>
      <c r="E412" s="301"/>
      <c r="F412" s="301"/>
      <c r="G412" s="320"/>
      <c r="H412" s="321" t="s">
        <v>46</v>
      </c>
      <c r="I412" s="1501">
        <f ca="1">I423</f>
        <v>21235</v>
      </c>
      <c r="J412" s="1501">
        <f>J423</f>
        <v>0</v>
      </c>
      <c r="K412" s="1502">
        <f ca="1">IF(I412&gt;0,J412*100/I412,0)</f>
        <v>0</v>
      </c>
      <c r="L412" s="1503"/>
      <c r="M412" s="298"/>
      <c r="N412" s="298"/>
      <c r="O412" s="298"/>
      <c r="P412" s="298"/>
      <c r="Q412" s="298"/>
      <c r="R412" s="298"/>
      <c r="S412" s="298"/>
      <c r="T412" s="298"/>
      <c r="U412" s="298"/>
    </row>
    <row r="413" spans="1:21" ht="19.5" x14ac:dyDescent="0.3">
      <c r="A413" s="128"/>
      <c r="B413" s="158"/>
      <c r="C413" s="322" t="s">
        <v>18</v>
      </c>
      <c r="D413" s="1538" t="s">
        <v>19</v>
      </c>
      <c r="E413" s="1292"/>
      <c r="F413" s="1292"/>
      <c r="G413" s="1293"/>
      <c r="H413" s="323" t="s">
        <v>14</v>
      </c>
      <c r="I413" s="44"/>
      <c r="J413" s="44"/>
      <c r="K413" s="45"/>
      <c r="L413" s="1389">
        <f ca="1">L414+L415</f>
        <v>287060</v>
      </c>
      <c r="M413" s="1390">
        <f ca="1">M414+M415</f>
        <v>52000</v>
      </c>
      <c r="N413" s="1390">
        <f ca="1">N414+N415</f>
        <v>0</v>
      </c>
      <c r="O413" s="1390">
        <f ca="1">IF(L413&gt;0,N413*100/L413,0)</f>
        <v>0</v>
      </c>
      <c r="P413" s="1390">
        <f ca="1">IF(M413&gt;0,N413*100/M413,0)</f>
        <v>0</v>
      </c>
      <c r="Q413" s="1390">
        <f ca="1">Q414+Q415</f>
        <v>71960</v>
      </c>
      <c r="R413" s="1390">
        <f ca="1">R414+R415</f>
        <v>71960</v>
      </c>
      <c r="S413" s="1390">
        <f ca="1">S414+S415</f>
        <v>0</v>
      </c>
      <c r="T413" s="1390">
        <f ca="1">IF(Q413&gt;0,S413*100/Q413,0)</f>
        <v>0</v>
      </c>
      <c r="U413" s="1390">
        <f ca="1">IF(R413&gt;0,S413*100/R413,0)</f>
        <v>0</v>
      </c>
    </row>
    <row r="414" spans="1:21" ht="18.75" x14ac:dyDescent="0.25">
      <c r="A414" s="128"/>
      <c r="B414" s="158"/>
      <c r="C414" s="158"/>
      <c r="D414" s="158"/>
      <c r="E414" s="314" t="s">
        <v>158</v>
      </c>
      <c r="F414" s="158"/>
      <c r="G414" s="180"/>
      <c r="H414" s="176" t="s">
        <v>14</v>
      </c>
      <c r="I414" s="44"/>
      <c r="J414" s="44"/>
      <c r="K414" s="45"/>
      <c r="L414" s="1358">
        <f>L417+L420</f>
        <v>0</v>
      </c>
      <c r="M414" s="83">
        <f>M417+M420</f>
        <v>0</v>
      </c>
      <c r="N414" s="83">
        <f>N417+N420</f>
        <v>0</v>
      </c>
      <c r="O414" s="83">
        <f>IF(L414&gt;0,N414*100/L414,0)</f>
        <v>0</v>
      </c>
      <c r="P414" s="83">
        <f>IF(M414&gt;0,N414*100/M414,0)</f>
        <v>0</v>
      </c>
      <c r="Q414" s="83">
        <f>Q417+Q420</f>
        <v>0</v>
      </c>
      <c r="R414" s="83">
        <f>R417+R420</f>
        <v>0</v>
      </c>
      <c r="S414" s="83">
        <f>S417+S420</f>
        <v>0</v>
      </c>
      <c r="T414" s="83">
        <f>IF(Q414&gt;0,S414*100/Q414,0)</f>
        <v>0</v>
      </c>
      <c r="U414" s="83">
        <f>IF(R414&gt;0,S414*100/R414,0)</f>
        <v>0</v>
      </c>
    </row>
    <row r="415" spans="1:21" ht="18.75" x14ac:dyDescent="0.25">
      <c r="A415" s="128"/>
      <c r="B415" s="158"/>
      <c r="C415" s="158"/>
      <c r="D415" s="158"/>
      <c r="E415" s="209" t="s">
        <v>159</v>
      </c>
      <c r="F415" s="158"/>
      <c r="G415" s="180"/>
      <c r="H415" s="175" t="s">
        <v>14</v>
      </c>
      <c r="I415" s="44"/>
      <c r="J415" s="44"/>
      <c r="K415" s="45"/>
      <c r="L415" s="1356">
        <f ca="1">L418+L421</f>
        <v>287060</v>
      </c>
      <c r="M415" s="224">
        <f ca="1">M418+M421</f>
        <v>52000</v>
      </c>
      <c r="N415" s="224">
        <f ca="1">N418+N421</f>
        <v>0</v>
      </c>
      <c r="O415" s="224">
        <f ca="1">IF(L415&gt;0,N415*100/L415,0)</f>
        <v>0</v>
      </c>
      <c r="P415" s="224">
        <f ca="1">IF(M415&gt;0,N415*100/M415,0)</f>
        <v>0</v>
      </c>
      <c r="Q415" s="224">
        <f ca="1">Q418+Q421</f>
        <v>71960</v>
      </c>
      <c r="R415" s="224">
        <f ca="1">R418+R421</f>
        <v>71960</v>
      </c>
      <c r="S415" s="224">
        <f ca="1">S418+S421</f>
        <v>0</v>
      </c>
      <c r="T415" s="224">
        <f ca="1">IF(Q415&gt;0,S415*100/Q415,0)</f>
        <v>0</v>
      </c>
      <c r="U415" s="224">
        <f ca="1">IF(R415&gt;0,S415*100/R415,0)</f>
        <v>0</v>
      </c>
    </row>
    <row r="416" spans="1:21" ht="19.5" x14ac:dyDescent="0.3">
      <c r="A416" s="128"/>
      <c r="B416" s="158"/>
      <c r="C416" s="158"/>
      <c r="D416" s="1534" t="s">
        <v>22</v>
      </c>
      <c r="E416" s="158"/>
      <c r="F416" s="158"/>
      <c r="G416" s="180"/>
      <c r="H416" s="323" t="s">
        <v>14</v>
      </c>
      <c r="I416" s="44"/>
      <c r="J416" s="44"/>
      <c r="K416" s="45"/>
      <c r="L416" s="1356">
        <f ca="1">L417+L418</f>
        <v>287060</v>
      </c>
      <c r="M416" s="224">
        <f ca="1">M417+M418</f>
        <v>52000</v>
      </c>
      <c r="N416" s="224">
        <f ca="1">N417+N418</f>
        <v>0</v>
      </c>
      <c r="O416" s="224">
        <f ca="1">IF(L416&gt;0,N416*100/L416,0)</f>
        <v>0</v>
      </c>
      <c r="P416" s="224">
        <f ca="1">IF(M416&gt;0,N416*100/M416,0)</f>
        <v>0</v>
      </c>
      <c r="Q416" s="224">
        <f ca="1">Q417+Q418</f>
        <v>71960</v>
      </c>
      <c r="R416" s="224">
        <f ca="1">R417+R418</f>
        <v>71960</v>
      </c>
      <c r="S416" s="224">
        <f ca="1">S417+S418</f>
        <v>0</v>
      </c>
      <c r="T416" s="224">
        <f ca="1">IF(Q416&gt;0,S416*100/Q416,0)</f>
        <v>0</v>
      </c>
      <c r="U416" s="224">
        <f ca="1">IF(R416&gt;0,S416*100/R416,0)</f>
        <v>0</v>
      </c>
    </row>
    <row r="417" spans="1:21" ht="18.75" x14ac:dyDescent="0.25">
      <c r="A417" s="128"/>
      <c r="B417" s="158"/>
      <c r="C417" s="158"/>
      <c r="D417" s="158"/>
      <c r="E417" s="314" t="s">
        <v>158</v>
      </c>
      <c r="F417" s="158"/>
      <c r="G417" s="180"/>
      <c r="H417" s="176" t="s">
        <v>14</v>
      </c>
      <c r="I417" s="44"/>
      <c r="J417" s="44"/>
      <c r="K417" s="45"/>
      <c r="L417" s="1358">
        <v>0</v>
      </c>
      <c r="M417" s="83">
        <v>0</v>
      </c>
      <c r="N417" s="83">
        <v>0</v>
      </c>
      <c r="O417" s="83">
        <f>IF(L417&gt;0,N417*100/L417,0)</f>
        <v>0</v>
      </c>
      <c r="P417" s="83">
        <f>IF(M417&gt;0,N417*100/M417,0)</f>
        <v>0</v>
      </c>
      <c r="Q417" s="83">
        <v>0</v>
      </c>
      <c r="R417" s="83">
        <v>0</v>
      </c>
      <c r="S417" s="83">
        <v>0</v>
      </c>
      <c r="T417" s="83">
        <f>IF(Q417&gt;0,S417*100/Q417,0)</f>
        <v>0</v>
      </c>
      <c r="U417" s="83">
        <f>IF(R417&gt;0,S417*100/R417,0)</f>
        <v>0</v>
      </c>
    </row>
    <row r="418" spans="1:21" ht="18.75" x14ac:dyDescent="0.25">
      <c r="A418" s="128"/>
      <c r="B418" s="158"/>
      <c r="C418" s="158"/>
      <c r="D418" s="158"/>
      <c r="E418" s="209" t="s">
        <v>159</v>
      </c>
      <c r="F418" s="158"/>
      <c r="G418" s="180"/>
      <c r="H418" s="175" t="s">
        <v>14</v>
      </c>
      <c r="I418" s="44"/>
      <c r="J418" s="44"/>
      <c r="K418" s="45"/>
      <c r="L418" s="1356">
        <f ca="1">IFERROR(__xludf.DUMMYFUNCTION("IMPORTRANGE(""https://docs.google.com/spreadsheets/d/1-uDff_7J0KD5mKrp0Vvzr7lt3OU09vwQwhkpOPPYv2Y/edit?usp=sharing"",""งบพรบ!IO26"")"),287060)</f>
        <v>287060</v>
      </c>
      <c r="M418" s="224">
        <f ca="1">IFERROR(__xludf.DUMMYFUNCTION("IMPORTRANGE(""https://docs.google.com/spreadsheets/d/1-uDff_7J0KD5mKrp0Vvzr7lt3OU09vwQwhkpOPPYv2Y/edit?usp=sharing"",""งบพรบ!IT26"")"),52000)</f>
        <v>52000</v>
      </c>
      <c r="N418" s="224">
        <f ca="1">IFERROR(__xludf.DUMMYFUNCTION("IMPORTRANGE(""https://docs.google.com/spreadsheets/d/1-uDff_7J0KD5mKrp0Vvzr7lt3OU09vwQwhkpOPPYv2Y/edit?usp=sharing"",""งบพรบ!IV26"")"),0)</f>
        <v>0</v>
      </c>
      <c r="O418" s="224">
        <f ca="1">IF(L418&gt;0,N418*100/L418,0)</f>
        <v>0</v>
      </c>
      <c r="P418" s="224">
        <f ca="1">IF(M418&gt;0,N418*100/M418,0)</f>
        <v>0</v>
      </c>
      <c r="Q418" s="224">
        <f ca="1">IFERROR(__xludf.DUMMYFUNCTION("IMPORTRANGE(""https://docs.google.com/spreadsheets/d/1ItG2mGa2ceCfYo0BwxsXqNm01IGEUdYcSSLTEv9YCik/edit?usp=sharing"",""เบิกจ่ายกองทุน!BZ26"")"),71960)</f>
        <v>71960</v>
      </c>
      <c r="R418" s="224">
        <f ca="1">IFERROR(__xludf.DUMMYFUNCTION("IMPORTRANGE(""https://docs.google.com/spreadsheets/d/1ItG2mGa2ceCfYo0BwxsXqNm01IGEUdYcSSLTEv9YCik/edit?usp=sharing"",""เบิกจ่ายกองทุน!CA26"")"),71960)</f>
        <v>71960</v>
      </c>
      <c r="S418" s="224">
        <f ca="1">IFERROR(__xludf.DUMMYFUNCTION("IMPORTRANGE(""https://docs.google.com/spreadsheets/d/1ItG2mGa2ceCfYo0BwxsXqNm01IGEUdYcSSLTEv9YCik/edit?usp=sharing"",""เบิกจ่ายกองทุน!CB26"")"),0)</f>
        <v>0</v>
      </c>
      <c r="T418" s="224">
        <f ca="1">IF(Q418&gt;0,S418*100/Q418,0)</f>
        <v>0</v>
      </c>
      <c r="U418" s="224">
        <f ca="1">IF(R418&gt;0,S418*100/R418,0)</f>
        <v>0</v>
      </c>
    </row>
    <row r="419" spans="1:21" ht="19.5" x14ac:dyDescent="0.3">
      <c r="A419" s="128"/>
      <c r="B419" s="158"/>
      <c r="C419" s="158"/>
      <c r="D419" s="1534" t="s">
        <v>23</v>
      </c>
      <c r="E419" s="158"/>
      <c r="F419" s="158"/>
      <c r="G419" s="180"/>
      <c r="H419" s="131" t="s">
        <v>14</v>
      </c>
      <c r="I419" s="44"/>
      <c r="J419" s="44"/>
      <c r="K419" s="45"/>
      <c r="L419" s="1356">
        <f ca="1">L420+L421</f>
        <v>0</v>
      </c>
      <c r="M419" s="224">
        <f ca="1">M420+M421</f>
        <v>0</v>
      </c>
      <c r="N419" s="224">
        <f ca="1">N420+N421</f>
        <v>0</v>
      </c>
      <c r="O419" s="224">
        <f ca="1">IF(L419&gt;0,N419*100/L419,0)</f>
        <v>0</v>
      </c>
      <c r="P419" s="224">
        <f ca="1">IF(M419&gt;0,N419*100/M419,0)</f>
        <v>0</v>
      </c>
      <c r="Q419" s="224">
        <f>Q420+Q421</f>
        <v>0</v>
      </c>
      <c r="R419" s="224">
        <f>R420+R421</f>
        <v>0</v>
      </c>
      <c r="S419" s="224">
        <f>S420+S421</f>
        <v>0</v>
      </c>
      <c r="T419" s="224">
        <f>IF(Q419&gt;0,S419*100/Q419,0)</f>
        <v>0</v>
      </c>
      <c r="U419" s="224">
        <f>IF(R419&gt;0,S419*100/R419,0)</f>
        <v>0</v>
      </c>
    </row>
    <row r="420" spans="1:21" ht="18.75" x14ac:dyDescent="0.25">
      <c r="A420" s="128"/>
      <c r="B420" s="158"/>
      <c r="C420" s="158"/>
      <c r="D420" s="158"/>
      <c r="E420" s="314" t="s">
        <v>20</v>
      </c>
      <c r="F420" s="158"/>
      <c r="G420" s="180"/>
      <c r="H420" s="176" t="s">
        <v>14</v>
      </c>
      <c r="I420" s="44"/>
      <c r="J420" s="44"/>
      <c r="K420" s="45"/>
      <c r="L420" s="1358">
        <v>0</v>
      </c>
      <c r="M420" s="83">
        <v>0</v>
      </c>
      <c r="N420" s="83">
        <v>0</v>
      </c>
      <c r="O420" s="83">
        <f>IF(L420&gt;0,N420*100/L420,0)</f>
        <v>0</v>
      </c>
      <c r="P420" s="83">
        <f>IF(M420&gt;0,N420*100/M420,0)</f>
        <v>0</v>
      </c>
      <c r="Q420" s="83">
        <v>0</v>
      </c>
      <c r="R420" s="83">
        <v>0</v>
      </c>
      <c r="S420" s="83">
        <v>0</v>
      </c>
      <c r="T420" s="83">
        <f>IF(Q420&gt;0,S420*100/Q420,0)</f>
        <v>0</v>
      </c>
      <c r="U420" s="83">
        <f>IF(R420&gt;0,S420*100/R420,0)</f>
        <v>0</v>
      </c>
    </row>
    <row r="421" spans="1:21" ht="18.75" x14ac:dyDescent="0.25">
      <c r="A421" s="128"/>
      <c r="B421" s="158"/>
      <c r="C421" s="158"/>
      <c r="D421" s="158"/>
      <c r="E421" s="209" t="s">
        <v>21</v>
      </c>
      <c r="F421" s="158"/>
      <c r="G421" s="180"/>
      <c r="H421" s="133" t="s">
        <v>14</v>
      </c>
      <c r="I421" s="44"/>
      <c r="J421" s="44"/>
      <c r="K421" s="45"/>
      <c r="L421" s="1356">
        <f ca="1">IFERROR(__xludf.DUMMYFUNCTION("IMPORTRANGE(""https://docs.google.com/spreadsheets/d/1-uDff_7J0KD5mKrp0Vvzr7lt3OU09vwQwhkpOPPYv2Y/edit?usp=sharing"",""งบพรบ!IR26"")"),0)</f>
        <v>0</v>
      </c>
      <c r="M421" s="224">
        <f ca="1">IFERROR(__xludf.DUMMYFUNCTION("IMPORTRANGE(""https://docs.google.com/spreadsheets/d/1-uDff_7J0KD5mKrp0Vvzr7lt3OU09vwQwhkpOPPYv2Y/edit?usp=sharing"",""งบพรบ!IU26"")"),0)</f>
        <v>0</v>
      </c>
      <c r="N421" s="224">
        <f ca="1">IFERROR(__xludf.DUMMYFUNCTION("IMPORTRANGE(""https://docs.google.com/spreadsheets/d/1-uDff_7J0KD5mKrp0Vvzr7lt3OU09vwQwhkpOPPYv2Y/edit?usp=sharing"",""งบพรบ!IW26"")"),0)</f>
        <v>0</v>
      </c>
      <c r="O421" s="224">
        <f ca="1">IF(L421&gt;0,N421*100/L421,0)</f>
        <v>0</v>
      </c>
      <c r="P421" s="224">
        <f ca="1">IF(M421&gt;0,N421*100/M421,0)</f>
        <v>0</v>
      </c>
      <c r="Q421" s="224">
        <v>0</v>
      </c>
      <c r="R421" s="224">
        <v>0</v>
      </c>
      <c r="S421" s="224">
        <v>0</v>
      </c>
      <c r="T421" s="224">
        <f>IF(Q421&gt;0,S421*100/Q421,0)</f>
        <v>0</v>
      </c>
      <c r="U421" s="224">
        <f>IF(R421&gt;0,S421*100/R421,0)</f>
        <v>0</v>
      </c>
    </row>
    <row r="422" spans="1:21" ht="19.5" x14ac:dyDescent="0.3">
      <c r="A422" s="208"/>
      <c r="B422" s="158"/>
      <c r="C422" s="322" t="s">
        <v>18</v>
      </c>
      <c r="D422" s="1539" t="s">
        <v>38</v>
      </c>
      <c r="E422" s="158"/>
      <c r="F422" s="158"/>
      <c r="G422" s="180"/>
      <c r="H422" s="180"/>
      <c r="I422" s="44"/>
      <c r="J422" s="44"/>
      <c r="K422" s="45"/>
      <c r="L422" s="1359"/>
      <c r="M422" s="45"/>
      <c r="N422" s="45"/>
      <c r="O422" s="45"/>
      <c r="P422" s="45"/>
      <c r="Q422" s="45"/>
      <c r="R422" s="45"/>
      <c r="S422" s="45"/>
      <c r="T422" s="45"/>
      <c r="U422" s="45"/>
    </row>
    <row r="423" spans="1:21" ht="19.5" x14ac:dyDescent="0.3">
      <c r="A423" s="208"/>
      <c r="B423" s="161" t="s">
        <v>160</v>
      </c>
      <c r="C423" s="158"/>
      <c r="D423" s="158"/>
      <c r="E423" s="158"/>
      <c r="F423" s="158"/>
      <c r="G423" s="180"/>
      <c r="H423" s="323" t="s">
        <v>46</v>
      </c>
      <c r="I423" s="328">
        <f ca="1">I440</f>
        <v>21235</v>
      </c>
      <c r="J423" s="328">
        <f>J440</f>
        <v>0</v>
      </c>
      <c r="K423" s="1390">
        <f ca="1">IF(I423&gt;0,J423*100/I423,0)</f>
        <v>0</v>
      </c>
      <c r="L423" s="1359"/>
      <c r="M423" s="45"/>
      <c r="N423" s="45"/>
      <c r="O423" s="45"/>
      <c r="P423" s="45"/>
      <c r="Q423" s="45"/>
      <c r="R423" s="45"/>
      <c r="S423" s="45"/>
      <c r="T423" s="45"/>
      <c r="U423" s="45"/>
    </row>
    <row r="424" spans="1:21" ht="19.5" x14ac:dyDescent="0.3">
      <c r="A424" s="208"/>
      <c r="B424" s="158"/>
      <c r="C424" s="161" t="s">
        <v>161</v>
      </c>
      <c r="D424" s="158"/>
      <c r="E424" s="158"/>
      <c r="F424" s="158"/>
      <c r="G424" s="180"/>
      <c r="H424" s="131" t="s">
        <v>46</v>
      </c>
      <c r="I424" s="328">
        <f ca="1">IFERROR(__xludf.DUMMYFUNCTION("IMPORTRANGE(""https://docs.google.com/spreadsheets/d/1eHaY18a8A9IcSdp1K8H6x8fbOy06t2VsZHhMHf-1x7Y/edit?usp=sharing"",""แผน!HJ26"")"),21235)</f>
        <v>21235</v>
      </c>
      <c r="J424" s="328">
        <f>J426+J428+J430</f>
        <v>0</v>
      </c>
      <c r="K424" s="1390">
        <f ca="1">IF(I424&gt;0,J424*100/I424,0)</f>
        <v>0</v>
      </c>
      <c r="L424" s="1359"/>
      <c r="M424" s="45"/>
      <c r="N424" s="45"/>
      <c r="O424" s="45"/>
      <c r="P424" s="45"/>
      <c r="Q424" s="45"/>
      <c r="R424" s="45"/>
      <c r="S424" s="45"/>
      <c r="T424" s="45"/>
      <c r="U424" s="45"/>
    </row>
    <row r="425" spans="1:21" ht="19.5" x14ac:dyDescent="0.3">
      <c r="A425" s="208"/>
      <c r="B425" s="158"/>
      <c r="C425" s="158"/>
      <c r="D425" s="158"/>
      <c r="E425" s="158"/>
      <c r="F425" s="158"/>
      <c r="G425" s="180"/>
      <c r="H425" s="131" t="s">
        <v>34</v>
      </c>
      <c r="I425" s="328">
        <f ca="1">IFERROR(__xludf.DUMMYFUNCTION("IMPORTRANGE(""https://docs.google.com/spreadsheets/d/1eHaY18a8A9IcSdp1K8H6x8fbOy06t2VsZHhMHf-1x7Y/edit?usp=sharing"",""แผน!HK26"")"),5413)</f>
        <v>5413</v>
      </c>
      <c r="J425" s="328">
        <f>J427+J429+J431</f>
        <v>0</v>
      </c>
      <c r="K425" s="1390">
        <f ca="1">IF(I425&gt;0,J425*100/I425,0)</f>
        <v>0</v>
      </c>
      <c r="L425" s="1359"/>
      <c r="M425" s="45"/>
      <c r="N425" s="45"/>
      <c r="O425" s="45"/>
      <c r="P425" s="45"/>
      <c r="Q425" s="45"/>
      <c r="R425" s="45"/>
      <c r="S425" s="45"/>
      <c r="T425" s="45"/>
      <c r="U425" s="45"/>
    </row>
    <row r="426" spans="1:21" ht="18.75" x14ac:dyDescent="0.25">
      <c r="A426" s="208"/>
      <c r="B426" s="158"/>
      <c r="C426" s="158"/>
      <c r="D426" s="209" t="s">
        <v>162</v>
      </c>
      <c r="E426" s="158"/>
      <c r="F426" s="158"/>
      <c r="G426" s="180"/>
      <c r="H426" s="133" t="s">
        <v>46</v>
      </c>
      <c r="I426" s="44"/>
      <c r="J426" s="44"/>
      <c r="K426" s="45"/>
      <c r="L426" s="1359"/>
      <c r="M426" s="45"/>
      <c r="N426" s="45"/>
      <c r="O426" s="45"/>
      <c r="P426" s="45"/>
      <c r="Q426" s="45"/>
      <c r="R426" s="45"/>
      <c r="S426" s="45"/>
      <c r="T426" s="45"/>
      <c r="U426" s="45"/>
    </row>
    <row r="427" spans="1:21" ht="18.75" x14ac:dyDescent="0.25">
      <c r="A427" s="208"/>
      <c r="B427" s="158"/>
      <c r="C427" s="158"/>
      <c r="D427" s="158"/>
      <c r="E427" s="158"/>
      <c r="F427" s="158"/>
      <c r="G427" s="180"/>
      <c r="H427" s="133" t="s">
        <v>34</v>
      </c>
      <c r="I427" s="44"/>
      <c r="J427" s="44"/>
      <c r="K427" s="45"/>
      <c r="L427" s="1359"/>
      <c r="M427" s="45"/>
      <c r="N427" s="45"/>
      <c r="O427" s="45"/>
      <c r="P427" s="45"/>
      <c r="Q427" s="45"/>
      <c r="R427" s="45"/>
      <c r="S427" s="45"/>
      <c r="T427" s="45"/>
      <c r="U427" s="45"/>
    </row>
    <row r="428" spans="1:21" ht="18.75" x14ac:dyDescent="0.25">
      <c r="A428" s="208"/>
      <c r="B428" s="158"/>
      <c r="C428" s="158"/>
      <c r="D428" s="209" t="s">
        <v>163</v>
      </c>
      <c r="E428" s="158"/>
      <c r="F428" s="158"/>
      <c r="G428" s="180"/>
      <c r="H428" s="133" t="s">
        <v>46</v>
      </c>
      <c r="I428" s="44"/>
      <c r="J428" s="44"/>
      <c r="K428" s="45"/>
      <c r="L428" s="1359"/>
      <c r="M428" s="45"/>
      <c r="N428" s="45"/>
      <c r="O428" s="45"/>
      <c r="P428" s="45"/>
      <c r="Q428" s="45"/>
      <c r="R428" s="45"/>
      <c r="S428" s="45"/>
      <c r="T428" s="45"/>
      <c r="U428" s="45"/>
    </row>
    <row r="429" spans="1:21" ht="18.75" x14ac:dyDescent="0.25">
      <c r="A429" s="208"/>
      <c r="B429" s="158"/>
      <c r="C429" s="158"/>
      <c r="D429" s="158"/>
      <c r="E429" s="158"/>
      <c r="F429" s="158"/>
      <c r="G429" s="180"/>
      <c r="H429" s="133" t="s">
        <v>34</v>
      </c>
      <c r="I429" s="44"/>
      <c r="J429" s="44"/>
      <c r="K429" s="45"/>
      <c r="L429" s="1359"/>
      <c r="M429" s="45"/>
      <c r="N429" s="45"/>
      <c r="O429" s="45"/>
      <c r="P429" s="45"/>
      <c r="Q429" s="45"/>
      <c r="R429" s="45"/>
      <c r="S429" s="45"/>
      <c r="T429" s="45"/>
      <c r="U429" s="45"/>
    </row>
    <row r="430" spans="1:21" ht="18.75" x14ac:dyDescent="0.25">
      <c r="A430" s="208"/>
      <c r="B430" s="158"/>
      <c r="C430" s="158"/>
      <c r="D430" s="209" t="s">
        <v>164</v>
      </c>
      <c r="E430" s="158"/>
      <c r="F430" s="158"/>
      <c r="G430" s="180"/>
      <c r="H430" s="133" t="s">
        <v>46</v>
      </c>
      <c r="I430" s="44"/>
      <c r="J430" s="44"/>
      <c r="K430" s="45"/>
      <c r="L430" s="1359"/>
      <c r="M430" s="45"/>
      <c r="N430" s="45"/>
      <c r="O430" s="45"/>
      <c r="P430" s="45"/>
      <c r="Q430" s="45"/>
      <c r="R430" s="45"/>
      <c r="S430" s="45"/>
      <c r="T430" s="45"/>
      <c r="U430" s="45"/>
    </row>
    <row r="431" spans="1:21" ht="18.75" x14ac:dyDescent="0.25">
      <c r="A431" s="208"/>
      <c r="B431" s="158"/>
      <c r="C431" s="158"/>
      <c r="D431" s="158"/>
      <c r="E431" s="158"/>
      <c r="F431" s="158"/>
      <c r="G431" s="180"/>
      <c r="H431" s="133" t="s">
        <v>34</v>
      </c>
      <c r="I431" s="44"/>
      <c r="J431" s="44"/>
      <c r="K431" s="45"/>
      <c r="L431" s="1359"/>
      <c r="M431" s="45"/>
      <c r="N431" s="45"/>
      <c r="O431" s="45"/>
      <c r="P431" s="45"/>
      <c r="Q431" s="45"/>
      <c r="R431" s="45"/>
      <c r="S431" s="45"/>
      <c r="T431" s="45"/>
      <c r="U431" s="45"/>
    </row>
    <row r="432" spans="1:21" ht="19.5" x14ac:dyDescent="0.3">
      <c r="A432" s="208"/>
      <c r="B432" s="158"/>
      <c r="C432" s="161" t="s">
        <v>165</v>
      </c>
      <c r="D432" s="158"/>
      <c r="E432" s="158"/>
      <c r="F432" s="158"/>
      <c r="G432" s="180"/>
      <c r="H432" s="131" t="s">
        <v>46</v>
      </c>
      <c r="I432" s="328">
        <f ca="1">IFERROR(__xludf.DUMMYFUNCTION("IMPORTRANGE(""https://docs.google.com/spreadsheets/d/1eHaY18a8A9IcSdp1K8H6x8fbOy06t2VsZHhMHf-1x7Y/edit?usp=sharing"",""แผน!HJ26"")"),21235)</f>
        <v>21235</v>
      </c>
      <c r="J432" s="328">
        <f>J434+J436+J438</f>
        <v>0</v>
      </c>
      <c r="K432" s="1390">
        <f ca="1">IF(I432&gt;0,J432*100/I432,0)</f>
        <v>0</v>
      </c>
      <c r="L432" s="1359"/>
      <c r="M432" s="45"/>
      <c r="N432" s="45"/>
      <c r="O432" s="45"/>
      <c r="P432" s="45"/>
      <c r="Q432" s="45"/>
      <c r="R432" s="45"/>
      <c r="S432" s="45"/>
      <c r="T432" s="45"/>
      <c r="U432" s="45"/>
    </row>
    <row r="433" spans="1:21" ht="19.5" x14ac:dyDescent="0.3">
      <c r="A433" s="208"/>
      <c r="B433" s="158"/>
      <c r="C433" s="158"/>
      <c r="D433" s="158"/>
      <c r="E433" s="158"/>
      <c r="F433" s="158"/>
      <c r="G433" s="180"/>
      <c r="H433" s="131" t="s">
        <v>34</v>
      </c>
      <c r="I433" s="328">
        <f ca="1">IFERROR(__xludf.DUMMYFUNCTION("IMPORTRANGE(""https://docs.google.com/spreadsheets/d/1eHaY18a8A9IcSdp1K8H6x8fbOy06t2VsZHhMHf-1x7Y/edit?usp=sharing"",""แผน!HK26"")"),5413)</f>
        <v>5413</v>
      </c>
      <c r="J433" s="328">
        <f>J435+J437+J439</f>
        <v>0</v>
      </c>
      <c r="K433" s="1390">
        <f ca="1">IF(I433&gt;0,J433*100/I433,0)</f>
        <v>0</v>
      </c>
      <c r="L433" s="1359"/>
      <c r="M433" s="45"/>
      <c r="N433" s="45"/>
      <c r="O433" s="45"/>
      <c r="P433" s="45"/>
      <c r="Q433" s="45"/>
      <c r="R433" s="45"/>
      <c r="S433" s="45"/>
      <c r="T433" s="45"/>
      <c r="U433" s="45"/>
    </row>
    <row r="434" spans="1:21" ht="18.75" x14ac:dyDescent="0.25">
      <c r="A434" s="208"/>
      <c r="B434" s="158"/>
      <c r="C434" s="158"/>
      <c r="D434" s="209" t="s">
        <v>166</v>
      </c>
      <c r="E434" s="158"/>
      <c r="F434" s="158"/>
      <c r="G434" s="180"/>
      <c r="H434" s="133" t="s">
        <v>46</v>
      </c>
      <c r="I434" s="44"/>
      <c r="J434" s="44"/>
      <c r="K434" s="45"/>
      <c r="L434" s="1359"/>
      <c r="M434" s="45"/>
      <c r="N434" s="45"/>
      <c r="O434" s="45"/>
      <c r="P434" s="45"/>
      <c r="Q434" s="45"/>
      <c r="R434" s="45"/>
      <c r="S434" s="45"/>
      <c r="T434" s="45"/>
      <c r="U434" s="45"/>
    </row>
    <row r="435" spans="1:21" ht="18.75" x14ac:dyDescent="0.25">
      <c r="A435" s="208"/>
      <c r="B435" s="158"/>
      <c r="C435" s="158"/>
      <c r="D435" s="158"/>
      <c r="E435" s="158"/>
      <c r="F435" s="158"/>
      <c r="G435" s="180"/>
      <c r="H435" s="133" t="s">
        <v>34</v>
      </c>
      <c r="I435" s="44"/>
      <c r="J435" s="44"/>
      <c r="K435" s="45"/>
      <c r="L435" s="1359"/>
      <c r="M435" s="45"/>
      <c r="N435" s="45"/>
      <c r="O435" s="45"/>
      <c r="P435" s="45"/>
      <c r="Q435" s="45"/>
      <c r="R435" s="45"/>
      <c r="S435" s="45"/>
      <c r="T435" s="45"/>
      <c r="U435" s="45"/>
    </row>
    <row r="436" spans="1:21" ht="18.75" x14ac:dyDescent="0.25">
      <c r="A436" s="208"/>
      <c r="B436" s="158"/>
      <c r="C436" s="158"/>
      <c r="D436" s="209" t="s">
        <v>167</v>
      </c>
      <c r="E436" s="158"/>
      <c r="F436" s="158"/>
      <c r="G436" s="180"/>
      <c r="H436" s="133" t="s">
        <v>46</v>
      </c>
      <c r="I436" s="44"/>
      <c r="J436" s="44"/>
      <c r="K436" s="45"/>
      <c r="L436" s="1359"/>
      <c r="M436" s="45"/>
      <c r="N436" s="45"/>
      <c r="O436" s="45"/>
      <c r="P436" s="45"/>
      <c r="Q436" s="45"/>
      <c r="R436" s="45"/>
      <c r="S436" s="45"/>
      <c r="T436" s="45"/>
      <c r="U436" s="45"/>
    </row>
    <row r="437" spans="1:21" ht="18.75" x14ac:dyDescent="0.25">
      <c r="A437" s="208"/>
      <c r="B437" s="158"/>
      <c r="C437" s="158"/>
      <c r="D437" s="158"/>
      <c r="E437" s="158"/>
      <c r="F437" s="158"/>
      <c r="G437" s="180"/>
      <c r="H437" s="133" t="s">
        <v>34</v>
      </c>
      <c r="I437" s="44"/>
      <c r="J437" s="44"/>
      <c r="K437" s="45"/>
      <c r="L437" s="1359"/>
      <c r="M437" s="45"/>
      <c r="N437" s="45"/>
      <c r="O437" s="45"/>
      <c r="P437" s="45"/>
      <c r="Q437" s="45"/>
      <c r="R437" s="45"/>
      <c r="S437" s="45"/>
      <c r="T437" s="45"/>
      <c r="U437" s="45"/>
    </row>
    <row r="438" spans="1:21" ht="18.75" x14ac:dyDescent="0.25">
      <c r="A438" s="208"/>
      <c r="B438" s="158"/>
      <c r="C438" s="158"/>
      <c r="D438" s="209" t="s">
        <v>168</v>
      </c>
      <c r="E438" s="158"/>
      <c r="F438" s="158"/>
      <c r="G438" s="180"/>
      <c r="H438" s="133" t="s">
        <v>46</v>
      </c>
      <c r="I438" s="44"/>
      <c r="J438" s="44"/>
      <c r="K438" s="45"/>
      <c r="L438" s="1359"/>
      <c r="M438" s="45"/>
      <c r="N438" s="45"/>
      <c r="O438" s="45"/>
      <c r="P438" s="45"/>
      <c r="Q438" s="45"/>
      <c r="R438" s="45"/>
      <c r="S438" s="45"/>
      <c r="T438" s="45"/>
      <c r="U438" s="45"/>
    </row>
    <row r="439" spans="1:21" ht="18.75" x14ac:dyDescent="0.25">
      <c r="A439" s="208"/>
      <c r="B439" s="158"/>
      <c r="C439" s="158"/>
      <c r="D439" s="158"/>
      <c r="E439" s="158"/>
      <c r="F439" s="158"/>
      <c r="G439" s="180"/>
      <c r="H439" s="133" t="s">
        <v>34</v>
      </c>
      <c r="I439" s="44"/>
      <c r="J439" s="44"/>
      <c r="K439" s="45"/>
      <c r="L439" s="1359"/>
      <c r="M439" s="45"/>
      <c r="N439" s="45"/>
      <c r="O439" s="45"/>
      <c r="P439" s="45"/>
      <c r="Q439" s="45"/>
      <c r="R439" s="45"/>
      <c r="S439" s="45"/>
      <c r="T439" s="45"/>
      <c r="U439" s="45"/>
    </row>
    <row r="440" spans="1:21" ht="19.5" x14ac:dyDescent="0.3">
      <c r="A440" s="208"/>
      <c r="B440" s="158"/>
      <c r="C440" s="161" t="s">
        <v>169</v>
      </c>
      <c r="D440" s="158"/>
      <c r="E440" s="158"/>
      <c r="F440" s="158"/>
      <c r="G440" s="180"/>
      <c r="H440" s="131" t="s">
        <v>46</v>
      </c>
      <c r="I440" s="328">
        <f ca="1">IFERROR(__xludf.DUMMYFUNCTION("IMPORTRANGE(""https://docs.google.com/spreadsheets/d/1eHaY18a8A9IcSdp1K8H6x8fbOy06t2VsZHhMHf-1x7Y/edit?usp=sharing"",""แผน!HJ26"")"),21235)</f>
        <v>21235</v>
      </c>
      <c r="J440" s="328">
        <f>J442+J444+J446+J452+J454</f>
        <v>0</v>
      </c>
      <c r="K440" s="1390">
        <f ca="1">IF(I440&gt;0,J440*100/I440,0)</f>
        <v>0</v>
      </c>
      <c r="L440" s="1359"/>
      <c r="M440" s="45"/>
      <c r="N440" s="45"/>
      <c r="O440" s="45"/>
      <c r="P440" s="45"/>
      <c r="Q440" s="45"/>
      <c r="R440" s="45"/>
      <c r="S440" s="45"/>
      <c r="T440" s="45"/>
      <c r="U440" s="45"/>
    </row>
    <row r="441" spans="1:21" ht="19.5" x14ac:dyDescent="0.3">
      <c r="A441" s="208"/>
      <c r="B441" s="158"/>
      <c r="C441" s="158"/>
      <c r="D441" s="158"/>
      <c r="E441" s="158"/>
      <c r="F441" s="158"/>
      <c r="G441" s="180"/>
      <c r="H441" s="131" t="s">
        <v>34</v>
      </c>
      <c r="I441" s="328">
        <f ca="1">IFERROR(__xludf.DUMMYFUNCTION("IMPORTRANGE(""https://docs.google.com/spreadsheets/d/1eHaY18a8A9IcSdp1K8H6x8fbOy06t2VsZHhMHf-1x7Y/edit?usp=sharing"",""แผน!HK26"")"),5413)</f>
        <v>5413</v>
      </c>
      <c r="J441" s="328">
        <f>J443+J445+J447+J453+J455</f>
        <v>0</v>
      </c>
      <c r="K441" s="1390">
        <f ca="1">IF(I441&gt;0,J441*100/I441,0)</f>
        <v>0</v>
      </c>
      <c r="L441" s="1359"/>
      <c r="M441" s="45"/>
      <c r="N441" s="45"/>
      <c r="O441" s="45"/>
      <c r="P441" s="45"/>
      <c r="Q441" s="45"/>
      <c r="R441" s="45"/>
      <c r="S441" s="45"/>
      <c r="T441" s="45"/>
      <c r="U441" s="45"/>
    </row>
    <row r="442" spans="1:21" ht="18.75" x14ac:dyDescent="0.25">
      <c r="A442" s="208"/>
      <c r="B442" s="158"/>
      <c r="C442" s="158"/>
      <c r="D442" s="209" t="s">
        <v>170</v>
      </c>
      <c r="E442" s="158"/>
      <c r="F442" s="158"/>
      <c r="G442" s="180"/>
      <c r="H442" s="133" t="s">
        <v>46</v>
      </c>
      <c r="I442" s="44"/>
      <c r="J442" s="44"/>
      <c r="K442" s="45"/>
      <c r="L442" s="1359"/>
      <c r="M442" s="45"/>
      <c r="N442" s="45"/>
      <c r="O442" s="45"/>
      <c r="P442" s="45"/>
      <c r="Q442" s="45"/>
      <c r="R442" s="45"/>
      <c r="S442" s="45"/>
      <c r="T442" s="45"/>
      <c r="U442" s="45"/>
    </row>
    <row r="443" spans="1:21" ht="18.75" x14ac:dyDescent="0.25">
      <c r="A443" s="208"/>
      <c r="B443" s="158"/>
      <c r="C443" s="158"/>
      <c r="D443" s="158"/>
      <c r="E443" s="158"/>
      <c r="F443" s="158"/>
      <c r="G443" s="180"/>
      <c r="H443" s="133" t="s">
        <v>34</v>
      </c>
      <c r="I443" s="44"/>
      <c r="J443" s="44"/>
      <c r="K443" s="45"/>
      <c r="L443" s="1359"/>
      <c r="M443" s="45"/>
      <c r="N443" s="45"/>
      <c r="O443" s="45"/>
      <c r="P443" s="45"/>
      <c r="Q443" s="45"/>
      <c r="R443" s="45"/>
      <c r="S443" s="45"/>
      <c r="T443" s="45"/>
      <c r="U443" s="45"/>
    </row>
    <row r="444" spans="1:21" ht="18.75" x14ac:dyDescent="0.25">
      <c r="A444" s="208"/>
      <c r="B444" s="158"/>
      <c r="C444" s="158"/>
      <c r="D444" s="209" t="s">
        <v>171</v>
      </c>
      <c r="E444" s="158"/>
      <c r="F444" s="158"/>
      <c r="G444" s="180"/>
      <c r="H444" s="133" t="s">
        <v>46</v>
      </c>
      <c r="I444" s="44"/>
      <c r="J444" s="44"/>
      <c r="K444" s="45"/>
      <c r="L444" s="1359"/>
      <c r="M444" s="45"/>
      <c r="N444" s="45"/>
      <c r="O444" s="45"/>
      <c r="P444" s="45"/>
      <c r="Q444" s="45"/>
      <c r="R444" s="45"/>
      <c r="S444" s="45"/>
      <c r="T444" s="45"/>
      <c r="U444" s="45"/>
    </row>
    <row r="445" spans="1:21" ht="18.75" x14ac:dyDescent="0.25">
      <c r="A445" s="208"/>
      <c r="B445" s="158"/>
      <c r="C445" s="158"/>
      <c r="D445" s="158"/>
      <c r="E445" s="158"/>
      <c r="F445" s="158"/>
      <c r="G445" s="180"/>
      <c r="H445" s="133" t="s">
        <v>34</v>
      </c>
      <c r="I445" s="44"/>
      <c r="J445" s="44"/>
      <c r="K445" s="45"/>
      <c r="L445" s="1359"/>
      <c r="M445" s="45"/>
      <c r="N445" s="45"/>
      <c r="O445" s="45"/>
      <c r="P445" s="45"/>
      <c r="Q445" s="45"/>
      <c r="R445" s="45"/>
      <c r="S445" s="45"/>
      <c r="T445" s="45"/>
      <c r="U445" s="45"/>
    </row>
    <row r="446" spans="1:21" ht="19.5" x14ac:dyDescent="0.3">
      <c r="A446" s="208"/>
      <c r="B446" s="158"/>
      <c r="C446" s="158"/>
      <c r="D446" s="209" t="s">
        <v>172</v>
      </c>
      <c r="E446" s="158"/>
      <c r="F446" s="158"/>
      <c r="G446" s="180"/>
      <c r="H446" s="133" t="s">
        <v>46</v>
      </c>
      <c r="I446" s="44"/>
      <c r="J446" s="328">
        <f>J448+J450</f>
        <v>0</v>
      </c>
      <c r="K446" s="45"/>
      <c r="L446" s="1359"/>
      <c r="M446" s="45"/>
      <c r="N446" s="45"/>
      <c r="O446" s="45"/>
      <c r="P446" s="45"/>
      <c r="Q446" s="45"/>
      <c r="R446" s="45"/>
      <c r="S446" s="45"/>
      <c r="T446" s="45"/>
      <c r="U446" s="45"/>
    </row>
    <row r="447" spans="1:21" ht="19.5" x14ac:dyDescent="0.3">
      <c r="A447" s="208"/>
      <c r="B447" s="158"/>
      <c r="C447" s="158"/>
      <c r="D447" s="158"/>
      <c r="E447" s="158"/>
      <c r="F447" s="158"/>
      <c r="G447" s="180"/>
      <c r="H447" s="133" t="s">
        <v>34</v>
      </c>
      <c r="I447" s="44"/>
      <c r="J447" s="328">
        <f>J449+J451</f>
        <v>0</v>
      </c>
      <c r="K447" s="45"/>
      <c r="L447" s="1359"/>
      <c r="M447" s="45"/>
      <c r="N447" s="45"/>
      <c r="O447" s="45"/>
      <c r="P447" s="45"/>
      <c r="Q447" s="45"/>
      <c r="R447" s="45"/>
      <c r="S447" s="45"/>
      <c r="T447" s="45"/>
      <c r="U447" s="45"/>
    </row>
    <row r="448" spans="1:21" ht="18.75" x14ac:dyDescent="0.25">
      <c r="A448" s="208"/>
      <c r="B448" s="158"/>
      <c r="C448" s="158"/>
      <c r="D448" s="158"/>
      <c r="E448" s="209" t="s">
        <v>173</v>
      </c>
      <c r="F448" s="158"/>
      <c r="G448" s="180"/>
      <c r="H448" s="133" t="s">
        <v>46</v>
      </c>
      <c r="I448" s="44"/>
      <c r="J448" s="44"/>
      <c r="K448" s="45"/>
      <c r="L448" s="1359"/>
      <c r="M448" s="45"/>
      <c r="N448" s="45"/>
      <c r="O448" s="45"/>
      <c r="P448" s="45"/>
      <c r="Q448" s="45"/>
      <c r="R448" s="45"/>
      <c r="S448" s="45"/>
      <c r="T448" s="45"/>
      <c r="U448" s="45"/>
    </row>
    <row r="449" spans="1:21" ht="18.75" x14ac:dyDescent="0.25">
      <c r="A449" s="208"/>
      <c r="B449" s="158"/>
      <c r="C449" s="158"/>
      <c r="D449" s="158"/>
      <c r="E449" s="158"/>
      <c r="F449" s="158"/>
      <c r="G449" s="180"/>
      <c r="H449" s="133" t="s">
        <v>34</v>
      </c>
      <c r="I449" s="44"/>
      <c r="J449" s="44"/>
      <c r="K449" s="45"/>
      <c r="L449" s="1359"/>
      <c r="M449" s="45"/>
      <c r="N449" s="45"/>
      <c r="O449" s="45"/>
      <c r="P449" s="45"/>
      <c r="Q449" s="45"/>
      <c r="R449" s="45"/>
      <c r="S449" s="45"/>
      <c r="T449" s="45"/>
      <c r="U449" s="45"/>
    </row>
    <row r="450" spans="1:21" ht="18.75" x14ac:dyDescent="0.25">
      <c r="A450" s="208"/>
      <c r="B450" s="158"/>
      <c r="C450" s="158"/>
      <c r="D450" s="158"/>
      <c r="E450" s="209" t="s">
        <v>174</v>
      </c>
      <c r="F450" s="158"/>
      <c r="G450" s="180"/>
      <c r="H450" s="133" t="s">
        <v>46</v>
      </c>
      <c r="I450" s="44"/>
      <c r="J450" s="44"/>
      <c r="K450" s="45"/>
      <c r="L450" s="1359"/>
      <c r="M450" s="45"/>
      <c r="N450" s="45"/>
      <c r="O450" s="45"/>
      <c r="P450" s="45"/>
      <c r="Q450" s="45"/>
      <c r="R450" s="45"/>
      <c r="S450" s="45"/>
      <c r="T450" s="45"/>
      <c r="U450" s="45"/>
    </row>
    <row r="451" spans="1:21" ht="18.75" x14ac:dyDescent="0.25">
      <c r="A451" s="208"/>
      <c r="B451" s="158"/>
      <c r="C451" s="158"/>
      <c r="D451" s="158"/>
      <c r="E451" s="158"/>
      <c r="F451" s="158"/>
      <c r="G451" s="180"/>
      <c r="H451" s="133" t="s">
        <v>34</v>
      </c>
      <c r="I451" s="44"/>
      <c r="J451" s="44"/>
      <c r="K451" s="45"/>
      <c r="L451" s="1359"/>
      <c r="M451" s="45"/>
      <c r="N451" s="45"/>
      <c r="O451" s="45"/>
      <c r="P451" s="45"/>
      <c r="Q451" s="45"/>
      <c r="R451" s="45"/>
      <c r="S451" s="45"/>
      <c r="T451" s="45"/>
      <c r="U451" s="45"/>
    </row>
    <row r="452" spans="1:21" ht="18.75" x14ac:dyDescent="0.25">
      <c r="A452" s="208"/>
      <c r="B452" s="158"/>
      <c r="C452" s="158"/>
      <c r="D452" s="209" t="s">
        <v>175</v>
      </c>
      <c r="E452" s="158"/>
      <c r="F452" s="158"/>
      <c r="G452" s="180"/>
      <c r="H452" s="133" t="s">
        <v>46</v>
      </c>
      <c r="I452" s="44"/>
      <c r="J452" s="44"/>
      <c r="K452" s="45"/>
      <c r="L452" s="1359"/>
      <c r="M452" s="45"/>
      <c r="N452" s="45"/>
      <c r="O452" s="45"/>
      <c r="P452" s="45"/>
      <c r="Q452" s="45"/>
      <c r="R452" s="45"/>
      <c r="S452" s="45"/>
      <c r="T452" s="45"/>
      <c r="U452" s="45"/>
    </row>
    <row r="453" spans="1:21" ht="18.75" x14ac:dyDescent="0.25">
      <c r="A453" s="208"/>
      <c r="B453" s="158"/>
      <c r="C453" s="158"/>
      <c r="D453" s="158"/>
      <c r="E453" s="158"/>
      <c r="F453" s="158"/>
      <c r="G453" s="180"/>
      <c r="H453" s="133" t="s">
        <v>34</v>
      </c>
      <c r="I453" s="44"/>
      <c r="J453" s="44"/>
      <c r="K453" s="45"/>
      <c r="L453" s="1359"/>
      <c r="M453" s="45"/>
      <c r="N453" s="45"/>
      <c r="O453" s="45"/>
      <c r="P453" s="45"/>
      <c r="Q453" s="45"/>
      <c r="R453" s="45"/>
      <c r="S453" s="45"/>
      <c r="T453" s="45"/>
      <c r="U453" s="45"/>
    </row>
    <row r="454" spans="1:21" ht="18.75" x14ac:dyDescent="0.25">
      <c r="A454" s="208"/>
      <c r="B454" s="158"/>
      <c r="C454" s="158"/>
      <c r="D454" s="209" t="s">
        <v>176</v>
      </c>
      <c r="E454" s="158"/>
      <c r="F454" s="158"/>
      <c r="G454" s="180"/>
      <c r="H454" s="133" t="s">
        <v>46</v>
      </c>
      <c r="I454" s="44"/>
      <c r="J454" s="1540"/>
      <c r="K454" s="45"/>
      <c r="L454" s="1359"/>
      <c r="M454" s="45"/>
      <c r="N454" s="45"/>
      <c r="O454" s="45"/>
      <c r="P454" s="45"/>
      <c r="Q454" s="45"/>
      <c r="R454" s="45"/>
      <c r="S454" s="45"/>
      <c r="T454" s="45"/>
      <c r="U454" s="45"/>
    </row>
    <row r="455" spans="1:21" ht="18.75" x14ac:dyDescent="0.25">
      <c r="A455" s="208"/>
      <c r="B455" s="158"/>
      <c r="C455" s="158"/>
      <c r="D455" s="158"/>
      <c r="E455" s="158"/>
      <c r="F455" s="158"/>
      <c r="G455" s="180"/>
      <c r="H455" s="133" t="s">
        <v>34</v>
      </c>
      <c r="I455" s="44"/>
      <c r="J455" s="44"/>
      <c r="K455" s="45"/>
      <c r="L455" s="1359"/>
      <c r="M455" s="45"/>
      <c r="N455" s="45"/>
      <c r="O455" s="45"/>
      <c r="P455" s="45"/>
      <c r="Q455" s="45"/>
      <c r="R455" s="45"/>
      <c r="S455" s="45"/>
      <c r="T455" s="45"/>
      <c r="U455" s="45"/>
    </row>
    <row r="456" spans="1:21" ht="19.5" x14ac:dyDescent="0.3">
      <c r="A456" s="208"/>
      <c r="B456" s="161" t="s">
        <v>177</v>
      </c>
      <c r="C456" s="158"/>
      <c r="D456" s="158"/>
      <c r="E456" s="158"/>
      <c r="F456" s="158"/>
      <c r="G456" s="180"/>
      <c r="H456" s="323" t="s">
        <v>46</v>
      </c>
      <c r="I456" s="328">
        <f ca="1">I457</f>
        <v>146</v>
      </c>
      <c r="J456" s="328">
        <f>J457</f>
        <v>0</v>
      </c>
      <c r="K456" s="1390">
        <f ca="1">IF(I456&gt;0,J456*100/I456,0)</f>
        <v>0</v>
      </c>
      <c r="L456" s="1359"/>
      <c r="M456" s="45"/>
      <c r="N456" s="45"/>
      <c r="O456" s="45"/>
      <c r="P456" s="45"/>
      <c r="Q456" s="45"/>
      <c r="R456" s="45"/>
      <c r="S456" s="45"/>
      <c r="T456" s="45"/>
      <c r="U456" s="45"/>
    </row>
    <row r="457" spans="1:21" ht="19.5" x14ac:dyDescent="0.3">
      <c r="A457" s="208"/>
      <c r="B457" s="158"/>
      <c r="C457" s="161" t="s">
        <v>178</v>
      </c>
      <c r="D457" s="158"/>
      <c r="E457" s="158"/>
      <c r="F457" s="158"/>
      <c r="G457" s="180"/>
      <c r="H457" s="131" t="s">
        <v>46</v>
      </c>
      <c r="I457" s="328">
        <f ca="1">IFERROR(__xludf.DUMMYFUNCTION("IMPORTRANGE(""https://docs.google.com/spreadsheets/d/1eHaY18a8A9IcSdp1K8H6x8fbOy06t2VsZHhMHf-1x7Y/edit?usp=sharing"",""แผน!HL26"")"),146)</f>
        <v>146</v>
      </c>
      <c r="J457" s="328">
        <f>J459+J467+J473</f>
        <v>0</v>
      </c>
      <c r="K457" s="1390">
        <f ca="1">IF(I457&gt;0,J457*100/I457,0)</f>
        <v>0</v>
      </c>
      <c r="L457" s="1359"/>
      <c r="M457" s="45"/>
      <c r="N457" s="45"/>
      <c r="O457" s="45"/>
      <c r="P457" s="45"/>
      <c r="Q457" s="45"/>
      <c r="R457" s="45"/>
      <c r="S457" s="45"/>
      <c r="T457" s="45"/>
      <c r="U457" s="45"/>
    </row>
    <row r="458" spans="1:21" ht="19.5" x14ac:dyDescent="0.3">
      <c r="A458" s="208"/>
      <c r="B458" s="158"/>
      <c r="C458" s="158"/>
      <c r="D458" s="158"/>
      <c r="E458" s="158"/>
      <c r="F458" s="158"/>
      <c r="G458" s="180"/>
      <c r="H458" s="131" t="s">
        <v>34</v>
      </c>
      <c r="I458" s="328">
        <f ca="1">IFERROR(__xludf.DUMMYFUNCTION("IMPORTRANGE(""https://docs.google.com/spreadsheets/d/1eHaY18a8A9IcSdp1K8H6x8fbOy06t2VsZHhMHf-1x7Y/edit?usp=sharing"",""แผน!HM26"")"),0)</f>
        <v>0</v>
      </c>
      <c r="J458" s="328">
        <f>J460+J468+J474</f>
        <v>0</v>
      </c>
      <c r="K458" s="1390">
        <f ca="1">IF(I458&gt;0,J458*100/I458,0)</f>
        <v>0</v>
      </c>
      <c r="L458" s="1359"/>
      <c r="M458" s="45"/>
      <c r="N458" s="45"/>
      <c r="O458" s="45"/>
      <c r="P458" s="45"/>
      <c r="Q458" s="45"/>
      <c r="R458" s="45"/>
      <c r="S458" s="45"/>
      <c r="T458" s="45"/>
      <c r="U458" s="45"/>
    </row>
    <row r="459" spans="1:21" ht="18.75" x14ac:dyDescent="0.25">
      <c r="A459" s="208"/>
      <c r="B459" s="158"/>
      <c r="C459" s="209" t="s">
        <v>179</v>
      </c>
      <c r="D459" s="158"/>
      <c r="E459" s="158"/>
      <c r="F459" s="158"/>
      <c r="G459" s="180"/>
      <c r="H459" s="133" t="s">
        <v>46</v>
      </c>
      <c r="I459" s="44"/>
      <c r="J459" s="184">
        <f>J461+J463</f>
        <v>0</v>
      </c>
      <c r="K459" s="45"/>
      <c r="L459" s="1359"/>
      <c r="M459" s="45"/>
      <c r="N459" s="45"/>
      <c r="O459" s="45"/>
      <c r="P459" s="45"/>
      <c r="Q459" s="45"/>
      <c r="R459" s="45"/>
      <c r="S459" s="45"/>
      <c r="T459" s="45"/>
      <c r="U459" s="45"/>
    </row>
    <row r="460" spans="1:21" ht="18.75" x14ac:dyDescent="0.25">
      <c r="A460" s="208"/>
      <c r="B460" s="158"/>
      <c r="C460" s="158"/>
      <c r="D460" s="158"/>
      <c r="E460" s="158"/>
      <c r="F460" s="158"/>
      <c r="G460" s="180"/>
      <c r="H460" s="133" t="s">
        <v>34</v>
      </c>
      <c r="I460" s="44"/>
      <c r="J460" s="184">
        <f>J462+J464</f>
        <v>0</v>
      </c>
      <c r="K460" s="45"/>
      <c r="L460" s="1359"/>
      <c r="M460" s="45"/>
      <c r="N460" s="45"/>
      <c r="O460" s="45"/>
      <c r="P460" s="45"/>
      <c r="Q460" s="45"/>
      <c r="R460" s="45"/>
      <c r="S460" s="45"/>
      <c r="T460" s="45"/>
      <c r="U460" s="45"/>
    </row>
    <row r="461" spans="1:21" ht="18.75" x14ac:dyDescent="0.25">
      <c r="A461" s="208"/>
      <c r="B461" s="158"/>
      <c r="C461" s="158"/>
      <c r="D461" s="326" t="s">
        <v>180</v>
      </c>
      <c r="E461" s="158"/>
      <c r="F461" s="158"/>
      <c r="G461" s="180"/>
      <c r="H461" s="133" t="s">
        <v>46</v>
      </c>
      <c r="I461" s="44"/>
      <c r="J461" s="44"/>
      <c r="K461" s="45"/>
      <c r="L461" s="1359"/>
      <c r="M461" s="45"/>
      <c r="N461" s="45"/>
      <c r="O461" s="45"/>
      <c r="P461" s="45"/>
      <c r="Q461" s="45"/>
      <c r="R461" s="45"/>
      <c r="S461" s="45"/>
      <c r="T461" s="45"/>
      <c r="U461" s="45"/>
    </row>
    <row r="462" spans="1:21" ht="18.75" x14ac:dyDescent="0.25">
      <c r="A462" s="208"/>
      <c r="B462" s="158"/>
      <c r="C462" s="158"/>
      <c r="D462" s="158"/>
      <c r="E462" s="158"/>
      <c r="F462" s="158"/>
      <c r="G462" s="180"/>
      <c r="H462" s="133" t="s">
        <v>34</v>
      </c>
      <c r="I462" s="44"/>
      <c r="J462" s="44"/>
      <c r="K462" s="45"/>
      <c r="L462" s="1359"/>
      <c r="M462" s="45"/>
      <c r="N462" s="45"/>
      <c r="O462" s="45"/>
      <c r="P462" s="45"/>
      <c r="Q462" s="45"/>
      <c r="R462" s="45"/>
      <c r="S462" s="45"/>
      <c r="T462" s="45"/>
      <c r="U462" s="45"/>
    </row>
    <row r="463" spans="1:21" ht="18.75" x14ac:dyDescent="0.25">
      <c r="A463" s="208"/>
      <c r="B463" s="158"/>
      <c r="C463" s="158"/>
      <c r="D463" s="326" t="s">
        <v>181</v>
      </c>
      <c r="E463" s="158"/>
      <c r="F463" s="158"/>
      <c r="G463" s="180"/>
      <c r="H463" s="133" t="s">
        <v>46</v>
      </c>
      <c r="I463" s="44"/>
      <c r="J463" s="44"/>
      <c r="K463" s="45"/>
      <c r="L463" s="1359"/>
      <c r="M463" s="45"/>
      <c r="N463" s="45"/>
      <c r="O463" s="45"/>
      <c r="P463" s="45"/>
      <c r="Q463" s="45"/>
      <c r="R463" s="45"/>
      <c r="S463" s="45"/>
      <c r="T463" s="45"/>
      <c r="U463" s="45"/>
    </row>
    <row r="464" spans="1:21" ht="18.75" x14ac:dyDescent="0.25">
      <c r="A464" s="208"/>
      <c r="B464" s="158"/>
      <c r="C464" s="158"/>
      <c r="D464" s="158"/>
      <c r="E464" s="158"/>
      <c r="F464" s="158"/>
      <c r="G464" s="180"/>
      <c r="H464" s="133" t="s">
        <v>34</v>
      </c>
      <c r="I464" s="44"/>
      <c r="J464" s="44"/>
      <c r="K464" s="45"/>
      <c r="L464" s="1359"/>
      <c r="M464" s="45"/>
      <c r="N464" s="45"/>
      <c r="O464" s="45"/>
      <c r="P464" s="45"/>
      <c r="Q464" s="45"/>
      <c r="R464" s="45"/>
      <c r="S464" s="45"/>
      <c r="T464" s="45"/>
      <c r="U464" s="45"/>
    </row>
    <row r="465" spans="1:21" ht="18.75" x14ac:dyDescent="0.25">
      <c r="A465" s="208"/>
      <c r="B465" s="158"/>
      <c r="C465" s="158"/>
      <c r="D465" s="326" t="s">
        <v>182</v>
      </c>
      <c r="E465" s="158"/>
      <c r="F465" s="158"/>
      <c r="G465" s="180"/>
      <c r="H465" s="133" t="s">
        <v>46</v>
      </c>
      <c r="I465" s="44"/>
      <c r="J465" s="44"/>
      <c r="K465" s="45"/>
      <c r="L465" s="1359"/>
      <c r="M465" s="45"/>
      <c r="N465" s="45"/>
      <c r="O465" s="45"/>
      <c r="P465" s="45"/>
      <c r="Q465" s="45"/>
      <c r="R465" s="45"/>
      <c r="S465" s="45"/>
      <c r="T465" s="45"/>
      <c r="U465" s="45"/>
    </row>
    <row r="466" spans="1:21" ht="18.75" x14ac:dyDescent="0.25">
      <c r="A466" s="208"/>
      <c r="B466" s="158"/>
      <c r="C466" s="158"/>
      <c r="D466" s="158"/>
      <c r="E466" s="158"/>
      <c r="F466" s="158"/>
      <c r="G466" s="180"/>
      <c r="H466" s="133" t="s">
        <v>34</v>
      </c>
      <c r="I466" s="44"/>
      <c r="J466" s="44"/>
      <c r="K466" s="45"/>
      <c r="L466" s="1359"/>
      <c r="M466" s="45"/>
      <c r="N466" s="45"/>
      <c r="O466" s="45"/>
      <c r="P466" s="45"/>
      <c r="Q466" s="45"/>
      <c r="R466" s="45"/>
      <c r="S466" s="45"/>
      <c r="T466" s="45"/>
      <c r="U466" s="45"/>
    </row>
    <row r="467" spans="1:21" ht="18.75" x14ac:dyDescent="0.25">
      <c r="A467" s="208"/>
      <c r="B467" s="158"/>
      <c r="C467" s="326" t="s">
        <v>183</v>
      </c>
      <c r="D467" s="158"/>
      <c r="E467" s="158"/>
      <c r="F467" s="158"/>
      <c r="G467" s="180"/>
      <c r="H467" s="133" t="s">
        <v>46</v>
      </c>
      <c r="I467" s="44"/>
      <c r="J467" s="184">
        <f>J469+J471</f>
        <v>0</v>
      </c>
      <c r="K467" s="45"/>
      <c r="L467" s="1359"/>
      <c r="M467" s="45"/>
      <c r="N467" s="45"/>
      <c r="O467" s="45"/>
      <c r="P467" s="45"/>
      <c r="Q467" s="45"/>
      <c r="R467" s="45"/>
      <c r="S467" s="45"/>
      <c r="T467" s="45"/>
      <c r="U467" s="45"/>
    </row>
    <row r="468" spans="1:21" ht="18.75" x14ac:dyDescent="0.25">
      <c r="A468" s="208"/>
      <c r="B468" s="158"/>
      <c r="C468" s="158"/>
      <c r="D468" s="158"/>
      <c r="E468" s="158"/>
      <c r="F468" s="158"/>
      <c r="G468" s="180"/>
      <c r="H468" s="133" t="s">
        <v>34</v>
      </c>
      <c r="I468" s="44"/>
      <c r="J468" s="184">
        <f>J470+J472</f>
        <v>0</v>
      </c>
      <c r="K468" s="45"/>
      <c r="L468" s="1359"/>
      <c r="M468" s="45"/>
      <c r="N468" s="45"/>
      <c r="O468" s="45"/>
      <c r="P468" s="45"/>
      <c r="Q468" s="45"/>
      <c r="R468" s="45"/>
      <c r="S468" s="45"/>
      <c r="T468" s="45"/>
      <c r="U468" s="45"/>
    </row>
    <row r="469" spans="1:21" ht="18.75" x14ac:dyDescent="0.25">
      <c r="A469" s="208"/>
      <c r="B469" s="158"/>
      <c r="C469" s="158"/>
      <c r="D469" s="326" t="s">
        <v>184</v>
      </c>
      <c r="E469" s="158"/>
      <c r="F469" s="158"/>
      <c r="G469" s="180"/>
      <c r="H469" s="133" t="s">
        <v>46</v>
      </c>
      <c r="I469" s="44"/>
      <c r="J469" s="44"/>
      <c r="K469" s="45"/>
      <c r="L469" s="1359"/>
      <c r="M469" s="45"/>
      <c r="N469" s="45"/>
      <c r="O469" s="45"/>
      <c r="P469" s="45"/>
      <c r="Q469" s="45"/>
      <c r="R469" s="45"/>
      <c r="S469" s="45"/>
      <c r="T469" s="45"/>
      <c r="U469" s="45"/>
    </row>
    <row r="470" spans="1:21" ht="18.75" x14ac:dyDescent="0.25">
      <c r="A470" s="208"/>
      <c r="B470" s="158"/>
      <c r="C470" s="158"/>
      <c r="D470" s="158"/>
      <c r="E470" s="158"/>
      <c r="F470" s="158"/>
      <c r="G470" s="180"/>
      <c r="H470" s="133" t="s">
        <v>34</v>
      </c>
      <c r="I470" s="44"/>
      <c r="J470" s="44"/>
      <c r="K470" s="45"/>
      <c r="L470" s="1359"/>
      <c r="M470" s="45"/>
      <c r="N470" s="45"/>
      <c r="O470" s="45"/>
      <c r="P470" s="45"/>
      <c r="Q470" s="45"/>
      <c r="R470" s="45"/>
      <c r="S470" s="45"/>
      <c r="T470" s="45"/>
      <c r="U470" s="45"/>
    </row>
    <row r="471" spans="1:21" ht="18.75" x14ac:dyDescent="0.25">
      <c r="A471" s="208"/>
      <c r="B471" s="158"/>
      <c r="C471" s="158"/>
      <c r="D471" s="326" t="s">
        <v>185</v>
      </c>
      <c r="E471" s="158"/>
      <c r="F471" s="158"/>
      <c r="G471" s="180"/>
      <c r="H471" s="133" t="s">
        <v>46</v>
      </c>
      <c r="I471" s="44"/>
      <c r="J471" s="44"/>
      <c r="K471" s="45"/>
      <c r="L471" s="1359"/>
      <c r="M471" s="45"/>
      <c r="N471" s="45"/>
      <c r="O471" s="45"/>
      <c r="P471" s="45"/>
      <c r="Q471" s="45"/>
      <c r="R471" s="45"/>
      <c r="S471" s="45"/>
      <c r="T471" s="45"/>
      <c r="U471" s="45"/>
    </row>
    <row r="472" spans="1:21" ht="18.75" x14ac:dyDescent="0.25">
      <c r="A472" s="208"/>
      <c r="B472" s="158"/>
      <c r="C472" s="158"/>
      <c r="D472" s="158"/>
      <c r="E472" s="158"/>
      <c r="F472" s="158"/>
      <c r="G472" s="180"/>
      <c r="H472" s="133" t="s">
        <v>34</v>
      </c>
      <c r="I472" s="44"/>
      <c r="J472" s="44"/>
      <c r="K472" s="45"/>
      <c r="L472" s="1359"/>
      <c r="M472" s="45"/>
      <c r="N472" s="45"/>
      <c r="O472" s="45"/>
      <c r="P472" s="45"/>
      <c r="Q472" s="45"/>
      <c r="R472" s="45"/>
      <c r="S472" s="45"/>
      <c r="T472" s="45"/>
      <c r="U472" s="45"/>
    </row>
    <row r="473" spans="1:21" ht="18.75" x14ac:dyDescent="0.25">
      <c r="A473" s="208"/>
      <c r="B473" s="158"/>
      <c r="C473" s="209" t="s">
        <v>186</v>
      </c>
      <c r="D473" s="158"/>
      <c r="E473" s="158"/>
      <c r="F473" s="158"/>
      <c r="G473" s="180"/>
      <c r="H473" s="133" t="s">
        <v>46</v>
      </c>
      <c r="I473" s="44"/>
      <c r="J473" s="44"/>
      <c r="K473" s="45"/>
      <c r="L473" s="1359"/>
      <c r="M473" s="45"/>
      <c r="N473" s="45"/>
      <c r="O473" s="45"/>
      <c r="P473" s="45"/>
      <c r="Q473" s="45"/>
      <c r="R473" s="45"/>
      <c r="S473" s="45"/>
      <c r="T473" s="45"/>
      <c r="U473" s="45"/>
    </row>
    <row r="474" spans="1:21" ht="18.75" x14ac:dyDescent="0.25">
      <c r="A474" s="208"/>
      <c r="B474" s="158"/>
      <c r="C474" s="158"/>
      <c r="D474" s="158"/>
      <c r="E474" s="158"/>
      <c r="F474" s="158"/>
      <c r="G474" s="180"/>
      <c r="H474" s="133" t="s">
        <v>34</v>
      </c>
      <c r="I474" s="44"/>
      <c r="J474" s="44"/>
      <c r="K474" s="45"/>
      <c r="L474" s="1359"/>
      <c r="M474" s="45"/>
      <c r="N474" s="45"/>
      <c r="O474" s="45"/>
      <c r="P474" s="45"/>
      <c r="Q474" s="45"/>
      <c r="R474" s="45"/>
      <c r="S474" s="45"/>
      <c r="T474" s="45"/>
      <c r="U474" s="45"/>
    </row>
    <row r="475" spans="1:21" ht="19.5" x14ac:dyDescent="0.3">
      <c r="A475" s="208"/>
      <c r="B475" s="327" t="s">
        <v>187</v>
      </c>
      <c r="C475" s="158"/>
      <c r="D475" s="158"/>
      <c r="E475" s="158"/>
      <c r="F475" s="158"/>
      <c r="G475" s="180"/>
      <c r="H475" s="131" t="s">
        <v>46</v>
      </c>
      <c r="I475" s="328">
        <v>0</v>
      </c>
      <c r="J475" s="328">
        <f>J478+J480</f>
        <v>0</v>
      </c>
      <c r="K475" s="1390">
        <f>IF(I475&gt;0,J475*100/I475,0)</f>
        <v>0</v>
      </c>
      <c r="L475" s="1359"/>
      <c r="M475" s="45"/>
      <c r="N475" s="45"/>
      <c r="O475" s="45"/>
      <c r="P475" s="45"/>
      <c r="Q475" s="45"/>
      <c r="R475" s="45"/>
      <c r="S475" s="45"/>
      <c r="T475" s="45"/>
      <c r="U475" s="45"/>
    </row>
    <row r="476" spans="1:21" ht="19.5" x14ac:dyDescent="0.3">
      <c r="A476" s="208"/>
      <c r="B476" s="158"/>
      <c r="C476" s="161" t="s">
        <v>188</v>
      </c>
      <c r="D476" s="158"/>
      <c r="E476" s="158"/>
      <c r="F476" s="158"/>
      <c r="G476" s="180"/>
      <c r="H476" s="131" t="s">
        <v>46</v>
      </c>
      <c r="I476" s="328">
        <v>0</v>
      </c>
      <c r="J476" s="328">
        <f>J478+J480</f>
        <v>0</v>
      </c>
      <c r="K476" s="1390">
        <f>IF(I476&gt;0,J476*100/I476,0)</f>
        <v>0</v>
      </c>
      <c r="L476" s="1359"/>
      <c r="M476" s="45"/>
      <c r="N476" s="45"/>
      <c r="O476" s="45"/>
      <c r="P476" s="45"/>
      <c r="Q476" s="45"/>
      <c r="R476" s="45"/>
      <c r="S476" s="45"/>
      <c r="T476" s="45"/>
      <c r="U476" s="45"/>
    </row>
    <row r="477" spans="1:21" ht="19.5" x14ac:dyDescent="0.3">
      <c r="A477" s="208"/>
      <c r="B477" s="158"/>
      <c r="C477" s="209" t="s">
        <v>189</v>
      </c>
      <c r="D477" s="158"/>
      <c r="E477" s="158"/>
      <c r="F477" s="158"/>
      <c r="G477" s="180"/>
      <c r="H477" s="131" t="s">
        <v>34</v>
      </c>
      <c r="I477" s="328">
        <v>0</v>
      </c>
      <c r="J477" s="328">
        <f>J479+J481</f>
        <v>0</v>
      </c>
      <c r="K477" s="1390">
        <f>IF(I477&gt;0,J477*100/I477,0)</f>
        <v>0</v>
      </c>
      <c r="L477" s="1359"/>
      <c r="M477" s="45"/>
      <c r="N477" s="45"/>
      <c r="O477" s="45"/>
      <c r="P477" s="45"/>
      <c r="Q477" s="45"/>
      <c r="R477" s="45"/>
      <c r="S477" s="45"/>
      <c r="T477" s="45"/>
      <c r="U477" s="45"/>
    </row>
    <row r="478" spans="1:21" ht="18.75" x14ac:dyDescent="0.25">
      <c r="A478" s="208"/>
      <c r="B478" s="158"/>
      <c r="C478" s="158"/>
      <c r="D478" s="209" t="s">
        <v>190</v>
      </c>
      <c r="E478" s="158"/>
      <c r="F478" s="158"/>
      <c r="G478" s="180"/>
      <c r="H478" s="133" t="s">
        <v>46</v>
      </c>
      <c r="I478" s="44"/>
      <c r="J478" s="44"/>
      <c r="K478" s="45"/>
      <c r="L478" s="1359"/>
      <c r="M478" s="45"/>
      <c r="N478" s="45"/>
      <c r="O478" s="45"/>
      <c r="P478" s="45"/>
      <c r="Q478" s="45"/>
      <c r="R478" s="45"/>
      <c r="S478" s="45"/>
      <c r="T478" s="45"/>
      <c r="U478" s="45"/>
    </row>
    <row r="479" spans="1:21" ht="18.75" x14ac:dyDescent="0.25">
      <c r="A479" s="208"/>
      <c r="B479" s="158"/>
      <c r="C479" s="158"/>
      <c r="D479" s="158"/>
      <c r="E479" s="158"/>
      <c r="F479" s="158"/>
      <c r="G479" s="180"/>
      <c r="H479" s="133" t="s">
        <v>34</v>
      </c>
      <c r="I479" s="44"/>
      <c r="J479" s="44"/>
      <c r="K479" s="45"/>
      <c r="L479" s="1359"/>
      <c r="M479" s="45"/>
      <c r="N479" s="45"/>
      <c r="O479" s="45"/>
      <c r="P479" s="45"/>
      <c r="Q479" s="45"/>
      <c r="R479" s="45"/>
      <c r="S479" s="45"/>
      <c r="T479" s="45"/>
      <c r="U479" s="45"/>
    </row>
    <row r="480" spans="1:21" ht="18.75" x14ac:dyDescent="0.25">
      <c r="A480" s="208"/>
      <c r="B480" s="158"/>
      <c r="C480" s="158"/>
      <c r="D480" s="326" t="s">
        <v>191</v>
      </c>
      <c r="E480" s="158"/>
      <c r="F480" s="158"/>
      <c r="G480" s="180"/>
      <c r="H480" s="133" t="s">
        <v>46</v>
      </c>
      <c r="I480" s="44"/>
      <c r="J480" s="44"/>
      <c r="K480" s="45"/>
      <c r="L480" s="1359"/>
      <c r="M480" s="45"/>
      <c r="N480" s="45"/>
      <c r="O480" s="45"/>
      <c r="P480" s="45"/>
      <c r="Q480" s="45"/>
      <c r="R480" s="45"/>
      <c r="S480" s="45"/>
      <c r="T480" s="45"/>
      <c r="U480" s="45"/>
    </row>
    <row r="481" spans="1:21" ht="18.75" x14ac:dyDescent="0.25">
      <c r="A481" s="208"/>
      <c r="B481" s="158"/>
      <c r="C481" s="158"/>
      <c r="D481" s="158"/>
      <c r="E481" s="158"/>
      <c r="F481" s="158"/>
      <c r="G481" s="180"/>
      <c r="H481" s="133" t="s">
        <v>34</v>
      </c>
      <c r="I481" s="44"/>
      <c r="J481" s="44"/>
      <c r="K481" s="45"/>
      <c r="L481" s="1359"/>
      <c r="M481" s="45"/>
      <c r="N481" s="45"/>
      <c r="O481" s="45"/>
      <c r="P481" s="45"/>
      <c r="Q481" s="45"/>
      <c r="R481" s="45"/>
      <c r="S481" s="45"/>
      <c r="T481" s="45"/>
      <c r="U481" s="45"/>
    </row>
    <row r="482" spans="1:21" ht="18.75" x14ac:dyDescent="0.25">
      <c r="A482" s="208"/>
      <c r="B482" s="158"/>
      <c r="C482" s="158"/>
      <c r="D482" s="326" t="s">
        <v>192</v>
      </c>
      <c r="E482" s="158"/>
      <c r="F482" s="158"/>
      <c r="G482" s="180"/>
      <c r="H482" s="133" t="s">
        <v>46</v>
      </c>
      <c r="I482" s="44"/>
      <c r="J482" s="184">
        <f ca="1">IFERROR(__xludf.DUMMYFUNCTION("IMPORTRANGE(""https://docs.google.com/spreadsheets/d/1eHaY18a8A9IcSdp1K8H6x8fbOy06t2VsZHhMHf-1x7Y/edit?usp=sharing"",""แผน!HN26"")"),0)</f>
        <v>0</v>
      </c>
      <c r="K482" s="45"/>
      <c r="L482" s="1359"/>
      <c r="M482" s="45"/>
      <c r="N482" s="45"/>
      <c r="O482" s="45"/>
      <c r="P482" s="45"/>
      <c r="Q482" s="45"/>
      <c r="R482" s="45"/>
      <c r="S482" s="45"/>
      <c r="T482" s="45"/>
      <c r="U482" s="45"/>
    </row>
    <row r="483" spans="1:21" ht="18.75" x14ac:dyDescent="0.25">
      <c r="A483" s="208"/>
      <c r="B483" s="158"/>
      <c r="C483" s="158"/>
      <c r="D483" s="158"/>
      <c r="E483" s="158"/>
      <c r="F483" s="158"/>
      <c r="G483" s="180"/>
      <c r="H483" s="133" t="s">
        <v>34</v>
      </c>
      <c r="I483" s="44"/>
      <c r="J483" s="184">
        <f ca="1">IFERROR(__xludf.DUMMYFUNCTION("IMPORTRANGE(""https://docs.google.com/spreadsheets/d/1eHaY18a8A9IcSdp1K8H6x8fbOy06t2VsZHhMHf-1x7Y/edit?usp=sharing"",""แผน!HO26"")"),0)</f>
        <v>0</v>
      </c>
      <c r="K483" s="45"/>
      <c r="L483" s="1359"/>
      <c r="M483" s="45"/>
      <c r="N483" s="45"/>
      <c r="O483" s="45"/>
      <c r="P483" s="45"/>
      <c r="Q483" s="45"/>
      <c r="R483" s="45"/>
      <c r="S483" s="45"/>
      <c r="T483" s="45"/>
      <c r="U483" s="45"/>
    </row>
    <row r="484" spans="1:21" ht="19.5" x14ac:dyDescent="0.3">
      <c r="A484" s="208"/>
      <c r="B484" s="158"/>
      <c r="C484" s="161" t="s">
        <v>193</v>
      </c>
      <c r="D484" s="158"/>
      <c r="E484" s="158"/>
      <c r="F484" s="158"/>
      <c r="G484" s="180"/>
      <c r="H484" s="131" t="s">
        <v>46</v>
      </c>
      <c r="I484" s="44">
        <f>J480</f>
        <v>0</v>
      </c>
      <c r="J484" s="328">
        <f>J486+J488+J490</f>
        <v>0</v>
      </c>
      <c r="K484" s="1390">
        <f>IF(I484&gt;0,J484*100/I484,0)</f>
        <v>0</v>
      </c>
      <c r="L484" s="1359"/>
      <c r="M484" s="45"/>
      <c r="N484" s="45"/>
      <c r="O484" s="45"/>
      <c r="P484" s="45"/>
      <c r="Q484" s="45"/>
      <c r="R484" s="45"/>
      <c r="S484" s="45"/>
      <c r="T484" s="45"/>
      <c r="U484" s="45"/>
    </row>
    <row r="485" spans="1:21" ht="19.5" x14ac:dyDescent="0.3">
      <c r="A485" s="208"/>
      <c r="B485" s="158"/>
      <c r="C485" s="209" t="s">
        <v>194</v>
      </c>
      <c r="D485" s="158"/>
      <c r="E485" s="158"/>
      <c r="F485" s="158"/>
      <c r="G485" s="180"/>
      <c r="H485" s="131" t="s">
        <v>34</v>
      </c>
      <c r="I485" s="44">
        <f>J481</f>
        <v>0</v>
      </c>
      <c r="J485" s="328">
        <f>J487+J489+J491</f>
        <v>0</v>
      </c>
      <c r="K485" s="1390">
        <f>IF(I485&gt;0,J485*100/I485,0)</f>
        <v>0</v>
      </c>
      <c r="L485" s="1359"/>
      <c r="M485" s="45"/>
      <c r="N485" s="45"/>
      <c r="O485" s="45"/>
      <c r="P485" s="45"/>
      <c r="Q485" s="45"/>
      <c r="R485" s="45"/>
      <c r="S485" s="45"/>
      <c r="T485" s="45"/>
      <c r="U485" s="45"/>
    </row>
    <row r="486" spans="1:21" ht="18.75" x14ac:dyDescent="0.25">
      <c r="A486" s="208"/>
      <c r="B486" s="158"/>
      <c r="C486" s="158"/>
      <c r="D486" s="326" t="s">
        <v>195</v>
      </c>
      <c r="E486" s="158"/>
      <c r="F486" s="158"/>
      <c r="G486" s="180"/>
      <c r="H486" s="133" t="s">
        <v>46</v>
      </c>
      <c r="I486" s="44"/>
      <c r="J486" s="44"/>
      <c r="K486" s="45"/>
      <c r="L486" s="1359"/>
      <c r="M486" s="45"/>
      <c r="N486" s="45"/>
      <c r="O486" s="45"/>
      <c r="P486" s="45"/>
      <c r="Q486" s="45"/>
      <c r="R486" s="45"/>
      <c r="S486" s="45"/>
      <c r="T486" s="45"/>
      <c r="U486" s="45"/>
    </row>
    <row r="487" spans="1:21" ht="18.75" x14ac:dyDescent="0.25">
      <c r="A487" s="208"/>
      <c r="B487" s="158"/>
      <c r="C487" s="158"/>
      <c r="D487" s="158"/>
      <c r="E487" s="158"/>
      <c r="F487" s="158"/>
      <c r="G487" s="180"/>
      <c r="H487" s="133" t="s">
        <v>34</v>
      </c>
      <c r="I487" s="44"/>
      <c r="J487" s="44"/>
      <c r="K487" s="45"/>
      <c r="L487" s="1359"/>
      <c r="M487" s="45"/>
      <c r="N487" s="45"/>
      <c r="O487" s="45"/>
      <c r="P487" s="45"/>
      <c r="Q487" s="45"/>
      <c r="R487" s="45"/>
      <c r="S487" s="45"/>
      <c r="T487" s="45"/>
      <c r="U487" s="45"/>
    </row>
    <row r="488" spans="1:21" ht="18.75" x14ac:dyDescent="0.25">
      <c r="A488" s="208"/>
      <c r="B488" s="158"/>
      <c r="C488" s="158"/>
      <c r="D488" s="326" t="s">
        <v>196</v>
      </c>
      <c r="E488" s="158"/>
      <c r="F488" s="158"/>
      <c r="G488" s="180"/>
      <c r="H488" s="133" t="s">
        <v>46</v>
      </c>
      <c r="I488" s="44"/>
      <c r="J488" s="44"/>
      <c r="K488" s="45"/>
      <c r="L488" s="1359"/>
      <c r="M488" s="45"/>
      <c r="N488" s="45"/>
      <c r="O488" s="45"/>
      <c r="P488" s="45"/>
      <c r="Q488" s="45"/>
      <c r="R488" s="45"/>
      <c r="S488" s="45"/>
      <c r="T488" s="45"/>
      <c r="U488" s="45"/>
    </row>
    <row r="489" spans="1:21" ht="18.75" x14ac:dyDescent="0.25">
      <c r="A489" s="208"/>
      <c r="B489" s="158"/>
      <c r="C489" s="158"/>
      <c r="D489" s="158"/>
      <c r="E489" s="158"/>
      <c r="F489" s="158"/>
      <c r="G489" s="180"/>
      <c r="H489" s="133" t="s">
        <v>34</v>
      </c>
      <c r="I489" s="44"/>
      <c r="J489" s="44"/>
      <c r="K489" s="45"/>
      <c r="L489" s="1359"/>
      <c r="M489" s="45"/>
      <c r="N489" s="45"/>
      <c r="O489" s="45"/>
      <c r="P489" s="45"/>
      <c r="Q489" s="45"/>
      <c r="R489" s="45"/>
      <c r="S489" s="45"/>
      <c r="T489" s="45"/>
      <c r="U489" s="45"/>
    </row>
    <row r="490" spans="1:21" ht="18.75" x14ac:dyDescent="0.25">
      <c r="A490" s="208"/>
      <c r="B490" s="158"/>
      <c r="C490" s="158"/>
      <c r="D490" s="326" t="s">
        <v>197</v>
      </c>
      <c r="E490" s="158"/>
      <c r="F490" s="158"/>
      <c r="G490" s="180"/>
      <c r="H490" s="133" t="s">
        <v>46</v>
      </c>
      <c r="I490" s="44"/>
      <c r="J490" s="44"/>
      <c r="K490" s="45"/>
      <c r="L490" s="1359"/>
      <c r="M490" s="45"/>
      <c r="N490" s="45"/>
      <c r="O490" s="45"/>
      <c r="P490" s="45"/>
      <c r="Q490" s="45"/>
      <c r="R490" s="45"/>
      <c r="S490" s="45"/>
      <c r="T490" s="45"/>
      <c r="U490" s="45"/>
    </row>
    <row r="491" spans="1:21" ht="18.75" x14ac:dyDescent="0.25">
      <c r="A491" s="329"/>
      <c r="B491" s="2"/>
      <c r="C491" s="2"/>
      <c r="D491" s="2"/>
      <c r="E491" s="2"/>
      <c r="F491" s="2"/>
      <c r="G491" s="330"/>
      <c r="H491" s="331" t="s">
        <v>34</v>
      </c>
      <c r="I491" s="54"/>
      <c r="J491" s="54"/>
      <c r="K491" s="3"/>
      <c r="L491" s="1360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9.5" x14ac:dyDescent="0.3">
      <c r="A492" s="299"/>
      <c r="B492" s="310" t="s">
        <v>198</v>
      </c>
      <c r="C492" s="301"/>
      <c r="D492" s="301"/>
      <c r="E492" s="293"/>
      <c r="F492" s="293"/>
      <c r="G492" s="294"/>
      <c r="H492" s="321" t="s">
        <v>35</v>
      </c>
      <c r="I492" s="1501">
        <f ca="1">I503</f>
        <v>0</v>
      </c>
      <c r="J492" s="1501">
        <f ca="1">J503</f>
        <v>0</v>
      </c>
      <c r="K492" s="1502">
        <f ca="1">IF(I492&gt;0,J492*100/I492,0)</f>
        <v>0</v>
      </c>
      <c r="L492" s="1503"/>
      <c r="M492" s="298"/>
      <c r="N492" s="298"/>
      <c r="O492" s="298"/>
      <c r="P492" s="298"/>
      <c r="Q492" s="298"/>
      <c r="R492" s="298"/>
      <c r="S492" s="298"/>
      <c r="T492" s="298"/>
      <c r="U492" s="298"/>
    </row>
    <row r="493" spans="1:21" ht="19.5" x14ac:dyDescent="0.3">
      <c r="A493" s="128"/>
      <c r="B493" s="158"/>
      <c r="C493" s="177" t="s">
        <v>18</v>
      </c>
      <c r="D493" s="1538" t="s">
        <v>19</v>
      </c>
      <c r="E493" s="1292"/>
      <c r="F493" s="1292"/>
      <c r="G493" s="42"/>
      <c r="H493" s="221" t="s">
        <v>14</v>
      </c>
      <c r="I493" s="44"/>
      <c r="J493" s="44"/>
      <c r="K493" s="45"/>
      <c r="L493" s="1389">
        <f ca="1">L494+L495</f>
        <v>0</v>
      </c>
      <c r="M493" s="1390">
        <f ca="1">M494+M495</f>
        <v>0</v>
      </c>
      <c r="N493" s="1390">
        <f ca="1">N494+N495</f>
        <v>0</v>
      </c>
      <c r="O493" s="1390">
        <f ca="1">IF(L493&gt;0,N493*100/L493,0)</f>
        <v>0</v>
      </c>
      <c r="P493" s="1390">
        <f ca="1">IF(M493&gt;0,N493*100/M493,0)</f>
        <v>0</v>
      </c>
      <c r="Q493" s="1390">
        <f ca="1">Q494+Q495</f>
        <v>0</v>
      </c>
      <c r="R493" s="1390">
        <f ca="1">R494+R495</f>
        <v>0</v>
      </c>
      <c r="S493" s="1390">
        <f ca="1">S494+S495</f>
        <v>0</v>
      </c>
      <c r="T493" s="1390">
        <f ca="1">IF(Q493&gt;0,S493*100/Q493,0)</f>
        <v>0</v>
      </c>
      <c r="U493" s="1390">
        <f ca="1">IF(R493&gt;0,S493*100/R493,0)</f>
        <v>0</v>
      </c>
    </row>
    <row r="494" spans="1:21" ht="18.75" x14ac:dyDescent="0.25">
      <c r="A494" s="128"/>
      <c r="B494" s="158"/>
      <c r="C494" s="158"/>
      <c r="D494" s="139"/>
      <c r="E494" s="156" t="s">
        <v>158</v>
      </c>
      <c r="F494" s="40"/>
      <c r="G494" s="42"/>
      <c r="H494" s="159" t="s">
        <v>14</v>
      </c>
      <c r="I494" s="44"/>
      <c r="J494" s="44"/>
      <c r="K494" s="45"/>
      <c r="L494" s="1358">
        <f>L497+L500</f>
        <v>0</v>
      </c>
      <c r="M494" s="83">
        <f>M497+M500</f>
        <v>0</v>
      </c>
      <c r="N494" s="83">
        <f>N497+N500</f>
        <v>0</v>
      </c>
      <c r="O494" s="83">
        <f>IF(L494&gt;0,N494*100/L494,0)</f>
        <v>0</v>
      </c>
      <c r="P494" s="83">
        <f>IF(M494&gt;0,N494*100/M494,0)</f>
        <v>0</v>
      </c>
      <c r="Q494" s="83">
        <f>Q497+Q500</f>
        <v>0</v>
      </c>
      <c r="R494" s="83">
        <f>R497+R500</f>
        <v>0</v>
      </c>
      <c r="S494" s="83">
        <f>S497+S500</f>
        <v>0</v>
      </c>
      <c r="T494" s="83">
        <f>IF(Q494&gt;0,S494*100/Q494,0)</f>
        <v>0</v>
      </c>
      <c r="U494" s="83">
        <f>IF(R494&gt;0,S494*100/R494,0)</f>
        <v>0</v>
      </c>
    </row>
    <row r="495" spans="1:21" ht="18.75" x14ac:dyDescent="0.25">
      <c r="A495" s="128"/>
      <c r="B495" s="158"/>
      <c r="C495" s="158"/>
      <c r="D495" s="139"/>
      <c r="E495" s="47" t="s">
        <v>159</v>
      </c>
      <c r="F495" s="40"/>
      <c r="G495" s="42"/>
      <c r="H495" s="134" t="s">
        <v>14</v>
      </c>
      <c r="I495" s="44"/>
      <c r="J495" s="44"/>
      <c r="K495" s="45"/>
      <c r="L495" s="1356">
        <f ca="1">L498+L501</f>
        <v>0</v>
      </c>
      <c r="M495" s="224">
        <f ca="1">M498+M501</f>
        <v>0</v>
      </c>
      <c r="N495" s="224">
        <f ca="1">N498+N501</f>
        <v>0</v>
      </c>
      <c r="O495" s="224">
        <f ca="1">IF(L495&gt;0,N495*100/L495,0)</f>
        <v>0</v>
      </c>
      <c r="P495" s="224">
        <f ca="1">IF(M495&gt;0,N495*100/M495,0)</f>
        <v>0</v>
      </c>
      <c r="Q495" s="224">
        <f ca="1">Q498+Q501</f>
        <v>0</v>
      </c>
      <c r="R495" s="224">
        <f ca="1">R498+R501</f>
        <v>0</v>
      </c>
      <c r="S495" s="224">
        <f ca="1">S498+S501</f>
        <v>0</v>
      </c>
      <c r="T495" s="224">
        <f ca="1">IF(Q495&gt;0,S495*100/Q495,0)</f>
        <v>0</v>
      </c>
      <c r="U495" s="224">
        <f ca="1">IF(R495&gt;0,S495*100/R495,0)</f>
        <v>0</v>
      </c>
    </row>
    <row r="496" spans="1:21" ht="18.75" x14ac:dyDescent="0.25">
      <c r="A496" s="128"/>
      <c r="B496" s="158"/>
      <c r="C496" s="158"/>
      <c r="D496" s="1406" t="s">
        <v>22</v>
      </c>
      <c r="E496" s="40"/>
      <c r="F496" s="40"/>
      <c r="G496" s="42"/>
      <c r="H496" s="134" t="s">
        <v>14</v>
      </c>
      <c r="I496" s="135"/>
      <c r="J496" s="135"/>
      <c r="K496" s="136"/>
      <c r="L496" s="1356">
        <f ca="1">L497+L498</f>
        <v>0</v>
      </c>
      <c r="M496" s="224">
        <f ca="1">M497+M498</f>
        <v>0</v>
      </c>
      <c r="N496" s="224">
        <f ca="1">N497+N498</f>
        <v>0</v>
      </c>
      <c r="O496" s="224">
        <f ca="1">IF(L496&gt;0,N496*100/L496,0)</f>
        <v>0</v>
      </c>
      <c r="P496" s="224">
        <f ca="1">IF(M496&gt;0,N496*100/M496,0)</f>
        <v>0</v>
      </c>
      <c r="Q496" s="224">
        <f ca="1">Q497+Q498</f>
        <v>0</v>
      </c>
      <c r="R496" s="224">
        <f ca="1">R497+R498</f>
        <v>0</v>
      </c>
      <c r="S496" s="224">
        <f ca="1">S497+S498</f>
        <v>0</v>
      </c>
      <c r="T496" s="224">
        <f ca="1">IF(Q496&gt;0,S496*100/Q496,0)</f>
        <v>0</v>
      </c>
      <c r="U496" s="224">
        <f ca="1">IF(R496&gt;0,S496*100/R496,0)</f>
        <v>0</v>
      </c>
    </row>
    <row r="497" spans="1:21" ht="18.75" x14ac:dyDescent="0.25">
      <c r="A497" s="128"/>
      <c r="B497" s="158"/>
      <c r="C497" s="158"/>
      <c r="D497" s="139"/>
      <c r="E497" s="156" t="s">
        <v>158</v>
      </c>
      <c r="F497" s="40"/>
      <c r="G497" s="42"/>
      <c r="H497" s="159" t="s">
        <v>14</v>
      </c>
      <c r="I497" s="44"/>
      <c r="J497" s="44"/>
      <c r="K497" s="45"/>
      <c r="L497" s="1358">
        <v>0</v>
      </c>
      <c r="M497" s="83">
        <v>0</v>
      </c>
      <c r="N497" s="83">
        <v>0</v>
      </c>
      <c r="O497" s="83">
        <f>IF(L497&gt;0,N497*100/L497,0)</f>
        <v>0</v>
      </c>
      <c r="P497" s="83">
        <f>IF(M497&gt;0,N497*100/M497,0)</f>
        <v>0</v>
      </c>
      <c r="Q497" s="83">
        <v>0</v>
      </c>
      <c r="R497" s="83">
        <v>0</v>
      </c>
      <c r="S497" s="83">
        <v>0</v>
      </c>
      <c r="T497" s="83">
        <f>IF(Q497&gt;0,S497*100/Q497,0)</f>
        <v>0</v>
      </c>
      <c r="U497" s="83">
        <f>IF(R497&gt;0,S497*100/R497,0)</f>
        <v>0</v>
      </c>
    </row>
    <row r="498" spans="1:21" ht="18.75" x14ac:dyDescent="0.25">
      <c r="A498" s="128"/>
      <c r="B498" s="158"/>
      <c r="C498" s="158"/>
      <c r="D498" s="139"/>
      <c r="E498" s="47" t="s">
        <v>159</v>
      </c>
      <c r="F498" s="40"/>
      <c r="G498" s="42"/>
      <c r="H498" s="134" t="s">
        <v>14</v>
      </c>
      <c r="I498" s="44"/>
      <c r="J498" s="44"/>
      <c r="K498" s="45"/>
      <c r="L498" s="1356">
        <f ca="1">IFERROR(__xludf.DUMMYFUNCTION("IMPORTRANGE(""https://docs.google.com/spreadsheets/d/1-uDff_7J0KD5mKrp0Vvzr7lt3OU09vwQwhkpOPPYv2Y/edit?usp=sharing"",""งบพรบ!HU26"")"),0)</f>
        <v>0</v>
      </c>
      <c r="M498" s="224">
        <f ca="1">IFERROR(__xludf.DUMMYFUNCTION("IMPORTRANGE(""https://docs.google.com/spreadsheets/d/1-uDff_7J0KD5mKrp0Vvzr7lt3OU09vwQwhkpOPPYv2Y/edit?usp=sharing"",""งบพรบ!HZ26"")"),0)</f>
        <v>0</v>
      </c>
      <c r="N498" s="224">
        <f ca="1">IFERROR(__xludf.DUMMYFUNCTION("IMPORTRANGE(""https://docs.google.com/spreadsheets/d/1-uDff_7J0KD5mKrp0Vvzr7lt3OU09vwQwhkpOPPYv2Y/edit?usp=sharing"",""งบพรบ!IB26"")"),0)</f>
        <v>0</v>
      </c>
      <c r="O498" s="224">
        <f ca="1">IF(L498&gt;0,N498*100/L498,0)</f>
        <v>0</v>
      </c>
      <c r="P498" s="224">
        <f ca="1">IF(M498&gt;0,N498*100/M498,0)</f>
        <v>0</v>
      </c>
      <c r="Q498" s="224">
        <f ca="1">IFERROR(__xludf.DUMMYFUNCTION("IMPORTRANGE(""https://docs.google.com/spreadsheets/d/1ItG2mGa2ceCfYo0BwxsXqNm01IGEUdYcSSLTEv9YCik/edit?usp=sharing"",""เบิกจ่ายกองทุน!AD26"")"),0)</f>
        <v>0</v>
      </c>
      <c r="R498" s="224">
        <f ca="1">IFERROR(__xludf.DUMMYFUNCTION("IMPORTRANGE(""https://docs.google.com/spreadsheets/d/1ItG2mGa2ceCfYo0BwxsXqNm01IGEUdYcSSLTEv9YCik/edit?usp=sharing"",""เบิกจ่ายกองทุน!AE26"")"),0)</f>
        <v>0</v>
      </c>
      <c r="S498" s="224">
        <f ca="1">IFERROR(__xludf.DUMMYFUNCTION("IMPORTRANGE(""https://docs.google.com/spreadsheets/d/1ItG2mGa2ceCfYo0BwxsXqNm01IGEUdYcSSLTEv9YCik/edit?usp=sharing"",""เบิกจ่ายกองทุน!AF26"")"),0)</f>
        <v>0</v>
      </c>
      <c r="T498" s="224">
        <f ca="1">IF(Q498&gt;0,S498*100/Q498,0)</f>
        <v>0</v>
      </c>
      <c r="U498" s="224">
        <f ca="1">IF(R498&gt;0,S498*100/R498,0)</f>
        <v>0</v>
      </c>
    </row>
    <row r="499" spans="1:21" ht="18.75" x14ac:dyDescent="0.25">
      <c r="A499" s="128"/>
      <c r="B499" s="158"/>
      <c r="C499" s="158"/>
      <c r="D499" s="1406" t="s">
        <v>23</v>
      </c>
      <c r="E499" s="40"/>
      <c r="F499" s="40"/>
      <c r="G499" s="42"/>
      <c r="H499" s="137" t="s">
        <v>14</v>
      </c>
      <c r="I499" s="135"/>
      <c r="J499" s="135"/>
      <c r="K499" s="136"/>
      <c r="L499" s="1356">
        <f ca="1">L500+L501</f>
        <v>0</v>
      </c>
      <c r="M499" s="224">
        <f ca="1">M500+M501</f>
        <v>0</v>
      </c>
      <c r="N499" s="224">
        <f ca="1">N500+N501</f>
        <v>0</v>
      </c>
      <c r="O499" s="224">
        <f ca="1">IF(L499&gt;0,N499*100/L499,0)</f>
        <v>0</v>
      </c>
      <c r="P499" s="224">
        <f ca="1">IF(M499&gt;0,N499*100/M499,0)</f>
        <v>0</v>
      </c>
      <c r="Q499" s="224">
        <f>Q500+Q501</f>
        <v>0</v>
      </c>
      <c r="R499" s="224">
        <f>R500+R501</f>
        <v>0</v>
      </c>
      <c r="S499" s="224">
        <f>S500+S501</f>
        <v>0</v>
      </c>
      <c r="T499" s="224">
        <f>IF(Q499&gt;0,S499*100/Q499,0)</f>
        <v>0</v>
      </c>
      <c r="U499" s="224">
        <f>IF(R499&gt;0,S499*100/R499,0)</f>
        <v>0</v>
      </c>
    </row>
    <row r="500" spans="1:21" ht="18.75" x14ac:dyDescent="0.25">
      <c r="A500" s="128"/>
      <c r="B500" s="158"/>
      <c r="C500" s="158"/>
      <c r="D500" s="158"/>
      <c r="E500" s="156" t="s">
        <v>20</v>
      </c>
      <c r="F500" s="40"/>
      <c r="G500" s="42"/>
      <c r="H500" s="159" t="s">
        <v>14</v>
      </c>
      <c r="I500" s="135"/>
      <c r="J500" s="135"/>
      <c r="K500" s="136"/>
      <c r="L500" s="1358">
        <v>0</v>
      </c>
      <c r="M500" s="83">
        <v>0</v>
      </c>
      <c r="N500" s="83">
        <v>0</v>
      </c>
      <c r="O500" s="83">
        <f>IF(L500&gt;0,N500*100/L500,0)</f>
        <v>0</v>
      </c>
      <c r="P500" s="83">
        <f>IF(M500&gt;0,N500*100/M500,0)</f>
        <v>0</v>
      </c>
      <c r="Q500" s="83">
        <v>0</v>
      </c>
      <c r="R500" s="83">
        <v>0</v>
      </c>
      <c r="S500" s="83">
        <v>0</v>
      </c>
      <c r="T500" s="83">
        <f>IF(Q500&gt;0,S500*100/Q500,0)</f>
        <v>0</v>
      </c>
      <c r="U500" s="83">
        <f>IF(R500&gt;0,S500*100/R500,0)</f>
        <v>0</v>
      </c>
    </row>
    <row r="501" spans="1:21" ht="18.75" x14ac:dyDescent="0.25">
      <c r="A501" s="128"/>
      <c r="B501" s="158"/>
      <c r="C501" s="158"/>
      <c r="D501" s="158"/>
      <c r="E501" s="47" t="s">
        <v>21</v>
      </c>
      <c r="F501" s="40"/>
      <c r="G501" s="42"/>
      <c r="H501" s="137" t="s">
        <v>14</v>
      </c>
      <c r="I501" s="135"/>
      <c r="J501" s="135"/>
      <c r="K501" s="136"/>
      <c r="L501" s="1356">
        <f ca="1">IFERROR(__xludf.DUMMYFUNCTION("IMPORTRANGE(""https://docs.google.com/spreadsheets/d/1-uDff_7J0KD5mKrp0Vvzr7lt3OU09vwQwhkpOPPYv2Y/edit?usp=sharing"",""งบพรบ!HX26"")"),0)</f>
        <v>0</v>
      </c>
      <c r="M501" s="224">
        <f ca="1">IFERROR(__xludf.DUMMYFUNCTION("IMPORTRANGE(""https://docs.google.com/spreadsheets/d/1-uDff_7J0KD5mKrp0Vvzr7lt3OU09vwQwhkpOPPYv2Y/edit?usp=sharing"",""งบพรบ!IA26"")"),0)</f>
        <v>0</v>
      </c>
      <c r="N501" s="224">
        <f ca="1">IFERROR(__xludf.DUMMYFUNCTION("IMPORTRANGE(""https://docs.google.com/spreadsheets/d/1-uDff_7J0KD5mKrp0Vvzr7lt3OU09vwQwhkpOPPYv2Y/edit?usp=sharing"",""งบพรบ!IC26"")"),0)</f>
        <v>0</v>
      </c>
      <c r="O501" s="224">
        <f ca="1">IF(L501&gt;0,N501*100/L501,0)</f>
        <v>0</v>
      </c>
      <c r="P501" s="224">
        <f ca="1">IF(M501&gt;0,N501*100/M501,0)</f>
        <v>0</v>
      </c>
      <c r="Q501" s="224">
        <v>0</v>
      </c>
      <c r="R501" s="224">
        <v>0</v>
      </c>
      <c r="S501" s="224">
        <v>0</v>
      </c>
      <c r="T501" s="224">
        <f>IF(Q501&gt;0,S501*100/Q501,0)</f>
        <v>0</v>
      </c>
      <c r="U501" s="224">
        <f>IF(R501&gt;0,S501*100/R501,0)</f>
        <v>0</v>
      </c>
    </row>
    <row r="502" spans="1:21" ht="19.5" x14ac:dyDescent="0.3">
      <c r="A502" s="138"/>
      <c r="B502" s="139"/>
      <c r="C502" s="177" t="s">
        <v>18</v>
      </c>
      <c r="D502" s="1535" t="s">
        <v>38</v>
      </c>
      <c r="E502" s="141"/>
      <c r="F502" s="141"/>
      <c r="G502" s="142"/>
      <c r="H502" s="178"/>
      <c r="I502" s="135"/>
      <c r="J502" s="135"/>
      <c r="K502" s="136"/>
      <c r="L502" s="1392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08"/>
      <c r="B503" s="158"/>
      <c r="C503" s="158"/>
      <c r="D503" s="161" t="s">
        <v>199</v>
      </c>
      <c r="E503" s="40"/>
      <c r="F503" s="40"/>
      <c r="G503" s="42"/>
      <c r="H503" s="133" t="s">
        <v>35</v>
      </c>
      <c r="I503" s="328">
        <f ca="1">IFERROR(__xludf.DUMMYFUNCTION("IMPORTRANGE(""https://docs.google.com/spreadsheets/d/1eHaY18a8A9IcSdp1K8H6x8fbOy06t2VsZHhMHf-1x7Y/edit?usp=sharing"",""แผน!GX26"")"),0)</f>
        <v>0</v>
      </c>
      <c r="J503" s="328">
        <f ca="1">IF(AND(J504=I504,J505=I505,J506=I506,J507=I507),I503,0)</f>
        <v>0</v>
      </c>
      <c r="K503" s="1390">
        <f ca="1">IF(I503&gt;0,J503*100/I503,0)</f>
        <v>0</v>
      </c>
      <c r="L503" s="1359"/>
      <c r="M503" s="45"/>
      <c r="N503" s="45"/>
      <c r="O503" s="45"/>
      <c r="P503" s="45"/>
      <c r="Q503" s="45"/>
      <c r="R503" s="45"/>
      <c r="S503" s="45"/>
      <c r="T503" s="45"/>
      <c r="U503" s="45"/>
    </row>
    <row r="504" spans="1:21" ht="18.75" x14ac:dyDescent="0.25">
      <c r="A504" s="208"/>
      <c r="B504" s="158"/>
      <c r="C504" s="158"/>
      <c r="D504" s="158"/>
      <c r="E504" s="47" t="s">
        <v>200</v>
      </c>
      <c r="F504" s="40"/>
      <c r="G504" s="42"/>
      <c r="H504" s="133" t="s">
        <v>35</v>
      </c>
      <c r="I504" s="184">
        <f ca="1">IFERROR(__xludf.DUMMYFUNCTION("IMPORTRANGE(""https://docs.google.com/spreadsheets/d/1eHaY18a8A9IcSdp1K8H6x8fbOy06t2VsZHhMHf-1x7Y/edit?usp=sharing"",""แผน!GY26"")"),0)</f>
        <v>0</v>
      </c>
      <c r="J504" s="1395">
        <v>0</v>
      </c>
      <c r="K504" s="224">
        <f ca="1">IF(I504&gt;0,J504*100/I504,0)</f>
        <v>0</v>
      </c>
      <c r="L504" s="1359"/>
      <c r="M504" s="45"/>
      <c r="N504" s="45"/>
      <c r="O504" s="45"/>
      <c r="P504" s="45"/>
      <c r="Q504" s="45"/>
      <c r="R504" s="45"/>
      <c r="S504" s="45"/>
      <c r="T504" s="45"/>
      <c r="U504" s="45"/>
    </row>
    <row r="505" spans="1:21" ht="18.75" x14ac:dyDescent="0.25">
      <c r="A505" s="208"/>
      <c r="B505" s="158"/>
      <c r="C505" s="158"/>
      <c r="D505" s="158"/>
      <c r="E505" s="47" t="s">
        <v>201</v>
      </c>
      <c r="F505" s="40"/>
      <c r="G505" s="42"/>
      <c r="H505" s="133" t="s">
        <v>35</v>
      </c>
      <c r="I505" s="184">
        <f ca="1">IFERROR(__xludf.DUMMYFUNCTION("IMPORTRANGE(""https://docs.google.com/spreadsheets/d/1eHaY18a8A9IcSdp1K8H6x8fbOy06t2VsZHhMHf-1x7Y/edit?usp=sharing"",""แผน!GZ26"")"),0)</f>
        <v>0</v>
      </c>
      <c r="J505" s="1395">
        <v>0</v>
      </c>
      <c r="K505" s="224">
        <f ca="1">IF(I505&gt;0,J505*100/I505,0)</f>
        <v>0</v>
      </c>
      <c r="L505" s="1359"/>
      <c r="M505" s="45"/>
      <c r="N505" s="45"/>
      <c r="O505" s="45"/>
      <c r="P505" s="45"/>
      <c r="Q505" s="45"/>
      <c r="R505" s="45"/>
      <c r="S505" s="45"/>
      <c r="T505" s="45"/>
      <c r="U505" s="45"/>
    </row>
    <row r="506" spans="1:21" ht="18.75" x14ac:dyDescent="0.25">
      <c r="A506" s="208"/>
      <c r="B506" s="158"/>
      <c r="C506" s="158"/>
      <c r="D506" s="158"/>
      <c r="E506" s="47" t="s">
        <v>202</v>
      </c>
      <c r="F506" s="40"/>
      <c r="G506" s="42"/>
      <c r="H506" s="133" t="s">
        <v>35</v>
      </c>
      <c r="I506" s="184">
        <f ca="1">IFERROR(__xludf.DUMMYFUNCTION("IMPORTRANGE(""https://docs.google.com/spreadsheets/d/1eHaY18a8A9IcSdp1K8H6x8fbOy06t2VsZHhMHf-1x7Y/edit?usp=sharing"",""แผน!HA26"")"),0)</f>
        <v>0</v>
      </c>
      <c r="J506" s="1395">
        <v>0</v>
      </c>
      <c r="K506" s="224">
        <f ca="1">IF(I506&gt;0,J506*100/I506,0)</f>
        <v>0</v>
      </c>
      <c r="L506" s="1359"/>
      <c r="M506" s="45"/>
      <c r="N506" s="45"/>
      <c r="O506" s="45"/>
      <c r="P506" s="45"/>
      <c r="Q506" s="45"/>
      <c r="R506" s="45"/>
      <c r="S506" s="45"/>
      <c r="T506" s="45"/>
      <c r="U506" s="45"/>
    </row>
    <row r="507" spans="1:21" ht="18.75" x14ac:dyDescent="0.25">
      <c r="A507" s="208"/>
      <c r="B507" s="158"/>
      <c r="C507" s="158"/>
      <c r="D507" s="158"/>
      <c r="E507" s="332" t="s">
        <v>203</v>
      </c>
      <c r="F507" s="40"/>
      <c r="G507" s="42"/>
      <c r="H507" s="133" t="s">
        <v>35</v>
      </c>
      <c r="I507" s="184">
        <f ca="1">IFERROR(__xludf.DUMMYFUNCTION("IMPORTRANGE(""https://docs.google.com/spreadsheets/d/1eHaY18a8A9IcSdp1K8H6x8fbOy06t2VsZHhMHf-1x7Y/edit?usp=sharing"",""แผน!HB26"")"),0)</f>
        <v>0</v>
      </c>
      <c r="J507" s="1395">
        <v>0</v>
      </c>
      <c r="K507" s="224">
        <f ca="1">IF(I507&gt;0,J507*100/I507,0)</f>
        <v>0</v>
      </c>
      <c r="L507" s="1359"/>
      <c r="M507" s="45"/>
      <c r="N507" s="45"/>
      <c r="O507" s="45"/>
      <c r="P507" s="45"/>
      <c r="Q507" s="45"/>
      <c r="R507" s="45"/>
      <c r="S507" s="45"/>
      <c r="T507" s="45"/>
      <c r="U507" s="45"/>
    </row>
    <row r="508" spans="1:21" ht="18.75" x14ac:dyDescent="0.25">
      <c r="A508" s="208"/>
      <c r="B508" s="158"/>
      <c r="C508" s="158"/>
      <c r="D508" s="158"/>
      <c r="E508" s="47" t="s">
        <v>204</v>
      </c>
      <c r="F508" s="40"/>
      <c r="G508" s="42"/>
      <c r="H508" s="133" t="s">
        <v>35</v>
      </c>
      <c r="I508" s="184">
        <v>0</v>
      </c>
      <c r="J508" s="184">
        <v>0</v>
      </c>
      <c r="K508" s="224">
        <f>IF(I508&gt;0,J508*100/I508,0)</f>
        <v>0</v>
      </c>
      <c r="L508" s="1359"/>
      <c r="M508" s="45"/>
      <c r="N508" s="45"/>
      <c r="O508" s="45"/>
      <c r="P508" s="45"/>
      <c r="Q508" s="45"/>
      <c r="R508" s="45"/>
      <c r="S508" s="45"/>
      <c r="T508" s="45"/>
      <c r="U508" s="45"/>
    </row>
    <row r="509" spans="1:21" ht="19.5" x14ac:dyDescent="0.3">
      <c r="A509" s="329"/>
      <c r="B509" s="2"/>
      <c r="C509" s="2"/>
      <c r="D509" s="333" t="s">
        <v>50</v>
      </c>
      <c r="E509" s="1"/>
      <c r="F509" s="1"/>
      <c r="G509" s="52"/>
      <c r="H509" s="331" t="s">
        <v>35</v>
      </c>
      <c r="I509" s="188">
        <f ca="1">IFERROR(__xludf.DUMMYFUNCTION("IMPORTRANGE(""https://docs.google.com/spreadsheets/d/1eHaY18a8A9IcSdp1K8H6x8fbOy06t2VsZHhMHf-1x7Y/edit?usp=sharing"",""แผน!HC26"")"),0)</f>
        <v>0</v>
      </c>
      <c r="J509" s="1541">
        <v>0</v>
      </c>
      <c r="K509" s="448">
        <f ca="1">IF(I509&gt;0,J509*100/I509,0)</f>
        <v>0</v>
      </c>
      <c r="L509" s="1360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9.5" x14ac:dyDescent="0.3">
      <c r="A510" s="1542" t="s">
        <v>205</v>
      </c>
      <c r="B510" s="336"/>
      <c r="C510" s="336"/>
      <c r="D510" s="336"/>
      <c r="E510" s="337"/>
      <c r="F510" s="337"/>
      <c r="G510" s="337"/>
      <c r="H510" s="337"/>
      <c r="I510" s="338"/>
      <c r="J510" s="338"/>
      <c r="K510" s="339"/>
      <c r="L510" s="1543"/>
      <c r="M510" s="341"/>
      <c r="N510" s="341"/>
      <c r="O510" s="341"/>
      <c r="P510" s="341"/>
      <c r="Q510" s="341"/>
      <c r="R510" s="341"/>
      <c r="S510" s="341"/>
      <c r="T510" s="341"/>
      <c r="U510" s="341"/>
    </row>
    <row r="511" spans="1:21" ht="19.5" x14ac:dyDescent="0.3">
      <c r="A511" s="1544" t="s">
        <v>206</v>
      </c>
      <c r="B511" s="343"/>
      <c r="C511" s="343"/>
      <c r="D511" s="344"/>
      <c r="E511" s="343"/>
      <c r="F511" s="343"/>
      <c r="G511" s="343"/>
      <c r="H511" s="345"/>
      <c r="I511" s="346"/>
      <c r="J511" s="346"/>
      <c r="K511" s="347"/>
      <c r="L511" s="1545"/>
      <c r="M511" s="348"/>
      <c r="N511" s="348"/>
      <c r="O511" s="348"/>
      <c r="P511" s="348"/>
      <c r="Q511" s="348"/>
      <c r="R511" s="348"/>
      <c r="S511" s="348"/>
      <c r="T511" s="348"/>
      <c r="U511" s="348"/>
    </row>
    <row r="512" spans="1:21" ht="19.5" x14ac:dyDescent="0.3">
      <c r="A512" s="349"/>
      <c r="B512" s="1546" t="s">
        <v>207</v>
      </c>
      <c r="C512" s="351"/>
      <c r="D512" s="352"/>
      <c r="E512" s="352"/>
      <c r="F512" s="352"/>
      <c r="G512" s="353"/>
      <c r="H512" s="1547" t="s">
        <v>61</v>
      </c>
      <c r="I512" s="1548">
        <f>I524</f>
        <v>0</v>
      </c>
      <c r="J512" s="1548">
        <f>J524</f>
        <v>0</v>
      </c>
      <c r="K512" s="1549">
        <f>IF(I512&gt;0,J512*100/I512,0)</f>
        <v>0</v>
      </c>
      <c r="L512" s="1550"/>
      <c r="M512" s="357"/>
      <c r="N512" s="357"/>
      <c r="O512" s="357"/>
      <c r="P512" s="357"/>
      <c r="Q512" s="357"/>
      <c r="R512" s="357"/>
      <c r="S512" s="357"/>
      <c r="T512" s="357"/>
      <c r="U512" s="357"/>
    </row>
    <row r="513" spans="1:21" ht="19.5" x14ac:dyDescent="0.3">
      <c r="A513" s="128"/>
      <c r="B513" s="40"/>
      <c r="C513" s="1433" t="s">
        <v>18</v>
      </c>
      <c r="D513" s="1434" t="s">
        <v>19</v>
      </c>
      <c r="E513" s="40"/>
      <c r="F513" s="40"/>
      <c r="G513" s="42"/>
      <c r="H513" s="1551" t="s">
        <v>14</v>
      </c>
      <c r="I513" s="44"/>
      <c r="J513" s="44"/>
      <c r="K513" s="45"/>
      <c r="L513" s="1389">
        <f ca="1">L514+L515</f>
        <v>0</v>
      </c>
      <c r="M513" s="1390">
        <f ca="1">M514+M515</f>
        <v>0</v>
      </c>
      <c r="N513" s="1390">
        <f ca="1">N514+N515</f>
        <v>0</v>
      </c>
      <c r="O513" s="1390">
        <f ca="1">IF(L513&gt;0,N513*100/L513,0)</f>
        <v>0</v>
      </c>
      <c r="P513" s="1390">
        <f ca="1">IF(M513&gt;0,N513*100/M513,0)</f>
        <v>0</v>
      </c>
      <c r="Q513" s="1390">
        <f>Q514+Q515</f>
        <v>0</v>
      </c>
      <c r="R513" s="1390">
        <f>R514+R515</f>
        <v>0</v>
      </c>
      <c r="S513" s="1390">
        <f>S514+S515</f>
        <v>0</v>
      </c>
      <c r="T513" s="1390">
        <f>IF(Q513&gt;0,S513*100/Q513,0)</f>
        <v>0</v>
      </c>
      <c r="U513" s="1390">
        <f>IF(R513&gt;0,S513*100/R513,0)</f>
        <v>0</v>
      </c>
    </row>
    <row r="514" spans="1:21" ht="18.75" x14ac:dyDescent="0.25">
      <c r="A514" s="128"/>
      <c r="B514" s="40"/>
      <c r="C514" s="40"/>
      <c r="D514" s="40"/>
      <c r="E514" s="156" t="s">
        <v>20</v>
      </c>
      <c r="F514" s="40"/>
      <c r="G514" s="42"/>
      <c r="H514" s="157" t="s">
        <v>14</v>
      </c>
      <c r="I514" s="44"/>
      <c r="J514" s="44"/>
      <c r="K514" s="45"/>
      <c r="L514" s="1358">
        <f>L517+L520</f>
        <v>0</v>
      </c>
      <c r="M514" s="83">
        <f>M517+M520</f>
        <v>0</v>
      </c>
      <c r="N514" s="83">
        <f>N517+N520</f>
        <v>0</v>
      </c>
      <c r="O514" s="83">
        <f>IF(L514&gt;0,N514*100/L514,0)</f>
        <v>0</v>
      </c>
      <c r="P514" s="83">
        <f>IF(M514&gt;0,N514*100/M514,0)</f>
        <v>0</v>
      </c>
      <c r="Q514" s="83">
        <f>Q517+Q520</f>
        <v>0</v>
      </c>
      <c r="R514" s="83">
        <f>R517+R520</f>
        <v>0</v>
      </c>
      <c r="S514" s="83">
        <f>S517+S520</f>
        <v>0</v>
      </c>
      <c r="T514" s="83">
        <f>IF(Q514&gt;0,S514*100/Q514,0)</f>
        <v>0</v>
      </c>
      <c r="U514" s="83">
        <f>IF(R514&gt;0,S514*100/R514,0)</f>
        <v>0</v>
      </c>
    </row>
    <row r="515" spans="1:21" ht="18.75" x14ac:dyDescent="0.25">
      <c r="A515" s="128"/>
      <c r="B515" s="40"/>
      <c r="C515" s="40"/>
      <c r="D515" s="40"/>
      <c r="E515" s="156" t="s">
        <v>21</v>
      </c>
      <c r="F515" s="40"/>
      <c r="G515" s="42"/>
      <c r="H515" s="157" t="s">
        <v>14</v>
      </c>
      <c r="I515" s="44"/>
      <c r="J515" s="44"/>
      <c r="K515" s="45"/>
      <c r="L515" s="1356">
        <f ca="1">L518+L521</f>
        <v>0</v>
      </c>
      <c r="M515" s="224">
        <f ca="1">M518+M521</f>
        <v>0</v>
      </c>
      <c r="N515" s="224">
        <f ca="1">N518+N521</f>
        <v>0</v>
      </c>
      <c r="O515" s="224">
        <f ca="1">IF(L515&gt;0,N515*100/L515,0)</f>
        <v>0</v>
      </c>
      <c r="P515" s="224">
        <f ca="1">IF(M515&gt;0,N515*100/M515,0)</f>
        <v>0</v>
      </c>
      <c r="Q515" s="224">
        <f>Q518+Q521</f>
        <v>0</v>
      </c>
      <c r="R515" s="224">
        <f>R518+R521</f>
        <v>0</v>
      </c>
      <c r="S515" s="224">
        <f>S518+S521</f>
        <v>0</v>
      </c>
      <c r="T515" s="224">
        <f>IF(Q515&gt;0,S515*100/Q515,0)</f>
        <v>0</v>
      </c>
      <c r="U515" s="224">
        <f>IF(R515&gt;0,S515*100/R515,0)</f>
        <v>0</v>
      </c>
    </row>
    <row r="516" spans="1:21" ht="18.75" x14ac:dyDescent="0.25">
      <c r="A516" s="128"/>
      <c r="B516" s="40"/>
      <c r="C516" s="40"/>
      <c r="D516" s="1552" t="s">
        <v>22</v>
      </c>
      <c r="E516" s="40"/>
      <c r="F516" s="40"/>
      <c r="G516" s="42"/>
      <c r="H516" s="159" t="s">
        <v>14</v>
      </c>
      <c r="I516" s="135"/>
      <c r="J516" s="135"/>
      <c r="K516" s="136"/>
      <c r="L516" s="1356">
        <f ca="1">L517+L518</f>
        <v>0</v>
      </c>
      <c r="M516" s="224">
        <f ca="1">M517+M518</f>
        <v>0</v>
      </c>
      <c r="N516" s="224">
        <f ca="1">N517+N518</f>
        <v>0</v>
      </c>
      <c r="O516" s="224">
        <f ca="1">IF(L516&gt;0,N516*100/L516,0)</f>
        <v>0</v>
      </c>
      <c r="P516" s="224">
        <f ca="1">IF(M516&gt;0,N516*100/M516,0)</f>
        <v>0</v>
      </c>
      <c r="Q516" s="224">
        <f>Q517+Q518</f>
        <v>0</v>
      </c>
      <c r="R516" s="224">
        <f>R517+R518</f>
        <v>0</v>
      </c>
      <c r="S516" s="224">
        <f>S517+S518</f>
        <v>0</v>
      </c>
      <c r="T516" s="224">
        <f>IF(Q516&gt;0,S516*100/Q516,0)</f>
        <v>0</v>
      </c>
      <c r="U516" s="224">
        <f>IF(R516&gt;0,S516*100/R516,0)</f>
        <v>0</v>
      </c>
    </row>
    <row r="517" spans="1:21" ht="18.75" x14ac:dyDescent="0.25">
      <c r="A517" s="128"/>
      <c r="B517" s="40"/>
      <c r="C517" s="40"/>
      <c r="D517" s="40"/>
      <c r="E517" s="156" t="s">
        <v>36</v>
      </c>
      <c r="F517" s="40"/>
      <c r="G517" s="42"/>
      <c r="H517" s="159" t="s">
        <v>14</v>
      </c>
      <c r="I517" s="135"/>
      <c r="J517" s="135"/>
      <c r="K517" s="136"/>
      <c r="L517" s="1358">
        <v>0</v>
      </c>
      <c r="M517" s="83">
        <v>0</v>
      </c>
      <c r="N517" s="83">
        <v>0</v>
      </c>
      <c r="O517" s="83">
        <f>IF(L517&gt;0,N517*100/L517,0)</f>
        <v>0</v>
      </c>
      <c r="P517" s="83">
        <f>IF(M517&gt;0,N517*100/M517,0)</f>
        <v>0</v>
      </c>
      <c r="Q517" s="83">
        <v>0</v>
      </c>
      <c r="R517" s="83">
        <v>0</v>
      </c>
      <c r="S517" s="83">
        <v>0</v>
      </c>
      <c r="T517" s="83">
        <f>IF(Q517&gt;0,S517*100/Q517,0)</f>
        <v>0</v>
      </c>
      <c r="U517" s="83">
        <f>IF(R517&gt;0,S517*100/R517,0)</f>
        <v>0</v>
      </c>
    </row>
    <row r="518" spans="1:21" ht="18.75" x14ac:dyDescent="0.25">
      <c r="A518" s="128"/>
      <c r="B518" s="40"/>
      <c r="C518" s="40"/>
      <c r="D518" s="40"/>
      <c r="E518" s="156" t="s">
        <v>37</v>
      </c>
      <c r="F518" s="40"/>
      <c r="G518" s="42"/>
      <c r="H518" s="159" t="s">
        <v>14</v>
      </c>
      <c r="I518" s="135"/>
      <c r="J518" s="135"/>
      <c r="K518" s="136"/>
      <c r="L518" s="1356">
        <f ca="1">IFERROR(__xludf.DUMMYFUNCTION("IMPORTRANGE(""https://docs.google.com/spreadsheets/d/1-uDff_7J0KD5mKrp0Vvzr7lt3OU09vwQwhkpOPPYv2Y/edit?usp=sharing"",""งบพรบ!FM26"")"),0)</f>
        <v>0</v>
      </c>
      <c r="M518" s="224">
        <f ca="1">IFERROR(__xludf.DUMMYFUNCTION("IMPORTRANGE(""https://docs.google.com/spreadsheets/d/1-uDff_7J0KD5mKrp0Vvzr7lt3OU09vwQwhkpOPPYv2Y/edit?usp=sharing"",""งบพรบ!FR26"")"),0)</f>
        <v>0</v>
      </c>
      <c r="N518" s="224">
        <f ca="1">IFERROR(__xludf.DUMMYFUNCTION("IMPORTRANGE(""https://docs.google.com/spreadsheets/d/1-uDff_7J0KD5mKrp0Vvzr7lt3OU09vwQwhkpOPPYv2Y/edit?usp=sharing"",""งบพรบ!FT26"")"),0)</f>
        <v>0</v>
      </c>
      <c r="O518" s="224">
        <f ca="1">IF(L518&gt;0,N518*100/L518,0)</f>
        <v>0</v>
      </c>
      <c r="P518" s="224">
        <f ca="1">IF(M518&gt;0,N518*100/M518,0)</f>
        <v>0</v>
      </c>
      <c r="Q518" s="224">
        <v>0</v>
      </c>
      <c r="R518" s="224">
        <v>0</v>
      </c>
      <c r="S518" s="224">
        <v>0</v>
      </c>
      <c r="T518" s="224">
        <f>IF(Q518&gt;0,S518*100/Q518,0)</f>
        <v>0</v>
      </c>
      <c r="U518" s="224">
        <f>IF(R518&gt;0,S518*100/R518,0)</f>
        <v>0</v>
      </c>
    </row>
    <row r="519" spans="1:21" ht="18.75" x14ac:dyDescent="0.25">
      <c r="A519" s="128"/>
      <c r="B519" s="40"/>
      <c r="C519" s="40"/>
      <c r="D519" s="1552" t="s">
        <v>23</v>
      </c>
      <c r="E519" s="40"/>
      <c r="F519" s="40"/>
      <c r="G519" s="42"/>
      <c r="H519" s="378" t="s">
        <v>14</v>
      </c>
      <c r="I519" s="135"/>
      <c r="J519" s="135"/>
      <c r="K519" s="136"/>
      <c r="L519" s="1356">
        <f ca="1">L520+L521</f>
        <v>0</v>
      </c>
      <c r="M519" s="224">
        <f ca="1">M520+M521</f>
        <v>0</v>
      </c>
      <c r="N519" s="224">
        <f ca="1">N520+N521</f>
        <v>0</v>
      </c>
      <c r="O519" s="224">
        <f ca="1">IF(L519&gt;0,N519*100/L519,0)</f>
        <v>0</v>
      </c>
      <c r="P519" s="224">
        <f ca="1">IF(M519&gt;0,N519*100/M519,0)</f>
        <v>0</v>
      </c>
      <c r="Q519" s="224">
        <f>Q520+Q521</f>
        <v>0</v>
      </c>
      <c r="R519" s="224">
        <f>R520+R521</f>
        <v>0</v>
      </c>
      <c r="S519" s="224">
        <f>S520+S521</f>
        <v>0</v>
      </c>
      <c r="T519" s="224">
        <f>IF(Q519&gt;0,S519*100/Q519,0)</f>
        <v>0</v>
      </c>
      <c r="U519" s="224">
        <f>IF(R519&gt;0,S519*100/R519,0)</f>
        <v>0</v>
      </c>
    </row>
    <row r="520" spans="1:21" ht="18.75" x14ac:dyDescent="0.25">
      <c r="A520" s="128"/>
      <c r="B520" s="40"/>
      <c r="C520" s="40"/>
      <c r="D520" s="40"/>
      <c r="E520" s="156" t="s">
        <v>20</v>
      </c>
      <c r="F520" s="40"/>
      <c r="G520" s="42"/>
      <c r="H520" s="159" t="s">
        <v>14</v>
      </c>
      <c r="I520" s="135"/>
      <c r="J520" s="135"/>
      <c r="K520" s="136"/>
      <c r="L520" s="1358">
        <v>0</v>
      </c>
      <c r="M520" s="83">
        <v>0</v>
      </c>
      <c r="N520" s="83">
        <v>0</v>
      </c>
      <c r="O520" s="83">
        <f>IF(L520&gt;0,N520*100/L520,0)</f>
        <v>0</v>
      </c>
      <c r="P520" s="83">
        <f>IF(M520&gt;0,N520*100/M520,0)</f>
        <v>0</v>
      </c>
      <c r="Q520" s="83">
        <v>0</v>
      </c>
      <c r="R520" s="83">
        <v>0</v>
      </c>
      <c r="S520" s="83">
        <v>0</v>
      </c>
      <c r="T520" s="83">
        <f>IF(Q520&gt;0,S520*100/Q520,0)</f>
        <v>0</v>
      </c>
      <c r="U520" s="83">
        <f>IF(R520&gt;0,S520*100/R520,0)</f>
        <v>0</v>
      </c>
    </row>
    <row r="521" spans="1:21" ht="18.75" x14ac:dyDescent="0.25">
      <c r="A521" s="128"/>
      <c r="B521" s="40"/>
      <c r="C521" s="40"/>
      <c r="D521" s="40"/>
      <c r="E521" s="156" t="s">
        <v>21</v>
      </c>
      <c r="F521" s="40"/>
      <c r="G521" s="42"/>
      <c r="H521" s="378" t="s">
        <v>14</v>
      </c>
      <c r="I521" s="135"/>
      <c r="J521" s="135"/>
      <c r="K521" s="136"/>
      <c r="L521" s="1356">
        <f ca="1">IFERROR(__xludf.DUMMYFUNCTION("IMPORTRANGE(""https://docs.google.com/spreadsheets/d/1-uDff_7J0KD5mKrp0Vvzr7lt3OU09vwQwhkpOPPYv2Y/edit?usp=sharing"",""งบพรบ!FP26"")"),0)</f>
        <v>0</v>
      </c>
      <c r="M521" s="224">
        <f ca="1">IFERROR(__xludf.DUMMYFUNCTION("IMPORTRANGE(""https://docs.google.com/spreadsheets/d/1-uDff_7J0KD5mKrp0Vvzr7lt3OU09vwQwhkpOPPYv2Y/edit?usp=sharing"",""งบพรบ!FS26"")"),0)</f>
        <v>0</v>
      </c>
      <c r="N521" s="224">
        <f ca="1">IFERROR(__xludf.DUMMYFUNCTION("IMPORTRANGE(""https://docs.google.com/spreadsheets/d/1-uDff_7J0KD5mKrp0Vvzr7lt3OU09vwQwhkpOPPYv2Y/edit?usp=sharing"",""งบพรบ!FU26"")"),0)</f>
        <v>0</v>
      </c>
      <c r="O521" s="224">
        <f ca="1">IF(L521&gt;0,N521*100/L521,0)</f>
        <v>0</v>
      </c>
      <c r="P521" s="224">
        <f ca="1">IF(M521&gt;0,N521*100/M521,0)</f>
        <v>0</v>
      </c>
      <c r="Q521" s="224">
        <v>0</v>
      </c>
      <c r="R521" s="224">
        <v>0</v>
      </c>
      <c r="S521" s="224">
        <v>0</v>
      </c>
      <c r="T521" s="224">
        <f>IF(Q521&gt;0,S521*100/Q521,0)</f>
        <v>0</v>
      </c>
      <c r="U521" s="224">
        <f>IF(R521&gt;0,S521*100/R521,0)</f>
        <v>0</v>
      </c>
    </row>
    <row r="522" spans="1:21" ht="19.5" x14ac:dyDescent="0.3">
      <c r="A522" s="138"/>
      <c r="B522" s="139"/>
      <c r="C522" s="1433" t="s">
        <v>18</v>
      </c>
      <c r="D522" s="1436" t="s">
        <v>38</v>
      </c>
      <c r="E522" s="141"/>
      <c r="F522" s="141"/>
      <c r="G522" s="142"/>
      <c r="H522" s="143"/>
      <c r="I522" s="135"/>
      <c r="J522" s="44"/>
      <c r="K522" s="45"/>
      <c r="L522" s="1359"/>
      <c r="M522" s="45"/>
      <c r="N522" s="45"/>
      <c r="O522" s="136"/>
      <c r="P522" s="136"/>
      <c r="Q522" s="45"/>
      <c r="R522" s="45"/>
      <c r="S522" s="45"/>
      <c r="T522" s="136"/>
      <c r="U522" s="136"/>
    </row>
    <row r="523" spans="1:21" ht="18.75" x14ac:dyDescent="0.25">
      <c r="A523" s="208"/>
      <c r="B523" s="40"/>
      <c r="C523" s="158"/>
      <c r="D523" s="179" t="s">
        <v>208</v>
      </c>
      <c r="E523" s="139"/>
      <c r="F523" s="40"/>
      <c r="G523" s="42"/>
      <c r="H523" s="1415" t="s">
        <v>11</v>
      </c>
      <c r="I523" s="423">
        <v>0</v>
      </c>
      <c r="J523" s="1407">
        <v>0</v>
      </c>
      <c r="K523" s="83">
        <f>IF(I523&gt;0,J523*100/I523,0)</f>
        <v>0</v>
      </c>
      <c r="L523" s="1359"/>
      <c r="M523" s="45"/>
      <c r="N523" s="45"/>
      <c r="O523" s="45"/>
      <c r="P523" s="45"/>
      <c r="Q523" s="45"/>
      <c r="R523" s="45"/>
      <c r="S523" s="45"/>
      <c r="T523" s="45"/>
      <c r="U523" s="45"/>
    </row>
    <row r="524" spans="1:21" ht="18.75" x14ac:dyDescent="0.25">
      <c r="A524" s="329"/>
      <c r="B524" s="1"/>
      <c r="C524" s="2"/>
      <c r="D524" s="1553" t="s">
        <v>209</v>
      </c>
      <c r="E524" s="250"/>
      <c r="F524" s="1"/>
      <c r="G524" s="52"/>
      <c r="H524" s="1554" t="s">
        <v>61</v>
      </c>
      <c r="I524" s="426">
        <v>0</v>
      </c>
      <c r="J524" s="1409">
        <v>0</v>
      </c>
      <c r="K524" s="1410">
        <f>IF(I524&gt;0,J524*100/I524,0)</f>
        <v>0</v>
      </c>
      <c r="L524" s="1359"/>
      <c r="M524" s="45"/>
      <c r="N524" s="45"/>
      <c r="O524" s="45"/>
      <c r="P524" s="45"/>
      <c r="Q524" s="45"/>
      <c r="R524" s="45"/>
      <c r="S524" s="45"/>
      <c r="T524" s="45"/>
      <c r="U524" s="45"/>
    </row>
    <row r="525" spans="1:21" ht="12.75" x14ac:dyDescent="0.2">
      <c r="A525" s="1555"/>
      <c r="B525" s="1556"/>
      <c r="C525" s="1556"/>
      <c r="D525" s="1557"/>
      <c r="E525" s="1557"/>
      <c r="F525" s="1557"/>
      <c r="G525" s="1558"/>
      <c r="H525" s="1559"/>
      <c r="I525" s="1560"/>
      <c r="J525" s="1560"/>
      <c r="K525" s="1561"/>
      <c r="L525" s="1536"/>
      <c r="M525" s="233"/>
      <c r="N525" s="233"/>
      <c r="O525" s="233"/>
      <c r="P525" s="233"/>
      <c r="Q525" s="233"/>
      <c r="R525" s="233"/>
      <c r="S525" s="233"/>
      <c r="T525" s="233"/>
      <c r="U525" s="233"/>
    </row>
    <row r="526" spans="1:21" ht="12.75" x14ac:dyDescent="0.2">
      <c r="A526" s="227"/>
      <c r="B526" s="228"/>
      <c r="C526" s="228"/>
      <c r="D526" s="229"/>
      <c r="E526" s="229"/>
      <c r="F526" s="229"/>
      <c r="G526" s="230"/>
      <c r="H526" s="231"/>
      <c r="I526" s="232"/>
      <c r="J526" s="232"/>
      <c r="K526" s="233"/>
      <c r="L526" s="1536"/>
      <c r="M526" s="233"/>
      <c r="N526" s="233"/>
      <c r="O526" s="233"/>
      <c r="P526" s="233"/>
      <c r="Q526" s="233"/>
      <c r="R526" s="233"/>
      <c r="S526" s="233"/>
      <c r="T526" s="233"/>
      <c r="U526" s="233"/>
    </row>
    <row r="527" spans="1:21" ht="12.75" x14ac:dyDescent="0.2">
      <c r="A527" s="227"/>
      <c r="B527" s="228"/>
      <c r="C527" s="228"/>
      <c r="D527" s="229"/>
      <c r="E527" s="229"/>
      <c r="F527" s="229"/>
      <c r="G527" s="230"/>
      <c r="H527" s="231"/>
      <c r="I527" s="232"/>
      <c r="J527" s="232"/>
      <c r="K527" s="233"/>
      <c r="L527" s="1536"/>
      <c r="M527" s="233"/>
      <c r="N527" s="233"/>
      <c r="O527" s="233"/>
      <c r="P527" s="233"/>
      <c r="Q527" s="233"/>
      <c r="R527" s="233"/>
      <c r="S527" s="233"/>
      <c r="T527" s="233"/>
      <c r="U527" s="233"/>
    </row>
    <row r="528" spans="1:21" ht="12.75" x14ac:dyDescent="0.2">
      <c r="A528" s="227"/>
      <c r="B528" s="228"/>
      <c r="C528" s="228"/>
      <c r="D528" s="229"/>
      <c r="E528" s="229"/>
      <c r="F528" s="229"/>
      <c r="G528" s="230"/>
      <c r="H528" s="231"/>
      <c r="I528" s="232"/>
      <c r="J528" s="232"/>
      <c r="K528" s="233"/>
      <c r="L528" s="1536"/>
      <c r="M528" s="233"/>
      <c r="N528" s="233"/>
      <c r="O528" s="233"/>
      <c r="P528" s="233"/>
      <c r="Q528" s="233"/>
      <c r="R528" s="233"/>
      <c r="S528" s="233"/>
      <c r="T528" s="233"/>
      <c r="U528" s="233"/>
    </row>
    <row r="529" spans="1:21" ht="12.75" x14ac:dyDescent="0.2">
      <c r="A529" s="227"/>
      <c r="B529" s="228"/>
      <c r="C529" s="228"/>
      <c r="D529" s="229"/>
      <c r="E529" s="229"/>
      <c r="F529" s="229"/>
      <c r="G529" s="230"/>
      <c r="H529" s="231"/>
      <c r="I529" s="232"/>
      <c r="J529" s="232"/>
      <c r="K529" s="233"/>
      <c r="L529" s="1536"/>
      <c r="M529" s="233"/>
      <c r="N529" s="233"/>
      <c r="O529" s="233"/>
      <c r="P529" s="233"/>
      <c r="Q529" s="233"/>
      <c r="R529" s="233"/>
      <c r="S529" s="233"/>
      <c r="T529" s="233"/>
      <c r="U529" s="233"/>
    </row>
    <row r="530" spans="1:21" ht="12.75" x14ac:dyDescent="0.2">
      <c r="A530" s="227"/>
      <c r="B530" s="228"/>
      <c r="C530" s="228"/>
      <c r="D530" s="229"/>
      <c r="E530" s="229"/>
      <c r="F530" s="229"/>
      <c r="G530" s="230"/>
      <c r="H530" s="231"/>
      <c r="I530" s="232"/>
      <c r="J530" s="232"/>
      <c r="K530" s="233"/>
      <c r="L530" s="1536"/>
      <c r="M530" s="233"/>
      <c r="N530" s="233"/>
      <c r="O530" s="233"/>
      <c r="P530" s="233"/>
      <c r="Q530" s="233"/>
      <c r="R530" s="233"/>
      <c r="S530" s="233"/>
      <c r="T530" s="233"/>
      <c r="U530" s="233"/>
    </row>
    <row r="531" spans="1:21" ht="12.75" x14ac:dyDescent="0.2">
      <c r="A531" s="227"/>
      <c r="B531" s="228"/>
      <c r="C531" s="228"/>
      <c r="D531" s="229"/>
      <c r="E531" s="229"/>
      <c r="F531" s="229"/>
      <c r="G531" s="230"/>
      <c r="H531" s="231"/>
      <c r="I531" s="232"/>
      <c r="J531" s="232"/>
      <c r="K531" s="233"/>
      <c r="L531" s="1536"/>
      <c r="M531" s="233"/>
      <c r="N531" s="233"/>
      <c r="O531" s="233"/>
      <c r="P531" s="233"/>
      <c r="Q531" s="233"/>
      <c r="R531" s="233"/>
      <c r="S531" s="233"/>
      <c r="T531" s="233"/>
      <c r="U531" s="233"/>
    </row>
    <row r="532" spans="1:21" ht="12.75" x14ac:dyDescent="0.2">
      <c r="A532" s="360"/>
      <c r="B532" s="316"/>
      <c r="C532" s="316"/>
      <c r="D532" s="361"/>
      <c r="E532" s="361"/>
      <c r="F532" s="361"/>
      <c r="G532" s="362"/>
      <c r="H532" s="317"/>
      <c r="I532" s="318"/>
      <c r="J532" s="318"/>
      <c r="K532" s="319"/>
      <c r="L532" s="1537"/>
      <c r="M532" s="319"/>
      <c r="N532" s="319"/>
      <c r="O532" s="319"/>
      <c r="P532" s="319"/>
      <c r="Q532" s="319"/>
      <c r="R532" s="319"/>
      <c r="S532" s="319"/>
      <c r="T532" s="319"/>
      <c r="U532" s="319"/>
    </row>
    <row r="533" spans="1:21" ht="19.5" x14ac:dyDescent="0.3">
      <c r="A533" s="349"/>
      <c r="B533" s="350" t="s">
        <v>210</v>
      </c>
      <c r="C533" s="351"/>
      <c r="D533" s="352"/>
      <c r="E533" s="352"/>
      <c r="F533" s="352"/>
      <c r="G533" s="353"/>
      <c r="H533" s="363" t="s">
        <v>61</v>
      </c>
      <c r="I533" s="355">
        <f>I544</f>
        <v>1</v>
      </c>
      <c r="J533" s="355">
        <f>J544</f>
        <v>0</v>
      </c>
      <c r="K533" s="1562">
        <f>IF(I533&gt;0,J533*100/I533,0)</f>
        <v>0</v>
      </c>
      <c r="L533" s="1550"/>
      <c r="M533" s="357"/>
      <c r="N533" s="357"/>
      <c r="O533" s="357"/>
      <c r="P533" s="357"/>
      <c r="Q533" s="357"/>
      <c r="R533" s="357"/>
      <c r="S533" s="357"/>
      <c r="T533" s="357"/>
      <c r="U533" s="357"/>
    </row>
    <row r="534" spans="1:21" ht="19.5" x14ac:dyDescent="0.3">
      <c r="A534" s="128"/>
      <c r="B534" s="40"/>
      <c r="C534" s="129" t="s">
        <v>18</v>
      </c>
      <c r="D534" s="1388" t="s">
        <v>19</v>
      </c>
      <c r="E534" s="40"/>
      <c r="F534" s="40"/>
      <c r="G534" s="42"/>
      <c r="H534" s="131" t="s">
        <v>14</v>
      </c>
      <c r="I534" s="44"/>
      <c r="J534" s="44"/>
      <c r="K534" s="45"/>
      <c r="L534" s="1389">
        <f ca="1">L535+L536</f>
        <v>290000</v>
      </c>
      <c r="M534" s="1390">
        <f ca="1">M535+M536</f>
        <v>290000</v>
      </c>
      <c r="N534" s="1390">
        <f ca="1">N535+N536</f>
        <v>0</v>
      </c>
      <c r="O534" s="1390">
        <f ca="1">IF(L534&gt;0,N534*100/L534,0)</f>
        <v>0</v>
      </c>
      <c r="P534" s="1390">
        <f ca="1">IF(M534&gt;0,N534*100/M534,0)</f>
        <v>0</v>
      </c>
      <c r="Q534" s="1390">
        <f>Q535+Q536</f>
        <v>0</v>
      </c>
      <c r="R534" s="1390">
        <f>R535+R536</f>
        <v>0</v>
      </c>
      <c r="S534" s="1390">
        <f>S535+S536</f>
        <v>0</v>
      </c>
      <c r="T534" s="1390">
        <f>IF(Q534&gt;0,S534*100/Q534,0)</f>
        <v>0</v>
      </c>
      <c r="U534" s="1390">
        <f>IF(R534&gt;0,S534*100/R534,0)</f>
        <v>0</v>
      </c>
    </row>
    <row r="535" spans="1:21" ht="18.75" x14ac:dyDescent="0.25">
      <c r="A535" s="128"/>
      <c r="B535" s="158"/>
      <c r="C535" s="40"/>
      <c r="D535" s="40"/>
      <c r="E535" s="156" t="s">
        <v>20</v>
      </c>
      <c r="F535" s="40"/>
      <c r="G535" s="42"/>
      <c r="H535" s="157" t="s">
        <v>14</v>
      </c>
      <c r="I535" s="44"/>
      <c r="J535" s="44"/>
      <c r="K535" s="45"/>
      <c r="L535" s="1358">
        <f>L538+L541</f>
        <v>0</v>
      </c>
      <c r="M535" s="83">
        <f>M538+M541</f>
        <v>0</v>
      </c>
      <c r="N535" s="83">
        <f>N538+N541</f>
        <v>0</v>
      </c>
      <c r="O535" s="83">
        <f>IF(L535&gt;0,N535*100/L535,0)</f>
        <v>0</v>
      </c>
      <c r="P535" s="83">
        <f>IF(M535&gt;0,N535*100/M535,0)</f>
        <v>0</v>
      </c>
      <c r="Q535" s="83">
        <f>Q538+Q541</f>
        <v>0</v>
      </c>
      <c r="R535" s="83">
        <f>R538+R541</f>
        <v>0</v>
      </c>
      <c r="S535" s="83">
        <f>S538+S541</f>
        <v>0</v>
      </c>
      <c r="T535" s="83">
        <f>IF(Q535&gt;0,S535*100/Q535,0)</f>
        <v>0</v>
      </c>
      <c r="U535" s="83">
        <f>IF(R535&gt;0,S535*100/R535,0)</f>
        <v>0</v>
      </c>
    </row>
    <row r="536" spans="1:21" ht="18.75" x14ac:dyDescent="0.25">
      <c r="A536" s="128"/>
      <c r="B536" s="40"/>
      <c r="C536" s="158"/>
      <c r="D536" s="40"/>
      <c r="E536" s="209" t="s">
        <v>21</v>
      </c>
      <c r="F536" s="40"/>
      <c r="G536" s="42"/>
      <c r="H536" s="133" t="s">
        <v>14</v>
      </c>
      <c r="I536" s="44"/>
      <c r="J536" s="44"/>
      <c r="K536" s="45"/>
      <c r="L536" s="1356">
        <f ca="1">L539+L542</f>
        <v>290000</v>
      </c>
      <c r="M536" s="224">
        <f ca="1">M539+M542</f>
        <v>290000</v>
      </c>
      <c r="N536" s="224">
        <f ca="1">N539+N542</f>
        <v>0</v>
      </c>
      <c r="O536" s="224">
        <f ca="1">IF(L536&gt;0,N536*100/L536,0)</f>
        <v>0</v>
      </c>
      <c r="P536" s="224">
        <f ca="1">IF(M536&gt;0,N536*100/M536,0)</f>
        <v>0</v>
      </c>
      <c r="Q536" s="224">
        <f>Q539+Q542</f>
        <v>0</v>
      </c>
      <c r="R536" s="224">
        <f>R539+R542</f>
        <v>0</v>
      </c>
      <c r="S536" s="224">
        <f>S539+S542</f>
        <v>0</v>
      </c>
      <c r="T536" s="224">
        <f>IF(Q536&gt;0,S536*100/Q536,0)</f>
        <v>0</v>
      </c>
      <c r="U536" s="224">
        <f>IF(R536&gt;0,S536*100/R536,0)</f>
        <v>0</v>
      </c>
    </row>
    <row r="537" spans="1:21" ht="18.75" x14ac:dyDescent="0.25">
      <c r="A537" s="128"/>
      <c r="B537" s="40"/>
      <c r="C537" s="158"/>
      <c r="D537" s="41" t="s">
        <v>22</v>
      </c>
      <c r="E537" s="158"/>
      <c r="F537" s="40"/>
      <c r="G537" s="42"/>
      <c r="H537" s="134" t="s">
        <v>14</v>
      </c>
      <c r="I537" s="135"/>
      <c r="J537" s="135"/>
      <c r="K537" s="136"/>
      <c r="L537" s="1356">
        <f ca="1">L538+L539</f>
        <v>0</v>
      </c>
      <c r="M537" s="224">
        <f ca="1">M538+M539</f>
        <v>0</v>
      </c>
      <c r="N537" s="224">
        <f ca="1">N538+N539</f>
        <v>0</v>
      </c>
      <c r="O537" s="224">
        <f ca="1">IF(L537&gt;0,N537*100/L537,0)</f>
        <v>0</v>
      </c>
      <c r="P537" s="224">
        <f ca="1">IF(M537&gt;0,N537*100/M537,0)</f>
        <v>0</v>
      </c>
      <c r="Q537" s="224">
        <f>Q538+Q539</f>
        <v>0</v>
      </c>
      <c r="R537" s="224">
        <f>R538+R539</f>
        <v>0</v>
      </c>
      <c r="S537" s="224">
        <f>S538+S539</f>
        <v>0</v>
      </c>
      <c r="T537" s="224">
        <f>IF(Q537&gt;0,S537*100/Q537,0)</f>
        <v>0</v>
      </c>
      <c r="U537" s="224">
        <f>IF(R537&gt;0,S537*100/R537,0)</f>
        <v>0</v>
      </c>
    </row>
    <row r="538" spans="1:21" ht="18.75" x14ac:dyDescent="0.25">
      <c r="A538" s="128"/>
      <c r="B538" s="40"/>
      <c r="C538" s="40"/>
      <c r="D538" s="40"/>
      <c r="E538" s="156" t="s">
        <v>36</v>
      </c>
      <c r="F538" s="40"/>
      <c r="G538" s="42"/>
      <c r="H538" s="159" t="s">
        <v>14</v>
      </c>
      <c r="I538" s="135"/>
      <c r="J538" s="135"/>
      <c r="K538" s="136"/>
      <c r="L538" s="1358">
        <v>0</v>
      </c>
      <c r="M538" s="83">
        <v>0</v>
      </c>
      <c r="N538" s="83">
        <v>0</v>
      </c>
      <c r="O538" s="83">
        <f>IF(L538&gt;0,N538*100/L538,0)</f>
        <v>0</v>
      </c>
      <c r="P538" s="83">
        <f>IF(M538&gt;0,N538*100/M538,0)</f>
        <v>0</v>
      </c>
      <c r="Q538" s="83">
        <v>0</v>
      </c>
      <c r="R538" s="83">
        <v>0</v>
      </c>
      <c r="S538" s="83">
        <v>0</v>
      </c>
      <c r="T538" s="83">
        <f>IF(Q538&gt;0,S538*100/Q538,0)</f>
        <v>0</v>
      </c>
      <c r="U538" s="83">
        <f>IF(R538&gt;0,S538*100/R538,0)</f>
        <v>0</v>
      </c>
    </row>
    <row r="539" spans="1:21" ht="18.75" x14ac:dyDescent="0.25">
      <c r="A539" s="128"/>
      <c r="B539" s="40"/>
      <c r="C539" s="40"/>
      <c r="D539" s="40"/>
      <c r="E539" s="47" t="s">
        <v>37</v>
      </c>
      <c r="F539" s="40"/>
      <c r="G539" s="42"/>
      <c r="H539" s="134" t="s">
        <v>14</v>
      </c>
      <c r="I539" s="135"/>
      <c r="J539" s="135"/>
      <c r="K539" s="136"/>
      <c r="L539" s="1356">
        <f ca="1">IFERROR(__xludf.DUMMYFUNCTION("IMPORTRANGE(""https://docs.google.com/spreadsheets/d/1-uDff_7J0KD5mKrp0Vvzr7lt3OU09vwQwhkpOPPYv2Y/edit?usp=sharing"",""งบพรบ!FW26"")"),0)</f>
        <v>0</v>
      </c>
      <c r="M539" s="224">
        <f ca="1">IFERROR(__xludf.DUMMYFUNCTION("IMPORTRANGE(""https://docs.google.com/spreadsheets/d/1-uDff_7J0KD5mKrp0Vvzr7lt3OU09vwQwhkpOPPYv2Y/edit?usp=sharing"",""งบพรบ!GB26"")"),0)</f>
        <v>0</v>
      </c>
      <c r="N539" s="224">
        <f ca="1">IFERROR(__xludf.DUMMYFUNCTION("IMPORTRANGE(""https://docs.google.com/spreadsheets/d/1-uDff_7J0KD5mKrp0Vvzr7lt3OU09vwQwhkpOPPYv2Y/edit?usp=sharing"",""งบพรบ!GD26"")"),0)</f>
        <v>0</v>
      </c>
      <c r="O539" s="224">
        <f ca="1">IF(L539&gt;0,N539*100/L539,0)</f>
        <v>0</v>
      </c>
      <c r="P539" s="224">
        <f ca="1">IF(M539&gt;0,N539*100/M539,0)</f>
        <v>0</v>
      </c>
      <c r="Q539" s="224">
        <v>0</v>
      </c>
      <c r="R539" s="224">
        <v>0</v>
      </c>
      <c r="S539" s="224">
        <v>0</v>
      </c>
      <c r="T539" s="224">
        <f>IF(Q539&gt;0,S539*100/Q539,0)</f>
        <v>0</v>
      </c>
      <c r="U539" s="224">
        <f>IF(R539&gt;0,S539*100/R539,0)</f>
        <v>0</v>
      </c>
    </row>
    <row r="540" spans="1:21" ht="18.75" x14ac:dyDescent="0.25">
      <c r="A540" s="128"/>
      <c r="B540" s="40"/>
      <c r="C540" s="40"/>
      <c r="D540" s="41" t="s">
        <v>23</v>
      </c>
      <c r="E540" s="40"/>
      <c r="F540" s="40"/>
      <c r="G540" s="42"/>
      <c r="H540" s="137" t="s">
        <v>14</v>
      </c>
      <c r="I540" s="135"/>
      <c r="J540" s="135"/>
      <c r="K540" s="136"/>
      <c r="L540" s="1356">
        <f ca="1">L541+L542</f>
        <v>290000</v>
      </c>
      <c r="M540" s="224">
        <f ca="1">M541+M542</f>
        <v>290000</v>
      </c>
      <c r="N540" s="224">
        <f ca="1">N541+N542</f>
        <v>0</v>
      </c>
      <c r="O540" s="224">
        <f ca="1">IF(L540&gt;0,N540*100/L540,0)</f>
        <v>0</v>
      </c>
      <c r="P540" s="224">
        <f ca="1">IF(M540&gt;0,N540*100/M540,0)</f>
        <v>0</v>
      </c>
      <c r="Q540" s="224">
        <f>Q541+Q542</f>
        <v>0</v>
      </c>
      <c r="R540" s="224">
        <f>R541+R542</f>
        <v>0</v>
      </c>
      <c r="S540" s="224">
        <f>S541+S542</f>
        <v>0</v>
      </c>
      <c r="T540" s="224">
        <f>IF(Q540&gt;0,S540*100/Q540,0)</f>
        <v>0</v>
      </c>
      <c r="U540" s="224">
        <f>IF(R540&gt;0,S540*100/R540,0)</f>
        <v>0</v>
      </c>
    </row>
    <row r="541" spans="1:21" ht="18.75" x14ac:dyDescent="0.25">
      <c r="A541" s="128"/>
      <c r="B541" s="40"/>
      <c r="C541" s="40"/>
      <c r="D541" s="40"/>
      <c r="E541" s="156" t="s">
        <v>20</v>
      </c>
      <c r="F541" s="40"/>
      <c r="G541" s="42"/>
      <c r="H541" s="159" t="s">
        <v>14</v>
      </c>
      <c r="I541" s="135"/>
      <c r="J541" s="135"/>
      <c r="K541" s="136"/>
      <c r="L541" s="1358">
        <v>0</v>
      </c>
      <c r="M541" s="83">
        <v>0</v>
      </c>
      <c r="N541" s="83">
        <v>0</v>
      </c>
      <c r="O541" s="83">
        <f>IF(L541&gt;0,N541*100/L541,0)</f>
        <v>0</v>
      </c>
      <c r="P541" s="83">
        <f>IF(M541&gt;0,N541*100/M541,0)</f>
        <v>0</v>
      </c>
      <c r="Q541" s="83">
        <v>0</v>
      </c>
      <c r="R541" s="83">
        <v>0</v>
      </c>
      <c r="S541" s="83">
        <v>0</v>
      </c>
      <c r="T541" s="83">
        <f>IF(Q541&gt;0,S541*100/Q541,0)</f>
        <v>0</v>
      </c>
      <c r="U541" s="83">
        <f>IF(R541&gt;0,S541*100/R541,0)</f>
        <v>0</v>
      </c>
    </row>
    <row r="542" spans="1:21" ht="18.75" x14ac:dyDescent="0.25">
      <c r="A542" s="128"/>
      <c r="B542" s="40"/>
      <c r="C542" s="40"/>
      <c r="D542" s="40"/>
      <c r="E542" s="47" t="s">
        <v>21</v>
      </c>
      <c r="F542" s="40"/>
      <c r="G542" s="42"/>
      <c r="H542" s="137" t="s">
        <v>14</v>
      </c>
      <c r="I542" s="135"/>
      <c r="J542" s="135"/>
      <c r="K542" s="136"/>
      <c r="L542" s="1356">
        <f ca="1">IFERROR(__xludf.DUMMYFUNCTION("IMPORTRANGE(""https://docs.google.com/spreadsheets/d/1-uDff_7J0KD5mKrp0Vvzr7lt3OU09vwQwhkpOPPYv2Y/edit?usp=sharing"",""งบพรบ!FZ26"")"),290000)</f>
        <v>290000</v>
      </c>
      <c r="M542" s="224">
        <f ca="1">IFERROR(__xludf.DUMMYFUNCTION("IMPORTRANGE(""https://docs.google.com/spreadsheets/d/1-uDff_7J0KD5mKrp0Vvzr7lt3OU09vwQwhkpOPPYv2Y/edit?usp=sharing"",""งบพรบ!GC26"")"),290000)</f>
        <v>290000</v>
      </c>
      <c r="N542" s="224">
        <f ca="1">IFERROR(__xludf.DUMMYFUNCTION("IMPORTRANGE(""https://docs.google.com/spreadsheets/d/1-uDff_7J0KD5mKrp0Vvzr7lt3OU09vwQwhkpOPPYv2Y/edit?usp=sharing"",""งบพรบ!GE26"")"),0)</f>
        <v>0</v>
      </c>
      <c r="O542" s="224">
        <f ca="1">IF(L542&gt;0,N542*100/L542,0)</f>
        <v>0</v>
      </c>
      <c r="P542" s="224">
        <f ca="1">IF(M542&gt;0,N542*100/M542,0)</f>
        <v>0</v>
      </c>
      <c r="Q542" s="224">
        <v>0</v>
      </c>
      <c r="R542" s="224">
        <v>0</v>
      </c>
      <c r="S542" s="224">
        <v>0</v>
      </c>
      <c r="T542" s="224">
        <f>IF(Q542&gt;0,S542*100/Q542,0)</f>
        <v>0</v>
      </c>
      <c r="U542" s="224">
        <f>IF(R542&gt;0,S542*100/R542,0)</f>
        <v>0</v>
      </c>
    </row>
    <row r="543" spans="1:21" ht="19.5" x14ac:dyDescent="0.3">
      <c r="A543" s="138"/>
      <c r="B543" s="139"/>
      <c r="C543" s="364" t="s">
        <v>18</v>
      </c>
      <c r="D543" s="1391" t="s">
        <v>38</v>
      </c>
      <c r="E543" s="141"/>
      <c r="F543" s="141"/>
      <c r="G543" s="142"/>
      <c r="H543" s="143"/>
      <c r="I543" s="135"/>
      <c r="J543" s="44"/>
      <c r="K543" s="45"/>
      <c r="L543" s="1359"/>
      <c r="M543" s="45"/>
      <c r="N543" s="45"/>
      <c r="O543" s="136"/>
      <c r="P543" s="136"/>
      <c r="Q543" s="45"/>
      <c r="R543" s="45"/>
      <c r="S543" s="45"/>
      <c r="T543" s="136"/>
      <c r="U543" s="136"/>
    </row>
    <row r="544" spans="1:21" ht="18.75" x14ac:dyDescent="0.25">
      <c r="A544" s="365"/>
      <c r="B544" s="366"/>
      <c r="C544" s="367"/>
      <c r="D544" s="368" t="s">
        <v>209</v>
      </c>
      <c r="E544" s="367"/>
      <c r="F544" s="366"/>
      <c r="G544" s="369"/>
      <c r="H544" s="370" t="s">
        <v>61</v>
      </c>
      <c r="I544" s="371">
        <v>1</v>
      </c>
      <c r="J544" s="371">
        <v>0</v>
      </c>
      <c r="K544" s="372">
        <f>IF(I544&gt;0,J544*100/I544,0)</f>
        <v>0</v>
      </c>
      <c r="L544" s="373"/>
      <c r="M544" s="373"/>
      <c r="N544" s="373"/>
      <c r="O544" s="373"/>
      <c r="P544" s="373"/>
      <c r="Q544" s="373"/>
      <c r="R544" s="373"/>
      <c r="S544" s="373"/>
      <c r="T544" s="373"/>
      <c r="U544" s="373"/>
    </row>
    <row r="545" spans="1:21" ht="12.75" x14ac:dyDescent="0.2">
      <c r="A545" s="227"/>
      <c r="B545" s="229"/>
      <c r="C545" s="228"/>
      <c r="D545" s="229"/>
      <c r="E545" s="228"/>
      <c r="F545" s="229"/>
      <c r="G545" s="230"/>
      <c r="H545" s="230"/>
      <c r="I545" s="232"/>
      <c r="J545" s="232"/>
      <c r="K545" s="233"/>
      <c r="L545" s="1536"/>
      <c r="M545" s="233"/>
      <c r="N545" s="233"/>
      <c r="O545" s="233"/>
      <c r="P545" s="233"/>
      <c r="Q545" s="233"/>
      <c r="R545" s="233"/>
      <c r="S545" s="233"/>
      <c r="T545" s="233"/>
      <c r="U545" s="233"/>
    </row>
    <row r="546" spans="1:21" ht="12.75" x14ac:dyDescent="0.2">
      <c r="A546" s="227"/>
      <c r="B546" s="228"/>
      <c r="C546" s="228"/>
      <c r="D546" s="229"/>
      <c r="E546" s="229"/>
      <c r="F546" s="229"/>
      <c r="G546" s="230"/>
      <c r="H546" s="231"/>
      <c r="I546" s="232"/>
      <c r="J546" s="232"/>
      <c r="K546" s="233"/>
      <c r="L546" s="1536"/>
      <c r="M546" s="233"/>
      <c r="N546" s="233"/>
      <c r="O546" s="233"/>
      <c r="P546" s="233"/>
      <c r="Q546" s="233"/>
      <c r="R546" s="233"/>
      <c r="S546" s="233"/>
      <c r="T546" s="233"/>
      <c r="U546" s="233"/>
    </row>
    <row r="547" spans="1:21" ht="12.75" x14ac:dyDescent="0.2">
      <c r="A547" s="227"/>
      <c r="B547" s="228"/>
      <c r="C547" s="228"/>
      <c r="D547" s="229"/>
      <c r="E547" s="229"/>
      <c r="F547" s="229"/>
      <c r="G547" s="230"/>
      <c r="H547" s="231"/>
      <c r="I547" s="232"/>
      <c r="J547" s="232"/>
      <c r="K547" s="233"/>
      <c r="L547" s="1536"/>
      <c r="M547" s="233"/>
      <c r="N547" s="233"/>
      <c r="O547" s="233"/>
      <c r="P547" s="233"/>
      <c r="Q547" s="233"/>
      <c r="R547" s="233"/>
      <c r="S547" s="233"/>
      <c r="T547" s="233"/>
      <c r="U547" s="233"/>
    </row>
    <row r="548" spans="1:21" ht="12.75" x14ac:dyDescent="0.2">
      <c r="A548" s="227"/>
      <c r="B548" s="228"/>
      <c r="C548" s="228"/>
      <c r="D548" s="229"/>
      <c r="E548" s="229"/>
      <c r="F548" s="229"/>
      <c r="G548" s="230"/>
      <c r="H548" s="231"/>
      <c r="I548" s="232"/>
      <c r="J548" s="232"/>
      <c r="K548" s="233"/>
      <c r="L548" s="1536"/>
      <c r="M548" s="233"/>
      <c r="N548" s="233"/>
      <c r="O548" s="233"/>
      <c r="P548" s="233"/>
      <c r="Q548" s="233"/>
      <c r="R548" s="233"/>
      <c r="S548" s="233"/>
      <c r="T548" s="233"/>
      <c r="U548" s="233"/>
    </row>
    <row r="549" spans="1:21" ht="12.75" x14ac:dyDescent="0.2">
      <c r="A549" s="227"/>
      <c r="B549" s="228"/>
      <c r="C549" s="228"/>
      <c r="D549" s="229"/>
      <c r="E549" s="229"/>
      <c r="F549" s="229"/>
      <c r="G549" s="230"/>
      <c r="H549" s="231"/>
      <c r="I549" s="232"/>
      <c r="J549" s="232"/>
      <c r="K549" s="233"/>
      <c r="L549" s="1536"/>
      <c r="M549" s="233"/>
      <c r="N549" s="233"/>
      <c r="O549" s="233"/>
      <c r="P549" s="233"/>
      <c r="Q549" s="233"/>
      <c r="R549" s="233"/>
      <c r="S549" s="233"/>
      <c r="T549" s="233"/>
      <c r="U549" s="233"/>
    </row>
    <row r="550" spans="1:21" ht="12.75" x14ac:dyDescent="0.2">
      <c r="A550" s="227"/>
      <c r="B550" s="228"/>
      <c r="C550" s="228"/>
      <c r="D550" s="229"/>
      <c r="E550" s="229"/>
      <c r="F550" s="229"/>
      <c r="G550" s="230"/>
      <c r="H550" s="231"/>
      <c r="I550" s="232"/>
      <c r="J550" s="232"/>
      <c r="K550" s="233"/>
      <c r="L550" s="1536"/>
      <c r="M550" s="233"/>
      <c r="N550" s="233"/>
      <c r="O550" s="233"/>
      <c r="P550" s="233"/>
      <c r="Q550" s="233"/>
      <c r="R550" s="233"/>
      <c r="S550" s="233"/>
      <c r="T550" s="233"/>
      <c r="U550" s="233"/>
    </row>
    <row r="551" spans="1:21" ht="12.75" x14ac:dyDescent="0.2">
      <c r="A551" s="227"/>
      <c r="B551" s="228"/>
      <c r="C551" s="228"/>
      <c r="D551" s="229"/>
      <c r="E551" s="229"/>
      <c r="F551" s="229"/>
      <c r="G551" s="230"/>
      <c r="H551" s="231"/>
      <c r="I551" s="232"/>
      <c r="J551" s="232"/>
      <c r="K551" s="233"/>
      <c r="L551" s="1536"/>
      <c r="M551" s="233"/>
      <c r="N551" s="233"/>
      <c r="O551" s="233"/>
      <c r="P551" s="233"/>
      <c r="Q551" s="233"/>
      <c r="R551" s="233"/>
      <c r="S551" s="233"/>
      <c r="T551" s="233"/>
      <c r="U551" s="233"/>
    </row>
    <row r="552" spans="1:21" ht="12.75" x14ac:dyDescent="0.2">
      <c r="A552" s="227"/>
      <c r="B552" s="228"/>
      <c r="C552" s="228"/>
      <c r="D552" s="229"/>
      <c r="E552" s="229"/>
      <c r="F552" s="229"/>
      <c r="G552" s="230"/>
      <c r="H552" s="231"/>
      <c r="I552" s="232"/>
      <c r="J552" s="232"/>
      <c r="K552" s="233"/>
      <c r="L552" s="1536"/>
      <c r="M552" s="233"/>
      <c r="N552" s="233"/>
      <c r="O552" s="233"/>
      <c r="P552" s="233"/>
      <c r="Q552" s="233"/>
      <c r="R552" s="233"/>
      <c r="S552" s="233"/>
      <c r="T552" s="233"/>
      <c r="U552" s="233"/>
    </row>
    <row r="553" spans="1:21" ht="12.75" x14ac:dyDescent="0.2">
      <c r="A553" s="360"/>
      <c r="B553" s="316"/>
      <c r="C553" s="316"/>
      <c r="D553" s="361"/>
      <c r="E553" s="361"/>
      <c r="F553" s="361"/>
      <c r="G553" s="362"/>
      <c r="H553" s="317"/>
      <c r="I553" s="318"/>
      <c r="J553" s="318"/>
      <c r="K553" s="319"/>
      <c r="L553" s="1537"/>
      <c r="M553" s="319"/>
      <c r="N553" s="319"/>
      <c r="O553" s="319"/>
      <c r="P553" s="319"/>
      <c r="Q553" s="319"/>
      <c r="R553" s="319"/>
      <c r="S553" s="319"/>
      <c r="T553" s="319"/>
      <c r="U553" s="319"/>
    </row>
    <row r="554" spans="1:21" ht="19.5" x14ac:dyDescent="0.3">
      <c r="A554" s="349"/>
      <c r="B554" s="350" t="s">
        <v>211</v>
      </c>
      <c r="C554" s="351"/>
      <c r="D554" s="352"/>
      <c r="E554" s="352"/>
      <c r="F554" s="352"/>
      <c r="G554" s="353"/>
      <c r="H554" s="363" t="s">
        <v>61</v>
      </c>
      <c r="I554" s="374">
        <f>I566</f>
        <v>0</v>
      </c>
      <c r="J554" s="374">
        <f>J566</f>
        <v>0</v>
      </c>
      <c r="K554" s="1562">
        <f>IF(I554&gt;0,J554*100/I554,0)</f>
        <v>0</v>
      </c>
      <c r="L554" s="1550"/>
      <c r="M554" s="357"/>
      <c r="N554" s="357"/>
      <c r="O554" s="357"/>
      <c r="P554" s="357"/>
      <c r="Q554" s="357"/>
      <c r="R554" s="357"/>
      <c r="S554" s="357"/>
      <c r="T554" s="357"/>
      <c r="U554" s="357"/>
    </row>
    <row r="555" spans="1:21" ht="19.5" x14ac:dyDescent="0.3">
      <c r="A555" s="128"/>
      <c r="B555" s="40"/>
      <c r="C555" s="129" t="s">
        <v>18</v>
      </c>
      <c r="D555" s="1388" t="s">
        <v>19</v>
      </c>
      <c r="E555" s="40"/>
      <c r="F555" s="40"/>
      <c r="G555" s="42"/>
      <c r="H555" s="131" t="s">
        <v>14</v>
      </c>
      <c r="I555" s="44"/>
      <c r="J555" s="44"/>
      <c r="K555" s="45"/>
      <c r="L555" s="1389">
        <f ca="1">L556+L557</f>
        <v>0</v>
      </c>
      <c r="M555" s="1390">
        <f ca="1">M556+M557</f>
        <v>0</v>
      </c>
      <c r="N555" s="1390">
        <f ca="1">N556+N557</f>
        <v>0</v>
      </c>
      <c r="O555" s="1390">
        <f ca="1">IF(L555&gt;0,N555*100/L555,0)</f>
        <v>0</v>
      </c>
      <c r="P555" s="1390">
        <f ca="1">IF(M555&gt;0,N555*100/M555,0)</f>
        <v>0</v>
      </c>
      <c r="Q555" s="1390">
        <f>Q556+Q557</f>
        <v>0</v>
      </c>
      <c r="R555" s="1390">
        <f>R556+R557</f>
        <v>0</v>
      </c>
      <c r="S555" s="1390">
        <f>S556+S557</f>
        <v>0</v>
      </c>
      <c r="T555" s="1390">
        <f>IF(Q555&gt;0,S555*100/Q555,0)</f>
        <v>0</v>
      </c>
      <c r="U555" s="1390">
        <f>IF(R555&gt;0,S555*100/R555,0)</f>
        <v>0</v>
      </c>
    </row>
    <row r="556" spans="1:21" ht="18.75" x14ac:dyDescent="0.25">
      <c r="A556" s="128"/>
      <c r="B556" s="158"/>
      <c r="C556" s="40"/>
      <c r="D556" s="40"/>
      <c r="E556" s="156" t="s">
        <v>20</v>
      </c>
      <c r="F556" s="40"/>
      <c r="G556" s="42"/>
      <c r="H556" s="157" t="s">
        <v>14</v>
      </c>
      <c r="I556" s="44"/>
      <c r="J556" s="44"/>
      <c r="K556" s="45"/>
      <c r="L556" s="1358">
        <f>L559+L562</f>
        <v>0</v>
      </c>
      <c r="M556" s="83">
        <f>M559+M562</f>
        <v>0</v>
      </c>
      <c r="N556" s="83">
        <f>N559+N562</f>
        <v>0</v>
      </c>
      <c r="O556" s="83">
        <f>IF(L556&gt;0,N556*100/L556,0)</f>
        <v>0</v>
      </c>
      <c r="P556" s="83">
        <f>IF(M556&gt;0,N556*100/M556,0)</f>
        <v>0</v>
      </c>
      <c r="Q556" s="83">
        <f>Q559+Q562</f>
        <v>0</v>
      </c>
      <c r="R556" s="83">
        <f>R559+R562</f>
        <v>0</v>
      </c>
      <c r="S556" s="83">
        <f>S559+S562</f>
        <v>0</v>
      </c>
      <c r="T556" s="83">
        <f>IF(Q556&gt;0,S556*100/Q556,0)</f>
        <v>0</v>
      </c>
      <c r="U556" s="83">
        <f>IF(R556&gt;0,S556*100/R556,0)</f>
        <v>0</v>
      </c>
    </row>
    <row r="557" spans="1:21" ht="18.75" x14ac:dyDescent="0.25">
      <c r="A557" s="128"/>
      <c r="B557" s="40"/>
      <c r="C557" s="158"/>
      <c r="D557" s="40"/>
      <c r="E557" s="209" t="s">
        <v>21</v>
      </c>
      <c r="F557" s="40"/>
      <c r="G557" s="42"/>
      <c r="H557" s="133" t="s">
        <v>14</v>
      </c>
      <c r="I557" s="44"/>
      <c r="J557" s="44"/>
      <c r="K557" s="45"/>
      <c r="L557" s="1356">
        <f ca="1">L560+L563</f>
        <v>0</v>
      </c>
      <c r="M557" s="224">
        <f ca="1">M560+M563</f>
        <v>0</v>
      </c>
      <c r="N557" s="224">
        <f ca="1">N560+N563</f>
        <v>0</v>
      </c>
      <c r="O557" s="224">
        <f ca="1">IF(L557&gt;0,N557*100/L557,0)</f>
        <v>0</v>
      </c>
      <c r="P557" s="224">
        <f ca="1">IF(M557&gt;0,N557*100/M557,0)</f>
        <v>0</v>
      </c>
      <c r="Q557" s="224">
        <f>Q560+Q563</f>
        <v>0</v>
      </c>
      <c r="R557" s="224">
        <f>R560+R563</f>
        <v>0</v>
      </c>
      <c r="S557" s="224">
        <f>S560+S563</f>
        <v>0</v>
      </c>
      <c r="T557" s="224">
        <f>IF(Q557&gt;0,S557*100/Q557,0)</f>
        <v>0</v>
      </c>
      <c r="U557" s="224">
        <f>IF(R557&gt;0,S557*100/R557,0)</f>
        <v>0</v>
      </c>
    </row>
    <row r="558" spans="1:21" ht="18.75" x14ac:dyDescent="0.25">
      <c r="A558" s="128"/>
      <c r="B558" s="40"/>
      <c r="C558" s="158"/>
      <c r="D558" s="41" t="s">
        <v>22</v>
      </c>
      <c r="E558" s="158"/>
      <c r="F558" s="40"/>
      <c r="G558" s="42"/>
      <c r="H558" s="134" t="s">
        <v>14</v>
      </c>
      <c r="I558" s="135"/>
      <c r="J558" s="135"/>
      <c r="K558" s="136"/>
      <c r="L558" s="1356">
        <f ca="1">L559+L560</f>
        <v>0</v>
      </c>
      <c r="M558" s="224">
        <f ca="1">M559+M560</f>
        <v>0</v>
      </c>
      <c r="N558" s="224">
        <f ca="1">N559+N560</f>
        <v>0</v>
      </c>
      <c r="O558" s="224">
        <f ca="1">IF(L558&gt;0,N558*100/L558,0)</f>
        <v>0</v>
      </c>
      <c r="P558" s="224">
        <f ca="1">IF(M558&gt;0,N558*100/M558,0)</f>
        <v>0</v>
      </c>
      <c r="Q558" s="224">
        <f>Q559+Q560</f>
        <v>0</v>
      </c>
      <c r="R558" s="224">
        <f>R559+R560</f>
        <v>0</v>
      </c>
      <c r="S558" s="224">
        <f>S559+S560</f>
        <v>0</v>
      </c>
      <c r="T558" s="224">
        <f>IF(Q558&gt;0,S558*100/Q558,0)</f>
        <v>0</v>
      </c>
      <c r="U558" s="224">
        <f>IF(R558&gt;0,S558*100/R558,0)</f>
        <v>0</v>
      </c>
    </row>
    <row r="559" spans="1:21" ht="18.75" x14ac:dyDescent="0.25">
      <c r="A559" s="128"/>
      <c r="B559" s="40"/>
      <c r="C559" s="40"/>
      <c r="D559" s="40"/>
      <c r="E559" s="156" t="s">
        <v>36</v>
      </c>
      <c r="F559" s="40"/>
      <c r="G559" s="42"/>
      <c r="H559" s="159" t="s">
        <v>14</v>
      </c>
      <c r="I559" s="135"/>
      <c r="J559" s="135"/>
      <c r="K559" s="136"/>
      <c r="L559" s="1358">
        <v>0</v>
      </c>
      <c r="M559" s="83">
        <v>0</v>
      </c>
      <c r="N559" s="83">
        <v>0</v>
      </c>
      <c r="O559" s="83">
        <f>IF(L559&gt;0,N559*100/L559,0)</f>
        <v>0</v>
      </c>
      <c r="P559" s="83">
        <f>IF(M559&gt;0,N559*100/M559,0)</f>
        <v>0</v>
      </c>
      <c r="Q559" s="83">
        <v>0</v>
      </c>
      <c r="R559" s="83">
        <v>0</v>
      </c>
      <c r="S559" s="83">
        <v>0</v>
      </c>
      <c r="T559" s="83">
        <f>IF(Q559&gt;0,S559*100/Q559,0)</f>
        <v>0</v>
      </c>
      <c r="U559" s="83">
        <f>IF(R559&gt;0,S559*100/R559,0)</f>
        <v>0</v>
      </c>
    </row>
    <row r="560" spans="1:21" ht="18.75" x14ac:dyDescent="0.25">
      <c r="A560" s="128"/>
      <c r="B560" s="40"/>
      <c r="C560" s="40"/>
      <c r="D560" s="40"/>
      <c r="E560" s="47" t="s">
        <v>37</v>
      </c>
      <c r="F560" s="40"/>
      <c r="G560" s="42"/>
      <c r="H560" s="134" t="s">
        <v>14</v>
      </c>
      <c r="I560" s="135"/>
      <c r="J560" s="135"/>
      <c r="K560" s="136"/>
      <c r="L560" s="1356">
        <f ca="1">IFERROR(__xludf.DUMMYFUNCTION("IMPORTRANGE(""https://docs.google.com/spreadsheets/d/1-uDff_7J0KD5mKrp0Vvzr7lt3OU09vwQwhkpOPPYv2Y/edit?usp=sharing"",""งบพรบ!GG26"")"),0)</f>
        <v>0</v>
      </c>
      <c r="M560" s="224">
        <f ca="1">IFERROR(__xludf.DUMMYFUNCTION("IMPORTRANGE(""https://docs.google.com/spreadsheets/d/1-uDff_7J0KD5mKrp0Vvzr7lt3OU09vwQwhkpOPPYv2Y/edit?usp=sharing"",""งบพรบ!GL26"")"),0)</f>
        <v>0</v>
      </c>
      <c r="N560" s="224">
        <f ca="1">IFERROR(__xludf.DUMMYFUNCTION("IMPORTRANGE(""https://docs.google.com/spreadsheets/d/1-uDff_7J0KD5mKrp0Vvzr7lt3OU09vwQwhkpOPPYv2Y/edit?usp=sharing"",""งบพรบ!GN26"")"),0)</f>
        <v>0</v>
      </c>
      <c r="O560" s="224">
        <f ca="1">IF(L560&gt;0,N560*100/L560,0)</f>
        <v>0</v>
      </c>
      <c r="P560" s="224">
        <f ca="1">IF(M560&gt;0,N560*100/M560,0)</f>
        <v>0</v>
      </c>
      <c r="Q560" s="224">
        <v>0</v>
      </c>
      <c r="R560" s="224">
        <v>0</v>
      </c>
      <c r="S560" s="224">
        <v>0</v>
      </c>
      <c r="T560" s="224">
        <f>IF(Q560&gt;0,S560*100/Q560,0)</f>
        <v>0</v>
      </c>
      <c r="U560" s="224">
        <f>IF(R560&gt;0,S560*100/R560,0)</f>
        <v>0</v>
      </c>
    </row>
    <row r="561" spans="1:21" ht="18.75" x14ac:dyDescent="0.25">
      <c r="A561" s="128"/>
      <c r="B561" s="40"/>
      <c r="C561" s="40"/>
      <c r="D561" s="41" t="s">
        <v>23</v>
      </c>
      <c r="E561" s="40"/>
      <c r="F561" s="40"/>
      <c r="G561" s="42"/>
      <c r="H561" s="137" t="s">
        <v>14</v>
      </c>
      <c r="I561" s="135"/>
      <c r="J561" s="135"/>
      <c r="K561" s="136"/>
      <c r="L561" s="1356">
        <f ca="1">L562+L563</f>
        <v>0</v>
      </c>
      <c r="M561" s="224">
        <f ca="1">M562+M563</f>
        <v>0</v>
      </c>
      <c r="N561" s="224">
        <f ca="1">N562+N563</f>
        <v>0</v>
      </c>
      <c r="O561" s="224">
        <f ca="1">IF(L561&gt;0,N561*100/L561,0)</f>
        <v>0</v>
      </c>
      <c r="P561" s="224">
        <f ca="1">IF(M561&gt;0,N561*100/M561,0)</f>
        <v>0</v>
      </c>
      <c r="Q561" s="224">
        <f>Q562+Q563</f>
        <v>0</v>
      </c>
      <c r="R561" s="224">
        <f>R562+R563</f>
        <v>0</v>
      </c>
      <c r="S561" s="224">
        <f>S562+S563</f>
        <v>0</v>
      </c>
      <c r="T561" s="224">
        <f>IF(Q561&gt;0,S561*100/Q561,0)</f>
        <v>0</v>
      </c>
      <c r="U561" s="224">
        <f>IF(R561&gt;0,S561*100/R561,0)</f>
        <v>0</v>
      </c>
    </row>
    <row r="562" spans="1:21" ht="18.75" x14ac:dyDescent="0.25">
      <c r="A562" s="128"/>
      <c r="B562" s="40"/>
      <c r="C562" s="40"/>
      <c r="D562" s="40"/>
      <c r="E562" s="156" t="s">
        <v>20</v>
      </c>
      <c r="F562" s="40"/>
      <c r="G562" s="42"/>
      <c r="H562" s="159" t="s">
        <v>14</v>
      </c>
      <c r="I562" s="135"/>
      <c r="J562" s="135"/>
      <c r="K562" s="136"/>
      <c r="L562" s="1358">
        <v>0</v>
      </c>
      <c r="M562" s="83">
        <v>0</v>
      </c>
      <c r="N562" s="83">
        <v>0</v>
      </c>
      <c r="O562" s="83">
        <f>IF(L562&gt;0,N562*100/L562,0)</f>
        <v>0</v>
      </c>
      <c r="P562" s="83">
        <f>IF(M562&gt;0,N562*100/M562,0)</f>
        <v>0</v>
      </c>
      <c r="Q562" s="83">
        <v>0</v>
      </c>
      <c r="R562" s="83">
        <v>0</v>
      </c>
      <c r="S562" s="83">
        <v>0</v>
      </c>
      <c r="T562" s="83">
        <f>IF(Q562&gt;0,S562*100/Q562,0)</f>
        <v>0</v>
      </c>
      <c r="U562" s="83">
        <f>IF(R562&gt;0,S562*100/R562,0)</f>
        <v>0</v>
      </c>
    </row>
    <row r="563" spans="1:21" ht="18.75" x14ac:dyDescent="0.25">
      <c r="A563" s="128"/>
      <c r="B563" s="40"/>
      <c r="C563" s="40"/>
      <c r="D563" s="40"/>
      <c r="E563" s="47" t="s">
        <v>21</v>
      </c>
      <c r="F563" s="40"/>
      <c r="G563" s="42"/>
      <c r="H563" s="137" t="s">
        <v>14</v>
      </c>
      <c r="I563" s="135"/>
      <c r="J563" s="135"/>
      <c r="K563" s="136"/>
      <c r="L563" s="1356">
        <f ca="1">IFERROR(__xludf.DUMMYFUNCTION("IMPORTRANGE(""https://docs.google.com/spreadsheets/d/1-uDff_7J0KD5mKrp0Vvzr7lt3OU09vwQwhkpOPPYv2Y/edit?usp=sharing"",""งบพรบ!GJ26"")"),0)</f>
        <v>0</v>
      </c>
      <c r="M563" s="224">
        <f ca="1">IFERROR(__xludf.DUMMYFUNCTION("IMPORTRANGE(""https://docs.google.com/spreadsheets/d/1-uDff_7J0KD5mKrp0Vvzr7lt3OU09vwQwhkpOPPYv2Y/edit?usp=sharing"",""งบพรบ!GM26"")"),0)</f>
        <v>0</v>
      </c>
      <c r="N563" s="224">
        <f ca="1">IFERROR(__xludf.DUMMYFUNCTION("IMPORTRANGE(""https://docs.google.com/spreadsheets/d/1-uDff_7J0KD5mKrp0Vvzr7lt3OU09vwQwhkpOPPYv2Y/edit?usp=sharing"",""งบพรบ!GO26"")"),0)</f>
        <v>0</v>
      </c>
      <c r="O563" s="224">
        <f ca="1">IF(L563&gt;0,N563*100/L563,0)</f>
        <v>0</v>
      </c>
      <c r="P563" s="224">
        <f ca="1">IF(M563&gt;0,N563*100/M563,0)</f>
        <v>0</v>
      </c>
      <c r="Q563" s="224">
        <v>0</v>
      </c>
      <c r="R563" s="224">
        <v>0</v>
      </c>
      <c r="S563" s="224">
        <v>0</v>
      </c>
      <c r="T563" s="224">
        <f>IF(Q563&gt;0,S563*100/Q563,0)</f>
        <v>0</v>
      </c>
      <c r="U563" s="224">
        <f>IF(R563&gt;0,S563*100/R563,0)</f>
        <v>0</v>
      </c>
    </row>
    <row r="564" spans="1:21" ht="19.5" x14ac:dyDescent="0.3">
      <c r="A564" s="138"/>
      <c r="B564" s="139"/>
      <c r="C564" s="364" t="s">
        <v>18</v>
      </c>
      <c r="D564" s="1391" t="s">
        <v>38</v>
      </c>
      <c r="E564" s="141"/>
      <c r="F564" s="141"/>
      <c r="G564" s="142"/>
      <c r="H564" s="143"/>
      <c r="I564" s="135"/>
      <c r="J564" s="44"/>
      <c r="K564" s="45"/>
      <c r="L564" s="1359"/>
      <c r="M564" s="45"/>
      <c r="N564" s="45"/>
      <c r="O564" s="136"/>
      <c r="P564" s="136"/>
      <c r="Q564" s="45"/>
      <c r="R564" s="45"/>
      <c r="S564" s="45"/>
      <c r="T564" s="136"/>
      <c r="U564" s="136"/>
    </row>
    <row r="565" spans="1:21" ht="12.75" x14ac:dyDescent="0.2">
      <c r="A565" s="227"/>
      <c r="B565" s="229"/>
      <c r="C565" s="228"/>
      <c r="D565" s="229"/>
      <c r="E565" s="228"/>
      <c r="F565" s="229"/>
      <c r="G565" s="230"/>
      <c r="H565" s="230"/>
      <c r="I565" s="232"/>
      <c r="J565" s="232"/>
      <c r="K565" s="233"/>
      <c r="L565" s="1536"/>
      <c r="M565" s="233"/>
      <c r="N565" s="233"/>
      <c r="O565" s="233"/>
      <c r="P565" s="233"/>
      <c r="Q565" s="233"/>
      <c r="R565" s="233"/>
      <c r="S565" s="233"/>
      <c r="T565" s="233"/>
      <c r="U565" s="233"/>
    </row>
    <row r="566" spans="1:21" ht="12.75" x14ac:dyDescent="0.2">
      <c r="A566" s="227"/>
      <c r="B566" s="229"/>
      <c r="C566" s="228"/>
      <c r="D566" s="229"/>
      <c r="E566" s="228"/>
      <c r="F566" s="229"/>
      <c r="G566" s="230"/>
      <c r="H566" s="230"/>
      <c r="I566" s="232"/>
      <c r="J566" s="232"/>
      <c r="K566" s="233"/>
      <c r="L566" s="1536"/>
      <c r="M566" s="233"/>
      <c r="N566" s="233"/>
      <c r="O566" s="233"/>
      <c r="P566" s="233"/>
      <c r="Q566" s="233"/>
      <c r="R566" s="233"/>
      <c r="S566" s="233"/>
      <c r="T566" s="233"/>
      <c r="U566" s="233"/>
    </row>
    <row r="567" spans="1:21" ht="12.75" x14ac:dyDescent="0.2">
      <c r="A567" s="227"/>
      <c r="B567" s="228"/>
      <c r="C567" s="228"/>
      <c r="D567" s="229"/>
      <c r="E567" s="229"/>
      <c r="F567" s="229"/>
      <c r="G567" s="230"/>
      <c r="H567" s="231"/>
      <c r="I567" s="232"/>
      <c r="J567" s="232"/>
      <c r="K567" s="233"/>
      <c r="L567" s="1536"/>
      <c r="M567" s="233"/>
      <c r="N567" s="233"/>
      <c r="O567" s="233"/>
      <c r="P567" s="233"/>
      <c r="Q567" s="233"/>
      <c r="R567" s="233"/>
      <c r="S567" s="233"/>
      <c r="T567" s="233"/>
      <c r="U567" s="233"/>
    </row>
    <row r="568" spans="1:21" ht="12.75" x14ac:dyDescent="0.2">
      <c r="A568" s="227"/>
      <c r="B568" s="228"/>
      <c r="C568" s="228"/>
      <c r="D568" s="229"/>
      <c r="E568" s="229"/>
      <c r="F568" s="229"/>
      <c r="G568" s="230"/>
      <c r="H568" s="231"/>
      <c r="I568" s="232"/>
      <c r="J568" s="232"/>
      <c r="K568" s="233"/>
      <c r="L568" s="1536"/>
      <c r="M568" s="233"/>
      <c r="N568" s="233"/>
      <c r="O568" s="233"/>
      <c r="P568" s="233"/>
      <c r="Q568" s="233"/>
      <c r="R568" s="233"/>
      <c r="S568" s="233"/>
      <c r="T568" s="233"/>
      <c r="U568" s="233"/>
    </row>
    <row r="569" spans="1:21" ht="12.75" x14ac:dyDescent="0.2">
      <c r="A569" s="227"/>
      <c r="B569" s="228"/>
      <c r="C569" s="228"/>
      <c r="D569" s="229"/>
      <c r="E569" s="229"/>
      <c r="F569" s="229"/>
      <c r="G569" s="230"/>
      <c r="H569" s="231"/>
      <c r="I569" s="232"/>
      <c r="J569" s="232"/>
      <c r="K569" s="233"/>
      <c r="L569" s="1536"/>
      <c r="M569" s="233"/>
      <c r="N569" s="233"/>
      <c r="O569" s="233"/>
      <c r="P569" s="233"/>
      <c r="Q569" s="233"/>
      <c r="R569" s="233"/>
      <c r="S569" s="233"/>
      <c r="T569" s="233"/>
      <c r="U569" s="233"/>
    </row>
    <row r="570" spans="1:21" ht="12.75" x14ac:dyDescent="0.2">
      <c r="A570" s="227"/>
      <c r="B570" s="228"/>
      <c r="C570" s="228"/>
      <c r="D570" s="229"/>
      <c r="E570" s="229"/>
      <c r="F570" s="229"/>
      <c r="G570" s="230"/>
      <c r="H570" s="231"/>
      <c r="I570" s="232"/>
      <c r="J570" s="232"/>
      <c r="K570" s="233"/>
      <c r="L570" s="1536"/>
      <c r="M570" s="233"/>
      <c r="N570" s="233"/>
      <c r="O570" s="233"/>
      <c r="P570" s="233"/>
      <c r="Q570" s="233"/>
      <c r="R570" s="233"/>
      <c r="S570" s="233"/>
      <c r="T570" s="233"/>
      <c r="U570" s="233"/>
    </row>
    <row r="571" spans="1:21" ht="12.75" x14ac:dyDescent="0.2">
      <c r="A571" s="227"/>
      <c r="B571" s="228"/>
      <c r="C571" s="228"/>
      <c r="D571" s="229"/>
      <c r="E571" s="229"/>
      <c r="F571" s="229"/>
      <c r="G571" s="230"/>
      <c r="H571" s="231"/>
      <c r="I571" s="232"/>
      <c r="J571" s="232"/>
      <c r="K571" s="233"/>
      <c r="L571" s="1536"/>
      <c r="M571" s="233"/>
      <c r="N571" s="233"/>
      <c r="O571" s="233"/>
      <c r="P571" s="233"/>
      <c r="Q571" s="233"/>
      <c r="R571" s="233"/>
      <c r="S571" s="233"/>
      <c r="T571" s="233"/>
      <c r="U571" s="233"/>
    </row>
    <row r="572" spans="1:21" ht="12.75" x14ac:dyDescent="0.2">
      <c r="A572" s="227"/>
      <c r="B572" s="228"/>
      <c r="C572" s="228"/>
      <c r="D572" s="229"/>
      <c r="E572" s="229"/>
      <c r="F572" s="229"/>
      <c r="G572" s="230"/>
      <c r="H572" s="231"/>
      <c r="I572" s="232"/>
      <c r="J572" s="232"/>
      <c r="K572" s="233"/>
      <c r="L572" s="1536"/>
      <c r="M572" s="233"/>
      <c r="N572" s="233"/>
      <c r="O572" s="233"/>
      <c r="P572" s="233"/>
      <c r="Q572" s="233"/>
      <c r="R572" s="233"/>
      <c r="S572" s="233"/>
      <c r="T572" s="233"/>
      <c r="U572" s="233"/>
    </row>
    <row r="573" spans="1:21" ht="12.75" x14ac:dyDescent="0.2">
      <c r="A573" s="227"/>
      <c r="B573" s="228"/>
      <c r="C573" s="228"/>
      <c r="D573" s="229"/>
      <c r="E573" s="229"/>
      <c r="F573" s="229"/>
      <c r="G573" s="230"/>
      <c r="H573" s="231"/>
      <c r="I573" s="232"/>
      <c r="J573" s="232"/>
      <c r="K573" s="233"/>
      <c r="L573" s="1536"/>
      <c r="M573" s="233"/>
      <c r="N573" s="233"/>
      <c r="O573" s="233"/>
      <c r="P573" s="233"/>
      <c r="Q573" s="233"/>
      <c r="R573" s="233"/>
      <c r="S573" s="233"/>
      <c r="T573" s="233"/>
      <c r="U573" s="233"/>
    </row>
    <row r="574" spans="1:21" ht="12.75" x14ac:dyDescent="0.2">
      <c r="A574" s="360"/>
      <c r="B574" s="316"/>
      <c r="C574" s="316"/>
      <c r="D574" s="361"/>
      <c r="E574" s="361"/>
      <c r="F574" s="361"/>
      <c r="G574" s="362"/>
      <c r="H574" s="317"/>
      <c r="I574" s="318"/>
      <c r="J574" s="318"/>
      <c r="K574" s="319"/>
      <c r="L574" s="1537"/>
      <c r="M574" s="319"/>
      <c r="N574" s="319"/>
      <c r="O574" s="319"/>
      <c r="P574" s="319"/>
      <c r="Q574" s="319"/>
      <c r="R574" s="319"/>
      <c r="S574" s="319"/>
      <c r="T574" s="319"/>
      <c r="U574" s="319"/>
    </row>
    <row r="575" spans="1:21" ht="19.5" x14ac:dyDescent="0.3">
      <c r="A575" s="349"/>
      <c r="B575" s="350" t="s">
        <v>212</v>
      </c>
      <c r="C575" s="351"/>
      <c r="D575" s="352"/>
      <c r="E575" s="352"/>
      <c r="F575" s="352"/>
      <c r="G575" s="353"/>
      <c r="H575" s="363" t="s">
        <v>61</v>
      </c>
      <c r="I575" s="374">
        <f>I587</f>
        <v>0</v>
      </c>
      <c r="J575" s="374">
        <f>J587</f>
        <v>0</v>
      </c>
      <c r="K575" s="1562">
        <f>IF(I575&gt;0,J575*100/I575,0)</f>
        <v>0</v>
      </c>
      <c r="L575" s="1550"/>
      <c r="M575" s="357"/>
      <c r="N575" s="357"/>
      <c r="O575" s="357"/>
      <c r="P575" s="357"/>
      <c r="Q575" s="357"/>
      <c r="R575" s="357"/>
      <c r="S575" s="357"/>
      <c r="T575" s="357"/>
      <c r="U575" s="357"/>
    </row>
    <row r="576" spans="1:21" ht="19.5" x14ac:dyDescent="0.3">
      <c r="A576" s="128"/>
      <c r="B576" s="40"/>
      <c r="C576" s="129" t="s">
        <v>18</v>
      </c>
      <c r="D576" s="1388" t="s">
        <v>19</v>
      </c>
      <c r="E576" s="40"/>
      <c r="F576" s="40"/>
      <c r="G576" s="42"/>
      <c r="H576" s="131" t="s">
        <v>14</v>
      </c>
      <c r="I576" s="44"/>
      <c r="J576" s="44"/>
      <c r="K576" s="45"/>
      <c r="L576" s="1389">
        <f ca="1">L577+L578</f>
        <v>569170</v>
      </c>
      <c r="M576" s="1390">
        <f ca="1">M577+M578</f>
        <v>0</v>
      </c>
      <c r="N576" s="1390">
        <f ca="1">N577+N578</f>
        <v>0</v>
      </c>
      <c r="O576" s="1390">
        <f ca="1">IF(L576&gt;0,N576*100/L576,0)</f>
        <v>0</v>
      </c>
      <c r="P576" s="1390">
        <f ca="1">IF(M576&gt;0,N576*100/M576,0)</f>
        <v>0</v>
      </c>
      <c r="Q576" s="1390">
        <f>Q577+Q578</f>
        <v>0</v>
      </c>
      <c r="R576" s="1390">
        <f>R577+R578</f>
        <v>0</v>
      </c>
      <c r="S576" s="1390">
        <f>S577+S578</f>
        <v>0</v>
      </c>
      <c r="T576" s="1390">
        <f>IF(Q576&gt;0,S576*100/Q576,0)</f>
        <v>0</v>
      </c>
      <c r="U576" s="1390">
        <f>IF(R576&gt;0,S576*100/R576,0)</f>
        <v>0</v>
      </c>
    </row>
    <row r="577" spans="1:21" ht="18.75" x14ac:dyDescent="0.25">
      <c r="A577" s="128"/>
      <c r="B577" s="158"/>
      <c r="C577" s="40"/>
      <c r="D577" s="40"/>
      <c r="E577" s="156" t="s">
        <v>20</v>
      </c>
      <c r="F577" s="40"/>
      <c r="G577" s="42"/>
      <c r="H577" s="157" t="s">
        <v>14</v>
      </c>
      <c r="I577" s="44"/>
      <c r="J577" s="44"/>
      <c r="K577" s="45"/>
      <c r="L577" s="1358">
        <f>L580+L583</f>
        <v>0</v>
      </c>
      <c r="M577" s="83">
        <f>M580+M583</f>
        <v>0</v>
      </c>
      <c r="N577" s="83">
        <f>N580+N583</f>
        <v>0</v>
      </c>
      <c r="O577" s="83">
        <f>IF(L577&gt;0,N577*100/L577,0)</f>
        <v>0</v>
      </c>
      <c r="P577" s="83">
        <f>IF(M577&gt;0,N577*100/M577,0)</f>
        <v>0</v>
      </c>
      <c r="Q577" s="83">
        <f>Q580+Q583</f>
        <v>0</v>
      </c>
      <c r="R577" s="83">
        <f>R580+R583</f>
        <v>0</v>
      </c>
      <c r="S577" s="83">
        <f>S580+S583</f>
        <v>0</v>
      </c>
      <c r="T577" s="83">
        <f>IF(Q577&gt;0,S577*100/Q577,0)</f>
        <v>0</v>
      </c>
      <c r="U577" s="83">
        <f>IF(R577&gt;0,S577*100/R577,0)</f>
        <v>0</v>
      </c>
    </row>
    <row r="578" spans="1:21" ht="18.75" x14ac:dyDescent="0.25">
      <c r="A578" s="128"/>
      <c r="B578" s="40"/>
      <c r="C578" s="158"/>
      <c r="D578" s="40"/>
      <c r="E578" s="209" t="s">
        <v>21</v>
      </c>
      <c r="F578" s="40"/>
      <c r="G578" s="42"/>
      <c r="H578" s="133" t="s">
        <v>14</v>
      </c>
      <c r="I578" s="44"/>
      <c r="J578" s="44"/>
      <c r="K578" s="45"/>
      <c r="L578" s="1356">
        <f ca="1">L581+L584</f>
        <v>569170</v>
      </c>
      <c r="M578" s="224">
        <f ca="1">M581+M584</f>
        <v>0</v>
      </c>
      <c r="N578" s="224">
        <f ca="1">N581+N584</f>
        <v>0</v>
      </c>
      <c r="O578" s="224">
        <f ca="1">IF(L578&gt;0,N578*100/L578,0)</f>
        <v>0</v>
      </c>
      <c r="P578" s="224">
        <f ca="1">IF(M578&gt;0,N578*100/M578,0)</f>
        <v>0</v>
      </c>
      <c r="Q578" s="224">
        <f>Q581+Q584</f>
        <v>0</v>
      </c>
      <c r="R578" s="224">
        <f>R581+R584</f>
        <v>0</v>
      </c>
      <c r="S578" s="224">
        <f>S581+S584</f>
        <v>0</v>
      </c>
      <c r="T578" s="224">
        <f>IF(Q578&gt;0,S578*100/Q578,0)</f>
        <v>0</v>
      </c>
      <c r="U578" s="224">
        <f>IF(R578&gt;0,S578*100/R578,0)</f>
        <v>0</v>
      </c>
    </row>
    <row r="579" spans="1:21" ht="18.75" x14ac:dyDescent="0.25">
      <c r="A579" s="128"/>
      <c r="B579" s="40"/>
      <c r="C579" s="158"/>
      <c r="D579" s="41" t="s">
        <v>22</v>
      </c>
      <c r="E579" s="158"/>
      <c r="F579" s="40"/>
      <c r="G579" s="42"/>
      <c r="H579" s="134" t="s">
        <v>14</v>
      </c>
      <c r="I579" s="135"/>
      <c r="J579" s="135"/>
      <c r="K579" s="136"/>
      <c r="L579" s="1356">
        <f ca="1">L580+L581</f>
        <v>569170</v>
      </c>
      <c r="M579" s="224">
        <f ca="1">M580+M581</f>
        <v>0</v>
      </c>
      <c r="N579" s="224">
        <f ca="1">N580+N581</f>
        <v>0</v>
      </c>
      <c r="O579" s="224">
        <f ca="1">IF(L579&gt;0,N579*100/L579,0)</f>
        <v>0</v>
      </c>
      <c r="P579" s="224">
        <f ca="1">IF(M579&gt;0,N579*100/M579,0)</f>
        <v>0</v>
      </c>
      <c r="Q579" s="224">
        <f>Q580+Q581</f>
        <v>0</v>
      </c>
      <c r="R579" s="224">
        <f>R580+R581</f>
        <v>0</v>
      </c>
      <c r="S579" s="224">
        <f>S580+S581</f>
        <v>0</v>
      </c>
      <c r="T579" s="224">
        <f>IF(Q579&gt;0,S579*100/Q579,0)</f>
        <v>0</v>
      </c>
      <c r="U579" s="224">
        <f>IF(R579&gt;0,S579*100/R579,0)</f>
        <v>0</v>
      </c>
    </row>
    <row r="580" spans="1:21" ht="18.75" x14ac:dyDescent="0.25">
      <c r="A580" s="128"/>
      <c r="B580" s="40"/>
      <c r="C580" s="40"/>
      <c r="D580" s="40"/>
      <c r="E580" s="156" t="s">
        <v>36</v>
      </c>
      <c r="F580" s="40"/>
      <c r="G580" s="42"/>
      <c r="H580" s="159" t="s">
        <v>14</v>
      </c>
      <c r="I580" s="135"/>
      <c r="J580" s="135"/>
      <c r="K580" s="136"/>
      <c r="L580" s="1358">
        <v>0</v>
      </c>
      <c r="M580" s="83">
        <v>0</v>
      </c>
      <c r="N580" s="83">
        <v>0</v>
      </c>
      <c r="O580" s="83">
        <f>IF(L580&gt;0,N580*100/L580,0)</f>
        <v>0</v>
      </c>
      <c r="P580" s="83">
        <f>IF(M580&gt;0,N580*100/M580,0)</f>
        <v>0</v>
      </c>
      <c r="Q580" s="83">
        <v>0</v>
      </c>
      <c r="R580" s="83">
        <v>0</v>
      </c>
      <c r="S580" s="83">
        <v>0</v>
      </c>
      <c r="T580" s="83">
        <f>IF(Q580&gt;0,S580*100/Q580,0)</f>
        <v>0</v>
      </c>
      <c r="U580" s="83">
        <f>IF(R580&gt;0,S580*100/R580,0)</f>
        <v>0</v>
      </c>
    </row>
    <row r="581" spans="1:21" ht="18.75" x14ac:dyDescent="0.25">
      <c r="A581" s="128"/>
      <c r="B581" s="40"/>
      <c r="C581" s="40"/>
      <c r="D581" s="40"/>
      <c r="E581" s="47" t="s">
        <v>37</v>
      </c>
      <c r="F581" s="40"/>
      <c r="G581" s="42"/>
      <c r="H581" s="134" t="s">
        <v>14</v>
      </c>
      <c r="I581" s="135"/>
      <c r="J581" s="135"/>
      <c r="K581" s="136"/>
      <c r="L581" s="1356">
        <f ca="1">IFERROR(__xludf.DUMMYFUNCTION("IMPORTRANGE(""https://docs.google.com/spreadsheets/d/1-uDff_7J0KD5mKrp0Vvzr7lt3OU09vwQwhkpOPPYv2Y/edit?usp=sharing"",""งบพรบ!GQ26"")"),569170)</f>
        <v>569170</v>
      </c>
      <c r="M581" s="224">
        <f ca="1">IFERROR(__xludf.DUMMYFUNCTION("IMPORTRANGE(""https://docs.google.com/spreadsheets/d/1-uDff_7J0KD5mKrp0Vvzr7lt3OU09vwQwhkpOPPYv2Y/edit?usp=sharing"",""งบพรบ!GV26"")"),0)</f>
        <v>0</v>
      </c>
      <c r="N581" s="224">
        <f ca="1">IFERROR(__xludf.DUMMYFUNCTION("IMPORTRANGE(""https://docs.google.com/spreadsheets/d/1-uDff_7J0KD5mKrp0Vvzr7lt3OU09vwQwhkpOPPYv2Y/edit?usp=sharing"",""งบพรบ!GX26"")"),0)</f>
        <v>0</v>
      </c>
      <c r="O581" s="224">
        <f ca="1">IF(L581&gt;0,N581*100/L581,0)</f>
        <v>0</v>
      </c>
      <c r="P581" s="224">
        <f ca="1">IF(M581&gt;0,N581*100/M581,0)</f>
        <v>0</v>
      </c>
      <c r="Q581" s="224">
        <v>0</v>
      </c>
      <c r="R581" s="224">
        <v>0</v>
      </c>
      <c r="S581" s="224">
        <v>0</v>
      </c>
      <c r="T581" s="224">
        <f>IF(Q581&gt;0,S581*100/Q581,0)</f>
        <v>0</v>
      </c>
      <c r="U581" s="224">
        <f>IF(R581&gt;0,S581*100/R581,0)</f>
        <v>0</v>
      </c>
    </row>
    <row r="582" spans="1:21" ht="18.75" x14ac:dyDescent="0.25">
      <c r="A582" s="128"/>
      <c r="B582" s="40"/>
      <c r="C582" s="40"/>
      <c r="D582" s="41" t="s">
        <v>23</v>
      </c>
      <c r="E582" s="40"/>
      <c r="F582" s="40"/>
      <c r="G582" s="42"/>
      <c r="H582" s="137" t="s">
        <v>14</v>
      </c>
      <c r="I582" s="135"/>
      <c r="J582" s="135"/>
      <c r="K582" s="136"/>
      <c r="L582" s="1356">
        <f ca="1">L583+L584</f>
        <v>0</v>
      </c>
      <c r="M582" s="224">
        <f ca="1">M583+M584</f>
        <v>0</v>
      </c>
      <c r="N582" s="224">
        <f ca="1">N583+N584</f>
        <v>0</v>
      </c>
      <c r="O582" s="224">
        <f ca="1">IF(L582&gt;0,N582*100/L582,0)</f>
        <v>0</v>
      </c>
      <c r="P582" s="224">
        <f ca="1">IF(M582&gt;0,N582*100/M582,0)</f>
        <v>0</v>
      </c>
      <c r="Q582" s="224">
        <f>Q583+Q584</f>
        <v>0</v>
      </c>
      <c r="R582" s="224">
        <f>R583+R584</f>
        <v>0</v>
      </c>
      <c r="S582" s="224">
        <f>S583+S584</f>
        <v>0</v>
      </c>
      <c r="T582" s="224">
        <f>IF(Q582&gt;0,S582*100/Q582,0)</f>
        <v>0</v>
      </c>
      <c r="U582" s="224">
        <f>IF(R582&gt;0,S582*100/R582,0)</f>
        <v>0</v>
      </c>
    </row>
    <row r="583" spans="1:21" ht="18.75" x14ac:dyDescent="0.25">
      <c r="A583" s="128"/>
      <c r="B583" s="40"/>
      <c r="C583" s="40"/>
      <c r="D583" s="40"/>
      <c r="E583" s="156" t="s">
        <v>20</v>
      </c>
      <c r="F583" s="40"/>
      <c r="G583" s="42"/>
      <c r="H583" s="159" t="s">
        <v>14</v>
      </c>
      <c r="I583" s="135"/>
      <c r="J583" s="135"/>
      <c r="K583" s="136"/>
      <c r="L583" s="1358">
        <v>0</v>
      </c>
      <c r="M583" s="83">
        <v>0</v>
      </c>
      <c r="N583" s="83">
        <v>0</v>
      </c>
      <c r="O583" s="83">
        <f>IF(L583&gt;0,N583*100/L583,0)</f>
        <v>0</v>
      </c>
      <c r="P583" s="83">
        <f>IF(M583&gt;0,N583*100/M583,0)</f>
        <v>0</v>
      </c>
      <c r="Q583" s="83">
        <v>0</v>
      </c>
      <c r="R583" s="83">
        <v>0</v>
      </c>
      <c r="S583" s="83">
        <v>0</v>
      </c>
      <c r="T583" s="83">
        <f>IF(Q583&gt;0,S583*100/Q583,0)</f>
        <v>0</v>
      </c>
      <c r="U583" s="83">
        <f>IF(R583&gt;0,S583*100/R583,0)</f>
        <v>0</v>
      </c>
    </row>
    <row r="584" spans="1:21" ht="18.75" x14ac:dyDescent="0.25">
      <c r="A584" s="128"/>
      <c r="B584" s="40"/>
      <c r="C584" s="40"/>
      <c r="D584" s="40"/>
      <c r="E584" s="47" t="s">
        <v>21</v>
      </c>
      <c r="F584" s="40"/>
      <c r="G584" s="42"/>
      <c r="H584" s="137" t="s">
        <v>14</v>
      </c>
      <c r="I584" s="135"/>
      <c r="J584" s="135"/>
      <c r="K584" s="136"/>
      <c r="L584" s="1356">
        <f ca="1">IFERROR(__xludf.DUMMYFUNCTION("IMPORTRANGE(""https://docs.google.com/spreadsheets/d/1-uDff_7J0KD5mKrp0Vvzr7lt3OU09vwQwhkpOPPYv2Y/edit?usp=sharing"",""งบพรบ!GT26"")"),0)</f>
        <v>0</v>
      </c>
      <c r="M584" s="224">
        <f ca="1">IFERROR(__xludf.DUMMYFUNCTION("IMPORTRANGE(""https://docs.google.com/spreadsheets/d/1-uDff_7J0KD5mKrp0Vvzr7lt3OU09vwQwhkpOPPYv2Y/edit?usp=sharing"",""งบพรบ!GW26"")"),0)</f>
        <v>0</v>
      </c>
      <c r="N584" s="224">
        <f ca="1">IFERROR(__xludf.DUMMYFUNCTION("IMPORTRANGE(""https://docs.google.com/spreadsheets/d/1-uDff_7J0KD5mKrp0Vvzr7lt3OU09vwQwhkpOPPYv2Y/edit?usp=sharing"",""งบพรบ!GY26"")"),0)</f>
        <v>0</v>
      </c>
      <c r="O584" s="224">
        <f ca="1">IF(L584&gt;0,N584*100/L584,0)</f>
        <v>0</v>
      </c>
      <c r="P584" s="224">
        <f ca="1">IF(M584&gt;0,N584*100/M584,0)</f>
        <v>0</v>
      </c>
      <c r="Q584" s="224">
        <v>0</v>
      </c>
      <c r="R584" s="224">
        <v>0</v>
      </c>
      <c r="S584" s="224">
        <v>0</v>
      </c>
      <c r="T584" s="224">
        <f>IF(Q584&gt;0,S584*100/Q584,0)</f>
        <v>0</v>
      </c>
      <c r="U584" s="224">
        <f>IF(R584&gt;0,S584*100/R584,0)</f>
        <v>0</v>
      </c>
    </row>
    <row r="585" spans="1:21" ht="19.5" x14ac:dyDescent="0.3">
      <c r="A585" s="138"/>
      <c r="B585" s="139"/>
      <c r="C585" s="364" t="s">
        <v>18</v>
      </c>
      <c r="D585" s="1391" t="s">
        <v>38</v>
      </c>
      <c r="E585" s="141"/>
      <c r="F585" s="141"/>
      <c r="G585" s="142"/>
      <c r="H585" s="143"/>
      <c r="I585" s="135"/>
      <c r="J585" s="44"/>
      <c r="K585" s="45"/>
      <c r="L585" s="1359"/>
      <c r="M585" s="45"/>
      <c r="N585" s="45"/>
      <c r="O585" s="136"/>
      <c r="P585" s="136"/>
      <c r="Q585" s="45"/>
      <c r="R585" s="45"/>
      <c r="S585" s="45"/>
      <c r="T585" s="136"/>
      <c r="U585" s="136"/>
    </row>
    <row r="586" spans="1:21" ht="12.75" x14ac:dyDescent="0.2">
      <c r="A586" s="227"/>
      <c r="B586" s="229"/>
      <c r="C586" s="228"/>
      <c r="D586" s="229"/>
      <c r="E586" s="228"/>
      <c r="F586" s="229"/>
      <c r="G586" s="230"/>
      <c r="H586" s="230"/>
      <c r="I586" s="232"/>
      <c r="J586" s="232"/>
      <c r="K586" s="233"/>
      <c r="L586" s="1536"/>
      <c r="M586" s="233"/>
      <c r="N586" s="233"/>
      <c r="O586" s="233"/>
      <c r="P586" s="233"/>
      <c r="Q586" s="233"/>
      <c r="R586" s="233"/>
      <c r="S586" s="233"/>
      <c r="T586" s="233"/>
      <c r="U586" s="233"/>
    </row>
    <row r="587" spans="1:21" ht="12.75" x14ac:dyDescent="0.2">
      <c r="A587" s="227"/>
      <c r="B587" s="229"/>
      <c r="C587" s="228"/>
      <c r="D587" s="229"/>
      <c r="E587" s="228"/>
      <c r="F587" s="229"/>
      <c r="G587" s="230"/>
      <c r="H587" s="230"/>
      <c r="I587" s="232"/>
      <c r="J587" s="232"/>
      <c r="K587" s="233"/>
      <c r="L587" s="1536"/>
      <c r="M587" s="233"/>
      <c r="N587" s="233"/>
      <c r="O587" s="233"/>
      <c r="P587" s="233"/>
      <c r="Q587" s="233"/>
      <c r="R587" s="233"/>
      <c r="S587" s="233"/>
      <c r="T587" s="233"/>
      <c r="U587" s="233"/>
    </row>
    <row r="588" spans="1:21" ht="12.75" x14ac:dyDescent="0.2">
      <c r="A588" s="227"/>
      <c r="B588" s="228"/>
      <c r="C588" s="228"/>
      <c r="D588" s="229"/>
      <c r="E588" s="229"/>
      <c r="F588" s="229"/>
      <c r="G588" s="230"/>
      <c r="H588" s="231"/>
      <c r="I588" s="232"/>
      <c r="J588" s="232"/>
      <c r="K588" s="233"/>
      <c r="L588" s="1536"/>
      <c r="M588" s="233"/>
      <c r="N588" s="233"/>
      <c r="O588" s="233"/>
      <c r="P588" s="233"/>
      <c r="Q588" s="233"/>
      <c r="R588" s="233"/>
      <c r="S588" s="233"/>
      <c r="T588" s="233"/>
      <c r="U588" s="233"/>
    </row>
    <row r="589" spans="1:21" ht="12.75" x14ac:dyDescent="0.2">
      <c r="A589" s="227"/>
      <c r="B589" s="228"/>
      <c r="C589" s="228"/>
      <c r="D589" s="229"/>
      <c r="E589" s="229"/>
      <c r="F589" s="229"/>
      <c r="G589" s="230"/>
      <c r="H589" s="231"/>
      <c r="I589" s="232"/>
      <c r="J589" s="232"/>
      <c r="K589" s="233"/>
      <c r="L589" s="1536"/>
      <c r="M589" s="233"/>
      <c r="N589" s="233"/>
      <c r="O589" s="233"/>
      <c r="P589" s="233"/>
      <c r="Q589" s="233"/>
      <c r="R589" s="233"/>
      <c r="S589" s="233"/>
      <c r="T589" s="233"/>
      <c r="U589" s="233"/>
    </row>
    <row r="590" spans="1:21" ht="12.75" x14ac:dyDescent="0.2">
      <c r="A590" s="227"/>
      <c r="B590" s="228"/>
      <c r="C590" s="228"/>
      <c r="D590" s="229"/>
      <c r="E590" s="229"/>
      <c r="F590" s="229"/>
      <c r="G590" s="230"/>
      <c r="H590" s="231"/>
      <c r="I590" s="232"/>
      <c r="J590" s="232"/>
      <c r="K590" s="233"/>
      <c r="L590" s="1536"/>
      <c r="M590" s="233"/>
      <c r="N590" s="233"/>
      <c r="O590" s="233"/>
      <c r="P590" s="233"/>
      <c r="Q590" s="233"/>
      <c r="R590" s="233"/>
      <c r="S590" s="233"/>
      <c r="T590" s="233"/>
      <c r="U590" s="233"/>
    </row>
    <row r="591" spans="1:21" ht="12.75" x14ac:dyDescent="0.2">
      <c r="A591" s="227"/>
      <c r="B591" s="228"/>
      <c r="C591" s="228"/>
      <c r="D591" s="229"/>
      <c r="E591" s="229"/>
      <c r="F591" s="229"/>
      <c r="G591" s="230"/>
      <c r="H591" s="231"/>
      <c r="I591" s="232"/>
      <c r="J591" s="232"/>
      <c r="K591" s="233"/>
      <c r="L591" s="1536"/>
      <c r="M591" s="233"/>
      <c r="N591" s="233"/>
      <c r="O591" s="233"/>
      <c r="P591" s="233"/>
      <c r="Q591" s="233"/>
      <c r="R591" s="233"/>
      <c r="S591" s="233"/>
      <c r="T591" s="233"/>
      <c r="U591" s="233"/>
    </row>
    <row r="592" spans="1:21" ht="12.75" x14ac:dyDescent="0.2">
      <c r="A592" s="227"/>
      <c r="B592" s="228"/>
      <c r="C592" s="228"/>
      <c r="D592" s="229"/>
      <c r="E592" s="229"/>
      <c r="F592" s="229"/>
      <c r="G592" s="230"/>
      <c r="H592" s="231"/>
      <c r="I592" s="232"/>
      <c r="J592" s="232"/>
      <c r="K592" s="233"/>
      <c r="L592" s="1536"/>
      <c r="M592" s="233"/>
      <c r="N592" s="233"/>
      <c r="O592" s="233"/>
      <c r="P592" s="233"/>
      <c r="Q592" s="233"/>
      <c r="R592" s="233"/>
      <c r="S592" s="233"/>
      <c r="T592" s="233"/>
      <c r="U592" s="233"/>
    </row>
    <row r="593" spans="1:21" ht="12.75" x14ac:dyDescent="0.2">
      <c r="A593" s="227"/>
      <c r="B593" s="228"/>
      <c r="C593" s="228"/>
      <c r="D593" s="229"/>
      <c r="E593" s="229"/>
      <c r="F593" s="229"/>
      <c r="G593" s="230"/>
      <c r="H593" s="231"/>
      <c r="I593" s="232"/>
      <c r="J593" s="232"/>
      <c r="K593" s="233"/>
      <c r="L593" s="1536"/>
      <c r="M593" s="233"/>
      <c r="N593" s="233"/>
      <c r="O593" s="233"/>
      <c r="P593" s="233"/>
      <c r="Q593" s="233"/>
      <c r="R593" s="233"/>
      <c r="S593" s="233"/>
      <c r="T593" s="233"/>
      <c r="U593" s="233"/>
    </row>
    <row r="594" spans="1:21" ht="12.75" x14ac:dyDescent="0.2">
      <c r="A594" s="227"/>
      <c r="B594" s="228"/>
      <c r="C594" s="228"/>
      <c r="D594" s="229"/>
      <c r="E594" s="229"/>
      <c r="F594" s="229"/>
      <c r="G594" s="230"/>
      <c r="H594" s="231"/>
      <c r="I594" s="232"/>
      <c r="J594" s="232"/>
      <c r="K594" s="233"/>
      <c r="L594" s="1536"/>
      <c r="M594" s="233"/>
      <c r="N594" s="233"/>
      <c r="O594" s="233"/>
      <c r="P594" s="233"/>
      <c r="Q594" s="233"/>
      <c r="R594" s="233"/>
      <c r="S594" s="233"/>
      <c r="T594" s="233"/>
      <c r="U594" s="233"/>
    </row>
    <row r="595" spans="1:21" ht="12.75" x14ac:dyDescent="0.2">
      <c r="A595" s="360"/>
      <c r="B595" s="316"/>
      <c r="C595" s="316"/>
      <c r="D595" s="361"/>
      <c r="E595" s="361"/>
      <c r="F595" s="361"/>
      <c r="G595" s="362"/>
      <c r="H595" s="317"/>
      <c r="I595" s="318"/>
      <c r="J595" s="318"/>
      <c r="K595" s="319"/>
      <c r="L595" s="1537"/>
      <c r="M595" s="319"/>
      <c r="N595" s="319"/>
      <c r="O595" s="319"/>
      <c r="P595" s="319"/>
      <c r="Q595" s="319"/>
      <c r="R595" s="319"/>
      <c r="S595" s="319"/>
      <c r="T595" s="319"/>
      <c r="U595" s="319"/>
    </row>
    <row r="596" spans="1:21" ht="19.5" x14ac:dyDescent="0.3">
      <c r="A596" s="1563" t="s">
        <v>213</v>
      </c>
      <c r="B596" s="119"/>
      <c r="C596" s="168"/>
      <c r="D596" s="119"/>
      <c r="E596" s="119"/>
      <c r="F596" s="119"/>
      <c r="G596" s="119"/>
      <c r="H596" s="120"/>
      <c r="I596" s="169"/>
      <c r="J596" s="169"/>
      <c r="K596" s="170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1564" t="s">
        <v>214</v>
      </c>
      <c r="C597" s="172"/>
      <c r="D597" s="125"/>
      <c r="E597" s="27"/>
      <c r="F597" s="27"/>
      <c r="G597" s="27"/>
      <c r="H597" s="1565" t="s">
        <v>99</v>
      </c>
      <c r="I597" s="182"/>
      <c r="J597" s="32"/>
      <c r="K597" s="33"/>
      <c r="L597" s="1387"/>
      <c r="M597" s="33"/>
      <c r="N597" s="33"/>
      <c r="O597" s="33"/>
      <c r="P597" s="33"/>
      <c r="Q597" s="33"/>
      <c r="R597" s="33"/>
      <c r="S597" s="33"/>
      <c r="T597" s="33"/>
      <c r="U597" s="33"/>
    </row>
    <row r="598" spans="1:21" ht="19.5" x14ac:dyDescent="0.3">
      <c r="A598" s="1566"/>
      <c r="B598" s="1567" t="s">
        <v>215</v>
      </c>
      <c r="C598" s="125"/>
      <c r="D598" s="27"/>
      <c r="E598" s="27"/>
      <c r="F598" s="27"/>
      <c r="G598" s="30"/>
      <c r="H598" s="1568" t="s">
        <v>35</v>
      </c>
      <c r="I598" s="32"/>
      <c r="J598" s="32"/>
      <c r="K598" s="33"/>
      <c r="L598" s="1387"/>
      <c r="M598" s="33"/>
      <c r="N598" s="33"/>
      <c r="O598" s="33"/>
      <c r="P598" s="33"/>
      <c r="Q598" s="33"/>
      <c r="R598" s="33"/>
      <c r="S598" s="33"/>
      <c r="T598" s="33"/>
      <c r="U598" s="33"/>
    </row>
    <row r="599" spans="1:21" ht="19.5" x14ac:dyDescent="0.3">
      <c r="A599" s="128"/>
      <c r="B599" s="158"/>
      <c r="C599" s="177" t="s">
        <v>18</v>
      </c>
      <c r="D599" s="1569" t="s">
        <v>19</v>
      </c>
      <c r="E599" s="1285"/>
      <c r="F599" s="1285"/>
      <c r="G599" s="1286"/>
      <c r="H599" s="375" t="s">
        <v>14</v>
      </c>
      <c r="I599" s="44"/>
      <c r="J599" s="44"/>
      <c r="K599" s="45"/>
      <c r="L599" s="1389">
        <f ca="1">L600+L601</f>
        <v>9996</v>
      </c>
      <c r="M599" s="1390">
        <f ca="1">M600+M601</f>
        <v>0</v>
      </c>
      <c r="N599" s="1390">
        <f ca="1">N600+N601</f>
        <v>0</v>
      </c>
      <c r="O599" s="1390">
        <f ca="1">IF(L599&gt;0,N599*100/L599,0)</f>
        <v>0</v>
      </c>
      <c r="P599" s="1390">
        <f ca="1">IF(M599&gt;0,N599*100/M599,0)</f>
        <v>0</v>
      </c>
      <c r="Q599" s="1390">
        <f ca="1">Q600+Q601</f>
        <v>0</v>
      </c>
      <c r="R599" s="1390">
        <f ca="1">R600+R601</f>
        <v>0</v>
      </c>
      <c r="S599" s="1390">
        <f ca="1">S600+S601</f>
        <v>0</v>
      </c>
      <c r="T599" s="1390">
        <f ca="1">IF(Q599&gt;0,S599*100/Q599,0)</f>
        <v>0</v>
      </c>
      <c r="U599" s="1390">
        <f ca="1">IF(R599&gt;0,S599*100/R599,0)</f>
        <v>0</v>
      </c>
    </row>
    <row r="600" spans="1:21" ht="18.75" x14ac:dyDescent="0.25">
      <c r="A600" s="128"/>
      <c r="B600" s="158"/>
      <c r="C600" s="158"/>
      <c r="D600" s="145"/>
      <c r="E600" s="156" t="s">
        <v>158</v>
      </c>
      <c r="F600" s="40"/>
      <c r="G600" s="42"/>
      <c r="H600" s="159" t="s">
        <v>14</v>
      </c>
      <c r="I600" s="44"/>
      <c r="J600" s="44"/>
      <c r="K600" s="45"/>
      <c r="L600" s="1358">
        <f>L603+L606</f>
        <v>0</v>
      </c>
      <c r="M600" s="83">
        <f>M603+M606</f>
        <v>0</v>
      </c>
      <c r="N600" s="83">
        <f>N603+N606</f>
        <v>0</v>
      </c>
      <c r="O600" s="83">
        <f>IF(L600&gt;0,N600*100/L600,0)</f>
        <v>0</v>
      </c>
      <c r="P600" s="83">
        <f>IF(M600&gt;0,N600*100/M600,0)</f>
        <v>0</v>
      </c>
      <c r="Q600" s="83">
        <f>Q603+Q606</f>
        <v>0</v>
      </c>
      <c r="R600" s="83">
        <f>R603+R606</f>
        <v>0</v>
      </c>
      <c r="S600" s="83">
        <f>S603+S606</f>
        <v>0</v>
      </c>
      <c r="T600" s="83">
        <f>IF(Q600&gt;0,S600*100/Q600,0)</f>
        <v>0</v>
      </c>
      <c r="U600" s="83">
        <f>IF(R600&gt;0,S600*100/R600,0)</f>
        <v>0</v>
      </c>
    </row>
    <row r="601" spans="1:21" ht="18.75" x14ac:dyDescent="0.25">
      <c r="A601" s="128"/>
      <c r="B601" s="158"/>
      <c r="C601" s="158"/>
      <c r="D601" s="145"/>
      <c r="E601" s="156" t="s">
        <v>159</v>
      </c>
      <c r="F601" s="40"/>
      <c r="G601" s="42"/>
      <c r="H601" s="159" t="s">
        <v>14</v>
      </c>
      <c r="I601" s="44"/>
      <c r="J601" s="44"/>
      <c r="K601" s="45"/>
      <c r="L601" s="1356">
        <f ca="1">L604+L607</f>
        <v>9996</v>
      </c>
      <c r="M601" s="224">
        <f ca="1">M604+M607</f>
        <v>0</v>
      </c>
      <c r="N601" s="224">
        <f ca="1">N604+N607</f>
        <v>0</v>
      </c>
      <c r="O601" s="224">
        <f ca="1">IF(L601&gt;0,N601*100/L601,0)</f>
        <v>0</v>
      </c>
      <c r="P601" s="224">
        <f ca="1">IF(M601&gt;0,N601*100/M601,0)</f>
        <v>0</v>
      </c>
      <c r="Q601" s="224">
        <f ca="1">Q604+Q607</f>
        <v>0</v>
      </c>
      <c r="R601" s="224">
        <f ca="1">R604+R607</f>
        <v>0</v>
      </c>
      <c r="S601" s="224">
        <f ca="1">S604+S607</f>
        <v>0</v>
      </c>
      <c r="T601" s="224">
        <f ca="1">IF(Q601&gt;0,S601*100/Q601,0)</f>
        <v>0</v>
      </c>
      <c r="U601" s="224">
        <f ca="1">IF(R601&gt;0,S601*100/R601,0)</f>
        <v>0</v>
      </c>
    </row>
    <row r="602" spans="1:21" ht="19.5" x14ac:dyDescent="0.3">
      <c r="A602" s="128"/>
      <c r="B602" s="158"/>
      <c r="C602" s="158"/>
      <c r="D602" s="1434" t="s">
        <v>22</v>
      </c>
      <c r="E602" s="40"/>
      <c r="F602" s="40"/>
      <c r="G602" s="42"/>
      <c r="H602" s="375" t="s">
        <v>14</v>
      </c>
      <c r="I602" s="135"/>
      <c r="J602" s="135"/>
      <c r="K602" s="136"/>
      <c r="L602" s="1356">
        <f ca="1">L603+L604</f>
        <v>9996</v>
      </c>
      <c r="M602" s="224">
        <f ca="1">M603+M604</f>
        <v>0</v>
      </c>
      <c r="N602" s="224">
        <f ca="1">N603+N604</f>
        <v>0</v>
      </c>
      <c r="O602" s="224">
        <f ca="1">IF(L602&gt;0,N602*100/L602,0)</f>
        <v>0</v>
      </c>
      <c r="P602" s="224">
        <f ca="1">IF(M602&gt;0,N602*100/M602,0)</f>
        <v>0</v>
      </c>
      <c r="Q602" s="224">
        <f ca="1">Q603+Q604</f>
        <v>0</v>
      </c>
      <c r="R602" s="224">
        <f ca="1">R603+R604</f>
        <v>0</v>
      </c>
      <c r="S602" s="224">
        <f ca="1">S603+S604</f>
        <v>0</v>
      </c>
      <c r="T602" s="224">
        <f ca="1">IF(Q602&gt;0,S602*100/Q602,0)</f>
        <v>0</v>
      </c>
      <c r="U602" s="224">
        <f ca="1">IF(R602&gt;0,S602*100/R602,0)</f>
        <v>0</v>
      </c>
    </row>
    <row r="603" spans="1:21" ht="18.75" x14ac:dyDescent="0.25">
      <c r="A603" s="128"/>
      <c r="B603" s="158"/>
      <c r="C603" s="158"/>
      <c r="D603" s="145"/>
      <c r="E603" s="156" t="s">
        <v>158</v>
      </c>
      <c r="F603" s="40"/>
      <c r="G603" s="42"/>
      <c r="H603" s="159" t="s">
        <v>14</v>
      </c>
      <c r="I603" s="44"/>
      <c r="J603" s="44"/>
      <c r="K603" s="45"/>
      <c r="L603" s="1358">
        <v>0</v>
      </c>
      <c r="M603" s="83">
        <v>0</v>
      </c>
      <c r="N603" s="83">
        <v>0</v>
      </c>
      <c r="O603" s="83">
        <f>IF(L603&gt;0,N603*100/L603,0)</f>
        <v>0</v>
      </c>
      <c r="P603" s="83">
        <f>IF(M603&gt;0,N603*100/M603,0)</f>
        <v>0</v>
      </c>
      <c r="Q603" s="83">
        <v>0</v>
      </c>
      <c r="R603" s="83">
        <v>0</v>
      </c>
      <c r="S603" s="83">
        <v>0</v>
      </c>
      <c r="T603" s="83">
        <f>IF(Q603&gt;0,S603*100/Q603,0)</f>
        <v>0</v>
      </c>
      <c r="U603" s="83">
        <f>IF(R603&gt;0,S603*100/R603,0)</f>
        <v>0</v>
      </c>
    </row>
    <row r="604" spans="1:21" ht="18.75" x14ac:dyDescent="0.25">
      <c r="A604" s="128"/>
      <c r="B604" s="158"/>
      <c r="C604" s="158"/>
      <c r="D604" s="145"/>
      <c r="E604" s="156" t="s">
        <v>159</v>
      </c>
      <c r="F604" s="40"/>
      <c r="G604" s="42"/>
      <c r="H604" s="159" t="s">
        <v>14</v>
      </c>
      <c r="I604" s="44"/>
      <c r="J604" s="44"/>
      <c r="K604" s="45"/>
      <c r="L604" s="1356">
        <f ca="1">IFERROR(__xludf.DUMMYFUNCTION("IMPORTRANGE(""https://docs.google.com/spreadsheets/d/1-uDff_7J0KD5mKrp0Vvzr7lt3OU09vwQwhkpOPPYv2Y/edit?usp=sharing"",""งบพรบ!HK26"")"),9996)</f>
        <v>9996</v>
      </c>
      <c r="M604" s="224">
        <f ca="1">IFERROR(__xludf.DUMMYFUNCTION("IMPORTRANGE(""https://docs.google.com/spreadsheets/d/1-uDff_7J0KD5mKrp0Vvzr7lt3OU09vwQwhkpOPPYv2Y/edit?usp=sharing"",""งบพรบ!HP26"")"),0)</f>
        <v>0</v>
      </c>
      <c r="N604" s="224">
        <f ca="1">IFERROR(__xludf.DUMMYFUNCTION("IMPORTRANGE(""https://docs.google.com/spreadsheets/d/1-uDff_7J0KD5mKrp0Vvzr7lt3OU09vwQwhkpOPPYv2Y/edit?usp=sharing"",""งบพรบ!HR26"")"),0)</f>
        <v>0</v>
      </c>
      <c r="O604" s="224">
        <f ca="1">IF(L604&gt;0,N604*100/L604,0)</f>
        <v>0</v>
      </c>
      <c r="P604" s="224">
        <f ca="1">IF(M604&gt;0,N604*100/M604,0)</f>
        <v>0</v>
      </c>
      <c r="Q604" s="224">
        <f ca="1">IFERROR(__xludf.DUMMYFUNCTION("IMPORTRANGE(""https://docs.google.com/spreadsheets/d/1ItG2mGa2ceCfYo0BwxsXqNm01IGEUdYcSSLTEv9YCik/edit?usp=sharing"",""เบิกจ่ายกองทุน!AV26"")"),0)</f>
        <v>0</v>
      </c>
      <c r="R604" s="224">
        <f ca="1">IFERROR(__xludf.DUMMYFUNCTION("IMPORTRANGE(""https://docs.google.com/spreadsheets/d/1ItG2mGa2ceCfYo0BwxsXqNm01IGEUdYcSSLTEv9YCik/edit?usp=sharing"",""เบิกจ่ายกองทุน!AW26"")"),0)</f>
        <v>0</v>
      </c>
      <c r="S604" s="224">
        <f ca="1">IFERROR(__xludf.DUMMYFUNCTION("IMPORTRANGE(""https://docs.google.com/spreadsheets/d/1ItG2mGa2ceCfYo0BwxsXqNm01IGEUdYcSSLTEv9YCik/edit?usp=sharing"",""เบิกจ่ายกองทุน!AX26"")"),0)</f>
        <v>0</v>
      </c>
      <c r="T604" s="224">
        <f ca="1">IF(Q604&gt;0,S604*100/Q604,0)</f>
        <v>0</v>
      </c>
      <c r="U604" s="224">
        <f ca="1">IF(R604&gt;0,S604*100/R604,0)</f>
        <v>0</v>
      </c>
    </row>
    <row r="605" spans="1:21" ht="19.5" x14ac:dyDescent="0.3">
      <c r="A605" s="128"/>
      <c r="B605" s="158"/>
      <c r="C605" s="158"/>
      <c r="D605" s="1434" t="s">
        <v>23</v>
      </c>
      <c r="E605" s="158"/>
      <c r="F605" s="40"/>
      <c r="G605" s="42"/>
      <c r="H605" s="377" t="s">
        <v>14</v>
      </c>
      <c r="I605" s="135"/>
      <c r="J605" s="135"/>
      <c r="K605" s="136"/>
      <c r="L605" s="1356">
        <f ca="1">L606+L607</f>
        <v>0</v>
      </c>
      <c r="M605" s="224">
        <f ca="1">M606+M607</f>
        <v>0</v>
      </c>
      <c r="N605" s="224">
        <f ca="1">N606+N607</f>
        <v>0</v>
      </c>
      <c r="O605" s="224">
        <f ca="1">IF(L605&gt;0,N605*100/L605,0)</f>
        <v>0</v>
      </c>
      <c r="P605" s="224">
        <f ca="1">IF(M605&gt;0,N605*100/M605,0)</f>
        <v>0</v>
      </c>
      <c r="Q605" s="224">
        <f ca="1">Q606+Q607</f>
        <v>0</v>
      </c>
      <c r="R605" s="224">
        <f ca="1">R606+R607</f>
        <v>0</v>
      </c>
      <c r="S605" s="224">
        <f ca="1">S606+S607</f>
        <v>0</v>
      </c>
      <c r="T605" s="224">
        <f ca="1">IF(Q605&gt;0,S605*100/Q605,0)</f>
        <v>0</v>
      </c>
      <c r="U605" s="224">
        <f ca="1">IF(R605&gt;0,S605*100/R605,0)</f>
        <v>0</v>
      </c>
    </row>
    <row r="606" spans="1:21" ht="18.75" x14ac:dyDescent="0.25">
      <c r="A606" s="128"/>
      <c r="B606" s="158"/>
      <c r="C606" s="158"/>
      <c r="D606" s="158"/>
      <c r="E606" s="314" t="s">
        <v>20</v>
      </c>
      <c r="F606" s="40"/>
      <c r="G606" s="42"/>
      <c r="H606" s="159" t="s">
        <v>14</v>
      </c>
      <c r="I606" s="135"/>
      <c r="J606" s="135"/>
      <c r="K606" s="136"/>
      <c r="L606" s="1358">
        <v>0</v>
      </c>
      <c r="M606" s="83">
        <v>0</v>
      </c>
      <c r="N606" s="83">
        <v>0</v>
      </c>
      <c r="O606" s="83">
        <f>IF(L606&gt;0,N606*100/L606,0)</f>
        <v>0</v>
      </c>
      <c r="P606" s="83">
        <f>IF(M606&gt;0,N606*100/M606,0)</f>
        <v>0</v>
      </c>
      <c r="Q606" s="83">
        <v>0</v>
      </c>
      <c r="R606" s="83">
        <v>0</v>
      </c>
      <c r="S606" s="83">
        <v>0</v>
      </c>
      <c r="T606" s="83">
        <f>IF(Q606&gt;0,S606*100/Q606,0)</f>
        <v>0</v>
      </c>
      <c r="U606" s="83">
        <f>IF(R606&gt;0,S606*100/R606,0)</f>
        <v>0</v>
      </c>
    </row>
    <row r="607" spans="1:21" ht="18.75" x14ac:dyDescent="0.25">
      <c r="A607" s="128"/>
      <c r="B607" s="158"/>
      <c r="C607" s="158"/>
      <c r="D607" s="40"/>
      <c r="E607" s="314" t="s">
        <v>21</v>
      </c>
      <c r="F607" s="40"/>
      <c r="G607" s="42"/>
      <c r="H607" s="378" t="s">
        <v>14</v>
      </c>
      <c r="I607" s="135"/>
      <c r="J607" s="135"/>
      <c r="K607" s="136"/>
      <c r="L607" s="1356">
        <f ca="1">IFERROR(__xludf.DUMMYFUNCTION("IMPORTRANGE(""https://docs.google.com/spreadsheets/d/1-uDff_7J0KD5mKrp0Vvzr7lt3OU09vwQwhkpOPPYv2Y/edit?usp=sharing"",""งบพรบ!HN26"")"),0)</f>
        <v>0</v>
      </c>
      <c r="M607" s="224">
        <f ca="1">IFERROR(__xludf.DUMMYFUNCTION("IMPORTRANGE(""https://docs.google.com/spreadsheets/d/1-uDff_7J0KD5mKrp0Vvzr7lt3OU09vwQwhkpOPPYv2Y/edit?usp=sharing"",""งบพรบ!HQ26"")"),0)</f>
        <v>0</v>
      </c>
      <c r="N607" s="224">
        <f ca="1">IFERROR(__xludf.DUMMYFUNCTION("IMPORTRANGE(""https://docs.google.com/spreadsheets/d/1-uDff_7J0KD5mKrp0Vvzr7lt3OU09vwQwhkpOPPYv2Y/edit?usp=sharing"",""งบพรบ!HS26"")"),0)</f>
        <v>0</v>
      </c>
      <c r="O607" s="224">
        <f ca="1">IF(L607&gt;0,N607*100/L607,0)</f>
        <v>0</v>
      </c>
      <c r="P607" s="224">
        <f ca="1">IF(M607&gt;0,N607*100/M607,0)</f>
        <v>0</v>
      </c>
      <c r="Q607" s="224">
        <f ca="1">IFERROR(__xludf.DUMMYFUNCTION("IMPORTRANGE(""https://docs.google.com/spreadsheets/d/1ItG2mGa2ceCfYo0BwxsXqNm01IGEUdYcSSLTEv9YCik/edit?usp=sharing"",""เบิกจ่ายกองทุน!AY26"")"),0)</f>
        <v>0</v>
      </c>
      <c r="R607" s="224">
        <f ca="1">IFERROR(__xludf.DUMMYFUNCTION("IMPORTRANGE(""https://docs.google.com/spreadsheets/d/1ItG2mGa2ceCfYo0BwxsXqNm01IGEUdYcSSLTEv9YCik/edit?usp=sharing"",""เบิกจ่ายกองทุน!AZ26"")"),0)</f>
        <v>0</v>
      </c>
      <c r="S607" s="224">
        <f ca="1">IFERROR(__xludf.DUMMYFUNCTION("IMPORTRANGE(""https://docs.google.com/spreadsheets/d/1ItG2mGa2ceCfYo0BwxsXqNm01IGEUdYcSSLTEv9YCik/edit?usp=sharing"",""เบิกจ่ายกองทุน!BA26"")"),0)</f>
        <v>0</v>
      </c>
      <c r="T607" s="224">
        <f ca="1">IF(Q607&gt;0,S607*100/Q607,0)</f>
        <v>0</v>
      </c>
      <c r="U607" s="224">
        <f ca="1">IF(R607&gt;0,S607*100/R607,0)</f>
        <v>0</v>
      </c>
    </row>
    <row r="608" spans="1:21" ht="19.5" x14ac:dyDescent="0.3">
      <c r="A608" s="138"/>
      <c r="B608" s="139"/>
      <c r="C608" s="177" t="s">
        <v>18</v>
      </c>
      <c r="D608" s="1436" t="s">
        <v>38</v>
      </c>
      <c r="E608" s="141"/>
      <c r="F608" s="141"/>
      <c r="G608" s="142"/>
      <c r="H608" s="178"/>
      <c r="I608" s="135"/>
      <c r="J608" s="135"/>
      <c r="K608" s="136"/>
      <c r="L608" s="1359"/>
      <c r="M608" s="45"/>
      <c r="N608" s="45"/>
      <c r="O608" s="45"/>
      <c r="P608" s="45"/>
      <c r="Q608" s="45"/>
      <c r="R608" s="45"/>
      <c r="S608" s="45"/>
      <c r="T608" s="45"/>
      <c r="U608" s="45"/>
    </row>
    <row r="609" spans="1:21" ht="18.75" x14ac:dyDescent="0.25">
      <c r="A609" s="138"/>
      <c r="B609" s="139"/>
      <c r="C609" s="139"/>
      <c r="D609" s="379" t="s">
        <v>216</v>
      </c>
      <c r="E609" s="145"/>
      <c r="F609" s="145"/>
      <c r="G609" s="143"/>
      <c r="H609" s="159" t="s">
        <v>99</v>
      </c>
      <c r="I609" s="44"/>
      <c r="J609" s="44"/>
      <c r="K609" s="136"/>
      <c r="L609" s="1359"/>
      <c r="M609" s="45"/>
      <c r="N609" s="45"/>
      <c r="O609" s="45"/>
      <c r="P609" s="45"/>
      <c r="Q609" s="45"/>
      <c r="R609" s="45"/>
      <c r="S609" s="45"/>
      <c r="T609" s="45"/>
      <c r="U609" s="45"/>
    </row>
    <row r="610" spans="1:21" ht="19.5" x14ac:dyDescent="0.3">
      <c r="A610" s="138"/>
      <c r="B610" s="139"/>
      <c r="C610" s="139"/>
      <c r="D610" s="379" t="s">
        <v>217</v>
      </c>
      <c r="E610" s="145"/>
      <c r="F610" s="145"/>
      <c r="G610" s="143"/>
      <c r="H610" s="375" t="s">
        <v>35</v>
      </c>
      <c r="I610" s="44"/>
      <c r="J610" s="44"/>
      <c r="K610" s="136"/>
      <c r="L610" s="1359"/>
      <c r="M610" s="45"/>
      <c r="N610" s="45"/>
      <c r="O610" s="45"/>
      <c r="P610" s="45"/>
      <c r="Q610" s="45"/>
      <c r="R610" s="45"/>
      <c r="S610" s="45"/>
      <c r="T610" s="45"/>
      <c r="U610" s="45"/>
    </row>
    <row r="611" spans="1:21" ht="18.75" x14ac:dyDescent="0.25">
      <c r="A611" s="138"/>
      <c r="B611" s="139"/>
      <c r="C611" s="139"/>
      <c r="D611" s="139"/>
      <c r="E611" s="379" t="s">
        <v>218</v>
      </c>
      <c r="F611" s="145"/>
      <c r="G611" s="143"/>
      <c r="H611" s="378" t="s">
        <v>35</v>
      </c>
      <c r="I611" s="44"/>
      <c r="J611" s="44"/>
      <c r="K611" s="136"/>
      <c r="L611" s="1359"/>
      <c r="M611" s="45"/>
      <c r="N611" s="45"/>
      <c r="O611" s="45"/>
      <c r="P611" s="45"/>
      <c r="Q611" s="45"/>
      <c r="R611" s="45"/>
      <c r="S611" s="45"/>
      <c r="T611" s="45"/>
      <c r="U611" s="45"/>
    </row>
    <row r="612" spans="1:21" ht="19.5" thickBot="1" x14ac:dyDescent="0.3">
      <c r="A612" s="1570"/>
      <c r="B612" s="1571"/>
      <c r="C612" s="1571"/>
      <c r="D612" s="1571"/>
      <c r="E612" s="1572" t="s">
        <v>219</v>
      </c>
      <c r="F612" s="1573"/>
      <c r="G612" s="1574"/>
      <c r="H612" s="1575" t="s">
        <v>35</v>
      </c>
      <c r="I612" s="1576"/>
      <c r="J612" s="1576"/>
      <c r="K612" s="1577"/>
      <c r="L612" s="1578"/>
      <c r="M612" s="1579"/>
      <c r="N612" s="1579"/>
      <c r="O612" s="1579"/>
      <c r="P612" s="1579"/>
      <c r="Q612" s="1579"/>
      <c r="R612" s="1579"/>
      <c r="S612" s="1579"/>
      <c r="T612" s="1579"/>
      <c r="U612" s="1579"/>
    </row>
    <row r="613" spans="1:21" ht="19.5" x14ac:dyDescent="0.3">
      <c r="A613" s="380" t="s">
        <v>220</v>
      </c>
      <c r="B613" s="381"/>
      <c r="C613" s="381"/>
      <c r="D613" s="382"/>
      <c r="E613" s="382"/>
      <c r="F613" s="382"/>
      <c r="G613" s="383"/>
      <c r="H613" s="384"/>
      <c r="I613" s="385"/>
      <c r="J613" s="385"/>
      <c r="K613" s="386"/>
      <c r="L613" s="1580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x14ac:dyDescent="0.3">
      <c r="A614" s="387"/>
      <c r="B614" s="388" t="s">
        <v>221</v>
      </c>
      <c r="C614" s="387"/>
      <c r="D614" s="389"/>
      <c r="E614" s="389"/>
      <c r="F614" s="389"/>
      <c r="G614" s="390"/>
      <c r="H614" s="391"/>
      <c r="I614" s="392"/>
      <c r="J614" s="392"/>
      <c r="K614" s="393"/>
      <c r="L614" s="158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222</v>
      </c>
      <c r="C615" s="394"/>
      <c r="D615" s="396"/>
      <c r="E615" s="396"/>
      <c r="F615" s="396"/>
      <c r="G615" s="397"/>
      <c r="H615" s="398" t="s">
        <v>46</v>
      </c>
      <c r="I615" s="1582">
        <f ca="1">I626</f>
        <v>50</v>
      </c>
      <c r="J615" s="1582">
        <f>J626</f>
        <v>0</v>
      </c>
      <c r="K615" s="1583">
        <f ca="1">IF(I615&gt;0,J615*100/I615,0)</f>
        <v>0</v>
      </c>
      <c r="L615" s="1584"/>
      <c r="M615" s="401"/>
      <c r="N615" s="401"/>
      <c r="O615" s="401"/>
      <c r="P615" s="401"/>
      <c r="Q615" s="401"/>
      <c r="R615" s="401"/>
      <c r="S615" s="401"/>
      <c r="T615" s="401"/>
      <c r="U615" s="401"/>
    </row>
    <row r="616" spans="1:21" ht="19.5" x14ac:dyDescent="0.3">
      <c r="A616" s="128"/>
      <c r="B616" s="158"/>
      <c r="C616" s="177" t="s">
        <v>18</v>
      </c>
      <c r="D616" s="1585" t="s">
        <v>19</v>
      </c>
      <c r="E616" s="1285"/>
      <c r="F616" s="1285"/>
      <c r="G616" s="1286"/>
      <c r="H616" s="221" t="s">
        <v>14</v>
      </c>
      <c r="I616" s="44"/>
      <c r="J616" s="44"/>
      <c r="K616" s="45"/>
      <c r="L616" s="1389">
        <f>L617+L618</f>
        <v>0</v>
      </c>
      <c r="M616" s="1390">
        <f>M617+M618</f>
        <v>0</v>
      </c>
      <c r="N616" s="1390">
        <f>N617+N618</f>
        <v>0</v>
      </c>
      <c r="O616" s="1390">
        <f>IF(L616&gt;0,N616*100/L616,0)</f>
        <v>0</v>
      </c>
      <c r="P616" s="1390">
        <f>IF(M616&gt;0,N616*100/M616,0)</f>
        <v>0</v>
      </c>
      <c r="Q616" s="1390">
        <f ca="1">Q617+Q618</f>
        <v>6825</v>
      </c>
      <c r="R616" s="1390">
        <f ca="1">R617+R618</f>
        <v>6825</v>
      </c>
      <c r="S616" s="1390">
        <f ca="1">S617+S618</f>
        <v>1000</v>
      </c>
      <c r="T616" s="1390">
        <f ca="1">IF(Q616&gt;0,S616*100/Q616,0)</f>
        <v>14.652014652014651</v>
      </c>
      <c r="U616" s="1390">
        <f ca="1">IF(R616&gt;0,S616*100/R616,0)</f>
        <v>14.652014652014651</v>
      </c>
    </row>
    <row r="617" spans="1:21" ht="18.75" x14ac:dyDescent="0.25">
      <c r="A617" s="128"/>
      <c r="B617" s="158"/>
      <c r="C617" s="158"/>
      <c r="D617" s="145"/>
      <c r="E617" s="156" t="s">
        <v>158</v>
      </c>
      <c r="F617" s="40"/>
      <c r="G617" s="42"/>
      <c r="H617" s="159" t="s">
        <v>14</v>
      </c>
      <c r="I617" s="44"/>
      <c r="J617" s="44"/>
      <c r="K617" s="45"/>
      <c r="L617" s="1358">
        <f>L620+L623</f>
        <v>0</v>
      </c>
      <c r="M617" s="83">
        <f>M620+M623</f>
        <v>0</v>
      </c>
      <c r="N617" s="83">
        <f>N620+N623</f>
        <v>0</v>
      </c>
      <c r="O617" s="83">
        <f>IF(L617&gt;0,N617*100/L617,0)</f>
        <v>0</v>
      </c>
      <c r="P617" s="83">
        <f>IF(M617&gt;0,N617*100/M617,0)</f>
        <v>0</v>
      </c>
      <c r="Q617" s="83">
        <f>Q620+Q623</f>
        <v>0</v>
      </c>
      <c r="R617" s="83">
        <f>R620+R623</f>
        <v>0</v>
      </c>
      <c r="S617" s="83">
        <f>S620+S623</f>
        <v>0</v>
      </c>
      <c r="T617" s="83">
        <f>IF(Q617&gt;0,S617*100/Q617,0)</f>
        <v>0</v>
      </c>
      <c r="U617" s="83">
        <f>IF(R617&gt;0,S617*100/R617,0)</f>
        <v>0</v>
      </c>
    </row>
    <row r="618" spans="1:21" ht="18.75" x14ac:dyDescent="0.25">
      <c r="A618" s="128"/>
      <c r="B618" s="158"/>
      <c r="C618" s="158"/>
      <c r="D618" s="145"/>
      <c r="E618" s="47" t="s">
        <v>159</v>
      </c>
      <c r="F618" s="40"/>
      <c r="G618" s="42"/>
      <c r="H618" s="134" t="s">
        <v>14</v>
      </c>
      <c r="I618" s="44"/>
      <c r="J618" s="44"/>
      <c r="K618" s="45"/>
      <c r="L618" s="1356">
        <f>L621+L624</f>
        <v>0</v>
      </c>
      <c r="M618" s="224">
        <f>M621+M624</f>
        <v>0</v>
      </c>
      <c r="N618" s="224">
        <f>N621+N624</f>
        <v>0</v>
      </c>
      <c r="O618" s="224">
        <f>IF(L618&gt;0,N618*100/L618,0)</f>
        <v>0</v>
      </c>
      <c r="P618" s="224">
        <f>IF(M618&gt;0,N618*100/M618,0)</f>
        <v>0</v>
      </c>
      <c r="Q618" s="224">
        <f ca="1">Q621+Q624</f>
        <v>6825</v>
      </c>
      <c r="R618" s="224">
        <f ca="1">R621+R624</f>
        <v>6825</v>
      </c>
      <c r="S618" s="224">
        <f ca="1">S621+S624</f>
        <v>1000</v>
      </c>
      <c r="T618" s="224">
        <f ca="1">IF(Q618&gt;0,S618*100/Q618,0)</f>
        <v>14.652014652014651</v>
      </c>
      <c r="U618" s="224">
        <f ca="1">IF(R618&gt;0,S618*100/R618,0)</f>
        <v>14.652014652014651</v>
      </c>
    </row>
    <row r="619" spans="1:21" ht="18.75" x14ac:dyDescent="0.25">
      <c r="A619" s="128"/>
      <c r="B619" s="158"/>
      <c r="C619" s="158"/>
      <c r="D619" s="41" t="s">
        <v>22</v>
      </c>
      <c r="E619" s="40"/>
      <c r="F619" s="40"/>
      <c r="G619" s="42"/>
      <c r="H619" s="134" t="s">
        <v>14</v>
      </c>
      <c r="I619" s="135"/>
      <c r="J619" s="135"/>
      <c r="K619" s="136"/>
      <c r="L619" s="1356">
        <f>L620+L621</f>
        <v>0</v>
      </c>
      <c r="M619" s="224">
        <f>M620+M621</f>
        <v>0</v>
      </c>
      <c r="N619" s="224">
        <f>N620+N621</f>
        <v>0</v>
      </c>
      <c r="O619" s="224">
        <f>IF(L619&gt;0,N619*100/L619,0)</f>
        <v>0</v>
      </c>
      <c r="P619" s="224">
        <f>IF(M619&gt;0,N619*100/M619,0)</f>
        <v>0</v>
      </c>
      <c r="Q619" s="224">
        <f ca="1">Q620+Q621</f>
        <v>6825</v>
      </c>
      <c r="R619" s="224">
        <f ca="1">R620+R621</f>
        <v>6825</v>
      </c>
      <c r="S619" s="224">
        <f ca="1">S620+S621</f>
        <v>1000</v>
      </c>
      <c r="T619" s="224">
        <f ca="1">IF(Q619&gt;0,S619*100/Q619,0)</f>
        <v>14.652014652014651</v>
      </c>
      <c r="U619" s="224">
        <f ca="1">IF(R619&gt;0,S619*100/R619,0)</f>
        <v>14.652014652014651</v>
      </c>
    </row>
    <row r="620" spans="1:21" ht="18.75" x14ac:dyDescent="0.25">
      <c r="A620" s="128"/>
      <c r="B620" s="158"/>
      <c r="C620" s="158"/>
      <c r="D620" s="145"/>
      <c r="E620" s="156" t="s">
        <v>158</v>
      </c>
      <c r="F620" s="40"/>
      <c r="G620" s="42"/>
      <c r="H620" s="159" t="s">
        <v>14</v>
      </c>
      <c r="I620" s="44"/>
      <c r="J620" s="44"/>
      <c r="K620" s="45"/>
      <c r="L620" s="1358">
        <v>0</v>
      </c>
      <c r="M620" s="83">
        <v>0</v>
      </c>
      <c r="N620" s="83">
        <v>0</v>
      </c>
      <c r="O620" s="83">
        <f>IF(L620&gt;0,N620*100/L620,0)</f>
        <v>0</v>
      </c>
      <c r="P620" s="83">
        <f>IF(M620&gt;0,N620*100/M620,0)</f>
        <v>0</v>
      </c>
      <c r="Q620" s="83">
        <v>0</v>
      </c>
      <c r="R620" s="83">
        <v>0</v>
      </c>
      <c r="S620" s="83">
        <v>0</v>
      </c>
      <c r="T620" s="83">
        <f>IF(Q620&gt;0,S620*100/Q620,0)</f>
        <v>0</v>
      </c>
      <c r="U620" s="83">
        <f>IF(R620&gt;0,S620*100/R620,0)</f>
        <v>0</v>
      </c>
    </row>
    <row r="621" spans="1:21" ht="18.75" x14ac:dyDescent="0.25">
      <c r="A621" s="128"/>
      <c r="B621" s="158"/>
      <c r="C621" s="158"/>
      <c r="D621" s="145"/>
      <c r="E621" s="47" t="s">
        <v>159</v>
      </c>
      <c r="F621" s="40"/>
      <c r="G621" s="42"/>
      <c r="H621" s="134" t="s">
        <v>14</v>
      </c>
      <c r="I621" s="44"/>
      <c r="J621" s="44"/>
      <c r="K621" s="45"/>
      <c r="L621" s="1356">
        <v>0</v>
      </c>
      <c r="M621" s="224">
        <v>0</v>
      </c>
      <c r="N621" s="224">
        <v>0</v>
      </c>
      <c r="O621" s="224">
        <f>IF(L621&gt;0,N621*100/L621,0)</f>
        <v>0</v>
      </c>
      <c r="P621" s="224">
        <f>IF(M621&gt;0,N621*100/M621,0)</f>
        <v>0</v>
      </c>
      <c r="Q621" s="224">
        <f ca="1">IFERROR(__xludf.DUMMYFUNCTION("IMPORTRANGE(""https://docs.google.com/spreadsheets/d/1ItG2mGa2ceCfYo0BwxsXqNm01IGEUdYcSSLTEv9YCik/edit?usp=sharing"",""เบิกจ่ายกองทุน!F26"")"),6825)</f>
        <v>6825</v>
      </c>
      <c r="R621" s="224">
        <f ca="1">IFERROR(__xludf.DUMMYFUNCTION("IMPORTRANGE(""https://docs.google.com/spreadsheets/d/1ItG2mGa2ceCfYo0BwxsXqNm01IGEUdYcSSLTEv9YCik/edit?usp=sharing"",""เบิกจ่ายกองทุน!G26"")"),6825)</f>
        <v>6825</v>
      </c>
      <c r="S621" s="224">
        <f ca="1">IFERROR(__xludf.DUMMYFUNCTION("IMPORTRANGE(""https://docs.google.com/spreadsheets/d/1ItG2mGa2ceCfYo0BwxsXqNm01IGEUdYcSSLTEv9YCik/edit?usp=sharing"",""เบิกจ่ายกองทุน!H26"")"),1000)</f>
        <v>1000</v>
      </c>
      <c r="T621" s="224">
        <f ca="1">IF(Q621&gt;0,S621*100/Q621,0)</f>
        <v>14.652014652014651</v>
      </c>
      <c r="U621" s="224">
        <f ca="1">IF(R621&gt;0,S621*100/R621,0)</f>
        <v>14.652014652014651</v>
      </c>
    </row>
    <row r="622" spans="1:21" ht="18.75" x14ac:dyDescent="0.25">
      <c r="A622" s="128"/>
      <c r="B622" s="158"/>
      <c r="C622" s="158"/>
      <c r="D622" s="41" t="s">
        <v>23</v>
      </c>
      <c r="E622" s="40"/>
      <c r="F622" s="40"/>
      <c r="G622" s="42"/>
      <c r="H622" s="137" t="s">
        <v>14</v>
      </c>
      <c r="I622" s="135"/>
      <c r="J622" s="135"/>
      <c r="K622" s="136"/>
      <c r="L622" s="1356">
        <f>L623+L624</f>
        <v>0</v>
      </c>
      <c r="M622" s="224">
        <f>M623+M624</f>
        <v>0</v>
      </c>
      <c r="N622" s="224">
        <f>N623+N624</f>
        <v>0</v>
      </c>
      <c r="O622" s="224">
        <f>IF(L622&gt;0,N622*100/L622,0)</f>
        <v>0</v>
      </c>
      <c r="P622" s="224">
        <f>IF(M622&gt;0,N622*100/M622,0)</f>
        <v>0</v>
      </c>
      <c r="Q622" s="224">
        <f>Q623+Q624</f>
        <v>0</v>
      </c>
      <c r="R622" s="224">
        <f>R623+R624</f>
        <v>0</v>
      </c>
      <c r="S622" s="224">
        <f>S623+S624</f>
        <v>0</v>
      </c>
      <c r="T622" s="224">
        <f>IF(Q622&gt;0,S622*100/Q622,0)</f>
        <v>0</v>
      </c>
      <c r="U622" s="224">
        <f>IF(R622&gt;0,S622*100/R622,0)</f>
        <v>0</v>
      </c>
    </row>
    <row r="623" spans="1:21" ht="18.75" x14ac:dyDescent="0.25">
      <c r="A623" s="128"/>
      <c r="B623" s="158"/>
      <c r="C623" s="158"/>
      <c r="D623" s="158"/>
      <c r="E623" s="156" t="s">
        <v>20</v>
      </c>
      <c r="F623" s="40"/>
      <c r="G623" s="42"/>
      <c r="H623" s="159" t="s">
        <v>14</v>
      </c>
      <c r="I623" s="135"/>
      <c r="J623" s="135"/>
      <c r="K623" s="136"/>
      <c r="L623" s="1358">
        <v>0</v>
      </c>
      <c r="M623" s="83">
        <v>0</v>
      </c>
      <c r="N623" s="83">
        <v>0</v>
      </c>
      <c r="O623" s="83">
        <f>IF(L623&gt;0,N623*100/L623,0)</f>
        <v>0</v>
      </c>
      <c r="P623" s="83">
        <f>IF(M623&gt;0,N623*100/M623,0)</f>
        <v>0</v>
      </c>
      <c r="Q623" s="83">
        <v>0</v>
      </c>
      <c r="R623" s="83">
        <v>0</v>
      </c>
      <c r="S623" s="83">
        <v>0</v>
      </c>
      <c r="T623" s="83">
        <f>IF(Q623&gt;0,S623*100/Q623,0)</f>
        <v>0</v>
      </c>
      <c r="U623" s="83">
        <f>IF(R623&gt;0,S623*100/R623,0)</f>
        <v>0</v>
      </c>
    </row>
    <row r="624" spans="1:21" ht="18.75" x14ac:dyDescent="0.25">
      <c r="A624" s="128"/>
      <c r="B624" s="158"/>
      <c r="C624" s="158"/>
      <c r="D624" s="158"/>
      <c r="E624" s="47" t="s">
        <v>21</v>
      </c>
      <c r="F624" s="40"/>
      <c r="G624" s="42"/>
      <c r="H624" s="137" t="s">
        <v>14</v>
      </c>
      <c r="I624" s="135"/>
      <c r="J624" s="135"/>
      <c r="K624" s="136"/>
      <c r="L624" s="1356">
        <v>0</v>
      </c>
      <c r="M624" s="224">
        <v>0</v>
      </c>
      <c r="N624" s="224">
        <v>0</v>
      </c>
      <c r="O624" s="224">
        <f>IF(L624&gt;0,N624*100/L624,0)</f>
        <v>0</v>
      </c>
      <c r="P624" s="224">
        <f>IF(M624&gt;0,N624*100/M624,0)</f>
        <v>0</v>
      </c>
      <c r="Q624" s="224">
        <v>0</v>
      </c>
      <c r="R624" s="224">
        <v>0</v>
      </c>
      <c r="S624" s="224">
        <v>0</v>
      </c>
      <c r="T624" s="224">
        <f>IF(Q624&gt;0,S624*100/Q624,0)</f>
        <v>0</v>
      </c>
      <c r="U624" s="224">
        <f>IF(R624&gt;0,S624*100/R624,0)</f>
        <v>0</v>
      </c>
    </row>
    <row r="625" spans="1:21" ht="19.5" x14ac:dyDescent="0.3">
      <c r="A625" s="138"/>
      <c r="B625" s="139"/>
      <c r="C625" s="177" t="s">
        <v>18</v>
      </c>
      <c r="D625" s="1586" t="s">
        <v>38</v>
      </c>
      <c r="E625" s="141"/>
      <c r="F625" s="141"/>
      <c r="G625" s="142"/>
      <c r="H625" s="178"/>
      <c r="I625" s="135"/>
      <c r="J625" s="135"/>
      <c r="K625" s="136"/>
      <c r="L625" s="1392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03" t="s">
        <v>223</v>
      </c>
      <c r="E626" s="145"/>
      <c r="F626" s="145"/>
      <c r="G626" s="143"/>
      <c r="H626" s="404" t="s">
        <v>46</v>
      </c>
      <c r="I626" s="328">
        <f ca="1">IFERROR(__xludf.DUMMYFUNCTION("IMPORTRANGE(""https://docs.google.com/spreadsheets/d/1eHaY18a8A9IcSdp1K8H6x8fbOy06t2VsZHhMHf-1x7Y/edit?usp=sharing"",""แผน!ID26"")"),50)</f>
        <v>50</v>
      </c>
      <c r="J626" s="328">
        <f>J632</f>
        <v>0</v>
      </c>
      <c r="K626" s="1390">
        <f ca="1">IF(I626&gt;0,J626*100/I626,0)</f>
        <v>0</v>
      </c>
      <c r="L626" s="1392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84">
        <f ca="1">IFERROR(__xludf.DUMMYFUNCTION("IMPORTRANGE(""https://docs.google.com/spreadsheets/d/1eHaY18a8A9IcSdp1K8H6x8fbOy06t2VsZHhMHf-1x7Y/edit?usp=sharing"",""แผน!IC26"")"),0)</f>
        <v>0</v>
      </c>
      <c r="J627" s="1395">
        <v>0</v>
      </c>
      <c r="K627" s="224">
        <f ca="1">IF(I627&gt;0,(J627*100)/I627,0)</f>
        <v>0</v>
      </c>
      <c r="L627" s="1392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84">
        <f ca="1">IFERROR(__xludf.DUMMYFUNCTION("IMPORTRANGE(""https://docs.google.com/spreadsheets/d/1eHaY18a8A9IcSdp1K8H6x8fbOy06t2VsZHhMHf-1x7Y/edit?usp=sharing"",""แผน!IC26"")"),0)</f>
        <v>0</v>
      </c>
      <c r="J628" s="1395">
        <v>0</v>
      </c>
      <c r="K628" s="224">
        <f ca="1">IF(I628&gt;0,(J628*100)/I628,0)</f>
        <v>0</v>
      </c>
      <c r="L628" s="1392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4"/>
      <c r="J629" s="1395">
        <v>0</v>
      </c>
      <c r="K629" s="224">
        <f ca="1">IF(I$626&gt;0,J629*100/I$626,0)</f>
        <v>0</v>
      </c>
      <c r="L629" s="1392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4"/>
      <c r="J630" s="1395">
        <v>0</v>
      </c>
      <c r="K630" s="224">
        <f ca="1">IF(I$626&gt;0,J630*100/I$626,0)</f>
        <v>0</v>
      </c>
      <c r="L630" s="1392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4"/>
      <c r="J631" s="1395">
        <v>0</v>
      </c>
      <c r="K631" s="224">
        <f ca="1">IF(I$626&gt;0,J631*100/I$626,0)</f>
        <v>0</v>
      </c>
      <c r="L631" s="1392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4"/>
      <c r="J632" s="328">
        <f>J633+J634</f>
        <v>0</v>
      </c>
      <c r="K632" s="1390">
        <f ca="1">IF(I626&gt;0,J632*100/I626,0)</f>
        <v>0</v>
      </c>
      <c r="L632" s="1392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4"/>
      <c r="J633" s="1395">
        <v>0</v>
      </c>
      <c r="K633" s="45"/>
      <c r="L633" s="1392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4"/>
      <c r="J634" s="1395">
        <v>0</v>
      </c>
      <c r="K634" s="45"/>
      <c r="L634" s="1392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03" t="s">
        <v>232</v>
      </c>
      <c r="E635" s="145"/>
      <c r="F635" s="145"/>
      <c r="G635" s="143"/>
      <c r="H635" s="137" t="s">
        <v>46</v>
      </c>
      <c r="I635" s="328">
        <f ca="1">IFERROR(__xludf.DUMMYFUNCTION("IMPORTRANGE(""https://docs.google.com/spreadsheets/d/1eHaY18a8A9IcSdp1K8H6x8fbOy06t2VsZHhMHf-1x7Y/edit?usp=sharing"",""แผน!IE26"")"),0)</f>
        <v>0</v>
      </c>
      <c r="J635" s="328">
        <f>J636</f>
        <v>0</v>
      </c>
      <c r="K635" s="1390">
        <f ca="1">IF(I635&gt;0,J635*100/I635,0)</f>
        <v>0</v>
      </c>
      <c r="L635" s="1392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4"/>
      <c r="J636" s="184">
        <f>J637+J638</f>
        <v>0</v>
      </c>
      <c r="K636" s="45"/>
      <c r="L636" s="1392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4"/>
      <c r="J637" s="1395">
        <v>0</v>
      </c>
      <c r="K637" s="45"/>
      <c r="L637" s="1392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4"/>
      <c r="J638" s="1395">
        <v>0</v>
      </c>
      <c r="K638" s="45"/>
      <c r="L638" s="1392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4"/>
      <c r="J639" s="1395">
        <v>0</v>
      </c>
      <c r="K639" s="45"/>
      <c r="L639" s="1392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4"/>
      <c r="J640" s="1395">
        <v>0</v>
      </c>
      <c r="K640" s="45"/>
      <c r="L640" s="1392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394"/>
      <c r="B641" s="395" t="s">
        <v>236</v>
      </c>
      <c r="C641" s="394"/>
      <c r="D641" s="396"/>
      <c r="E641" s="396"/>
      <c r="F641" s="396"/>
      <c r="G641" s="397"/>
      <c r="H641" s="405"/>
      <c r="I641" s="406"/>
      <c r="J641" s="406"/>
      <c r="K641" s="401"/>
      <c r="L641" s="1584"/>
      <c r="M641" s="401"/>
      <c r="N641" s="401"/>
      <c r="O641" s="401"/>
      <c r="P641" s="401"/>
      <c r="Q641" s="401"/>
      <c r="R641" s="401"/>
      <c r="S641" s="401"/>
      <c r="T641" s="401"/>
      <c r="U641" s="401"/>
    </row>
    <row r="642" spans="1:21" ht="19.5" x14ac:dyDescent="0.3">
      <c r="A642" s="128"/>
      <c r="B642" s="158"/>
      <c r="C642" s="209" t="s">
        <v>18</v>
      </c>
      <c r="D642" s="1585" t="s">
        <v>19</v>
      </c>
      <c r="E642" s="1285"/>
      <c r="F642" s="1285"/>
      <c r="G642" s="1286"/>
      <c r="H642" s="221" t="s">
        <v>14</v>
      </c>
      <c r="I642" s="44"/>
      <c r="J642" s="44"/>
      <c r="K642" s="45"/>
      <c r="L642" s="1389">
        <f>L643+L644</f>
        <v>0</v>
      </c>
      <c r="M642" s="1390">
        <f>M643+M644</f>
        <v>0</v>
      </c>
      <c r="N642" s="1390">
        <f>N643+N644</f>
        <v>0</v>
      </c>
      <c r="O642" s="1390">
        <f>IF(L642&gt;0,N642*100/L642,0)</f>
        <v>0</v>
      </c>
      <c r="P642" s="1390">
        <f>IF(M642&gt;0,N642*100/M642,0)</f>
        <v>0</v>
      </c>
      <c r="Q642" s="1390">
        <f ca="1">Q643+Q644</f>
        <v>0</v>
      </c>
      <c r="R642" s="1390">
        <f ca="1">R643+R644</f>
        <v>0</v>
      </c>
      <c r="S642" s="1390">
        <f ca="1">S643+S644</f>
        <v>0</v>
      </c>
      <c r="T642" s="1390">
        <f ca="1">IF(Q642&gt;0,S642*100/Q642,0)</f>
        <v>0</v>
      </c>
      <c r="U642" s="1390">
        <f ca="1">IF(R642&gt;0,S642*100/R642,0)</f>
        <v>0</v>
      </c>
    </row>
    <row r="643" spans="1:21" ht="18.75" x14ac:dyDescent="0.25">
      <c r="A643" s="128"/>
      <c r="B643" s="158"/>
      <c r="C643" s="158"/>
      <c r="D643" s="145"/>
      <c r="E643" s="156" t="s">
        <v>158</v>
      </c>
      <c r="F643" s="40"/>
      <c r="G643" s="42"/>
      <c r="H643" s="159" t="s">
        <v>14</v>
      </c>
      <c r="I643" s="44"/>
      <c r="J643" s="44"/>
      <c r="K643" s="45"/>
      <c r="L643" s="1358">
        <f>L646+L649</f>
        <v>0</v>
      </c>
      <c r="M643" s="83">
        <f>M646+M649</f>
        <v>0</v>
      </c>
      <c r="N643" s="83">
        <f>N646+N649</f>
        <v>0</v>
      </c>
      <c r="O643" s="83">
        <f>IF(L643&gt;0,N643*100/L643,0)</f>
        <v>0</v>
      </c>
      <c r="P643" s="83">
        <f>IF(M643&gt;0,N643*100/M643,0)</f>
        <v>0</v>
      </c>
      <c r="Q643" s="83">
        <f>Q646+Q649</f>
        <v>0</v>
      </c>
      <c r="R643" s="83">
        <f>R646+R649</f>
        <v>0</v>
      </c>
      <c r="S643" s="83">
        <f>S646+S649</f>
        <v>0</v>
      </c>
      <c r="T643" s="83">
        <f>IF(Q643&gt;0,S643*100/Q643,0)</f>
        <v>0</v>
      </c>
      <c r="U643" s="83">
        <f>IF(R643&gt;0,S643*100/R643,0)</f>
        <v>0</v>
      </c>
    </row>
    <row r="644" spans="1:21" ht="18.75" x14ac:dyDescent="0.25">
      <c r="A644" s="128"/>
      <c r="B644" s="158"/>
      <c r="C644" s="158"/>
      <c r="D644" s="145"/>
      <c r="E644" s="47" t="s">
        <v>159</v>
      </c>
      <c r="F644" s="40"/>
      <c r="G644" s="42"/>
      <c r="H644" s="134" t="s">
        <v>14</v>
      </c>
      <c r="I644" s="44"/>
      <c r="J644" s="44"/>
      <c r="K644" s="45"/>
      <c r="L644" s="1356">
        <f>L647+L650</f>
        <v>0</v>
      </c>
      <c r="M644" s="224">
        <f>M647+M650</f>
        <v>0</v>
      </c>
      <c r="N644" s="224">
        <f>N647+N650</f>
        <v>0</v>
      </c>
      <c r="O644" s="224">
        <f>IF(L644&gt;0,N644*100/L644,0)</f>
        <v>0</v>
      </c>
      <c r="P644" s="224">
        <f>IF(M644&gt;0,N644*100/M644,0)</f>
        <v>0</v>
      </c>
      <c r="Q644" s="224">
        <f ca="1">Q647+Q650</f>
        <v>0</v>
      </c>
      <c r="R644" s="224">
        <f ca="1">R647+R650</f>
        <v>0</v>
      </c>
      <c r="S644" s="224">
        <f ca="1">S647+S650</f>
        <v>0</v>
      </c>
      <c r="T644" s="224">
        <f ca="1">IF(Q644&gt;0,S644*100/Q644,0)</f>
        <v>0</v>
      </c>
      <c r="U644" s="224">
        <f ca="1">IF(R644&gt;0,S644*100/R644,0)</f>
        <v>0</v>
      </c>
    </row>
    <row r="645" spans="1:21" ht="18.75" x14ac:dyDescent="0.25">
      <c r="A645" s="128"/>
      <c r="B645" s="158"/>
      <c r="C645" s="158"/>
      <c r="D645" s="41" t="s">
        <v>22</v>
      </c>
      <c r="E645" s="40"/>
      <c r="F645" s="40"/>
      <c r="G645" s="42"/>
      <c r="H645" s="134" t="s">
        <v>14</v>
      </c>
      <c r="I645" s="135"/>
      <c r="J645" s="135"/>
      <c r="K645" s="136"/>
      <c r="L645" s="1356">
        <f>L646+L647</f>
        <v>0</v>
      </c>
      <c r="M645" s="224">
        <f>M646+M647</f>
        <v>0</v>
      </c>
      <c r="N645" s="224">
        <f>N646+N647</f>
        <v>0</v>
      </c>
      <c r="O645" s="224">
        <f>IF(L645&gt;0,N645*100/L645,0)</f>
        <v>0</v>
      </c>
      <c r="P645" s="224">
        <f>IF(M645&gt;0,N645*100/M645,0)</f>
        <v>0</v>
      </c>
      <c r="Q645" s="224">
        <f ca="1">Q646+Q647</f>
        <v>0</v>
      </c>
      <c r="R645" s="224">
        <f ca="1">R646+R647</f>
        <v>0</v>
      </c>
      <c r="S645" s="224">
        <f ca="1">S646+S647</f>
        <v>0</v>
      </c>
      <c r="T645" s="224">
        <f ca="1">IF(Q645&gt;0,S645*100/Q645,0)</f>
        <v>0</v>
      </c>
      <c r="U645" s="224">
        <f ca="1">IF(R645&gt;0,S645*100/R645,0)</f>
        <v>0</v>
      </c>
    </row>
    <row r="646" spans="1:21" ht="18.75" x14ac:dyDescent="0.25">
      <c r="A646" s="128"/>
      <c r="B646" s="158"/>
      <c r="C646" s="158"/>
      <c r="D646" s="145"/>
      <c r="E646" s="156" t="s">
        <v>158</v>
      </c>
      <c r="F646" s="40"/>
      <c r="G646" s="42"/>
      <c r="H646" s="159" t="s">
        <v>14</v>
      </c>
      <c r="I646" s="44"/>
      <c r="J646" s="44"/>
      <c r="K646" s="45"/>
      <c r="L646" s="1358">
        <v>0</v>
      </c>
      <c r="M646" s="83">
        <v>0</v>
      </c>
      <c r="N646" s="83">
        <v>0</v>
      </c>
      <c r="O646" s="83">
        <f>IF(L646&gt;0,N646*100/L646,0)</f>
        <v>0</v>
      </c>
      <c r="P646" s="83">
        <f>IF(M646&gt;0,N646*100/M646,0)</f>
        <v>0</v>
      </c>
      <c r="Q646" s="83">
        <v>0</v>
      </c>
      <c r="R646" s="83">
        <v>0</v>
      </c>
      <c r="S646" s="83">
        <v>0</v>
      </c>
      <c r="T646" s="83">
        <f>IF(Q646&gt;0,S646*100/Q646,0)</f>
        <v>0</v>
      </c>
      <c r="U646" s="83">
        <f>IF(R646&gt;0,S646*100/R646,0)</f>
        <v>0</v>
      </c>
    </row>
    <row r="647" spans="1:21" ht="18.75" x14ac:dyDescent="0.25">
      <c r="A647" s="128"/>
      <c r="B647" s="158"/>
      <c r="C647" s="158"/>
      <c r="D647" s="145"/>
      <c r="E647" s="47" t="s">
        <v>159</v>
      </c>
      <c r="F647" s="40"/>
      <c r="G647" s="42"/>
      <c r="H647" s="134" t="s">
        <v>14</v>
      </c>
      <c r="I647" s="44"/>
      <c r="J647" s="44"/>
      <c r="K647" s="45"/>
      <c r="L647" s="1356">
        <v>0</v>
      </c>
      <c r="M647" s="224">
        <v>0</v>
      </c>
      <c r="N647" s="224">
        <v>0</v>
      </c>
      <c r="O647" s="224">
        <f>IF(L647&gt;0,N647*100/L647,0)</f>
        <v>0</v>
      </c>
      <c r="P647" s="224">
        <f>IF(M647&gt;0,N647*100/M647,0)</f>
        <v>0</v>
      </c>
      <c r="Q647" s="224">
        <f ca="1">IFERROR(__xludf.DUMMYFUNCTION("IMPORTRANGE(""https://docs.google.com/spreadsheets/d/1ItG2mGa2ceCfYo0BwxsXqNm01IGEUdYcSSLTEv9YCik/edit?usp=sharing"",""เบิกจ่ายกองทุน!I26"")"),0)</f>
        <v>0</v>
      </c>
      <c r="R647" s="224">
        <f ca="1">IFERROR(__xludf.DUMMYFUNCTION("IMPORTRANGE(""https://docs.google.com/spreadsheets/d/1ItG2mGa2ceCfYo0BwxsXqNm01IGEUdYcSSLTEv9YCik/edit?usp=sharing"",""เบิกจ่ายกองทุน!J26"")"),0)</f>
        <v>0</v>
      </c>
      <c r="S647" s="224">
        <f ca="1">IFERROR(__xludf.DUMMYFUNCTION("IMPORTRANGE(""https://docs.google.com/spreadsheets/d/1ItG2mGa2ceCfYo0BwxsXqNm01IGEUdYcSSLTEv9YCik/edit?usp=sharing"",""เบิกจ่ายกองทุน!K26"")"),0)</f>
        <v>0</v>
      </c>
      <c r="T647" s="224">
        <f ca="1">IF(Q647&gt;0,S647*100/Q647,0)</f>
        <v>0</v>
      </c>
      <c r="U647" s="224">
        <f ca="1">IF(R647&gt;0,S647*100/R647,0)</f>
        <v>0</v>
      </c>
    </row>
    <row r="648" spans="1:21" ht="18.75" x14ac:dyDescent="0.25">
      <c r="A648" s="128"/>
      <c r="B648" s="158"/>
      <c r="C648" s="158"/>
      <c r="D648" s="41" t="s">
        <v>23</v>
      </c>
      <c r="E648" s="40"/>
      <c r="F648" s="40"/>
      <c r="G648" s="42"/>
      <c r="H648" s="137" t="s">
        <v>14</v>
      </c>
      <c r="I648" s="135"/>
      <c r="J648" s="135"/>
      <c r="K648" s="136"/>
      <c r="L648" s="1356">
        <f>L649+L650</f>
        <v>0</v>
      </c>
      <c r="M648" s="224">
        <f>M649+M650</f>
        <v>0</v>
      </c>
      <c r="N648" s="224">
        <f>N649+N650</f>
        <v>0</v>
      </c>
      <c r="O648" s="224">
        <f>IF(L648&gt;0,N648*100/L648,0)</f>
        <v>0</v>
      </c>
      <c r="P648" s="224">
        <f>IF(M648&gt;0,N648*100/M648,0)</f>
        <v>0</v>
      </c>
      <c r="Q648" s="224">
        <f>Q649+Q650</f>
        <v>0</v>
      </c>
      <c r="R648" s="224">
        <f>R649+R650</f>
        <v>0</v>
      </c>
      <c r="S648" s="224">
        <f>S649+S650</f>
        <v>0</v>
      </c>
      <c r="T648" s="224">
        <f>IF(Q648&gt;0,S648*100/Q648,0)</f>
        <v>0</v>
      </c>
      <c r="U648" s="224">
        <f>IF(R648&gt;0,S648*100/R648,0)</f>
        <v>0</v>
      </c>
    </row>
    <row r="649" spans="1:21" ht="18.75" x14ac:dyDescent="0.25">
      <c r="A649" s="128"/>
      <c r="B649" s="158"/>
      <c r="C649" s="158"/>
      <c r="D649" s="40"/>
      <c r="E649" s="156" t="s">
        <v>20</v>
      </c>
      <c r="F649" s="40"/>
      <c r="G649" s="42"/>
      <c r="H649" s="159" t="s">
        <v>14</v>
      </c>
      <c r="I649" s="135"/>
      <c r="J649" s="135"/>
      <c r="K649" s="136"/>
      <c r="L649" s="1358">
        <v>0</v>
      </c>
      <c r="M649" s="83">
        <v>0</v>
      </c>
      <c r="N649" s="83">
        <v>0</v>
      </c>
      <c r="O649" s="83">
        <f>IF(L649&gt;0,N649*100/L649,0)</f>
        <v>0</v>
      </c>
      <c r="P649" s="83">
        <f>IF(M649&gt;0,N649*100/M649,0)</f>
        <v>0</v>
      </c>
      <c r="Q649" s="83">
        <v>0</v>
      </c>
      <c r="R649" s="83">
        <v>0</v>
      </c>
      <c r="S649" s="83">
        <v>0</v>
      </c>
      <c r="T649" s="83">
        <f>IF(Q649&gt;0,S649*100/Q649,0)</f>
        <v>0</v>
      </c>
      <c r="U649" s="83">
        <f>IF(R649&gt;0,S649*100/R649,0)</f>
        <v>0</v>
      </c>
    </row>
    <row r="650" spans="1:21" ht="18.75" x14ac:dyDescent="0.25">
      <c r="A650" s="128"/>
      <c r="B650" s="158"/>
      <c r="C650" s="158"/>
      <c r="D650" s="40"/>
      <c r="E650" s="47" t="s">
        <v>21</v>
      </c>
      <c r="F650" s="40"/>
      <c r="G650" s="42"/>
      <c r="H650" s="137" t="s">
        <v>14</v>
      </c>
      <c r="I650" s="135"/>
      <c r="J650" s="135"/>
      <c r="K650" s="136"/>
      <c r="L650" s="1356">
        <v>0</v>
      </c>
      <c r="M650" s="224">
        <v>0</v>
      </c>
      <c r="N650" s="224">
        <v>0</v>
      </c>
      <c r="O650" s="224">
        <f>IF(L650&gt;0,N650*100/L650,0)</f>
        <v>0</v>
      </c>
      <c r="P650" s="224">
        <f>IF(M650&gt;0,N650*100/M650,0)</f>
        <v>0</v>
      </c>
      <c r="Q650" s="224">
        <v>0</v>
      </c>
      <c r="R650" s="224">
        <v>0</v>
      </c>
      <c r="S650" s="224">
        <v>0</v>
      </c>
      <c r="T650" s="224">
        <f>IF(Q650&gt;0,S650*100/Q650,0)</f>
        <v>0</v>
      </c>
      <c r="U650" s="224">
        <f>IF(R650&gt;0,S650*100/R650,0)</f>
        <v>0</v>
      </c>
    </row>
    <row r="651" spans="1:21" ht="19.5" x14ac:dyDescent="0.3">
      <c r="A651" s="138"/>
      <c r="B651" s="139"/>
      <c r="C651" s="209" t="s">
        <v>18</v>
      </c>
      <c r="D651" s="1587" t="s">
        <v>38</v>
      </c>
      <c r="E651" s="141"/>
      <c r="F651" s="141"/>
      <c r="G651" s="142"/>
      <c r="H651" s="178"/>
      <c r="I651" s="135"/>
      <c r="J651" s="135"/>
      <c r="K651" s="136"/>
      <c r="L651" s="1392"/>
      <c r="M651" s="136"/>
      <c r="N651" s="136"/>
      <c r="O651" s="136"/>
      <c r="P651" s="136"/>
      <c r="Q651" s="45"/>
      <c r="R651" s="45"/>
      <c r="S651" s="45"/>
      <c r="T651" s="136"/>
      <c r="U651" s="136"/>
    </row>
    <row r="652" spans="1:21" ht="18.75" x14ac:dyDescent="0.25">
      <c r="A652" s="208"/>
      <c r="B652" s="158"/>
      <c r="C652" s="158"/>
      <c r="D652" s="47" t="s">
        <v>237</v>
      </c>
      <c r="E652" s="40"/>
      <c r="F652" s="40"/>
      <c r="G652" s="42"/>
      <c r="H652" s="137" t="s">
        <v>46</v>
      </c>
      <c r="I652" s="1588">
        <f ca="1">IFERROR(__xludf.DUMMYFUNCTION("IMPORTRANGE(""https://docs.google.com/spreadsheets/d/1eHaY18a8A9IcSdp1K8H6x8fbOy06t2VsZHhMHf-1x7Y/edit?usp=sharing"",""แผน!IF26"")"),0)</f>
        <v>0</v>
      </c>
      <c r="J652" s="184">
        <f ca="1">IFERROR(__xludf.DUMMYFUNCTION("IMPORTRANGE(""https://docs.google.com/spreadsheets/d/1tdoBKaGub7dwA3U6UFTqxio9LNnvDCQjHKmttSEBsFQ/edit?usp=sharing"",""จัดที่ดิน!AU26"")"),0)</f>
        <v>0</v>
      </c>
      <c r="K652" s="224">
        <f ca="1">IF(I652&gt;0,J652*100/I652,0)</f>
        <v>0</v>
      </c>
      <c r="L652" s="1359"/>
      <c r="M652" s="45"/>
      <c r="N652" s="409"/>
      <c r="O652" s="45"/>
      <c r="P652" s="45"/>
      <c r="Q652" s="45"/>
      <c r="R652" s="45"/>
      <c r="S652" s="409"/>
      <c r="T652" s="45"/>
      <c r="U652" s="45"/>
    </row>
    <row r="653" spans="1:21" ht="18.75" x14ac:dyDescent="0.25">
      <c r="A653" s="208"/>
      <c r="B653" s="158"/>
      <c r="C653" s="158"/>
      <c r="D653" s="47" t="s">
        <v>238</v>
      </c>
      <c r="E653" s="40"/>
      <c r="F653" s="40"/>
      <c r="G653" s="42"/>
      <c r="H653" s="137" t="s">
        <v>35</v>
      </c>
      <c r="I653" s="1588">
        <f ca="1">IFERROR(__xludf.DUMMYFUNCTION("IMPORTRANGE(""https://docs.google.com/spreadsheets/d/1eHaY18a8A9IcSdp1K8H6x8fbOy06t2VsZHhMHf-1x7Y/edit?usp=sharing"",""แผน!IG26"")"),0)</f>
        <v>0</v>
      </c>
      <c r="J653" s="184">
        <f ca="1">IFERROR(__xludf.DUMMYFUNCTION("IMPORTRANGE(""https://docs.google.com/spreadsheets/d/1tdoBKaGub7dwA3U6UFTqxio9LNnvDCQjHKmttSEBsFQ/edit?usp=sharing"",""จัดที่ดิน!AW26"")"),0)</f>
        <v>0</v>
      </c>
      <c r="K653" s="224">
        <f ca="1">IF(I653&gt;0,J653*100/I653,0)</f>
        <v>0</v>
      </c>
      <c r="L653" s="1359"/>
      <c r="M653" s="45"/>
      <c r="N653" s="409"/>
      <c r="O653" s="45"/>
      <c r="P653" s="45"/>
      <c r="Q653" s="45"/>
      <c r="R653" s="45"/>
      <c r="S653" s="409"/>
      <c r="T653" s="45"/>
      <c r="U653" s="45"/>
    </row>
    <row r="654" spans="1:21" ht="19.5" x14ac:dyDescent="0.3">
      <c r="A654" s="208"/>
      <c r="B654" s="158"/>
      <c r="C654" s="158"/>
      <c r="D654" s="47" t="s">
        <v>239</v>
      </c>
      <c r="E654" s="40"/>
      <c r="F654" s="40"/>
      <c r="G654" s="42"/>
      <c r="H654" s="404" t="s">
        <v>46</v>
      </c>
      <c r="I654" s="1589">
        <f ca="1">IFERROR(__xludf.DUMMYFUNCTION("IMPORTRANGE(""https://docs.google.com/spreadsheets/d/1eHaY18a8A9IcSdp1K8H6x8fbOy06t2VsZHhMHf-1x7Y/edit?usp=sharing"",""แผน!IH26"")"),0)</f>
        <v>0</v>
      </c>
      <c r="J654" s="328">
        <f>J657+J660</f>
        <v>0</v>
      </c>
      <c r="K654" s="1390">
        <f ca="1">IF(I654&gt;0,J654*100/I654,0)</f>
        <v>0</v>
      </c>
      <c r="L654" s="1359"/>
      <c r="M654" s="45"/>
      <c r="N654" s="409"/>
      <c r="O654" s="45"/>
      <c r="P654" s="45"/>
      <c r="Q654" s="45"/>
      <c r="R654" s="45"/>
      <c r="S654" s="409"/>
      <c r="T654" s="45"/>
      <c r="U654" s="45"/>
    </row>
    <row r="655" spans="1:21" ht="18.75" x14ac:dyDescent="0.25">
      <c r="A655" s="208"/>
      <c r="B655" s="158"/>
      <c r="C655" s="158"/>
      <c r="D655" s="40"/>
      <c r="E655" s="47" t="s">
        <v>240</v>
      </c>
      <c r="F655" s="40"/>
      <c r="G655" s="42"/>
      <c r="H655" s="137" t="s">
        <v>35</v>
      </c>
      <c r="I655" s="180"/>
      <c r="J655" s="1395">
        <v>0</v>
      </c>
      <c r="K655" s="45"/>
      <c r="L655" s="1359"/>
      <c r="M655" s="45"/>
      <c r="N655" s="409"/>
      <c r="O655" s="45"/>
      <c r="P655" s="45"/>
      <c r="Q655" s="45"/>
      <c r="R655" s="45"/>
      <c r="S655" s="409"/>
      <c r="T655" s="45"/>
      <c r="U655" s="45"/>
    </row>
    <row r="656" spans="1:21" ht="18.75" x14ac:dyDescent="0.25">
      <c r="A656" s="208"/>
      <c r="B656" s="158"/>
      <c r="C656" s="158"/>
      <c r="D656" s="40"/>
      <c r="E656" s="40"/>
      <c r="F656" s="40"/>
      <c r="G656" s="42"/>
      <c r="H656" s="137" t="s">
        <v>34</v>
      </c>
      <c r="I656" s="180"/>
      <c r="J656" s="1395">
        <v>0</v>
      </c>
      <c r="K656" s="45"/>
      <c r="L656" s="1359"/>
      <c r="M656" s="45"/>
      <c r="N656" s="409"/>
      <c r="O656" s="45"/>
      <c r="P656" s="45"/>
      <c r="Q656" s="45"/>
      <c r="R656" s="45"/>
      <c r="S656" s="409"/>
      <c r="T656" s="45"/>
      <c r="U656" s="45"/>
    </row>
    <row r="657" spans="1:21" ht="18.75" x14ac:dyDescent="0.25">
      <c r="A657" s="208"/>
      <c r="B657" s="158"/>
      <c r="C657" s="158"/>
      <c r="D657" s="40"/>
      <c r="E657" s="40"/>
      <c r="F657" s="40"/>
      <c r="G657" s="42"/>
      <c r="H657" s="137" t="s">
        <v>46</v>
      </c>
      <c r="I657" s="1588">
        <f ca="1">IFERROR(__xludf.DUMMYFUNCTION("IMPORTRANGE(""https://docs.google.com/spreadsheets/d/1eHaY18a8A9IcSdp1K8H6x8fbOy06t2VsZHhMHf-1x7Y/edit?usp=sharing"",""แผน!II26"")"),0)</f>
        <v>0</v>
      </c>
      <c r="J657" s="1395">
        <v>0</v>
      </c>
      <c r="K657" s="45"/>
      <c r="L657" s="1359"/>
      <c r="M657" s="45"/>
      <c r="N657" s="409"/>
      <c r="O657" s="45"/>
      <c r="P657" s="45"/>
      <c r="Q657" s="45"/>
      <c r="R657" s="45"/>
      <c r="S657" s="409"/>
      <c r="T657" s="45"/>
      <c r="U657" s="45"/>
    </row>
    <row r="658" spans="1:21" ht="18.75" x14ac:dyDescent="0.25">
      <c r="A658" s="208"/>
      <c r="B658" s="158"/>
      <c r="C658" s="158"/>
      <c r="D658" s="40"/>
      <c r="E658" s="47" t="s">
        <v>241</v>
      </c>
      <c r="F658" s="40"/>
      <c r="G658" s="42"/>
      <c r="H658" s="137" t="s">
        <v>35</v>
      </c>
      <c r="I658" s="180"/>
      <c r="J658" s="1395">
        <v>0</v>
      </c>
      <c r="K658" s="45"/>
      <c r="L658" s="1359"/>
      <c r="M658" s="45"/>
      <c r="N658" s="409"/>
      <c r="O658" s="45"/>
      <c r="P658" s="45"/>
      <c r="Q658" s="45"/>
      <c r="R658" s="45"/>
      <c r="S658" s="409"/>
      <c r="T658" s="45"/>
      <c r="U658" s="45"/>
    </row>
    <row r="659" spans="1:21" ht="18.75" x14ac:dyDescent="0.25">
      <c r="A659" s="208"/>
      <c r="B659" s="158"/>
      <c r="C659" s="158"/>
      <c r="D659" s="40"/>
      <c r="E659" s="40"/>
      <c r="F659" s="40"/>
      <c r="G659" s="42"/>
      <c r="H659" s="137" t="s">
        <v>34</v>
      </c>
      <c r="I659" s="180"/>
      <c r="J659" s="1395">
        <v>0</v>
      </c>
      <c r="K659" s="45"/>
      <c r="L659" s="1359"/>
      <c r="M659" s="45"/>
      <c r="N659" s="409"/>
      <c r="O659" s="45"/>
      <c r="P659" s="45"/>
      <c r="Q659" s="45"/>
      <c r="R659" s="45"/>
      <c r="S659" s="409"/>
      <c r="T659" s="45"/>
      <c r="U659" s="45"/>
    </row>
    <row r="660" spans="1:21" ht="18.75" x14ac:dyDescent="0.25">
      <c r="A660" s="208"/>
      <c r="B660" s="158"/>
      <c r="C660" s="158"/>
      <c r="D660" s="40"/>
      <c r="E660" s="40"/>
      <c r="F660" s="40"/>
      <c r="G660" s="42"/>
      <c r="H660" s="137" t="s">
        <v>46</v>
      </c>
      <c r="I660" s="1588">
        <f ca="1">IFERROR(__xludf.DUMMYFUNCTION("IMPORTRANGE(""https://docs.google.com/spreadsheets/d/1eHaY18a8A9IcSdp1K8H6x8fbOy06t2VsZHhMHf-1x7Y/edit?usp=sharing"",""แผน!IJ26"")"),0)</f>
        <v>0</v>
      </c>
      <c r="J660" s="1395">
        <v>0</v>
      </c>
      <c r="K660" s="45"/>
      <c r="L660" s="1359"/>
      <c r="M660" s="45"/>
      <c r="N660" s="409"/>
      <c r="O660" s="45"/>
      <c r="P660" s="45"/>
      <c r="Q660" s="45"/>
      <c r="R660" s="45"/>
      <c r="S660" s="409"/>
      <c r="T660" s="45"/>
      <c r="U660" s="45"/>
    </row>
    <row r="661" spans="1:21" ht="19.5" x14ac:dyDescent="0.3">
      <c r="A661" s="208"/>
      <c r="B661" s="158"/>
      <c r="C661" s="158"/>
      <c r="D661" s="332" t="s">
        <v>242</v>
      </c>
      <c r="E661" s="40"/>
      <c r="F661" s="40"/>
      <c r="G661" s="42"/>
      <c r="H661" s="404" t="s">
        <v>46</v>
      </c>
      <c r="I661" s="1589">
        <f ca="1">IFERROR(__xludf.DUMMYFUNCTION("IMPORTRANGE(""https://docs.google.com/spreadsheets/d/1eHaY18a8A9IcSdp1K8H6x8fbOy06t2VsZHhMHf-1x7Y/edit?usp=sharing"",""แผน!IK26"")"),0)</f>
        <v>0</v>
      </c>
      <c r="J661" s="328">
        <f>J667+J670</f>
        <v>0</v>
      </c>
      <c r="K661" s="1390">
        <f ca="1">IF(I661&gt;0,J661*100/I661,0)</f>
        <v>0</v>
      </c>
      <c r="L661" s="1359"/>
      <c r="M661" s="45"/>
      <c r="N661" s="409"/>
      <c r="O661" s="45"/>
      <c r="P661" s="45"/>
      <c r="Q661" s="45"/>
      <c r="R661" s="45"/>
      <c r="S661" s="409"/>
      <c r="T661" s="45"/>
      <c r="U661" s="45"/>
    </row>
    <row r="662" spans="1:21" ht="18.75" x14ac:dyDescent="0.25">
      <c r="A662" s="208"/>
      <c r="B662" s="158"/>
      <c r="C662" s="158"/>
      <c r="D662" s="40"/>
      <c r="E662" s="47" t="s">
        <v>243</v>
      </c>
      <c r="F662" s="40"/>
      <c r="G662" s="42"/>
      <c r="H662" s="137" t="s">
        <v>34</v>
      </c>
      <c r="I662" s="180"/>
      <c r="J662" s="1395">
        <v>0</v>
      </c>
      <c r="K662" s="45"/>
      <c r="L662" s="1590"/>
      <c r="M662" s="45"/>
      <c r="N662" s="409"/>
      <c r="O662" s="45"/>
      <c r="P662" s="45"/>
      <c r="Q662" s="409"/>
      <c r="R662" s="45"/>
      <c r="S662" s="409"/>
      <c r="T662" s="45"/>
      <c r="U662" s="45"/>
    </row>
    <row r="663" spans="1:21" ht="18.75" x14ac:dyDescent="0.25">
      <c r="A663" s="208"/>
      <c r="B663" s="158"/>
      <c r="C663" s="158"/>
      <c r="D663" s="40"/>
      <c r="E663" s="40"/>
      <c r="F663" s="40"/>
      <c r="G663" s="42"/>
      <c r="H663" s="137" t="s">
        <v>46</v>
      </c>
      <c r="I663" s="180"/>
      <c r="J663" s="1395">
        <v>0</v>
      </c>
      <c r="K663" s="45"/>
      <c r="L663" s="1590"/>
      <c r="M663" s="45"/>
      <c r="N663" s="409"/>
      <c r="O663" s="45"/>
      <c r="P663" s="45"/>
      <c r="Q663" s="409"/>
      <c r="R663" s="45"/>
      <c r="S663" s="409"/>
      <c r="T663" s="45"/>
      <c r="U663" s="45"/>
    </row>
    <row r="664" spans="1:21" ht="18.75" x14ac:dyDescent="0.25">
      <c r="A664" s="208"/>
      <c r="B664" s="158"/>
      <c r="C664" s="158"/>
      <c r="D664" s="40"/>
      <c r="E664" s="47" t="s">
        <v>244</v>
      </c>
      <c r="F664" s="40"/>
      <c r="G664" s="42"/>
      <c r="H664" s="178"/>
      <c r="I664" s="180"/>
      <c r="J664" s="44"/>
      <c r="K664" s="45"/>
      <c r="L664" s="1590"/>
      <c r="M664" s="45"/>
      <c r="N664" s="409"/>
      <c r="O664" s="45"/>
      <c r="P664" s="45"/>
      <c r="Q664" s="409"/>
      <c r="R664" s="45"/>
      <c r="S664" s="409"/>
      <c r="T664" s="45"/>
      <c r="U664" s="45"/>
    </row>
    <row r="665" spans="1:21" ht="18.75" x14ac:dyDescent="0.25">
      <c r="A665" s="208"/>
      <c r="B665" s="158"/>
      <c r="C665" s="158"/>
      <c r="D665" s="40"/>
      <c r="E665" s="40"/>
      <c r="F665" s="47" t="s">
        <v>245</v>
      </c>
      <c r="G665" s="42"/>
      <c r="H665" s="137" t="s">
        <v>35</v>
      </c>
      <c r="I665" s="180"/>
      <c r="J665" s="1395">
        <v>0</v>
      </c>
      <c r="K665" s="45"/>
      <c r="L665" s="1590"/>
      <c r="M665" s="45"/>
      <c r="N665" s="409"/>
      <c r="O665" s="45"/>
      <c r="P665" s="45"/>
      <c r="Q665" s="409"/>
      <c r="R665" s="45"/>
      <c r="S665" s="409"/>
      <c r="T665" s="45"/>
      <c r="U665" s="45"/>
    </row>
    <row r="666" spans="1:21" ht="18.75" x14ac:dyDescent="0.25">
      <c r="A666" s="208"/>
      <c r="B666" s="158"/>
      <c r="C666" s="158"/>
      <c r="D666" s="40"/>
      <c r="E666" s="40"/>
      <c r="F666" s="40"/>
      <c r="G666" s="42"/>
      <c r="H666" s="137" t="s">
        <v>34</v>
      </c>
      <c r="I666" s="180"/>
      <c r="J666" s="1395">
        <v>0</v>
      </c>
      <c r="K666" s="45"/>
      <c r="L666" s="1590"/>
      <c r="M666" s="45"/>
      <c r="N666" s="409"/>
      <c r="O666" s="45"/>
      <c r="P666" s="45"/>
      <c r="Q666" s="409"/>
      <c r="R666" s="45"/>
      <c r="S666" s="409"/>
      <c r="T666" s="45"/>
      <c r="U666" s="45"/>
    </row>
    <row r="667" spans="1:21" ht="18.75" x14ac:dyDescent="0.25">
      <c r="A667" s="208"/>
      <c r="B667" s="158"/>
      <c r="C667" s="158"/>
      <c r="D667" s="40"/>
      <c r="E667" s="40"/>
      <c r="F667" s="40"/>
      <c r="G667" s="42"/>
      <c r="H667" s="137" t="s">
        <v>46</v>
      </c>
      <c r="I667" s="180"/>
      <c r="J667" s="1395">
        <v>0</v>
      </c>
      <c r="K667" s="45"/>
      <c r="L667" s="1590"/>
      <c r="M667" s="45"/>
      <c r="N667" s="409"/>
      <c r="O667" s="45"/>
      <c r="P667" s="45"/>
      <c r="Q667" s="409"/>
      <c r="R667" s="45"/>
      <c r="S667" s="409"/>
      <c r="T667" s="45"/>
      <c r="U667" s="45"/>
    </row>
    <row r="668" spans="1:21" ht="18.75" x14ac:dyDescent="0.25">
      <c r="A668" s="208"/>
      <c r="B668" s="158"/>
      <c r="C668" s="158"/>
      <c r="D668" s="40"/>
      <c r="E668" s="40"/>
      <c r="F668" s="47" t="s">
        <v>246</v>
      </c>
      <c r="G668" s="42"/>
      <c r="H668" s="137" t="s">
        <v>35</v>
      </c>
      <c r="I668" s="180"/>
      <c r="J668" s="1395">
        <v>0</v>
      </c>
      <c r="K668" s="45"/>
      <c r="L668" s="1590"/>
      <c r="M668" s="45"/>
      <c r="N668" s="409"/>
      <c r="O668" s="45"/>
      <c r="P668" s="45"/>
      <c r="Q668" s="409"/>
      <c r="R668" s="45"/>
      <c r="S668" s="409"/>
      <c r="T668" s="45"/>
      <c r="U668" s="45"/>
    </row>
    <row r="669" spans="1:21" ht="18.75" x14ac:dyDescent="0.25">
      <c r="A669" s="208"/>
      <c r="B669" s="158"/>
      <c r="C669" s="158"/>
      <c r="D669" s="40"/>
      <c r="E669" s="40"/>
      <c r="F669" s="40"/>
      <c r="G669" s="42"/>
      <c r="H669" s="137" t="s">
        <v>34</v>
      </c>
      <c r="I669" s="180"/>
      <c r="J669" s="1395">
        <v>0</v>
      </c>
      <c r="K669" s="45"/>
      <c r="L669" s="1590"/>
      <c r="M669" s="45"/>
      <c r="N669" s="409"/>
      <c r="O669" s="45"/>
      <c r="P669" s="45"/>
      <c r="Q669" s="409"/>
      <c r="R669" s="45"/>
      <c r="S669" s="409"/>
      <c r="T669" s="45"/>
      <c r="U669" s="45"/>
    </row>
    <row r="670" spans="1:21" ht="18.75" x14ac:dyDescent="0.25">
      <c r="A670" s="208"/>
      <c r="B670" s="158"/>
      <c r="C670" s="158"/>
      <c r="D670" s="40"/>
      <c r="E670" s="40"/>
      <c r="F670" s="40"/>
      <c r="G670" s="42"/>
      <c r="H670" s="137" t="s">
        <v>46</v>
      </c>
      <c r="I670" s="180"/>
      <c r="J670" s="1395">
        <v>0</v>
      </c>
      <c r="K670" s="45"/>
      <c r="L670" s="1590"/>
      <c r="M670" s="45"/>
      <c r="N670" s="409"/>
      <c r="O670" s="45"/>
      <c r="P670" s="45"/>
      <c r="Q670" s="409"/>
      <c r="R670" s="45"/>
      <c r="S670" s="409"/>
      <c r="T670" s="45"/>
      <c r="U670" s="45"/>
    </row>
    <row r="671" spans="1:21" ht="18.75" x14ac:dyDescent="0.25">
      <c r="A671" s="208"/>
      <c r="B671" s="158"/>
      <c r="C671" s="158"/>
      <c r="D671" s="47" t="s">
        <v>247</v>
      </c>
      <c r="E671" s="40"/>
      <c r="F671" s="40"/>
      <c r="G671" s="42"/>
      <c r="H671" s="137" t="s">
        <v>35</v>
      </c>
      <c r="I671" s="180"/>
      <c r="J671" s="184">
        <f ca="1">IFERROR(__xludf.DUMMYFUNCTION("IMPORTRANGE(""https://docs.google.com/spreadsheets/d/1tdoBKaGub7dwA3U6UFTqxio9LNnvDCQjHKmttSEBsFQ/edit?usp=sharing"",""จัดที่ดิน!AY26"")"),0)</f>
        <v>0</v>
      </c>
      <c r="K671" s="45"/>
      <c r="L671" s="1359"/>
      <c r="M671" s="45"/>
      <c r="N671" s="409"/>
      <c r="O671" s="45"/>
      <c r="P671" s="45"/>
      <c r="Q671" s="45"/>
      <c r="R671" s="45"/>
      <c r="S671" s="409"/>
      <c r="T671" s="45"/>
      <c r="U671" s="45"/>
    </row>
    <row r="672" spans="1:21" ht="18.75" x14ac:dyDescent="0.25">
      <c r="A672" s="208"/>
      <c r="B672" s="158"/>
      <c r="C672" s="158"/>
      <c r="D672" s="40"/>
      <c r="E672" s="40"/>
      <c r="F672" s="40"/>
      <c r="G672" s="42"/>
      <c r="H672" s="137" t="s">
        <v>34</v>
      </c>
      <c r="I672" s="180"/>
      <c r="J672" s="184">
        <f ca="1">IFERROR(__xludf.DUMMYFUNCTION("IMPORTRANGE(""https://docs.google.com/spreadsheets/d/1tdoBKaGub7dwA3U6UFTqxio9LNnvDCQjHKmttSEBsFQ/edit?usp=sharing"",""จัดที่ดิน!AZ26"")"),0)</f>
        <v>0</v>
      </c>
      <c r="K672" s="45"/>
      <c r="L672" s="1590"/>
      <c r="M672" s="45"/>
      <c r="N672" s="409"/>
      <c r="O672" s="45"/>
      <c r="P672" s="45"/>
      <c r="Q672" s="409"/>
      <c r="R672" s="45"/>
      <c r="S672" s="409"/>
      <c r="T672" s="45"/>
      <c r="U672" s="45"/>
    </row>
    <row r="673" spans="1:21" ht="18.75" x14ac:dyDescent="0.25">
      <c r="A673" s="208"/>
      <c r="B673" s="158"/>
      <c r="C673" s="158"/>
      <c r="D673" s="40"/>
      <c r="E673" s="40"/>
      <c r="F673" s="40"/>
      <c r="G673" s="42"/>
      <c r="H673" s="137" t="s">
        <v>46</v>
      </c>
      <c r="I673" s="1588">
        <f ca="1">IFERROR(__xludf.DUMMYFUNCTION("IMPORTRANGE(""https://docs.google.com/spreadsheets/d/1eHaY18a8A9IcSdp1K8H6x8fbOy06t2VsZHhMHf-1x7Y/edit?usp=sharing"",""แผน!IL26"")"),0)</f>
        <v>0</v>
      </c>
      <c r="J673" s="184">
        <f ca="1">IFERROR(__xludf.DUMMYFUNCTION("IMPORTRANGE(""https://docs.google.com/spreadsheets/d/1tdoBKaGub7dwA3U6UFTqxio9LNnvDCQjHKmttSEBsFQ/edit?usp=sharing"",""จัดที่ดิน!BA26"")"),0)</f>
        <v>0</v>
      </c>
      <c r="K673" s="224">
        <f ca="1">IF(I673&gt;0,J673*100/I673,0)</f>
        <v>0</v>
      </c>
      <c r="L673" s="1590"/>
      <c r="M673" s="45"/>
      <c r="N673" s="409"/>
      <c r="O673" s="45"/>
      <c r="P673" s="45"/>
      <c r="Q673" s="409"/>
      <c r="R673" s="45"/>
      <c r="S673" s="409"/>
      <c r="T673" s="45"/>
      <c r="U673" s="45"/>
    </row>
    <row r="674" spans="1:21" ht="19.5" x14ac:dyDescent="0.3">
      <c r="A674" s="208"/>
      <c r="B674" s="158"/>
      <c r="C674" s="158"/>
      <c r="D674" s="47" t="s">
        <v>248</v>
      </c>
      <c r="E674" s="40"/>
      <c r="F674" s="40"/>
      <c r="G674" s="42"/>
      <c r="H674" s="404" t="s">
        <v>35</v>
      </c>
      <c r="I674" s="1589">
        <f ca="1">IFERROR(__xludf.DUMMYFUNCTION("IMPORTRANGE(""https://docs.google.com/spreadsheets/d/1eHaY18a8A9IcSdp1K8H6x8fbOy06t2VsZHhMHf-1x7Y/edit?usp=sharing"",""แผน!IM26"")"),0)</f>
        <v>0</v>
      </c>
      <c r="J674" s="328">
        <f ca="1">J676+J679</f>
        <v>0</v>
      </c>
      <c r="K674" s="1390">
        <f ca="1">IF(I674&gt;0,J674*100/I674,0)</f>
        <v>0</v>
      </c>
      <c r="L674" s="1590"/>
      <c r="M674" s="45"/>
      <c r="N674" s="409"/>
      <c r="O674" s="45"/>
      <c r="P674" s="45"/>
      <c r="Q674" s="409"/>
      <c r="R674" s="45"/>
      <c r="S674" s="409"/>
      <c r="T674" s="45"/>
      <c r="U674" s="45"/>
    </row>
    <row r="675" spans="1:21" ht="19.5" x14ac:dyDescent="0.3">
      <c r="A675" s="208"/>
      <c r="B675" s="158"/>
      <c r="C675" s="158"/>
      <c r="D675" s="40"/>
      <c r="E675" s="40"/>
      <c r="F675" s="40"/>
      <c r="G675" s="42"/>
      <c r="H675" s="404" t="s">
        <v>46</v>
      </c>
      <c r="I675" s="1589">
        <f ca="1">IFERROR(__xludf.DUMMYFUNCTION("IMPORTRANGE(""https://docs.google.com/spreadsheets/d/1eHaY18a8A9IcSdp1K8H6x8fbOy06t2VsZHhMHf-1x7Y/edit?usp=sharing"",""แผน!IN26"")"),0)</f>
        <v>0</v>
      </c>
      <c r="J675" s="328">
        <f ca="1">J678+J681</f>
        <v>0</v>
      </c>
      <c r="K675" s="1390">
        <f ca="1">IF(I675&gt;0,J675*100/I675,0)</f>
        <v>0</v>
      </c>
      <c r="L675" s="1359"/>
      <c r="M675" s="45"/>
      <c r="N675" s="409"/>
      <c r="O675" s="45"/>
      <c r="P675" s="45"/>
      <c r="Q675" s="45"/>
      <c r="R675" s="45"/>
      <c r="S675" s="409"/>
      <c r="T675" s="45"/>
      <c r="U675" s="45"/>
    </row>
    <row r="676" spans="1:21" ht="18.75" x14ac:dyDescent="0.25">
      <c r="A676" s="208"/>
      <c r="B676" s="158"/>
      <c r="C676" s="158"/>
      <c r="D676" s="40"/>
      <c r="E676" s="47" t="s">
        <v>249</v>
      </c>
      <c r="F676" s="40"/>
      <c r="G676" s="42"/>
      <c r="H676" s="137" t="s">
        <v>35</v>
      </c>
      <c r="I676" s="1588">
        <f ca="1">IFERROR(__xludf.DUMMYFUNCTION("IMPORTRANGE(""https://docs.google.com/spreadsheets/d/1eHaY18a8A9IcSdp1K8H6x8fbOy06t2VsZHhMHf-1x7Y/edit?usp=sharing"",""แผน!IO26"")"),0)</f>
        <v>0</v>
      </c>
      <c r="J676" s="184">
        <f ca="1">IFERROR(__xludf.DUMMYFUNCTION("IMPORTRANGE(""https://docs.google.com/spreadsheets/d/1tdoBKaGub7dwA3U6UFTqxio9LNnvDCQjHKmttSEBsFQ/edit?usp=sharing"",""จัดที่ดิน!BF26"")"),0)</f>
        <v>0</v>
      </c>
      <c r="K676" s="224">
        <f ca="1">IF(I676&gt;0,J676*100/I676,0)</f>
        <v>0</v>
      </c>
      <c r="L676" s="1359"/>
      <c r="M676" s="45"/>
      <c r="N676" s="409"/>
      <c r="O676" s="45"/>
      <c r="P676" s="45"/>
      <c r="Q676" s="45"/>
      <c r="R676" s="45"/>
      <c r="S676" s="409"/>
      <c r="T676" s="45"/>
      <c r="U676" s="45"/>
    </row>
    <row r="677" spans="1:21" ht="18.75" x14ac:dyDescent="0.25">
      <c r="A677" s="208"/>
      <c r="B677" s="158"/>
      <c r="C677" s="158"/>
      <c r="D677" s="40"/>
      <c r="E677" s="40"/>
      <c r="F677" s="40"/>
      <c r="G677" s="42"/>
      <c r="H677" s="137" t="s">
        <v>34</v>
      </c>
      <c r="I677" s="180"/>
      <c r="J677" s="184">
        <f ca="1">IFERROR(__xludf.DUMMYFUNCTION("IMPORTRANGE(""https://docs.google.com/spreadsheets/d/1tdoBKaGub7dwA3U6UFTqxio9LNnvDCQjHKmttSEBsFQ/edit?usp=sharing"",""จัดที่ดิน!BG26"")"),0)</f>
        <v>0</v>
      </c>
      <c r="K677" s="45"/>
      <c r="L677" s="1590"/>
      <c r="M677" s="45"/>
      <c r="N677" s="409"/>
      <c r="O677" s="45"/>
      <c r="P677" s="45"/>
      <c r="Q677" s="409"/>
      <c r="R677" s="45"/>
      <c r="S677" s="409"/>
      <c r="T677" s="45"/>
      <c r="U677" s="45"/>
    </row>
    <row r="678" spans="1:21" ht="18.75" x14ac:dyDescent="0.25">
      <c r="A678" s="208"/>
      <c r="B678" s="158"/>
      <c r="C678" s="158"/>
      <c r="D678" s="40"/>
      <c r="E678" s="40"/>
      <c r="F678" s="40"/>
      <c r="G678" s="42"/>
      <c r="H678" s="137" t="s">
        <v>46</v>
      </c>
      <c r="I678" s="1588">
        <f ca="1">IFERROR(__xludf.DUMMYFUNCTION("IMPORTRANGE(""https://docs.google.com/spreadsheets/d/1eHaY18a8A9IcSdp1K8H6x8fbOy06t2VsZHhMHf-1x7Y/edit?usp=sharing"",""แผน!IP26"")"),0)</f>
        <v>0</v>
      </c>
      <c r="J678" s="184">
        <f ca="1">IFERROR(__xludf.DUMMYFUNCTION("IMPORTRANGE(""https://docs.google.com/spreadsheets/d/1tdoBKaGub7dwA3U6UFTqxio9LNnvDCQjHKmttSEBsFQ/edit?usp=sharing"",""จัดที่ดิน!BH26"")"),0)</f>
        <v>0</v>
      </c>
      <c r="K678" s="224">
        <f ca="1">IF(I678&gt;0,J678*100/I678,0)</f>
        <v>0</v>
      </c>
      <c r="L678" s="1590"/>
      <c r="M678" s="45"/>
      <c r="N678" s="409"/>
      <c r="O678" s="45"/>
      <c r="P678" s="45"/>
      <c r="Q678" s="409"/>
      <c r="R678" s="45"/>
      <c r="S678" s="409"/>
      <c r="T678" s="45"/>
      <c r="U678" s="45"/>
    </row>
    <row r="679" spans="1:21" ht="18.75" x14ac:dyDescent="0.25">
      <c r="A679" s="208"/>
      <c r="B679" s="158"/>
      <c r="C679" s="158"/>
      <c r="D679" s="40"/>
      <c r="E679" s="47" t="s">
        <v>250</v>
      </c>
      <c r="F679" s="40"/>
      <c r="G679" s="42"/>
      <c r="H679" s="137" t="s">
        <v>35</v>
      </c>
      <c r="I679" s="1588">
        <f ca="1">IFERROR(__xludf.DUMMYFUNCTION("IMPORTRANGE(""https://docs.google.com/spreadsheets/d/1eHaY18a8A9IcSdp1K8H6x8fbOy06t2VsZHhMHf-1x7Y/edit?usp=sharing"",""แผน!IQ26"")"),0)</f>
        <v>0</v>
      </c>
      <c r="J679" s="184">
        <f ca="1">IFERROR(__xludf.DUMMYFUNCTION("IMPORTRANGE(""https://docs.google.com/spreadsheets/d/1tdoBKaGub7dwA3U6UFTqxio9LNnvDCQjHKmttSEBsFQ/edit?usp=sharing"",""จัดที่ดิน!BK26"")"),0)</f>
        <v>0</v>
      </c>
      <c r="K679" s="224">
        <f ca="1">IF(I679&gt;0,J679*100/I679,0)</f>
        <v>0</v>
      </c>
      <c r="L679" s="1359"/>
      <c r="M679" s="45"/>
      <c r="N679" s="409"/>
      <c r="O679" s="45"/>
      <c r="P679" s="45"/>
      <c r="Q679" s="45"/>
      <c r="R679" s="45"/>
      <c r="S679" s="409"/>
      <c r="T679" s="45"/>
      <c r="U679" s="45"/>
    </row>
    <row r="680" spans="1:21" ht="18.75" x14ac:dyDescent="0.25">
      <c r="A680" s="208"/>
      <c r="B680" s="158"/>
      <c r="C680" s="158"/>
      <c r="D680" s="40"/>
      <c r="E680" s="40"/>
      <c r="F680" s="40"/>
      <c r="G680" s="42"/>
      <c r="H680" s="137" t="s">
        <v>34</v>
      </c>
      <c r="I680" s="180"/>
      <c r="J680" s="184">
        <f ca="1">IFERROR(__xludf.DUMMYFUNCTION("IMPORTRANGE(""https://docs.google.com/spreadsheets/d/1tdoBKaGub7dwA3U6UFTqxio9LNnvDCQjHKmttSEBsFQ/edit?usp=sharing"",""จัดที่ดิน!BL26"")"),0)</f>
        <v>0</v>
      </c>
      <c r="K680" s="45"/>
      <c r="L680" s="1590"/>
      <c r="M680" s="45"/>
      <c r="N680" s="409"/>
      <c r="O680" s="45"/>
      <c r="P680" s="45"/>
      <c r="Q680" s="409"/>
      <c r="R680" s="45"/>
      <c r="S680" s="409"/>
      <c r="T680" s="45"/>
      <c r="U680" s="45"/>
    </row>
    <row r="681" spans="1:21" ht="18.75" x14ac:dyDescent="0.25">
      <c r="A681" s="208"/>
      <c r="B681" s="158"/>
      <c r="C681" s="158"/>
      <c r="D681" s="40"/>
      <c r="E681" s="40"/>
      <c r="F681" s="40"/>
      <c r="G681" s="42"/>
      <c r="H681" s="137" t="s">
        <v>46</v>
      </c>
      <c r="I681" s="1588">
        <f ca="1">IFERROR(__xludf.DUMMYFUNCTION("IMPORTRANGE(""https://docs.google.com/spreadsheets/d/1eHaY18a8A9IcSdp1K8H6x8fbOy06t2VsZHhMHf-1x7Y/edit?usp=sharing"",""แผน!IR26"")"),0)</f>
        <v>0</v>
      </c>
      <c r="J681" s="184">
        <f ca="1">IFERROR(__xludf.DUMMYFUNCTION("IMPORTRANGE(""https://docs.google.com/spreadsheets/d/1tdoBKaGub7dwA3U6UFTqxio9LNnvDCQjHKmttSEBsFQ/edit?usp=sharing"",""จัดที่ดิน!BM26"")"),0)</f>
        <v>0</v>
      </c>
      <c r="K681" s="224">
        <f ca="1">IF(I681&gt;0,J681*100/I681,0)</f>
        <v>0</v>
      </c>
      <c r="L681" s="1590"/>
      <c r="M681" s="45"/>
      <c r="N681" s="409"/>
      <c r="O681" s="45"/>
      <c r="P681" s="45"/>
      <c r="Q681" s="409"/>
      <c r="R681" s="45"/>
      <c r="S681" s="409"/>
      <c r="T681" s="45"/>
      <c r="U681" s="45"/>
    </row>
    <row r="682" spans="1:21" ht="19.5" x14ac:dyDescent="0.3">
      <c r="A682" s="208"/>
      <c r="B682" s="158"/>
      <c r="C682" s="158"/>
      <c r="D682" s="47" t="s">
        <v>251</v>
      </c>
      <c r="E682" s="40"/>
      <c r="F682" s="40"/>
      <c r="G682" s="42"/>
      <c r="H682" s="404" t="s">
        <v>46</v>
      </c>
      <c r="I682" s="1589">
        <f ca="1">IFERROR(__xludf.DUMMYFUNCTION("IMPORTRANGE(""https://docs.google.com/spreadsheets/d/1eHaY18a8A9IcSdp1K8H6x8fbOy06t2VsZHhMHf-1x7Y/edit?usp=sharing"",""แผน!IS26"")"),0)</f>
        <v>0</v>
      </c>
      <c r="J682" s="328">
        <f>J685+J688</f>
        <v>0</v>
      </c>
      <c r="K682" s="1390">
        <f ca="1">IF(I682&gt;0,J682*100/I682,0)</f>
        <v>0</v>
      </c>
      <c r="L682" s="1359"/>
      <c r="M682" s="45"/>
      <c r="N682" s="409"/>
      <c r="O682" s="45"/>
      <c r="P682" s="45"/>
      <c r="Q682" s="45"/>
      <c r="R682" s="45"/>
      <c r="S682" s="409"/>
      <c r="T682" s="45"/>
      <c r="U682" s="45"/>
    </row>
    <row r="683" spans="1:21" ht="18.75" x14ac:dyDescent="0.25">
      <c r="A683" s="208"/>
      <c r="B683" s="158"/>
      <c r="C683" s="158"/>
      <c r="D683" s="40"/>
      <c r="E683" s="47" t="s">
        <v>252</v>
      </c>
      <c r="F683" s="40"/>
      <c r="G683" s="42"/>
      <c r="H683" s="137" t="s">
        <v>35</v>
      </c>
      <c r="I683" s="180"/>
      <c r="J683" s="1395">
        <v>0</v>
      </c>
      <c r="K683" s="45"/>
      <c r="L683" s="1590"/>
      <c r="M683" s="45"/>
      <c r="N683" s="409"/>
      <c r="O683" s="45"/>
      <c r="P683" s="45"/>
      <c r="Q683" s="409"/>
      <c r="R683" s="45"/>
      <c r="S683" s="409"/>
      <c r="T683" s="45"/>
      <c r="U683" s="45"/>
    </row>
    <row r="684" spans="1:21" ht="18.75" x14ac:dyDescent="0.25">
      <c r="A684" s="208"/>
      <c r="B684" s="158"/>
      <c r="C684" s="158"/>
      <c r="D684" s="40"/>
      <c r="E684" s="40"/>
      <c r="F684" s="40"/>
      <c r="G684" s="42"/>
      <c r="H684" s="137" t="s">
        <v>34</v>
      </c>
      <c r="I684" s="180"/>
      <c r="J684" s="1395">
        <v>0</v>
      </c>
      <c r="K684" s="45"/>
      <c r="L684" s="1590"/>
      <c r="M684" s="45"/>
      <c r="N684" s="409"/>
      <c r="O684" s="45"/>
      <c r="P684" s="45"/>
      <c r="Q684" s="409"/>
      <c r="R684" s="45"/>
      <c r="S684" s="409"/>
      <c r="T684" s="45"/>
      <c r="U684" s="45"/>
    </row>
    <row r="685" spans="1:21" ht="18.75" x14ac:dyDescent="0.25">
      <c r="A685" s="208"/>
      <c r="B685" s="158"/>
      <c r="C685" s="158"/>
      <c r="D685" s="40"/>
      <c r="E685" s="40"/>
      <c r="F685" s="40"/>
      <c r="G685" s="42"/>
      <c r="H685" s="137" t="s">
        <v>46</v>
      </c>
      <c r="I685" s="180"/>
      <c r="J685" s="1395">
        <v>0</v>
      </c>
      <c r="K685" s="45"/>
      <c r="L685" s="1590"/>
      <c r="M685" s="45"/>
      <c r="N685" s="409"/>
      <c r="O685" s="45"/>
      <c r="P685" s="45"/>
      <c r="Q685" s="409"/>
      <c r="R685" s="45"/>
      <c r="S685" s="409"/>
      <c r="T685" s="45"/>
      <c r="U685" s="45"/>
    </row>
    <row r="686" spans="1:21" ht="18.75" x14ac:dyDescent="0.25">
      <c r="A686" s="208"/>
      <c r="B686" s="158"/>
      <c r="C686" s="158"/>
      <c r="D686" s="40"/>
      <c r="E686" s="47" t="s">
        <v>253</v>
      </c>
      <c r="F686" s="40"/>
      <c r="G686" s="42"/>
      <c r="H686" s="137" t="s">
        <v>35</v>
      </c>
      <c r="I686" s="180"/>
      <c r="J686" s="1395">
        <v>0</v>
      </c>
      <c r="K686" s="45"/>
      <c r="L686" s="1590"/>
      <c r="M686" s="45"/>
      <c r="N686" s="409"/>
      <c r="O686" s="45"/>
      <c r="P686" s="45"/>
      <c r="Q686" s="409"/>
      <c r="R686" s="45"/>
      <c r="S686" s="409"/>
      <c r="T686" s="45"/>
      <c r="U686" s="45"/>
    </row>
    <row r="687" spans="1:21" ht="18.75" x14ac:dyDescent="0.25">
      <c r="A687" s="208"/>
      <c r="B687" s="158"/>
      <c r="C687" s="158"/>
      <c r="D687" s="40"/>
      <c r="E687" s="40"/>
      <c r="F687" s="40"/>
      <c r="G687" s="42"/>
      <c r="H687" s="137" t="s">
        <v>34</v>
      </c>
      <c r="I687" s="180"/>
      <c r="J687" s="1395">
        <v>0</v>
      </c>
      <c r="K687" s="45"/>
      <c r="L687" s="1590"/>
      <c r="M687" s="45"/>
      <c r="N687" s="409"/>
      <c r="O687" s="45"/>
      <c r="P687" s="45"/>
      <c r="Q687" s="409"/>
      <c r="R687" s="45"/>
      <c r="S687" s="409"/>
      <c r="T687" s="45"/>
      <c r="U687" s="45"/>
    </row>
    <row r="688" spans="1:21" ht="19.5" x14ac:dyDescent="0.3">
      <c r="A688" s="249"/>
      <c r="B688" s="412" t="s">
        <v>254</v>
      </c>
      <c r="C688" s="250"/>
      <c r="D688" s="252"/>
      <c r="E688" s="252"/>
      <c r="F688" s="252"/>
      <c r="G688" s="253"/>
      <c r="H688" s="186" t="s">
        <v>46</v>
      </c>
      <c r="I688" s="330"/>
      <c r="J688" s="1541">
        <v>0</v>
      </c>
      <c r="K688" s="3"/>
      <c r="L688" s="1591"/>
      <c r="M688" s="3"/>
      <c r="N688" s="413"/>
      <c r="O688" s="3"/>
      <c r="P688" s="3"/>
      <c r="Q688" s="413"/>
      <c r="R688" s="3"/>
      <c r="S688" s="413"/>
      <c r="T688" s="3"/>
      <c r="U688" s="3"/>
    </row>
    <row r="689" spans="1:21" ht="19.5" x14ac:dyDescent="0.3">
      <c r="A689" s="387"/>
      <c r="B689" s="388" t="s">
        <v>255</v>
      </c>
      <c r="C689" s="387"/>
      <c r="D689" s="389"/>
      <c r="E689" s="389"/>
      <c r="F689" s="389"/>
      <c r="G689" s="390"/>
      <c r="H689" s="427" t="s">
        <v>35</v>
      </c>
      <c r="I689" s="1596">
        <f ca="1">I707</f>
        <v>110</v>
      </c>
      <c r="J689" s="1596">
        <f ca="1">J707</f>
        <v>0</v>
      </c>
      <c r="K689" s="1593">
        <f ca="1">IF(I689&gt;0,J689*100/I689,0)</f>
        <v>0</v>
      </c>
      <c r="L689" s="1581"/>
      <c r="M689" s="393"/>
      <c r="N689" s="393"/>
      <c r="O689" s="393"/>
      <c r="P689" s="393"/>
      <c r="Q689" s="393"/>
      <c r="R689" s="393"/>
      <c r="S689" s="393"/>
      <c r="T689" s="393"/>
      <c r="U689" s="393"/>
    </row>
    <row r="690" spans="1:21" ht="19.5" x14ac:dyDescent="0.3">
      <c r="A690" s="128"/>
      <c r="B690" s="158"/>
      <c r="C690" s="177" t="s">
        <v>18</v>
      </c>
      <c r="D690" s="1585" t="s">
        <v>19</v>
      </c>
      <c r="E690" s="1285"/>
      <c r="F690" s="1285"/>
      <c r="G690" s="1286"/>
      <c r="H690" s="221" t="s">
        <v>14</v>
      </c>
      <c r="I690" s="44"/>
      <c r="J690" s="44"/>
      <c r="K690" s="45"/>
      <c r="L690" s="1389">
        <f>L691+L692</f>
        <v>0</v>
      </c>
      <c r="M690" s="1390">
        <f>M691+M692</f>
        <v>0</v>
      </c>
      <c r="N690" s="1390">
        <f>N691+N692</f>
        <v>0</v>
      </c>
      <c r="O690" s="1390">
        <f>IF(L690&gt;0,N690*100/L690,0)</f>
        <v>0</v>
      </c>
      <c r="P690" s="1390">
        <f>IF(M690&gt;0,N690*100/M690,0)</f>
        <v>0</v>
      </c>
      <c r="Q690" s="1390">
        <f ca="1">Q691+Q692</f>
        <v>298240</v>
      </c>
      <c r="R690" s="1390">
        <f ca="1">R691+R692</f>
        <v>298240</v>
      </c>
      <c r="S690" s="1390">
        <f ca="1">S691+S692</f>
        <v>120590</v>
      </c>
      <c r="T690" s="1390">
        <f ca="1">IF(Q690&gt;0,S690*100/Q690,0)</f>
        <v>40.433878755364809</v>
      </c>
      <c r="U690" s="1390">
        <f ca="1">IF(R690&gt;0,S690*100/R690,0)</f>
        <v>40.433878755364809</v>
      </c>
    </row>
    <row r="691" spans="1:21" ht="18.75" x14ac:dyDescent="0.25">
      <c r="A691" s="128"/>
      <c r="B691" s="158"/>
      <c r="C691" s="158"/>
      <c r="D691" s="145"/>
      <c r="E691" s="156" t="s">
        <v>158</v>
      </c>
      <c r="F691" s="40"/>
      <c r="G691" s="42"/>
      <c r="H691" s="159" t="s">
        <v>14</v>
      </c>
      <c r="I691" s="44"/>
      <c r="J691" s="44"/>
      <c r="K691" s="45"/>
      <c r="L691" s="1358">
        <f>L694+L697</f>
        <v>0</v>
      </c>
      <c r="M691" s="83">
        <f>M694+M697</f>
        <v>0</v>
      </c>
      <c r="N691" s="83">
        <f>N694+N697</f>
        <v>0</v>
      </c>
      <c r="O691" s="83">
        <f>IF(L691&gt;0,N691*100/L691,0)</f>
        <v>0</v>
      </c>
      <c r="P691" s="83">
        <f>IF(M691&gt;0,N691*100/M691,0)</f>
        <v>0</v>
      </c>
      <c r="Q691" s="83">
        <f>Q694+Q697</f>
        <v>0</v>
      </c>
      <c r="R691" s="83">
        <f>R694+R697</f>
        <v>0</v>
      </c>
      <c r="S691" s="83">
        <f>S694+S697</f>
        <v>0</v>
      </c>
      <c r="T691" s="83">
        <f>IF(Q691&gt;0,S691*100/Q691,0)</f>
        <v>0</v>
      </c>
      <c r="U691" s="83">
        <f>IF(R691&gt;0,S691*100/R691,0)</f>
        <v>0</v>
      </c>
    </row>
    <row r="692" spans="1:21" ht="18.75" x14ac:dyDescent="0.25">
      <c r="A692" s="128"/>
      <c r="B692" s="158"/>
      <c r="C692" s="158"/>
      <c r="D692" s="145"/>
      <c r="E692" s="47" t="s">
        <v>159</v>
      </c>
      <c r="F692" s="40"/>
      <c r="G692" s="42"/>
      <c r="H692" s="134" t="s">
        <v>14</v>
      </c>
      <c r="I692" s="44"/>
      <c r="J692" s="44"/>
      <c r="K692" s="45"/>
      <c r="L692" s="1356">
        <f>L695+L698</f>
        <v>0</v>
      </c>
      <c r="M692" s="224">
        <f>M695+M698</f>
        <v>0</v>
      </c>
      <c r="N692" s="224">
        <f>N695+N698</f>
        <v>0</v>
      </c>
      <c r="O692" s="224">
        <f>IF(L692&gt;0,N692*100/L692,0)</f>
        <v>0</v>
      </c>
      <c r="P692" s="224">
        <f>IF(M692&gt;0,N692*100/M692,0)</f>
        <v>0</v>
      </c>
      <c r="Q692" s="224">
        <f ca="1">Q695+Q698</f>
        <v>298240</v>
      </c>
      <c r="R692" s="224">
        <f ca="1">R695+R698</f>
        <v>298240</v>
      </c>
      <c r="S692" s="224">
        <f ca="1">S695+S698</f>
        <v>120590</v>
      </c>
      <c r="T692" s="224">
        <f ca="1">IF(Q692&gt;0,S692*100/Q692,0)</f>
        <v>40.433878755364809</v>
      </c>
      <c r="U692" s="224">
        <f ca="1">IF(R692&gt;0,S692*100/R692,0)</f>
        <v>40.433878755364809</v>
      </c>
    </row>
    <row r="693" spans="1:21" ht="18.75" x14ac:dyDescent="0.25">
      <c r="A693" s="128"/>
      <c r="B693" s="158"/>
      <c r="C693" s="158"/>
      <c r="D693" s="41" t="s">
        <v>22</v>
      </c>
      <c r="E693" s="40"/>
      <c r="F693" s="40"/>
      <c r="G693" s="42"/>
      <c r="H693" s="134" t="s">
        <v>14</v>
      </c>
      <c r="I693" s="135"/>
      <c r="J693" s="135"/>
      <c r="K693" s="136"/>
      <c r="L693" s="1356">
        <f>L694+L695</f>
        <v>0</v>
      </c>
      <c r="M693" s="224">
        <f>M694+M695</f>
        <v>0</v>
      </c>
      <c r="N693" s="224">
        <f>N694+N695</f>
        <v>0</v>
      </c>
      <c r="O693" s="224">
        <f>IF(L693&gt;0,N693*100/L693,0)</f>
        <v>0</v>
      </c>
      <c r="P693" s="224">
        <f>IF(M693&gt;0,N693*100/M693,0)</f>
        <v>0</v>
      </c>
      <c r="Q693" s="224">
        <f ca="1">Q694+Q695</f>
        <v>298240</v>
      </c>
      <c r="R693" s="224">
        <f ca="1">R694+R695</f>
        <v>298240</v>
      </c>
      <c r="S693" s="224">
        <f ca="1">S694+S695</f>
        <v>120590</v>
      </c>
      <c r="T693" s="224">
        <f ca="1">IF(Q693&gt;0,S693*100/Q693,0)</f>
        <v>40.433878755364809</v>
      </c>
      <c r="U693" s="224">
        <f ca="1">IF(R693&gt;0,S693*100/R693,0)</f>
        <v>40.433878755364809</v>
      </c>
    </row>
    <row r="694" spans="1:21" ht="18.75" x14ac:dyDescent="0.25">
      <c r="A694" s="128"/>
      <c r="B694" s="158"/>
      <c r="C694" s="158"/>
      <c r="D694" s="145"/>
      <c r="E694" s="156" t="s">
        <v>158</v>
      </c>
      <c r="F694" s="40"/>
      <c r="G694" s="42"/>
      <c r="H694" s="159" t="s">
        <v>14</v>
      </c>
      <c r="I694" s="44"/>
      <c r="J694" s="44"/>
      <c r="K694" s="45"/>
      <c r="L694" s="1358">
        <v>0</v>
      </c>
      <c r="M694" s="83">
        <v>0</v>
      </c>
      <c r="N694" s="83">
        <v>0</v>
      </c>
      <c r="O694" s="83">
        <f>IF(L694&gt;0,N694*100/L694,0)</f>
        <v>0</v>
      </c>
      <c r="P694" s="83">
        <f>IF(M694&gt;0,N694*100/M694,0)</f>
        <v>0</v>
      </c>
      <c r="Q694" s="83">
        <v>0</v>
      </c>
      <c r="R694" s="83">
        <v>0</v>
      </c>
      <c r="S694" s="83">
        <v>0</v>
      </c>
      <c r="T694" s="83">
        <f>IF(Q694&gt;0,S694*100/Q694,0)</f>
        <v>0</v>
      </c>
      <c r="U694" s="83">
        <f>IF(R694&gt;0,S694*100/R694,0)</f>
        <v>0</v>
      </c>
    </row>
    <row r="695" spans="1:21" ht="18.75" x14ac:dyDescent="0.25">
      <c r="A695" s="128"/>
      <c r="B695" s="158"/>
      <c r="C695" s="158"/>
      <c r="D695" s="145"/>
      <c r="E695" s="47" t="s">
        <v>159</v>
      </c>
      <c r="F695" s="40"/>
      <c r="G695" s="42"/>
      <c r="H695" s="134" t="s">
        <v>14</v>
      </c>
      <c r="I695" s="44"/>
      <c r="J695" s="44"/>
      <c r="K695" s="45"/>
      <c r="L695" s="1356">
        <v>0</v>
      </c>
      <c r="M695" s="224">
        <v>0</v>
      </c>
      <c r="N695" s="224">
        <v>0</v>
      </c>
      <c r="O695" s="224">
        <f>IF(L695&gt;0,N695*100/L695,0)</f>
        <v>0</v>
      </c>
      <c r="P695" s="224">
        <f>IF(M695&gt;0,N695*100/M695,0)</f>
        <v>0</v>
      </c>
      <c r="Q695" s="224">
        <f ca="1">IFERROR(__xludf.DUMMYFUNCTION("IMPORTRANGE(""https://docs.google.com/spreadsheets/d/1ItG2mGa2ceCfYo0BwxsXqNm01IGEUdYcSSLTEv9YCik/edit?usp=sharing"",""เบิกจ่ายกองทุน!L26"")"),298240)</f>
        <v>298240</v>
      </c>
      <c r="R695" s="224">
        <f ca="1">IFERROR(__xludf.DUMMYFUNCTION("IMPORTRANGE(""https://docs.google.com/spreadsheets/d/1ItG2mGa2ceCfYo0BwxsXqNm01IGEUdYcSSLTEv9YCik/edit?usp=sharing"",""เบิกจ่ายกองทุน!M26"")"),298240)</f>
        <v>298240</v>
      </c>
      <c r="S695" s="224">
        <f ca="1">IFERROR(__xludf.DUMMYFUNCTION("IMPORTRANGE(""https://docs.google.com/spreadsheets/d/1ItG2mGa2ceCfYo0BwxsXqNm01IGEUdYcSSLTEv9YCik/edit?usp=sharing"",""เบิกจ่ายกองทุน!N26"")"),120590)</f>
        <v>120590</v>
      </c>
      <c r="T695" s="224">
        <f ca="1">IF(Q695&gt;0,S695*100/Q695,0)</f>
        <v>40.433878755364809</v>
      </c>
      <c r="U695" s="224">
        <f ca="1">IF(R695&gt;0,S695*100/R695,0)</f>
        <v>40.433878755364809</v>
      </c>
    </row>
    <row r="696" spans="1:21" ht="18.75" x14ac:dyDescent="0.25">
      <c r="A696" s="128"/>
      <c r="B696" s="158"/>
      <c r="C696" s="158"/>
      <c r="D696" s="41" t="s">
        <v>23</v>
      </c>
      <c r="E696" s="40"/>
      <c r="F696" s="40"/>
      <c r="G696" s="42"/>
      <c r="H696" s="137" t="s">
        <v>14</v>
      </c>
      <c r="I696" s="135"/>
      <c r="J696" s="135"/>
      <c r="K696" s="136"/>
      <c r="L696" s="1356">
        <f>L697+L698</f>
        <v>0</v>
      </c>
      <c r="M696" s="224">
        <f>M697+M698</f>
        <v>0</v>
      </c>
      <c r="N696" s="224">
        <f>N697+N698</f>
        <v>0</v>
      </c>
      <c r="O696" s="224">
        <f>IF(L696&gt;0,N696*100/L696,0)</f>
        <v>0</v>
      </c>
      <c r="P696" s="224">
        <f>IF(M696&gt;0,N696*100/M696,0)</f>
        <v>0</v>
      </c>
      <c r="Q696" s="224">
        <f>Q697+Q698</f>
        <v>0</v>
      </c>
      <c r="R696" s="224">
        <f>R697+R698</f>
        <v>0</v>
      </c>
      <c r="S696" s="224">
        <f>S697+S698</f>
        <v>0</v>
      </c>
      <c r="T696" s="224">
        <f>IF(Q696&gt;0,S696*100/Q696,0)</f>
        <v>0</v>
      </c>
      <c r="U696" s="224">
        <f>IF(R696&gt;0,S696*100/R696,0)</f>
        <v>0</v>
      </c>
    </row>
    <row r="697" spans="1:21" ht="18.75" x14ac:dyDescent="0.25">
      <c r="A697" s="128"/>
      <c r="B697" s="158"/>
      <c r="C697" s="158"/>
      <c r="D697" s="40"/>
      <c r="E697" s="156" t="s">
        <v>20</v>
      </c>
      <c r="F697" s="40"/>
      <c r="G697" s="42"/>
      <c r="H697" s="159" t="s">
        <v>14</v>
      </c>
      <c r="I697" s="135"/>
      <c r="J697" s="135"/>
      <c r="K697" s="136"/>
      <c r="L697" s="1358">
        <v>0</v>
      </c>
      <c r="M697" s="83">
        <v>0</v>
      </c>
      <c r="N697" s="83">
        <v>0</v>
      </c>
      <c r="O697" s="83">
        <f>IF(L697&gt;0,N697*100/L697,0)</f>
        <v>0</v>
      </c>
      <c r="P697" s="83">
        <f>IF(M697&gt;0,N697*100/M697,0)</f>
        <v>0</v>
      </c>
      <c r="Q697" s="83">
        <v>0</v>
      </c>
      <c r="R697" s="83">
        <v>0</v>
      </c>
      <c r="S697" s="83">
        <v>0</v>
      </c>
      <c r="T697" s="83">
        <f>IF(Q697&gt;0,S697*100/Q697,0)</f>
        <v>0</v>
      </c>
      <c r="U697" s="83">
        <f>IF(R697&gt;0,S697*100/R697,0)</f>
        <v>0</v>
      </c>
    </row>
    <row r="698" spans="1:21" ht="18.75" x14ac:dyDescent="0.25">
      <c r="A698" s="128"/>
      <c r="B698" s="158"/>
      <c r="C698" s="158"/>
      <c r="D698" s="40"/>
      <c r="E698" s="47" t="s">
        <v>21</v>
      </c>
      <c r="F698" s="40"/>
      <c r="G698" s="42"/>
      <c r="H698" s="137" t="s">
        <v>14</v>
      </c>
      <c r="I698" s="135"/>
      <c r="J698" s="135"/>
      <c r="K698" s="136"/>
      <c r="L698" s="1356">
        <v>0</v>
      </c>
      <c r="M698" s="224">
        <v>0</v>
      </c>
      <c r="N698" s="224">
        <v>0</v>
      </c>
      <c r="O698" s="224">
        <f>IF(L698&gt;0,N698*100/L698,0)</f>
        <v>0</v>
      </c>
      <c r="P698" s="224">
        <f>IF(M698&gt;0,N698*100/M698,0)</f>
        <v>0</v>
      </c>
      <c r="Q698" s="224">
        <v>0</v>
      </c>
      <c r="R698" s="224">
        <v>0</v>
      </c>
      <c r="S698" s="224">
        <v>0</v>
      </c>
      <c r="T698" s="224">
        <f>IF(Q698&gt;0,S698*100/Q698,0)</f>
        <v>0</v>
      </c>
      <c r="U698" s="224">
        <f>IF(R698&gt;0,S698*100/R698,0)</f>
        <v>0</v>
      </c>
    </row>
    <row r="699" spans="1:21" ht="19.5" x14ac:dyDescent="0.3">
      <c r="A699" s="138"/>
      <c r="B699" s="139"/>
      <c r="C699" s="177" t="s">
        <v>18</v>
      </c>
      <c r="D699" s="1391" t="s">
        <v>38</v>
      </c>
      <c r="E699" s="141"/>
      <c r="F699" s="141"/>
      <c r="G699" s="141"/>
      <c r="H699" s="178"/>
      <c r="I699" s="135"/>
      <c r="J699" s="135"/>
      <c r="K699" s="136"/>
      <c r="L699" s="1359"/>
      <c r="M699" s="45"/>
      <c r="N699" s="45"/>
      <c r="O699" s="45"/>
      <c r="P699" s="45"/>
      <c r="Q699" s="45"/>
      <c r="R699" s="45"/>
      <c r="S699" s="45"/>
      <c r="T699" s="45"/>
      <c r="U699" s="45"/>
    </row>
    <row r="700" spans="1:21" ht="18.75" x14ac:dyDescent="0.25">
      <c r="A700" s="208"/>
      <c r="B700" s="158"/>
      <c r="C700" s="158"/>
      <c r="D700" s="145"/>
      <c r="E700" s="144" t="s">
        <v>256</v>
      </c>
      <c r="F700" s="145"/>
      <c r="G700" s="143"/>
      <c r="H700" s="137" t="s">
        <v>257</v>
      </c>
      <c r="I700" s="184">
        <f ca="1">IFERROR(__xludf.DUMMYFUNCTION("IMPORTRANGE(""https://docs.google.com/spreadsheets/d/1eHaY18a8A9IcSdp1K8H6x8fbOy06t2VsZHhMHf-1x7Y/edit?usp=sharing"",""แผน!LC26"")"),4)</f>
        <v>4</v>
      </c>
      <c r="J700" s="1395">
        <v>0</v>
      </c>
      <c r="K700" s="1396">
        <f ca="1">IF(I700&gt;0,J700*100/I700,0)</f>
        <v>0</v>
      </c>
      <c r="L700" s="1392"/>
      <c r="M700" s="136"/>
      <c r="N700" s="45"/>
      <c r="O700" s="136"/>
      <c r="P700" s="136"/>
      <c r="Q700" s="136"/>
      <c r="R700" s="136"/>
      <c r="S700" s="45"/>
      <c r="T700" s="136"/>
      <c r="U700" s="136"/>
    </row>
    <row r="701" spans="1:21" ht="19.5" x14ac:dyDescent="0.3">
      <c r="A701" s="208"/>
      <c r="B701" s="158"/>
      <c r="C701" s="158"/>
      <c r="D701" s="145"/>
      <c r="E701" s="417" t="s">
        <v>258</v>
      </c>
      <c r="F701" s="145"/>
      <c r="G701" s="143"/>
      <c r="H701" s="131" t="s">
        <v>35</v>
      </c>
      <c r="I701" s="328">
        <f ca="1">I703+I705</f>
        <v>113</v>
      </c>
      <c r="J701" s="328">
        <f ca="1">J703+J705</f>
        <v>21</v>
      </c>
      <c r="K701" s="1390">
        <f ca="1">IF(I701&gt;0,J701*100/I701,0)</f>
        <v>18.584070796460178</v>
      </c>
      <c r="L701" s="1392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08"/>
      <c r="B702" s="158"/>
      <c r="C702" s="158"/>
      <c r="D702" s="145"/>
      <c r="E702" s="145"/>
      <c r="F702" s="145"/>
      <c r="G702" s="143"/>
      <c r="H702" s="131" t="s">
        <v>46</v>
      </c>
      <c r="I702" s="328">
        <v>0</v>
      </c>
      <c r="J702" s="328">
        <f ca="1">J704+J706</f>
        <v>18.690000000000001</v>
      </c>
      <c r="K702" s="1390">
        <f>IF(I702&gt;0,J702*100/I702,0)</f>
        <v>0</v>
      </c>
      <c r="L702" s="1392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08"/>
      <c r="B703" s="158"/>
      <c r="C703" s="158"/>
      <c r="D703" s="145"/>
      <c r="E703" s="145"/>
      <c r="F703" s="144" t="s">
        <v>259</v>
      </c>
      <c r="G703" s="143"/>
      <c r="H703" s="137" t="s">
        <v>35</v>
      </c>
      <c r="I703" s="184">
        <f ca="1">IFERROR(__xludf.DUMMYFUNCTION("IMPORTRANGE(""https://docs.google.com/spreadsheets/d/1eHaY18a8A9IcSdp1K8H6x8fbOy06t2VsZHhMHf-1x7Y/edit?usp=sharing"",""แผน!LJ26"")"),110)</f>
        <v>110</v>
      </c>
      <c r="J703" s="184">
        <f ca="1">IFERROR(__xludf.DUMMYFUNCTION("IMPORTRANGE(""https://docs.google.com/spreadsheets/d/1tdoBKaGub7dwA3U6UFTqxio9LNnvDCQjHKmttSEBsFQ/edit?usp=sharing"",""จัดที่ดิน!AP26"")"),21)</f>
        <v>21</v>
      </c>
      <c r="K703" s="224">
        <f ca="1">IF(I703&gt;0,J703*100/I703,0)</f>
        <v>19.09090909090909</v>
      </c>
      <c r="L703" s="1392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8"/>
      <c r="B704" s="158"/>
      <c r="C704" s="158"/>
      <c r="D704" s="145"/>
      <c r="E704" s="145"/>
      <c r="F704" s="145"/>
      <c r="G704" s="143"/>
      <c r="H704" s="137" t="s">
        <v>46</v>
      </c>
      <c r="I704" s="184">
        <v>0</v>
      </c>
      <c r="J704" s="184">
        <f ca="1">IFERROR(__xludf.DUMMYFUNCTION("IMPORTRANGE(""https://docs.google.com/spreadsheets/d/1tdoBKaGub7dwA3U6UFTqxio9LNnvDCQjHKmttSEBsFQ/edit?usp=sharing"",""จัดที่ดิน!AQ26"")"),18.69)</f>
        <v>18.690000000000001</v>
      </c>
      <c r="K704" s="224">
        <f>IF(I704&gt;0,J704*100/I704,0)</f>
        <v>0</v>
      </c>
      <c r="L704" s="1392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8"/>
      <c r="B705" s="158"/>
      <c r="C705" s="158"/>
      <c r="D705" s="145"/>
      <c r="E705" s="145"/>
      <c r="F705" s="144" t="s">
        <v>260</v>
      </c>
      <c r="G705" s="143"/>
      <c r="H705" s="137" t="s">
        <v>35</v>
      </c>
      <c r="I705" s="184">
        <f ca="1">IFERROR(__xludf.DUMMYFUNCTION("IMPORTRANGE(""https://docs.google.com/spreadsheets/d/1eHaY18a8A9IcSdp1K8H6x8fbOy06t2VsZHhMHf-1x7Y/edit?usp=sharing"",""แผน!LK26"")"),3)</f>
        <v>3</v>
      </c>
      <c r="J705" s="184">
        <f ca="1">IFERROR(__xludf.DUMMYFUNCTION("IMPORTRANGE(""https://docs.google.com/spreadsheets/d/1tdoBKaGub7dwA3U6UFTqxio9LNnvDCQjHKmttSEBsFQ/edit?usp=sharing"",""จัดที่ดิน!AR26"")"),0)</f>
        <v>0</v>
      </c>
      <c r="K705" s="1396">
        <f ca="1">IF(I705&gt;0,J705*100/I705,0)</f>
        <v>0</v>
      </c>
      <c r="L705" s="1392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8"/>
      <c r="B706" s="158"/>
      <c r="C706" s="158"/>
      <c r="D706" s="145"/>
      <c r="E706" s="145"/>
      <c r="F706" s="145"/>
      <c r="G706" s="143"/>
      <c r="H706" s="137" t="s">
        <v>46</v>
      </c>
      <c r="I706" s="184">
        <v>0</v>
      </c>
      <c r="J706" s="184">
        <f ca="1">IFERROR(__xludf.DUMMYFUNCTION("IMPORTRANGE(""https://docs.google.com/spreadsheets/d/1tdoBKaGub7dwA3U6UFTqxio9LNnvDCQjHKmttSEBsFQ/edit?usp=sharing"",""จัดที่ดิน!AS26"")"),0)</f>
        <v>0</v>
      </c>
      <c r="K706" s="224">
        <f>IF(I706&gt;0,J706*100/I706,0)</f>
        <v>0</v>
      </c>
      <c r="L706" s="1392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8"/>
      <c r="B707" s="158"/>
      <c r="C707" s="158"/>
      <c r="D707" s="145"/>
      <c r="E707" s="144" t="s">
        <v>261</v>
      </c>
      <c r="F707" s="145"/>
      <c r="G707" s="143"/>
      <c r="H707" s="134" t="s">
        <v>35</v>
      </c>
      <c r="I707" s="184">
        <f ca="1">IFERROR(__xludf.DUMMYFUNCTION("IMPORTRANGE(""https://docs.google.com/spreadsheets/d/1eHaY18a8A9IcSdp1K8H6x8fbOy06t2VsZHhMHf-1x7Y/edit?usp=sharing"",""แผน!LJ26"")"),110)</f>
        <v>110</v>
      </c>
      <c r="J707" s="184">
        <f ca="1">IFERROR(__xludf.DUMMYFUNCTION("IMPORTRANGE(""https://docs.google.com/spreadsheets/d/1tdoBKaGub7dwA3U6UFTqxio9LNnvDCQjHKmttSEBsFQ/edit?usp=sharing"",""จัดที่ดิน!BN26"")"),0)</f>
        <v>0</v>
      </c>
      <c r="K707" s="224">
        <f ca="1">IF(I707&gt;0,J707*100/I707,0)</f>
        <v>0</v>
      </c>
      <c r="L707" s="1392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8"/>
      <c r="B708" s="158"/>
      <c r="C708" s="158"/>
      <c r="D708" s="145"/>
      <c r="E708" s="418" t="s">
        <v>262</v>
      </c>
      <c r="F708" s="145"/>
      <c r="G708" s="143"/>
      <c r="H708" s="134" t="s">
        <v>46</v>
      </c>
      <c r="I708" s="184">
        <v>0</v>
      </c>
      <c r="J708" s="184">
        <f ca="1">IFERROR(__xludf.DUMMYFUNCTION("IMPORTRANGE(""https://docs.google.com/spreadsheets/d/1tdoBKaGub7dwA3U6UFTqxio9LNnvDCQjHKmttSEBsFQ/edit?usp=sharing"",""จัดที่ดิน!BO26"")"),0)</f>
        <v>0</v>
      </c>
      <c r="K708" s="224">
        <f>IF(I708&gt;0,J708*100/I708,0)</f>
        <v>0</v>
      </c>
      <c r="L708" s="1392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8"/>
      <c r="B709" s="158"/>
      <c r="C709" s="158"/>
      <c r="D709" s="40"/>
      <c r="E709" s="47" t="s">
        <v>263</v>
      </c>
      <c r="F709" s="40"/>
      <c r="G709" s="42"/>
      <c r="H709" s="175" t="s">
        <v>35</v>
      </c>
      <c r="I709" s="184">
        <f ca="1">IFERROR(__xludf.DUMMYFUNCTION("IMPORTRANGE(""https://docs.google.com/spreadsheets/d/1eHaY18a8A9IcSdp1K8H6x8fbOy06t2VsZHhMHf-1x7Y/edit?usp=sharing"",""แผน!LK26"")"),3)</f>
        <v>3</v>
      </c>
      <c r="J709" s="184">
        <f ca="1">IFERROR(__xludf.DUMMYFUNCTION("IMPORTRANGE(""https://docs.google.com/spreadsheets/d/1tdoBKaGub7dwA3U6UFTqxio9LNnvDCQjHKmttSEBsFQ/edit?usp=sharing"",""จัดที่ดิน!BP26"")"),2)</f>
        <v>2</v>
      </c>
      <c r="K709" s="224">
        <f ca="1">IF(I709&gt;0,J709*100/I709,0)</f>
        <v>66.666666666666671</v>
      </c>
      <c r="L709" s="1359"/>
      <c r="M709" s="45"/>
      <c r="N709" s="45"/>
      <c r="O709" s="45"/>
      <c r="P709" s="45"/>
      <c r="Q709" s="45"/>
      <c r="R709" s="45"/>
      <c r="S709" s="45"/>
      <c r="T709" s="45"/>
      <c r="U709" s="45"/>
    </row>
    <row r="710" spans="1:21" ht="18.75" x14ac:dyDescent="0.25">
      <c r="A710" s="208"/>
      <c r="B710" s="158"/>
      <c r="C710" s="158"/>
      <c r="D710" s="40"/>
      <c r="E710" s="418" t="s">
        <v>264</v>
      </c>
      <c r="F710" s="40"/>
      <c r="G710" s="42"/>
      <c r="H710" s="175" t="s">
        <v>46</v>
      </c>
      <c r="I710" s="184">
        <v>0</v>
      </c>
      <c r="J710" s="184">
        <f ca="1">IFERROR(__xludf.DUMMYFUNCTION("IMPORTRANGE(""https://docs.google.com/spreadsheets/d/1tdoBKaGub7dwA3U6UFTqxio9LNnvDCQjHKmttSEBsFQ/edit?usp=sharing"",""จัดที่ดิน!BQ26"")"),0)</f>
        <v>0</v>
      </c>
      <c r="K710" s="224">
        <f>IF(I710&gt;0,J710*100/I710,0)</f>
        <v>0</v>
      </c>
      <c r="L710" s="1359"/>
      <c r="M710" s="45"/>
      <c r="N710" s="45"/>
      <c r="O710" s="45"/>
      <c r="P710" s="45"/>
      <c r="Q710" s="45"/>
      <c r="R710" s="45"/>
      <c r="S710" s="45"/>
      <c r="T710" s="45"/>
      <c r="U710" s="45"/>
    </row>
    <row r="711" spans="1:21" ht="12.75" x14ac:dyDescent="0.2">
      <c r="A711" s="360"/>
      <c r="B711" s="316"/>
      <c r="C711" s="316"/>
      <c r="D711" s="361"/>
      <c r="E711" s="361"/>
      <c r="F711" s="361"/>
      <c r="G711" s="362"/>
      <c r="H711" s="317"/>
      <c r="I711" s="318"/>
      <c r="J711" s="318"/>
      <c r="K711" s="319"/>
      <c r="L711" s="1537"/>
      <c r="M711" s="319"/>
      <c r="N711" s="319"/>
      <c r="O711" s="319"/>
      <c r="P711" s="319"/>
      <c r="Q711" s="319"/>
      <c r="R711" s="319"/>
      <c r="S711" s="319"/>
      <c r="T711" s="319"/>
      <c r="U711" s="319"/>
    </row>
    <row r="712" spans="1:21" ht="19.5" x14ac:dyDescent="0.3">
      <c r="A712" s="387"/>
      <c r="B712" s="419" t="s">
        <v>265</v>
      </c>
      <c r="C712" s="387"/>
      <c r="D712" s="389"/>
      <c r="E712" s="389"/>
      <c r="F712" s="389"/>
      <c r="G712" s="390"/>
      <c r="H712" s="420" t="s">
        <v>46</v>
      </c>
      <c r="I712" s="392"/>
      <c r="J712" s="392">
        <f>J724</f>
        <v>0</v>
      </c>
      <c r="K712" s="1594">
        <f>IF(I712&gt;0,J712*100/I712,0)</f>
        <v>0</v>
      </c>
      <c r="L712" s="1581"/>
      <c r="M712" s="393"/>
      <c r="N712" s="393"/>
      <c r="O712" s="393"/>
      <c r="P712" s="393"/>
      <c r="Q712" s="393"/>
      <c r="R712" s="393"/>
      <c r="S712" s="393"/>
      <c r="T712" s="393"/>
      <c r="U712" s="393"/>
    </row>
    <row r="713" spans="1:21" ht="19.5" x14ac:dyDescent="0.3">
      <c r="A713" s="387"/>
      <c r="B713" s="419" t="s">
        <v>266</v>
      </c>
      <c r="C713" s="387"/>
      <c r="D713" s="389"/>
      <c r="E713" s="389"/>
      <c r="F713" s="389"/>
      <c r="G713" s="390"/>
      <c r="H713" s="391"/>
      <c r="I713" s="392"/>
      <c r="J713" s="392"/>
      <c r="K713" s="393"/>
      <c r="L713" s="1581"/>
      <c r="M713" s="393"/>
      <c r="N713" s="393"/>
      <c r="O713" s="393"/>
      <c r="P713" s="393"/>
      <c r="Q713" s="393"/>
      <c r="R713" s="393"/>
      <c r="S713" s="393"/>
      <c r="T713" s="393"/>
      <c r="U713" s="393"/>
    </row>
    <row r="714" spans="1:21" ht="19.5" x14ac:dyDescent="0.3">
      <c r="A714" s="128"/>
      <c r="B714" s="158"/>
      <c r="C714" s="314" t="s">
        <v>18</v>
      </c>
      <c r="D714" s="1569" t="s">
        <v>19</v>
      </c>
      <c r="E714" s="1285"/>
      <c r="F714" s="1285"/>
      <c r="G714" s="1286"/>
      <c r="H714" s="375" t="s">
        <v>14</v>
      </c>
      <c r="I714" s="44"/>
      <c r="J714" s="44"/>
      <c r="K714" s="45"/>
      <c r="L714" s="1389">
        <f>L715+L716</f>
        <v>0</v>
      </c>
      <c r="M714" s="1390">
        <f>M715+M716</f>
        <v>0</v>
      </c>
      <c r="N714" s="1390">
        <f>N715+N716</f>
        <v>0</v>
      </c>
      <c r="O714" s="1390">
        <f>IF(L714&gt;0,N714*100/L714,0)</f>
        <v>0</v>
      </c>
      <c r="P714" s="1390">
        <f>IF(M714&gt;0,N714*100/M714,0)</f>
        <v>0</v>
      </c>
      <c r="Q714" s="1390">
        <f>Q715+Q716</f>
        <v>0</v>
      </c>
      <c r="R714" s="1390">
        <f>R715+R716</f>
        <v>0</v>
      </c>
      <c r="S714" s="1390">
        <f>S715+S716</f>
        <v>0</v>
      </c>
      <c r="T714" s="1390">
        <f>IF(Q714&gt;0,S714*100/Q714,0)</f>
        <v>0</v>
      </c>
      <c r="U714" s="1390">
        <f>IF(R714&gt;0,S714*100/R714,0)</f>
        <v>0</v>
      </c>
    </row>
    <row r="715" spans="1:21" ht="18.75" x14ac:dyDescent="0.25">
      <c r="A715" s="128"/>
      <c r="B715" s="158"/>
      <c r="C715" s="158"/>
      <c r="D715" s="145"/>
      <c r="E715" s="156" t="s">
        <v>158</v>
      </c>
      <c r="F715" s="40"/>
      <c r="G715" s="42"/>
      <c r="H715" s="159" t="s">
        <v>14</v>
      </c>
      <c r="I715" s="44"/>
      <c r="J715" s="44"/>
      <c r="K715" s="45"/>
      <c r="L715" s="1358">
        <f>L718+L721</f>
        <v>0</v>
      </c>
      <c r="M715" s="83">
        <f>M718+M721</f>
        <v>0</v>
      </c>
      <c r="N715" s="83">
        <f>N718+N721</f>
        <v>0</v>
      </c>
      <c r="O715" s="83">
        <f>IF(L715&gt;0,N715*100/L715,0)</f>
        <v>0</v>
      </c>
      <c r="P715" s="83">
        <f>IF(M715&gt;0,N715*100/M715,0)</f>
        <v>0</v>
      </c>
      <c r="Q715" s="83">
        <f>Q718+Q721</f>
        <v>0</v>
      </c>
      <c r="R715" s="83">
        <f>R718+R721</f>
        <v>0</v>
      </c>
      <c r="S715" s="83">
        <f>S718+S721</f>
        <v>0</v>
      </c>
      <c r="T715" s="83">
        <f>IF(Q715&gt;0,S715*100/Q715,0)</f>
        <v>0</v>
      </c>
      <c r="U715" s="83">
        <f>IF(R715&gt;0,S715*100/R715,0)</f>
        <v>0</v>
      </c>
    </row>
    <row r="716" spans="1:21" ht="18.75" x14ac:dyDescent="0.25">
      <c r="A716" s="128"/>
      <c r="B716" s="158"/>
      <c r="C716" s="158"/>
      <c r="D716" s="145"/>
      <c r="E716" s="156" t="s">
        <v>159</v>
      </c>
      <c r="F716" s="40"/>
      <c r="G716" s="42"/>
      <c r="H716" s="159" t="s">
        <v>14</v>
      </c>
      <c r="I716" s="44"/>
      <c r="J716" s="44"/>
      <c r="K716" s="45"/>
      <c r="L716" s="1356">
        <f>L719+L722</f>
        <v>0</v>
      </c>
      <c r="M716" s="224">
        <f>M719+M722</f>
        <v>0</v>
      </c>
      <c r="N716" s="224">
        <f>N719+N722</f>
        <v>0</v>
      </c>
      <c r="O716" s="224">
        <f>IF(L716&gt;0,N716*100/L716,0)</f>
        <v>0</v>
      </c>
      <c r="P716" s="224">
        <f>IF(M716&gt;0,N716*100/M716,0)</f>
        <v>0</v>
      </c>
      <c r="Q716" s="224">
        <f>Q719+Q722</f>
        <v>0</v>
      </c>
      <c r="R716" s="224">
        <f>R719+R722</f>
        <v>0</v>
      </c>
      <c r="S716" s="224">
        <f>S719+S722</f>
        <v>0</v>
      </c>
      <c r="T716" s="224">
        <f>IF(Q716&gt;0,S716*100/Q716,0)</f>
        <v>0</v>
      </c>
      <c r="U716" s="224">
        <f>IF(R716&gt;0,S716*100/R716,0)</f>
        <v>0</v>
      </c>
    </row>
    <row r="717" spans="1:21" ht="19.5" x14ac:dyDescent="0.3">
      <c r="A717" s="128"/>
      <c r="B717" s="158"/>
      <c r="C717" s="158"/>
      <c r="D717" s="1434" t="s">
        <v>22</v>
      </c>
      <c r="E717" s="40"/>
      <c r="F717" s="40"/>
      <c r="G717" s="42"/>
      <c r="H717" s="375" t="s">
        <v>14</v>
      </c>
      <c r="I717" s="135"/>
      <c r="J717" s="135"/>
      <c r="K717" s="136"/>
      <c r="L717" s="1356">
        <f>L718+L719</f>
        <v>0</v>
      </c>
      <c r="M717" s="224">
        <f>M718+M719</f>
        <v>0</v>
      </c>
      <c r="N717" s="224">
        <f>N718+N719</f>
        <v>0</v>
      </c>
      <c r="O717" s="224">
        <f>IF(L717&gt;0,N717*100/L717,0)</f>
        <v>0</v>
      </c>
      <c r="P717" s="224">
        <f>IF(M717&gt;0,N717*100/M717,0)</f>
        <v>0</v>
      </c>
      <c r="Q717" s="224">
        <f>Q718+Q719</f>
        <v>0</v>
      </c>
      <c r="R717" s="224">
        <f>R718+R719</f>
        <v>0</v>
      </c>
      <c r="S717" s="224">
        <f>S718+S719</f>
        <v>0</v>
      </c>
      <c r="T717" s="224">
        <f>IF(Q717&gt;0,S717*100/Q717,0)</f>
        <v>0</v>
      </c>
      <c r="U717" s="224">
        <f>IF(R717&gt;0,S717*100/R717,0)</f>
        <v>0</v>
      </c>
    </row>
    <row r="718" spans="1:21" ht="18.75" x14ac:dyDescent="0.25">
      <c r="A718" s="128"/>
      <c r="B718" s="158"/>
      <c r="C718" s="158"/>
      <c r="D718" s="145"/>
      <c r="E718" s="156" t="s">
        <v>158</v>
      </c>
      <c r="F718" s="40"/>
      <c r="G718" s="42"/>
      <c r="H718" s="159" t="s">
        <v>14</v>
      </c>
      <c r="I718" s="44"/>
      <c r="J718" s="44"/>
      <c r="K718" s="45"/>
      <c r="L718" s="1358">
        <v>0</v>
      </c>
      <c r="M718" s="83">
        <v>0</v>
      </c>
      <c r="N718" s="83">
        <v>0</v>
      </c>
      <c r="O718" s="83">
        <f>IF(L718&gt;0,N718*100/L718,0)</f>
        <v>0</v>
      </c>
      <c r="P718" s="83">
        <f>IF(M718&gt;0,N718*100/M718,0)</f>
        <v>0</v>
      </c>
      <c r="Q718" s="83">
        <v>0</v>
      </c>
      <c r="R718" s="83">
        <v>0</v>
      </c>
      <c r="S718" s="83">
        <v>0</v>
      </c>
      <c r="T718" s="83">
        <f>IF(Q718&gt;0,S718*100/Q718,0)</f>
        <v>0</v>
      </c>
      <c r="U718" s="83">
        <f>IF(R718&gt;0,S718*100/R718,0)</f>
        <v>0</v>
      </c>
    </row>
    <row r="719" spans="1:21" ht="18.75" x14ac:dyDescent="0.25">
      <c r="A719" s="128"/>
      <c r="B719" s="158"/>
      <c r="C719" s="158"/>
      <c r="D719" s="145"/>
      <c r="E719" s="156" t="s">
        <v>159</v>
      </c>
      <c r="F719" s="40"/>
      <c r="G719" s="42"/>
      <c r="H719" s="159" t="s">
        <v>14</v>
      </c>
      <c r="I719" s="44"/>
      <c r="J719" s="44"/>
      <c r="K719" s="45"/>
      <c r="L719" s="1356">
        <v>0</v>
      </c>
      <c r="M719" s="224">
        <v>0</v>
      </c>
      <c r="N719" s="224">
        <v>0</v>
      </c>
      <c r="O719" s="224">
        <f>IF(L719&gt;0,N719*100/L719,0)</f>
        <v>0</v>
      </c>
      <c r="P719" s="224">
        <f>IF(M719&gt;0,N719*100/M719,0)</f>
        <v>0</v>
      </c>
      <c r="Q719" s="224">
        <v>0</v>
      </c>
      <c r="R719" s="224">
        <v>0</v>
      </c>
      <c r="S719" s="224">
        <v>0</v>
      </c>
      <c r="T719" s="224">
        <f>IF(Q719&gt;0,S719*100/Q719,0)</f>
        <v>0</v>
      </c>
      <c r="U719" s="224">
        <f>IF(R719&gt;0,S719*100/R719,0)</f>
        <v>0</v>
      </c>
    </row>
    <row r="720" spans="1:21" ht="19.5" x14ac:dyDescent="0.3">
      <c r="A720" s="128"/>
      <c r="B720" s="158"/>
      <c r="C720" s="158"/>
      <c r="D720" s="1434" t="s">
        <v>23</v>
      </c>
      <c r="E720" s="40"/>
      <c r="F720" s="40"/>
      <c r="G720" s="42"/>
      <c r="H720" s="377" t="s">
        <v>14</v>
      </c>
      <c r="I720" s="135"/>
      <c r="J720" s="135"/>
      <c r="K720" s="136"/>
      <c r="L720" s="1356">
        <f>L721+L722</f>
        <v>0</v>
      </c>
      <c r="M720" s="224">
        <f>M721+M722</f>
        <v>0</v>
      </c>
      <c r="N720" s="224">
        <f>N721+N722</f>
        <v>0</v>
      </c>
      <c r="O720" s="224">
        <f>IF(L720&gt;0,N720*100/L720,0)</f>
        <v>0</v>
      </c>
      <c r="P720" s="224">
        <f>IF(M720&gt;0,N720*100/M720,0)</f>
        <v>0</v>
      </c>
      <c r="Q720" s="224">
        <f>Q721+Q722</f>
        <v>0</v>
      </c>
      <c r="R720" s="224">
        <f>R721+R722</f>
        <v>0</v>
      </c>
      <c r="S720" s="224">
        <f>S721+S722</f>
        <v>0</v>
      </c>
      <c r="T720" s="224">
        <f>IF(Q720&gt;0,S720*100/Q720,0)</f>
        <v>0</v>
      </c>
      <c r="U720" s="224">
        <f>IF(R720&gt;0,S720*100/R720,0)</f>
        <v>0</v>
      </c>
    </row>
    <row r="721" spans="1:21" ht="18.75" x14ac:dyDescent="0.25">
      <c r="A721" s="128"/>
      <c r="B721" s="158"/>
      <c r="C721" s="158"/>
      <c r="D721" s="40"/>
      <c r="E721" s="156" t="s">
        <v>20</v>
      </c>
      <c r="F721" s="40"/>
      <c r="G721" s="42"/>
      <c r="H721" s="159" t="s">
        <v>14</v>
      </c>
      <c r="I721" s="135"/>
      <c r="J721" s="135"/>
      <c r="K721" s="136"/>
      <c r="L721" s="1358">
        <v>0</v>
      </c>
      <c r="M721" s="83">
        <v>0</v>
      </c>
      <c r="N721" s="83">
        <v>0</v>
      </c>
      <c r="O721" s="83">
        <f>IF(L721&gt;0,N721*100/L721,0)</f>
        <v>0</v>
      </c>
      <c r="P721" s="83">
        <f>IF(M721&gt;0,N721*100/M721,0)</f>
        <v>0</v>
      </c>
      <c r="Q721" s="83">
        <v>0</v>
      </c>
      <c r="R721" s="83">
        <v>0</v>
      </c>
      <c r="S721" s="83">
        <v>0</v>
      </c>
      <c r="T721" s="83">
        <f>IF(Q721&gt;0,S721*100/Q721,0)</f>
        <v>0</v>
      </c>
      <c r="U721" s="83">
        <f>IF(R721&gt;0,S721*100/R721,0)</f>
        <v>0</v>
      </c>
    </row>
    <row r="722" spans="1:21" ht="18.75" x14ac:dyDescent="0.25">
      <c r="A722" s="128"/>
      <c r="B722" s="158"/>
      <c r="C722" s="158"/>
      <c r="D722" s="40"/>
      <c r="E722" s="156" t="s">
        <v>21</v>
      </c>
      <c r="F722" s="40"/>
      <c r="G722" s="42"/>
      <c r="H722" s="378" t="s">
        <v>14</v>
      </c>
      <c r="I722" s="135"/>
      <c r="J722" s="135"/>
      <c r="K722" s="136"/>
      <c r="L722" s="1356">
        <v>0</v>
      </c>
      <c r="M722" s="224">
        <v>0</v>
      </c>
      <c r="N722" s="224">
        <v>0</v>
      </c>
      <c r="O722" s="224">
        <f>IF(L722&gt;0,N722*100/L722,0)</f>
        <v>0</v>
      </c>
      <c r="P722" s="224">
        <f>IF(M722&gt;0,N722*100/M722,0)</f>
        <v>0</v>
      </c>
      <c r="Q722" s="224">
        <v>0</v>
      </c>
      <c r="R722" s="224">
        <v>0</v>
      </c>
      <c r="S722" s="224">
        <v>0</v>
      </c>
      <c r="T722" s="224">
        <f>IF(Q722&gt;0,S722*100/Q722,0)</f>
        <v>0</v>
      </c>
      <c r="U722" s="224">
        <f>IF(R722&gt;0,S722*100/R722,0)</f>
        <v>0</v>
      </c>
    </row>
    <row r="723" spans="1:21" ht="19.5" x14ac:dyDescent="0.3">
      <c r="A723" s="138"/>
      <c r="B723" s="139"/>
      <c r="C723" s="314" t="s">
        <v>18</v>
      </c>
      <c r="D723" s="1595" t="s">
        <v>38</v>
      </c>
      <c r="E723" s="141"/>
      <c r="F723" s="141"/>
      <c r="G723" s="142"/>
      <c r="H723" s="178"/>
      <c r="I723" s="135"/>
      <c r="J723" s="135"/>
      <c r="K723" s="136"/>
      <c r="L723" s="1392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08"/>
      <c r="B724" s="158"/>
      <c r="C724" s="158"/>
      <c r="D724" s="40"/>
      <c r="E724" s="156" t="s">
        <v>267</v>
      </c>
      <c r="F724" s="40"/>
      <c r="G724" s="42"/>
      <c r="H724" s="159" t="s">
        <v>46</v>
      </c>
      <c r="I724" s="423">
        <v>0</v>
      </c>
      <c r="J724" s="44"/>
      <c r="K724" s="45"/>
      <c r="L724" s="1359"/>
      <c r="M724" s="45"/>
      <c r="N724" s="45"/>
      <c r="O724" s="45"/>
      <c r="P724" s="45"/>
      <c r="Q724" s="45"/>
      <c r="R724" s="45"/>
      <c r="S724" s="45"/>
      <c r="T724" s="45"/>
      <c r="U724" s="45"/>
    </row>
    <row r="725" spans="1:21" ht="18.75" x14ac:dyDescent="0.25">
      <c r="A725" s="329"/>
      <c r="B725" s="2"/>
      <c r="C725" s="2"/>
      <c r="D725" s="1"/>
      <c r="E725" s="424" t="s">
        <v>268</v>
      </c>
      <c r="F725" s="1"/>
      <c r="G725" s="52"/>
      <c r="H725" s="425" t="s">
        <v>46</v>
      </c>
      <c r="I725" s="426">
        <v>0</v>
      </c>
      <c r="J725" s="54"/>
      <c r="K725" s="3"/>
      <c r="L725" s="1360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9.5" x14ac:dyDescent="0.3">
      <c r="A726" s="387"/>
      <c r="B726" s="388" t="s">
        <v>269</v>
      </c>
      <c r="C726" s="387"/>
      <c r="D726" s="389"/>
      <c r="E726" s="389"/>
      <c r="F726" s="389"/>
      <c r="G726" s="390"/>
      <c r="H726" s="427" t="s">
        <v>35</v>
      </c>
      <c r="I726" s="1596">
        <f ca="1">IFERROR(__xludf.DUMMYFUNCTION("IMPORTRANGE(""https://docs.google.com/spreadsheets/d/1eHaY18a8A9IcSdp1K8H6x8fbOy06t2VsZHhMHf-1x7Y/edit?usp=sharing"",""แผน!GA26"")"),51)</f>
        <v>51</v>
      </c>
      <c r="J726" s="1596">
        <f>J742+J746+J749</f>
        <v>50</v>
      </c>
      <c r="K726" s="1593">
        <f ca="1">IF(I726&gt;0,J726*100/I726,0)</f>
        <v>98.039215686274517</v>
      </c>
      <c r="L726" s="1581"/>
      <c r="M726" s="393"/>
      <c r="N726" s="393"/>
      <c r="O726" s="393"/>
      <c r="P726" s="393"/>
      <c r="Q726" s="393"/>
      <c r="R726" s="393"/>
      <c r="S726" s="393"/>
      <c r="T726" s="393"/>
      <c r="U726" s="393"/>
    </row>
    <row r="727" spans="1:21" ht="19.5" x14ac:dyDescent="0.3">
      <c r="A727" s="429"/>
      <c r="B727" s="387"/>
      <c r="C727" s="387"/>
      <c r="D727" s="389"/>
      <c r="E727" s="389"/>
      <c r="F727" s="389"/>
      <c r="G727" s="390"/>
      <c r="H727" s="427" t="s">
        <v>46</v>
      </c>
      <c r="I727" s="1596">
        <f ca="1">IFERROR(__xludf.DUMMYFUNCTION("IMPORTRANGE(""https://docs.google.com/spreadsheets/d/1eHaY18a8A9IcSdp1K8H6x8fbOy06t2VsZHhMHf-1x7Y/edit?usp=sharing"",""แผน!FZ26"")"),500)</f>
        <v>500</v>
      </c>
      <c r="J727" s="1596">
        <f>J752+J755</f>
        <v>0</v>
      </c>
      <c r="K727" s="1593">
        <f ca="1">IF(I727&gt;0,J727*100/I727,0)</f>
        <v>0</v>
      </c>
      <c r="L727" s="1581"/>
      <c r="M727" s="393"/>
      <c r="N727" s="393"/>
      <c r="O727" s="393"/>
      <c r="P727" s="393"/>
      <c r="Q727" s="393"/>
      <c r="R727" s="393"/>
      <c r="S727" s="393"/>
      <c r="T727" s="393"/>
      <c r="U727" s="393"/>
    </row>
    <row r="728" spans="1:21" ht="19.5" x14ac:dyDescent="0.3">
      <c r="A728" s="128"/>
      <c r="B728" s="158"/>
      <c r="C728" s="177" t="s">
        <v>18</v>
      </c>
      <c r="D728" s="1585" t="s">
        <v>19</v>
      </c>
      <c r="E728" s="1285"/>
      <c r="F728" s="1285"/>
      <c r="G728" s="1286"/>
      <c r="H728" s="221" t="s">
        <v>14</v>
      </c>
      <c r="I728" s="44"/>
      <c r="J728" s="44"/>
      <c r="K728" s="45"/>
      <c r="L728" s="1389">
        <f>L729+L730</f>
        <v>0</v>
      </c>
      <c r="M728" s="1390">
        <f>M729+M730</f>
        <v>0</v>
      </c>
      <c r="N728" s="1390">
        <f>N729+N730</f>
        <v>0</v>
      </c>
      <c r="O728" s="1390">
        <f>IF(L728&gt;0,N728*100/L728,0)</f>
        <v>0</v>
      </c>
      <c r="P728" s="1390">
        <f>IF(M728&gt;0,N728*100/M728,0)</f>
        <v>0</v>
      </c>
      <c r="Q728" s="1390">
        <f ca="1">Q729+Q730</f>
        <v>379090</v>
      </c>
      <c r="R728" s="1390">
        <f ca="1">R729+R730</f>
        <v>379090</v>
      </c>
      <c r="S728" s="1390">
        <f ca="1">S729+S730</f>
        <v>60570</v>
      </c>
      <c r="T728" s="1390">
        <f ca="1">IF(Q728&gt;0,S728*100/Q728,0)</f>
        <v>15.977736157640665</v>
      </c>
      <c r="U728" s="1390">
        <f ca="1">IF(R728&gt;0,S728*100/R728,0)</f>
        <v>15.977736157640665</v>
      </c>
    </row>
    <row r="729" spans="1:21" ht="18.75" x14ac:dyDescent="0.25">
      <c r="A729" s="128"/>
      <c r="B729" s="158"/>
      <c r="C729" s="158"/>
      <c r="D729" s="145"/>
      <c r="E729" s="156" t="s">
        <v>158</v>
      </c>
      <c r="F729" s="40"/>
      <c r="G729" s="42"/>
      <c r="H729" s="159" t="s">
        <v>14</v>
      </c>
      <c r="I729" s="44"/>
      <c r="J729" s="44"/>
      <c r="K729" s="45"/>
      <c r="L729" s="1358">
        <f>L732+L735</f>
        <v>0</v>
      </c>
      <c r="M729" s="83">
        <f>M732+M735</f>
        <v>0</v>
      </c>
      <c r="N729" s="83">
        <f>N732+N735</f>
        <v>0</v>
      </c>
      <c r="O729" s="83">
        <f>IF(L729&gt;0,N729*100/L729,0)</f>
        <v>0</v>
      </c>
      <c r="P729" s="83">
        <f>IF(M729&gt;0,N729*100/M729,0)</f>
        <v>0</v>
      </c>
      <c r="Q729" s="83">
        <f>Q732+Q735</f>
        <v>0</v>
      </c>
      <c r="R729" s="83">
        <f>R732+R735</f>
        <v>0</v>
      </c>
      <c r="S729" s="83">
        <f>S732+S735</f>
        <v>0</v>
      </c>
      <c r="T729" s="83">
        <f>IF(Q729&gt;0,S729*100/Q729,0)</f>
        <v>0</v>
      </c>
      <c r="U729" s="83">
        <f>IF(R729&gt;0,S729*100/R729,0)</f>
        <v>0</v>
      </c>
    </row>
    <row r="730" spans="1:21" ht="18.75" x14ac:dyDescent="0.25">
      <c r="A730" s="128"/>
      <c r="B730" s="158"/>
      <c r="C730" s="158"/>
      <c r="D730" s="145"/>
      <c r="E730" s="47" t="s">
        <v>159</v>
      </c>
      <c r="F730" s="40"/>
      <c r="G730" s="42"/>
      <c r="H730" s="134" t="s">
        <v>14</v>
      </c>
      <c r="I730" s="44"/>
      <c r="J730" s="44"/>
      <c r="K730" s="45"/>
      <c r="L730" s="1356">
        <f>L733+L736</f>
        <v>0</v>
      </c>
      <c r="M730" s="224">
        <f>M733+M736</f>
        <v>0</v>
      </c>
      <c r="N730" s="224">
        <f>N733+N736</f>
        <v>0</v>
      </c>
      <c r="O730" s="224">
        <f>IF(L730&gt;0,N730*100/L730,0)</f>
        <v>0</v>
      </c>
      <c r="P730" s="224">
        <f>IF(M730&gt;0,N730*100/M730,0)</f>
        <v>0</v>
      </c>
      <c r="Q730" s="224">
        <f ca="1">Q733+Q736</f>
        <v>379090</v>
      </c>
      <c r="R730" s="224">
        <f ca="1">R733+R736</f>
        <v>379090</v>
      </c>
      <c r="S730" s="224">
        <f ca="1">S733+S736</f>
        <v>60570</v>
      </c>
      <c r="T730" s="224">
        <f ca="1">IF(Q730&gt;0,S730*100/Q730,0)</f>
        <v>15.977736157640665</v>
      </c>
      <c r="U730" s="224">
        <f ca="1">IF(R730&gt;0,S730*100/R730,0)</f>
        <v>15.977736157640665</v>
      </c>
    </row>
    <row r="731" spans="1:21" ht="18.75" x14ac:dyDescent="0.25">
      <c r="A731" s="128"/>
      <c r="B731" s="158"/>
      <c r="C731" s="158"/>
      <c r="D731" s="41" t="s">
        <v>22</v>
      </c>
      <c r="E731" s="40"/>
      <c r="F731" s="40"/>
      <c r="G731" s="42"/>
      <c r="H731" s="134" t="s">
        <v>14</v>
      </c>
      <c r="I731" s="135"/>
      <c r="J731" s="135"/>
      <c r="K731" s="136"/>
      <c r="L731" s="1356">
        <f>L732+L733</f>
        <v>0</v>
      </c>
      <c r="M731" s="224">
        <f>M732+M733</f>
        <v>0</v>
      </c>
      <c r="N731" s="224">
        <f>N732+N733</f>
        <v>0</v>
      </c>
      <c r="O731" s="224">
        <f>IF(L731&gt;0,N731*100/L731,0)</f>
        <v>0</v>
      </c>
      <c r="P731" s="224">
        <f>IF(M731&gt;0,N731*100/M731,0)</f>
        <v>0</v>
      </c>
      <c r="Q731" s="224">
        <f ca="1">Q732+Q733</f>
        <v>379090</v>
      </c>
      <c r="R731" s="224">
        <f ca="1">R732+R733</f>
        <v>379090</v>
      </c>
      <c r="S731" s="224">
        <f ca="1">S732+S733</f>
        <v>60570</v>
      </c>
      <c r="T731" s="224">
        <f ca="1">IF(Q731&gt;0,S731*100/Q731,0)</f>
        <v>15.977736157640665</v>
      </c>
      <c r="U731" s="224">
        <f ca="1">IF(R731&gt;0,S731*100/R731,0)</f>
        <v>15.977736157640665</v>
      </c>
    </row>
    <row r="732" spans="1:21" ht="18.75" x14ac:dyDescent="0.25">
      <c r="A732" s="128"/>
      <c r="B732" s="158"/>
      <c r="C732" s="158"/>
      <c r="D732" s="145"/>
      <c r="E732" s="156" t="s">
        <v>158</v>
      </c>
      <c r="F732" s="40"/>
      <c r="G732" s="42"/>
      <c r="H732" s="159" t="s">
        <v>14</v>
      </c>
      <c r="I732" s="44"/>
      <c r="J732" s="44"/>
      <c r="K732" s="45"/>
      <c r="L732" s="1358">
        <v>0</v>
      </c>
      <c r="M732" s="83">
        <v>0</v>
      </c>
      <c r="N732" s="83">
        <v>0</v>
      </c>
      <c r="O732" s="83">
        <f>IF(L732&gt;0,N732*100/L732,0)</f>
        <v>0</v>
      </c>
      <c r="P732" s="83">
        <f>IF(M732&gt;0,N732*100/M732,0)</f>
        <v>0</v>
      </c>
      <c r="Q732" s="83">
        <v>0</v>
      </c>
      <c r="R732" s="83">
        <v>0</v>
      </c>
      <c r="S732" s="83">
        <v>0</v>
      </c>
      <c r="T732" s="83">
        <f>IF(Q732&gt;0,S732*100/Q732,0)</f>
        <v>0</v>
      </c>
      <c r="U732" s="83">
        <f>IF(R732&gt;0,S732*100/R732,0)</f>
        <v>0</v>
      </c>
    </row>
    <row r="733" spans="1:21" ht="18.75" x14ac:dyDescent="0.25">
      <c r="A733" s="128"/>
      <c r="B733" s="158"/>
      <c r="C733" s="158"/>
      <c r="D733" s="145"/>
      <c r="E733" s="47" t="s">
        <v>159</v>
      </c>
      <c r="F733" s="40"/>
      <c r="G733" s="42"/>
      <c r="H733" s="134" t="s">
        <v>14</v>
      </c>
      <c r="I733" s="44"/>
      <c r="J733" s="44"/>
      <c r="K733" s="45"/>
      <c r="L733" s="1356">
        <v>0</v>
      </c>
      <c r="M733" s="224">
        <v>0</v>
      </c>
      <c r="N733" s="224">
        <v>0</v>
      </c>
      <c r="O733" s="224">
        <f>IF(L733&gt;0,N733*100/L733,0)</f>
        <v>0</v>
      </c>
      <c r="P733" s="224">
        <f>IF(M733&gt;0,N733*100/M733,0)</f>
        <v>0</v>
      </c>
      <c r="Q733" s="224">
        <f ca="1">IFERROR(__xludf.DUMMYFUNCTION("IMPORTRANGE(""https://docs.google.com/spreadsheets/d/1ItG2mGa2ceCfYo0BwxsXqNm01IGEUdYcSSLTEv9YCik/edit?usp=sharing"",""เบิกจ่ายกองทุน!O26"")"),379090)</f>
        <v>379090</v>
      </c>
      <c r="R733" s="224">
        <f ca="1">IFERROR(__xludf.DUMMYFUNCTION("IMPORTRANGE(""https://docs.google.com/spreadsheets/d/1ItG2mGa2ceCfYo0BwxsXqNm01IGEUdYcSSLTEv9YCik/edit?usp=sharing"",""เบิกจ่ายกองทุน!P26"")"),379090)</f>
        <v>379090</v>
      </c>
      <c r="S733" s="224">
        <f ca="1">IFERROR(__xludf.DUMMYFUNCTION("IMPORTRANGE(""https://docs.google.com/spreadsheets/d/1ItG2mGa2ceCfYo0BwxsXqNm01IGEUdYcSSLTEv9YCik/edit?usp=sharing"",""เบิกจ่ายกองทุน!Q26"")"),60570)</f>
        <v>60570</v>
      </c>
      <c r="T733" s="224">
        <f ca="1">IF(Q733&gt;0,S733*100/Q733,0)</f>
        <v>15.977736157640665</v>
      </c>
      <c r="U733" s="224">
        <f ca="1">IF(R733&gt;0,S733*100/R733,0)</f>
        <v>15.977736157640665</v>
      </c>
    </row>
    <row r="734" spans="1:21" ht="18.75" x14ac:dyDescent="0.25">
      <c r="A734" s="128"/>
      <c r="B734" s="158"/>
      <c r="C734" s="158"/>
      <c r="D734" s="41" t="s">
        <v>23</v>
      </c>
      <c r="E734" s="158"/>
      <c r="F734" s="158"/>
      <c r="G734" s="42"/>
      <c r="H734" s="137" t="s">
        <v>14</v>
      </c>
      <c r="I734" s="135"/>
      <c r="J734" s="135"/>
      <c r="K734" s="136"/>
      <c r="L734" s="1356">
        <f>L735+L736</f>
        <v>0</v>
      </c>
      <c r="M734" s="224">
        <f>M735+M736</f>
        <v>0</v>
      </c>
      <c r="N734" s="224">
        <f>N735+N736</f>
        <v>0</v>
      </c>
      <c r="O734" s="224">
        <f>IF(L734&gt;0,N734*100/L734,0)</f>
        <v>0</v>
      </c>
      <c r="P734" s="224">
        <f>IF(M734&gt;0,N734*100/M734,0)</f>
        <v>0</v>
      </c>
      <c r="Q734" s="224">
        <f>Q735+Q736</f>
        <v>0</v>
      </c>
      <c r="R734" s="224">
        <f>R735+R736</f>
        <v>0</v>
      </c>
      <c r="S734" s="224">
        <f>S735+S736</f>
        <v>0</v>
      </c>
      <c r="T734" s="224">
        <f>IF(Q734&gt;0,S734*100/Q734,0)</f>
        <v>0</v>
      </c>
      <c r="U734" s="224">
        <f>IF(R734&gt;0,S734*100/R734,0)</f>
        <v>0</v>
      </c>
    </row>
    <row r="735" spans="1:21" ht="18.75" x14ac:dyDescent="0.25">
      <c r="A735" s="128"/>
      <c r="B735" s="158"/>
      <c r="C735" s="158"/>
      <c r="D735" s="158"/>
      <c r="E735" s="314" t="s">
        <v>20</v>
      </c>
      <c r="F735" s="158"/>
      <c r="G735" s="42"/>
      <c r="H735" s="159" t="s">
        <v>14</v>
      </c>
      <c r="I735" s="135"/>
      <c r="J735" s="135"/>
      <c r="K735" s="136"/>
      <c r="L735" s="1358">
        <v>0</v>
      </c>
      <c r="M735" s="83">
        <v>0</v>
      </c>
      <c r="N735" s="83">
        <v>0</v>
      </c>
      <c r="O735" s="83">
        <f>IF(L735&gt;0,N735*100/L735,0)</f>
        <v>0</v>
      </c>
      <c r="P735" s="83">
        <f>IF(M735&gt;0,N735*100/M735,0)</f>
        <v>0</v>
      </c>
      <c r="Q735" s="83">
        <v>0</v>
      </c>
      <c r="R735" s="83">
        <v>0</v>
      </c>
      <c r="S735" s="83">
        <v>0</v>
      </c>
      <c r="T735" s="83">
        <f>IF(Q735&gt;0,S735*100/Q735,0)</f>
        <v>0</v>
      </c>
      <c r="U735" s="83">
        <f>IF(R735&gt;0,S735*100/R735,0)</f>
        <v>0</v>
      </c>
    </row>
    <row r="736" spans="1:21" ht="18.75" x14ac:dyDescent="0.25">
      <c r="A736" s="128"/>
      <c r="B736" s="158"/>
      <c r="C736" s="158"/>
      <c r="D736" s="158"/>
      <c r="E736" s="209" t="s">
        <v>21</v>
      </c>
      <c r="F736" s="158"/>
      <c r="G736" s="42"/>
      <c r="H736" s="137" t="s">
        <v>14</v>
      </c>
      <c r="I736" s="135"/>
      <c r="J736" s="135"/>
      <c r="K736" s="136"/>
      <c r="L736" s="1356">
        <v>0</v>
      </c>
      <c r="M736" s="224">
        <v>0</v>
      </c>
      <c r="N736" s="224">
        <v>0</v>
      </c>
      <c r="O736" s="224">
        <f>IF(L736&gt;0,N736*100/L736,0)</f>
        <v>0</v>
      </c>
      <c r="P736" s="224">
        <f>IF(M736&gt;0,N736*100/M736,0)</f>
        <v>0</v>
      </c>
      <c r="Q736" s="224">
        <v>0</v>
      </c>
      <c r="R736" s="224">
        <v>0</v>
      </c>
      <c r="S736" s="224">
        <v>0</v>
      </c>
      <c r="T736" s="224">
        <f>IF(Q736&gt;0,S736*100/Q736,0)</f>
        <v>0</v>
      </c>
      <c r="U736" s="224">
        <f>IF(R736&gt;0,S736*100/R736,0)</f>
        <v>0</v>
      </c>
    </row>
    <row r="737" spans="1:21" ht="19.5" x14ac:dyDescent="0.3">
      <c r="A737" s="138"/>
      <c r="B737" s="139"/>
      <c r="C737" s="177" t="s">
        <v>18</v>
      </c>
      <c r="D737" s="1535" t="s">
        <v>38</v>
      </c>
      <c r="E737" s="203"/>
      <c r="F737" s="141"/>
      <c r="G737" s="142"/>
      <c r="H737" s="178"/>
      <c r="I737" s="44"/>
      <c r="J737" s="44"/>
      <c r="K737" s="45"/>
      <c r="L737" s="1359"/>
      <c r="M737" s="45"/>
      <c r="N737" s="45"/>
      <c r="O737" s="45"/>
      <c r="P737" s="45"/>
      <c r="Q737" s="45"/>
      <c r="R737" s="45"/>
      <c r="S737" s="45"/>
      <c r="T737" s="45"/>
      <c r="U737" s="45"/>
    </row>
    <row r="738" spans="1:21" ht="19.5" x14ac:dyDescent="0.3">
      <c r="A738" s="138"/>
      <c r="B738" s="139"/>
      <c r="C738" s="139"/>
      <c r="D738" s="430" t="s">
        <v>121</v>
      </c>
      <c r="E738" s="139"/>
      <c r="F738" s="139"/>
      <c r="G738" s="143"/>
      <c r="H738" s="180"/>
      <c r="I738" s="44"/>
      <c r="J738" s="44"/>
      <c r="K738" s="45"/>
      <c r="L738" s="1359"/>
      <c r="M738" s="45"/>
      <c r="N738" s="45"/>
      <c r="O738" s="45"/>
      <c r="P738" s="45"/>
      <c r="Q738" s="45"/>
      <c r="R738" s="45"/>
      <c r="S738" s="45"/>
      <c r="T738" s="45"/>
      <c r="U738" s="45"/>
    </row>
    <row r="739" spans="1:21" ht="18.75" x14ac:dyDescent="0.25">
      <c r="A739" s="138"/>
      <c r="B739" s="139"/>
      <c r="C739" s="139"/>
      <c r="D739" s="139"/>
      <c r="E739" s="403" t="s">
        <v>270</v>
      </c>
      <c r="F739" s="139"/>
      <c r="G739" s="143"/>
      <c r="H739" s="180"/>
      <c r="I739" s="44"/>
      <c r="J739" s="44"/>
      <c r="K739" s="45"/>
      <c r="L739" s="1359"/>
      <c r="M739" s="45"/>
      <c r="N739" s="45"/>
      <c r="O739" s="45"/>
      <c r="P739" s="45"/>
      <c r="Q739" s="45"/>
      <c r="R739" s="45"/>
      <c r="S739" s="45"/>
      <c r="T739" s="45"/>
      <c r="U739" s="45"/>
    </row>
    <row r="740" spans="1:21" ht="18.75" x14ac:dyDescent="0.25">
      <c r="A740" s="138"/>
      <c r="B740" s="139"/>
      <c r="C740" s="139"/>
      <c r="D740" s="139"/>
      <c r="E740" s="139"/>
      <c r="F740" s="403" t="s">
        <v>271</v>
      </c>
      <c r="G740" s="143"/>
      <c r="H740" s="133" t="s">
        <v>46</v>
      </c>
      <c r="I740" s="184">
        <f ca="1">IFERROR(__xludf.DUMMYFUNCTION("IMPORTRANGE(""https://docs.google.com/spreadsheets/d/1eHaY18a8A9IcSdp1K8H6x8fbOy06t2VsZHhMHf-1x7Y/edit?usp=sharing"",""แผน!GB26"")"),400)</f>
        <v>400</v>
      </c>
      <c r="J740" s="1395">
        <v>400</v>
      </c>
      <c r="K740" s="224">
        <f ca="1">IF(I740&gt;0,J740*100/I740,0)</f>
        <v>100</v>
      </c>
      <c r="L740" s="1359"/>
      <c r="M740" s="45"/>
      <c r="N740" s="45"/>
      <c r="O740" s="45"/>
      <c r="P740" s="45"/>
      <c r="Q740" s="45"/>
      <c r="R740" s="45"/>
      <c r="S740" s="45"/>
      <c r="T740" s="45"/>
      <c r="U740" s="45"/>
    </row>
    <row r="741" spans="1:21" ht="18.75" x14ac:dyDescent="0.25">
      <c r="A741" s="1484"/>
      <c r="B741" s="1485"/>
      <c r="C741" s="1485"/>
      <c r="D741" s="1485"/>
      <c r="E741" s="1485"/>
      <c r="F741" s="1597" t="s">
        <v>334</v>
      </c>
      <c r="G741" s="1487"/>
      <c r="H741" s="1474" t="s">
        <v>35</v>
      </c>
      <c r="I741" s="1464"/>
      <c r="J741" s="1599">
        <v>65</v>
      </c>
      <c r="K741" s="1465"/>
      <c r="L741" s="1600"/>
      <c r="M741" s="1465"/>
      <c r="N741" s="1465"/>
      <c r="O741" s="1465"/>
      <c r="P741" s="1465"/>
      <c r="Q741" s="1465"/>
      <c r="R741" s="1465"/>
      <c r="S741" s="1465"/>
      <c r="T741" s="1465"/>
      <c r="U741" s="1465"/>
    </row>
    <row r="742" spans="1:21" ht="18.75" x14ac:dyDescent="0.25">
      <c r="A742" s="1484"/>
      <c r="B742" s="1485"/>
      <c r="C742" s="1485"/>
      <c r="D742" s="1485"/>
      <c r="E742" s="1485"/>
      <c r="F742" s="1597" t="s">
        <v>335</v>
      </c>
      <c r="G742" s="1487"/>
      <c r="H742" s="1474" t="s">
        <v>35</v>
      </c>
      <c r="I742" s="1598">
        <f ca="1">IFERROR(__xludf.DUMMYFUNCTION("IMPORTRANGE(""https://docs.google.com/spreadsheets/d/1eHaY18a8A9IcSdp1K8H6x8fbOy06t2VsZHhMHf-1x7Y/edit?usp=sharing"",""แผน!GC26"")"),40)</f>
        <v>40</v>
      </c>
      <c r="J742" s="1599">
        <v>40</v>
      </c>
      <c r="K742" s="1476">
        <f ca="1">IF(I742&gt;0,J742*100/I742,0)</f>
        <v>100</v>
      </c>
      <c r="L742" s="1600"/>
      <c r="M742" s="1465"/>
      <c r="N742" s="1465"/>
      <c r="O742" s="1465"/>
      <c r="P742" s="1465"/>
      <c r="Q742" s="1465"/>
      <c r="R742" s="1465"/>
      <c r="S742" s="1465"/>
      <c r="T742" s="1465"/>
      <c r="U742" s="1465"/>
    </row>
    <row r="743" spans="1:21" ht="18.75" x14ac:dyDescent="0.25">
      <c r="A743" s="1484"/>
      <c r="B743" s="1485"/>
      <c r="C743" s="1485"/>
      <c r="D743" s="1485"/>
      <c r="E743" s="1597" t="s">
        <v>274</v>
      </c>
      <c r="F743" s="1485"/>
      <c r="G743" s="1487"/>
      <c r="H743" s="1601"/>
      <c r="I743" s="1464"/>
      <c r="J743" s="1464"/>
      <c r="K743" s="1465"/>
      <c r="L743" s="1600"/>
      <c r="M743" s="1465"/>
      <c r="N743" s="1465"/>
      <c r="O743" s="1465"/>
      <c r="P743" s="1465"/>
      <c r="Q743" s="1465"/>
      <c r="R743" s="1465"/>
      <c r="S743" s="1465"/>
      <c r="T743" s="1465"/>
      <c r="U743" s="1465"/>
    </row>
    <row r="744" spans="1:21" ht="18.75" x14ac:dyDescent="0.25">
      <c r="A744" s="1484"/>
      <c r="B744" s="1485"/>
      <c r="C744" s="1485"/>
      <c r="D744" s="1485"/>
      <c r="E744" s="1485"/>
      <c r="F744" s="1597" t="s">
        <v>271</v>
      </c>
      <c r="G744" s="1487"/>
      <c r="H744" s="1474" t="s">
        <v>46</v>
      </c>
      <c r="I744" s="1598">
        <f ca="1">IFERROR(__xludf.DUMMYFUNCTION("IMPORTRANGE(""https://docs.google.com/spreadsheets/d/1eHaY18a8A9IcSdp1K8H6x8fbOy06t2VsZHhMHf-1x7Y/edit?usp=sharing"",""แผน!GD26"")"),100)</f>
        <v>100</v>
      </c>
      <c r="J744" s="1599">
        <v>100</v>
      </c>
      <c r="K744" s="1476">
        <f ca="1">IF(I744&gt;0,J744*100/I744,0)</f>
        <v>100</v>
      </c>
      <c r="L744" s="1600"/>
      <c r="M744" s="1465"/>
      <c r="N744" s="1465"/>
      <c r="O744" s="1465"/>
      <c r="P744" s="1465"/>
      <c r="Q744" s="1465"/>
      <c r="R744" s="1465"/>
      <c r="S744" s="1465"/>
      <c r="T744" s="1465"/>
      <c r="U744" s="1465"/>
    </row>
    <row r="745" spans="1:21" ht="18.75" x14ac:dyDescent="0.25">
      <c r="A745" s="1484"/>
      <c r="B745" s="1485"/>
      <c r="C745" s="1485"/>
      <c r="D745" s="1485"/>
      <c r="E745" s="1485"/>
      <c r="F745" s="1597" t="s">
        <v>336</v>
      </c>
      <c r="G745" s="1487"/>
      <c r="H745" s="1474" t="s">
        <v>35</v>
      </c>
      <c r="I745" s="1464"/>
      <c r="J745" s="1599">
        <v>15</v>
      </c>
      <c r="K745" s="1465"/>
      <c r="L745" s="1600"/>
      <c r="M745" s="1465"/>
      <c r="N745" s="1465"/>
      <c r="O745" s="1465"/>
      <c r="P745" s="1465"/>
      <c r="Q745" s="1465"/>
      <c r="R745" s="1465"/>
      <c r="S745" s="1465"/>
      <c r="T745" s="1465"/>
      <c r="U745" s="1465"/>
    </row>
    <row r="746" spans="1:21" ht="18.75" x14ac:dyDescent="0.25">
      <c r="A746" s="1484"/>
      <c r="B746" s="1485"/>
      <c r="C746" s="1485"/>
      <c r="D746" s="1485"/>
      <c r="E746" s="1485"/>
      <c r="F746" s="1597" t="s">
        <v>337</v>
      </c>
      <c r="G746" s="1487"/>
      <c r="H746" s="1474" t="s">
        <v>35</v>
      </c>
      <c r="I746" s="1598">
        <f ca="1">IFERROR(__xludf.DUMMYFUNCTION("IMPORTRANGE(""https://docs.google.com/spreadsheets/d/1eHaY18a8A9IcSdp1K8H6x8fbOy06t2VsZHhMHf-1x7Y/edit?usp=sharing"",""แผน!GE26"")"),10)</f>
        <v>10</v>
      </c>
      <c r="J746" s="1599">
        <v>10</v>
      </c>
      <c r="K746" s="1476">
        <f ca="1">IF(I746&gt;0,J746*100/I746,0)</f>
        <v>100</v>
      </c>
      <c r="L746" s="1600"/>
      <c r="M746" s="1465"/>
      <c r="N746" s="1465"/>
      <c r="O746" s="1465"/>
      <c r="P746" s="1465"/>
      <c r="Q746" s="1465"/>
      <c r="R746" s="1465"/>
      <c r="S746" s="1465"/>
      <c r="T746" s="1465"/>
      <c r="U746" s="1465"/>
    </row>
    <row r="747" spans="1:21" ht="18.75" x14ac:dyDescent="0.25">
      <c r="A747" s="1484"/>
      <c r="B747" s="1485"/>
      <c r="C747" s="1485"/>
      <c r="D747" s="1485"/>
      <c r="E747" s="1597" t="s">
        <v>277</v>
      </c>
      <c r="F747" s="1602"/>
      <c r="G747" s="1487"/>
      <c r="H747" s="1601"/>
      <c r="I747" s="1464"/>
      <c r="J747" s="1464"/>
      <c r="K747" s="1465"/>
      <c r="L747" s="1600"/>
      <c r="M747" s="1465"/>
      <c r="N747" s="1465"/>
      <c r="O747" s="1465"/>
      <c r="P747" s="1465"/>
      <c r="Q747" s="1465"/>
      <c r="R747" s="1465"/>
      <c r="S747" s="1465"/>
      <c r="T747" s="1465"/>
      <c r="U747" s="1465"/>
    </row>
    <row r="748" spans="1:21" ht="18.75" x14ac:dyDescent="0.25">
      <c r="A748" s="1484"/>
      <c r="B748" s="1485"/>
      <c r="C748" s="1485"/>
      <c r="D748" s="1485"/>
      <c r="E748" s="1485"/>
      <c r="F748" s="1597" t="s">
        <v>338</v>
      </c>
      <c r="G748" s="1487"/>
      <c r="H748" s="1474" t="s">
        <v>35</v>
      </c>
      <c r="I748" s="1464"/>
      <c r="J748" s="1599">
        <v>1</v>
      </c>
      <c r="K748" s="1465"/>
      <c r="L748" s="1600"/>
      <c r="M748" s="1465"/>
      <c r="N748" s="1465"/>
      <c r="O748" s="1465"/>
      <c r="P748" s="1465"/>
      <c r="Q748" s="1465"/>
      <c r="R748" s="1465"/>
      <c r="S748" s="1465"/>
      <c r="T748" s="1465"/>
      <c r="U748" s="1465"/>
    </row>
    <row r="749" spans="1:21" ht="18.75" x14ac:dyDescent="0.25">
      <c r="A749" s="1484"/>
      <c r="B749" s="1485"/>
      <c r="C749" s="1485"/>
      <c r="D749" s="1485"/>
      <c r="E749" s="1485"/>
      <c r="F749" s="1597" t="s">
        <v>339</v>
      </c>
      <c r="G749" s="1487"/>
      <c r="H749" s="1474" t="s">
        <v>35</v>
      </c>
      <c r="I749" s="1598">
        <f ca="1">IFERROR(__xludf.DUMMYFUNCTION("IMPORTRANGE(""https://docs.google.com/spreadsheets/d/1eHaY18a8A9IcSdp1K8H6x8fbOy06t2VsZHhMHf-1x7Y/edit?usp=sharing"",""แผน!GF26"")"),1)</f>
        <v>1</v>
      </c>
      <c r="J749" s="1599">
        <v>0</v>
      </c>
      <c r="K749" s="1476">
        <f ca="1">IF(I749&gt;0,J749*100/I749,0)</f>
        <v>0</v>
      </c>
      <c r="L749" s="1600"/>
      <c r="M749" s="1465"/>
      <c r="N749" s="1465"/>
      <c r="O749" s="1465"/>
      <c r="P749" s="1465"/>
      <c r="Q749" s="1465"/>
      <c r="R749" s="1465"/>
      <c r="S749" s="1465"/>
      <c r="T749" s="1465"/>
      <c r="U749" s="1465"/>
    </row>
    <row r="750" spans="1:21" ht="19.5" x14ac:dyDescent="0.3">
      <c r="A750" s="1484"/>
      <c r="B750" s="1485"/>
      <c r="C750" s="1485"/>
      <c r="D750" s="1603" t="s">
        <v>50</v>
      </c>
      <c r="E750" s="1485"/>
      <c r="F750" s="1602"/>
      <c r="G750" s="1487"/>
      <c r="H750" s="1601"/>
      <c r="I750" s="1464"/>
      <c r="J750" s="1464"/>
      <c r="K750" s="1465"/>
      <c r="L750" s="1600"/>
      <c r="M750" s="1465"/>
      <c r="N750" s="1465"/>
      <c r="O750" s="1465"/>
      <c r="P750" s="1465"/>
      <c r="Q750" s="1465"/>
      <c r="R750" s="1465"/>
      <c r="S750" s="1465"/>
      <c r="T750" s="1465"/>
      <c r="U750" s="1465"/>
    </row>
    <row r="751" spans="1:21" ht="18.75" x14ac:dyDescent="0.25">
      <c r="A751" s="1484"/>
      <c r="B751" s="1485"/>
      <c r="C751" s="1485"/>
      <c r="D751" s="1485"/>
      <c r="E751" s="1597" t="s">
        <v>270</v>
      </c>
      <c r="F751" s="1602"/>
      <c r="G751" s="1487"/>
      <c r="H751" s="1601"/>
      <c r="I751" s="1464"/>
      <c r="J751" s="1464"/>
      <c r="K751" s="1465"/>
      <c r="L751" s="1600"/>
      <c r="M751" s="1465"/>
      <c r="N751" s="1465"/>
      <c r="O751" s="1465"/>
      <c r="P751" s="1465"/>
      <c r="Q751" s="1465"/>
      <c r="R751" s="1465"/>
      <c r="S751" s="1465"/>
      <c r="T751" s="1465"/>
      <c r="U751" s="1465"/>
    </row>
    <row r="752" spans="1:21" ht="18.75" x14ac:dyDescent="0.25">
      <c r="A752" s="1484"/>
      <c r="B752" s="1485"/>
      <c r="C752" s="1485"/>
      <c r="D752" s="1485"/>
      <c r="E752" s="1485"/>
      <c r="F752" s="1604" t="s">
        <v>340</v>
      </c>
      <c r="G752" s="1487"/>
      <c r="H752" s="1474" t="s">
        <v>46</v>
      </c>
      <c r="I752" s="1598">
        <f ca="1">IFERROR(__xludf.DUMMYFUNCTION("IMPORTRANGE(""https://docs.google.com/spreadsheets/d/1eHaY18a8A9IcSdp1K8H6x8fbOy06t2VsZHhMHf-1x7Y/edit?usp=sharing"",""แผน!GB26"")"),400)</f>
        <v>400</v>
      </c>
      <c r="J752" s="1599">
        <v>0</v>
      </c>
      <c r="K752" s="1476">
        <f ca="1">IF(I752&gt;0,J752*100/I752,0)</f>
        <v>0</v>
      </c>
      <c r="L752" s="1600"/>
      <c r="M752" s="1465"/>
      <c r="N752" s="1465"/>
      <c r="O752" s="1465"/>
      <c r="P752" s="1465"/>
      <c r="Q752" s="1465"/>
      <c r="R752" s="1465"/>
      <c r="S752" s="1465"/>
      <c r="T752" s="1465"/>
      <c r="U752" s="1465"/>
    </row>
    <row r="753" spans="1:21" ht="18.75" x14ac:dyDescent="0.25">
      <c r="A753" s="1484"/>
      <c r="B753" s="1485"/>
      <c r="C753" s="1485"/>
      <c r="D753" s="1485"/>
      <c r="E753" s="1485"/>
      <c r="F753" s="1604" t="s">
        <v>341</v>
      </c>
      <c r="G753" s="1487"/>
      <c r="H753" s="1474" t="s">
        <v>46</v>
      </c>
      <c r="I753" s="1464"/>
      <c r="J753" s="1599">
        <v>0</v>
      </c>
      <c r="K753" s="1465"/>
      <c r="L753" s="1600"/>
      <c r="M753" s="1465"/>
      <c r="N753" s="1465"/>
      <c r="O753" s="1465"/>
      <c r="P753" s="1465"/>
      <c r="Q753" s="1465"/>
      <c r="R753" s="1465"/>
      <c r="S753" s="1465"/>
      <c r="T753" s="1465"/>
      <c r="U753" s="1465"/>
    </row>
    <row r="754" spans="1:21" ht="18.75" x14ac:dyDescent="0.25">
      <c r="A754" s="1484"/>
      <c r="B754" s="1485"/>
      <c r="C754" s="1485"/>
      <c r="D754" s="1485"/>
      <c r="E754" s="1597" t="s">
        <v>274</v>
      </c>
      <c r="F754" s="1602"/>
      <c r="G754" s="1487"/>
      <c r="H754" s="1601"/>
      <c r="I754" s="1464"/>
      <c r="J754" s="1464"/>
      <c r="K754" s="1465"/>
      <c r="L754" s="1600"/>
      <c r="M754" s="1465"/>
      <c r="N754" s="1465"/>
      <c r="O754" s="1465"/>
      <c r="P754" s="1465"/>
      <c r="Q754" s="1465"/>
      <c r="R754" s="1465"/>
      <c r="S754" s="1465"/>
      <c r="T754" s="1465"/>
      <c r="U754" s="1465"/>
    </row>
    <row r="755" spans="1:21" ht="18.75" x14ac:dyDescent="0.25">
      <c r="A755" s="1484"/>
      <c r="B755" s="1485"/>
      <c r="C755" s="1485"/>
      <c r="D755" s="1485"/>
      <c r="E755" s="1602"/>
      <c r="F755" s="1604" t="s">
        <v>342</v>
      </c>
      <c r="G755" s="1487"/>
      <c r="H755" s="1474" t="s">
        <v>46</v>
      </c>
      <c r="I755" s="1598">
        <f ca="1">IFERROR(__xludf.DUMMYFUNCTION("IMPORTRANGE(""https://docs.google.com/spreadsheets/d/1eHaY18a8A9IcSdp1K8H6x8fbOy06t2VsZHhMHf-1x7Y/edit?usp=sharing"",""แผน!GD26"")"),100)</f>
        <v>100</v>
      </c>
      <c r="J755" s="1599">
        <v>0</v>
      </c>
      <c r="K755" s="1476">
        <f ca="1">IF(I755&gt;0,J755*100/I755,0)</f>
        <v>0</v>
      </c>
      <c r="L755" s="1600"/>
      <c r="M755" s="1465"/>
      <c r="N755" s="1465"/>
      <c r="O755" s="1465"/>
      <c r="P755" s="1465"/>
      <c r="Q755" s="1465"/>
      <c r="R755" s="1465"/>
      <c r="S755" s="1465"/>
      <c r="T755" s="1465"/>
      <c r="U755" s="1465"/>
    </row>
    <row r="756" spans="1:21" ht="18.75" x14ac:dyDescent="0.25">
      <c r="A756" s="1484"/>
      <c r="B756" s="1485"/>
      <c r="C756" s="1485"/>
      <c r="D756" s="1485"/>
      <c r="E756" s="1602"/>
      <c r="F756" s="1604" t="s">
        <v>343</v>
      </c>
      <c r="G756" s="1487"/>
      <c r="H756" s="1474" t="s">
        <v>46</v>
      </c>
      <c r="I756" s="1464"/>
      <c r="J756" s="1599">
        <v>0</v>
      </c>
      <c r="K756" s="1465"/>
      <c r="L756" s="1600"/>
      <c r="M756" s="1465"/>
      <c r="N756" s="1465"/>
      <c r="O756" s="1465"/>
      <c r="P756" s="1465"/>
      <c r="Q756" s="1465"/>
      <c r="R756" s="1465"/>
      <c r="S756" s="1465"/>
      <c r="T756" s="1465"/>
      <c r="U756" s="1465"/>
    </row>
    <row r="757" spans="1:21" ht="18.75" x14ac:dyDescent="0.25">
      <c r="A757" s="431"/>
      <c r="B757" s="431"/>
      <c r="C757" s="431"/>
      <c r="D757" s="431"/>
      <c r="E757" s="432" t="s">
        <v>284</v>
      </c>
      <c r="F757" s="433"/>
      <c r="G757" s="434"/>
      <c r="H757" s="435" t="s">
        <v>35</v>
      </c>
      <c r="I757" s="436"/>
      <c r="J757" s="437">
        <v>0</v>
      </c>
      <c r="K757" s="438"/>
      <c r="L757" s="438"/>
      <c r="M757" s="438"/>
      <c r="N757" s="438"/>
      <c r="O757" s="438"/>
      <c r="P757" s="438"/>
      <c r="Q757" s="438"/>
      <c r="R757" s="438"/>
      <c r="S757" s="438"/>
      <c r="T757" s="438"/>
      <c r="U757" s="438"/>
    </row>
    <row r="758" spans="1:21" ht="19.5" x14ac:dyDescent="0.3">
      <c r="A758" s="387"/>
      <c r="B758" s="388" t="s">
        <v>285</v>
      </c>
      <c r="C758" s="387"/>
      <c r="D758" s="389"/>
      <c r="E758" s="389"/>
      <c r="F758" s="389"/>
      <c r="G758" s="390"/>
      <c r="H758" s="427" t="s">
        <v>35</v>
      </c>
      <c r="I758" s="1596">
        <f ca="1">I772</f>
        <v>40</v>
      </c>
      <c r="J758" s="1596">
        <f>J772</f>
        <v>0</v>
      </c>
      <c r="K758" s="1593">
        <f ca="1">IF(I758&gt;0,J758*100/I758,0)</f>
        <v>0</v>
      </c>
      <c r="L758" s="1581"/>
      <c r="M758" s="393"/>
      <c r="N758" s="393"/>
      <c r="O758" s="393"/>
      <c r="P758" s="393"/>
      <c r="Q758" s="393"/>
      <c r="R758" s="393"/>
      <c r="S758" s="393"/>
      <c r="T758" s="393"/>
      <c r="U758" s="393"/>
    </row>
    <row r="759" spans="1:21" ht="19.5" x14ac:dyDescent="0.3">
      <c r="A759" s="429"/>
      <c r="B759" s="387"/>
      <c r="C759" s="387"/>
      <c r="D759" s="389"/>
      <c r="E759" s="389"/>
      <c r="F759" s="389"/>
      <c r="G759" s="390"/>
      <c r="H759" s="427" t="s">
        <v>46</v>
      </c>
      <c r="I759" s="1596">
        <f ca="1">I774</f>
        <v>120</v>
      </c>
      <c r="J759" s="1596">
        <f>J774</f>
        <v>0</v>
      </c>
      <c r="K759" s="1593">
        <f ca="1">IF(I759&gt;0,J759*100/I759,0)</f>
        <v>0</v>
      </c>
      <c r="L759" s="1581"/>
      <c r="M759" s="393"/>
      <c r="N759" s="393"/>
      <c r="O759" s="393"/>
      <c r="P759" s="393"/>
      <c r="Q759" s="393"/>
      <c r="R759" s="393"/>
      <c r="S759" s="393"/>
      <c r="T759" s="393"/>
      <c r="U759" s="393"/>
    </row>
    <row r="760" spans="1:21" ht="19.5" x14ac:dyDescent="0.3">
      <c r="A760" s="128"/>
      <c r="B760" s="158"/>
      <c r="C760" s="177" t="s">
        <v>18</v>
      </c>
      <c r="D760" s="1585" t="s">
        <v>19</v>
      </c>
      <c r="E760" s="1285"/>
      <c r="F760" s="1285"/>
      <c r="G760" s="1286"/>
      <c r="H760" s="221" t="s">
        <v>14</v>
      </c>
      <c r="I760" s="44"/>
      <c r="J760" s="44"/>
      <c r="K760" s="45"/>
      <c r="L760" s="1389">
        <f>L761+L762</f>
        <v>0</v>
      </c>
      <c r="M760" s="1390">
        <f>M761+M762</f>
        <v>0</v>
      </c>
      <c r="N760" s="1390">
        <f>N761+N762</f>
        <v>0</v>
      </c>
      <c r="O760" s="1390">
        <f>IF(L760&gt;0,N760*100/L760,0)</f>
        <v>0</v>
      </c>
      <c r="P760" s="1390">
        <f>IF(M760&gt;0,N760*100/M760,0)</f>
        <v>0</v>
      </c>
      <c r="Q760" s="1390">
        <f ca="1">Q761+Q762</f>
        <v>379780</v>
      </c>
      <c r="R760" s="1390">
        <f ca="1">R761+R762</f>
        <v>379780</v>
      </c>
      <c r="S760" s="1390">
        <f ca="1">S761+S762</f>
        <v>63460</v>
      </c>
      <c r="T760" s="1390">
        <f ca="1">IF(Q760&gt;0,S760*100/Q760,0)</f>
        <v>16.709674021802098</v>
      </c>
      <c r="U760" s="1390">
        <f ca="1">IF(R760&gt;0,S760*100/R760,0)</f>
        <v>16.709674021802098</v>
      </c>
    </row>
    <row r="761" spans="1:21" ht="18.75" x14ac:dyDescent="0.25">
      <c r="A761" s="128"/>
      <c r="B761" s="158"/>
      <c r="C761" s="158"/>
      <c r="D761" s="145"/>
      <c r="E761" s="156" t="s">
        <v>158</v>
      </c>
      <c r="F761" s="40"/>
      <c r="G761" s="42"/>
      <c r="H761" s="159" t="s">
        <v>14</v>
      </c>
      <c r="I761" s="44"/>
      <c r="J761" s="44"/>
      <c r="K761" s="45"/>
      <c r="L761" s="1358">
        <f>L764+L767</f>
        <v>0</v>
      </c>
      <c r="M761" s="83">
        <f>M764+M767</f>
        <v>0</v>
      </c>
      <c r="N761" s="83">
        <f>N764+N767</f>
        <v>0</v>
      </c>
      <c r="O761" s="83">
        <f>IF(L761&gt;0,N761*100/L761,0)</f>
        <v>0</v>
      </c>
      <c r="P761" s="83">
        <f>IF(M761&gt;0,N761*100/M761,0)</f>
        <v>0</v>
      </c>
      <c r="Q761" s="83">
        <f>Q764+Q767</f>
        <v>0</v>
      </c>
      <c r="R761" s="83">
        <f>R764+R767</f>
        <v>0</v>
      </c>
      <c r="S761" s="83">
        <f>S764+S767</f>
        <v>0</v>
      </c>
      <c r="T761" s="83">
        <f>IF(Q761&gt;0,S761*100/Q761,0)</f>
        <v>0</v>
      </c>
      <c r="U761" s="83">
        <f>IF(R761&gt;0,S761*100/R761,0)</f>
        <v>0</v>
      </c>
    </row>
    <row r="762" spans="1:21" ht="18.75" x14ac:dyDescent="0.25">
      <c r="A762" s="128"/>
      <c r="B762" s="158"/>
      <c r="C762" s="174"/>
      <c r="D762" s="145"/>
      <c r="E762" s="47" t="s">
        <v>159</v>
      </c>
      <c r="F762" s="40"/>
      <c r="G762" s="42"/>
      <c r="H762" s="134" t="s">
        <v>14</v>
      </c>
      <c r="I762" s="44"/>
      <c r="J762" s="44"/>
      <c r="K762" s="45"/>
      <c r="L762" s="1356">
        <f>L765+L768</f>
        <v>0</v>
      </c>
      <c r="M762" s="224">
        <f>M765+M768</f>
        <v>0</v>
      </c>
      <c r="N762" s="224">
        <f>N765+N768</f>
        <v>0</v>
      </c>
      <c r="O762" s="224">
        <f>IF(L762&gt;0,N762*100/L762,0)</f>
        <v>0</v>
      </c>
      <c r="P762" s="224">
        <f>IF(M762&gt;0,N762*100/M762,0)</f>
        <v>0</v>
      </c>
      <c r="Q762" s="224">
        <f ca="1">Q765+Q768</f>
        <v>379780</v>
      </c>
      <c r="R762" s="224">
        <f ca="1">R765+R768</f>
        <v>379780</v>
      </c>
      <c r="S762" s="224">
        <f ca="1">S765+S768</f>
        <v>63460</v>
      </c>
      <c r="T762" s="224">
        <f ca="1">IF(Q762&gt;0,S762*100/Q762,0)</f>
        <v>16.709674021802098</v>
      </c>
      <c r="U762" s="224">
        <f ca="1">IF(R762&gt;0,S762*100/R762,0)</f>
        <v>16.709674021802098</v>
      </c>
    </row>
    <row r="763" spans="1:21" ht="18.75" x14ac:dyDescent="0.25">
      <c r="A763" s="128"/>
      <c r="B763" s="158"/>
      <c r="C763" s="174"/>
      <c r="D763" s="41" t="s">
        <v>22</v>
      </c>
      <c r="E763" s="40"/>
      <c r="F763" s="40"/>
      <c r="G763" s="42"/>
      <c r="H763" s="134" t="s">
        <v>14</v>
      </c>
      <c r="I763" s="135"/>
      <c r="J763" s="135"/>
      <c r="K763" s="136"/>
      <c r="L763" s="1356">
        <f>L764+L765</f>
        <v>0</v>
      </c>
      <c r="M763" s="224">
        <f>M764+M765</f>
        <v>0</v>
      </c>
      <c r="N763" s="224">
        <f>N764+N765</f>
        <v>0</v>
      </c>
      <c r="O763" s="224">
        <f>IF(L763&gt;0,N763*100/L763,0)</f>
        <v>0</v>
      </c>
      <c r="P763" s="224">
        <f>IF(M763&gt;0,N763*100/M763,0)</f>
        <v>0</v>
      </c>
      <c r="Q763" s="224">
        <f ca="1">Q764+Q765</f>
        <v>379780</v>
      </c>
      <c r="R763" s="224">
        <f ca="1">R764+R765</f>
        <v>379780</v>
      </c>
      <c r="S763" s="224">
        <f ca="1">S764+S765</f>
        <v>63460</v>
      </c>
      <c r="T763" s="224">
        <f ca="1">IF(Q763&gt;0,S763*100/Q763,0)</f>
        <v>16.709674021802098</v>
      </c>
      <c r="U763" s="224">
        <f ca="1">IF(R763&gt;0,S763*100/R763,0)</f>
        <v>16.709674021802098</v>
      </c>
    </row>
    <row r="764" spans="1:21" ht="18.75" x14ac:dyDescent="0.25">
      <c r="A764" s="128"/>
      <c r="B764" s="158"/>
      <c r="C764" s="174"/>
      <c r="D764" s="145"/>
      <c r="E764" s="156" t="s">
        <v>158</v>
      </c>
      <c r="F764" s="40"/>
      <c r="G764" s="42"/>
      <c r="H764" s="159" t="s">
        <v>14</v>
      </c>
      <c r="I764" s="44"/>
      <c r="J764" s="44"/>
      <c r="K764" s="45"/>
      <c r="L764" s="1358">
        <v>0</v>
      </c>
      <c r="M764" s="83">
        <v>0</v>
      </c>
      <c r="N764" s="83">
        <v>0</v>
      </c>
      <c r="O764" s="83">
        <f>IF(L764&gt;0,N764*100/L764,0)</f>
        <v>0</v>
      </c>
      <c r="P764" s="83">
        <f>IF(M764&gt;0,N764*100/M764,0)</f>
        <v>0</v>
      </c>
      <c r="Q764" s="83">
        <v>0</v>
      </c>
      <c r="R764" s="83">
        <v>0</v>
      </c>
      <c r="S764" s="83">
        <v>0</v>
      </c>
      <c r="T764" s="83">
        <f>IF(Q764&gt;0,S764*100/Q764,0)</f>
        <v>0</v>
      </c>
      <c r="U764" s="83">
        <f>IF(R764&gt;0,S764*100/R764,0)</f>
        <v>0</v>
      </c>
    </row>
    <row r="765" spans="1:21" ht="18.75" x14ac:dyDescent="0.25">
      <c r="A765" s="128"/>
      <c r="B765" s="158"/>
      <c r="C765" s="174"/>
      <c r="D765" s="145"/>
      <c r="E765" s="47" t="s">
        <v>159</v>
      </c>
      <c r="F765" s="40"/>
      <c r="G765" s="42"/>
      <c r="H765" s="134" t="s">
        <v>14</v>
      </c>
      <c r="I765" s="44"/>
      <c r="J765" s="44"/>
      <c r="K765" s="45"/>
      <c r="L765" s="1356">
        <v>0</v>
      </c>
      <c r="M765" s="224">
        <v>0</v>
      </c>
      <c r="N765" s="224">
        <v>0</v>
      </c>
      <c r="O765" s="224">
        <f>IF(L765&gt;0,N765*100/L765,0)</f>
        <v>0</v>
      </c>
      <c r="P765" s="224">
        <f>IF(M765&gt;0,N765*100/M765,0)</f>
        <v>0</v>
      </c>
      <c r="Q765" s="224">
        <f ca="1">IFERROR(__xludf.DUMMYFUNCTION("IMPORTRANGE(""https://docs.google.com/spreadsheets/d/1ItG2mGa2ceCfYo0BwxsXqNm01IGEUdYcSSLTEv9YCik/edit?usp=sharing"",""เบิกจ่ายกองทุน!AA26"")"),379780)</f>
        <v>379780</v>
      </c>
      <c r="R765" s="224">
        <f ca="1">IFERROR(__xludf.DUMMYFUNCTION("IMPORTRANGE(""https://docs.google.com/spreadsheets/d/1ItG2mGa2ceCfYo0BwxsXqNm01IGEUdYcSSLTEv9YCik/edit?usp=sharing"",""เบิกจ่ายกองทุน!AB26"")"),379780)</f>
        <v>379780</v>
      </c>
      <c r="S765" s="224">
        <f ca="1">IFERROR(__xludf.DUMMYFUNCTION("IMPORTRANGE(""https://docs.google.com/spreadsheets/d/1ItG2mGa2ceCfYo0BwxsXqNm01IGEUdYcSSLTEv9YCik/edit?usp=sharing"",""เบิกจ่ายกองทุน!AC26"")"),63460)</f>
        <v>63460</v>
      </c>
      <c r="T765" s="224">
        <f ca="1">IF(Q765&gt;0,S765*100/Q765,0)</f>
        <v>16.709674021802098</v>
      </c>
      <c r="U765" s="224">
        <f ca="1">IF(R765&gt;0,S765*100/R765,0)</f>
        <v>16.709674021802098</v>
      </c>
    </row>
    <row r="766" spans="1:21" ht="18.75" x14ac:dyDescent="0.25">
      <c r="A766" s="128"/>
      <c r="B766" s="158"/>
      <c r="C766" s="158"/>
      <c r="D766" s="41" t="s">
        <v>23</v>
      </c>
      <c r="E766" s="158"/>
      <c r="F766" s="40"/>
      <c r="G766" s="42"/>
      <c r="H766" s="137" t="s">
        <v>14</v>
      </c>
      <c r="I766" s="135"/>
      <c r="J766" s="135"/>
      <c r="K766" s="136"/>
      <c r="L766" s="1356">
        <f>L767+L768</f>
        <v>0</v>
      </c>
      <c r="M766" s="224">
        <f>M767+M768</f>
        <v>0</v>
      </c>
      <c r="N766" s="224">
        <f>N767+N768</f>
        <v>0</v>
      </c>
      <c r="O766" s="224">
        <f>IF(L766&gt;0,N766*100/L766,0)</f>
        <v>0</v>
      </c>
      <c r="P766" s="224">
        <f>IF(M766&gt;0,N766*100/M766,0)</f>
        <v>0</v>
      </c>
      <c r="Q766" s="224">
        <f>Q767+Q768</f>
        <v>0</v>
      </c>
      <c r="R766" s="224">
        <f>R767+R768</f>
        <v>0</v>
      </c>
      <c r="S766" s="224">
        <f>S767+S768</f>
        <v>0</v>
      </c>
      <c r="T766" s="224">
        <f>IF(Q766&gt;0,S766*100/Q766,0)</f>
        <v>0</v>
      </c>
      <c r="U766" s="224">
        <f>IF(R766&gt;0,S766*100/R766,0)</f>
        <v>0</v>
      </c>
    </row>
    <row r="767" spans="1:21" ht="18.75" x14ac:dyDescent="0.25">
      <c r="A767" s="128"/>
      <c r="B767" s="158"/>
      <c r="C767" s="158"/>
      <c r="D767" s="158"/>
      <c r="E767" s="314" t="s">
        <v>20</v>
      </c>
      <c r="F767" s="40"/>
      <c r="G767" s="42"/>
      <c r="H767" s="159" t="s">
        <v>14</v>
      </c>
      <c r="I767" s="135"/>
      <c r="J767" s="135"/>
      <c r="K767" s="136"/>
      <c r="L767" s="1358">
        <v>0</v>
      </c>
      <c r="M767" s="83">
        <v>0</v>
      </c>
      <c r="N767" s="83">
        <v>0</v>
      </c>
      <c r="O767" s="83">
        <f>IF(L767&gt;0,N767*100/L767,0)</f>
        <v>0</v>
      </c>
      <c r="P767" s="83">
        <f>IF(M767&gt;0,N767*100/M767,0)</f>
        <v>0</v>
      </c>
      <c r="Q767" s="83">
        <v>0</v>
      </c>
      <c r="R767" s="83">
        <v>0</v>
      </c>
      <c r="S767" s="83">
        <v>0</v>
      </c>
      <c r="T767" s="83">
        <f>IF(Q767&gt;0,S767*100/Q767,0)</f>
        <v>0</v>
      </c>
      <c r="U767" s="83">
        <f>IF(R767&gt;0,S767*100/R767,0)</f>
        <v>0</v>
      </c>
    </row>
    <row r="768" spans="1:21" ht="18.75" x14ac:dyDescent="0.25">
      <c r="A768" s="128"/>
      <c r="B768" s="158"/>
      <c r="C768" s="158"/>
      <c r="D768" s="158"/>
      <c r="E768" s="209" t="s">
        <v>21</v>
      </c>
      <c r="F768" s="40"/>
      <c r="G768" s="42"/>
      <c r="H768" s="137" t="s">
        <v>14</v>
      </c>
      <c r="I768" s="135"/>
      <c r="J768" s="135"/>
      <c r="K768" s="136"/>
      <c r="L768" s="1356">
        <v>0</v>
      </c>
      <c r="M768" s="224">
        <v>0</v>
      </c>
      <c r="N768" s="224">
        <v>0</v>
      </c>
      <c r="O768" s="224">
        <f>IF(L768&gt;0,N768*100/L768,0)</f>
        <v>0</v>
      </c>
      <c r="P768" s="224">
        <f>IF(M768&gt;0,N768*100/M768,0)</f>
        <v>0</v>
      </c>
      <c r="Q768" s="224">
        <v>0</v>
      </c>
      <c r="R768" s="224">
        <v>0</v>
      </c>
      <c r="S768" s="224">
        <v>0</v>
      </c>
      <c r="T768" s="224">
        <f>IF(Q768&gt;0,S768*100/Q768,0)</f>
        <v>0</v>
      </c>
      <c r="U768" s="224">
        <f>IF(R768&gt;0,S768*100/R768,0)</f>
        <v>0</v>
      </c>
    </row>
    <row r="769" spans="1:21" ht="19.5" x14ac:dyDescent="0.3">
      <c r="A769" s="138"/>
      <c r="B769" s="139"/>
      <c r="C769" s="439" t="s">
        <v>18</v>
      </c>
      <c r="D769" s="1586" t="s">
        <v>38</v>
      </c>
      <c r="E769" s="203"/>
      <c r="F769" s="141"/>
      <c r="G769" s="142"/>
      <c r="H769" s="178"/>
      <c r="I769" s="44"/>
      <c r="J769" s="44"/>
      <c r="K769" s="45"/>
      <c r="L769" s="1359"/>
      <c r="M769" s="45"/>
      <c r="N769" s="45"/>
      <c r="O769" s="45"/>
      <c r="P769" s="45"/>
      <c r="Q769" s="45"/>
      <c r="R769" s="45"/>
      <c r="S769" s="45"/>
      <c r="T769" s="45"/>
      <c r="U769" s="45"/>
    </row>
    <row r="770" spans="1:21" ht="18.75" x14ac:dyDescent="0.25">
      <c r="A770" s="138"/>
      <c r="B770" s="139"/>
      <c r="C770" s="139"/>
      <c r="D770" s="379" t="s">
        <v>286</v>
      </c>
      <c r="E770" s="139"/>
      <c r="F770" s="145"/>
      <c r="G770" s="143"/>
      <c r="H770" s="378" t="s">
        <v>35</v>
      </c>
      <c r="I770" s="423">
        <f ca="1">IFERROR(__xludf.DUMMYFUNCTION("IMPORTRANGE(""https://docs.google.com/spreadsheets/d/1eHaY18a8A9IcSdp1K8H6x8fbOy06t2VsZHhMHf-1x7Y/edit?usp=sharing"",""แผน!FI26"")"),0)</f>
        <v>0</v>
      </c>
      <c r="J770" s="423">
        <v>0</v>
      </c>
      <c r="K770" s="83">
        <f ca="1">IF(I770&gt;0,J770*100/I770,0)</f>
        <v>0</v>
      </c>
      <c r="L770" s="1359"/>
      <c r="M770" s="45"/>
      <c r="N770" s="45"/>
      <c r="O770" s="45"/>
      <c r="P770" s="45"/>
      <c r="Q770" s="45"/>
      <c r="R770" s="45"/>
      <c r="S770" s="45"/>
      <c r="T770" s="45"/>
      <c r="U770" s="45"/>
    </row>
    <row r="771" spans="1:21" ht="18.75" x14ac:dyDescent="0.25">
      <c r="A771" s="138"/>
      <c r="B771" s="139"/>
      <c r="C771" s="139"/>
      <c r="D771" s="379" t="s">
        <v>287</v>
      </c>
      <c r="E771" s="139"/>
      <c r="F771" s="145"/>
      <c r="G771" s="143"/>
      <c r="H771" s="178"/>
      <c r="I771" s="44"/>
      <c r="J771" s="44"/>
      <c r="K771" s="45"/>
      <c r="L771" s="1359"/>
      <c r="M771" s="45"/>
      <c r="N771" s="45"/>
      <c r="O771" s="45"/>
      <c r="P771" s="45"/>
      <c r="Q771" s="45"/>
      <c r="R771" s="45"/>
      <c r="S771" s="45"/>
      <c r="T771" s="45"/>
      <c r="U771" s="45"/>
    </row>
    <row r="772" spans="1:21" ht="18.75" x14ac:dyDescent="0.25">
      <c r="A772" s="138"/>
      <c r="B772" s="139"/>
      <c r="C772" s="139"/>
      <c r="D772" s="403" t="s">
        <v>288</v>
      </c>
      <c r="E772" s="139"/>
      <c r="F772" s="145"/>
      <c r="G772" s="143"/>
      <c r="H772" s="137" t="s">
        <v>35</v>
      </c>
      <c r="I772" s="184">
        <f ca="1">IFERROR(__xludf.DUMMYFUNCTION("IMPORTRANGE(""https://docs.google.com/spreadsheets/d/1eHaY18a8A9IcSdp1K8H6x8fbOy06t2VsZHhMHf-1x7Y/edit?usp=sharing"",""แผน!FQ26"")"),40)</f>
        <v>40</v>
      </c>
      <c r="J772" s="1395">
        <v>0</v>
      </c>
      <c r="K772" s="224">
        <f ca="1">IF(I772&gt;0,J772*100/I772,0)</f>
        <v>0</v>
      </c>
      <c r="L772" s="1359"/>
      <c r="M772" s="45"/>
      <c r="N772" s="45"/>
      <c r="O772" s="45"/>
      <c r="P772" s="45"/>
      <c r="Q772" s="45"/>
      <c r="R772" s="45"/>
      <c r="S772" s="45"/>
      <c r="T772" s="45"/>
      <c r="U772" s="45"/>
    </row>
    <row r="773" spans="1:21" ht="18.75" x14ac:dyDescent="0.25">
      <c r="A773" s="138"/>
      <c r="B773" s="139"/>
      <c r="C773" s="139"/>
      <c r="D773" s="403" t="s">
        <v>289</v>
      </c>
      <c r="E773" s="139"/>
      <c r="F773" s="145"/>
      <c r="G773" s="143"/>
      <c r="H773" s="178"/>
      <c r="I773" s="44"/>
      <c r="J773" s="44"/>
      <c r="K773" s="45"/>
      <c r="L773" s="1359"/>
      <c r="M773" s="45"/>
      <c r="N773" s="45"/>
      <c r="O773" s="45"/>
      <c r="P773" s="45"/>
      <c r="Q773" s="45"/>
      <c r="R773" s="45"/>
      <c r="S773" s="45"/>
      <c r="T773" s="45"/>
      <c r="U773" s="45"/>
    </row>
    <row r="774" spans="1:21" ht="18.75" x14ac:dyDescent="0.25">
      <c r="A774" s="138"/>
      <c r="B774" s="139"/>
      <c r="C774" s="139"/>
      <c r="D774" s="403" t="s">
        <v>290</v>
      </c>
      <c r="E774" s="139"/>
      <c r="F774" s="145"/>
      <c r="G774" s="143"/>
      <c r="H774" s="137" t="s">
        <v>46</v>
      </c>
      <c r="I774" s="184">
        <f ca="1">IFERROR(__xludf.DUMMYFUNCTION("IMPORTRANGE(""https://docs.google.com/spreadsheets/d/1eHaY18a8A9IcSdp1K8H6x8fbOy06t2VsZHhMHf-1x7Y/edit?usp=sharing"",""แผน!FR26"")"),120)</f>
        <v>120</v>
      </c>
      <c r="J774" s="1395">
        <v>0</v>
      </c>
      <c r="K774" s="224">
        <f ca="1">IF(I774&gt;0,J774*100/I774,0)</f>
        <v>0</v>
      </c>
      <c r="L774" s="1359"/>
      <c r="M774" s="45"/>
      <c r="N774" s="45"/>
      <c r="O774" s="45"/>
      <c r="P774" s="45"/>
      <c r="Q774" s="45"/>
      <c r="R774" s="45"/>
      <c r="S774" s="45"/>
      <c r="T774" s="45"/>
      <c r="U774" s="45"/>
    </row>
    <row r="775" spans="1:21" ht="18.75" x14ac:dyDescent="0.25">
      <c r="A775" s="138"/>
      <c r="B775" s="139"/>
      <c r="C775" s="139"/>
      <c r="D775" s="403" t="s">
        <v>50</v>
      </c>
      <c r="E775" s="145"/>
      <c r="F775" s="40"/>
      <c r="G775" s="42"/>
      <c r="H775" s="137" t="s">
        <v>46</v>
      </c>
      <c r="I775" s="184">
        <f ca="1">IFERROR(__xludf.DUMMYFUNCTION("IMPORTRANGE(""https://docs.google.com/spreadsheets/d/1eHaY18a8A9IcSdp1K8H6x8fbOy06t2VsZHhMHf-1x7Y/edit?usp=sharing"",""แผน!FS26"")"),120)</f>
        <v>120</v>
      </c>
      <c r="J775" s="1395">
        <v>0</v>
      </c>
      <c r="K775" s="45"/>
      <c r="L775" s="1359"/>
      <c r="M775" s="45"/>
      <c r="N775" s="45"/>
      <c r="O775" s="45"/>
      <c r="P775" s="45"/>
      <c r="Q775" s="45"/>
      <c r="R775" s="45"/>
      <c r="S775" s="45"/>
      <c r="T775" s="45"/>
      <c r="U775" s="45"/>
    </row>
    <row r="776" spans="1:21" ht="18.75" x14ac:dyDescent="0.25">
      <c r="A776" s="249"/>
      <c r="B776" s="250"/>
      <c r="C776" s="250"/>
      <c r="D776" s="250"/>
      <c r="E776" s="252"/>
      <c r="F776" s="252"/>
      <c r="G776" s="52"/>
      <c r="H776" s="186" t="s">
        <v>35</v>
      </c>
      <c r="I776" s="188">
        <f ca="1">IFERROR(__xludf.DUMMYFUNCTION("IMPORTRANGE(""https://docs.google.com/spreadsheets/d/1eHaY18a8A9IcSdp1K8H6x8fbOy06t2VsZHhMHf-1x7Y/edit?usp=sharing"",""แผน!FT26"")"),40)</f>
        <v>40</v>
      </c>
      <c r="J776" s="1541">
        <v>0</v>
      </c>
      <c r="K776" s="3"/>
      <c r="L776" s="1360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9.5" x14ac:dyDescent="0.3">
      <c r="A777" s="1605" t="s">
        <v>291</v>
      </c>
      <c r="B777" s="442"/>
      <c r="C777" s="442"/>
      <c r="D777" s="441"/>
      <c r="E777" s="442"/>
      <c r="F777" s="442"/>
      <c r="G777" s="443"/>
      <c r="H777" s="1606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45"/>
      <c r="J777" s="446"/>
      <c r="K777" s="447"/>
      <c r="L777" s="447"/>
      <c r="M777" s="447"/>
      <c r="N777" s="447"/>
      <c r="O777" s="447"/>
      <c r="P777" s="447"/>
      <c r="Q777" s="447"/>
      <c r="R777" s="447"/>
      <c r="S777" s="447"/>
      <c r="T777" s="447"/>
      <c r="U777" s="447"/>
    </row>
    <row r="778" spans="1:21" ht="18.75" x14ac:dyDescent="0.25">
      <c r="A778" s="39"/>
      <c r="B778" s="47" t="s">
        <v>292</v>
      </c>
      <c r="C778" s="40"/>
      <c r="D778" s="158"/>
      <c r="E778" s="40"/>
      <c r="F778" s="40"/>
      <c r="G778" s="42"/>
      <c r="H778" s="43" t="s">
        <v>14</v>
      </c>
      <c r="I778" s="184">
        <f ca="1">IFERROR(__xludf.DUMMYFUNCTION("IMPORTRANGE(""https://docs.google.com/spreadsheets/d/10OvvATaaLtwErnr3qtWFcTmtbfpFEt5Bsqel9sXx0uE/edit?usp=sharing"",""งานกองทุน!D26"")"),7276200.4)</f>
        <v>7276200.4000000004</v>
      </c>
      <c r="J778" s="184">
        <f ca="1">IFERROR(__xludf.DUMMYFUNCTION("IMPORTRANGE(""https://docs.google.com/spreadsheets/d/10OvvATaaLtwErnr3qtWFcTmtbfpFEt5Bsqel9sXx0uE/edit?usp=sharing"",""งานกองทุน!F26"")"),4149622.24)</f>
        <v>4149622.24</v>
      </c>
      <c r="K778" s="224">
        <f ca="1">IF(I778&gt;0,J778*100/I778,0)</f>
        <v>57.030070804536933</v>
      </c>
      <c r="L778" s="45"/>
      <c r="M778" s="45"/>
      <c r="N778" s="45"/>
      <c r="O778" s="45"/>
      <c r="P778" s="45"/>
      <c r="Q778" s="45"/>
      <c r="R778" s="45"/>
      <c r="S778" s="45"/>
      <c r="T778" s="45"/>
      <c r="U778" s="45"/>
    </row>
    <row r="779" spans="1:21" ht="18.75" x14ac:dyDescent="0.25">
      <c r="A779" s="39"/>
      <c r="B779" s="40"/>
      <c r="C779" s="40"/>
      <c r="D779" s="158"/>
      <c r="E779" s="40"/>
      <c r="F779" s="40"/>
      <c r="G779" s="42"/>
      <c r="H779" s="43" t="s">
        <v>35</v>
      </c>
      <c r="I779" s="184">
        <f ca="1">IFERROR(__xludf.DUMMYFUNCTION("IMPORTRANGE(""https://docs.google.com/spreadsheets/d/10OvvATaaLtwErnr3qtWFcTmtbfpFEt5Bsqel9sXx0uE/edit?usp=sharing"",""งานกองทุน!C26"")"),320)</f>
        <v>320</v>
      </c>
      <c r="J779" s="184">
        <f ca="1">IFERROR(__xludf.DUMMYFUNCTION("IMPORTRANGE(""https://docs.google.com/spreadsheets/d/10OvvATaaLtwErnr3qtWFcTmtbfpFEt5Bsqel9sXx0uE/edit?usp=sharing"",""งานกองทุน!E26"")"),236)</f>
        <v>236</v>
      </c>
      <c r="K779" s="224">
        <f ca="1">IF(I779&gt;0,J779*100/I779,0)</f>
        <v>73.75</v>
      </c>
      <c r="L779" s="45"/>
      <c r="M779" s="45"/>
      <c r="N779" s="45"/>
      <c r="O779" s="45"/>
      <c r="P779" s="45"/>
      <c r="Q779" s="45"/>
      <c r="R779" s="45"/>
      <c r="S779" s="45"/>
      <c r="T779" s="45"/>
      <c r="U779" s="45"/>
    </row>
    <row r="780" spans="1:21" ht="18.75" x14ac:dyDescent="0.25">
      <c r="A780" s="39"/>
      <c r="B780" s="47" t="s">
        <v>293</v>
      </c>
      <c r="C780" s="40"/>
      <c r="D780" s="158"/>
      <c r="E780" s="40"/>
      <c r="F780" s="40"/>
      <c r="G780" s="42"/>
      <c r="H780" s="43" t="s">
        <v>14</v>
      </c>
      <c r="I780" s="184">
        <f ca="1">IFERROR(__xludf.DUMMYFUNCTION("IMPORTRANGE(""https://docs.google.com/spreadsheets/d/10OvvATaaLtwErnr3qtWFcTmtbfpFEt5Bsqel9sXx0uE/edit?usp=sharing"",""งานกองทุน!I26"")"),29719.73)</f>
        <v>29719.73</v>
      </c>
      <c r="J780" s="184">
        <f ca="1">IFERROR(__xludf.DUMMYFUNCTION("IMPORTRANGE(""https://docs.google.com/spreadsheets/d/10OvvATaaLtwErnr3qtWFcTmtbfpFEt5Bsqel9sXx0uE/edit?usp=sharing"",""งานกองทุน!K26"")"),6884.55)</f>
        <v>6884.55</v>
      </c>
      <c r="K780" s="224">
        <f ca="1">IF(I780&gt;0,J780*100/I780,0)</f>
        <v>23.164914351509925</v>
      </c>
      <c r="L780" s="45"/>
      <c r="M780" s="45"/>
      <c r="N780" s="45"/>
      <c r="O780" s="45"/>
      <c r="P780" s="45"/>
      <c r="Q780" s="45"/>
      <c r="R780" s="45"/>
      <c r="S780" s="45"/>
      <c r="T780" s="45"/>
      <c r="U780" s="45"/>
    </row>
    <row r="781" spans="1:21" ht="18.75" x14ac:dyDescent="0.25">
      <c r="A781" s="39"/>
      <c r="B781" s="40"/>
      <c r="C781" s="40"/>
      <c r="D781" s="158"/>
      <c r="E781" s="40"/>
      <c r="F781" s="40"/>
      <c r="G781" s="42"/>
      <c r="H781" s="43" t="s">
        <v>35</v>
      </c>
      <c r="I781" s="184">
        <f ca="1">IFERROR(__xludf.DUMMYFUNCTION("IMPORTRANGE(""https://docs.google.com/spreadsheets/d/10OvvATaaLtwErnr3qtWFcTmtbfpFEt5Bsqel9sXx0uE/edit?usp=sharing"",""งานกองทุน!H26"")"),1)</f>
        <v>1</v>
      </c>
      <c r="J781" s="184">
        <f ca="1">IFERROR(__xludf.DUMMYFUNCTION("IMPORTRANGE(""https://docs.google.com/spreadsheets/d/10OvvATaaLtwErnr3qtWFcTmtbfpFEt5Bsqel9sXx0uE/edit?usp=sharing"",""งานกองทุน!J26"")"),1)</f>
        <v>1</v>
      </c>
      <c r="K781" s="224">
        <f ca="1">IF(I781&gt;0,J781*100/I781,0)</f>
        <v>100</v>
      </c>
      <c r="L781" s="45"/>
      <c r="M781" s="45"/>
      <c r="N781" s="45"/>
      <c r="O781" s="45"/>
      <c r="P781" s="45"/>
      <c r="Q781" s="45"/>
      <c r="R781" s="45"/>
      <c r="S781" s="45"/>
      <c r="T781" s="45"/>
      <c r="U781" s="45"/>
    </row>
    <row r="782" spans="1:21" ht="18.75" x14ac:dyDescent="0.25">
      <c r="A782" s="39"/>
      <c r="B782" s="47" t="s">
        <v>294</v>
      </c>
      <c r="C782" s="40"/>
      <c r="D782" s="158"/>
      <c r="E782" s="40"/>
      <c r="F782" s="40"/>
      <c r="G782" s="42"/>
      <c r="H782" s="43" t="s">
        <v>14</v>
      </c>
      <c r="I782" s="184">
        <f ca="1">IFERROR(__xludf.DUMMYFUNCTION("IMPORTRANGE(""https://docs.google.com/spreadsheets/d/10OvvATaaLtwErnr3qtWFcTmtbfpFEt5Bsqel9sXx0uE/edit?usp=sharing"",""งานกองทุน!N26"")"),0)</f>
        <v>0</v>
      </c>
      <c r="J782" s="184">
        <f ca="1">IFERROR(__xludf.DUMMYFUNCTION("IMPORTRANGE(""https://docs.google.com/spreadsheets/d/10OvvATaaLtwErnr3qtWFcTmtbfpFEt5Bsqel9sXx0uE/edit?usp=sharing"",""งานกองทุน!P26"")"),0)</f>
        <v>0</v>
      </c>
      <c r="K782" s="224">
        <f ca="1">IF(I782&gt;0,J782*100/I782,0)</f>
        <v>0</v>
      </c>
      <c r="L782" s="45"/>
      <c r="M782" s="45"/>
      <c r="N782" s="45"/>
      <c r="O782" s="45"/>
      <c r="P782" s="45"/>
      <c r="Q782" s="45"/>
      <c r="R782" s="45"/>
      <c r="S782" s="45"/>
      <c r="T782" s="45"/>
      <c r="U782" s="45"/>
    </row>
    <row r="783" spans="1:21" ht="18.75" x14ac:dyDescent="0.25">
      <c r="A783" s="39"/>
      <c r="B783" s="40"/>
      <c r="C783" s="40"/>
      <c r="D783" s="158"/>
      <c r="E783" s="40"/>
      <c r="F783" s="40"/>
      <c r="G783" s="42"/>
      <c r="H783" s="43" t="s">
        <v>35</v>
      </c>
      <c r="I783" s="184">
        <f ca="1">IFERROR(__xludf.DUMMYFUNCTION("IMPORTRANGE(""https://docs.google.com/spreadsheets/d/10OvvATaaLtwErnr3qtWFcTmtbfpFEt5Bsqel9sXx0uE/edit?usp=sharing"",""งานกองทุน!M26"")"),0)</f>
        <v>0</v>
      </c>
      <c r="J783" s="184">
        <f ca="1">IFERROR(__xludf.DUMMYFUNCTION("IMPORTRANGE(""https://docs.google.com/spreadsheets/d/10OvvATaaLtwErnr3qtWFcTmtbfpFEt5Bsqel9sXx0uE/edit?usp=sharing"",""งานกองทุน!O26"")"),0)</f>
        <v>0</v>
      </c>
      <c r="K783" s="224">
        <f ca="1">IF(I783&gt;0,J783*100/I783,0)</f>
        <v>0</v>
      </c>
      <c r="L783" s="45"/>
      <c r="M783" s="45"/>
      <c r="N783" s="45"/>
      <c r="O783" s="45"/>
      <c r="P783" s="45"/>
      <c r="Q783" s="45"/>
      <c r="R783" s="45"/>
      <c r="S783" s="45"/>
      <c r="T783" s="45"/>
      <c r="U783" s="45"/>
    </row>
    <row r="784" spans="1:21" ht="18.75" x14ac:dyDescent="0.25">
      <c r="A784" s="39"/>
      <c r="B784" s="47" t="s">
        <v>295</v>
      </c>
      <c r="C784" s="40"/>
      <c r="D784" s="158"/>
      <c r="E784" s="40"/>
      <c r="F784" s="40"/>
      <c r="G784" s="42"/>
      <c r="H784" s="43" t="s">
        <v>14</v>
      </c>
      <c r="I784" s="184">
        <f ca="1">IFERROR(__xludf.DUMMYFUNCTION("IMPORTRANGE(""https://docs.google.com/spreadsheets/d/10OvvATaaLtwErnr3qtWFcTmtbfpFEt5Bsqel9sXx0uE/edit?usp=sharing"",""งานกองทุน!S26"")"),9772000)</f>
        <v>9772000</v>
      </c>
      <c r="J784" s="184">
        <f ca="1">IFERROR(__xludf.DUMMYFUNCTION("IMPORTRANGE(""https://docs.google.com/spreadsheets/d/10OvvATaaLtwErnr3qtWFcTmtbfpFEt5Bsqel9sXx0uE/edit?usp=sharing"",""งานกองทุน!U26"")"),4535000)</f>
        <v>4535000</v>
      </c>
      <c r="K784" s="224">
        <f ca="1">IF(I784&gt;0,J784*100/I784,0)</f>
        <v>46.408104789193615</v>
      </c>
      <c r="L784" s="45"/>
      <c r="M784" s="45"/>
      <c r="N784" s="45"/>
      <c r="O784" s="45"/>
      <c r="P784" s="45"/>
      <c r="Q784" s="45"/>
      <c r="R784" s="45"/>
      <c r="S784" s="45"/>
      <c r="T784" s="45"/>
      <c r="U784" s="45"/>
    </row>
    <row r="785" spans="1:21" ht="18.75" x14ac:dyDescent="0.25">
      <c r="A785" s="50"/>
      <c r="B785" s="1"/>
      <c r="C785" s="1"/>
      <c r="D785" s="2"/>
      <c r="E785" s="1"/>
      <c r="F785" s="1"/>
      <c r="G785" s="52"/>
      <c r="H785" s="53" t="s">
        <v>35</v>
      </c>
      <c r="I785" s="188">
        <f ca="1">IFERROR(__xludf.DUMMYFUNCTION("IMPORTRANGE(""https://docs.google.com/spreadsheets/d/10OvvATaaLtwErnr3qtWFcTmtbfpFEt5Bsqel9sXx0uE/edit?usp=sharing"",""งานกองทุน!R26"")"),349)</f>
        <v>349</v>
      </c>
      <c r="J785" s="188">
        <f ca="1">IFERROR(__xludf.DUMMYFUNCTION("IMPORTRANGE(""https://docs.google.com/spreadsheets/d/10OvvATaaLtwErnr3qtWFcTmtbfpFEt5Bsqel9sXx0uE/edit?usp=sharing"",""งานกองทุน!T26"")"),107)</f>
        <v>107</v>
      </c>
      <c r="K785" s="448">
        <f ca="1">IF(I785&gt;0,J785*100/I785,0)</f>
        <v>30.659025787965614</v>
      </c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2.75" x14ac:dyDescent="0.2">
      <c r="A786" s="165"/>
      <c r="B786" s="165"/>
      <c r="C786" s="165"/>
      <c r="D786" s="165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</row>
    <row r="787" spans="1:21" ht="16.5" x14ac:dyDescent="0.25">
      <c r="A787" s="1607" t="s">
        <v>296</v>
      </c>
      <c r="B787" s="165"/>
      <c r="C787" s="165"/>
      <c r="D787" s="165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</row>
    <row r="788" spans="1:21" ht="16.5" x14ac:dyDescent="0.25">
      <c r="A788" s="160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5"/>
      <c r="C788" s="165"/>
      <c r="D788" s="165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</row>
    <row r="789" spans="1:21" ht="16.5" x14ac:dyDescent="0.25">
      <c r="A789" s="1607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5"/>
      <c r="C789" s="165"/>
      <c r="D789" s="165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F1A9-B3EF-4E7E-8515-C8FC9A66AB86}">
  <sheetPr>
    <outlinePr summaryBelow="0" summaryRight="0"/>
  </sheetPr>
  <dimension ref="A1:U789"/>
  <sheetViews>
    <sheetView view="pageBreakPreview" zoomScale="60" zoomScaleNormal="80" workbookViewId="0">
      <pane xSplit="8" ySplit="6" topLeftCell="I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0.28515625" bestFit="1" customWidth="1"/>
    <col min="15" max="15" width="19.28515625" bestFit="1" customWidth="1"/>
    <col min="16" max="16" width="20.7109375" bestFit="1" customWidth="1"/>
    <col min="17" max="18" width="20.28515625" bestFit="1" customWidth="1"/>
    <col min="19" max="19" width="17.85546875" bestFit="1" customWidth="1"/>
    <col min="20" max="20" width="19.28515625" bestFit="1" customWidth="1"/>
    <col min="21" max="21" width="20.7109375" bestFit="1" customWidth="1"/>
  </cols>
  <sheetData>
    <row r="1" spans="1:21" ht="15.75" customHeight="1" x14ac:dyDescent="0.3">
      <c r="A1" s="1335" t="s">
        <v>0</v>
      </c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5"/>
      <c r="N1" s="1335"/>
      <c r="O1" s="1335"/>
      <c r="P1" s="1335"/>
      <c r="Q1" s="1335"/>
      <c r="R1" s="1335"/>
      <c r="S1" s="1335"/>
      <c r="T1" s="1335"/>
      <c r="U1" s="1335"/>
    </row>
    <row r="2" spans="1:21" ht="15.75" customHeight="1" x14ac:dyDescent="0.3">
      <c r="A2" s="1335" t="s">
        <v>346</v>
      </c>
      <c r="B2" s="1335"/>
      <c r="C2" s="1335"/>
      <c r="D2" s="1335"/>
      <c r="E2" s="1335"/>
      <c r="F2" s="1335"/>
      <c r="G2" s="1335"/>
      <c r="H2" s="1335"/>
      <c r="I2" s="1335"/>
      <c r="J2" s="1335"/>
      <c r="K2" s="1335"/>
      <c r="L2" s="1335"/>
      <c r="M2" s="1335"/>
      <c r="N2" s="1335"/>
      <c r="O2" s="1335"/>
      <c r="P2" s="1335"/>
      <c r="Q2" s="1335"/>
      <c r="R2" s="1335"/>
      <c r="S2" s="1335"/>
      <c r="T2" s="1335"/>
      <c r="U2" s="1335"/>
    </row>
    <row r="3" spans="1:21" ht="15.75" customHeight="1" x14ac:dyDescent="0.3">
      <c r="A3" s="1335" t="s">
        <v>350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  <c r="L3" s="1335"/>
      <c r="M3" s="1335"/>
      <c r="N3" s="1335"/>
      <c r="O3" s="1335"/>
      <c r="P3" s="1335"/>
      <c r="Q3" s="1335"/>
      <c r="R3" s="1335"/>
      <c r="S3" s="1335"/>
      <c r="T3" s="1335"/>
      <c r="U3" s="1335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1336"/>
      <c r="L4" s="1337" t="s">
        <v>2</v>
      </c>
      <c r="M4" s="1292"/>
      <c r="N4" s="1292"/>
      <c r="O4" s="1292"/>
      <c r="P4" s="1293"/>
      <c r="Q4" s="1338" t="s">
        <v>3</v>
      </c>
      <c r="R4" s="1292"/>
      <c r="S4" s="1292"/>
      <c r="T4" s="1292"/>
      <c r="U4" s="1293"/>
    </row>
    <row r="5" spans="1:21" ht="15.75" customHeight="1" x14ac:dyDescent="0.3">
      <c r="A5" s="1339" t="s">
        <v>4</v>
      </c>
      <c r="B5" s="1289"/>
      <c r="C5" s="1289"/>
      <c r="D5" s="1289"/>
      <c r="E5" s="1289"/>
      <c r="F5" s="1289"/>
      <c r="G5" s="1290"/>
      <c r="H5" s="1340" t="s">
        <v>5</v>
      </c>
      <c r="I5" s="1309" t="s">
        <v>6</v>
      </c>
      <c r="J5" s="1292"/>
      <c r="K5" s="1293"/>
      <c r="L5" s="1341" t="s">
        <v>7</v>
      </c>
      <c r="M5" s="1293"/>
      <c r="N5" s="1302" t="s">
        <v>8</v>
      </c>
      <c r="O5" s="1292"/>
      <c r="P5" s="1293"/>
      <c r="Q5" s="1303" t="s">
        <v>7</v>
      </c>
      <c r="R5" s="1293"/>
      <c r="S5" s="1302" t="s">
        <v>8</v>
      </c>
      <c r="T5" s="1292"/>
      <c r="U5" s="1293"/>
    </row>
    <row r="6" spans="1:21" ht="15.75" customHeight="1" x14ac:dyDescent="0.3">
      <c r="A6" s="1291"/>
      <c r="B6" s="1292"/>
      <c r="C6" s="1292"/>
      <c r="D6" s="1292"/>
      <c r="E6" s="1292"/>
      <c r="F6" s="1292"/>
      <c r="G6" s="1293"/>
      <c r="H6" s="1342"/>
      <c r="I6" s="6" t="s">
        <v>9</v>
      </c>
      <c r="J6" s="7" t="s">
        <v>10</v>
      </c>
      <c r="K6" s="6" t="s">
        <v>11</v>
      </c>
      <c r="L6" s="1343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x14ac:dyDescent="0.2">
      <c r="A7" s="1344"/>
      <c r="B7" s="1292"/>
      <c r="C7" s="1292"/>
      <c r="D7" s="1292"/>
      <c r="E7" s="1292"/>
      <c r="F7" s="1292"/>
      <c r="G7" s="1293"/>
      <c r="H7" s="14"/>
      <c r="I7" s="15"/>
      <c r="J7" s="15"/>
      <c r="K7" s="16"/>
      <c r="L7" s="1345"/>
      <c r="M7" s="16"/>
      <c r="N7" s="16"/>
      <c r="O7" s="16"/>
      <c r="P7" s="16"/>
      <c r="Q7" s="16"/>
      <c r="R7" s="16"/>
      <c r="S7" s="16"/>
      <c r="T7" s="16"/>
      <c r="U7" s="16"/>
    </row>
    <row r="8" spans="1:21" ht="12.75" x14ac:dyDescent="0.2">
      <c r="A8" s="17"/>
      <c r="B8" s="18"/>
      <c r="C8" s="18"/>
      <c r="D8" s="18"/>
      <c r="E8" s="18"/>
      <c r="F8" s="18"/>
      <c r="G8" s="19"/>
      <c r="H8" s="19"/>
      <c r="I8" s="20"/>
      <c r="J8" s="20"/>
      <c r="K8" s="21"/>
      <c r="L8" s="1346"/>
      <c r="M8" s="21"/>
      <c r="N8" s="21"/>
      <c r="O8" s="21"/>
      <c r="P8" s="21"/>
      <c r="Q8" s="21"/>
      <c r="R8" s="21"/>
      <c r="S8" s="21"/>
      <c r="T8" s="21"/>
      <c r="U8" s="21"/>
    </row>
    <row r="9" spans="1:21" ht="12.75" x14ac:dyDescent="0.2">
      <c r="A9" s="17"/>
      <c r="B9" s="18"/>
      <c r="C9" s="18"/>
      <c r="D9" s="18"/>
      <c r="E9" s="18"/>
      <c r="F9" s="18"/>
      <c r="G9" s="19"/>
      <c r="H9" s="19"/>
      <c r="I9" s="20"/>
      <c r="J9" s="20"/>
      <c r="K9" s="21"/>
      <c r="L9" s="1346"/>
      <c r="M9" s="21"/>
      <c r="N9" s="21"/>
      <c r="O9" s="21"/>
      <c r="P9" s="21"/>
      <c r="Q9" s="21"/>
      <c r="R9" s="21"/>
      <c r="S9" s="21"/>
      <c r="T9" s="21"/>
      <c r="U9" s="21"/>
    </row>
    <row r="10" spans="1:21" ht="12.75" x14ac:dyDescent="0.2">
      <c r="A10" s="17"/>
      <c r="B10" s="18"/>
      <c r="C10" s="18"/>
      <c r="D10" s="18"/>
      <c r="E10" s="18"/>
      <c r="F10" s="18"/>
      <c r="G10" s="19"/>
      <c r="H10" s="19"/>
      <c r="I10" s="20"/>
      <c r="J10" s="20"/>
      <c r="K10" s="21"/>
      <c r="L10" s="1346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2.75" x14ac:dyDescent="0.2">
      <c r="A11" s="17"/>
      <c r="B11" s="18"/>
      <c r="C11" s="18"/>
      <c r="D11" s="18"/>
      <c r="E11" s="18"/>
      <c r="F11" s="18"/>
      <c r="G11" s="19"/>
      <c r="H11" s="19"/>
      <c r="I11" s="20"/>
      <c r="J11" s="20"/>
      <c r="K11" s="21"/>
      <c r="L11" s="1346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2.75" x14ac:dyDescent="0.2">
      <c r="A12" s="17"/>
      <c r="B12" s="18"/>
      <c r="C12" s="18"/>
      <c r="D12" s="18"/>
      <c r="E12" s="18"/>
      <c r="F12" s="18"/>
      <c r="G12" s="19"/>
      <c r="H12" s="19"/>
      <c r="I12" s="20"/>
      <c r="J12" s="20"/>
      <c r="K12" s="21"/>
      <c r="L12" s="1346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12.75" x14ac:dyDescent="0.2">
      <c r="A13" s="17"/>
      <c r="B13" s="18"/>
      <c r="C13" s="18"/>
      <c r="D13" s="18"/>
      <c r="E13" s="18"/>
      <c r="F13" s="18"/>
      <c r="G13" s="19"/>
      <c r="H13" s="19"/>
      <c r="I13" s="20"/>
      <c r="J13" s="20"/>
      <c r="K13" s="21"/>
      <c r="L13" s="1346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2.75" x14ac:dyDescent="0.2">
      <c r="A14" s="17"/>
      <c r="B14" s="18"/>
      <c r="C14" s="18"/>
      <c r="D14" s="18"/>
      <c r="E14" s="18"/>
      <c r="F14" s="18"/>
      <c r="G14" s="19"/>
      <c r="H14" s="19"/>
      <c r="I14" s="20"/>
      <c r="J14" s="20"/>
      <c r="K14" s="21"/>
      <c r="L14" s="1346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2.75" x14ac:dyDescent="0.2">
      <c r="A15" s="17"/>
      <c r="B15" s="18"/>
      <c r="C15" s="18"/>
      <c r="D15" s="18"/>
      <c r="E15" s="18"/>
      <c r="F15" s="18"/>
      <c r="G15" s="19"/>
      <c r="H15" s="19"/>
      <c r="I15" s="20"/>
      <c r="J15" s="20"/>
      <c r="K15" s="21"/>
      <c r="L15" s="1346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2.75" x14ac:dyDescent="0.2">
      <c r="A16" s="13"/>
      <c r="B16" s="22"/>
      <c r="C16" s="22"/>
      <c r="D16" s="22"/>
      <c r="E16" s="22"/>
      <c r="F16" s="22"/>
      <c r="G16" s="14"/>
      <c r="H16" s="14"/>
      <c r="I16" s="15"/>
      <c r="J16" s="15"/>
      <c r="K16" s="16"/>
      <c r="L16" s="1345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15.75" customHeight="1" x14ac:dyDescent="0.3">
      <c r="A17" s="1295" t="s">
        <v>298</v>
      </c>
      <c r="B17" s="1292"/>
      <c r="C17" s="1292"/>
      <c r="D17" s="1292"/>
      <c r="E17" s="1292"/>
      <c r="F17" s="1292"/>
      <c r="G17" s="1293"/>
      <c r="H17" s="23"/>
      <c r="I17" s="24"/>
      <c r="J17" s="24"/>
      <c r="K17" s="25"/>
      <c r="L17" s="1347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5.75" customHeight="1" x14ac:dyDescent="0.3">
      <c r="A18" s="26"/>
      <c r="B18" s="27"/>
      <c r="C18" s="28" t="s">
        <v>18</v>
      </c>
      <c r="D18" s="29" t="s">
        <v>19</v>
      </c>
      <c r="E18" s="27"/>
      <c r="F18" s="27"/>
      <c r="G18" s="30"/>
      <c r="H18" s="31" t="s">
        <v>14</v>
      </c>
      <c r="I18" s="32"/>
      <c r="J18" s="32"/>
      <c r="K18" s="33"/>
      <c r="L18" s="1348">
        <f ca="1">L19+L20</f>
        <v>3366908</v>
      </c>
      <c r="M18" s="1349">
        <f ca="1">M19+M20</f>
        <v>3264696</v>
      </c>
      <c r="N18" s="1349">
        <f ca="1">N19+N20</f>
        <v>2030220.95</v>
      </c>
      <c r="O18" s="1349">
        <f ca="1">IF(L18&gt;0,N18*100/L18,0)</f>
        <v>60.299270131527209</v>
      </c>
      <c r="P18" s="1349">
        <f ca="1">IF(M18&gt;0,N18*100/M18,0)</f>
        <v>62.187136260160209</v>
      </c>
      <c r="Q18" s="1349">
        <f ca="1">Q19+Q20</f>
        <v>2189703.39</v>
      </c>
      <c r="R18" s="1349">
        <f ca="1">R19+R20</f>
        <v>2189703</v>
      </c>
      <c r="S18" s="1349">
        <f ca="1">S19+S20</f>
        <v>657151.66</v>
      </c>
      <c r="T18" s="1349">
        <f ca="1">IF(Q18&gt;0,S18*100/Q18,0)</f>
        <v>30.010989753274298</v>
      </c>
      <c r="U18" s="1349">
        <f ca="1">IF(R18&gt;0,S18*100/R18,0)</f>
        <v>30.010995098422022</v>
      </c>
    </row>
    <row r="19" spans="1:21" ht="15.75" customHeight="1" x14ac:dyDescent="0.25">
      <c r="A19" s="26"/>
      <c r="B19" s="27"/>
      <c r="C19" s="27"/>
      <c r="D19" s="27"/>
      <c r="E19" s="1350" t="s">
        <v>20</v>
      </c>
      <c r="F19" s="27"/>
      <c r="G19" s="30"/>
      <c r="H19" s="1351" t="s">
        <v>14</v>
      </c>
      <c r="I19" s="32"/>
      <c r="J19" s="32"/>
      <c r="K19" s="33"/>
      <c r="L19" s="1352">
        <f>L22+L25</f>
        <v>0</v>
      </c>
      <c r="M19" s="1353">
        <f>M22+M25</f>
        <v>0</v>
      </c>
      <c r="N19" s="1353">
        <f>N22+N25</f>
        <v>0</v>
      </c>
      <c r="O19" s="1353">
        <f>IF(L19&gt;0,N19*100/L19,0)</f>
        <v>0</v>
      </c>
      <c r="P19" s="1353">
        <f>IF(M19&gt;0,N19*100/M19,0)</f>
        <v>0</v>
      </c>
      <c r="Q19" s="1353">
        <f>Q22+Q25</f>
        <v>0</v>
      </c>
      <c r="R19" s="1353">
        <f>R22+R25</f>
        <v>0</v>
      </c>
      <c r="S19" s="1353">
        <f>S22+S25</f>
        <v>0</v>
      </c>
      <c r="T19" s="1353">
        <f>IF(Q19&gt;0,S19*100/Q19,0)</f>
        <v>0</v>
      </c>
      <c r="U19" s="1353">
        <f>IF(R19&gt;0,S19*100/R19,0)</f>
        <v>0</v>
      </c>
    </row>
    <row r="20" spans="1:21" ht="15.75" customHeight="1" x14ac:dyDescent="0.25">
      <c r="A20" s="26"/>
      <c r="B20" s="27"/>
      <c r="C20" s="27"/>
      <c r="D20" s="27"/>
      <c r="E20" s="35" t="s">
        <v>21</v>
      </c>
      <c r="F20" s="27"/>
      <c r="G20" s="30"/>
      <c r="H20" s="36" t="s">
        <v>14</v>
      </c>
      <c r="I20" s="32"/>
      <c r="J20" s="32"/>
      <c r="K20" s="33"/>
      <c r="L20" s="1354">
        <f ca="1">L23+L26</f>
        <v>3366908</v>
      </c>
      <c r="M20" s="1355">
        <f ca="1">M23+M26</f>
        <v>3264696</v>
      </c>
      <c r="N20" s="1355">
        <f ca="1">N23+N26</f>
        <v>2030220.95</v>
      </c>
      <c r="O20" s="1355">
        <f ca="1">IF(L20&gt;0,N20*100/L20,0)</f>
        <v>60.299270131527209</v>
      </c>
      <c r="P20" s="1355">
        <f ca="1">IF(M20&gt;0,N20*100/M20,0)</f>
        <v>62.187136260160209</v>
      </c>
      <c r="Q20" s="1355">
        <f ca="1">Q23+Q26</f>
        <v>2189703.39</v>
      </c>
      <c r="R20" s="1355">
        <f ca="1">R23+R26</f>
        <v>2189703</v>
      </c>
      <c r="S20" s="1355">
        <f ca="1">S23+S26</f>
        <v>657151.66</v>
      </c>
      <c r="T20" s="1355">
        <f ca="1">IF(Q20&gt;0,S20*100/Q20,0)</f>
        <v>30.010989753274298</v>
      </c>
      <c r="U20" s="1355">
        <f ca="1">IF(R20&gt;0,S20*100/R20,0)</f>
        <v>30.010995098422022</v>
      </c>
    </row>
    <row r="21" spans="1:21" ht="15.75" customHeight="1" x14ac:dyDescent="0.25">
      <c r="A21" s="39"/>
      <c r="B21" s="40"/>
      <c r="C21" s="40"/>
      <c r="D21" s="41" t="s">
        <v>22</v>
      </c>
      <c r="E21" s="40"/>
      <c r="F21" s="40"/>
      <c r="G21" s="42"/>
      <c r="H21" s="43" t="s">
        <v>14</v>
      </c>
      <c r="I21" s="44"/>
      <c r="J21" s="44"/>
      <c r="K21" s="45"/>
      <c r="L21" s="1356">
        <f ca="1">L22+L23</f>
        <v>3366908</v>
      </c>
      <c r="M21" s="224">
        <f ca="1">M22+M23</f>
        <v>3264696</v>
      </c>
      <c r="N21" s="224">
        <f ca="1">N22+N23</f>
        <v>2030220.95</v>
      </c>
      <c r="O21" s="224">
        <f ca="1">IF(L21&gt;0,N21*100/L21,0)</f>
        <v>60.299270131527209</v>
      </c>
      <c r="P21" s="224">
        <f ca="1">IF(M21&gt;0,N21*100/M21,0)</f>
        <v>62.187136260160209</v>
      </c>
      <c r="Q21" s="224">
        <f ca="1">Q22+Q23</f>
        <v>2189703.39</v>
      </c>
      <c r="R21" s="224">
        <f ca="1">R22+R23</f>
        <v>2189703</v>
      </c>
      <c r="S21" s="224">
        <f ca="1">S22+S23</f>
        <v>657151.66</v>
      </c>
      <c r="T21" s="224">
        <f ca="1">IF(Q21&gt;0,S21*100/Q21,0)</f>
        <v>30.010989753274298</v>
      </c>
      <c r="U21" s="224">
        <f ca="1">IF(R21&gt;0,S21*100/R21,0)</f>
        <v>30.010995098422022</v>
      </c>
    </row>
    <row r="22" spans="1:21" ht="15.75" customHeight="1" x14ac:dyDescent="0.25">
      <c r="A22" s="39"/>
      <c r="B22" s="40"/>
      <c r="C22" s="40"/>
      <c r="D22" s="40"/>
      <c r="E22" s="156" t="s">
        <v>20</v>
      </c>
      <c r="F22" s="40"/>
      <c r="G22" s="42"/>
      <c r="H22" s="1357" t="s">
        <v>14</v>
      </c>
      <c r="I22" s="44"/>
      <c r="J22" s="44"/>
      <c r="K22" s="45"/>
      <c r="L22" s="1358">
        <f>L48+L63+L76+L98+L129+L143+L161+L190+L177+L270+L286+L307+L324+L337+L360+L517</f>
        <v>0</v>
      </c>
      <c r="M22" s="83">
        <f>M48+M63+M76+M98+M129+M143+M161+M190+M177+M270+M286+M307+M324+M337+M360+M517</f>
        <v>0</v>
      </c>
      <c r="N22" s="83">
        <f>N48+N63+N76+N98+N129+N143+N161+N190+N177+N270+N286+N307+N324+N337+N360+N517</f>
        <v>0</v>
      </c>
      <c r="O22" s="83">
        <f>IF(L22&gt;0,N22*100/L22,0)</f>
        <v>0</v>
      </c>
      <c r="P22" s="83">
        <f>IF(M22&gt;0,N22*100/M22,0)</f>
        <v>0</v>
      </c>
      <c r="Q22" s="83">
        <f>Q76+Q98+Q121+Q143+Q161+Q177+Q190+Q270+Q286+Q307+Q337+Q379+Q396+Q417+Q497+Q603+Q620+Q646+Q694+Q718+Q732+Q764</f>
        <v>0</v>
      </c>
      <c r="R22" s="83">
        <f>R76+R98+R121+R143+R161+R177+R190+R270+R286+R307+R337+R379+R396+R417+R497+R603+R620+R646+R694+R718+R732+R764</f>
        <v>0</v>
      </c>
      <c r="S22" s="83">
        <f>S76+S98+S121+S143+S161+S177+S190+S270+S286+S307+S337+S379+S396+S417+S497+S603+S620+S646+S694+S718+S732+S764</f>
        <v>0</v>
      </c>
      <c r="T22" s="83">
        <f>IF(Q22&gt;0,S22*100/Q22,0)</f>
        <v>0</v>
      </c>
      <c r="U22" s="83">
        <f>IF(R22&gt;0,S22*100/R22,0)</f>
        <v>0</v>
      </c>
    </row>
    <row r="23" spans="1:21" ht="15.75" customHeight="1" x14ac:dyDescent="0.25">
      <c r="A23" s="39"/>
      <c r="B23" s="40"/>
      <c r="C23" s="40"/>
      <c r="D23" s="40"/>
      <c r="E23" s="47" t="s">
        <v>21</v>
      </c>
      <c r="F23" s="40"/>
      <c r="G23" s="42"/>
      <c r="H23" s="43" t="s">
        <v>14</v>
      </c>
      <c r="I23" s="44"/>
      <c r="J23" s="44"/>
      <c r="K23" s="45"/>
      <c r="L23" s="1356">
        <f ca="1">L49+L64+L77+L99+L130+L144+L162+L191+L178+L271+L287+L308+L325+L338+L361+L518</f>
        <v>3366908</v>
      </c>
      <c r="M23" s="224">
        <f ca="1">M49+M64+M77+M99+M130+M144+M162+M191+M178+M271+M287+M308+M325+M338+M361+M518</f>
        <v>3264696</v>
      </c>
      <c r="N23" s="224">
        <f ca="1">N49+N64+N77+N99+N130+N144+N162+N191+N178+N271+N287+N308+N325+N338+N361+N518</f>
        <v>2030220.95</v>
      </c>
      <c r="O23" s="224">
        <f ca="1">IF(L23&gt;0,N23*100/L23,0)</f>
        <v>60.299270131527209</v>
      </c>
      <c r="P23" s="224">
        <f ca="1">IF(M23&gt;0,N23*100/M23,0)</f>
        <v>62.187136260160209</v>
      </c>
      <c r="Q23" s="224">
        <f ca="1">Q77+Q99+Q122+Q144+Q162+Q178+Q191+Q271+Q287+Q308+Q338+Q380+Q397+Q418+Q498+Q604+Q621+Q647+Q695+Q719+Q733+Q765</f>
        <v>2189703.39</v>
      </c>
      <c r="R23" s="224">
        <f ca="1">R77+R99+R122+R144+R162+R178+R191+R271+R287+R308+R338+R380+R397+R418+R498+R604+R621+R647+R695+R719+R733+R765</f>
        <v>2189703</v>
      </c>
      <c r="S23" s="224">
        <f ca="1">S77+S99+S122+S144+S162+S178+S191+S271+S287+S308+S338+S380+S397+S418+S498+S604+S621+S647+S695+S719+S733+S765</f>
        <v>657151.66</v>
      </c>
      <c r="T23" s="224">
        <f ca="1">IF(Q23&gt;0,S23*100/Q23,0)</f>
        <v>30.010989753274298</v>
      </c>
      <c r="U23" s="224">
        <f ca="1">IF(R23&gt;0,S23*100/R23,0)</f>
        <v>30.010995098422022</v>
      </c>
    </row>
    <row r="24" spans="1:21" ht="15.75" customHeight="1" x14ac:dyDescent="0.25">
      <c r="A24" s="39"/>
      <c r="B24" s="40"/>
      <c r="C24" s="40"/>
      <c r="D24" s="41" t="s">
        <v>23</v>
      </c>
      <c r="E24" s="40"/>
      <c r="F24" s="40"/>
      <c r="G24" s="42"/>
      <c r="H24" s="43" t="s">
        <v>14</v>
      </c>
      <c r="I24" s="44"/>
      <c r="J24" s="44"/>
      <c r="K24" s="45"/>
      <c r="L24" s="1356">
        <f ca="1">L25+L26</f>
        <v>0</v>
      </c>
      <c r="M24" s="224">
        <f ca="1">M25+M26</f>
        <v>0</v>
      </c>
      <c r="N24" s="224">
        <f ca="1">N25+N26</f>
        <v>0</v>
      </c>
      <c r="O24" s="224">
        <f ca="1">IF(L24&gt;0,N24*100/L24,0)</f>
        <v>0</v>
      </c>
      <c r="P24" s="224">
        <f ca="1">IF(M24&gt;0,N24*100/M24,0)</f>
        <v>0</v>
      </c>
      <c r="Q24" s="224">
        <f ca="1">Q25+Q26</f>
        <v>0</v>
      </c>
      <c r="R24" s="224">
        <f ca="1">R25+R26</f>
        <v>0</v>
      </c>
      <c r="S24" s="224">
        <f ca="1">S25+S26</f>
        <v>0</v>
      </c>
      <c r="T24" s="224">
        <f ca="1">IF(Q24&gt;0,S24*100/Q24,0)</f>
        <v>0</v>
      </c>
      <c r="U24" s="224">
        <f ca="1">IF(R24&gt;0,S24*100/R24,0)</f>
        <v>0</v>
      </c>
    </row>
    <row r="25" spans="1:21" ht="15.75" customHeight="1" x14ac:dyDescent="0.25">
      <c r="A25" s="39"/>
      <c r="B25" s="40"/>
      <c r="C25" s="40"/>
      <c r="D25" s="40"/>
      <c r="E25" s="156" t="s">
        <v>20</v>
      </c>
      <c r="F25" s="40"/>
      <c r="G25" s="42"/>
      <c r="H25" s="1357" t="s">
        <v>14</v>
      </c>
      <c r="I25" s="44"/>
      <c r="J25" s="44"/>
      <c r="K25" s="45"/>
      <c r="L25" s="1358">
        <f>L51+L66+L79+L101+L132+L146+L164+L193+L180+L273+L289+L310+L327+L340+L363+L520</f>
        <v>0</v>
      </c>
      <c r="M25" s="83">
        <f>M51+M66+M79+M101+M132+M146+M164+M193+M180+M273+M289+M310+M327+M340+M363+M520</f>
        <v>0</v>
      </c>
      <c r="N25" s="83">
        <f>N51+N66+N79+N101+N132+N146+N164+N193+N180+N273+N289+N310+N327+N340+N363+N520</f>
        <v>0</v>
      </c>
      <c r="O25" s="83">
        <f>IF(L25&gt;0,N25*100/L25,0)</f>
        <v>0</v>
      </c>
      <c r="P25" s="83">
        <f>IF(M25&gt;0,N25*100/M25,0)</f>
        <v>0</v>
      </c>
      <c r="Q25" s="83">
        <f>Q79+Q101+Q124+Q146+Q164+Q180+Q193+Q273+Q289+Q310+Q340+Q382+Q399+Q420+Q500+Q606+Q623+Q649+Q697+Q721+Q735+Q767</f>
        <v>0</v>
      </c>
      <c r="R25" s="83">
        <f>R79+R101+R124+R146+R164+R180+R193+R273+R289+R310+R340+R382+R399+R420+R500+R606+R623+R649+R697+R721+R735+R767</f>
        <v>0</v>
      </c>
      <c r="S25" s="83">
        <f>S79+S101+S124+S146+S164+S180+S193+S273+S289+S310+S340+S382+S399+S420+S500+S606+S623+S649+S697+S721+S735+S767</f>
        <v>0</v>
      </c>
      <c r="T25" s="83">
        <f>IF(Q25&gt;0,S25*100/Q25,0)</f>
        <v>0</v>
      </c>
      <c r="U25" s="83">
        <f>IF(R25&gt;0,S25*100/R25,0)</f>
        <v>0</v>
      </c>
    </row>
    <row r="26" spans="1:21" ht="15.75" customHeight="1" x14ac:dyDescent="0.25">
      <c r="A26" s="39"/>
      <c r="B26" s="40"/>
      <c r="C26" s="40"/>
      <c r="D26" s="40"/>
      <c r="E26" s="47" t="s">
        <v>21</v>
      </c>
      <c r="F26" s="40"/>
      <c r="G26" s="42"/>
      <c r="H26" s="43" t="s">
        <v>14</v>
      </c>
      <c r="I26" s="44"/>
      <c r="J26" s="44"/>
      <c r="K26" s="45"/>
      <c r="L26" s="1356">
        <f ca="1">L52+L67+L80+L102+L133+L147+L165+L194+L181+L274+L290+L311+L328+L341+L364+L521</f>
        <v>0</v>
      </c>
      <c r="M26" s="224">
        <f ca="1">M52+M67+M80+M102+M133+M147+M165+M194+M181+M274+M290+M311+M328+M341+M364+M521</f>
        <v>0</v>
      </c>
      <c r="N26" s="224">
        <f ca="1">N52+N67+N80+N102+N133+N147+N165+N194+N181+N274+N290+N311+N328+N341+N364+N521</f>
        <v>0</v>
      </c>
      <c r="O26" s="224">
        <f ca="1">IF(L26&gt;0,N26*100/L26,0)</f>
        <v>0</v>
      </c>
      <c r="P26" s="224">
        <f ca="1">IF(M26&gt;0,N26*100/M26,0)</f>
        <v>0</v>
      </c>
      <c r="Q26" s="83">
        <f ca="1">Q80+Q102+Q125+Q147+Q165+Q181+Q194+Q274+Q290+Q311+Q341+Q383+Q400+Q421+Q501+Q607+Q624+Q650+Q698+Q722+Q736+Q768</f>
        <v>0</v>
      </c>
      <c r="R26" s="83">
        <f ca="1">R80+R102+R125+R147+R165+R181+R194+R274+R290+R311+R341+R383+R400+R421+R501+R607+R624+R650+R698+R722+R736+R768</f>
        <v>0</v>
      </c>
      <c r="S26" s="83">
        <f ca="1">S80+S102+S125+S147+S165+S181+S194+S274+S290+S311+S341+S383+S400+S421+S501+S607+S624+S650+S698+S722+S736+S768</f>
        <v>0</v>
      </c>
      <c r="T26" s="224">
        <f ca="1">IF(Q26&gt;0,S26*100/Q26,0)</f>
        <v>0</v>
      </c>
      <c r="U26" s="224">
        <f ca="1">IF(R26&gt;0,S26*100/R26,0)</f>
        <v>0</v>
      </c>
    </row>
    <row r="27" spans="1:21" ht="15.75" customHeight="1" x14ac:dyDescent="0.25">
      <c r="A27" s="39"/>
      <c r="B27" s="40"/>
      <c r="C27" s="40"/>
      <c r="D27" s="41" t="s">
        <v>24</v>
      </c>
      <c r="E27" s="40"/>
      <c r="F27" s="40"/>
      <c r="G27" s="42"/>
      <c r="H27" s="43" t="s">
        <v>14</v>
      </c>
      <c r="I27" s="44"/>
      <c r="J27" s="44"/>
      <c r="K27" s="45"/>
      <c r="L27" s="1359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5.75" customHeight="1" x14ac:dyDescent="0.25">
      <c r="A28" s="39"/>
      <c r="B28" s="40"/>
      <c r="C28" s="40"/>
      <c r="D28" s="40"/>
      <c r="E28" s="156" t="s">
        <v>20</v>
      </c>
      <c r="F28" s="40"/>
      <c r="G28" s="42"/>
      <c r="H28" s="1357" t="s">
        <v>14</v>
      </c>
      <c r="I28" s="44"/>
      <c r="J28" s="44"/>
      <c r="K28" s="45"/>
      <c r="L28" s="1359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15.75" customHeight="1" x14ac:dyDescent="0.25">
      <c r="A29" s="50"/>
      <c r="B29" s="1"/>
      <c r="C29" s="1"/>
      <c r="D29" s="1"/>
      <c r="E29" s="51" t="s">
        <v>21</v>
      </c>
      <c r="F29" s="1"/>
      <c r="G29" s="52"/>
      <c r="H29" s="53" t="s">
        <v>14</v>
      </c>
      <c r="I29" s="54"/>
      <c r="J29" s="54"/>
      <c r="K29" s="3"/>
      <c r="L29" s="1360"/>
      <c r="M29" s="3"/>
      <c r="N29" s="3"/>
      <c r="O29" s="3"/>
      <c r="P29" s="3"/>
      <c r="Q29" s="3"/>
      <c r="R29" s="3"/>
      <c r="S29" s="3"/>
      <c r="T29" s="3"/>
      <c r="U29" s="3"/>
    </row>
    <row r="30" spans="1:21" ht="12.75" x14ac:dyDescent="0.2">
      <c r="A30" s="1344"/>
      <c r="B30" s="1292"/>
      <c r="C30" s="1292"/>
      <c r="D30" s="1292"/>
      <c r="E30" s="1292"/>
      <c r="F30" s="1292"/>
      <c r="G30" s="1293"/>
      <c r="H30" s="14"/>
      <c r="I30" s="15"/>
      <c r="J30" s="15"/>
      <c r="K30" s="16"/>
      <c r="L30" s="1345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2.75" x14ac:dyDescent="0.2">
      <c r="A31" s="17"/>
      <c r="B31" s="18"/>
      <c r="C31" s="18"/>
      <c r="D31" s="18"/>
      <c r="E31" s="18"/>
      <c r="F31" s="18"/>
      <c r="G31" s="19"/>
      <c r="H31" s="19"/>
      <c r="I31" s="20"/>
      <c r="J31" s="20"/>
      <c r="K31" s="21"/>
      <c r="L31" s="1346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2.75" x14ac:dyDescent="0.2">
      <c r="A32" s="17"/>
      <c r="B32" s="18"/>
      <c r="C32" s="18"/>
      <c r="D32" s="18"/>
      <c r="E32" s="18"/>
      <c r="F32" s="18"/>
      <c r="G32" s="19"/>
      <c r="H32" s="19"/>
      <c r="I32" s="20"/>
      <c r="J32" s="20"/>
      <c r="K32" s="21"/>
      <c r="L32" s="1346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2.75" x14ac:dyDescent="0.2">
      <c r="A33" s="17"/>
      <c r="B33" s="18"/>
      <c r="C33" s="18"/>
      <c r="D33" s="18"/>
      <c r="E33" s="18"/>
      <c r="F33" s="18"/>
      <c r="G33" s="19"/>
      <c r="H33" s="19"/>
      <c r="I33" s="20"/>
      <c r="J33" s="20"/>
      <c r="K33" s="21"/>
      <c r="L33" s="1346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2.75" x14ac:dyDescent="0.2">
      <c r="A34" s="17"/>
      <c r="B34" s="18"/>
      <c r="C34" s="18"/>
      <c r="D34" s="18"/>
      <c r="E34" s="18"/>
      <c r="F34" s="18"/>
      <c r="G34" s="19"/>
      <c r="H34" s="19"/>
      <c r="I34" s="20"/>
      <c r="J34" s="20"/>
      <c r="K34" s="21"/>
      <c r="L34" s="1346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2.75" x14ac:dyDescent="0.2">
      <c r="A35" s="17"/>
      <c r="B35" s="18"/>
      <c r="C35" s="18"/>
      <c r="D35" s="18"/>
      <c r="E35" s="18"/>
      <c r="F35" s="18"/>
      <c r="G35" s="19"/>
      <c r="H35" s="19"/>
      <c r="I35" s="20"/>
      <c r="J35" s="20"/>
      <c r="K35" s="21"/>
      <c r="L35" s="1346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2.75" x14ac:dyDescent="0.2">
      <c r="A36" s="17"/>
      <c r="B36" s="18"/>
      <c r="C36" s="18"/>
      <c r="D36" s="18"/>
      <c r="E36" s="18"/>
      <c r="F36" s="18"/>
      <c r="G36" s="19"/>
      <c r="H36" s="19"/>
      <c r="I36" s="20"/>
      <c r="J36" s="20"/>
      <c r="K36" s="21"/>
      <c r="L36" s="1346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2.75" x14ac:dyDescent="0.2">
      <c r="A37" s="17"/>
      <c r="B37" s="18"/>
      <c r="C37" s="18"/>
      <c r="D37" s="18"/>
      <c r="E37" s="18"/>
      <c r="F37" s="18"/>
      <c r="G37" s="19"/>
      <c r="H37" s="19"/>
      <c r="I37" s="20"/>
      <c r="J37" s="20"/>
      <c r="K37" s="21"/>
      <c r="L37" s="1346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2.75" x14ac:dyDescent="0.2">
      <c r="A38" s="17"/>
      <c r="B38" s="18"/>
      <c r="C38" s="18"/>
      <c r="D38" s="18"/>
      <c r="E38" s="18"/>
      <c r="F38" s="18"/>
      <c r="G38" s="19"/>
      <c r="H38" s="19"/>
      <c r="I38" s="20"/>
      <c r="J38" s="20"/>
      <c r="K38" s="21"/>
      <c r="L38" s="1346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2.75" x14ac:dyDescent="0.2">
      <c r="A39" s="13"/>
      <c r="B39" s="22"/>
      <c r="C39" s="22"/>
      <c r="D39" s="22"/>
      <c r="E39" s="22"/>
      <c r="F39" s="22"/>
      <c r="G39" s="14"/>
      <c r="H39" s="14"/>
      <c r="I39" s="15"/>
      <c r="J39" s="15"/>
      <c r="K39" s="16"/>
      <c r="L39" s="1345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9.5" x14ac:dyDescent="0.3">
      <c r="A40" s="55" t="s">
        <v>25</v>
      </c>
      <c r="B40" s="56"/>
      <c r="C40" s="56"/>
      <c r="D40" s="56"/>
      <c r="E40" s="56"/>
      <c r="F40" s="56"/>
      <c r="G40" s="57"/>
      <c r="H40" s="57"/>
      <c r="I40" s="58"/>
      <c r="J40" s="58"/>
      <c r="K40" s="59"/>
      <c r="L40" s="1361">
        <f ca="1">L44+L59+L72+L94+L125+L139+L157+L173+L186+L266+L282+L303+L320+L333+L356</f>
        <v>3366908</v>
      </c>
      <c r="M40" s="1362">
        <f ca="1">M44+M59+M72+M94+M125+M139+M157+M173+M186+M266+M282+M303+M320+M333+M356</f>
        <v>3264696</v>
      </c>
      <c r="N40" s="1362">
        <f ca="1">N44+N59+N72+N94+N125+N139+N157+N173+N186+N266+N282+N303+N320+N333+N356</f>
        <v>2030220.95</v>
      </c>
      <c r="O40" s="1362">
        <f ca="1">IF(L40&gt;0,N40*100/L40,0)</f>
        <v>60.299270131527209</v>
      </c>
      <c r="P40" s="1362">
        <f ca="1">IF(M40&gt;0,N40*100/M40,0)</f>
        <v>62.187136260160209</v>
      </c>
      <c r="Q40" s="59"/>
      <c r="R40" s="59"/>
      <c r="S40" s="59"/>
      <c r="T40" s="59"/>
      <c r="U40" s="59"/>
    </row>
    <row r="41" spans="1:21" ht="19.5" x14ac:dyDescent="0.3">
      <c r="A41" s="60" t="s">
        <v>26</v>
      </c>
      <c r="B41" s="61"/>
      <c r="C41" s="61"/>
      <c r="D41" s="61"/>
      <c r="E41" s="61"/>
      <c r="F41" s="61"/>
      <c r="G41" s="61"/>
      <c r="H41" s="61"/>
      <c r="I41" s="62"/>
      <c r="J41" s="62"/>
      <c r="K41" s="63"/>
      <c r="L41" s="63"/>
      <c r="M41" s="63"/>
      <c r="N41" s="63"/>
      <c r="O41" s="63"/>
      <c r="P41" s="64"/>
      <c r="Q41" s="63"/>
      <c r="R41" s="63"/>
      <c r="S41" s="63"/>
      <c r="T41" s="63"/>
      <c r="U41" s="64"/>
    </row>
    <row r="42" spans="1:21" ht="19.5" x14ac:dyDescent="0.3">
      <c r="A42" s="65"/>
      <c r="B42" s="66" t="s">
        <v>27</v>
      </c>
      <c r="C42" s="65"/>
      <c r="D42" s="65"/>
      <c r="E42" s="65"/>
      <c r="F42" s="65"/>
      <c r="G42" s="67"/>
      <c r="H42" s="67"/>
      <c r="I42" s="68"/>
      <c r="J42" s="68"/>
      <c r="K42" s="69"/>
      <c r="L42" s="1363"/>
      <c r="M42" s="69"/>
      <c r="N42" s="69"/>
      <c r="O42" s="69"/>
      <c r="P42" s="69"/>
      <c r="Q42" s="69"/>
      <c r="R42" s="69"/>
      <c r="S42" s="69"/>
      <c r="T42" s="69"/>
      <c r="U42" s="69"/>
    </row>
    <row r="43" spans="1:21" ht="12.75" x14ac:dyDescent="0.2">
      <c r="A43" s="17"/>
      <c r="B43" s="18"/>
      <c r="C43" s="18"/>
      <c r="D43" s="18"/>
      <c r="E43" s="18"/>
      <c r="F43" s="18"/>
      <c r="G43" s="19"/>
      <c r="H43" s="19"/>
      <c r="I43" s="20"/>
      <c r="J43" s="20"/>
      <c r="K43" s="21"/>
      <c r="L43" s="1346"/>
      <c r="M43" s="21"/>
      <c r="N43" s="21"/>
      <c r="O43" s="21"/>
      <c r="P43" s="21"/>
      <c r="Q43" s="21"/>
      <c r="R43" s="21"/>
      <c r="S43" s="21"/>
      <c r="T43" s="21"/>
      <c r="U43" s="21"/>
    </row>
    <row r="44" spans="1:21" ht="19.5" x14ac:dyDescent="0.3">
      <c r="A44" s="70"/>
      <c r="B44" s="71"/>
      <c r="C44" s="72" t="s">
        <v>18</v>
      </c>
      <c r="D44" s="1364" t="s">
        <v>19</v>
      </c>
      <c r="E44" s="71"/>
      <c r="F44" s="71"/>
      <c r="G44" s="74"/>
      <c r="H44" s="75" t="s">
        <v>14</v>
      </c>
      <c r="I44" s="76"/>
      <c r="J44" s="76"/>
      <c r="K44" s="77"/>
      <c r="L44" s="1365">
        <f ca="1">L45+L46</f>
        <v>546100</v>
      </c>
      <c r="M44" s="1366">
        <f ca="1">M45+M46</f>
        <v>548483</v>
      </c>
      <c r="N44" s="1366">
        <f ca="1">N45+N46</f>
        <v>319048.95</v>
      </c>
      <c r="O44" s="1366">
        <f ca="1">IF(L44&gt;0,N44*100/L44,0)</f>
        <v>58.423173411463104</v>
      </c>
      <c r="P44" s="1366">
        <f ca="1">IF(M44&gt;0,N44*100/M44,0)</f>
        <v>58.169341620433087</v>
      </c>
      <c r="Q44" s="1366">
        <f>Q45+Q46</f>
        <v>0</v>
      </c>
      <c r="R44" s="1366">
        <f>R45+R46</f>
        <v>0</v>
      </c>
      <c r="S44" s="1366">
        <f>S45+S46</f>
        <v>0</v>
      </c>
      <c r="T44" s="1366">
        <f>IF(Q44&gt;0,S44*100/Q44,0)</f>
        <v>0</v>
      </c>
      <c r="U44" s="1366">
        <f>IF(R44&gt;0,S44*100/R44,0)</f>
        <v>0</v>
      </c>
    </row>
    <row r="45" spans="1:21" ht="18.75" x14ac:dyDescent="0.25">
      <c r="A45" s="70"/>
      <c r="B45" s="71"/>
      <c r="C45" s="71"/>
      <c r="D45" s="71"/>
      <c r="E45" s="1367" t="s">
        <v>20</v>
      </c>
      <c r="F45" s="71"/>
      <c r="G45" s="74"/>
      <c r="H45" s="1368" t="s">
        <v>14</v>
      </c>
      <c r="I45" s="76"/>
      <c r="J45" s="76"/>
      <c r="K45" s="77"/>
      <c r="L45" s="1369">
        <f>L48+L51</f>
        <v>0</v>
      </c>
      <c r="M45" s="1370">
        <f>M48+M51</f>
        <v>0</v>
      </c>
      <c r="N45" s="1370">
        <f>N48+N51</f>
        <v>0</v>
      </c>
      <c r="O45" s="1370">
        <f>IF(L45&gt;0,N45*100/L45,0)</f>
        <v>0</v>
      </c>
      <c r="P45" s="1370">
        <f>IF(M45&gt;0,N45*100/M45,0)</f>
        <v>0</v>
      </c>
      <c r="Q45" s="1370">
        <f>Q48+Q51</f>
        <v>0</v>
      </c>
      <c r="R45" s="1370">
        <f>R48+R51</f>
        <v>0</v>
      </c>
      <c r="S45" s="1370">
        <f>S48+S51</f>
        <v>0</v>
      </c>
      <c r="T45" s="1370">
        <f>IF(Q45&gt;0,S45*100/Q45,0)</f>
        <v>0</v>
      </c>
      <c r="U45" s="1370">
        <f>IF(R45&gt;0,S45*100/R45,0)</f>
        <v>0</v>
      </c>
    </row>
    <row r="46" spans="1:21" ht="18.75" x14ac:dyDescent="0.25">
      <c r="A46" s="70"/>
      <c r="B46" s="71"/>
      <c r="C46" s="71"/>
      <c r="D46" s="71"/>
      <c r="E46" s="79" t="s">
        <v>21</v>
      </c>
      <c r="F46" s="71"/>
      <c r="G46" s="74"/>
      <c r="H46" s="80" t="s">
        <v>14</v>
      </c>
      <c r="I46" s="76"/>
      <c r="J46" s="76"/>
      <c r="K46" s="77"/>
      <c r="L46" s="1371">
        <f ca="1">L49+L52</f>
        <v>546100</v>
      </c>
      <c r="M46" s="1372">
        <f ca="1">M49+M52</f>
        <v>548483</v>
      </c>
      <c r="N46" s="1372">
        <f ca="1">N49+N52</f>
        <v>319048.95</v>
      </c>
      <c r="O46" s="1372">
        <f ca="1">IF(L46&gt;0,N46*100/L46,0)</f>
        <v>58.423173411463104</v>
      </c>
      <c r="P46" s="1372">
        <f ca="1">IF(M46&gt;0,N46*100/M46,0)</f>
        <v>58.169341620433087</v>
      </c>
      <c r="Q46" s="1372">
        <f>Q49+Q52</f>
        <v>0</v>
      </c>
      <c r="R46" s="1372">
        <f>R49+R52</f>
        <v>0</v>
      </c>
      <c r="S46" s="1372">
        <f>S49+S52</f>
        <v>0</v>
      </c>
      <c r="T46" s="1372">
        <f>IF(Q46&gt;0,S46*100/Q46,0)</f>
        <v>0</v>
      </c>
      <c r="U46" s="1372">
        <f>IF(R46&gt;0,S46*100/R46,0)</f>
        <v>0</v>
      </c>
    </row>
    <row r="47" spans="1:21" ht="18.75" x14ac:dyDescent="0.25">
      <c r="A47" s="39"/>
      <c r="B47" s="40"/>
      <c r="C47" s="40"/>
      <c r="D47" s="41" t="s">
        <v>22</v>
      </c>
      <c r="E47" s="40"/>
      <c r="F47" s="40"/>
      <c r="G47" s="42"/>
      <c r="H47" s="43" t="s">
        <v>14</v>
      </c>
      <c r="I47" s="44"/>
      <c r="J47" s="44"/>
      <c r="K47" s="45"/>
      <c r="L47" s="1356">
        <f ca="1">L48+L49</f>
        <v>546100</v>
      </c>
      <c r="M47" s="224">
        <f ca="1">M48+M49</f>
        <v>548483</v>
      </c>
      <c r="N47" s="224">
        <f ca="1">N48+N49</f>
        <v>319048.95</v>
      </c>
      <c r="O47" s="224">
        <f ca="1">IF(L47&gt;0,N47*100/L47,0)</f>
        <v>58.423173411463104</v>
      </c>
      <c r="P47" s="224">
        <f ca="1">IF(M47&gt;0,N47*100/M47,0)</f>
        <v>58.169341620433087</v>
      </c>
      <c r="Q47" s="224">
        <f>Q48+Q49</f>
        <v>0</v>
      </c>
      <c r="R47" s="224">
        <f>R48+R49</f>
        <v>0</v>
      </c>
      <c r="S47" s="224">
        <f>S48+S49</f>
        <v>0</v>
      </c>
      <c r="T47" s="224">
        <f>IF(Q47&gt;0,S47*100/Q47,0)</f>
        <v>0</v>
      </c>
      <c r="U47" s="224">
        <f>IF(R47&gt;0,S47*100/R47,0)</f>
        <v>0</v>
      </c>
    </row>
    <row r="48" spans="1:21" ht="18.75" x14ac:dyDescent="0.25">
      <c r="A48" s="39"/>
      <c r="B48" s="40"/>
      <c r="C48" s="40"/>
      <c r="D48" s="40"/>
      <c r="E48" s="156" t="s">
        <v>20</v>
      </c>
      <c r="F48" s="40"/>
      <c r="G48" s="42"/>
      <c r="H48" s="1357" t="s">
        <v>14</v>
      </c>
      <c r="I48" s="44"/>
      <c r="J48" s="44"/>
      <c r="K48" s="45"/>
      <c r="L48" s="1358">
        <v>0</v>
      </c>
      <c r="M48" s="83">
        <v>0</v>
      </c>
      <c r="N48" s="83">
        <v>0</v>
      </c>
      <c r="O48" s="83">
        <f>IF(L48&gt;0,N48*100/L48,0)</f>
        <v>0</v>
      </c>
      <c r="P48" s="83">
        <f>IF(M48&gt;0,N48*100/M48,0)</f>
        <v>0</v>
      </c>
      <c r="Q48" s="83">
        <v>0</v>
      </c>
      <c r="R48" s="83">
        <v>0</v>
      </c>
      <c r="S48" s="83">
        <v>0</v>
      </c>
      <c r="T48" s="83">
        <f>IF(Q48&gt;0,S48*100/Q48,0)</f>
        <v>0</v>
      </c>
      <c r="U48" s="83">
        <f>IF(R48&gt;0,S48*100/R48,0)</f>
        <v>0</v>
      </c>
    </row>
    <row r="49" spans="1:21" ht="18.75" x14ac:dyDescent="0.25">
      <c r="A49" s="39"/>
      <c r="B49" s="40"/>
      <c r="C49" s="40"/>
      <c r="D49" s="40"/>
      <c r="E49" s="47" t="s">
        <v>21</v>
      </c>
      <c r="F49" s="40"/>
      <c r="G49" s="42"/>
      <c r="H49" s="43" t="s">
        <v>14</v>
      </c>
      <c r="I49" s="44"/>
      <c r="J49" s="44"/>
      <c r="K49" s="45"/>
      <c r="L49" s="1356">
        <f ca="1">IFERROR(__xludf.DUMMYFUNCTION("IMPORTRANGE(""https://docs.google.com/spreadsheets/d/1-uDff_7J0KD5mKrp0Vvzr7lt3OU09vwQwhkpOPPYv2Y/edit?usp=sharing"",""งบพรบ!P27"")"),546100)</f>
        <v>546100</v>
      </c>
      <c r="M49" s="224">
        <f ca="1">IFERROR(__xludf.DUMMYFUNCTION("IMPORTRANGE(""https://docs.google.com/spreadsheets/d/1-uDff_7J0KD5mKrp0Vvzr7lt3OU09vwQwhkpOPPYv2Y/edit?usp=sharing"",""งบพรบ!V27"")"),548483)</f>
        <v>548483</v>
      </c>
      <c r="N49" s="224">
        <f ca="1">IFERROR(__xludf.DUMMYFUNCTION("IMPORTRANGE(""https://docs.google.com/spreadsheets/d/1-uDff_7J0KD5mKrp0Vvzr7lt3OU09vwQwhkpOPPYv2Y/edit?usp=sharing"",""งบพรบ!Y27"")"),319048.95)</f>
        <v>319048.95</v>
      </c>
      <c r="O49" s="224">
        <f ca="1">IF(L49&gt;0,N49*100/L49,0)</f>
        <v>58.423173411463104</v>
      </c>
      <c r="P49" s="224">
        <f ca="1">IF(M49&gt;0,N49*100/M49,0)</f>
        <v>58.169341620433087</v>
      </c>
      <c r="Q49" s="224">
        <v>0</v>
      </c>
      <c r="R49" s="224">
        <v>0</v>
      </c>
      <c r="S49" s="224">
        <v>0</v>
      </c>
      <c r="T49" s="224">
        <f>IF(Q49&gt;0,S49*100/Q49,0)</f>
        <v>0</v>
      </c>
      <c r="U49" s="224">
        <f>IF(R49&gt;0,S49*100/R49,0)</f>
        <v>0</v>
      </c>
    </row>
    <row r="50" spans="1:21" ht="18.75" x14ac:dyDescent="0.25">
      <c r="A50" s="39"/>
      <c r="B50" s="40"/>
      <c r="C50" s="40"/>
      <c r="D50" s="41" t="s">
        <v>23</v>
      </c>
      <c r="E50" s="40"/>
      <c r="F50" s="40"/>
      <c r="G50" s="42"/>
      <c r="H50" s="43" t="s">
        <v>14</v>
      </c>
      <c r="I50" s="44"/>
      <c r="J50" s="44"/>
      <c r="K50" s="45"/>
      <c r="L50" s="1356">
        <f ca="1">L51+L52</f>
        <v>0</v>
      </c>
      <c r="M50" s="224">
        <f ca="1">M51+M52</f>
        <v>0</v>
      </c>
      <c r="N50" s="224">
        <f ca="1">N51+N52</f>
        <v>0</v>
      </c>
      <c r="O50" s="224">
        <f ca="1">IF(L50&gt;0,N50*100/L50,0)</f>
        <v>0</v>
      </c>
      <c r="P50" s="224">
        <f ca="1">IF(M50&gt;0,N50*100/M50,0)</f>
        <v>0</v>
      </c>
      <c r="Q50" s="224">
        <f>Q51+Q52</f>
        <v>0</v>
      </c>
      <c r="R50" s="224">
        <f>R51+R52</f>
        <v>0</v>
      </c>
      <c r="S50" s="224">
        <f>S51+S52</f>
        <v>0</v>
      </c>
      <c r="T50" s="224">
        <f>IF(Q50&gt;0,S50*100/Q50,0)</f>
        <v>0</v>
      </c>
      <c r="U50" s="224">
        <f>IF(R50&gt;0,S50*100/R50,0)</f>
        <v>0</v>
      </c>
    </row>
    <row r="51" spans="1:21" ht="18.75" x14ac:dyDescent="0.25">
      <c r="A51" s="39"/>
      <c r="B51" s="40"/>
      <c r="C51" s="40"/>
      <c r="D51" s="40"/>
      <c r="E51" s="156" t="s">
        <v>20</v>
      </c>
      <c r="F51" s="40"/>
      <c r="G51" s="42"/>
      <c r="H51" s="1357" t="s">
        <v>14</v>
      </c>
      <c r="I51" s="44"/>
      <c r="J51" s="44"/>
      <c r="K51" s="45"/>
      <c r="L51" s="1358">
        <v>0</v>
      </c>
      <c r="M51" s="83">
        <v>0</v>
      </c>
      <c r="N51" s="83">
        <v>0</v>
      </c>
      <c r="O51" s="83">
        <f>IF(L51&gt;0,N51*100/L51,0)</f>
        <v>0</v>
      </c>
      <c r="P51" s="83">
        <f>IF(M51&gt;0,N51*100/M51,0)</f>
        <v>0</v>
      </c>
      <c r="Q51" s="83">
        <v>0</v>
      </c>
      <c r="R51" s="83">
        <v>0</v>
      </c>
      <c r="S51" s="83">
        <v>0</v>
      </c>
      <c r="T51" s="83">
        <f>IF(Q51&gt;0,S51*100/Q51,0)</f>
        <v>0</v>
      </c>
      <c r="U51" s="83">
        <f>IF(R51&gt;0,S51*100/R51,0)</f>
        <v>0</v>
      </c>
    </row>
    <row r="52" spans="1:21" ht="18.75" x14ac:dyDescent="0.25">
      <c r="A52" s="39"/>
      <c r="B52" s="40"/>
      <c r="C52" s="40"/>
      <c r="D52" s="40"/>
      <c r="E52" s="47" t="s">
        <v>21</v>
      </c>
      <c r="F52" s="40"/>
      <c r="G52" s="42"/>
      <c r="H52" s="43" t="s">
        <v>14</v>
      </c>
      <c r="I52" s="44"/>
      <c r="J52" s="44"/>
      <c r="K52" s="45"/>
      <c r="L52" s="1356">
        <f ca="1">IFERROR(__xludf.DUMMYFUNCTION("IMPORTRANGE(""https://docs.google.com/spreadsheets/d/1-uDff_7J0KD5mKrp0Vvzr7lt3OU09vwQwhkpOPPYv2Y/edit?usp=sharing"",""งบพรบ!S27"")"),0)</f>
        <v>0</v>
      </c>
      <c r="M52" s="224">
        <f ca="1">IFERROR(__xludf.DUMMYFUNCTION("IMPORTRANGE(""https://docs.google.com/spreadsheets/d/1-uDff_7J0KD5mKrp0Vvzr7lt3OU09vwQwhkpOPPYv2Y/edit?usp=sharing"",""งบพรบ!W27"")"),0)</f>
        <v>0</v>
      </c>
      <c r="N52" s="224">
        <f ca="1">IFERROR(__xludf.DUMMYFUNCTION("IMPORTRANGE(""https://docs.google.com/spreadsheets/d/1-uDff_7J0KD5mKrp0Vvzr7lt3OU09vwQwhkpOPPYv2Y/edit?usp=sharing"",""งบพรบ!Z27"")"),0)</f>
        <v>0</v>
      </c>
      <c r="O52" s="224">
        <f ca="1">IF(L52&gt;0,N52*100/L52,0)</f>
        <v>0</v>
      </c>
      <c r="P52" s="224">
        <f ca="1">IF(M52&gt;0,N52*100/M52,0)</f>
        <v>0</v>
      </c>
      <c r="Q52" s="224">
        <v>0</v>
      </c>
      <c r="R52" s="224">
        <v>0</v>
      </c>
      <c r="S52" s="224">
        <v>0</v>
      </c>
      <c r="T52" s="224">
        <f>IF(Q52&gt;0,S52*100/Q52,0)</f>
        <v>0</v>
      </c>
      <c r="U52" s="224">
        <f>IF(R52&gt;0,S52*100/R52,0)</f>
        <v>0</v>
      </c>
    </row>
    <row r="53" spans="1:21" ht="18.75" x14ac:dyDescent="0.25">
      <c r="A53" s="39"/>
      <c r="B53" s="40"/>
      <c r="C53" s="40"/>
      <c r="D53" s="41" t="s">
        <v>24</v>
      </c>
      <c r="E53" s="40"/>
      <c r="F53" s="40"/>
      <c r="G53" s="42"/>
      <c r="H53" s="43" t="s">
        <v>14</v>
      </c>
      <c r="I53" s="44"/>
      <c r="J53" s="44"/>
      <c r="K53" s="45"/>
      <c r="L53" s="1359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18.75" x14ac:dyDescent="0.25">
      <c r="A54" s="39"/>
      <c r="B54" s="40"/>
      <c r="C54" s="40"/>
      <c r="D54" s="40"/>
      <c r="E54" s="156" t="s">
        <v>20</v>
      </c>
      <c r="F54" s="40"/>
      <c r="G54" s="42"/>
      <c r="H54" s="1357" t="s">
        <v>14</v>
      </c>
      <c r="I54" s="44"/>
      <c r="J54" s="44"/>
      <c r="K54" s="45"/>
      <c r="L54" s="1359"/>
      <c r="M54" s="45"/>
      <c r="N54" s="45"/>
      <c r="O54" s="45"/>
      <c r="P54" s="45"/>
      <c r="Q54" s="45"/>
      <c r="R54" s="45"/>
      <c r="S54" s="45"/>
      <c r="T54" s="45"/>
      <c r="U54" s="45"/>
    </row>
    <row r="55" spans="1:21" ht="18.75" x14ac:dyDescent="0.25">
      <c r="A55" s="50"/>
      <c r="B55" s="1"/>
      <c r="C55" s="1"/>
      <c r="D55" s="1"/>
      <c r="E55" s="51" t="s">
        <v>21</v>
      </c>
      <c r="F55" s="1"/>
      <c r="G55" s="52"/>
      <c r="H55" s="53" t="s">
        <v>14</v>
      </c>
      <c r="I55" s="54"/>
      <c r="J55" s="54"/>
      <c r="K55" s="3"/>
      <c r="L55" s="1360"/>
      <c r="M55" s="3"/>
      <c r="N55" s="3"/>
      <c r="O55" s="3"/>
      <c r="P55" s="3"/>
      <c r="Q55" s="3"/>
      <c r="R55" s="3"/>
      <c r="S55" s="3"/>
      <c r="T55" s="3"/>
      <c r="U55" s="3"/>
    </row>
    <row r="56" spans="1:21" ht="19.5" x14ac:dyDescent="0.3">
      <c r="A56" s="1296" t="s">
        <v>28</v>
      </c>
      <c r="B56" s="1292"/>
      <c r="C56" s="1292"/>
      <c r="D56" s="1292"/>
      <c r="E56" s="1292"/>
      <c r="F56" s="1292"/>
      <c r="G56" s="1293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1297" t="s">
        <v>29</v>
      </c>
      <c r="C57" s="1285"/>
      <c r="D57" s="1285"/>
      <c r="E57" s="1285"/>
      <c r="F57" s="1285"/>
      <c r="G57" s="1286"/>
      <c r="H57" s="89"/>
      <c r="I57" s="90"/>
      <c r="J57" s="90"/>
      <c r="K57" s="91"/>
      <c r="L57" s="137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1374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1375" t="s">
        <v>19</v>
      </c>
      <c r="E59" s="99"/>
      <c r="F59" s="99"/>
      <c r="G59" s="102"/>
      <c r="H59" s="103" t="s">
        <v>14</v>
      </c>
      <c r="I59" s="104"/>
      <c r="J59" s="104"/>
      <c r="K59" s="105"/>
      <c r="L59" s="1376">
        <f ca="1">L60+L61</f>
        <v>791900</v>
      </c>
      <c r="M59" s="1377">
        <f ca="1">M60+M61</f>
        <v>791900</v>
      </c>
      <c r="N59" s="1377">
        <f ca="1">N60+N61</f>
        <v>496513.12</v>
      </c>
      <c r="O59" s="1377">
        <f ca="1">IF(L59&gt;0,N59*100/L59,0)</f>
        <v>62.698967041293095</v>
      </c>
      <c r="P59" s="1377">
        <f ca="1">IF(M59&gt;0,N59*100/M59,0)</f>
        <v>62.698967041293095</v>
      </c>
      <c r="Q59" s="1377">
        <f>Q60+Q61</f>
        <v>0</v>
      </c>
      <c r="R59" s="1377">
        <f>R60+R61</f>
        <v>0</v>
      </c>
      <c r="S59" s="1377">
        <f>S60+S61</f>
        <v>0</v>
      </c>
      <c r="T59" s="1377">
        <f>IF(Q59&gt;0,S59*100/Q59,0)</f>
        <v>0</v>
      </c>
      <c r="U59" s="1377">
        <f>IF(R59&gt;0,S59*100/R59,0)</f>
        <v>0</v>
      </c>
    </row>
    <row r="60" spans="1:21" ht="18.75" x14ac:dyDescent="0.25">
      <c r="A60" s="98"/>
      <c r="B60" s="99"/>
      <c r="C60" s="99"/>
      <c r="D60" s="99"/>
      <c r="E60" s="1378" t="s">
        <v>20</v>
      </c>
      <c r="F60" s="99"/>
      <c r="G60" s="102"/>
      <c r="H60" s="1379" t="s">
        <v>14</v>
      </c>
      <c r="I60" s="104"/>
      <c r="J60" s="104"/>
      <c r="K60" s="105"/>
      <c r="L60" s="1380">
        <f>L63+L66</f>
        <v>0</v>
      </c>
      <c r="M60" s="1381">
        <f>M63+M66</f>
        <v>0</v>
      </c>
      <c r="N60" s="1381">
        <f>N63+N66</f>
        <v>0</v>
      </c>
      <c r="O60" s="1381">
        <f>IF(L60&gt;0,N60*100/L60,0)</f>
        <v>0</v>
      </c>
      <c r="P60" s="1381">
        <f>IF(M60&gt;0,N60*100/M60,0)</f>
        <v>0</v>
      </c>
      <c r="Q60" s="1381">
        <f>Q63+Q66</f>
        <v>0</v>
      </c>
      <c r="R60" s="1381">
        <f>R63+R66</f>
        <v>0</v>
      </c>
      <c r="S60" s="1381">
        <f>S63+S66</f>
        <v>0</v>
      </c>
      <c r="T60" s="1381">
        <f>IF(Q60&gt;0,S60*100/Q60,0)</f>
        <v>0</v>
      </c>
      <c r="U60" s="1381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1382">
        <f ca="1">L64+L67</f>
        <v>791900</v>
      </c>
      <c r="M61" s="1383">
        <f ca="1">M64+M67</f>
        <v>791900</v>
      </c>
      <c r="N61" s="1383">
        <f ca="1">N64+N67</f>
        <v>496513.12</v>
      </c>
      <c r="O61" s="1383">
        <f ca="1">IF(L61&gt;0,N61*100/L61,0)</f>
        <v>62.698967041293095</v>
      </c>
      <c r="P61" s="1383">
        <f ca="1">IF(M61&gt;0,N61*100/M61,0)</f>
        <v>62.698967041293095</v>
      </c>
      <c r="Q61" s="1383">
        <f>Q64+Q67</f>
        <v>0</v>
      </c>
      <c r="R61" s="1383">
        <f>R64+R67</f>
        <v>0</v>
      </c>
      <c r="S61" s="1383">
        <f>S64+S67</f>
        <v>0</v>
      </c>
      <c r="T61" s="1383">
        <f>IF(Q61&gt;0,S61*100/Q61,0)</f>
        <v>0</v>
      </c>
      <c r="U61" s="1383">
        <f>IF(R61&gt;0,S61*100/R61,0)</f>
        <v>0</v>
      </c>
    </row>
    <row r="62" spans="1:21" ht="18.75" x14ac:dyDescent="0.25">
      <c r="A62" s="39"/>
      <c r="B62" s="40"/>
      <c r="C62" s="40"/>
      <c r="D62" s="41" t="s">
        <v>22</v>
      </c>
      <c r="E62" s="40"/>
      <c r="F62" s="40"/>
      <c r="G62" s="42"/>
      <c r="H62" s="43" t="s">
        <v>14</v>
      </c>
      <c r="I62" s="44"/>
      <c r="J62" s="44"/>
      <c r="K62" s="45"/>
      <c r="L62" s="1356">
        <f ca="1">L63+L64</f>
        <v>791900</v>
      </c>
      <c r="M62" s="224">
        <f ca="1">M63+M64</f>
        <v>791900</v>
      </c>
      <c r="N62" s="224">
        <f ca="1">N63+N64</f>
        <v>496513.12</v>
      </c>
      <c r="O62" s="224">
        <f ca="1">IF(L62&gt;0,N62*100/L62,0)</f>
        <v>62.698967041293095</v>
      </c>
      <c r="P62" s="224">
        <f ca="1">IF(M62&gt;0,N62*100/M62,0)</f>
        <v>62.698967041293095</v>
      </c>
      <c r="Q62" s="224">
        <f>Q63+Q64</f>
        <v>0</v>
      </c>
      <c r="R62" s="224">
        <f>R63+R64</f>
        <v>0</v>
      </c>
      <c r="S62" s="224">
        <f>S63+S64</f>
        <v>0</v>
      </c>
      <c r="T62" s="224">
        <f>IF(Q62&gt;0,S62*100/Q62,0)</f>
        <v>0</v>
      </c>
      <c r="U62" s="224">
        <f>IF(R62&gt;0,S62*100/R62,0)</f>
        <v>0</v>
      </c>
    </row>
    <row r="63" spans="1:21" ht="18.75" x14ac:dyDescent="0.25">
      <c r="A63" s="39"/>
      <c r="B63" s="40"/>
      <c r="C63" s="40"/>
      <c r="D63" s="40"/>
      <c r="E63" s="156" t="s">
        <v>20</v>
      </c>
      <c r="F63" s="40"/>
      <c r="G63" s="42"/>
      <c r="H63" s="1357" t="s">
        <v>14</v>
      </c>
      <c r="I63" s="44"/>
      <c r="J63" s="44"/>
      <c r="K63" s="45"/>
      <c r="L63" s="1358">
        <v>0</v>
      </c>
      <c r="M63" s="83">
        <v>0</v>
      </c>
      <c r="N63" s="83">
        <v>0</v>
      </c>
      <c r="O63" s="83">
        <f>IF(L63&gt;0,N63*100/L63,0)</f>
        <v>0</v>
      </c>
      <c r="P63" s="83">
        <f>IF(M63&gt;0,N63*100/M63,0)</f>
        <v>0</v>
      </c>
      <c r="Q63" s="83">
        <v>0</v>
      </c>
      <c r="R63" s="83">
        <v>0</v>
      </c>
      <c r="S63" s="83">
        <v>0</v>
      </c>
      <c r="T63" s="83">
        <f>IF(Q63&gt;0,S63*100/Q63,0)</f>
        <v>0</v>
      </c>
      <c r="U63" s="83">
        <f>IF(R63&gt;0,S63*100/R63,0)</f>
        <v>0</v>
      </c>
    </row>
    <row r="64" spans="1:21" ht="18.75" x14ac:dyDescent="0.25">
      <c r="A64" s="39"/>
      <c r="B64" s="40"/>
      <c r="C64" s="40"/>
      <c r="D64" s="40"/>
      <c r="E64" s="47" t="s">
        <v>21</v>
      </c>
      <c r="F64" s="40"/>
      <c r="G64" s="42"/>
      <c r="H64" s="43" t="s">
        <v>14</v>
      </c>
      <c r="I64" s="44"/>
      <c r="J64" s="44"/>
      <c r="K64" s="45"/>
      <c r="L64" s="1356">
        <f ca="1">IFERROR(__xludf.DUMMYFUNCTION("IMPORTRANGE(""https://docs.google.com/spreadsheets/d/1-uDff_7J0KD5mKrp0Vvzr7lt3OU09vwQwhkpOPPYv2Y/edit?usp=sharing"",""งบพรบ!AC27"")"),791900)</f>
        <v>791900</v>
      </c>
      <c r="M64" s="224">
        <f ca="1">IFERROR(__xludf.DUMMYFUNCTION("IMPORTRANGE(""https://docs.google.com/spreadsheets/d/1-uDff_7J0KD5mKrp0Vvzr7lt3OU09vwQwhkpOPPYv2Y/edit?usp=sharing"",""งบพรบ!AH27"")"),791900)</f>
        <v>791900</v>
      </c>
      <c r="N64" s="224">
        <f ca="1">IFERROR(__xludf.DUMMYFUNCTION("IMPORTRANGE(""https://docs.google.com/spreadsheets/d/1-uDff_7J0KD5mKrp0Vvzr7lt3OU09vwQwhkpOPPYv2Y/edit?usp=sharing"",""งบพรบ!AJ27"")"),496513.12)</f>
        <v>496513.12</v>
      </c>
      <c r="O64" s="224">
        <f ca="1">IF(L64&gt;0,N64*100/L64,0)</f>
        <v>62.698967041293095</v>
      </c>
      <c r="P64" s="224">
        <f ca="1">IF(M64&gt;0,N64*100/M64,0)</f>
        <v>62.698967041293095</v>
      </c>
      <c r="Q64" s="224">
        <v>0</v>
      </c>
      <c r="R64" s="224">
        <v>0</v>
      </c>
      <c r="S64" s="224">
        <v>0</v>
      </c>
      <c r="T64" s="224">
        <f>IF(Q64&gt;0,S64*100/Q64,0)</f>
        <v>0</v>
      </c>
      <c r="U64" s="224">
        <f>IF(R64&gt;0,S64*100/R64,0)</f>
        <v>0</v>
      </c>
    </row>
    <row r="65" spans="1:21" ht="18.75" x14ac:dyDescent="0.25">
      <c r="A65" s="39"/>
      <c r="B65" s="40"/>
      <c r="C65" s="40"/>
      <c r="D65" s="41" t="s">
        <v>23</v>
      </c>
      <c r="E65" s="40"/>
      <c r="F65" s="40"/>
      <c r="G65" s="42"/>
      <c r="H65" s="43" t="s">
        <v>14</v>
      </c>
      <c r="I65" s="44"/>
      <c r="J65" s="44"/>
      <c r="K65" s="45"/>
      <c r="L65" s="1356">
        <f ca="1">L66+L67</f>
        <v>0</v>
      </c>
      <c r="M65" s="224">
        <f ca="1">M66+M67</f>
        <v>0</v>
      </c>
      <c r="N65" s="224">
        <f ca="1">N66+N67</f>
        <v>0</v>
      </c>
      <c r="O65" s="224">
        <f ca="1">IF(L65&gt;0,N65*100/L65,0)</f>
        <v>0</v>
      </c>
      <c r="P65" s="224">
        <f ca="1">IF(M65&gt;0,N65*100/M65,0)</f>
        <v>0</v>
      </c>
      <c r="Q65" s="224">
        <f>Q66+Q67</f>
        <v>0</v>
      </c>
      <c r="R65" s="224">
        <f>R66+R67</f>
        <v>0</v>
      </c>
      <c r="S65" s="224">
        <f>S66+S67</f>
        <v>0</v>
      </c>
      <c r="T65" s="224">
        <f>IF(Q65&gt;0,S65*100/Q65,0)</f>
        <v>0</v>
      </c>
      <c r="U65" s="224">
        <f>IF(R65&gt;0,S65*100/R65,0)</f>
        <v>0</v>
      </c>
    </row>
    <row r="66" spans="1:21" ht="18.75" x14ac:dyDescent="0.25">
      <c r="A66" s="39"/>
      <c r="B66" s="40"/>
      <c r="C66" s="40"/>
      <c r="D66" s="40"/>
      <c r="E66" s="156" t="s">
        <v>20</v>
      </c>
      <c r="F66" s="40"/>
      <c r="G66" s="42"/>
      <c r="H66" s="1357" t="s">
        <v>14</v>
      </c>
      <c r="I66" s="44"/>
      <c r="J66" s="44"/>
      <c r="K66" s="45"/>
      <c r="L66" s="1358">
        <v>0</v>
      </c>
      <c r="M66" s="83">
        <v>0</v>
      </c>
      <c r="N66" s="83">
        <v>0</v>
      </c>
      <c r="O66" s="83">
        <f>IF(L66&gt;0,N66*100/L66,0)</f>
        <v>0</v>
      </c>
      <c r="P66" s="83">
        <f>IF(M66&gt;0,N66*100/M66,0)</f>
        <v>0</v>
      </c>
      <c r="Q66" s="83">
        <v>0</v>
      </c>
      <c r="R66" s="83">
        <v>0</v>
      </c>
      <c r="S66" s="83">
        <v>0</v>
      </c>
      <c r="T66" s="83">
        <f>IF(Q66&gt;0,S66*100/Q66,0)</f>
        <v>0</v>
      </c>
      <c r="U66" s="83">
        <f>IF(R66&gt;0,S66*100/R66,0)</f>
        <v>0</v>
      </c>
    </row>
    <row r="67" spans="1:21" ht="18.75" x14ac:dyDescent="0.25">
      <c r="A67" s="50"/>
      <c r="B67" s="1"/>
      <c r="C67" s="1"/>
      <c r="D67" s="1"/>
      <c r="E67" s="51" t="s">
        <v>21</v>
      </c>
      <c r="F67" s="1"/>
      <c r="G67" s="52"/>
      <c r="H67" s="53" t="s">
        <v>14</v>
      </c>
      <c r="I67" s="54"/>
      <c r="J67" s="54"/>
      <c r="K67" s="3"/>
      <c r="L67" s="1384">
        <f ca="1">IFERROR(__xludf.DUMMYFUNCTION("IMPORTRANGE(""https://docs.google.com/spreadsheets/d/1-uDff_7J0KD5mKrp0Vvzr7lt3OU09vwQwhkpOPPYv2Y/edit?usp=sharing"",""งบพรบ!AF27"")"),0)</f>
        <v>0</v>
      </c>
      <c r="M67" s="448">
        <f ca="1">IFERROR(__xludf.DUMMYFUNCTION("IMPORTRANGE(""https://docs.google.com/spreadsheets/d/1-uDff_7J0KD5mKrp0Vvzr7lt3OU09vwQwhkpOPPYv2Y/edit?usp=sharing"",""งบพรบ!AI27"")"),0)</f>
        <v>0</v>
      </c>
      <c r="N67" s="448">
        <f ca="1">IFERROR(__xludf.DUMMYFUNCTION("IMPORTRANGE(""https://docs.google.com/spreadsheets/d/1-uDff_7J0KD5mKrp0Vvzr7lt3OU09vwQwhkpOPPYv2Y/edit?usp=sharing"",""งบพรบ!AK27"")"),0)</f>
        <v>0</v>
      </c>
      <c r="O67" s="448">
        <f ca="1">IF(L67&gt;0,N67*100/L67,0)</f>
        <v>0</v>
      </c>
      <c r="P67" s="448">
        <f ca="1">IF(M67&gt;0,N67*100/M67,0)</f>
        <v>0</v>
      </c>
      <c r="Q67" s="448">
        <v>0</v>
      </c>
      <c r="R67" s="448">
        <v>0</v>
      </c>
      <c r="S67" s="448">
        <v>0</v>
      </c>
      <c r="T67" s="448">
        <f>IF(Q67&gt;0,S67*100/Q67,0)</f>
        <v>0</v>
      </c>
      <c r="U67" s="448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1385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8" t="s">
        <v>33</v>
      </c>
      <c r="C70" s="27"/>
      <c r="D70" s="125"/>
      <c r="E70" s="27"/>
      <c r="F70" s="27"/>
      <c r="G70" s="30"/>
      <c r="H70" s="126" t="s">
        <v>34</v>
      </c>
      <c r="I70" s="1386">
        <f ca="1">I82</f>
        <v>1</v>
      </c>
      <c r="J70" s="1386">
        <f>J82</f>
        <v>1</v>
      </c>
      <c r="K70" s="1349">
        <f ca="1">IF(I70&gt;0,J70*100/I70,0)</f>
        <v>100</v>
      </c>
      <c r="L70" s="1387"/>
      <c r="M70" s="33"/>
      <c r="N70" s="33"/>
      <c r="O70" s="33"/>
      <c r="P70" s="33"/>
      <c r="Q70" s="33"/>
      <c r="R70" s="33"/>
      <c r="S70" s="33"/>
      <c r="T70" s="33"/>
      <c r="U70" s="33"/>
    </row>
    <row r="71" spans="1:21" ht="19.5" x14ac:dyDescent="0.3">
      <c r="A71" s="124"/>
      <c r="B71" s="27"/>
      <c r="C71" s="27"/>
      <c r="D71" s="125"/>
      <c r="E71" s="27"/>
      <c r="F71" s="27"/>
      <c r="G71" s="30"/>
      <c r="H71" s="126" t="s">
        <v>35</v>
      </c>
      <c r="I71" s="1386">
        <f ca="1">I83</f>
        <v>35</v>
      </c>
      <c r="J71" s="1386">
        <f>J83</f>
        <v>35</v>
      </c>
      <c r="K71" s="1349">
        <f ca="1">IF(I71&gt;0,J71*100/I71,0)</f>
        <v>100</v>
      </c>
      <c r="L71" s="1387"/>
      <c r="M71" s="33"/>
      <c r="N71" s="33"/>
      <c r="O71" s="33"/>
      <c r="P71" s="33"/>
      <c r="Q71" s="33"/>
      <c r="R71" s="33"/>
      <c r="S71" s="33"/>
      <c r="T71" s="33"/>
      <c r="U71" s="33"/>
    </row>
    <row r="72" spans="1:21" ht="19.5" x14ac:dyDescent="0.3">
      <c r="A72" s="128"/>
      <c r="B72" s="40"/>
      <c r="C72" s="129" t="s">
        <v>18</v>
      </c>
      <c r="D72" s="1388" t="s">
        <v>19</v>
      </c>
      <c r="E72" s="40"/>
      <c r="F72" s="40"/>
      <c r="G72" s="42"/>
      <c r="H72" s="131" t="s">
        <v>14</v>
      </c>
      <c r="I72" s="44"/>
      <c r="J72" s="44"/>
      <c r="K72" s="45"/>
      <c r="L72" s="1389">
        <f ca="1">L73+L74</f>
        <v>523500</v>
      </c>
      <c r="M72" s="1390">
        <f ca="1">M73+M74</f>
        <v>523500</v>
      </c>
      <c r="N72" s="1390">
        <f ca="1">N73+N74</f>
        <v>398602.26</v>
      </c>
      <c r="O72" s="1390">
        <f ca="1">IF(L72&gt;0,N72*100/L72,0)</f>
        <v>76.141787965616047</v>
      </c>
      <c r="P72" s="1390">
        <f ca="1">IF(M72&gt;0,N72*100/M72,0)</f>
        <v>76.141787965616047</v>
      </c>
      <c r="Q72" s="1390">
        <f ca="1">Q73+Q74</f>
        <v>400800</v>
      </c>
      <c r="R72" s="1390">
        <f ca="1">R73+R74</f>
        <v>400800</v>
      </c>
      <c r="S72" s="1390">
        <f ca="1">S73+S74</f>
        <v>108975</v>
      </c>
      <c r="T72" s="1390">
        <f ca="1">IF(Q72&gt;0,S72*100/Q72,0)</f>
        <v>27.189371257485028</v>
      </c>
      <c r="U72" s="1390">
        <f ca="1">IF(R72&gt;0,S72*100/R72,0)</f>
        <v>27.189371257485028</v>
      </c>
    </row>
    <row r="73" spans="1:21" ht="18.75" x14ac:dyDescent="0.25">
      <c r="A73" s="128"/>
      <c r="B73" s="40"/>
      <c r="C73" s="40"/>
      <c r="D73" s="40"/>
      <c r="E73" s="156" t="s">
        <v>20</v>
      </c>
      <c r="F73" s="40"/>
      <c r="G73" s="42"/>
      <c r="H73" s="157" t="s">
        <v>14</v>
      </c>
      <c r="I73" s="44"/>
      <c r="J73" s="44"/>
      <c r="K73" s="45"/>
      <c r="L73" s="1358">
        <f>L76+L79</f>
        <v>0</v>
      </c>
      <c r="M73" s="83">
        <f>M76+M79</f>
        <v>0</v>
      </c>
      <c r="N73" s="83">
        <f>N76+N79</f>
        <v>0</v>
      </c>
      <c r="O73" s="83">
        <f>IF(L73&gt;0,N73*100/L73,0)</f>
        <v>0</v>
      </c>
      <c r="P73" s="83">
        <f>IF(M73&gt;0,N73*100/M73,0)</f>
        <v>0</v>
      </c>
      <c r="Q73" s="83">
        <f>Q76+Q79</f>
        <v>0</v>
      </c>
      <c r="R73" s="83">
        <f>R76+R79</f>
        <v>0</v>
      </c>
      <c r="S73" s="83">
        <f>S76+S79</f>
        <v>0</v>
      </c>
      <c r="T73" s="83">
        <f>IF(Q73&gt;0,S73*100/Q73,0)</f>
        <v>0</v>
      </c>
      <c r="U73" s="83">
        <f>IF(R73&gt;0,S73*100/R73,0)</f>
        <v>0</v>
      </c>
    </row>
    <row r="74" spans="1:21" ht="18.75" x14ac:dyDescent="0.25">
      <c r="A74" s="128"/>
      <c r="B74" s="40"/>
      <c r="C74" s="40"/>
      <c r="D74" s="40"/>
      <c r="E74" s="47" t="s">
        <v>21</v>
      </c>
      <c r="F74" s="40"/>
      <c r="G74" s="42"/>
      <c r="H74" s="133" t="s">
        <v>14</v>
      </c>
      <c r="I74" s="44"/>
      <c r="J74" s="44"/>
      <c r="K74" s="45"/>
      <c r="L74" s="1356">
        <f ca="1">L77+L80</f>
        <v>523500</v>
      </c>
      <c r="M74" s="224">
        <f ca="1">M77+M80</f>
        <v>523500</v>
      </c>
      <c r="N74" s="224">
        <f ca="1">N77+N80</f>
        <v>398602.26</v>
      </c>
      <c r="O74" s="224">
        <f ca="1">IF(L74&gt;0,N74*100/L74,0)</f>
        <v>76.141787965616047</v>
      </c>
      <c r="P74" s="224">
        <f ca="1">IF(M74&gt;0,N74*100/M74,0)</f>
        <v>76.141787965616047</v>
      </c>
      <c r="Q74" s="224">
        <f ca="1">Q77+Q80</f>
        <v>400800</v>
      </c>
      <c r="R74" s="224">
        <f ca="1">R77+R80</f>
        <v>400800</v>
      </c>
      <c r="S74" s="224">
        <f ca="1">S77+S80</f>
        <v>108975</v>
      </c>
      <c r="T74" s="224">
        <f ca="1">IF(Q74&gt;0,S74*100/Q74,0)</f>
        <v>27.189371257485028</v>
      </c>
      <c r="U74" s="224">
        <f ca="1">IF(R74&gt;0,S74*100/R74,0)</f>
        <v>27.189371257485028</v>
      </c>
    </row>
    <row r="75" spans="1:21" ht="18.75" x14ac:dyDescent="0.25">
      <c r="A75" s="128"/>
      <c r="B75" s="40"/>
      <c r="C75" s="40"/>
      <c r="D75" s="41" t="s">
        <v>22</v>
      </c>
      <c r="E75" s="40"/>
      <c r="F75" s="40"/>
      <c r="G75" s="42"/>
      <c r="H75" s="134" t="s">
        <v>14</v>
      </c>
      <c r="I75" s="135"/>
      <c r="J75" s="135"/>
      <c r="K75" s="136"/>
      <c r="L75" s="1356">
        <f ca="1">L76+L77</f>
        <v>523500</v>
      </c>
      <c r="M75" s="224">
        <f ca="1">M76+M77</f>
        <v>523500</v>
      </c>
      <c r="N75" s="224">
        <f ca="1">N76+N77</f>
        <v>398602.26</v>
      </c>
      <c r="O75" s="224">
        <f ca="1">IF(L75&gt;0,N75*100/L75,0)</f>
        <v>76.141787965616047</v>
      </c>
      <c r="P75" s="224">
        <f ca="1">IF(M75&gt;0,N75*100/M75,0)</f>
        <v>76.141787965616047</v>
      </c>
      <c r="Q75" s="224">
        <f ca="1">Q76+Q77</f>
        <v>400800</v>
      </c>
      <c r="R75" s="224">
        <f ca="1">R76+R77</f>
        <v>400800</v>
      </c>
      <c r="S75" s="224">
        <f ca="1">S76+S77</f>
        <v>108975</v>
      </c>
      <c r="T75" s="224">
        <f ca="1">IF(Q75&gt;0,S75*100/Q75,0)</f>
        <v>27.189371257485028</v>
      </c>
      <c r="U75" s="224">
        <f ca="1">IF(R75&gt;0,S75*100/R75,0)</f>
        <v>27.189371257485028</v>
      </c>
    </row>
    <row r="76" spans="1:21" ht="18.75" x14ac:dyDescent="0.25">
      <c r="A76" s="128"/>
      <c r="B76" s="40"/>
      <c r="C76" s="40"/>
      <c r="D76" s="40"/>
      <c r="E76" s="156" t="s">
        <v>36</v>
      </c>
      <c r="F76" s="40"/>
      <c r="G76" s="42"/>
      <c r="H76" s="159" t="s">
        <v>14</v>
      </c>
      <c r="I76" s="135"/>
      <c r="J76" s="135"/>
      <c r="K76" s="136"/>
      <c r="L76" s="1358">
        <v>0</v>
      </c>
      <c r="M76" s="83">
        <v>0</v>
      </c>
      <c r="N76" s="83">
        <v>0</v>
      </c>
      <c r="O76" s="83">
        <f>IF(L76&gt;0,N76*100/L76,0)</f>
        <v>0</v>
      </c>
      <c r="P76" s="83">
        <f>IF(M76&gt;0,N76*100/M76,0)</f>
        <v>0</v>
      </c>
      <c r="Q76" s="83">
        <v>0</v>
      </c>
      <c r="R76" s="83">
        <v>0</v>
      </c>
      <c r="S76" s="83">
        <v>0</v>
      </c>
      <c r="T76" s="83">
        <f>IF(Q76&gt;0,S76*100/Q76,0)</f>
        <v>0</v>
      </c>
      <c r="U76" s="83">
        <f>IF(R76&gt;0,S76*100/R76,0)</f>
        <v>0</v>
      </c>
    </row>
    <row r="77" spans="1:21" ht="18.75" x14ac:dyDescent="0.25">
      <c r="A77" s="128"/>
      <c r="B77" s="40"/>
      <c r="C77" s="40"/>
      <c r="D77" s="40"/>
      <c r="E77" s="47" t="s">
        <v>37</v>
      </c>
      <c r="F77" s="40"/>
      <c r="G77" s="42"/>
      <c r="H77" s="134" t="s">
        <v>14</v>
      </c>
      <c r="I77" s="135"/>
      <c r="J77" s="135"/>
      <c r="K77" s="136"/>
      <c r="L77" s="1356">
        <f ca="1">IFERROR(__xludf.DUMMYFUNCTION("IMPORTRANGE(""https://docs.google.com/spreadsheets/d/1-uDff_7J0KD5mKrp0Vvzr7lt3OU09vwQwhkpOPPYv2Y/edit?usp=sharing"",""งบพรบ!AM27"")"),523500)</f>
        <v>523500</v>
      </c>
      <c r="M77" s="224">
        <f ca="1">IFERROR(__xludf.DUMMYFUNCTION("IMPORTRANGE(""https://docs.google.com/spreadsheets/d/1-uDff_7J0KD5mKrp0Vvzr7lt3OU09vwQwhkpOPPYv2Y/edit?usp=sharing"",""งบพรบ!AR27"")"),523500)</f>
        <v>523500</v>
      </c>
      <c r="N77" s="224">
        <f ca="1">IFERROR(__xludf.DUMMYFUNCTION("IMPORTRANGE(""https://docs.google.com/spreadsheets/d/1-uDff_7J0KD5mKrp0Vvzr7lt3OU09vwQwhkpOPPYv2Y/edit?usp=sharing"",""งบพรบ!AT27"")"),398602.26)</f>
        <v>398602.26</v>
      </c>
      <c r="O77" s="224">
        <f ca="1">IF(L77&gt;0,N77*100/L77,0)</f>
        <v>76.141787965616047</v>
      </c>
      <c r="P77" s="224">
        <f ca="1">IF(M77&gt;0,N77*100/M77,0)</f>
        <v>76.141787965616047</v>
      </c>
      <c r="Q77" s="224">
        <f ca="1">IFERROR(__xludf.DUMMYFUNCTION("IMPORTRANGE(""https://docs.google.com/spreadsheets/d/1ItG2mGa2ceCfYo0BwxsXqNm01IGEUdYcSSLTEv9YCik/edit?usp=sharing"",""เบิกจ่ายกองทุน!BH27"")"),400800)</f>
        <v>400800</v>
      </c>
      <c r="R77" s="224">
        <f ca="1">IFERROR(__xludf.DUMMYFUNCTION("IMPORTRANGE(""https://docs.google.com/spreadsheets/d/1ItG2mGa2ceCfYo0BwxsXqNm01IGEUdYcSSLTEv9YCik/edit?usp=sharing"",""เบิกจ่ายกองทุน!BI27"")"),400800)</f>
        <v>400800</v>
      </c>
      <c r="S77" s="224">
        <f ca="1">IFERROR(__xludf.DUMMYFUNCTION("IMPORTRANGE(""https://docs.google.com/spreadsheets/d/1ItG2mGa2ceCfYo0BwxsXqNm01IGEUdYcSSLTEv9YCik/edit?usp=sharing"",""เบิกจ่ายกองทุน!BJ27"")"),108975)</f>
        <v>108975</v>
      </c>
      <c r="T77" s="224">
        <f ca="1">IF(Q77&gt;0,S77*100/Q77,0)</f>
        <v>27.189371257485028</v>
      </c>
      <c r="U77" s="224">
        <f ca="1">IF(R77&gt;0,S77*100/R77,0)</f>
        <v>27.189371257485028</v>
      </c>
    </row>
    <row r="78" spans="1:21" ht="18.75" x14ac:dyDescent="0.25">
      <c r="A78" s="128"/>
      <c r="B78" s="40"/>
      <c r="C78" s="40"/>
      <c r="D78" s="41" t="s">
        <v>23</v>
      </c>
      <c r="E78" s="40"/>
      <c r="F78" s="40"/>
      <c r="G78" s="42"/>
      <c r="H78" s="137" t="s">
        <v>14</v>
      </c>
      <c r="I78" s="135"/>
      <c r="J78" s="135"/>
      <c r="K78" s="136"/>
      <c r="L78" s="1356">
        <f ca="1">L79+L80</f>
        <v>0</v>
      </c>
      <c r="M78" s="224">
        <f ca="1">M79+M80</f>
        <v>0</v>
      </c>
      <c r="N78" s="224">
        <f ca="1">N79+N80</f>
        <v>0</v>
      </c>
      <c r="O78" s="224">
        <f ca="1">IF(L78&gt;0,N78*100/L78,0)</f>
        <v>0</v>
      </c>
      <c r="P78" s="224">
        <f ca="1">IF(M78&gt;0,N78*100/M78,0)</f>
        <v>0</v>
      </c>
      <c r="Q78" s="224">
        <f ca="1">Q79+Q80</f>
        <v>0</v>
      </c>
      <c r="R78" s="224">
        <f ca="1">R79+R80</f>
        <v>0</v>
      </c>
      <c r="S78" s="224">
        <f ca="1">S79+S80</f>
        <v>0</v>
      </c>
      <c r="T78" s="224">
        <f ca="1">IF(Q78&gt;0,S78*100/Q78,0)</f>
        <v>0</v>
      </c>
      <c r="U78" s="224">
        <f ca="1">IF(R78&gt;0,S78*100/R78,0)</f>
        <v>0</v>
      </c>
    </row>
    <row r="79" spans="1:21" ht="18.75" x14ac:dyDescent="0.25">
      <c r="A79" s="128"/>
      <c r="B79" s="40"/>
      <c r="C79" s="40"/>
      <c r="D79" s="40"/>
      <c r="E79" s="156" t="s">
        <v>20</v>
      </c>
      <c r="F79" s="40"/>
      <c r="G79" s="42"/>
      <c r="H79" s="159" t="s">
        <v>14</v>
      </c>
      <c r="I79" s="135"/>
      <c r="J79" s="135"/>
      <c r="K79" s="136"/>
      <c r="L79" s="1358">
        <v>0</v>
      </c>
      <c r="M79" s="224">
        <v>0</v>
      </c>
      <c r="N79" s="224">
        <v>0</v>
      </c>
      <c r="O79" s="83">
        <f>IF(L79&gt;0,N79*100/L79,0)</f>
        <v>0</v>
      </c>
      <c r="P79" s="83">
        <f>IF(M79&gt;0,N79*100/M79,0)</f>
        <v>0</v>
      </c>
      <c r="Q79" s="83">
        <v>0</v>
      </c>
      <c r="R79" s="224">
        <v>0</v>
      </c>
      <c r="S79" s="224">
        <v>0</v>
      </c>
      <c r="T79" s="83">
        <f>IF(Q79&gt;0,S79*100/Q79,0)</f>
        <v>0</v>
      </c>
      <c r="U79" s="83">
        <f>IF(R79&gt;0,S79*100/R79,0)</f>
        <v>0</v>
      </c>
    </row>
    <row r="80" spans="1:21" ht="18.75" x14ac:dyDescent="0.25">
      <c r="A80" s="128"/>
      <c r="B80" s="40"/>
      <c r="C80" s="40"/>
      <c r="D80" s="40"/>
      <c r="E80" s="47" t="s">
        <v>21</v>
      </c>
      <c r="F80" s="40"/>
      <c r="G80" s="42"/>
      <c r="H80" s="137" t="s">
        <v>14</v>
      </c>
      <c r="I80" s="135"/>
      <c r="J80" s="135"/>
      <c r="K80" s="136"/>
      <c r="L80" s="1356">
        <f ca="1">IFERROR(__xludf.DUMMYFUNCTION("IMPORTRANGE(""https://docs.google.com/spreadsheets/d/1-uDff_7J0KD5mKrp0Vvzr7lt3OU09vwQwhkpOPPYv2Y/edit?usp=sharing"",""งบพรบ!AP27"")"),0)</f>
        <v>0</v>
      </c>
      <c r="M80" s="224">
        <f ca="1">IFERROR(__xludf.DUMMYFUNCTION("IMPORTRANGE(""https://docs.google.com/spreadsheets/d/1-uDff_7J0KD5mKrp0Vvzr7lt3OU09vwQwhkpOPPYv2Y/edit?usp=sharing"",""งบพรบ!AS27"")"),0)</f>
        <v>0</v>
      </c>
      <c r="N80" s="224">
        <f ca="1">IFERROR(__xludf.DUMMYFUNCTION("IMPORTRANGE(""https://docs.google.com/spreadsheets/d/1-uDff_7J0KD5mKrp0Vvzr7lt3OU09vwQwhkpOPPYv2Y/edit?usp=sharing"",""งบพรบ!AU27"")"),0)</f>
        <v>0</v>
      </c>
      <c r="O80" s="224">
        <f ca="1">IF(L80&gt;0,N80*100/L80,0)</f>
        <v>0</v>
      </c>
      <c r="P80" s="224">
        <f ca="1">IF(M80&gt;0,N80*100/M80,0)</f>
        <v>0</v>
      </c>
      <c r="Q80" s="224">
        <f ca="1">IFERROR(__xludf.DUMMYFUNCTION("IMPORTRANGE(""https://docs.google.com/spreadsheets/d/1ItG2mGa2ceCfYo0BwxsXqNm01IGEUdYcSSLTEv9YCik/edit?usp=sharing"",""เบิกจ่ายกองทุน!BK27"")"),0)</f>
        <v>0</v>
      </c>
      <c r="R80" s="224">
        <f ca="1">IFERROR(__xludf.DUMMYFUNCTION("IMPORTRANGE(""https://docs.google.com/spreadsheets/d/1ItG2mGa2ceCfYo0BwxsXqNm01IGEUdYcSSLTEv9YCik/edit?usp=sharing"",""เบิกจ่ายกองทุน!BL27"")"),0)</f>
        <v>0</v>
      </c>
      <c r="S80" s="224">
        <f ca="1">IFERROR(__xludf.DUMMYFUNCTION("IMPORTRANGE(""https://docs.google.com/spreadsheets/d/1ItG2mGa2ceCfYo0BwxsXqNm01IGEUdYcSSLTEv9YCik/edit?usp=sharing"",""เบิกจ่ายกองทุน!BM27"")"),0)</f>
        <v>0</v>
      </c>
      <c r="T80" s="224">
        <f ca="1">IF(Q80&gt;0,S80*100/Q80,0)</f>
        <v>0</v>
      </c>
      <c r="U80" s="224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1391" t="s">
        <v>38</v>
      </c>
      <c r="E81" s="141"/>
      <c r="F81" s="141"/>
      <c r="G81" s="142"/>
      <c r="H81" s="143"/>
      <c r="I81" s="135"/>
      <c r="J81" s="135"/>
      <c r="K81" s="136"/>
      <c r="L81" s="1392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328">
        <f ca="1">I84+I86+I88</f>
        <v>1</v>
      </c>
      <c r="J82" s="328">
        <f>J84+J86+J88</f>
        <v>1</v>
      </c>
      <c r="K82" s="1393">
        <f ca="1">IF(I82&gt;0,J82*100/I82,0)</f>
        <v>100</v>
      </c>
      <c r="L82" s="1392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328">
        <f ca="1">I85+I87+I89</f>
        <v>35</v>
      </c>
      <c r="J83" s="328">
        <f>J85+J87+J89</f>
        <v>35</v>
      </c>
      <c r="K83" s="1393">
        <f ca="1">IF(I83&gt;0,J83*100/I83,0)</f>
        <v>100</v>
      </c>
      <c r="L83" s="1392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394">
        <f ca="1">IFERROR(__xludf.DUMMYFUNCTION("IMPORTRANGE(""https://docs.google.com/spreadsheets/d/1eHaY18a8A9IcSdp1K8H6x8fbOy06t2VsZHhMHf-1x7Y/edit?usp=sharing"",""แผน!H27"")"),0)</f>
        <v>0</v>
      </c>
      <c r="J84" s="1395">
        <v>0</v>
      </c>
      <c r="K84" s="1396">
        <f ca="1">IF(I84&gt;0,J84*100/I84,0)</f>
        <v>0</v>
      </c>
      <c r="L84" s="1392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394">
        <f ca="1">IFERROR(__xludf.DUMMYFUNCTION("IMPORTRANGE(""https://docs.google.com/spreadsheets/d/1eHaY18a8A9IcSdp1K8H6x8fbOy06t2VsZHhMHf-1x7Y/edit?usp=sharing"",""แผน!I27"")"),0)</f>
        <v>0</v>
      </c>
      <c r="J85" s="1395">
        <v>0</v>
      </c>
      <c r="K85" s="1396">
        <f ca="1">IF(I85&gt;0,J85*100/I85,0)</f>
        <v>0</v>
      </c>
      <c r="L85" s="1392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394">
        <f ca="1">IFERROR(__xludf.DUMMYFUNCTION("IMPORTRANGE(""https://docs.google.com/spreadsheets/d/1eHaY18a8A9IcSdp1K8H6x8fbOy06t2VsZHhMHf-1x7Y/edit?usp=sharing"",""แผน!F27"")"),0)</f>
        <v>0</v>
      </c>
      <c r="J86" s="1395">
        <v>0</v>
      </c>
      <c r="K86" s="1396">
        <f ca="1">IF(I86&gt;0,J86*100/I86,0)</f>
        <v>0</v>
      </c>
      <c r="L86" s="1392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394">
        <f ca="1">IFERROR(__xludf.DUMMYFUNCTION("IMPORTRANGE(""https://docs.google.com/spreadsheets/d/1eHaY18a8A9IcSdp1K8H6x8fbOy06t2VsZHhMHf-1x7Y/edit?usp=sharing"",""แผน!G27"")"),0)</f>
        <v>0</v>
      </c>
      <c r="J87" s="1395">
        <v>0</v>
      </c>
      <c r="K87" s="1396">
        <f ca="1">IF(I87&gt;0,J87*100/I87,0)</f>
        <v>0</v>
      </c>
      <c r="L87" s="1392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394">
        <f ca="1">IFERROR(__xludf.DUMMYFUNCTION("IMPORTRANGE(""https://docs.google.com/spreadsheets/d/1eHaY18a8A9IcSdp1K8H6x8fbOy06t2VsZHhMHf-1x7Y/edit?usp=sharing"",""แผน!D27"")"),1)</f>
        <v>1</v>
      </c>
      <c r="J88" s="1395">
        <v>1</v>
      </c>
      <c r="K88" s="1396">
        <f ca="1">IF(I88&gt;0,J88*100/I88,0)</f>
        <v>100</v>
      </c>
      <c r="L88" s="1392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394">
        <f ca="1">IFERROR(__xludf.DUMMYFUNCTION("IMPORTRANGE(""https://docs.google.com/spreadsheets/d/1eHaY18a8A9IcSdp1K8H6x8fbOy06t2VsZHhMHf-1x7Y/edit?usp=sharing"",""แผน!E27"")"),35)</f>
        <v>35</v>
      </c>
      <c r="J89" s="1395">
        <v>35</v>
      </c>
      <c r="K89" s="1396">
        <f ca="1">IF(I89&gt;0,J89*100/I89,0)</f>
        <v>100</v>
      </c>
      <c r="L89" s="1392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3" t="s">
        <v>34</v>
      </c>
      <c r="I90" s="1394">
        <f ca="1">IFERROR(__xludf.DUMMYFUNCTION("IMPORTRANGE(""https://docs.google.com/spreadsheets/d/1eHaY18a8A9IcSdp1K8H6x8fbOy06t2VsZHhMHf-1x7Y/edit?usp=sharing"",""แผน!J27"")"),1)</f>
        <v>1</v>
      </c>
      <c r="J90" s="1395">
        <v>1</v>
      </c>
      <c r="K90" s="1396">
        <f ca="1">IF(I90&gt;0,J90*100/I90,0)</f>
        <v>100</v>
      </c>
      <c r="L90" s="1392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1385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8" t="s">
        <v>45</v>
      </c>
      <c r="C92" s="27"/>
      <c r="D92" s="125"/>
      <c r="E92" s="27"/>
      <c r="F92" s="27"/>
      <c r="G92" s="30"/>
      <c r="H92" s="126" t="s">
        <v>46</v>
      </c>
      <c r="I92" s="1386">
        <f ca="1">I108</f>
        <v>30</v>
      </c>
      <c r="J92" s="1386">
        <f>J108</f>
        <v>30</v>
      </c>
      <c r="K92" s="1349">
        <f ca="1">IF(I92&gt;0,J92*100/I92,0)</f>
        <v>100</v>
      </c>
      <c r="L92" s="1387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19.5" x14ac:dyDescent="0.3">
      <c r="A93" s="124"/>
      <c r="B93" s="27"/>
      <c r="C93" s="27"/>
      <c r="D93" s="125"/>
      <c r="E93" s="27"/>
      <c r="F93" s="27"/>
      <c r="G93" s="30"/>
      <c r="H93" s="126" t="s">
        <v>35</v>
      </c>
      <c r="I93" s="1386">
        <f ca="1">I109</f>
        <v>10</v>
      </c>
      <c r="J93" s="1386">
        <f>J109</f>
        <v>10</v>
      </c>
      <c r="K93" s="1349">
        <f ca="1">IF(I93&gt;0,J93*100/I93,0)</f>
        <v>100</v>
      </c>
      <c r="L93" s="1387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19.5" x14ac:dyDescent="0.3">
      <c r="A94" s="128"/>
      <c r="B94" s="40"/>
      <c r="C94" s="129" t="s">
        <v>18</v>
      </c>
      <c r="D94" s="1388" t="s">
        <v>19</v>
      </c>
      <c r="E94" s="40"/>
      <c r="F94" s="40"/>
      <c r="G94" s="42"/>
      <c r="H94" s="131" t="s">
        <v>14</v>
      </c>
      <c r="I94" s="44"/>
      <c r="J94" s="44"/>
      <c r="K94" s="45"/>
      <c r="L94" s="1389">
        <f ca="1">L95+L96</f>
        <v>136300</v>
      </c>
      <c r="M94" s="1390">
        <f ca="1">M95+M96</f>
        <v>61000</v>
      </c>
      <c r="N94" s="1390">
        <f ca="1">N95+N96</f>
        <v>60917.9</v>
      </c>
      <c r="O94" s="1390">
        <f ca="1">IF(L94&gt;0,N94*100/L94,0)</f>
        <v>44.693983859134264</v>
      </c>
      <c r="P94" s="1390">
        <f ca="1">IF(M94&gt;0,N94*100/M94,0)</f>
        <v>99.865409836065581</v>
      </c>
      <c r="Q94" s="1390">
        <f ca="1">Q95+Q96</f>
        <v>84420</v>
      </c>
      <c r="R94" s="1390">
        <f ca="1">R95+R96</f>
        <v>84420</v>
      </c>
      <c r="S94" s="1390">
        <f ca="1">S95+S96</f>
        <v>54140</v>
      </c>
      <c r="T94" s="1390">
        <f ca="1">IF(Q94&gt;0,S94*100/Q94,0)</f>
        <v>64.13172234067757</v>
      </c>
      <c r="U94" s="1390">
        <f ca="1">IF(R94&gt;0,S94*100/R94,0)</f>
        <v>64.13172234067757</v>
      </c>
    </row>
    <row r="95" spans="1:21" ht="18.75" x14ac:dyDescent="0.25">
      <c r="A95" s="128"/>
      <c r="B95" s="40"/>
      <c r="C95" s="40"/>
      <c r="D95" s="40"/>
      <c r="E95" s="156" t="s">
        <v>20</v>
      </c>
      <c r="F95" s="40"/>
      <c r="G95" s="42"/>
      <c r="H95" s="157" t="s">
        <v>14</v>
      </c>
      <c r="I95" s="44"/>
      <c r="J95" s="44"/>
      <c r="K95" s="45"/>
      <c r="L95" s="1358">
        <f>L98+L101</f>
        <v>0</v>
      </c>
      <c r="M95" s="83">
        <f>M98+M101</f>
        <v>0</v>
      </c>
      <c r="N95" s="83">
        <f>N98+N101</f>
        <v>0</v>
      </c>
      <c r="O95" s="83">
        <f>IF(L95&gt;0,N95*100/L95,0)</f>
        <v>0</v>
      </c>
      <c r="P95" s="83">
        <f>IF(M95&gt;0,N95*100/M95,0)</f>
        <v>0</v>
      </c>
      <c r="Q95" s="83">
        <f>Q98+Q101</f>
        <v>0</v>
      </c>
      <c r="R95" s="83">
        <f>R98+R101</f>
        <v>0</v>
      </c>
      <c r="S95" s="83">
        <f>S98+S101</f>
        <v>0</v>
      </c>
      <c r="T95" s="83">
        <f>IF(Q95&gt;0,S95*100/Q95,0)</f>
        <v>0</v>
      </c>
      <c r="U95" s="83">
        <f>IF(R95&gt;0,S95*100/R95,0)</f>
        <v>0</v>
      </c>
    </row>
    <row r="96" spans="1:21" ht="18.75" x14ac:dyDescent="0.25">
      <c r="A96" s="128"/>
      <c r="B96" s="40"/>
      <c r="C96" s="40"/>
      <c r="D96" s="40"/>
      <c r="E96" s="47" t="s">
        <v>21</v>
      </c>
      <c r="F96" s="40"/>
      <c r="G96" s="42"/>
      <c r="H96" s="133" t="s">
        <v>14</v>
      </c>
      <c r="I96" s="44"/>
      <c r="J96" s="44"/>
      <c r="K96" s="45"/>
      <c r="L96" s="1356">
        <f ca="1">L99+L102</f>
        <v>136300</v>
      </c>
      <c r="M96" s="224">
        <f ca="1">M99+M102</f>
        <v>61000</v>
      </c>
      <c r="N96" s="224">
        <f ca="1">N99+N102</f>
        <v>60917.9</v>
      </c>
      <c r="O96" s="224">
        <f ca="1">IF(L96&gt;0,N96*100/L96,0)</f>
        <v>44.693983859134264</v>
      </c>
      <c r="P96" s="224">
        <f ca="1">IF(M96&gt;0,N96*100/M96,0)</f>
        <v>99.865409836065581</v>
      </c>
      <c r="Q96" s="224">
        <f ca="1">Q99+Q102</f>
        <v>84420</v>
      </c>
      <c r="R96" s="224">
        <f ca="1">R99+R102</f>
        <v>84420</v>
      </c>
      <c r="S96" s="224">
        <f ca="1">S99+S102</f>
        <v>54140</v>
      </c>
      <c r="T96" s="224">
        <f ca="1">IF(Q96&gt;0,S96*100/Q96,0)</f>
        <v>64.13172234067757</v>
      </c>
      <c r="U96" s="224">
        <f ca="1">IF(R96&gt;0,S96*100/R96,0)</f>
        <v>64.13172234067757</v>
      </c>
    </row>
    <row r="97" spans="1:21" ht="18.75" x14ac:dyDescent="0.25">
      <c r="A97" s="128"/>
      <c r="B97" s="40"/>
      <c r="C97" s="40"/>
      <c r="D97" s="41" t="s">
        <v>22</v>
      </c>
      <c r="E97" s="40"/>
      <c r="F97" s="40"/>
      <c r="G97" s="42"/>
      <c r="H97" s="134" t="s">
        <v>14</v>
      </c>
      <c r="I97" s="135"/>
      <c r="J97" s="135"/>
      <c r="K97" s="136"/>
      <c r="L97" s="1356">
        <f ca="1">L98+L99</f>
        <v>136300</v>
      </c>
      <c r="M97" s="224">
        <f ca="1">M98+M99</f>
        <v>61000</v>
      </c>
      <c r="N97" s="224">
        <f ca="1">N98+N99</f>
        <v>60917.9</v>
      </c>
      <c r="O97" s="224">
        <f ca="1">IF(L97&gt;0,N97*100/L97,0)</f>
        <v>44.693983859134264</v>
      </c>
      <c r="P97" s="224">
        <f ca="1">IF(M97&gt;0,N97*100/M97,0)</f>
        <v>99.865409836065581</v>
      </c>
      <c r="Q97" s="224">
        <f ca="1">Q98+Q99</f>
        <v>84420</v>
      </c>
      <c r="R97" s="224">
        <f ca="1">R98+R99</f>
        <v>84420</v>
      </c>
      <c r="S97" s="224">
        <f ca="1">S98+S99</f>
        <v>54140</v>
      </c>
      <c r="T97" s="224">
        <f ca="1">IF(Q97&gt;0,S97*100/Q97,0)</f>
        <v>64.13172234067757</v>
      </c>
      <c r="U97" s="224">
        <f ca="1">IF(R97&gt;0,S97*100/R97,0)</f>
        <v>64.13172234067757</v>
      </c>
    </row>
    <row r="98" spans="1:21" ht="18.75" x14ac:dyDescent="0.25">
      <c r="A98" s="128"/>
      <c r="B98" s="40"/>
      <c r="C98" s="40"/>
      <c r="D98" s="40"/>
      <c r="E98" s="156" t="s">
        <v>36</v>
      </c>
      <c r="F98" s="40"/>
      <c r="G98" s="42"/>
      <c r="H98" s="159" t="s">
        <v>14</v>
      </c>
      <c r="I98" s="135"/>
      <c r="J98" s="135"/>
      <c r="K98" s="136"/>
      <c r="L98" s="1358">
        <v>0</v>
      </c>
      <c r="M98" s="83">
        <v>0</v>
      </c>
      <c r="N98" s="83">
        <v>0</v>
      </c>
      <c r="O98" s="83">
        <f>IF(L98&gt;0,N98*100/L98,0)</f>
        <v>0</v>
      </c>
      <c r="P98" s="83">
        <f>IF(M98&gt;0,N98*100/M98,0)</f>
        <v>0</v>
      </c>
      <c r="Q98" s="83">
        <v>0</v>
      </c>
      <c r="R98" s="83">
        <v>0</v>
      </c>
      <c r="S98" s="83">
        <v>0</v>
      </c>
      <c r="T98" s="83">
        <f>IF(Q98&gt;0,S98*100/Q98,0)</f>
        <v>0</v>
      </c>
      <c r="U98" s="83">
        <f>IF(R98&gt;0,S98*100/R98,0)</f>
        <v>0</v>
      </c>
    </row>
    <row r="99" spans="1:21" ht="18.75" x14ac:dyDescent="0.25">
      <c r="A99" s="128"/>
      <c r="B99" s="40"/>
      <c r="C99" s="40"/>
      <c r="D99" s="40"/>
      <c r="E99" s="47" t="s">
        <v>37</v>
      </c>
      <c r="F99" s="40"/>
      <c r="G99" s="42"/>
      <c r="H99" s="134" t="s">
        <v>14</v>
      </c>
      <c r="I99" s="135"/>
      <c r="J99" s="135"/>
      <c r="K99" s="136"/>
      <c r="L99" s="1356">
        <f ca="1">IFERROR(__xludf.DUMMYFUNCTION("IMPORTRANGE(""https://docs.google.com/spreadsheets/d/1-uDff_7J0KD5mKrp0Vvzr7lt3OU09vwQwhkpOPPYv2Y/edit?usp=sharing"",""งบพรบ!AW27"")"),136300)</f>
        <v>136300</v>
      </c>
      <c r="M99" s="224">
        <f ca="1">IFERROR(__xludf.DUMMYFUNCTION("IMPORTRANGE(""https://docs.google.com/spreadsheets/d/1-uDff_7J0KD5mKrp0Vvzr7lt3OU09vwQwhkpOPPYv2Y/edit?usp=sharing"",""งบพรบ!BB27"")"),61000)</f>
        <v>61000</v>
      </c>
      <c r="N99" s="224">
        <f ca="1">IFERROR(__xludf.DUMMYFUNCTION("IMPORTRANGE(""https://docs.google.com/spreadsheets/d/1-uDff_7J0KD5mKrp0Vvzr7lt3OU09vwQwhkpOPPYv2Y/edit?usp=sharing"",""งบพรบ!BD27"")"),60917.9)</f>
        <v>60917.9</v>
      </c>
      <c r="O99" s="224">
        <f ca="1">IF(L99&gt;0,N99*100/L99,0)</f>
        <v>44.693983859134264</v>
      </c>
      <c r="P99" s="224">
        <f ca="1">IF(M99&gt;0,N99*100/M99,0)</f>
        <v>99.865409836065581</v>
      </c>
      <c r="Q99" s="224">
        <f ca="1">IFERROR(__xludf.DUMMYFUNCTION("IMPORTRANGE(""https://docs.google.com/spreadsheets/d/1ItG2mGa2ceCfYo0BwxsXqNm01IGEUdYcSSLTEv9YCik/edit?usp=sharing"",""เบิกจ่ายกองทุน!AJ27"")"),84420)</f>
        <v>84420</v>
      </c>
      <c r="R99" s="224">
        <f ca="1">IFERROR(__xludf.DUMMYFUNCTION("IMPORTRANGE(""https://docs.google.com/spreadsheets/d/1ItG2mGa2ceCfYo0BwxsXqNm01IGEUdYcSSLTEv9YCik/edit?usp=sharing"",""เบิกจ่ายกองทุน!AK27"")"),84420)</f>
        <v>84420</v>
      </c>
      <c r="S99" s="224">
        <f ca="1">IFERROR(__xludf.DUMMYFUNCTION("IMPORTRANGE(""https://docs.google.com/spreadsheets/d/1ItG2mGa2ceCfYo0BwxsXqNm01IGEUdYcSSLTEv9YCik/edit?usp=sharing"",""เบิกจ่ายกองทุน!AL27"")"),54140)</f>
        <v>54140</v>
      </c>
      <c r="T99" s="224">
        <f ca="1">IF(Q99&gt;0,S99*100/Q99,0)</f>
        <v>64.13172234067757</v>
      </c>
      <c r="U99" s="224">
        <f ca="1">IF(R99&gt;0,S99*100/R99,0)</f>
        <v>64.13172234067757</v>
      </c>
    </row>
    <row r="100" spans="1:21" ht="18.75" x14ac:dyDescent="0.25">
      <c r="A100" s="128"/>
      <c r="B100" s="40"/>
      <c r="C100" s="40"/>
      <c r="D100" s="41" t="s">
        <v>23</v>
      </c>
      <c r="E100" s="40"/>
      <c r="F100" s="40"/>
      <c r="G100" s="42"/>
      <c r="H100" s="137" t="s">
        <v>14</v>
      </c>
      <c r="I100" s="135"/>
      <c r="J100" s="135"/>
      <c r="K100" s="136"/>
      <c r="L100" s="1356">
        <f ca="1">L101+L102</f>
        <v>0</v>
      </c>
      <c r="M100" s="224">
        <f ca="1">M101+M102</f>
        <v>0</v>
      </c>
      <c r="N100" s="224">
        <f ca="1">N101+N102</f>
        <v>0</v>
      </c>
      <c r="O100" s="224">
        <f ca="1">IF(L100&gt;0,N100*100/L100,0)</f>
        <v>0</v>
      </c>
      <c r="P100" s="224">
        <f ca="1">IF(M100&gt;0,N100*100/M100,0)</f>
        <v>0</v>
      </c>
      <c r="Q100" s="224">
        <f>Q101+Q102</f>
        <v>0</v>
      </c>
      <c r="R100" s="224">
        <f>R101+R102</f>
        <v>0</v>
      </c>
      <c r="S100" s="224">
        <f>S101+S102</f>
        <v>0</v>
      </c>
      <c r="T100" s="224">
        <f>IF(Q100&gt;0,S100*100/Q100,0)</f>
        <v>0</v>
      </c>
      <c r="U100" s="224">
        <f>IF(R100&gt;0,S100*100/R100,0)</f>
        <v>0</v>
      </c>
    </row>
    <row r="101" spans="1:21" ht="18.75" x14ac:dyDescent="0.25">
      <c r="A101" s="128"/>
      <c r="B101" s="40"/>
      <c r="C101" s="40"/>
      <c r="D101" s="40"/>
      <c r="E101" s="156" t="s">
        <v>20</v>
      </c>
      <c r="F101" s="40"/>
      <c r="G101" s="42"/>
      <c r="H101" s="159" t="s">
        <v>14</v>
      </c>
      <c r="I101" s="135"/>
      <c r="J101" s="135"/>
      <c r="K101" s="136"/>
      <c r="L101" s="1358">
        <v>0</v>
      </c>
      <c r="M101" s="83">
        <v>0</v>
      </c>
      <c r="N101" s="83">
        <v>0</v>
      </c>
      <c r="O101" s="83">
        <f>IF(L101&gt;0,N101*100/L101,0)</f>
        <v>0</v>
      </c>
      <c r="P101" s="83">
        <f>IF(M101&gt;0,N101*100/M101,0)</f>
        <v>0</v>
      </c>
      <c r="Q101" s="83">
        <v>0</v>
      </c>
      <c r="R101" s="83">
        <v>0</v>
      </c>
      <c r="S101" s="83">
        <v>0</v>
      </c>
      <c r="T101" s="83">
        <f>IF(Q101&gt;0,S101*100/Q101,0)</f>
        <v>0</v>
      </c>
      <c r="U101" s="83">
        <f>IF(R101&gt;0,S101*100/R101,0)</f>
        <v>0</v>
      </c>
    </row>
    <row r="102" spans="1:21" ht="18.75" x14ac:dyDescent="0.25">
      <c r="A102" s="128"/>
      <c r="B102" s="40"/>
      <c r="C102" s="40"/>
      <c r="D102" s="40"/>
      <c r="E102" s="47" t="s">
        <v>21</v>
      </c>
      <c r="F102" s="40"/>
      <c r="G102" s="42"/>
      <c r="H102" s="137" t="s">
        <v>14</v>
      </c>
      <c r="I102" s="135"/>
      <c r="J102" s="135"/>
      <c r="K102" s="136"/>
      <c r="L102" s="1356">
        <f ca="1">IFERROR(__xludf.DUMMYFUNCTION("IMPORTRANGE(""https://docs.google.com/spreadsheets/d/1-uDff_7J0KD5mKrp0Vvzr7lt3OU09vwQwhkpOPPYv2Y/edit?usp=sharing"",""งบพรบ!AZ27"")"),0)</f>
        <v>0</v>
      </c>
      <c r="M102" s="224">
        <f ca="1">IFERROR(__xludf.DUMMYFUNCTION("IMPORTRANGE(""https://docs.google.com/spreadsheets/d/1-uDff_7J0KD5mKrp0Vvzr7lt3OU09vwQwhkpOPPYv2Y/edit?usp=sharing"",""งบพรบ!BC27"")"),0)</f>
        <v>0</v>
      </c>
      <c r="N102" s="224">
        <f ca="1">IFERROR(__xludf.DUMMYFUNCTION("IMPORTRANGE(""https://docs.google.com/spreadsheets/d/1-uDff_7J0KD5mKrp0Vvzr7lt3OU09vwQwhkpOPPYv2Y/edit?usp=sharing"",""งบพรบ!BE27"")"),0)</f>
        <v>0</v>
      </c>
      <c r="O102" s="224">
        <f ca="1">IF(L102&gt;0,N102*100/L102,0)</f>
        <v>0</v>
      </c>
      <c r="P102" s="224">
        <f ca="1">IF(M102&gt;0,N102*100/M102,0)</f>
        <v>0</v>
      </c>
      <c r="Q102" s="224">
        <v>0</v>
      </c>
      <c r="R102" s="224">
        <v>0</v>
      </c>
      <c r="S102" s="224">
        <v>0</v>
      </c>
      <c r="T102" s="224">
        <f>IF(Q102&gt;0,S102*100/Q102,0)</f>
        <v>0</v>
      </c>
      <c r="U102" s="224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1391" t="s">
        <v>38</v>
      </c>
      <c r="E103" s="141"/>
      <c r="F103" s="141"/>
      <c r="G103" s="142"/>
      <c r="H103" s="143"/>
      <c r="I103" s="135"/>
      <c r="J103" s="44"/>
      <c r="K103" s="45"/>
      <c r="L103" s="1359"/>
      <c r="M103" s="45"/>
      <c r="N103" s="45"/>
      <c r="O103" s="136"/>
      <c r="P103" s="136"/>
      <c r="Q103" s="45"/>
      <c r="R103" s="45"/>
      <c r="S103" s="45"/>
      <c r="T103" s="136"/>
      <c r="U103" s="136"/>
    </row>
    <row r="104" spans="1:21" ht="12.75" x14ac:dyDescent="0.2">
      <c r="A104" s="162"/>
      <c r="B104" s="163"/>
      <c r="C104" s="163"/>
      <c r="D104" s="18"/>
      <c r="E104" s="18"/>
      <c r="F104" s="18"/>
      <c r="G104" s="19"/>
      <c r="H104" s="19"/>
      <c r="I104" s="20"/>
      <c r="J104" s="20"/>
      <c r="K104" s="21"/>
      <c r="L104" s="1346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12.75" x14ac:dyDescent="0.2">
      <c r="A105" s="162"/>
      <c r="B105" s="163"/>
      <c r="C105" s="163"/>
      <c r="D105" s="18"/>
      <c r="E105" s="18"/>
      <c r="F105" s="18"/>
      <c r="G105" s="19"/>
      <c r="H105" s="19"/>
      <c r="I105" s="20"/>
      <c r="J105" s="20"/>
      <c r="K105" s="21"/>
      <c r="L105" s="1346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12.75" x14ac:dyDescent="0.2">
      <c r="A106" s="162"/>
      <c r="B106" s="163"/>
      <c r="C106" s="163"/>
      <c r="D106" s="163"/>
      <c r="E106" s="18"/>
      <c r="F106" s="18"/>
      <c r="G106" s="19"/>
      <c r="H106" s="19"/>
      <c r="I106" s="20"/>
      <c r="J106" s="20"/>
      <c r="K106" s="21"/>
      <c r="L106" s="1346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19.5" x14ac:dyDescent="0.3">
      <c r="A107" s="138"/>
      <c r="B107" s="139"/>
      <c r="C107" s="139"/>
      <c r="D107" s="164" t="s">
        <v>47</v>
      </c>
      <c r="E107" s="165"/>
      <c r="F107" s="145"/>
      <c r="G107" s="143"/>
      <c r="H107" s="42"/>
      <c r="I107" s="44"/>
      <c r="J107" s="44"/>
      <c r="K107" s="45"/>
      <c r="L107" s="1359"/>
      <c r="M107" s="45"/>
      <c r="N107" s="45"/>
      <c r="O107" s="136"/>
      <c r="P107" s="136"/>
      <c r="Q107" s="45"/>
      <c r="R107" s="45"/>
      <c r="S107" s="45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3" t="s">
        <v>46</v>
      </c>
      <c r="I108" s="184">
        <f ca="1">IFERROR(__xludf.DUMMYFUNCTION("IMPORTRANGE(""https://docs.google.com/spreadsheets/d/1eHaY18a8A9IcSdp1K8H6x8fbOy06t2VsZHhMHf-1x7Y/edit?usp=sharing"",""แผน!N27"")"),30)</f>
        <v>30</v>
      </c>
      <c r="J108" s="1395">
        <v>30</v>
      </c>
      <c r="K108" s="224">
        <f ca="1">IF(I108&gt;0,J108*100/I108,0)</f>
        <v>100</v>
      </c>
      <c r="L108" s="1359"/>
      <c r="M108" s="45"/>
      <c r="N108" s="45"/>
      <c r="O108" s="136"/>
      <c r="P108" s="136"/>
      <c r="Q108" s="45"/>
      <c r="R108" s="45"/>
      <c r="S108" s="45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3" t="s">
        <v>35</v>
      </c>
      <c r="I109" s="184">
        <f ca="1">IFERROR(__xludf.DUMMYFUNCTION("IMPORTRANGE(""https://docs.google.com/spreadsheets/d/1eHaY18a8A9IcSdp1K8H6x8fbOy06t2VsZHhMHf-1x7Y/edit?usp=sharing"",""แผน!O27"")"),10)</f>
        <v>10</v>
      </c>
      <c r="J109" s="1395">
        <v>10</v>
      </c>
      <c r="K109" s="224">
        <f ca="1">IF(I109&gt;0,J109*100/I109,0)</f>
        <v>100</v>
      </c>
      <c r="L109" s="1359"/>
      <c r="M109" s="45"/>
      <c r="N109" s="45"/>
      <c r="O109" s="136"/>
      <c r="P109" s="136"/>
      <c r="Q109" s="45"/>
      <c r="R109" s="45"/>
      <c r="S109" s="45"/>
      <c r="T109" s="136"/>
      <c r="U109" s="136"/>
    </row>
    <row r="110" spans="1:21" ht="12.75" x14ac:dyDescent="0.2">
      <c r="A110" s="162"/>
      <c r="B110" s="163"/>
      <c r="C110" s="163"/>
      <c r="D110" s="18"/>
      <c r="E110" s="18"/>
      <c r="F110" s="18"/>
      <c r="G110" s="19"/>
      <c r="H110" s="19"/>
      <c r="I110" s="20"/>
      <c r="J110" s="20"/>
      <c r="K110" s="21"/>
      <c r="L110" s="1346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2.75" x14ac:dyDescent="0.2">
      <c r="A111" s="162"/>
      <c r="B111" s="163"/>
      <c r="C111" s="163"/>
      <c r="D111" s="18"/>
      <c r="E111" s="18"/>
      <c r="F111" s="18"/>
      <c r="G111" s="19"/>
      <c r="H111" s="19"/>
      <c r="I111" s="20"/>
      <c r="J111" s="20"/>
      <c r="K111" s="21"/>
      <c r="L111" s="1346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12.75" x14ac:dyDescent="0.2">
      <c r="A112" s="162"/>
      <c r="B112" s="163"/>
      <c r="C112" s="163"/>
      <c r="D112" s="18"/>
      <c r="E112" s="18"/>
      <c r="F112" s="18"/>
      <c r="G112" s="19"/>
      <c r="H112" s="19"/>
      <c r="I112" s="20"/>
      <c r="J112" s="20"/>
      <c r="K112" s="21"/>
      <c r="L112" s="1346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8.75" x14ac:dyDescent="0.25">
      <c r="A113" s="1397"/>
      <c r="B113" s="431"/>
      <c r="C113" s="431"/>
      <c r="D113" s="368" t="s">
        <v>50</v>
      </c>
      <c r="E113" s="433"/>
      <c r="F113" s="433"/>
      <c r="G113" s="434"/>
      <c r="H113" s="1398" t="s">
        <v>46</v>
      </c>
      <c r="I113" s="1399">
        <f ca="1">IFERROR(__xludf.DUMMYFUNCTION("IMPORTRANGE(""https://docs.google.com/spreadsheets/d/1eHaY18a8A9IcSdp1K8H6x8fbOy06t2VsZHhMHf-1x7Y/edit?usp=sharing"",""แผน!N27"")"),30)</f>
        <v>30</v>
      </c>
      <c r="J113" s="437">
        <v>30</v>
      </c>
      <c r="K113" s="372">
        <f ca="1">IF(I113&gt;0,J113*100/I113,0)</f>
        <v>100</v>
      </c>
      <c r="L113" s="373"/>
      <c r="M113" s="373"/>
      <c r="N113" s="373"/>
      <c r="O113" s="438"/>
      <c r="P113" s="438"/>
      <c r="Q113" s="373"/>
      <c r="R113" s="373"/>
      <c r="S113" s="373"/>
      <c r="T113" s="438"/>
      <c r="U113" s="43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394">
        <f ca="1">IFERROR(__xludf.DUMMYFUNCTION("IMPORTRANGE(""https://docs.google.com/spreadsheets/d/1eHaY18a8A9IcSdp1K8H6x8fbOy06t2VsZHhMHf-1x7Y/edit?usp=sharing"",""แผน!O27"")"),10)</f>
        <v>10</v>
      </c>
      <c r="J114" s="1395">
        <v>10</v>
      </c>
      <c r="K114" s="224">
        <f ca="1">IF(I114&gt;0,J114*100/I114,0)</f>
        <v>100</v>
      </c>
      <c r="L114" s="45"/>
      <c r="M114" s="45"/>
      <c r="N114" s="45"/>
      <c r="O114" s="136"/>
      <c r="P114" s="136"/>
      <c r="Q114" s="45"/>
      <c r="R114" s="45"/>
      <c r="S114" s="45"/>
      <c r="T114" s="136"/>
      <c r="U114" s="136"/>
    </row>
    <row r="115" spans="1:21" ht="19.5" x14ac:dyDescent="0.3">
      <c r="A115" s="1400" t="s">
        <v>51</v>
      </c>
      <c r="B115" s="1401"/>
      <c r="C115" s="1402"/>
      <c r="D115" s="1403"/>
      <c r="E115" s="1403"/>
      <c r="F115" s="1403"/>
      <c r="G115" s="1403"/>
      <c r="H115" s="1401"/>
      <c r="I115" s="1404"/>
      <c r="J115" s="1404"/>
      <c r="K115" s="1405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71" t="s">
        <v>52</v>
      </c>
      <c r="C116" s="172"/>
      <c r="D116" s="125"/>
      <c r="E116" s="27"/>
      <c r="F116" s="27"/>
      <c r="G116" s="30"/>
      <c r="H116" s="173" t="s">
        <v>35</v>
      </c>
      <c r="I116" s="1386">
        <f ca="1">I127</f>
        <v>50</v>
      </c>
      <c r="J116" s="1386">
        <f>J127</f>
        <v>50</v>
      </c>
      <c r="K116" s="1349">
        <f ca="1">IF(I116&gt;0,J116*100/I116,0)</f>
        <v>100</v>
      </c>
      <c r="L116" s="1387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ht="19.5" x14ac:dyDescent="0.3">
      <c r="A117" s="128"/>
      <c r="B117" s="158"/>
      <c r="C117" s="161" t="s">
        <v>18</v>
      </c>
      <c r="D117" s="1388" t="s">
        <v>19</v>
      </c>
      <c r="E117" s="40"/>
      <c r="F117" s="40"/>
      <c r="G117" s="42"/>
      <c r="H117" s="131" t="s">
        <v>14</v>
      </c>
      <c r="I117" s="44"/>
      <c r="J117" s="44"/>
      <c r="K117" s="45"/>
      <c r="L117" s="1389">
        <f ca="1">L118+L119</f>
        <v>0</v>
      </c>
      <c r="M117" s="1390">
        <f ca="1">M118+M119</f>
        <v>0</v>
      </c>
      <c r="N117" s="1390">
        <f ca="1">N118+N119</f>
        <v>0</v>
      </c>
      <c r="O117" s="1390">
        <f ca="1">IF(L117&gt;0,N117*100/L117,0)</f>
        <v>0</v>
      </c>
      <c r="P117" s="1390">
        <f ca="1">IF(M117&gt;0,N117*100/M117,0)</f>
        <v>0</v>
      </c>
      <c r="Q117" s="1390">
        <f ca="1">Q118+Q119</f>
        <v>284520</v>
      </c>
      <c r="R117" s="1390">
        <f ca="1">R118+R119</f>
        <v>284520</v>
      </c>
      <c r="S117" s="1390">
        <f ca="1">S118+S119</f>
        <v>172140.66</v>
      </c>
      <c r="T117" s="1390">
        <f ca="1">IF(Q117&gt;0,S117*100/Q117,0)</f>
        <v>60.502129902994518</v>
      </c>
      <c r="U117" s="1390">
        <f ca="1">IF(R117&gt;0,S117*100/R117,0)</f>
        <v>60.502129902994518</v>
      </c>
    </row>
    <row r="118" spans="1:21" ht="18.75" x14ac:dyDescent="0.25">
      <c r="A118" s="128"/>
      <c r="B118" s="158"/>
      <c r="C118" s="158"/>
      <c r="D118" s="158"/>
      <c r="E118" s="156" t="s">
        <v>20</v>
      </c>
      <c r="F118" s="40"/>
      <c r="G118" s="42"/>
      <c r="H118" s="157" t="s">
        <v>14</v>
      </c>
      <c r="I118" s="44"/>
      <c r="J118" s="44"/>
      <c r="K118" s="45"/>
      <c r="L118" s="1358">
        <f>L121+L124</f>
        <v>0</v>
      </c>
      <c r="M118" s="83">
        <f>M121+M124</f>
        <v>0</v>
      </c>
      <c r="N118" s="83">
        <f>N121+N124</f>
        <v>0</v>
      </c>
      <c r="O118" s="83">
        <f>IF(L118&gt;0,N118*100/L118,0)</f>
        <v>0</v>
      </c>
      <c r="P118" s="83">
        <f>IF(M118&gt;0,N118*100/M118,0)</f>
        <v>0</v>
      </c>
      <c r="Q118" s="83">
        <f>Q121+Q124</f>
        <v>0</v>
      </c>
      <c r="R118" s="83">
        <f>R121+R124</f>
        <v>0</v>
      </c>
      <c r="S118" s="83">
        <f>S121+S124</f>
        <v>0</v>
      </c>
      <c r="T118" s="83">
        <f>IF(Q118&gt;0,S118*100/Q118,0)</f>
        <v>0</v>
      </c>
      <c r="U118" s="83">
        <f>IF(R118&gt;0,S118*100/R118,0)</f>
        <v>0</v>
      </c>
    </row>
    <row r="119" spans="1:21" ht="18.75" x14ac:dyDescent="0.25">
      <c r="A119" s="128"/>
      <c r="B119" s="158"/>
      <c r="C119" s="158"/>
      <c r="D119" s="158"/>
      <c r="E119" s="47" t="s">
        <v>21</v>
      </c>
      <c r="F119" s="40"/>
      <c r="G119" s="42"/>
      <c r="H119" s="133" t="s">
        <v>14</v>
      </c>
      <c r="I119" s="44"/>
      <c r="J119" s="44"/>
      <c r="K119" s="45"/>
      <c r="L119" s="1356">
        <f ca="1">L122+L125</f>
        <v>0</v>
      </c>
      <c r="M119" s="224">
        <f ca="1">M122+M125</f>
        <v>0</v>
      </c>
      <c r="N119" s="224">
        <f ca="1">N122+N125</f>
        <v>0</v>
      </c>
      <c r="O119" s="224">
        <f ca="1">IF(L119&gt;0,N119*100/L119,0)</f>
        <v>0</v>
      </c>
      <c r="P119" s="224">
        <f ca="1">IF(M119&gt;0,N119*100/M119,0)</f>
        <v>0</v>
      </c>
      <c r="Q119" s="224">
        <f ca="1">Q122+Q125</f>
        <v>284520</v>
      </c>
      <c r="R119" s="224">
        <f ca="1">R122+R125</f>
        <v>284520</v>
      </c>
      <c r="S119" s="224">
        <f ca="1">S122+S125</f>
        <v>172140.66</v>
      </c>
      <c r="T119" s="224">
        <f ca="1">IF(Q119&gt;0,S119*100/Q119,0)</f>
        <v>60.502129902994518</v>
      </c>
      <c r="U119" s="224">
        <f ca="1">IF(R119&gt;0,S119*100/R119,0)</f>
        <v>60.502129902994518</v>
      </c>
    </row>
    <row r="120" spans="1:21" ht="18.75" x14ac:dyDescent="0.25">
      <c r="A120" s="128"/>
      <c r="B120" s="158"/>
      <c r="C120" s="174"/>
      <c r="D120" s="1406" t="s">
        <v>22</v>
      </c>
      <c r="E120" s="40"/>
      <c r="F120" s="40"/>
      <c r="G120" s="42"/>
      <c r="H120" s="175" t="s">
        <v>14</v>
      </c>
      <c r="I120" s="44"/>
      <c r="J120" s="44"/>
      <c r="K120" s="45"/>
      <c r="L120" s="1356">
        <f ca="1">L121+L122</f>
        <v>0</v>
      </c>
      <c r="M120" s="224">
        <f ca="1">M121+M122</f>
        <v>0</v>
      </c>
      <c r="N120" s="224">
        <f ca="1">N121+N122</f>
        <v>0</v>
      </c>
      <c r="O120" s="224">
        <f ca="1">IF(L120&gt;0,N120*100/L120,0)</f>
        <v>0</v>
      </c>
      <c r="P120" s="224">
        <f ca="1">IF(M120&gt;0,N120*100/M120,0)</f>
        <v>0</v>
      </c>
      <c r="Q120" s="224">
        <f ca="1">Q121+Q122</f>
        <v>284520</v>
      </c>
      <c r="R120" s="224">
        <f ca="1">R121+R122</f>
        <v>284520</v>
      </c>
      <c r="S120" s="224">
        <f ca="1">S121+S122</f>
        <v>172140.66</v>
      </c>
      <c r="T120" s="224">
        <f ca="1">IF(Q120&gt;0,S120*100/Q120,0)</f>
        <v>60.502129902994518</v>
      </c>
      <c r="U120" s="224">
        <f ca="1">IF(R120&gt;0,S120*100/R120,0)</f>
        <v>60.502129902994518</v>
      </c>
    </row>
    <row r="121" spans="1:21" ht="18.75" x14ac:dyDescent="0.25">
      <c r="A121" s="128"/>
      <c r="B121" s="158"/>
      <c r="C121" s="174"/>
      <c r="D121" s="158"/>
      <c r="E121" s="156" t="s">
        <v>36</v>
      </c>
      <c r="F121" s="40"/>
      <c r="G121" s="42"/>
      <c r="H121" s="176" t="s">
        <v>14</v>
      </c>
      <c r="I121" s="44"/>
      <c r="J121" s="44"/>
      <c r="K121" s="45"/>
      <c r="L121" s="1358">
        <v>0</v>
      </c>
      <c r="M121" s="83">
        <v>0</v>
      </c>
      <c r="N121" s="83">
        <v>0</v>
      </c>
      <c r="O121" s="83">
        <f>IF(L121&gt;0,N121*100/L121,0)</f>
        <v>0</v>
      </c>
      <c r="P121" s="83">
        <f>IF(M121&gt;0,N121*100/M121,0)</f>
        <v>0</v>
      </c>
      <c r="Q121" s="83">
        <v>0</v>
      </c>
      <c r="R121" s="83">
        <v>0</v>
      </c>
      <c r="S121" s="83">
        <v>0</v>
      </c>
      <c r="T121" s="83">
        <f>IF(Q121&gt;0,S121*100/Q121,0)</f>
        <v>0</v>
      </c>
      <c r="U121" s="83">
        <f>IF(R121&gt;0,S121*100/R121,0)</f>
        <v>0</v>
      </c>
    </row>
    <row r="122" spans="1:21" ht="18.75" x14ac:dyDescent="0.25">
      <c r="A122" s="128"/>
      <c r="B122" s="158"/>
      <c r="C122" s="174"/>
      <c r="D122" s="158"/>
      <c r="E122" s="47" t="s">
        <v>37</v>
      </c>
      <c r="F122" s="40"/>
      <c r="G122" s="42"/>
      <c r="H122" s="175" t="s">
        <v>14</v>
      </c>
      <c r="I122" s="44"/>
      <c r="J122" s="44"/>
      <c r="K122" s="45"/>
      <c r="L122" s="1356">
        <f ca="1">IFERROR(__xludf.DUMMYFUNCTION("IMPORTRANGE(""https://docs.google.com/spreadsheets/d/1-uDff_7J0KD5mKrp0Vvzr7lt3OU09vwQwhkpOPPYv2Y/edit?usp=sharing"",""งบพรบ!BG27"")"),0)</f>
        <v>0</v>
      </c>
      <c r="M122" s="224">
        <f ca="1">IFERROR(__xludf.DUMMYFUNCTION("IMPORTRANGE(""https://docs.google.com/spreadsheets/d/1-uDff_7J0KD5mKrp0Vvzr7lt3OU09vwQwhkpOPPYv2Y/edit?usp=sharing"",""งบพรบ!BL27"")"),0)</f>
        <v>0</v>
      </c>
      <c r="N122" s="224">
        <f ca="1">IFERROR(__xludf.DUMMYFUNCTION("IMPORTRANGE(""https://docs.google.com/spreadsheets/d/1-uDff_7J0KD5mKrp0Vvzr7lt3OU09vwQwhkpOPPYv2Y/edit?usp=sharing"",""งบพรบ!BN27"")"),0)</f>
        <v>0</v>
      </c>
      <c r="O122" s="224">
        <f ca="1">IF(L122&gt;0,N122*100/L122,0)</f>
        <v>0</v>
      </c>
      <c r="P122" s="224">
        <f ca="1">IF(M122&gt;0,N122*100/M122,0)</f>
        <v>0</v>
      </c>
      <c r="Q122" s="224">
        <f ca="1">IFERROR(__xludf.DUMMYFUNCTION("IMPORTRANGE(""https://docs.google.com/spreadsheets/d/1ItG2mGa2ceCfYo0BwxsXqNm01IGEUdYcSSLTEv9YCik/edit?usp=sharing"",""เบิกจ่ายกองทุน!U27"")"),284520)</f>
        <v>284520</v>
      </c>
      <c r="R122" s="224">
        <f ca="1">IFERROR(__xludf.DUMMYFUNCTION("IMPORTRANGE(""https://docs.google.com/spreadsheets/d/1ItG2mGa2ceCfYo0BwxsXqNm01IGEUdYcSSLTEv9YCik/edit?usp=sharing"",""เบิกจ่ายกองทุน!V27"")"),284520)</f>
        <v>284520</v>
      </c>
      <c r="S122" s="224">
        <f ca="1">IFERROR(__xludf.DUMMYFUNCTION("IMPORTRANGE(""https://docs.google.com/spreadsheets/d/1ItG2mGa2ceCfYo0BwxsXqNm01IGEUdYcSSLTEv9YCik/edit?usp=sharing"",""เบิกจ่ายกองทุน!W27"")"),172140.66)</f>
        <v>172140.66</v>
      </c>
      <c r="T122" s="224">
        <f ca="1">IF(Q122&gt;0,S122*100/Q122,0)</f>
        <v>60.502129902994518</v>
      </c>
      <c r="U122" s="224">
        <f ca="1">IF(R122&gt;0,S122*100/R122,0)</f>
        <v>60.502129902994518</v>
      </c>
    </row>
    <row r="123" spans="1:21" ht="18.75" x14ac:dyDescent="0.25">
      <c r="A123" s="128"/>
      <c r="B123" s="40"/>
      <c r="C123" s="174"/>
      <c r="D123" s="1406" t="s">
        <v>23</v>
      </c>
      <c r="E123" s="40"/>
      <c r="F123" s="40"/>
      <c r="G123" s="42"/>
      <c r="H123" s="133" t="s">
        <v>14</v>
      </c>
      <c r="I123" s="44"/>
      <c r="J123" s="44"/>
      <c r="K123" s="45"/>
      <c r="L123" s="1356">
        <f ca="1">L124+L125</f>
        <v>0</v>
      </c>
      <c r="M123" s="224">
        <f ca="1">M124+M125</f>
        <v>0</v>
      </c>
      <c r="N123" s="224">
        <f ca="1">N124+N125</f>
        <v>0</v>
      </c>
      <c r="O123" s="224">
        <f ca="1">IF(L123&gt;0,N123*100/L123,0)</f>
        <v>0</v>
      </c>
      <c r="P123" s="224">
        <f ca="1">IF(M123&gt;0,N123*100/M123,0)</f>
        <v>0</v>
      </c>
      <c r="Q123" s="224">
        <f ca="1">Q124+Q125</f>
        <v>0</v>
      </c>
      <c r="R123" s="224">
        <f ca="1">R124+R125</f>
        <v>0</v>
      </c>
      <c r="S123" s="224">
        <f ca="1">S124+S125</f>
        <v>0</v>
      </c>
      <c r="T123" s="224">
        <f ca="1">IF(Q123&gt;0,S123*100/Q123,0)</f>
        <v>0</v>
      </c>
      <c r="U123" s="224">
        <f ca="1">IF(R123&gt;0,S123*100/R123,0)</f>
        <v>0</v>
      </c>
    </row>
    <row r="124" spans="1:21" ht="18.75" x14ac:dyDescent="0.25">
      <c r="A124" s="128"/>
      <c r="B124" s="40"/>
      <c r="C124" s="174"/>
      <c r="D124" s="158"/>
      <c r="E124" s="156" t="s">
        <v>20</v>
      </c>
      <c r="F124" s="40"/>
      <c r="G124" s="42"/>
      <c r="H124" s="176" t="s">
        <v>14</v>
      </c>
      <c r="I124" s="44"/>
      <c r="J124" s="44"/>
      <c r="K124" s="45"/>
      <c r="L124" s="1358">
        <v>0</v>
      </c>
      <c r="M124" s="83">
        <v>0</v>
      </c>
      <c r="N124" s="83">
        <v>0</v>
      </c>
      <c r="O124" s="83">
        <f>IF(L124&gt;0,N124*100/L124,0)</f>
        <v>0</v>
      </c>
      <c r="P124" s="83">
        <f>IF(M124&gt;0,N124*100/M124,0)</f>
        <v>0</v>
      </c>
      <c r="Q124" s="83">
        <v>0</v>
      </c>
      <c r="R124" s="83">
        <v>0</v>
      </c>
      <c r="S124" s="83">
        <v>0</v>
      </c>
      <c r="T124" s="83">
        <f>IF(Q124&gt;0,S124*100/Q124,0)</f>
        <v>0</v>
      </c>
      <c r="U124" s="83">
        <f>IF(R124&gt;0,S124*100/R124,0)</f>
        <v>0</v>
      </c>
    </row>
    <row r="125" spans="1:21" ht="18.75" x14ac:dyDescent="0.25">
      <c r="A125" s="128"/>
      <c r="B125" s="40"/>
      <c r="C125" s="40"/>
      <c r="D125" s="40"/>
      <c r="E125" s="47" t="s">
        <v>21</v>
      </c>
      <c r="F125" s="40"/>
      <c r="G125" s="42"/>
      <c r="H125" s="133" t="s">
        <v>14</v>
      </c>
      <c r="I125" s="44"/>
      <c r="J125" s="44"/>
      <c r="K125" s="45"/>
      <c r="L125" s="1356">
        <f ca="1">IFERROR(__xludf.DUMMYFUNCTION("IMPORTRANGE(""https://docs.google.com/spreadsheets/d/1-uDff_7J0KD5mKrp0Vvzr7lt3OU09vwQwhkpOPPYv2Y/edit?usp=sharing"",""งบพรบ!BJ27"")"),0)</f>
        <v>0</v>
      </c>
      <c r="M125" s="224">
        <f ca="1">IFERROR(__xludf.DUMMYFUNCTION("IMPORTRANGE(""https://docs.google.com/spreadsheets/d/1-uDff_7J0KD5mKrp0Vvzr7lt3OU09vwQwhkpOPPYv2Y/edit?usp=sharing"",""งบพรบ!BM27"")"),0)</f>
        <v>0</v>
      </c>
      <c r="N125" s="224">
        <f ca="1">IFERROR(__xludf.DUMMYFUNCTION("IMPORTRANGE(""https://docs.google.com/spreadsheets/d/1-uDff_7J0KD5mKrp0Vvzr7lt3OU09vwQwhkpOPPYv2Y/edit?usp=sharing"",""งบพรบ!BO27"")"),0)</f>
        <v>0</v>
      </c>
      <c r="O125" s="224">
        <f ca="1">IF(L125&gt;0,N125*100/L125,0)</f>
        <v>0</v>
      </c>
      <c r="P125" s="224">
        <f ca="1">IF(M125&gt;0,N125*100/M125,0)</f>
        <v>0</v>
      </c>
      <c r="Q125" s="224">
        <f ca="1">IFERROR(__xludf.DUMMYFUNCTION("IMPORTRANGE(""https://docs.google.com/spreadsheets/d/1ItG2mGa2ceCfYo0BwxsXqNm01IGEUdYcSSLTEv9YCik/edit?usp=sharing"",""เบิกจ่ายกองทุน!X27"")"),0)</f>
        <v>0</v>
      </c>
      <c r="R125" s="224">
        <f ca="1">IFERROR(__xludf.DUMMYFUNCTION("IMPORTRANGE(""https://docs.google.com/spreadsheets/d/1ItG2mGa2ceCfYo0BwxsXqNm01IGEUdYcSSLTEv9YCik/edit?usp=sharing"",""เบิกจ่ายกองทุน!Y27"")"),0)</f>
        <v>0</v>
      </c>
      <c r="S125" s="224">
        <f ca="1">IFERROR(__xludf.DUMMYFUNCTION("IMPORTRANGE(""https://docs.google.com/spreadsheets/d/1ItG2mGa2ceCfYo0BwxsXqNm01IGEUdYcSSLTEv9YCik/edit?usp=sharing"",""เบิกจ่ายกองทุน!Z27"")"),0)</f>
        <v>0</v>
      </c>
      <c r="T125" s="224">
        <f ca="1">IF(Q125&gt;0,S125*100/Q125,0)</f>
        <v>0</v>
      </c>
      <c r="U125" s="224">
        <f ca="1">IF(R125&gt;0,S125*100/R125,0)</f>
        <v>0</v>
      </c>
    </row>
    <row r="126" spans="1:21" ht="19.5" x14ac:dyDescent="0.3">
      <c r="A126" s="138"/>
      <c r="B126" s="139"/>
      <c r="C126" s="177" t="s">
        <v>18</v>
      </c>
      <c r="D126" s="1391" t="s">
        <v>38</v>
      </c>
      <c r="E126" s="141"/>
      <c r="F126" s="141"/>
      <c r="G126" s="142"/>
      <c r="H126" s="178"/>
      <c r="I126" s="44"/>
      <c r="J126" s="44"/>
      <c r="K126" s="45"/>
      <c r="L126" s="1359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84">
        <f ca="1">IFERROR(__xludf.DUMMYFUNCTION("IMPORTRANGE(""https://docs.google.com/spreadsheets/d/1eHaY18a8A9IcSdp1K8H6x8fbOy06t2VsZHhMHf-1x7Y/edit?usp=sharing"",""แผน!FF27"")"),50)</f>
        <v>50</v>
      </c>
      <c r="J127" s="1395">
        <v>50</v>
      </c>
      <c r="K127" s="224">
        <f ca="1">IF(I127&gt;0,J127*100/I127,0)</f>
        <v>100</v>
      </c>
      <c r="L127" s="1359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84">
        <f ca="1">IFERROR(__xludf.DUMMYFUNCTION("IMPORTRANGE(""https://docs.google.com/spreadsheets/d/1eHaY18a8A9IcSdp1K8H6x8fbOy06t2VsZHhMHf-1x7Y/edit?usp=sharing"",""แผน!FG27"")"),0)</f>
        <v>0</v>
      </c>
      <c r="J128" s="1395">
        <v>0</v>
      </c>
      <c r="K128" s="224">
        <f ca="1">IF(I128&gt;0,J128*100/I128,0)</f>
        <v>0</v>
      </c>
      <c r="L128" s="1359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84">
        <f ca="1">IFERROR(__xludf.DUMMYFUNCTION("IMPORTRANGE(""https://docs.google.com/spreadsheets/d/1eHaY18a8A9IcSdp1K8H6x8fbOy06t2VsZHhMHf-1x7Y/edit?usp=sharing"",""แผน!FH27"")"),20)</f>
        <v>20</v>
      </c>
      <c r="J129" s="1395">
        <v>0</v>
      </c>
      <c r="K129" s="224">
        <f ca="1">IF(I129&gt;0,J129*100/I129,0)</f>
        <v>0</v>
      </c>
      <c r="L129" s="1359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84">
        <f ca="1">IFERROR(__xludf.DUMMYFUNCTION("IMPORTRANGE(""https://docs.google.com/spreadsheets/d/1eHaY18a8A9IcSdp1K8H6x8fbOy06t2VsZHhMHf-1x7Y/edit?usp=sharing"",""แผน!FI27"")"),0)</f>
        <v>0</v>
      </c>
      <c r="J130" s="1395">
        <v>0</v>
      </c>
      <c r="K130" s="224">
        <f ca="1">IF(I130&gt;0,J130*100/I130,0)</f>
        <v>0</v>
      </c>
      <c r="L130" s="1359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ht="18.75" x14ac:dyDescent="0.25">
      <c r="A131" s="138"/>
      <c r="B131" s="139"/>
      <c r="C131" s="139"/>
      <c r="D131" s="179" t="s">
        <v>56</v>
      </c>
      <c r="E131" s="145"/>
      <c r="F131" s="145"/>
      <c r="G131" s="143"/>
      <c r="H131" s="157" t="s">
        <v>35</v>
      </c>
      <c r="I131" s="44"/>
      <c r="J131" s="44"/>
      <c r="K131" s="45"/>
      <c r="L131" s="1359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ht="18.75" x14ac:dyDescent="0.25">
      <c r="A132" s="138"/>
      <c r="B132" s="139"/>
      <c r="C132" s="139"/>
      <c r="D132" s="179" t="s">
        <v>57</v>
      </c>
      <c r="E132" s="145"/>
      <c r="F132" s="145"/>
      <c r="G132" s="143"/>
      <c r="H132" s="180"/>
      <c r="I132" s="44"/>
      <c r="J132" s="44"/>
      <c r="K132" s="45"/>
      <c r="L132" s="1359"/>
      <c r="M132" s="45"/>
      <c r="N132" s="45"/>
      <c r="O132" s="45"/>
      <c r="P132" s="45"/>
      <c r="Q132" s="45"/>
      <c r="R132" s="45"/>
      <c r="S132" s="45"/>
      <c r="T132" s="45"/>
      <c r="U132" s="45"/>
    </row>
    <row r="133" spans="1:21" ht="12.75" x14ac:dyDescent="0.2">
      <c r="A133" s="162"/>
      <c r="B133" s="163"/>
      <c r="C133" s="163"/>
      <c r="D133" s="18"/>
      <c r="E133" s="18"/>
      <c r="F133" s="18"/>
      <c r="G133" s="19"/>
      <c r="H133" s="181"/>
      <c r="I133" s="20"/>
      <c r="J133" s="20"/>
      <c r="K133" s="21"/>
      <c r="L133" s="1346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ht="19.5" x14ac:dyDescent="0.3">
      <c r="A134" s="118" t="s">
        <v>58</v>
      </c>
      <c r="B134" s="119"/>
      <c r="C134" s="168"/>
      <c r="D134" s="119"/>
      <c r="E134" s="119"/>
      <c r="F134" s="119"/>
      <c r="G134" s="119"/>
      <c r="H134" s="119"/>
      <c r="I134" s="169"/>
      <c r="J134" s="169"/>
      <c r="K134" s="170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8" t="s">
        <v>59</v>
      </c>
      <c r="C135" s="172"/>
      <c r="D135" s="125"/>
      <c r="E135" s="27"/>
      <c r="F135" s="27"/>
      <c r="G135" s="27"/>
      <c r="H135" s="27"/>
      <c r="I135" s="182"/>
      <c r="J135" s="32"/>
      <c r="K135" s="33"/>
      <c r="L135" s="1387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1:21" ht="19.5" x14ac:dyDescent="0.3">
      <c r="A136" s="124"/>
      <c r="B136" s="27"/>
      <c r="C136" s="183" t="s">
        <v>60</v>
      </c>
      <c r="D136" s="125"/>
      <c r="E136" s="27"/>
      <c r="F136" s="27"/>
      <c r="G136" s="30"/>
      <c r="H136" s="126" t="s">
        <v>61</v>
      </c>
      <c r="I136" s="1386">
        <f ca="1">I154</f>
        <v>0</v>
      </c>
      <c r="J136" s="1386">
        <f>J154</f>
        <v>0</v>
      </c>
      <c r="K136" s="1349">
        <f ca="1">IF(I136&gt;0,J136*100/I136,0)</f>
        <v>0</v>
      </c>
      <c r="L136" s="1387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1:21" ht="19.5" x14ac:dyDescent="0.3">
      <c r="A137" s="124"/>
      <c r="B137" s="27"/>
      <c r="C137" s="183" t="s">
        <v>62</v>
      </c>
      <c r="D137" s="125"/>
      <c r="E137" s="27"/>
      <c r="F137" s="27"/>
      <c r="G137" s="30"/>
      <c r="H137" s="126" t="s">
        <v>35</v>
      </c>
      <c r="I137" s="1386">
        <f ca="1">I152</f>
        <v>0</v>
      </c>
      <c r="J137" s="1386">
        <f>J152</f>
        <v>0</v>
      </c>
      <c r="K137" s="1349">
        <f ca="1">IF(I137&gt;0,J137*100/I137,0)</f>
        <v>0</v>
      </c>
      <c r="L137" s="1387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:21" ht="19.5" x14ac:dyDescent="0.3">
      <c r="A138" s="124"/>
      <c r="B138" s="27"/>
      <c r="C138" s="172"/>
      <c r="D138" s="125"/>
      <c r="E138" s="27"/>
      <c r="F138" s="27"/>
      <c r="G138" s="30"/>
      <c r="H138" s="126" t="s">
        <v>54</v>
      </c>
      <c r="I138" s="1386">
        <f ca="1">I153</f>
        <v>0</v>
      </c>
      <c r="J138" s="1386">
        <f>J153</f>
        <v>0</v>
      </c>
      <c r="K138" s="1349">
        <f ca="1">IF(I138&gt;0,J138*100/I138,0)</f>
        <v>0</v>
      </c>
      <c r="L138" s="1387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1:21" ht="19.5" x14ac:dyDescent="0.3">
      <c r="A139" s="128"/>
      <c r="B139" s="40"/>
      <c r="C139" s="129" t="s">
        <v>18</v>
      </c>
      <c r="D139" s="1388" t="s">
        <v>19</v>
      </c>
      <c r="E139" s="40"/>
      <c r="F139" s="40"/>
      <c r="G139" s="42"/>
      <c r="H139" s="131" t="s">
        <v>14</v>
      </c>
      <c r="I139" s="44"/>
      <c r="J139" s="44"/>
      <c r="K139" s="45"/>
      <c r="L139" s="1389">
        <f ca="1">L140+L141</f>
        <v>0</v>
      </c>
      <c r="M139" s="1390">
        <f ca="1">M140+M141</f>
        <v>0</v>
      </c>
      <c r="N139" s="1390">
        <f ca="1">N140+N141</f>
        <v>0</v>
      </c>
      <c r="O139" s="1390">
        <f ca="1">IF(L139&gt;0,N139*100/L139,0)</f>
        <v>0</v>
      </c>
      <c r="P139" s="1390">
        <f ca="1">IF(M139&gt;0,N139*100/M139,0)</f>
        <v>0</v>
      </c>
      <c r="Q139" s="1390">
        <f ca="1">Q140+Q141</f>
        <v>0</v>
      </c>
      <c r="R139" s="1390">
        <f ca="1">R140+R141</f>
        <v>0</v>
      </c>
      <c r="S139" s="1390">
        <f ca="1">S140+S141</f>
        <v>0</v>
      </c>
      <c r="T139" s="1390">
        <f ca="1">IF(Q139&gt;0,S139*100/Q139,0)</f>
        <v>0</v>
      </c>
      <c r="U139" s="1390">
        <f ca="1">IF(R139&gt;0,S139*100/R139,0)</f>
        <v>0</v>
      </c>
    </row>
    <row r="140" spans="1:21" ht="18.75" x14ac:dyDescent="0.25">
      <c r="A140" s="128"/>
      <c r="B140" s="40"/>
      <c r="C140" s="40"/>
      <c r="D140" s="40"/>
      <c r="E140" s="156" t="s">
        <v>20</v>
      </c>
      <c r="F140" s="40"/>
      <c r="G140" s="42"/>
      <c r="H140" s="157" t="s">
        <v>14</v>
      </c>
      <c r="I140" s="44"/>
      <c r="J140" s="44"/>
      <c r="K140" s="45"/>
      <c r="L140" s="1358">
        <f>L143+L146</f>
        <v>0</v>
      </c>
      <c r="M140" s="83">
        <f>M143+M146</f>
        <v>0</v>
      </c>
      <c r="N140" s="83">
        <f>N143+N146</f>
        <v>0</v>
      </c>
      <c r="O140" s="83">
        <f>IF(L140&gt;0,N140*100/L140,0)</f>
        <v>0</v>
      </c>
      <c r="P140" s="83">
        <f>IF(M140&gt;0,N140*100/M140,0)</f>
        <v>0</v>
      </c>
      <c r="Q140" s="83">
        <f>Q143+Q146</f>
        <v>0</v>
      </c>
      <c r="R140" s="83">
        <f>R143+R146</f>
        <v>0</v>
      </c>
      <c r="S140" s="83">
        <f>S143+S146</f>
        <v>0</v>
      </c>
      <c r="T140" s="83">
        <f>IF(Q140&gt;0,S140*100/Q140,0)</f>
        <v>0</v>
      </c>
      <c r="U140" s="83">
        <f>IF(R140&gt;0,S140*100/R140,0)</f>
        <v>0</v>
      </c>
    </row>
    <row r="141" spans="1:21" ht="18.75" x14ac:dyDescent="0.25">
      <c r="A141" s="128"/>
      <c r="B141" s="40"/>
      <c r="C141" s="40"/>
      <c r="D141" s="40"/>
      <c r="E141" s="47" t="s">
        <v>21</v>
      </c>
      <c r="F141" s="40"/>
      <c r="G141" s="42"/>
      <c r="H141" s="133" t="s">
        <v>14</v>
      </c>
      <c r="I141" s="44"/>
      <c r="J141" s="44"/>
      <c r="K141" s="45"/>
      <c r="L141" s="1356">
        <f ca="1">L144+L147</f>
        <v>0</v>
      </c>
      <c r="M141" s="224">
        <f ca="1">M144+M147</f>
        <v>0</v>
      </c>
      <c r="N141" s="224">
        <f ca="1">N144+N147</f>
        <v>0</v>
      </c>
      <c r="O141" s="224">
        <f ca="1">IF(L141&gt;0,N141*100/L141,0)</f>
        <v>0</v>
      </c>
      <c r="P141" s="224">
        <f ca="1">IF(M141&gt;0,N141*100/M141,0)</f>
        <v>0</v>
      </c>
      <c r="Q141" s="224">
        <f ca="1">Q144+Q147</f>
        <v>0</v>
      </c>
      <c r="R141" s="224">
        <f ca="1">R144+R147</f>
        <v>0</v>
      </c>
      <c r="S141" s="224">
        <f ca="1">S144+S147</f>
        <v>0</v>
      </c>
      <c r="T141" s="224">
        <f ca="1">IF(Q141&gt;0,S141*100/Q141,0)</f>
        <v>0</v>
      </c>
      <c r="U141" s="224">
        <f ca="1">IF(R141&gt;0,S141*100/R141,0)</f>
        <v>0</v>
      </c>
    </row>
    <row r="142" spans="1:21" ht="18.75" x14ac:dyDescent="0.25">
      <c r="A142" s="128"/>
      <c r="B142" s="40"/>
      <c r="C142" s="40"/>
      <c r="D142" s="41" t="s">
        <v>22</v>
      </c>
      <c r="E142" s="40"/>
      <c r="F142" s="40"/>
      <c r="G142" s="42"/>
      <c r="H142" s="134" t="s">
        <v>14</v>
      </c>
      <c r="I142" s="135"/>
      <c r="J142" s="135"/>
      <c r="K142" s="136"/>
      <c r="L142" s="1356">
        <f ca="1">L143+L144</f>
        <v>0</v>
      </c>
      <c r="M142" s="224">
        <f ca="1">M143+M144</f>
        <v>0</v>
      </c>
      <c r="N142" s="224">
        <f ca="1">N143+N144</f>
        <v>0</v>
      </c>
      <c r="O142" s="224">
        <f ca="1">IF(L142&gt;0,N142*100/L142,0)</f>
        <v>0</v>
      </c>
      <c r="P142" s="224">
        <f ca="1">IF(M142&gt;0,N142*100/M142,0)</f>
        <v>0</v>
      </c>
      <c r="Q142" s="224">
        <f ca="1">Q143+Q144</f>
        <v>0</v>
      </c>
      <c r="R142" s="224">
        <f ca="1">R143+R144</f>
        <v>0</v>
      </c>
      <c r="S142" s="224">
        <f ca="1">S143+S144</f>
        <v>0</v>
      </c>
      <c r="T142" s="224">
        <f ca="1">IF(Q142&gt;0,S142*100/Q142,0)</f>
        <v>0</v>
      </c>
      <c r="U142" s="224">
        <f ca="1">IF(R142&gt;0,S142*100/R142,0)</f>
        <v>0</v>
      </c>
    </row>
    <row r="143" spans="1:21" ht="18.75" x14ac:dyDescent="0.25">
      <c r="A143" s="128"/>
      <c r="B143" s="40"/>
      <c r="C143" s="40"/>
      <c r="D143" s="40"/>
      <c r="E143" s="156" t="s">
        <v>36</v>
      </c>
      <c r="F143" s="40"/>
      <c r="G143" s="42"/>
      <c r="H143" s="159" t="s">
        <v>14</v>
      </c>
      <c r="I143" s="135"/>
      <c r="J143" s="135"/>
      <c r="K143" s="136"/>
      <c r="L143" s="1358">
        <v>0</v>
      </c>
      <c r="M143" s="83">
        <v>0</v>
      </c>
      <c r="N143" s="83">
        <v>0</v>
      </c>
      <c r="O143" s="83">
        <f>IF(L143&gt;0,N143*100/L143,0)</f>
        <v>0</v>
      </c>
      <c r="P143" s="83">
        <f>IF(M143&gt;0,N143*100/M143,0)</f>
        <v>0</v>
      </c>
      <c r="Q143" s="83">
        <v>0</v>
      </c>
      <c r="R143" s="83">
        <v>0</v>
      </c>
      <c r="S143" s="83">
        <v>0</v>
      </c>
      <c r="T143" s="83">
        <f>IF(Q143&gt;0,S143*100/Q143,0)</f>
        <v>0</v>
      </c>
      <c r="U143" s="83">
        <f>IF(R143&gt;0,S143*100/R143,0)</f>
        <v>0</v>
      </c>
    </row>
    <row r="144" spans="1:21" ht="18.75" x14ac:dyDescent="0.25">
      <c r="A144" s="128"/>
      <c r="B144" s="40"/>
      <c r="C144" s="40"/>
      <c r="D144" s="40"/>
      <c r="E144" s="47" t="s">
        <v>37</v>
      </c>
      <c r="F144" s="40"/>
      <c r="G144" s="42"/>
      <c r="H144" s="134" t="s">
        <v>14</v>
      </c>
      <c r="I144" s="135"/>
      <c r="J144" s="135"/>
      <c r="K144" s="136"/>
      <c r="L144" s="1356">
        <f ca="1">IFERROR(__xludf.DUMMYFUNCTION("IMPORTRANGE(""https://docs.google.com/spreadsheets/d/1-uDff_7J0KD5mKrp0Vvzr7lt3OU09vwQwhkpOPPYv2Y/edit?usp=sharing"",""งบพรบ!BQ27"")"),0)</f>
        <v>0</v>
      </c>
      <c r="M144" s="224">
        <f ca="1">IFERROR(__xludf.DUMMYFUNCTION("IMPORTRANGE(""https://docs.google.com/spreadsheets/d/1-uDff_7J0KD5mKrp0Vvzr7lt3OU09vwQwhkpOPPYv2Y/edit?usp=sharing"",""งบพรบ!BV27"")"),0)</f>
        <v>0</v>
      </c>
      <c r="N144" s="224">
        <f ca="1">IFERROR(__xludf.DUMMYFUNCTION("IMPORTRANGE(""https://docs.google.com/spreadsheets/d/1-uDff_7J0KD5mKrp0Vvzr7lt3OU09vwQwhkpOPPYv2Y/edit?usp=sharing"",""งบพรบ!BX27"")"),0)</f>
        <v>0</v>
      </c>
      <c r="O144" s="224">
        <f ca="1">IF(L144&gt;0,N144*100/L144,0)</f>
        <v>0</v>
      </c>
      <c r="P144" s="224">
        <f ca="1">IF(M144&gt;0,N144*100/M144,0)</f>
        <v>0</v>
      </c>
      <c r="Q144" s="224">
        <f ca="1">IFERROR(__xludf.DUMMYFUNCTION("IMPORTRANGE(""https://docs.google.com/spreadsheets/d/1ItG2mGa2ceCfYo0BwxsXqNm01IGEUdYcSSLTEv9YCik/edit?usp=sharing"",""เบิกจ่ายกองทุน!CF27"")"),0)</f>
        <v>0</v>
      </c>
      <c r="R144" s="224">
        <f ca="1">IFERROR(__xludf.DUMMYFUNCTION("IMPORTRANGE(""https://docs.google.com/spreadsheets/d/1ItG2mGa2ceCfYo0BwxsXqNm01IGEUdYcSSLTEv9YCik/edit?usp=sharing"",""เบิกจ่ายกองทุน!CG27"")"),0)</f>
        <v>0</v>
      </c>
      <c r="S144" s="224">
        <f ca="1">IFERROR(__xludf.DUMMYFUNCTION("IMPORTRANGE(""https://docs.google.com/spreadsheets/d/1ItG2mGa2ceCfYo0BwxsXqNm01IGEUdYcSSLTEv9YCik/edit?usp=sharing"",""เบิกจ่ายกองทุน!CH27"")"),0)</f>
        <v>0</v>
      </c>
      <c r="T144" s="224">
        <f ca="1">IF(Q144&gt;0,S144*100/Q144,0)</f>
        <v>0</v>
      </c>
      <c r="U144" s="224">
        <f ca="1">IF(R144&gt;0,S144*100/R144,0)</f>
        <v>0</v>
      </c>
    </row>
    <row r="145" spans="1:21" ht="18.75" x14ac:dyDescent="0.25">
      <c r="A145" s="128"/>
      <c r="B145" s="40"/>
      <c r="C145" s="40"/>
      <c r="D145" s="41" t="s">
        <v>23</v>
      </c>
      <c r="E145" s="40"/>
      <c r="F145" s="40"/>
      <c r="G145" s="42"/>
      <c r="H145" s="137" t="s">
        <v>14</v>
      </c>
      <c r="I145" s="135"/>
      <c r="J145" s="135"/>
      <c r="K145" s="136"/>
      <c r="L145" s="1356">
        <f ca="1">L146+L147</f>
        <v>0</v>
      </c>
      <c r="M145" s="224">
        <f ca="1">M146+M147</f>
        <v>0</v>
      </c>
      <c r="N145" s="224">
        <f ca="1">N146+N147</f>
        <v>0</v>
      </c>
      <c r="O145" s="224">
        <f ca="1">IF(L145&gt;0,N145*100/L145,0)</f>
        <v>0</v>
      </c>
      <c r="P145" s="224">
        <f ca="1">IF(M145&gt;0,N145*100/M145,0)</f>
        <v>0</v>
      </c>
      <c r="Q145" s="224">
        <f ca="1">Q146+Q147</f>
        <v>0</v>
      </c>
      <c r="R145" s="224">
        <f ca="1">R146+R147</f>
        <v>0</v>
      </c>
      <c r="S145" s="224">
        <f ca="1">S146+S147</f>
        <v>0</v>
      </c>
      <c r="T145" s="224">
        <f ca="1">IF(Q145&gt;0,S145*100/Q145,0)</f>
        <v>0</v>
      </c>
      <c r="U145" s="224">
        <f ca="1">IF(R145&gt;0,S145*100/R145,0)</f>
        <v>0</v>
      </c>
    </row>
    <row r="146" spans="1:21" ht="18.75" x14ac:dyDescent="0.25">
      <c r="A146" s="128"/>
      <c r="B146" s="40"/>
      <c r="C146" s="40"/>
      <c r="D146" s="40"/>
      <c r="E146" s="156" t="s">
        <v>20</v>
      </c>
      <c r="F146" s="40"/>
      <c r="G146" s="42"/>
      <c r="H146" s="159" t="s">
        <v>14</v>
      </c>
      <c r="I146" s="135"/>
      <c r="J146" s="135"/>
      <c r="K146" s="136"/>
      <c r="L146" s="1358">
        <v>0</v>
      </c>
      <c r="M146" s="83">
        <v>0</v>
      </c>
      <c r="N146" s="83">
        <v>0</v>
      </c>
      <c r="O146" s="83">
        <f>IF(L146&gt;0,N146*100/L146,0)</f>
        <v>0</v>
      </c>
      <c r="P146" s="83">
        <f>IF(M146&gt;0,N146*100/M146,0)</f>
        <v>0</v>
      </c>
      <c r="Q146" s="83">
        <v>0</v>
      </c>
      <c r="R146" s="83">
        <v>0</v>
      </c>
      <c r="S146" s="83">
        <v>0</v>
      </c>
      <c r="T146" s="83">
        <f>IF(Q146&gt;0,S146*100/Q146,0)</f>
        <v>0</v>
      </c>
      <c r="U146" s="83">
        <f>IF(R146&gt;0,S146*100/R146,0)</f>
        <v>0</v>
      </c>
    </row>
    <row r="147" spans="1:21" ht="18.75" x14ac:dyDescent="0.25">
      <c r="A147" s="128"/>
      <c r="B147" s="40"/>
      <c r="C147" s="40"/>
      <c r="D147" s="40"/>
      <c r="E147" s="47" t="s">
        <v>21</v>
      </c>
      <c r="F147" s="40"/>
      <c r="G147" s="42"/>
      <c r="H147" s="137" t="s">
        <v>14</v>
      </c>
      <c r="I147" s="135"/>
      <c r="J147" s="135"/>
      <c r="K147" s="136"/>
      <c r="L147" s="1356">
        <f ca="1">IFERROR(__xludf.DUMMYFUNCTION("IMPORTRANGE(""https://docs.google.com/spreadsheets/d/1-uDff_7J0KD5mKrp0Vvzr7lt3OU09vwQwhkpOPPYv2Y/edit?usp=sharing"",""งบพรบ!BT27"")"),0)</f>
        <v>0</v>
      </c>
      <c r="M147" s="224">
        <f ca="1">IFERROR(__xludf.DUMMYFUNCTION("IMPORTRANGE(""https://docs.google.com/spreadsheets/d/1-uDff_7J0KD5mKrp0Vvzr7lt3OU09vwQwhkpOPPYv2Y/edit?usp=sharing"",""งบพรบ!BW27"")"),0)</f>
        <v>0</v>
      </c>
      <c r="N147" s="224">
        <f ca="1">IFERROR(__xludf.DUMMYFUNCTION("IMPORTRANGE(""https://docs.google.com/spreadsheets/d/1-uDff_7J0KD5mKrp0Vvzr7lt3OU09vwQwhkpOPPYv2Y/edit?usp=sharing"",""งบพรบ!BY27"")"),0)</f>
        <v>0</v>
      </c>
      <c r="O147" s="224">
        <f ca="1">IF(L147&gt;0,N147*100/L147,0)</f>
        <v>0</v>
      </c>
      <c r="P147" s="224">
        <f ca="1">IF(M147&gt;0,N147*100/M147,0)</f>
        <v>0</v>
      </c>
      <c r="Q147" s="224">
        <f ca="1">IFERROR(__xludf.DUMMYFUNCTION("IMPORTRANGE(""https://docs.google.com/spreadsheets/d/1ItG2mGa2ceCfYo0BwxsXqNm01IGEUdYcSSLTEv9YCik/edit?usp=sharing"",""เบิกจ่ายกองทุน!CI27"")"),0)</f>
        <v>0</v>
      </c>
      <c r="R147" s="224">
        <f ca="1">IFERROR(__xludf.DUMMYFUNCTION("IMPORTRANGE(""https://docs.google.com/spreadsheets/d/1ItG2mGa2ceCfYo0BwxsXqNm01IGEUdYcSSLTEv9YCik/edit?usp=sharing"",""เบิกจ่ายกองทุน!CJ27"")"),0)</f>
        <v>0</v>
      </c>
      <c r="S147" s="224">
        <f ca="1">IFERROR(__xludf.DUMMYFUNCTION("IMPORTRANGE(""https://docs.google.com/spreadsheets/d/1ItG2mGa2ceCfYo0BwxsXqNm01IGEUdYcSSLTEv9YCik/edit?usp=sharing"",""เบิกจ่ายกองทุน!CK27"")"),0)</f>
        <v>0</v>
      </c>
      <c r="T147" s="224">
        <f ca="1">IF(Q147&gt;0,S147*100/Q147,0)</f>
        <v>0</v>
      </c>
      <c r="U147" s="224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1391" t="s">
        <v>38</v>
      </c>
      <c r="E148" s="141"/>
      <c r="F148" s="141"/>
      <c r="G148" s="142"/>
      <c r="H148" s="178"/>
      <c r="I148" s="44"/>
      <c r="J148" s="44"/>
      <c r="K148" s="45"/>
      <c r="L148" s="1359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1:21" ht="18.75" x14ac:dyDescent="0.25">
      <c r="A149" s="128"/>
      <c r="B149" s="40"/>
      <c r="C149" s="40"/>
      <c r="D149" s="47" t="s">
        <v>63</v>
      </c>
      <c r="E149" s="40"/>
      <c r="F149" s="40"/>
      <c r="G149" s="42"/>
      <c r="H149" s="178"/>
      <c r="I149" s="44"/>
      <c r="J149" s="1395">
        <v>0</v>
      </c>
      <c r="K149" s="45"/>
      <c r="L149" s="1359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1:21" ht="19.5" x14ac:dyDescent="0.3">
      <c r="A150" s="128"/>
      <c r="B150" s="40"/>
      <c r="C150" s="40"/>
      <c r="D150" s="145"/>
      <c r="E150" s="129" t="s">
        <v>64</v>
      </c>
      <c r="F150" s="40"/>
      <c r="G150" s="42"/>
      <c r="H150" s="137" t="s">
        <v>35</v>
      </c>
      <c r="I150" s="184">
        <f ca="1">IFERROR(__xludf.DUMMYFUNCTION("IMPORTRANGE(""https://docs.google.com/spreadsheets/d/1eHaY18a8A9IcSdp1K8H6x8fbOy06t2VsZHhMHf-1x7Y/edit?usp=sharing"",""แผน!U27"")"),0)</f>
        <v>0</v>
      </c>
      <c r="J150" s="1395">
        <v>0</v>
      </c>
      <c r="K150" s="224">
        <f ca="1">IF(I150&gt;0,J150*100/I150,0)</f>
        <v>0</v>
      </c>
      <c r="L150" s="1359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1:21" ht="18.75" x14ac:dyDescent="0.25">
      <c r="A151" s="128"/>
      <c r="B151" s="40"/>
      <c r="C151" s="40"/>
      <c r="D151" s="145"/>
      <c r="E151" s="40"/>
      <c r="F151" s="40"/>
      <c r="G151" s="42"/>
      <c r="H151" s="137" t="s">
        <v>54</v>
      </c>
      <c r="I151" s="184">
        <f ca="1">IFERROR(__xludf.DUMMYFUNCTION("IMPORTRANGE(""https://docs.google.com/spreadsheets/d/1eHaY18a8A9IcSdp1K8H6x8fbOy06t2VsZHhMHf-1x7Y/edit?usp=sharing"",""แผน!V27"")"),0)</f>
        <v>0</v>
      </c>
      <c r="J151" s="1395">
        <v>0</v>
      </c>
      <c r="K151" s="224">
        <f ca="1">IF(I151&gt;0,J151*100/I151,0)</f>
        <v>0</v>
      </c>
      <c r="L151" s="1359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1:21" ht="19.5" x14ac:dyDescent="0.3">
      <c r="A152" s="128"/>
      <c r="B152" s="40"/>
      <c r="C152" s="40"/>
      <c r="D152" s="145"/>
      <c r="E152" s="129" t="s">
        <v>65</v>
      </c>
      <c r="F152" s="40"/>
      <c r="G152" s="42"/>
      <c r="H152" s="137" t="s">
        <v>35</v>
      </c>
      <c r="I152" s="184">
        <f ca="1">IFERROR(__xludf.DUMMYFUNCTION("IMPORTRANGE(""https://docs.google.com/spreadsheets/d/1eHaY18a8A9IcSdp1K8H6x8fbOy06t2VsZHhMHf-1x7Y/edit?usp=sharing"",""แผน!W27"")"),0)</f>
        <v>0</v>
      </c>
      <c r="J152" s="1395">
        <v>0</v>
      </c>
      <c r="K152" s="224">
        <f ca="1">IF(I152&gt;0,J152*100/I152,0)</f>
        <v>0</v>
      </c>
      <c r="L152" s="1359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1:21" ht="18.75" x14ac:dyDescent="0.25">
      <c r="A153" s="128"/>
      <c r="B153" s="40"/>
      <c r="C153" s="40"/>
      <c r="D153" s="40"/>
      <c r="E153" s="40"/>
      <c r="F153" s="40"/>
      <c r="G153" s="42"/>
      <c r="H153" s="137" t="s">
        <v>54</v>
      </c>
      <c r="I153" s="184">
        <f ca="1">IFERROR(__xludf.DUMMYFUNCTION("IMPORTRANGE(""https://docs.google.com/spreadsheets/d/1eHaY18a8A9IcSdp1K8H6x8fbOy06t2VsZHhMHf-1x7Y/edit?usp=sharing"",""แผน!X27"")"),0)</f>
        <v>0</v>
      </c>
      <c r="J153" s="1395">
        <v>0</v>
      </c>
      <c r="K153" s="224">
        <f ca="1">IF(I153&gt;0,J153*100/I153,0)</f>
        <v>0</v>
      </c>
      <c r="L153" s="1359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1:21" ht="18.75" x14ac:dyDescent="0.25">
      <c r="A154" s="128"/>
      <c r="B154" s="40"/>
      <c r="C154" s="40"/>
      <c r="D154" s="47" t="s">
        <v>66</v>
      </c>
      <c r="E154" s="40"/>
      <c r="F154" s="40"/>
      <c r="G154" s="42"/>
      <c r="H154" s="137" t="s">
        <v>61</v>
      </c>
      <c r="I154" s="184">
        <f ca="1">IFERROR(__xludf.DUMMYFUNCTION("IMPORTRANGE(""https://docs.google.com/spreadsheets/d/1eHaY18a8A9IcSdp1K8H6x8fbOy06t2VsZHhMHf-1x7Y/edit?usp=sharing"",""แผน!Y27"")"),0)</f>
        <v>0</v>
      </c>
      <c r="J154" s="1395">
        <v>0</v>
      </c>
      <c r="K154" s="224">
        <f ca="1">IF(I154&gt;0,J154*100/I154,0)</f>
        <v>0</v>
      </c>
      <c r="L154" s="1359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1:21" ht="19.5" x14ac:dyDescent="0.3">
      <c r="A155" s="118" t="s">
        <v>67</v>
      </c>
      <c r="B155" s="119"/>
      <c r="C155" s="168"/>
      <c r="D155" s="119"/>
      <c r="E155" s="119"/>
      <c r="F155" s="119"/>
      <c r="G155" s="119"/>
      <c r="H155" s="119"/>
      <c r="I155" s="169"/>
      <c r="J155" s="169"/>
      <c r="K155" s="170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8" t="s">
        <v>68</v>
      </c>
      <c r="C156" s="27"/>
      <c r="D156" s="27"/>
      <c r="E156" s="27"/>
      <c r="F156" s="27"/>
      <c r="G156" s="30"/>
      <c r="H156" s="173" t="s">
        <v>35</v>
      </c>
      <c r="I156" s="1386">
        <f ca="1">I167</f>
        <v>15</v>
      </c>
      <c r="J156" s="1386">
        <f>J167</f>
        <v>16</v>
      </c>
      <c r="K156" s="1349">
        <f ca="1">IF(I156&gt;0,J156*100/I156,0)</f>
        <v>106.66666666666667</v>
      </c>
      <c r="L156" s="1387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1:21" ht="19.5" x14ac:dyDescent="0.3">
      <c r="A157" s="128"/>
      <c r="B157" s="40"/>
      <c r="C157" s="129" t="s">
        <v>18</v>
      </c>
      <c r="D157" s="1388" t="s">
        <v>19</v>
      </c>
      <c r="E157" s="40"/>
      <c r="F157" s="40"/>
      <c r="G157" s="42"/>
      <c r="H157" s="131" t="s">
        <v>14</v>
      </c>
      <c r="I157" s="44"/>
      <c r="J157" s="44"/>
      <c r="K157" s="45"/>
      <c r="L157" s="1389">
        <f ca="1">L158+L159</f>
        <v>4500</v>
      </c>
      <c r="M157" s="1390">
        <f ca="1">M158+M159</f>
        <v>3770</v>
      </c>
      <c r="N157" s="1390">
        <f ca="1">N158+N159</f>
        <v>3770</v>
      </c>
      <c r="O157" s="1390">
        <f ca="1">IF(L157&gt;0,N157*100/L157,0)</f>
        <v>83.777777777777771</v>
      </c>
      <c r="P157" s="1390">
        <f ca="1">IF(M157&gt;0,N157*100/M157,0)</f>
        <v>100</v>
      </c>
      <c r="Q157" s="1390">
        <f ca="1">Q158+Q159</f>
        <v>0</v>
      </c>
      <c r="R157" s="1390">
        <f ca="1">R158+R159</f>
        <v>0</v>
      </c>
      <c r="S157" s="1390">
        <f ca="1">S158+S159</f>
        <v>0</v>
      </c>
      <c r="T157" s="1390">
        <f ca="1">IF(Q157&gt;0,S157*100/Q157,0)</f>
        <v>0</v>
      </c>
      <c r="U157" s="1390">
        <f ca="1">IF(R157&gt;0,S157*100/R157,0)</f>
        <v>0</v>
      </c>
    </row>
    <row r="158" spans="1:21" ht="18.75" x14ac:dyDescent="0.25">
      <c r="A158" s="128"/>
      <c r="B158" s="40"/>
      <c r="C158" s="40"/>
      <c r="D158" s="40"/>
      <c r="E158" s="156" t="s">
        <v>20</v>
      </c>
      <c r="F158" s="40"/>
      <c r="G158" s="42"/>
      <c r="H158" s="157" t="s">
        <v>14</v>
      </c>
      <c r="I158" s="44"/>
      <c r="J158" s="44"/>
      <c r="K158" s="45"/>
      <c r="L158" s="1358">
        <f>L161+L164</f>
        <v>0</v>
      </c>
      <c r="M158" s="83">
        <f>M161+M164</f>
        <v>0</v>
      </c>
      <c r="N158" s="83">
        <f>N161+N164</f>
        <v>0</v>
      </c>
      <c r="O158" s="83">
        <f>IF(L158&gt;0,N158*100/L158,0)</f>
        <v>0</v>
      </c>
      <c r="P158" s="83">
        <f>IF(M158&gt;0,N158*100/M158,0)</f>
        <v>0</v>
      </c>
      <c r="Q158" s="83">
        <f>Q161+Q164</f>
        <v>0</v>
      </c>
      <c r="R158" s="83">
        <f>R161+R164</f>
        <v>0</v>
      </c>
      <c r="S158" s="83">
        <f>S161+S164</f>
        <v>0</v>
      </c>
      <c r="T158" s="83">
        <f>IF(Q158&gt;0,S158*100/Q158,0)</f>
        <v>0</v>
      </c>
      <c r="U158" s="83">
        <f>IF(R158&gt;0,S158*100/R158,0)</f>
        <v>0</v>
      </c>
    </row>
    <row r="159" spans="1:21" ht="18.75" x14ac:dyDescent="0.25">
      <c r="A159" s="128"/>
      <c r="B159" s="40"/>
      <c r="C159" s="40"/>
      <c r="D159" s="40"/>
      <c r="E159" s="47" t="s">
        <v>21</v>
      </c>
      <c r="F159" s="40"/>
      <c r="G159" s="42"/>
      <c r="H159" s="133" t="s">
        <v>14</v>
      </c>
      <c r="I159" s="44"/>
      <c r="J159" s="44"/>
      <c r="K159" s="45"/>
      <c r="L159" s="1356">
        <f ca="1">L162+L165</f>
        <v>4500</v>
      </c>
      <c r="M159" s="224">
        <f ca="1">M162+M165</f>
        <v>3770</v>
      </c>
      <c r="N159" s="224">
        <f ca="1">N162+N165</f>
        <v>3770</v>
      </c>
      <c r="O159" s="224">
        <f ca="1">IF(L159&gt;0,N159*100/L159,0)</f>
        <v>83.777777777777771</v>
      </c>
      <c r="P159" s="224">
        <f ca="1">IF(M159&gt;0,N159*100/M159,0)</f>
        <v>100</v>
      </c>
      <c r="Q159" s="224">
        <f ca="1">Q162+Q165</f>
        <v>0</v>
      </c>
      <c r="R159" s="224">
        <f ca="1">R162+R165</f>
        <v>0</v>
      </c>
      <c r="S159" s="224">
        <f ca="1">S162+S165</f>
        <v>0</v>
      </c>
      <c r="T159" s="224">
        <f ca="1">IF(Q159&gt;0,S159*100/Q159,0)</f>
        <v>0</v>
      </c>
      <c r="U159" s="224">
        <f ca="1">IF(R159&gt;0,S159*100/R159,0)</f>
        <v>0</v>
      </c>
    </row>
    <row r="160" spans="1:21" ht="18.75" x14ac:dyDescent="0.25">
      <c r="A160" s="128"/>
      <c r="B160" s="40"/>
      <c r="C160" s="40"/>
      <c r="D160" s="41" t="s">
        <v>22</v>
      </c>
      <c r="E160" s="40"/>
      <c r="F160" s="40"/>
      <c r="G160" s="42"/>
      <c r="H160" s="134" t="s">
        <v>14</v>
      </c>
      <c r="I160" s="135"/>
      <c r="J160" s="135"/>
      <c r="K160" s="136"/>
      <c r="L160" s="1356">
        <f ca="1">L161+L162</f>
        <v>4500</v>
      </c>
      <c r="M160" s="224">
        <f ca="1">M161+M162</f>
        <v>3770</v>
      </c>
      <c r="N160" s="224">
        <f ca="1">N161+N162</f>
        <v>3770</v>
      </c>
      <c r="O160" s="224">
        <f ca="1">IF(L160&gt;0,N160*100/L160,0)</f>
        <v>83.777777777777771</v>
      </c>
      <c r="P160" s="224">
        <f ca="1">IF(M160&gt;0,N160*100/M160,0)</f>
        <v>100</v>
      </c>
      <c r="Q160" s="224">
        <f ca="1">Q161+Q162</f>
        <v>0</v>
      </c>
      <c r="R160" s="224">
        <f ca="1">R161+R162</f>
        <v>0</v>
      </c>
      <c r="S160" s="224">
        <f ca="1">S161+S162</f>
        <v>0</v>
      </c>
      <c r="T160" s="224">
        <f ca="1">IF(Q160&gt;0,S160*100/Q160,0)</f>
        <v>0</v>
      </c>
      <c r="U160" s="224">
        <f ca="1">IF(R160&gt;0,S160*100/R160,0)</f>
        <v>0</v>
      </c>
    </row>
    <row r="161" spans="1:21" ht="18.75" x14ac:dyDescent="0.25">
      <c r="A161" s="128"/>
      <c r="B161" s="40"/>
      <c r="C161" s="40"/>
      <c r="D161" s="40"/>
      <c r="E161" s="156" t="s">
        <v>36</v>
      </c>
      <c r="F161" s="40"/>
      <c r="G161" s="42"/>
      <c r="H161" s="159" t="s">
        <v>14</v>
      </c>
      <c r="I161" s="135"/>
      <c r="J161" s="135"/>
      <c r="K161" s="136"/>
      <c r="L161" s="1358">
        <v>0</v>
      </c>
      <c r="M161" s="83">
        <v>0</v>
      </c>
      <c r="N161" s="83">
        <v>0</v>
      </c>
      <c r="O161" s="83">
        <f>IF(L161&gt;0,N161*100/L161,0)</f>
        <v>0</v>
      </c>
      <c r="P161" s="83">
        <f>IF(M161&gt;0,N161*100/M161,0)</f>
        <v>0</v>
      </c>
      <c r="Q161" s="83">
        <v>0</v>
      </c>
      <c r="R161" s="83">
        <v>0</v>
      </c>
      <c r="S161" s="83">
        <v>0</v>
      </c>
      <c r="T161" s="83">
        <f>IF(Q161&gt;0,S161*100/Q161,0)</f>
        <v>0</v>
      </c>
      <c r="U161" s="83">
        <f>IF(R161&gt;0,S161*100/R161,0)</f>
        <v>0</v>
      </c>
    </row>
    <row r="162" spans="1:21" ht="18.75" x14ac:dyDescent="0.25">
      <c r="A162" s="128"/>
      <c r="B162" s="40"/>
      <c r="C162" s="40"/>
      <c r="D162" s="40"/>
      <c r="E162" s="47" t="s">
        <v>37</v>
      </c>
      <c r="F162" s="40"/>
      <c r="G162" s="42"/>
      <c r="H162" s="134" t="s">
        <v>14</v>
      </c>
      <c r="I162" s="135"/>
      <c r="J162" s="135"/>
      <c r="K162" s="136"/>
      <c r="L162" s="1356">
        <f ca="1">IFERROR(__xludf.DUMMYFUNCTION("IMPORTRANGE(""https://docs.google.com/spreadsheets/d/1-uDff_7J0KD5mKrp0Vvzr7lt3OU09vwQwhkpOPPYv2Y/edit?usp=sharing"",""งบพรบ!CA27"")"),4500)</f>
        <v>4500</v>
      </c>
      <c r="M162" s="224">
        <f ca="1">IFERROR(__xludf.DUMMYFUNCTION("IMPORTRANGE(""https://docs.google.com/spreadsheets/d/1-uDff_7J0KD5mKrp0Vvzr7lt3OU09vwQwhkpOPPYv2Y/edit?usp=sharing"",""งบพรบ!CF27"")"),3770)</f>
        <v>3770</v>
      </c>
      <c r="N162" s="224">
        <f ca="1">IFERROR(__xludf.DUMMYFUNCTION("IMPORTRANGE(""https://docs.google.com/spreadsheets/d/1-uDff_7J0KD5mKrp0Vvzr7lt3OU09vwQwhkpOPPYv2Y/edit?usp=sharing"",""งบพรบ!CH27"")"),3770)</f>
        <v>3770</v>
      </c>
      <c r="O162" s="224">
        <f ca="1">IF(L162&gt;0,N162*100/L162,0)</f>
        <v>83.777777777777771</v>
      </c>
      <c r="P162" s="224">
        <f ca="1">IF(M162&gt;0,N162*100/M162,0)</f>
        <v>100</v>
      </c>
      <c r="Q162" s="224">
        <f ca="1">IFERROR(__xludf.DUMMYFUNCTION("IMPORTRANGE(""https://docs.google.com/spreadsheets/d/1ItG2mGa2ceCfYo0BwxsXqNm01IGEUdYcSSLTEv9YCik/edit?usp=sharing"",""เบิกจ่ายกองทุน!AM27"")"),0)</f>
        <v>0</v>
      </c>
      <c r="R162" s="224">
        <f ca="1">IFERROR(__xludf.DUMMYFUNCTION("IMPORTRANGE(""https://docs.google.com/spreadsheets/d/1ItG2mGa2ceCfYo0BwxsXqNm01IGEUdYcSSLTEv9YCik/edit?usp=sharing"",""เบิกจ่ายกองทุน!AN27"")"),0)</f>
        <v>0</v>
      </c>
      <c r="S162" s="224">
        <f ca="1">IFERROR(__xludf.DUMMYFUNCTION("IMPORTRANGE(""https://docs.google.com/spreadsheets/d/1ItG2mGa2ceCfYo0BwxsXqNm01IGEUdYcSSLTEv9YCik/edit?usp=sharing"",""เบิกจ่ายกองทุน!AO27"")"),0)</f>
        <v>0</v>
      </c>
      <c r="T162" s="224">
        <f ca="1">IF(Q162&gt;0,S162*100/Q162,0)</f>
        <v>0</v>
      </c>
      <c r="U162" s="224">
        <f ca="1">IF(R162&gt;0,S162*100/R162,0)</f>
        <v>0</v>
      </c>
    </row>
    <row r="163" spans="1:21" ht="18.75" x14ac:dyDescent="0.25">
      <c r="A163" s="128"/>
      <c r="B163" s="40"/>
      <c r="C163" s="40"/>
      <c r="D163" s="41" t="s">
        <v>23</v>
      </c>
      <c r="E163" s="40"/>
      <c r="F163" s="40"/>
      <c r="G163" s="42"/>
      <c r="H163" s="137" t="s">
        <v>14</v>
      </c>
      <c r="I163" s="135"/>
      <c r="J163" s="135"/>
      <c r="K163" s="136"/>
      <c r="L163" s="1356">
        <f ca="1">L164+L165</f>
        <v>0</v>
      </c>
      <c r="M163" s="224">
        <f ca="1">M164+M165</f>
        <v>0</v>
      </c>
      <c r="N163" s="224">
        <f ca="1">N164+N165</f>
        <v>0</v>
      </c>
      <c r="O163" s="224">
        <f ca="1">IF(L163&gt;0,N163*100/L163,0)</f>
        <v>0</v>
      </c>
      <c r="P163" s="224">
        <f ca="1">IF(M163&gt;0,N163*100/M163,0)</f>
        <v>0</v>
      </c>
      <c r="Q163" s="224">
        <f>Q164+Q165</f>
        <v>0</v>
      </c>
      <c r="R163" s="224">
        <f>R164+R165</f>
        <v>0</v>
      </c>
      <c r="S163" s="224">
        <f>S164+S165</f>
        <v>0</v>
      </c>
      <c r="T163" s="224">
        <f>IF(Q163&gt;0,S163*100/Q163,0)</f>
        <v>0</v>
      </c>
      <c r="U163" s="224">
        <f>IF(R163&gt;0,S163*100/R163,0)</f>
        <v>0</v>
      </c>
    </row>
    <row r="164" spans="1:21" ht="18.75" x14ac:dyDescent="0.25">
      <c r="A164" s="128"/>
      <c r="B164" s="40"/>
      <c r="C164" s="40"/>
      <c r="D164" s="40"/>
      <c r="E164" s="156" t="s">
        <v>20</v>
      </c>
      <c r="F164" s="40"/>
      <c r="G164" s="42"/>
      <c r="H164" s="159" t="s">
        <v>14</v>
      </c>
      <c r="I164" s="135"/>
      <c r="J164" s="135"/>
      <c r="K164" s="136"/>
      <c r="L164" s="1358">
        <v>0</v>
      </c>
      <c r="M164" s="83">
        <v>0</v>
      </c>
      <c r="N164" s="83">
        <v>0</v>
      </c>
      <c r="O164" s="83">
        <f>IF(L164&gt;0,N164*100/L164,0)</f>
        <v>0</v>
      </c>
      <c r="P164" s="83">
        <f>IF(M164&gt;0,N164*100/M164,0)</f>
        <v>0</v>
      </c>
      <c r="Q164" s="83">
        <v>0</v>
      </c>
      <c r="R164" s="83">
        <v>0</v>
      </c>
      <c r="S164" s="83">
        <v>0</v>
      </c>
      <c r="T164" s="83">
        <f>IF(Q164&gt;0,S164*100/Q164,0)</f>
        <v>0</v>
      </c>
      <c r="U164" s="83">
        <f>IF(R164&gt;0,S164*100/R164,0)</f>
        <v>0</v>
      </c>
    </row>
    <row r="165" spans="1:21" ht="18.75" x14ac:dyDescent="0.25">
      <c r="A165" s="128"/>
      <c r="B165" s="40"/>
      <c r="C165" s="40"/>
      <c r="D165" s="40"/>
      <c r="E165" s="47" t="s">
        <v>21</v>
      </c>
      <c r="F165" s="40"/>
      <c r="G165" s="42"/>
      <c r="H165" s="137" t="s">
        <v>14</v>
      </c>
      <c r="I165" s="135"/>
      <c r="J165" s="135"/>
      <c r="K165" s="136"/>
      <c r="L165" s="1356">
        <f ca="1">IFERROR(__xludf.DUMMYFUNCTION("IMPORTRANGE(""https://docs.google.com/spreadsheets/d/1-uDff_7J0KD5mKrp0Vvzr7lt3OU09vwQwhkpOPPYv2Y/edit?usp=sharing"",""งบพรบ!CD27"")"),0)</f>
        <v>0</v>
      </c>
      <c r="M165" s="224">
        <f ca="1">IFERROR(__xludf.DUMMYFUNCTION("IMPORTRANGE(""https://docs.google.com/spreadsheets/d/1-uDff_7J0KD5mKrp0Vvzr7lt3OU09vwQwhkpOPPYv2Y/edit?usp=sharing"",""งบพรบ!CG27"")"),0)</f>
        <v>0</v>
      </c>
      <c r="N165" s="224">
        <f ca="1">IFERROR(__xludf.DUMMYFUNCTION("IMPORTRANGE(""https://docs.google.com/spreadsheets/d/1-uDff_7J0KD5mKrp0Vvzr7lt3OU09vwQwhkpOPPYv2Y/edit?usp=sharing"",""งบพรบ!CI27"")"),0)</f>
        <v>0</v>
      </c>
      <c r="O165" s="224">
        <f ca="1">IF(L165&gt;0,N165*100/L165,0)</f>
        <v>0</v>
      </c>
      <c r="P165" s="224">
        <f ca="1">IF(M165&gt;0,N165*100/M165,0)</f>
        <v>0</v>
      </c>
      <c r="Q165" s="224">
        <v>0</v>
      </c>
      <c r="R165" s="224">
        <v>0</v>
      </c>
      <c r="S165" s="224">
        <v>0</v>
      </c>
      <c r="T165" s="224">
        <f>IF(Q165&gt;0,S165*100/Q165,0)</f>
        <v>0</v>
      </c>
      <c r="U165" s="224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1391" t="s">
        <v>38</v>
      </c>
      <c r="E166" s="141"/>
      <c r="F166" s="141"/>
      <c r="G166" s="142"/>
      <c r="H166" s="178"/>
      <c r="I166" s="44"/>
      <c r="J166" s="44"/>
      <c r="K166" s="45"/>
      <c r="L166" s="1359"/>
      <c r="M166" s="45"/>
      <c r="N166" s="45"/>
      <c r="O166" s="45"/>
      <c r="P166" s="45"/>
      <c r="Q166" s="45"/>
      <c r="R166" s="45"/>
      <c r="S166" s="45"/>
      <c r="T166" s="45"/>
      <c r="U166" s="45"/>
    </row>
    <row r="167" spans="1:21" ht="18.75" x14ac:dyDescent="0.25">
      <c r="A167" s="128"/>
      <c r="B167" s="40"/>
      <c r="C167" s="40"/>
      <c r="D167" s="47" t="s">
        <v>69</v>
      </c>
      <c r="E167" s="40"/>
      <c r="F167" s="40"/>
      <c r="G167" s="42"/>
      <c r="H167" s="137" t="s">
        <v>35</v>
      </c>
      <c r="I167" s="184">
        <f ca="1">IFERROR(__xludf.DUMMYFUNCTION("IMPORTRANGE(""https://docs.google.com/spreadsheets/d/1eHaY18a8A9IcSdp1K8H6x8fbOy06t2VsZHhMHf-1x7Y/edit?usp=sharing"",""แผน!Z27"")"),15)</f>
        <v>15</v>
      </c>
      <c r="J167" s="1395">
        <v>16</v>
      </c>
      <c r="K167" s="224">
        <f ca="1">IF(I167&gt;0,J167*100/I167,0)</f>
        <v>106.66666666666667</v>
      </c>
      <c r="L167" s="1359"/>
      <c r="M167" s="45"/>
      <c r="N167" s="45"/>
      <c r="O167" s="45"/>
      <c r="P167" s="45"/>
      <c r="Q167" s="45"/>
      <c r="R167" s="45"/>
      <c r="S167" s="45"/>
      <c r="T167" s="45"/>
      <c r="U167" s="45"/>
    </row>
    <row r="168" spans="1:21" ht="18.75" x14ac:dyDescent="0.25">
      <c r="A168" s="128"/>
      <c r="B168" s="40"/>
      <c r="C168" s="40"/>
      <c r="D168" s="156" t="s">
        <v>70</v>
      </c>
      <c r="E168" s="40"/>
      <c r="F168" s="40"/>
      <c r="G168" s="42"/>
      <c r="H168" s="378" t="s">
        <v>35</v>
      </c>
      <c r="I168" s="423">
        <f ca="1">I167</f>
        <v>15</v>
      </c>
      <c r="J168" s="1407">
        <v>0</v>
      </c>
      <c r="K168" s="83">
        <f ca="1">IF(I168&gt;0,J168*100/I168,0)</f>
        <v>0</v>
      </c>
      <c r="L168" s="1359"/>
      <c r="M168" s="45"/>
      <c r="N168" s="45"/>
      <c r="O168" s="45"/>
      <c r="P168" s="45"/>
      <c r="Q168" s="45"/>
      <c r="R168" s="45"/>
      <c r="S168" s="45"/>
      <c r="T168" s="45"/>
      <c r="U168" s="45"/>
    </row>
    <row r="169" spans="1:21" ht="18.75" x14ac:dyDescent="0.25">
      <c r="A169" s="185"/>
      <c r="B169" s="1"/>
      <c r="C169" s="1"/>
      <c r="D169" s="424" t="s">
        <v>71</v>
      </c>
      <c r="E169" s="1"/>
      <c r="F169" s="1"/>
      <c r="G169" s="52"/>
      <c r="H169" s="1408" t="s">
        <v>35</v>
      </c>
      <c r="I169" s="426">
        <f ca="1">I167</f>
        <v>15</v>
      </c>
      <c r="J169" s="1409">
        <v>0</v>
      </c>
      <c r="K169" s="1410">
        <f ca="1">IF(I169&gt;0,J169*100/I169,0)</f>
        <v>0</v>
      </c>
      <c r="L169" s="1360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9.5" x14ac:dyDescent="0.3">
      <c r="A170" s="189" t="s">
        <v>72</v>
      </c>
      <c r="B170" s="190"/>
      <c r="C170" s="190"/>
      <c r="D170" s="190"/>
      <c r="E170" s="191"/>
      <c r="F170" s="191"/>
      <c r="G170" s="191"/>
      <c r="H170" s="191"/>
      <c r="I170" s="192"/>
      <c r="J170" s="192"/>
      <c r="K170" s="193"/>
      <c r="L170" s="193"/>
      <c r="M170" s="193"/>
      <c r="N170" s="193"/>
      <c r="O170" s="193"/>
      <c r="P170" s="194"/>
      <c r="Q170" s="193"/>
      <c r="R170" s="193"/>
      <c r="S170" s="193"/>
      <c r="T170" s="193"/>
      <c r="U170" s="194"/>
    </row>
    <row r="171" spans="1:21" ht="19.5" x14ac:dyDescent="0.3">
      <c r="A171" s="195" t="s">
        <v>73</v>
      </c>
      <c r="B171" s="196"/>
      <c r="C171" s="196"/>
      <c r="D171" s="197"/>
      <c r="E171" s="197"/>
      <c r="F171" s="197"/>
      <c r="G171" s="197"/>
      <c r="H171" s="198"/>
      <c r="I171" s="199"/>
      <c r="J171" s="199"/>
      <c r="K171" s="200"/>
      <c r="L171" s="1411"/>
      <c r="M171" s="200"/>
      <c r="N171" s="200"/>
      <c r="O171" s="200"/>
      <c r="P171" s="200"/>
      <c r="Q171" s="200"/>
      <c r="R171" s="200"/>
      <c r="S171" s="200"/>
      <c r="T171" s="200"/>
      <c r="U171" s="200"/>
    </row>
    <row r="172" spans="1:21" ht="19.5" x14ac:dyDescent="0.3">
      <c r="A172" s="201"/>
      <c r="B172" s="202" t="s">
        <v>74</v>
      </c>
      <c r="C172" s="203"/>
      <c r="D172" s="141"/>
      <c r="E172" s="141"/>
      <c r="F172" s="141"/>
      <c r="G172" s="142"/>
      <c r="H172" s="204" t="s">
        <v>35</v>
      </c>
      <c r="I172" s="1412">
        <f ca="1">I183+I184</f>
        <v>17</v>
      </c>
      <c r="J172" s="1412">
        <f>J183+J184</f>
        <v>7</v>
      </c>
      <c r="K172" s="1413">
        <f ca="1">IF(I172&gt;0,J172*100/I172,0)</f>
        <v>41.176470588235297</v>
      </c>
      <c r="L172" s="1414"/>
      <c r="M172" s="207"/>
      <c r="N172" s="207"/>
      <c r="O172" s="207"/>
      <c r="P172" s="207"/>
      <c r="Q172" s="207"/>
      <c r="R172" s="207"/>
      <c r="S172" s="207"/>
      <c r="T172" s="207"/>
      <c r="U172" s="207"/>
    </row>
    <row r="173" spans="1:21" ht="19.5" x14ac:dyDescent="0.3">
      <c r="A173" s="128"/>
      <c r="B173" s="40"/>
      <c r="C173" s="129" t="s">
        <v>18</v>
      </c>
      <c r="D173" s="1388" t="s">
        <v>19</v>
      </c>
      <c r="E173" s="40"/>
      <c r="F173" s="40"/>
      <c r="G173" s="42"/>
      <c r="H173" s="131" t="s">
        <v>14</v>
      </c>
      <c r="I173" s="44"/>
      <c r="J173" s="44"/>
      <c r="K173" s="45"/>
      <c r="L173" s="1389">
        <f ca="1">L174+L175</f>
        <v>19590</v>
      </c>
      <c r="M173" s="1390">
        <f ca="1">M174+M175</f>
        <v>130770</v>
      </c>
      <c r="N173" s="1390">
        <f ca="1">N174+N175</f>
        <v>129540</v>
      </c>
      <c r="O173" s="1390">
        <f ca="1">IF(L173&gt;0,N173*100/L173,0)</f>
        <v>661.25574272588051</v>
      </c>
      <c r="P173" s="1390">
        <f ca="1">IF(M173&gt;0,N173*100/M173,0)</f>
        <v>99.059417297545309</v>
      </c>
      <c r="Q173" s="1390">
        <f ca="1">Q174+Q175</f>
        <v>0</v>
      </c>
      <c r="R173" s="1390">
        <f ca="1">R174+R175</f>
        <v>0</v>
      </c>
      <c r="S173" s="1390">
        <f ca="1">S174+S175</f>
        <v>0</v>
      </c>
      <c r="T173" s="1390">
        <f ca="1">IF(Q173&gt;0,S173*100/Q173,0)</f>
        <v>0</v>
      </c>
      <c r="U173" s="1390">
        <f ca="1">IF(R173&gt;0,S173*100/R173,0)</f>
        <v>0</v>
      </c>
    </row>
    <row r="174" spans="1:21" ht="18.75" x14ac:dyDescent="0.25">
      <c r="A174" s="128"/>
      <c r="B174" s="40"/>
      <c r="C174" s="40"/>
      <c r="D174" s="40"/>
      <c r="E174" s="156" t="s">
        <v>20</v>
      </c>
      <c r="F174" s="40"/>
      <c r="G174" s="42"/>
      <c r="H174" s="157" t="s">
        <v>14</v>
      </c>
      <c r="I174" s="44"/>
      <c r="J174" s="44"/>
      <c r="K174" s="45"/>
      <c r="L174" s="1358">
        <f>L177+L180</f>
        <v>0</v>
      </c>
      <c r="M174" s="83">
        <f>M177+M180</f>
        <v>0</v>
      </c>
      <c r="N174" s="83">
        <f>N177+N180</f>
        <v>0</v>
      </c>
      <c r="O174" s="83">
        <f>IF(L174&gt;0,N174*100/L174,0)</f>
        <v>0</v>
      </c>
      <c r="P174" s="83">
        <f>IF(M174&gt;0,N174*100/M174,0)</f>
        <v>0</v>
      </c>
      <c r="Q174" s="83">
        <f>Q177+Q180</f>
        <v>0</v>
      </c>
      <c r="R174" s="83">
        <f>R177+R180</f>
        <v>0</v>
      </c>
      <c r="S174" s="83">
        <f>S177+S180</f>
        <v>0</v>
      </c>
      <c r="T174" s="83">
        <f>IF(Q174&gt;0,S174*100/Q174,0)</f>
        <v>0</v>
      </c>
      <c r="U174" s="83">
        <f>IF(R174&gt;0,S174*100/R174,0)</f>
        <v>0</v>
      </c>
    </row>
    <row r="175" spans="1:21" ht="18.75" x14ac:dyDescent="0.25">
      <c r="A175" s="128"/>
      <c r="B175" s="40"/>
      <c r="C175" s="40"/>
      <c r="D175" s="40"/>
      <c r="E175" s="47" t="s">
        <v>21</v>
      </c>
      <c r="F175" s="40"/>
      <c r="G175" s="42"/>
      <c r="H175" s="133" t="s">
        <v>14</v>
      </c>
      <c r="I175" s="44"/>
      <c r="J175" s="44"/>
      <c r="K175" s="45"/>
      <c r="L175" s="1356">
        <f ca="1">L178+L181</f>
        <v>19590</v>
      </c>
      <c r="M175" s="224">
        <f ca="1">M178+M181</f>
        <v>130770</v>
      </c>
      <c r="N175" s="224">
        <f ca="1">N178+N181</f>
        <v>129540</v>
      </c>
      <c r="O175" s="224">
        <f ca="1">IF(L175&gt;0,N175*100/L175,0)</f>
        <v>661.25574272588051</v>
      </c>
      <c r="P175" s="224">
        <f ca="1">IF(M175&gt;0,N175*100/M175,0)</f>
        <v>99.059417297545309</v>
      </c>
      <c r="Q175" s="224">
        <f ca="1">Q178+Q181</f>
        <v>0</v>
      </c>
      <c r="R175" s="224">
        <f ca="1">R178+R181</f>
        <v>0</v>
      </c>
      <c r="S175" s="224">
        <f ca="1">S178+S181</f>
        <v>0</v>
      </c>
      <c r="T175" s="224">
        <f ca="1">IF(Q175&gt;0,S175*100/Q175,0)</f>
        <v>0</v>
      </c>
      <c r="U175" s="224">
        <f ca="1">IF(R175&gt;0,S175*100/R175,0)</f>
        <v>0</v>
      </c>
    </row>
    <row r="176" spans="1:21" ht="18.75" x14ac:dyDescent="0.25">
      <c r="A176" s="128"/>
      <c r="B176" s="40"/>
      <c r="C176" s="40"/>
      <c r="D176" s="41" t="s">
        <v>22</v>
      </c>
      <c r="E176" s="40"/>
      <c r="F176" s="40"/>
      <c r="G176" s="42"/>
      <c r="H176" s="134" t="s">
        <v>14</v>
      </c>
      <c r="I176" s="135"/>
      <c r="J176" s="135"/>
      <c r="K176" s="136"/>
      <c r="L176" s="1356">
        <f ca="1">L177+L178</f>
        <v>19590</v>
      </c>
      <c r="M176" s="224">
        <f ca="1">M177+M178</f>
        <v>130770</v>
      </c>
      <c r="N176" s="224">
        <f ca="1">N177+N178</f>
        <v>129540</v>
      </c>
      <c r="O176" s="224">
        <f ca="1">IF(L176&gt;0,N176*100/L176,0)</f>
        <v>661.25574272588051</v>
      </c>
      <c r="P176" s="224">
        <f ca="1">IF(M176&gt;0,N176*100/M176,0)</f>
        <v>99.059417297545309</v>
      </c>
      <c r="Q176" s="224">
        <f ca="1">Q177+Q178</f>
        <v>0</v>
      </c>
      <c r="R176" s="224">
        <f ca="1">R177+R178</f>
        <v>0</v>
      </c>
      <c r="S176" s="224">
        <f ca="1">S177+S178</f>
        <v>0</v>
      </c>
      <c r="T176" s="224">
        <f ca="1">IF(Q176&gt;0,S176*100/Q176,0)</f>
        <v>0</v>
      </c>
      <c r="U176" s="224">
        <f ca="1">IF(R176&gt;0,S176*100/R176,0)</f>
        <v>0</v>
      </c>
    </row>
    <row r="177" spans="1:21" ht="18.75" x14ac:dyDescent="0.25">
      <c r="A177" s="128"/>
      <c r="B177" s="40"/>
      <c r="C177" s="40"/>
      <c r="D177" s="40"/>
      <c r="E177" s="156" t="s">
        <v>36</v>
      </c>
      <c r="F177" s="40"/>
      <c r="G177" s="42"/>
      <c r="H177" s="159" t="s">
        <v>14</v>
      </c>
      <c r="I177" s="135"/>
      <c r="J177" s="135"/>
      <c r="K177" s="136"/>
      <c r="L177" s="1358">
        <v>0</v>
      </c>
      <c r="M177" s="83">
        <v>0</v>
      </c>
      <c r="N177" s="83">
        <v>0</v>
      </c>
      <c r="O177" s="83">
        <f>IF(L177&gt;0,N177*100/L177,0)</f>
        <v>0</v>
      </c>
      <c r="P177" s="83">
        <f>IF(M177&gt;0,N177*100/M177,0)</f>
        <v>0</v>
      </c>
      <c r="Q177" s="83">
        <v>0</v>
      </c>
      <c r="R177" s="83">
        <v>0</v>
      </c>
      <c r="S177" s="83">
        <v>0</v>
      </c>
      <c r="T177" s="83">
        <f>IF(Q177&gt;0,S177*100/Q177,0)</f>
        <v>0</v>
      </c>
      <c r="U177" s="83">
        <f>IF(R177&gt;0,S177*100/R177,0)</f>
        <v>0</v>
      </c>
    </row>
    <row r="178" spans="1:21" ht="18.75" x14ac:dyDescent="0.25">
      <c r="A178" s="128"/>
      <c r="B178" s="40"/>
      <c r="C178" s="40"/>
      <c r="D178" s="40"/>
      <c r="E178" s="47" t="s">
        <v>37</v>
      </c>
      <c r="F178" s="40"/>
      <c r="G178" s="42"/>
      <c r="H178" s="134" t="s">
        <v>14</v>
      </c>
      <c r="I178" s="135"/>
      <c r="J178" s="135"/>
      <c r="K178" s="136"/>
      <c r="L178" s="1356">
        <f ca="1">IFERROR(__xludf.DUMMYFUNCTION("IMPORTRANGE(""https://docs.google.com/spreadsheets/d/1-uDff_7J0KD5mKrp0Vvzr7lt3OU09vwQwhkpOPPYv2Y/edit?usp=sharing"",""งบพรบ!CK27"")"),19590)</f>
        <v>19590</v>
      </c>
      <c r="M178" s="224">
        <f ca="1">IFERROR(__xludf.DUMMYFUNCTION("IMPORTRANGE(""https://docs.google.com/spreadsheets/d/1-uDff_7J0KD5mKrp0Vvzr7lt3OU09vwQwhkpOPPYv2Y/edit?usp=sharing"",""งบพรบ!CP27"")"),130770)</f>
        <v>130770</v>
      </c>
      <c r="N178" s="224">
        <f ca="1">IFERROR(__xludf.DUMMYFUNCTION("IMPORTRANGE(""https://docs.google.com/spreadsheets/d/1-uDff_7J0KD5mKrp0Vvzr7lt3OU09vwQwhkpOPPYv2Y/edit?usp=sharing"",""งบพรบ!CR27"")"),129540)</f>
        <v>129540</v>
      </c>
      <c r="O178" s="224">
        <f ca="1">IF(L178&gt;0,N178*100/L178,0)</f>
        <v>661.25574272588051</v>
      </c>
      <c r="P178" s="224">
        <f ca="1">IF(M178&gt;0,N178*100/M178,0)</f>
        <v>99.059417297545309</v>
      </c>
      <c r="Q178" s="224">
        <f ca="1">IFERROR(__xludf.DUMMYFUNCTION("IMPORTRANGE(""https://docs.google.com/spreadsheets/d/1ItG2mGa2ceCfYo0BwxsXqNm01IGEUdYcSSLTEv9YCik/edit?usp=sharing"",""เบิกจ่ายกองทุน!DG27"")"),0)</f>
        <v>0</v>
      </c>
      <c r="R178" s="224">
        <f ca="1">IFERROR(__xludf.DUMMYFUNCTION("IMPORTRANGE(""https://docs.google.com/spreadsheets/d/1ItG2mGa2ceCfYo0BwxsXqNm01IGEUdYcSSLTEv9YCik/edit?usp=sharing"",""เบิกจ่ายกองทุน!DH27"")"),0)</f>
        <v>0</v>
      </c>
      <c r="S178" s="224">
        <f ca="1">IFERROR(__xludf.DUMMYFUNCTION("IMPORTRANGE(""https://docs.google.com/spreadsheets/d/1ItG2mGa2ceCfYo0BwxsXqNm01IGEUdYcSSLTEv9YCik/edit?usp=sharing"",""เบิกจ่ายกองทุน!DI27"")"),0)</f>
        <v>0</v>
      </c>
      <c r="T178" s="224">
        <f ca="1">IF(Q178&gt;0,S178*100/Q178,0)</f>
        <v>0</v>
      </c>
      <c r="U178" s="224">
        <f ca="1">IF(R178&gt;0,S178*100/R178,0)</f>
        <v>0</v>
      </c>
    </row>
    <row r="179" spans="1:21" ht="18.75" x14ac:dyDescent="0.25">
      <c r="A179" s="128"/>
      <c r="B179" s="40"/>
      <c r="C179" s="40"/>
      <c r="D179" s="41" t="s">
        <v>23</v>
      </c>
      <c r="E179" s="40"/>
      <c r="F179" s="40"/>
      <c r="G179" s="42"/>
      <c r="H179" s="137" t="s">
        <v>14</v>
      </c>
      <c r="I179" s="135"/>
      <c r="J179" s="135"/>
      <c r="K179" s="136"/>
      <c r="L179" s="1356">
        <f ca="1">L180+L181</f>
        <v>0</v>
      </c>
      <c r="M179" s="224">
        <f ca="1">M180+M181</f>
        <v>0</v>
      </c>
      <c r="N179" s="224">
        <f ca="1">N180+N181</f>
        <v>0</v>
      </c>
      <c r="O179" s="224">
        <f ca="1">IF(L179&gt;0,N179*100/L179,0)</f>
        <v>0</v>
      </c>
      <c r="P179" s="224">
        <f ca="1">IF(M179&gt;0,N179*100/M179,0)</f>
        <v>0</v>
      </c>
      <c r="Q179" s="224">
        <f>Q180+Q181</f>
        <v>0</v>
      </c>
      <c r="R179" s="224">
        <f>R180+R181</f>
        <v>0</v>
      </c>
      <c r="S179" s="224">
        <f>S180+S181</f>
        <v>0</v>
      </c>
      <c r="T179" s="224">
        <f>IF(Q179&gt;0,S179*100/Q179,0)</f>
        <v>0</v>
      </c>
      <c r="U179" s="224">
        <f>IF(R179&gt;0,S179*100/R179,0)</f>
        <v>0</v>
      </c>
    </row>
    <row r="180" spans="1:21" ht="18.75" x14ac:dyDescent="0.25">
      <c r="A180" s="128"/>
      <c r="B180" s="40"/>
      <c r="C180" s="40"/>
      <c r="D180" s="40"/>
      <c r="E180" s="156" t="s">
        <v>20</v>
      </c>
      <c r="F180" s="40"/>
      <c r="G180" s="42"/>
      <c r="H180" s="159" t="s">
        <v>14</v>
      </c>
      <c r="I180" s="135"/>
      <c r="J180" s="135"/>
      <c r="K180" s="136"/>
      <c r="L180" s="1358">
        <v>0</v>
      </c>
      <c r="M180" s="83">
        <v>0</v>
      </c>
      <c r="N180" s="83">
        <v>0</v>
      </c>
      <c r="O180" s="83">
        <f>IF(L180&gt;0,N180*100/L180,0)</f>
        <v>0</v>
      </c>
      <c r="P180" s="83">
        <f>IF(M180&gt;0,N180*100/M180,0)</f>
        <v>0</v>
      </c>
      <c r="Q180" s="83">
        <v>0</v>
      </c>
      <c r="R180" s="83">
        <v>0</v>
      </c>
      <c r="S180" s="83">
        <v>0</v>
      </c>
      <c r="T180" s="83">
        <f>IF(Q180&gt;0,S180*100/Q180,0)</f>
        <v>0</v>
      </c>
      <c r="U180" s="83">
        <f>IF(R180&gt;0,S180*100/R180,0)</f>
        <v>0</v>
      </c>
    </row>
    <row r="181" spans="1:21" ht="18.75" x14ac:dyDescent="0.25">
      <c r="A181" s="128"/>
      <c r="B181" s="40"/>
      <c r="C181" s="40"/>
      <c r="D181" s="40"/>
      <c r="E181" s="47" t="s">
        <v>21</v>
      </c>
      <c r="F181" s="40"/>
      <c r="G181" s="42"/>
      <c r="H181" s="137" t="s">
        <v>14</v>
      </c>
      <c r="I181" s="135"/>
      <c r="J181" s="135"/>
      <c r="K181" s="136"/>
      <c r="L181" s="1356">
        <f ca="1">IFERROR(__xludf.DUMMYFUNCTION("IMPORTRANGE(""https://docs.google.com/spreadsheets/d/1-uDff_7J0KD5mKrp0Vvzr7lt3OU09vwQwhkpOPPYv2Y/edit?usp=sharing"",""งบพรบ!CN27"")"),0)</f>
        <v>0</v>
      </c>
      <c r="M181" s="224">
        <f ca="1">IFERROR(__xludf.DUMMYFUNCTION("IMPORTRANGE(""https://docs.google.com/spreadsheets/d/1-uDff_7J0KD5mKrp0Vvzr7lt3OU09vwQwhkpOPPYv2Y/edit?usp=sharing"",""งบพรบ!CQ27"")"),0)</f>
        <v>0</v>
      </c>
      <c r="N181" s="224">
        <f ca="1">IFERROR(__xludf.DUMMYFUNCTION("IMPORTRANGE(""https://docs.google.com/spreadsheets/d/1-uDff_7J0KD5mKrp0Vvzr7lt3OU09vwQwhkpOPPYv2Y/edit?usp=sharing"",""งบพรบ!CS27"")"),0)</f>
        <v>0</v>
      </c>
      <c r="O181" s="224">
        <f ca="1">IF(L181&gt;0,N181*100/L181,0)</f>
        <v>0</v>
      </c>
      <c r="P181" s="224">
        <f ca="1">IF(M181&gt;0,N181*100/M181,0)</f>
        <v>0</v>
      </c>
      <c r="Q181" s="224">
        <v>0</v>
      </c>
      <c r="R181" s="224">
        <v>0</v>
      </c>
      <c r="S181" s="224">
        <v>0</v>
      </c>
      <c r="T181" s="224">
        <f>IF(Q181&gt;0,S181*100/Q181,0)</f>
        <v>0</v>
      </c>
      <c r="U181" s="224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1391" t="s">
        <v>38</v>
      </c>
      <c r="E182" s="141"/>
      <c r="F182" s="141"/>
      <c r="G182" s="142"/>
      <c r="H182" s="178"/>
      <c r="I182" s="44"/>
      <c r="J182" s="44"/>
      <c r="K182" s="45"/>
      <c r="L182" s="1359"/>
      <c r="M182" s="45"/>
      <c r="N182" s="45"/>
      <c r="O182" s="45"/>
      <c r="P182" s="45"/>
      <c r="Q182" s="45"/>
      <c r="R182" s="45"/>
      <c r="S182" s="45"/>
      <c r="T182" s="45"/>
      <c r="U182" s="45"/>
    </row>
    <row r="183" spans="1:21" ht="18.75" x14ac:dyDescent="0.25">
      <c r="A183" s="208"/>
      <c r="B183" s="40"/>
      <c r="C183" s="158"/>
      <c r="D183" s="209" t="s">
        <v>75</v>
      </c>
      <c r="E183" s="40"/>
      <c r="F183" s="40"/>
      <c r="G183" s="42"/>
      <c r="H183" s="210" t="s">
        <v>35</v>
      </c>
      <c r="I183" s="184">
        <f ca="1">IFERROR(__xludf.DUMMYFUNCTION("IMPORTRANGE(""https://docs.google.com/spreadsheets/d/1eHaY18a8A9IcSdp1K8H6x8fbOy06t2VsZHhMHf-1x7Y/edit?usp=sharing"",""แผน!AA27"")"),17)</f>
        <v>17</v>
      </c>
      <c r="J183" s="1395">
        <v>7</v>
      </c>
      <c r="K183" s="224">
        <f ca="1">IF(I183&gt;0,J183*100/I183,0)</f>
        <v>41.176470588235297</v>
      </c>
      <c r="L183" s="1359"/>
      <c r="M183" s="45"/>
      <c r="N183" s="45"/>
      <c r="O183" s="45"/>
      <c r="P183" s="45"/>
      <c r="Q183" s="45"/>
      <c r="R183" s="45"/>
      <c r="S183" s="45"/>
      <c r="T183" s="45"/>
      <c r="U183" s="45"/>
    </row>
    <row r="184" spans="1:21" ht="18.75" x14ac:dyDescent="0.25">
      <c r="A184" s="208"/>
      <c r="B184" s="158"/>
      <c r="C184" s="158"/>
      <c r="D184" s="314" t="s">
        <v>76</v>
      </c>
      <c r="E184" s="40"/>
      <c r="F184" s="40"/>
      <c r="G184" s="42"/>
      <c r="H184" s="1415" t="s">
        <v>35</v>
      </c>
      <c r="I184" s="423">
        <v>0</v>
      </c>
      <c r="J184" s="423">
        <v>0</v>
      </c>
      <c r="K184" s="83">
        <f>IF(I184&gt;0,J184*100/I184,0)</f>
        <v>0</v>
      </c>
      <c r="L184" s="1359"/>
      <c r="M184" s="45"/>
      <c r="N184" s="45"/>
      <c r="O184" s="45"/>
      <c r="P184" s="45"/>
      <c r="Q184" s="45"/>
      <c r="R184" s="45"/>
      <c r="S184" s="45"/>
      <c r="T184" s="45"/>
      <c r="U184" s="45"/>
    </row>
    <row r="185" spans="1:21" ht="19.5" x14ac:dyDescent="0.3">
      <c r="A185" s="201"/>
      <c r="B185" s="202" t="s">
        <v>77</v>
      </c>
      <c r="C185" s="203"/>
      <c r="D185" s="141"/>
      <c r="E185" s="141"/>
      <c r="F185" s="141"/>
      <c r="G185" s="142"/>
      <c r="H185" s="204" t="s">
        <v>35</v>
      </c>
      <c r="I185" s="1412">
        <f ca="1">I230+I231</f>
        <v>40</v>
      </c>
      <c r="J185" s="1412">
        <f>J230+J231</f>
        <v>40</v>
      </c>
      <c r="K185" s="1413">
        <f ca="1">IF(I185&gt;0,J185*100/I185,0)</f>
        <v>100</v>
      </c>
      <c r="L185" s="1414"/>
      <c r="M185" s="207"/>
      <c r="N185" s="207"/>
      <c r="O185" s="207"/>
      <c r="P185" s="207"/>
      <c r="Q185" s="207"/>
      <c r="R185" s="207"/>
      <c r="S185" s="207"/>
      <c r="T185" s="207"/>
      <c r="U185" s="207"/>
    </row>
    <row r="186" spans="1:21" ht="19.5" x14ac:dyDescent="0.3">
      <c r="A186" s="128"/>
      <c r="B186" s="40"/>
      <c r="C186" s="129" t="s">
        <v>18</v>
      </c>
      <c r="D186" s="1388" t="s">
        <v>19</v>
      </c>
      <c r="E186" s="40"/>
      <c r="F186" s="40"/>
      <c r="G186" s="42"/>
      <c r="H186" s="131" t="s">
        <v>14</v>
      </c>
      <c r="I186" s="44"/>
      <c r="J186" s="44"/>
      <c r="K186" s="45"/>
      <c r="L186" s="1389">
        <f ca="1">L187+L188</f>
        <v>757688</v>
      </c>
      <c r="M186" s="1390">
        <f ca="1">M187+M188</f>
        <v>765888</v>
      </c>
      <c r="N186" s="1390">
        <f ca="1">N187+N188</f>
        <v>322315</v>
      </c>
      <c r="O186" s="1390">
        <f ca="1">IF(L186&gt;0,N186*100/L186,0)</f>
        <v>42.539277380663279</v>
      </c>
      <c r="P186" s="1390">
        <f ca="1">IF(M186&gt;0,N186*100/M186,0)</f>
        <v>42.083829489429263</v>
      </c>
      <c r="Q186" s="1390">
        <f ca="1">Q187+Q188</f>
        <v>42000</v>
      </c>
      <c r="R186" s="1390">
        <f ca="1">R187+R188</f>
        <v>42000</v>
      </c>
      <c r="S186" s="1390">
        <f ca="1">S187+S188</f>
        <v>0</v>
      </c>
      <c r="T186" s="1390">
        <f ca="1">IF(Q186&gt;0,S186*100/Q186,0)</f>
        <v>0</v>
      </c>
      <c r="U186" s="1390">
        <f ca="1">IF(R186&gt;0,S186*100/R186,0)</f>
        <v>0</v>
      </c>
    </row>
    <row r="187" spans="1:21" ht="18.75" x14ac:dyDescent="0.25">
      <c r="A187" s="128"/>
      <c r="B187" s="40"/>
      <c r="C187" s="40"/>
      <c r="D187" s="40"/>
      <c r="E187" s="156" t="s">
        <v>20</v>
      </c>
      <c r="F187" s="40"/>
      <c r="G187" s="42"/>
      <c r="H187" s="157" t="s">
        <v>14</v>
      </c>
      <c r="I187" s="44"/>
      <c r="J187" s="44"/>
      <c r="K187" s="45"/>
      <c r="L187" s="1358">
        <f>L190+L193</f>
        <v>0</v>
      </c>
      <c r="M187" s="83">
        <f>M190+M193</f>
        <v>0</v>
      </c>
      <c r="N187" s="83">
        <f>N190+N193</f>
        <v>0</v>
      </c>
      <c r="O187" s="83">
        <f>IF(L187&gt;0,N187*100/L187,0)</f>
        <v>0</v>
      </c>
      <c r="P187" s="83">
        <f>IF(M187&gt;0,N187*100/M187,0)</f>
        <v>0</v>
      </c>
      <c r="Q187" s="83">
        <f>Q190+Q193</f>
        <v>0</v>
      </c>
      <c r="R187" s="83">
        <f>R190+R193</f>
        <v>0</v>
      </c>
      <c r="S187" s="83">
        <f>S190+S193</f>
        <v>0</v>
      </c>
      <c r="T187" s="83">
        <f>IF(Q187&gt;0,S187*100/Q187,0)</f>
        <v>0</v>
      </c>
      <c r="U187" s="83">
        <f>IF(R187&gt;0,S187*100/R187,0)</f>
        <v>0</v>
      </c>
    </row>
    <row r="188" spans="1:21" ht="18.75" x14ac:dyDescent="0.25">
      <c r="A188" s="128"/>
      <c r="B188" s="40"/>
      <c r="C188" s="40"/>
      <c r="D188" s="40"/>
      <c r="E188" s="47" t="s">
        <v>21</v>
      </c>
      <c r="F188" s="40"/>
      <c r="G188" s="42"/>
      <c r="H188" s="133" t="s">
        <v>14</v>
      </c>
      <c r="I188" s="44"/>
      <c r="J188" s="44"/>
      <c r="K188" s="45"/>
      <c r="L188" s="1356">
        <f ca="1">L191+L194</f>
        <v>757688</v>
      </c>
      <c r="M188" s="224">
        <f ca="1">M191+M194</f>
        <v>765888</v>
      </c>
      <c r="N188" s="224">
        <f ca="1">N191+N194</f>
        <v>322315</v>
      </c>
      <c r="O188" s="224">
        <f ca="1">IF(L188&gt;0,N188*100/L188,0)</f>
        <v>42.539277380663279</v>
      </c>
      <c r="P188" s="224">
        <f ca="1">IF(M188&gt;0,N188*100/M188,0)</f>
        <v>42.083829489429263</v>
      </c>
      <c r="Q188" s="224">
        <f ca="1">Q191+Q194</f>
        <v>42000</v>
      </c>
      <c r="R188" s="224">
        <f ca="1">R191+R194</f>
        <v>42000</v>
      </c>
      <c r="S188" s="224">
        <f ca="1">S191+S194</f>
        <v>0</v>
      </c>
      <c r="T188" s="224">
        <f ca="1">IF(Q188&gt;0,S188*100/Q188,0)</f>
        <v>0</v>
      </c>
      <c r="U188" s="224">
        <f ca="1">IF(R188&gt;0,S188*100/R188,0)</f>
        <v>0</v>
      </c>
    </row>
    <row r="189" spans="1:21" ht="18.75" x14ac:dyDescent="0.25">
      <c r="A189" s="128"/>
      <c r="B189" s="40"/>
      <c r="C189" s="40"/>
      <c r="D189" s="41" t="s">
        <v>22</v>
      </c>
      <c r="E189" s="40"/>
      <c r="F189" s="40"/>
      <c r="G189" s="42"/>
      <c r="H189" s="134" t="s">
        <v>14</v>
      </c>
      <c r="I189" s="135"/>
      <c r="J189" s="135"/>
      <c r="K189" s="136"/>
      <c r="L189" s="1356">
        <f ca="1">L190+L191</f>
        <v>757688</v>
      </c>
      <c r="M189" s="224">
        <f ca="1">M190+M191</f>
        <v>765888</v>
      </c>
      <c r="N189" s="224">
        <f ca="1">N190+N191</f>
        <v>322315</v>
      </c>
      <c r="O189" s="224">
        <f ca="1">IF(L189&gt;0,N189*100/L189,0)</f>
        <v>42.539277380663279</v>
      </c>
      <c r="P189" s="224">
        <f ca="1">IF(M189&gt;0,N189*100/M189,0)</f>
        <v>42.083829489429263</v>
      </c>
      <c r="Q189" s="224">
        <f ca="1">Q190+Q191</f>
        <v>42000</v>
      </c>
      <c r="R189" s="224">
        <f ca="1">R190+R191</f>
        <v>42000</v>
      </c>
      <c r="S189" s="224">
        <f ca="1">S190+S191</f>
        <v>0</v>
      </c>
      <c r="T189" s="224">
        <f ca="1">IF(Q189&gt;0,S189*100/Q189,0)</f>
        <v>0</v>
      </c>
      <c r="U189" s="224">
        <f ca="1">IF(R189&gt;0,S189*100/R189,0)</f>
        <v>0</v>
      </c>
    </row>
    <row r="190" spans="1:21" ht="18.75" x14ac:dyDescent="0.25">
      <c r="A190" s="128"/>
      <c r="B190" s="40"/>
      <c r="C190" s="40"/>
      <c r="D190" s="40"/>
      <c r="E190" s="156" t="s">
        <v>36</v>
      </c>
      <c r="F190" s="40"/>
      <c r="G190" s="42"/>
      <c r="H190" s="159" t="s">
        <v>14</v>
      </c>
      <c r="I190" s="135"/>
      <c r="J190" s="135"/>
      <c r="K190" s="136"/>
      <c r="L190" s="1358">
        <v>0</v>
      </c>
      <c r="M190" s="83">
        <v>0</v>
      </c>
      <c r="N190" s="83">
        <v>0</v>
      </c>
      <c r="O190" s="83">
        <f>IF(L190&gt;0,N190*100/L190,0)</f>
        <v>0</v>
      </c>
      <c r="P190" s="83">
        <f>IF(M190&gt;0,N190*100/M190,0)</f>
        <v>0</v>
      </c>
      <c r="Q190" s="83">
        <v>0</v>
      </c>
      <c r="R190" s="83">
        <v>0</v>
      </c>
      <c r="S190" s="83">
        <v>0</v>
      </c>
      <c r="T190" s="83">
        <f>IF(Q190&gt;0,S190*100/Q190,0)</f>
        <v>0</v>
      </c>
      <c r="U190" s="83">
        <f>IF(R190&gt;0,S190*100/R190,0)</f>
        <v>0</v>
      </c>
    </row>
    <row r="191" spans="1:21" ht="18.75" x14ac:dyDescent="0.25">
      <c r="A191" s="128"/>
      <c r="B191" s="40"/>
      <c r="C191" s="40"/>
      <c r="D191" s="40"/>
      <c r="E191" s="47" t="s">
        <v>37</v>
      </c>
      <c r="F191" s="40"/>
      <c r="G191" s="42"/>
      <c r="H191" s="134" t="s">
        <v>14</v>
      </c>
      <c r="I191" s="135"/>
      <c r="J191" s="135"/>
      <c r="K191" s="136"/>
      <c r="L191" s="1356">
        <f ca="1">IFERROR(__xludf.DUMMYFUNCTION("IMPORTRANGE(""https://docs.google.com/spreadsheets/d/1-uDff_7J0KD5mKrp0Vvzr7lt3OU09vwQwhkpOPPYv2Y/edit?usp=sharing"",""งบพรบ!CU27"")"),757688)</f>
        <v>757688</v>
      </c>
      <c r="M191" s="224">
        <f ca="1">IFERROR(__xludf.DUMMYFUNCTION("IMPORTRANGE(""https://docs.google.com/spreadsheets/d/1-uDff_7J0KD5mKrp0Vvzr7lt3OU09vwQwhkpOPPYv2Y/edit?usp=sharing"",""งบพรบ!CZ27"")"),765888)</f>
        <v>765888</v>
      </c>
      <c r="N191" s="224">
        <f ca="1">IFERROR(__xludf.DUMMYFUNCTION("IMPORTRANGE(""https://docs.google.com/spreadsheets/d/1-uDff_7J0KD5mKrp0Vvzr7lt3OU09vwQwhkpOPPYv2Y/edit?usp=sharing"",""งบพรบ!DB27"")"),322315)</f>
        <v>322315</v>
      </c>
      <c r="O191" s="224">
        <f ca="1">IF(L191&gt;0,N191*100/L191,0)</f>
        <v>42.539277380663279</v>
      </c>
      <c r="P191" s="224">
        <f ca="1">IF(M191&gt;0,N191*100/M191,0)</f>
        <v>42.083829489429263</v>
      </c>
      <c r="Q191" s="224">
        <f ca="1">IFERROR(__xludf.DUMMYFUNCTION("IMPORTRANGE(""https://docs.google.com/spreadsheets/d/1ItG2mGa2ceCfYo0BwxsXqNm01IGEUdYcSSLTEv9YCik/edit?usp=sharing"",""เบิกจ่ายกองทุน!BQ27"")"),42000)</f>
        <v>42000</v>
      </c>
      <c r="R191" s="224">
        <f ca="1">IFERROR(__xludf.DUMMYFUNCTION("IMPORTRANGE(""https://docs.google.com/spreadsheets/d/1ItG2mGa2ceCfYo0BwxsXqNm01IGEUdYcSSLTEv9YCik/edit?usp=sharing"",""เบิกจ่ายกองทุน!BR27"")"),42000)</f>
        <v>42000</v>
      </c>
      <c r="S191" s="224">
        <f ca="1">IFERROR(__xludf.DUMMYFUNCTION("IMPORTRANGE(""https://docs.google.com/spreadsheets/d/1ItG2mGa2ceCfYo0BwxsXqNm01IGEUdYcSSLTEv9YCik/edit?usp=sharing"",""เบิกจ่ายกองทุน!BS27"")"),0)</f>
        <v>0</v>
      </c>
      <c r="T191" s="224">
        <f ca="1">IF(Q191&gt;0,S191*100/Q191,0)</f>
        <v>0</v>
      </c>
      <c r="U191" s="224">
        <f ca="1">IF(R191&gt;0,S191*100/R191,0)</f>
        <v>0</v>
      </c>
    </row>
    <row r="192" spans="1:21" ht="18.75" x14ac:dyDescent="0.25">
      <c r="A192" s="128"/>
      <c r="B192" s="40"/>
      <c r="C192" s="40"/>
      <c r="D192" s="41" t="s">
        <v>23</v>
      </c>
      <c r="E192" s="40"/>
      <c r="F192" s="40"/>
      <c r="G192" s="42"/>
      <c r="H192" s="137" t="s">
        <v>14</v>
      </c>
      <c r="I192" s="135"/>
      <c r="J192" s="135"/>
      <c r="K192" s="136"/>
      <c r="L192" s="1356">
        <f ca="1">L193+L194</f>
        <v>0</v>
      </c>
      <c r="M192" s="224">
        <f ca="1">M193+M194</f>
        <v>0</v>
      </c>
      <c r="N192" s="224">
        <f ca="1">N193+N194</f>
        <v>0</v>
      </c>
      <c r="O192" s="224">
        <f ca="1">IF(L192&gt;0,N192*100/L192,0)</f>
        <v>0</v>
      </c>
      <c r="P192" s="224">
        <f ca="1">IF(M192&gt;0,N192*100/M192,0)</f>
        <v>0</v>
      </c>
      <c r="Q192" s="224">
        <f ca="1">Q193+Q194</f>
        <v>0</v>
      </c>
      <c r="R192" s="224">
        <f ca="1">R193+R194</f>
        <v>0</v>
      </c>
      <c r="S192" s="224">
        <f ca="1">S193+S194</f>
        <v>0</v>
      </c>
      <c r="T192" s="224">
        <f ca="1">IF(Q192&gt;0,S192*100/Q192,0)</f>
        <v>0</v>
      </c>
      <c r="U192" s="224">
        <f ca="1">IF(R192&gt;0,S192*100/R192,0)</f>
        <v>0</v>
      </c>
    </row>
    <row r="193" spans="1:21" ht="18.75" x14ac:dyDescent="0.25">
      <c r="A193" s="128"/>
      <c r="B193" s="40"/>
      <c r="C193" s="40"/>
      <c r="D193" s="40"/>
      <c r="E193" s="156" t="s">
        <v>20</v>
      </c>
      <c r="F193" s="40"/>
      <c r="G193" s="42"/>
      <c r="H193" s="159" t="s">
        <v>14</v>
      </c>
      <c r="I193" s="135"/>
      <c r="J193" s="135"/>
      <c r="K193" s="136"/>
      <c r="L193" s="1358">
        <v>0</v>
      </c>
      <c r="M193" s="83">
        <v>0</v>
      </c>
      <c r="N193" s="83">
        <v>0</v>
      </c>
      <c r="O193" s="83">
        <f>IF(L193&gt;0,N193*100/L193,0)</f>
        <v>0</v>
      </c>
      <c r="P193" s="83">
        <f>IF(M193&gt;0,N193*100/M193,0)</f>
        <v>0</v>
      </c>
      <c r="Q193" s="83">
        <v>0</v>
      </c>
      <c r="R193" s="83">
        <v>0</v>
      </c>
      <c r="S193" s="83">
        <v>0</v>
      </c>
      <c r="T193" s="83">
        <f>IF(Q193&gt;0,S193*100/Q193,0)</f>
        <v>0</v>
      </c>
      <c r="U193" s="83">
        <f>IF(R193&gt;0,S193*100/R193,0)</f>
        <v>0</v>
      </c>
    </row>
    <row r="194" spans="1:21" ht="18.75" x14ac:dyDescent="0.25">
      <c r="A194" s="128"/>
      <c r="B194" s="40"/>
      <c r="C194" s="40"/>
      <c r="D194" s="40"/>
      <c r="E194" s="47" t="s">
        <v>21</v>
      </c>
      <c r="F194" s="40"/>
      <c r="G194" s="42"/>
      <c r="H194" s="137" t="s">
        <v>14</v>
      </c>
      <c r="I194" s="135"/>
      <c r="J194" s="135"/>
      <c r="K194" s="136"/>
      <c r="L194" s="1356">
        <f ca="1">IFERROR(__xludf.DUMMYFUNCTION("IMPORTRANGE(""https://docs.google.com/spreadsheets/d/1-uDff_7J0KD5mKrp0Vvzr7lt3OU09vwQwhkpOPPYv2Y/edit?usp=sharing"",""งบพรบ!CX27"")"),0)</f>
        <v>0</v>
      </c>
      <c r="M194" s="224">
        <f ca="1">IFERROR(__xludf.DUMMYFUNCTION("IMPORTRANGE(""https://docs.google.com/spreadsheets/d/1-uDff_7J0KD5mKrp0Vvzr7lt3OU09vwQwhkpOPPYv2Y/edit?usp=sharing"",""งบพรบ!DA27"")"),0)</f>
        <v>0</v>
      </c>
      <c r="N194" s="224">
        <f ca="1">IFERROR(__xludf.DUMMYFUNCTION("IMPORTRANGE(""https://docs.google.com/spreadsheets/d/1-uDff_7J0KD5mKrp0Vvzr7lt3OU09vwQwhkpOPPYv2Y/edit?usp=sharing"",""งบพรบ!DC27"")"),0)</f>
        <v>0</v>
      </c>
      <c r="O194" s="224">
        <f ca="1">IF(L194&gt;0,N194*100/L194,0)</f>
        <v>0</v>
      </c>
      <c r="P194" s="224">
        <f ca="1">IF(M194&gt;0,N194*100/M194,0)</f>
        <v>0</v>
      </c>
      <c r="Q194" s="224">
        <f ca="1">IFERROR(__xludf.DUMMYFUNCTION("IMPORTRANGE(""https://docs.google.com/spreadsheets/d/1ItG2mGa2ceCfYo0BwxsXqNm01IGEUdYcSSLTEv9YCik/edit?usp=sharing"",""เบิกจ่ายกองทุน!BT27"")"),0)</f>
        <v>0</v>
      </c>
      <c r="R194" s="224">
        <f ca="1">IFERROR(__xludf.DUMMYFUNCTION("IMPORTRANGE(""https://docs.google.com/spreadsheets/d/1ItG2mGa2ceCfYo0BwxsXqNm01IGEUdYcSSLTEv9YCik/edit?usp=sharing"",""เบิกจ่ายกองทุน!BU27"")"),0)</f>
        <v>0</v>
      </c>
      <c r="S194" s="224">
        <f ca="1">IFERROR(__xludf.DUMMYFUNCTION("IMPORTRANGE(""https://docs.google.com/spreadsheets/d/1ItG2mGa2ceCfYo0BwxsXqNm01IGEUdYcSSLTEv9YCik/edit?usp=sharing"",""เบิกจ่ายกองทุน!BV27"")"),0)</f>
        <v>0</v>
      </c>
      <c r="T194" s="224">
        <f ca="1">IF(Q194&gt;0,S194*100/Q194,0)</f>
        <v>0</v>
      </c>
      <c r="U194" s="224">
        <f ca="1">IF(R194&gt;0,S194*100/R194,0)</f>
        <v>0</v>
      </c>
    </row>
    <row r="195" spans="1:21" ht="19.5" x14ac:dyDescent="0.3">
      <c r="A195" s="211"/>
      <c r="B195" s="212"/>
      <c r="C195" s="213" t="s">
        <v>78</v>
      </c>
      <c r="D195" s="214"/>
      <c r="E195" s="214"/>
      <c r="F195" s="214"/>
      <c r="G195" s="215"/>
      <c r="H195" s="216" t="s">
        <v>79</v>
      </c>
      <c r="I195" s="303">
        <f ca="1">I198</f>
        <v>4</v>
      </c>
      <c r="J195" s="303">
        <f>J198</f>
        <v>2</v>
      </c>
      <c r="K195" s="304">
        <f ca="1">IF(I195&gt;0,J195*100/I195,0)</f>
        <v>50</v>
      </c>
      <c r="L195" s="1416"/>
      <c r="M195" s="219"/>
      <c r="N195" s="219"/>
      <c r="O195" s="219"/>
      <c r="P195" s="219"/>
      <c r="Q195" s="219"/>
      <c r="R195" s="219"/>
      <c r="S195" s="219"/>
      <c r="T195" s="219"/>
      <c r="U195" s="219"/>
    </row>
    <row r="196" spans="1:21" ht="19.5" x14ac:dyDescent="0.3">
      <c r="A196" s="128"/>
      <c r="B196" s="40"/>
      <c r="C196" s="129" t="s">
        <v>18</v>
      </c>
      <c r="D196" s="1417" t="s">
        <v>19</v>
      </c>
      <c r="E196" s="40"/>
      <c r="F196" s="40"/>
      <c r="G196" s="42"/>
      <c r="H196" s="221" t="s">
        <v>14</v>
      </c>
      <c r="I196" s="44"/>
      <c r="J196" s="44"/>
      <c r="K196" s="45"/>
      <c r="L196" s="1389">
        <f ca="1">IFERROR(__xludf.DUMMYFUNCTION("IMPORTRANGE(""https://docs.google.com/spreadsheets/d/1eHaY18a8A9IcSdp1K8H6x8fbOy06t2VsZHhMHf-1x7Y/edit?usp=sharing"",""แผน!AB27"")"),6000)</f>
        <v>6000</v>
      </c>
      <c r="M196" s="45"/>
      <c r="N196" s="1418">
        <v>0</v>
      </c>
      <c r="O196" s="1390">
        <f ca="1">IF(L196&gt;0,N196*100/L196,0)</f>
        <v>0</v>
      </c>
      <c r="P196" s="1390">
        <f>IF(M196&gt;0,N196*100/M196,0)</f>
        <v>0</v>
      </c>
      <c r="Q196" s="45"/>
      <c r="R196" s="45"/>
      <c r="S196" s="45"/>
      <c r="T196" s="45"/>
      <c r="U196" s="45"/>
    </row>
    <row r="197" spans="1:21" ht="19.5" x14ac:dyDescent="0.3">
      <c r="A197" s="138"/>
      <c r="B197" s="139"/>
      <c r="C197" s="129" t="s">
        <v>18</v>
      </c>
      <c r="D197" s="1391" t="s">
        <v>38</v>
      </c>
      <c r="E197" s="141"/>
      <c r="F197" s="141"/>
      <c r="G197" s="142"/>
      <c r="H197" s="143"/>
      <c r="I197" s="44"/>
      <c r="J197" s="44"/>
      <c r="K197" s="45"/>
      <c r="L197" s="1359"/>
      <c r="M197" s="45"/>
      <c r="N197" s="45"/>
      <c r="O197" s="45"/>
      <c r="P197" s="45"/>
      <c r="Q197" s="45"/>
      <c r="R197" s="45"/>
      <c r="S197" s="45"/>
      <c r="T197" s="45"/>
      <c r="U197" s="45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84">
        <f ca="1">IFERROR(__xludf.DUMMYFUNCTION("IMPORTRANGE(""https://docs.google.com/spreadsheets/d/1eHaY18a8A9IcSdp1K8H6x8fbOy06t2VsZHhMHf-1x7Y/edit?usp=sharing"",""แผน!AE27"")"),4)</f>
        <v>4</v>
      </c>
      <c r="J198" s="1395">
        <v>2</v>
      </c>
      <c r="K198" s="224">
        <f ca="1">IF(I198&gt;0,J198*100/I198,0)</f>
        <v>50</v>
      </c>
      <c r="L198" s="1359"/>
      <c r="M198" s="45"/>
      <c r="N198" s="45"/>
      <c r="O198" s="45"/>
      <c r="P198" s="45"/>
      <c r="Q198" s="45"/>
      <c r="R198" s="45"/>
      <c r="S198" s="45"/>
      <c r="T198" s="45"/>
      <c r="U198" s="45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0" t="s">
        <v>35</v>
      </c>
      <c r="I199" s="44"/>
      <c r="J199" s="184">
        <f>J200+J201</f>
        <v>0</v>
      </c>
      <c r="K199" s="45"/>
      <c r="L199" s="1359"/>
      <c r="M199" s="45"/>
      <c r="N199" s="45"/>
      <c r="O199" s="45"/>
      <c r="P199" s="45"/>
      <c r="Q199" s="45"/>
      <c r="R199" s="45"/>
      <c r="S199" s="45"/>
      <c r="T199" s="45"/>
      <c r="U199" s="45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0" t="s">
        <v>35</v>
      </c>
      <c r="I200" s="44"/>
      <c r="J200" s="1395">
        <v>0</v>
      </c>
      <c r="K200" s="45"/>
      <c r="L200" s="1359"/>
      <c r="M200" s="45"/>
      <c r="N200" s="45"/>
      <c r="O200" s="45"/>
      <c r="P200" s="45"/>
      <c r="Q200" s="45"/>
      <c r="R200" s="45"/>
      <c r="S200" s="45"/>
      <c r="T200" s="45"/>
      <c r="U200" s="45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0" t="s">
        <v>35</v>
      </c>
      <c r="I201" s="44"/>
      <c r="J201" s="1395">
        <v>0</v>
      </c>
      <c r="K201" s="45"/>
      <c r="L201" s="1359"/>
      <c r="M201" s="45"/>
      <c r="N201" s="45"/>
      <c r="O201" s="45"/>
      <c r="P201" s="45"/>
      <c r="Q201" s="45"/>
      <c r="R201" s="45"/>
      <c r="S201" s="45"/>
      <c r="T201" s="45"/>
      <c r="U201" s="45"/>
    </row>
    <row r="202" spans="1:21" ht="19.5" x14ac:dyDescent="0.3">
      <c r="A202" s="211"/>
      <c r="B202" s="212"/>
      <c r="C202" s="213" t="s">
        <v>84</v>
      </c>
      <c r="D202" s="214"/>
      <c r="E202" s="214"/>
      <c r="F202" s="214"/>
      <c r="G202" s="215"/>
      <c r="H202" s="223" t="s">
        <v>85</v>
      </c>
      <c r="I202" s="303">
        <f ca="1">I209</f>
        <v>3</v>
      </c>
      <c r="J202" s="303">
        <f>J209</f>
        <v>0</v>
      </c>
      <c r="K202" s="304">
        <f ca="1">IF(I202&gt;0,J202*100/I202,0)</f>
        <v>0</v>
      </c>
      <c r="L202" s="1416"/>
      <c r="M202" s="219"/>
      <c r="N202" s="219"/>
      <c r="O202" s="219"/>
      <c r="P202" s="219"/>
      <c r="Q202" s="219"/>
      <c r="R202" s="219"/>
      <c r="S202" s="219"/>
      <c r="T202" s="219"/>
      <c r="U202" s="219"/>
    </row>
    <row r="203" spans="1:21" ht="19.5" x14ac:dyDescent="0.3">
      <c r="A203" s="128"/>
      <c r="B203" s="40"/>
      <c r="C203" s="129" t="s">
        <v>18</v>
      </c>
      <c r="D203" s="1417" t="s">
        <v>19</v>
      </c>
      <c r="E203" s="40"/>
      <c r="F203" s="40"/>
      <c r="G203" s="42"/>
      <c r="H203" s="221" t="s">
        <v>14</v>
      </c>
      <c r="I203" s="135"/>
      <c r="J203" s="135"/>
      <c r="K203" s="136"/>
      <c r="L203" s="1389">
        <f ca="1">L204+L205+L206+L207</f>
        <v>15000</v>
      </c>
      <c r="M203" s="45"/>
      <c r="N203" s="1390">
        <f>N204+N205+N206+N207</f>
        <v>0</v>
      </c>
      <c r="O203" s="1390">
        <f ca="1">IF(L203&gt;0,N203*100/L203,0)</f>
        <v>0</v>
      </c>
      <c r="P203" s="1390">
        <f>IF(M203&gt;0,N203*100/M203,0)</f>
        <v>0</v>
      </c>
      <c r="Q203" s="1419">
        <f ca="1">Q204+Q205+Q206+Q207</f>
        <v>42000</v>
      </c>
      <c r="R203" s="373"/>
      <c r="S203" s="1420">
        <f>S204+S205+S206+S207</f>
        <v>0</v>
      </c>
      <c r="T203" s="1420">
        <f ca="1">IF(Q203&gt;0,S203*100/Q203,0)</f>
        <v>0</v>
      </c>
      <c r="U203" s="1420">
        <f>IF(R203&gt;0,S203*100/R203,0)</f>
        <v>0</v>
      </c>
    </row>
    <row r="204" spans="1:21" ht="18.75" x14ac:dyDescent="0.25">
      <c r="A204" s="128"/>
      <c r="B204" s="158"/>
      <c r="C204" s="40"/>
      <c r="D204" s="1421" t="s">
        <v>317</v>
      </c>
      <c r="E204" s="40"/>
      <c r="F204" s="40"/>
      <c r="G204" s="42"/>
      <c r="H204" s="134" t="s">
        <v>14</v>
      </c>
      <c r="I204" s="135"/>
      <c r="J204" s="135"/>
      <c r="K204" s="136"/>
      <c r="L204" s="1356">
        <f ca="1">IFERROR(__xludf.DUMMYFUNCTION("IMPORTRANGE(""https://docs.google.com/spreadsheets/d/1eHaY18a8A9IcSdp1K8H6x8fbOy06t2VsZHhMHf-1x7Y/edit?usp=sharing"",""แผน!AG27"")"),2000)</f>
        <v>2000</v>
      </c>
      <c r="M204" s="45"/>
      <c r="N204" s="1422">
        <v>0</v>
      </c>
      <c r="O204" s="136"/>
      <c r="P204" s="45"/>
      <c r="Q204" s="1356">
        <v>0</v>
      </c>
      <c r="R204" s="45"/>
      <c r="S204" s="224">
        <v>0</v>
      </c>
      <c r="T204" s="136"/>
      <c r="U204" s="45"/>
    </row>
    <row r="205" spans="1:21" ht="18.75" x14ac:dyDescent="0.25">
      <c r="A205" s="208"/>
      <c r="B205" s="158"/>
      <c r="C205" s="40"/>
      <c r="D205" s="47" t="s">
        <v>301</v>
      </c>
      <c r="E205" s="40"/>
      <c r="F205" s="40"/>
      <c r="G205" s="42"/>
      <c r="H205" s="43" t="s">
        <v>14</v>
      </c>
      <c r="I205" s="44"/>
      <c r="J205" s="44"/>
      <c r="K205" s="45"/>
      <c r="L205" s="1356">
        <f ca="1">IFERROR(__xludf.DUMMYFUNCTION("IMPORTRANGE(""https://docs.google.com/spreadsheets/d/1eHaY18a8A9IcSdp1K8H6x8fbOy06t2VsZHhMHf-1x7Y/edit?usp=sharing"",""แผน!AH27"")"),0)</f>
        <v>0</v>
      </c>
      <c r="M205" s="45"/>
      <c r="N205" s="1422">
        <v>0</v>
      </c>
      <c r="O205" s="136"/>
      <c r="P205" s="45"/>
      <c r="Q205" s="1356">
        <v>0</v>
      </c>
      <c r="R205" s="45"/>
      <c r="S205" s="224">
        <v>0</v>
      </c>
      <c r="T205" s="136"/>
      <c r="U205" s="45"/>
    </row>
    <row r="206" spans="1:21" ht="18.75" x14ac:dyDescent="0.25">
      <c r="A206" s="208"/>
      <c r="B206" s="158"/>
      <c r="C206" s="40"/>
      <c r="D206" s="47" t="s">
        <v>88</v>
      </c>
      <c r="E206" s="40"/>
      <c r="F206" s="40"/>
      <c r="G206" s="42"/>
      <c r="H206" s="43" t="s">
        <v>14</v>
      </c>
      <c r="I206" s="44"/>
      <c r="J206" s="44"/>
      <c r="K206" s="45"/>
      <c r="L206" s="1356">
        <f ca="1">IFERROR(__xludf.DUMMYFUNCTION("IMPORTRANGE(""https://docs.google.com/spreadsheets/d/1eHaY18a8A9IcSdp1K8H6x8fbOy06t2VsZHhMHf-1x7Y/edit?usp=sharing"",""แผน!AI27"")"),0)</f>
        <v>0</v>
      </c>
      <c r="M206" s="45"/>
      <c r="N206" s="1422">
        <v>0</v>
      </c>
      <c r="O206" s="136"/>
      <c r="P206" s="45"/>
      <c r="Q206" s="1356">
        <f ca="1">IFERROR(__xludf.DUMMYFUNCTION("IMPORTRANGE(""https://docs.google.com/spreadsheets/d/1eHaY18a8A9IcSdp1K8H6x8fbOy06t2VsZHhMHf-1x7Y/edit?usp=sharing"",""แผน!LV27"")"),42000)</f>
        <v>42000</v>
      </c>
      <c r="R206" s="45"/>
      <c r="S206" s="1422">
        <v>0</v>
      </c>
      <c r="T206" s="136"/>
      <c r="U206" s="45"/>
    </row>
    <row r="207" spans="1:21" ht="18.75" x14ac:dyDescent="0.25">
      <c r="A207" s="208"/>
      <c r="B207" s="158"/>
      <c r="C207" s="40"/>
      <c r="D207" s="47" t="s">
        <v>89</v>
      </c>
      <c r="E207" s="40"/>
      <c r="F207" s="40"/>
      <c r="G207" s="42"/>
      <c r="H207" s="43" t="s">
        <v>14</v>
      </c>
      <c r="I207" s="44"/>
      <c r="J207" s="44"/>
      <c r="K207" s="45"/>
      <c r="L207" s="1356">
        <f ca="1">IFERROR(__xludf.DUMMYFUNCTION("IMPORTRANGE(""https://docs.google.com/spreadsheets/d/1eHaY18a8A9IcSdp1K8H6x8fbOy06t2VsZHhMHf-1x7Y/edit?usp=sharing"",""แผน!AJ27"")"),13000)</f>
        <v>13000</v>
      </c>
      <c r="M207" s="45"/>
      <c r="N207" s="1422">
        <v>0</v>
      </c>
      <c r="O207" s="136"/>
      <c r="P207" s="45"/>
      <c r="Q207" s="1356">
        <v>0</v>
      </c>
      <c r="R207" s="45"/>
      <c r="S207" s="224">
        <v>0</v>
      </c>
      <c r="T207" s="136"/>
      <c r="U207" s="45"/>
    </row>
    <row r="208" spans="1:21" ht="19.5" x14ac:dyDescent="0.3">
      <c r="A208" s="138"/>
      <c r="B208" s="139"/>
      <c r="C208" s="129" t="s">
        <v>18</v>
      </c>
      <c r="D208" s="1391" t="s">
        <v>38</v>
      </c>
      <c r="E208" s="141"/>
      <c r="F208" s="141"/>
      <c r="G208" s="142"/>
      <c r="H208" s="143"/>
      <c r="I208" s="135"/>
      <c r="J208" s="135"/>
      <c r="K208" s="136"/>
      <c r="L208" s="1392"/>
      <c r="M208" s="136"/>
      <c r="N208" s="136"/>
      <c r="O208" s="136"/>
      <c r="P208" s="136"/>
      <c r="Q208" s="1392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25" t="s">
        <v>85</v>
      </c>
      <c r="I209" s="184">
        <f ca="1">IFERROR(__xludf.DUMMYFUNCTION("IMPORTRANGE(""https://docs.google.com/spreadsheets/d/1eHaY18a8A9IcSdp1K8H6x8fbOy06t2VsZHhMHf-1x7Y/edit?usp=sharing"",""แผน!AK27"")"),3)</f>
        <v>3</v>
      </c>
      <c r="J209" s="1395">
        <v>0</v>
      </c>
      <c r="K209" s="1396">
        <f ca="1">IF(I209&gt;0,J209*100/I209,0)</f>
        <v>0</v>
      </c>
      <c r="L209" s="1359"/>
      <c r="M209" s="45"/>
      <c r="N209" s="45"/>
      <c r="O209" s="45"/>
      <c r="P209" s="45"/>
      <c r="Q209" s="1359"/>
      <c r="R209" s="45"/>
      <c r="S209" s="45"/>
      <c r="T209" s="45"/>
      <c r="U209" s="45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4"/>
      <c r="J210" s="44"/>
      <c r="K210" s="136"/>
      <c r="L210" s="1359"/>
      <c r="M210" s="45"/>
      <c r="N210" s="45"/>
      <c r="O210" s="45"/>
      <c r="P210" s="45"/>
      <c r="Q210" s="1359"/>
      <c r="R210" s="45"/>
      <c r="S210" s="45"/>
      <c r="T210" s="45"/>
      <c r="U210" s="45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25" t="s">
        <v>85</v>
      </c>
      <c r="I211" s="184">
        <f ca="1">IFERROR(__xludf.DUMMYFUNCTION("IMPORTRANGE(""https://docs.google.com/spreadsheets/d/1eHaY18a8A9IcSdp1K8H6x8fbOy06t2VsZHhMHf-1x7Y/edit?usp=sharing"",""แผน!JX27"")"),2)</f>
        <v>2</v>
      </c>
      <c r="J211" s="1395">
        <v>0</v>
      </c>
      <c r="K211" s="1396">
        <f ca="1">IF(I211&gt;0,J211*100/I211,0)</f>
        <v>0</v>
      </c>
      <c r="L211" s="1359"/>
      <c r="M211" s="45"/>
      <c r="N211" s="45"/>
      <c r="O211" s="45"/>
      <c r="P211" s="45"/>
      <c r="Q211" s="1359"/>
      <c r="R211" s="45"/>
      <c r="S211" s="45"/>
      <c r="T211" s="45"/>
      <c r="U211" s="45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84">
        <f ca="1">IFERROR(__xludf.DUMMYFUNCTION("IMPORTRANGE(""https://docs.google.com/spreadsheets/d/1eHaY18a8A9IcSdp1K8H6x8fbOy06t2VsZHhMHf-1x7Y/edit?usp=sharing"",""แผน!JY27"")"),1)</f>
        <v>1</v>
      </c>
      <c r="J212" s="1395">
        <v>0</v>
      </c>
      <c r="K212" s="1396">
        <f ca="1">IF(I212&gt;0,J212*100/I212,0)</f>
        <v>0</v>
      </c>
      <c r="L212" s="1359"/>
      <c r="M212" s="45"/>
      <c r="N212" s="45"/>
      <c r="O212" s="45"/>
      <c r="P212" s="45"/>
      <c r="Q212" s="1359"/>
      <c r="R212" s="45"/>
      <c r="S212" s="45"/>
      <c r="T212" s="45"/>
      <c r="U212" s="45"/>
    </row>
    <row r="213" spans="1:21" ht="19.5" x14ac:dyDescent="0.3">
      <c r="A213" s="211"/>
      <c r="B213" s="212"/>
      <c r="C213" s="213" t="s">
        <v>94</v>
      </c>
      <c r="D213" s="214"/>
      <c r="E213" s="214"/>
      <c r="F213" s="214"/>
      <c r="G213" s="215"/>
      <c r="H213" s="223" t="s">
        <v>85</v>
      </c>
      <c r="I213" s="303">
        <f ca="1">I220</f>
        <v>0</v>
      </c>
      <c r="J213" s="303">
        <f>J220</f>
        <v>0</v>
      </c>
      <c r="K213" s="304">
        <f ca="1">IF(I213&gt;0,J213*100/I213,0)</f>
        <v>0</v>
      </c>
      <c r="L213" s="1416"/>
      <c r="M213" s="219"/>
      <c r="N213" s="219"/>
      <c r="O213" s="219"/>
      <c r="P213" s="219"/>
      <c r="Q213" s="1416"/>
      <c r="R213" s="219"/>
      <c r="S213" s="219"/>
      <c r="T213" s="219"/>
      <c r="U213" s="219"/>
    </row>
    <row r="214" spans="1:21" ht="19.5" x14ac:dyDescent="0.3">
      <c r="A214" s="128"/>
      <c r="B214" s="40"/>
      <c r="C214" s="129" t="s">
        <v>18</v>
      </c>
      <c r="D214" s="1417" t="s">
        <v>19</v>
      </c>
      <c r="E214" s="40"/>
      <c r="F214" s="40"/>
      <c r="G214" s="42"/>
      <c r="H214" s="221" t="s">
        <v>14</v>
      </c>
      <c r="I214" s="135"/>
      <c r="J214" s="135"/>
      <c r="K214" s="136"/>
      <c r="L214" s="1389">
        <f ca="1">L215+L216+L217</f>
        <v>0</v>
      </c>
      <c r="M214" s="45"/>
      <c r="N214" s="1390">
        <f>N215+N216+N217</f>
        <v>0</v>
      </c>
      <c r="O214" s="1390">
        <f ca="1">IF(L214&gt;0,N214*100/L214,0)</f>
        <v>0</v>
      </c>
      <c r="P214" s="1390">
        <f>IF(M214&gt;0,N214*100/M214,0)</f>
        <v>0</v>
      </c>
      <c r="Q214" s="1389">
        <f ca="1">Q215+Q216+Q217</f>
        <v>0</v>
      </c>
      <c r="R214" s="45"/>
      <c r="S214" s="1390">
        <f>S215+S216+S217</f>
        <v>229220</v>
      </c>
      <c r="T214" s="1390">
        <f ca="1">IF(Q214&gt;0,S214*100/Q214,0)</f>
        <v>0</v>
      </c>
      <c r="U214" s="1390">
        <f>IF(R214&gt;0,S214*100/R214,0)</f>
        <v>0</v>
      </c>
    </row>
    <row r="215" spans="1:21" ht="18.75" x14ac:dyDescent="0.25">
      <c r="A215" s="128"/>
      <c r="B215" s="158"/>
      <c r="C215" s="40"/>
      <c r="D215" s="47" t="s">
        <v>86</v>
      </c>
      <c r="E215" s="40"/>
      <c r="F215" s="40"/>
      <c r="G215" s="42"/>
      <c r="H215" s="134" t="s">
        <v>14</v>
      </c>
      <c r="I215" s="135"/>
      <c r="J215" s="135"/>
      <c r="K215" s="136"/>
      <c r="L215" s="1356">
        <f ca="1">IFERROR(__xludf.DUMMYFUNCTION("IMPORTRANGE(""https://docs.google.com/spreadsheets/d/1eHaY18a8A9IcSdp1K8H6x8fbOy06t2VsZHhMHf-1x7Y/edit?usp=sharing"",""แผน!AM27"")"),0)</f>
        <v>0</v>
      </c>
      <c r="M215" s="45"/>
      <c r="N215" s="1422">
        <v>0</v>
      </c>
      <c r="O215" s="136"/>
      <c r="P215" s="45"/>
      <c r="Q215" s="1356">
        <v>0</v>
      </c>
      <c r="R215" s="45"/>
      <c r="S215" s="224">
        <v>0</v>
      </c>
      <c r="T215" s="136"/>
      <c r="U215" s="45"/>
    </row>
    <row r="216" spans="1:21" ht="18.75" x14ac:dyDescent="0.25">
      <c r="A216" s="208"/>
      <c r="B216" s="158"/>
      <c r="C216" s="158"/>
      <c r="D216" s="47" t="s">
        <v>95</v>
      </c>
      <c r="E216" s="40"/>
      <c r="F216" s="40"/>
      <c r="G216" s="42"/>
      <c r="H216" s="134" t="s">
        <v>14</v>
      </c>
      <c r="I216" s="44"/>
      <c r="J216" s="44"/>
      <c r="K216" s="45"/>
      <c r="L216" s="1356">
        <f ca="1">IFERROR(__xludf.DUMMYFUNCTION("IMPORTRANGE(""https://docs.google.com/spreadsheets/d/1eHaY18a8A9IcSdp1K8H6x8fbOy06t2VsZHhMHf-1x7Y/edit?usp=sharing"",""แผน!AN27"")"),0)</f>
        <v>0</v>
      </c>
      <c r="M216" s="45"/>
      <c r="N216" s="1422">
        <v>0</v>
      </c>
      <c r="O216" s="136"/>
      <c r="P216" s="45"/>
      <c r="Q216" s="1356">
        <v>0</v>
      </c>
      <c r="R216" s="45"/>
      <c r="S216" s="224">
        <v>0</v>
      </c>
      <c r="T216" s="136"/>
      <c r="U216" s="45"/>
    </row>
    <row r="217" spans="1:21" ht="18.75" x14ac:dyDescent="0.25">
      <c r="A217" s="208"/>
      <c r="B217" s="158"/>
      <c r="C217" s="158"/>
      <c r="D217" s="47" t="s">
        <v>88</v>
      </c>
      <c r="E217" s="40"/>
      <c r="F217" s="40"/>
      <c r="G217" s="42"/>
      <c r="H217" s="134" t="s">
        <v>14</v>
      </c>
      <c r="I217" s="44"/>
      <c r="J217" s="44"/>
      <c r="K217" s="45"/>
      <c r="L217" s="1356">
        <f ca="1">IFERROR(__xludf.DUMMYFUNCTION("IMPORTRANGE(""https://docs.google.com/spreadsheets/d/1eHaY18a8A9IcSdp1K8H6x8fbOy06t2VsZHhMHf-1x7Y/edit?usp=sharing"",""แผน!AO27"")"),0)</f>
        <v>0</v>
      </c>
      <c r="M217" s="45"/>
      <c r="N217" s="1422">
        <v>0</v>
      </c>
      <c r="O217" s="136"/>
      <c r="P217" s="45"/>
      <c r="Q217" s="1356">
        <f ca="1">IFERROR(__xludf.DUMMYFUNCTION("IMPORTRANGE(""https://docs.google.com/spreadsheets/d/1eHaY18a8A9IcSdp1K8H6x8fbOy06t2VsZHhMHf-1x7Y/edit?usp=sharing"",""แผน!LY27"")"),0)</f>
        <v>0</v>
      </c>
      <c r="R217" s="45"/>
      <c r="S217" s="1422">
        <v>229220</v>
      </c>
      <c r="T217" s="136"/>
      <c r="U217" s="45"/>
    </row>
    <row r="218" spans="1:21" ht="19.5" x14ac:dyDescent="0.3">
      <c r="A218" s="138"/>
      <c r="B218" s="139"/>
      <c r="C218" s="161" t="s">
        <v>18</v>
      </c>
      <c r="D218" s="1391" t="s">
        <v>38</v>
      </c>
      <c r="E218" s="141"/>
      <c r="F218" s="141"/>
      <c r="G218" s="142"/>
      <c r="H218" s="143"/>
      <c r="I218" s="135"/>
      <c r="J218" s="44"/>
      <c r="K218" s="45"/>
      <c r="L218" s="1359"/>
      <c r="M218" s="45"/>
      <c r="N218" s="45"/>
      <c r="O218" s="136"/>
      <c r="P218" s="136"/>
      <c r="Q218" s="1359"/>
      <c r="R218" s="45"/>
      <c r="S218" s="45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25" t="s">
        <v>85</v>
      </c>
      <c r="I219" s="184">
        <f ca="1">IFERROR(__xludf.DUMMYFUNCTION("IMPORTRANGE(""https://docs.google.com/spreadsheets/d/1eHaY18a8A9IcSdp1K8H6x8fbOy06t2VsZHhMHf-1x7Y/edit?usp=sharing"",""แผน!AP27"")"),0)</f>
        <v>0</v>
      </c>
      <c r="J219" s="1395">
        <v>0</v>
      </c>
      <c r="K219" s="224">
        <f ca="1">IF(I219&gt;0,J219*100/I219,0)</f>
        <v>0</v>
      </c>
      <c r="L219" s="1359"/>
      <c r="M219" s="45"/>
      <c r="N219" s="45"/>
      <c r="O219" s="45"/>
      <c r="P219" s="45"/>
      <c r="Q219" s="1359"/>
      <c r="R219" s="45"/>
      <c r="S219" s="45"/>
      <c r="T219" s="45"/>
      <c r="U219" s="45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25" t="s">
        <v>85</v>
      </c>
      <c r="I220" s="184">
        <f ca="1">IFERROR(__xludf.DUMMYFUNCTION("IMPORTRANGE(""https://docs.google.com/spreadsheets/d/1eHaY18a8A9IcSdp1K8H6x8fbOy06t2VsZHhMHf-1x7Y/edit?usp=sharing"",""แผน!AP27"")"),0)</f>
        <v>0</v>
      </c>
      <c r="J220" s="1395">
        <v>0</v>
      </c>
      <c r="K220" s="224">
        <f ca="1">IF(I220&gt;0,J220*100/I220,0)</f>
        <v>0</v>
      </c>
      <c r="L220" s="1359"/>
      <c r="M220" s="45"/>
      <c r="N220" s="45"/>
      <c r="O220" s="45"/>
      <c r="P220" s="45"/>
      <c r="Q220" s="1359"/>
      <c r="R220" s="45"/>
      <c r="S220" s="45"/>
      <c r="T220" s="45"/>
      <c r="U220" s="45"/>
    </row>
    <row r="221" spans="1:21" ht="19.5" x14ac:dyDescent="0.3">
      <c r="A221" s="211"/>
      <c r="B221" s="212"/>
      <c r="C221" s="213" t="s">
        <v>98</v>
      </c>
      <c r="D221" s="214"/>
      <c r="E221" s="214"/>
      <c r="F221" s="214"/>
      <c r="G221" s="215"/>
      <c r="H221" s="216" t="s">
        <v>99</v>
      </c>
      <c r="I221" s="303">
        <f ca="1">I229</f>
        <v>100000</v>
      </c>
      <c r="J221" s="303">
        <f>J229</f>
        <v>0</v>
      </c>
      <c r="K221" s="304">
        <f ca="1">IF(I221&gt;0,J221*100/I221,0)</f>
        <v>0</v>
      </c>
      <c r="L221" s="1416"/>
      <c r="M221" s="219"/>
      <c r="N221" s="219"/>
      <c r="O221" s="219"/>
      <c r="P221" s="219"/>
      <c r="Q221" s="219"/>
      <c r="R221" s="219"/>
      <c r="S221" s="219"/>
      <c r="T221" s="219"/>
      <c r="U221" s="219"/>
    </row>
    <row r="222" spans="1:21" ht="19.5" x14ac:dyDescent="0.3">
      <c r="A222" s="128"/>
      <c r="B222" s="40"/>
      <c r="C222" s="129" t="s">
        <v>18</v>
      </c>
      <c r="D222" s="1417" t="s">
        <v>19</v>
      </c>
      <c r="E222" s="40"/>
      <c r="F222" s="40"/>
      <c r="G222" s="42"/>
      <c r="H222" s="221" t="s">
        <v>14</v>
      </c>
      <c r="I222" s="135"/>
      <c r="J222" s="135"/>
      <c r="K222" s="136"/>
      <c r="L222" s="1389">
        <f ca="1">L223+L224+L225</f>
        <v>12500</v>
      </c>
      <c r="M222" s="45"/>
      <c r="N222" s="1390">
        <f>N223+N224+N225</f>
        <v>0</v>
      </c>
      <c r="O222" s="1390">
        <f ca="1">IF(L222&gt;0,N222*100/L222,0)</f>
        <v>0</v>
      </c>
      <c r="P222" s="1390">
        <f>IF(M222&gt;0,N222*100/M222,0)</f>
        <v>0</v>
      </c>
      <c r="Q222" s="45"/>
      <c r="R222" s="45"/>
      <c r="S222" s="45"/>
      <c r="T222" s="45"/>
      <c r="U222" s="45"/>
    </row>
    <row r="223" spans="1:21" ht="18.75" x14ac:dyDescent="0.25">
      <c r="A223" s="128"/>
      <c r="B223" s="158"/>
      <c r="C223" s="40"/>
      <c r="D223" s="1421" t="s">
        <v>302</v>
      </c>
      <c r="E223" s="40"/>
      <c r="F223" s="40"/>
      <c r="G223" s="42"/>
      <c r="H223" s="134" t="s">
        <v>14</v>
      </c>
      <c r="I223" s="135"/>
      <c r="J223" s="135"/>
      <c r="K223" s="136"/>
      <c r="L223" s="1356">
        <f ca="1">IFERROR(__xludf.DUMMYFUNCTION("IMPORTRANGE(""https://docs.google.com/spreadsheets/d/1eHaY18a8A9IcSdp1K8H6x8fbOy06t2VsZHhMHf-1x7Y/edit?usp=sharing"",""แผน!AR27"")"),2500)</f>
        <v>2500</v>
      </c>
      <c r="M223" s="45"/>
      <c r="N223" s="1422">
        <v>0</v>
      </c>
      <c r="O223" s="136"/>
      <c r="P223" s="45"/>
      <c r="Q223" s="45"/>
      <c r="R223" s="45"/>
      <c r="S223" s="45"/>
      <c r="T223" s="136"/>
      <c r="U223" s="45"/>
    </row>
    <row r="224" spans="1:21" ht="18.75" x14ac:dyDescent="0.25">
      <c r="A224" s="208"/>
      <c r="B224" s="158"/>
      <c r="C224" s="158"/>
      <c r="D224" s="47" t="s">
        <v>301</v>
      </c>
      <c r="E224" s="40"/>
      <c r="F224" s="40"/>
      <c r="G224" s="42"/>
      <c r="H224" s="134" t="s">
        <v>14</v>
      </c>
      <c r="I224" s="44"/>
      <c r="J224" s="44"/>
      <c r="K224" s="45"/>
      <c r="L224" s="1356">
        <f ca="1">IFERROR(__xludf.DUMMYFUNCTION("IMPORTRANGE(""https://docs.google.com/spreadsheets/d/1eHaY18a8A9IcSdp1K8H6x8fbOy06t2VsZHhMHf-1x7Y/edit?usp=sharing"",""แผน!AS27"")"),10000)</f>
        <v>10000</v>
      </c>
      <c r="M224" s="45"/>
      <c r="N224" s="1422">
        <v>0</v>
      </c>
      <c r="O224" s="136"/>
      <c r="P224" s="45"/>
      <c r="Q224" s="45"/>
      <c r="R224" s="45"/>
      <c r="S224" s="45"/>
      <c r="T224" s="136"/>
      <c r="U224" s="45"/>
    </row>
    <row r="225" spans="1:21" ht="18.75" x14ac:dyDescent="0.25">
      <c r="A225" s="208"/>
      <c r="B225" s="158"/>
      <c r="C225" s="158"/>
      <c r="D225" s="47" t="s">
        <v>88</v>
      </c>
      <c r="E225" s="40"/>
      <c r="F225" s="40"/>
      <c r="G225" s="42"/>
      <c r="H225" s="134" t="s">
        <v>14</v>
      </c>
      <c r="I225" s="44"/>
      <c r="J225" s="44"/>
      <c r="K225" s="45"/>
      <c r="L225" s="1356">
        <f ca="1">IFERROR(__xludf.DUMMYFUNCTION("IMPORTRANGE(""https://docs.google.com/spreadsheets/d/1eHaY18a8A9IcSdp1K8H6x8fbOy06t2VsZHhMHf-1x7Y/edit?usp=sharing"",""แผน!AT27"")"),0)</f>
        <v>0</v>
      </c>
      <c r="M225" s="45"/>
      <c r="N225" s="1422">
        <v>0</v>
      </c>
      <c r="O225" s="136"/>
      <c r="P225" s="45"/>
      <c r="Q225" s="45"/>
      <c r="R225" s="45"/>
      <c r="S225" s="45"/>
      <c r="T225" s="136"/>
      <c r="U225" s="45"/>
    </row>
    <row r="226" spans="1:21" ht="19.5" x14ac:dyDescent="0.3">
      <c r="A226" s="138"/>
      <c r="B226" s="139"/>
      <c r="C226" s="161" t="s">
        <v>18</v>
      </c>
      <c r="D226" s="1391" t="s">
        <v>38</v>
      </c>
      <c r="E226" s="141"/>
      <c r="F226" s="141"/>
      <c r="G226" s="142"/>
      <c r="H226" s="143"/>
      <c r="I226" s="135"/>
      <c r="J226" s="135"/>
      <c r="K226" s="136"/>
      <c r="L226" s="1392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7" t="s">
        <v>101</v>
      </c>
      <c r="E227" s="145"/>
      <c r="F227" s="145"/>
      <c r="G227" s="143"/>
      <c r="H227" s="143"/>
      <c r="I227" s="44"/>
      <c r="J227" s="44"/>
      <c r="K227" s="136"/>
      <c r="L227" s="1392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84">
        <f ca="1">IFERROR(__xludf.DUMMYFUNCTION("IMPORTRANGE(""https://docs.google.com/spreadsheets/d/1eHaY18a8A9IcSdp1K8H6x8fbOy06t2VsZHhMHf-1x7Y/edit?usp=sharing"",""แผน!AV27"")"),100000)</f>
        <v>100000</v>
      </c>
      <c r="J228" s="1395">
        <v>0</v>
      </c>
      <c r="K228" s="1396">
        <f ca="1">IF(I228&gt;0,J228*100/I228,0)</f>
        <v>0</v>
      </c>
      <c r="L228" s="1392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84">
        <f ca="1">IFERROR(__xludf.DUMMYFUNCTION("IMPORTRANGE(""https://docs.google.com/spreadsheets/d/1eHaY18a8A9IcSdp1K8H6x8fbOy06t2VsZHhMHf-1x7Y/edit?usp=sharing"",""แผน!AV27"")"),100000)</f>
        <v>100000</v>
      </c>
      <c r="J229" s="1395">
        <v>0</v>
      </c>
      <c r="K229" s="1396">
        <f ca="1">IF(I229&gt;0,J229*100/I229,0)</f>
        <v>0</v>
      </c>
      <c r="L229" s="1359"/>
      <c r="M229" s="45"/>
      <c r="N229" s="45"/>
      <c r="O229" s="45"/>
      <c r="P229" s="45"/>
      <c r="Q229" s="45"/>
      <c r="R229" s="45"/>
      <c r="S229" s="45"/>
      <c r="T229" s="45"/>
      <c r="U229" s="45"/>
    </row>
    <row r="230" spans="1:21" ht="18.75" x14ac:dyDescent="0.25">
      <c r="A230" s="138"/>
      <c r="B230" s="139"/>
      <c r="C230" s="139"/>
      <c r="D230" s="47" t="s">
        <v>104</v>
      </c>
      <c r="E230" s="145"/>
      <c r="F230" s="145"/>
      <c r="G230" s="143"/>
      <c r="H230" s="150" t="s">
        <v>35</v>
      </c>
      <c r="I230" s="184">
        <f ca="1">IFERROR(__xludf.DUMMYFUNCTION("IMPORTRANGE(""https://docs.google.com/spreadsheets/d/1eHaY18a8A9IcSdp1K8H6x8fbOy06t2VsZHhMHf-1x7Y/edit?usp=sharing"",""แผน!AU27"")"),0)</f>
        <v>0</v>
      </c>
      <c r="J230" s="1395">
        <v>0</v>
      </c>
      <c r="K230" s="1396">
        <f ca="1">IF(I230&gt;0,J230*100/I230,0)</f>
        <v>0</v>
      </c>
      <c r="L230" s="1359"/>
      <c r="M230" s="45"/>
      <c r="N230" s="45"/>
      <c r="O230" s="45"/>
      <c r="P230" s="45"/>
      <c r="Q230" s="45"/>
      <c r="R230" s="45"/>
      <c r="S230" s="45"/>
      <c r="T230" s="45"/>
      <c r="U230" s="45"/>
    </row>
    <row r="231" spans="1:21" ht="19.5" x14ac:dyDescent="0.3">
      <c r="A231" s="1635"/>
      <c r="B231" s="1634"/>
      <c r="C231" s="1429" t="s">
        <v>105</v>
      </c>
      <c r="D231" s="1633"/>
      <c r="E231" s="1633"/>
      <c r="F231" s="1633"/>
      <c r="G231" s="1632"/>
      <c r="H231" s="1430" t="s">
        <v>35</v>
      </c>
      <c r="I231" s="1431">
        <f ca="1">I242+I253</f>
        <v>40</v>
      </c>
      <c r="J231" s="1431">
        <f>J242+J253</f>
        <v>40</v>
      </c>
      <c r="K231" s="1432">
        <f ca="1">IF(I231&gt;0,J231*100/I231,0)</f>
        <v>100</v>
      </c>
      <c r="L231" s="1416"/>
      <c r="M231" s="219"/>
      <c r="N231" s="219"/>
      <c r="O231" s="219"/>
      <c r="P231" s="219"/>
      <c r="Q231" s="219"/>
      <c r="R231" s="219"/>
      <c r="S231" s="219"/>
      <c r="T231" s="219"/>
      <c r="U231" s="219"/>
    </row>
    <row r="232" spans="1:21" ht="19.5" x14ac:dyDescent="0.3">
      <c r="A232" s="1468"/>
      <c r="B232" s="1469"/>
      <c r="C232" s="1433" t="s">
        <v>18</v>
      </c>
      <c r="D232" s="1434" t="s">
        <v>19</v>
      </c>
      <c r="E232" s="1469"/>
      <c r="F232" s="1469"/>
      <c r="G232" s="1470"/>
      <c r="H232" s="375" t="s">
        <v>14</v>
      </c>
      <c r="I232" s="1481"/>
      <c r="J232" s="1481"/>
      <c r="K232" s="1482"/>
      <c r="L232" s="1423">
        <f ca="1">L243+L254</f>
        <v>403100</v>
      </c>
      <c r="M232" s="45"/>
      <c r="N232" s="1424">
        <f>N243+N254</f>
        <v>268015</v>
      </c>
      <c r="O232" s="45"/>
      <c r="P232" s="45"/>
      <c r="Q232" s="45"/>
      <c r="R232" s="45"/>
      <c r="S232" s="45"/>
      <c r="T232" s="45"/>
      <c r="U232" s="45"/>
    </row>
    <row r="233" spans="1:21" ht="18.75" x14ac:dyDescent="0.25">
      <c r="A233" s="1468"/>
      <c r="B233" s="1630"/>
      <c r="C233" s="1469"/>
      <c r="D233" s="1421" t="s">
        <v>317</v>
      </c>
      <c r="E233" s="1469"/>
      <c r="F233" s="1469"/>
      <c r="G233" s="1470"/>
      <c r="H233" s="159" t="s">
        <v>14</v>
      </c>
      <c r="I233" s="1481"/>
      <c r="J233" s="1481"/>
      <c r="K233" s="1482"/>
      <c r="L233" s="1358">
        <f ca="1">L244+L255</f>
        <v>20000</v>
      </c>
      <c r="M233" s="45"/>
      <c r="N233" s="83">
        <f>N244+N255</f>
        <v>10570</v>
      </c>
      <c r="O233" s="45"/>
      <c r="P233" s="45"/>
      <c r="Q233" s="1629">
        <v>0</v>
      </c>
      <c r="R233" s="1629">
        <v>0</v>
      </c>
      <c r="S233" s="1629">
        <v>0</v>
      </c>
      <c r="T233" s="45"/>
      <c r="U233" s="45"/>
    </row>
    <row r="234" spans="1:21" ht="18.75" x14ac:dyDescent="0.25">
      <c r="A234" s="1631"/>
      <c r="B234" s="1630"/>
      <c r="C234" s="1630"/>
      <c r="D234" s="47" t="s">
        <v>87</v>
      </c>
      <c r="E234" s="1469"/>
      <c r="F234" s="1469"/>
      <c r="G234" s="1470"/>
      <c r="H234" s="159" t="s">
        <v>14</v>
      </c>
      <c r="I234" s="1471"/>
      <c r="J234" s="1471"/>
      <c r="K234" s="1472"/>
      <c r="L234" s="1358">
        <f ca="1">L245+L256</f>
        <v>242900</v>
      </c>
      <c r="M234" s="45"/>
      <c r="N234" s="83">
        <f>N245+N256</f>
        <v>173000</v>
      </c>
      <c r="O234" s="45"/>
      <c r="P234" s="45"/>
      <c r="Q234" s="1629">
        <v>0</v>
      </c>
      <c r="R234" s="1629">
        <v>0</v>
      </c>
      <c r="S234" s="1629">
        <v>0</v>
      </c>
      <c r="T234" s="45"/>
      <c r="U234" s="45"/>
    </row>
    <row r="235" spans="1:21" ht="18.75" x14ac:dyDescent="0.25">
      <c r="A235" s="1631"/>
      <c r="B235" s="1630"/>
      <c r="C235" s="1630"/>
      <c r="D235" s="47" t="s">
        <v>88</v>
      </c>
      <c r="E235" s="1469"/>
      <c r="F235" s="1469"/>
      <c r="G235" s="1470"/>
      <c r="H235" s="159" t="s">
        <v>14</v>
      </c>
      <c r="I235" s="1471"/>
      <c r="J235" s="1471"/>
      <c r="K235" s="1472"/>
      <c r="L235" s="1358">
        <f ca="1">L246+L257</f>
        <v>87200</v>
      </c>
      <c r="M235" s="45"/>
      <c r="N235" s="83">
        <f>N246+N257</f>
        <v>74445</v>
      </c>
      <c r="O235" s="45"/>
      <c r="P235" s="45"/>
      <c r="Q235" s="1629">
        <v>0</v>
      </c>
      <c r="R235" s="1629">
        <v>0</v>
      </c>
      <c r="S235" s="1629">
        <v>0</v>
      </c>
      <c r="T235" s="45"/>
      <c r="U235" s="45"/>
    </row>
    <row r="236" spans="1:21" ht="18.75" x14ac:dyDescent="0.25">
      <c r="A236" s="1631"/>
      <c r="B236" s="1630"/>
      <c r="C236" s="1630"/>
      <c r="D236" s="47" t="s">
        <v>89</v>
      </c>
      <c r="E236" s="1469"/>
      <c r="F236" s="1469"/>
      <c r="G236" s="1470"/>
      <c r="H236" s="159" t="s">
        <v>14</v>
      </c>
      <c r="I236" s="1471"/>
      <c r="J236" s="1471"/>
      <c r="K236" s="1472"/>
      <c r="L236" s="1358">
        <f ca="1">L247+L258</f>
        <v>53000</v>
      </c>
      <c r="M236" s="45"/>
      <c r="N236" s="83">
        <f>N247+N258</f>
        <v>10000</v>
      </c>
      <c r="O236" s="45"/>
      <c r="P236" s="45"/>
      <c r="Q236" s="1629">
        <v>0</v>
      </c>
      <c r="R236" s="1629">
        <v>0</v>
      </c>
      <c r="S236" s="1629">
        <v>0</v>
      </c>
      <c r="T236" s="45"/>
      <c r="U236" s="45"/>
    </row>
    <row r="237" spans="1:21" ht="19.5" x14ac:dyDescent="0.3">
      <c r="A237" s="1626"/>
      <c r="B237" s="1625"/>
      <c r="C237" s="1435" t="s">
        <v>18</v>
      </c>
      <c r="D237" s="1436" t="s">
        <v>38</v>
      </c>
      <c r="E237" s="1628"/>
      <c r="F237" s="1628"/>
      <c r="G237" s="1627"/>
      <c r="H237" s="1623"/>
      <c r="I237" s="1481"/>
      <c r="J237" s="1471"/>
      <c r="K237" s="1472"/>
      <c r="L237" s="1359"/>
      <c r="M237" s="45"/>
      <c r="N237" s="45"/>
      <c r="O237" s="136"/>
      <c r="P237" s="136"/>
      <c r="Q237" s="45"/>
      <c r="R237" s="45"/>
      <c r="S237" s="45"/>
      <c r="T237" s="136"/>
      <c r="U237" s="136"/>
    </row>
    <row r="238" spans="1:21" ht="18.75" x14ac:dyDescent="0.25">
      <c r="A238" s="1626"/>
      <c r="B238" s="1625"/>
      <c r="C238" s="1625"/>
      <c r="D238" s="179" t="s">
        <v>108</v>
      </c>
      <c r="E238" s="1624"/>
      <c r="F238" s="1624"/>
      <c r="G238" s="1623"/>
      <c r="H238" s="1437" t="s">
        <v>35</v>
      </c>
      <c r="I238" s="423">
        <f ca="1">I249+I260</f>
        <v>40</v>
      </c>
      <c r="J238" s="423">
        <f>J249+J260</f>
        <v>40</v>
      </c>
      <c r="K238" s="83">
        <f ca="1">IF(I238&gt;0,J238*100/I238,0)</f>
        <v>100</v>
      </c>
      <c r="L238" s="1359"/>
      <c r="M238" s="45"/>
      <c r="N238" s="45"/>
      <c r="O238" s="45"/>
      <c r="P238" s="45"/>
      <c r="Q238" s="45"/>
      <c r="R238" s="45"/>
      <c r="S238" s="45"/>
      <c r="T238" s="45"/>
      <c r="U238" s="45"/>
    </row>
    <row r="239" spans="1:21" ht="18.75" x14ac:dyDescent="0.25">
      <c r="A239" s="1626"/>
      <c r="B239" s="1625"/>
      <c r="C239" s="1625"/>
      <c r="D239" s="1438" t="s">
        <v>43</v>
      </c>
      <c r="E239" s="1624"/>
      <c r="F239" s="1624"/>
      <c r="G239" s="1623"/>
      <c r="H239" s="1623"/>
      <c r="I239" s="1471"/>
      <c r="J239" s="1471"/>
      <c r="K239" s="1472"/>
      <c r="L239" s="1359"/>
      <c r="M239" s="45"/>
      <c r="N239" s="45"/>
      <c r="O239" s="136"/>
      <c r="P239" s="136"/>
      <c r="Q239" s="45"/>
      <c r="R239" s="45"/>
      <c r="S239" s="45"/>
      <c r="T239" s="136"/>
      <c r="U239" s="136"/>
    </row>
    <row r="240" spans="1:21" ht="18.75" x14ac:dyDescent="0.25">
      <c r="A240" s="1626"/>
      <c r="B240" s="1625"/>
      <c r="C240" s="1625"/>
      <c r="D240" s="1625"/>
      <c r="E240" s="1439" t="s">
        <v>109</v>
      </c>
      <c r="F240" s="1624"/>
      <c r="G240" s="1623"/>
      <c r="H240" s="1437" t="s">
        <v>35</v>
      </c>
      <c r="I240" s="423">
        <f ca="1">I251+I262</f>
        <v>40</v>
      </c>
      <c r="J240" s="423">
        <f>J251+J262</f>
        <v>0</v>
      </c>
      <c r="K240" s="83">
        <f ca="1">IF(I240&gt;0,J240*100/I240,0)</f>
        <v>0</v>
      </c>
      <c r="L240" s="1359"/>
      <c r="M240" s="45"/>
      <c r="N240" s="45"/>
      <c r="O240" s="45"/>
      <c r="P240" s="45"/>
      <c r="Q240" s="45"/>
      <c r="R240" s="45"/>
      <c r="S240" s="45"/>
      <c r="T240" s="45"/>
      <c r="U240" s="45"/>
    </row>
    <row r="241" spans="1:21" ht="18.75" x14ac:dyDescent="0.25">
      <c r="A241" s="1626"/>
      <c r="B241" s="1625"/>
      <c r="C241" s="1625"/>
      <c r="D241" s="1625"/>
      <c r="E241" s="1439" t="s">
        <v>110</v>
      </c>
      <c r="F241" s="1624"/>
      <c r="G241" s="1623"/>
      <c r="H241" s="1437" t="s">
        <v>61</v>
      </c>
      <c r="I241" s="423">
        <f ca="1">I252+I263</f>
        <v>1</v>
      </c>
      <c r="J241" s="423">
        <f>J252+J263</f>
        <v>0</v>
      </c>
      <c r="K241" s="83">
        <f ca="1">IF(I241&gt;0,J241*100/I241,0)</f>
        <v>0</v>
      </c>
      <c r="L241" s="1359"/>
      <c r="M241" s="45"/>
      <c r="N241" s="45"/>
      <c r="O241" s="45"/>
      <c r="P241" s="45"/>
      <c r="Q241" s="45"/>
      <c r="R241" s="45"/>
      <c r="S241" s="45"/>
      <c r="T241" s="45"/>
      <c r="U241" s="45"/>
    </row>
    <row r="242" spans="1:21" ht="19.5" x14ac:dyDescent="0.3">
      <c r="A242" s="1622"/>
      <c r="B242" s="1621"/>
      <c r="C242" s="1620" t="s">
        <v>345</v>
      </c>
      <c r="D242" s="1619"/>
      <c r="E242" s="1619"/>
      <c r="F242" s="1619"/>
      <c r="G242" s="1618"/>
      <c r="H242" s="1617" t="s">
        <v>35</v>
      </c>
      <c r="I242" s="1616">
        <f ca="1">I249</f>
        <v>40</v>
      </c>
      <c r="J242" s="1616">
        <f>J249</f>
        <v>40</v>
      </c>
      <c r="K242" s="1615">
        <f ca="1">IF(I242&gt;0,J242*100/I242,0)</f>
        <v>100</v>
      </c>
      <c r="L242" s="1416"/>
      <c r="M242" s="219"/>
      <c r="N242" s="219"/>
      <c r="O242" s="219"/>
      <c r="P242" s="219"/>
      <c r="Q242" s="219"/>
      <c r="R242" s="219"/>
      <c r="S242" s="219"/>
      <c r="T242" s="219"/>
      <c r="U242" s="219"/>
    </row>
    <row r="243" spans="1:21" ht="19.5" x14ac:dyDescent="0.3">
      <c r="A243" s="1458"/>
      <c r="B243" s="1459"/>
      <c r="C243" s="1460" t="s">
        <v>18</v>
      </c>
      <c r="D243" s="1461" t="s">
        <v>19</v>
      </c>
      <c r="E243" s="1459"/>
      <c r="F243" s="1459"/>
      <c r="G243" s="1462"/>
      <c r="H243" s="1614" t="s">
        <v>14</v>
      </c>
      <c r="I243" s="1479"/>
      <c r="J243" s="1479"/>
      <c r="K243" s="1480"/>
      <c r="L243" s="1389">
        <f ca="1">L244+L245+L246+L247</f>
        <v>403100</v>
      </c>
      <c r="M243" s="45"/>
      <c r="N243" s="1390">
        <f>N244+N245+N246+N247</f>
        <v>268015</v>
      </c>
      <c r="O243" s="1390">
        <f ca="1">IF(L243&gt;0,N243*100/L243,0)</f>
        <v>66.488464400893079</v>
      </c>
      <c r="P243" s="1390">
        <f>IF(M243&gt;0,N243*100/M243,0)</f>
        <v>0</v>
      </c>
      <c r="Q243" s="45"/>
      <c r="R243" s="45"/>
      <c r="S243" s="45"/>
      <c r="T243" s="45"/>
      <c r="U243" s="45"/>
    </row>
    <row r="244" spans="1:21" ht="18.75" x14ac:dyDescent="0.25">
      <c r="A244" s="1458"/>
      <c r="B244" s="1608"/>
      <c r="C244" s="1459"/>
      <c r="D244" s="1421" t="s">
        <v>317</v>
      </c>
      <c r="E244" s="1459"/>
      <c r="F244" s="1459"/>
      <c r="G244" s="1462"/>
      <c r="H244" s="1478" t="s">
        <v>14</v>
      </c>
      <c r="I244" s="1479"/>
      <c r="J244" s="1479"/>
      <c r="K244" s="1480"/>
      <c r="L244" s="1356">
        <f ca="1">IFERROR(__xludf.DUMMYFUNCTION("IMPORTRANGE(""https://docs.google.com/spreadsheets/d/1eHaY18a8A9IcSdp1K8H6x8fbOy06t2VsZHhMHf-1x7Y/edit?usp=sharing"",""แผน!AX27"")"),20000)</f>
        <v>20000</v>
      </c>
      <c r="M244" s="45"/>
      <c r="N244" s="1422">
        <v>10570</v>
      </c>
      <c r="O244" s="45"/>
      <c r="P244" s="45"/>
      <c r="Q244" s="45"/>
      <c r="R244" s="45"/>
      <c r="S244" s="45"/>
      <c r="T244" s="45"/>
      <c r="U244" s="45"/>
    </row>
    <row r="245" spans="1:21" ht="18.75" x14ac:dyDescent="0.25">
      <c r="A245" s="1613"/>
      <c r="B245" s="1608"/>
      <c r="C245" s="1608"/>
      <c r="D245" s="47" t="s">
        <v>301</v>
      </c>
      <c r="E245" s="1459"/>
      <c r="F245" s="1459"/>
      <c r="G245" s="1462"/>
      <c r="H245" s="1478" t="s">
        <v>14</v>
      </c>
      <c r="I245" s="1464"/>
      <c r="J245" s="1464"/>
      <c r="K245" s="1465"/>
      <c r="L245" s="1356">
        <f ca="1">IFERROR(__xludf.DUMMYFUNCTION("IMPORTRANGE(""https://docs.google.com/spreadsheets/d/1eHaY18a8A9IcSdp1K8H6x8fbOy06t2VsZHhMHf-1x7Y/edit?usp=sharing"",""แผน!AY27"")"),242900)</f>
        <v>242900</v>
      </c>
      <c r="M245" s="45"/>
      <c r="N245" s="1422">
        <v>173000</v>
      </c>
      <c r="O245" s="45"/>
      <c r="P245" s="45"/>
      <c r="Q245" s="45"/>
      <c r="R245" s="45"/>
      <c r="S245" s="45"/>
      <c r="T245" s="45"/>
      <c r="U245" s="45"/>
    </row>
    <row r="246" spans="1:21" ht="18.75" x14ac:dyDescent="0.25">
      <c r="A246" s="1613"/>
      <c r="B246" s="1608"/>
      <c r="C246" s="1608"/>
      <c r="D246" s="47" t="s">
        <v>88</v>
      </c>
      <c r="E246" s="1459"/>
      <c r="F246" s="1459"/>
      <c r="G246" s="1462"/>
      <c r="H246" s="1478" t="s">
        <v>14</v>
      </c>
      <c r="I246" s="1464"/>
      <c r="J246" s="1464"/>
      <c r="K246" s="1465"/>
      <c r="L246" s="1356">
        <f ca="1">IFERROR(__xludf.DUMMYFUNCTION("IMPORTRANGE(""https://docs.google.com/spreadsheets/d/1eHaY18a8A9IcSdp1K8H6x8fbOy06t2VsZHhMHf-1x7Y/edit?usp=sharing"",""แผน!AZ27"")"),87200)</f>
        <v>87200</v>
      </c>
      <c r="M246" s="45"/>
      <c r="N246" s="1422">
        <v>74445</v>
      </c>
      <c r="O246" s="45"/>
      <c r="P246" s="45"/>
      <c r="Q246" s="45"/>
      <c r="R246" s="45"/>
      <c r="S246" s="45"/>
      <c r="T246" s="45"/>
      <c r="U246" s="45"/>
    </row>
    <row r="247" spans="1:21" ht="18.75" x14ac:dyDescent="0.25">
      <c r="A247" s="1613"/>
      <c r="B247" s="1608"/>
      <c r="C247" s="1608"/>
      <c r="D247" s="47" t="s">
        <v>89</v>
      </c>
      <c r="E247" s="1459"/>
      <c r="F247" s="1459"/>
      <c r="G247" s="1462"/>
      <c r="H247" s="1478" t="s">
        <v>14</v>
      </c>
      <c r="I247" s="1464"/>
      <c r="J247" s="1464"/>
      <c r="K247" s="1465"/>
      <c r="L247" s="1356">
        <f ca="1">IFERROR(__xludf.DUMMYFUNCTION("IMPORTRANGE(""https://docs.google.com/spreadsheets/d/1eHaY18a8A9IcSdp1K8H6x8fbOy06t2VsZHhMHf-1x7Y/edit?usp=sharing"",""แผน!BA27"")"),53000)</f>
        <v>53000</v>
      </c>
      <c r="M247" s="45"/>
      <c r="N247" s="1422">
        <v>10000</v>
      </c>
      <c r="O247" s="45"/>
      <c r="P247" s="45"/>
      <c r="Q247" s="45"/>
      <c r="R247" s="45"/>
      <c r="S247" s="45"/>
      <c r="T247" s="45"/>
      <c r="U247" s="45"/>
    </row>
    <row r="248" spans="1:21" ht="19.5" x14ac:dyDescent="0.3">
      <c r="A248" s="1484"/>
      <c r="B248" s="1485"/>
      <c r="C248" s="1612" t="s">
        <v>18</v>
      </c>
      <c r="D248" s="1486" t="s">
        <v>38</v>
      </c>
      <c r="E248" s="1451"/>
      <c r="F248" s="1451"/>
      <c r="G248" s="1452"/>
      <c r="H248" s="1487"/>
      <c r="I248" s="1479"/>
      <c r="J248" s="1464"/>
      <c r="K248" s="1465"/>
      <c r="L248" s="1359"/>
      <c r="M248" s="45"/>
      <c r="N248" s="45"/>
      <c r="O248" s="136"/>
      <c r="P248" s="136"/>
      <c r="Q248" s="45"/>
      <c r="R248" s="45"/>
      <c r="S248" s="45"/>
      <c r="T248" s="136"/>
      <c r="U248" s="136"/>
    </row>
    <row r="249" spans="1:21" ht="18.75" x14ac:dyDescent="0.25">
      <c r="A249" s="1484"/>
      <c r="B249" s="1485"/>
      <c r="C249" s="1485"/>
      <c r="D249" s="1604" t="s">
        <v>108</v>
      </c>
      <c r="E249" s="1602"/>
      <c r="F249" s="1602"/>
      <c r="G249" s="1487"/>
      <c r="H249" s="1610" t="s">
        <v>35</v>
      </c>
      <c r="I249" s="1598">
        <f ca="1">IFERROR(__xludf.DUMMYFUNCTION("IMPORTRANGE(""https://docs.google.com/spreadsheets/d/1eHaY18a8A9IcSdp1K8H6x8fbOy06t2VsZHhMHf-1x7Y/edit?usp=sharing"",""แผน!BG27"")"),40)</f>
        <v>40</v>
      </c>
      <c r="J249" s="1599">
        <v>40</v>
      </c>
      <c r="K249" s="1476">
        <f ca="1">IF(I249&gt;0,J249*100/I249,0)</f>
        <v>100</v>
      </c>
      <c r="L249" s="1359"/>
      <c r="M249" s="45"/>
      <c r="N249" s="45"/>
      <c r="O249" s="45"/>
      <c r="P249" s="45"/>
      <c r="Q249" s="45"/>
      <c r="R249" s="45"/>
      <c r="S249" s="45"/>
      <c r="T249" s="45"/>
      <c r="U249" s="45"/>
    </row>
    <row r="250" spans="1:21" ht="18.75" x14ac:dyDescent="0.25">
      <c r="A250" s="1484"/>
      <c r="B250" s="1485"/>
      <c r="C250" s="1485"/>
      <c r="D250" s="1611" t="s">
        <v>43</v>
      </c>
      <c r="E250" s="1602"/>
      <c r="F250" s="1602"/>
      <c r="G250" s="1487"/>
      <c r="H250" s="1487"/>
      <c r="I250" s="1464"/>
      <c r="J250" s="1464"/>
      <c r="K250" s="1465"/>
      <c r="L250" s="1359"/>
      <c r="M250" s="45"/>
      <c r="N250" s="45"/>
      <c r="O250" s="136"/>
      <c r="P250" s="136"/>
      <c r="Q250" s="45"/>
      <c r="R250" s="45"/>
      <c r="S250" s="45"/>
      <c r="T250" s="136"/>
      <c r="U250" s="136"/>
    </row>
    <row r="251" spans="1:21" ht="18.75" x14ac:dyDescent="0.25">
      <c r="A251" s="1484"/>
      <c r="B251" s="1485"/>
      <c r="C251" s="1485"/>
      <c r="D251" s="1485"/>
      <c r="E251" s="308" t="s">
        <v>109</v>
      </c>
      <c r="F251" s="1602"/>
      <c r="G251" s="1487"/>
      <c r="H251" s="1610" t="s">
        <v>35</v>
      </c>
      <c r="I251" s="1598">
        <f ca="1">IFERROR(__xludf.DUMMYFUNCTION("IMPORTRANGE(""https://docs.google.com/spreadsheets/d/1eHaY18a8A9IcSdp1K8H6x8fbOy06t2VsZHhMHf-1x7Y/edit?usp=sharing"",""แผน!KH27"")"),40)</f>
        <v>40</v>
      </c>
      <c r="J251" s="1599">
        <v>0</v>
      </c>
      <c r="K251" s="1476">
        <f ca="1">IF(I251&gt;0,J251*100/I251,0)</f>
        <v>0</v>
      </c>
      <c r="L251" s="1359"/>
      <c r="M251" s="45"/>
      <c r="N251" s="45"/>
      <c r="O251" s="45"/>
      <c r="P251" s="45"/>
      <c r="Q251" s="45"/>
      <c r="R251" s="45"/>
      <c r="S251" s="45"/>
      <c r="T251" s="45"/>
      <c r="U251" s="45"/>
    </row>
    <row r="252" spans="1:21" ht="18.75" x14ac:dyDescent="0.25">
      <c r="A252" s="1484"/>
      <c r="B252" s="1485"/>
      <c r="C252" s="1485"/>
      <c r="D252" s="1485"/>
      <c r="E252" s="308" t="s">
        <v>110</v>
      </c>
      <c r="F252" s="1602"/>
      <c r="G252" s="1487"/>
      <c r="H252" s="1610" t="s">
        <v>61</v>
      </c>
      <c r="I252" s="1598">
        <f ca="1">IFERROR(__xludf.DUMMYFUNCTION("IMPORTRANGE(""https://docs.google.com/spreadsheets/d/1eHaY18a8A9IcSdp1K8H6x8fbOy06t2VsZHhMHf-1x7Y/edit?usp=sharing"",""แผน!KI27"")"),1)</f>
        <v>1</v>
      </c>
      <c r="J252" s="1599">
        <v>0</v>
      </c>
      <c r="K252" s="1476">
        <f ca="1">IF(I252&gt;0,J252*100/I252,0)</f>
        <v>0</v>
      </c>
      <c r="L252" s="1359"/>
      <c r="M252" s="45"/>
      <c r="N252" s="45"/>
      <c r="O252" s="45"/>
      <c r="P252" s="45"/>
      <c r="Q252" s="45"/>
      <c r="R252" s="45"/>
      <c r="S252" s="45"/>
      <c r="T252" s="45"/>
      <c r="U252" s="45"/>
    </row>
    <row r="253" spans="1:21" ht="19.5" x14ac:dyDescent="0.3">
      <c r="A253" s="211"/>
      <c r="B253" s="212"/>
      <c r="C253" s="1429" t="s">
        <v>112</v>
      </c>
      <c r="D253" s="214"/>
      <c r="E253" s="214"/>
      <c r="F253" s="214"/>
      <c r="G253" s="215"/>
      <c r="H253" s="1430" t="s">
        <v>35</v>
      </c>
      <c r="I253" s="1431">
        <f ca="1">I260</f>
        <v>0</v>
      </c>
      <c r="J253" s="1431">
        <f>J260</f>
        <v>0</v>
      </c>
      <c r="K253" s="1432">
        <f ca="1">IF(I253&gt;0,J253*100/I253,0)</f>
        <v>0</v>
      </c>
      <c r="L253" s="1416"/>
      <c r="M253" s="219"/>
      <c r="N253" s="219"/>
      <c r="O253" s="219"/>
      <c r="P253" s="219"/>
      <c r="Q253" s="219"/>
      <c r="R253" s="219"/>
      <c r="S253" s="219"/>
      <c r="T253" s="219"/>
      <c r="U253" s="219"/>
    </row>
    <row r="254" spans="1:21" ht="19.5" x14ac:dyDescent="0.3">
      <c r="A254" s="128"/>
      <c r="B254" s="40"/>
      <c r="C254" s="1433" t="s">
        <v>18</v>
      </c>
      <c r="D254" s="1440" t="s">
        <v>19</v>
      </c>
      <c r="E254" s="40"/>
      <c r="F254" s="40"/>
      <c r="G254" s="42"/>
      <c r="H254" s="375" t="s">
        <v>14</v>
      </c>
      <c r="I254" s="135"/>
      <c r="J254" s="135"/>
      <c r="K254" s="136"/>
      <c r="L254" s="1389">
        <f ca="1">L255+L256+L257+L258</f>
        <v>0</v>
      </c>
      <c r="M254" s="45"/>
      <c r="N254" s="1390">
        <f>N255+N256+N257+N258</f>
        <v>0</v>
      </c>
      <c r="O254" s="1390">
        <f ca="1">IF(L254&gt;0,N254*100/L254,0)</f>
        <v>0</v>
      </c>
      <c r="P254" s="1390">
        <f>IF(M254&gt;0,N254*100/M254,0)</f>
        <v>0</v>
      </c>
      <c r="Q254" s="45"/>
      <c r="R254" s="45"/>
      <c r="S254" s="45"/>
      <c r="T254" s="45"/>
      <c r="U254" s="45"/>
    </row>
    <row r="255" spans="1:21" ht="18.75" x14ac:dyDescent="0.25">
      <c r="A255" s="128"/>
      <c r="B255" s="158"/>
      <c r="C255" s="40"/>
      <c r="D255" s="1421" t="s">
        <v>317</v>
      </c>
      <c r="E255" s="40"/>
      <c r="F255" s="40"/>
      <c r="G255" s="42"/>
      <c r="H255" s="159" t="s">
        <v>14</v>
      </c>
      <c r="I255" s="135"/>
      <c r="J255" s="135"/>
      <c r="K255" s="136"/>
      <c r="L255" s="1356">
        <f ca="1">IFERROR(__xludf.DUMMYFUNCTION("IMPORTRANGE(""https://docs.google.com/spreadsheets/d/1eHaY18a8A9IcSdp1K8H6x8fbOy06t2VsZHhMHf-1x7Y/edit?usp=sharing"",""แผน!BB27"")"),0)</f>
        <v>0</v>
      </c>
      <c r="M255" s="45"/>
      <c r="N255" s="1422">
        <v>0</v>
      </c>
      <c r="O255" s="45"/>
      <c r="P255" s="45"/>
      <c r="Q255" s="45"/>
      <c r="R255" s="45"/>
      <c r="S255" s="45"/>
      <c r="T255" s="45"/>
      <c r="U255" s="45"/>
    </row>
    <row r="256" spans="1:21" ht="18.75" x14ac:dyDescent="0.25">
      <c r="A256" s="208"/>
      <c r="B256" s="158"/>
      <c r="C256" s="158"/>
      <c r="D256" s="47" t="s">
        <v>87</v>
      </c>
      <c r="E256" s="40"/>
      <c r="F256" s="40"/>
      <c r="G256" s="42"/>
      <c r="H256" s="159" t="s">
        <v>14</v>
      </c>
      <c r="I256" s="44"/>
      <c r="J256" s="44"/>
      <c r="K256" s="45"/>
      <c r="L256" s="1356">
        <f ca="1">IFERROR(__xludf.DUMMYFUNCTION("IMPORTRANGE(""https://docs.google.com/spreadsheets/d/1eHaY18a8A9IcSdp1K8H6x8fbOy06t2VsZHhMHf-1x7Y/edit?usp=sharing"",""แผน!BC27"")"),0)</f>
        <v>0</v>
      </c>
      <c r="M256" s="45"/>
      <c r="N256" s="1422">
        <v>0</v>
      </c>
      <c r="O256" s="45"/>
      <c r="P256" s="45"/>
      <c r="Q256" s="45"/>
      <c r="R256" s="45"/>
      <c r="S256" s="45"/>
      <c r="T256" s="45"/>
      <c r="U256" s="45"/>
    </row>
    <row r="257" spans="1:21" ht="18.75" x14ac:dyDescent="0.25">
      <c r="A257" s="208"/>
      <c r="B257" s="158"/>
      <c r="C257" s="158"/>
      <c r="D257" s="47" t="s">
        <v>88</v>
      </c>
      <c r="E257" s="40"/>
      <c r="F257" s="40"/>
      <c r="G257" s="42"/>
      <c r="H257" s="159" t="s">
        <v>14</v>
      </c>
      <c r="I257" s="44"/>
      <c r="J257" s="44"/>
      <c r="K257" s="45"/>
      <c r="L257" s="1356">
        <f ca="1">IFERROR(__xludf.DUMMYFUNCTION("IMPORTRANGE(""https://docs.google.com/spreadsheets/d/1eHaY18a8A9IcSdp1K8H6x8fbOy06t2VsZHhMHf-1x7Y/edit?usp=sharing"",""แผน!BD27"")"),0)</f>
        <v>0</v>
      </c>
      <c r="M257" s="45"/>
      <c r="N257" s="1422">
        <v>0</v>
      </c>
      <c r="O257" s="45"/>
      <c r="P257" s="45"/>
      <c r="Q257" s="45"/>
      <c r="R257" s="45"/>
      <c r="S257" s="45"/>
      <c r="T257" s="45"/>
      <c r="U257" s="45"/>
    </row>
    <row r="258" spans="1:21" ht="18.75" x14ac:dyDescent="0.25">
      <c r="A258" s="208"/>
      <c r="B258" s="158"/>
      <c r="C258" s="158"/>
      <c r="D258" s="47" t="s">
        <v>89</v>
      </c>
      <c r="E258" s="40"/>
      <c r="F258" s="40"/>
      <c r="G258" s="42"/>
      <c r="H258" s="159" t="s">
        <v>14</v>
      </c>
      <c r="I258" s="44"/>
      <c r="J258" s="44"/>
      <c r="K258" s="45"/>
      <c r="L258" s="1356">
        <f ca="1">IFERROR(__xludf.DUMMYFUNCTION("IMPORTRANGE(""https://docs.google.com/spreadsheets/d/1eHaY18a8A9IcSdp1K8H6x8fbOy06t2VsZHhMHf-1x7Y/edit?usp=sharing"",""แผน!BE27"")"),0)</f>
        <v>0</v>
      </c>
      <c r="M258" s="45"/>
      <c r="N258" s="1422">
        <v>0</v>
      </c>
      <c r="O258" s="45"/>
      <c r="P258" s="45"/>
      <c r="Q258" s="45"/>
      <c r="R258" s="45"/>
      <c r="S258" s="45"/>
      <c r="T258" s="45"/>
      <c r="U258" s="45"/>
    </row>
    <row r="259" spans="1:21" ht="19.5" x14ac:dyDescent="0.3">
      <c r="A259" s="138"/>
      <c r="B259" s="139"/>
      <c r="C259" s="1435" t="s">
        <v>18</v>
      </c>
      <c r="D259" s="1436" t="s">
        <v>38</v>
      </c>
      <c r="E259" s="141"/>
      <c r="F259" s="141"/>
      <c r="G259" s="142"/>
      <c r="H259" s="143"/>
      <c r="I259" s="135"/>
      <c r="J259" s="44"/>
      <c r="K259" s="45"/>
      <c r="L259" s="1359"/>
      <c r="M259" s="45"/>
      <c r="N259" s="45"/>
      <c r="O259" s="136"/>
      <c r="P259" s="136"/>
      <c r="Q259" s="45"/>
      <c r="R259" s="45"/>
      <c r="S259" s="45"/>
      <c r="T259" s="136"/>
      <c r="U259" s="136"/>
    </row>
    <row r="260" spans="1:21" ht="18.75" x14ac:dyDescent="0.25">
      <c r="A260" s="138"/>
      <c r="B260" s="139"/>
      <c r="C260" s="139"/>
      <c r="D260" s="179" t="s">
        <v>108</v>
      </c>
      <c r="E260" s="145"/>
      <c r="F260" s="145"/>
      <c r="G260" s="143"/>
      <c r="H260" s="1437" t="s">
        <v>35</v>
      </c>
      <c r="I260" s="423">
        <f ca="1">IFERROR(__xludf.DUMMYFUNCTION("IMPORTRANGE(""https://docs.google.com/spreadsheets/d/1eHaY18a8A9IcSdp1K8H6x8fbOy06t2VsZHhMHf-1x7Y/edit?usp=sharing"",""แผน!BH27"")"),0)</f>
        <v>0</v>
      </c>
      <c r="J260" s="1407">
        <v>0</v>
      </c>
      <c r="K260" s="83">
        <f ca="1">IF(I260&gt;0,J260*100/I260,0)</f>
        <v>0</v>
      </c>
      <c r="L260" s="1359"/>
      <c r="M260" s="45"/>
      <c r="N260" s="45"/>
      <c r="O260" s="45"/>
      <c r="P260" s="45"/>
      <c r="Q260" s="45"/>
      <c r="R260" s="45"/>
      <c r="S260" s="45"/>
      <c r="T260" s="45"/>
      <c r="U260" s="45"/>
    </row>
    <row r="261" spans="1:21" ht="18.75" x14ac:dyDescent="0.25">
      <c r="A261" s="138"/>
      <c r="B261" s="139"/>
      <c r="C261" s="139"/>
      <c r="D261" s="1438" t="s">
        <v>43</v>
      </c>
      <c r="E261" s="145"/>
      <c r="F261" s="145"/>
      <c r="G261" s="143"/>
      <c r="H261" s="143"/>
      <c r="I261" s="44"/>
      <c r="J261" s="44"/>
      <c r="K261" s="45"/>
      <c r="L261" s="1359"/>
      <c r="M261" s="45"/>
      <c r="N261" s="45"/>
      <c r="O261" s="136"/>
      <c r="P261" s="136"/>
      <c r="Q261" s="45"/>
      <c r="R261" s="45"/>
      <c r="S261" s="45"/>
      <c r="T261" s="136"/>
      <c r="U261" s="136"/>
    </row>
    <row r="262" spans="1:21" ht="18.75" x14ac:dyDescent="0.25">
      <c r="A262" s="138"/>
      <c r="B262" s="139"/>
      <c r="C262" s="139"/>
      <c r="D262" s="139"/>
      <c r="E262" s="1439" t="s">
        <v>109</v>
      </c>
      <c r="F262" s="145"/>
      <c r="G262" s="143"/>
      <c r="H262" s="1437" t="s">
        <v>35</v>
      </c>
      <c r="I262" s="44"/>
      <c r="J262" s="1407">
        <v>0</v>
      </c>
      <c r="K262" s="83">
        <f>IF(I262&gt;0,J262*100/I262,0)</f>
        <v>0</v>
      </c>
      <c r="L262" s="1359"/>
      <c r="M262" s="45"/>
      <c r="N262" s="45"/>
      <c r="O262" s="45"/>
      <c r="P262" s="45"/>
      <c r="Q262" s="45"/>
      <c r="R262" s="45"/>
      <c r="S262" s="45"/>
      <c r="T262" s="45"/>
      <c r="U262" s="45"/>
    </row>
    <row r="263" spans="1:21" ht="18.75" x14ac:dyDescent="0.25">
      <c r="A263" s="138"/>
      <c r="B263" s="139"/>
      <c r="C263" s="139"/>
      <c r="D263" s="139"/>
      <c r="E263" s="1439" t="s">
        <v>110</v>
      </c>
      <c r="F263" s="145"/>
      <c r="G263" s="143"/>
      <c r="H263" s="1437" t="s">
        <v>61</v>
      </c>
      <c r="I263" s="44"/>
      <c r="J263" s="1407">
        <v>0</v>
      </c>
      <c r="K263" s="83">
        <f>IF(I263&gt;0,J263*100/I263,0)</f>
        <v>0</v>
      </c>
      <c r="L263" s="1359"/>
      <c r="M263" s="45"/>
      <c r="N263" s="45"/>
      <c r="O263" s="45"/>
      <c r="P263" s="45"/>
      <c r="Q263" s="45"/>
      <c r="R263" s="45"/>
      <c r="S263" s="45"/>
      <c r="T263" s="45"/>
      <c r="U263" s="45"/>
    </row>
    <row r="264" spans="1:21" ht="19.5" x14ac:dyDescent="0.3">
      <c r="A264" s="1441" t="s">
        <v>113</v>
      </c>
      <c r="B264" s="1442"/>
      <c r="C264" s="1442"/>
      <c r="D264" s="1443"/>
      <c r="E264" s="1443"/>
      <c r="F264" s="1443"/>
      <c r="G264" s="1444"/>
      <c r="H264" s="1444"/>
      <c r="I264" s="1445"/>
      <c r="J264" s="1445"/>
      <c r="K264" s="1446"/>
      <c r="L264" s="1447"/>
      <c r="M264" s="1446"/>
      <c r="N264" s="1446"/>
      <c r="O264" s="1446"/>
      <c r="P264" s="1446"/>
      <c r="Q264" s="1446"/>
      <c r="R264" s="1446"/>
      <c r="S264" s="1446"/>
      <c r="T264" s="1446"/>
      <c r="U264" s="1446"/>
    </row>
    <row r="265" spans="1:21" ht="19.5" x14ac:dyDescent="0.3">
      <c r="A265" s="1448"/>
      <c r="B265" s="1449" t="s">
        <v>114</v>
      </c>
      <c r="C265" s="1450"/>
      <c r="D265" s="1451"/>
      <c r="E265" s="1451"/>
      <c r="F265" s="1451"/>
      <c r="G265" s="1452"/>
      <c r="H265" s="1453" t="s">
        <v>35</v>
      </c>
      <c r="I265" s="1454">
        <f ca="1">I276</f>
        <v>22</v>
      </c>
      <c r="J265" s="1454">
        <f>J276</f>
        <v>22</v>
      </c>
      <c r="K265" s="1455">
        <f ca="1">IF(I265&gt;0,J265*100/I265,0)</f>
        <v>100</v>
      </c>
      <c r="L265" s="1456"/>
      <c r="M265" s="1457"/>
      <c r="N265" s="1457"/>
      <c r="O265" s="1457"/>
      <c r="P265" s="1457"/>
      <c r="Q265" s="1457"/>
      <c r="R265" s="1457"/>
      <c r="S265" s="1457"/>
      <c r="T265" s="1457"/>
      <c r="U265" s="1457"/>
    </row>
    <row r="266" spans="1:21" ht="19.5" x14ac:dyDescent="0.3">
      <c r="A266" s="1458"/>
      <c r="B266" s="1459"/>
      <c r="C266" s="1460" t="s">
        <v>18</v>
      </c>
      <c r="D266" s="1461" t="s">
        <v>19</v>
      </c>
      <c r="E266" s="1459"/>
      <c r="F266" s="1459"/>
      <c r="G266" s="1462"/>
      <c r="H266" s="1463" t="s">
        <v>14</v>
      </c>
      <c r="I266" s="1464"/>
      <c r="J266" s="1464"/>
      <c r="K266" s="1465"/>
      <c r="L266" s="1466">
        <f ca="1">L267+L268</f>
        <v>5000</v>
      </c>
      <c r="M266" s="1467">
        <f ca="1">M267+M268</f>
        <v>5000</v>
      </c>
      <c r="N266" s="1467">
        <f ca="1">N267+N268</f>
        <v>0</v>
      </c>
      <c r="O266" s="1467">
        <f ca="1">IF(L266&gt;0,N266*100/L266,0)</f>
        <v>0</v>
      </c>
      <c r="P266" s="1467">
        <f ca="1">IF(M266&gt;0,N266*100/M266,0)</f>
        <v>0</v>
      </c>
      <c r="Q266" s="1467">
        <f ca="1">Q267+Q268</f>
        <v>50660</v>
      </c>
      <c r="R266" s="1467">
        <f ca="1">R267+R268</f>
        <v>50660</v>
      </c>
      <c r="S266" s="1467">
        <f ca="1">S267+S268</f>
        <v>45611</v>
      </c>
      <c r="T266" s="1467">
        <f ca="1">IF(Q266&gt;0,S266*100/Q266,0)</f>
        <v>90.033557046979865</v>
      </c>
      <c r="U266" s="1467">
        <f ca="1">IF(R266&gt;0,S266*100/R266,0)</f>
        <v>90.033557046979865</v>
      </c>
    </row>
    <row r="267" spans="1:21" ht="18.75" x14ac:dyDescent="0.25">
      <c r="A267" s="1468"/>
      <c r="B267" s="1469"/>
      <c r="C267" s="1469"/>
      <c r="D267" s="1469"/>
      <c r="E267" s="156" t="s">
        <v>20</v>
      </c>
      <c r="F267" s="1469"/>
      <c r="G267" s="1470"/>
      <c r="H267" s="157" t="s">
        <v>14</v>
      </c>
      <c r="I267" s="1471"/>
      <c r="J267" s="1471"/>
      <c r="K267" s="1472"/>
      <c r="L267" s="1358">
        <f>L270+L273</f>
        <v>0</v>
      </c>
      <c r="M267" s="83">
        <f>M270+M273</f>
        <v>0</v>
      </c>
      <c r="N267" s="83">
        <f>N270+N273</f>
        <v>0</v>
      </c>
      <c r="O267" s="83">
        <f>IF(L267&gt;0,N267*100/L267,0)</f>
        <v>0</v>
      </c>
      <c r="P267" s="83">
        <f>IF(M267&gt;0,N267*100/M267,0)</f>
        <v>0</v>
      </c>
      <c r="Q267" s="83">
        <f>Q270+Q273</f>
        <v>0</v>
      </c>
      <c r="R267" s="83">
        <f>R270+R273</f>
        <v>0</v>
      </c>
      <c r="S267" s="83">
        <f>S270+S273</f>
        <v>0</v>
      </c>
      <c r="T267" s="83">
        <f>IF(Q267&gt;0,S267*100/Q267,0)</f>
        <v>0</v>
      </c>
      <c r="U267" s="83">
        <f>IF(R267&gt;0,S267*100/R267,0)</f>
        <v>0</v>
      </c>
    </row>
    <row r="268" spans="1:21" ht="18.75" x14ac:dyDescent="0.25">
      <c r="A268" s="1458"/>
      <c r="B268" s="1459"/>
      <c r="C268" s="1459"/>
      <c r="D268" s="1459"/>
      <c r="E268" s="1473" t="s">
        <v>21</v>
      </c>
      <c r="F268" s="1459"/>
      <c r="G268" s="1462"/>
      <c r="H268" s="1474" t="s">
        <v>14</v>
      </c>
      <c r="I268" s="1464"/>
      <c r="J268" s="1464"/>
      <c r="K268" s="1465"/>
      <c r="L268" s="1475">
        <f ca="1">L271+L274</f>
        <v>5000</v>
      </c>
      <c r="M268" s="1476">
        <f ca="1">M271+M274</f>
        <v>5000</v>
      </c>
      <c r="N268" s="1476">
        <f ca="1">N271+N274</f>
        <v>0</v>
      </c>
      <c r="O268" s="1476">
        <f ca="1">IF(L268&gt;0,N268*100/L268,0)</f>
        <v>0</v>
      </c>
      <c r="P268" s="1476">
        <f ca="1">IF(M268&gt;0,N268*100/M268,0)</f>
        <v>0</v>
      </c>
      <c r="Q268" s="1476">
        <f ca="1">Q271+Q274</f>
        <v>50660</v>
      </c>
      <c r="R268" s="1476">
        <f ca="1">R271+R274</f>
        <v>50660</v>
      </c>
      <c r="S268" s="1476">
        <f ca="1">S271+S274</f>
        <v>45611</v>
      </c>
      <c r="T268" s="1476">
        <f ca="1">IF(Q268&gt;0,S268*100/Q268,0)</f>
        <v>90.033557046979865</v>
      </c>
      <c r="U268" s="1476">
        <f ca="1">IF(R268&gt;0,S268*100/R268,0)</f>
        <v>90.033557046979865</v>
      </c>
    </row>
    <row r="269" spans="1:21" ht="18.75" x14ac:dyDescent="0.25">
      <c r="A269" s="1458"/>
      <c r="B269" s="1459"/>
      <c r="C269" s="1459"/>
      <c r="D269" s="1477" t="s">
        <v>22</v>
      </c>
      <c r="E269" s="1459"/>
      <c r="F269" s="1459"/>
      <c r="G269" s="1462"/>
      <c r="H269" s="1478" t="s">
        <v>14</v>
      </c>
      <c r="I269" s="1479"/>
      <c r="J269" s="1479"/>
      <c r="K269" s="1480"/>
      <c r="L269" s="1475">
        <f ca="1">L270+L271</f>
        <v>5000</v>
      </c>
      <c r="M269" s="1476">
        <f ca="1">M270+M271</f>
        <v>5000</v>
      </c>
      <c r="N269" s="1476">
        <f ca="1">N270+N271</f>
        <v>0</v>
      </c>
      <c r="O269" s="1476">
        <f ca="1">IF(L269&gt;0,N269*100/L269,0)</f>
        <v>0</v>
      </c>
      <c r="P269" s="1476">
        <f ca="1">IF(M269&gt;0,N269*100/M269,0)</f>
        <v>0</v>
      </c>
      <c r="Q269" s="1476">
        <f ca="1">Q270+Q271</f>
        <v>50660</v>
      </c>
      <c r="R269" s="1476">
        <f ca="1">R270+R271</f>
        <v>50660</v>
      </c>
      <c r="S269" s="1476">
        <f ca="1">S270+S271</f>
        <v>45611</v>
      </c>
      <c r="T269" s="1476">
        <f ca="1">IF(Q269&gt;0,S269*100/Q269,0)</f>
        <v>90.033557046979865</v>
      </c>
      <c r="U269" s="1476">
        <f ca="1">IF(R269&gt;0,S269*100/R269,0)</f>
        <v>90.033557046979865</v>
      </c>
    </row>
    <row r="270" spans="1:21" ht="18.75" x14ac:dyDescent="0.25">
      <c r="A270" s="1468"/>
      <c r="B270" s="1469"/>
      <c r="C270" s="1469"/>
      <c r="D270" s="1469"/>
      <c r="E270" s="156" t="s">
        <v>36</v>
      </c>
      <c r="F270" s="1469"/>
      <c r="G270" s="1470"/>
      <c r="H270" s="159" t="s">
        <v>14</v>
      </c>
      <c r="I270" s="1481"/>
      <c r="J270" s="1481"/>
      <c r="K270" s="1482"/>
      <c r="L270" s="1358">
        <v>0</v>
      </c>
      <c r="M270" s="83">
        <v>0</v>
      </c>
      <c r="N270" s="83">
        <v>0</v>
      </c>
      <c r="O270" s="83">
        <f>IF(L270&gt;0,N270*100/L270,0)</f>
        <v>0</v>
      </c>
      <c r="P270" s="83">
        <f>IF(M270&gt;0,N270*100/M270,0)</f>
        <v>0</v>
      </c>
      <c r="Q270" s="83">
        <v>0</v>
      </c>
      <c r="R270" s="83">
        <v>0</v>
      </c>
      <c r="S270" s="83">
        <v>0</v>
      </c>
      <c r="T270" s="83">
        <f>IF(Q270&gt;0,S270*100/Q270,0)</f>
        <v>0</v>
      </c>
      <c r="U270" s="83">
        <f>IF(R270&gt;0,S270*100/R270,0)</f>
        <v>0</v>
      </c>
    </row>
    <row r="271" spans="1:21" ht="18.75" x14ac:dyDescent="0.25">
      <c r="A271" s="1458"/>
      <c r="B271" s="1459"/>
      <c r="C271" s="1459"/>
      <c r="D271" s="1459"/>
      <c r="E271" s="1473" t="s">
        <v>37</v>
      </c>
      <c r="F271" s="1459"/>
      <c r="G271" s="1462"/>
      <c r="H271" s="1478" t="s">
        <v>14</v>
      </c>
      <c r="I271" s="1479"/>
      <c r="J271" s="1479"/>
      <c r="K271" s="1480"/>
      <c r="L271" s="1475">
        <f ca="1">IFERROR(__xludf.DUMMYFUNCTION("IMPORTRANGE(""https://docs.google.com/spreadsheets/d/1-uDff_7J0KD5mKrp0Vvzr7lt3OU09vwQwhkpOPPYv2Y/edit?usp=sharing"",""งบพรบ!DE27"")"),5000)</f>
        <v>5000</v>
      </c>
      <c r="M271" s="1476">
        <f ca="1">IFERROR(__xludf.DUMMYFUNCTION("IMPORTRANGE(""https://docs.google.com/spreadsheets/d/1-uDff_7J0KD5mKrp0Vvzr7lt3OU09vwQwhkpOPPYv2Y/edit?usp=sharing"",""งบพรบ!DJ27"")"),5000)</f>
        <v>5000</v>
      </c>
      <c r="N271" s="1476">
        <f ca="1">IFERROR(__xludf.DUMMYFUNCTION("IMPORTRANGE(""https://docs.google.com/spreadsheets/d/1-uDff_7J0KD5mKrp0Vvzr7lt3OU09vwQwhkpOPPYv2Y/edit?usp=sharing"",""งบพรบ!DL27"")"),0)</f>
        <v>0</v>
      </c>
      <c r="O271" s="1476">
        <f ca="1">IF(L271&gt;0,N271*100/L271,0)</f>
        <v>0</v>
      </c>
      <c r="P271" s="1476">
        <f ca="1">IF(M271&gt;0,N271*100/M271,0)</f>
        <v>0</v>
      </c>
      <c r="Q271" s="1476">
        <f ca="1">IFERROR(__xludf.DUMMYFUNCTION("IMPORTRANGE(""https://docs.google.com/spreadsheets/d/1ItG2mGa2ceCfYo0BwxsXqNm01IGEUdYcSSLTEv9YCik/edit?usp=sharing"",""เบิกจ่ายกองทุน!AP27"")"),50660)</f>
        <v>50660</v>
      </c>
      <c r="R271" s="1476">
        <f ca="1">IFERROR(__xludf.DUMMYFUNCTION("IMPORTRANGE(""https://docs.google.com/spreadsheets/d/1ItG2mGa2ceCfYo0BwxsXqNm01IGEUdYcSSLTEv9YCik/edit?usp=sharing"",""เบิกจ่ายกองทุน!AQ27"")"),50660)</f>
        <v>50660</v>
      </c>
      <c r="S271" s="1476">
        <f ca="1">IFERROR(__xludf.DUMMYFUNCTION("IMPORTRANGE(""https://docs.google.com/spreadsheets/d/1ItG2mGa2ceCfYo0BwxsXqNm01IGEUdYcSSLTEv9YCik/edit?usp=sharing"",""เบิกจ่ายกองทุน!AR27"")"),45611)</f>
        <v>45611</v>
      </c>
      <c r="T271" s="1476">
        <f ca="1">IF(Q271&gt;0,S271*100/Q271,0)</f>
        <v>90.033557046979865</v>
      </c>
      <c r="U271" s="1476">
        <f ca="1">IF(R271&gt;0,S271*100/R271,0)</f>
        <v>90.033557046979865</v>
      </c>
    </row>
    <row r="272" spans="1:21" ht="18.75" x14ac:dyDescent="0.25">
      <c r="A272" s="1458"/>
      <c r="B272" s="1459"/>
      <c r="C272" s="1459"/>
      <c r="D272" s="1477" t="s">
        <v>23</v>
      </c>
      <c r="E272" s="1459"/>
      <c r="F272" s="1459"/>
      <c r="G272" s="1462"/>
      <c r="H272" s="1483" t="s">
        <v>14</v>
      </c>
      <c r="I272" s="1479"/>
      <c r="J272" s="1479"/>
      <c r="K272" s="1480"/>
      <c r="L272" s="1475">
        <f ca="1">L273+L274</f>
        <v>0</v>
      </c>
      <c r="M272" s="1476">
        <f ca="1">M273+M274</f>
        <v>0</v>
      </c>
      <c r="N272" s="1476">
        <f ca="1">N273+N274</f>
        <v>0</v>
      </c>
      <c r="O272" s="1476">
        <f ca="1">IF(L272&gt;0,N272*100/L272,0)</f>
        <v>0</v>
      </c>
      <c r="P272" s="1476">
        <f ca="1">IF(M272&gt;0,N272*100/M272,0)</f>
        <v>0</v>
      </c>
      <c r="Q272" s="1476">
        <f>Q273+Q274</f>
        <v>0</v>
      </c>
      <c r="R272" s="1476">
        <f>R273+R274</f>
        <v>0</v>
      </c>
      <c r="S272" s="1476">
        <f>S273+S274</f>
        <v>0</v>
      </c>
      <c r="T272" s="1476">
        <f>IF(Q272&gt;0,S272*100/Q272,0)</f>
        <v>0</v>
      </c>
      <c r="U272" s="1476">
        <f>IF(R272&gt;0,S272*100/R272,0)</f>
        <v>0</v>
      </c>
    </row>
    <row r="273" spans="1:21" ht="18.75" x14ac:dyDescent="0.25">
      <c r="A273" s="1468"/>
      <c r="B273" s="1469"/>
      <c r="C273" s="1469"/>
      <c r="D273" s="1469"/>
      <c r="E273" s="156" t="s">
        <v>20</v>
      </c>
      <c r="F273" s="1469"/>
      <c r="G273" s="1470"/>
      <c r="H273" s="159" t="s">
        <v>14</v>
      </c>
      <c r="I273" s="1481"/>
      <c r="J273" s="1481"/>
      <c r="K273" s="1482"/>
      <c r="L273" s="1358">
        <v>0</v>
      </c>
      <c r="M273" s="83">
        <v>0</v>
      </c>
      <c r="N273" s="83">
        <v>0</v>
      </c>
      <c r="O273" s="83">
        <f>IF(L273&gt;0,N273*100/L273,0)</f>
        <v>0</v>
      </c>
      <c r="P273" s="83">
        <f>IF(M273&gt;0,N273*100/M273,0)</f>
        <v>0</v>
      </c>
      <c r="Q273" s="83">
        <v>0</v>
      </c>
      <c r="R273" s="83">
        <v>0</v>
      </c>
      <c r="S273" s="83">
        <v>0</v>
      </c>
      <c r="T273" s="83">
        <f>IF(Q273&gt;0,S273*100/Q273,0)</f>
        <v>0</v>
      </c>
      <c r="U273" s="83">
        <f>IF(R273&gt;0,S273*100/R273,0)</f>
        <v>0</v>
      </c>
    </row>
    <row r="274" spans="1:21" ht="18.75" x14ac:dyDescent="0.25">
      <c r="A274" s="1458"/>
      <c r="B274" s="1459"/>
      <c r="C274" s="1459"/>
      <c r="D274" s="1459"/>
      <c r="E274" s="1473" t="s">
        <v>21</v>
      </c>
      <c r="F274" s="1459"/>
      <c r="G274" s="1462"/>
      <c r="H274" s="1483" t="s">
        <v>14</v>
      </c>
      <c r="I274" s="1479"/>
      <c r="J274" s="1479"/>
      <c r="K274" s="1480"/>
      <c r="L274" s="1475">
        <f ca="1">IFERROR(__xludf.DUMMYFUNCTION("IMPORTRANGE(""https://docs.google.com/spreadsheets/d/1-uDff_7J0KD5mKrp0Vvzr7lt3OU09vwQwhkpOPPYv2Y/edit?usp=sharing"",""งบพรบ!DH27"")"),0)</f>
        <v>0</v>
      </c>
      <c r="M274" s="1476">
        <f ca="1">IFERROR(__xludf.DUMMYFUNCTION("IMPORTRANGE(""https://docs.google.com/spreadsheets/d/1-uDff_7J0KD5mKrp0Vvzr7lt3OU09vwQwhkpOPPYv2Y/edit?usp=sharing"",""งบพรบ!DK27"")"),0)</f>
        <v>0</v>
      </c>
      <c r="N274" s="1476">
        <f ca="1">IFERROR(__xludf.DUMMYFUNCTION("IMPORTRANGE(""https://docs.google.com/spreadsheets/d/1-uDff_7J0KD5mKrp0Vvzr7lt3OU09vwQwhkpOPPYv2Y/edit?usp=sharing"",""งบพรบ!DM27"")"),0)</f>
        <v>0</v>
      </c>
      <c r="O274" s="1476">
        <f ca="1">IF(L274&gt;0,N274*100/L274,0)</f>
        <v>0</v>
      </c>
      <c r="P274" s="1476">
        <f ca="1">IF(M274&gt;0,N274*100/M274,0)</f>
        <v>0</v>
      </c>
      <c r="Q274" s="1476">
        <v>0</v>
      </c>
      <c r="R274" s="1476">
        <v>0</v>
      </c>
      <c r="S274" s="1476">
        <v>0</v>
      </c>
      <c r="T274" s="1476">
        <f>IF(Q274&gt;0,S274*100/Q274,0)</f>
        <v>0</v>
      </c>
      <c r="U274" s="1476">
        <f>IF(R274&gt;0,S274*100/R274,0)</f>
        <v>0</v>
      </c>
    </row>
    <row r="275" spans="1:21" ht="19.5" x14ac:dyDescent="0.3">
      <c r="A275" s="1484"/>
      <c r="B275" s="1485"/>
      <c r="C275" s="1473" t="s">
        <v>18</v>
      </c>
      <c r="D275" s="1486" t="s">
        <v>38</v>
      </c>
      <c r="E275" s="1451"/>
      <c r="F275" s="1451"/>
      <c r="G275" s="1452"/>
      <c r="H275" s="1487"/>
      <c r="I275" s="1479"/>
      <c r="J275" s="1479"/>
      <c r="K275" s="1480"/>
      <c r="L275" s="1488"/>
      <c r="M275" s="1480"/>
      <c r="N275" s="1480"/>
      <c r="O275" s="1480"/>
      <c r="P275" s="1480"/>
      <c r="Q275" s="1480"/>
      <c r="R275" s="1480"/>
      <c r="S275" s="1480"/>
      <c r="T275" s="1480"/>
      <c r="U275" s="1480"/>
    </row>
    <row r="276" spans="1:21" ht="18.75" x14ac:dyDescent="0.25">
      <c r="A276" s="1489"/>
      <c r="B276" s="367"/>
      <c r="C276" s="367"/>
      <c r="D276" s="1490" t="s">
        <v>115</v>
      </c>
      <c r="E276" s="366"/>
      <c r="F276" s="366"/>
      <c r="G276" s="369"/>
      <c r="H276" s="1491" t="s">
        <v>35</v>
      </c>
      <c r="I276" s="371">
        <f ca="1">IFERROR(__xludf.DUMMYFUNCTION("IMPORTRANGE(""https://docs.google.com/spreadsheets/d/1eHaY18a8A9IcSdp1K8H6x8fbOy06t2VsZHhMHf-1x7Y/edit?usp=sharing"",""แผน!EC27"")"),22)</f>
        <v>22</v>
      </c>
      <c r="J276" s="437">
        <v>22</v>
      </c>
      <c r="K276" s="372">
        <f ca="1">IF(I276&gt;0,J276*100/I276,0)</f>
        <v>100</v>
      </c>
      <c r="L276" s="1359"/>
      <c r="M276" s="45"/>
      <c r="N276" s="45"/>
      <c r="O276" s="45"/>
      <c r="P276" s="45"/>
      <c r="Q276" s="45"/>
      <c r="R276" s="45"/>
      <c r="S276" s="45"/>
      <c r="T276" s="45"/>
      <c r="U276" s="45"/>
    </row>
    <row r="277" spans="1:21" ht="18.75" x14ac:dyDescent="0.25">
      <c r="A277" s="249"/>
      <c r="B277" s="250"/>
      <c r="C277" s="250"/>
      <c r="D277" s="1492" t="s">
        <v>116</v>
      </c>
      <c r="E277" s="252"/>
      <c r="F277" s="252"/>
      <c r="G277" s="253"/>
      <c r="H277" s="1493" t="s">
        <v>35</v>
      </c>
      <c r="I277" s="426">
        <v>0</v>
      </c>
      <c r="J277" s="426">
        <v>0</v>
      </c>
      <c r="K277" s="1494">
        <v>0</v>
      </c>
      <c r="L277" s="1495"/>
      <c r="M277" s="255"/>
      <c r="N277" s="255"/>
      <c r="O277" s="255"/>
      <c r="P277" s="255"/>
      <c r="Q277" s="255"/>
      <c r="R277" s="255"/>
      <c r="S277" s="255"/>
      <c r="T277" s="255"/>
      <c r="U277" s="255"/>
    </row>
    <row r="278" spans="1:21" ht="19.5" x14ac:dyDescent="0.3">
      <c r="A278" s="256" t="s">
        <v>117</v>
      </c>
      <c r="B278" s="257"/>
      <c r="C278" s="257"/>
      <c r="D278" s="257"/>
      <c r="E278" s="258"/>
      <c r="F278" s="258"/>
      <c r="G278" s="258"/>
      <c r="H278" s="258"/>
      <c r="I278" s="259"/>
      <c r="J278" s="259"/>
      <c r="K278" s="260"/>
      <c r="L278" s="260"/>
      <c r="M278" s="260"/>
      <c r="N278" s="260"/>
      <c r="O278" s="260"/>
      <c r="P278" s="261"/>
      <c r="Q278" s="260"/>
      <c r="R278" s="260"/>
      <c r="S278" s="260"/>
      <c r="T278" s="260"/>
      <c r="U278" s="261"/>
    </row>
    <row r="279" spans="1:21" ht="19.5" x14ac:dyDescent="0.3">
      <c r="A279" s="262" t="s">
        <v>118</v>
      </c>
      <c r="B279" s="263"/>
      <c r="C279" s="264"/>
      <c r="D279" s="263"/>
      <c r="E279" s="263"/>
      <c r="F279" s="263"/>
      <c r="G279" s="263"/>
      <c r="H279" s="263"/>
      <c r="I279" s="265"/>
      <c r="J279" s="266"/>
      <c r="K279" s="267"/>
      <c r="L279" s="1496"/>
      <c r="M279" s="267"/>
      <c r="N279" s="267"/>
      <c r="O279" s="267"/>
      <c r="P279" s="267"/>
      <c r="Q279" s="267"/>
      <c r="R279" s="267"/>
      <c r="S279" s="267"/>
      <c r="T279" s="267"/>
      <c r="U279" s="267"/>
    </row>
    <row r="280" spans="1:21" ht="19.5" x14ac:dyDescent="0.3">
      <c r="A280" s="268"/>
      <c r="B280" s="269" t="s">
        <v>119</v>
      </c>
      <c r="C280" s="270"/>
      <c r="D280" s="271"/>
      <c r="E280" s="270"/>
      <c r="F280" s="270"/>
      <c r="G280" s="272"/>
      <c r="H280" s="273" t="s">
        <v>35</v>
      </c>
      <c r="I280" s="1497">
        <f ca="1">I293</f>
        <v>10</v>
      </c>
      <c r="J280" s="1497">
        <f>J293</f>
        <v>12</v>
      </c>
      <c r="K280" s="1498">
        <f ca="1">IF(I280&gt;0,J280*100/I280,0)</f>
        <v>120</v>
      </c>
      <c r="L280" s="1499"/>
      <c r="M280" s="276"/>
      <c r="N280" s="276"/>
      <c r="O280" s="276"/>
      <c r="P280" s="276"/>
      <c r="Q280" s="276"/>
      <c r="R280" s="276"/>
      <c r="S280" s="276"/>
      <c r="T280" s="276"/>
      <c r="U280" s="276"/>
    </row>
    <row r="281" spans="1:21" ht="19.5" x14ac:dyDescent="0.3">
      <c r="A281" s="268"/>
      <c r="B281" s="270"/>
      <c r="C281" s="270"/>
      <c r="D281" s="271"/>
      <c r="E281" s="270"/>
      <c r="F281" s="270"/>
      <c r="G281" s="272"/>
      <c r="H281" s="273" t="s">
        <v>46</v>
      </c>
      <c r="I281" s="1497">
        <f ca="1">I292</f>
        <v>100</v>
      </c>
      <c r="J281" s="1497">
        <f>J292</f>
        <v>100</v>
      </c>
      <c r="K281" s="1498">
        <f ca="1">IF(I281&gt;0,J281*100/I281,0)</f>
        <v>100</v>
      </c>
      <c r="L281" s="1499"/>
      <c r="M281" s="276"/>
      <c r="N281" s="276"/>
      <c r="O281" s="276"/>
      <c r="P281" s="276"/>
      <c r="Q281" s="276"/>
      <c r="R281" s="276"/>
      <c r="S281" s="276"/>
      <c r="T281" s="276"/>
      <c r="U281" s="276"/>
    </row>
    <row r="282" spans="1:21" ht="19.5" x14ac:dyDescent="0.3">
      <c r="A282" s="128"/>
      <c r="B282" s="40"/>
      <c r="C282" s="129" t="s">
        <v>18</v>
      </c>
      <c r="D282" s="1388" t="s">
        <v>19</v>
      </c>
      <c r="E282" s="40"/>
      <c r="F282" s="40"/>
      <c r="G282" s="42"/>
      <c r="H282" s="131" t="s">
        <v>14</v>
      </c>
      <c r="I282" s="44"/>
      <c r="J282" s="44"/>
      <c r="K282" s="45"/>
      <c r="L282" s="1389">
        <f ca="1">L283+L284</f>
        <v>56120</v>
      </c>
      <c r="M282" s="1390">
        <f ca="1">M283+M284</f>
        <v>56120</v>
      </c>
      <c r="N282" s="1390">
        <f ca="1">N283+N284</f>
        <v>43420</v>
      </c>
      <c r="O282" s="1390">
        <f ca="1">IF(L282&gt;0,N282*100/L282,0)</f>
        <v>77.369921596578763</v>
      </c>
      <c r="P282" s="1390">
        <f ca="1">IF(M282&gt;0,N282*100/M282,0)</f>
        <v>77.369921596578763</v>
      </c>
      <c r="Q282" s="1390">
        <f>Q283+Q284</f>
        <v>0</v>
      </c>
      <c r="R282" s="1390">
        <f>R283+R284</f>
        <v>0</v>
      </c>
      <c r="S282" s="1390">
        <f>S283+S284</f>
        <v>0</v>
      </c>
      <c r="T282" s="1390">
        <f>IF(Q282&gt;0,S282*100/Q282,0)</f>
        <v>0</v>
      </c>
      <c r="U282" s="1390">
        <f>IF(R282&gt;0,S282*100/R282,0)</f>
        <v>0</v>
      </c>
    </row>
    <row r="283" spans="1:21" ht="18.75" x14ac:dyDescent="0.25">
      <c r="A283" s="128"/>
      <c r="B283" s="40"/>
      <c r="C283" s="40"/>
      <c r="D283" s="40"/>
      <c r="E283" s="156" t="s">
        <v>20</v>
      </c>
      <c r="F283" s="40"/>
      <c r="G283" s="42"/>
      <c r="H283" s="157" t="s">
        <v>14</v>
      </c>
      <c r="I283" s="44"/>
      <c r="J283" s="44"/>
      <c r="K283" s="45"/>
      <c r="L283" s="1358">
        <f>L286+L289</f>
        <v>0</v>
      </c>
      <c r="M283" s="83">
        <f>M286+M289</f>
        <v>0</v>
      </c>
      <c r="N283" s="83">
        <f>N286+N289</f>
        <v>0</v>
      </c>
      <c r="O283" s="83">
        <f>IF(L283&gt;0,N283*100/L283,0)</f>
        <v>0</v>
      </c>
      <c r="P283" s="83">
        <f>IF(M283&gt;0,N283*100/M283,0)</f>
        <v>0</v>
      </c>
      <c r="Q283" s="83">
        <f>Q286+Q289</f>
        <v>0</v>
      </c>
      <c r="R283" s="83">
        <f>R286+R289</f>
        <v>0</v>
      </c>
      <c r="S283" s="83">
        <f>S286+S289</f>
        <v>0</v>
      </c>
      <c r="T283" s="83">
        <f>IF(Q283&gt;0,S283*100/Q283,0)</f>
        <v>0</v>
      </c>
      <c r="U283" s="83">
        <f>IF(R283&gt;0,S283*100/R283,0)</f>
        <v>0</v>
      </c>
    </row>
    <row r="284" spans="1:21" ht="18.75" x14ac:dyDescent="0.25">
      <c r="A284" s="128"/>
      <c r="B284" s="40"/>
      <c r="C284" s="40"/>
      <c r="D284" s="40"/>
      <c r="E284" s="47" t="s">
        <v>21</v>
      </c>
      <c r="F284" s="40"/>
      <c r="G284" s="42"/>
      <c r="H284" s="133" t="s">
        <v>14</v>
      </c>
      <c r="I284" s="44"/>
      <c r="J284" s="44"/>
      <c r="K284" s="45"/>
      <c r="L284" s="1356">
        <f ca="1">L287+L290</f>
        <v>56120</v>
      </c>
      <c r="M284" s="224">
        <f ca="1">M287+M290</f>
        <v>56120</v>
      </c>
      <c r="N284" s="224">
        <f ca="1">N287+N290</f>
        <v>43420</v>
      </c>
      <c r="O284" s="224">
        <f ca="1">IF(L284&gt;0,N284*100/L284,0)</f>
        <v>77.369921596578763</v>
      </c>
      <c r="P284" s="224">
        <f ca="1">IF(M284&gt;0,N284*100/M284,0)</f>
        <v>77.369921596578763</v>
      </c>
      <c r="Q284" s="224">
        <f>Q287+Q290</f>
        <v>0</v>
      </c>
      <c r="R284" s="224">
        <f>R287+R290</f>
        <v>0</v>
      </c>
      <c r="S284" s="224">
        <f>S287+S290</f>
        <v>0</v>
      </c>
      <c r="T284" s="224">
        <f>IF(Q284&gt;0,S284*100/Q284,0)</f>
        <v>0</v>
      </c>
      <c r="U284" s="224">
        <f>IF(R284&gt;0,S284*100/R284,0)</f>
        <v>0</v>
      </c>
    </row>
    <row r="285" spans="1:21" ht="18.75" x14ac:dyDescent="0.25">
      <c r="A285" s="128"/>
      <c r="B285" s="40"/>
      <c r="C285" s="40"/>
      <c r="D285" s="41" t="s">
        <v>22</v>
      </c>
      <c r="E285" s="40"/>
      <c r="F285" s="40"/>
      <c r="G285" s="42"/>
      <c r="H285" s="134" t="s">
        <v>14</v>
      </c>
      <c r="I285" s="135"/>
      <c r="J285" s="135"/>
      <c r="K285" s="136"/>
      <c r="L285" s="1356">
        <f ca="1">L286+L287</f>
        <v>56120</v>
      </c>
      <c r="M285" s="224">
        <f ca="1">M286+M287</f>
        <v>56120</v>
      </c>
      <c r="N285" s="224">
        <f ca="1">N286+N287</f>
        <v>43420</v>
      </c>
      <c r="O285" s="224">
        <f ca="1">IF(L285&gt;0,N285*100/L285,0)</f>
        <v>77.369921596578763</v>
      </c>
      <c r="P285" s="224">
        <f ca="1">IF(M285&gt;0,N285*100/M285,0)</f>
        <v>77.369921596578763</v>
      </c>
      <c r="Q285" s="224">
        <f>Q286+Q287</f>
        <v>0</v>
      </c>
      <c r="R285" s="224">
        <f>R286+R287</f>
        <v>0</v>
      </c>
      <c r="S285" s="224">
        <f>S286+S287</f>
        <v>0</v>
      </c>
      <c r="T285" s="224">
        <f>IF(Q285&gt;0,S285*100/Q285,0)</f>
        <v>0</v>
      </c>
      <c r="U285" s="224">
        <f>IF(R285&gt;0,S285*100/R285,0)</f>
        <v>0</v>
      </c>
    </row>
    <row r="286" spans="1:21" ht="18.75" x14ac:dyDescent="0.25">
      <c r="A286" s="128"/>
      <c r="B286" s="40"/>
      <c r="C286" s="40"/>
      <c r="D286" s="40"/>
      <c r="E286" s="156" t="s">
        <v>36</v>
      </c>
      <c r="F286" s="40"/>
      <c r="G286" s="42"/>
      <c r="H286" s="159" t="s">
        <v>14</v>
      </c>
      <c r="I286" s="135"/>
      <c r="J286" s="135"/>
      <c r="K286" s="136"/>
      <c r="L286" s="1358">
        <v>0</v>
      </c>
      <c r="M286" s="83">
        <v>0</v>
      </c>
      <c r="N286" s="83">
        <v>0</v>
      </c>
      <c r="O286" s="83">
        <f>IF(L286&gt;0,N286*100/L286,0)</f>
        <v>0</v>
      </c>
      <c r="P286" s="83">
        <f>IF(M286&gt;0,N286*100/M286,0)</f>
        <v>0</v>
      </c>
      <c r="Q286" s="83">
        <v>0</v>
      </c>
      <c r="R286" s="83">
        <v>0</v>
      </c>
      <c r="S286" s="83">
        <v>0</v>
      </c>
      <c r="T286" s="83">
        <f>IF(Q286&gt;0,S286*100/Q286,0)</f>
        <v>0</v>
      </c>
      <c r="U286" s="83">
        <f>IF(R286&gt;0,S286*100/R286,0)</f>
        <v>0</v>
      </c>
    </row>
    <row r="287" spans="1:21" ht="18.75" x14ac:dyDescent="0.25">
      <c r="A287" s="128"/>
      <c r="B287" s="40"/>
      <c r="C287" s="40"/>
      <c r="D287" s="40"/>
      <c r="E287" s="47" t="s">
        <v>37</v>
      </c>
      <c r="F287" s="40"/>
      <c r="G287" s="42"/>
      <c r="H287" s="134" t="s">
        <v>14</v>
      </c>
      <c r="I287" s="135"/>
      <c r="J287" s="135"/>
      <c r="K287" s="136"/>
      <c r="L287" s="1356">
        <f ca="1">IFERROR(__xludf.DUMMYFUNCTION("IMPORTRANGE(""https://docs.google.com/spreadsheets/d/1-uDff_7J0KD5mKrp0Vvzr7lt3OU09vwQwhkpOPPYv2Y/edit?usp=sharing"",""งบพรบ!DO27"")"),56120)</f>
        <v>56120</v>
      </c>
      <c r="M287" s="224">
        <f ca="1">IFERROR(__xludf.DUMMYFUNCTION("IMPORTRANGE(""https://docs.google.com/spreadsheets/d/1-uDff_7J0KD5mKrp0Vvzr7lt3OU09vwQwhkpOPPYv2Y/edit?usp=sharing"",""งบพรบ!DT27"")"),56120)</f>
        <v>56120</v>
      </c>
      <c r="N287" s="224">
        <f ca="1">IFERROR(__xludf.DUMMYFUNCTION("IMPORTRANGE(""https://docs.google.com/spreadsheets/d/1-uDff_7J0KD5mKrp0Vvzr7lt3OU09vwQwhkpOPPYv2Y/edit?usp=sharing"",""งบพรบ!DV27"")"),43420)</f>
        <v>43420</v>
      </c>
      <c r="O287" s="224">
        <f ca="1">IF(L287&gt;0,N287*100/L287,0)</f>
        <v>77.369921596578763</v>
      </c>
      <c r="P287" s="224">
        <f ca="1">IF(M287&gt;0,N287*100/M287,0)</f>
        <v>77.369921596578763</v>
      </c>
      <c r="Q287" s="224">
        <v>0</v>
      </c>
      <c r="R287" s="224">
        <v>0</v>
      </c>
      <c r="S287" s="224">
        <v>0</v>
      </c>
      <c r="T287" s="83">
        <f>IF(Q287&gt;0,S287*100/Q287,0)</f>
        <v>0</v>
      </c>
      <c r="U287" s="83">
        <f>IF(R287&gt;0,S287*100/R287,0)</f>
        <v>0</v>
      </c>
    </row>
    <row r="288" spans="1:21" ht="18.75" x14ac:dyDescent="0.25">
      <c r="A288" s="128"/>
      <c r="B288" s="40"/>
      <c r="C288" s="40"/>
      <c r="D288" s="41" t="s">
        <v>23</v>
      </c>
      <c r="E288" s="40"/>
      <c r="F288" s="40"/>
      <c r="G288" s="42"/>
      <c r="H288" s="137" t="s">
        <v>14</v>
      </c>
      <c r="I288" s="135"/>
      <c r="J288" s="135"/>
      <c r="K288" s="136"/>
      <c r="L288" s="1356">
        <f ca="1">L289+L290</f>
        <v>0</v>
      </c>
      <c r="M288" s="224">
        <f ca="1">M289+M290</f>
        <v>0</v>
      </c>
      <c r="N288" s="224">
        <f ca="1">N289+N290</f>
        <v>0</v>
      </c>
      <c r="O288" s="224">
        <f ca="1">IF(L288&gt;0,N288*100/L288,0)</f>
        <v>0</v>
      </c>
      <c r="P288" s="224">
        <f ca="1">IF(M288&gt;0,N288*100/M288,0)</f>
        <v>0</v>
      </c>
      <c r="Q288" s="224">
        <f>Q289+Q290</f>
        <v>0</v>
      </c>
      <c r="R288" s="224">
        <f>R289+R290</f>
        <v>0</v>
      </c>
      <c r="S288" s="224">
        <f>S289+S290</f>
        <v>0</v>
      </c>
      <c r="T288" s="224">
        <f>IF(Q288&gt;0,S288*100/Q288,0)</f>
        <v>0</v>
      </c>
      <c r="U288" s="224">
        <f>IF(R288&gt;0,S288*100/R288,0)</f>
        <v>0</v>
      </c>
    </row>
    <row r="289" spans="1:21" ht="18.75" x14ac:dyDescent="0.25">
      <c r="A289" s="128"/>
      <c r="B289" s="40"/>
      <c r="C289" s="40"/>
      <c r="D289" s="40"/>
      <c r="E289" s="156" t="s">
        <v>20</v>
      </c>
      <c r="F289" s="40"/>
      <c r="G289" s="42"/>
      <c r="H289" s="159" t="s">
        <v>14</v>
      </c>
      <c r="I289" s="135"/>
      <c r="J289" s="135"/>
      <c r="K289" s="136"/>
      <c r="L289" s="1358">
        <v>0</v>
      </c>
      <c r="M289" s="83">
        <v>0</v>
      </c>
      <c r="N289" s="83">
        <v>0</v>
      </c>
      <c r="O289" s="83">
        <f>IF(L289&gt;0,N289*100/L289,0)</f>
        <v>0</v>
      </c>
      <c r="P289" s="83">
        <f>IF(M289&gt;0,N289*100/M289,0)</f>
        <v>0</v>
      </c>
      <c r="Q289" s="83">
        <v>0</v>
      </c>
      <c r="R289" s="83">
        <v>0</v>
      </c>
      <c r="S289" s="83">
        <v>0</v>
      </c>
      <c r="T289" s="83">
        <f>IF(Q289&gt;0,S289*100/Q289,0)</f>
        <v>0</v>
      </c>
      <c r="U289" s="83">
        <f>IF(R289&gt;0,S289*100/R289,0)</f>
        <v>0</v>
      </c>
    </row>
    <row r="290" spans="1:21" ht="18.75" x14ac:dyDescent="0.25">
      <c r="A290" s="128"/>
      <c r="B290" s="40"/>
      <c r="C290" s="40"/>
      <c r="D290" s="40"/>
      <c r="E290" s="47" t="s">
        <v>21</v>
      </c>
      <c r="F290" s="40"/>
      <c r="G290" s="42"/>
      <c r="H290" s="137" t="s">
        <v>14</v>
      </c>
      <c r="I290" s="135"/>
      <c r="J290" s="135"/>
      <c r="K290" s="136"/>
      <c r="L290" s="1356">
        <f ca="1">IFERROR(__xludf.DUMMYFUNCTION("IMPORTRANGE(""https://docs.google.com/spreadsheets/d/1-uDff_7J0KD5mKrp0Vvzr7lt3OU09vwQwhkpOPPYv2Y/edit?usp=sharing"",""งบพรบ!DR27"")"),0)</f>
        <v>0</v>
      </c>
      <c r="M290" s="224">
        <f ca="1">IFERROR(__xludf.DUMMYFUNCTION("IMPORTRANGE(""https://docs.google.com/spreadsheets/d/1-uDff_7J0KD5mKrp0Vvzr7lt3OU09vwQwhkpOPPYv2Y/edit?usp=sharing"",""งบพรบ!DU27"")"),0)</f>
        <v>0</v>
      </c>
      <c r="N290" s="224">
        <f ca="1">IFERROR(__xludf.DUMMYFUNCTION("IMPORTRANGE(""https://docs.google.com/spreadsheets/d/1-uDff_7J0KD5mKrp0Vvzr7lt3OU09vwQwhkpOPPYv2Y/edit?usp=sharing"",""งบพรบ!DW27"")"),0)</f>
        <v>0</v>
      </c>
      <c r="O290" s="224">
        <f ca="1">IF(L290&gt;0,N290*100/L290,0)</f>
        <v>0</v>
      </c>
      <c r="P290" s="224">
        <f ca="1">IF(M290&gt;0,N290*100/M290,0)</f>
        <v>0</v>
      </c>
      <c r="Q290" s="224">
        <v>0</v>
      </c>
      <c r="R290" s="224">
        <v>0</v>
      </c>
      <c r="S290" s="224">
        <v>0</v>
      </c>
      <c r="T290" s="224">
        <f>IF(Q290&gt;0,S290*100/Q290,0)</f>
        <v>0</v>
      </c>
      <c r="U290" s="224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1391" t="s">
        <v>38</v>
      </c>
      <c r="E291" s="141"/>
      <c r="F291" s="141"/>
      <c r="G291" s="142"/>
      <c r="H291" s="143"/>
      <c r="I291" s="135"/>
      <c r="J291" s="135"/>
      <c r="K291" s="136"/>
      <c r="L291" s="1392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3" t="s">
        <v>46</v>
      </c>
      <c r="I292" s="184">
        <f ca="1">IFERROR(__xludf.DUMMYFUNCTION("IMPORTRANGE(""https://docs.google.com/spreadsheets/d/1eHaY18a8A9IcSdp1K8H6x8fbOy06t2VsZHhMHf-1x7Y/edit?usp=sharing"",""แผน!EE27"")"),100)</f>
        <v>100</v>
      </c>
      <c r="J292" s="1395">
        <v>100</v>
      </c>
      <c r="K292" s="1396">
        <f ca="1">IF(I292&gt;0,J292*100/I292,0)</f>
        <v>100</v>
      </c>
      <c r="L292" s="1392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328">
        <f ca="1">IFERROR(__xludf.DUMMYFUNCTION("IMPORTRANGE(""https://docs.google.com/spreadsheets/d/1eHaY18a8A9IcSdp1K8H6x8fbOy06t2VsZHhMHf-1x7Y/edit?usp=sharing"",""แผน!ED27"")"),10)</f>
        <v>10</v>
      </c>
      <c r="J293" s="328">
        <f>J296</f>
        <v>12</v>
      </c>
      <c r="K293" s="1393">
        <f ca="1">IF(I293&gt;0,J293*100/I293,0)</f>
        <v>120</v>
      </c>
      <c r="L293" s="1392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4" t="s">
        <v>122</v>
      </c>
      <c r="F294" s="145"/>
      <c r="G294" s="143"/>
      <c r="H294" s="143"/>
      <c r="I294" s="135"/>
      <c r="J294" s="44"/>
      <c r="K294" s="136"/>
      <c r="L294" s="1392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394">
        <f ca="1">IFERROR(__xludf.DUMMYFUNCTION("IMPORTRANGE(""https://docs.google.com/spreadsheets/d/1eHaY18a8A9IcSdp1K8H6x8fbOy06t2VsZHhMHf-1x7Y/edit?usp=sharing"",""แผน!ED27"")"),10)</f>
        <v>10</v>
      </c>
      <c r="J295" s="1395">
        <v>12</v>
      </c>
      <c r="K295" s="1396">
        <f ca="1">IF(I295&gt;0,J295*100/I295,0)</f>
        <v>120</v>
      </c>
      <c r="L295" s="1392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394">
        <f ca="1">IFERROR(__xludf.DUMMYFUNCTION("IMPORTRANGE(""https://docs.google.com/spreadsheets/d/1eHaY18a8A9IcSdp1K8H6x8fbOy06t2VsZHhMHf-1x7Y/edit?usp=sharing"",""แผน!ED27"")"),10)</f>
        <v>10</v>
      </c>
      <c r="J296" s="1395">
        <v>12</v>
      </c>
      <c r="K296" s="1396">
        <f ca="1">IF(I296&gt;0,J296*100/I296,0)</f>
        <v>120</v>
      </c>
      <c r="L296" s="1392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2"/>
      <c r="B297" s="163"/>
      <c r="C297" s="163"/>
      <c r="D297" s="18"/>
      <c r="E297" s="18"/>
      <c r="F297" s="18"/>
      <c r="G297" s="19"/>
      <c r="H297" s="19"/>
      <c r="I297" s="20"/>
      <c r="J297" s="20"/>
      <c r="K297" s="21"/>
      <c r="L297" s="1346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12.75" x14ac:dyDescent="0.2">
      <c r="A298" s="162"/>
      <c r="B298" s="163"/>
      <c r="C298" s="163"/>
      <c r="D298" s="18"/>
      <c r="E298" s="18"/>
      <c r="F298" s="18"/>
      <c r="G298" s="19"/>
      <c r="H298" s="19"/>
      <c r="I298" s="20"/>
      <c r="J298" s="20"/>
      <c r="K298" s="21"/>
      <c r="L298" s="1346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1:21" ht="12.75" x14ac:dyDescent="0.2">
      <c r="A299" s="277"/>
      <c r="B299" s="278"/>
      <c r="C299" s="278"/>
      <c r="D299" s="22"/>
      <c r="E299" s="22"/>
      <c r="F299" s="22"/>
      <c r="G299" s="14"/>
      <c r="H299" s="14"/>
      <c r="I299" s="15"/>
      <c r="J299" s="15"/>
      <c r="K299" s="16"/>
      <c r="L299" s="1345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 ht="19.5" x14ac:dyDescent="0.3">
      <c r="A300" s="279" t="s">
        <v>125</v>
      </c>
      <c r="B300" s="280"/>
      <c r="C300" s="280"/>
      <c r="D300" s="280"/>
      <c r="E300" s="281"/>
      <c r="F300" s="281"/>
      <c r="G300" s="281"/>
      <c r="H300" s="281"/>
      <c r="I300" s="282"/>
      <c r="J300" s="282"/>
      <c r="K300" s="283"/>
      <c r="L300" s="283"/>
      <c r="M300" s="283"/>
      <c r="N300" s="283"/>
      <c r="O300" s="283"/>
      <c r="P300" s="284"/>
      <c r="Q300" s="283"/>
      <c r="R300" s="283"/>
      <c r="S300" s="283"/>
      <c r="T300" s="283"/>
      <c r="U300" s="284"/>
    </row>
    <row r="301" spans="1:21" ht="19.5" x14ac:dyDescent="0.3">
      <c r="A301" s="285" t="s">
        <v>126</v>
      </c>
      <c r="B301" s="286"/>
      <c r="C301" s="286"/>
      <c r="D301" s="287"/>
      <c r="E301" s="287"/>
      <c r="F301" s="287"/>
      <c r="G301" s="288"/>
      <c r="H301" s="288"/>
      <c r="I301" s="289"/>
      <c r="J301" s="289"/>
      <c r="K301" s="290"/>
      <c r="L301" s="1500"/>
      <c r="M301" s="290"/>
      <c r="N301" s="290"/>
      <c r="O301" s="290"/>
      <c r="P301" s="290"/>
      <c r="Q301" s="290"/>
      <c r="R301" s="290"/>
      <c r="S301" s="290"/>
      <c r="T301" s="290"/>
      <c r="U301" s="290"/>
    </row>
    <row r="302" spans="1:21" ht="19.5" x14ac:dyDescent="0.3">
      <c r="A302" s="291"/>
      <c r="B302" s="292" t="s">
        <v>127</v>
      </c>
      <c r="C302" s="293"/>
      <c r="D302" s="293"/>
      <c r="E302" s="293"/>
      <c r="F302" s="293"/>
      <c r="G302" s="294"/>
      <c r="H302" s="295" t="s">
        <v>35</v>
      </c>
      <c r="I302" s="1501">
        <f ca="1">I314</f>
        <v>25</v>
      </c>
      <c r="J302" s="1501">
        <f>J314</f>
        <v>0</v>
      </c>
      <c r="K302" s="1502">
        <f ca="1">IF(I302&gt;0,J302*100/I302,0)</f>
        <v>0</v>
      </c>
      <c r="L302" s="1503"/>
      <c r="M302" s="298"/>
      <c r="N302" s="298"/>
      <c r="O302" s="298"/>
      <c r="P302" s="298"/>
      <c r="Q302" s="298"/>
      <c r="R302" s="298"/>
      <c r="S302" s="298"/>
      <c r="T302" s="298"/>
      <c r="U302" s="298"/>
    </row>
    <row r="303" spans="1:21" ht="19.5" x14ac:dyDescent="0.3">
      <c r="A303" s="128"/>
      <c r="B303" s="40"/>
      <c r="C303" s="129" t="s">
        <v>18</v>
      </c>
      <c r="D303" s="1388" t="s">
        <v>19</v>
      </c>
      <c r="E303" s="40"/>
      <c r="F303" s="40"/>
      <c r="G303" s="42"/>
      <c r="H303" s="131" t="s">
        <v>14</v>
      </c>
      <c r="I303" s="44"/>
      <c r="J303" s="44"/>
      <c r="K303" s="45"/>
      <c r="L303" s="1389">
        <f ca="1">L304+L305</f>
        <v>0</v>
      </c>
      <c r="M303" s="1390">
        <f ca="1">M304+M305</f>
        <v>0</v>
      </c>
      <c r="N303" s="1390">
        <f ca="1">N304+N305</f>
        <v>0</v>
      </c>
      <c r="O303" s="1390">
        <f ca="1">IF(L303&gt;0,N303*100/L303,0)</f>
        <v>0</v>
      </c>
      <c r="P303" s="1390">
        <f ca="1">IF(M303&gt;0,N303*100/M303,0)</f>
        <v>0</v>
      </c>
      <c r="Q303" s="1390">
        <f ca="1">Q304+Q305</f>
        <v>228095.39</v>
      </c>
      <c r="R303" s="1390">
        <f ca="1">R304+R305</f>
        <v>228095</v>
      </c>
      <c r="S303" s="1390">
        <f ca="1">S304+S305</f>
        <v>26970</v>
      </c>
      <c r="T303" s="1390">
        <f ca="1">IF(Q303&gt;0,S303*100/Q303,0)</f>
        <v>11.824000476291957</v>
      </c>
      <c r="U303" s="1390">
        <f ca="1">IF(R303&gt;0,S303*100/R303,0)</f>
        <v>11.824020693132248</v>
      </c>
    </row>
    <row r="304" spans="1:21" ht="18.75" x14ac:dyDescent="0.25">
      <c r="A304" s="128"/>
      <c r="B304" s="40"/>
      <c r="C304" s="40"/>
      <c r="D304" s="40"/>
      <c r="E304" s="156" t="s">
        <v>20</v>
      </c>
      <c r="F304" s="40"/>
      <c r="G304" s="42"/>
      <c r="H304" s="157" t="s">
        <v>14</v>
      </c>
      <c r="I304" s="44"/>
      <c r="J304" s="44"/>
      <c r="K304" s="45"/>
      <c r="L304" s="1358">
        <f>L307+L310</f>
        <v>0</v>
      </c>
      <c r="M304" s="83">
        <f>M307+M310</f>
        <v>0</v>
      </c>
      <c r="N304" s="83">
        <f>N307+N310</f>
        <v>0</v>
      </c>
      <c r="O304" s="83">
        <f>IF(L304&gt;0,N304*100/L304,0)</f>
        <v>0</v>
      </c>
      <c r="P304" s="83">
        <f>IF(M304&gt;0,N304*100/M304,0)</f>
        <v>0</v>
      </c>
      <c r="Q304" s="83">
        <f>Q307+Q310</f>
        <v>0</v>
      </c>
      <c r="R304" s="83">
        <f>R307+R310</f>
        <v>0</v>
      </c>
      <c r="S304" s="83">
        <f>S307+S310</f>
        <v>0</v>
      </c>
      <c r="T304" s="83">
        <f>IF(Q304&gt;0,S304*100/Q304,0)</f>
        <v>0</v>
      </c>
      <c r="U304" s="83">
        <f>IF(R304&gt;0,S304*100/R304,0)</f>
        <v>0</v>
      </c>
    </row>
    <row r="305" spans="1:21" ht="18.75" x14ac:dyDescent="0.25">
      <c r="A305" s="128"/>
      <c r="B305" s="40"/>
      <c r="C305" s="40"/>
      <c r="D305" s="40"/>
      <c r="E305" s="47" t="s">
        <v>21</v>
      </c>
      <c r="F305" s="40"/>
      <c r="G305" s="42"/>
      <c r="H305" s="133" t="s">
        <v>14</v>
      </c>
      <c r="I305" s="44"/>
      <c r="J305" s="44"/>
      <c r="K305" s="45"/>
      <c r="L305" s="1356">
        <f ca="1">L308+L311</f>
        <v>0</v>
      </c>
      <c r="M305" s="224">
        <f ca="1">M308+M311</f>
        <v>0</v>
      </c>
      <c r="N305" s="224">
        <f ca="1">N308+N311</f>
        <v>0</v>
      </c>
      <c r="O305" s="224">
        <f ca="1">IF(L305&gt;0,N305*100/L305,0)</f>
        <v>0</v>
      </c>
      <c r="P305" s="224">
        <f ca="1">IF(M305&gt;0,N305*100/M305,0)</f>
        <v>0</v>
      </c>
      <c r="Q305" s="224">
        <f ca="1">Q308+Q311</f>
        <v>228095.39</v>
      </c>
      <c r="R305" s="224">
        <f ca="1">R308+R311</f>
        <v>228095</v>
      </c>
      <c r="S305" s="224">
        <f ca="1">S308+S311</f>
        <v>26970</v>
      </c>
      <c r="T305" s="224">
        <f ca="1">IF(Q305&gt;0,S305*100/Q305,0)</f>
        <v>11.824000476291957</v>
      </c>
      <c r="U305" s="224">
        <f ca="1">IF(R305&gt;0,S305*100/R305,0)</f>
        <v>11.824020693132248</v>
      </c>
    </row>
    <row r="306" spans="1:21" ht="18.75" x14ac:dyDescent="0.25">
      <c r="A306" s="128"/>
      <c r="B306" s="40"/>
      <c r="C306" s="40"/>
      <c r="D306" s="41" t="s">
        <v>22</v>
      </c>
      <c r="E306" s="40"/>
      <c r="F306" s="40"/>
      <c r="G306" s="42"/>
      <c r="H306" s="134" t="s">
        <v>14</v>
      </c>
      <c r="I306" s="135"/>
      <c r="J306" s="135"/>
      <c r="K306" s="136"/>
      <c r="L306" s="1356">
        <f ca="1">L307+L308</f>
        <v>0</v>
      </c>
      <c r="M306" s="224">
        <f ca="1">M307+M308</f>
        <v>0</v>
      </c>
      <c r="N306" s="224">
        <f ca="1">N307+N308</f>
        <v>0</v>
      </c>
      <c r="O306" s="224">
        <f ca="1">IF(L306&gt;0,N306*100/L306,0)</f>
        <v>0</v>
      </c>
      <c r="P306" s="224">
        <f ca="1">IF(M306&gt;0,N306*100/M306,0)</f>
        <v>0</v>
      </c>
      <c r="Q306" s="224">
        <f ca="1">Q307+Q308</f>
        <v>228095.39</v>
      </c>
      <c r="R306" s="224">
        <f ca="1">R307+R308</f>
        <v>228095</v>
      </c>
      <c r="S306" s="224">
        <f ca="1">S307+S308</f>
        <v>26970</v>
      </c>
      <c r="T306" s="224">
        <f ca="1">IF(Q306&gt;0,S306*100/Q306,0)</f>
        <v>11.824000476291957</v>
      </c>
      <c r="U306" s="224">
        <f ca="1">IF(R306&gt;0,S306*100/R306,0)</f>
        <v>11.824020693132248</v>
      </c>
    </row>
    <row r="307" spans="1:21" ht="18.75" x14ac:dyDescent="0.25">
      <c r="A307" s="128"/>
      <c r="B307" s="40"/>
      <c r="C307" s="40"/>
      <c r="D307" s="40"/>
      <c r="E307" s="156" t="s">
        <v>36</v>
      </c>
      <c r="F307" s="40"/>
      <c r="G307" s="42"/>
      <c r="H307" s="159" t="s">
        <v>14</v>
      </c>
      <c r="I307" s="135"/>
      <c r="J307" s="135"/>
      <c r="K307" s="136"/>
      <c r="L307" s="1358">
        <v>0</v>
      </c>
      <c r="M307" s="83">
        <v>0</v>
      </c>
      <c r="N307" s="83">
        <v>0</v>
      </c>
      <c r="O307" s="83">
        <f>IF(L307&gt;0,N307*100/L307,0)</f>
        <v>0</v>
      </c>
      <c r="P307" s="83">
        <f>IF(M307&gt;0,N307*100/M307,0)</f>
        <v>0</v>
      </c>
      <c r="Q307" s="83">
        <v>0</v>
      </c>
      <c r="R307" s="83">
        <v>0</v>
      </c>
      <c r="S307" s="83">
        <v>0</v>
      </c>
      <c r="T307" s="83">
        <f>IF(Q307&gt;0,S307*100/Q307,0)</f>
        <v>0</v>
      </c>
      <c r="U307" s="83">
        <f>IF(R307&gt;0,S307*100/R307,0)</f>
        <v>0</v>
      </c>
    </row>
    <row r="308" spans="1:21" ht="18.75" x14ac:dyDescent="0.25">
      <c r="A308" s="128"/>
      <c r="B308" s="40"/>
      <c r="C308" s="40"/>
      <c r="D308" s="40"/>
      <c r="E308" s="47" t="s">
        <v>37</v>
      </c>
      <c r="F308" s="40"/>
      <c r="G308" s="42"/>
      <c r="H308" s="134" t="s">
        <v>14</v>
      </c>
      <c r="I308" s="135"/>
      <c r="J308" s="135"/>
      <c r="K308" s="136"/>
      <c r="L308" s="1356">
        <f ca="1">IFERROR(__xludf.DUMMYFUNCTION("IMPORTRANGE(""https://docs.google.com/spreadsheets/d/1-uDff_7J0KD5mKrp0Vvzr7lt3OU09vwQwhkpOPPYv2Y/edit?usp=sharing"",""งบพรบ!DY27"")"),0)</f>
        <v>0</v>
      </c>
      <c r="M308" s="224">
        <f ca="1">IFERROR(__xludf.DUMMYFUNCTION("IMPORTRANGE(""https://docs.google.com/spreadsheets/d/1-uDff_7J0KD5mKrp0Vvzr7lt3OU09vwQwhkpOPPYv2Y/edit?usp=sharing"",""งบพรบ!ED27"")"),0)</f>
        <v>0</v>
      </c>
      <c r="N308" s="224">
        <f ca="1">IFERROR(__xludf.DUMMYFUNCTION("IMPORTRANGE(""https://docs.google.com/spreadsheets/d/1-uDff_7J0KD5mKrp0Vvzr7lt3OU09vwQwhkpOPPYv2Y/edit?usp=sharing"",""งบพรบ!EF27"")"),0)</f>
        <v>0</v>
      </c>
      <c r="O308" s="224">
        <f ca="1">IF(L308&gt;0,N308*100/L308,0)</f>
        <v>0</v>
      </c>
      <c r="P308" s="224">
        <f ca="1">IF(M308&gt;0,N308*100/M308,0)</f>
        <v>0</v>
      </c>
      <c r="Q308" s="224">
        <f ca="1">IFERROR(__xludf.DUMMYFUNCTION("IMPORTRANGE(""https://docs.google.com/spreadsheets/d/1ItG2mGa2ceCfYo0BwxsXqNm01IGEUdYcSSLTEv9YCik/edit?usp=sharing"",""เบิกจ่ายกองทุน!BB27"")"),228095.39)</f>
        <v>228095.39</v>
      </c>
      <c r="R308" s="224">
        <f ca="1">IFERROR(__xludf.DUMMYFUNCTION("IMPORTRANGE(""https://docs.google.com/spreadsheets/d/1ItG2mGa2ceCfYo0BwxsXqNm01IGEUdYcSSLTEv9YCik/edit?usp=sharing"",""เบิกจ่ายกองทุน!BC27"")"),228095)</f>
        <v>228095</v>
      </c>
      <c r="S308" s="224">
        <f ca="1">IFERROR(__xludf.DUMMYFUNCTION("IMPORTRANGE(""https://docs.google.com/spreadsheets/d/1ItG2mGa2ceCfYo0BwxsXqNm01IGEUdYcSSLTEv9YCik/edit?usp=sharing"",""เบิกจ่ายกองทุน!BD27"")"),26970)</f>
        <v>26970</v>
      </c>
      <c r="T308" s="224">
        <f ca="1">IF(Q308&gt;0,S308*100/Q308,0)</f>
        <v>11.824000476291957</v>
      </c>
      <c r="U308" s="224">
        <f ca="1">IF(R308&gt;0,S308*100/R308,0)</f>
        <v>11.824020693132248</v>
      </c>
    </row>
    <row r="309" spans="1:21" ht="18.75" x14ac:dyDescent="0.25">
      <c r="A309" s="128"/>
      <c r="B309" s="40"/>
      <c r="C309" s="40"/>
      <c r="D309" s="41" t="s">
        <v>23</v>
      </c>
      <c r="E309" s="40"/>
      <c r="F309" s="40"/>
      <c r="G309" s="42"/>
      <c r="H309" s="137" t="s">
        <v>14</v>
      </c>
      <c r="I309" s="135"/>
      <c r="J309" s="135"/>
      <c r="K309" s="136"/>
      <c r="L309" s="1356">
        <f ca="1">L310+L311</f>
        <v>0</v>
      </c>
      <c r="M309" s="224">
        <f ca="1">M310+M311</f>
        <v>0</v>
      </c>
      <c r="N309" s="224">
        <f ca="1">N310+N311</f>
        <v>0</v>
      </c>
      <c r="O309" s="224">
        <f ca="1">IF(L309&gt;0,N309*100/L309,0)</f>
        <v>0</v>
      </c>
      <c r="P309" s="224">
        <f ca="1">IF(M309&gt;0,N309*100/M309,0)</f>
        <v>0</v>
      </c>
      <c r="Q309" s="224">
        <f>Q310+Q311</f>
        <v>0</v>
      </c>
      <c r="R309" s="224">
        <f>R310+R311</f>
        <v>0</v>
      </c>
      <c r="S309" s="224">
        <f>S310+S311</f>
        <v>0</v>
      </c>
      <c r="T309" s="224">
        <f>IF(Q309&gt;0,S309*100/Q309,0)</f>
        <v>0</v>
      </c>
      <c r="U309" s="224">
        <f>IF(R309&gt;0,S309*100/R309,0)</f>
        <v>0</v>
      </c>
    </row>
    <row r="310" spans="1:21" ht="18.75" x14ac:dyDescent="0.25">
      <c r="A310" s="128"/>
      <c r="B310" s="40"/>
      <c r="C310" s="40"/>
      <c r="D310" s="40"/>
      <c r="E310" s="156" t="s">
        <v>20</v>
      </c>
      <c r="F310" s="40"/>
      <c r="G310" s="42"/>
      <c r="H310" s="159" t="s">
        <v>14</v>
      </c>
      <c r="I310" s="135"/>
      <c r="J310" s="135"/>
      <c r="K310" s="136"/>
      <c r="L310" s="1358">
        <v>0</v>
      </c>
      <c r="M310" s="83">
        <v>0</v>
      </c>
      <c r="N310" s="83">
        <v>0</v>
      </c>
      <c r="O310" s="83">
        <f>IF(L310&gt;0,N310*100/L310,0)</f>
        <v>0</v>
      </c>
      <c r="P310" s="83">
        <f>IF(M310&gt;0,N310*100/M310,0)</f>
        <v>0</v>
      </c>
      <c r="Q310" s="83">
        <v>0</v>
      </c>
      <c r="R310" s="83">
        <v>0</v>
      </c>
      <c r="S310" s="83">
        <v>0</v>
      </c>
      <c r="T310" s="83">
        <f>IF(Q310&gt;0,S310*100/Q310,0)</f>
        <v>0</v>
      </c>
      <c r="U310" s="83">
        <f>IF(R310&gt;0,S310*100/R310,0)</f>
        <v>0</v>
      </c>
    </row>
    <row r="311" spans="1:21" ht="18.75" x14ac:dyDescent="0.25">
      <c r="A311" s="128"/>
      <c r="B311" s="40"/>
      <c r="C311" s="40"/>
      <c r="D311" s="40"/>
      <c r="E311" s="47" t="s">
        <v>21</v>
      </c>
      <c r="F311" s="40"/>
      <c r="G311" s="42"/>
      <c r="H311" s="137" t="s">
        <v>14</v>
      </c>
      <c r="I311" s="135"/>
      <c r="J311" s="135"/>
      <c r="K311" s="136"/>
      <c r="L311" s="1356">
        <f ca="1">IFERROR(__xludf.DUMMYFUNCTION("IMPORTRANGE(""https://docs.google.com/spreadsheets/d/1-uDff_7J0KD5mKrp0Vvzr7lt3OU09vwQwhkpOPPYv2Y/edit?usp=sharing"",""งบพรบ!EB27"")"),0)</f>
        <v>0</v>
      </c>
      <c r="M311" s="224">
        <f ca="1">IFERROR(__xludf.DUMMYFUNCTION("IMPORTRANGE(""https://docs.google.com/spreadsheets/d/1-uDff_7J0KD5mKrp0Vvzr7lt3OU09vwQwhkpOPPYv2Y/edit?usp=sharing"",""งบพรบ!EE27"")"),0)</f>
        <v>0</v>
      </c>
      <c r="N311" s="224">
        <f ca="1">IFERROR(__xludf.DUMMYFUNCTION("IMPORTRANGE(""https://docs.google.com/spreadsheets/d/1-uDff_7J0KD5mKrp0Vvzr7lt3OU09vwQwhkpOPPYv2Y/edit?usp=sharing"",""งบพรบ!EG27"")"),0)</f>
        <v>0</v>
      </c>
      <c r="O311" s="224">
        <f ca="1">IF(L311&gt;0,N311*100/L311,0)</f>
        <v>0</v>
      </c>
      <c r="P311" s="224">
        <f ca="1">IF(M311&gt;0,N311*100/M311,0)</f>
        <v>0</v>
      </c>
      <c r="Q311" s="224">
        <v>0</v>
      </c>
      <c r="R311" s="224">
        <v>0</v>
      </c>
      <c r="S311" s="224">
        <v>0</v>
      </c>
      <c r="T311" s="224">
        <f>IF(Q311&gt;0,S311*100/Q311,0)</f>
        <v>0</v>
      </c>
      <c r="U311" s="224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1391" t="s">
        <v>38</v>
      </c>
      <c r="E312" s="141"/>
      <c r="F312" s="141"/>
      <c r="G312" s="142"/>
      <c r="H312" s="143"/>
      <c r="I312" s="44"/>
      <c r="J312" s="44"/>
      <c r="K312" s="45"/>
      <c r="L312" s="1359"/>
      <c r="M312" s="45"/>
      <c r="N312" s="45"/>
      <c r="O312" s="45"/>
      <c r="P312" s="45"/>
      <c r="Q312" s="45"/>
      <c r="R312" s="45"/>
      <c r="S312" s="45"/>
      <c r="T312" s="45"/>
      <c r="U312" s="45"/>
    </row>
    <row r="313" spans="1:21" ht="18.75" x14ac:dyDescent="0.25">
      <c r="A313" s="162"/>
      <c r="B313" s="163"/>
      <c r="C313" s="163"/>
      <c r="D313" s="1504"/>
      <c r="E313" s="18"/>
      <c r="F313" s="18"/>
      <c r="G313" s="19"/>
      <c r="H313" s="19"/>
      <c r="I313" s="20"/>
      <c r="J313" s="1505"/>
      <c r="K313" s="21"/>
      <c r="L313" s="1346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84">
        <f ca="1">IFERROR(__xludf.DUMMYFUNCTION("IMPORTRANGE(""https://docs.google.com/spreadsheets/d/1eHaY18a8A9IcSdp1K8H6x8fbOy06t2VsZHhMHf-1x7Y/edit?usp=sharing"",""แผน!EF27"")"),25)</f>
        <v>25</v>
      </c>
      <c r="J314" s="1395">
        <v>0</v>
      </c>
      <c r="K314" s="224">
        <f ca="1">IF(I314&gt;0,J314*100/I314,0)</f>
        <v>0</v>
      </c>
      <c r="L314" s="1359"/>
      <c r="M314" s="45"/>
      <c r="N314" s="45"/>
      <c r="O314" s="45"/>
      <c r="P314" s="45"/>
      <c r="Q314" s="45"/>
      <c r="R314" s="45"/>
      <c r="S314" s="45"/>
      <c r="T314" s="45"/>
      <c r="U314" s="45"/>
    </row>
    <row r="315" spans="1:21" ht="18.75" x14ac:dyDescent="0.25">
      <c r="A315" s="162"/>
      <c r="B315" s="163"/>
      <c r="C315" s="163"/>
      <c r="D315" s="1504"/>
      <c r="E315" s="18"/>
      <c r="F315" s="18"/>
      <c r="G315" s="19"/>
      <c r="H315" s="1506"/>
      <c r="I315" s="1505"/>
      <c r="J315" s="1505"/>
      <c r="K315" s="1507"/>
      <c r="L315" s="1346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1:21" ht="18.75" x14ac:dyDescent="0.25">
      <c r="A316" s="162"/>
      <c r="B316" s="163"/>
      <c r="C316" s="163"/>
      <c r="D316" s="1504"/>
      <c r="E316" s="18"/>
      <c r="F316" s="18"/>
      <c r="G316" s="19"/>
      <c r="H316" s="1506"/>
      <c r="I316" s="1505"/>
      <c r="J316" s="1505"/>
      <c r="K316" s="1507"/>
      <c r="L316" s="1346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1:21" ht="18.75" x14ac:dyDescent="0.25">
      <c r="A317" s="162"/>
      <c r="B317" s="163"/>
      <c r="C317" s="163"/>
      <c r="D317" s="1508"/>
      <c r="E317" s="18"/>
      <c r="F317" s="18"/>
      <c r="G317" s="19"/>
      <c r="H317" s="1509"/>
      <c r="I317" s="1510"/>
      <c r="J317" s="1510"/>
      <c r="K317" s="1511"/>
      <c r="L317" s="1346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1:21" ht="19.5" x14ac:dyDescent="0.3">
      <c r="A318" s="285" t="s">
        <v>131</v>
      </c>
      <c r="B318" s="286"/>
      <c r="C318" s="286"/>
      <c r="D318" s="287"/>
      <c r="E318" s="286"/>
      <c r="F318" s="286"/>
      <c r="G318" s="286"/>
      <c r="H318" s="287"/>
      <c r="I318" s="289"/>
      <c r="J318" s="289"/>
      <c r="K318" s="290"/>
      <c r="L318" s="1500"/>
      <c r="M318" s="290"/>
      <c r="N318" s="290"/>
      <c r="O318" s="290"/>
      <c r="P318" s="290"/>
      <c r="Q318" s="290"/>
      <c r="R318" s="290"/>
      <c r="S318" s="290"/>
      <c r="T318" s="290"/>
      <c r="U318" s="290"/>
    </row>
    <row r="319" spans="1:21" ht="19.5" x14ac:dyDescent="0.3">
      <c r="A319" s="299"/>
      <c r="B319" s="292" t="s">
        <v>132</v>
      </c>
      <c r="C319" s="300"/>
      <c r="D319" s="301"/>
      <c r="E319" s="293"/>
      <c r="F319" s="293"/>
      <c r="G319" s="294"/>
      <c r="H319" s="295" t="s">
        <v>133</v>
      </c>
      <c r="I319" s="1501">
        <f ca="1">I330</f>
        <v>0</v>
      </c>
      <c r="J319" s="1501">
        <f>J330</f>
        <v>0</v>
      </c>
      <c r="K319" s="1502">
        <f ca="1">IF(I319&gt;0,J319*100/I319,0)</f>
        <v>0</v>
      </c>
      <c r="L319" s="1503"/>
      <c r="M319" s="298"/>
      <c r="N319" s="298"/>
      <c r="O319" s="298"/>
      <c r="P319" s="298"/>
      <c r="Q319" s="298"/>
      <c r="R319" s="298"/>
      <c r="S319" s="298"/>
      <c r="T319" s="298"/>
      <c r="U319" s="298"/>
    </row>
    <row r="320" spans="1:21" ht="19.5" x14ac:dyDescent="0.3">
      <c r="A320" s="128"/>
      <c r="B320" s="40"/>
      <c r="C320" s="129" t="s">
        <v>18</v>
      </c>
      <c r="D320" s="1388" t="s">
        <v>19</v>
      </c>
      <c r="E320" s="40"/>
      <c r="F320" s="40"/>
      <c r="G320" s="42"/>
      <c r="H320" s="131" t="s">
        <v>14</v>
      </c>
      <c r="I320" s="44"/>
      <c r="J320" s="44"/>
      <c r="K320" s="45"/>
      <c r="L320" s="1389">
        <f ca="1">L321+L322</f>
        <v>0</v>
      </c>
      <c r="M320" s="1390">
        <f ca="1">M321+M322</f>
        <v>0</v>
      </c>
      <c r="N320" s="1390">
        <f ca="1">N321+N322</f>
        <v>0</v>
      </c>
      <c r="O320" s="1390">
        <f ca="1">IF(L320&gt;0,N320*100/L320,0)</f>
        <v>0</v>
      </c>
      <c r="P320" s="1390">
        <f ca="1">IF(M320&gt;0,N320*100/M320,0)</f>
        <v>0</v>
      </c>
      <c r="Q320" s="1390">
        <f>Q321+Q322</f>
        <v>0</v>
      </c>
      <c r="R320" s="1390">
        <f>R321+R322</f>
        <v>0</v>
      </c>
      <c r="S320" s="1390">
        <f>S321+S322</f>
        <v>0</v>
      </c>
      <c r="T320" s="1390">
        <f>IF(Q320&gt;0,S320*100/Q320,0)</f>
        <v>0</v>
      </c>
      <c r="U320" s="1390">
        <f>IF(R320&gt;0,S320*100/R320,0)</f>
        <v>0</v>
      </c>
    </row>
    <row r="321" spans="1:21" ht="18.75" x14ac:dyDescent="0.25">
      <c r="A321" s="128"/>
      <c r="B321" s="40"/>
      <c r="C321" s="40"/>
      <c r="D321" s="40"/>
      <c r="E321" s="156" t="s">
        <v>20</v>
      </c>
      <c r="F321" s="40"/>
      <c r="G321" s="42"/>
      <c r="H321" s="157" t="s">
        <v>14</v>
      </c>
      <c r="I321" s="44"/>
      <c r="J321" s="44"/>
      <c r="K321" s="45"/>
      <c r="L321" s="1358">
        <f>L324+L327</f>
        <v>0</v>
      </c>
      <c r="M321" s="83">
        <f>M324+M327</f>
        <v>0</v>
      </c>
      <c r="N321" s="83">
        <f>N324+N327</f>
        <v>0</v>
      </c>
      <c r="O321" s="83">
        <f>IF(L321&gt;0,N321*100/L321,0)</f>
        <v>0</v>
      </c>
      <c r="P321" s="83">
        <f>IF(M321&gt;0,N321*100/M321,0)</f>
        <v>0</v>
      </c>
      <c r="Q321" s="83">
        <f>Q324+Q327</f>
        <v>0</v>
      </c>
      <c r="R321" s="83">
        <f>R324+R327</f>
        <v>0</v>
      </c>
      <c r="S321" s="83">
        <f>S324+S327</f>
        <v>0</v>
      </c>
      <c r="T321" s="83">
        <f>IF(Q321&gt;0,S321*100/Q321,0)</f>
        <v>0</v>
      </c>
      <c r="U321" s="83">
        <f>IF(R321&gt;0,S321*100/R321,0)</f>
        <v>0</v>
      </c>
    </row>
    <row r="322" spans="1:21" ht="18.75" x14ac:dyDescent="0.25">
      <c r="A322" s="128"/>
      <c r="B322" s="40"/>
      <c r="C322" s="40"/>
      <c r="D322" s="40"/>
      <c r="E322" s="47" t="s">
        <v>21</v>
      </c>
      <c r="F322" s="40"/>
      <c r="G322" s="42"/>
      <c r="H322" s="133" t="s">
        <v>14</v>
      </c>
      <c r="I322" s="44"/>
      <c r="J322" s="44"/>
      <c r="K322" s="45"/>
      <c r="L322" s="1356">
        <f ca="1">L325+L328</f>
        <v>0</v>
      </c>
      <c r="M322" s="224">
        <f ca="1">M325+M328</f>
        <v>0</v>
      </c>
      <c r="N322" s="224">
        <f ca="1">N325+N328</f>
        <v>0</v>
      </c>
      <c r="O322" s="224">
        <f ca="1">IF(L322&gt;0,N322*100/L322,0)</f>
        <v>0</v>
      </c>
      <c r="P322" s="224">
        <f ca="1">IF(M322&gt;0,N322*100/M322,0)</f>
        <v>0</v>
      </c>
      <c r="Q322" s="224">
        <f>Q325+Q328</f>
        <v>0</v>
      </c>
      <c r="R322" s="224">
        <f>R325+R328</f>
        <v>0</v>
      </c>
      <c r="S322" s="224">
        <f>S325+S328</f>
        <v>0</v>
      </c>
      <c r="T322" s="224">
        <f>IF(Q322&gt;0,S322*100/Q322,0)</f>
        <v>0</v>
      </c>
      <c r="U322" s="224">
        <f>IF(R322&gt;0,S322*100/R322,0)</f>
        <v>0</v>
      </c>
    </row>
    <row r="323" spans="1:21" ht="18.75" x14ac:dyDescent="0.25">
      <c r="A323" s="128"/>
      <c r="B323" s="40"/>
      <c r="C323" s="40"/>
      <c r="D323" s="41" t="s">
        <v>22</v>
      </c>
      <c r="E323" s="40"/>
      <c r="F323" s="40"/>
      <c r="G323" s="42"/>
      <c r="H323" s="134" t="s">
        <v>14</v>
      </c>
      <c r="I323" s="135"/>
      <c r="J323" s="135"/>
      <c r="K323" s="136"/>
      <c r="L323" s="1356">
        <f ca="1">L324+L325</f>
        <v>0</v>
      </c>
      <c r="M323" s="224">
        <f ca="1">M324+M325</f>
        <v>0</v>
      </c>
      <c r="N323" s="224">
        <f ca="1">N324+N325</f>
        <v>0</v>
      </c>
      <c r="O323" s="224">
        <f ca="1">IF(L323&gt;0,N323*100/L323,0)</f>
        <v>0</v>
      </c>
      <c r="P323" s="224">
        <f ca="1">IF(M323&gt;0,N323*100/M323,0)</f>
        <v>0</v>
      </c>
      <c r="Q323" s="224">
        <f>Q324+Q325</f>
        <v>0</v>
      </c>
      <c r="R323" s="224">
        <f>R324+R325</f>
        <v>0</v>
      </c>
      <c r="S323" s="224">
        <f>S324+S325</f>
        <v>0</v>
      </c>
      <c r="T323" s="224">
        <f>IF(Q323&gt;0,S323*100/Q323,0)</f>
        <v>0</v>
      </c>
      <c r="U323" s="224">
        <f>IF(R323&gt;0,S323*100/R323,0)</f>
        <v>0</v>
      </c>
    </row>
    <row r="324" spans="1:21" ht="18.75" x14ac:dyDescent="0.25">
      <c r="A324" s="128"/>
      <c r="B324" s="40"/>
      <c r="C324" s="40"/>
      <c r="D324" s="40"/>
      <c r="E324" s="156" t="s">
        <v>36</v>
      </c>
      <c r="F324" s="40"/>
      <c r="G324" s="42"/>
      <c r="H324" s="159" t="s">
        <v>14</v>
      </c>
      <c r="I324" s="135"/>
      <c r="J324" s="135"/>
      <c r="K324" s="136"/>
      <c r="L324" s="1358">
        <v>0</v>
      </c>
      <c r="M324" s="83">
        <v>0</v>
      </c>
      <c r="N324" s="83">
        <v>0</v>
      </c>
      <c r="O324" s="83">
        <f>IF(L324&gt;0,N324*100/L324,0)</f>
        <v>0</v>
      </c>
      <c r="P324" s="83">
        <f>IF(M324&gt;0,N324*100/M324,0)</f>
        <v>0</v>
      </c>
      <c r="Q324" s="83">
        <v>0</v>
      </c>
      <c r="R324" s="83">
        <v>0</v>
      </c>
      <c r="S324" s="83">
        <v>0</v>
      </c>
      <c r="T324" s="83">
        <f>IF(Q324&gt;0,S324*100/Q324,0)</f>
        <v>0</v>
      </c>
      <c r="U324" s="83">
        <f>IF(R324&gt;0,S324*100/R324,0)</f>
        <v>0</v>
      </c>
    </row>
    <row r="325" spans="1:21" ht="18.75" x14ac:dyDescent="0.25">
      <c r="A325" s="128"/>
      <c r="B325" s="40"/>
      <c r="C325" s="40"/>
      <c r="D325" s="40"/>
      <c r="E325" s="47" t="s">
        <v>37</v>
      </c>
      <c r="F325" s="40"/>
      <c r="G325" s="42"/>
      <c r="H325" s="134" t="s">
        <v>14</v>
      </c>
      <c r="I325" s="135"/>
      <c r="J325" s="135"/>
      <c r="K325" s="136"/>
      <c r="L325" s="1356">
        <f ca="1">IFERROR(__xludf.DUMMYFUNCTION("IMPORTRANGE(""https://docs.google.com/spreadsheets/d/1-uDff_7J0KD5mKrp0Vvzr7lt3OU09vwQwhkpOPPYv2Y/edit?usp=sharing"",""งบพรบ!EI27"")"),0)</f>
        <v>0</v>
      </c>
      <c r="M325" s="224">
        <f ca="1">IFERROR(__xludf.DUMMYFUNCTION("IMPORTRANGE(""https://docs.google.com/spreadsheets/d/1-uDff_7J0KD5mKrp0Vvzr7lt3OU09vwQwhkpOPPYv2Y/edit?usp=sharing"",""งบพรบ!EN27"")"),0)</f>
        <v>0</v>
      </c>
      <c r="N325" s="224">
        <f ca="1">IFERROR(__xludf.DUMMYFUNCTION("IMPORTRANGE(""https://docs.google.com/spreadsheets/d/1-uDff_7J0KD5mKrp0Vvzr7lt3OU09vwQwhkpOPPYv2Y/edit?usp=sharing"",""งบพรบ!EP27"")"),0)</f>
        <v>0</v>
      </c>
      <c r="O325" s="224">
        <f ca="1">IF(L325&gt;0,N325*100/L325,0)</f>
        <v>0</v>
      </c>
      <c r="P325" s="224">
        <f ca="1">IF(M325&gt;0,N325*100/M325,0)</f>
        <v>0</v>
      </c>
      <c r="Q325" s="224">
        <v>0</v>
      </c>
      <c r="R325" s="224">
        <v>0</v>
      </c>
      <c r="S325" s="224">
        <v>0</v>
      </c>
      <c r="T325" s="224">
        <f>IF(Q325&gt;0,S325*100/Q325,0)</f>
        <v>0</v>
      </c>
      <c r="U325" s="224">
        <f>IF(R325&gt;0,S325*100/R325,0)</f>
        <v>0</v>
      </c>
    </row>
    <row r="326" spans="1:21" ht="18.75" x14ac:dyDescent="0.25">
      <c r="A326" s="128"/>
      <c r="B326" s="40"/>
      <c r="C326" s="40"/>
      <c r="D326" s="41" t="s">
        <v>23</v>
      </c>
      <c r="E326" s="40"/>
      <c r="F326" s="40"/>
      <c r="G326" s="42"/>
      <c r="H326" s="137" t="s">
        <v>14</v>
      </c>
      <c r="I326" s="135"/>
      <c r="J326" s="135"/>
      <c r="K326" s="136"/>
      <c r="L326" s="1356">
        <f ca="1">L327+L328</f>
        <v>0</v>
      </c>
      <c r="M326" s="224">
        <f ca="1">M327+M328</f>
        <v>0</v>
      </c>
      <c r="N326" s="224">
        <f ca="1">N327+N328</f>
        <v>0</v>
      </c>
      <c r="O326" s="224">
        <f ca="1">IF(L326&gt;0,N326*100/L326,0)</f>
        <v>0</v>
      </c>
      <c r="P326" s="224">
        <f ca="1">IF(M326&gt;0,N326*100/M326,0)</f>
        <v>0</v>
      </c>
      <c r="Q326" s="224">
        <f>Q327+Q328</f>
        <v>0</v>
      </c>
      <c r="R326" s="224">
        <f>R327+R328</f>
        <v>0</v>
      </c>
      <c r="S326" s="224">
        <f>S327+S328</f>
        <v>0</v>
      </c>
      <c r="T326" s="224">
        <f>IF(Q326&gt;0,S326*100/Q326,0)</f>
        <v>0</v>
      </c>
      <c r="U326" s="224">
        <f>IF(R326&gt;0,S326*100/R326,0)</f>
        <v>0</v>
      </c>
    </row>
    <row r="327" spans="1:21" ht="18.75" x14ac:dyDescent="0.25">
      <c r="A327" s="128"/>
      <c r="B327" s="40"/>
      <c r="C327" s="40"/>
      <c r="D327" s="40"/>
      <c r="E327" s="156" t="s">
        <v>20</v>
      </c>
      <c r="F327" s="40"/>
      <c r="G327" s="42"/>
      <c r="H327" s="159" t="s">
        <v>14</v>
      </c>
      <c r="I327" s="135"/>
      <c r="J327" s="135"/>
      <c r="K327" s="136"/>
      <c r="L327" s="1358">
        <v>0</v>
      </c>
      <c r="M327" s="83">
        <v>0</v>
      </c>
      <c r="N327" s="83">
        <v>0</v>
      </c>
      <c r="O327" s="83">
        <f>IF(L327&gt;0,N327*100/L327,0)</f>
        <v>0</v>
      </c>
      <c r="P327" s="83">
        <f>IF(M327&gt;0,N327*100/M327,0)</f>
        <v>0</v>
      </c>
      <c r="Q327" s="83">
        <v>0</v>
      </c>
      <c r="R327" s="83">
        <v>0</v>
      </c>
      <c r="S327" s="83">
        <v>0</v>
      </c>
      <c r="T327" s="83">
        <f>IF(Q327&gt;0,S327*100/Q327,0)</f>
        <v>0</v>
      </c>
      <c r="U327" s="83">
        <f>IF(R327&gt;0,S327*100/R327,0)</f>
        <v>0</v>
      </c>
    </row>
    <row r="328" spans="1:21" ht="18.75" x14ac:dyDescent="0.25">
      <c r="A328" s="128"/>
      <c r="B328" s="40"/>
      <c r="C328" s="40"/>
      <c r="D328" s="40"/>
      <c r="E328" s="47" t="s">
        <v>21</v>
      </c>
      <c r="F328" s="40"/>
      <c r="G328" s="42"/>
      <c r="H328" s="137" t="s">
        <v>14</v>
      </c>
      <c r="I328" s="135"/>
      <c r="J328" s="135"/>
      <c r="K328" s="136"/>
      <c r="L328" s="1356">
        <f ca="1">IFERROR(__xludf.DUMMYFUNCTION("IMPORTRANGE(""https://docs.google.com/spreadsheets/d/1-uDff_7J0KD5mKrp0Vvzr7lt3OU09vwQwhkpOPPYv2Y/edit?usp=sharing"",""งบพรบ!EL27"")"),0)</f>
        <v>0</v>
      </c>
      <c r="M328" s="224">
        <f ca="1">IFERROR(__xludf.DUMMYFUNCTION("IMPORTRANGE(""https://docs.google.com/spreadsheets/d/1-uDff_7J0KD5mKrp0Vvzr7lt3OU09vwQwhkpOPPYv2Y/edit?usp=sharing"",""งบพรบ!EO27"")"),0)</f>
        <v>0</v>
      </c>
      <c r="N328" s="224">
        <f ca="1">IFERROR(__xludf.DUMMYFUNCTION("IMPORTRANGE(""https://docs.google.com/spreadsheets/d/1-uDff_7J0KD5mKrp0Vvzr7lt3OU09vwQwhkpOPPYv2Y/edit?usp=sharing"",""งบพรบ!EQ27"")"),0)</f>
        <v>0</v>
      </c>
      <c r="O328" s="224">
        <f ca="1">IF(L328&gt;0,N328*100/L328,0)</f>
        <v>0</v>
      </c>
      <c r="P328" s="224">
        <f ca="1">IF(M328&gt;0,N328*100/M328,0)</f>
        <v>0</v>
      </c>
      <c r="Q328" s="224">
        <v>0</v>
      </c>
      <c r="R328" s="224">
        <v>0</v>
      </c>
      <c r="S328" s="224">
        <v>0</v>
      </c>
      <c r="T328" s="224">
        <f>IF(Q328&gt;0,S328*100/Q328,0)</f>
        <v>0</v>
      </c>
      <c r="U328" s="224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1391" t="s">
        <v>38</v>
      </c>
      <c r="E329" s="141"/>
      <c r="F329" s="141"/>
      <c r="G329" s="142"/>
      <c r="H329" s="143"/>
      <c r="I329" s="135"/>
      <c r="J329" s="44"/>
      <c r="K329" s="45"/>
      <c r="L329" s="1359"/>
      <c r="M329" s="45"/>
      <c r="N329" s="45"/>
      <c r="O329" s="136"/>
      <c r="P329" s="136"/>
      <c r="Q329" s="45"/>
      <c r="R329" s="45"/>
      <c r="S329" s="45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3" t="s">
        <v>133</v>
      </c>
      <c r="I330" s="184">
        <f ca="1">IFERROR(__xludf.DUMMYFUNCTION("IMPORTRANGE(""https://docs.google.com/spreadsheets/d/1eHaY18a8A9IcSdp1K8H6x8fbOy06t2VsZHhMHf-1x7Y/edit?usp=sharing"",""แผน!EJ27"")"),0)</f>
        <v>0</v>
      </c>
      <c r="J330" s="1395">
        <v>0</v>
      </c>
      <c r="K330" s="224">
        <f ca="1">IF(I330&gt;0,J330*100/I330,0)</f>
        <v>0</v>
      </c>
      <c r="L330" s="1359"/>
      <c r="M330" s="45"/>
      <c r="N330" s="45"/>
      <c r="O330" s="136"/>
      <c r="P330" s="136"/>
      <c r="Q330" s="45"/>
      <c r="R330" s="45"/>
      <c r="S330" s="45"/>
      <c r="T330" s="136"/>
      <c r="U330" s="136"/>
    </row>
    <row r="331" spans="1:21" ht="19.5" x14ac:dyDescent="0.3">
      <c r="A331" s="285" t="s">
        <v>135</v>
      </c>
      <c r="B331" s="286"/>
      <c r="C331" s="286"/>
      <c r="D331" s="287"/>
      <c r="E331" s="286"/>
      <c r="F331" s="286"/>
      <c r="G331" s="286"/>
      <c r="H331" s="287"/>
      <c r="I331" s="289"/>
      <c r="J331" s="289"/>
      <c r="K331" s="290"/>
      <c r="L331" s="1500"/>
      <c r="M331" s="290"/>
      <c r="N331" s="290"/>
      <c r="O331" s="290"/>
      <c r="P331" s="290"/>
      <c r="Q331" s="290"/>
      <c r="R331" s="290"/>
      <c r="S331" s="290"/>
      <c r="T331" s="290"/>
      <c r="U331" s="290"/>
    </row>
    <row r="332" spans="1:21" ht="19.5" x14ac:dyDescent="0.3">
      <c r="A332" s="291"/>
      <c r="B332" s="292" t="s">
        <v>136</v>
      </c>
      <c r="C332" s="301"/>
      <c r="D332" s="293"/>
      <c r="E332" s="293"/>
      <c r="F332" s="293"/>
      <c r="G332" s="294"/>
      <c r="H332" s="295" t="s">
        <v>35</v>
      </c>
      <c r="I332" s="1512">
        <f ca="1">I344</f>
        <v>460</v>
      </c>
      <c r="J332" s="1513">
        <f ca="1">J344+J347+J348+J349+J353</f>
        <v>3730</v>
      </c>
      <c r="K332" s="1514">
        <f ca="1">IF(I332&gt;0,J332*100/I332,0)</f>
        <v>810.86956521739125</v>
      </c>
      <c r="L332" s="1503"/>
      <c r="M332" s="298"/>
      <c r="N332" s="298"/>
      <c r="O332" s="298"/>
      <c r="P332" s="298"/>
      <c r="Q332" s="298"/>
      <c r="R332" s="298"/>
      <c r="S332" s="298"/>
      <c r="T332" s="298"/>
      <c r="U332" s="298"/>
    </row>
    <row r="333" spans="1:21" ht="19.5" x14ac:dyDescent="0.3">
      <c r="A333" s="128"/>
      <c r="B333" s="40"/>
      <c r="C333" s="129" t="s">
        <v>18</v>
      </c>
      <c r="D333" s="1388" t="s">
        <v>19</v>
      </c>
      <c r="E333" s="40"/>
      <c r="F333" s="40"/>
      <c r="G333" s="42"/>
      <c r="H333" s="131" t="s">
        <v>14</v>
      </c>
      <c r="I333" s="44"/>
      <c r="J333" s="44"/>
      <c r="K333" s="45"/>
      <c r="L333" s="1389">
        <f ca="1">L334+L335</f>
        <v>180000</v>
      </c>
      <c r="M333" s="1390">
        <f ca="1">M334+M335</f>
        <v>110000</v>
      </c>
      <c r="N333" s="1390">
        <f ca="1">N334+N335</f>
        <v>96301.72</v>
      </c>
      <c r="O333" s="1390">
        <f ca="1">IF(L333&gt;0,N333*100/L333,0)</f>
        <v>53.500955555555556</v>
      </c>
      <c r="P333" s="1390">
        <f ca="1">IF(M333&gt;0,N333*100/M333,0)</f>
        <v>87.547018181818189</v>
      </c>
      <c r="Q333" s="1390">
        <f>Q334+Q335</f>
        <v>0</v>
      </c>
      <c r="R333" s="1390">
        <f>R334+R335</f>
        <v>0</v>
      </c>
      <c r="S333" s="1390">
        <f>S334+S335</f>
        <v>0</v>
      </c>
      <c r="T333" s="1390">
        <f>IF(Q333&gt;0,S333*100/Q333,0)</f>
        <v>0</v>
      </c>
      <c r="U333" s="1390">
        <f>IF(R333&gt;0,S333*100/R333,0)</f>
        <v>0</v>
      </c>
    </row>
    <row r="334" spans="1:21" ht="18.75" x14ac:dyDescent="0.25">
      <c r="A334" s="128"/>
      <c r="B334" s="40"/>
      <c r="C334" s="40"/>
      <c r="D334" s="40"/>
      <c r="E334" s="156" t="s">
        <v>20</v>
      </c>
      <c r="F334" s="40"/>
      <c r="G334" s="42"/>
      <c r="H334" s="157" t="s">
        <v>14</v>
      </c>
      <c r="I334" s="44"/>
      <c r="J334" s="44"/>
      <c r="K334" s="45"/>
      <c r="L334" s="1358">
        <f>L337+L340</f>
        <v>0</v>
      </c>
      <c r="M334" s="83">
        <f>M337+M340</f>
        <v>0</v>
      </c>
      <c r="N334" s="83">
        <f>N337+N340</f>
        <v>0</v>
      </c>
      <c r="O334" s="83">
        <f>IF(L334&gt;0,N334*100/L334,0)</f>
        <v>0</v>
      </c>
      <c r="P334" s="83">
        <f>IF(M334&gt;0,N334*100/M334,0)</f>
        <v>0</v>
      </c>
      <c r="Q334" s="83">
        <f>Q337+Q340</f>
        <v>0</v>
      </c>
      <c r="R334" s="83">
        <f>R337+R340</f>
        <v>0</v>
      </c>
      <c r="S334" s="83">
        <f>S337+S340</f>
        <v>0</v>
      </c>
      <c r="T334" s="83">
        <f>IF(Q334&gt;0,S334*100/Q334,0)</f>
        <v>0</v>
      </c>
      <c r="U334" s="83">
        <f>IF(R334&gt;0,S334*100/R334,0)</f>
        <v>0</v>
      </c>
    </row>
    <row r="335" spans="1:21" ht="18.75" x14ac:dyDescent="0.25">
      <c r="A335" s="128"/>
      <c r="B335" s="40"/>
      <c r="C335" s="40"/>
      <c r="D335" s="40"/>
      <c r="E335" s="47" t="s">
        <v>21</v>
      </c>
      <c r="F335" s="40"/>
      <c r="G335" s="42"/>
      <c r="H335" s="133" t="s">
        <v>14</v>
      </c>
      <c r="I335" s="44"/>
      <c r="J335" s="44"/>
      <c r="K335" s="45"/>
      <c r="L335" s="1356">
        <f ca="1">L338+L341</f>
        <v>180000</v>
      </c>
      <c r="M335" s="224">
        <f ca="1">M338+M341</f>
        <v>110000</v>
      </c>
      <c r="N335" s="224">
        <f ca="1">N338+N341</f>
        <v>96301.72</v>
      </c>
      <c r="O335" s="224">
        <f ca="1">IF(L335&gt;0,N335*100/L335,0)</f>
        <v>53.500955555555556</v>
      </c>
      <c r="P335" s="224">
        <f ca="1">IF(M335&gt;0,N335*100/M335,0)</f>
        <v>87.547018181818189</v>
      </c>
      <c r="Q335" s="224">
        <f>Q338+Q341</f>
        <v>0</v>
      </c>
      <c r="R335" s="224">
        <f>R338+R341</f>
        <v>0</v>
      </c>
      <c r="S335" s="224">
        <f>S338+S341</f>
        <v>0</v>
      </c>
      <c r="T335" s="224">
        <f>IF(Q335&gt;0,S335*100/Q335,0)</f>
        <v>0</v>
      </c>
      <c r="U335" s="224">
        <f>IF(R335&gt;0,S335*100/R335,0)</f>
        <v>0</v>
      </c>
    </row>
    <row r="336" spans="1:21" ht="18.75" x14ac:dyDescent="0.25">
      <c r="A336" s="128"/>
      <c r="B336" s="40"/>
      <c r="C336" s="40"/>
      <c r="D336" s="41" t="s">
        <v>22</v>
      </c>
      <c r="E336" s="40"/>
      <c r="F336" s="40"/>
      <c r="G336" s="42"/>
      <c r="H336" s="134" t="s">
        <v>14</v>
      </c>
      <c r="I336" s="135"/>
      <c r="J336" s="135"/>
      <c r="K336" s="136"/>
      <c r="L336" s="1356">
        <f ca="1">L337+L338</f>
        <v>180000</v>
      </c>
      <c r="M336" s="224">
        <f ca="1">M337+M338</f>
        <v>110000</v>
      </c>
      <c r="N336" s="224">
        <f ca="1">N337+N338</f>
        <v>96301.72</v>
      </c>
      <c r="O336" s="224">
        <f ca="1">IF(L336&gt;0,N336*100/L336,0)</f>
        <v>53.500955555555556</v>
      </c>
      <c r="P336" s="224">
        <f ca="1">IF(M336&gt;0,N336*100/M336,0)</f>
        <v>87.547018181818189</v>
      </c>
      <c r="Q336" s="224">
        <f>Q337+Q338</f>
        <v>0</v>
      </c>
      <c r="R336" s="224">
        <f>R337+R338</f>
        <v>0</v>
      </c>
      <c r="S336" s="224">
        <f>S337+S338</f>
        <v>0</v>
      </c>
      <c r="T336" s="224">
        <f>IF(Q336&gt;0,S336*100/Q336,0)</f>
        <v>0</v>
      </c>
      <c r="U336" s="224">
        <f>IF(R336&gt;0,S336*100/R336,0)</f>
        <v>0</v>
      </c>
    </row>
    <row r="337" spans="1:21" ht="18.75" x14ac:dyDescent="0.25">
      <c r="A337" s="128"/>
      <c r="B337" s="40"/>
      <c r="C337" s="40"/>
      <c r="D337" s="40"/>
      <c r="E337" s="156" t="s">
        <v>36</v>
      </c>
      <c r="F337" s="40"/>
      <c r="G337" s="42"/>
      <c r="H337" s="159" t="s">
        <v>14</v>
      </c>
      <c r="I337" s="135"/>
      <c r="J337" s="135"/>
      <c r="K337" s="136"/>
      <c r="L337" s="1358">
        <v>0</v>
      </c>
      <c r="M337" s="83">
        <v>0</v>
      </c>
      <c r="N337" s="83">
        <v>0</v>
      </c>
      <c r="O337" s="83">
        <f>IF(L337&gt;0,N337*100/L337,0)</f>
        <v>0</v>
      </c>
      <c r="P337" s="83">
        <f>IF(M337&gt;0,N337*100/M337,0)</f>
        <v>0</v>
      </c>
      <c r="Q337" s="83">
        <v>0</v>
      </c>
      <c r="R337" s="83">
        <v>0</v>
      </c>
      <c r="S337" s="83">
        <v>0</v>
      </c>
      <c r="T337" s="83">
        <f>IF(Q337&gt;0,S337*100/Q337,0)</f>
        <v>0</v>
      </c>
      <c r="U337" s="83">
        <f>IF(R337&gt;0,S337*100/R337,0)</f>
        <v>0</v>
      </c>
    </row>
    <row r="338" spans="1:21" ht="18.75" x14ac:dyDescent="0.25">
      <c r="A338" s="128"/>
      <c r="B338" s="40"/>
      <c r="C338" s="40"/>
      <c r="D338" s="40"/>
      <c r="E338" s="47" t="s">
        <v>37</v>
      </c>
      <c r="F338" s="40"/>
      <c r="G338" s="42"/>
      <c r="H338" s="134" t="s">
        <v>14</v>
      </c>
      <c r="I338" s="135"/>
      <c r="J338" s="135"/>
      <c r="K338" s="136"/>
      <c r="L338" s="1356">
        <f ca="1">IFERROR(__xludf.DUMMYFUNCTION("IMPORTRANGE(""https://docs.google.com/spreadsheets/d/1-uDff_7J0KD5mKrp0Vvzr7lt3OU09vwQwhkpOPPYv2Y/edit?usp=sharing"",""งบพรบ!ES27"")"),180000)</f>
        <v>180000</v>
      </c>
      <c r="M338" s="224">
        <f ca="1">IFERROR(__xludf.DUMMYFUNCTION("IMPORTRANGE(""https://docs.google.com/spreadsheets/d/1-uDff_7J0KD5mKrp0Vvzr7lt3OU09vwQwhkpOPPYv2Y/edit?usp=sharing"",""งบพรบ!EX27"")"),110000)</f>
        <v>110000</v>
      </c>
      <c r="N338" s="224">
        <f ca="1">IFERROR(__xludf.DUMMYFUNCTION("IMPORTRANGE(""https://docs.google.com/spreadsheets/d/1-uDff_7J0KD5mKrp0Vvzr7lt3OU09vwQwhkpOPPYv2Y/edit?usp=sharing"",""งบพรบ!EZ27"")"),96301.72)</f>
        <v>96301.72</v>
      </c>
      <c r="O338" s="224">
        <f ca="1">IF(L338&gt;0,N338*100/L338,0)</f>
        <v>53.500955555555556</v>
      </c>
      <c r="P338" s="224">
        <f ca="1">IF(M338&gt;0,N338*100/M338,0)</f>
        <v>87.547018181818189</v>
      </c>
      <c r="Q338" s="224">
        <v>0</v>
      </c>
      <c r="R338" s="224">
        <v>0</v>
      </c>
      <c r="S338" s="224">
        <v>0</v>
      </c>
      <c r="T338" s="224">
        <f>IF(Q338&gt;0,S338*100/Q338,0)</f>
        <v>0</v>
      </c>
      <c r="U338" s="224">
        <f>IF(R338&gt;0,S338*100/R338,0)</f>
        <v>0</v>
      </c>
    </row>
    <row r="339" spans="1:21" ht="18.75" x14ac:dyDescent="0.25">
      <c r="A339" s="128"/>
      <c r="B339" s="40"/>
      <c r="C339" s="40"/>
      <c r="D339" s="41" t="s">
        <v>23</v>
      </c>
      <c r="E339" s="40"/>
      <c r="F339" s="40"/>
      <c r="G339" s="42"/>
      <c r="H339" s="137" t="s">
        <v>14</v>
      </c>
      <c r="I339" s="135"/>
      <c r="J339" s="135"/>
      <c r="K339" s="136"/>
      <c r="L339" s="1356">
        <f ca="1">L340+L341</f>
        <v>0</v>
      </c>
      <c r="M339" s="224">
        <f ca="1">M340+M341</f>
        <v>0</v>
      </c>
      <c r="N339" s="224">
        <f ca="1">N340+N341</f>
        <v>0</v>
      </c>
      <c r="O339" s="224">
        <f ca="1">IF(L339&gt;0,N339*100/L339,0)</f>
        <v>0</v>
      </c>
      <c r="P339" s="224">
        <f ca="1">IF(M339&gt;0,N339*100/M339,0)</f>
        <v>0</v>
      </c>
      <c r="Q339" s="224">
        <f>Q340+Q341</f>
        <v>0</v>
      </c>
      <c r="R339" s="224">
        <f>R340+R341</f>
        <v>0</v>
      </c>
      <c r="S339" s="224">
        <f>S340+S341</f>
        <v>0</v>
      </c>
      <c r="T339" s="224">
        <f>IF(Q339&gt;0,S339*100/Q339,0)</f>
        <v>0</v>
      </c>
      <c r="U339" s="224">
        <f>IF(R339&gt;0,S339*100/R339,0)</f>
        <v>0</v>
      </c>
    </row>
    <row r="340" spans="1:21" ht="18.75" x14ac:dyDescent="0.25">
      <c r="A340" s="128"/>
      <c r="B340" s="40"/>
      <c r="C340" s="40"/>
      <c r="D340" s="40"/>
      <c r="E340" s="156" t="s">
        <v>20</v>
      </c>
      <c r="F340" s="40"/>
      <c r="G340" s="42"/>
      <c r="H340" s="159" t="s">
        <v>14</v>
      </c>
      <c r="I340" s="135"/>
      <c r="J340" s="135"/>
      <c r="K340" s="136"/>
      <c r="L340" s="1358">
        <v>0</v>
      </c>
      <c r="M340" s="83">
        <v>0</v>
      </c>
      <c r="N340" s="83">
        <v>0</v>
      </c>
      <c r="O340" s="83">
        <f>IF(L340&gt;0,N340*100/L340,0)</f>
        <v>0</v>
      </c>
      <c r="P340" s="83">
        <f>IF(M340&gt;0,N340*100/M340,0)</f>
        <v>0</v>
      </c>
      <c r="Q340" s="83">
        <v>0</v>
      </c>
      <c r="R340" s="83">
        <v>0</v>
      </c>
      <c r="S340" s="83">
        <v>0</v>
      </c>
      <c r="T340" s="83">
        <f>IF(Q340&gt;0,S340*100/Q340,0)</f>
        <v>0</v>
      </c>
      <c r="U340" s="83">
        <f>IF(R340&gt;0,S340*100/R340,0)</f>
        <v>0</v>
      </c>
    </row>
    <row r="341" spans="1:21" ht="18.75" x14ac:dyDescent="0.25">
      <c r="A341" s="128"/>
      <c r="B341" s="40"/>
      <c r="C341" s="40"/>
      <c r="D341" s="40"/>
      <c r="E341" s="47" t="s">
        <v>21</v>
      </c>
      <c r="F341" s="40"/>
      <c r="G341" s="42"/>
      <c r="H341" s="137" t="s">
        <v>14</v>
      </c>
      <c r="I341" s="135"/>
      <c r="J341" s="135"/>
      <c r="K341" s="136"/>
      <c r="L341" s="1356">
        <f ca="1">IFERROR(__xludf.DUMMYFUNCTION("IMPORTRANGE(""https://docs.google.com/spreadsheets/d/1-uDff_7J0KD5mKrp0Vvzr7lt3OU09vwQwhkpOPPYv2Y/edit?usp=sharing"",""งบพรบ!EV27"")"),0)</f>
        <v>0</v>
      </c>
      <c r="M341" s="224">
        <f ca="1">IFERROR(__xludf.DUMMYFUNCTION("IMPORTRANGE(""https://docs.google.com/spreadsheets/d/1-uDff_7J0KD5mKrp0Vvzr7lt3OU09vwQwhkpOPPYv2Y/edit?usp=sharing"",""งบพรบ!EY27"")"),0)</f>
        <v>0</v>
      </c>
      <c r="N341" s="224">
        <f ca="1">IFERROR(__xludf.DUMMYFUNCTION("IMPORTRANGE(""https://docs.google.com/spreadsheets/d/1-uDff_7J0KD5mKrp0Vvzr7lt3OU09vwQwhkpOPPYv2Y/edit?usp=sharing"",""งบพรบ!FA27"")"),0)</f>
        <v>0</v>
      </c>
      <c r="O341" s="224">
        <f ca="1">IF(L341&gt;0,N341*100/L341,0)</f>
        <v>0</v>
      </c>
      <c r="P341" s="224">
        <f ca="1">IF(M341&gt;0,N341*100/M341,0)</f>
        <v>0</v>
      </c>
      <c r="Q341" s="224">
        <v>0</v>
      </c>
      <c r="R341" s="224">
        <v>0</v>
      </c>
      <c r="S341" s="224">
        <v>0</v>
      </c>
      <c r="T341" s="224">
        <f>IF(Q341&gt;0,S341*100/Q341,0)</f>
        <v>0</v>
      </c>
      <c r="U341" s="224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02" t="s">
        <v>38</v>
      </c>
      <c r="E342" s="141"/>
      <c r="F342" s="141"/>
      <c r="G342" s="142"/>
      <c r="H342" s="42"/>
      <c r="I342" s="44"/>
      <c r="J342" s="44"/>
      <c r="K342" s="45"/>
      <c r="L342" s="1359"/>
      <c r="M342" s="45"/>
      <c r="N342" s="45"/>
      <c r="O342" s="136"/>
      <c r="P342" s="136"/>
      <c r="Q342" s="45"/>
      <c r="R342" s="45"/>
      <c r="S342" s="45"/>
      <c r="T342" s="136"/>
      <c r="U342" s="136"/>
    </row>
    <row r="343" spans="1:21" ht="19.5" x14ac:dyDescent="0.3">
      <c r="A343" s="1515"/>
      <c r="B343" s="1516"/>
      <c r="C343" s="1517"/>
      <c r="D343" s="1516"/>
      <c r="E343" s="1518" t="s">
        <v>137</v>
      </c>
      <c r="F343" s="1516"/>
      <c r="G343" s="1519"/>
      <c r="H343" s="1520" t="s">
        <v>35</v>
      </c>
      <c r="I343" s="1521">
        <v>0</v>
      </c>
      <c r="J343" s="1521">
        <f ca="1">J344+J347+J348+J349</f>
        <v>268</v>
      </c>
      <c r="K343" s="1522">
        <v>0</v>
      </c>
      <c r="L343" s="1416"/>
      <c r="M343" s="219"/>
      <c r="N343" s="219"/>
      <c r="O343" s="219"/>
      <c r="P343" s="219"/>
      <c r="Q343" s="219"/>
      <c r="R343" s="219"/>
      <c r="S343" s="219"/>
      <c r="T343" s="219"/>
      <c r="U343" s="219"/>
    </row>
    <row r="344" spans="1:21" ht="18.75" x14ac:dyDescent="0.25">
      <c r="A344" s="208"/>
      <c r="B344" s="40"/>
      <c r="C344" s="158"/>
      <c r="D344" s="145"/>
      <c r="E344" s="149" t="s">
        <v>138</v>
      </c>
      <c r="F344" s="40"/>
      <c r="G344" s="42"/>
      <c r="H344" s="210" t="s">
        <v>35</v>
      </c>
      <c r="I344" s="184">
        <f ca="1">IFERROR(__xludf.DUMMYFUNCTION("IMPORTRANGE(""https://docs.google.com/spreadsheets/d/1eHaY18a8A9IcSdp1K8H6x8fbOy06t2VsZHhMHf-1x7Y/edit?usp=sharing"",""แผน!EK27"")"),460)</f>
        <v>460</v>
      </c>
      <c r="J344" s="184">
        <f ca="1">IFERROR(__xludf.DUMMYFUNCTION("IMPORTRANGE(""https://docs.google.com/spreadsheets/d/1awYsYK3VOup2i3Pq_Yjnu8DRu_mYwSBnCR2QPthd0rU/edit?usp=sharing"",""ศูนย์ยกเว้นโฉนด!D27"")"),177)</f>
        <v>177</v>
      </c>
      <c r="K344" s="224">
        <f ca="1">IF(I344&gt;0,J344*100/I344,0)</f>
        <v>38.478260869565219</v>
      </c>
      <c r="L344" s="1359"/>
      <c r="M344" s="45"/>
      <c r="N344" s="45"/>
      <c r="O344" s="45"/>
      <c r="P344" s="45"/>
      <c r="Q344" s="45"/>
      <c r="R344" s="45"/>
      <c r="S344" s="45"/>
      <c r="T344" s="45"/>
      <c r="U344" s="45"/>
    </row>
    <row r="345" spans="1:21" ht="18.75" x14ac:dyDescent="0.25">
      <c r="A345" s="208"/>
      <c r="B345" s="40"/>
      <c r="C345" s="158"/>
      <c r="D345" s="145"/>
      <c r="E345" s="149" t="s">
        <v>139</v>
      </c>
      <c r="F345" s="40"/>
      <c r="G345" s="42"/>
      <c r="H345" s="180"/>
      <c r="I345" s="44"/>
      <c r="J345" s="44"/>
      <c r="K345" s="45"/>
      <c r="L345" s="1359"/>
      <c r="M345" s="45"/>
      <c r="N345" s="45"/>
      <c r="O345" s="45"/>
      <c r="P345" s="45"/>
      <c r="Q345" s="45"/>
      <c r="R345" s="45"/>
      <c r="S345" s="45"/>
      <c r="T345" s="45"/>
      <c r="U345" s="45"/>
    </row>
    <row r="346" spans="1:21" ht="18.75" x14ac:dyDescent="0.25">
      <c r="A346" s="208"/>
      <c r="B346" s="40"/>
      <c r="C346" s="158"/>
      <c r="D346" s="145"/>
      <c r="E346" s="145"/>
      <c r="F346" s="149" t="s">
        <v>140</v>
      </c>
      <c r="G346" s="42"/>
      <c r="H346" s="175" t="s">
        <v>141</v>
      </c>
      <c r="I346" s="184">
        <f ca="1">IFERROR(__xludf.DUMMYFUNCTION("IMPORTRANGE(""https://docs.google.com/spreadsheets/d/1eHaY18a8A9IcSdp1K8H6x8fbOy06t2VsZHhMHf-1x7Y/edit?usp=sharing"",""แผน!EL27"")"),4)</f>
        <v>4</v>
      </c>
      <c r="J346" s="184">
        <f ca="1">IFERROR(__xludf.DUMMYFUNCTION("IMPORTRANGE(""https://docs.google.com/spreadsheets/d/1awYsYK3VOup2i3Pq_Yjnu8DRu_mYwSBnCR2QPthd0rU/edit?usp=sharing"",""ศูนย์รวม!E27"")"),0)</f>
        <v>0</v>
      </c>
      <c r="K346" s="224">
        <f ca="1">IF(I346&gt;0,J346*100/I346,0)</f>
        <v>0</v>
      </c>
      <c r="L346" s="1359"/>
      <c r="M346" s="45"/>
      <c r="N346" s="45"/>
      <c r="O346" s="45"/>
      <c r="P346" s="45"/>
      <c r="Q346" s="45"/>
      <c r="R346" s="45"/>
      <c r="S346" s="45"/>
      <c r="T346" s="45"/>
      <c r="U346" s="45"/>
    </row>
    <row r="347" spans="1:21" ht="18.75" x14ac:dyDescent="0.25">
      <c r="A347" s="208"/>
      <c r="B347" s="40"/>
      <c r="C347" s="158"/>
      <c r="D347" s="145"/>
      <c r="E347" s="145"/>
      <c r="F347" s="149" t="s">
        <v>142</v>
      </c>
      <c r="G347" s="42"/>
      <c r="H347" s="175" t="s">
        <v>35</v>
      </c>
      <c r="I347" s="44"/>
      <c r="J347" s="184">
        <f ca="1">IFERROR(__xludf.DUMMYFUNCTION("IMPORTRANGE(""https://docs.google.com/spreadsheets/d/1awYsYK3VOup2i3Pq_Yjnu8DRu_mYwSBnCR2QPthd0rU/edit?usp=sharing"",""ศูนย์ยกเว้นโฉนด!F27"")"),0)</f>
        <v>0</v>
      </c>
      <c r="K347" s="45"/>
      <c r="L347" s="1359"/>
      <c r="M347" s="45"/>
      <c r="N347" s="45"/>
      <c r="O347" s="45"/>
      <c r="P347" s="45"/>
      <c r="Q347" s="45"/>
      <c r="R347" s="45"/>
      <c r="S347" s="45"/>
      <c r="T347" s="45"/>
      <c r="U347" s="45"/>
    </row>
    <row r="348" spans="1:21" ht="18.75" x14ac:dyDescent="0.25">
      <c r="A348" s="208"/>
      <c r="B348" s="40"/>
      <c r="C348" s="158"/>
      <c r="D348" s="145"/>
      <c r="E348" s="149" t="s">
        <v>143</v>
      </c>
      <c r="F348" s="145"/>
      <c r="G348" s="42"/>
      <c r="H348" s="175" t="s">
        <v>35</v>
      </c>
      <c r="I348" s="44"/>
      <c r="J348" s="184">
        <f ca="1">IFERROR(__xludf.DUMMYFUNCTION("IMPORTRANGE(""https://docs.google.com/spreadsheets/d/1awYsYK3VOup2i3Pq_Yjnu8DRu_mYwSBnCR2QPthd0rU/edit?usp=sharing"",""ศูนย์ยกเว้นโฉนด!G27"")"),91)</f>
        <v>91</v>
      </c>
      <c r="K348" s="45"/>
      <c r="L348" s="1359"/>
      <c r="M348" s="45"/>
      <c r="N348" s="45"/>
      <c r="O348" s="45"/>
      <c r="P348" s="45"/>
      <c r="Q348" s="45"/>
      <c r="R348" s="45"/>
      <c r="S348" s="45"/>
      <c r="T348" s="45"/>
      <c r="U348" s="45"/>
    </row>
    <row r="349" spans="1:21" ht="18.75" x14ac:dyDescent="0.25">
      <c r="A349" s="208"/>
      <c r="B349" s="40"/>
      <c r="C349" s="158"/>
      <c r="D349" s="139"/>
      <c r="E349" s="149" t="s">
        <v>144</v>
      </c>
      <c r="F349" s="145"/>
      <c r="G349" s="42"/>
      <c r="H349" s="175" t="s">
        <v>35</v>
      </c>
      <c r="I349" s="44"/>
      <c r="J349" s="184">
        <f ca="1">IFERROR(__xludf.DUMMYFUNCTION("IMPORTRANGE(""https://docs.google.com/spreadsheets/d/1awYsYK3VOup2i3Pq_Yjnu8DRu_mYwSBnCR2QPthd0rU/edit?usp=sharing"",""ศูนย์ยกเว้นโฉนด!H27"")"),0)</f>
        <v>0</v>
      </c>
      <c r="K349" s="45"/>
      <c r="L349" s="1359"/>
      <c r="M349" s="45"/>
      <c r="N349" s="45"/>
      <c r="O349" s="45"/>
      <c r="P349" s="45"/>
      <c r="Q349" s="45"/>
      <c r="R349" s="45"/>
      <c r="S349" s="45"/>
      <c r="T349" s="45"/>
      <c r="U349" s="45"/>
    </row>
    <row r="350" spans="1:21" ht="16.5" x14ac:dyDescent="0.25">
      <c r="A350" s="158"/>
      <c r="B350" s="40"/>
      <c r="C350" s="158"/>
      <c r="D350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0"/>
      <c r="F350" s="40"/>
      <c r="G350" s="42"/>
      <c r="H350" s="180"/>
      <c r="I350" s="44"/>
      <c r="J350" s="44"/>
      <c r="K350" s="45"/>
      <c r="L350" s="1359"/>
      <c r="M350" s="45"/>
      <c r="N350" s="45"/>
      <c r="O350" s="45"/>
      <c r="P350" s="45"/>
      <c r="Q350" s="45"/>
      <c r="R350" s="45"/>
      <c r="S350" s="45"/>
      <c r="T350" s="45"/>
      <c r="U350" s="45"/>
    </row>
    <row r="351" spans="1:21" ht="19.5" x14ac:dyDescent="0.3">
      <c r="A351" s="211"/>
      <c r="B351" s="214"/>
      <c r="C351" s="212"/>
      <c r="D351" s="214"/>
      <c r="E351" s="1523" t="s">
        <v>145</v>
      </c>
      <c r="F351" s="214"/>
      <c r="G351" s="215"/>
      <c r="H351" s="216" t="s">
        <v>35</v>
      </c>
      <c r="I351" s="303">
        <v>0</v>
      </c>
      <c r="J351" s="303">
        <f ca="1">J352+J353</f>
        <v>3466</v>
      </c>
      <c r="K351" s="304">
        <v>0</v>
      </c>
      <c r="L351" s="1416"/>
      <c r="M351" s="219"/>
      <c r="N351" s="219"/>
      <c r="O351" s="219"/>
      <c r="P351" s="219"/>
      <c r="Q351" s="219"/>
      <c r="R351" s="219"/>
      <c r="S351" s="219"/>
      <c r="T351" s="219"/>
      <c r="U351" s="219"/>
    </row>
    <row r="352" spans="1:21" ht="18.75" x14ac:dyDescent="0.25">
      <c r="A352" s="158"/>
      <c r="B352" s="40"/>
      <c r="C352" s="158"/>
      <c r="D352" s="145"/>
      <c r="E352" s="149" t="s">
        <v>146</v>
      </c>
      <c r="F352" s="40"/>
      <c r="G352" s="42"/>
      <c r="H352" s="133" t="s">
        <v>35</v>
      </c>
      <c r="I352" s="44"/>
      <c r="J352" s="184">
        <f ca="1">IFERROR(__xludf.DUMMYFUNCTION("IMPORTRANGE(""https://docs.google.com/spreadsheets/d/1awYsYK3VOup2i3Pq_Yjnu8DRu_mYwSBnCR2QPthd0rU/edit?usp=sharing"",""โฉนดM3!G27"")"),4)</f>
        <v>4</v>
      </c>
      <c r="K352" s="45"/>
      <c r="L352" s="1359"/>
      <c r="M352" s="45"/>
      <c r="N352" s="45"/>
      <c r="O352" s="45"/>
      <c r="P352" s="45"/>
      <c r="Q352" s="45"/>
      <c r="R352" s="45"/>
      <c r="S352" s="45"/>
      <c r="T352" s="45"/>
      <c r="U352" s="45"/>
    </row>
    <row r="353" spans="1:21" ht="18.75" x14ac:dyDescent="0.25">
      <c r="A353" s="158"/>
      <c r="B353" s="40"/>
      <c r="C353" s="158"/>
      <c r="D353" s="145"/>
      <c r="E353" s="149" t="s">
        <v>147</v>
      </c>
      <c r="F353" s="40"/>
      <c r="G353" s="42"/>
      <c r="H353" s="133" t="s">
        <v>35</v>
      </c>
      <c r="I353" s="44"/>
      <c r="J353" s="184">
        <f ca="1">IFERROR(__xludf.DUMMYFUNCTION("IMPORTRANGE(""https://docs.google.com/spreadsheets/d/1awYsYK3VOup2i3Pq_Yjnu8DRu_mYwSBnCR2QPthd0rU/edit?usp=sharing"",""โฉนดM3!H27"")"),3462)</f>
        <v>3462</v>
      </c>
      <c r="K353" s="45"/>
      <c r="L353" s="1359"/>
      <c r="M353" s="45"/>
      <c r="N353" s="45"/>
      <c r="O353" s="45"/>
      <c r="P353" s="45"/>
      <c r="Q353" s="45"/>
      <c r="R353" s="45"/>
      <c r="S353" s="45"/>
      <c r="T353" s="45"/>
      <c r="U353" s="45"/>
    </row>
    <row r="354" spans="1:21" ht="16.5" x14ac:dyDescent="0.25">
      <c r="A354" s="158"/>
      <c r="B354" s="40"/>
      <c r="C354" s="158"/>
      <c r="D354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0"/>
      <c r="F354" s="40"/>
      <c r="G354" s="42"/>
      <c r="H354" s="180"/>
      <c r="I354" s="44"/>
      <c r="J354" s="44"/>
      <c r="K354" s="45"/>
      <c r="L354" s="1359"/>
      <c r="M354" s="45"/>
      <c r="N354" s="45"/>
      <c r="O354" s="45"/>
      <c r="P354" s="45"/>
      <c r="Q354" s="45"/>
      <c r="R354" s="45"/>
      <c r="S354" s="45"/>
      <c r="T354" s="45"/>
      <c r="U354" s="45"/>
    </row>
    <row r="355" spans="1:21" ht="19.5" x14ac:dyDescent="0.3">
      <c r="A355" s="291"/>
      <c r="B355" s="292" t="s">
        <v>148</v>
      </c>
      <c r="C355" s="301"/>
      <c r="D355" s="293"/>
      <c r="E355" s="293"/>
      <c r="F355" s="293"/>
      <c r="G355" s="294"/>
      <c r="H355" s="294"/>
      <c r="I355" s="307"/>
      <c r="J355" s="307"/>
      <c r="K355" s="298"/>
      <c r="L355" s="1503"/>
      <c r="M355" s="298"/>
      <c r="N355" s="298"/>
      <c r="O355" s="298"/>
      <c r="P355" s="298"/>
      <c r="Q355" s="298"/>
      <c r="R355" s="298"/>
      <c r="S355" s="298"/>
      <c r="T355" s="298"/>
      <c r="U355" s="298"/>
    </row>
    <row r="356" spans="1:21" ht="19.5" x14ac:dyDescent="0.3">
      <c r="A356" s="128"/>
      <c r="B356" s="40"/>
      <c r="C356" s="129" t="s">
        <v>18</v>
      </c>
      <c r="D356" s="1388" t="s">
        <v>19</v>
      </c>
      <c r="E356" s="40"/>
      <c r="F356" s="40"/>
      <c r="G356" s="42"/>
      <c r="H356" s="131" t="s">
        <v>14</v>
      </c>
      <c r="I356" s="44"/>
      <c r="J356" s="44"/>
      <c r="K356" s="45"/>
      <c r="L356" s="1389">
        <f ca="1">L357+L358</f>
        <v>346210</v>
      </c>
      <c r="M356" s="1390">
        <f ca="1">M357+M358</f>
        <v>268265</v>
      </c>
      <c r="N356" s="1390">
        <f ca="1">N357+N358</f>
        <v>159792</v>
      </c>
      <c r="O356" s="1390">
        <f ca="1">IF(L356&gt;0,N356*100/L356,0)</f>
        <v>46.154646024089423</v>
      </c>
      <c r="P356" s="1390">
        <f ca="1">IF(M356&gt;0,N356*100/M356,0)</f>
        <v>59.564982386819004</v>
      </c>
      <c r="Q356" s="1390">
        <f>Q357+Q358</f>
        <v>0</v>
      </c>
      <c r="R356" s="1390">
        <f>R357+R358</f>
        <v>0</v>
      </c>
      <c r="S356" s="1390">
        <f>S357+S358</f>
        <v>0</v>
      </c>
      <c r="T356" s="1390">
        <f>IF(Q356&gt;0,S356*100/Q356,0)</f>
        <v>0</v>
      </c>
      <c r="U356" s="1390">
        <f>IF(R356&gt;0,S356*100/R356,0)</f>
        <v>0</v>
      </c>
    </row>
    <row r="357" spans="1:21" ht="18.75" x14ac:dyDescent="0.25">
      <c r="A357" s="128"/>
      <c r="B357" s="40"/>
      <c r="C357" s="40"/>
      <c r="D357" s="40"/>
      <c r="E357" s="156" t="s">
        <v>20</v>
      </c>
      <c r="F357" s="40"/>
      <c r="G357" s="42"/>
      <c r="H357" s="157" t="s">
        <v>14</v>
      </c>
      <c r="I357" s="44"/>
      <c r="J357" s="44"/>
      <c r="K357" s="45"/>
      <c r="L357" s="1358">
        <f>L360+L363</f>
        <v>0</v>
      </c>
      <c r="M357" s="83">
        <f>M360+M363</f>
        <v>0</v>
      </c>
      <c r="N357" s="83">
        <f>N360+N363</f>
        <v>0</v>
      </c>
      <c r="O357" s="83">
        <f>IF(L357&gt;0,N357*100/L357,0)</f>
        <v>0</v>
      </c>
      <c r="P357" s="83">
        <f>IF(M357&gt;0,N357*100/M357,0)</f>
        <v>0</v>
      </c>
      <c r="Q357" s="83">
        <f>Q360+Q363</f>
        <v>0</v>
      </c>
      <c r="R357" s="83">
        <f>R360+R363</f>
        <v>0</v>
      </c>
      <c r="S357" s="83">
        <f>S360+S363</f>
        <v>0</v>
      </c>
      <c r="T357" s="83">
        <f>IF(Q357&gt;0,S357*100/Q357,0)</f>
        <v>0</v>
      </c>
      <c r="U357" s="83">
        <f>IF(R357&gt;0,S357*100/R357,0)</f>
        <v>0</v>
      </c>
    </row>
    <row r="358" spans="1:21" ht="18.75" x14ac:dyDescent="0.25">
      <c r="A358" s="128"/>
      <c r="B358" s="40"/>
      <c r="C358" s="40"/>
      <c r="D358" s="40"/>
      <c r="E358" s="47" t="s">
        <v>21</v>
      </c>
      <c r="F358" s="40"/>
      <c r="G358" s="42"/>
      <c r="H358" s="133" t="s">
        <v>14</v>
      </c>
      <c r="I358" s="44"/>
      <c r="J358" s="44"/>
      <c r="K358" s="45"/>
      <c r="L358" s="1356">
        <f ca="1">L361+L364</f>
        <v>346210</v>
      </c>
      <c r="M358" s="224">
        <f ca="1">M361+M364</f>
        <v>268265</v>
      </c>
      <c r="N358" s="224">
        <f ca="1">N361+N364</f>
        <v>159792</v>
      </c>
      <c r="O358" s="224">
        <f ca="1">IF(L358&gt;0,N358*100/L358,0)</f>
        <v>46.154646024089423</v>
      </c>
      <c r="P358" s="224">
        <f ca="1">IF(M358&gt;0,N358*100/M358,0)</f>
        <v>59.564982386819004</v>
      </c>
      <c r="Q358" s="224">
        <f>Q361+Q364</f>
        <v>0</v>
      </c>
      <c r="R358" s="224">
        <f>R361+R364</f>
        <v>0</v>
      </c>
      <c r="S358" s="224">
        <f>S361+S364</f>
        <v>0</v>
      </c>
      <c r="T358" s="224">
        <f>IF(Q358&gt;0,S358*100/Q358,0)</f>
        <v>0</v>
      </c>
      <c r="U358" s="224">
        <f>IF(R358&gt;0,S358*100/R358,0)</f>
        <v>0</v>
      </c>
    </row>
    <row r="359" spans="1:21" ht="18.75" x14ac:dyDescent="0.25">
      <c r="A359" s="128"/>
      <c r="B359" s="40"/>
      <c r="C359" s="40"/>
      <c r="D359" s="41" t="s">
        <v>22</v>
      </c>
      <c r="E359" s="40"/>
      <c r="F359" s="40"/>
      <c r="G359" s="42"/>
      <c r="H359" s="134" t="s">
        <v>14</v>
      </c>
      <c r="I359" s="135"/>
      <c r="J359" s="135"/>
      <c r="K359" s="136"/>
      <c r="L359" s="1356">
        <f ca="1">L360+L361</f>
        <v>346210</v>
      </c>
      <c r="M359" s="224">
        <f ca="1">M360+M361</f>
        <v>268265</v>
      </c>
      <c r="N359" s="224">
        <f ca="1">N360+N361</f>
        <v>159792</v>
      </c>
      <c r="O359" s="224">
        <f ca="1">IF(L359&gt;0,N359*100/L359,0)</f>
        <v>46.154646024089423</v>
      </c>
      <c r="P359" s="224">
        <f ca="1">IF(M359&gt;0,N359*100/M359,0)</f>
        <v>59.564982386819004</v>
      </c>
      <c r="Q359" s="224">
        <f>Q360+Q361</f>
        <v>0</v>
      </c>
      <c r="R359" s="224">
        <f>R360+R361</f>
        <v>0</v>
      </c>
      <c r="S359" s="224">
        <f>S360+S361</f>
        <v>0</v>
      </c>
      <c r="T359" s="224">
        <f>IF(Q359&gt;0,S359*100/Q359,0)</f>
        <v>0</v>
      </c>
      <c r="U359" s="224">
        <f>IF(R359&gt;0,S359*100/R359,0)</f>
        <v>0</v>
      </c>
    </row>
    <row r="360" spans="1:21" ht="18.75" x14ac:dyDescent="0.25">
      <c r="A360" s="128"/>
      <c r="B360" s="40"/>
      <c r="C360" s="40"/>
      <c r="D360" s="40"/>
      <c r="E360" s="156" t="s">
        <v>36</v>
      </c>
      <c r="F360" s="40"/>
      <c r="G360" s="42"/>
      <c r="H360" s="159" t="s">
        <v>14</v>
      </c>
      <c r="I360" s="135"/>
      <c r="J360" s="135"/>
      <c r="K360" s="136"/>
      <c r="L360" s="1358">
        <v>0</v>
      </c>
      <c r="M360" s="83">
        <v>0</v>
      </c>
      <c r="N360" s="83">
        <v>0</v>
      </c>
      <c r="O360" s="83">
        <f>IF(L360&gt;0,N360*100/L360,0)</f>
        <v>0</v>
      </c>
      <c r="P360" s="83">
        <f>IF(M360&gt;0,N360*100/M360,0)</f>
        <v>0</v>
      </c>
      <c r="Q360" s="83">
        <v>0</v>
      </c>
      <c r="R360" s="83">
        <v>0</v>
      </c>
      <c r="S360" s="83">
        <v>0</v>
      </c>
      <c r="T360" s="83">
        <f>IF(Q360&gt;0,S360*100/Q360,0)</f>
        <v>0</v>
      </c>
      <c r="U360" s="83">
        <f>IF(R360&gt;0,S360*100/R360,0)</f>
        <v>0</v>
      </c>
    </row>
    <row r="361" spans="1:21" ht="18.75" x14ac:dyDescent="0.25">
      <c r="A361" s="128"/>
      <c r="B361" s="40"/>
      <c r="C361" s="40"/>
      <c r="D361" s="40"/>
      <c r="E361" s="47" t="s">
        <v>37</v>
      </c>
      <c r="F361" s="40"/>
      <c r="G361" s="42"/>
      <c r="H361" s="134" t="s">
        <v>14</v>
      </c>
      <c r="I361" s="135"/>
      <c r="J361" s="135"/>
      <c r="K361" s="136"/>
      <c r="L361" s="1356">
        <f ca="1">IFERROR(__xludf.DUMMYFUNCTION("IMPORTRANGE(""https://docs.google.com/spreadsheets/d/1-uDff_7J0KD5mKrp0Vvzr7lt3OU09vwQwhkpOPPYv2Y/edit?usp=sharing"",""งบพรบ!FC27"")"),346210)</f>
        <v>346210</v>
      </c>
      <c r="M361" s="224">
        <f ca="1">IFERROR(__xludf.DUMMYFUNCTION("IMPORTRANGE(""https://docs.google.com/spreadsheets/d/1-uDff_7J0KD5mKrp0Vvzr7lt3OU09vwQwhkpOPPYv2Y/edit?usp=sharing"",""งบพรบ!FH27"")"),268265)</f>
        <v>268265</v>
      </c>
      <c r="N361" s="224">
        <f ca="1">IFERROR(__xludf.DUMMYFUNCTION("IMPORTRANGE(""https://docs.google.com/spreadsheets/d/1-uDff_7J0KD5mKrp0Vvzr7lt3OU09vwQwhkpOPPYv2Y/edit?usp=sharing"",""งบพรบ!FJ27"")"),159792)</f>
        <v>159792</v>
      </c>
      <c r="O361" s="224">
        <f ca="1">IF(L361&gt;0,N361*100/L361,0)</f>
        <v>46.154646024089423</v>
      </c>
      <c r="P361" s="224">
        <f ca="1">IF(M361&gt;0,N361*100/M361,0)</f>
        <v>59.564982386819004</v>
      </c>
      <c r="Q361" s="224">
        <v>0</v>
      </c>
      <c r="R361" s="224">
        <v>0</v>
      </c>
      <c r="S361" s="224">
        <v>0</v>
      </c>
      <c r="T361" s="224">
        <f>IF(Q361&gt;0,S361*100/Q361,0)</f>
        <v>0</v>
      </c>
      <c r="U361" s="224">
        <f>IF(R361&gt;0,S361*100/R361,0)</f>
        <v>0</v>
      </c>
    </row>
    <row r="362" spans="1:21" ht="18.75" x14ac:dyDescent="0.25">
      <c r="A362" s="128"/>
      <c r="B362" s="40"/>
      <c r="C362" s="40"/>
      <c r="D362" s="41" t="s">
        <v>23</v>
      </c>
      <c r="E362" s="40"/>
      <c r="F362" s="40"/>
      <c r="G362" s="42"/>
      <c r="H362" s="137" t="s">
        <v>14</v>
      </c>
      <c r="I362" s="135"/>
      <c r="J362" s="135"/>
      <c r="K362" s="136"/>
      <c r="L362" s="1356">
        <f ca="1">L363+L364</f>
        <v>0</v>
      </c>
      <c r="M362" s="224">
        <f ca="1">M363+M364</f>
        <v>0</v>
      </c>
      <c r="N362" s="224">
        <f ca="1">N363+N364</f>
        <v>0</v>
      </c>
      <c r="O362" s="224">
        <f ca="1">IF(L362&gt;0,N362*100/L362,0)</f>
        <v>0</v>
      </c>
      <c r="P362" s="224">
        <f ca="1">IF(M362&gt;0,N362*100/M362,0)</f>
        <v>0</v>
      </c>
      <c r="Q362" s="224">
        <f>Q363+Q364</f>
        <v>0</v>
      </c>
      <c r="R362" s="224">
        <f>R363+R364</f>
        <v>0</v>
      </c>
      <c r="S362" s="224">
        <f>S363+S364</f>
        <v>0</v>
      </c>
      <c r="T362" s="224">
        <f>IF(Q362&gt;0,S362*100/Q362,0)</f>
        <v>0</v>
      </c>
      <c r="U362" s="224">
        <f>IF(R362&gt;0,S362*100/R362,0)</f>
        <v>0</v>
      </c>
    </row>
    <row r="363" spans="1:21" ht="18.75" x14ac:dyDescent="0.25">
      <c r="A363" s="128"/>
      <c r="B363" s="40"/>
      <c r="C363" s="40"/>
      <c r="D363" s="40"/>
      <c r="E363" s="156" t="s">
        <v>20</v>
      </c>
      <c r="F363" s="40"/>
      <c r="G363" s="42"/>
      <c r="H363" s="159" t="s">
        <v>14</v>
      </c>
      <c r="I363" s="135"/>
      <c r="J363" s="135"/>
      <c r="K363" s="136"/>
      <c r="L363" s="1358">
        <v>0</v>
      </c>
      <c r="M363" s="83">
        <v>0</v>
      </c>
      <c r="N363" s="83">
        <v>0</v>
      </c>
      <c r="O363" s="83">
        <f>IF(L363&gt;0,N363*100/L363,0)</f>
        <v>0</v>
      </c>
      <c r="P363" s="83">
        <f>IF(M363&gt;0,N363*100/M363,0)</f>
        <v>0</v>
      </c>
      <c r="Q363" s="83">
        <v>0</v>
      </c>
      <c r="R363" s="83">
        <v>0</v>
      </c>
      <c r="S363" s="83">
        <v>0</v>
      </c>
      <c r="T363" s="83">
        <f>IF(Q363&gt;0,S363*100/Q363,0)</f>
        <v>0</v>
      </c>
      <c r="U363" s="83">
        <f>IF(R363&gt;0,S363*100/R363,0)</f>
        <v>0</v>
      </c>
    </row>
    <row r="364" spans="1:21" ht="18.75" x14ac:dyDescent="0.25">
      <c r="A364" s="128"/>
      <c r="B364" s="40"/>
      <c r="C364" s="40"/>
      <c r="D364" s="40"/>
      <c r="E364" s="47" t="s">
        <v>21</v>
      </c>
      <c r="F364" s="40"/>
      <c r="G364" s="42"/>
      <c r="H364" s="137" t="s">
        <v>14</v>
      </c>
      <c r="I364" s="135"/>
      <c r="J364" s="135"/>
      <c r="K364" s="136"/>
      <c r="L364" s="1356">
        <f ca="1">IFERROR(__xludf.DUMMYFUNCTION("IMPORTRANGE(""https://docs.google.com/spreadsheets/d/1-uDff_7J0KD5mKrp0Vvzr7lt3OU09vwQwhkpOPPYv2Y/edit?usp=sharing"",""งบพรบ!FF27"")"),0)</f>
        <v>0</v>
      </c>
      <c r="M364" s="224">
        <f ca="1">IFERROR(__xludf.DUMMYFUNCTION("IMPORTRANGE(""https://docs.google.com/spreadsheets/d/1-uDff_7J0KD5mKrp0Vvzr7lt3OU09vwQwhkpOPPYv2Y/edit?usp=sharing"",""งบพรบ!FI27"")"),0)</f>
        <v>0</v>
      </c>
      <c r="N364" s="224">
        <f ca="1">IFERROR(__xludf.DUMMYFUNCTION("IMPORTRANGE(""https://docs.google.com/spreadsheets/d/1-uDff_7J0KD5mKrp0Vvzr7lt3OU09vwQwhkpOPPYv2Y/edit?usp=sharing"",""งบพรบ!FK27"")"),0)</f>
        <v>0</v>
      </c>
      <c r="O364" s="224">
        <f ca="1">IF(L364&gt;0,N364*100/L364,0)</f>
        <v>0</v>
      </c>
      <c r="P364" s="224">
        <f ca="1">IF(M364&gt;0,N364*100/M364,0)</f>
        <v>0</v>
      </c>
      <c r="Q364" s="224">
        <v>0</v>
      </c>
      <c r="R364" s="224">
        <v>0</v>
      </c>
      <c r="S364" s="224">
        <v>0</v>
      </c>
      <c r="T364" s="224">
        <f>IF(Q364&gt;0,S364*100/Q364,0)</f>
        <v>0</v>
      </c>
      <c r="U364" s="224">
        <f>IF(R364&gt;0,S364*100/R364,0)</f>
        <v>0</v>
      </c>
    </row>
    <row r="365" spans="1:21" ht="19.5" x14ac:dyDescent="0.3">
      <c r="A365" s="211"/>
      <c r="B365" s="212"/>
      <c r="C365" s="214"/>
      <c r="D365" s="1523" t="s">
        <v>149</v>
      </c>
      <c r="E365" s="214"/>
      <c r="F365" s="214"/>
      <c r="G365" s="215"/>
      <c r="H365" s="223" t="s">
        <v>35</v>
      </c>
      <c r="I365" s="303">
        <f ca="1">I371</f>
        <v>110</v>
      </c>
      <c r="J365" s="303">
        <f ca="1">J371</f>
        <v>69</v>
      </c>
      <c r="K365" s="304">
        <f ca="1">IF(I365&gt;0,J365*100/I365,0)</f>
        <v>62.727272727272727</v>
      </c>
      <c r="L365" s="1416"/>
      <c r="M365" s="219"/>
      <c r="N365" s="219"/>
      <c r="O365" s="219"/>
      <c r="P365" s="219"/>
      <c r="Q365" s="219"/>
      <c r="R365" s="219"/>
      <c r="S365" s="219"/>
      <c r="T365" s="219"/>
      <c r="U365" s="219"/>
    </row>
    <row r="366" spans="1:21" ht="19.5" x14ac:dyDescent="0.3">
      <c r="A366" s="138"/>
      <c r="B366" s="139"/>
      <c r="C366" s="129" t="s">
        <v>18</v>
      </c>
      <c r="D366" s="1391" t="s">
        <v>38</v>
      </c>
      <c r="E366" s="141"/>
      <c r="F366" s="141"/>
      <c r="G366" s="142"/>
      <c r="H366" s="143"/>
      <c r="I366" s="44"/>
      <c r="J366" s="44"/>
      <c r="K366" s="45"/>
      <c r="L366" s="1392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3" t="s">
        <v>35</v>
      </c>
      <c r="I367" s="184">
        <v>0</v>
      </c>
      <c r="J367" s="184">
        <f ca="1">IFERROR(__xludf.DUMMYFUNCTION("IMPORTRANGE(""https://docs.google.com/spreadsheets/d/1tdoBKaGub7dwA3U6UFTqxio9LNnvDCQjHKmttSEBsFQ/edit?usp=sharing"",""จัดที่ดิน!AB27"")"),108)</f>
        <v>108</v>
      </c>
      <c r="K367" s="224">
        <f>IF(I367&gt;0,J367*100/I367,0)</f>
        <v>0</v>
      </c>
      <c r="L367" s="1392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3" t="s">
        <v>46</v>
      </c>
      <c r="I368" s="184">
        <f ca="1">IFERROR(__xludf.DUMMYFUNCTION("IMPORTRANGE(""https://docs.google.com/spreadsheets/d/1eHaY18a8A9IcSdp1K8H6x8fbOy06t2VsZHhMHf-1x7Y/edit?usp=sharing"",""แผน!EW27"")"),460)</f>
        <v>460</v>
      </c>
      <c r="J368" s="1524">
        <f ca="1">IFERROR(__xludf.DUMMYFUNCTION("IMPORTRANGE(""https://docs.google.com/spreadsheets/d/1tdoBKaGub7dwA3U6UFTqxio9LNnvDCQjHKmttSEBsFQ/edit?usp=sharing"",""จัดที่ดิน!AC27"")"),358.83)</f>
        <v>358.83</v>
      </c>
      <c r="K368" s="224">
        <f ca="1">IF(I368&gt;0,J368*100/I368,0)</f>
        <v>78.006521739130434</v>
      </c>
      <c r="L368" s="1392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84">
        <f ca="1">IFERROR(__xludf.DUMMYFUNCTION("IMPORTRANGE(""https://docs.google.com/spreadsheets/d/1eHaY18a8A9IcSdp1K8H6x8fbOy06t2VsZHhMHf-1x7Y/edit?usp=sharing"",""แผน!EX27"")"),110)</f>
        <v>110</v>
      </c>
      <c r="J369" s="184">
        <f ca="1">IFERROR(__xludf.DUMMYFUNCTION("IMPORTRANGE(""https://docs.google.com/spreadsheets/d/1tdoBKaGub7dwA3U6UFTqxio9LNnvDCQjHKmttSEBsFQ/edit?usp=sharing"",""จัดที่ดิน!AD27"")"),104)</f>
        <v>104</v>
      </c>
      <c r="K369" s="224">
        <f ca="1">IF(I369&gt;0,J369*100/I369,0)</f>
        <v>94.545454545454547</v>
      </c>
      <c r="L369" s="1392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84">
        <v>0</v>
      </c>
      <c r="J370" s="1524">
        <f ca="1">IFERROR(__xludf.DUMMYFUNCTION("IMPORTRANGE(""https://docs.google.com/spreadsheets/d/1tdoBKaGub7dwA3U6UFTqxio9LNnvDCQjHKmttSEBsFQ/edit?usp=sharing"",""จัดที่ดิน!AE27"")"),416.51)</f>
        <v>416.51</v>
      </c>
      <c r="K370" s="224">
        <f>IF(I370&gt;0,J370*100/I370,0)</f>
        <v>0</v>
      </c>
      <c r="L370" s="1392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08" t="s">
        <v>152</v>
      </c>
      <c r="F371" s="145"/>
      <c r="G371" s="143"/>
      <c r="H371" s="150" t="s">
        <v>35</v>
      </c>
      <c r="I371" s="184">
        <f ca="1">IFERROR(__xludf.DUMMYFUNCTION("IMPORTRANGE(""https://docs.google.com/spreadsheets/d/1eHaY18a8A9IcSdp1K8H6x8fbOy06t2VsZHhMHf-1x7Y/edit?usp=sharing"",""แผน!EY27"")"),110)</f>
        <v>110</v>
      </c>
      <c r="J371" s="184">
        <f ca="1">IFERROR(__xludf.DUMMYFUNCTION("IMPORTRANGE(""https://docs.google.com/spreadsheets/d/1tdoBKaGub7dwA3U6UFTqxio9LNnvDCQjHKmttSEBsFQ/edit?usp=sharing"",""จัดที่ดิน!AF27"")"),69)</f>
        <v>69</v>
      </c>
      <c r="K371" s="224">
        <f ca="1">IF(I371&gt;0,J371*100/I371,0)</f>
        <v>62.727272727272727</v>
      </c>
      <c r="L371" s="1392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84">
        <v>0</v>
      </c>
      <c r="J372" s="1524">
        <f ca="1">IFERROR(__xludf.DUMMYFUNCTION("IMPORTRANGE(""https://docs.google.com/spreadsheets/d/1tdoBKaGub7dwA3U6UFTqxio9LNnvDCQjHKmttSEBsFQ/edit?usp=sharing"",""จัดที่ดิน!AG27"")"),306.45)</f>
        <v>306.45</v>
      </c>
      <c r="K372" s="224">
        <f>IF(I372&gt;0,J372*100/I372,0)</f>
        <v>0</v>
      </c>
      <c r="L372" s="1392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2"/>
      <c r="B373" s="1"/>
      <c r="C373" s="2"/>
      <c r="D373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2"/>
      <c r="H373" s="52"/>
      <c r="I373" s="54"/>
      <c r="J373" s="54"/>
      <c r="K373" s="3"/>
      <c r="L373" s="1360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9.5" x14ac:dyDescent="0.3">
      <c r="A374" s="1525"/>
      <c r="B374" s="1526" t="s">
        <v>153</v>
      </c>
      <c r="C374" s="1527"/>
      <c r="D374" s="1528"/>
      <c r="E374" s="1529"/>
      <c r="F374" s="1529"/>
      <c r="G374" s="1530"/>
      <c r="H374" s="1531" t="s">
        <v>46</v>
      </c>
      <c r="I374" s="1532">
        <f ca="1">I386+I388</f>
        <v>1000</v>
      </c>
      <c r="J374" s="1532">
        <f ca="1">J386+J388</f>
        <v>0</v>
      </c>
      <c r="K374" s="1533">
        <f ca="1">IF(I374&gt;0,J374*100/I374,0)</f>
        <v>0</v>
      </c>
      <c r="L374" s="1503"/>
      <c r="M374" s="298"/>
      <c r="N374" s="298"/>
      <c r="O374" s="298"/>
      <c r="P374" s="298"/>
      <c r="Q374" s="298"/>
      <c r="R374" s="298"/>
      <c r="S374" s="298"/>
      <c r="T374" s="298"/>
      <c r="U374" s="298"/>
    </row>
    <row r="375" spans="1:21" ht="19.5" x14ac:dyDescent="0.3">
      <c r="A375" s="128"/>
      <c r="B375" s="158"/>
      <c r="C375" s="161" t="s">
        <v>18</v>
      </c>
      <c r="D375" s="1534" t="s">
        <v>19</v>
      </c>
      <c r="E375" s="40"/>
      <c r="F375" s="40"/>
      <c r="G375" s="42"/>
      <c r="H375" s="131" t="s">
        <v>14</v>
      </c>
      <c r="I375" s="44"/>
      <c r="J375" s="44"/>
      <c r="K375" s="45"/>
      <c r="L375" s="1389">
        <f ca="1">L376+L377</f>
        <v>0</v>
      </c>
      <c r="M375" s="1390">
        <f ca="1">M376+M377</f>
        <v>0</v>
      </c>
      <c r="N375" s="1390">
        <f ca="1">N376+N377</f>
        <v>0</v>
      </c>
      <c r="O375" s="1390">
        <f ca="1">IF(L375&gt;0,N375*100/L375,0)</f>
        <v>0</v>
      </c>
      <c r="P375" s="1390">
        <f ca="1">IF(M375&gt;0,N375*100/M375,0)</f>
        <v>0</v>
      </c>
      <c r="Q375" s="1390">
        <f ca="1">Q376+Q377</f>
        <v>62500</v>
      </c>
      <c r="R375" s="1390">
        <f ca="1">R376+R377</f>
        <v>62500</v>
      </c>
      <c r="S375" s="1390">
        <f ca="1">S376+S377</f>
        <v>0</v>
      </c>
      <c r="T375" s="1390">
        <f ca="1">IF(Q375&gt;0,S375*100/Q375,0)</f>
        <v>0</v>
      </c>
      <c r="U375" s="1390">
        <f ca="1">IF(R375&gt;0,S375*100/R375,0)</f>
        <v>0</v>
      </c>
    </row>
    <row r="376" spans="1:21" ht="18.75" x14ac:dyDescent="0.25">
      <c r="A376" s="128"/>
      <c r="B376" s="158"/>
      <c r="C376" s="158"/>
      <c r="D376" s="158"/>
      <c r="E376" s="156" t="s">
        <v>20</v>
      </c>
      <c r="F376" s="40"/>
      <c r="G376" s="42"/>
      <c r="H376" s="157" t="s">
        <v>14</v>
      </c>
      <c r="I376" s="44"/>
      <c r="J376" s="44"/>
      <c r="K376" s="45"/>
      <c r="L376" s="1358">
        <f>L379+L382</f>
        <v>0</v>
      </c>
      <c r="M376" s="83">
        <f>M379+M382</f>
        <v>0</v>
      </c>
      <c r="N376" s="83">
        <f>N379+N382</f>
        <v>0</v>
      </c>
      <c r="O376" s="83">
        <f>IF(L376&gt;0,N376*100/L376,0)</f>
        <v>0</v>
      </c>
      <c r="P376" s="83">
        <f>IF(M376&gt;0,N376*100/M376,0)</f>
        <v>0</v>
      </c>
      <c r="Q376" s="83">
        <f>Q379+Q382</f>
        <v>0</v>
      </c>
      <c r="R376" s="83">
        <f>R379+R382</f>
        <v>0</v>
      </c>
      <c r="S376" s="83">
        <f>S379+S382</f>
        <v>0</v>
      </c>
      <c r="T376" s="83">
        <f>IF(Q376&gt;0,S376*100/Q376,0)</f>
        <v>0</v>
      </c>
      <c r="U376" s="83">
        <f>IF(R376&gt;0,S376*100/R376,0)</f>
        <v>0</v>
      </c>
    </row>
    <row r="377" spans="1:21" ht="18.75" x14ac:dyDescent="0.25">
      <c r="A377" s="128"/>
      <c r="B377" s="158"/>
      <c r="C377" s="158"/>
      <c r="D377" s="158"/>
      <c r="E377" s="47" t="s">
        <v>21</v>
      </c>
      <c r="F377" s="40"/>
      <c r="G377" s="42"/>
      <c r="H377" s="133" t="s">
        <v>14</v>
      </c>
      <c r="I377" s="44"/>
      <c r="J377" s="44"/>
      <c r="K377" s="45"/>
      <c r="L377" s="1356">
        <f ca="1">L380+L383</f>
        <v>0</v>
      </c>
      <c r="M377" s="224">
        <f ca="1">M380+M383</f>
        <v>0</v>
      </c>
      <c r="N377" s="224">
        <f ca="1">N380+N383</f>
        <v>0</v>
      </c>
      <c r="O377" s="224">
        <f ca="1">IF(L377&gt;0,N377*100/L377,0)</f>
        <v>0</v>
      </c>
      <c r="P377" s="224">
        <f ca="1">IF(M377&gt;0,N377*100/M377,0)</f>
        <v>0</v>
      </c>
      <c r="Q377" s="224">
        <f ca="1">Q380+Q383</f>
        <v>62500</v>
      </c>
      <c r="R377" s="224">
        <f ca="1">R380+R383</f>
        <v>62500</v>
      </c>
      <c r="S377" s="224">
        <f ca="1">S380+S383</f>
        <v>0</v>
      </c>
      <c r="T377" s="224">
        <f ca="1">IF(Q377&gt;0,S377*100/Q377,0)</f>
        <v>0</v>
      </c>
      <c r="U377" s="224">
        <f ca="1">IF(R377&gt;0,S377*100/R377,0)</f>
        <v>0</v>
      </c>
    </row>
    <row r="378" spans="1:21" ht="18.75" x14ac:dyDescent="0.25">
      <c r="A378" s="128"/>
      <c r="B378" s="158"/>
      <c r="C378" s="158"/>
      <c r="D378" s="1406" t="s">
        <v>22</v>
      </c>
      <c r="E378" s="40"/>
      <c r="F378" s="40"/>
      <c r="G378" s="42"/>
      <c r="H378" s="134" t="s">
        <v>14</v>
      </c>
      <c r="I378" s="135"/>
      <c r="J378" s="135"/>
      <c r="K378" s="136"/>
      <c r="L378" s="1356">
        <f ca="1">L379+L380</f>
        <v>0</v>
      </c>
      <c r="M378" s="224">
        <f ca="1">M379+M380</f>
        <v>0</v>
      </c>
      <c r="N378" s="224">
        <f ca="1">N379+N380</f>
        <v>0</v>
      </c>
      <c r="O378" s="224">
        <f ca="1">IF(L378&gt;0,N378*100/L378,0)</f>
        <v>0</v>
      </c>
      <c r="P378" s="224">
        <f ca="1">IF(M378&gt;0,N378*100/M378,0)</f>
        <v>0</v>
      </c>
      <c r="Q378" s="224">
        <f ca="1">Q379+Q380</f>
        <v>62500</v>
      </c>
      <c r="R378" s="224">
        <f ca="1">R379+R380</f>
        <v>62500</v>
      </c>
      <c r="S378" s="224">
        <f ca="1">S379+S380</f>
        <v>0</v>
      </c>
      <c r="T378" s="224">
        <f ca="1">IF(Q378&gt;0,S378*100/Q378,0)</f>
        <v>0</v>
      </c>
      <c r="U378" s="224">
        <f ca="1">IF(R378&gt;0,S378*100/R378,0)</f>
        <v>0</v>
      </c>
    </row>
    <row r="379" spans="1:21" ht="18.75" x14ac:dyDescent="0.25">
      <c r="A379" s="128"/>
      <c r="B379" s="158"/>
      <c r="C379" s="158"/>
      <c r="D379" s="158"/>
      <c r="E379" s="156" t="s">
        <v>36</v>
      </c>
      <c r="F379" s="40"/>
      <c r="G379" s="42"/>
      <c r="H379" s="159" t="s">
        <v>14</v>
      </c>
      <c r="I379" s="135"/>
      <c r="J379" s="135"/>
      <c r="K379" s="136"/>
      <c r="L379" s="1358">
        <v>0</v>
      </c>
      <c r="M379" s="83">
        <v>0</v>
      </c>
      <c r="N379" s="83">
        <v>0</v>
      </c>
      <c r="O379" s="83">
        <f>IF(L379&gt;0,N379*100/L379,0)</f>
        <v>0</v>
      </c>
      <c r="P379" s="83">
        <f>IF(M379&gt;0,N379*100/M379,0)</f>
        <v>0</v>
      </c>
      <c r="Q379" s="83">
        <v>0</v>
      </c>
      <c r="R379" s="83">
        <v>0</v>
      </c>
      <c r="S379" s="83">
        <v>0</v>
      </c>
      <c r="T379" s="83">
        <f>IF(Q379&gt;0,S379*100/Q379,0)</f>
        <v>0</v>
      </c>
      <c r="U379" s="83">
        <f>IF(R379&gt;0,S379*100/R379,0)</f>
        <v>0</v>
      </c>
    </row>
    <row r="380" spans="1:21" ht="18.75" x14ac:dyDescent="0.25">
      <c r="A380" s="128"/>
      <c r="B380" s="158"/>
      <c r="C380" s="158"/>
      <c r="D380" s="158"/>
      <c r="E380" s="209" t="s">
        <v>37</v>
      </c>
      <c r="F380" s="158"/>
      <c r="G380" s="180"/>
      <c r="H380" s="134" t="s">
        <v>14</v>
      </c>
      <c r="I380" s="135"/>
      <c r="J380" s="135"/>
      <c r="K380" s="136"/>
      <c r="L380" s="1356">
        <f ca="1">IFERROR(__xludf.DUMMYFUNCTION("IMPORTRANGE(""https://docs.google.com/spreadsheets/d/1-uDff_7J0KD5mKrp0Vvzr7lt3OU09vwQwhkpOPPYv2Y/edit?usp=sharing"",""งบพรบ!IE27"")"),0)</f>
        <v>0</v>
      </c>
      <c r="M380" s="224">
        <f ca="1">IFERROR(__xludf.DUMMYFUNCTION("IMPORTRANGE(""https://docs.google.com/spreadsheets/d/1-uDff_7J0KD5mKrp0Vvzr7lt3OU09vwQwhkpOPPYv2Y/edit?usp=sharing"",""งบพรบ!IJ27"")"),0)</f>
        <v>0</v>
      </c>
      <c r="N380" s="224">
        <f ca="1">IFERROR(__xludf.DUMMYFUNCTION("IMPORTRANGE(""https://docs.google.com/spreadsheets/d/1-uDff_7J0KD5mKrp0Vvzr7lt3OU09vwQwhkpOPPYv2Y/edit?usp=sharing"",""งบพรบ!IL27"")"),0)</f>
        <v>0</v>
      </c>
      <c r="O380" s="224">
        <f ca="1">IF(L380&gt;0,N380*100/L380,0)</f>
        <v>0</v>
      </c>
      <c r="P380" s="224">
        <f ca="1">IF(M380&gt;0,N380*100/M380,0)</f>
        <v>0</v>
      </c>
      <c r="Q380" s="224">
        <f ca="1">IFERROR(__xludf.DUMMYFUNCTION("IMPORTRANGE(""https://docs.google.com/spreadsheets/d/1ItG2mGa2ceCfYo0BwxsXqNm01IGEUdYcSSLTEv9YCik/edit?usp=sharing"",""เบิกจ่ายกองทุน!BW27"")"),62500)</f>
        <v>62500</v>
      </c>
      <c r="R380" s="224">
        <f ca="1">IFERROR(__xludf.DUMMYFUNCTION("IMPORTRANGE(""https://docs.google.com/spreadsheets/d/1ItG2mGa2ceCfYo0BwxsXqNm01IGEUdYcSSLTEv9YCik/edit?usp=sharing"",""เบิกจ่ายกองทุน!BX27"")"),62500)</f>
        <v>62500</v>
      </c>
      <c r="S380" s="224">
        <f ca="1">IFERROR(__xludf.DUMMYFUNCTION("IMPORTRANGE(""https://docs.google.com/spreadsheets/d/1ItG2mGa2ceCfYo0BwxsXqNm01IGEUdYcSSLTEv9YCik/edit?usp=sharing"",""เบิกจ่ายกองทุน!BY27"")"),0)</f>
        <v>0</v>
      </c>
      <c r="T380" s="224">
        <f ca="1">IF(Q380&gt;0,S380*100/Q380,0)</f>
        <v>0</v>
      </c>
      <c r="U380" s="224">
        <f ca="1">IF(R380&gt;0,S380*100/R380,0)</f>
        <v>0</v>
      </c>
    </row>
    <row r="381" spans="1:21" ht="18.75" x14ac:dyDescent="0.25">
      <c r="A381" s="128"/>
      <c r="B381" s="158"/>
      <c r="C381" s="158"/>
      <c r="D381" s="1406" t="s">
        <v>23</v>
      </c>
      <c r="E381" s="40"/>
      <c r="F381" s="40"/>
      <c r="G381" s="42"/>
      <c r="H381" s="137" t="s">
        <v>14</v>
      </c>
      <c r="I381" s="135"/>
      <c r="J381" s="135"/>
      <c r="K381" s="136"/>
      <c r="L381" s="1356">
        <f ca="1">L382+L383</f>
        <v>0</v>
      </c>
      <c r="M381" s="224">
        <f ca="1">M382+M383</f>
        <v>0</v>
      </c>
      <c r="N381" s="224">
        <f ca="1">N382+N383</f>
        <v>0</v>
      </c>
      <c r="O381" s="224">
        <f ca="1">IF(L381&gt;0,N381*100/L381,0)</f>
        <v>0</v>
      </c>
      <c r="P381" s="224">
        <f ca="1">IF(M381&gt;0,N381*100/M381,0)</f>
        <v>0</v>
      </c>
      <c r="Q381" s="224">
        <f>Q382+Q383</f>
        <v>0</v>
      </c>
      <c r="R381" s="224">
        <f>R382+R383</f>
        <v>0</v>
      </c>
      <c r="S381" s="224">
        <f>S382+S383</f>
        <v>0</v>
      </c>
      <c r="T381" s="224">
        <f>IF(Q381&gt;0,S381*100/Q381,0)</f>
        <v>0</v>
      </c>
      <c r="U381" s="224">
        <f>IF(R381&gt;0,S381*100/R381,0)</f>
        <v>0</v>
      </c>
    </row>
    <row r="382" spans="1:21" ht="18.75" x14ac:dyDescent="0.25">
      <c r="A382" s="128"/>
      <c r="B382" s="158"/>
      <c r="C382" s="158"/>
      <c r="D382" s="158"/>
      <c r="E382" s="156" t="s">
        <v>20</v>
      </c>
      <c r="F382" s="40"/>
      <c r="G382" s="42"/>
      <c r="H382" s="159" t="s">
        <v>14</v>
      </c>
      <c r="I382" s="135"/>
      <c r="J382" s="135"/>
      <c r="K382" s="136"/>
      <c r="L382" s="1358">
        <v>0</v>
      </c>
      <c r="M382" s="83">
        <v>0</v>
      </c>
      <c r="N382" s="83">
        <v>0</v>
      </c>
      <c r="O382" s="83">
        <f>IF(L382&gt;0,N382*100/L382,0)</f>
        <v>0</v>
      </c>
      <c r="P382" s="83">
        <f>IF(M382&gt;0,N382*100/M382,0)</f>
        <v>0</v>
      </c>
      <c r="Q382" s="83">
        <v>0</v>
      </c>
      <c r="R382" s="83">
        <v>0</v>
      </c>
      <c r="S382" s="83">
        <v>0</v>
      </c>
      <c r="T382" s="83">
        <f>IF(Q382&gt;0,S382*100/Q382,0)</f>
        <v>0</v>
      </c>
      <c r="U382" s="83">
        <f>IF(R382&gt;0,S382*100/R382,0)</f>
        <v>0</v>
      </c>
    </row>
    <row r="383" spans="1:21" ht="18.75" x14ac:dyDescent="0.25">
      <c r="A383" s="128"/>
      <c r="B383" s="158"/>
      <c r="C383" s="158"/>
      <c r="D383" s="158"/>
      <c r="E383" s="47" t="s">
        <v>21</v>
      </c>
      <c r="F383" s="40"/>
      <c r="G383" s="42"/>
      <c r="H383" s="137" t="s">
        <v>14</v>
      </c>
      <c r="I383" s="135"/>
      <c r="J383" s="135"/>
      <c r="K383" s="136"/>
      <c r="L383" s="1356">
        <f ca="1">IFERROR(__xludf.DUMMYFUNCTION("IMPORTRANGE(""https://docs.google.com/spreadsheets/d/1-uDff_7J0KD5mKrp0Vvzr7lt3OU09vwQwhkpOPPYv2Y/edit?usp=sharing"",""งบพรบ!IH27"")"),0)</f>
        <v>0</v>
      </c>
      <c r="M383" s="224">
        <f ca="1">IFERROR(__xludf.DUMMYFUNCTION("IMPORTRANGE(""https://docs.google.com/spreadsheets/d/1-uDff_7J0KD5mKrp0Vvzr7lt3OU09vwQwhkpOPPYv2Y/edit?usp=sharing"",""งบพรบ!IK27"")"),0)</f>
        <v>0</v>
      </c>
      <c r="N383" s="224">
        <f ca="1">IFERROR(__xludf.DUMMYFUNCTION("IMPORTRANGE(""https://docs.google.com/spreadsheets/d/1-uDff_7J0KD5mKrp0Vvzr7lt3OU09vwQwhkpOPPYv2Y/edit?usp=sharing"",""งบพรบ!IM27"")"),0)</f>
        <v>0</v>
      </c>
      <c r="O383" s="224">
        <f ca="1">IF(L383&gt;0,N383*100/L383,0)</f>
        <v>0</v>
      </c>
      <c r="P383" s="224">
        <f ca="1">IF(M383&gt;0,N383*100/M383,0)</f>
        <v>0</v>
      </c>
      <c r="Q383" s="224">
        <v>0</v>
      </c>
      <c r="R383" s="224">
        <v>0</v>
      </c>
      <c r="S383" s="224">
        <v>0</v>
      </c>
      <c r="T383" s="224">
        <f>IF(Q383&gt;0,S383*100/Q383,0)</f>
        <v>0</v>
      </c>
      <c r="U383" s="224">
        <f>IF(R383&gt;0,S383*100/R383,0)</f>
        <v>0</v>
      </c>
    </row>
    <row r="384" spans="1:21" ht="19.5" x14ac:dyDescent="0.3">
      <c r="A384" s="138"/>
      <c r="B384" s="139"/>
      <c r="C384" s="161" t="s">
        <v>18</v>
      </c>
      <c r="D384" s="1535" t="s">
        <v>38</v>
      </c>
      <c r="E384" s="141"/>
      <c r="F384" s="141"/>
      <c r="G384" s="142"/>
      <c r="H384" s="178"/>
      <c r="I384" s="135"/>
      <c r="J384" s="44"/>
      <c r="K384" s="45"/>
      <c r="L384" s="1359"/>
      <c r="M384" s="45"/>
      <c r="N384" s="45"/>
      <c r="O384" s="136"/>
      <c r="P384" s="136"/>
      <c r="Q384" s="45"/>
      <c r="R384" s="45"/>
      <c r="S384" s="45"/>
      <c r="T384" s="136"/>
      <c r="U384" s="136"/>
    </row>
    <row r="385" spans="1:21" ht="18.75" x14ac:dyDescent="0.25">
      <c r="A385" s="208"/>
      <c r="B385" s="158"/>
      <c r="C385" s="158"/>
      <c r="D385" s="158"/>
      <c r="E385" s="47" t="s">
        <v>154</v>
      </c>
      <c r="F385" s="40"/>
      <c r="G385" s="42"/>
      <c r="H385" s="133" t="s">
        <v>34</v>
      </c>
      <c r="I385" s="184">
        <v>0</v>
      </c>
      <c r="J385" s="184">
        <f ca="1">IFERROR(__xludf.DUMMYFUNCTION("IMPORTRANGE(""https://docs.google.com/spreadsheets/d/1w5rwWK1o49a35cNtocGL0gxDwhFSTZUQu90BiH9_zqM/edit?usp=sharing"",""RTK!H27"")"),0)</f>
        <v>0</v>
      </c>
      <c r="K385" s="224">
        <f>IF(I385&gt;0,J385*100/I385,0)</f>
        <v>0</v>
      </c>
      <c r="L385" s="1359"/>
      <c r="M385" s="45"/>
      <c r="N385" s="45"/>
      <c r="O385" s="45"/>
      <c r="P385" s="45"/>
      <c r="Q385" s="45"/>
      <c r="R385" s="45"/>
      <c r="S385" s="45"/>
      <c r="T385" s="45"/>
      <c r="U385" s="45"/>
    </row>
    <row r="386" spans="1:21" ht="18.75" x14ac:dyDescent="0.25">
      <c r="A386" s="158"/>
      <c r="B386" s="158"/>
      <c r="C386" s="158"/>
      <c r="D386" s="158"/>
      <c r="E386" s="158"/>
      <c r="F386" s="158"/>
      <c r="G386" s="180"/>
      <c r="H386" s="133" t="s">
        <v>46</v>
      </c>
      <c r="I386" s="184">
        <f ca="1">IFERROR(__xludf.DUMMYFUNCTION("IMPORTRANGE(""https://docs.google.com/spreadsheets/d/1w5rwWK1o49a35cNtocGL0gxDwhFSTZUQu90BiH9_zqM/edit?usp=sharing"",""RTK!G27"")"),1000)</f>
        <v>1000</v>
      </c>
      <c r="J386" s="184">
        <f ca="1">IFERROR(__xludf.DUMMYFUNCTION("IMPORTRANGE(""https://docs.google.com/spreadsheets/d/1w5rwWK1o49a35cNtocGL0gxDwhFSTZUQu90BiH9_zqM/edit?usp=sharing"",""RTK!I27"")"),0)</f>
        <v>0</v>
      </c>
      <c r="K386" s="224">
        <f ca="1">IF(I386&gt;0,J386*100/I386,0)</f>
        <v>0</v>
      </c>
      <c r="L386" s="1359"/>
      <c r="M386" s="45"/>
      <c r="N386" s="45"/>
      <c r="O386" s="45"/>
      <c r="P386" s="45"/>
      <c r="Q386" s="45"/>
      <c r="R386" s="45"/>
      <c r="S386" s="45"/>
      <c r="T386" s="45"/>
      <c r="U386" s="45"/>
    </row>
    <row r="387" spans="1:21" ht="18.75" x14ac:dyDescent="0.25">
      <c r="A387" s="1608"/>
      <c r="B387" s="1608"/>
      <c r="C387" s="1608"/>
      <c r="D387" s="1608"/>
      <c r="E387" s="1609" t="s">
        <v>155</v>
      </c>
      <c r="F387" s="1608"/>
      <c r="G387" s="1601"/>
      <c r="H387" s="1474" t="s">
        <v>34</v>
      </c>
      <c r="I387" s="1598">
        <v>0</v>
      </c>
      <c r="J387" s="1598">
        <f ca="1">IFERROR(__xludf.DUMMYFUNCTION("IMPORTRANGE(""https://docs.google.com/spreadsheets/d/1w5rwWK1o49a35cNtocGL0gxDwhFSTZUQu90BiH9_zqM/edit?usp=sharing"",""RTK!L27"")"),0)</f>
        <v>0</v>
      </c>
      <c r="K387" s="1476">
        <f>IF(I387&gt;0,J387*100/I387,0)</f>
        <v>0</v>
      </c>
      <c r="L387" s="1600"/>
      <c r="M387" s="1465"/>
      <c r="N387" s="1465"/>
      <c r="O387" s="1465"/>
      <c r="P387" s="1465"/>
      <c r="Q387" s="1465"/>
      <c r="R387" s="1465"/>
      <c r="S387" s="1465"/>
      <c r="T387" s="1465"/>
      <c r="U387" s="1465"/>
    </row>
    <row r="388" spans="1:21" ht="18.75" x14ac:dyDescent="0.25">
      <c r="A388" s="1608"/>
      <c r="B388" s="1608"/>
      <c r="C388" s="1608"/>
      <c r="D388" s="1608"/>
      <c r="E388" s="1608"/>
      <c r="F388" s="1608"/>
      <c r="G388" s="1601"/>
      <c r="H388" s="1474" t="s">
        <v>46</v>
      </c>
      <c r="I388" s="1598">
        <f ca="1">IFERROR(__xludf.DUMMYFUNCTION("IMPORTRANGE(""https://docs.google.com/spreadsheets/d/1w5rwWK1o49a35cNtocGL0gxDwhFSTZUQu90BiH9_zqM/edit?usp=sharing"",""RTK!K27"")"),0)</f>
        <v>0</v>
      </c>
      <c r="J388" s="1598">
        <f ca="1">IFERROR(__xludf.DUMMYFUNCTION("IMPORTRANGE(""https://docs.google.com/spreadsheets/d/1w5rwWK1o49a35cNtocGL0gxDwhFSTZUQu90BiH9_zqM/edit?usp=sharing"",""RTK!M27"")"),0)</f>
        <v>0</v>
      </c>
      <c r="K388" s="1476">
        <f ca="1">IF(I388&gt;0,J388*100/I388,0)</f>
        <v>0</v>
      </c>
      <c r="L388" s="1600"/>
      <c r="M388" s="1465"/>
      <c r="N388" s="1465"/>
      <c r="O388" s="1465"/>
      <c r="P388" s="1465"/>
      <c r="Q388" s="1465"/>
      <c r="R388" s="1465"/>
      <c r="S388" s="1465"/>
      <c r="T388" s="1465"/>
      <c r="U388" s="1465"/>
    </row>
    <row r="389" spans="1:21" ht="12.75" x14ac:dyDescent="0.2">
      <c r="A389" s="228"/>
      <c r="B389" s="228"/>
      <c r="C389" s="228"/>
      <c r="D389" s="228"/>
      <c r="E389" s="228"/>
      <c r="F389" s="228"/>
      <c r="G389" s="231"/>
      <c r="H389" s="231"/>
      <c r="I389" s="232"/>
      <c r="J389" s="232"/>
      <c r="K389" s="233"/>
      <c r="L389" s="1536"/>
      <c r="M389" s="233"/>
      <c r="N389" s="233"/>
      <c r="O389" s="233"/>
      <c r="P389" s="233"/>
      <c r="Q389" s="233"/>
      <c r="R389" s="233"/>
      <c r="S389" s="233"/>
      <c r="T389" s="233"/>
      <c r="U389" s="233"/>
    </row>
    <row r="390" spans="1:21" ht="12.75" x14ac:dyDescent="0.2">
      <c r="A390" s="316"/>
      <c r="B390" s="316"/>
      <c r="C390" s="316"/>
      <c r="D390" s="316"/>
      <c r="E390" s="316"/>
      <c r="F390" s="316"/>
      <c r="G390" s="317"/>
      <c r="H390" s="317"/>
      <c r="I390" s="318"/>
      <c r="J390" s="318"/>
      <c r="K390" s="319"/>
      <c r="L390" s="1537"/>
      <c r="M390" s="319"/>
      <c r="N390" s="319"/>
      <c r="O390" s="319"/>
      <c r="P390" s="319"/>
      <c r="Q390" s="319"/>
      <c r="R390" s="319"/>
      <c r="S390" s="319"/>
      <c r="T390" s="319"/>
      <c r="U390" s="319"/>
    </row>
    <row r="391" spans="1:21" ht="19.5" x14ac:dyDescent="0.3">
      <c r="A391" s="299"/>
      <c r="B391" s="310" t="s">
        <v>156</v>
      </c>
      <c r="C391" s="300"/>
      <c r="D391" s="301"/>
      <c r="E391" s="293"/>
      <c r="F391" s="293"/>
      <c r="G391" s="294"/>
      <c r="H391" s="311" t="s">
        <v>61</v>
      </c>
      <c r="I391" s="307">
        <f>I402</f>
        <v>0</v>
      </c>
      <c r="J391" s="307">
        <f>J402</f>
        <v>0</v>
      </c>
      <c r="K391" s="1502">
        <f>IF(I391&gt;0,J391*100/I391,0)</f>
        <v>0</v>
      </c>
      <c r="L391" s="1503"/>
      <c r="M391" s="298"/>
      <c r="N391" s="298"/>
      <c r="O391" s="298"/>
      <c r="P391" s="298"/>
      <c r="Q391" s="298"/>
      <c r="R391" s="298"/>
      <c r="S391" s="298"/>
      <c r="T391" s="298"/>
      <c r="U391" s="298"/>
    </row>
    <row r="392" spans="1:21" ht="19.5" x14ac:dyDescent="0.3">
      <c r="A392" s="128"/>
      <c r="B392" s="158"/>
      <c r="C392" s="161" t="s">
        <v>18</v>
      </c>
      <c r="D392" s="1534" t="s">
        <v>19</v>
      </c>
      <c r="E392" s="40"/>
      <c r="F392" s="40"/>
      <c r="G392" s="42"/>
      <c r="H392" s="131" t="s">
        <v>14</v>
      </c>
      <c r="I392" s="44"/>
      <c r="J392" s="44"/>
      <c r="K392" s="45"/>
      <c r="L392" s="1389">
        <f>L393+L394</f>
        <v>0</v>
      </c>
      <c r="M392" s="1390">
        <f>M393+M394</f>
        <v>0</v>
      </c>
      <c r="N392" s="1390">
        <f>N393+N394</f>
        <v>0</v>
      </c>
      <c r="O392" s="1390">
        <f>IF(L392&gt;0,N392*100/L392,0)</f>
        <v>0</v>
      </c>
      <c r="P392" s="1390">
        <f>IF(M392&gt;0,N392*100/M392,0)</f>
        <v>0</v>
      </c>
      <c r="Q392" s="1390">
        <f ca="1">Q393+Q394</f>
        <v>0</v>
      </c>
      <c r="R392" s="1390">
        <f ca="1">R393+R394</f>
        <v>0</v>
      </c>
      <c r="S392" s="1390">
        <f ca="1">S393+S394</f>
        <v>0</v>
      </c>
      <c r="T392" s="1390">
        <f ca="1">IF(Q392&gt;0,S392*100/Q392,0)</f>
        <v>0</v>
      </c>
      <c r="U392" s="1390">
        <f ca="1">IF(R392&gt;0,S392*100/R392,0)</f>
        <v>0</v>
      </c>
    </row>
    <row r="393" spans="1:21" ht="18.75" x14ac:dyDescent="0.25">
      <c r="A393" s="128"/>
      <c r="B393" s="158"/>
      <c r="C393" s="158"/>
      <c r="D393" s="158"/>
      <c r="E393" s="156" t="s">
        <v>20</v>
      </c>
      <c r="F393" s="40"/>
      <c r="G393" s="42"/>
      <c r="H393" s="157" t="s">
        <v>14</v>
      </c>
      <c r="I393" s="44"/>
      <c r="J393" s="44"/>
      <c r="K393" s="45"/>
      <c r="L393" s="1358">
        <f>L396+L399</f>
        <v>0</v>
      </c>
      <c r="M393" s="83">
        <f>M396+M399</f>
        <v>0</v>
      </c>
      <c r="N393" s="83">
        <f>N396+N399</f>
        <v>0</v>
      </c>
      <c r="O393" s="83">
        <f>IF(L393&gt;0,N393*100/L393,0)</f>
        <v>0</v>
      </c>
      <c r="P393" s="83">
        <f>IF(M393&gt;0,N393*100/M393,0)</f>
        <v>0</v>
      </c>
      <c r="Q393" s="83">
        <f>Q396+Q399</f>
        <v>0</v>
      </c>
      <c r="R393" s="83">
        <f>R396+R399</f>
        <v>0</v>
      </c>
      <c r="S393" s="83">
        <f>S396+S399</f>
        <v>0</v>
      </c>
      <c r="T393" s="83">
        <f>IF(Q393&gt;0,S393*100/Q393,0)</f>
        <v>0</v>
      </c>
      <c r="U393" s="83">
        <f>IF(R393&gt;0,S393*100/R393,0)</f>
        <v>0</v>
      </c>
    </row>
    <row r="394" spans="1:21" ht="18.75" x14ac:dyDescent="0.25">
      <c r="A394" s="128"/>
      <c r="B394" s="158"/>
      <c r="C394" s="158"/>
      <c r="D394" s="158"/>
      <c r="E394" s="47" t="s">
        <v>21</v>
      </c>
      <c r="F394" s="40"/>
      <c r="G394" s="42"/>
      <c r="H394" s="133" t="s">
        <v>14</v>
      </c>
      <c r="I394" s="44"/>
      <c r="J394" s="44"/>
      <c r="K394" s="45"/>
      <c r="L394" s="1356">
        <f>L397+L400</f>
        <v>0</v>
      </c>
      <c r="M394" s="224">
        <f>M397+M400</f>
        <v>0</v>
      </c>
      <c r="N394" s="224">
        <f>N397+N400</f>
        <v>0</v>
      </c>
      <c r="O394" s="224">
        <f>IF(L394&gt;0,N394*100/L394,0)</f>
        <v>0</v>
      </c>
      <c r="P394" s="224">
        <f>IF(M394&gt;0,N394*100/M394,0)</f>
        <v>0</v>
      </c>
      <c r="Q394" s="224">
        <f ca="1">Q397+Q400</f>
        <v>0</v>
      </c>
      <c r="R394" s="224">
        <f ca="1">R397+R400</f>
        <v>0</v>
      </c>
      <c r="S394" s="224">
        <f ca="1">S397+S400</f>
        <v>0</v>
      </c>
      <c r="T394" s="224">
        <f ca="1">IF(Q394&gt;0,S394*100/Q394,0)</f>
        <v>0</v>
      </c>
      <c r="U394" s="224">
        <f ca="1">IF(R394&gt;0,S394*100/R394,0)</f>
        <v>0</v>
      </c>
    </row>
    <row r="395" spans="1:21" ht="18.75" x14ac:dyDescent="0.25">
      <c r="A395" s="128"/>
      <c r="B395" s="158"/>
      <c r="C395" s="158"/>
      <c r="D395" s="1406" t="s">
        <v>22</v>
      </c>
      <c r="E395" s="40"/>
      <c r="F395" s="40"/>
      <c r="G395" s="42"/>
      <c r="H395" s="134" t="s">
        <v>14</v>
      </c>
      <c r="I395" s="135"/>
      <c r="J395" s="135"/>
      <c r="K395" s="136"/>
      <c r="L395" s="1356">
        <f>L396+L397</f>
        <v>0</v>
      </c>
      <c r="M395" s="224">
        <f>M396+M397</f>
        <v>0</v>
      </c>
      <c r="N395" s="224">
        <f>N396+N397</f>
        <v>0</v>
      </c>
      <c r="O395" s="224">
        <f>IF(L395&gt;0,N395*100/L395,0)</f>
        <v>0</v>
      </c>
      <c r="P395" s="224">
        <f>IF(M395&gt;0,N395*100/M395,0)</f>
        <v>0</v>
      </c>
      <c r="Q395" s="224">
        <f ca="1">Q396+Q397</f>
        <v>0</v>
      </c>
      <c r="R395" s="224">
        <f ca="1">R396+R397</f>
        <v>0</v>
      </c>
      <c r="S395" s="224">
        <f ca="1">S396+S397</f>
        <v>0</v>
      </c>
      <c r="T395" s="224">
        <f ca="1">IF(Q395&gt;0,S395*100/Q395,0)</f>
        <v>0</v>
      </c>
      <c r="U395" s="224">
        <f ca="1">IF(R395&gt;0,S395*100/R395,0)</f>
        <v>0</v>
      </c>
    </row>
    <row r="396" spans="1:21" ht="18.75" x14ac:dyDescent="0.25">
      <c r="A396" s="128"/>
      <c r="B396" s="158"/>
      <c r="C396" s="158"/>
      <c r="D396" s="158"/>
      <c r="E396" s="156" t="s">
        <v>36</v>
      </c>
      <c r="F396" s="40"/>
      <c r="G396" s="42"/>
      <c r="H396" s="159" t="s">
        <v>14</v>
      </c>
      <c r="I396" s="135"/>
      <c r="J396" s="135"/>
      <c r="K396" s="136"/>
      <c r="L396" s="1358">
        <v>0</v>
      </c>
      <c r="M396" s="83">
        <v>0</v>
      </c>
      <c r="N396" s="83">
        <v>0</v>
      </c>
      <c r="O396" s="83">
        <f>IF(L396&gt;0,N396*100/L396,0)</f>
        <v>0</v>
      </c>
      <c r="P396" s="83">
        <f>IF(M396&gt;0,N396*100/M396,0)</f>
        <v>0</v>
      </c>
      <c r="Q396" s="83">
        <v>0</v>
      </c>
      <c r="R396" s="83">
        <v>0</v>
      </c>
      <c r="S396" s="83">
        <v>0</v>
      </c>
      <c r="T396" s="83">
        <f>IF(Q396&gt;0,S396*100/Q396,0)</f>
        <v>0</v>
      </c>
      <c r="U396" s="83">
        <f>IF(R396&gt;0,S396*100/R396,0)</f>
        <v>0</v>
      </c>
    </row>
    <row r="397" spans="1:21" ht="18.75" x14ac:dyDescent="0.25">
      <c r="A397" s="128"/>
      <c r="B397" s="158"/>
      <c r="C397" s="158"/>
      <c r="D397" s="158"/>
      <c r="E397" s="209" t="s">
        <v>37</v>
      </c>
      <c r="F397" s="158"/>
      <c r="G397" s="180"/>
      <c r="H397" s="134" t="s">
        <v>14</v>
      </c>
      <c r="I397" s="135"/>
      <c r="J397" s="135"/>
      <c r="K397" s="136"/>
      <c r="L397" s="1356">
        <v>0</v>
      </c>
      <c r="M397" s="224">
        <v>0</v>
      </c>
      <c r="N397" s="224">
        <v>0</v>
      </c>
      <c r="O397" s="224">
        <f>IF(L397&gt;0,N397*100/L397,0)</f>
        <v>0</v>
      </c>
      <c r="P397" s="224">
        <f>IF(M397&gt;0,N397*100/M397,0)</f>
        <v>0</v>
      </c>
      <c r="Q397" s="224">
        <f ca="1">IFERROR(__xludf.DUMMYFUNCTION("IMPORTRANGE(""https://docs.google.com/spreadsheets/d/1ItG2mGa2ceCfYo0BwxsXqNm01IGEUdYcSSLTEv9YCik/edit?usp=sharing"",""เบิกจ่ายกองทุน!CL27"")"),0)</f>
        <v>0</v>
      </c>
      <c r="R397" s="224">
        <f ca="1">IFERROR(__xludf.DUMMYFUNCTION("IMPORTRANGE(""https://docs.google.com/spreadsheets/d/1ItG2mGa2ceCfYo0BwxsXqNm01IGEUdYcSSLTEv9YCik/edit?usp=sharing"",""เบิกจ่ายกองทุน!CM27"")"),0)</f>
        <v>0</v>
      </c>
      <c r="S397" s="224">
        <f ca="1">IFERROR(__xludf.DUMMYFUNCTION("IMPORTRANGE(""https://docs.google.com/spreadsheets/d/1ItG2mGa2ceCfYo0BwxsXqNm01IGEUdYcSSLTEv9YCik/edit?usp=sharing"",""เบิกจ่ายกองทุน!CN27"")"),0)</f>
        <v>0</v>
      </c>
      <c r="T397" s="224">
        <f ca="1">IF(Q397&gt;0,S397*100/Q397,0)</f>
        <v>0</v>
      </c>
      <c r="U397" s="224">
        <f ca="1">IF(R397&gt;0,S397*100/R397,0)</f>
        <v>0</v>
      </c>
    </row>
    <row r="398" spans="1:21" ht="18.75" x14ac:dyDescent="0.25">
      <c r="A398" s="128"/>
      <c r="B398" s="158"/>
      <c r="C398" s="158"/>
      <c r="D398" s="1406" t="s">
        <v>23</v>
      </c>
      <c r="E398" s="40"/>
      <c r="F398" s="40"/>
      <c r="G398" s="42"/>
      <c r="H398" s="137" t="s">
        <v>14</v>
      </c>
      <c r="I398" s="135"/>
      <c r="J398" s="135"/>
      <c r="K398" s="136"/>
      <c r="L398" s="1356">
        <f>L399+L400</f>
        <v>0</v>
      </c>
      <c r="M398" s="224">
        <f>M399+M400</f>
        <v>0</v>
      </c>
      <c r="N398" s="224">
        <f>N399+N400</f>
        <v>0</v>
      </c>
      <c r="O398" s="224">
        <f>IF(L398&gt;0,N398*100/L398,0)</f>
        <v>0</v>
      </c>
      <c r="P398" s="224">
        <f>IF(M398&gt;0,N398*100/M398,0)</f>
        <v>0</v>
      </c>
      <c r="Q398" s="224">
        <f>Q399+Q400</f>
        <v>0</v>
      </c>
      <c r="R398" s="224">
        <f>R399+R400</f>
        <v>0</v>
      </c>
      <c r="S398" s="224">
        <f>S399+S400</f>
        <v>0</v>
      </c>
      <c r="T398" s="224">
        <f>IF(Q398&gt;0,S398*100/Q398,0)</f>
        <v>0</v>
      </c>
      <c r="U398" s="224">
        <f>IF(R398&gt;0,S398*100/R398,0)</f>
        <v>0</v>
      </c>
    </row>
    <row r="399" spans="1:21" ht="18.75" x14ac:dyDescent="0.25">
      <c r="A399" s="128"/>
      <c r="B399" s="158"/>
      <c r="C399" s="158"/>
      <c r="D399" s="158"/>
      <c r="E399" s="156" t="s">
        <v>20</v>
      </c>
      <c r="F399" s="40"/>
      <c r="G399" s="42"/>
      <c r="H399" s="159" t="s">
        <v>14</v>
      </c>
      <c r="I399" s="135"/>
      <c r="J399" s="135"/>
      <c r="K399" s="136"/>
      <c r="L399" s="1358">
        <v>0</v>
      </c>
      <c r="M399" s="83">
        <v>0</v>
      </c>
      <c r="N399" s="83">
        <v>0</v>
      </c>
      <c r="O399" s="83">
        <f>IF(L399&gt;0,N399*100/L399,0)</f>
        <v>0</v>
      </c>
      <c r="P399" s="83">
        <f>IF(M399&gt;0,N399*100/M399,0)</f>
        <v>0</v>
      </c>
      <c r="Q399" s="83">
        <v>0</v>
      </c>
      <c r="R399" s="83">
        <v>0</v>
      </c>
      <c r="S399" s="83">
        <v>0</v>
      </c>
      <c r="T399" s="83">
        <f>IF(Q399&gt;0,S399*100/Q399,0)</f>
        <v>0</v>
      </c>
      <c r="U399" s="83">
        <f>IF(R399&gt;0,S399*100/R399,0)</f>
        <v>0</v>
      </c>
    </row>
    <row r="400" spans="1:21" ht="18.75" x14ac:dyDescent="0.25">
      <c r="A400" s="128"/>
      <c r="B400" s="158"/>
      <c r="C400" s="158"/>
      <c r="D400" s="158"/>
      <c r="E400" s="47" t="s">
        <v>21</v>
      </c>
      <c r="F400" s="40"/>
      <c r="G400" s="42"/>
      <c r="H400" s="137" t="s">
        <v>14</v>
      </c>
      <c r="I400" s="135"/>
      <c r="J400" s="135"/>
      <c r="K400" s="136"/>
      <c r="L400" s="1356">
        <v>0</v>
      </c>
      <c r="M400" s="224">
        <v>0</v>
      </c>
      <c r="N400" s="224">
        <v>0</v>
      </c>
      <c r="O400" s="224">
        <f>IF(L400&gt;0,N400*100/L400,0)</f>
        <v>0</v>
      </c>
      <c r="P400" s="224">
        <f>IF(M400&gt;0,N400*100/M400,0)</f>
        <v>0</v>
      </c>
      <c r="Q400" s="224">
        <v>0</v>
      </c>
      <c r="R400" s="224">
        <v>0</v>
      </c>
      <c r="S400" s="224">
        <v>0</v>
      </c>
      <c r="T400" s="224">
        <f>IF(Q400&gt;0,S400*100/Q400,0)</f>
        <v>0</v>
      </c>
      <c r="U400" s="224">
        <f>IF(R400&gt;0,S400*100/R400,0)</f>
        <v>0</v>
      </c>
    </row>
    <row r="401" spans="1:21" ht="19.5" x14ac:dyDescent="0.3">
      <c r="A401" s="138"/>
      <c r="B401" s="139"/>
      <c r="C401" s="161" t="s">
        <v>18</v>
      </c>
      <c r="D401" s="1535" t="s">
        <v>38</v>
      </c>
      <c r="E401" s="141"/>
      <c r="F401" s="141"/>
      <c r="G401" s="142"/>
      <c r="H401" s="178"/>
      <c r="I401" s="135"/>
      <c r="J401" s="44"/>
      <c r="K401" s="45"/>
      <c r="L401" s="1359"/>
      <c r="M401" s="45"/>
      <c r="N401" s="45"/>
      <c r="O401" s="136"/>
      <c r="P401" s="136"/>
      <c r="Q401" s="45"/>
      <c r="R401" s="45"/>
      <c r="S401" s="45"/>
      <c r="T401" s="136"/>
      <c r="U401" s="136"/>
    </row>
    <row r="402" spans="1:21" ht="12.75" x14ac:dyDescent="0.2">
      <c r="A402" s="227"/>
      <c r="B402" s="228"/>
      <c r="C402" s="228"/>
      <c r="D402" s="228"/>
      <c r="E402" s="229"/>
      <c r="F402" s="229"/>
      <c r="G402" s="230"/>
      <c r="H402" s="231"/>
      <c r="I402" s="232"/>
      <c r="J402" s="232"/>
      <c r="K402" s="233"/>
      <c r="L402" s="1536"/>
      <c r="M402" s="233"/>
      <c r="N402" s="233"/>
      <c r="O402" s="233"/>
      <c r="P402" s="233"/>
      <c r="Q402" s="233"/>
      <c r="R402" s="233"/>
      <c r="S402" s="233"/>
      <c r="T402" s="233"/>
      <c r="U402" s="233"/>
    </row>
    <row r="403" spans="1:21" ht="12.75" x14ac:dyDescent="0.2">
      <c r="A403" s="228"/>
      <c r="B403" s="228"/>
      <c r="C403" s="228"/>
      <c r="D403" s="228"/>
      <c r="E403" s="228"/>
      <c r="F403" s="228"/>
      <c r="G403" s="231"/>
      <c r="H403" s="231"/>
      <c r="I403" s="232"/>
      <c r="J403" s="232"/>
      <c r="K403" s="233"/>
      <c r="L403" s="1536"/>
      <c r="M403" s="233"/>
      <c r="N403" s="233"/>
      <c r="O403" s="233"/>
      <c r="P403" s="233"/>
      <c r="Q403" s="233"/>
      <c r="R403" s="233"/>
      <c r="S403" s="233"/>
      <c r="T403" s="233"/>
      <c r="U403" s="233"/>
    </row>
    <row r="404" spans="1:21" ht="12.75" x14ac:dyDescent="0.2">
      <c r="A404" s="228"/>
      <c r="B404" s="228"/>
      <c r="C404" s="228"/>
      <c r="D404" s="228"/>
      <c r="E404" s="228"/>
      <c r="F404" s="228"/>
      <c r="G404" s="231"/>
      <c r="H404" s="231"/>
      <c r="I404" s="232"/>
      <c r="J404" s="232"/>
      <c r="K404" s="233"/>
      <c r="L404" s="1536"/>
      <c r="M404" s="233"/>
      <c r="N404" s="233"/>
      <c r="O404" s="233"/>
      <c r="P404" s="233"/>
      <c r="Q404" s="233"/>
      <c r="R404" s="233"/>
      <c r="S404" s="233"/>
      <c r="T404" s="233"/>
      <c r="U404" s="233"/>
    </row>
    <row r="405" spans="1:21" ht="12.75" x14ac:dyDescent="0.2">
      <c r="A405" s="228"/>
      <c r="B405" s="228"/>
      <c r="C405" s="228"/>
      <c r="D405" s="228"/>
      <c r="E405" s="228"/>
      <c r="F405" s="228"/>
      <c r="G405" s="231"/>
      <c r="H405" s="231"/>
      <c r="I405" s="232"/>
      <c r="J405" s="232"/>
      <c r="K405" s="233"/>
      <c r="L405" s="1536"/>
      <c r="M405" s="233"/>
      <c r="N405" s="233"/>
      <c r="O405" s="233"/>
      <c r="P405" s="233"/>
      <c r="Q405" s="233"/>
      <c r="R405" s="233"/>
      <c r="S405" s="233"/>
      <c r="T405" s="233"/>
      <c r="U405" s="233"/>
    </row>
    <row r="406" spans="1:21" ht="12.75" x14ac:dyDescent="0.2">
      <c r="A406" s="228"/>
      <c r="B406" s="228"/>
      <c r="C406" s="228"/>
      <c r="D406" s="228"/>
      <c r="E406" s="228"/>
      <c r="F406" s="228"/>
      <c r="G406" s="231"/>
      <c r="H406" s="231"/>
      <c r="I406" s="232"/>
      <c r="J406" s="232"/>
      <c r="K406" s="233"/>
      <c r="L406" s="1536"/>
      <c r="M406" s="233"/>
      <c r="N406" s="233"/>
      <c r="O406" s="233"/>
      <c r="P406" s="233"/>
      <c r="Q406" s="233"/>
      <c r="R406" s="233"/>
      <c r="S406" s="233"/>
      <c r="T406" s="233"/>
      <c r="U406" s="233"/>
    </row>
    <row r="407" spans="1:21" ht="12.75" x14ac:dyDescent="0.2">
      <c r="A407" s="228"/>
      <c r="B407" s="228"/>
      <c r="C407" s="228"/>
      <c r="D407" s="228"/>
      <c r="E407" s="228"/>
      <c r="F407" s="228"/>
      <c r="G407" s="231"/>
      <c r="H407" s="231"/>
      <c r="I407" s="232"/>
      <c r="J407" s="232"/>
      <c r="K407" s="233"/>
      <c r="L407" s="1536"/>
      <c r="M407" s="233"/>
      <c r="N407" s="233"/>
      <c r="O407" s="233"/>
      <c r="P407" s="233"/>
      <c r="Q407" s="233"/>
      <c r="R407" s="233"/>
      <c r="S407" s="233"/>
      <c r="T407" s="233"/>
      <c r="U407" s="233"/>
    </row>
    <row r="408" spans="1:21" ht="12.75" x14ac:dyDescent="0.2">
      <c r="A408" s="228"/>
      <c r="B408" s="228"/>
      <c r="C408" s="228"/>
      <c r="D408" s="228"/>
      <c r="E408" s="228"/>
      <c r="F408" s="228"/>
      <c r="G408" s="231"/>
      <c r="H408" s="231"/>
      <c r="I408" s="232"/>
      <c r="J408" s="232"/>
      <c r="K408" s="233"/>
      <c r="L408" s="1536"/>
      <c r="M408" s="233"/>
      <c r="N408" s="233"/>
      <c r="O408" s="233"/>
      <c r="P408" s="233"/>
      <c r="Q408" s="233"/>
      <c r="R408" s="233"/>
      <c r="S408" s="233"/>
      <c r="T408" s="233"/>
      <c r="U408" s="233"/>
    </row>
    <row r="409" spans="1:21" ht="12.75" x14ac:dyDescent="0.2">
      <c r="A409" s="228"/>
      <c r="B409" s="228"/>
      <c r="C409" s="228"/>
      <c r="D409" s="228"/>
      <c r="E409" s="228"/>
      <c r="F409" s="228"/>
      <c r="G409" s="231"/>
      <c r="H409" s="231"/>
      <c r="I409" s="232"/>
      <c r="J409" s="232"/>
      <c r="K409" s="233"/>
      <c r="L409" s="1536"/>
      <c r="M409" s="233"/>
      <c r="N409" s="233"/>
      <c r="O409" s="233"/>
      <c r="P409" s="233"/>
      <c r="Q409" s="233"/>
      <c r="R409" s="233"/>
      <c r="S409" s="233"/>
      <c r="T409" s="233"/>
      <c r="U409" s="233"/>
    </row>
    <row r="410" spans="1:21" ht="12.75" x14ac:dyDescent="0.2">
      <c r="A410" s="228"/>
      <c r="B410" s="228"/>
      <c r="C410" s="228"/>
      <c r="D410" s="228"/>
      <c r="E410" s="228"/>
      <c r="F410" s="228"/>
      <c r="G410" s="231"/>
      <c r="H410" s="231"/>
      <c r="I410" s="232"/>
      <c r="J410" s="232"/>
      <c r="K410" s="233"/>
      <c r="L410" s="1536"/>
      <c r="M410" s="233"/>
      <c r="N410" s="233"/>
      <c r="O410" s="233"/>
      <c r="P410" s="233"/>
      <c r="Q410" s="233"/>
      <c r="R410" s="233"/>
      <c r="S410" s="233"/>
      <c r="T410" s="233"/>
      <c r="U410" s="233"/>
    </row>
    <row r="411" spans="1:21" ht="12.75" x14ac:dyDescent="0.2">
      <c r="A411" s="316"/>
      <c r="B411" s="316"/>
      <c r="C411" s="316"/>
      <c r="D411" s="316"/>
      <c r="E411" s="316"/>
      <c r="F411" s="316"/>
      <c r="G411" s="317"/>
      <c r="H411" s="317"/>
      <c r="I411" s="318"/>
      <c r="J411" s="318"/>
      <c r="K411" s="319"/>
      <c r="L411" s="1537"/>
      <c r="M411" s="319"/>
      <c r="N411" s="319"/>
      <c r="O411" s="319"/>
      <c r="P411" s="319"/>
      <c r="Q411" s="319"/>
      <c r="R411" s="319"/>
      <c r="S411" s="319"/>
      <c r="T411" s="319"/>
      <c r="U411" s="319"/>
    </row>
    <row r="412" spans="1:21" ht="19.5" x14ac:dyDescent="0.3">
      <c r="A412" s="301"/>
      <c r="B412" s="310" t="s">
        <v>157</v>
      </c>
      <c r="C412" s="301"/>
      <c r="D412" s="301"/>
      <c r="E412" s="301"/>
      <c r="F412" s="301"/>
      <c r="G412" s="320"/>
      <c r="H412" s="321" t="s">
        <v>46</v>
      </c>
      <c r="I412" s="1501">
        <f ca="1">I423</f>
        <v>6309</v>
      </c>
      <c r="J412" s="1501">
        <f>J423</f>
        <v>0</v>
      </c>
      <c r="K412" s="1502">
        <f ca="1">IF(I412&gt;0,J412*100/I412,0)</f>
        <v>0</v>
      </c>
      <c r="L412" s="1503"/>
      <c r="M412" s="298"/>
      <c r="N412" s="298"/>
      <c r="O412" s="298"/>
      <c r="P412" s="298"/>
      <c r="Q412" s="298"/>
      <c r="R412" s="298"/>
      <c r="S412" s="298"/>
      <c r="T412" s="298"/>
      <c r="U412" s="298"/>
    </row>
    <row r="413" spans="1:21" ht="19.5" x14ac:dyDescent="0.3">
      <c r="A413" s="128"/>
      <c r="B413" s="158"/>
      <c r="C413" s="322" t="s">
        <v>18</v>
      </c>
      <c r="D413" s="1538" t="s">
        <v>19</v>
      </c>
      <c r="E413" s="1292"/>
      <c r="F413" s="1292"/>
      <c r="G413" s="1293"/>
      <c r="H413" s="323" t="s">
        <v>14</v>
      </c>
      <c r="I413" s="44"/>
      <c r="J413" s="44"/>
      <c r="K413" s="45"/>
      <c r="L413" s="1389">
        <f ca="1">L414+L415</f>
        <v>456160</v>
      </c>
      <c r="M413" s="1390">
        <f ca="1">M414+M415</f>
        <v>294100</v>
      </c>
      <c r="N413" s="1390">
        <f ca="1">N414+N415</f>
        <v>0</v>
      </c>
      <c r="O413" s="1390">
        <f ca="1">IF(L413&gt;0,N413*100/L413,0)</f>
        <v>0</v>
      </c>
      <c r="P413" s="1390">
        <f ca="1">IF(M413&gt;0,N413*100/M413,0)</f>
        <v>0</v>
      </c>
      <c r="Q413" s="1390">
        <f ca="1">Q414+Q415</f>
        <v>53750</v>
      </c>
      <c r="R413" s="1390">
        <f ca="1">R414+R415</f>
        <v>53750</v>
      </c>
      <c r="S413" s="1390">
        <f ca="1">S414+S415</f>
        <v>0</v>
      </c>
      <c r="T413" s="1390">
        <f ca="1">IF(Q413&gt;0,S413*100/Q413,0)</f>
        <v>0</v>
      </c>
      <c r="U413" s="1390">
        <f ca="1">IF(R413&gt;0,S413*100/R413,0)</f>
        <v>0</v>
      </c>
    </row>
    <row r="414" spans="1:21" ht="18.75" x14ac:dyDescent="0.25">
      <c r="A414" s="128"/>
      <c r="B414" s="158"/>
      <c r="C414" s="158"/>
      <c r="D414" s="158"/>
      <c r="E414" s="314" t="s">
        <v>158</v>
      </c>
      <c r="F414" s="158"/>
      <c r="G414" s="180"/>
      <c r="H414" s="176" t="s">
        <v>14</v>
      </c>
      <c r="I414" s="44"/>
      <c r="J414" s="44"/>
      <c r="K414" s="45"/>
      <c r="L414" s="1358">
        <f>L417+L420</f>
        <v>0</v>
      </c>
      <c r="M414" s="83">
        <f>M417+M420</f>
        <v>0</v>
      </c>
      <c r="N414" s="83">
        <f>N417+N420</f>
        <v>0</v>
      </c>
      <c r="O414" s="83">
        <f>IF(L414&gt;0,N414*100/L414,0)</f>
        <v>0</v>
      </c>
      <c r="P414" s="83">
        <f>IF(M414&gt;0,N414*100/M414,0)</f>
        <v>0</v>
      </c>
      <c r="Q414" s="83">
        <f>Q417+Q420</f>
        <v>0</v>
      </c>
      <c r="R414" s="83">
        <f>R417+R420</f>
        <v>0</v>
      </c>
      <c r="S414" s="83">
        <f>S417+S420</f>
        <v>0</v>
      </c>
      <c r="T414" s="83">
        <f>IF(Q414&gt;0,S414*100/Q414,0)</f>
        <v>0</v>
      </c>
      <c r="U414" s="83">
        <f>IF(R414&gt;0,S414*100/R414,0)</f>
        <v>0</v>
      </c>
    </row>
    <row r="415" spans="1:21" ht="18.75" x14ac:dyDescent="0.25">
      <c r="A415" s="128"/>
      <c r="B415" s="158"/>
      <c r="C415" s="158"/>
      <c r="D415" s="158"/>
      <c r="E415" s="209" t="s">
        <v>159</v>
      </c>
      <c r="F415" s="158"/>
      <c r="G415" s="180"/>
      <c r="H415" s="175" t="s">
        <v>14</v>
      </c>
      <c r="I415" s="44"/>
      <c r="J415" s="44"/>
      <c r="K415" s="45"/>
      <c r="L415" s="1356">
        <f ca="1">L418+L421</f>
        <v>456160</v>
      </c>
      <c r="M415" s="224">
        <f ca="1">M418+M421</f>
        <v>294100</v>
      </c>
      <c r="N415" s="224">
        <f ca="1">N418+N421</f>
        <v>0</v>
      </c>
      <c r="O415" s="224">
        <f ca="1">IF(L415&gt;0,N415*100/L415,0)</f>
        <v>0</v>
      </c>
      <c r="P415" s="224">
        <f ca="1">IF(M415&gt;0,N415*100/M415,0)</f>
        <v>0</v>
      </c>
      <c r="Q415" s="224">
        <f ca="1">Q418+Q421</f>
        <v>53750</v>
      </c>
      <c r="R415" s="224">
        <f ca="1">R418+R421</f>
        <v>53750</v>
      </c>
      <c r="S415" s="224">
        <f ca="1">S418+S421</f>
        <v>0</v>
      </c>
      <c r="T415" s="224">
        <f ca="1">IF(Q415&gt;0,S415*100/Q415,0)</f>
        <v>0</v>
      </c>
      <c r="U415" s="224">
        <f ca="1">IF(R415&gt;0,S415*100/R415,0)</f>
        <v>0</v>
      </c>
    </row>
    <row r="416" spans="1:21" ht="19.5" x14ac:dyDescent="0.3">
      <c r="A416" s="128"/>
      <c r="B416" s="158"/>
      <c r="C416" s="158"/>
      <c r="D416" s="1534" t="s">
        <v>22</v>
      </c>
      <c r="E416" s="158"/>
      <c r="F416" s="158"/>
      <c r="G416" s="180"/>
      <c r="H416" s="323" t="s">
        <v>14</v>
      </c>
      <c r="I416" s="44"/>
      <c r="J416" s="44"/>
      <c r="K416" s="45"/>
      <c r="L416" s="1356">
        <f ca="1">L417+L418</f>
        <v>456160</v>
      </c>
      <c r="M416" s="224">
        <f ca="1">M417+M418</f>
        <v>294100</v>
      </c>
      <c r="N416" s="224">
        <f ca="1">N417+N418</f>
        <v>0</v>
      </c>
      <c r="O416" s="224">
        <f ca="1">IF(L416&gt;0,N416*100/L416,0)</f>
        <v>0</v>
      </c>
      <c r="P416" s="224">
        <f ca="1">IF(M416&gt;0,N416*100/M416,0)</f>
        <v>0</v>
      </c>
      <c r="Q416" s="224">
        <f ca="1">Q417+Q418</f>
        <v>53750</v>
      </c>
      <c r="R416" s="224">
        <f ca="1">R417+R418</f>
        <v>53750</v>
      </c>
      <c r="S416" s="224">
        <f ca="1">S417+S418</f>
        <v>0</v>
      </c>
      <c r="T416" s="224">
        <f ca="1">IF(Q416&gt;0,S416*100/Q416,0)</f>
        <v>0</v>
      </c>
      <c r="U416" s="224">
        <f ca="1">IF(R416&gt;0,S416*100/R416,0)</f>
        <v>0</v>
      </c>
    </row>
    <row r="417" spans="1:21" ht="18.75" x14ac:dyDescent="0.25">
      <c r="A417" s="128"/>
      <c r="B417" s="158"/>
      <c r="C417" s="158"/>
      <c r="D417" s="158"/>
      <c r="E417" s="314" t="s">
        <v>158</v>
      </c>
      <c r="F417" s="158"/>
      <c r="G417" s="180"/>
      <c r="H417" s="176" t="s">
        <v>14</v>
      </c>
      <c r="I417" s="44"/>
      <c r="J417" s="44"/>
      <c r="K417" s="45"/>
      <c r="L417" s="1358">
        <v>0</v>
      </c>
      <c r="M417" s="83">
        <v>0</v>
      </c>
      <c r="N417" s="83">
        <v>0</v>
      </c>
      <c r="O417" s="83">
        <f>IF(L417&gt;0,N417*100/L417,0)</f>
        <v>0</v>
      </c>
      <c r="P417" s="83">
        <f>IF(M417&gt;0,N417*100/M417,0)</f>
        <v>0</v>
      </c>
      <c r="Q417" s="83">
        <v>0</v>
      </c>
      <c r="R417" s="83">
        <v>0</v>
      </c>
      <c r="S417" s="83">
        <v>0</v>
      </c>
      <c r="T417" s="83">
        <f>IF(Q417&gt;0,S417*100/Q417,0)</f>
        <v>0</v>
      </c>
      <c r="U417" s="83">
        <f>IF(R417&gt;0,S417*100/R417,0)</f>
        <v>0</v>
      </c>
    </row>
    <row r="418" spans="1:21" ht="18.75" x14ac:dyDescent="0.25">
      <c r="A418" s="128"/>
      <c r="B418" s="158"/>
      <c r="C418" s="158"/>
      <c r="D418" s="158"/>
      <c r="E418" s="209" t="s">
        <v>159</v>
      </c>
      <c r="F418" s="158"/>
      <c r="G418" s="180"/>
      <c r="H418" s="175" t="s">
        <v>14</v>
      </c>
      <c r="I418" s="44"/>
      <c r="J418" s="44"/>
      <c r="K418" s="45"/>
      <c r="L418" s="1356">
        <f ca="1">IFERROR(__xludf.DUMMYFUNCTION("IMPORTRANGE(""https://docs.google.com/spreadsheets/d/1-uDff_7J0KD5mKrp0Vvzr7lt3OU09vwQwhkpOPPYv2Y/edit?usp=sharing"",""งบพรบ!IO27"")"),456160)</f>
        <v>456160</v>
      </c>
      <c r="M418" s="224">
        <f ca="1">IFERROR(__xludf.DUMMYFUNCTION("IMPORTRANGE(""https://docs.google.com/spreadsheets/d/1-uDff_7J0KD5mKrp0Vvzr7lt3OU09vwQwhkpOPPYv2Y/edit?usp=sharing"",""งบพรบ!IT27"")"),294100)</f>
        <v>294100</v>
      </c>
      <c r="N418" s="224">
        <f ca="1">IFERROR(__xludf.DUMMYFUNCTION("IMPORTRANGE(""https://docs.google.com/spreadsheets/d/1-uDff_7J0KD5mKrp0Vvzr7lt3OU09vwQwhkpOPPYv2Y/edit?usp=sharing"",""งบพรบ!IV27"")"),0)</f>
        <v>0</v>
      </c>
      <c r="O418" s="224">
        <f ca="1">IF(L418&gt;0,N418*100/L418,0)</f>
        <v>0</v>
      </c>
      <c r="P418" s="224">
        <f ca="1">IF(M418&gt;0,N418*100/M418,0)</f>
        <v>0</v>
      </c>
      <c r="Q418" s="224">
        <f ca="1">IFERROR(__xludf.DUMMYFUNCTION("IMPORTRANGE(""https://docs.google.com/spreadsheets/d/1ItG2mGa2ceCfYo0BwxsXqNm01IGEUdYcSSLTEv9YCik/edit?usp=sharing"",""เบิกจ่ายกองทุน!BZ27"")"),53750)</f>
        <v>53750</v>
      </c>
      <c r="R418" s="224">
        <f ca="1">IFERROR(__xludf.DUMMYFUNCTION("IMPORTRANGE(""https://docs.google.com/spreadsheets/d/1ItG2mGa2ceCfYo0BwxsXqNm01IGEUdYcSSLTEv9YCik/edit?usp=sharing"",""เบิกจ่ายกองทุน!CA27"")"),53750)</f>
        <v>53750</v>
      </c>
      <c r="S418" s="224">
        <f ca="1">IFERROR(__xludf.DUMMYFUNCTION("IMPORTRANGE(""https://docs.google.com/spreadsheets/d/1ItG2mGa2ceCfYo0BwxsXqNm01IGEUdYcSSLTEv9YCik/edit?usp=sharing"",""เบิกจ่ายกองทุน!CB27"")"),0)</f>
        <v>0</v>
      </c>
      <c r="T418" s="224">
        <f ca="1">IF(Q418&gt;0,S418*100/Q418,0)</f>
        <v>0</v>
      </c>
      <c r="U418" s="224">
        <f ca="1">IF(R418&gt;0,S418*100/R418,0)</f>
        <v>0</v>
      </c>
    </row>
    <row r="419" spans="1:21" ht="19.5" x14ac:dyDescent="0.3">
      <c r="A419" s="128"/>
      <c r="B419" s="158"/>
      <c r="C419" s="158"/>
      <c r="D419" s="1534" t="s">
        <v>23</v>
      </c>
      <c r="E419" s="158"/>
      <c r="F419" s="158"/>
      <c r="G419" s="180"/>
      <c r="H419" s="131" t="s">
        <v>14</v>
      </c>
      <c r="I419" s="44"/>
      <c r="J419" s="44"/>
      <c r="K419" s="45"/>
      <c r="L419" s="1356">
        <f ca="1">L420+L421</f>
        <v>0</v>
      </c>
      <c r="M419" s="224">
        <f ca="1">M420+M421</f>
        <v>0</v>
      </c>
      <c r="N419" s="224">
        <f ca="1">N420+N421</f>
        <v>0</v>
      </c>
      <c r="O419" s="224">
        <f ca="1">IF(L419&gt;0,N419*100/L419,0)</f>
        <v>0</v>
      </c>
      <c r="P419" s="224">
        <f ca="1">IF(M419&gt;0,N419*100/M419,0)</f>
        <v>0</v>
      </c>
      <c r="Q419" s="224">
        <f>Q420+Q421</f>
        <v>0</v>
      </c>
      <c r="R419" s="224">
        <f>R420+R421</f>
        <v>0</v>
      </c>
      <c r="S419" s="224">
        <f>S420+S421</f>
        <v>0</v>
      </c>
      <c r="T419" s="224">
        <f>IF(Q419&gt;0,S419*100/Q419,0)</f>
        <v>0</v>
      </c>
      <c r="U419" s="224">
        <f>IF(R419&gt;0,S419*100/R419,0)</f>
        <v>0</v>
      </c>
    </row>
    <row r="420" spans="1:21" ht="18.75" x14ac:dyDescent="0.25">
      <c r="A420" s="128"/>
      <c r="B420" s="158"/>
      <c r="C420" s="158"/>
      <c r="D420" s="158"/>
      <c r="E420" s="314" t="s">
        <v>20</v>
      </c>
      <c r="F420" s="158"/>
      <c r="G420" s="180"/>
      <c r="H420" s="176" t="s">
        <v>14</v>
      </c>
      <c r="I420" s="44"/>
      <c r="J420" s="44"/>
      <c r="K420" s="45"/>
      <c r="L420" s="1358">
        <v>0</v>
      </c>
      <c r="M420" s="83">
        <v>0</v>
      </c>
      <c r="N420" s="83">
        <v>0</v>
      </c>
      <c r="O420" s="83">
        <f>IF(L420&gt;0,N420*100/L420,0)</f>
        <v>0</v>
      </c>
      <c r="P420" s="83">
        <f>IF(M420&gt;0,N420*100/M420,0)</f>
        <v>0</v>
      </c>
      <c r="Q420" s="83">
        <v>0</v>
      </c>
      <c r="R420" s="83">
        <v>0</v>
      </c>
      <c r="S420" s="83">
        <v>0</v>
      </c>
      <c r="T420" s="83">
        <f>IF(Q420&gt;0,S420*100/Q420,0)</f>
        <v>0</v>
      </c>
      <c r="U420" s="83">
        <f>IF(R420&gt;0,S420*100/R420,0)</f>
        <v>0</v>
      </c>
    </row>
    <row r="421" spans="1:21" ht="18.75" x14ac:dyDescent="0.25">
      <c r="A421" s="128"/>
      <c r="B421" s="158"/>
      <c r="C421" s="158"/>
      <c r="D421" s="158"/>
      <c r="E421" s="209" t="s">
        <v>21</v>
      </c>
      <c r="F421" s="158"/>
      <c r="G421" s="180"/>
      <c r="H421" s="133" t="s">
        <v>14</v>
      </c>
      <c r="I421" s="44"/>
      <c r="J421" s="44"/>
      <c r="K421" s="45"/>
      <c r="L421" s="1356">
        <f ca="1">IFERROR(__xludf.DUMMYFUNCTION("IMPORTRANGE(""https://docs.google.com/spreadsheets/d/1-uDff_7J0KD5mKrp0Vvzr7lt3OU09vwQwhkpOPPYv2Y/edit?usp=sharing"",""งบพรบ!IR27"")"),0)</f>
        <v>0</v>
      </c>
      <c r="M421" s="224">
        <f ca="1">IFERROR(__xludf.DUMMYFUNCTION("IMPORTRANGE(""https://docs.google.com/spreadsheets/d/1-uDff_7J0KD5mKrp0Vvzr7lt3OU09vwQwhkpOPPYv2Y/edit?usp=sharing"",""งบพรบ!IU27"")"),0)</f>
        <v>0</v>
      </c>
      <c r="N421" s="224">
        <f ca="1">IFERROR(__xludf.DUMMYFUNCTION("IMPORTRANGE(""https://docs.google.com/spreadsheets/d/1-uDff_7J0KD5mKrp0Vvzr7lt3OU09vwQwhkpOPPYv2Y/edit?usp=sharing"",""งบพรบ!IW27"")"),0)</f>
        <v>0</v>
      </c>
      <c r="O421" s="224">
        <f ca="1">IF(L421&gt;0,N421*100/L421,0)</f>
        <v>0</v>
      </c>
      <c r="P421" s="224">
        <f ca="1">IF(M421&gt;0,N421*100/M421,0)</f>
        <v>0</v>
      </c>
      <c r="Q421" s="224">
        <v>0</v>
      </c>
      <c r="R421" s="224">
        <v>0</v>
      </c>
      <c r="S421" s="224">
        <v>0</v>
      </c>
      <c r="T421" s="224">
        <f>IF(Q421&gt;0,S421*100/Q421,0)</f>
        <v>0</v>
      </c>
      <c r="U421" s="224">
        <f>IF(R421&gt;0,S421*100/R421,0)</f>
        <v>0</v>
      </c>
    </row>
    <row r="422" spans="1:21" ht="19.5" x14ac:dyDescent="0.3">
      <c r="A422" s="208"/>
      <c r="B422" s="158"/>
      <c r="C422" s="322" t="s">
        <v>18</v>
      </c>
      <c r="D422" s="1539" t="s">
        <v>38</v>
      </c>
      <c r="E422" s="158"/>
      <c r="F422" s="158"/>
      <c r="G422" s="180"/>
      <c r="H422" s="180"/>
      <c r="I422" s="44"/>
      <c r="J422" s="44"/>
      <c r="K422" s="45"/>
      <c r="L422" s="1359"/>
      <c r="M422" s="45"/>
      <c r="N422" s="45"/>
      <c r="O422" s="45"/>
      <c r="P422" s="45"/>
      <c r="Q422" s="45"/>
      <c r="R422" s="45"/>
      <c r="S422" s="45"/>
      <c r="T422" s="45"/>
      <c r="U422" s="45"/>
    </row>
    <row r="423" spans="1:21" ht="19.5" x14ac:dyDescent="0.3">
      <c r="A423" s="208"/>
      <c r="B423" s="161" t="s">
        <v>160</v>
      </c>
      <c r="C423" s="158"/>
      <c r="D423" s="158"/>
      <c r="E423" s="158"/>
      <c r="F423" s="158"/>
      <c r="G423" s="180"/>
      <c r="H423" s="323" t="s">
        <v>46</v>
      </c>
      <c r="I423" s="328">
        <f ca="1">I440</f>
        <v>6309</v>
      </c>
      <c r="J423" s="328">
        <f>J440</f>
        <v>0</v>
      </c>
      <c r="K423" s="1390">
        <f ca="1">IF(I423&gt;0,J423*100/I423,0)</f>
        <v>0</v>
      </c>
      <c r="L423" s="1359"/>
      <c r="M423" s="45"/>
      <c r="N423" s="45"/>
      <c r="O423" s="45"/>
      <c r="P423" s="45"/>
      <c r="Q423" s="45"/>
      <c r="R423" s="45"/>
      <c r="S423" s="45"/>
      <c r="T423" s="45"/>
      <c r="U423" s="45"/>
    </row>
    <row r="424" spans="1:21" ht="19.5" x14ac:dyDescent="0.3">
      <c r="A424" s="208"/>
      <c r="B424" s="158"/>
      <c r="C424" s="161" t="s">
        <v>161</v>
      </c>
      <c r="D424" s="158"/>
      <c r="E424" s="158"/>
      <c r="F424" s="158"/>
      <c r="G424" s="180"/>
      <c r="H424" s="131" t="s">
        <v>46</v>
      </c>
      <c r="I424" s="328">
        <f ca="1">IFERROR(__xludf.DUMMYFUNCTION("IMPORTRANGE(""https://docs.google.com/spreadsheets/d/1eHaY18a8A9IcSdp1K8H6x8fbOy06t2VsZHhMHf-1x7Y/edit?usp=sharing"",""แผน!HJ27"")"),6309)</f>
        <v>6309</v>
      </c>
      <c r="J424" s="328">
        <f>J426+J428+J430</f>
        <v>0</v>
      </c>
      <c r="K424" s="1390">
        <f ca="1">IF(I424&gt;0,J424*100/I424,0)</f>
        <v>0</v>
      </c>
      <c r="L424" s="1359"/>
      <c r="M424" s="45"/>
      <c r="N424" s="45"/>
      <c r="O424" s="45"/>
      <c r="P424" s="45"/>
      <c r="Q424" s="45"/>
      <c r="R424" s="45"/>
      <c r="S424" s="45"/>
      <c r="T424" s="45"/>
      <c r="U424" s="45"/>
    </row>
    <row r="425" spans="1:21" ht="19.5" x14ac:dyDescent="0.3">
      <c r="A425" s="208"/>
      <c r="B425" s="158"/>
      <c r="C425" s="158"/>
      <c r="D425" s="158"/>
      <c r="E425" s="158"/>
      <c r="F425" s="158"/>
      <c r="G425" s="180"/>
      <c r="H425" s="131" t="s">
        <v>34</v>
      </c>
      <c r="I425" s="328">
        <f ca="1">IFERROR(__xludf.DUMMYFUNCTION("IMPORTRANGE(""https://docs.google.com/spreadsheets/d/1eHaY18a8A9IcSdp1K8H6x8fbOy06t2VsZHhMHf-1x7Y/edit?usp=sharing"",""แผน!HK27"")"),1306)</f>
        <v>1306</v>
      </c>
      <c r="J425" s="328">
        <f>J427+J429+J431</f>
        <v>0</v>
      </c>
      <c r="K425" s="1390">
        <f ca="1">IF(I425&gt;0,J425*100/I425,0)</f>
        <v>0</v>
      </c>
      <c r="L425" s="1359"/>
      <c r="M425" s="45"/>
      <c r="N425" s="45"/>
      <c r="O425" s="45"/>
      <c r="P425" s="45"/>
      <c r="Q425" s="45"/>
      <c r="R425" s="45"/>
      <c r="S425" s="45"/>
      <c r="T425" s="45"/>
      <c r="U425" s="45"/>
    </row>
    <row r="426" spans="1:21" ht="18.75" x14ac:dyDescent="0.25">
      <c r="A426" s="208"/>
      <c r="B426" s="158"/>
      <c r="C426" s="158"/>
      <c r="D426" s="209" t="s">
        <v>162</v>
      </c>
      <c r="E426" s="158"/>
      <c r="F426" s="158"/>
      <c r="G426" s="180"/>
      <c r="H426" s="133" t="s">
        <v>46</v>
      </c>
      <c r="I426" s="44"/>
      <c r="J426" s="44"/>
      <c r="K426" s="45"/>
      <c r="L426" s="1359"/>
      <c r="M426" s="45"/>
      <c r="N426" s="45"/>
      <c r="O426" s="45"/>
      <c r="P426" s="45"/>
      <c r="Q426" s="45"/>
      <c r="R426" s="45"/>
      <c r="S426" s="45"/>
      <c r="T426" s="45"/>
      <c r="U426" s="45"/>
    </row>
    <row r="427" spans="1:21" ht="18.75" x14ac:dyDescent="0.25">
      <c r="A427" s="208"/>
      <c r="B427" s="158"/>
      <c r="C427" s="158"/>
      <c r="D427" s="158"/>
      <c r="E427" s="158"/>
      <c r="F427" s="158"/>
      <c r="G427" s="180"/>
      <c r="H427" s="133" t="s">
        <v>34</v>
      </c>
      <c r="I427" s="44"/>
      <c r="J427" s="44"/>
      <c r="K427" s="45"/>
      <c r="L427" s="1359"/>
      <c r="M427" s="45"/>
      <c r="N427" s="45"/>
      <c r="O427" s="45"/>
      <c r="P427" s="45"/>
      <c r="Q427" s="45"/>
      <c r="R427" s="45"/>
      <c r="S427" s="45"/>
      <c r="T427" s="45"/>
      <c r="U427" s="45"/>
    </row>
    <row r="428" spans="1:21" ht="18.75" x14ac:dyDescent="0.25">
      <c r="A428" s="208"/>
      <c r="B428" s="158"/>
      <c r="C428" s="158"/>
      <c r="D428" s="209" t="s">
        <v>163</v>
      </c>
      <c r="E428" s="158"/>
      <c r="F428" s="158"/>
      <c r="G428" s="180"/>
      <c r="H428" s="133" t="s">
        <v>46</v>
      </c>
      <c r="I428" s="44"/>
      <c r="J428" s="44"/>
      <c r="K428" s="45"/>
      <c r="L428" s="1359"/>
      <c r="M428" s="45"/>
      <c r="N428" s="45"/>
      <c r="O428" s="45"/>
      <c r="P428" s="45"/>
      <c r="Q428" s="45"/>
      <c r="R428" s="45"/>
      <c r="S428" s="45"/>
      <c r="T428" s="45"/>
      <c r="U428" s="45"/>
    </row>
    <row r="429" spans="1:21" ht="18.75" x14ac:dyDescent="0.25">
      <c r="A429" s="208"/>
      <c r="B429" s="158"/>
      <c r="C429" s="158"/>
      <c r="D429" s="158"/>
      <c r="E429" s="158"/>
      <c r="F429" s="158"/>
      <c r="G429" s="180"/>
      <c r="H429" s="133" t="s">
        <v>34</v>
      </c>
      <c r="I429" s="44"/>
      <c r="J429" s="44"/>
      <c r="K429" s="45"/>
      <c r="L429" s="1359"/>
      <c r="M429" s="45"/>
      <c r="N429" s="45"/>
      <c r="O429" s="45"/>
      <c r="P429" s="45"/>
      <c r="Q429" s="45"/>
      <c r="R429" s="45"/>
      <c r="S429" s="45"/>
      <c r="T429" s="45"/>
      <c r="U429" s="45"/>
    </row>
    <row r="430" spans="1:21" ht="18.75" x14ac:dyDescent="0.25">
      <c r="A430" s="208"/>
      <c r="B430" s="158"/>
      <c r="C430" s="158"/>
      <c r="D430" s="209" t="s">
        <v>164</v>
      </c>
      <c r="E430" s="158"/>
      <c r="F430" s="158"/>
      <c r="G430" s="180"/>
      <c r="H430" s="133" t="s">
        <v>46</v>
      </c>
      <c r="I430" s="44"/>
      <c r="J430" s="44"/>
      <c r="K430" s="45"/>
      <c r="L430" s="1359"/>
      <c r="M430" s="45"/>
      <c r="N430" s="45"/>
      <c r="O430" s="45"/>
      <c r="P430" s="45"/>
      <c r="Q430" s="45"/>
      <c r="R430" s="45"/>
      <c r="S430" s="45"/>
      <c r="T430" s="45"/>
      <c r="U430" s="45"/>
    </row>
    <row r="431" spans="1:21" ht="18.75" x14ac:dyDescent="0.25">
      <c r="A431" s="208"/>
      <c r="B431" s="158"/>
      <c r="C431" s="158"/>
      <c r="D431" s="158"/>
      <c r="E431" s="158"/>
      <c r="F431" s="158"/>
      <c r="G431" s="180"/>
      <c r="H431" s="133" t="s">
        <v>34</v>
      </c>
      <c r="I431" s="44"/>
      <c r="J431" s="44"/>
      <c r="K431" s="45"/>
      <c r="L431" s="1359"/>
      <c r="M431" s="45"/>
      <c r="N431" s="45"/>
      <c r="O431" s="45"/>
      <c r="P431" s="45"/>
      <c r="Q431" s="45"/>
      <c r="R431" s="45"/>
      <c r="S431" s="45"/>
      <c r="T431" s="45"/>
      <c r="U431" s="45"/>
    </row>
    <row r="432" spans="1:21" ht="19.5" x14ac:dyDescent="0.3">
      <c r="A432" s="208"/>
      <c r="B432" s="158"/>
      <c r="C432" s="161" t="s">
        <v>165</v>
      </c>
      <c r="D432" s="158"/>
      <c r="E432" s="158"/>
      <c r="F432" s="158"/>
      <c r="G432" s="180"/>
      <c r="H432" s="131" t="s">
        <v>46</v>
      </c>
      <c r="I432" s="328">
        <f ca="1">IFERROR(__xludf.DUMMYFUNCTION("IMPORTRANGE(""https://docs.google.com/spreadsheets/d/1eHaY18a8A9IcSdp1K8H6x8fbOy06t2VsZHhMHf-1x7Y/edit?usp=sharing"",""แผน!HJ27"")"),6309)</f>
        <v>6309</v>
      </c>
      <c r="J432" s="328">
        <f>J434+J436+J438</f>
        <v>0</v>
      </c>
      <c r="K432" s="1390">
        <f ca="1">IF(I432&gt;0,J432*100/I432,0)</f>
        <v>0</v>
      </c>
      <c r="L432" s="1359"/>
      <c r="M432" s="45"/>
      <c r="N432" s="45"/>
      <c r="O432" s="45"/>
      <c r="P432" s="45"/>
      <c r="Q432" s="45"/>
      <c r="R432" s="45"/>
      <c r="S432" s="45"/>
      <c r="T432" s="45"/>
      <c r="U432" s="45"/>
    </row>
    <row r="433" spans="1:21" ht="19.5" x14ac:dyDescent="0.3">
      <c r="A433" s="208"/>
      <c r="B433" s="158"/>
      <c r="C433" s="158"/>
      <c r="D433" s="158"/>
      <c r="E433" s="158"/>
      <c r="F433" s="158"/>
      <c r="G433" s="180"/>
      <c r="H433" s="131" t="s">
        <v>34</v>
      </c>
      <c r="I433" s="328">
        <f ca="1">IFERROR(__xludf.DUMMYFUNCTION("IMPORTRANGE(""https://docs.google.com/spreadsheets/d/1eHaY18a8A9IcSdp1K8H6x8fbOy06t2VsZHhMHf-1x7Y/edit?usp=sharing"",""แผน!HK27"")"),1306)</f>
        <v>1306</v>
      </c>
      <c r="J433" s="328">
        <f>J435+J437+J439</f>
        <v>0</v>
      </c>
      <c r="K433" s="1390">
        <f ca="1">IF(I433&gt;0,J433*100/I433,0)</f>
        <v>0</v>
      </c>
      <c r="L433" s="1359"/>
      <c r="M433" s="45"/>
      <c r="N433" s="45"/>
      <c r="O433" s="45"/>
      <c r="P433" s="45"/>
      <c r="Q433" s="45"/>
      <c r="R433" s="45"/>
      <c r="S433" s="45"/>
      <c r="T433" s="45"/>
      <c r="U433" s="45"/>
    </row>
    <row r="434" spans="1:21" ht="18.75" x14ac:dyDescent="0.25">
      <c r="A434" s="208"/>
      <c r="B434" s="158"/>
      <c r="C434" s="158"/>
      <c r="D434" s="209" t="s">
        <v>166</v>
      </c>
      <c r="E434" s="158"/>
      <c r="F434" s="158"/>
      <c r="G434" s="180"/>
      <c r="H434" s="133" t="s">
        <v>46</v>
      </c>
      <c r="I434" s="44"/>
      <c r="J434" s="44"/>
      <c r="K434" s="45"/>
      <c r="L434" s="1359"/>
      <c r="M434" s="45"/>
      <c r="N434" s="45"/>
      <c r="O434" s="45"/>
      <c r="P434" s="45"/>
      <c r="Q434" s="45"/>
      <c r="R434" s="45"/>
      <c r="S434" s="45"/>
      <c r="T434" s="45"/>
      <c r="U434" s="45"/>
    </row>
    <row r="435" spans="1:21" ht="18.75" x14ac:dyDescent="0.25">
      <c r="A435" s="208"/>
      <c r="B435" s="158"/>
      <c r="C435" s="158"/>
      <c r="D435" s="158"/>
      <c r="E435" s="158"/>
      <c r="F435" s="158"/>
      <c r="G435" s="180"/>
      <c r="H435" s="133" t="s">
        <v>34</v>
      </c>
      <c r="I435" s="44"/>
      <c r="J435" s="44"/>
      <c r="K435" s="45"/>
      <c r="L435" s="1359"/>
      <c r="M435" s="45"/>
      <c r="N435" s="45"/>
      <c r="O435" s="45"/>
      <c r="P435" s="45"/>
      <c r="Q435" s="45"/>
      <c r="R435" s="45"/>
      <c r="S435" s="45"/>
      <c r="T435" s="45"/>
      <c r="U435" s="45"/>
    </row>
    <row r="436" spans="1:21" ht="18.75" x14ac:dyDescent="0.25">
      <c r="A436" s="208"/>
      <c r="B436" s="158"/>
      <c r="C436" s="158"/>
      <c r="D436" s="209" t="s">
        <v>167</v>
      </c>
      <c r="E436" s="158"/>
      <c r="F436" s="158"/>
      <c r="G436" s="180"/>
      <c r="H436" s="133" t="s">
        <v>46</v>
      </c>
      <c r="I436" s="44"/>
      <c r="J436" s="44"/>
      <c r="K436" s="45"/>
      <c r="L436" s="1359"/>
      <c r="M436" s="45"/>
      <c r="N436" s="45"/>
      <c r="O436" s="45"/>
      <c r="P436" s="45"/>
      <c r="Q436" s="45"/>
      <c r="R436" s="45"/>
      <c r="S436" s="45"/>
      <c r="T436" s="45"/>
      <c r="U436" s="45"/>
    </row>
    <row r="437" spans="1:21" ht="18.75" x14ac:dyDescent="0.25">
      <c r="A437" s="208"/>
      <c r="B437" s="158"/>
      <c r="C437" s="158"/>
      <c r="D437" s="158"/>
      <c r="E437" s="158"/>
      <c r="F437" s="158"/>
      <c r="G437" s="180"/>
      <c r="H437" s="133" t="s">
        <v>34</v>
      </c>
      <c r="I437" s="44"/>
      <c r="J437" s="44"/>
      <c r="K437" s="45"/>
      <c r="L437" s="1359"/>
      <c r="M437" s="45"/>
      <c r="N437" s="45"/>
      <c r="O437" s="45"/>
      <c r="P437" s="45"/>
      <c r="Q437" s="45"/>
      <c r="R437" s="45"/>
      <c r="S437" s="45"/>
      <c r="T437" s="45"/>
      <c r="U437" s="45"/>
    </row>
    <row r="438" spans="1:21" ht="18.75" x14ac:dyDescent="0.25">
      <c r="A438" s="208"/>
      <c r="B438" s="158"/>
      <c r="C438" s="158"/>
      <c r="D438" s="209" t="s">
        <v>168</v>
      </c>
      <c r="E438" s="158"/>
      <c r="F438" s="158"/>
      <c r="G438" s="180"/>
      <c r="H438" s="133" t="s">
        <v>46</v>
      </c>
      <c r="I438" s="44"/>
      <c r="J438" s="44"/>
      <c r="K438" s="45"/>
      <c r="L438" s="1359"/>
      <c r="M438" s="45"/>
      <c r="N438" s="45"/>
      <c r="O438" s="45"/>
      <c r="P438" s="45"/>
      <c r="Q438" s="45"/>
      <c r="R438" s="45"/>
      <c r="S438" s="45"/>
      <c r="T438" s="45"/>
      <c r="U438" s="45"/>
    </row>
    <row r="439" spans="1:21" ht="18.75" x14ac:dyDescent="0.25">
      <c r="A439" s="208"/>
      <c r="B439" s="158"/>
      <c r="C439" s="158"/>
      <c r="D439" s="158"/>
      <c r="E439" s="158"/>
      <c r="F439" s="158"/>
      <c r="G439" s="180"/>
      <c r="H439" s="133" t="s">
        <v>34</v>
      </c>
      <c r="I439" s="44"/>
      <c r="J439" s="44"/>
      <c r="K439" s="45"/>
      <c r="L439" s="1359"/>
      <c r="M439" s="45"/>
      <c r="N439" s="45"/>
      <c r="O439" s="45"/>
      <c r="P439" s="45"/>
      <c r="Q439" s="45"/>
      <c r="R439" s="45"/>
      <c r="S439" s="45"/>
      <c r="T439" s="45"/>
      <c r="U439" s="45"/>
    </row>
    <row r="440" spans="1:21" ht="19.5" x14ac:dyDescent="0.3">
      <c r="A440" s="208"/>
      <c r="B440" s="158"/>
      <c r="C440" s="161" t="s">
        <v>169</v>
      </c>
      <c r="D440" s="158"/>
      <c r="E440" s="158"/>
      <c r="F440" s="158"/>
      <c r="G440" s="180"/>
      <c r="H440" s="131" t="s">
        <v>46</v>
      </c>
      <c r="I440" s="328">
        <f ca="1">IFERROR(__xludf.DUMMYFUNCTION("IMPORTRANGE(""https://docs.google.com/spreadsheets/d/1eHaY18a8A9IcSdp1K8H6x8fbOy06t2VsZHhMHf-1x7Y/edit?usp=sharing"",""แผน!HJ27"")"),6309)</f>
        <v>6309</v>
      </c>
      <c r="J440" s="328">
        <f>J442+J444+J446+J452+J454</f>
        <v>0</v>
      </c>
      <c r="K440" s="1390">
        <f ca="1">IF(I440&gt;0,J440*100/I440,0)</f>
        <v>0</v>
      </c>
      <c r="L440" s="1359"/>
      <c r="M440" s="45"/>
      <c r="N440" s="45"/>
      <c r="O440" s="45"/>
      <c r="P440" s="45"/>
      <c r="Q440" s="45"/>
      <c r="R440" s="45"/>
      <c r="S440" s="45"/>
      <c r="T440" s="45"/>
      <c r="U440" s="45"/>
    </row>
    <row r="441" spans="1:21" ht="19.5" x14ac:dyDescent="0.3">
      <c r="A441" s="208"/>
      <c r="B441" s="158"/>
      <c r="C441" s="158"/>
      <c r="D441" s="158"/>
      <c r="E441" s="158"/>
      <c r="F441" s="158"/>
      <c r="G441" s="180"/>
      <c r="H441" s="131" t="s">
        <v>34</v>
      </c>
      <c r="I441" s="328">
        <f ca="1">IFERROR(__xludf.DUMMYFUNCTION("IMPORTRANGE(""https://docs.google.com/spreadsheets/d/1eHaY18a8A9IcSdp1K8H6x8fbOy06t2VsZHhMHf-1x7Y/edit?usp=sharing"",""แผน!HK27"")"),1306)</f>
        <v>1306</v>
      </c>
      <c r="J441" s="328">
        <f>J443+J445+J447+J453+J455</f>
        <v>0</v>
      </c>
      <c r="K441" s="1390">
        <f ca="1">IF(I441&gt;0,J441*100/I441,0)</f>
        <v>0</v>
      </c>
      <c r="L441" s="1359"/>
      <c r="M441" s="45"/>
      <c r="N441" s="45"/>
      <c r="O441" s="45"/>
      <c r="P441" s="45"/>
      <c r="Q441" s="45"/>
      <c r="R441" s="45"/>
      <c r="S441" s="45"/>
      <c r="T441" s="45"/>
      <c r="U441" s="45"/>
    </row>
    <row r="442" spans="1:21" ht="18.75" x14ac:dyDescent="0.25">
      <c r="A442" s="208"/>
      <c r="B442" s="158"/>
      <c r="C442" s="158"/>
      <c r="D442" s="209" t="s">
        <v>170</v>
      </c>
      <c r="E442" s="158"/>
      <c r="F442" s="158"/>
      <c r="G442" s="180"/>
      <c r="H442" s="133" t="s">
        <v>46</v>
      </c>
      <c r="I442" s="44"/>
      <c r="J442" s="44"/>
      <c r="K442" s="45"/>
      <c r="L442" s="1359"/>
      <c r="M442" s="45"/>
      <c r="N442" s="45"/>
      <c r="O442" s="45"/>
      <c r="P442" s="45"/>
      <c r="Q442" s="45"/>
      <c r="R442" s="45"/>
      <c r="S442" s="45"/>
      <c r="T442" s="45"/>
      <c r="U442" s="45"/>
    </row>
    <row r="443" spans="1:21" ht="18.75" x14ac:dyDescent="0.25">
      <c r="A443" s="208"/>
      <c r="B443" s="158"/>
      <c r="C443" s="158"/>
      <c r="D443" s="158"/>
      <c r="E443" s="158"/>
      <c r="F443" s="158"/>
      <c r="G443" s="180"/>
      <c r="H443" s="133" t="s">
        <v>34</v>
      </c>
      <c r="I443" s="44"/>
      <c r="J443" s="44"/>
      <c r="K443" s="45"/>
      <c r="L443" s="1359"/>
      <c r="M443" s="45"/>
      <c r="N443" s="45"/>
      <c r="O443" s="45"/>
      <c r="P443" s="45"/>
      <c r="Q443" s="45"/>
      <c r="R443" s="45"/>
      <c r="S443" s="45"/>
      <c r="T443" s="45"/>
      <c r="U443" s="45"/>
    </row>
    <row r="444" spans="1:21" ht="18.75" x14ac:dyDescent="0.25">
      <c r="A444" s="208"/>
      <c r="B444" s="158"/>
      <c r="C444" s="158"/>
      <c r="D444" s="209" t="s">
        <v>171</v>
      </c>
      <c r="E444" s="158"/>
      <c r="F444" s="158"/>
      <c r="G444" s="180"/>
      <c r="H444" s="133" t="s">
        <v>46</v>
      </c>
      <c r="I444" s="44"/>
      <c r="J444" s="44"/>
      <c r="K444" s="45"/>
      <c r="L444" s="1359"/>
      <c r="M444" s="45"/>
      <c r="N444" s="45"/>
      <c r="O444" s="45"/>
      <c r="P444" s="45"/>
      <c r="Q444" s="45"/>
      <c r="R444" s="45"/>
      <c r="S444" s="45"/>
      <c r="T444" s="45"/>
      <c r="U444" s="45"/>
    </row>
    <row r="445" spans="1:21" ht="18.75" x14ac:dyDescent="0.25">
      <c r="A445" s="208"/>
      <c r="B445" s="158"/>
      <c r="C445" s="158"/>
      <c r="D445" s="158"/>
      <c r="E445" s="158"/>
      <c r="F445" s="158"/>
      <c r="G445" s="180"/>
      <c r="H445" s="133" t="s">
        <v>34</v>
      </c>
      <c r="I445" s="44"/>
      <c r="J445" s="44"/>
      <c r="K445" s="45"/>
      <c r="L445" s="1359"/>
      <c r="M445" s="45"/>
      <c r="N445" s="45"/>
      <c r="O445" s="45"/>
      <c r="P445" s="45"/>
      <c r="Q445" s="45"/>
      <c r="R445" s="45"/>
      <c r="S445" s="45"/>
      <c r="T445" s="45"/>
      <c r="U445" s="45"/>
    </row>
    <row r="446" spans="1:21" ht="19.5" x14ac:dyDescent="0.3">
      <c r="A446" s="208"/>
      <c r="B446" s="158"/>
      <c r="C446" s="158"/>
      <c r="D446" s="209" t="s">
        <v>172</v>
      </c>
      <c r="E446" s="158"/>
      <c r="F446" s="158"/>
      <c r="G446" s="180"/>
      <c r="H446" s="133" t="s">
        <v>46</v>
      </c>
      <c r="I446" s="44"/>
      <c r="J446" s="328">
        <f>J448+J450</f>
        <v>0</v>
      </c>
      <c r="K446" s="45"/>
      <c r="L446" s="1359"/>
      <c r="M446" s="45"/>
      <c r="N446" s="45"/>
      <c r="O446" s="45"/>
      <c r="P446" s="45"/>
      <c r="Q446" s="45"/>
      <c r="R446" s="45"/>
      <c r="S446" s="45"/>
      <c r="T446" s="45"/>
      <c r="U446" s="45"/>
    </row>
    <row r="447" spans="1:21" ht="19.5" x14ac:dyDescent="0.3">
      <c r="A447" s="208"/>
      <c r="B447" s="158"/>
      <c r="C447" s="158"/>
      <c r="D447" s="158"/>
      <c r="E447" s="158"/>
      <c r="F447" s="158"/>
      <c r="G447" s="180"/>
      <c r="H447" s="133" t="s">
        <v>34</v>
      </c>
      <c r="I447" s="44"/>
      <c r="J447" s="328">
        <f>J449+J451</f>
        <v>0</v>
      </c>
      <c r="K447" s="45"/>
      <c r="L447" s="1359"/>
      <c r="M447" s="45"/>
      <c r="N447" s="45"/>
      <c r="O447" s="45"/>
      <c r="P447" s="45"/>
      <c r="Q447" s="45"/>
      <c r="R447" s="45"/>
      <c r="S447" s="45"/>
      <c r="T447" s="45"/>
      <c r="U447" s="45"/>
    </row>
    <row r="448" spans="1:21" ht="18.75" x14ac:dyDescent="0.25">
      <c r="A448" s="208"/>
      <c r="B448" s="158"/>
      <c r="C448" s="158"/>
      <c r="D448" s="158"/>
      <c r="E448" s="209" t="s">
        <v>173</v>
      </c>
      <c r="F448" s="158"/>
      <c r="G448" s="180"/>
      <c r="H448" s="133" t="s">
        <v>46</v>
      </c>
      <c r="I448" s="44"/>
      <c r="J448" s="44"/>
      <c r="K448" s="45"/>
      <c r="L448" s="1359"/>
      <c r="M448" s="45"/>
      <c r="N448" s="45"/>
      <c r="O448" s="45"/>
      <c r="P448" s="45"/>
      <c r="Q448" s="45"/>
      <c r="R448" s="45"/>
      <c r="S448" s="45"/>
      <c r="T448" s="45"/>
      <c r="U448" s="45"/>
    </row>
    <row r="449" spans="1:21" ht="18.75" x14ac:dyDescent="0.25">
      <c r="A449" s="208"/>
      <c r="B449" s="158"/>
      <c r="C449" s="158"/>
      <c r="D449" s="158"/>
      <c r="E449" s="158"/>
      <c r="F449" s="158"/>
      <c r="G449" s="180"/>
      <c r="H449" s="133" t="s">
        <v>34</v>
      </c>
      <c r="I449" s="44"/>
      <c r="J449" s="44"/>
      <c r="K449" s="45"/>
      <c r="L449" s="1359"/>
      <c r="M449" s="45"/>
      <c r="N449" s="45"/>
      <c r="O449" s="45"/>
      <c r="P449" s="45"/>
      <c r="Q449" s="45"/>
      <c r="R449" s="45"/>
      <c r="S449" s="45"/>
      <c r="T449" s="45"/>
      <c r="U449" s="45"/>
    </row>
    <row r="450" spans="1:21" ht="18.75" x14ac:dyDescent="0.25">
      <c r="A450" s="208"/>
      <c r="B450" s="158"/>
      <c r="C450" s="158"/>
      <c r="D450" s="158"/>
      <c r="E450" s="209" t="s">
        <v>174</v>
      </c>
      <c r="F450" s="158"/>
      <c r="G450" s="180"/>
      <c r="H450" s="133" t="s">
        <v>46</v>
      </c>
      <c r="I450" s="44"/>
      <c r="J450" s="44"/>
      <c r="K450" s="45"/>
      <c r="L450" s="1359"/>
      <c r="M450" s="45"/>
      <c r="N450" s="45"/>
      <c r="O450" s="45"/>
      <c r="P450" s="45"/>
      <c r="Q450" s="45"/>
      <c r="R450" s="45"/>
      <c r="S450" s="45"/>
      <c r="T450" s="45"/>
      <c r="U450" s="45"/>
    </row>
    <row r="451" spans="1:21" ht="18.75" x14ac:dyDescent="0.25">
      <c r="A451" s="208"/>
      <c r="B451" s="158"/>
      <c r="C451" s="158"/>
      <c r="D451" s="158"/>
      <c r="E451" s="158"/>
      <c r="F451" s="158"/>
      <c r="G451" s="180"/>
      <c r="H451" s="133" t="s">
        <v>34</v>
      </c>
      <c r="I451" s="44"/>
      <c r="J451" s="44"/>
      <c r="K451" s="45"/>
      <c r="L451" s="1359"/>
      <c r="M451" s="45"/>
      <c r="N451" s="45"/>
      <c r="O451" s="45"/>
      <c r="P451" s="45"/>
      <c r="Q451" s="45"/>
      <c r="R451" s="45"/>
      <c r="S451" s="45"/>
      <c r="T451" s="45"/>
      <c r="U451" s="45"/>
    </row>
    <row r="452" spans="1:21" ht="18.75" x14ac:dyDescent="0.25">
      <c r="A452" s="208"/>
      <c r="B452" s="158"/>
      <c r="C452" s="158"/>
      <c r="D452" s="209" t="s">
        <v>175</v>
      </c>
      <c r="E452" s="158"/>
      <c r="F452" s="158"/>
      <c r="G452" s="180"/>
      <c r="H452" s="133" t="s">
        <v>46</v>
      </c>
      <c r="I452" s="44"/>
      <c r="J452" s="44"/>
      <c r="K452" s="45"/>
      <c r="L452" s="1359"/>
      <c r="M452" s="45"/>
      <c r="N452" s="45"/>
      <c r="O452" s="45"/>
      <c r="P452" s="45"/>
      <c r="Q452" s="45"/>
      <c r="R452" s="45"/>
      <c r="S452" s="45"/>
      <c r="T452" s="45"/>
      <c r="U452" s="45"/>
    </row>
    <row r="453" spans="1:21" ht="18.75" x14ac:dyDescent="0.25">
      <c r="A453" s="208"/>
      <c r="B453" s="158"/>
      <c r="C453" s="158"/>
      <c r="D453" s="158"/>
      <c r="E453" s="158"/>
      <c r="F453" s="158"/>
      <c r="G453" s="180"/>
      <c r="H453" s="133" t="s">
        <v>34</v>
      </c>
      <c r="I453" s="44"/>
      <c r="J453" s="44"/>
      <c r="K453" s="45"/>
      <c r="L453" s="1359"/>
      <c r="M453" s="45"/>
      <c r="N453" s="45"/>
      <c r="O453" s="45"/>
      <c r="P453" s="45"/>
      <c r="Q453" s="45"/>
      <c r="R453" s="45"/>
      <c r="S453" s="45"/>
      <c r="T453" s="45"/>
      <c r="U453" s="45"/>
    </row>
    <row r="454" spans="1:21" ht="18.75" x14ac:dyDescent="0.25">
      <c r="A454" s="208"/>
      <c r="B454" s="158"/>
      <c r="C454" s="158"/>
      <c r="D454" s="209" t="s">
        <v>176</v>
      </c>
      <c r="E454" s="158"/>
      <c r="F454" s="158"/>
      <c r="G454" s="180"/>
      <c r="H454" s="133" t="s">
        <v>46</v>
      </c>
      <c r="I454" s="44"/>
      <c r="J454" s="1540"/>
      <c r="K454" s="45"/>
      <c r="L454" s="1359"/>
      <c r="M454" s="45"/>
      <c r="N454" s="45"/>
      <c r="O454" s="45"/>
      <c r="P454" s="45"/>
      <c r="Q454" s="45"/>
      <c r="R454" s="45"/>
      <c r="S454" s="45"/>
      <c r="T454" s="45"/>
      <c r="U454" s="45"/>
    </row>
    <row r="455" spans="1:21" ht="18.75" x14ac:dyDescent="0.25">
      <c r="A455" s="208"/>
      <c r="B455" s="158"/>
      <c r="C455" s="158"/>
      <c r="D455" s="158"/>
      <c r="E455" s="158"/>
      <c r="F455" s="158"/>
      <c r="G455" s="180"/>
      <c r="H455" s="133" t="s">
        <v>34</v>
      </c>
      <c r="I455" s="44"/>
      <c r="J455" s="44"/>
      <c r="K455" s="45"/>
      <c r="L455" s="1359"/>
      <c r="M455" s="45"/>
      <c r="N455" s="45"/>
      <c r="O455" s="45"/>
      <c r="P455" s="45"/>
      <c r="Q455" s="45"/>
      <c r="R455" s="45"/>
      <c r="S455" s="45"/>
      <c r="T455" s="45"/>
      <c r="U455" s="45"/>
    </row>
    <row r="456" spans="1:21" ht="19.5" x14ac:dyDescent="0.3">
      <c r="A456" s="208"/>
      <c r="B456" s="161" t="s">
        <v>177</v>
      </c>
      <c r="C456" s="158"/>
      <c r="D456" s="158"/>
      <c r="E456" s="158"/>
      <c r="F456" s="158"/>
      <c r="G456" s="180"/>
      <c r="H456" s="323" t="s">
        <v>46</v>
      </c>
      <c r="I456" s="328">
        <f ca="1">I457</f>
        <v>257</v>
      </c>
      <c r="J456" s="328">
        <f>J457</f>
        <v>0</v>
      </c>
      <c r="K456" s="1390">
        <f ca="1">IF(I456&gt;0,J456*100/I456,0)</f>
        <v>0</v>
      </c>
      <c r="L456" s="1359"/>
      <c r="M456" s="45"/>
      <c r="N456" s="45"/>
      <c r="O456" s="45"/>
      <c r="P456" s="45"/>
      <c r="Q456" s="45"/>
      <c r="R456" s="45"/>
      <c r="S456" s="45"/>
      <c r="T456" s="45"/>
      <c r="U456" s="45"/>
    </row>
    <row r="457" spans="1:21" ht="19.5" x14ac:dyDescent="0.3">
      <c r="A457" s="208"/>
      <c r="B457" s="158"/>
      <c r="C457" s="161" t="s">
        <v>178</v>
      </c>
      <c r="D457" s="158"/>
      <c r="E457" s="158"/>
      <c r="F457" s="158"/>
      <c r="G457" s="180"/>
      <c r="H457" s="131" t="s">
        <v>46</v>
      </c>
      <c r="I457" s="328">
        <f ca="1">IFERROR(__xludf.DUMMYFUNCTION("IMPORTRANGE(""https://docs.google.com/spreadsheets/d/1eHaY18a8A9IcSdp1K8H6x8fbOy06t2VsZHhMHf-1x7Y/edit?usp=sharing"",""แผน!HL27"")"),257)</f>
        <v>257</v>
      </c>
      <c r="J457" s="328">
        <f>J459+J467+J473</f>
        <v>0</v>
      </c>
      <c r="K457" s="1390">
        <f ca="1">IF(I457&gt;0,J457*100/I457,0)</f>
        <v>0</v>
      </c>
      <c r="L457" s="1359"/>
      <c r="M457" s="45"/>
      <c r="N457" s="45"/>
      <c r="O457" s="45"/>
      <c r="P457" s="45"/>
      <c r="Q457" s="45"/>
      <c r="R457" s="45"/>
      <c r="S457" s="45"/>
      <c r="T457" s="45"/>
      <c r="U457" s="45"/>
    </row>
    <row r="458" spans="1:21" ht="19.5" x14ac:dyDescent="0.3">
      <c r="A458" s="208"/>
      <c r="B458" s="158"/>
      <c r="C458" s="158"/>
      <c r="D458" s="158"/>
      <c r="E458" s="158"/>
      <c r="F458" s="158"/>
      <c r="G458" s="180"/>
      <c r="H458" s="131" t="s">
        <v>34</v>
      </c>
      <c r="I458" s="328">
        <f ca="1">IFERROR(__xludf.DUMMYFUNCTION("IMPORTRANGE(""https://docs.google.com/spreadsheets/d/1eHaY18a8A9IcSdp1K8H6x8fbOy06t2VsZHhMHf-1x7Y/edit?usp=sharing"",""แผน!HM27"")"),0)</f>
        <v>0</v>
      </c>
      <c r="J458" s="328">
        <f>J460+J468+J474</f>
        <v>0</v>
      </c>
      <c r="K458" s="1390">
        <f ca="1">IF(I458&gt;0,J458*100/I458,0)</f>
        <v>0</v>
      </c>
      <c r="L458" s="1359"/>
      <c r="M458" s="45"/>
      <c r="N458" s="45"/>
      <c r="O458" s="45"/>
      <c r="P458" s="45"/>
      <c r="Q458" s="45"/>
      <c r="R458" s="45"/>
      <c r="S458" s="45"/>
      <c r="T458" s="45"/>
      <c r="U458" s="45"/>
    </row>
    <row r="459" spans="1:21" ht="18.75" x14ac:dyDescent="0.25">
      <c r="A459" s="208"/>
      <c r="B459" s="158"/>
      <c r="C459" s="209" t="s">
        <v>179</v>
      </c>
      <c r="D459" s="158"/>
      <c r="E459" s="158"/>
      <c r="F459" s="158"/>
      <c r="G459" s="180"/>
      <c r="H459" s="133" t="s">
        <v>46</v>
      </c>
      <c r="I459" s="44"/>
      <c r="J459" s="184">
        <f>J461+J463</f>
        <v>0</v>
      </c>
      <c r="K459" s="45"/>
      <c r="L459" s="1359"/>
      <c r="M459" s="45"/>
      <c r="N459" s="45"/>
      <c r="O459" s="45"/>
      <c r="P459" s="45"/>
      <c r="Q459" s="45"/>
      <c r="R459" s="45"/>
      <c r="S459" s="45"/>
      <c r="T459" s="45"/>
      <c r="U459" s="45"/>
    </row>
    <row r="460" spans="1:21" ht="18.75" x14ac:dyDescent="0.25">
      <c r="A460" s="208"/>
      <c r="B460" s="158"/>
      <c r="C460" s="158"/>
      <c r="D460" s="158"/>
      <c r="E460" s="158"/>
      <c r="F460" s="158"/>
      <c r="G460" s="180"/>
      <c r="H460" s="133" t="s">
        <v>34</v>
      </c>
      <c r="I460" s="44"/>
      <c r="J460" s="184">
        <f>J462+J464</f>
        <v>0</v>
      </c>
      <c r="K460" s="45"/>
      <c r="L460" s="1359"/>
      <c r="M460" s="45"/>
      <c r="N460" s="45"/>
      <c r="O460" s="45"/>
      <c r="P460" s="45"/>
      <c r="Q460" s="45"/>
      <c r="R460" s="45"/>
      <c r="S460" s="45"/>
      <c r="T460" s="45"/>
      <c r="U460" s="45"/>
    </row>
    <row r="461" spans="1:21" ht="18.75" x14ac:dyDescent="0.25">
      <c r="A461" s="208"/>
      <c r="B461" s="158"/>
      <c r="C461" s="158"/>
      <c r="D461" s="326" t="s">
        <v>180</v>
      </c>
      <c r="E461" s="158"/>
      <c r="F461" s="158"/>
      <c r="G461" s="180"/>
      <c r="H461" s="133" t="s">
        <v>46</v>
      </c>
      <c r="I461" s="44"/>
      <c r="J461" s="44"/>
      <c r="K461" s="45"/>
      <c r="L461" s="1359"/>
      <c r="M461" s="45"/>
      <c r="N461" s="45"/>
      <c r="O461" s="45"/>
      <c r="P461" s="45"/>
      <c r="Q461" s="45"/>
      <c r="R461" s="45"/>
      <c r="S461" s="45"/>
      <c r="T461" s="45"/>
      <c r="U461" s="45"/>
    </row>
    <row r="462" spans="1:21" ht="18.75" x14ac:dyDescent="0.25">
      <c r="A462" s="208"/>
      <c r="B462" s="158"/>
      <c r="C462" s="158"/>
      <c r="D462" s="158"/>
      <c r="E462" s="158"/>
      <c r="F462" s="158"/>
      <c r="G462" s="180"/>
      <c r="H462" s="133" t="s">
        <v>34</v>
      </c>
      <c r="I462" s="44"/>
      <c r="J462" s="44"/>
      <c r="K462" s="45"/>
      <c r="L462" s="1359"/>
      <c r="M462" s="45"/>
      <c r="N462" s="45"/>
      <c r="O462" s="45"/>
      <c r="P462" s="45"/>
      <c r="Q462" s="45"/>
      <c r="R462" s="45"/>
      <c r="S462" s="45"/>
      <c r="T462" s="45"/>
      <c r="U462" s="45"/>
    </row>
    <row r="463" spans="1:21" ht="18.75" x14ac:dyDescent="0.25">
      <c r="A463" s="208"/>
      <c r="B463" s="158"/>
      <c r="C463" s="158"/>
      <c r="D463" s="326" t="s">
        <v>181</v>
      </c>
      <c r="E463" s="158"/>
      <c r="F463" s="158"/>
      <c r="G463" s="180"/>
      <c r="H463" s="133" t="s">
        <v>46</v>
      </c>
      <c r="I463" s="44"/>
      <c r="J463" s="44"/>
      <c r="K463" s="45"/>
      <c r="L463" s="1359"/>
      <c r="M463" s="45"/>
      <c r="N463" s="45"/>
      <c r="O463" s="45"/>
      <c r="P463" s="45"/>
      <c r="Q463" s="45"/>
      <c r="R463" s="45"/>
      <c r="S463" s="45"/>
      <c r="T463" s="45"/>
      <c r="U463" s="45"/>
    </row>
    <row r="464" spans="1:21" ht="18.75" x14ac:dyDescent="0.25">
      <c r="A464" s="208"/>
      <c r="B464" s="158"/>
      <c r="C464" s="158"/>
      <c r="D464" s="158"/>
      <c r="E464" s="158"/>
      <c r="F464" s="158"/>
      <c r="G464" s="180"/>
      <c r="H464" s="133" t="s">
        <v>34</v>
      </c>
      <c r="I464" s="44"/>
      <c r="J464" s="44"/>
      <c r="K464" s="45"/>
      <c r="L464" s="1359"/>
      <c r="M464" s="45"/>
      <c r="N464" s="45"/>
      <c r="O464" s="45"/>
      <c r="P464" s="45"/>
      <c r="Q464" s="45"/>
      <c r="R464" s="45"/>
      <c r="S464" s="45"/>
      <c r="T464" s="45"/>
      <c r="U464" s="45"/>
    </row>
    <row r="465" spans="1:21" ht="18.75" x14ac:dyDescent="0.25">
      <c r="A465" s="208"/>
      <c r="B465" s="158"/>
      <c r="C465" s="158"/>
      <c r="D465" s="326" t="s">
        <v>182</v>
      </c>
      <c r="E465" s="158"/>
      <c r="F465" s="158"/>
      <c r="G465" s="180"/>
      <c r="H465" s="133" t="s">
        <v>46</v>
      </c>
      <c r="I465" s="44"/>
      <c r="J465" s="44"/>
      <c r="K465" s="45"/>
      <c r="L465" s="1359"/>
      <c r="M465" s="45"/>
      <c r="N465" s="45"/>
      <c r="O465" s="45"/>
      <c r="P465" s="45"/>
      <c r="Q465" s="45"/>
      <c r="R465" s="45"/>
      <c r="S465" s="45"/>
      <c r="T465" s="45"/>
      <c r="U465" s="45"/>
    </row>
    <row r="466" spans="1:21" ht="18.75" x14ac:dyDescent="0.25">
      <c r="A466" s="208"/>
      <c r="B466" s="158"/>
      <c r="C466" s="158"/>
      <c r="D466" s="158"/>
      <c r="E466" s="158"/>
      <c r="F466" s="158"/>
      <c r="G466" s="180"/>
      <c r="H466" s="133" t="s">
        <v>34</v>
      </c>
      <c r="I466" s="44"/>
      <c r="J466" s="44"/>
      <c r="K466" s="45"/>
      <c r="L466" s="1359"/>
      <c r="M466" s="45"/>
      <c r="N466" s="45"/>
      <c r="O466" s="45"/>
      <c r="P466" s="45"/>
      <c r="Q466" s="45"/>
      <c r="R466" s="45"/>
      <c r="S466" s="45"/>
      <c r="T466" s="45"/>
      <c r="U466" s="45"/>
    </row>
    <row r="467" spans="1:21" ht="18.75" x14ac:dyDescent="0.25">
      <c r="A467" s="208"/>
      <c r="B467" s="158"/>
      <c r="C467" s="326" t="s">
        <v>183</v>
      </c>
      <c r="D467" s="158"/>
      <c r="E467" s="158"/>
      <c r="F467" s="158"/>
      <c r="G467" s="180"/>
      <c r="H467" s="133" t="s">
        <v>46</v>
      </c>
      <c r="I467" s="44"/>
      <c r="J467" s="184">
        <f>J469+J471</f>
        <v>0</v>
      </c>
      <c r="K467" s="45"/>
      <c r="L467" s="1359"/>
      <c r="M467" s="45"/>
      <c r="N467" s="45"/>
      <c r="O467" s="45"/>
      <c r="P467" s="45"/>
      <c r="Q467" s="45"/>
      <c r="R467" s="45"/>
      <c r="S467" s="45"/>
      <c r="T467" s="45"/>
      <c r="U467" s="45"/>
    </row>
    <row r="468" spans="1:21" ht="18.75" x14ac:dyDescent="0.25">
      <c r="A468" s="208"/>
      <c r="B468" s="158"/>
      <c r="C468" s="158"/>
      <c r="D468" s="158"/>
      <c r="E468" s="158"/>
      <c r="F468" s="158"/>
      <c r="G468" s="180"/>
      <c r="H468" s="133" t="s">
        <v>34</v>
      </c>
      <c r="I468" s="44"/>
      <c r="J468" s="184">
        <f>J470+J472</f>
        <v>0</v>
      </c>
      <c r="K468" s="45"/>
      <c r="L468" s="1359"/>
      <c r="M468" s="45"/>
      <c r="N468" s="45"/>
      <c r="O468" s="45"/>
      <c r="P468" s="45"/>
      <c r="Q468" s="45"/>
      <c r="R468" s="45"/>
      <c r="S468" s="45"/>
      <c r="T468" s="45"/>
      <c r="U468" s="45"/>
    </row>
    <row r="469" spans="1:21" ht="18.75" x14ac:dyDescent="0.25">
      <c r="A469" s="208"/>
      <c r="B469" s="158"/>
      <c r="C469" s="158"/>
      <c r="D469" s="326" t="s">
        <v>184</v>
      </c>
      <c r="E469" s="158"/>
      <c r="F469" s="158"/>
      <c r="G469" s="180"/>
      <c r="H469" s="133" t="s">
        <v>46</v>
      </c>
      <c r="I469" s="44"/>
      <c r="J469" s="44"/>
      <c r="K469" s="45"/>
      <c r="L469" s="1359"/>
      <c r="M469" s="45"/>
      <c r="N469" s="45"/>
      <c r="O469" s="45"/>
      <c r="P469" s="45"/>
      <c r="Q469" s="45"/>
      <c r="R469" s="45"/>
      <c r="S469" s="45"/>
      <c r="T469" s="45"/>
      <c r="U469" s="45"/>
    </row>
    <row r="470" spans="1:21" ht="18.75" x14ac:dyDescent="0.25">
      <c r="A470" s="208"/>
      <c r="B470" s="158"/>
      <c r="C470" s="158"/>
      <c r="D470" s="158"/>
      <c r="E470" s="158"/>
      <c r="F470" s="158"/>
      <c r="G470" s="180"/>
      <c r="H470" s="133" t="s">
        <v>34</v>
      </c>
      <c r="I470" s="44"/>
      <c r="J470" s="44"/>
      <c r="K470" s="45"/>
      <c r="L470" s="1359"/>
      <c r="M470" s="45"/>
      <c r="N470" s="45"/>
      <c r="O470" s="45"/>
      <c r="P470" s="45"/>
      <c r="Q470" s="45"/>
      <c r="R470" s="45"/>
      <c r="S470" s="45"/>
      <c r="T470" s="45"/>
      <c r="U470" s="45"/>
    </row>
    <row r="471" spans="1:21" ht="18.75" x14ac:dyDescent="0.25">
      <c r="A471" s="208"/>
      <c r="B471" s="158"/>
      <c r="C471" s="158"/>
      <c r="D471" s="326" t="s">
        <v>185</v>
      </c>
      <c r="E471" s="158"/>
      <c r="F471" s="158"/>
      <c r="G471" s="180"/>
      <c r="H471" s="133" t="s">
        <v>46</v>
      </c>
      <c r="I471" s="44"/>
      <c r="J471" s="44"/>
      <c r="K471" s="45"/>
      <c r="L471" s="1359"/>
      <c r="M471" s="45"/>
      <c r="N471" s="45"/>
      <c r="O471" s="45"/>
      <c r="P471" s="45"/>
      <c r="Q471" s="45"/>
      <c r="R471" s="45"/>
      <c r="S471" s="45"/>
      <c r="T471" s="45"/>
      <c r="U471" s="45"/>
    </row>
    <row r="472" spans="1:21" ht="18.75" x14ac:dyDescent="0.25">
      <c r="A472" s="208"/>
      <c r="B472" s="158"/>
      <c r="C472" s="158"/>
      <c r="D472" s="158"/>
      <c r="E472" s="158"/>
      <c r="F472" s="158"/>
      <c r="G472" s="180"/>
      <c r="H472" s="133" t="s">
        <v>34</v>
      </c>
      <c r="I472" s="44"/>
      <c r="J472" s="44"/>
      <c r="K472" s="45"/>
      <c r="L472" s="1359"/>
      <c r="M472" s="45"/>
      <c r="N472" s="45"/>
      <c r="O472" s="45"/>
      <c r="P472" s="45"/>
      <c r="Q472" s="45"/>
      <c r="R472" s="45"/>
      <c r="S472" s="45"/>
      <c r="T472" s="45"/>
      <c r="U472" s="45"/>
    </row>
    <row r="473" spans="1:21" ht="18.75" x14ac:dyDescent="0.25">
      <c r="A473" s="208"/>
      <c r="B473" s="158"/>
      <c r="C473" s="209" t="s">
        <v>186</v>
      </c>
      <c r="D473" s="158"/>
      <c r="E473" s="158"/>
      <c r="F473" s="158"/>
      <c r="G473" s="180"/>
      <c r="H473" s="133" t="s">
        <v>46</v>
      </c>
      <c r="I473" s="44"/>
      <c r="J473" s="44"/>
      <c r="K473" s="45"/>
      <c r="L473" s="1359"/>
      <c r="M473" s="45"/>
      <c r="N473" s="45"/>
      <c r="O473" s="45"/>
      <c r="P473" s="45"/>
      <c r="Q473" s="45"/>
      <c r="R473" s="45"/>
      <c r="S473" s="45"/>
      <c r="T473" s="45"/>
      <c r="U473" s="45"/>
    </row>
    <row r="474" spans="1:21" ht="18.75" x14ac:dyDescent="0.25">
      <c r="A474" s="208"/>
      <c r="B474" s="158"/>
      <c r="C474" s="158"/>
      <c r="D474" s="158"/>
      <c r="E474" s="158"/>
      <c r="F474" s="158"/>
      <c r="G474" s="180"/>
      <c r="H474" s="133" t="s">
        <v>34</v>
      </c>
      <c r="I474" s="44"/>
      <c r="J474" s="44"/>
      <c r="K474" s="45"/>
      <c r="L474" s="1359"/>
      <c r="M474" s="45"/>
      <c r="N474" s="45"/>
      <c r="O474" s="45"/>
      <c r="P474" s="45"/>
      <c r="Q474" s="45"/>
      <c r="R474" s="45"/>
      <c r="S474" s="45"/>
      <c r="T474" s="45"/>
      <c r="U474" s="45"/>
    </row>
    <row r="475" spans="1:21" ht="19.5" x14ac:dyDescent="0.3">
      <c r="A475" s="208"/>
      <c r="B475" s="327" t="s">
        <v>187</v>
      </c>
      <c r="C475" s="158"/>
      <c r="D475" s="158"/>
      <c r="E475" s="158"/>
      <c r="F475" s="158"/>
      <c r="G475" s="180"/>
      <c r="H475" s="131" t="s">
        <v>46</v>
      </c>
      <c r="I475" s="328">
        <v>0</v>
      </c>
      <c r="J475" s="328">
        <f>J478+J480</f>
        <v>0</v>
      </c>
      <c r="K475" s="1390">
        <f>IF(I475&gt;0,J475*100/I475,0)</f>
        <v>0</v>
      </c>
      <c r="L475" s="1359"/>
      <c r="M475" s="45"/>
      <c r="N475" s="45"/>
      <c r="O475" s="45"/>
      <c r="P475" s="45"/>
      <c r="Q475" s="45"/>
      <c r="R475" s="45"/>
      <c r="S475" s="45"/>
      <c r="T475" s="45"/>
      <c r="U475" s="45"/>
    </row>
    <row r="476" spans="1:21" ht="19.5" x14ac:dyDescent="0.3">
      <c r="A476" s="208"/>
      <c r="B476" s="158"/>
      <c r="C476" s="161" t="s">
        <v>188</v>
      </c>
      <c r="D476" s="158"/>
      <c r="E476" s="158"/>
      <c r="F476" s="158"/>
      <c r="G476" s="180"/>
      <c r="H476" s="131" t="s">
        <v>46</v>
      </c>
      <c r="I476" s="328">
        <v>0</v>
      </c>
      <c r="J476" s="328">
        <f>J478+J480</f>
        <v>0</v>
      </c>
      <c r="K476" s="1390">
        <f>IF(I476&gt;0,J476*100/I476,0)</f>
        <v>0</v>
      </c>
      <c r="L476" s="1359"/>
      <c r="M476" s="45"/>
      <c r="N476" s="45"/>
      <c r="O476" s="45"/>
      <c r="P476" s="45"/>
      <c r="Q476" s="45"/>
      <c r="R476" s="45"/>
      <c r="S476" s="45"/>
      <c r="T476" s="45"/>
      <c r="U476" s="45"/>
    </row>
    <row r="477" spans="1:21" ht="19.5" x14ac:dyDescent="0.3">
      <c r="A477" s="208"/>
      <c r="B477" s="158"/>
      <c r="C477" s="209" t="s">
        <v>189</v>
      </c>
      <c r="D477" s="158"/>
      <c r="E477" s="158"/>
      <c r="F477" s="158"/>
      <c r="G477" s="180"/>
      <c r="H477" s="131" t="s">
        <v>34</v>
      </c>
      <c r="I477" s="328">
        <v>0</v>
      </c>
      <c r="J477" s="328">
        <f>J479+J481</f>
        <v>0</v>
      </c>
      <c r="K477" s="1390">
        <f>IF(I477&gt;0,J477*100/I477,0)</f>
        <v>0</v>
      </c>
      <c r="L477" s="1359"/>
      <c r="M477" s="45"/>
      <c r="N477" s="45"/>
      <c r="O477" s="45"/>
      <c r="P477" s="45"/>
      <c r="Q477" s="45"/>
      <c r="R477" s="45"/>
      <c r="S477" s="45"/>
      <c r="T477" s="45"/>
      <c r="U477" s="45"/>
    </row>
    <row r="478" spans="1:21" ht="18.75" x14ac:dyDescent="0.25">
      <c r="A478" s="208"/>
      <c r="B478" s="158"/>
      <c r="C478" s="158"/>
      <c r="D478" s="209" t="s">
        <v>190</v>
      </c>
      <c r="E478" s="158"/>
      <c r="F478" s="158"/>
      <c r="G478" s="180"/>
      <c r="H478" s="133" t="s">
        <v>46</v>
      </c>
      <c r="I478" s="44"/>
      <c r="J478" s="44"/>
      <c r="K478" s="45"/>
      <c r="L478" s="1359"/>
      <c r="M478" s="45"/>
      <c r="N478" s="45"/>
      <c r="O478" s="45"/>
      <c r="P478" s="45"/>
      <c r="Q478" s="45"/>
      <c r="R478" s="45"/>
      <c r="S478" s="45"/>
      <c r="T478" s="45"/>
      <c r="U478" s="45"/>
    </row>
    <row r="479" spans="1:21" ht="18.75" x14ac:dyDescent="0.25">
      <c r="A479" s="208"/>
      <c r="B479" s="158"/>
      <c r="C479" s="158"/>
      <c r="D479" s="158"/>
      <c r="E479" s="158"/>
      <c r="F479" s="158"/>
      <c r="G479" s="180"/>
      <c r="H479" s="133" t="s">
        <v>34</v>
      </c>
      <c r="I479" s="44"/>
      <c r="J479" s="44"/>
      <c r="K479" s="45"/>
      <c r="L479" s="1359"/>
      <c r="M479" s="45"/>
      <c r="N479" s="45"/>
      <c r="O479" s="45"/>
      <c r="P479" s="45"/>
      <c r="Q479" s="45"/>
      <c r="R479" s="45"/>
      <c r="S479" s="45"/>
      <c r="T479" s="45"/>
      <c r="U479" s="45"/>
    </row>
    <row r="480" spans="1:21" ht="18.75" x14ac:dyDescent="0.25">
      <c r="A480" s="208"/>
      <c r="B480" s="158"/>
      <c r="C480" s="158"/>
      <c r="D480" s="326" t="s">
        <v>191</v>
      </c>
      <c r="E480" s="158"/>
      <c r="F480" s="158"/>
      <c r="G480" s="180"/>
      <c r="H480" s="133" t="s">
        <v>46</v>
      </c>
      <c r="I480" s="44"/>
      <c r="J480" s="44"/>
      <c r="K480" s="45"/>
      <c r="L480" s="1359"/>
      <c r="M480" s="45"/>
      <c r="N480" s="45"/>
      <c r="O480" s="45"/>
      <c r="P480" s="45"/>
      <c r="Q480" s="45"/>
      <c r="R480" s="45"/>
      <c r="S480" s="45"/>
      <c r="T480" s="45"/>
      <c r="U480" s="45"/>
    </row>
    <row r="481" spans="1:21" ht="18.75" x14ac:dyDescent="0.25">
      <c r="A481" s="208"/>
      <c r="B481" s="158"/>
      <c r="C481" s="158"/>
      <c r="D481" s="158"/>
      <c r="E481" s="158"/>
      <c r="F481" s="158"/>
      <c r="G481" s="180"/>
      <c r="H481" s="133" t="s">
        <v>34</v>
      </c>
      <c r="I481" s="44"/>
      <c r="J481" s="44"/>
      <c r="K481" s="45"/>
      <c r="L481" s="1359"/>
      <c r="M481" s="45"/>
      <c r="N481" s="45"/>
      <c r="O481" s="45"/>
      <c r="P481" s="45"/>
      <c r="Q481" s="45"/>
      <c r="R481" s="45"/>
      <c r="S481" s="45"/>
      <c r="T481" s="45"/>
      <c r="U481" s="45"/>
    </row>
    <row r="482" spans="1:21" ht="18.75" x14ac:dyDescent="0.25">
      <c r="A482" s="208"/>
      <c r="B482" s="158"/>
      <c r="C482" s="158"/>
      <c r="D482" s="326" t="s">
        <v>192</v>
      </c>
      <c r="E482" s="158"/>
      <c r="F482" s="158"/>
      <c r="G482" s="180"/>
      <c r="H482" s="133" t="s">
        <v>46</v>
      </c>
      <c r="I482" s="44"/>
      <c r="J482" s="184">
        <f ca="1">IFERROR(__xludf.DUMMYFUNCTION("IMPORTRANGE(""https://docs.google.com/spreadsheets/d/1eHaY18a8A9IcSdp1K8H6x8fbOy06t2VsZHhMHf-1x7Y/edit?usp=sharing"",""แผน!HN27"")"),0)</f>
        <v>0</v>
      </c>
      <c r="K482" s="45"/>
      <c r="L482" s="1359"/>
      <c r="M482" s="45"/>
      <c r="N482" s="45"/>
      <c r="O482" s="45"/>
      <c r="P482" s="45"/>
      <c r="Q482" s="45"/>
      <c r="R482" s="45"/>
      <c r="S482" s="45"/>
      <c r="T482" s="45"/>
      <c r="U482" s="45"/>
    </row>
    <row r="483" spans="1:21" ht="18.75" x14ac:dyDescent="0.25">
      <c r="A483" s="208"/>
      <c r="B483" s="158"/>
      <c r="C483" s="158"/>
      <c r="D483" s="158"/>
      <c r="E483" s="158"/>
      <c r="F483" s="158"/>
      <c r="G483" s="180"/>
      <c r="H483" s="133" t="s">
        <v>34</v>
      </c>
      <c r="I483" s="44"/>
      <c r="J483" s="184">
        <f ca="1">IFERROR(__xludf.DUMMYFUNCTION("IMPORTRANGE(""https://docs.google.com/spreadsheets/d/1eHaY18a8A9IcSdp1K8H6x8fbOy06t2VsZHhMHf-1x7Y/edit?usp=sharing"",""แผน!HO27"")"),0)</f>
        <v>0</v>
      </c>
      <c r="K483" s="45"/>
      <c r="L483" s="1359"/>
      <c r="M483" s="45"/>
      <c r="N483" s="45"/>
      <c r="O483" s="45"/>
      <c r="P483" s="45"/>
      <c r="Q483" s="45"/>
      <c r="R483" s="45"/>
      <c r="S483" s="45"/>
      <c r="T483" s="45"/>
      <c r="U483" s="45"/>
    </row>
    <row r="484" spans="1:21" ht="19.5" x14ac:dyDescent="0.3">
      <c r="A484" s="208"/>
      <c r="B484" s="158"/>
      <c r="C484" s="161" t="s">
        <v>193</v>
      </c>
      <c r="D484" s="158"/>
      <c r="E484" s="158"/>
      <c r="F484" s="158"/>
      <c r="G484" s="180"/>
      <c r="H484" s="131" t="s">
        <v>46</v>
      </c>
      <c r="I484" s="44">
        <f>J480</f>
        <v>0</v>
      </c>
      <c r="J484" s="328">
        <f>J486+J488+J490</f>
        <v>0</v>
      </c>
      <c r="K484" s="1390">
        <f>IF(I484&gt;0,J484*100/I484,0)</f>
        <v>0</v>
      </c>
      <c r="L484" s="1359"/>
      <c r="M484" s="45"/>
      <c r="N484" s="45"/>
      <c r="O484" s="45"/>
      <c r="P484" s="45"/>
      <c r="Q484" s="45"/>
      <c r="R484" s="45"/>
      <c r="S484" s="45"/>
      <c r="T484" s="45"/>
      <c r="U484" s="45"/>
    </row>
    <row r="485" spans="1:21" ht="19.5" x14ac:dyDescent="0.3">
      <c r="A485" s="208"/>
      <c r="B485" s="158"/>
      <c r="C485" s="209" t="s">
        <v>194</v>
      </c>
      <c r="D485" s="158"/>
      <c r="E485" s="158"/>
      <c r="F485" s="158"/>
      <c r="G485" s="180"/>
      <c r="H485" s="131" t="s">
        <v>34</v>
      </c>
      <c r="I485" s="44">
        <f>J481</f>
        <v>0</v>
      </c>
      <c r="J485" s="328">
        <f>J487+J489+J491</f>
        <v>0</v>
      </c>
      <c r="K485" s="1390">
        <f>IF(I485&gt;0,J485*100/I485,0)</f>
        <v>0</v>
      </c>
      <c r="L485" s="1359"/>
      <c r="M485" s="45"/>
      <c r="N485" s="45"/>
      <c r="O485" s="45"/>
      <c r="P485" s="45"/>
      <c r="Q485" s="45"/>
      <c r="R485" s="45"/>
      <c r="S485" s="45"/>
      <c r="T485" s="45"/>
      <c r="U485" s="45"/>
    </row>
    <row r="486" spans="1:21" ht="18.75" x14ac:dyDescent="0.25">
      <c r="A486" s="208"/>
      <c r="B486" s="158"/>
      <c r="C486" s="158"/>
      <c r="D486" s="326" t="s">
        <v>195</v>
      </c>
      <c r="E486" s="158"/>
      <c r="F486" s="158"/>
      <c r="G486" s="180"/>
      <c r="H486" s="133" t="s">
        <v>46</v>
      </c>
      <c r="I486" s="44"/>
      <c r="J486" s="44"/>
      <c r="K486" s="45"/>
      <c r="L486" s="1359"/>
      <c r="M486" s="45"/>
      <c r="N486" s="45"/>
      <c r="O486" s="45"/>
      <c r="P486" s="45"/>
      <c r="Q486" s="45"/>
      <c r="R486" s="45"/>
      <c r="S486" s="45"/>
      <c r="T486" s="45"/>
      <c r="U486" s="45"/>
    </row>
    <row r="487" spans="1:21" ht="18.75" x14ac:dyDescent="0.25">
      <c r="A487" s="208"/>
      <c r="B487" s="158"/>
      <c r="C487" s="158"/>
      <c r="D487" s="158"/>
      <c r="E487" s="158"/>
      <c r="F487" s="158"/>
      <c r="G487" s="180"/>
      <c r="H487" s="133" t="s">
        <v>34</v>
      </c>
      <c r="I487" s="44"/>
      <c r="J487" s="44"/>
      <c r="K487" s="45"/>
      <c r="L487" s="1359"/>
      <c r="M487" s="45"/>
      <c r="N487" s="45"/>
      <c r="O487" s="45"/>
      <c r="P487" s="45"/>
      <c r="Q487" s="45"/>
      <c r="R487" s="45"/>
      <c r="S487" s="45"/>
      <c r="T487" s="45"/>
      <c r="U487" s="45"/>
    </row>
    <row r="488" spans="1:21" ht="18.75" x14ac:dyDescent="0.25">
      <c r="A488" s="208"/>
      <c r="B488" s="158"/>
      <c r="C488" s="158"/>
      <c r="D488" s="326" t="s">
        <v>196</v>
      </c>
      <c r="E488" s="158"/>
      <c r="F488" s="158"/>
      <c r="G488" s="180"/>
      <c r="H488" s="133" t="s">
        <v>46</v>
      </c>
      <c r="I488" s="44"/>
      <c r="J488" s="44"/>
      <c r="K488" s="45"/>
      <c r="L488" s="1359"/>
      <c r="M488" s="45"/>
      <c r="N488" s="45"/>
      <c r="O488" s="45"/>
      <c r="P488" s="45"/>
      <c r="Q488" s="45"/>
      <c r="R488" s="45"/>
      <c r="S488" s="45"/>
      <c r="T488" s="45"/>
      <c r="U488" s="45"/>
    </row>
    <row r="489" spans="1:21" ht="18.75" x14ac:dyDescent="0.25">
      <c r="A489" s="208"/>
      <c r="B489" s="158"/>
      <c r="C489" s="158"/>
      <c r="D489" s="158"/>
      <c r="E489" s="158"/>
      <c r="F489" s="158"/>
      <c r="G489" s="180"/>
      <c r="H489" s="133" t="s">
        <v>34</v>
      </c>
      <c r="I489" s="44"/>
      <c r="J489" s="44"/>
      <c r="K489" s="45"/>
      <c r="L489" s="1359"/>
      <c r="M489" s="45"/>
      <c r="N489" s="45"/>
      <c r="O489" s="45"/>
      <c r="P489" s="45"/>
      <c r="Q489" s="45"/>
      <c r="R489" s="45"/>
      <c r="S489" s="45"/>
      <c r="T489" s="45"/>
      <c r="U489" s="45"/>
    </row>
    <row r="490" spans="1:21" ht="18.75" x14ac:dyDescent="0.25">
      <c r="A490" s="208"/>
      <c r="B490" s="158"/>
      <c r="C490" s="158"/>
      <c r="D490" s="326" t="s">
        <v>197</v>
      </c>
      <c r="E490" s="158"/>
      <c r="F490" s="158"/>
      <c r="G490" s="180"/>
      <c r="H490" s="133" t="s">
        <v>46</v>
      </c>
      <c r="I490" s="44"/>
      <c r="J490" s="44"/>
      <c r="K490" s="45"/>
      <c r="L490" s="1359"/>
      <c r="M490" s="45"/>
      <c r="N490" s="45"/>
      <c r="O490" s="45"/>
      <c r="P490" s="45"/>
      <c r="Q490" s="45"/>
      <c r="R490" s="45"/>
      <c r="S490" s="45"/>
      <c r="T490" s="45"/>
      <c r="U490" s="45"/>
    </row>
    <row r="491" spans="1:21" ht="18.75" x14ac:dyDescent="0.25">
      <c r="A491" s="329"/>
      <c r="B491" s="2"/>
      <c r="C491" s="2"/>
      <c r="D491" s="2"/>
      <c r="E491" s="2"/>
      <c r="F491" s="2"/>
      <c r="G491" s="330"/>
      <c r="H491" s="331" t="s">
        <v>34</v>
      </c>
      <c r="I491" s="54"/>
      <c r="J491" s="54"/>
      <c r="K491" s="3"/>
      <c r="L491" s="1360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9.5" x14ac:dyDescent="0.3">
      <c r="A492" s="299"/>
      <c r="B492" s="310" t="s">
        <v>198</v>
      </c>
      <c r="C492" s="301"/>
      <c r="D492" s="301"/>
      <c r="E492" s="293"/>
      <c r="F492" s="293"/>
      <c r="G492" s="294"/>
      <c r="H492" s="321" t="s">
        <v>35</v>
      </c>
      <c r="I492" s="1501">
        <f ca="1">I503</f>
        <v>0</v>
      </c>
      <c r="J492" s="1501">
        <f ca="1">J503</f>
        <v>0</v>
      </c>
      <c r="K492" s="1502">
        <f ca="1">IF(I492&gt;0,J492*100/I492,0)</f>
        <v>0</v>
      </c>
      <c r="L492" s="1503"/>
      <c r="M492" s="298"/>
      <c r="N492" s="298"/>
      <c r="O492" s="298"/>
      <c r="P492" s="298"/>
      <c r="Q492" s="298"/>
      <c r="R492" s="298"/>
      <c r="S492" s="298"/>
      <c r="T492" s="298"/>
      <c r="U492" s="298"/>
    </row>
    <row r="493" spans="1:21" ht="19.5" x14ac:dyDescent="0.3">
      <c r="A493" s="128"/>
      <c r="B493" s="158"/>
      <c r="C493" s="177" t="s">
        <v>18</v>
      </c>
      <c r="D493" s="1538" t="s">
        <v>19</v>
      </c>
      <c r="E493" s="1292"/>
      <c r="F493" s="1292"/>
      <c r="G493" s="42"/>
      <c r="H493" s="221" t="s">
        <v>14</v>
      </c>
      <c r="I493" s="44"/>
      <c r="J493" s="44"/>
      <c r="K493" s="45"/>
      <c r="L493" s="1389">
        <f ca="1">L494+L495</f>
        <v>0</v>
      </c>
      <c r="M493" s="1390">
        <f ca="1">M494+M495</f>
        <v>0</v>
      </c>
      <c r="N493" s="1390">
        <f ca="1">N494+N495</f>
        <v>0</v>
      </c>
      <c r="O493" s="1390">
        <f ca="1">IF(L493&gt;0,N493*100/L493,0)</f>
        <v>0</v>
      </c>
      <c r="P493" s="1390">
        <f ca="1">IF(M493&gt;0,N493*100/M493,0)</f>
        <v>0</v>
      </c>
      <c r="Q493" s="1390">
        <f ca="1">Q494+Q495</f>
        <v>0</v>
      </c>
      <c r="R493" s="1390">
        <f ca="1">R494+R495</f>
        <v>0</v>
      </c>
      <c r="S493" s="1390">
        <f ca="1">S494+S495</f>
        <v>0</v>
      </c>
      <c r="T493" s="1390">
        <f ca="1">IF(Q493&gt;0,S493*100/Q493,0)</f>
        <v>0</v>
      </c>
      <c r="U493" s="1390">
        <f ca="1">IF(R493&gt;0,S493*100/R493,0)</f>
        <v>0</v>
      </c>
    </row>
    <row r="494" spans="1:21" ht="18.75" x14ac:dyDescent="0.25">
      <c r="A494" s="128"/>
      <c r="B494" s="158"/>
      <c r="C494" s="158"/>
      <c r="D494" s="139"/>
      <c r="E494" s="156" t="s">
        <v>158</v>
      </c>
      <c r="F494" s="40"/>
      <c r="G494" s="42"/>
      <c r="H494" s="159" t="s">
        <v>14</v>
      </c>
      <c r="I494" s="44"/>
      <c r="J494" s="44"/>
      <c r="K494" s="45"/>
      <c r="L494" s="1358">
        <f>L497+L500</f>
        <v>0</v>
      </c>
      <c r="M494" s="83">
        <f>M497+M500</f>
        <v>0</v>
      </c>
      <c r="N494" s="83">
        <f>N497+N500</f>
        <v>0</v>
      </c>
      <c r="O494" s="83">
        <f>IF(L494&gt;0,N494*100/L494,0)</f>
        <v>0</v>
      </c>
      <c r="P494" s="83">
        <f>IF(M494&gt;0,N494*100/M494,0)</f>
        <v>0</v>
      </c>
      <c r="Q494" s="83">
        <f>Q497+Q500</f>
        <v>0</v>
      </c>
      <c r="R494" s="83">
        <f>R497+R500</f>
        <v>0</v>
      </c>
      <c r="S494" s="83">
        <f>S497+S500</f>
        <v>0</v>
      </c>
      <c r="T494" s="83">
        <f>IF(Q494&gt;0,S494*100/Q494,0)</f>
        <v>0</v>
      </c>
      <c r="U494" s="83">
        <f>IF(R494&gt;0,S494*100/R494,0)</f>
        <v>0</v>
      </c>
    </row>
    <row r="495" spans="1:21" ht="18.75" x14ac:dyDescent="0.25">
      <c r="A495" s="128"/>
      <c r="B495" s="158"/>
      <c r="C495" s="158"/>
      <c r="D495" s="139"/>
      <c r="E495" s="47" t="s">
        <v>159</v>
      </c>
      <c r="F495" s="40"/>
      <c r="G495" s="42"/>
      <c r="H495" s="134" t="s">
        <v>14</v>
      </c>
      <c r="I495" s="44"/>
      <c r="J495" s="44"/>
      <c r="K495" s="45"/>
      <c r="L495" s="1356">
        <f ca="1">L498+L501</f>
        <v>0</v>
      </c>
      <c r="M495" s="224">
        <f ca="1">M498+M501</f>
        <v>0</v>
      </c>
      <c r="N495" s="224">
        <f ca="1">N498+N501</f>
        <v>0</v>
      </c>
      <c r="O495" s="224">
        <f ca="1">IF(L495&gt;0,N495*100/L495,0)</f>
        <v>0</v>
      </c>
      <c r="P495" s="224">
        <f ca="1">IF(M495&gt;0,N495*100/M495,0)</f>
        <v>0</v>
      </c>
      <c r="Q495" s="224">
        <f ca="1">Q498+Q501</f>
        <v>0</v>
      </c>
      <c r="R495" s="224">
        <f ca="1">R498+R501</f>
        <v>0</v>
      </c>
      <c r="S495" s="224">
        <f ca="1">S498+S501</f>
        <v>0</v>
      </c>
      <c r="T495" s="224">
        <f ca="1">IF(Q495&gt;0,S495*100/Q495,0)</f>
        <v>0</v>
      </c>
      <c r="U495" s="224">
        <f ca="1">IF(R495&gt;0,S495*100/R495,0)</f>
        <v>0</v>
      </c>
    </row>
    <row r="496" spans="1:21" ht="18.75" x14ac:dyDescent="0.25">
      <c r="A496" s="128"/>
      <c r="B496" s="158"/>
      <c r="C496" s="158"/>
      <c r="D496" s="1406" t="s">
        <v>22</v>
      </c>
      <c r="E496" s="40"/>
      <c r="F496" s="40"/>
      <c r="G496" s="42"/>
      <c r="H496" s="134" t="s">
        <v>14</v>
      </c>
      <c r="I496" s="135"/>
      <c r="J496" s="135"/>
      <c r="K496" s="136"/>
      <c r="L496" s="1356">
        <f ca="1">L497+L498</f>
        <v>0</v>
      </c>
      <c r="M496" s="224">
        <f ca="1">M497+M498</f>
        <v>0</v>
      </c>
      <c r="N496" s="224">
        <f ca="1">N497+N498</f>
        <v>0</v>
      </c>
      <c r="O496" s="224">
        <f ca="1">IF(L496&gt;0,N496*100/L496,0)</f>
        <v>0</v>
      </c>
      <c r="P496" s="224">
        <f ca="1">IF(M496&gt;0,N496*100/M496,0)</f>
        <v>0</v>
      </c>
      <c r="Q496" s="224">
        <f ca="1">Q497+Q498</f>
        <v>0</v>
      </c>
      <c r="R496" s="224">
        <f ca="1">R497+R498</f>
        <v>0</v>
      </c>
      <c r="S496" s="224">
        <f ca="1">S497+S498</f>
        <v>0</v>
      </c>
      <c r="T496" s="224">
        <f ca="1">IF(Q496&gt;0,S496*100/Q496,0)</f>
        <v>0</v>
      </c>
      <c r="U496" s="224">
        <f ca="1">IF(R496&gt;0,S496*100/R496,0)</f>
        <v>0</v>
      </c>
    </row>
    <row r="497" spans="1:21" ht="18.75" x14ac:dyDescent="0.25">
      <c r="A497" s="128"/>
      <c r="B497" s="158"/>
      <c r="C497" s="158"/>
      <c r="D497" s="139"/>
      <c r="E497" s="156" t="s">
        <v>158</v>
      </c>
      <c r="F497" s="40"/>
      <c r="G497" s="42"/>
      <c r="H497" s="159" t="s">
        <v>14</v>
      </c>
      <c r="I497" s="44"/>
      <c r="J497" s="44"/>
      <c r="K497" s="45"/>
      <c r="L497" s="1358">
        <v>0</v>
      </c>
      <c r="M497" s="83">
        <v>0</v>
      </c>
      <c r="N497" s="83">
        <v>0</v>
      </c>
      <c r="O497" s="83">
        <f>IF(L497&gt;0,N497*100/L497,0)</f>
        <v>0</v>
      </c>
      <c r="P497" s="83">
        <f>IF(M497&gt;0,N497*100/M497,0)</f>
        <v>0</v>
      </c>
      <c r="Q497" s="83">
        <v>0</v>
      </c>
      <c r="R497" s="83">
        <v>0</v>
      </c>
      <c r="S497" s="83">
        <v>0</v>
      </c>
      <c r="T497" s="83">
        <f>IF(Q497&gt;0,S497*100/Q497,0)</f>
        <v>0</v>
      </c>
      <c r="U497" s="83">
        <f>IF(R497&gt;0,S497*100/R497,0)</f>
        <v>0</v>
      </c>
    </row>
    <row r="498" spans="1:21" ht="18.75" x14ac:dyDescent="0.25">
      <c r="A498" s="128"/>
      <c r="B498" s="158"/>
      <c r="C498" s="158"/>
      <c r="D498" s="139"/>
      <c r="E498" s="47" t="s">
        <v>159</v>
      </c>
      <c r="F498" s="40"/>
      <c r="G498" s="42"/>
      <c r="H498" s="134" t="s">
        <v>14</v>
      </c>
      <c r="I498" s="44"/>
      <c r="J498" s="44"/>
      <c r="K498" s="45"/>
      <c r="L498" s="1356">
        <f ca="1">IFERROR(__xludf.DUMMYFUNCTION("IMPORTRANGE(""https://docs.google.com/spreadsheets/d/1-uDff_7J0KD5mKrp0Vvzr7lt3OU09vwQwhkpOPPYv2Y/edit?usp=sharing"",""งบพรบ!HU27"")"),0)</f>
        <v>0</v>
      </c>
      <c r="M498" s="224">
        <f ca="1">IFERROR(__xludf.DUMMYFUNCTION("IMPORTRANGE(""https://docs.google.com/spreadsheets/d/1-uDff_7J0KD5mKrp0Vvzr7lt3OU09vwQwhkpOPPYv2Y/edit?usp=sharing"",""งบพรบ!HZ27"")"),0)</f>
        <v>0</v>
      </c>
      <c r="N498" s="224">
        <f ca="1">IFERROR(__xludf.DUMMYFUNCTION("IMPORTRANGE(""https://docs.google.com/spreadsheets/d/1-uDff_7J0KD5mKrp0Vvzr7lt3OU09vwQwhkpOPPYv2Y/edit?usp=sharing"",""งบพรบ!IB27"")"),0)</f>
        <v>0</v>
      </c>
      <c r="O498" s="224">
        <f ca="1">IF(L498&gt;0,N498*100/L498,0)</f>
        <v>0</v>
      </c>
      <c r="P498" s="224">
        <f ca="1">IF(M498&gt;0,N498*100/M498,0)</f>
        <v>0</v>
      </c>
      <c r="Q498" s="224">
        <f ca="1">IFERROR(__xludf.DUMMYFUNCTION("IMPORTRANGE(""https://docs.google.com/spreadsheets/d/1ItG2mGa2ceCfYo0BwxsXqNm01IGEUdYcSSLTEv9YCik/edit?usp=sharing"",""เบิกจ่ายกองทุน!AD27"")"),0)</f>
        <v>0</v>
      </c>
      <c r="R498" s="224">
        <f ca="1">IFERROR(__xludf.DUMMYFUNCTION("IMPORTRANGE(""https://docs.google.com/spreadsheets/d/1ItG2mGa2ceCfYo0BwxsXqNm01IGEUdYcSSLTEv9YCik/edit?usp=sharing"",""เบิกจ่ายกองทุน!AE27"")"),0)</f>
        <v>0</v>
      </c>
      <c r="S498" s="224">
        <f ca="1">IFERROR(__xludf.DUMMYFUNCTION("IMPORTRANGE(""https://docs.google.com/spreadsheets/d/1ItG2mGa2ceCfYo0BwxsXqNm01IGEUdYcSSLTEv9YCik/edit?usp=sharing"",""เบิกจ่ายกองทุน!AF27"")"),0)</f>
        <v>0</v>
      </c>
      <c r="T498" s="224">
        <f ca="1">IF(Q498&gt;0,S498*100/Q498,0)</f>
        <v>0</v>
      </c>
      <c r="U498" s="224">
        <f ca="1">IF(R498&gt;0,S498*100/R498,0)</f>
        <v>0</v>
      </c>
    </row>
    <row r="499" spans="1:21" ht="18.75" x14ac:dyDescent="0.25">
      <c r="A499" s="128"/>
      <c r="B499" s="158"/>
      <c r="C499" s="158"/>
      <c r="D499" s="1406" t="s">
        <v>23</v>
      </c>
      <c r="E499" s="40"/>
      <c r="F499" s="40"/>
      <c r="G499" s="42"/>
      <c r="H499" s="137" t="s">
        <v>14</v>
      </c>
      <c r="I499" s="135"/>
      <c r="J499" s="135"/>
      <c r="K499" s="136"/>
      <c r="L499" s="1356">
        <f ca="1">L500+L501</f>
        <v>0</v>
      </c>
      <c r="M499" s="224">
        <f ca="1">M500+M501</f>
        <v>0</v>
      </c>
      <c r="N499" s="224">
        <f ca="1">N500+N501</f>
        <v>0</v>
      </c>
      <c r="O499" s="224">
        <f ca="1">IF(L499&gt;0,N499*100/L499,0)</f>
        <v>0</v>
      </c>
      <c r="P499" s="224">
        <f ca="1">IF(M499&gt;0,N499*100/M499,0)</f>
        <v>0</v>
      </c>
      <c r="Q499" s="224">
        <f>Q500+Q501</f>
        <v>0</v>
      </c>
      <c r="R499" s="224">
        <f>R500+R501</f>
        <v>0</v>
      </c>
      <c r="S499" s="224">
        <f>S500+S501</f>
        <v>0</v>
      </c>
      <c r="T499" s="224">
        <f>IF(Q499&gt;0,S499*100/Q499,0)</f>
        <v>0</v>
      </c>
      <c r="U499" s="224">
        <f>IF(R499&gt;0,S499*100/R499,0)</f>
        <v>0</v>
      </c>
    </row>
    <row r="500" spans="1:21" ht="18.75" x14ac:dyDescent="0.25">
      <c r="A500" s="128"/>
      <c r="B500" s="158"/>
      <c r="C500" s="158"/>
      <c r="D500" s="158"/>
      <c r="E500" s="156" t="s">
        <v>20</v>
      </c>
      <c r="F500" s="40"/>
      <c r="G500" s="42"/>
      <c r="H500" s="159" t="s">
        <v>14</v>
      </c>
      <c r="I500" s="135"/>
      <c r="J500" s="135"/>
      <c r="K500" s="136"/>
      <c r="L500" s="1358">
        <v>0</v>
      </c>
      <c r="M500" s="83">
        <v>0</v>
      </c>
      <c r="N500" s="83">
        <v>0</v>
      </c>
      <c r="O500" s="83">
        <f>IF(L500&gt;0,N500*100/L500,0)</f>
        <v>0</v>
      </c>
      <c r="P500" s="83">
        <f>IF(M500&gt;0,N500*100/M500,0)</f>
        <v>0</v>
      </c>
      <c r="Q500" s="83">
        <v>0</v>
      </c>
      <c r="R500" s="83">
        <v>0</v>
      </c>
      <c r="S500" s="83">
        <v>0</v>
      </c>
      <c r="T500" s="83">
        <f>IF(Q500&gt;0,S500*100/Q500,0)</f>
        <v>0</v>
      </c>
      <c r="U500" s="83">
        <f>IF(R500&gt;0,S500*100/R500,0)</f>
        <v>0</v>
      </c>
    </row>
    <row r="501" spans="1:21" ht="18.75" x14ac:dyDescent="0.25">
      <c r="A501" s="128"/>
      <c r="B501" s="158"/>
      <c r="C501" s="158"/>
      <c r="D501" s="158"/>
      <c r="E501" s="47" t="s">
        <v>21</v>
      </c>
      <c r="F501" s="40"/>
      <c r="G501" s="42"/>
      <c r="H501" s="137" t="s">
        <v>14</v>
      </c>
      <c r="I501" s="135"/>
      <c r="J501" s="135"/>
      <c r="K501" s="136"/>
      <c r="L501" s="1356">
        <f ca="1">IFERROR(__xludf.DUMMYFUNCTION("IMPORTRANGE(""https://docs.google.com/spreadsheets/d/1-uDff_7J0KD5mKrp0Vvzr7lt3OU09vwQwhkpOPPYv2Y/edit?usp=sharing"",""งบพรบ!HX27"")"),0)</f>
        <v>0</v>
      </c>
      <c r="M501" s="224">
        <f ca="1">IFERROR(__xludf.DUMMYFUNCTION("IMPORTRANGE(""https://docs.google.com/spreadsheets/d/1-uDff_7J0KD5mKrp0Vvzr7lt3OU09vwQwhkpOPPYv2Y/edit?usp=sharing"",""งบพรบ!IA27"")"),0)</f>
        <v>0</v>
      </c>
      <c r="N501" s="224">
        <f ca="1">IFERROR(__xludf.DUMMYFUNCTION("IMPORTRANGE(""https://docs.google.com/spreadsheets/d/1-uDff_7J0KD5mKrp0Vvzr7lt3OU09vwQwhkpOPPYv2Y/edit?usp=sharing"",""งบพรบ!IC27"")"),0)</f>
        <v>0</v>
      </c>
      <c r="O501" s="224">
        <f ca="1">IF(L501&gt;0,N501*100/L501,0)</f>
        <v>0</v>
      </c>
      <c r="P501" s="224">
        <f ca="1">IF(M501&gt;0,N501*100/M501,0)</f>
        <v>0</v>
      </c>
      <c r="Q501" s="224">
        <v>0</v>
      </c>
      <c r="R501" s="224">
        <v>0</v>
      </c>
      <c r="S501" s="224">
        <v>0</v>
      </c>
      <c r="T501" s="224">
        <f>IF(Q501&gt;0,S501*100/Q501,0)</f>
        <v>0</v>
      </c>
      <c r="U501" s="224">
        <f>IF(R501&gt;0,S501*100/R501,0)</f>
        <v>0</v>
      </c>
    </row>
    <row r="502" spans="1:21" ht="19.5" x14ac:dyDescent="0.3">
      <c r="A502" s="138"/>
      <c r="B502" s="139"/>
      <c r="C502" s="177" t="s">
        <v>18</v>
      </c>
      <c r="D502" s="1535" t="s">
        <v>38</v>
      </c>
      <c r="E502" s="141"/>
      <c r="F502" s="141"/>
      <c r="G502" s="142"/>
      <c r="H502" s="178"/>
      <c r="I502" s="135"/>
      <c r="J502" s="135"/>
      <c r="K502" s="136"/>
      <c r="L502" s="1392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08"/>
      <c r="B503" s="158"/>
      <c r="C503" s="158"/>
      <c r="D503" s="161" t="s">
        <v>199</v>
      </c>
      <c r="E503" s="40"/>
      <c r="F503" s="40"/>
      <c r="G503" s="42"/>
      <c r="H503" s="133" t="s">
        <v>35</v>
      </c>
      <c r="I503" s="328">
        <f ca="1">IFERROR(__xludf.DUMMYFUNCTION("IMPORTRANGE(""https://docs.google.com/spreadsheets/d/1eHaY18a8A9IcSdp1K8H6x8fbOy06t2VsZHhMHf-1x7Y/edit?usp=sharing"",""แผน!GX27"")"),0)</f>
        <v>0</v>
      </c>
      <c r="J503" s="328">
        <f ca="1">IF(AND(J504=I504,J505=I505,J506=I506,J507=I507),I503,0)</f>
        <v>0</v>
      </c>
      <c r="K503" s="1390">
        <f ca="1">IF(I503&gt;0,J503*100/I503,0)</f>
        <v>0</v>
      </c>
      <c r="L503" s="1359"/>
      <c r="M503" s="45"/>
      <c r="N503" s="45"/>
      <c r="O503" s="45"/>
      <c r="P503" s="45"/>
      <c r="Q503" s="45"/>
      <c r="R503" s="45"/>
      <c r="S503" s="45"/>
      <c r="T503" s="45"/>
      <c r="U503" s="45"/>
    </row>
    <row r="504" spans="1:21" ht="18.75" x14ac:dyDescent="0.25">
      <c r="A504" s="208"/>
      <c r="B504" s="158"/>
      <c r="C504" s="158"/>
      <c r="D504" s="158"/>
      <c r="E504" s="47" t="s">
        <v>200</v>
      </c>
      <c r="F504" s="40"/>
      <c r="G504" s="42"/>
      <c r="H504" s="133" t="s">
        <v>35</v>
      </c>
      <c r="I504" s="184">
        <f ca="1">IFERROR(__xludf.DUMMYFUNCTION("IMPORTRANGE(""https://docs.google.com/spreadsheets/d/1eHaY18a8A9IcSdp1K8H6x8fbOy06t2VsZHhMHf-1x7Y/edit?usp=sharing"",""แผน!GY27"")"),0)</f>
        <v>0</v>
      </c>
      <c r="J504" s="1395">
        <v>0</v>
      </c>
      <c r="K504" s="224">
        <f ca="1">IF(I504&gt;0,J504*100/I504,0)</f>
        <v>0</v>
      </c>
      <c r="L504" s="1359"/>
      <c r="M504" s="45"/>
      <c r="N504" s="45"/>
      <c r="O504" s="45"/>
      <c r="P504" s="45"/>
      <c r="Q504" s="45"/>
      <c r="R504" s="45"/>
      <c r="S504" s="45"/>
      <c r="T504" s="45"/>
      <c r="U504" s="45"/>
    </row>
    <row r="505" spans="1:21" ht="18.75" x14ac:dyDescent="0.25">
      <c r="A505" s="208"/>
      <c r="B505" s="158"/>
      <c r="C505" s="158"/>
      <c r="D505" s="158"/>
      <c r="E505" s="47" t="s">
        <v>201</v>
      </c>
      <c r="F505" s="40"/>
      <c r="G505" s="42"/>
      <c r="H505" s="133" t="s">
        <v>35</v>
      </c>
      <c r="I505" s="184">
        <f ca="1">IFERROR(__xludf.DUMMYFUNCTION("IMPORTRANGE(""https://docs.google.com/spreadsheets/d/1eHaY18a8A9IcSdp1K8H6x8fbOy06t2VsZHhMHf-1x7Y/edit?usp=sharing"",""แผน!GZ27"")"),0)</f>
        <v>0</v>
      </c>
      <c r="J505" s="1395">
        <v>0</v>
      </c>
      <c r="K505" s="224">
        <f ca="1">IF(I505&gt;0,J505*100/I505,0)</f>
        <v>0</v>
      </c>
      <c r="L505" s="1359"/>
      <c r="M505" s="45"/>
      <c r="N505" s="45"/>
      <c r="O505" s="45"/>
      <c r="P505" s="45"/>
      <c r="Q505" s="45"/>
      <c r="R505" s="45"/>
      <c r="S505" s="45"/>
      <c r="T505" s="45"/>
      <c r="U505" s="45"/>
    </row>
    <row r="506" spans="1:21" ht="18.75" x14ac:dyDescent="0.25">
      <c r="A506" s="208"/>
      <c r="B506" s="158"/>
      <c r="C506" s="158"/>
      <c r="D506" s="158"/>
      <c r="E506" s="47" t="s">
        <v>202</v>
      </c>
      <c r="F506" s="40"/>
      <c r="G506" s="42"/>
      <c r="H506" s="133" t="s">
        <v>35</v>
      </c>
      <c r="I506" s="184">
        <f ca="1">IFERROR(__xludf.DUMMYFUNCTION("IMPORTRANGE(""https://docs.google.com/spreadsheets/d/1eHaY18a8A9IcSdp1K8H6x8fbOy06t2VsZHhMHf-1x7Y/edit?usp=sharing"",""แผน!HA27"")"),0)</f>
        <v>0</v>
      </c>
      <c r="J506" s="1395">
        <v>0</v>
      </c>
      <c r="K506" s="224">
        <f ca="1">IF(I506&gt;0,J506*100/I506,0)</f>
        <v>0</v>
      </c>
      <c r="L506" s="1359"/>
      <c r="M506" s="45"/>
      <c r="N506" s="45"/>
      <c r="O506" s="45"/>
      <c r="P506" s="45"/>
      <c r="Q506" s="45"/>
      <c r="R506" s="45"/>
      <c r="S506" s="45"/>
      <c r="T506" s="45"/>
      <c r="U506" s="45"/>
    </row>
    <row r="507" spans="1:21" ht="18.75" x14ac:dyDescent="0.25">
      <c r="A507" s="208"/>
      <c r="B507" s="158"/>
      <c r="C507" s="158"/>
      <c r="D507" s="158"/>
      <c r="E507" s="332" t="s">
        <v>203</v>
      </c>
      <c r="F507" s="40"/>
      <c r="G507" s="42"/>
      <c r="H507" s="133" t="s">
        <v>35</v>
      </c>
      <c r="I507" s="184">
        <f ca="1">IFERROR(__xludf.DUMMYFUNCTION("IMPORTRANGE(""https://docs.google.com/spreadsheets/d/1eHaY18a8A9IcSdp1K8H6x8fbOy06t2VsZHhMHf-1x7Y/edit?usp=sharing"",""แผน!HB27"")"),0)</f>
        <v>0</v>
      </c>
      <c r="J507" s="1395">
        <v>0</v>
      </c>
      <c r="K507" s="224">
        <f ca="1">IF(I507&gt;0,J507*100/I507,0)</f>
        <v>0</v>
      </c>
      <c r="L507" s="1359"/>
      <c r="M507" s="45"/>
      <c r="N507" s="45"/>
      <c r="O507" s="45"/>
      <c r="P507" s="45"/>
      <c r="Q507" s="45"/>
      <c r="R507" s="45"/>
      <c r="S507" s="45"/>
      <c r="T507" s="45"/>
      <c r="U507" s="45"/>
    </row>
    <row r="508" spans="1:21" ht="18.75" x14ac:dyDescent="0.25">
      <c r="A508" s="208"/>
      <c r="B508" s="158"/>
      <c r="C508" s="158"/>
      <c r="D508" s="158"/>
      <c r="E508" s="47" t="s">
        <v>204</v>
      </c>
      <c r="F508" s="40"/>
      <c r="G508" s="42"/>
      <c r="H508" s="133" t="s">
        <v>35</v>
      </c>
      <c r="I508" s="184">
        <v>0</v>
      </c>
      <c r="J508" s="184">
        <v>0</v>
      </c>
      <c r="K508" s="224">
        <f>IF(I508&gt;0,J508*100/I508,0)</f>
        <v>0</v>
      </c>
      <c r="L508" s="1359"/>
      <c r="M508" s="45"/>
      <c r="N508" s="45"/>
      <c r="O508" s="45"/>
      <c r="P508" s="45"/>
      <c r="Q508" s="45"/>
      <c r="R508" s="45"/>
      <c r="S508" s="45"/>
      <c r="T508" s="45"/>
      <c r="U508" s="45"/>
    </row>
    <row r="509" spans="1:21" ht="19.5" x14ac:dyDescent="0.3">
      <c r="A509" s="329"/>
      <c r="B509" s="2"/>
      <c r="C509" s="2"/>
      <c r="D509" s="333" t="s">
        <v>50</v>
      </c>
      <c r="E509" s="1"/>
      <c r="F509" s="1"/>
      <c r="G509" s="52"/>
      <c r="H509" s="331" t="s">
        <v>35</v>
      </c>
      <c r="I509" s="188">
        <f ca="1">IFERROR(__xludf.DUMMYFUNCTION("IMPORTRANGE(""https://docs.google.com/spreadsheets/d/1eHaY18a8A9IcSdp1K8H6x8fbOy06t2VsZHhMHf-1x7Y/edit?usp=sharing"",""แผน!HC27"")"),0)</f>
        <v>0</v>
      </c>
      <c r="J509" s="1541">
        <v>0</v>
      </c>
      <c r="K509" s="448">
        <f ca="1">IF(I509&gt;0,J509*100/I509,0)</f>
        <v>0</v>
      </c>
      <c r="L509" s="1360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9.5" x14ac:dyDescent="0.3">
      <c r="A510" s="1542" t="s">
        <v>205</v>
      </c>
      <c r="B510" s="336"/>
      <c r="C510" s="336"/>
      <c r="D510" s="336"/>
      <c r="E510" s="337"/>
      <c r="F510" s="337"/>
      <c r="G510" s="337"/>
      <c r="H510" s="337"/>
      <c r="I510" s="338"/>
      <c r="J510" s="338"/>
      <c r="K510" s="339"/>
      <c r="L510" s="1543"/>
      <c r="M510" s="341"/>
      <c r="N510" s="341"/>
      <c r="O510" s="341"/>
      <c r="P510" s="341"/>
      <c r="Q510" s="341"/>
      <c r="R510" s="341"/>
      <c r="S510" s="341"/>
      <c r="T510" s="341"/>
      <c r="U510" s="341"/>
    </row>
    <row r="511" spans="1:21" ht="19.5" x14ac:dyDescent="0.3">
      <c r="A511" s="1544" t="s">
        <v>206</v>
      </c>
      <c r="B511" s="343"/>
      <c r="C511" s="343"/>
      <c r="D511" s="344"/>
      <c r="E511" s="343"/>
      <c r="F511" s="343"/>
      <c r="G511" s="343"/>
      <c r="H511" s="345"/>
      <c r="I511" s="346"/>
      <c r="J511" s="346"/>
      <c r="K511" s="347"/>
      <c r="L511" s="1545"/>
      <c r="M511" s="348"/>
      <c r="N511" s="348"/>
      <c r="O511" s="348"/>
      <c r="P511" s="348"/>
      <c r="Q511" s="348"/>
      <c r="R511" s="348"/>
      <c r="S511" s="348"/>
      <c r="T511" s="348"/>
      <c r="U511" s="348"/>
    </row>
    <row r="512" spans="1:21" ht="19.5" x14ac:dyDescent="0.3">
      <c r="A512" s="349"/>
      <c r="B512" s="1546" t="s">
        <v>207</v>
      </c>
      <c r="C512" s="351"/>
      <c r="D512" s="352"/>
      <c r="E512" s="352"/>
      <c r="F512" s="352"/>
      <c r="G512" s="353"/>
      <c r="H512" s="1547" t="s">
        <v>61</v>
      </c>
      <c r="I512" s="1548">
        <f>I524</f>
        <v>0</v>
      </c>
      <c r="J512" s="1548">
        <f>J524</f>
        <v>0</v>
      </c>
      <c r="K512" s="1549">
        <f>IF(I512&gt;0,J512*100/I512,0)</f>
        <v>0</v>
      </c>
      <c r="L512" s="1550"/>
      <c r="M512" s="357"/>
      <c r="N512" s="357"/>
      <c r="O512" s="357"/>
      <c r="P512" s="357"/>
      <c r="Q512" s="357"/>
      <c r="R512" s="357"/>
      <c r="S512" s="357"/>
      <c r="T512" s="357"/>
      <c r="U512" s="357"/>
    </row>
    <row r="513" spans="1:21" ht="19.5" x14ac:dyDescent="0.3">
      <c r="A513" s="128"/>
      <c r="B513" s="40"/>
      <c r="C513" s="1433" t="s">
        <v>18</v>
      </c>
      <c r="D513" s="1434" t="s">
        <v>19</v>
      </c>
      <c r="E513" s="40"/>
      <c r="F513" s="40"/>
      <c r="G513" s="42"/>
      <c r="H513" s="1551" t="s">
        <v>14</v>
      </c>
      <c r="I513" s="44"/>
      <c r="J513" s="44"/>
      <c r="K513" s="45"/>
      <c r="L513" s="1389">
        <f ca="1">L514+L515</f>
        <v>0</v>
      </c>
      <c r="M513" s="1390">
        <f ca="1">M514+M515</f>
        <v>0</v>
      </c>
      <c r="N513" s="1390">
        <f ca="1">N514+N515</f>
        <v>0</v>
      </c>
      <c r="O513" s="1390">
        <f ca="1">IF(L513&gt;0,N513*100/L513,0)</f>
        <v>0</v>
      </c>
      <c r="P513" s="1390">
        <f ca="1">IF(M513&gt;0,N513*100/M513,0)</f>
        <v>0</v>
      </c>
      <c r="Q513" s="1390">
        <f>Q514+Q515</f>
        <v>0</v>
      </c>
      <c r="R513" s="1390">
        <f>R514+R515</f>
        <v>0</v>
      </c>
      <c r="S513" s="1390">
        <f>S514+S515</f>
        <v>0</v>
      </c>
      <c r="T513" s="1390">
        <f>IF(Q513&gt;0,S513*100/Q513,0)</f>
        <v>0</v>
      </c>
      <c r="U513" s="1390">
        <f>IF(R513&gt;0,S513*100/R513,0)</f>
        <v>0</v>
      </c>
    </row>
    <row r="514" spans="1:21" ht="18.75" x14ac:dyDescent="0.25">
      <c r="A514" s="128"/>
      <c r="B514" s="40"/>
      <c r="C514" s="40"/>
      <c r="D514" s="40"/>
      <c r="E514" s="156" t="s">
        <v>20</v>
      </c>
      <c r="F514" s="40"/>
      <c r="G514" s="42"/>
      <c r="H514" s="157" t="s">
        <v>14</v>
      </c>
      <c r="I514" s="44"/>
      <c r="J514" s="44"/>
      <c r="K514" s="45"/>
      <c r="L514" s="1358">
        <f>L517+L520</f>
        <v>0</v>
      </c>
      <c r="M514" s="83">
        <f>M517+M520</f>
        <v>0</v>
      </c>
      <c r="N514" s="83">
        <f>N517+N520</f>
        <v>0</v>
      </c>
      <c r="O514" s="83">
        <f>IF(L514&gt;0,N514*100/L514,0)</f>
        <v>0</v>
      </c>
      <c r="P514" s="83">
        <f>IF(M514&gt;0,N514*100/M514,0)</f>
        <v>0</v>
      </c>
      <c r="Q514" s="83">
        <f>Q517+Q520</f>
        <v>0</v>
      </c>
      <c r="R514" s="83">
        <f>R517+R520</f>
        <v>0</v>
      </c>
      <c r="S514" s="83">
        <f>S517+S520</f>
        <v>0</v>
      </c>
      <c r="T514" s="83">
        <f>IF(Q514&gt;0,S514*100/Q514,0)</f>
        <v>0</v>
      </c>
      <c r="U514" s="83">
        <f>IF(R514&gt;0,S514*100/R514,0)</f>
        <v>0</v>
      </c>
    </row>
    <row r="515" spans="1:21" ht="18.75" x14ac:dyDescent="0.25">
      <c r="A515" s="128"/>
      <c r="B515" s="40"/>
      <c r="C515" s="40"/>
      <c r="D515" s="40"/>
      <c r="E515" s="156" t="s">
        <v>21</v>
      </c>
      <c r="F515" s="40"/>
      <c r="G515" s="42"/>
      <c r="H515" s="157" t="s">
        <v>14</v>
      </c>
      <c r="I515" s="44"/>
      <c r="J515" s="44"/>
      <c r="K515" s="45"/>
      <c r="L515" s="1356">
        <f ca="1">L518+L521</f>
        <v>0</v>
      </c>
      <c r="M515" s="224">
        <f ca="1">M518+M521</f>
        <v>0</v>
      </c>
      <c r="N515" s="224">
        <f ca="1">N518+N521</f>
        <v>0</v>
      </c>
      <c r="O515" s="224">
        <f ca="1">IF(L515&gt;0,N515*100/L515,0)</f>
        <v>0</v>
      </c>
      <c r="P515" s="224">
        <f ca="1">IF(M515&gt;0,N515*100/M515,0)</f>
        <v>0</v>
      </c>
      <c r="Q515" s="224">
        <f>Q518+Q521</f>
        <v>0</v>
      </c>
      <c r="R515" s="224">
        <f>R518+R521</f>
        <v>0</v>
      </c>
      <c r="S515" s="224">
        <f>S518+S521</f>
        <v>0</v>
      </c>
      <c r="T515" s="224">
        <f>IF(Q515&gt;0,S515*100/Q515,0)</f>
        <v>0</v>
      </c>
      <c r="U515" s="224">
        <f>IF(R515&gt;0,S515*100/R515,0)</f>
        <v>0</v>
      </c>
    </row>
    <row r="516" spans="1:21" ht="18.75" x14ac:dyDescent="0.25">
      <c r="A516" s="128"/>
      <c r="B516" s="40"/>
      <c r="C516" s="40"/>
      <c r="D516" s="1552" t="s">
        <v>22</v>
      </c>
      <c r="E516" s="40"/>
      <c r="F516" s="40"/>
      <c r="G516" s="42"/>
      <c r="H516" s="159" t="s">
        <v>14</v>
      </c>
      <c r="I516" s="135"/>
      <c r="J516" s="135"/>
      <c r="K516" s="136"/>
      <c r="L516" s="1356">
        <f ca="1">L517+L518</f>
        <v>0</v>
      </c>
      <c r="M516" s="224">
        <f ca="1">M517+M518</f>
        <v>0</v>
      </c>
      <c r="N516" s="224">
        <f ca="1">N517+N518</f>
        <v>0</v>
      </c>
      <c r="O516" s="224">
        <f ca="1">IF(L516&gt;0,N516*100/L516,0)</f>
        <v>0</v>
      </c>
      <c r="P516" s="224">
        <f ca="1">IF(M516&gt;0,N516*100/M516,0)</f>
        <v>0</v>
      </c>
      <c r="Q516" s="224">
        <f>Q517+Q518</f>
        <v>0</v>
      </c>
      <c r="R516" s="224">
        <f>R517+R518</f>
        <v>0</v>
      </c>
      <c r="S516" s="224">
        <f>S517+S518</f>
        <v>0</v>
      </c>
      <c r="T516" s="224">
        <f>IF(Q516&gt;0,S516*100/Q516,0)</f>
        <v>0</v>
      </c>
      <c r="U516" s="224">
        <f>IF(R516&gt;0,S516*100/R516,0)</f>
        <v>0</v>
      </c>
    </row>
    <row r="517" spans="1:21" ht="18.75" x14ac:dyDescent="0.25">
      <c r="A517" s="128"/>
      <c r="B517" s="40"/>
      <c r="C517" s="40"/>
      <c r="D517" s="40"/>
      <c r="E517" s="156" t="s">
        <v>36</v>
      </c>
      <c r="F517" s="40"/>
      <c r="G517" s="42"/>
      <c r="H517" s="159" t="s">
        <v>14</v>
      </c>
      <c r="I517" s="135"/>
      <c r="J517" s="135"/>
      <c r="K517" s="136"/>
      <c r="L517" s="1358">
        <v>0</v>
      </c>
      <c r="M517" s="83">
        <v>0</v>
      </c>
      <c r="N517" s="83">
        <v>0</v>
      </c>
      <c r="O517" s="83">
        <f>IF(L517&gt;0,N517*100/L517,0)</f>
        <v>0</v>
      </c>
      <c r="P517" s="83">
        <f>IF(M517&gt;0,N517*100/M517,0)</f>
        <v>0</v>
      </c>
      <c r="Q517" s="83">
        <v>0</v>
      </c>
      <c r="R517" s="83">
        <v>0</v>
      </c>
      <c r="S517" s="83">
        <v>0</v>
      </c>
      <c r="T517" s="83">
        <f>IF(Q517&gt;0,S517*100/Q517,0)</f>
        <v>0</v>
      </c>
      <c r="U517" s="83">
        <f>IF(R517&gt;0,S517*100/R517,0)</f>
        <v>0</v>
      </c>
    </row>
    <row r="518" spans="1:21" ht="18.75" x14ac:dyDescent="0.25">
      <c r="A518" s="128"/>
      <c r="B518" s="40"/>
      <c r="C518" s="40"/>
      <c r="D518" s="40"/>
      <c r="E518" s="156" t="s">
        <v>37</v>
      </c>
      <c r="F518" s="40"/>
      <c r="G518" s="42"/>
      <c r="H518" s="159" t="s">
        <v>14</v>
      </c>
      <c r="I518" s="135"/>
      <c r="J518" s="135"/>
      <c r="K518" s="136"/>
      <c r="L518" s="1356">
        <f ca="1">IFERROR(__xludf.DUMMYFUNCTION("IMPORTRANGE(""https://docs.google.com/spreadsheets/d/1-uDff_7J0KD5mKrp0Vvzr7lt3OU09vwQwhkpOPPYv2Y/edit?usp=sharing"",""งบพรบ!FM27"")"),0)</f>
        <v>0</v>
      </c>
      <c r="M518" s="224">
        <f ca="1">IFERROR(__xludf.DUMMYFUNCTION("IMPORTRANGE(""https://docs.google.com/spreadsheets/d/1-uDff_7J0KD5mKrp0Vvzr7lt3OU09vwQwhkpOPPYv2Y/edit?usp=sharing"",""งบพรบ!FR27"")"),0)</f>
        <v>0</v>
      </c>
      <c r="N518" s="224">
        <f ca="1">IFERROR(__xludf.DUMMYFUNCTION("IMPORTRANGE(""https://docs.google.com/spreadsheets/d/1-uDff_7J0KD5mKrp0Vvzr7lt3OU09vwQwhkpOPPYv2Y/edit?usp=sharing"",""งบพรบ!FT27"")"),0)</f>
        <v>0</v>
      </c>
      <c r="O518" s="224">
        <f ca="1">IF(L518&gt;0,N518*100/L518,0)</f>
        <v>0</v>
      </c>
      <c r="P518" s="224">
        <f ca="1">IF(M518&gt;0,N518*100/M518,0)</f>
        <v>0</v>
      </c>
      <c r="Q518" s="224">
        <v>0</v>
      </c>
      <c r="R518" s="224">
        <v>0</v>
      </c>
      <c r="S518" s="224">
        <v>0</v>
      </c>
      <c r="T518" s="224">
        <f>IF(Q518&gt;0,S518*100/Q518,0)</f>
        <v>0</v>
      </c>
      <c r="U518" s="224">
        <f>IF(R518&gt;0,S518*100/R518,0)</f>
        <v>0</v>
      </c>
    </row>
    <row r="519" spans="1:21" ht="18.75" x14ac:dyDescent="0.25">
      <c r="A519" s="128"/>
      <c r="B519" s="40"/>
      <c r="C519" s="40"/>
      <c r="D519" s="1552" t="s">
        <v>23</v>
      </c>
      <c r="E519" s="40"/>
      <c r="F519" s="40"/>
      <c r="G519" s="42"/>
      <c r="H519" s="378" t="s">
        <v>14</v>
      </c>
      <c r="I519" s="135"/>
      <c r="J519" s="135"/>
      <c r="K519" s="136"/>
      <c r="L519" s="1356">
        <f ca="1">L520+L521</f>
        <v>0</v>
      </c>
      <c r="M519" s="224">
        <f ca="1">M520+M521</f>
        <v>0</v>
      </c>
      <c r="N519" s="224">
        <f ca="1">N520+N521</f>
        <v>0</v>
      </c>
      <c r="O519" s="224">
        <f ca="1">IF(L519&gt;0,N519*100/L519,0)</f>
        <v>0</v>
      </c>
      <c r="P519" s="224">
        <f ca="1">IF(M519&gt;0,N519*100/M519,0)</f>
        <v>0</v>
      </c>
      <c r="Q519" s="224">
        <f>Q520+Q521</f>
        <v>0</v>
      </c>
      <c r="R519" s="224">
        <f>R520+R521</f>
        <v>0</v>
      </c>
      <c r="S519" s="224">
        <f>S520+S521</f>
        <v>0</v>
      </c>
      <c r="T519" s="224">
        <f>IF(Q519&gt;0,S519*100/Q519,0)</f>
        <v>0</v>
      </c>
      <c r="U519" s="224">
        <f>IF(R519&gt;0,S519*100/R519,0)</f>
        <v>0</v>
      </c>
    </row>
    <row r="520" spans="1:21" ht="18.75" x14ac:dyDescent="0.25">
      <c r="A520" s="128"/>
      <c r="B520" s="40"/>
      <c r="C520" s="40"/>
      <c r="D520" s="40"/>
      <c r="E520" s="156" t="s">
        <v>20</v>
      </c>
      <c r="F520" s="40"/>
      <c r="G520" s="42"/>
      <c r="H520" s="159" t="s">
        <v>14</v>
      </c>
      <c r="I520" s="135"/>
      <c r="J520" s="135"/>
      <c r="K520" s="136"/>
      <c r="L520" s="1358">
        <v>0</v>
      </c>
      <c r="M520" s="83">
        <v>0</v>
      </c>
      <c r="N520" s="83">
        <v>0</v>
      </c>
      <c r="O520" s="83">
        <f>IF(L520&gt;0,N520*100/L520,0)</f>
        <v>0</v>
      </c>
      <c r="P520" s="83">
        <f>IF(M520&gt;0,N520*100/M520,0)</f>
        <v>0</v>
      </c>
      <c r="Q520" s="83">
        <v>0</v>
      </c>
      <c r="R520" s="83">
        <v>0</v>
      </c>
      <c r="S520" s="83">
        <v>0</v>
      </c>
      <c r="T520" s="83">
        <f>IF(Q520&gt;0,S520*100/Q520,0)</f>
        <v>0</v>
      </c>
      <c r="U520" s="83">
        <f>IF(R520&gt;0,S520*100/R520,0)</f>
        <v>0</v>
      </c>
    </row>
    <row r="521" spans="1:21" ht="18.75" x14ac:dyDescent="0.25">
      <c r="A521" s="128"/>
      <c r="B521" s="40"/>
      <c r="C521" s="40"/>
      <c r="D521" s="40"/>
      <c r="E521" s="156" t="s">
        <v>21</v>
      </c>
      <c r="F521" s="40"/>
      <c r="G521" s="42"/>
      <c r="H521" s="378" t="s">
        <v>14</v>
      </c>
      <c r="I521" s="135"/>
      <c r="J521" s="135"/>
      <c r="K521" s="136"/>
      <c r="L521" s="1356">
        <f ca="1">IFERROR(__xludf.DUMMYFUNCTION("IMPORTRANGE(""https://docs.google.com/spreadsheets/d/1-uDff_7J0KD5mKrp0Vvzr7lt3OU09vwQwhkpOPPYv2Y/edit?usp=sharing"",""งบพรบ!FP27"")"),0)</f>
        <v>0</v>
      </c>
      <c r="M521" s="224">
        <f ca="1">IFERROR(__xludf.DUMMYFUNCTION("IMPORTRANGE(""https://docs.google.com/spreadsheets/d/1-uDff_7J0KD5mKrp0Vvzr7lt3OU09vwQwhkpOPPYv2Y/edit?usp=sharing"",""งบพรบ!FS27"")"),0)</f>
        <v>0</v>
      </c>
      <c r="N521" s="224">
        <f ca="1">IFERROR(__xludf.DUMMYFUNCTION("IMPORTRANGE(""https://docs.google.com/spreadsheets/d/1-uDff_7J0KD5mKrp0Vvzr7lt3OU09vwQwhkpOPPYv2Y/edit?usp=sharing"",""งบพรบ!FU27"")"),0)</f>
        <v>0</v>
      </c>
      <c r="O521" s="224">
        <f ca="1">IF(L521&gt;0,N521*100/L521,0)</f>
        <v>0</v>
      </c>
      <c r="P521" s="224">
        <f ca="1">IF(M521&gt;0,N521*100/M521,0)</f>
        <v>0</v>
      </c>
      <c r="Q521" s="224">
        <v>0</v>
      </c>
      <c r="R521" s="224">
        <v>0</v>
      </c>
      <c r="S521" s="224">
        <v>0</v>
      </c>
      <c r="T521" s="224">
        <f>IF(Q521&gt;0,S521*100/Q521,0)</f>
        <v>0</v>
      </c>
      <c r="U521" s="224">
        <f>IF(R521&gt;0,S521*100/R521,0)</f>
        <v>0</v>
      </c>
    </row>
    <row r="522" spans="1:21" ht="19.5" x14ac:dyDescent="0.3">
      <c r="A522" s="138"/>
      <c r="B522" s="139"/>
      <c r="C522" s="1433" t="s">
        <v>18</v>
      </c>
      <c r="D522" s="1436" t="s">
        <v>38</v>
      </c>
      <c r="E522" s="141"/>
      <c r="F522" s="141"/>
      <c r="G522" s="142"/>
      <c r="H522" s="143"/>
      <c r="I522" s="135"/>
      <c r="J522" s="44"/>
      <c r="K522" s="45"/>
      <c r="L522" s="1359"/>
      <c r="M522" s="45"/>
      <c r="N522" s="45"/>
      <c r="O522" s="136"/>
      <c r="P522" s="136"/>
      <c r="Q522" s="45"/>
      <c r="R522" s="45"/>
      <c r="S522" s="45"/>
      <c r="T522" s="136"/>
      <c r="U522" s="136"/>
    </row>
    <row r="523" spans="1:21" ht="18.75" x14ac:dyDescent="0.25">
      <c r="A523" s="208"/>
      <c r="B523" s="40"/>
      <c r="C523" s="158"/>
      <c r="D523" s="179" t="s">
        <v>208</v>
      </c>
      <c r="E523" s="139"/>
      <c r="F523" s="40"/>
      <c r="G523" s="42"/>
      <c r="H523" s="1415" t="s">
        <v>11</v>
      </c>
      <c r="I523" s="423">
        <v>0</v>
      </c>
      <c r="J523" s="1407">
        <v>0</v>
      </c>
      <c r="K523" s="83">
        <f>IF(I523&gt;0,J523*100/I523,0)</f>
        <v>0</v>
      </c>
      <c r="L523" s="1359"/>
      <c r="M523" s="45"/>
      <c r="N523" s="45"/>
      <c r="O523" s="45"/>
      <c r="P523" s="45"/>
      <c r="Q523" s="45"/>
      <c r="R523" s="45"/>
      <c r="S523" s="45"/>
      <c r="T523" s="45"/>
      <c r="U523" s="45"/>
    </row>
    <row r="524" spans="1:21" ht="18.75" x14ac:dyDescent="0.25">
      <c r="A524" s="329"/>
      <c r="B524" s="1"/>
      <c r="C524" s="2"/>
      <c r="D524" s="1553" t="s">
        <v>209</v>
      </c>
      <c r="E524" s="250"/>
      <c r="F524" s="1"/>
      <c r="G524" s="52"/>
      <c r="H524" s="1554" t="s">
        <v>61</v>
      </c>
      <c r="I524" s="426">
        <v>0</v>
      </c>
      <c r="J524" s="1409">
        <v>0</v>
      </c>
      <c r="K524" s="1410">
        <f>IF(I524&gt;0,J524*100/I524,0)</f>
        <v>0</v>
      </c>
      <c r="L524" s="1359"/>
      <c r="M524" s="45"/>
      <c r="N524" s="45"/>
      <c r="O524" s="45"/>
      <c r="P524" s="45"/>
      <c r="Q524" s="45"/>
      <c r="R524" s="45"/>
      <c r="S524" s="45"/>
      <c r="T524" s="45"/>
      <c r="U524" s="45"/>
    </row>
    <row r="525" spans="1:21" ht="12.75" x14ac:dyDescent="0.2">
      <c r="A525" s="1555"/>
      <c r="B525" s="1556"/>
      <c r="C525" s="1556"/>
      <c r="D525" s="1557"/>
      <c r="E525" s="1557"/>
      <c r="F525" s="1557"/>
      <c r="G525" s="1558"/>
      <c r="H525" s="1559"/>
      <c r="I525" s="1560"/>
      <c r="J525" s="1560"/>
      <c r="K525" s="1561"/>
      <c r="L525" s="1536"/>
      <c r="M525" s="233"/>
      <c r="N525" s="233"/>
      <c r="O525" s="233"/>
      <c r="P525" s="233"/>
      <c r="Q525" s="233"/>
      <c r="R525" s="233"/>
      <c r="S525" s="233"/>
      <c r="T525" s="233"/>
      <c r="U525" s="233"/>
    </row>
    <row r="526" spans="1:21" ht="12.75" x14ac:dyDescent="0.2">
      <c r="A526" s="227"/>
      <c r="B526" s="228"/>
      <c r="C526" s="228"/>
      <c r="D526" s="229"/>
      <c r="E526" s="229"/>
      <c r="F526" s="229"/>
      <c r="G526" s="230"/>
      <c r="H526" s="231"/>
      <c r="I526" s="232"/>
      <c r="J526" s="232"/>
      <c r="K526" s="233"/>
      <c r="L526" s="1536"/>
      <c r="M526" s="233"/>
      <c r="N526" s="233"/>
      <c r="O526" s="233"/>
      <c r="P526" s="233"/>
      <c r="Q526" s="233"/>
      <c r="R526" s="233"/>
      <c r="S526" s="233"/>
      <c r="T526" s="233"/>
      <c r="U526" s="233"/>
    </row>
    <row r="527" spans="1:21" ht="12.75" x14ac:dyDescent="0.2">
      <c r="A527" s="227"/>
      <c r="B527" s="228"/>
      <c r="C527" s="228"/>
      <c r="D527" s="229"/>
      <c r="E527" s="229"/>
      <c r="F527" s="229"/>
      <c r="G527" s="230"/>
      <c r="H527" s="231"/>
      <c r="I527" s="232"/>
      <c r="J527" s="232"/>
      <c r="K527" s="233"/>
      <c r="L527" s="1536"/>
      <c r="M527" s="233"/>
      <c r="N527" s="233"/>
      <c r="O527" s="233"/>
      <c r="P527" s="233"/>
      <c r="Q527" s="233"/>
      <c r="R527" s="233"/>
      <c r="S527" s="233"/>
      <c r="T527" s="233"/>
      <c r="U527" s="233"/>
    </row>
    <row r="528" spans="1:21" ht="12.75" x14ac:dyDescent="0.2">
      <c r="A528" s="227"/>
      <c r="B528" s="228"/>
      <c r="C528" s="228"/>
      <c r="D528" s="229"/>
      <c r="E528" s="229"/>
      <c r="F528" s="229"/>
      <c r="G528" s="230"/>
      <c r="H528" s="231"/>
      <c r="I528" s="232"/>
      <c r="J528" s="232"/>
      <c r="K528" s="233"/>
      <c r="L528" s="1536"/>
      <c r="M528" s="233"/>
      <c r="N528" s="233"/>
      <c r="O528" s="233"/>
      <c r="P528" s="233"/>
      <c r="Q528" s="233"/>
      <c r="R528" s="233"/>
      <c r="S528" s="233"/>
      <c r="T528" s="233"/>
      <c r="U528" s="233"/>
    </row>
    <row r="529" spans="1:21" ht="12.75" x14ac:dyDescent="0.2">
      <c r="A529" s="227"/>
      <c r="B529" s="228"/>
      <c r="C529" s="228"/>
      <c r="D529" s="229"/>
      <c r="E529" s="229"/>
      <c r="F529" s="229"/>
      <c r="G529" s="230"/>
      <c r="H529" s="231"/>
      <c r="I529" s="232"/>
      <c r="J529" s="232"/>
      <c r="K529" s="233"/>
      <c r="L529" s="1536"/>
      <c r="M529" s="233"/>
      <c r="N529" s="233"/>
      <c r="O529" s="233"/>
      <c r="P529" s="233"/>
      <c r="Q529" s="233"/>
      <c r="R529" s="233"/>
      <c r="S529" s="233"/>
      <c r="T529" s="233"/>
      <c r="U529" s="233"/>
    </row>
    <row r="530" spans="1:21" ht="12.75" x14ac:dyDescent="0.2">
      <c r="A530" s="227"/>
      <c r="B530" s="228"/>
      <c r="C530" s="228"/>
      <c r="D530" s="229"/>
      <c r="E530" s="229"/>
      <c r="F530" s="229"/>
      <c r="G530" s="230"/>
      <c r="H530" s="231"/>
      <c r="I530" s="232"/>
      <c r="J530" s="232"/>
      <c r="K530" s="233"/>
      <c r="L530" s="1536"/>
      <c r="M530" s="233"/>
      <c r="N530" s="233"/>
      <c r="O530" s="233"/>
      <c r="P530" s="233"/>
      <c r="Q530" s="233"/>
      <c r="R530" s="233"/>
      <c r="S530" s="233"/>
      <c r="T530" s="233"/>
      <c r="U530" s="233"/>
    </row>
    <row r="531" spans="1:21" ht="12.75" x14ac:dyDescent="0.2">
      <c r="A531" s="227"/>
      <c r="B531" s="228"/>
      <c r="C531" s="228"/>
      <c r="D531" s="229"/>
      <c r="E531" s="229"/>
      <c r="F531" s="229"/>
      <c r="G531" s="230"/>
      <c r="H531" s="231"/>
      <c r="I531" s="232"/>
      <c r="J531" s="232"/>
      <c r="K531" s="233"/>
      <c r="L531" s="1536"/>
      <c r="M531" s="233"/>
      <c r="N531" s="233"/>
      <c r="O531" s="233"/>
      <c r="P531" s="233"/>
      <c r="Q531" s="233"/>
      <c r="R531" s="233"/>
      <c r="S531" s="233"/>
      <c r="T531" s="233"/>
      <c r="U531" s="233"/>
    </row>
    <row r="532" spans="1:21" ht="12.75" x14ac:dyDescent="0.2">
      <c r="A532" s="360"/>
      <c r="B532" s="316"/>
      <c r="C532" s="316"/>
      <c r="D532" s="361"/>
      <c r="E532" s="361"/>
      <c r="F532" s="361"/>
      <c r="G532" s="362"/>
      <c r="H532" s="317"/>
      <c r="I532" s="318"/>
      <c r="J532" s="318"/>
      <c r="K532" s="319"/>
      <c r="L532" s="1537"/>
      <c r="M532" s="319"/>
      <c r="N532" s="319"/>
      <c r="O532" s="319"/>
      <c r="P532" s="319"/>
      <c r="Q532" s="319"/>
      <c r="R532" s="319"/>
      <c r="S532" s="319"/>
      <c r="T532" s="319"/>
      <c r="U532" s="319"/>
    </row>
    <row r="533" spans="1:21" ht="19.5" x14ac:dyDescent="0.3">
      <c r="A533" s="349"/>
      <c r="B533" s="350" t="s">
        <v>210</v>
      </c>
      <c r="C533" s="351"/>
      <c r="D533" s="352"/>
      <c r="E533" s="352"/>
      <c r="F533" s="352"/>
      <c r="G533" s="353"/>
      <c r="H533" s="363" t="s">
        <v>61</v>
      </c>
      <c r="I533" s="374">
        <f>I545</f>
        <v>0</v>
      </c>
      <c r="J533" s="374">
        <f>J545</f>
        <v>0</v>
      </c>
      <c r="K533" s="1562">
        <f>IF(I533&gt;0,J533*100/I533,0)</f>
        <v>0</v>
      </c>
      <c r="L533" s="1550"/>
      <c r="M533" s="357"/>
      <c r="N533" s="357"/>
      <c r="O533" s="357"/>
      <c r="P533" s="357"/>
      <c r="Q533" s="357"/>
      <c r="R533" s="357"/>
      <c r="S533" s="357"/>
      <c r="T533" s="357"/>
      <c r="U533" s="357"/>
    </row>
    <row r="534" spans="1:21" ht="19.5" x14ac:dyDescent="0.3">
      <c r="A534" s="128"/>
      <c r="B534" s="40"/>
      <c r="C534" s="129" t="s">
        <v>18</v>
      </c>
      <c r="D534" s="1388" t="s">
        <v>19</v>
      </c>
      <c r="E534" s="40"/>
      <c r="F534" s="40"/>
      <c r="G534" s="42"/>
      <c r="H534" s="131" t="s">
        <v>14</v>
      </c>
      <c r="I534" s="44"/>
      <c r="J534" s="44"/>
      <c r="K534" s="45"/>
      <c r="L534" s="1389">
        <f ca="1">L535+L536</f>
        <v>0</v>
      </c>
      <c r="M534" s="1390">
        <f ca="1">M535+M536</f>
        <v>0</v>
      </c>
      <c r="N534" s="1390">
        <f ca="1">N535+N536</f>
        <v>0</v>
      </c>
      <c r="O534" s="1390">
        <f ca="1">IF(L534&gt;0,N534*100/L534,0)</f>
        <v>0</v>
      </c>
      <c r="P534" s="1390">
        <f ca="1">IF(M534&gt;0,N534*100/M534,0)</f>
        <v>0</v>
      </c>
      <c r="Q534" s="1390">
        <f>Q535+Q536</f>
        <v>0</v>
      </c>
      <c r="R534" s="1390">
        <f>R535+R536</f>
        <v>0</v>
      </c>
      <c r="S534" s="1390">
        <f>S535+S536</f>
        <v>0</v>
      </c>
      <c r="T534" s="1390">
        <f>IF(Q534&gt;0,S534*100/Q534,0)</f>
        <v>0</v>
      </c>
      <c r="U534" s="1390">
        <f>IF(R534&gt;0,S534*100/R534,0)</f>
        <v>0</v>
      </c>
    </row>
    <row r="535" spans="1:21" ht="18.75" x14ac:dyDescent="0.25">
      <c r="A535" s="128"/>
      <c r="B535" s="158"/>
      <c r="C535" s="40"/>
      <c r="D535" s="40"/>
      <c r="E535" s="156" t="s">
        <v>20</v>
      </c>
      <c r="F535" s="40"/>
      <c r="G535" s="42"/>
      <c r="H535" s="157" t="s">
        <v>14</v>
      </c>
      <c r="I535" s="44"/>
      <c r="J535" s="44"/>
      <c r="K535" s="45"/>
      <c r="L535" s="1358">
        <f>L538+L541</f>
        <v>0</v>
      </c>
      <c r="M535" s="83">
        <f>M538+M541</f>
        <v>0</v>
      </c>
      <c r="N535" s="83">
        <f>N538+N541</f>
        <v>0</v>
      </c>
      <c r="O535" s="83">
        <f>IF(L535&gt;0,N535*100/L535,0)</f>
        <v>0</v>
      </c>
      <c r="P535" s="83">
        <f>IF(M535&gt;0,N535*100/M535,0)</f>
        <v>0</v>
      </c>
      <c r="Q535" s="83">
        <f>Q538+Q541</f>
        <v>0</v>
      </c>
      <c r="R535" s="83">
        <f>R538+R541</f>
        <v>0</v>
      </c>
      <c r="S535" s="83">
        <f>S538+S541</f>
        <v>0</v>
      </c>
      <c r="T535" s="83">
        <f>IF(Q535&gt;0,S535*100/Q535,0)</f>
        <v>0</v>
      </c>
      <c r="U535" s="83">
        <f>IF(R535&gt;0,S535*100/R535,0)</f>
        <v>0</v>
      </c>
    </row>
    <row r="536" spans="1:21" ht="18.75" x14ac:dyDescent="0.25">
      <c r="A536" s="128"/>
      <c r="B536" s="40"/>
      <c r="C536" s="158"/>
      <c r="D536" s="40"/>
      <c r="E536" s="209" t="s">
        <v>21</v>
      </c>
      <c r="F536" s="40"/>
      <c r="G536" s="42"/>
      <c r="H536" s="133" t="s">
        <v>14</v>
      </c>
      <c r="I536" s="44"/>
      <c r="J536" s="44"/>
      <c r="K536" s="45"/>
      <c r="L536" s="1356">
        <f ca="1">L539+L542</f>
        <v>0</v>
      </c>
      <c r="M536" s="224">
        <f ca="1">M539+M542</f>
        <v>0</v>
      </c>
      <c r="N536" s="224">
        <f ca="1">N539+N542</f>
        <v>0</v>
      </c>
      <c r="O536" s="224">
        <f ca="1">IF(L536&gt;0,N536*100/L536,0)</f>
        <v>0</v>
      </c>
      <c r="P536" s="224">
        <f ca="1">IF(M536&gt;0,N536*100/M536,0)</f>
        <v>0</v>
      </c>
      <c r="Q536" s="224">
        <f>Q539+Q542</f>
        <v>0</v>
      </c>
      <c r="R536" s="224">
        <f>R539+R542</f>
        <v>0</v>
      </c>
      <c r="S536" s="224">
        <f>S539+S542</f>
        <v>0</v>
      </c>
      <c r="T536" s="224">
        <f>IF(Q536&gt;0,S536*100/Q536,0)</f>
        <v>0</v>
      </c>
      <c r="U536" s="224">
        <f>IF(R536&gt;0,S536*100/R536,0)</f>
        <v>0</v>
      </c>
    </row>
    <row r="537" spans="1:21" ht="18.75" x14ac:dyDescent="0.25">
      <c r="A537" s="128"/>
      <c r="B537" s="40"/>
      <c r="C537" s="158"/>
      <c r="D537" s="41" t="s">
        <v>22</v>
      </c>
      <c r="E537" s="158"/>
      <c r="F537" s="40"/>
      <c r="G537" s="42"/>
      <c r="H537" s="134" t="s">
        <v>14</v>
      </c>
      <c r="I537" s="135"/>
      <c r="J537" s="135"/>
      <c r="K537" s="136"/>
      <c r="L537" s="1356">
        <f ca="1">L538+L539</f>
        <v>0</v>
      </c>
      <c r="M537" s="224">
        <f ca="1">M538+M539</f>
        <v>0</v>
      </c>
      <c r="N537" s="224">
        <f ca="1">N538+N539</f>
        <v>0</v>
      </c>
      <c r="O537" s="224">
        <f ca="1">IF(L537&gt;0,N537*100/L537,0)</f>
        <v>0</v>
      </c>
      <c r="P537" s="224">
        <f ca="1">IF(M537&gt;0,N537*100/M537,0)</f>
        <v>0</v>
      </c>
      <c r="Q537" s="224">
        <f>Q538+Q539</f>
        <v>0</v>
      </c>
      <c r="R537" s="224">
        <f>R538+R539</f>
        <v>0</v>
      </c>
      <c r="S537" s="224">
        <f>S538+S539</f>
        <v>0</v>
      </c>
      <c r="T537" s="224">
        <f>IF(Q537&gt;0,S537*100/Q537,0)</f>
        <v>0</v>
      </c>
      <c r="U537" s="224">
        <f>IF(R537&gt;0,S537*100/R537,0)</f>
        <v>0</v>
      </c>
    </row>
    <row r="538" spans="1:21" ht="18.75" x14ac:dyDescent="0.25">
      <c r="A538" s="128"/>
      <c r="B538" s="40"/>
      <c r="C538" s="40"/>
      <c r="D538" s="40"/>
      <c r="E538" s="156" t="s">
        <v>36</v>
      </c>
      <c r="F538" s="40"/>
      <c r="G538" s="42"/>
      <c r="H538" s="159" t="s">
        <v>14</v>
      </c>
      <c r="I538" s="135"/>
      <c r="J538" s="135"/>
      <c r="K538" s="136"/>
      <c r="L538" s="1358">
        <v>0</v>
      </c>
      <c r="M538" s="83">
        <v>0</v>
      </c>
      <c r="N538" s="83">
        <v>0</v>
      </c>
      <c r="O538" s="83">
        <f>IF(L538&gt;0,N538*100/L538,0)</f>
        <v>0</v>
      </c>
      <c r="P538" s="83">
        <f>IF(M538&gt;0,N538*100/M538,0)</f>
        <v>0</v>
      </c>
      <c r="Q538" s="83">
        <v>0</v>
      </c>
      <c r="R538" s="83">
        <v>0</v>
      </c>
      <c r="S538" s="83">
        <v>0</v>
      </c>
      <c r="T538" s="83">
        <f>IF(Q538&gt;0,S538*100/Q538,0)</f>
        <v>0</v>
      </c>
      <c r="U538" s="83">
        <f>IF(R538&gt;0,S538*100/R538,0)</f>
        <v>0</v>
      </c>
    </row>
    <row r="539" spans="1:21" ht="18.75" x14ac:dyDescent="0.25">
      <c r="A539" s="128"/>
      <c r="B539" s="40"/>
      <c r="C539" s="40"/>
      <c r="D539" s="40"/>
      <c r="E539" s="47" t="s">
        <v>37</v>
      </c>
      <c r="F539" s="40"/>
      <c r="G539" s="42"/>
      <c r="H539" s="134" t="s">
        <v>14</v>
      </c>
      <c r="I539" s="135"/>
      <c r="J539" s="135"/>
      <c r="K539" s="136"/>
      <c r="L539" s="1356">
        <f ca="1">IFERROR(__xludf.DUMMYFUNCTION("IMPORTRANGE(""https://docs.google.com/spreadsheets/d/1-uDff_7J0KD5mKrp0Vvzr7lt3OU09vwQwhkpOPPYv2Y/edit?usp=sharing"",""งบพรบ!FW27"")"),0)</f>
        <v>0</v>
      </c>
      <c r="M539" s="224">
        <f ca="1">IFERROR(__xludf.DUMMYFUNCTION("IMPORTRANGE(""https://docs.google.com/spreadsheets/d/1-uDff_7J0KD5mKrp0Vvzr7lt3OU09vwQwhkpOPPYv2Y/edit?usp=sharing"",""งบพรบ!GB27"")"),0)</f>
        <v>0</v>
      </c>
      <c r="N539" s="224">
        <f ca="1">IFERROR(__xludf.DUMMYFUNCTION("IMPORTRANGE(""https://docs.google.com/spreadsheets/d/1-uDff_7J0KD5mKrp0Vvzr7lt3OU09vwQwhkpOPPYv2Y/edit?usp=sharing"",""งบพรบ!GD27"")"),0)</f>
        <v>0</v>
      </c>
      <c r="O539" s="224">
        <f ca="1">IF(L539&gt;0,N539*100/L539,0)</f>
        <v>0</v>
      </c>
      <c r="P539" s="224">
        <f ca="1">IF(M539&gt;0,N539*100/M539,0)</f>
        <v>0</v>
      </c>
      <c r="Q539" s="224">
        <v>0</v>
      </c>
      <c r="R539" s="224">
        <v>0</v>
      </c>
      <c r="S539" s="224">
        <v>0</v>
      </c>
      <c r="T539" s="224">
        <f>IF(Q539&gt;0,S539*100/Q539,0)</f>
        <v>0</v>
      </c>
      <c r="U539" s="224">
        <f>IF(R539&gt;0,S539*100/R539,0)</f>
        <v>0</v>
      </c>
    </row>
    <row r="540" spans="1:21" ht="18.75" x14ac:dyDescent="0.25">
      <c r="A540" s="128"/>
      <c r="B540" s="40"/>
      <c r="C540" s="40"/>
      <c r="D540" s="41" t="s">
        <v>23</v>
      </c>
      <c r="E540" s="40"/>
      <c r="F540" s="40"/>
      <c r="G540" s="42"/>
      <c r="H540" s="137" t="s">
        <v>14</v>
      </c>
      <c r="I540" s="135"/>
      <c r="J540" s="135"/>
      <c r="K540" s="136"/>
      <c r="L540" s="1356">
        <f ca="1">L541+L542</f>
        <v>0</v>
      </c>
      <c r="M540" s="224">
        <f ca="1">M541+M542</f>
        <v>0</v>
      </c>
      <c r="N540" s="224">
        <f ca="1">N541+N542</f>
        <v>0</v>
      </c>
      <c r="O540" s="224">
        <f ca="1">IF(L540&gt;0,N540*100/L540,0)</f>
        <v>0</v>
      </c>
      <c r="P540" s="224">
        <f ca="1">IF(M540&gt;0,N540*100/M540,0)</f>
        <v>0</v>
      </c>
      <c r="Q540" s="224">
        <f>Q541+Q542</f>
        <v>0</v>
      </c>
      <c r="R540" s="224">
        <f>R541+R542</f>
        <v>0</v>
      </c>
      <c r="S540" s="224">
        <f>S541+S542</f>
        <v>0</v>
      </c>
      <c r="T540" s="224">
        <f>IF(Q540&gt;0,S540*100/Q540,0)</f>
        <v>0</v>
      </c>
      <c r="U540" s="224">
        <f>IF(R540&gt;0,S540*100/R540,0)</f>
        <v>0</v>
      </c>
    </row>
    <row r="541" spans="1:21" ht="18.75" x14ac:dyDescent="0.25">
      <c r="A541" s="128"/>
      <c r="B541" s="40"/>
      <c r="C541" s="40"/>
      <c r="D541" s="40"/>
      <c r="E541" s="156" t="s">
        <v>20</v>
      </c>
      <c r="F541" s="40"/>
      <c r="G541" s="42"/>
      <c r="H541" s="159" t="s">
        <v>14</v>
      </c>
      <c r="I541" s="135"/>
      <c r="J541" s="135"/>
      <c r="K541" s="136"/>
      <c r="L541" s="1358">
        <v>0</v>
      </c>
      <c r="M541" s="83">
        <v>0</v>
      </c>
      <c r="N541" s="83">
        <v>0</v>
      </c>
      <c r="O541" s="83">
        <f>IF(L541&gt;0,N541*100/L541,0)</f>
        <v>0</v>
      </c>
      <c r="P541" s="83">
        <f>IF(M541&gt;0,N541*100/M541,0)</f>
        <v>0</v>
      </c>
      <c r="Q541" s="83">
        <v>0</v>
      </c>
      <c r="R541" s="83">
        <v>0</v>
      </c>
      <c r="S541" s="83">
        <v>0</v>
      </c>
      <c r="T541" s="83">
        <f>IF(Q541&gt;0,S541*100/Q541,0)</f>
        <v>0</v>
      </c>
      <c r="U541" s="83">
        <f>IF(R541&gt;0,S541*100/R541,0)</f>
        <v>0</v>
      </c>
    </row>
    <row r="542" spans="1:21" ht="18.75" x14ac:dyDescent="0.25">
      <c r="A542" s="128"/>
      <c r="B542" s="40"/>
      <c r="C542" s="40"/>
      <c r="D542" s="40"/>
      <c r="E542" s="47" t="s">
        <v>21</v>
      </c>
      <c r="F542" s="40"/>
      <c r="G542" s="42"/>
      <c r="H542" s="137" t="s">
        <v>14</v>
      </c>
      <c r="I542" s="135"/>
      <c r="J542" s="135"/>
      <c r="K542" s="136"/>
      <c r="L542" s="1356">
        <f ca="1">IFERROR(__xludf.DUMMYFUNCTION("IMPORTRANGE(""https://docs.google.com/spreadsheets/d/1-uDff_7J0KD5mKrp0Vvzr7lt3OU09vwQwhkpOPPYv2Y/edit?usp=sharing"",""งบพรบ!FZ27"")"),0)</f>
        <v>0</v>
      </c>
      <c r="M542" s="224">
        <f ca="1">IFERROR(__xludf.DUMMYFUNCTION("IMPORTRANGE(""https://docs.google.com/spreadsheets/d/1-uDff_7J0KD5mKrp0Vvzr7lt3OU09vwQwhkpOPPYv2Y/edit?usp=sharing"",""งบพรบ!GC27"")"),0)</f>
        <v>0</v>
      </c>
      <c r="N542" s="224">
        <f ca="1">IFERROR(__xludf.DUMMYFUNCTION("IMPORTRANGE(""https://docs.google.com/spreadsheets/d/1-uDff_7J0KD5mKrp0Vvzr7lt3OU09vwQwhkpOPPYv2Y/edit?usp=sharing"",""งบพรบ!GE27"")"),0)</f>
        <v>0</v>
      </c>
      <c r="O542" s="224">
        <f ca="1">IF(L542&gt;0,N542*100/L542,0)</f>
        <v>0</v>
      </c>
      <c r="P542" s="224">
        <f ca="1">IF(M542&gt;0,N542*100/M542,0)</f>
        <v>0</v>
      </c>
      <c r="Q542" s="224">
        <v>0</v>
      </c>
      <c r="R542" s="224">
        <v>0</v>
      </c>
      <c r="S542" s="224">
        <v>0</v>
      </c>
      <c r="T542" s="224">
        <f>IF(Q542&gt;0,S542*100/Q542,0)</f>
        <v>0</v>
      </c>
      <c r="U542" s="224">
        <f>IF(R542&gt;0,S542*100/R542,0)</f>
        <v>0</v>
      </c>
    </row>
    <row r="543" spans="1:21" ht="19.5" x14ac:dyDescent="0.3">
      <c r="A543" s="138"/>
      <c r="B543" s="139"/>
      <c r="C543" s="364" t="s">
        <v>18</v>
      </c>
      <c r="D543" s="1391" t="s">
        <v>38</v>
      </c>
      <c r="E543" s="141"/>
      <c r="F543" s="141"/>
      <c r="G543" s="142"/>
      <c r="H543" s="143"/>
      <c r="I543" s="135"/>
      <c r="J543" s="44"/>
      <c r="K543" s="45"/>
      <c r="L543" s="1359"/>
      <c r="M543" s="45"/>
      <c r="N543" s="45"/>
      <c r="O543" s="136"/>
      <c r="P543" s="136"/>
      <c r="Q543" s="45"/>
      <c r="R543" s="45"/>
      <c r="S543" s="45"/>
      <c r="T543" s="136"/>
      <c r="U543" s="136"/>
    </row>
    <row r="544" spans="1:21" ht="12.75" x14ac:dyDescent="0.2">
      <c r="A544" s="227"/>
      <c r="B544" s="229"/>
      <c r="C544" s="228"/>
      <c r="D544" s="229"/>
      <c r="E544" s="228"/>
      <c r="F544" s="229"/>
      <c r="G544" s="230"/>
      <c r="H544" s="230"/>
      <c r="I544" s="232"/>
      <c r="J544" s="232"/>
      <c r="K544" s="233"/>
      <c r="L544" s="1536"/>
      <c r="M544" s="233"/>
      <c r="N544" s="233"/>
      <c r="O544" s="233"/>
      <c r="P544" s="233"/>
      <c r="Q544" s="233"/>
      <c r="R544" s="233"/>
      <c r="S544" s="233"/>
      <c r="T544" s="233"/>
      <c r="U544" s="233"/>
    </row>
    <row r="545" spans="1:21" ht="12.75" x14ac:dyDescent="0.2">
      <c r="A545" s="227"/>
      <c r="B545" s="229"/>
      <c r="C545" s="228"/>
      <c r="D545" s="229"/>
      <c r="E545" s="228"/>
      <c r="F545" s="229"/>
      <c r="G545" s="230"/>
      <c r="H545" s="230"/>
      <c r="I545" s="232"/>
      <c r="J545" s="232"/>
      <c r="K545" s="233"/>
      <c r="L545" s="1536"/>
      <c r="M545" s="233"/>
      <c r="N545" s="233"/>
      <c r="O545" s="233"/>
      <c r="P545" s="233"/>
      <c r="Q545" s="233"/>
      <c r="R545" s="233"/>
      <c r="S545" s="233"/>
      <c r="T545" s="233"/>
      <c r="U545" s="233"/>
    </row>
    <row r="546" spans="1:21" ht="12.75" x14ac:dyDescent="0.2">
      <c r="A546" s="227"/>
      <c r="B546" s="228"/>
      <c r="C546" s="228"/>
      <c r="D546" s="229"/>
      <c r="E546" s="229"/>
      <c r="F546" s="229"/>
      <c r="G546" s="230"/>
      <c r="H546" s="231"/>
      <c r="I546" s="232"/>
      <c r="J546" s="232"/>
      <c r="K546" s="233"/>
      <c r="L546" s="1536"/>
      <c r="M546" s="233"/>
      <c r="N546" s="233"/>
      <c r="O546" s="233"/>
      <c r="P546" s="233"/>
      <c r="Q546" s="233"/>
      <c r="R546" s="233"/>
      <c r="S546" s="233"/>
      <c r="T546" s="233"/>
      <c r="U546" s="233"/>
    </row>
    <row r="547" spans="1:21" ht="12.75" x14ac:dyDescent="0.2">
      <c r="A547" s="227"/>
      <c r="B547" s="228"/>
      <c r="C547" s="228"/>
      <c r="D547" s="229"/>
      <c r="E547" s="229"/>
      <c r="F547" s="229"/>
      <c r="G547" s="230"/>
      <c r="H547" s="231"/>
      <c r="I547" s="232"/>
      <c r="J547" s="232"/>
      <c r="K547" s="233"/>
      <c r="L547" s="1536"/>
      <c r="M547" s="233"/>
      <c r="N547" s="233"/>
      <c r="O547" s="233"/>
      <c r="P547" s="233"/>
      <c r="Q547" s="233"/>
      <c r="R547" s="233"/>
      <c r="S547" s="233"/>
      <c r="T547" s="233"/>
      <c r="U547" s="233"/>
    </row>
    <row r="548" spans="1:21" ht="12.75" x14ac:dyDescent="0.2">
      <c r="A548" s="227"/>
      <c r="B548" s="228"/>
      <c r="C548" s="228"/>
      <c r="D548" s="229"/>
      <c r="E548" s="229"/>
      <c r="F548" s="229"/>
      <c r="G548" s="230"/>
      <c r="H548" s="231"/>
      <c r="I548" s="232"/>
      <c r="J548" s="232"/>
      <c r="K548" s="233"/>
      <c r="L548" s="1536"/>
      <c r="M548" s="233"/>
      <c r="N548" s="233"/>
      <c r="O548" s="233"/>
      <c r="P548" s="233"/>
      <c r="Q548" s="233"/>
      <c r="R548" s="233"/>
      <c r="S548" s="233"/>
      <c r="T548" s="233"/>
      <c r="U548" s="233"/>
    </row>
    <row r="549" spans="1:21" ht="12.75" x14ac:dyDescent="0.2">
      <c r="A549" s="227"/>
      <c r="B549" s="228"/>
      <c r="C549" s="228"/>
      <c r="D549" s="229"/>
      <c r="E549" s="229"/>
      <c r="F549" s="229"/>
      <c r="G549" s="230"/>
      <c r="H549" s="231"/>
      <c r="I549" s="232"/>
      <c r="J549" s="232"/>
      <c r="K549" s="233"/>
      <c r="L549" s="1536"/>
      <c r="M549" s="233"/>
      <c r="N549" s="233"/>
      <c r="O549" s="233"/>
      <c r="P549" s="233"/>
      <c r="Q549" s="233"/>
      <c r="R549" s="233"/>
      <c r="S549" s="233"/>
      <c r="T549" s="233"/>
      <c r="U549" s="233"/>
    </row>
    <row r="550" spans="1:21" ht="12.75" x14ac:dyDescent="0.2">
      <c r="A550" s="227"/>
      <c r="B550" s="228"/>
      <c r="C550" s="228"/>
      <c r="D550" s="229"/>
      <c r="E550" s="229"/>
      <c r="F550" s="229"/>
      <c r="G550" s="230"/>
      <c r="H550" s="231"/>
      <c r="I550" s="232"/>
      <c r="J550" s="232"/>
      <c r="K550" s="233"/>
      <c r="L550" s="1536"/>
      <c r="M550" s="233"/>
      <c r="N550" s="233"/>
      <c r="O550" s="233"/>
      <c r="P550" s="233"/>
      <c r="Q550" s="233"/>
      <c r="R550" s="233"/>
      <c r="S550" s="233"/>
      <c r="T550" s="233"/>
      <c r="U550" s="233"/>
    </row>
    <row r="551" spans="1:21" ht="12.75" x14ac:dyDescent="0.2">
      <c r="A551" s="227"/>
      <c r="B551" s="228"/>
      <c r="C551" s="228"/>
      <c r="D551" s="229"/>
      <c r="E551" s="229"/>
      <c r="F551" s="229"/>
      <c r="G551" s="230"/>
      <c r="H551" s="231"/>
      <c r="I551" s="232"/>
      <c r="J551" s="232"/>
      <c r="K551" s="233"/>
      <c r="L551" s="1536"/>
      <c r="M551" s="233"/>
      <c r="N551" s="233"/>
      <c r="O551" s="233"/>
      <c r="P551" s="233"/>
      <c r="Q551" s="233"/>
      <c r="R551" s="233"/>
      <c r="S551" s="233"/>
      <c r="T551" s="233"/>
      <c r="U551" s="233"/>
    </row>
    <row r="552" spans="1:21" ht="12.75" x14ac:dyDescent="0.2">
      <c r="A552" s="227"/>
      <c r="B552" s="228"/>
      <c r="C552" s="228"/>
      <c r="D552" s="229"/>
      <c r="E552" s="229"/>
      <c r="F552" s="229"/>
      <c r="G552" s="230"/>
      <c r="H552" s="231"/>
      <c r="I552" s="232"/>
      <c r="J552" s="232"/>
      <c r="K552" s="233"/>
      <c r="L552" s="1536"/>
      <c r="M552" s="233"/>
      <c r="N552" s="233"/>
      <c r="O552" s="233"/>
      <c r="P552" s="233"/>
      <c r="Q552" s="233"/>
      <c r="R552" s="233"/>
      <c r="S552" s="233"/>
      <c r="T552" s="233"/>
      <c r="U552" s="233"/>
    </row>
    <row r="553" spans="1:21" ht="12.75" x14ac:dyDescent="0.2">
      <c r="A553" s="360"/>
      <c r="B553" s="316"/>
      <c r="C553" s="316"/>
      <c r="D553" s="361"/>
      <c r="E553" s="361"/>
      <c r="F553" s="361"/>
      <c r="G553" s="362"/>
      <c r="H553" s="317"/>
      <c r="I553" s="318"/>
      <c r="J553" s="318"/>
      <c r="K553" s="319"/>
      <c r="L553" s="1537"/>
      <c r="M553" s="319"/>
      <c r="N553" s="319"/>
      <c r="O553" s="319"/>
      <c r="P553" s="319"/>
      <c r="Q553" s="319"/>
      <c r="R553" s="319"/>
      <c r="S553" s="319"/>
      <c r="T553" s="319"/>
      <c r="U553" s="319"/>
    </row>
    <row r="554" spans="1:21" ht="19.5" x14ac:dyDescent="0.3">
      <c r="A554" s="349"/>
      <c r="B554" s="350" t="s">
        <v>211</v>
      </c>
      <c r="C554" s="351"/>
      <c r="D554" s="352"/>
      <c r="E554" s="352"/>
      <c r="F554" s="352"/>
      <c r="G554" s="353"/>
      <c r="H554" s="363" t="s">
        <v>61</v>
      </c>
      <c r="I554" s="374">
        <f>I566</f>
        <v>0</v>
      </c>
      <c r="J554" s="374">
        <f>J566</f>
        <v>0</v>
      </c>
      <c r="K554" s="1562">
        <f>IF(I554&gt;0,J554*100/I554,0)</f>
        <v>0</v>
      </c>
      <c r="L554" s="1550"/>
      <c r="M554" s="357"/>
      <c r="N554" s="357"/>
      <c r="O554" s="357"/>
      <c r="P554" s="357"/>
      <c r="Q554" s="357"/>
      <c r="R554" s="357"/>
      <c r="S554" s="357"/>
      <c r="T554" s="357"/>
      <c r="U554" s="357"/>
    </row>
    <row r="555" spans="1:21" ht="19.5" x14ac:dyDescent="0.3">
      <c r="A555" s="128"/>
      <c r="B555" s="40"/>
      <c r="C555" s="129" t="s">
        <v>18</v>
      </c>
      <c r="D555" s="1388" t="s">
        <v>19</v>
      </c>
      <c r="E555" s="40"/>
      <c r="F555" s="40"/>
      <c r="G555" s="42"/>
      <c r="H555" s="131" t="s">
        <v>14</v>
      </c>
      <c r="I555" s="44"/>
      <c r="J555" s="44"/>
      <c r="K555" s="45"/>
      <c r="L555" s="1389">
        <f ca="1">L556+L557</f>
        <v>0</v>
      </c>
      <c r="M555" s="1390">
        <f ca="1">M556+M557</f>
        <v>0</v>
      </c>
      <c r="N555" s="1390">
        <f ca="1">N556+N557</f>
        <v>0</v>
      </c>
      <c r="O555" s="1390">
        <f ca="1">IF(L555&gt;0,N555*100/L555,0)</f>
        <v>0</v>
      </c>
      <c r="P555" s="1390">
        <f ca="1">IF(M555&gt;0,N555*100/M555,0)</f>
        <v>0</v>
      </c>
      <c r="Q555" s="1390">
        <f>Q556+Q557</f>
        <v>0</v>
      </c>
      <c r="R555" s="1390">
        <f>R556+R557</f>
        <v>0</v>
      </c>
      <c r="S555" s="1390">
        <f>S556+S557</f>
        <v>0</v>
      </c>
      <c r="T555" s="1390">
        <f>IF(Q555&gt;0,S555*100/Q555,0)</f>
        <v>0</v>
      </c>
      <c r="U555" s="1390">
        <f>IF(R555&gt;0,S555*100/R555,0)</f>
        <v>0</v>
      </c>
    </row>
    <row r="556" spans="1:21" ht="18.75" x14ac:dyDescent="0.25">
      <c r="A556" s="128"/>
      <c r="B556" s="158"/>
      <c r="C556" s="40"/>
      <c r="D556" s="40"/>
      <c r="E556" s="156" t="s">
        <v>20</v>
      </c>
      <c r="F556" s="40"/>
      <c r="G556" s="42"/>
      <c r="H556" s="157" t="s">
        <v>14</v>
      </c>
      <c r="I556" s="44"/>
      <c r="J556" s="44"/>
      <c r="K556" s="45"/>
      <c r="L556" s="1358">
        <f>L559+L562</f>
        <v>0</v>
      </c>
      <c r="M556" s="83">
        <f>M559+M562</f>
        <v>0</v>
      </c>
      <c r="N556" s="83">
        <f>N559+N562</f>
        <v>0</v>
      </c>
      <c r="O556" s="83">
        <f>IF(L556&gt;0,N556*100/L556,0)</f>
        <v>0</v>
      </c>
      <c r="P556" s="83">
        <f>IF(M556&gt;0,N556*100/M556,0)</f>
        <v>0</v>
      </c>
      <c r="Q556" s="83">
        <f>Q559+Q562</f>
        <v>0</v>
      </c>
      <c r="R556" s="83">
        <f>R559+R562</f>
        <v>0</v>
      </c>
      <c r="S556" s="83">
        <f>S559+S562</f>
        <v>0</v>
      </c>
      <c r="T556" s="83">
        <f>IF(Q556&gt;0,S556*100/Q556,0)</f>
        <v>0</v>
      </c>
      <c r="U556" s="83">
        <f>IF(R556&gt;0,S556*100/R556,0)</f>
        <v>0</v>
      </c>
    </row>
    <row r="557" spans="1:21" ht="18.75" x14ac:dyDescent="0.25">
      <c r="A557" s="128"/>
      <c r="B557" s="40"/>
      <c r="C557" s="158"/>
      <c r="D557" s="40"/>
      <c r="E557" s="209" t="s">
        <v>21</v>
      </c>
      <c r="F557" s="40"/>
      <c r="G557" s="42"/>
      <c r="H557" s="133" t="s">
        <v>14</v>
      </c>
      <c r="I557" s="44"/>
      <c r="J557" s="44"/>
      <c r="K557" s="45"/>
      <c r="L557" s="1356">
        <f ca="1">L560+L563</f>
        <v>0</v>
      </c>
      <c r="M557" s="224">
        <f ca="1">M560+M563</f>
        <v>0</v>
      </c>
      <c r="N557" s="224">
        <f ca="1">N560+N563</f>
        <v>0</v>
      </c>
      <c r="O557" s="224">
        <f ca="1">IF(L557&gt;0,N557*100/L557,0)</f>
        <v>0</v>
      </c>
      <c r="P557" s="224">
        <f ca="1">IF(M557&gt;0,N557*100/M557,0)</f>
        <v>0</v>
      </c>
      <c r="Q557" s="224">
        <f>Q560+Q563</f>
        <v>0</v>
      </c>
      <c r="R557" s="224">
        <f>R560+R563</f>
        <v>0</v>
      </c>
      <c r="S557" s="224">
        <f>S560+S563</f>
        <v>0</v>
      </c>
      <c r="T557" s="224">
        <f>IF(Q557&gt;0,S557*100/Q557,0)</f>
        <v>0</v>
      </c>
      <c r="U557" s="224">
        <f>IF(R557&gt;0,S557*100/R557,0)</f>
        <v>0</v>
      </c>
    </row>
    <row r="558" spans="1:21" ht="18.75" x14ac:dyDescent="0.25">
      <c r="A558" s="128"/>
      <c r="B558" s="40"/>
      <c r="C558" s="158"/>
      <c r="D558" s="41" t="s">
        <v>22</v>
      </c>
      <c r="E558" s="158"/>
      <c r="F558" s="40"/>
      <c r="G558" s="42"/>
      <c r="H558" s="134" t="s">
        <v>14</v>
      </c>
      <c r="I558" s="135"/>
      <c r="J558" s="135"/>
      <c r="K558" s="136"/>
      <c r="L558" s="1356">
        <f ca="1">L559+L560</f>
        <v>0</v>
      </c>
      <c r="M558" s="224">
        <f ca="1">M559+M560</f>
        <v>0</v>
      </c>
      <c r="N558" s="224">
        <f ca="1">N559+N560</f>
        <v>0</v>
      </c>
      <c r="O558" s="224">
        <f ca="1">IF(L558&gt;0,N558*100/L558,0)</f>
        <v>0</v>
      </c>
      <c r="P558" s="224">
        <f ca="1">IF(M558&gt;0,N558*100/M558,0)</f>
        <v>0</v>
      </c>
      <c r="Q558" s="224">
        <f>Q559+Q560</f>
        <v>0</v>
      </c>
      <c r="R558" s="224">
        <f>R559+R560</f>
        <v>0</v>
      </c>
      <c r="S558" s="224">
        <f>S559+S560</f>
        <v>0</v>
      </c>
      <c r="T558" s="224">
        <f>IF(Q558&gt;0,S558*100/Q558,0)</f>
        <v>0</v>
      </c>
      <c r="U558" s="224">
        <f>IF(R558&gt;0,S558*100/R558,0)</f>
        <v>0</v>
      </c>
    </row>
    <row r="559" spans="1:21" ht="18.75" x14ac:dyDescent="0.25">
      <c r="A559" s="128"/>
      <c r="B559" s="40"/>
      <c r="C559" s="40"/>
      <c r="D559" s="40"/>
      <c r="E559" s="156" t="s">
        <v>36</v>
      </c>
      <c r="F559" s="40"/>
      <c r="G559" s="42"/>
      <c r="H559" s="159" t="s">
        <v>14</v>
      </c>
      <c r="I559" s="135"/>
      <c r="J559" s="135"/>
      <c r="K559" s="136"/>
      <c r="L559" s="1358">
        <v>0</v>
      </c>
      <c r="M559" s="83">
        <v>0</v>
      </c>
      <c r="N559" s="83">
        <v>0</v>
      </c>
      <c r="O559" s="83">
        <f>IF(L559&gt;0,N559*100/L559,0)</f>
        <v>0</v>
      </c>
      <c r="P559" s="83">
        <f>IF(M559&gt;0,N559*100/M559,0)</f>
        <v>0</v>
      </c>
      <c r="Q559" s="83">
        <v>0</v>
      </c>
      <c r="R559" s="83">
        <v>0</v>
      </c>
      <c r="S559" s="83">
        <v>0</v>
      </c>
      <c r="T559" s="83">
        <f>IF(Q559&gt;0,S559*100/Q559,0)</f>
        <v>0</v>
      </c>
      <c r="U559" s="83">
        <f>IF(R559&gt;0,S559*100/R559,0)</f>
        <v>0</v>
      </c>
    </row>
    <row r="560" spans="1:21" ht="18.75" x14ac:dyDescent="0.25">
      <c r="A560" s="128"/>
      <c r="B560" s="40"/>
      <c r="C560" s="40"/>
      <c r="D560" s="40"/>
      <c r="E560" s="47" t="s">
        <v>37</v>
      </c>
      <c r="F560" s="40"/>
      <c r="G560" s="42"/>
      <c r="H560" s="134" t="s">
        <v>14</v>
      </c>
      <c r="I560" s="135"/>
      <c r="J560" s="135"/>
      <c r="K560" s="136"/>
      <c r="L560" s="1356">
        <f ca="1">IFERROR(__xludf.DUMMYFUNCTION("IMPORTRANGE(""https://docs.google.com/spreadsheets/d/1-uDff_7J0KD5mKrp0Vvzr7lt3OU09vwQwhkpOPPYv2Y/edit?usp=sharing"",""งบพรบ!GG27"")"),0)</f>
        <v>0</v>
      </c>
      <c r="M560" s="224">
        <f ca="1">IFERROR(__xludf.DUMMYFUNCTION("IMPORTRANGE(""https://docs.google.com/spreadsheets/d/1-uDff_7J0KD5mKrp0Vvzr7lt3OU09vwQwhkpOPPYv2Y/edit?usp=sharing"",""งบพรบ!GL27"")"),0)</f>
        <v>0</v>
      </c>
      <c r="N560" s="224">
        <f ca="1">IFERROR(__xludf.DUMMYFUNCTION("IMPORTRANGE(""https://docs.google.com/spreadsheets/d/1-uDff_7J0KD5mKrp0Vvzr7lt3OU09vwQwhkpOPPYv2Y/edit?usp=sharing"",""งบพรบ!GN27"")"),0)</f>
        <v>0</v>
      </c>
      <c r="O560" s="224">
        <f ca="1">IF(L560&gt;0,N560*100/L560,0)</f>
        <v>0</v>
      </c>
      <c r="P560" s="224">
        <f ca="1">IF(M560&gt;0,N560*100/M560,0)</f>
        <v>0</v>
      </c>
      <c r="Q560" s="224">
        <v>0</v>
      </c>
      <c r="R560" s="224">
        <v>0</v>
      </c>
      <c r="S560" s="224">
        <v>0</v>
      </c>
      <c r="T560" s="224">
        <f>IF(Q560&gt;0,S560*100/Q560,0)</f>
        <v>0</v>
      </c>
      <c r="U560" s="224">
        <f>IF(R560&gt;0,S560*100/R560,0)</f>
        <v>0</v>
      </c>
    </row>
    <row r="561" spans="1:21" ht="18.75" x14ac:dyDescent="0.25">
      <c r="A561" s="128"/>
      <c r="B561" s="40"/>
      <c r="C561" s="40"/>
      <c r="D561" s="41" t="s">
        <v>23</v>
      </c>
      <c r="E561" s="40"/>
      <c r="F561" s="40"/>
      <c r="G561" s="42"/>
      <c r="H561" s="137" t="s">
        <v>14</v>
      </c>
      <c r="I561" s="135"/>
      <c r="J561" s="135"/>
      <c r="K561" s="136"/>
      <c r="L561" s="1356">
        <f ca="1">L562+L563</f>
        <v>0</v>
      </c>
      <c r="M561" s="224">
        <f ca="1">M562+M563</f>
        <v>0</v>
      </c>
      <c r="N561" s="224">
        <f ca="1">N562+N563</f>
        <v>0</v>
      </c>
      <c r="O561" s="224">
        <f ca="1">IF(L561&gt;0,N561*100/L561,0)</f>
        <v>0</v>
      </c>
      <c r="P561" s="224">
        <f ca="1">IF(M561&gt;0,N561*100/M561,0)</f>
        <v>0</v>
      </c>
      <c r="Q561" s="224">
        <f>Q562+Q563</f>
        <v>0</v>
      </c>
      <c r="R561" s="224">
        <f>R562+R563</f>
        <v>0</v>
      </c>
      <c r="S561" s="224">
        <f>S562+S563</f>
        <v>0</v>
      </c>
      <c r="T561" s="224">
        <f>IF(Q561&gt;0,S561*100/Q561,0)</f>
        <v>0</v>
      </c>
      <c r="U561" s="224">
        <f>IF(R561&gt;0,S561*100/R561,0)</f>
        <v>0</v>
      </c>
    </row>
    <row r="562" spans="1:21" ht="18.75" x14ac:dyDescent="0.25">
      <c r="A562" s="128"/>
      <c r="B562" s="40"/>
      <c r="C562" s="40"/>
      <c r="D562" s="40"/>
      <c r="E562" s="156" t="s">
        <v>20</v>
      </c>
      <c r="F562" s="40"/>
      <c r="G562" s="42"/>
      <c r="H562" s="159" t="s">
        <v>14</v>
      </c>
      <c r="I562" s="135"/>
      <c r="J562" s="135"/>
      <c r="K562" s="136"/>
      <c r="L562" s="1358">
        <v>0</v>
      </c>
      <c r="M562" s="83">
        <v>0</v>
      </c>
      <c r="N562" s="83">
        <v>0</v>
      </c>
      <c r="O562" s="83">
        <f>IF(L562&gt;0,N562*100/L562,0)</f>
        <v>0</v>
      </c>
      <c r="P562" s="83">
        <f>IF(M562&gt;0,N562*100/M562,0)</f>
        <v>0</v>
      </c>
      <c r="Q562" s="83">
        <v>0</v>
      </c>
      <c r="R562" s="83">
        <v>0</v>
      </c>
      <c r="S562" s="83">
        <v>0</v>
      </c>
      <c r="T562" s="83">
        <f>IF(Q562&gt;0,S562*100/Q562,0)</f>
        <v>0</v>
      </c>
      <c r="U562" s="83">
        <f>IF(R562&gt;0,S562*100/R562,0)</f>
        <v>0</v>
      </c>
    </row>
    <row r="563" spans="1:21" ht="18.75" x14ac:dyDescent="0.25">
      <c r="A563" s="128"/>
      <c r="B563" s="40"/>
      <c r="C563" s="40"/>
      <c r="D563" s="40"/>
      <c r="E563" s="47" t="s">
        <v>21</v>
      </c>
      <c r="F563" s="40"/>
      <c r="G563" s="42"/>
      <c r="H563" s="137" t="s">
        <v>14</v>
      </c>
      <c r="I563" s="135"/>
      <c r="J563" s="135"/>
      <c r="K563" s="136"/>
      <c r="L563" s="1356">
        <f ca="1">IFERROR(__xludf.DUMMYFUNCTION("IMPORTRANGE(""https://docs.google.com/spreadsheets/d/1-uDff_7J0KD5mKrp0Vvzr7lt3OU09vwQwhkpOPPYv2Y/edit?usp=sharing"",""งบพรบ!GJ27"")"),0)</f>
        <v>0</v>
      </c>
      <c r="M563" s="224">
        <f ca="1">IFERROR(__xludf.DUMMYFUNCTION("IMPORTRANGE(""https://docs.google.com/spreadsheets/d/1-uDff_7J0KD5mKrp0Vvzr7lt3OU09vwQwhkpOPPYv2Y/edit?usp=sharing"",""งบพรบ!GM27"")"),0)</f>
        <v>0</v>
      </c>
      <c r="N563" s="224">
        <f ca="1">IFERROR(__xludf.DUMMYFUNCTION("IMPORTRANGE(""https://docs.google.com/spreadsheets/d/1-uDff_7J0KD5mKrp0Vvzr7lt3OU09vwQwhkpOPPYv2Y/edit?usp=sharing"",""งบพรบ!GO27"")"),0)</f>
        <v>0</v>
      </c>
      <c r="O563" s="224">
        <f ca="1">IF(L563&gt;0,N563*100/L563,0)</f>
        <v>0</v>
      </c>
      <c r="P563" s="224">
        <f ca="1">IF(M563&gt;0,N563*100/M563,0)</f>
        <v>0</v>
      </c>
      <c r="Q563" s="224">
        <v>0</v>
      </c>
      <c r="R563" s="224">
        <v>0</v>
      </c>
      <c r="S563" s="224">
        <v>0</v>
      </c>
      <c r="T563" s="224">
        <f>IF(Q563&gt;0,S563*100/Q563,0)</f>
        <v>0</v>
      </c>
      <c r="U563" s="224">
        <f>IF(R563&gt;0,S563*100/R563,0)</f>
        <v>0</v>
      </c>
    </row>
    <row r="564" spans="1:21" ht="19.5" x14ac:dyDescent="0.3">
      <c r="A564" s="138"/>
      <c r="B564" s="139"/>
      <c r="C564" s="364" t="s">
        <v>18</v>
      </c>
      <c r="D564" s="1391" t="s">
        <v>38</v>
      </c>
      <c r="E564" s="141"/>
      <c r="F564" s="141"/>
      <c r="G564" s="142"/>
      <c r="H564" s="143"/>
      <c r="I564" s="135"/>
      <c r="J564" s="44"/>
      <c r="K564" s="45"/>
      <c r="L564" s="1359"/>
      <c r="M564" s="45"/>
      <c r="N564" s="45"/>
      <c r="O564" s="136"/>
      <c r="P564" s="136"/>
      <c r="Q564" s="45"/>
      <c r="R564" s="45"/>
      <c r="S564" s="45"/>
      <c r="T564" s="136"/>
      <c r="U564" s="136"/>
    </row>
    <row r="565" spans="1:21" ht="12.75" x14ac:dyDescent="0.2">
      <c r="A565" s="227"/>
      <c r="B565" s="229"/>
      <c r="C565" s="228"/>
      <c r="D565" s="229"/>
      <c r="E565" s="228"/>
      <c r="F565" s="229"/>
      <c r="G565" s="230"/>
      <c r="H565" s="230"/>
      <c r="I565" s="232"/>
      <c r="J565" s="232"/>
      <c r="K565" s="233"/>
      <c r="L565" s="1536"/>
      <c r="M565" s="233"/>
      <c r="N565" s="233"/>
      <c r="O565" s="233"/>
      <c r="P565" s="233"/>
      <c r="Q565" s="233"/>
      <c r="R565" s="233"/>
      <c r="S565" s="233"/>
      <c r="T565" s="233"/>
      <c r="U565" s="233"/>
    </row>
    <row r="566" spans="1:21" ht="12.75" x14ac:dyDescent="0.2">
      <c r="A566" s="227"/>
      <c r="B566" s="229"/>
      <c r="C566" s="228"/>
      <c r="D566" s="229"/>
      <c r="E566" s="228"/>
      <c r="F566" s="229"/>
      <c r="G566" s="230"/>
      <c r="H566" s="230"/>
      <c r="I566" s="232"/>
      <c r="J566" s="232"/>
      <c r="K566" s="233"/>
      <c r="L566" s="1536"/>
      <c r="M566" s="233"/>
      <c r="N566" s="233"/>
      <c r="O566" s="233"/>
      <c r="P566" s="233"/>
      <c r="Q566" s="233"/>
      <c r="R566" s="233"/>
      <c r="S566" s="233"/>
      <c r="T566" s="233"/>
      <c r="U566" s="233"/>
    </row>
    <row r="567" spans="1:21" ht="12.75" x14ac:dyDescent="0.2">
      <c r="A567" s="227"/>
      <c r="B567" s="228"/>
      <c r="C567" s="228"/>
      <c r="D567" s="229"/>
      <c r="E567" s="229"/>
      <c r="F567" s="229"/>
      <c r="G567" s="230"/>
      <c r="H567" s="231"/>
      <c r="I567" s="232"/>
      <c r="J567" s="232"/>
      <c r="K567" s="233"/>
      <c r="L567" s="1536"/>
      <c r="M567" s="233"/>
      <c r="N567" s="233"/>
      <c r="O567" s="233"/>
      <c r="P567" s="233"/>
      <c r="Q567" s="233"/>
      <c r="R567" s="233"/>
      <c r="S567" s="233"/>
      <c r="T567" s="233"/>
      <c r="U567" s="233"/>
    </row>
    <row r="568" spans="1:21" ht="12.75" x14ac:dyDescent="0.2">
      <c r="A568" s="227"/>
      <c r="B568" s="228"/>
      <c r="C568" s="228"/>
      <c r="D568" s="229"/>
      <c r="E568" s="229"/>
      <c r="F568" s="229"/>
      <c r="G568" s="230"/>
      <c r="H568" s="231"/>
      <c r="I568" s="232"/>
      <c r="J568" s="232"/>
      <c r="K568" s="233"/>
      <c r="L568" s="1536"/>
      <c r="M568" s="233"/>
      <c r="N568" s="233"/>
      <c r="O568" s="233"/>
      <c r="P568" s="233"/>
      <c r="Q568" s="233"/>
      <c r="R568" s="233"/>
      <c r="S568" s="233"/>
      <c r="T568" s="233"/>
      <c r="U568" s="233"/>
    </row>
    <row r="569" spans="1:21" ht="12.75" x14ac:dyDescent="0.2">
      <c r="A569" s="227"/>
      <c r="B569" s="228"/>
      <c r="C569" s="228"/>
      <c r="D569" s="229"/>
      <c r="E569" s="229"/>
      <c r="F569" s="229"/>
      <c r="G569" s="230"/>
      <c r="H569" s="231"/>
      <c r="I569" s="232"/>
      <c r="J569" s="232"/>
      <c r="K569" s="233"/>
      <c r="L569" s="1536"/>
      <c r="M569" s="233"/>
      <c r="N569" s="233"/>
      <c r="O569" s="233"/>
      <c r="P569" s="233"/>
      <c r="Q569" s="233"/>
      <c r="R569" s="233"/>
      <c r="S569" s="233"/>
      <c r="T569" s="233"/>
      <c r="U569" s="233"/>
    </row>
    <row r="570" spans="1:21" ht="12.75" x14ac:dyDescent="0.2">
      <c r="A570" s="227"/>
      <c r="B570" s="228"/>
      <c r="C570" s="228"/>
      <c r="D570" s="229"/>
      <c r="E570" s="229"/>
      <c r="F570" s="229"/>
      <c r="G570" s="230"/>
      <c r="H570" s="231"/>
      <c r="I570" s="232"/>
      <c r="J570" s="232"/>
      <c r="K570" s="233"/>
      <c r="L570" s="1536"/>
      <c r="M570" s="233"/>
      <c r="N570" s="233"/>
      <c r="O570" s="233"/>
      <c r="P570" s="233"/>
      <c r="Q570" s="233"/>
      <c r="R570" s="233"/>
      <c r="S570" s="233"/>
      <c r="T570" s="233"/>
      <c r="U570" s="233"/>
    </row>
    <row r="571" spans="1:21" ht="12.75" x14ac:dyDescent="0.2">
      <c r="A571" s="227"/>
      <c r="B571" s="228"/>
      <c r="C571" s="228"/>
      <c r="D571" s="229"/>
      <c r="E571" s="229"/>
      <c r="F571" s="229"/>
      <c r="G571" s="230"/>
      <c r="H571" s="231"/>
      <c r="I571" s="232"/>
      <c r="J571" s="232"/>
      <c r="K571" s="233"/>
      <c r="L571" s="1536"/>
      <c r="M571" s="233"/>
      <c r="N571" s="233"/>
      <c r="O571" s="233"/>
      <c r="P571" s="233"/>
      <c r="Q571" s="233"/>
      <c r="R571" s="233"/>
      <c r="S571" s="233"/>
      <c r="T571" s="233"/>
      <c r="U571" s="233"/>
    </row>
    <row r="572" spans="1:21" ht="12.75" x14ac:dyDescent="0.2">
      <c r="A572" s="227"/>
      <c r="B572" s="228"/>
      <c r="C572" s="228"/>
      <c r="D572" s="229"/>
      <c r="E572" s="229"/>
      <c r="F572" s="229"/>
      <c r="G572" s="230"/>
      <c r="H572" s="231"/>
      <c r="I572" s="232"/>
      <c r="J572" s="232"/>
      <c r="K572" s="233"/>
      <c r="L572" s="1536"/>
      <c r="M572" s="233"/>
      <c r="N572" s="233"/>
      <c r="O572" s="233"/>
      <c r="P572" s="233"/>
      <c r="Q572" s="233"/>
      <c r="R572" s="233"/>
      <c r="S572" s="233"/>
      <c r="T572" s="233"/>
      <c r="U572" s="233"/>
    </row>
    <row r="573" spans="1:21" ht="12.75" x14ac:dyDescent="0.2">
      <c r="A573" s="227"/>
      <c r="B573" s="228"/>
      <c r="C573" s="228"/>
      <c r="D573" s="229"/>
      <c r="E573" s="229"/>
      <c r="F573" s="229"/>
      <c r="G573" s="230"/>
      <c r="H573" s="231"/>
      <c r="I573" s="232"/>
      <c r="J573" s="232"/>
      <c r="K573" s="233"/>
      <c r="L573" s="1536"/>
      <c r="M573" s="233"/>
      <c r="N573" s="233"/>
      <c r="O573" s="233"/>
      <c r="P573" s="233"/>
      <c r="Q573" s="233"/>
      <c r="R573" s="233"/>
      <c r="S573" s="233"/>
      <c r="T573" s="233"/>
      <c r="U573" s="233"/>
    </row>
    <row r="574" spans="1:21" ht="12.75" x14ac:dyDescent="0.2">
      <c r="A574" s="360"/>
      <c r="B574" s="316"/>
      <c r="C574" s="316"/>
      <c r="D574" s="361"/>
      <c r="E574" s="361"/>
      <c r="F574" s="361"/>
      <c r="G574" s="362"/>
      <c r="H574" s="317"/>
      <c r="I574" s="318"/>
      <c r="J574" s="318"/>
      <c r="K574" s="319"/>
      <c r="L574" s="1537"/>
      <c r="M574" s="319"/>
      <c r="N574" s="319"/>
      <c r="O574" s="319"/>
      <c r="P574" s="319"/>
      <c r="Q574" s="319"/>
      <c r="R574" s="319"/>
      <c r="S574" s="319"/>
      <c r="T574" s="319"/>
      <c r="U574" s="319"/>
    </row>
    <row r="575" spans="1:21" ht="19.5" x14ac:dyDescent="0.3">
      <c r="A575" s="349"/>
      <c r="B575" s="350" t="s">
        <v>212</v>
      </c>
      <c r="C575" s="351"/>
      <c r="D575" s="352"/>
      <c r="E575" s="352"/>
      <c r="F575" s="352"/>
      <c r="G575" s="353"/>
      <c r="H575" s="363" t="s">
        <v>61</v>
      </c>
      <c r="I575" s="374">
        <f>I587</f>
        <v>0</v>
      </c>
      <c r="J575" s="374">
        <f>J587</f>
        <v>0</v>
      </c>
      <c r="K575" s="1562">
        <f>IF(I575&gt;0,J575*100/I575,0)</f>
        <v>0</v>
      </c>
      <c r="L575" s="1550"/>
      <c r="M575" s="357"/>
      <c r="N575" s="357"/>
      <c r="O575" s="357"/>
      <c r="P575" s="357"/>
      <c r="Q575" s="357"/>
      <c r="R575" s="357"/>
      <c r="S575" s="357"/>
      <c r="T575" s="357"/>
      <c r="U575" s="357"/>
    </row>
    <row r="576" spans="1:21" ht="19.5" x14ac:dyDescent="0.3">
      <c r="A576" s="128"/>
      <c r="B576" s="40"/>
      <c r="C576" s="129" t="s">
        <v>18</v>
      </c>
      <c r="D576" s="1388" t="s">
        <v>19</v>
      </c>
      <c r="E576" s="40"/>
      <c r="F576" s="40"/>
      <c r="G576" s="42"/>
      <c r="H576" s="131" t="s">
        <v>14</v>
      </c>
      <c r="I576" s="44"/>
      <c r="J576" s="44"/>
      <c r="K576" s="45"/>
      <c r="L576" s="1389">
        <f ca="1">L577+L578</f>
        <v>0</v>
      </c>
      <c r="M576" s="1390">
        <f ca="1">M577+M578</f>
        <v>0</v>
      </c>
      <c r="N576" s="1390">
        <f ca="1">N577+N578</f>
        <v>0</v>
      </c>
      <c r="O576" s="1390">
        <f ca="1">IF(L576&gt;0,N576*100/L576,0)</f>
        <v>0</v>
      </c>
      <c r="P576" s="1390">
        <f ca="1">IF(M576&gt;0,N576*100/M576,0)</f>
        <v>0</v>
      </c>
      <c r="Q576" s="1390">
        <f>Q577+Q578</f>
        <v>0</v>
      </c>
      <c r="R576" s="1390">
        <f>R577+R578</f>
        <v>0</v>
      </c>
      <c r="S576" s="1390">
        <f>S577+S578</f>
        <v>0</v>
      </c>
      <c r="T576" s="1390">
        <f>IF(Q576&gt;0,S576*100/Q576,0)</f>
        <v>0</v>
      </c>
      <c r="U576" s="1390">
        <f>IF(R576&gt;0,S576*100/R576,0)</f>
        <v>0</v>
      </c>
    </row>
    <row r="577" spans="1:21" ht="18.75" x14ac:dyDescent="0.25">
      <c r="A577" s="128"/>
      <c r="B577" s="158"/>
      <c r="C577" s="40"/>
      <c r="D577" s="40"/>
      <c r="E577" s="156" t="s">
        <v>20</v>
      </c>
      <c r="F577" s="40"/>
      <c r="G577" s="42"/>
      <c r="H577" s="157" t="s">
        <v>14</v>
      </c>
      <c r="I577" s="44"/>
      <c r="J577" s="44"/>
      <c r="K577" s="45"/>
      <c r="L577" s="1358">
        <f>L580+L583</f>
        <v>0</v>
      </c>
      <c r="M577" s="83">
        <f>M580+M583</f>
        <v>0</v>
      </c>
      <c r="N577" s="83">
        <f>N580+N583</f>
        <v>0</v>
      </c>
      <c r="O577" s="83">
        <f>IF(L577&gt;0,N577*100/L577,0)</f>
        <v>0</v>
      </c>
      <c r="P577" s="83">
        <f>IF(M577&gt;0,N577*100/M577,0)</f>
        <v>0</v>
      </c>
      <c r="Q577" s="83">
        <f>Q580+Q583</f>
        <v>0</v>
      </c>
      <c r="R577" s="83">
        <f>R580+R583</f>
        <v>0</v>
      </c>
      <c r="S577" s="83">
        <f>S580+S583</f>
        <v>0</v>
      </c>
      <c r="T577" s="83">
        <f>IF(Q577&gt;0,S577*100/Q577,0)</f>
        <v>0</v>
      </c>
      <c r="U577" s="83">
        <f>IF(R577&gt;0,S577*100/R577,0)</f>
        <v>0</v>
      </c>
    </row>
    <row r="578" spans="1:21" ht="18.75" x14ac:dyDescent="0.25">
      <c r="A578" s="128"/>
      <c r="B578" s="40"/>
      <c r="C578" s="158"/>
      <c r="D578" s="40"/>
      <c r="E578" s="209" t="s">
        <v>21</v>
      </c>
      <c r="F578" s="40"/>
      <c r="G578" s="42"/>
      <c r="H578" s="133" t="s">
        <v>14</v>
      </c>
      <c r="I578" s="44"/>
      <c r="J578" s="44"/>
      <c r="K578" s="45"/>
      <c r="L578" s="1356">
        <f ca="1">L581+L584</f>
        <v>0</v>
      </c>
      <c r="M578" s="224">
        <f ca="1">M581+M584</f>
        <v>0</v>
      </c>
      <c r="N578" s="224">
        <f ca="1">N581+N584</f>
        <v>0</v>
      </c>
      <c r="O578" s="224">
        <f ca="1">IF(L578&gt;0,N578*100/L578,0)</f>
        <v>0</v>
      </c>
      <c r="P578" s="224">
        <f ca="1">IF(M578&gt;0,N578*100/M578,0)</f>
        <v>0</v>
      </c>
      <c r="Q578" s="224">
        <f>Q581+Q584</f>
        <v>0</v>
      </c>
      <c r="R578" s="224">
        <f>R581+R584</f>
        <v>0</v>
      </c>
      <c r="S578" s="224">
        <f>S581+S584</f>
        <v>0</v>
      </c>
      <c r="T578" s="224">
        <f>IF(Q578&gt;0,S578*100/Q578,0)</f>
        <v>0</v>
      </c>
      <c r="U578" s="224">
        <f>IF(R578&gt;0,S578*100/R578,0)</f>
        <v>0</v>
      </c>
    </row>
    <row r="579" spans="1:21" ht="18.75" x14ac:dyDescent="0.25">
      <c r="A579" s="128"/>
      <c r="B579" s="40"/>
      <c r="C579" s="158"/>
      <c r="D579" s="41" t="s">
        <v>22</v>
      </c>
      <c r="E579" s="158"/>
      <c r="F579" s="40"/>
      <c r="G579" s="42"/>
      <c r="H579" s="134" t="s">
        <v>14</v>
      </c>
      <c r="I579" s="135"/>
      <c r="J579" s="135"/>
      <c r="K579" s="136"/>
      <c r="L579" s="1356">
        <f ca="1">L580+L581</f>
        <v>0</v>
      </c>
      <c r="M579" s="224">
        <f ca="1">M580+M581</f>
        <v>0</v>
      </c>
      <c r="N579" s="224">
        <f ca="1">N580+N581</f>
        <v>0</v>
      </c>
      <c r="O579" s="224">
        <f ca="1">IF(L579&gt;0,N579*100/L579,0)</f>
        <v>0</v>
      </c>
      <c r="P579" s="224">
        <f ca="1">IF(M579&gt;0,N579*100/M579,0)</f>
        <v>0</v>
      </c>
      <c r="Q579" s="224">
        <f>Q580+Q581</f>
        <v>0</v>
      </c>
      <c r="R579" s="224">
        <f>R580+R581</f>
        <v>0</v>
      </c>
      <c r="S579" s="224">
        <f>S580+S581</f>
        <v>0</v>
      </c>
      <c r="T579" s="224">
        <f>IF(Q579&gt;0,S579*100/Q579,0)</f>
        <v>0</v>
      </c>
      <c r="U579" s="224">
        <f>IF(R579&gt;0,S579*100/R579,0)</f>
        <v>0</v>
      </c>
    </row>
    <row r="580" spans="1:21" ht="18.75" x14ac:dyDescent="0.25">
      <c r="A580" s="128"/>
      <c r="B580" s="40"/>
      <c r="C580" s="40"/>
      <c r="D580" s="40"/>
      <c r="E580" s="156" t="s">
        <v>36</v>
      </c>
      <c r="F580" s="40"/>
      <c r="G580" s="42"/>
      <c r="H580" s="159" t="s">
        <v>14</v>
      </c>
      <c r="I580" s="135"/>
      <c r="J580" s="135"/>
      <c r="K580" s="136"/>
      <c r="L580" s="1358">
        <v>0</v>
      </c>
      <c r="M580" s="83">
        <v>0</v>
      </c>
      <c r="N580" s="83">
        <v>0</v>
      </c>
      <c r="O580" s="83">
        <f>IF(L580&gt;0,N580*100/L580,0)</f>
        <v>0</v>
      </c>
      <c r="P580" s="83">
        <f>IF(M580&gt;0,N580*100/M580,0)</f>
        <v>0</v>
      </c>
      <c r="Q580" s="83">
        <v>0</v>
      </c>
      <c r="R580" s="83">
        <v>0</v>
      </c>
      <c r="S580" s="83">
        <v>0</v>
      </c>
      <c r="T580" s="83">
        <f>IF(Q580&gt;0,S580*100/Q580,0)</f>
        <v>0</v>
      </c>
      <c r="U580" s="83">
        <f>IF(R580&gt;0,S580*100/R580,0)</f>
        <v>0</v>
      </c>
    </row>
    <row r="581" spans="1:21" ht="18.75" x14ac:dyDescent="0.25">
      <c r="A581" s="128"/>
      <c r="B581" s="40"/>
      <c r="C581" s="40"/>
      <c r="D581" s="40"/>
      <c r="E581" s="47" t="s">
        <v>37</v>
      </c>
      <c r="F581" s="40"/>
      <c r="G581" s="42"/>
      <c r="H581" s="134" t="s">
        <v>14</v>
      </c>
      <c r="I581" s="135"/>
      <c r="J581" s="135"/>
      <c r="K581" s="136"/>
      <c r="L581" s="1356">
        <f ca="1">IFERROR(__xludf.DUMMYFUNCTION("IMPORTRANGE(""https://docs.google.com/spreadsheets/d/1-uDff_7J0KD5mKrp0Vvzr7lt3OU09vwQwhkpOPPYv2Y/edit?usp=sharing"",""งบพรบ!GQ27"")"),0)</f>
        <v>0</v>
      </c>
      <c r="M581" s="224">
        <f ca="1">IFERROR(__xludf.DUMMYFUNCTION("IMPORTRANGE(""https://docs.google.com/spreadsheets/d/1-uDff_7J0KD5mKrp0Vvzr7lt3OU09vwQwhkpOPPYv2Y/edit?usp=sharing"",""งบพรบ!GV27"")"),0)</f>
        <v>0</v>
      </c>
      <c r="N581" s="224">
        <f ca="1">IFERROR(__xludf.DUMMYFUNCTION("IMPORTRANGE(""https://docs.google.com/spreadsheets/d/1-uDff_7J0KD5mKrp0Vvzr7lt3OU09vwQwhkpOPPYv2Y/edit?usp=sharing"",""งบพรบ!GX27"")"),0)</f>
        <v>0</v>
      </c>
      <c r="O581" s="224">
        <f ca="1">IF(L581&gt;0,N581*100/L581,0)</f>
        <v>0</v>
      </c>
      <c r="P581" s="224">
        <f ca="1">IF(M581&gt;0,N581*100/M581,0)</f>
        <v>0</v>
      </c>
      <c r="Q581" s="224">
        <v>0</v>
      </c>
      <c r="R581" s="224">
        <v>0</v>
      </c>
      <c r="S581" s="224">
        <v>0</v>
      </c>
      <c r="T581" s="224">
        <f>IF(Q581&gt;0,S581*100/Q581,0)</f>
        <v>0</v>
      </c>
      <c r="U581" s="224">
        <f>IF(R581&gt;0,S581*100/R581,0)</f>
        <v>0</v>
      </c>
    </row>
    <row r="582" spans="1:21" ht="18.75" x14ac:dyDescent="0.25">
      <c r="A582" s="128"/>
      <c r="B582" s="40"/>
      <c r="C582" s="40"/>
      <c r="D582" s="41" t="s">
        <v>23</v>
      </c>
      <c r="E582" s="40"/>
      <c r="F582" s="40"/>
      <c r="G582" s="42"/>
      <c r="H582" s="137" t="s">
        <v>14</v>
      </c>
      <c r="I582" s="135"/>
      <c r="J582" s="135"/>
      <c r="K582" s="136"/>
      <c r="L582" s="1356">
        <f ca="1">L583+L584</f>
        <v>0</v>
      </c>
      <c r="M582" s="224">
        <f ca="1">M583+M584</f>
        <v>0</v>
      </c>
      <c r="N582" s="224">
        <f ca="1">N583+N584</f>
        <v>0</v>
      </c>
      <c r="O582" s="224">
        <f ca="1">IF(L582&gt;0,N582*100/L582,0)</f>
        <v>0</v>
      </c>
      <c r="P582" s="224">
        <f ca="1">IF(M582&gt;0,N582*100/M582,0)</f>
        <v>0</v>
      </c>
      <c r="Q582" s="224">
        <f>Q583+Q584</f>
        <v>0</v>
      </c>
      <c r="R582" s="224">
        <f>R583+R584</f>
        <v>0</v>
      </c>
      <c r="S582" s="224">
        <f>S583+S584</f>
        <v>0</v>
      </c>
      <c r="T582" s="224">
        <f>IF(Q582&gt;0,S582*100/Q582,0)</f>
        <v>0</v>
      </c>
      <c r="U582" s="224">
        <f>IF(R582&gt;0,S582*100/R582,0)</f>
        <v>0</v>
      </c>
    </row>
    <row r="583" spans="1:21" ht="18.75" x14ac:dyDescent="0.25">
      <c r="A583" s="128"/>
      <c r="B583" s="40"/>
      <c r="C583" s="40"/>
      <c r="D583" s="40"/>
      <c r="E583" s="156" t="s">
        <v>20</v>
      </c>
      <c r="F583" s="40"/>
      <c r="G583" s="42"/>
      <c r="H583" s="159" t="s">
        <v>14</v>
      </c>
      <c r="I583" s="135"/>
      <c r="J583" s="135"/>
      <c r="K583" s="136"/>
      <c r="L583" s="1358">
        <v>0</v>
      </c>
      <c r="M583" s="83">
        <v>0</v>
      </c>
      <c r="N583" s="83">
        <v>0</v>
      </c>
      <c r="O583" s="83">
        <f>IF(L583&gt;0,N583*100/L583,0)</f>
        <v>0</v>
      </c>
      <c r="P583" s="83">
        <f>IF(M583&gt;0,N583*100/M583,0)</f>
        <v>0</v>
      </c>
      <c r="Q583" s="83">
        <v>0</v>
      </c>
      <c r="R583" s="83">
        <v>0</v>
      </c>
      <c r="S583" s="83">
        <v>0</v>
      </c>
      <c r="T583" s="83">
        <f>IF(Q583&gt;0,S583*100/Q583,0)</f>
        <v>0</v>
      </c>
      <c r="U583" s="83">
        <f>IF(R583&gt;0,S583*100/R583,0)</f>
        <v>0</v>
      </c>
    </row>
    <row r="584" spans="1:21" ht="18.75" x14ac:dyDescent="0.25">
      <c r="A584" s="128"/>
      <c r="B584" s="40"/>
      <c r="C584" s="40"/>
      <c r="D584" s="40"/>
      <c r="E584" s="47" t="s">
        <v>21</v>
      </c>
      <c r="F584" s="40"/>
      <c r="G584" s="42"/>
      <c r="H584" s="137" t="s">
        <v>14</v>
      </c>
      <c r="I584" s="135"/>
      <c r="J584" s="135"/>
      <c r="K584" s="136"/>
      <c r="L584" s="1356">
        <f ca="1">IFERROR(__xludf.DUMMYFUNCTION("IMPORTRANGE(""https://docs.google.com/spreadsheets/d/1-uDff_7J0KD5mKrp0Vvzr7lt3OU09vwQwhkpOPPYv2Y/edit?usp=sharing"",""งบพรบ!GT27"")"),0)</f>
        <v>0</v>
      </c>
      <c r="M584" s="224">
        <f ca="1">IFERROR(__xludf.DUMMYFUNCTION("IMPORTRANGE(""https://docs.google.com/spreadsheets/d/1-uDff_7J0KD5mKrp0Vvzr7lt3OU09vwQwhkpOPPYv2Y/edit?usp=sharing"",""งบพรบ!GW27"")"),0)</f>
        <v>0</v>
      </c>
      <c r="N584" s="224">
        <f ca="1">IFERROR(__xludf.DUMMYFUNCTION("IMPORTRANGE(""https://docs.google.com/spreadsheets/d/1-uDff_7J0KD5mKrp0Vvzr7lt3OU09vwQwhkpOPPYv2Y/edit?usp=sharing"",""งบพรบ!GY27"")"),0)</f>
        <v>0</v>
      </c>
      <c r="O584" s="224">
        <f ca="1">IF(L584&gt;0,N584*100/L584,0)</f>
        <v>0</v>
      </c>
      <c r="P584" s="224">
        <f ca="1">IF(M584&gt;0,N584*100/M584,0)</f>
        <v>0</v>
      </c>
      <c r="Q584" s="224">
        <v>0</v>
      </c>
      <c r="R584" s="224">
        <v>0</v>
      </c>
      <c r="S584" s="224">
        <v>0</v>
      </c>
      <c r="T584" s="224">
        <f>IF(Q584&gt;0,S584*100/Q584,0)</f>
        <v>0</v>
      </c>
      <c r="U584" s="224">
        <f>IF(R584&gt;0,S584*100/R584,0)</f>
        <v>0</v>
      </c>
    </row>
    <row r="585" spans="1:21" ht="19.5" x14ac:dyDescent="0.3">
      <c r="A585" s="138"/>
      <c r="B585" s="139"/>
      <c r="C585" s="364" t="s">
        <v>18</v>
      </c>
      <c r="D585" s="1391" t="s">
        <v>38</v>
      </c>
      <c r="E585" s="141"/>
      <c r="F585" s="141"/>
      <c r="G585" s="142"/>
      <c r="H585" s="143"/>
      <c r="I585" s="135"/>
      <c r="J585" s="44"/>
      <c r="K585" s="45"/>
      <c r="L585" s="1359"/>
      <c r="M585" s="45"/>
      <c r="N585" s="45"/>
      <c r="O585" s="136"/>
      <c r="P585" s="136"/>
      <c r="Q585" s="45"/>
      <c r="R585" s="45"/>
      <c r="S585" s="45"/>
      <c r="T585" s="136"/>
      <c r="U585" s="136"/>
    </row>
    <row r="586" spans="1:21" ht="12.75" x14ac:dyDescent="0.2">
      <c r="A586" s="227"/>
      <c r="B586" s="229"/>
      <c r="C586" s="228"/>
      <c r="D586" s="229"/>
      <c r="E586" s="228"/>
      <c r="F586" s="229"/>
      <c r="G586" s="230"/>
      <c r="H586" s="230"/>
      <c r="I586" s="232"/>
      <c r="J586" s="232"/>
      <c r="K586" s="233"/>
      <c r="L586" s="1536"/>
      <c r="M586" s="233"/>
      <c r="N586" s="233"/>
      <c r="O586" s="233"/>
      <c r="P586" s="233"/>
      <c r="Q586" s="233"/>
      <c r="R586" s="233"/>
      <c r="S586" s="233"/>
      <c r="T586" s="233"/>
      <c r="U586" s="233"/>
    </row>
    <row r="587" spans="1:21" ht="12.75" x14ac:dyDescent="0.2">
      <c r="A587" s="227"/>
      <c r="B587" s="229"/>
      <c r="C587" s="228"/>
      <c r="D587" s="229"/>
      <c r="E587" s="228"/>
      <c r="F587" s="229"/>
      <c r="G587" s="230"/>
      <c r="H587" s="230"/>
      <c r="I587" s="232"/>
      <c r="J587" s="232"/>
      <c r="K587" s="233"/>
      <c r="L587" s="1536"/>
      <c r="M587" s="233"/>
      <c r="N587" s="233"/>
      <c r="O587" s="233"/>
      <c r="P587" s="233"/>
      <c r="Q587" s="233"/>
      <c r="R587" s="233"/>
      <c r="S587" s="233"/>
      <c r="T587" s="233"/>
      <c r="U587" s="233"/>
    </row>
    <row r="588" spans="1:21" ht="12.75" x14ac:dyDescent="0.2">
      <c r="A588" s="227"/>
      <c r="B588" s="228"/>
      <c r="C588" s="228"/>
      <c r="D588" s="229"/>
      <c r="E588" s="229"/>
      <c r="F588" s="229"/>
      <c r="G588" s="230"/>
      <c r="H588" s="231"/>
      <c r="I588" s="232"/>
      <c r="J588" s="232"/>
      <c r="K588" s="233"/>
      <c r="L588" s="1536"/>
      <c r="M588" s="233"/>
      <c r="N588" s="233"/>
      <c r="O588" s="233"/>
      <c r="P588" s="233"/>
      <c r="Q588" s="233"/>
      <c r="R588" s="233"/>
      <c r="S588" s="233"/>
      <c r="T588" s="233"/>
      <c r="U588" s="233"/>
    </row>
    <row r="589" spans="1:21" ht="12.75" x14ac:dyDescent="0.2">
      <c r="A589" s="227"/>
      <c r="B589" s="228"/>
      <c r="C589" s="228"/>
      <c r="D589" s="229"/>
      <c r="E589" s="229"/>
      <c r="F589" s="229"/>
      <c r="G589" s="230"/>
      <c r="H589" s="231"/>
      <c r="I589" s="232"/>
      <c r="J589" s="232"/>
      <c r="K589" s="233"/>
      <c r="L589" s="1536"/>
      <c r="M589" s="233"/>
      <c r="N589" s="233"/>
      <c r="O589" s="233"/>
      <c r="P589" s="233"/>
      <c r="Q589" s="233"/>
      <c r="R589" s="233"/>
      <c r="S589" s="233"/>
      <c r="T589" s="233"/>
      <c r="U589" s="233"/>
    </row>
    <row r="590" spans="1:21" ht="12.75" x14ac:dyDescent="0.2">
      <c r="A590" s="227"/>
      <c r="B590" s="228"/>
      <c r="C590" s="228"/>
      <c r="D590" s="229"/>
      <c r="E590" s="229"/>
      <c r="F590" s="229"/>
      <c r="G590" s="230"/>
      <c r="H590" s="231"/>
      <c r="I590" s="232"/>
      <c r="J590" s="232"/>
      <c r="K590" s="233"/>
      <c r="L590" s="1536"/>
      <c r="M590" s="233"/>
      <c r="N590" s="233"/>
      <c r="O590" s="233"/>
      <c r="P590" s="233"/>
      <c r="Q590" s="233"/>
      <c r="R590" s="233"/>
      <c r="S590" s="233"/>
      <c r="T590" s="233"/>
      <c r="U590" s="233"/>
    </row>
    <row r="591" spans="1:21" ht="12.75" x14ac:dyDescent="0.2">
      <c r="A591" s="227"/>
      <c r="B591" s="228"/>
      <c r="C591" s="228"/>
      <c r="D591" s="229"/>
      <c r="E591" s="229"/>
      <c r="F591" s="229"/>
      <c r="G591" s="230"/>
      <c r="H591" s="231"/>
      <c r="I591" s="232"/>
      <c r="J591" s="232"/>
      <c r="K591" s="233"/>
      <c r="L591" s="1536"/>
      <c r="M591" s="233"/>
      <c r="N591" s="233"/>
      <c r="O591" s="233"/>
      <c r="P591" s="233"/>
      <c r="Q591" s="233"/>
      <c r="R591" s="233"/>
      <c r="S591" s="233"/>
      <c r="T591" s="233"/>
      <c r="U591" s="233"/>
    </row>
    <row r="592" spans="1:21" ht="12.75" x14ac:dyDescent="0.2">
      <c r="A592" s="227"/>
      <c r="B592" s="228"/>
      <c r="C592" s="228"/>
      <c r="D592" s="229"/>
      <c r="E592" s="229"/>
      <c r="F592" s="229"/>
      <c r="G592" s="230"/>
      <c r="H592" s="231"/>
      <c r="I592" s="232"/>
      <c r="J592" s="232"/>
      <c r="K592" s="233"/>
      <c r="L592" s="1536"/>
      <c r="M592" s="233"/>
      <c r="N592" s="233"/>
      <c r="O592" s="233"/>
      <c r="P592" s="233"/>
      <c r="Q592" s="233"/>
      <c r="R592" s="233"/>
      <c r="S592" s="233"/>
      <c r="T592" s="233"/>
      <c r="U592" s="233"/>
    </row>
    <row r="593" spans="1:21" ht="12.75" x14ac:dyDescent="0.2">
      <c r="A593" s="227"/>
      <c r="B593" s="228"/>
      <c r="C593" s="228"/>
      <c r="D593" s="229"/>
      <c r="E593" s="229"/>
      <c r="F593" s="229"/>
      <c r="G593" s="230"/>
      <c r="H593" s="231"/>
      <c r="I593" s="232"/>
      <c r="J593" s="232"/>
      <c r="K593" s="233"/>
      <c r="L593" s="1536"/>
      <c r="M593" s="233"/>
      <c r="N593" s="233"/>
      <c r="O593" s="233"/>
      <c r="P593" s="233"/>
      <c r="Q593" s="233"/>
      <c r="R593" s="233"/>
      <c r="S593" s="233"/>
      <c r="T593" s="233"/>
      <c r="U593" s="233"/>
    </row>
    <row r="594" spans="1:21" ht="12.75" x14ac:dyDescent="0.2">
      <c r="A594" s="227"/>
      <c r="B594" s="228"/>
      <c r="C594" s="228"/>
      <c r="D594" s="229"/>
      <c r="E594" s="229"/>
      <c r="F594" s="229"/>
      <c r="G594" s="230"/>
      <c r="H594" s="231"/>
      <c r="I594" s="232"/>
      <c r="J594" s="232"/>
      <c r="K594" s="233"/>
      <c r="L594" s="1536"/>
      <c r="M594" s="233"/>
      <c r="N594" s="233"/>
      <c r="O594" s="233"/>
      <c r="P594" s="233"/>
      <c r="Q594" s="233"/>
      <c r="R594" s="233"/>
      <c r="S594" s="233"/>
      <c r="T594" s="233"/>
      <c r="U594" s="233"/>
    </row>
    <row r="595" spans="1:21" ht="12.75" x14ac:dyDescent="0.2">
      <c r="A595" s="360"/>
      <c r="B595" s="316"/>
      <c r="C595" s="316"/>
      <c r="D595" s="361"/>
      <c r="E595" s="361"/>
      <c r="F595" s="361"/>
      <c r="G595" s="362"/>
      <c r="H595" s="317"/>
      <c r="I595" s="318"/>
      <c r="J595" s="318"/>
      <c r="K595" s="319"/>
      <c r="L595" s="1537"/>
      <c r="M595" s="319"/>
      <c r="N595" s="319"/>
      <c r="O595" s="319"/>
      <c r="P595" s="319"/>
      <c r="Q595" s="319"/>
      <c r="R595" s="319"/>
      <c r="S595" s="319"/>
      <c r="T595" s="319"/>
      <c r="U595" s="319"/>
    </row>
    <row r="596" spans="1:21" ht="19.5" x14ac:dyDescent="0.3">
      <c r="A596" s="1563" t="s">
        <v>213</v>
      </c>
      <c r="B596" s="119"/>
      <c r="C596" s="168"/>
      <c r="D596" s="119"/>
      <c r="E596" s="119"/>
      <c r="F596" s="119"/>
      <c r="G596" s="119"/>
      <c r="H596" s="120"/>
      <c r="I596" s="169"/>
      <c r="J596" s="169"/>
      <c r="K596" s="170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1564" t="s">
        <v>214</v>
      </c>
      <c r="C597" s="172"/>
      <c r="D597" s="125"/>
      <c r="E597" s="27"/>
      <c r="F597" s="27"/>
      <c r="G597" s="27"/>
      <c r="H597" s="1565" t="s">
        <v>99</v>
      </c>
      <c r="I597" s="182"/>
      <c r="J597" s="32"/>
      <c r="K597" s="33"/>
      <c r="L597" s="1387"/>
      <c r="M597" s="33"/>
      <c r="N597" s="33"/>
      <c r="O597" s="33"/>
      <c r="P597" s="33"/>
      <c r="Q597" s="33"/>
      <c r="R597" s="33"/>
      <c r="S597" s="33"/>
      <c r="T597" s="33"/>
      <c r="U597" s="33"/>
    </row>
    <row r="598" spans="1:21" ht="19.5" x14ac:dyDescent="0.3">
      <c r="A598" s="1566"/>
      <c r="B598" s="1567" t="s">
        <v>215</v>
      </c>
      <c r="C598" s="125"/>
      <c r="D598" s="27"/>
      <c r="E598" s="27"/>
      <c r="F598" s="27"/>
      <c r="G598" s="30"/>
      <c r="H598" s="1568" t="s">
        <v>35</v>
      </c>
      <c r="I598" s="32"/>
      <c r="J598" s="32"/>
      <c r="K598" s="33"/>
      <c r="L598" s="1387"/>
      <c r="M598" s="33"/>
      <c r="N598" s="33"/>
      <c r="O598" s="33"/>
      <c r="P598" s="33"/>
      <c r="Q598" s="33"/>
      <c r="R598" s="33"/>
      <c r="S598" s="33"/>
      <c r="T598" s="33"/>
      <c r="U598" s="33"/>
    </row>
    <row r="599" spans="1:21" ht="19.5" x14ac:dyDescent="0.3">
      <c r="A599" s="128"/>
      <c r="B599" s="158"/>
      <c r="C599" s="177" t="s">
        <v>18</v>
      </c>
      <c r="D599" s="1569" t="s">
        <v>19</v>
      </c>
      <c r="E599" s="1285"/>
      <c r="F599" s="1285"/>
      <c r="G599" s="1286"/>
      <c r="H599" s="375" t="s">
        <v>14</v>
      </c>
      <c r="I599" s="44"/>
      <c r="J599" s="44"/>
      <c r="K599" s="45"/>
      <c r="L599" s="1389">
        <f ca="1">L600+L601</f>
        <v>10557</v>
      </c>
      <c r="M599" s="1390">
        <f ca="1">M600+M601</f>
        <v>0</v>
      </c>
      <c r="N599" s="1390">
        <f ca="1">N600+N601</f>
        <v>0</v>
      </c>
      <c r="O599" s="1390">
        <f ca="1">IF(L599&gt;0,N599*100/L599,0)</f>
        <v>0</v>
      </c>
      <c r="P599" s="1390">
        <f ca="1">IF(M599&gt;0,N599*100/M599,0)</f>
        <v>0</v>
      </c>
      <c r="Q599" s="1390">
        <f ca="1">Q600+Q601</f>
        <v>0</v>
      </c>
      <c r="R599" s="1390">
        <f ca="1">R600+R601</f>
        <v>0</v>
      </c>
      <c r="S599" s="1390">
        <f ca="1">S600+S601</f>
        <v>0</v>
      </c>
      <c r="T599" s="1390">
        <f ca="1">IF(Q599&gt;0,S599*100/Q599,0)</f>
        <v>0</v>
      </c>
      <c r="U599" s="1390">
        <f ca="1">IF(R599&gt;0,S599*100/R599,0)</f>
        <v>0</v>
      </c>
    </row>
    <row r="600" spans="1:21" ht="18.75" x14ac:dyDescent="0.25">
      <c r="A600" s="128"/>
      <c r="B600" s="158"/>
      <c r="C600" s="158"/>
      <c r="D600" s="145"/>
      <c r="E600" s="156" t="s">
        <v>158</v>
      </c>
      <c r="F600" s="40"/>
      <c r="G600" s="42"/>
      <c r="H600" s="159" t="s">
        <v>14</v>
      </c>
      <c r="I600" s="44"/>
      <c r="J600" s="44"/>
      <c r="K600" s="45"/>
      <c r="L600" s="1358">
        <f>L603+L606</f>
        <v>0</v>
      </c>
      <c r="M600" s="83">
        <f>M603+M606</f>
        <v>0</v>
      </c>
      <c r="N600" s="83">
        <f>N603+N606</f>
        <v>0</v>
      </c>
      <c r="O600" s="83">
        <f>IF(L600&gt;0,N600*100/L600,0)</f>
        <v>0</v>
      </c>
      <c r="P600" s="83">
        <f>IF(M600&gt;0,N600*100/M600,0)</f>
        <v>0</v>
      </c>
      <c r="Q600" s="83">
        <f>Q603+Q606</f>
        <v>0</v>
      </c>
      <c r="R600" s="83">
        <f>R603+R606</f>
        <v>0</v>
      </c>
      <c r="S600" s="83">
        <f>S603+S606</f>
        <v>0</v>
      </c>
      <c r="T600" s="83">
        <f>IF(Q600&gt;0,S600*100/Q600,0)</f>
        <v>0</v>
      </c>
      <c r="U600" s="83">
        <f>IF(R600&gt;0,S600*100/R600,0)</f>
        <v>0</v>
      </c>
    </row>
    <row r="601" spans="1:21" ht="18.75" x14ac:dyDescent="0.25">
      <c r="A601" s="128"/>
      <c r="B601" s="158"/>
      <c r="C601" s="158"/>
      <c r="D601" s="145"/>
      <c r="E601" s="156" t="s">
        <v>159</v>
      </c>
      <c r="F601" s="40"/>
      <c r="G601" s="42"/>
      <c r="H601" s="159" t="s">
        <v>14</v>
      </c>
      <c r="I601" s="44"/>
      <c r="J601" s="44"/>
      <c r="K601" s="45"/>
      <c r="L601" s="1356">
        <f ca="1">L604+L607</f>
        <v>10557</v>
      </c>
      <c r="M601" s="224">
        <f ca="1">M604+M607</f>
        <v>0</v>
      </c>
      <c r="N601" s="224">
        <f ca="1">N604+N607</f>
        <v>0</v>
      </c>
      <c r="O601" s="224">
        <f ca="1">IF(L601&gt;0,N601*100/L601,0)</f>
        <v>0</v>
      </c>
      <c r="P601" s="224">
        <f ca="1">IF(M601&gt;0,N601*100/M601,0)</f>
        <v>0</v>
      </c>
      <c r="Q601" s="224">
        <f ca="1">Q604+Q607</f>
        <v>0</v>
      </c>
      <c r="R601" s="224">
        <f ca="1">R604+R607</f>
        <v>0</v>
      </c>
      <c r="S601" s="224">
        <f ca="1">S604+S607</f>
        <v>0</v>
      </c>
      <c r="T601" s="224">
        <f ca="1">IF(Q601&gt;0,S601*100/Q601,0)</f>
        <v>0</v>
      </c>
      <c r="U601" s="224">
        <f ca="1">IF(R601&gt;0,S601*100/R601,0)</f>
        <v>0</v>
      </c>
    </row>
    <row r="602" spans="1:21" ht="19.5" x14ac:dyDescent="0.3">
      <c r="A602" s="128"/>
      <c r="B602" s="158"/>
      <c r="C602" s="158"/>
      <c r="D602" s="1434" t="s">
        <v>22</v>
      </c>
      <c r="E602" s="40"/>
      <c r="F602" s="40"/>
      <c r="G602" s="42"/>
      <c r="H602" s="375" t="s">
        <v>14</v>
      </c>
      <c r="I602" s="135"/>
      <c r="J602" s="135"/>
      <c r="K602" s="136"/>
      <c r="L602" s="1356">
        <f ca="1">L603+L604</f>
        <v>10557</v>
      </c>
      <c r="M602" s="224">
        <f ca="1">M603+M604</f>
        <v>0</v>
      </c>
      <c r="N602" s="224">
        <f ca="1">N603+N604</f>
        <v>0</v>
      </c>
      <c r="O602" s="224">
        <f ca="1">IF(L602&gt;0,N602*100/L602,0)</f>
        <v>0</v>
      </c>
      <c r="P602" s="224">
        <f ca="1">IF(M602&gt;0,N602*100/M602,0)</f>
        <v>0</v>
      </c>
      <c r="Q602" s="224">
        <f ca="1">Q603+Q604</f>
        <v>0</v>
      </c>
      <c r="R602" s="224">
        <f ca="1">R603+R604</f>
        <v>0</v>
      </c>
      <c r="S602" s="224">
        <f ca="1">S603+S604</f>
        <v>0</v>
      </c>
      <c r="T602" s="224">
        <f ca="1">IF(Q602&gt;0,S602*100/Q602,0)</f>
        <v>0</v>
      </c>
      <c r="U602" s="224">
        <f ca="1">IF(R602&gt;0,S602*100/R602,0)</f>
        <v>0</v>
      </c>
    </row>
    <row r="603" spans="1:21" ht="18.75" x14ac:dyDescent="0.25">
      <c r="A603" s="128"/>
      <c r="B603" s="158"/>
      <c r="C603" s="158"/>
      <c r="D603" s="145"/>
      <c r="E603" s="156" t="s">
        <v>158</v>
      </c>
      <c r="F603" s="40"/>
      <c r="G603" s="42"/>
      <c r="H603" s="159" t="s">
        <v>14</v>
      </c>
      <c r="I603" s="44"/>
      <c r="J603" s="44"/>
      <c r="K603" s="45"/>
      <c r="L603" s="1358">
        <v>0</v>
      </c>
      <c r="M603" s="83">
        <v>0</v>
      </c>
      <c r="N603" s="83">
        <v>0</v>
      </c>
      <c r="O603" s="83">
        <f>IF(L603&gt;0,N603*100/L603,0)</f>
        <v>0</v>
      </c>
      <c r="P603" s="83">
        <f>IF(M603&gt;0,N603*100/M603,0)</f>
        <v>0</v>
      </c>
      <c r="Q603" s="83">
        <v>0</v>
      </c>
      <c r="R603" s="83">
        <v>0</v>
      </c>
      <c r="S603" s="83">
        <v>0</v>
      </c>
      <c r="T603" s="83">
        <f>IF(Q603&gt;0,S603*100/Q603,0)</f>
        <v>0</v>
      </c>
      <c r="U603" s="83">
        <f>IF(R603&gt;0,S603*100/R603,0)</f>
        <v>0</v>
      </c>
    </row>
    <row r="604" spans="1:21" ht="18.75" x14ac:dyDescent="0.25">
      <c r="A604" s="128"/>
      <c r="B604" s="158"/>
      <c r="C604" s="158"/>
      <c r="D604" s="145"/>
      <c r="E604" s="156" t="s">
        <v>159</v>
      </c>
      <c r="F604" s="40"/>
      <c r="G604" s="42"/>
      <c r="H604" s="159" t="s">
        <v>14</v>
      </c>
      <c r="I604" s="44"/>
      <c r="J604" s="44"/>
      <c r="K604" s="45"/>
      <c r="L604" s="1356">
        <f ca="1">IFERROR(__xludf.DUMMYFUNCTION("IMPORTRANGE(""https://docs.google.com/spreadsheets/d/1-uDff_7J0KD5mKrp0Vvzr7lt3OU09vwQwhkpOPPYv2Y/edit?usp=sharing"",""งบพรบ!HK27"")"),10557)</f>
        <v>10557</v>
      </c>
      <c r="M604" s="224">
        <f ca="1">IFERROR(__xludf.DUMMYFUNCTION("IMPORTRANGE(""https://docs.google.com/spreadsheets/d/1-uDff_7J0KD5mKrp0Vvzr7lt3OU09vwQwhkpOPPYv2Y/edit?usp=sharing"",""งบพรบ!HP27"")"),0)</f>
        <v>0</v>
      </c>
      <c r="N604" s="224">
        <f ca="1">IFERROR(__xludf.DUMMYFUNCTION("IMPORTRANGE(""https://docs.google.com/spreadsheets/d/1-uDff_7J0KD5mKrp0Vvzr7lt3OU09vwQwhkpOPPYv2Y/edit?usp=sharing"",""งบพรบ!HR27"")"),0)</f>
        <v>0</v>
      </c>
      <c r="O604" s="224">
        <f ca="1">IF(L604&gt;0,N604*100/L604,0)</f>
        <v>0</v>
      </c>
      <c r="P604" s="224">
        <f ca="1">IF(M604&gt;0,N604*100/M604,0)</f>
        <v>0</v>
      </c>
      <c r="Q604" s="224">
        <f ca="1">IFERROR(__xludf.DUMMYFUNCTION("IMPORTRANGE(""https://docs.google.com/spreadsheets/d/1ItG2mGa2ceCfYo0BwxsXqNm01IGEUdYcSSLTEv9YCik/edit?usp=sharing"",""เบิกจ่ายกองทุน!AV27"")"),0)</f>
        <v>0</v>
      </c>
      <c r="R604" s="224">
        <f ca="1">IFERROR(__xludf.DUMMYFUNCTION("IMPORTRANGE(""https://docs.google.com/spreadsheets/d/1ItG2mGa2ceCfYo0BwxsXqNm01IGEUdYcSSLTEv9YCik/edit?usp=sharing"",""เบิกจ่ายกองทุน!AW27"")"),0)</f>
        <v>0</v>
      </c>
      <c r="S604" s="224">
        <f ca="1">IFERROR(__xludf.DUMMYFUNCTION("IMPORTRANGE(""https://docs.google.com/spreadsheets/d/1ItG2mGa2ceCfYo0BwxsXqNm01IGEUdYcSSLTEv9YCik/edit?usp=sharing"",""เบิกจ่ายกองทุน!AX27"")"),0)</f>
        <v>0</v>
      </c>
      <c r="T604" s="224">
        <f ca="1">IF(Q604&gt;0,S604*100/Q604,0)</f>
        <v>0</v>
      </c>
      <c r="U604" s="224">
        <f ca="1">IF(R604&gt;0,S604*100/R604,0)</f>
        <v>0</v>
      </c>
    </row>
    <row r="605" spans="1:21" ht="19.5" x14ac:dyDescent="0.3">
      <c r="A605" s="128"/>
      <c r="B605" s="158"/>
      <c r="C605" s="158"/>
      <c r="D605" s="1434" t="s">
        <v>23</v>
      </c>
      <c r="E605" s="158"/>
      <c r="F605" s="40"/>
      <c r="G605" s="42"/>
      <c r="H605" s="377" t="s">
        <v>14</v>
      </c>
      <c r="I605" s="135"/>
      <c r="J605" s="135"/>
      <c r="K605" s="136"/>
      <c r="L605" s="1356">
        <f ca="1">L606+L607</f>
        <v>0</v>
      </c>
      <c r="M605" s="224">
        <f ca="1">M606+M607</f>
        <v>0</v>
      </c>
      <c r="N605" s="224">
        <f ca="1">N606+N607</f>
        <v>0</v>
      </c>
      <c r="O605" s="224">
        <f ca="1">IF(L605&gt;0,N605*100/L605,0)</f>
        <v>0</v>
      </c>
      <c r="P605" s="224">
        <f ca="1">IF(M605&gt;0,N605*100/M605,0)</f>
        <v>0</v>
      </c>
      <c r="Q605" s="224">
        <f ca="1">Q606+Q607</f>
        <v>0</v>
      </c>
      <c r="R605" s="224">
        <f ca="1">R606+R607</f>
        <v>0</v>
      </c>
      <c r="S605" s="224">
        <f ca="1">S606+S607</f>
        <v>0</v>
      </c>
      <c r="T605" s="224">
        <f ca="1">IF(Q605&gt;0,S605*100/Q605,0)</f>
        <v>0</v>
      </c>
      <c r="U605" s="224">
        <f ca="1">IF(R605&gt;0,S605*100/R605,0)</f>
        <v>0</v>
      </c>
    </row>
    <row r="606" spans="1:21" ht="18.75" x14ac:dyDescent="0.25">
      <c r="A606" s="128"/>
      <c r="B606" s="158"/>
      <c r="C606" s="158"/>
      <c r="D606" s="158"/>
      <c r="E606" s="314" t="s">
        <v>20</v>
      </c>
      <c r="F606" s="40"/>
      <c r="G606" s="42"/>
      <c r="H606" s="159" t="s">
        <v>14</v>
      </c>
      <c r="I606" s="135"/>
      <c r="J606" s="135"/>
      <c r="K606" s="136"/>
      <c r="L606" s="1358">
        <v>0</v>
      </c>
      <c r="M606" s="83">
        <v>0</v>
      </c>
      <c r="N606" s="83">
        <v>0</v>
      </c>
      <c r="O606" s="83">
        <f>IF(L606&gt;0,N606*100/L606,0)</f>
        <v>0</v>
      </c>
      <c r="P606" s="83">
        <f>IF(M606&gt;0,N606*100/M606,0)</f>
        <v>0</v>
      </c>
      <c r="Q606" s="83">
        <v>0</v>
      </c>
      <c r="R606" s="83">
        <v>0</v>
      </c>
      <c r="S606" s="83">
        <v>0</v>
      </c>
      <c r="T606" s="83">
        <f>IF(Q606&gt;0,S606*100/Q606,0)</f>
        <v>0</v>
      </c>
      <c r="U606" s="83">
        <f>IF(R606&gt;0,S606*100/R606,0)</f>
        <v>0</v>
      </c>
    </row>
    <row r="607" spans="1:21" ht="18.75" x14ac:dyDescent="0.25">
      <c r="A607" s="128"/>
      <c r="B607" s="158"/>
      <c r="C607" s="158"/>
      <c r="D607" s="40"/>
      <c r="E607" s="314" t="s">
        <v>21</v>
      </c>
      <c r="F607" s="40"/>
      <c r="G607" s="42"/>
      <c r="H607" s="378" t="s">
        <v>14</v>
      </c>
      <c r="I607" s="135"/>
      <c r="J607" s="135"/>
      <c r="K607" s="136"/>
      <c r="L607" s="1356">
        <f ca="1">IFERROR(__xludf.DUMMYFUNCTION("IMPORTRANGE(""https://docs.google.com/spreadsheets/d/1-uDff_7J0KD5mKrp0Vvzr7lt3OU09vwQwhkpOPPYv2Y/edit?usp=sharing"",""งบพรบ!HN27"")"),0)</f>
        <v>0</v>
      </c>
      <c r="M607" s="224">
        <f ca="1">IFERROR(__xludf.DUMMYFUNCTION("IMPORTRANGE(""https://docs.google.com/spreadsheets/d/1-uDff_7J0KD5mKrp0Vvzr7lt3OU09vwQwhkpOPPYv2Y/edit?usp=sharing"",""งบพรบ!HQ27"")"),0)</f>
        <v>0</v>
      </c>
      <c r="N607" s="224">
        <f ca="1">IFERROR(__xludf.DUMMYFUNCTION("IMPORTRANGE(""https://docs.google.com/spreadsheets/d/1-uDff_7J0KD5mKrp0Vvzr7lt3OU09vwQwhkpOPPYv2Y/edit?usp=sharing"",""งบพรบ!HS27"")"),0)</f>
        <v>0</v>
      </c>
      <c r="O607" s="224">
        <f ca="1">IF(L607&gt;0,N607*100/L607,0)</f>
        <v>0</v>
      </c>
      <c r="P607" s="224">
        <f ca="1">IF(M607&gt;0,N607*100/M607,0)</f>
        <v>0</v>
      </c>
      <c r="Q607" s="224">
        <f ca="1">IFERROR(__xludf.DUMMYFUNCTION("IMPORTRANGE(""https://docs.google.com/spreadsheets/d/1ItG2mGa2ceCfYo0BwxsXqNm01IGEUdYcSSLTEv9YCik/edit?usp=sharing"",""เบิกจ่ายกองทุน!AY27"")"),0)</f>
        <v>0</v>
      </c>
      <c r="R607" s="224">
        <f ca="1">IFERROR(__xludf.DUMMYFUNCTION("IMPORTRANGE(""https://docs.google.com/spreadsheets/d/1ItG2mGa2ceCfYo0BwxsXqNm01IGEUdYcSSLTEv9YCik/edit?usp=sharing"",""เบิกจ่ายกองทุน!AZ27"")"),0)</f>
        <v>0</v>
      </c>
      <c r="S607" s="224">
        <f ca="1">IFERROR(__xludf.DUMMYFUNCTION("IMPORTRANGE(""https://docs.google.com/spreadsheets/d/1ItG2mGa2ceCfYo0BwxsXqNm01IGEUdYcSSLTEv9YCik/edit?usp=sharing"",""เบิกจ่ายกองทุน!BA27"")"),0)</f>
        <v>0</v>
      </c>
      <c r="T607" s="224">
        <f ca="1">IF(Q607&gt;0,S607*100/Q607,0)</f>
        <v>0</v>
      </c>
      <c r="U607" s="224">
        <f ca="1">IF(R607&gt;0,S607*100/R607,0)</f>
        <v>0</v>
      </c>
    </row>
    <row r="608" spans="1:21" ht="19.5" x14ac:dyDescent="0.3">
      <c r="A608" s="138"/>
      <c r="B608" s="139"/>
      <c r="C608" s="177" t="s">
        <v>18</v>
      </c>
      <c r="D608" s="1436" t="s">
        <v>38</v>
      </c>
      <c r="E608" s="141"/>
      <c r="F608" s="141"/>
      <c r="G608" s="142"/>
      <c r="H608" s="178"/>
      <c r="I608" s="135"/>
      <c r="J608" s="135"/>
      <c r="K608" s="136"/>
      <c r="L608" s="1359"/>
      <c r="M608" s="45"/>
      <c r="N608" s="45"/>
      <c r="O608" s="45"/>
      <c r="P608" s="45"/>
      <c r="Q608" s="45"/>
      <c r="R608" s="45"/>
      <c r="S608" s="45"/>
      <c r="T608" s="45"/>
      <c r="U608" s="45"/>
    </row>
    <row r="609" spans="1:21" ht="18.75" x14ac:dyDescent="0.25">
      <c r="A609" s="138"/>
      <c r="B609" s="139"/>
      <c r="C609" s="139"/>
      <c r="D609" s="379" t="s">
        <v>216</v>
      </c>
      <c r="E609" s="145"/>
      <c r="F609" s="145"/>
      <c r="G609" s="143"/>
      <c r="H609" s="159" t="s">
        <v>99</v>
      </c>
      <c r="I609" s="44"/>
      <c r="J609" s="44"/>
      <c r="K609" s="136"/>
      <c r="L609" s="1359"/>
      <c r="M609" s="45"/>
      <c r="N609" s="45"/>
      <c r="O609" s="45"/>
      <c r="P609" s="45"/>
      <c r="Q609" s="45"/>
      <c r="R609" s="45"/>
      <c r="S609" s="45"/>
      <c r="T609" s="45"/>
      <c r="U609" s="45"/>
    </row>
    <row r="610" spans="1:21" ht="19.5" x14ac:dyDescent="0.3">
      <c r="A610" s="138"/>
      <c r="B610" s="139"/>
      <c r="C610" s="139"/>
      <c r="D610" s="379" t="s">
        <v>217</v>
      </c>
      <c r="E610" s="145"/>
      <c r="F610" s="145"/>
      <c r="G610" s="143"/>
      <c r="H610" s="375" t="s">
        <v>35</v>
      </c>
      <c r="I610" s="44"/>
      <c r="J610" s="44"/>
      <c r="K610" s="136"/>
      <c r="L610" s="1359"/>
      <c r="M610" s="45"/>
      <c r="N610" s="45"/>
      <c r="O610" s="45"/>
      <c r="P610" s="45"/>
      <c r="Q610" s="45"/>
      <c r="R610" s="45"/>
      <c r="S610" s="45"/>
      <c r="T610" s="45"/>
      <c r="U610" s="45"/>
    </row>
    <row r="611" spans="1:21" ht="18.75" x14ac:dyDescent="0.25">
      <c r="A611" s="138"/>
      <c r="B611" s="139"/>
      <c r="C611" s="139"/>
      <c r="D611" s="139"/>
      <c r="E611" s="379" t="s">
        <v>218</v>
      </c>
      <c r="F611" s="145"/>
      <c r="G611" s="143"/>
      <c r="H611" s="378" t="s">
        <v>35</v>
      </c>
      <c r="I611" s="44"/>
      <c r="J611" s="44"/>
      <c r="K611" s="136"/>
      <c r="L611" s="1359"/>
      <c r="M611" s="45"/>
      <c r="N611" s="45"/>
      <c r="O611" s="45"/>
      <c r="P611" s="45"/>
      <c r="Q611" s="45"/>
      <c r="R611" s="45"/>
      <c r="S611" s="45"/>
      <c r="T611" s="45"/>
      <c r="U611" s="45"/>
    </row>
    <row r="612" spans="1:21" ht="19.5" thickBot="1" x14ac:dyDescent="0.3">
      <c r="A612" s="1570"/>
      <c r="B612" s="1571"/>
      <c r="C612" s="1571"/>
      <c r="D612" s="1571"/>
      <c r="E612" s="1572" t="s">
        <v>219</v>
      </c>
      <c r="F612" s="1573"/>
      <c r="G612" s="1574"/>
      <c r="H612" s="1575" t="s">
        <v>35</v>
      </c>
      <c r="I612" s="1576"/>
      <c r="J612" s="1576"/>
      <c r="K612" s="1577"/>
      <c r="L612" s="1578"/>
      <c r="M612" s="1579"/>
      <c r="N612" s="1579"/>
      <c r="O612" s="1579"/>
      <c r="P612" s="1579"/>
      <c r="Q612" s="1579"/>
      <c r="R612" s="1579"/>
      <c r="S612" s="1579"/>
      <c r="T612" s="1579"/>
      <c r="U612" s="1579"/>
    </row>
    <row r="613" spans="1:21" ht="19.5" x14ac:dyDescent="0.3">
      <c r="A613" s="380" t="s">
        <v>220</v>
      </c>
      <c r="B613" s="381"/>
      <c r="C613" s="381"/>
      <c r="D613" s="382"/>
      <c r="E613" s="382"/>
      <c r="F613" s="382"/>
      <c r="G613" s="383"/>
      <c r="H613" s="384"/>
      <c r="I613" s="385"/>
      <c r="J613" s="385"/>
      <c r="K613" s="386"/>
      <c r="L613" s="1580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x14ac:dyDescent="0.3">
      <c r="A614" s="387"/>
      <c r="B614" s="388" t="s">
        <v>221</v>
      </c>
      <c r="C614" s="387"/>
      <c r="D614" s="389"/>
      <c r="E614" s="389"/>
      <c r="F614" s="389"/>
      <c r="G614" s="390"/>
      <c r="H614" s="391"/>
      <c r="I614" s="392"/>
      <c r="J614" s="392"/>
      <c r="K614" s="393"/>
      <c r="L614" s="158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222</v>
      </c>
      <c r="C615" s="394"/>
      <c r="D615" s="396"/>
      <c r="E615" s="396"/>
      <c r="F615" s="396"/>
      <c r="G615" s="397"/>
      <c r="H615" s="398" t="s">
        <v>46</v>
      </c>
      <c r="I615" s="1582">
        <f ca="1">I626</f>
        <v>50</v>
      </c>
      <c r="J615" s="1582">
        <f>J626</f>
        <v>0</v>
      </c>
      <c r="K615" s="1583">
        <f ca="1">IF(I615&gt;0,J615*100/I615,0)</f>
        <v>0</v>
      </c>
      <c r="L615" s="1584"/>
      <c r="M615" s="401"/>
      <c r="N615" s="401"/>
      <c r="O615" s="401"/>
      <c r="P615" s="401"/>
      <c r="Q615" s="401"/>
      <c r="R615" s="401"/>
      <c r="S615" s="401"/>
      <c r="T615" s="401"/>
      <c r="U615" s="401"/>
    </row>
    <row r="616" spans="1:21" ht="19.5" x14ac:dyDescent="0.3">
      <c r="A616" s="128"/>
      <c r="B616" s="158"/>
      <c r="C616" s="177" t="s">
        <v>18</v>
      </c>
      <c r="D616" s="1585" t="s">
        <v>19</v>
      </c>
      <c r="E616" s="1285"/>
      <c r="F616" s="1285"/>
      <c r="G616" s="1286"/>
      <c r="H616" s="221" t="s">
        <v>14</v>
      </c>
      <c r="I616" s="44"/>
      <c r="J616" s="44"/>
      <c r="K616" s="45"/>
      <c r="L616" s="1389">
        <f>L617+L618</f>
        <v>0</v>
      </c>
      <c r="M616" s="1390">
        <f>M617+M618</f>
        <v>0</v>
      </c>
      <c r="N616" s="1390">
        <f>N617+N618</f>
        <v>0</v>
      </c>
      <c r="O616" s="1390">
        <f>IF(L616&gt;0,N616*100/L616,0)</f>
        <v>0</v>
      </c>
      <c r="P616" s="1390">
        <f>IF(M616&gt;0,N616*100/M616,0)</f>
        <v>0</v>
      </c>
      <c r="Q616" s="1390">
        <f ca="1">Q617+Q618</f>
        <v>6700</v>
      </c>
      <c r="R616" s="1390">
        <f ca="1">R617+R618</f>
        <v>6700</v>
      </c>
      <c r="S616" s="1390">
        <f ca="1">S617+S618</f>
        <v>0</v>
      </c>
      <c r="T616" s="1390">
        <f ca="1">IF(Q616&gt;0,S616*100/Q616,0)</f>
        <v>0</v>
      </c>
      <c r="U616" s="1390">
        <f ca="1">IF(R616&gt;0,S616*100/R616,0)</f>
        <v>0</v>
      </c>
    </row>
    <row r="617" spans="1:21" ht="18.75" x14ac:dyDescent="0.25">
      <c r="A617" s="128"/>
      <c r="B617" s="158"/>
      <c r="C617" s="158"/>
      <c r="D617" s="145"/>
      <c r="E617" s="156" t="s">
        <v>158</v>
      </c>
      <c r="F617" s="40"/>
      <c r="G617" s="42"/>
      <c r="H617" s="159" t="s">
        <v>14</v>
      </c>
      <c r="I617" s="44"/>
      <c r="J617" s="44"/>
      <c r="K617" s="45"/>
      <c r="L617" s="1358">
        <f>L620+L623</f>
        <v>0</v>
      </c>
      <c r="M617" s="83">
        <f>M620+M623</f>
        <v>0</v>
      </c>
      <c r="N617" s="83">
        <f>N620+N623</f>
        <v>0</v>
      </c>
      <c r="O617" s="83">
        <f>IF(L617&gt;0,N617*100/L617,0)</f>
        <v>0</v>
      </c>
      <c r="P617" s="83">
        <f>IF(M617&gt;0,N617*100/M617,0)</f>
        <v>0</v>
      </c>
      <c r="Q617" s="83">
        <f>Q620+Q623</f>
        <v>0</v>
      </c>
      <c r="R617" s="83">
        <f>R620+R623</f>
        <v>0</v>
      </c>
      <c r="S617" s="83">
        <f>S620+S623</f>
        <v>0</v>
      </c>
      <c r="T617" s="83">
        <f>IF(Q617&gt;0,S617*100/Q617,0)</f>
        <v>0</v>
      </c>
      <c r="U617" s="83">
        <f>IF(R617&gt;0,S617*100/R617,0)</f>
        <v>0</v>
      </c>
    </row>
    <row r="618" spans="1:21" ht="18.75" x14ac:dyDescent="0.25">
      <c r="A618" s="128"/>
      <c r="B618" s="158"/>
      <c r="C618" s="158"/>
      <c r="D618" s="145"/>
      <c r="E618" s="47" t="s">
        <v>159</v>
      </c>
      <c r="F618" s="40"/>
      <c r="G618" s="42"/>
      <c r="H618" s="134" t="s">
        <v>14</v>
      </c>
      <c r="I618" s="44"/>
      <c r="J618" s="44"/>
      <c r="K618" s="45"/>
      <c r="L618" s="1356">
        <f>L621+L624</f>
        <v>0</v>
      </c>
      <c r="M618" s="224">
        <f>M621+M624</f>
        <v>0</v>
      </c>
      <c r="N618" s="224">
        <f>N621+N624</f>
        <v>0</v>
      </c>
      <c r="O618" s="224">
        <f>IF(L618&gt;0,N618*100/L618,0)</f>
        <v>0</v>
      </c>
      <c r="P618" s="224">
        <f>IF(M618&gt;0,N618*100/M618,0)</f>
        <v>0</v>
      </c>
      <c r="Q618" s="224">
        <f ca="1">Q621+Q624</f>
        <v>6700</v>
      </c>
      <c r="R618" s="224">
        <f ca="1">R621+R624</f>
        <v>6700</v>
      </c>
      <c r="S618" s="224">
        <f ca="1">S621+S624</f>
        <v>0</v>
      </c>
      <c r="T618" s="224">
        <f ca="1">IF(Q618&gt;0,S618*100/Q618,0)</f>
        <v>0</v>
      </c>
      <c r="U618" s="224">
        <f ca="1">IF(R618&gt;0,S618*100/R618,0)</f>
        <v>0</v>
      </c>
    </row>
    <row r="619" spans="1:21" ht="18.75" x14ac:dyDescent="0.25">
      <c r="A619" s="128"/>
      <c r="B619" s="158"/>
      <c r="C619" s="158"/>
      <c r="D619" s="41" t="s">
        <v>22</v>
      </c>
      <c r="E619" s="40"/>
      <c r="F619" s="40"/>
      <c r="G619" s="42"/>
      <c r="H619" s="134" t="s">
        <v>14</v>
      </c>
      <c r="I619" s="135"/>
      <c r="J619" s="135"/>
      <c r="K619" s="136"/>
      <c r="L619" s="1356">
        <f>L620+L621</f>
        <v>0</v>
      </c>
      <c r="M619" s="224">
        <f>M620+M621</f>
        <v>0</v>
      </c>
      <c r="N619" s="224">
        <f>N620+N621</f>
        <v>0</v>
      </c>
      <c r="O619" s="224">
        <f>IF(L619&gt;0,N619*100/L619,0)</f>
        <v>0</v>
      </c>
      <c r="P619" s="224">
        <f>IF(M619&gt;0,N619*100/M619,0)</f>
        <v>0</v>
      </c>
      <c r="Q619" s="224">
        <f ca="1">Q620+Q621</f>
        <v>6700</v>
      </c>
      <c r="R619" s="224">
        <f ca="1">R620+R621</f>
        <v>6700</v>
      </c>
      <c r="S619" s="224">
        <f ca="1">S620+S621</f>
        <v>0</v>
      </c>
      <c r="T619" s="224">
        <f ca="1">IF(Q619&gt;0,S619*100/Q619,0)</f>
        <v>0</v>
      </c>
      <c r="U619" s="224">
        <f ca="1">IF(R619&gt;0,S619*100/R619,0)</f>
        <v>0</v>
      </c>
    </row>
    <row r="620" spans="1:21" ht="18.75" x14ac:dyDescent="0.25">
      <c r="A620" s="128"/>
      <c r="B620" s="158"/>
      <c r="C620" s="158"/>
      <c r="D620" s="145"/>
      <c r="E620" s="156" t="s">
        <v>158</v>
      </c>
      <c r="F620" s="40"/>
      <c r="G620" s="42"/>
      <c r="H620" s="159" t="s">
        <v>14</v>
      </c>
      <c r="I620" s="44"/>
      <c r="J620" s="44"/>
      <c r="K620" s="45"/>
      <c r="L620" s="1358">
        <v>0</v>
      </c>
      <c r="M620" s="83">
        <v>0</v>
      </c>
      <c r="N620" s="83">
        <v>0</v>
      </c>
      <c r="O620" s="83">
        <f>IF(L620&gt;0,N620*100/L620,0)</f>
        <v>0</v>
      </c>
      <c r="P620" s="83">
        <f>IF(M620&gt;0,N620*100/M620,0)</f>
        <v>0</v>
      </c>
      <c r="Q620" s="83">
        <v>0</v>
      </c>
      <c r="R620" s="83">
        <v>0</v>
      </c>
      <c r="S620" s="83">
        <v>0</v>
      </c>
      <c r="T620" s="83">
        <f>IF(Q620&gt;0,S620*100/Q620,0)</f>
        <v>0</v>
      </c>
      <c r="U620" s="83">
        <f>IF(R620&gt;0,S620*100/R620,0)</f>
        <v>0</v>
      </c>
    </row>
    <row r="621" spans="1:21" ht="18.75" x14ac:dyDescent="0.25">
      <c r="A621" s="128"/>
      <c r="B621" s="158"/>
      <c r="C621" s="158"/>
      <c r="D621" s="145"/>
      <c r="E621" s="47" t="s">
        <v>159</v>
      </c>
      <c r="F621" s="40"/>
      <c r="G621" s="42"/>
      <c r="H621" s="134" t="s">
        <v>14</v>
      </c>
      <c r="I621" s="44"/>
      <c r="J621" s="44"/>
      <c r="K621" s="45"/>
      <c r="L621" s="1356">
        <v>0</v>
      </c>
      <c r="M621" s="224">
        <v>0</v>
      </c>
      <c r="N621" s="224">
        <v>0</v>
      </c>
      <c r="O621" s="224">
        <f>IF(L621&gt;0,N621*100/L621,0)</f>
        <v>0</v>
      </c>
      <c r="P621" s="224">
        <f>IF(M621&gt;0,N621*100/M621,0)</f>
        <v>0</v>
      </c>
      <c r="Q621" s="224">
        <f ca="1">IFERROR(__xludf.DUMMYFUNCTION("IMPORTRANGE(""https://docs.google.com/spreadsheets/d/1ItG2mGa2ceCfYo0BwxsXqNm01IGEUdYcSSLTEv9YCik/edit?usp=sharing"",""เบิกจ่ายกองทุน!F27"")"),6700)</f>
        <v>6700</v>
      </c>
      <c r="R621" s="224">
        <f ca="1">IFERROR(__xludf.DUMMYFUNCTION("IMPORTRANGE(""https://docs.google.com/spreadsheets/d/1ItG2mGa2ceCfYo0BwxsXqNm01IGEUdYcSSLTEv9YCik/edit?usp=sharing"",""เบิกจ่ายกองทุน!G27"")"),6700)</f>
        <v>6700</v>
      </c>
      <c r="S621" s="224">
        <f ca="1">IFERROR(__xludf.DUMMYFUNCTION("IMPORTRANGE(""https://docs.google.com/spreadsheets/d/1ItG2mGa2ceCfYo0BwxsXqNm01IGEUdYcSSLTEv9YCik/edit?usp=sharing"",""เบิกจ่ายกองทุน!H27"")"),0)</f>
        <v>0</v>
      </c>
      <c r="T621" s="224">
        <f ca="1">IF(Q621&gt;0,S621*100/Q621,0)</f>
        <v>0</v>
      </c>
      <c r="U621" s="224">
        <f ca="1">IF(R621&gt;0,S621*100/R621,0)</f>
        <v>0</v>
      </c>
    </row>
    <row r="622" spans="1:21" ht="18.75" x14ac:dyDescent="0.25">
      <c r="A622" s="128"/>
      <c r="B622" s="158"/>
      <c r="C622" s="158"/>
      <c r="D622" s="41" t="s">
        <v>23</v>
      </c>
      <c r="E622" s="40"/>
      <c r="F622" s="40"/>
      <c r="G622" s="42"/>
      <c r="H622" s="137" t="s">
        <v>14</v>
      </c>
      <c r="I622" s="135"/>
      <c r="J622" s="135"/>
      <c r="K622" s="136"/>
      <c r="L622" s="1356">
        <f>L623+L624</f>
        <v>0</v>
      </c>
      <c r="M622" s="224">
        <f>M623+M624</f>
        <v>0</v>
      </c>
      <c r="N622" s="224">
        <f>N623+N624</f>
        <v>0</v>
      </c>
      <c r="O622" s="224">
        <f>IF(L622&gt;0,N622*100/L622,0)</f>
        <v>0</v>
      </c>
      <c r="P622" s="224">
        <f>IF(M622&gt;0,N622*100/M622,0)</f>
        <v>0</v>
      </c>
      <c r="Q622" s="224">
        <f>Q623+Q624</f>
        <v>0</v>
      </c>
      <c r="R622" s="224">
        <f>R623+R624</f>
        <v>0</v>
      </c>
      <c r="S622" s="224">
        <f>S623+S624</f>
        <v>0</v>
      </c>
      <c r="T622" s="224">
        <f>IF(Q622&gt;0,S622*100/Q622,0)</f>
        <v>0</v>
      </c>
      <c r="U622" s="224">
        <f>IF(R622&gt;0,S622*100/R622,0)</f>
        <v>0</v>
      </c>
    </row>
    <row r="623" spans="1:21" ht="18.75" x14ac:dyDescent="0.25">
      <c r="A623" s="128"/>
      <c r="B623" s="158"/>
      <c r="C623" s="158"/>
      <c r="D623" s="158"/>
      <c r="E623" s="156" t="s">
        <v>20</v>
      </c>
      <c r="F623" s="40"/>
      <c r="G623" s="42"/>
      <c r="H623" s="159" t="s">
        <v>14</v>
      </c>
      <c r="I623" s="135"/>
      <c r="J623" s="135"/>
      <c r="K623" s="136"/>
      <c r="L623" s="1358">
        <v>0</v>
      </c>
      <c r="M623" s="83">
        <v>0</v>
      </c>
      <c r="N623" s="83">
        <v>0</v>
      </c>
      <c r="O623" s="83">
        <f>IF(L623&gt;0,N623*100/L623,0)</f>
        <v>0</v>
      </c>
      <c r="P623" s="83">
        <f>IF(M623&gt;0,N623*100/M623,0)</f>
        <v>0</v>
      </c>
      <c r="Q623" s="83">
        <v>0</v>
      </c>
      <c r="R623" s="83">
        <v>0</v>
      </c>
      <c r="S623" s="83">
        <v>0</v>
      </c>
      <c r="T623" s="83">
        <f>IF(Q623&gt;0,S623*100/Q623,0)</f>
        <v>0</v>
      </c>
      <c r="U623" s="83">
        <f>IF(R623&gt;0,S623*100/R623,0)</f>
        <v>0</v>
      </c>
    </row>
    <row r="624" spans="1:21" ht="18.75" x14ac:dyDescent="0.25">
      <c r="A624" s="128"/>
      <c r="B624" s="158"/>
      <c r="C624" s="158"/>
      <c r="D624" s="158"/>
      <c r="E624" s="47" t="s">
        <v>21</v>
      </c>
      <c r="F624" s="40"/>
      <c r="G624" s="42"/>
      <c r="H624" s="137" t="s">
        <v>14</v>
      </c>
      <c r="I624" s="135"/>
      <c r="J624" s="135"/>
      <c r="K624" s="136"/>
      <c r="L624" s="1356">
        <v>0</v>
      </c>
      <c r="M624" s="224">
        <v>0</v>
      </c>
      <c r="N624" s="224">
        <v>0</v>
      </c>
      <c r="O624" s="224">
        <f>IF(L624&gt;0,N624*100/L624,0)</f>
        <v>0</v>
      </c>
      <c r="P624" s="224">
        <f>IF(M624&gt;0,N624*100/M624,0)</f>
        <v>0</v>
      </c>
      <c r="Q624" s="224">
        <v>0</v>
      </c>
      <c r="R624" s="224">
        <v>0</v>
      </c>
      <c r="S624" s="224">
        <v>0</v>
      </c>
      <c r="T624" s="224">
        <f>IF(Q624&gt;0,S624*100/Q624,0)</f>
        <v>0</v>
      </c>
      <c r="U624" s="224">
        <f>IF(R624&gt;0,S624*100/R624,0)</f>
        <v>0</v>
      </c>
    </row>
    <row r="625" spans="1:21" ht="19.5" x14ac:dyDescent="0.3">
      <c r="A625" s="138"/>
      <c r="B625" s="139"/>
      <c r="C625" s="177" t="s">
        <v>18</v>
      </c>
      <c r="D625" s="1586" t="s">
        <v>38</v>
      </c>
      <c r="E625" s="141"/>
      <c r="F625" s="141"/>
      <c r="G625" s="142"/>
      <c r="H625" s="178"/>
      <c r="I625" s="135"/>
      <c r="J625" s="135"/>
      <c r="K625" s="136"/>
      <c r="L625" s="1392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03" t="s">
        <v>223</v>
      </c>
      <c r="E626" s="145"/>
      <c r="F626" s="145"/>
      <c r="G626" s="143"/>
      <c r="H626" s="404" t="s">
        <v>46</v>
      </c>
      <c r="I626" s="328">
        <f ca="1">IFERROR(__xludf.DUMMYFUNCTION("IMPORTRANGE(""https://docs.google.com/spreadsheets/d/1eHaY18a8A9IcSdp1K8H6x8fbOy06t2VsZHhMHf-1x7Y/edit?usp=sharing"",""แผน!ID27"")"),50)</f>
        <v>50</v>
      </c>
      <c r="J626" s="328">
        <f>J632</f>
        <v>0</v>
      </c>
      <c r="K626" s="1390">
        <f ca="1">IF(I626&gt;0,J626*100/I626,0)</f>
        <v>0</v>
      </c>
      <c r="L626" s="1392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84">
        <f ca="1">IFERROR(__xludf.DUMMYFUNCTION("IMPORTRANGE(""https://docs.google.com/spreadsheets/d/1eHaY18a8A9IcSdp1K8H6x8fbOy06t2VsZHhMHf-1x7Y/edit?usp=sharing"",""แผน!IC27"")"),0)</f>
        <v>0</v>
      </c>
      <c r="J627" s="1395">
        <v>0</v>
      </c>
      <c r="K627" s="224">
        <f ca="1">IF(I627&gt;0,(J627*100)/I627,0)</f>
        <v>0</v>
      </c>
      <c r="L627" s="1392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84">
        <f ca="1">IFERROR(__xludf.DUMMYFUNCTION("IMPORTRANGE(""https://docs.google.com/spreadsheets/d/1eHaY18a8A9IcSdp1K8H6x8fbOy06t2VsZHhMHf-1x7Y/edit?usp=sharing"",""แผน!IC27"")"),0)</f>
        <v>0</v>
      </c>
      <c r="J628" s="1395">
        <v>0</v>
      </c>
      <c r="K628" s="224">
        <f ca="1">IF(I628&gt;0,(J628*100)/I628,0)</f>
        <v>0</v>
      </c>
      <c r="L628" s="1392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4"/>
      <c r="J629" s="1395">
        <v>464.5</v>
      </c>
      <c r="K629" s="224">
        <f ca="1">IF(I$626&gt;0,J629*100/I$626,0)</f>
        <v>929</v>
      </c>
      <c r="L629" s="1392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4"/>
      <c r="J630" s="1395">
        <v>0</v>
      </c>
      <c r="K630" s="224">
        <f ca="1">IF(I$626&gt;0,J630*100/I$626,0)</f>
        <v>0</v>
      </c>
      <c r="L630" s="1392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4"/>
      <c r="J631" s="1395">
        <v>0</v>
      </c>
      <c r="K631" s="224">
        <f ca="1">IF(I$626&gt;0,J631*100/I$626,0)</f>
        <v>0</v>
      </c>
      <c r="L631" s="1392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4"/>
      <c r="J632" s="328">
        <f>J633+J634</f>
        <v>0</v>
      </c>
      <c r="K632" s="1390">
        <f ca="1">IF(I626&gt;0,J632*100/I626,0)</f>
        <v>0</v>
      </c>
      <c r="L632" s="1392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4"/>
      <c r="J633" s="1395">
        <v>0</v>
      </c>
      <c r="K633" s="45"/>
      <c r="L633" s="1392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4"/>
      <c r="J634" s="1395">
        <v>0</v>
      </c>
      <c r="K634" s="45"/>
      <c r="L634" s="1392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03" t="s">
        <v>232</v>
      </c>
      <c r="E635" s="145"/>
      <c r="F635" s="145"/>
      <c r="G635" s="143"/>
      <c r="H635" s="137" t="s">
        <v>46</v>
      </c>
      <c r="I635" s="328">
        <f ca="1">IFERROR(__xludf.DUMMYFUNCTION("IMPORTRANGE(""https://docs.google.com/spreadsheets/d/1eHaY18a8A9IcSdp1K8H6x8fbOy06t2VsZHhMHf-1x7Y/edit?usp=sharing"",""แผน!IE27"")"),0)</f>
        <v>0</v>
      </c>
      <c r="J635" s="328">
        <f>J636</f>
        <v>0</v>
      </c>
      <c r="K635" s="1390">
        <f ca="1">IF(I635&gt;0,J635*100/I635,0)</f>
        <v>0</v>
      </c>
      <c r="L635" s="1392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4"/>
      <c r="J636" s="184">
        <f>J637+J638</f>
        <v>0</v>
      </c>
      <c r="K636" s="45"/>
      <c r="L636" s="1392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4"/>
      <c r="J637" s="1395">
        <v>0</v>
      </c>
      <c r="K637" s="45"/>
      <c r="L637" s="1392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4"/>
      <c r="J638" s="1395">
        <v>0</v>
      </c>
      <c r="K638" s="45"/>
      <c r="L638" s="1392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4"/>
      <c r="J639" s="1395">
        <v>0</v>
      </c>
      <c r="K639" s="45"/>
      <c r="L639" s="1392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4"/>
      <c r="J640" s="1395">
        <v>0</v>
      </c>
      <c r="K640" s="45"/>
      <c r="L640" s="1392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394"/>
      <c r="B641" s="395" t="s">
        <v>236</v>
      </c>
      <c r="C641" s="394"/>
      <c r="D641" s="396"/>
      <c r="E641" s="396"/>
      <c r="F641" s="396"/>
      <c r="G641" s="397"/>
      <c r="H641" s="405"/>
      <c r="I641" s="406"/>
      <c r="J641" s="406"/>
      <c r="K641" s="401"/>
      <c r="L641" s="1584"/>
      <c r="M641" s="401"/>
      <c r="N641" s="401"/>
      <c r="O641" s="401"/>
      <c r="P641" s="401"/>
      <c r="Q641" s="401"/>
      <c r="R641" s="401"/>
      <c r="S641" s="401"/>
      <c r="T641" s="401"/>
      <c r="U641" s="401"/>
    </row>
    <row r="642" spans="1:21" ht="19.5" x14ac:dyDescent="0.3">
      <c r="A642" s="128"/>
      <c r="B642" s="158"/>
      <c r="C642" s="209" t="s">
        <v>18</v>
      </c>
      <c r="D642" s="1585" t="s">
        <v>19</v>
      </c>
      <c r="E642" s="1285"/>
      <c r="F642" s="1285"/>
      <c r="G642" s="1286"/>
      <c r="H642" s="221" t="s">
        <v>14</v>
      </c>
      <c r="I642" s="44"/>
      <c r="J642" s="44"/>
      <c r="K642" s="45"/>
      <c r="L642" s="1389">
        <f>L643+L644</f>
        <v>0</v>
      </c>
      <c r="M642" s="1390">
        <f>M643+M644</f>
        <v>0</v>
      </c>
      <c r="N642" s="1390">
        <f>N643+N644</f>
        <v>0</v>
      </c>
      <c r="O642" s="1390">
        <f>IF(L642&gt;0,N642*100/L642,0)</f>
        <v>0</v>
      </c>
      <c r="P642" s="1390">
        <f>IF(M642&gt;0,N642*100/M642,0)</f>
        <v>0</v>
      </c>
      <c r="Q642" s="1390">
        <f ca="1">Q643+Q644</f>
        <v>16640</v>
      </c>
      <c r="R642" s="1390">
        <f ca="1">R643+R644</f>
        <v>16640</v>
      </c>
      <c r="S642" s="1390">
        <f ca="1">S643+S644</f>
        <v>0</v>
      </c>
      <c r="T642" s="1390">
        <f ca="1">IF(Q642&gt;0,S642*100/Q642,0)</f>
        <v>0</v>
      </c>
      <c r="U642" s="1390">
        <f ca="1">IF(R642&gt;0,S642*100/R642,0)</f>
        <v>0</v>
      </c>
    </row>
    <row r="643" spans="1:21" ht="18.75" x14ac:dyDescent="0.25">
      <c r="A643" s="128"/>
      <c r="B643" s="158"/>
      <c r="C643" s="158"/>
      <c r="D643" s="145"/>
      <c r="E643" s="156" t="s">
        <v>158</v>
      </c>
      <c r="F643" s="40"/>
      <c r="G643" s="42"/>
      <c r="H643" s="159" t="s">
        <v>14</v>
      </c>
      <c r="I643" s="44"/>
      <c r="J643" s="44"/>
      <c r="K643" s="45"/>
      <c r="L643" s="1358">
        <f>L646+L649</f>
        <v>0</v>
      </c>
      <c r="M643" s="83">
        <f>M646+M649</f>
        <v>0</v>
      </c>
      <c r="N643" s="83">
        <f>N646+N649</f>
        <v>0</v>
      </c>
      <c r="O643" s="83">
        <f>IF(L643&gt;0,N643*100/L643,0)</f>
        <v>0</v>
      </c>
      <c r="P643" s="83">
        <f>IF(M643&gt;0,N643*100/M643,0)</f>
        <v>0</v>
      </c>
      <c r="Q643" s="83">
        <f>Q646+Q649</f>
        <v>0</v>
      </c>
      <c r="R643" s="83">
        <f>R646+R649</f>
        <v>0</v>
      </c>
      <c r="S643" s="83">
        <f>S646+S649</f>
        <v>0</v>
      </c>
      <c r="T643" s="83">
        <f>IF(Q643&gt;0,S643*100/Q643,0)</f>
        <v>0</v>
      </c>
      <c r="U643" s="83">
        <f>IF(R643&gt;0,S643*100/R643,0)</f>
        <v>0</v>
      </c>
    </row>
    <row r="644" spans="1:21" ht="18.75" x14ac:dyDescent="0.25">
      <c r="A644" s="128"/>
      <c r="B644" s="158"/>
      <c r="C644" s="158"/>
      <c r="D644" s="145"/>
      <c r="E644" s="47" t="s">
        <v>159</v>
      </c>
      <c r="F644" s="40"/>
      <c r="G644" s="42"/>
      <c r="H644" s="134" t="s">
        <v>14</v>
      </c>
      <c r="I644" s="44"/>
      <c r="J644" s="44"/>
      <c r="K644" s="45"/>
      <c r="L644" s="1356">
        <f>L647+L650</f>
        <v>0</v>
      </c>
      <c r="M644" s="224">
        <f>M647+M650</f>
        <v>0</v>
      </c>
      <c r="N644" s="224">
        <f>N647+N650</f>
        <v>0</v>
      </c>
      <c r="O644" s="224">
        <f>IF(L644&gt;0,N644*100/L644,0)</f>
        <v>0</v>
      </c>
      <c r="P644" s="224">
        <f>IF(M644&gt;0,N644*100/M644,0)</f>
        <v>0</v>
      </c>
      <c r="Q644" s="224">
        <f ca="1">Q647+Q650</f>
        <v>16640</v>
      </c>
      <c r="R644" s="224">
        <f ca="1">R647+R650</f>
        <v>16640</v>
      </c>
      <c r="S644" s="224">
        <f ca="1">S647+S650</f>
        <v>0</v>
      </c>
      <c r="T644" s="224">
        <f ca="1">IF(Q644&gt;0,S644*100/Q644,0)</f>
        <v>0</v>
      </c>
      <c r="U644" s="224">
        <f ca="1">IF(R644&gt;0,S644*100/R644,0)</f>
        <v>0</v>
      </c>
    </row>
    <row r="645" spans="1:21" ht="18.75" x14ac:dyDescent="0.25">
      <c r="A645" s="128"/>
      <c r="B645" s="158"/>
      <c r="C645" s="158"/>
      <c r="D645" s="41" t="s">
        <v>22</v>
      </c>
      <c r="E645" s="40"/>
      <c r="F645" s="40"/>
      <c r="G645" s="42"/>
      <c r="H645" s="134" t="s">
        <v>14</v>
      </c>
      <c r="I645" s="135"/>
      <c r="J645" s="135"/>
      <c r="K645" s="136"/>
      <c r="L645" s="1356">
        <f>L646+L647</f>
        <v>0</v>
      </c>
      <c r="M645" s="224">
        <f>M646+M647</f>
        <v>0</v>
      </c>
      <c r="N645" s="224">
        <f>N646+N647</f>
        <v>0</v>
      </c>
      <c r="O645" s="224">
        <f>IF(L645&gt;0,N645*100/L645,0)</f>
        <v>0</v>
      </c>
      <c r="P645" s="224">
        <f>IF(M645&gt;0,N645*100/M645,0)</f>
        <v>0</v>
      </c>
      <c r="Q645" s="224">
        <f ca="1">Q646+Q647</f>
        <v>16640</v>
      </c>
      <c r="R645" s="224">
        <f ca="1">R646+R647</f>
        <v>16640</v>
      </c>
      <c r="S645" s="224">
        <f ca="1">S646+S647</f>
        <v>0</v>
      </c>
      <c r="T645" s="224">
        <f ca="1">IF(Q645&gt;0,S645*100/Q645,0)</f>
        <v>0</v>
      </c>
      <c r="U645" s="224">
        <f ca="1">IF(R645&gt;0,S645*100/R645,0)</f>
        <v>0</v>
      </c>
    </row>
    <row r="646" spans="1:21" ht="18.75" x14ac:dyDescent="0.25">
      <c r="A646" s="128"/>
      <c r="B646" s="158"/>
      <c r="C646" s="158"/>
      <c r="D646" s="145"/>
      <c r="E646" s="156" t="s">
        <v>158</v>
      </c>
      <c r="F646" s="40"/>
      <c r="G646" s="42"/>
      <c r="H646" s="159" t="s">
        <v>14</v>
      </c>
      <c r="I646" s="44"/>
      <c r="J646" s="44"/>
      <c r="K646" s="45"/>
      <c r="L646" s="1358">
        <v>0</v>
      </c>
      <c r="M646" s="83">
        <v>0</v>
      </c>
      <c r="N646" s="83">
        <v>0</v>
      </c>
      <c r="O646" s="83">
        <f>IF(L646&gt;0,N646*100/L646,0)</f>
        <v>0</v>
      </c>
      <c r="P646" s="83">
        <f>IF(M646&gt;0,N646*100/M646,0)</f>
        <v>0</v>
      </c>
      <c r="Q646" s="83">
        <v>0</v>
      </c>
      <c r="R646" s="83">
        <v>0</v>
      </c>
      <c r="S646" s="83">
        <v>0</v>
      </c>
      <c r="T646" s="83">
        <f>IF(Q646&gt;0,S646*100/Q646,0)</f>
        <v>0</v>
      </c>
      <c r="U646" s="83">
        <f>IF(R646&gt;0,S646*100/R646,0)</f>
        <v>0</v>
      </c>
    </row>
    <row r="647" spans="1:21" ht="18.75" x14ac:dyDescent="0.25">
      <c r="A647" s="128"/>
      <c r="B647" s="158"/>
      <c r="C647" s="158"/>
      <c r="D647" s="145"/>
      <c r="E647" s="47" t="s">
        <v>159</v>
      </c>
      <c r="F647" s="40"/>
      <c r="G647" s="42"/>
      <c r="H647" s="134" t="s">
        <v>14</v>
      </c>
      <c r="I647" s="44"/>
      <c r="J647" s="44"/>
      <c r="K647" s="45"/>
      <c r="L647" s="1356">
        <v>0</v>
      </c>
      <c r="M647" s="224">
        <v>0</v>
      </c>
      <c r="N647" s="224">
        <v>0</v>
      </c>
      <c r="O647" s="224">
        <f>IF(L647&gt;0,N647*100/L647,0)</f>
        <v>0</v>
      </c>
      <c r="P647" s="224">
        <f>IF(M647&gt;0,N647*100/M647,0)</f>
        <v>0</v>
      </c>
      <c r="Q647" s="224">
        <f ca="1">IFERROR(__xludf.DUMMYFUNCTION("IMPORTRANGE(""https://docs.google.com/spreadsheets/d/1ItG2mGa2ceCfYo0BwxsXqNm01IGEUdYcSSLTEv9YCik/edit?usp=sharing"",""เบิกจ่ายกองทุน!I27"")"),16640)</f>
        <v>16640</v>
      </c>
      <c r="R647" s="224">
        <f ca="1">IFERROR(__xludf.DUMMYFUNCTION("IMPORTRANGE(""https://docs.google.com/spreadsheets/d/1ItG2mGa2ceCfYo0BwxsXqNm01IGEUdYcSSLTEv9YCik/edit?usp=sharing"",""เบิกจ่ายกองทุน!J27"")"),16640)</f>
        <v>16640</v>
      </c>
      <c r="S647" s="224">
        <f ca="1">IFERROR(__xludf.DUMMYFUNCTION("IMPORTRANGE(""https://docs.google.com/spreadsheets/d/1ItG2mGa2ceCfYo0BwxsXqNm01IGEUdYcSSLTEv9YCik/edit?usp=sharing"",""เบิกจ่ายกองทุน!K27"")"),0)</f>
        <v>0</v>
      </c>
      <c r="T647" s="224">
        <f ca="1">IF(Q647&gt;0,S647*100/Q647,0)</f>
        <v>0</v>
      </c>
      <c r="U647" s="224">
        <f ca="1">IF(R647&gt;0,S647*100/R647,0)</f>
        <v>0</v>
      </c>
    </row>
    <row r="648" spans="1:21" ht="18.75" x14ac:dyDescent="0.25">
      <c r="A648" s="128"/>
      <c r="B648" s="158"/>
      <c r="C648" s="158"/>
      <c r="D648" s="41" t="s">
        <v>23</v>
      </c>
      <c r="E648" s="40"/>
      <c r="F648" s="40"/>
      <c r="G648" s="42"/>
      <c r="H648" s="137" t="s">
        <v>14</v>
      </c>
      <c r="I648" s="135"/>
      <c r="J648" s="135"/>
      <c r="K648" s="136"/>
      <c r="L648" s="1356">
        <f>L649+L650</f>
        <v>0</v>
      </c>
      <c r="M648" s="224">
        <f>M649+M650</f>
        <v>0</v>
      </c>
      <c r="N648" s="224">
        <f>N649+N650</f>
        <v>0</v>
      </c>
      <c r="O648" s="224">
        <f>IF(L648&gt;0,N648*100/L648,0)</f>
        <v>0</v>
      </c>
      <c r="P648" s="224">
        <f>IF(M648&gt;0,N648*100/M648,0)</f>
        <v>0</v>
      </c>
      <c r="Q648" s="224">
        <f>Q649+Q650</f>
        <v>0</v>
      </c>
      <c r="R648" s="224">
        <f>R649+R650</f>
        <v>0</v>
      </c>
      <c r="S648" s="224">
        <f>S649+S650</f>
        <v>0</v>
      </c>
      <c r="T648" s="224">
        <f>IF(Q648&gt;0,S648*100/Q648,0)</f>
        <v>0</v>
      </c>
      <c r="U648" s="224">
        <f>IF(R648&gt;0,S648*100/R648,0)</f>
        <v>0</v>
      </c>
    </row>
    <row r="649" spans="1:21" ht="18.75" x14ac:dyDescent="0.25">
      <c r="A649" s="128"/>
      <c r="B649" s="158"/>
      <c r="C649" s="158"/>
      <c r="D649" s="40"/>
      <c r="E649" s="156" t="s">
        <v>20</v>
      </c>
      <c r="F649" s="40"/>
      <c r="G649" s="42"/>
      <c r="H649" s="159" t="s">
        <v>14</v>
      </c>
      <c r="I649" s="135"/>
      <c r="J649" s="135"/>
      <c r="K649" s="136"/>
      <c r="L649" s="1358">
        <v>0</v>
      </c>
      <c r="M649" s="83">
        <v>0</v>
      </c>
      <c r="N649" s="83">
        <v>0</v>
      </c>
      <c r="O649" s="83">
        <f>IF(L649&gt;0,N649*100/L649,0)</f>
        <v>0</v>
      </c>
      <c r="P649" s="83">
        <f>IF(M649&gt;0,N649*100/M649,0)</f>
        <v>0</v>
      </c>
      <c r="Q649" s="83">
        <v>0</v>
      </c>
      <c r="R649" s="83">
        <v>0</v>
      </c>
      <c r="S649" s="83">
        <v>0</v>
      </c>
      <c r="T649" s="83">
        <f>IF(Q649&gt;0,S649*100/Q649,0)</f>
        <v>0</v>
      </c>
      <c r="U649" s="83">
        <f>IF(R649&gt;0,S649*100/R649,0)</f>
        <v>0</v>
      </c>
    </row>
    <row r="650" spans="1:21" ht="18.75" x14ac:dyDescent="0.25">
      <c r="A650" s="128"/>
      <c r="B650" s="158"/>
      <c r="C650" s="158"/>
      <c r="D650" s="40"/>
      <c r="E650" s="47" t="s">
        <v>21</v>
      </c>
      <c r="F650" s="40"/>
      <c r="G650" s="42"/>
      <c r="H650" s="137" t="s">
        <v>14</v>
      </c>
      <c r="I650" s="135"/>
      <c r="J650" s="135"/>
      <c r="K650" s="136"/>
      <c r="L650" s="1356">
        <v>0</v>
      </c>
      <c r="M650" s="224">
        <v>0</v>
      </c>
      <c r="N650" s="224">
        <v>0</v>
      </c>
      <c r="O650" s="224">
        <f>IF(L650&gt;0,N650*100/L650,0)</f>
        <v>0</v>
      </c>
      <c r="P650" s="224">
        <f>IF(M650&gt;0,N650*100/M650,0)</f>
        <v>0</v>
      </c>
      <c r="Q650" s="224">
        <v>0</v>
      </c>
      <c r="R650" s="224">
        <v>0</v>
      </c>
      <c r="S650" s="224">
        <v>0</v>
      </c>
      <c r="T650" s="224">
        <f>IF(Q650&gt;0,S650*100/Q650,0)</f>
        <v>0</v>
      </c>
      <c r="U650" s="224">
        <f>IF(R650&gt;0,S650*100/R650,0)</f>
        <v>0</v>
      </c>
    </row>
    <row r="651" spans="1:21" ht="19.5" x14ac:dyDescent="0.3">
      <c r="A651" s="138"/>
      <c r="B651" s="139"/>
      <c r="C651" s="209" t="s">
        <v>18</v>
      </c>
      <c r="D651" s="1587" t="s">
        <v>38</v>
      </c>
      <c r="E651" s="141"/>
      <c r="F651" s="141"/>
      <c r="G651" s="142"/>
      <c r="H651" s="178"/>
      <c r="I651" s="135"/>
      <c r="J651" s="135"/>
      <c r="K651" s="136"/>
      <c r="L651" s="1392"/>
      <c r="M651" s="136"/>
      <c r="N651" s="136"/>
      <c r="O651" s="136"/>
      <c r="P651" s="136"/>
      <c r="Q651" s="45"/>
      <c r="R651" s="45"/>
      <c r="S651" s="45"/>
      <c r="T651" s="136"/>
      <c r="U651" s="136"/>
    </row>
    <row r="652" spans="1:21" ht="18.75" x14ac:dyDescent="0.25">
      <c r="A652" s="208"/>
      <c r="B652" s="158"/>
      <c r="C652" s="158"/>
      <c r="D652" s="47" t="s">
        <v>237</v>
      </c>
      <c r="E652" s="40"/>
      <c r="F652" s="40"/>
      <c r="G652" s="42"/>
      <c r="H652" s="137" t="s">
        <v>46</v>
      </c>
      <c r="I652" s="1588">
        <f ca="1">IFERROR(__xludf.DUMMYFUNCTION("IMPORTRANGE(""https://docs.google.com/spreadsheets/d/1eHaY18a8A9IcSdp1K8H6x8fbOy06t2VsZHhMHf-1x7Y/edit?usp=sharing"",""แผน!IF27"")"),0)</f>
        <v>0</v>
      </c>
      <c r="J652" s="184">
        <f ca="1">IFERROR(__xludf.DUMMYFUNCTION("IMPORTRANGE(""https://docs.google.com/spreadsheets/d/1tdoBKaGub7dwA3U6UFTqxio9LNnvDCQjHKmttSEBsFQ/edit?usp=sharing"",""จัดที่ดิน!AU27"")"),0)</f>
        <v>0</v>
      </c>
      <c r="K652" s="224">
        <f ca="1">IF(I652&gt;0,J652*100/I652,0)</f>
        <v>0</v>
      </c>
      <c r="L652" s="1359"/>
      <c r="M652" s="45"/>
      <c r="N652" s="409"/>
      <c r="O652" s="45"/>
      <c r="P652" s="45"/>
      <c r="Q652" s="45"/>
      <c r="R652" s="45"/>
      <c r="S652" s="409"/>
      <c r="T652" s="45"/>
      <c r="U652" s="45"/>
    </row>
    <row r="653" spans="1:21" ht="18.75" x14ac:dyDescent="0.25">
      <c r="A653" s="208"/>
      <c r="B653" s="158"/>
      <c r="C653" s="158"/>
      <c r="D653" s="47" t="s">
        <v>238</v>
      </c>
      <c r="E653" s="40"/>
      <c r="F653" s="40"/>
      <c r="G653" s="42"/>
      <c r="H653" s="137" t="s">
        <v>35</v>
      </c>
      <c r="I653" s="1588">
        <f ca="1">IFERROR(__xludf.DUMMYFUNCTION("IMPORTRANGE(""https://docs.google.com/spreadsheets/d/1eHaY18a8A9IcSdp1K8H6x8fbOy06t2VsZHhMHf-1x7Y/edit?usp=sharing"",""แผน!IG27"")"),0)</f>
        <v>0</v>
      </c>
      <c r="J653" s="184">
        <f ca="1">IFERROR(__xludf.DUMMYFUNCTION("IMPORTRANGE(""https://docs.google.com/spreadsheets/d/1tdoBKaGub7dwA3U6UFTqxio9LNnvDCQjHKmttSEBsFQ/edit?usp=sharing"",""จัดที่ดิน!AW27"")"),0)</f>
        <v>0</v>
      </c>
      <c r="K653" s="224">
        <f ca="1">IF(I653&gt;0,J653*100/I653,0)</f>
        <v>0</v>
      </c>
      <c r="L653" s="1359"/>
      <c r="M653" s="45"/>
      <c r="N653" s="409"/>
      <c r="O653" s="45"/>
      <c r="P653" s="45"/>
      <c r="Q653" s="45"/>
      <c r="R653" s="45"/>
      <c r="S653" s="409"/>
      <c r="T653" s="45"/>
      <c r="U653" s="45"/>
    </row>
    <row r="654" spans="1:21" ht="19.5" x14ac:dyDescent="0.3">
      <c r="A654" s="208"/>
      <c r="B654" s="158"/>
      <c r="C654" s="158"/>
      <c r="D654" s="47" t="s">
        <v>239</v>
      </c>
      <c r="E654" s="40"/>
      <c r="F654" s="40"/>
      <c r="G654" s="42"/>
      <c r="H654" s="404" t="s">
        <v>46</v>
      </c>
      <c r="I654" s="1589">
        <f ca="1">IFERROR(__xludf.DUMMYFUNCTION("IMPORTRANGE(""https://docs.google.com/spreadsheets/d/1eHaY18a8A9IcSdp1K8H6x8fbOy06t2VsZHhMHf-1x7Y/edit?usp=sharing"",""แผน!IH27"")"),80)</f>
        <v>80</v>
      </c>
      <c r="J654" s="328">
        <f>J657+J660</f>
        <v>30.68</v>
      </c>
      <c r="K654" s="1390">
        <f ca="1">IF(I654&gt;0,J654*100/I654,0)</f>
        <v>38.35</v>
      </c>
      <c r="L654" s="1359"/>
      <c r="M654" s="45"/>
      <c r="N654" s="409"/>
      <c r="O654" s="45"/>
      <c r="P654" s="45"/>
      <c r="Q654" s="45"/>
      <c r="R654" s="45"/>
      <c r="S654" s="409"/>
      <c r="T654" s="45"/>
      <c r="U654" s="45"/>
    </row>
    <row r="655" spans="1:21" ht="18.75" x14ac:dyDescent="0.25">
      <c r="A655" s="208"/>
      <c r="B655" s="158"/>
      <c r="C655" s="158"/>
      <c r="D655" s="40"/>
      <c r="E655" s="47" t="s">
        <v>240</v>
      </c>
      <c r="F655" s="40"/>
      <c r="G655" s="42"/>
      <c r="H655" s="137" t="s">
        <v>35</v>
      </c>
      <c r="I655" s="180"/>
      <c r="J655" s="1395">
        <v>4</v>
      </c>
      <c r="K655" s="45"/>
      <c r="L655" s="1359"/>
      <c r="M655" s="45"/>
      <c r="N655" s="409"/>
      <c r="O655" s="45"/>
      <c r="P655" s="45"/>
      <c r="Q655" s="45"/>
      <c r="R655" s="45"/>
      <c r="S655" s="409"/>
      <c r="T655" s="45"/>
      <c r="U655" s="45"/>
    </row>
    <row r="656" spans="1:21" ht="18.75" x14ac:dyDescent="0.25">
      <c r="A656" s="208"/>
      <c r="B656" s="158"/>
      <c r="C656" s="158"/>
      <c r="D656" s="40"/>
      <c r="E656" s="40"/>
      <c r="F656" s="40"/>
      <c r="G656" s="42"/>
      <c r="H656" s="137" t="s">
        <v>34</v>
      </c>
      <c r="I656" s="180"/>
      <c r="J656" s="1395">
        <v>5</v>
      </c>
      <c r="K656" s="45"/>
      <c r="L656" s="1359"/>
      <c r="M656" s="45"/>
      <c r="N656" s="409"/>
      <c r="O656" s="45"/>
      <c r="P656" s="45"/>
      <c r="Q656" s="45"/>
      <c r="R656" s="45"/>
      <c r="S656" s="409"/>
      <c r="T656" s="45"/>
      <c r="U656" s="45"/>
    </row>
    <row r="657" spans="1:21" ht="18.75" x14ac:dyDescent="0.25">
      <c r="A657" s="208"/>
      <c r="B657" s="158"/>
      <c r="C657" s="158"/>
      <c r="D657" s="40"/>
      <c r="E657" s="40"/>
      <c r="F657" s="40"/>
      <c r="G657" s="42"/>
      <c r="H657" s="137" t="s">
        <v>46</v>
      </c>
      <c r="I657" s="1588">
        <f ca="1">IFERROR(__xludf.DUMMYFUNCTION("IMPORTRANGE(""https://docs.google.com/spreadsheets/d/1eHaY18a8A9IcSdp1K8H6x8fbOy06t2VsZHhMHf-1x7Y/edit?usp=sharing"",""แผน!II27"")"),80)</f>
        <v>80</v>
      </c>
      <c r="J657" s="1395">
        <v>30.68</v>
      </c>
      <c r="K657" s="45"/>
      <c r="L657" s="1359"/>
      <c r="M657" s="45"/>
      <c r="N657" s="409"/>
      <c r="O657" s="45"/>
      <c r="P657" s="45"/>
      <c r="Q657" s="45"/>
      <c r="R657" s="45"/>
      <c r="S657" s="409"/>
      <c r="T657" s="45"/>
      <c r="U657" s="45"/>
    </row>
    <row r="658" spans="1:21" ht="18.75" x14ac:dyDescent="0.25">
      <c r="A658" s="208"/>
      <c r="B658" s="158"/>
      <c r="C658" s="158"/>
      <c r="D658" s="40"/>
      <c r="E658" s="47" t="s">
        <v>241</v>
      </c>
      <c r="F658" s="40"/>
      <c r="G658" s="42"/>
      <c r="H658" s="137" t="s">
        <v>35</v>
      </c>
      <c r="I658" s="180"/>
      <c r="J658" s="1395">
        <v>0</v>
      </c>
      <c r="K658" s="45"/>
      <c r="L658" s="1359"/>
      <c r="M658" s="45"/>
      <c r="N658" s="409"/>
      <c r="O658" s="45"/>
      <c r="P658" s="45"/>
      <c r="Q658" s="45"/>
      <c r="R658" s="45"/>
      <c r="S658" s="409"/>
      <c r="T658" s="45"/>
      <c r="U658" s="45"/>
    </row>
    <row r="659" spans="1:21" ht="18.75" x14ac:dyDescent="0.25">
      <c r="A659" s="208"/>
      <c r="B659" s="158"/>
      <c r="C659" s="158"/>
      <c r="D659" s="40"/>
      <c r="E659" s="40"/>
      <c r="F659" s="40"/>
      <c r="G659" s="42"/>
      <c r="H659" s="137" t="s">
        <v>34</v>
      </c>
      <c r="I659" s="180"/>
      <c r="J659" s="1395">
        <v>0</v>
      </c>
      <c r="K659" s="45"/>
      <c r="L659" s="1359"/>
      <c r="M659" s="45"/>
      <c r="N659" s="409"/>
      <c r="O659" s="45"/>
      <c r="P659" s="45"/>
      <c r="Q659" s="45"/>
      <c r="R659" s="45"/>
      <c r="S659" s="409"/>
      <c r="T659" s="45"/>
      <c r="U659" s="45"/>
    </row>
    <row r="660" spans="1:21" ht="18.75" x14ac:dyDescent="0.25">
      <c r="A660" s="208"/>
      <c r="B660" s="158"/>
      <c r="C660" s="158"/>
      <c r="D660" s="40"/>
      <c r="E660" s="40"/>
      <c r="F660" s="40"/>
      <c r="G660" s="42"/>
      <c r="H660" s="137" t="s">
        <v>46</v>
      </c>
      <c r="I660" s="1588">
        <f ca="1">IFERROR(__xludf.DUMMYFUNCTION("IMPORTRANGE(""https://docs.google.com/spreadsheets/d/1eHaY18a8A9IcSdp1K8H6x8fbOy06t2VsZHhMHf-1x7Y/edit?usp=sharing"",""แผน!IJ27"")"),0)</f>
        <v>0</v>
      </c>
      <c r="J660" s="1395">
        <v>0</v>
      </c>
      <c r="K660" s="45"/>
      <c r="L660" s="1359"/>
      <c r="M660" s="45"/>
      <c r="N660" s="409"/>
      <c r="O660" s="45"/>
      <c r="P660" s="45"/>
      <c r="Q660" s="45"/>
      <c r="R660" s="45"/>
      <c r="S660" s="409"/>
      <c r="T660" s="45"/>
      <c r="U660" s="45"/>
    </row>
    <row r="661" spans="1:21" ht="19.5" x14ac:dyDescent="0.3">
      <c r="A661" s="208"/>
      <c r="B661" s="158"/>
      <c r="C661" s="158"/>
      <c r="D661" s="332" t="s">
        <v>242</v>
      </c>
      <c r="E661" s="40"/>
      <c r="F661" s="40"/>
      <c r="G661" s="42"/>
      <c r="H661" s="404" t="s">
        <v>46</v>
      </c>
      <c r="I661" s="1589">
        <f ca="1">IFERROR(__xludf.DUMMYFUNCTION("IMPORTRANGE(""https://docs.google.com/spreadsheets/d/1eHaY18a8A9IcSdp1K8H6x8fbOy06t2VsZHhMHf-1x7Y/edit?usp=sharing"",""แผน!IK27"")"),1)</f>
        <v>1</v>
      </c>
      <c r="J661" s="328">
        <f>J667+J670</f>
        <v>0</v>
      </c>
      <c r="K661" s="1390">
        <f ca="1">IF(I661&gt;0,J661*100/I661,0)</f>
        <v>0</v>
      </c>
      <c r="L661" s="1359"/>
      <c r="M661" s="45"/>
      <c r="N661" s="409"/>
      <c r="O661" s="45"/>
      <c r="P661" s="45"/>
      <c r="Q661" s="45"/>
      <c r="R661" s="45"/>
      <c r="S661" s="409"/>
      <c r="T661" s="45"/>
      <c r="U661" s="45"/>
    </row>
    <row r="662" spans="1:21" ht="18.75" x14ac:dyDescent="0.25">
      <c r="A662" s="208"/>
      <c r="B662" s="158"/>
      <c r="C662" s="158"/>
      <c r="D662" s="40"/>
      <c r="E662" s="47" t="s">
        <v>243</v>
      </c>
      <c r="F662" s="40"/>
      <c r="G662" s="42"/>
      <c r="H662" s="137" t="s">
        <v>34</v>
      </c>
      <c r="I662" s="180"/>
      <c r="J662" s="1395">
        <v>0</v>
      </c>
      <c r="K662" s="45"/>
      <c r="L662" s="1590"/>
      <c r="M662" s="45"/>
      <c r="N662" s="409"/>
      <c r="O662" s="45"/>
      <c r="P662" s="45"/>
      <c r="Q662" s="409"/>
      <c r="R662" s="45"/>
      <c r="S662" s="409"/>
      <c r="T662" s="45"/>
      <c r="U662" s="45"/>
    </row>
    <row r="663" spans="1:21" ht="18.75" x14ac:dyDescent="0.25">
      <c r="A663" s="208"/>
      <c r="B663" s="158"/>
      <c r="C663" s="158"/>
      <c r="D663" s="40"/>
      <c r="E663" s="40"/>
      <c r="F663" s="40"/>
      <c r="G663" s="42"/>
      <c r="H663" s="137" t="s">
        <v>46</v>
      </c>
      <c r="I663" s="180"/>
      <c r="J663" s="1395">
        <v>0</v>
      </c>
      <c r="K663" s="45"/>
      <c r="L663" s="1590"/>
      <c r="M663" s="45"/>
      <c r="N663" s="409"/>
      <c r="O663" s="45"/>
      <c r="P663" s="45"/>
      <c r="Q663" s="409"/>
      <c r="R663" s="45"/>
      <c r="S663" s="409"/>
      <c r="T663" s="45"/>
      <c r="U663" s="45"/>
    </row>
    <row r="664" spans="1:21" ht="18.75" x14ac:dyDescent="0.25">
      <c r="A664" s="208"/>
      <c r="B664" s="158"/>
      <c r="C664" s="158"/>
      <c r="D664" s="40"/>
      <c r="E664" s="47" t="s">
        <v>244</v>
      </c>
      <c r="F664" s="40"/>
      <c r="G664" s="42"/>
      <c r="H664" s="178"/>
      <c r="I664" s="180"/>
      <c r="J664" s="44"/>
      <c r="K664" s="45"/>
      <c r="L664" s="1590"/>
      <c r="M664" s="45"/>
      <c r="N664" s="409"/>
      <c r="O664" s="45"/>
      <c r="P664" s="45"/>
      <c r="Q664" s="409"/>
      <c r="R664" s="45"/>
      <c r="S664" s="409"/>
      <c r="T664" s="45"/>
      <c r="U664" s="45"/>
    </row>
    <row r="665" spans="1:21" ht="18.75" x14ac:dyDescent="0.25">
      <c r="A665" s="208"/>
      <c r="B665" s="158"/>
      <c r="C665" s="158"/>
      <c r="D665" s="40"/>
      <c r="E665" s="40"/>
      <c r="F665" s="47" t="s">
        <v>245</v>
      </c>
      <c r="G665" s="42"/>
      <c r="H665" s="137" t="s">
        <v>35</v>
      </c>
      <c r="I665" s="180"/>
      <c r="J665" s="1395">
        <v>0</v>
      </c>
      <c r="K665" s="45"/>
      <c r="L665" s="1590"/>
      <c r="M665" s="45"/>
      <c r="N665" s="409"/>
      <c r="O665" s="45"/>
      <c r="P665" s="45"/>
      <c r="Q665" s="409"/>
      <c r="R665" s="45"/>
      <c r="S665" s="409"/>
      <c r="T665" s="45"/>
      <c r="U665" s="45"/>
    </row>
    <row r="666" spans="1:21" ht="18.75" x14ac:dyDescent="0.25">
      <c r="A666" s="208"/>
      <c r="B666" s="158"/>
      <c r="C666" s="158"/>
      <c r="D666" s="40"/>
      <c r="E666" s="40"/>
      <c r="F666" s="40"/>
      <c r="G666" s="42"/>
      <c r="H666" s="137" t="s">
        <v>34</v>
      </c>
      <c r="I666" s="180"/>
      <c r="J666" s="1395">
        <v>0</v>
      </c>
      <c r="K666" s="45"/>
      <c r="L666" s="1590"/>
      <c r="M666" s="45"/>
      <c r="N666" s="409"/>
      <c r="O666" s="45"/>
      <c r="P666" s="45"/>
      <c r="Q666" s="409"/>
      <c r="R666" s="45"/>
      <c r="S666" s="409"/>
      <c r="T666" s="45"/>
      <c r="U666" s="45"/>
    </row>
    <row r="667" spans="1:21" ht="18.75" x14ac:dyDescent="0.25">
      <c r="A667" s="208"/>
      <c r="B667" s="158"/>
      <c r="C667" s="158"/>
      <c r="D667" s="40"/>
      <c r="E667" s="40"/>
      <c r="F667" s="40"/>
      <c r="G667" s="42"/>
      <c r="H667" s="137" t="s">
        <v>46</v>
      </c>
      <c r="I667" s="180"/>
      <c r="J667" s="1395">
        <v>0</v>
      </c>
      <c r="K667" s="45"/>
      <c r="L667" s="1590"/>
      <c r="M667" s="45"/>
      <c r="N667" s="409"/>
      <c r="O667" s="45"/>
      <c r="P667" s="45"/>
      <c r="Q667" s="409"/>
      <c r="R667" s="45"/>
      <c r="S667" s="409"/>
      <c r="T667" s="45"/>
      <c r="U667" s="45"/>
    </row>
    <row r="668" spans="1:21" ht="18.75" x14ac:dyDescent="0.25">
      <c r="A668" s="208"/>
      <c r="B668" s="158"/>
      <c r="C668" s="158"/>
      <c r="D668" s="40"/>
      <c r="E668" s="40"/>
      <c r="F668" s="47" t="s">
        <v>246</v>
      </c>
      <c r="G668" s="42"/>
      <c r="H668" s="137" t="s">
        <v>35</v>
      </c>
      <c r="I668" s="180"/>
      <c r="J668" s="1395">
        <v>0</v>
      </c>
      <c r="K668" s="45"/>
      <c r="L668" s="1590"/>
      <c r="M668" s="45"/>
      <c r="N668" s="409"/>
      <c r="O668" s="45"/>
      <c r="P668" s="45"/>
      <c r="Q668" s="409"/>
      <c r="R668" s="45"/>
      <c r="S668" s="409"/>
      <c r="T668" s="45"/>
      <c r="U668" s="45"/>
    </row>
    <row r="669" spans="1:21" ht="18.75" x14ac:dyDescent="0.25">
      <c r="A669" s="208"/>
      <c r="B669" s="158"/>
      <c r="C669" s="158"/>
      <c r="D669" s="40"/>
      <c r="E669" s="40"/>
      <c r="F669" s="40"/>
      <c r="G669" s="42"/>
      <c r="H669" s="137" t="s">
        <v>34</v>
      </c>
      <c r="I669" s="180"/>
      <c r="J669" s="1395">
        <v>0</v>
      </c>
      <c r="K669" s="45"/>
      <c r="L669" s="1590"/>
      <c r="M669" s="45"/>
      <c r="N669" s="409"/>
      <c r="O669" s="45"/>
      <c r="P669" s="45"/>
      <c r="Q669" s="409"/>
      <c r="R669" s="45"/>
      <c r="S669" s="409"/>
      <c r="T669" s="45"/>
      <c r="U669" s="45"/>
    </row>
    <row r="670" spans="1:21" ht="18.75" x14ac:dyDescent="0.25">
      <c r="A670" s="208"/>
      <c r="B670" s="158"/>
      <c r="C670" s="158"/>
      <c r="D670" s="40"/>
      <c r="E670" s="40"/>
      <c r="F670" s="40"/>
      <c r="G670" s="42"/>
      <c r="H670" s="137" t="s">
        <v>46</v>
      </c>
      <c r="I670" s="180"/>
      <c r="J670" s="1395">
        <v>0</v>
      </c>
      <c r="K670" s="45"/>
      <c r="L670" s="1590"/>
      <c r="M670" s="45"/>
      <c r="N670" s="409"/>
      <c r="O670" s="45"/>
      <c r="P670" s="45"/>
      <c r="Q670" s="409"/>
      <c r="R670" s="45"/>
      <c r="S670" s="409"/>
      <c r="T670" s="45"/>
      <c r="U670" s="45"/>
    </row>
    <row r="671" spans="1:21" ht="18.75" x14ac:dyDescent="0.25">
      <c r="A671" s="208"/>
      <c r="B671" s="158"/>
      <c r="C671" s="158"/>
      <c r="D671" s="47" t="s">
        <v>247</v>
      </c>
      <c r="E671" s="40"/>
      <c r="F671" s="40"/>
      <c r="G671" s="42"/>
      <c r="H671" s="137" t="s">
        <v>35</v>
      </c>
      <c r="I671" s="180"/>
      <c r="J671" s="184">
        <f ca="1">IFERROR(__xludf.DUMMYFUNCTION("IMPORTRANGE(""https://docs.google.com/spreadsheets/d/1tdoBKaGub7dwA3U6UFTqxio9LNnvDCQjHKmttSEBsFQ/edit?usp=sharing"",""จัดที่ดิน!AY27"")"),0)</f>
        <v>0</v>
      </c>
      <c r="K671" s="45"/>
      <c r="L671" s="1359"/>
      <c r="M671" s="45"/>
      <c r="N671" s="409"/>
      <c r="O671" s="45"/>
      <c r="P671" s="45"/>
      <c r="Q671" s="45"/>
      <c r="R671" s="45"/>
      <c r="S671" s="409"/>
      <c r="T671" s="45"/>
      <c r="U671" s="45"/>
    </row>
    <row r="672" spans="1:21" ht="18.75" x14ac:dyDescent="0.25">
      <c r="A672" s="208"/>
      <c r="B672" s="158"/>
      <c r="C672" s="158"/>
      <c r="D672" s="40"/>
      <c r="E672" s="40"/>
      <c r="F672" s="40"/>
      <c r="G672" s="42"/>
      <c r="H672" s="137" t="s">
        <v>34</v>
      </c>
      <c r="I672" s="180"/>
      <c r="J672" s="184">
        <f ca="1">IFERROR(__xludf.DUMMYFUNCTION("IMPORTRANGE(""https://docs.google.com/spreadsheets/d/1tdoBKaGub7dwA3U6UFTqxio9LNnvDCQjHKmttSEBsFQ/edit?usp=sharing"",""จัดที่ดิน!AZ27"")"),0)</f>
        <v>0</v>
      </c>
      <c r="K672" s="45"/>
      <c r="L672" s="1590"/>
      <c r="M672" s="45"/>
      <c r="N672" s="409"/>
      <c r="O672" s="45"/>
      <c r="P672" s="45"/>
      <c r="Q672" s="409"/>
      <c r="R672" s="45"/>
      <c r="S672" s="409"/>
      <c r="T672" s="45"/>
      <c r="U672" s="45"/>
    </row>
    <row r="673" spans="1:21" ht="18.75" x14ac:dyDescent="0.25">
      <c r="A673" s="208"/>
      <c r="B673" s="158"/>
      <c r="C673" s="158"/>
      <c r="D673" s="40"/>
      <c r="E673" s="40"/>
      <c r="F673" s="40"/>
      <c r="G673" s="42"/>
      <c r="H673" s="137" t="s">
        <v>46</v>
      </c>
      <c r="I673" s="1588">
        <f ca="1">IFERROR(__xludf.DUMMYFUNCTION("IMPORTRANGE(""https://docs.google.com/spreadsheets/d/1eHaY18a8A9IcSdp1K8H6x8fbOy06t2VsZHhMHf-1x7Y/edit?usp=sharing"",""แผน!IL27"")"),100)</f>
        <v>100</v>
      </c>
      <c r="J673" s="184">
        <f ca="1">IFERROR(__xludf.DUMMYFUNCTION("IMPORTRANGE(""https://docs.google.com/spreadsheets/d/1tdoBKaGub7dwA3U6UFTqxio9LNnvDCQjHKmttSEBsFQ/edit?usp=sharing"",""จัดที่ดิน!BA27"")"),0)</f>
        <v>0</v>
      </c>
      <c r="K673" s="224">
        <f ca="1">IF(I673&gt;0,J673*100/I673,0)</f>
        <v>0</v>
      </c>
      <c r="L673" s="1590"/>
      <c r="M673" s="45"/>
      <c r="N673" s="409"/>
      <c r="O673" s="45"/>
      <c r="P673" s="45"/>
      <c r="Q673" s="409"/>
      <c r="R673" s="45"/>
      <c r="S673" s="409"/>
      <c r="T673" s="45"/>
      <c r="U673" s="45"/>
    </row>
    <row r="674" spans="1:21" ht="19.5" x14ac:dyDescent="0.3">
      <c r="A674" s="208"/>
      <c r="B674" s="158"/>
      <c r="C674" s="158"/>
      <c r="D674" s="47" t="s">
        <v>248</v>
      </c>
      <c r="E674" s="40"/>
      <c r="F674" s="40"/>
      <c r="G674" s="42"/>
      <c r="H674" s="404" t="s">
        <v>35</v>
      </c>
      <c r="I674" s="1589">
        <f ca="1">IFERROR(__xludf.DUMMYFUNCTION("IMPORTRANGE(""https://docs.google.com/spreadsheets/d/1eHaY18a8A9IcSdp1K8H6x8fbOy06t2VsZHhMHf-1x7Y/edit?usp=sharing"",""แผน!IM27"")"),25)</f>
        <v>25</v>
      </c>
      <c r="J674" s="328">
        <f ca="1">J676+J679</f>
        <v>2</v>
      </c>
      <c r="K674" s="1390">
        <f ca="1">IF(I674&gt;0,J674*100/I674,0)</f>
        <v>8</v>
      </c>
      <c r="L674" s="1590"/>
      <c r="M674" s="45"/>
      <c r="N674" s="409"/>
      <c r="O674" s="45"/>
      <c r="P674" s="45"/>
      <c r="Q674" s="409"/>
      <c r="R674" s="45"/>
      <c r="S674" s="409"/>
      <c r="T674" s="45"/>
      <c r="U674" s="45"/>
    </row>
    <row r="675" spans="1:21" ht="19.5" x14ac:dyDescent="0.3">
      <c r="A675" s="208"/>
      <c r="B675" s="158"/>
      <c r="C675" s="158"/>
      <c r="D675" s="40"/>
      <c r="E675" s="40"/>
      <c r="F675" s="40"/>
      <c r="G675" s="42"/>
      <c r="H675" s="404" t="s">
        <v>46</v>
      </c>
      <c r="I675" s="1589">
        <f ca="1">IFERROR(__xludf.DUMMYFUNCTION("IMPORTRANGE(""https://docs.google.com/spreadsheets/d/1eHaY18a8A9IcSdp1K8H6x8fbOy06t2VsZHhMHf-1x7Y/edit?usp=sharing"",""แผน!IN27"")"),210)</f>
        <v>210</v>
      </c>
      <c r="J675" s="328">
        <f ca="1">J678+J681</f>
        <v>12.12</v>
      </c>
      <c r="K675" s="1390">
        <f ca="1">IF(I675&gt;0,J675*100/I675,0)</f>
        <v>5.7714285714285714</v>
      </c>
      <c r="L675" s="1359"/>
      <c r="M675" s="45"/>
      <c r="N675" s="409"/>
      <c r="O675" s="45"/>
      <c r="P675" s="45"/>
      <c r="Q675" s="45"/>
      <c r="R675" s="45"/>
      <c r="S675" s="409"/>
      <c r="T675" s="45"/>
      <c r="U675" s="45"/>
    </row>
    <row r="676" spans="1:21" ht="18.75" x14ac:dyDescent="0.25">
      <c r="A676" s="208"/>
      <c r="B676" s="158"/>
      <c r="C676" s="158"/>
      <c r="D676" s="40"/>
      <c r="E676" s="47" t="s">
        <v>249</v>
      </c>
      <c r="F676" s="40"/>
      <c r="G676" s="42"/>
      <c r="H676" s="137" t="s">
        <v>35</v>
      </c>
      <c r="I676" s="1588">
        <f ca="1">IFERROR(__xludf.DUMMYFUNCTION("IMPORTRANGE(""https://docs.google.com/spreadsheets/d/1eHaY18a8A9IcSdp1K8H6x8fbOy06t2VsZHhMHf-1x7Y/edit?usp=sharing"",""แผน!IO27"")"),20)</f>
        <v>20</v>
      </c>
      <c r="J676" s="184">
        <f ca="1">IFERROR(__xludf.DUMMYFUNCTION("IMPORTRANGE(""https://docs.google.com/spreadsheets/d/1tdoBKaGub7dwA3U6UFTqxio9LNnvDCQjHKmttSEBsFQ/edit?usp=sharing"",""จัดที่ดิน!BF27"")"),2)</f>
        <v>2</v>
      </c>
      <c r="K676" s="224">
        <f ca="1">IF(I676&gt;0,J676*100/I676,0)</f>
        <v>10</v>
      </c>
      <c r="L676" s="1359"/>
      <c r="M676" s="45"/>
      <c r="N676" s="409"/>
      <c r="O676" s="45"/>
      <c r="P676" s="45"/>
      <c r="Q676" s="45"/>
      <c r="R676" s="45"/>
      <c r="S676" s="409"/>
      <c r="T676" s="45"/>
      <c r="U676" s="45"/>
    </row>
    <row r="677" spans="1:21" ht="18.75" x14ac:dyDescent="0.25">
      <c r="A677" s="208"/>
      <c r="B677" s="158"/>
      <c r="C677" s="158"/>
      <c r="D677" s="40"/>
      <c r="E677" s="40"/>
      <c r="F677" s="40"/>
      <c r="G677" s="42"/>
      <c r="H677" s="137" t="s">
        <v>34</v>
      </c>
      <c r="I677" s="180"/>
      <c r="J677" s="184">
        <f ca="1">IFERROR(__xludf.DUMMYFUNCTION("IMPORTRANGE(""https://docs.google.com/spreadsheets/d/1tdoBKaGub7dwA3U6UFTqxio9LNnvDCQjHKmttSEBsFQ/edit?usp=sharing"",""จัดที่ดิน!BG27"")"),2)</f>
        <v>2</v>
      </c>
      <c r="K677" s="45"/>
      <c r="L677" s="1590"/>
      <c r="M677" s="45"/>
      <c r="N677" s="409"/>
      <c r="O677" s="45"/>
      <c r="P677" s="45"/>
      <c r="Q677" s="409"/>
      <c r="R677" s="45"/>
      <c r="S677" s="409"/>
      <c r="T677" s="45"/>
      <c r="U677" s="45"/>
    </row>
    <row r="678" spans="1:21" ht="18.75" x14ac:dyDescent="0.25">
      <c r="A678" s="208"/>
      <c r="B678" s="158"/>
      <c r="C678" s="158"/>
      <c r="D678" s="40"/>
      <c r="E678" s="40"/>
      <c r="F678" s="40"/>
      <c r="G678" s="42"/>
      <c r="H678" s="137" t="s">
        <v>46</v>
      </c>
      <c r="I678" s="1588">
        <f ca="1">IFERROR(__xludf.DUMMYFUNCTION("IMPORTRANGE(""https://docs.google.com/spreadsheets/d/1eHaY18a8A9IcSdp1K8H6x8fbOy06t2VsZHhMHf-1x7Y/edit?usp=sharing"",""แผน!IP27"")"),160)</f>
        <v>160</v>
      </c>
      <c r="J678" s="184">
        <f ca="1">IFERROR(__xludf.DUMMYFUNCTION("IMPORTRANGE(""https://docs.google.com/spreadsheets/d/1tdoBKaGub7dwA3U6UFTqxio9LNnvDCQjHKmttSEBsFQ/edit?usp=sharing"",""จัดที่ดิน!BH27"")"),12.12)</f>
        <v>12.12</v>
      </c>
      <c r="K678" s="224">
        <f ca="1">IF(I678&gt;0,J678*100/I678,0)</f>
        <v>7.5750000000000002</v>
      </c>
      <c r="L678" s="1590"/>
      <c r="M678" s="45"/>
      <c r="N678" s="409"/>
      <c r="O678" s="45"/>
      <c r="P678" s="45"/>
      <c r="Q678" s="409"/>
      <c r="R678" s="45"/>
      <c r="S678" s="409"/>
      <c r="T678" s="45"/>
      <c r="U678" s="45"/>
    </row>
    <row r="679" spans="1:21" ht="18.75" x14ac:dyDescent="0.25">
      <c r="A679" s="208"/>
      <c r="B679" s="158"/>
      <c r="C679" s="158"/>
      <c r="D679" s="40"/>
      <c r="E679" s="47" t="s">
        <v>250</v>
      </c>
      <c r="F679" s="40"/>
      <c r="G679" s="42"/>
      <c r="H679" s="137" t="s">
        <v>35</v>
      </c>
      <c r="I679" s="1588">
        <f ca="1">IFERROR(__xludf.DUMMYFUNCTION("IMPORTRANGE(""https://docs.google.com/spreadsheets/d/1eHaY18a8A9IcSdp1K8H6x8fbOy06t2VsZHhMHf-1x7Y/edit?usp=sharing"",""แผน!IQ27"")"),5)</f>
        <v>5</v>
      </c>
      <c r="J679" s="184">
        <f ca="1">IFERROR(__xludf.DUMMYFUNCTION("IMPORTRANGE(""https://docs.google.com/spreadsheets/d/1tdoBKaGub7dwA3U6UFTqxio9LNnvDCQjHKmttSEBsFQ/edit?usp=sharing"",""จัดที่ดิน!BK27"")"),0)</f>
        <v>0</v>
      </c>
      <c r="K679" s="224">
        <f ca="1">IF(I679&gt;0,J679*100/I679,0)</f>
        <v>0</v>
      </c>
      <c r="L679" s="1359"/>
      <c r="M679" s="45"/>
      <c r="N679" s="409"/>
      <c r="O679" s="45"/>
      <c r="P679" s="45"/>
      <c r="Q679" s="45"/>
      <c r="R679" s="45"/>
      <c r="S679" s="409"/>
      <c r="T679" s="45"/>
      <c r="U679" s="45"/>
    </row>
    <row r="680" spans="1:21" ht="18.75" x14ac:dyDescent="0.25">
      <c r="A680" s="208"/>
      <c r="B680" s="158"/>
      <c r="C680" s="158"/>
      <c r="D680" s="40"/>
      <c r="E680" s="40"/>
      <c r="F680" s="40"/>
      <c r="G680" s="42"/>
      <c r="H680" s="137" t="s">
        <v>34</v>
      </c>
      <c r="I680" s="180"/>
      <c r="J680" s="184">
        <f ca="1">IFERROR(__xludf.DUMMYFUNCTION("IMPORTRANGE(""https://docs.google.com/spreadsheets/d/1tdoBKaGub7dwA3U6UFTqxio9LNnvDCQjHKmttSEBsFQ/edit?usp=sharing"",""จัดที่ดิน!BL27"")"),0)</f>
        <v>0</v>
      </c>
      <c r="K680" s="45"/>
      <c r="L680" s="1590"/>
      <c r="M680" s="45"/>
      <c r="N680" s="409"/>
      <c r="O680" s="45"/>
      <c r="P680" s="45"/>
      <c r="Q680" s="409"/>
      <c r="R680" s="45"/>
      <c r="S680" s="409"/>
      <c r="T680" s="45"/>
      <c r="U680" s="45"/>
    </row>
    <row r="681" spans="1:21" ht="18.75" x14ac:dyDescent="0.25">
      <c r="A681" s="208"/>
      <c r="B681" s="158"/>
      <c r="C681" s="158"/>
      <c r="D681" s="40"/>
      <c r="E681" s="40"/>
      <c r="F681" s="40"/>
      <c r="G681" s="42"/>
      <c r="H681" s="137" t="s">
        <v>46</v>
      </c>
      <c r="I681" s="1588">
        <f ca="1">IFERROR(__xludf.DUMMYFUNCTION("IMPORTRANGE(""https://docs.google.com/spreadsheets/d/1eHaY18a8A9IcSdp1K8H6x8fbOy06t2VsZHhMHf-1x7Y/edit?usp=sharing"",""แผน!IR27"")"),50)</f>
        <v>50</v>
      </c>
      <c r="J681" s="184">
        <f ca="1">IFERROR(__xludf.DUMMYFUNCTION("IMPORTRANGE(""https://docs.google.com/spreadsheets/d/1tdoBKaGub7dwA3U6UFTqxio9LNnvDCQjHKmttSEBsFQ/edit?usp=sharing"",""จัดที่ดิน!BM27"")"),0)</f>
        <v>0</v>
      </c>
      <c r="K681" s="224">
        <f ca="1">IF(I681&gt;0,J681*100/I681,0)</f>
        <v>0</v>
      </c>
      <c r="L681" s="1590"/>
      <c r="M681" s="45"/>
      <c r="N681" s="409"/>
      <c r="O681" s="45"/>
      <c r="P681" s="45"/>
      <c r="Q681" s="409"/>
      <c r="R681" s="45"/>
      <c r="S681" s="409"/>
      <c r="T681" s="45"/>
      <c r="U681" s="45"/>
    </row>
    <row r="682" spans="1:21" ht="19.5" x14ac:dyDescent="0.3">
      <c r="A682" s="208"/>
      <c r="B682" s="158"/>
      <c r="C682" s="158"/>
      <c r="D682" s="47" t="s">
        <v>251</v>
      </c>
      <c r="E682" s="40"/>
      <c r="F682" s="40"/>
      <c r="G682" s="42"/>
      <c r="H682" s="404" t="s">
        <v>46</v>
      </c>
      <c r="I682" s="1589">
        <f ca="1">IFERROR(__xludf.DUMMYFUNCTION("IMPORTRANGE(""https://docs.google.com/spreadsheets/d/1eHaY18a8A9IcSdp1K8H6x8fbOy06t2VsZHhMHf-1x7Y/edit?usp=sharing"",""แผน!IS27"")"),0)</f>
        <v>0</v>
      </c>
      <c r="J682" s="328">
        <f>J685+J688</f>
        <v>0</v>
      </c>
      <c r="K682" s="1390">
        <f ca="1">IF(I682&gt;0,J682*100/I682,0)</f>
        <v>0</v>
      </c>
      <c r="L682" s="1359"/>
      <c r="M682" s="45"/>
      <c r="N682" s="409"/>
      <c r="O682" s="45"/>
      <c r="P682" s="45"/>
      <c r="Q682" s="45"/>
      <c r="R682" s="45"/>
      <c r="S682" s="409"/>
      <c r="T682" s="45"/>
      <c r="U682" s="45"/>
    </row>
    <row r="683" spans="1:21" ht="18.75" x14ac:dyDescent="0.25">
      <c r="A683" s="208"/>
      <c r="B683" s="158"/>
      <c r="C683" s="158"/>
      <c r="D683" s="40"/>
      <c r="E683" s="47" t="s">
        <v>252</v>
      </c>
      <c r="F683" s="40"/>
      <c r="G683" s="42"/>
      <c r="H683" s="137" t="s">
        <v>35</v>
      </c>
      <c r="I683" s="180"/>
      <c r="J683" s="1395">
        <v>0</v>
      </c>
      <c r="K683" s="45"/>
      <c r="L683" s="1590"/>
      <c r="M683" s="45"/>
      <c r="N683" s="409"/>
      <c r="O683" s="45"/>
      <c r="P683" s="45"/>
      <c r="Q683" s="409"/>
      <c r="R683" s="45"/>
      <c r="S683" s="409"/>
      <c r="T683" s="45"/>
      <c r="U683" s="45"/>
    </row>
    <row r="684" spans="1:21" ht="18.75" x14ac:dyDescent="0.25">
      <c r="A684" s="208"/>
      <c r="B684" s="158"/>
      <c r="C684" s="158"/>
      <c r="D684" s="40"/>
      <c r="E684" s="40"/>
      <c r="F684" s="40"/>
      <c r="G684" s="42"/>
      <c r="H684" s="137" t="s">
        <v>34</v>
      </c>
      <c r="I684" s="180"/>
      <c r="J684" s="1395">
        <v>0</v>
      </c>
      <c r="K684" s="45"/>
      <c r="L684" s="1590"/>
      <c r="M684" s="45"/>
      <c r="N684" s="409"/>
      <c r="O684" s="45"/>
      <c r="P684" s="45"/>
      <c r="Q684" s="409"/>
      <c r="R684" s="45"/>
      <c r="S684" s="409"/>
      <c r="T684" s="45"/>
      <c r="U684" s="45"/>
    </row>
    <row r="685" spans="1:21" ht="18.75" x14ac:dyDescent="0.25">
      <c r="A685" s="208"/>
      <c r="B685" s="158"/>
      <c r="C685" s="158"/>
      <c r="D685" s="40"/>
      <c r="E685" s="40"/>
      <c r="F685" s="40"/>
      <c r="G685" s="42"/>
      <c r="H685" s="137" t="s">
        <v>46</v>
      </c>
      <c r="I685" s="180"/>
      <c r="J685" s="1395">
        <v>0</v>
      </c>
      <c r="K685" s="45"/>
      <c r="L685" s="1590"/>
      <c r="M685" s="45"/>
      <c r="N685" s="409"/>
      <c r="O685" s="45"/>
      <c r="P685" s="45"/>
      <c r="Q685" s="409"/>
      <c r="R685" s="45"/>
      <c r="S685" s="409"/>
      <c r="T685" s="45"/>
      <c r="U685" s="45"/>
    </row>
    <row r="686" spans="1:21" ht="18.75" x14ac:dyDescent="0.25">
      <c r="A686" s="208"/>
      <c r="B686" s="158"/>
      <c r="C686" s="158"/>
      <c r="D686" s="40"/>
      <c r="E686" s="47" t="s">
        <v>253</v>
      </c>
      <c r="F686" s="40"/>
      <c r="G686" s="42"/>
      <c r="H686" s="137" t="s">
        <v>35</v>
      </c>
      <c r="I686" s="180"/>
      <c r="J686" s="1395">
        <v>0</v>
      </c>
      <c r="K686" s="45"/>
      <c r="L686" s="1590"/>
      <c r="M686" s="45"/>
      <c r="N686" s="409"/>
      <c r="O686" s="45"/>
      <c r="P686" s="45"/>
      <c r="Q686" s="409"/>
      <c r="R686" s="45"/>
      <c r="S686" s="409"/>
      <c r="T686" s="45"/>
      <c r="U686" s="45"/>
    </row>
    <row r="687" spans="1:21" ht="18.75" x14ac:dyDescent="0.25">
      <c r="A687" s="208"/>
      <c r="B687" s="158"/>
      <c r="C687" s="158"/>
      <c r="D687" s="40"/>
      <c r="E687" s="40"/>
      <c r="F687" s="40"/>
      <c r="G687" s="42"/>
      <c r="H687" s="137" t="s">
        <v>34</v>
      </c>
      <c r="I687" s="180"/>
      <c r="J687" s="1395">
        <v>0</v>
      </c>
      <c r="K687" s="45"/>
      <c r="L687" s="1590"/>
      <c r="M687" s="45"/>
      <c r="N687" s="409"/>
      <c r="O687" s="45"/>
      <c r="P687" s="45"/>
      <c r="Q687" s="409"/>
      <c r="R687" s="45"/>
      <c r="S687" s="409"/>
      <c r="T687" s="45"/>
      <c r="U687" s="45"/>
    </row>
    <row r="688" spans="1:21" ht="19.5" x14ac:dyDescent="0.3">
      <c r="A688" s="249"/>
      <c r="B688" s="412" t="s">
        <v>254</v>
      </c>
      <c r="C688" s="250"/>
      <c r="D688" s="252"/>
      <c r="E688" s="252"/>
      <c r="F688" s="252"/>
      <c r="G688" s="253"/>
      <c r="H688" s="186" t="s">
        <v>46</v>
      </c>
      <c r="I688" s="330"/>
      <c r="J688" s="1541">
        <v>0</v>
      </c>
      <c r="K688" s="3"/>
      <c r="L688" s="1591"/>
      <c r="M688" s="3"/>
      <c r="N688" s="413"/>
      <c r="O688" s="3"/>
      <c r="P688" s="3"/>
      <c r="Q688" s="413"/>
      <c r="R688" s="3"/>
      <c r="S688" s="413"/>
      <c r="T688" s="3"/>
      <c r="U688" s="3"/>
    </row>
    <row r="689" spans="1:21" ht="19.5" x14ac:dyDescent="0.3">
      <c r="A689" s="387"/>
      <c r="B689" s="388" t="s">
        <v>255</v>
      </c>
      <c r="C689" s="387"/>
      <c r="D689" s="389"/>
      <c r="E689" s="389"/>
      <c r="F689" s="389"/>
      <c r="G689" s="390"/>
      <c r="H689" s="414" t="s">
        <v>35</v>
      </c>
      <c r="I689" s="1592">
        <f ca="1">I707</f>
        <v>0</v>
      </c>
      <c r="J689" s="1592">
        <f ca="1">J707</f>
        <v>0</v>
      </c>
      <c r="K689" s="1593">
        <f ca="1">IF(I689&gt;0,J689*100/I689,0)</f>
        <v>0</v>
      </c>
      <c r="L689" s="1581"/>
      <c r="M689" s="393"/>
      <c r="N689" s="393"/>
      <c r="O689" s="393"/>
      <c r="P689" s="393"/>
      <c r="Q689" s="393"/>
      <c r="R689" s="393"/>
      <c r="S689" s="393"/>
      <c r="T689" s="393"/>
      <c r="U689" s="393"/>
    </row>
    <row r="690" spans="1:21" ht="19.5" x14ac:dyDescent="0.3">
      <c r="A690" s="128"/>
      <c r="B690" s="158"/>
      <c r="C690" s="177" t="s">
        <v>18</v>
      </c>
      <c r="D690" s="1585" t="s">
        <v>19</v>
      </c>
      <c r="E690" s="1285"/>
      <c r="F690" s="1285"/>
      <c r="G690" s="1286"/>
      <c r="H690" s="221" t="s">
        <v>14</v>
      </c>
      <c r="I690" s="44"/>
      <c r="J690" s="44"/>
      <c r="K690" s="45"/>
      <c r="L690" s="1389">
        <f>L691+L692</f>
        <v>0</v>
      </c>
      <c r="M690" s="1390">
        <f>M691+M692</f>
        <v>0</v>
      </c>
      <c r="N690" s="1390">
        <f>N691+N692</f>
        <v>0</v>
      </c>
      <c r="O690" s="1390">
        <f>IF(L690&gt;0,N690*100/L690,0)</f>
        <v>0</v>
      </c>
      <c r="P690" s="1390">
        <f>IF(M690&gt;0,N690*100/M690,0)</f>
        <v>0</v>
      </c>
      <c r="Q690" s="1390">
        <f ca="1">Q691+Q692</f>
        <v>66060</v>
      </c>
      <c r="R690" s="1390">
        <f ca="1">R691+R692</f>
        <v>66060</v>
      </c>
      <c r="S690" s="1390">
        <f ca="1">S691+S692</f>
        <v>0</v>
      </c>
      <c r="T690" s="1390">
        <f ca="1">IF(Q690&gt;0,S690*100/Q690,0)</f>
        <v>0</v>
      </c>
      <c r="U690" s="1390">
        <f ca="1">IF(R690&gt;0,S690*100/R690,0)</f>
        <v>0</v>
      </c>
    </row>
    <row r="691" spans="1:21" ht="18.75" x14ac:dyDescent="0.25">
      <c r="A691" s="128"/>
      <c r="B691" s="158"/>
      <c r="C691" s="158"/>
      <c r="D691" s="145"/>
      <c r="E691" s="156" t="s">
        <v>158</v>
      </c>
      <c r="F691" s="40"/>
      <c r="G691" s="42"/>
      <c r="H691" s="159" t="s">
        <v>14</v>
      </c>
      <c r="I691" s="44"/>
      <c r="J691" s="44"/>
      <c r="K691" s="45"/>
      <c r="L691" s="1358">
        <f>L694+L697</f>
        <v>0</v>
      </c>
      <c r="M691" s="83">
        <f>M694+M697</f>
        <v>0</v>
      </c>
      <c r="N691" s="83">
        <f>N694+N697</f>
        <v>0</v>
      </c>
      <c r="O691" s="83">
        <f>IF(L691&gt;0,N691*100/L691,0)</f>
        <v>0</v>
      </c>
      <c r="P691" s="83">
        <f>IF(M691&gt;0,N691*100/M691,0)</f>
        <v>0</v>
      </c>
      <c r="Q691" s="83">
        <f>Q694+Q697</f>
        <v>0</v>
      </c>
      <c r="R691" s="83">
        <f>R694+R697</f>
        <v>0</v>
      </c>
      <c r="S691" s="83">
        <f>S694+S697</f>
        <v>0</v>
      </c>
      <c r="T691" s="83">
        <f>IF(Q691&gt;0,S691*100/Q691,0)</f>
        <v>0</v>
      </c>
      <c r="U691" s="83">
        <f>IF(R691&gt;0,S691*100/R691,0)</f>
        <v>0</v>
      </c>
    </row>
    <row r="692" spans="1:21" ht="18.75" x14ac:dyDescent="0.25">
      <c r="A692" s="128"/>
      <c r="B692" s="158"/>
      <c r="C692" s="158"/>
      <c r="D692" s="145"/>
      <c r="E692" s="47" t="s">
        <v>159</v>
      </c>
      <c r="F692" s="40"/>
      <c r="G692" s="42"/>
      <c r="H692" s="134" t="s">
        <v>14</v>
      </c>
      <c r="I692" s="44"/>
      <c r="J692" s="44"/>
      <c r="K692" s="45"/>
      <c r="L692" s="1356">
        <f>L695+L698</f>
        <v>0</v>
      </c>
      <c r="M692" s="224">
        <f>M695+M698</f>
        <v>0</v>
      </c>
      <c r="N692" s="224">
        <f>N695+N698</f>
        <v>0</v>
      </c>
      <c r="O692" s="224">
        <f>IF(L692&gt;0,N692*100/L692,0)</f>
        <v>0</v>
      </c>
      <c r="P692" s="224">
        <f>IF(M692&gt;0,N692*100/M692,0)</f>
        <v>0</v>
      </c>
      <c r="Q692" s="224">
        <f ca="1">Q695+Q698</f>
        <v>66060</v>
      </c>
      <c r="R692" s="224">
        <f ca="1">R695+R698</f>
        <v>66060</v>
      </c>
      <c r="S692" s="224">
        <f ca="1">S695+S698</f>
        <v>0</v>
      </c>
      <c r="T692" s="224">
        <f ca="1">IF(Q692&gt;0,S692*100/Q692,0)</f>
        <v>0</v>
      </c>
      <c r="U692" s="224">
        <f ca="1">IF(R692&gt;0,S692*100/R692,0)</f>
        <v>0</v>
      </c>
    </row>
    <row r="693" spans="1:21" ht="18.75" x14ac:dyDescent="0.25">
      <c r="A693" s="128"/>
      <c r="B693" s="158"/>
      <c r="C693" s="158"/>
      <c r="D693" s="41" t="s">
        <v>22</v>
      </c>
      <c r="E693" s="40"/>
      <c r="F693" s="40"/>
      <c r="G693" s="42"/>
      <c r="H693" s="134" t="s">
        <v>14</v>
      </c>
      <c r="I693" s="135"/>
      <c r="J693" s="135"/>
      <c r="K693" s="136"/>
      <c r="L693" s="1356">
        <f>L694+L695</f>
        <v>0</v>
      </c>
      <c r="M693" s="224">
        <f>M694+M695</f>
        <v>0</v>
      </c>
      <c r="N693" s="224">
        <f>N694+N695</f>
        <v>0</v>
      </c>
      <c r="O693" s="224">
        <f>IF(L693&gt;0,N693*100/L693,0)</f>
        <v>0</v>
      </c>
      <c r="P693" s="224">
        <f>IF(M693&gt;0,N693*100/M693,0)</f>
        <v>0</v>
      </c>
      <c r="Q693" s="224">
        <f ca="1">Q694+Q695</f>
        <v>66060</v>
      </c>
      <c r="R693" s="224">
        <f ca="1">R694+R695</f>
        <v>66060</v>
      </c>
      <c r="S693" s="224">
        <f ca="1">S694+S695</f>
        <v>0</v>
      </c>
      <c r="T693" s="224">
        <f ca="1">IF(Q693&gt;0,S693*100/Q693,0)</f>
        <v>0</v>
      </c>
      <c r="U693" s="224">
        <f ca="1">IF(R693&gt;0,S693*100/R693,0)</f>
        <v>0</v>
      </c>
    </row>
    <row r="694" spans="1:21" ht="18.75" x14ac:dyDescent="0.25">
      <c r="A694" s="128"/>
      <c r="B694" s="158"/>
      <c r="C694" s="158"/>
      <c r="D694" s="145"/>
      <c r="E694" s="156" t="s">
        <v>158</v>
      </c>
      <c r="F694" s="40"/>
      <c r="G694" s="42"/>
      <c r="H694" s="159" t="s">
        <v>14</v>
      </c>
      <c r="I694" s="44"/>
      <c r="J694" s="44"/>
      <c r="K694" s="45"/>
      <c r="L694" s="1358">
        <v>0</v>
      </c>
      <c r="M694" s="83">
        <v>0</v>
      </c>
      <c r="N694" s="83">
        <v>0</v>
      </c>
      <c r="O694" s="83">
        <f>IF(L694&gt;0,N694*100/L694,0)</f>
        <v>0</v>
      </c>
      <c r="P694" s="83">
        <f>IF(M694&gt;0,N694*100/M694,0)</f>
        <v>0</v>
      </c>
      <c r="Q694" s="83">
        <v>0</v>
      </c>
      <c r="R694" s="83">
        <v>0</v>
      </c>
      <c r="S694" s="83">
        <v>0</v>
      </c>
      <c r="T694" s="83">
        <f>IF(Q694&gt;0,S694*100/Q694,0)</f>
        <v>0</v>
      </c>
      <c r="U694" s="83">
        <f>IF(R694&gt;0,S694*100/R694,0)</f>
        <v>0</v>
      </c>
    </row>
    <row r="695" spans="1:21" ht="18.75" x14ac:dyDescent="0.25">
      <c r="A695" s="128"/>
      <c r="B695" s="158"/>
      <c r="C695" s="158"/>
      <c r="D695" s="145"/>
      <c r="E695" s="47" t="s">
        <v>159</v>
      </c>
      <c r="F695" s="40"/>
      <c r="G695" s="42"/>
      <c r="H695" s="134" t="s">
        <v>14</v>
      </c>
      <c r="I695" s="44"/>
      <c r="J695" s="44"/>
      <c r="K695" s="45"/>
      <c r="L695" s="1356">
        <v>0</v>
      </c>
      <c r="M695" s="224">
        <v>0</v>
      </c>
      <c r="N695" s="224">
        <v>0</v>
      </c>
      <c r="O695" s="224">
        <f>IF(L695&gt;0,N695*100/L695,0)</f>
        <v>0</v>
      </c>
      <c r="P695" s="224">
        <f>IF(M695&gt;0,N695*100/M695,0)</f>
        <v>0</v>
      </c>
      <c r="Q695" s="224">
        <f ca="1">IFERROR(__xludf.DUMMYFUNCTION("IMPORTRANGE(""https://docs.google.com/spreadsheets/d/1ItG2mGa2ceCfYo0BwxsXqNm01IGEUdYcSSLTEv9YCik/edit?usp=sharing"",""เบิกจ่ายกองทุน!L27"")"),66060)</f>
        <v>66060</v>
      </c>
      <c r="R695" s="224">
        <f ca="1">IFERROR(__xludf.DUMMYFUNCTION("IMPORTRANGE(""https://docs.google.com/spreadsheets/d/1ItG2mGa2ceCfYo0BwxsXqNm01IGEUdYcSSLTEv9YCik/edit?usp=sharing"",""เบิกจ่ายกองทุน!M27"")"),66060)</f>
        <v>66060</v>
      </c>
      <c r="S695" s="224">
        <f ca="1">IFERROR(__xludf.DUMMYFUNCTION("IMPORTRANGE(""https://docs.google.com/spreadsheets/d/1ItG2mGa2ceCfYo0BwxsXqNm01IGEUdYcSSLTEv9YCik/edit?usp=sharing"",""เบิกจ่ายกองทุน!N27"")"),0)</f>
        <v>0</v>
      </c>
      <c r="T695" s="224">
        <f ca="1">IF(Q695&gt;0,S695*100/Q695,0)</f>
        <v>0</v>
      </c>
      <c r="U695" s="224">
        <f ca="1">IF(R695&gt;0,S695*100/R695,0)</f>
        <v>0</v>
      </c>
    </row>
    <row r="696" spans="1:21" ht="18.75" x14ac:dyDescent="0.25">
      <c r="A696" s="128"/>
      <c r="B696" s="158"/>
      <c r="C696" s="158"/>
      <c r="D696" s="41" t="s">
        <v>23</v>
      </c>
      <c r="E696" s="40"/>
      <c r="F696" s="40"/>
      <c r="G696" s="42"/>
      <c r="H696" s="137" t="s">
        <v>14</v>
      </c>
      <c r="I696" s="135"/>
      <c r="J696" s="135"/>
      <c r="K696" s="136"/>
      <c r="L696" s="1356">
        <f>L697+L698</f>
        <v>0</v>
      </c>
      <c r="M696" s="224">
        <f>M697+M698</f>
        <v>0</v>
      </c>
      <c r="N696" s="224">
        <f>N697+N698</f>
        <v>0</v>
      </c>
      <c r="O696" s="224">
        <f>IF(L696&gt;0,N696*100/L696,0)</f>
        <v>0</v>
      </c>
      <c r="P696" s="224">
        <f>IF(M696&gt;0,N696*100/M696,0)</f>
        <v>0</v>
      </c>
      <c r="Q696" s="224">
        <f>Q697+Q698</f>
        <v>0</v>
      </c>
      <c r="R696" s="224">
        <f>R697+R698</f>
        <v>0</v>
      </c>
      <c r="S696" s="224">
        <f>S697+S698</f>
        <v>0</v>
      </c>
      <c r="T696" s="224">
        <f>IF(Q696&gt;0,S696*100/Q696,0)</f>
        <v>0</v>
      </c>
      <c r="U696" s="224">
        <f>IF(R696&gt;0,S696*100/R696,0)</f>
        <v>0</v>
      </c>
    </row>
    <row r="697" spans="1:21" ht="18.75" x14ac:dyDescent="0.25">
      <c r="A697" s="128"/>
      <c r="B697" s="158"/>
      <c r="C697" s="158"/>
      <c r="D697" s="40"/>
      <c r="E697" s="156" t="s">
        <v>20</v>
      </c>
      <c r="F697" s="40"/>
      <c r="G697" s="42"/>
      <c r="H697" s="159" t="s">
        <v>14</v>
      </c>
      <c r="I697" s="135"/>
      <c r="J697" s="135"/>
      <c r="K697" s="136"/>
      <c r="L697" s="1358">
        <v>0</v>
      </c>
      <c r="M697" s="83">
        <v>0</v>
      </c>
      <c r="N697" s="83">
        <v>0</v>
      </c>
      <c r="O697" s="83">
        <f>IF(L697&gt;0,N697*100/L697,0)</f>
        <v>0</v>
      </c>
      <c r="P697" s="83">
        <f>IF(M697&gt;0,N697*100/M697,0)</f>
        <v>0</v>
      </c>
      <c r="Q697" s="83">
        <v>0</v>
      </c>
      <c r="R697" s="83">
        <v>0</v>
      </c>
      <c r="S697" s="83">
        <v>0</v>
      </c>
      <c r="T697" s="83">
        <f>IF(Q697&gt;0,S697*100/Q697,0)</f>
        <v>0</v>
      </c>
      <c r="U697" s="83">
        <f>IF(R697&gt;0,S697*100/R697,0)</f>
        <v>0</v>
      </c>
    </row>
    <row r="698" spans="1:21" ht="18.75" x14ac:dyDescent="0.25">
      <c r="A698" s="128"/>
      <c r="B698" s="158"/>
      <c r="C698" s="158"/>
      <c r="D698" s="40"/>
      <c r="E698" s="47" t="s">
        <v>21</v>
      </c>
      <c r="F698" s="40"/>
      <c r="G698" s="42"/>
      <c r="H698" s="137" t="s">
        <v>14</v>
      </c>
      <c r="I698" s="135"/>
      <c r="J698" s="135"/>
      <c r="K698" s="136"/>
      <c r="L698" s="1356">
        <v>0</v>
      </c>
      <c r="M698" s="224">
        <v>0</v>
      </c>
      <c r="N698" s="224">
        <v>0</v>
      </c>
      <c r="O698" s="224">
        <f>IF(L698&gt;0,N698*100/L698,0)</f>
        <v>0</v>
      </c>
      <c r="P698" s="224">
        <f>IF(M698&gt;0,N698*100/M698,0)</f>
        <v>0</v>
      </c>
      <c r="Q698" s="224">
        <v>0</v>
      </c>
      <c r="R698" s="224">
        <v>0</v>
      </c>
      <c r="S698" s="224">
        <v>0</v>
      </c>
      <c r="T698" s="224">
        <f>IF(Q698&gt;0,S698*100/Q698,0)</f>
        <v>0</v>
      </c>
      <c r="U698" s="224">
        <f>IF(R698&gt;0,S698*100/R698,0)</f>
        <v>0</v>
      </c>
    </row>
    <row r="699" spans="1:21" ht="19.5" x14ac:dyDescent="0.3">
      <c r="A699" s="138"/>
      <c r="B699" s="139"/>
      <c r="C699" s="177" t="s">
        <v>18</v>
      </c>
      <c r="D699" s="1391" t="s">
        <v>38</v>
      </c>
      <c r="E699" s="141"/>
      <c r="F699" s="141"/>
      <c r="G699" s="141"/>
      <c r="H699" s="178"/>
      <c r="I699" s="135"/>
      <c r="J699" s="135"/>
      <c r="K699" s="136"/>
      <c r="L699" s="1359"/>
      <c r="M699" s="45"/>
      <c r="N699" s="45"/>
      <c r="O699" s="45"/>
      <c r="P699" s="45"/>
      <c r="Q699" s="45"/>
      <c r="R699" s="45"/>
      <c r="S699" s="45"/>
      <c r="T699" s="45"/>
      <c r="U699" s="45"/>
    </row>
    <row r="700" spans="1:21" ht="18.75" x14ac:dyDescent="0.25">
      <c r="A700" s="208"/>
      <c r="B700" s="158"/>
      <c r="C700" s="158"/>
      <c r="D700" s="145"/>
      <c r="E700" s="144" t="s">
        <v>256</v>
      </c>
      <c r="F700" s="145"/>
      <c r="G700" s="143"/>
      <c r="H700" s="137" t="s">
        <v>257</v>
      </c>
      <c r="I700" s="184">
        <f ca="1">IFERROR(__xludf.DUMMYFUNCTION("IMPORTRANGE(""https://docs.google.com/spreadsheets/d/1eHaY18a8A9IcSdp1K8H6x8fbOy06t2VsZHhMHf-1x7Y/edit?usp=sharing"",""แผน!LC27"")"),0)</f>
        <v>0</v>
      </c>
      <c r="J700" s="1395">
        <v>0</v>
      </c>
      <c r="K700" s="1396">
        <f ca="1">IF(I700&gt;0,J700*100/I700,0)</f>
        <v>0</v>
      </c>
      <c r="L700" s="1392"/>
      <c r="M700" s="136"/>
      <c r="N700" s="45"/>
      <c r="O700" s="136"/>
      <c r="P700" s="136"/>
      <c r="Q700" s="136"/>
      <c r="R700" s="136"/>
      <c r="S700" s="45"/>
      <c r="T700" s="136"/>
      <c r="U700" s="136"/>
    </row>
    <row r="701" spans="1:21" ht="19.5" x14ac:dyDescent="0.3">
      <c r="A701" s="208"/>
      <c r="B701" s="158"/>
      <c r="C701" s="158"/>
      <c r="D701" s="145"/>
      <c r="E701" s="417" t="s">
        <v>258</v>
      </c>
      <c r="F701" s="145"/>
      <c r="G701" s="143"/>
      <c r="H701" s="131" t="s">
        <v>35</v>
      </c>
      <c r="I701" s="328">
        <f ca="1">I703+I705</f>
        <v>4</v>
      </c>
      <c r="J701" s="328">
        <f ca="1">J703+J705</f>
        <v>0</v>
      </c>
      <c r="K701" s="1390">
        <f ca="1">IF(I701&gt;0,J701*100/I701,0)</f>
        <v>0</v>
      </c>
      <c r="L701" s="1392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08"/>
      <c r="B702" s="158"/>
      <c r="C702" s="158"/>
      <c r="D702" s="145"/>
      <c r="E702" s="145"/>
      <c r="F702" s="145"/>
      <c r="G702" s="143"/>
      <c r="H702" s="131" t="s">
        <v>46</v>
      </c>
      <c r="I702" s="328">
        <v>0</v>
      </c>
      <c r="J702" s="328">
        <f ca="1">J704+J706</f>
        <v>0</v>
      </c>
      <c r="K702" s="1390">
        <f>IF(I702&gt;0,J702*100/I702,0)</f>
        <v>0</v>
      </c>
      <c r="L702" s="1392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08"/>
      <c r="B703" s="158"/>
      <c r="C703" s="158"/>
      <c r="D703" s="145"/>
      <c r="E703" s="145"/>
      <c r="F703" s="144" t="s">
        <v>259</v>
      </c>
      <c r="G703" s="143"/>
      <c r="H703" s="137" t="s">
        <v>35</v>
      </c>
      <c r="I703" s="184">
        <f ca="1">IFERROR(__xludf.DUMMYFUNCTION("IMPORTRANGE(""https://docs.google.com/spreadsheets/d/1eHaY18a8A9IcSdp1K8H6x8fbOy06t2VsZHhMHf-1x7Y/edit?usp=sharing"",""แผน!LJ27"")"),0)</f>
        <v>0</v>
      </c>
      <c r="J703" s="184">
        <f ca="1">IFERROR(__xludf.DUMMYFUNCTION("IMPORTRANGE(""https://docs.google.com/spreadsheets/d/1tdoBKaGub7dwA3U6UFTqxio9LNnvDCQjHKmttSEBsFQ/edit?usp=sharing"",""จัดที่ดิน!AP27"")"),0)</f>
        <v>0</v>
      </c>
      <c r="K703" s="224">
        <f ca="1">IF(I703&gt;0,J703*100/I703,0)</f>
        <v>0</v>
      </c>
      <c r="L703" s="1392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8"/>
      <c r="B704" s="158"/>
      <c r="C704" s="158"/>
      <c r="D704" s="145"/>
      <c r="E704" s="145"/>
      <c r="F704" s="145"/>
      <c r="G704" s="143"/>
      <c r="H704" s="137" t="s">
        <v>46</v>
      </c>
      <c r="I704" s="184">
        <v>0</v>
      </c>
      <c r="J704" s="184">
        <f ca="1">IFERROR(__xludf.DUMMYFUNCTION("IMPORTRANGE(""https://docs.google.com/spreadsheets/d/1tdoBKaGub7dwA3U6UFTqxio9LNnvDCQjHKmttSEBsFQ/edit?usp=sharing"",""จัดที่ดิน!AQ27"")"),0)</f>
        <v>0</v>
      </c>
      <c r="K704" s="224">
        <f>IF(I704&gt;0,J704*100/I704,0)</f>
        <v>0</v>
      </c>
      <c r="L704" s="1392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8"/>
      <c r="B705" s="158"/>
      <c r="C705" s="158"/>
      <c r="D705" s="145"/>
      <c r="E705" s="145"/>
      <c r="F705" s="144" t="s">
        <v>260</v>
      </c>
      <c r="G705" s="143"/>
      <c r="H705" s="137" t="s">
        <v>35</v>
      </c>
      <c r="I705" s="184">
        <f ca="1">IFERROR(__xludf.DUMMYFUNCTION("IMPORTRANGE(""https://docs.google.com/spreadsheets/d/1eHaY18a8A9IcSdp1K8H6x8fbOy06t2VsZHhMHf-1x7Y/edit?usp=sharing"",""แผน!LK27"")"),4)</f>
        <v>4</v>
      </c>
      <c r="J705" s="184">
        <f ca="1">IFERROR(__xludf.DUMMYFUNCTION("IMPORTRANGE(""https://docs.google.com/spreadsheets/d/1tdoBKaGub7dwA3U6UFTqxio9LNnvDCQjHKmttSEBsFQ/edit?usp=sharing"",""จัดที่ดิน!AR27"")"),0)</f>
        <v>0</v>
      </c>
      <c r="K705" s="1396">
        <f ca="1">IF(I705&gt;0,J705*100/I705,0)</f>
        <v>0</v>
      </c>
      <c r="L705" s="1392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8"/>
      <c r="B706" s="158"/>
      <c r="C706" s="158"/>
      <c r="D706" s="145"/>
      <c r="E706" s="145"/>
      <c r="F706" s="145"/>
      <c r="G706" s="143"/>
      <c r="H706" s="137" t="s">
        <v>46</v>
      </c>
      <c r="I706" s="184">
        <v>0</v>
      </c>
      <c r="J706" s="184">
        <f ca="1">IFERROR(__xludf.DUMMYFUNCTION("IMPORTRANGE(""https://docs.google.com/spreadsheets/d/1tdoBKaGub7dwA3U6UFTqxio9LNnvDCQjHKmttSEBsFQ/edit?usp=sharing"",""จัดที่ดิน!AS27"")"),0)</f>
        <v>0</v>
      </c>
      <c r="K706" s="224">
        <f>IF(I706&gt;0,J706*100/I706,0)</f>
        <v>0</v>
      </c>
      <c r="L706" s="1392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8"/>
      <c r="B707" s="158"/>
      <c r="C707" s="158"/>
      <c r="D707" s="145"/>
      <c r="E707" s="144" t="s">
        <v>261</v>
      </c>
      <c r="F707" s="145"/>
      <c r="G707" s="143"/>
      <c r="H707" s="134" t="s">
        <v>35</v>
      </c>
      <c r="I707" s="184">
        <f ca="1">IFERROR(__xludf.DUMMYFUNCTION("IMPORTRANGE(""https://docs.google.com/spreadsheets/d/1eHaY18a8A9IcSdp1K8H6x8fbOy06t2VsZHhMHf-1x7Y/edit?usp=sharing"",""แผน!LJ27"")"),0)</f>
        <v>0</v>
      </c>
      <c r="J707" s="184">
        <f ca="1">IFERROR(__xludf.DUMMYFUNCTION("IMPORTRANGE(""https://docs.google.com/spreadsheets/d/1tdoBKaGub7dwA3U6UFTqxio9LNnvDCQjHKmttSEBsFQ/edit?usp=sharing"",""จัดที่ดิน!BN27"")"),0)</f>
        <v>0</v>
      </c>
      <c r="K707" s="224">
        <f ca="1">IF(I707&gt;0,J707*100/I707,0)</f>
        <v>0</v>
      </c>
      <c r="L707" s="1392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8"/>
      <c r="B708" s="158"/>
      <c r="C708" s="158"/>
      <c r="D708" s="145"/>
      <c r="E708" s="418" t="s">
        <v>262</v>
      </c>
      <c r="F708" s="145"/>
      <c r="G708" s="143"/>
      <c r="H708" s="134" t="s">
        <v>46</v>
      </c>
      <c r="I708" s="184">
        <v>0</v>
      </c>
      <c r="J708" s="184">
        <f ca="1">IFERROR(__xludf.DUMMYFUNCTION("IMPORTRANGE(""https://docs.google.com/spreadsheets/d/1tdoBKaGub7dwA3U6UFTqxio9LNnvDCQjHKmttSEBsFQ/edit?usp=sharing"",""จัดที่ดิน!BO27"")"),0)</f>
        <v>0</v>
      </c>
      <c r="K708" s="224">
        <f>IF(I708&gt;0,J708*100/I708,0)</f>
        <v>0</v>
      </c>
      <c r="L708" s="1392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8"/>
      <c r="B709" s="158"/>
      <c r="C709" s="158"/>
      <c r="D709" s="40"/>
      <c r="E709" s="47" t="s">
        <v>263</v>
      </c>
      <c r="F709" s="40"/>
      <c r="G709" s="42"/>
      <c r="H709" s="175" t="s">
        <v>35</v>
      </c>
      <c r="I709" s="184">
        <f ca="1">IFERROR(__xludf.DUMMYFUNCTION("IMPORTRANGE(""https://docs.google.com/spreadsheets/d/1eHaY18a8A9IcSdp1K8H6x8fbOy06t2VsZHhMHf-1x7Y/edit?usp=sharing"",""แผน!LK27"")"),4)</f>
        <v>4</v>
      </c>
      <c r="J709" s="184">
        <f ca="1">IFERROR(__xludf.DUMMYFUNCTION("IMPORTRANGE(""https://docs.google.com/spreadsheets/d/1tdoBKaGub7dwA3U6UFTqxio9LNnvDCQjHKmttSEBsFQ/edit?usp=sharing"",""จัดที่ดิน!BP27"")"),0)</f>
        <v>0</v>
      </c>
      <c r="K709" s="224">
        <f ca="1">IF(I709&gt;0,J709*100/I709,0)</f>
        <v>0</v>
      </c>
      <c r="L709" s="1359"/>
      <c r="M709" s="45"/>
      <c r="N709" s="45"/>
      <c r="O709" s="45"/>
      <c r="P709" s="45"/>
      <c r="Q709" s="45"/>
      <c r="R709" s="45"/>
      <c r="S709" s="45"/>
      <c r="T709" s="45"/>
      <c r="U709" s="45"/>
    </row>
    <row r="710" spans="1:21" ht="18.75" x14ac:dyDescent="0.25">
      <c r="A710" s="208"/>
      <c r="B710" s="158"/>
      <c r="C710" s="158"/>
      <c r="D710" s="40"/>
      <c r="E710" s="418" t="s">
        <v>264</v>
      </c>
      <c r="F710" s="40"/>
      <c r="G710" s="42"/>
      <c r="H710" s="175" t="s">
        <v>46</v>
      </c>
      <c r="I710" s="184">
        <v>0</v>
      </c>
      <c r="J710" s="184">
        <f ca="1">IFERROR(__xludf.DUMMYFUNCTION("IMPORTRANGE(""https://docs.google.com/spreadsheets/d/1tdoBKaGub7dwA3U6UFTqxio9LNnvDCQjHKmttSEBsFQ/edit?usp=sharing"",""จัดที่ดิน!BQ27"")"),0)</f>
        <v>0</v>
      </c>
      <c r="K710" s="224">
        <f>IF(I710&gt;0,J710*100/I710,0)</f>
        <v>0</v>
      </c>
      <c r="L710" s="1359"/>
      <c r="M710" s="45"/>
      <c r="N710" s="45"/>
      <c r="O710" s="45"/>
      <c r="P710" s="45"/>
      <c r="Q710" s="45"/>
      <c r="R710" s="45"/>
      <c r="S710" s="45"/>
      <c r="T710" s="45"/>
      <c r="U710" s="45"/>
    </row>
    <row r="711" spans="1:21" ht="12.75" x14ac:dyDescent="0.2">
      <c r="A711" s="360"/>
      <c r="B711" s="316"/>
      <c r="C711" s="316"/>
      <c r="D711" s="361"/>
      <c r="E711" s="361"/>
      <c r="F711" s="361"/>
      <c r="G711" s="362"/>
      <c r="H711" s="317"/>
      <c r="I711" s="318"/>
      <c r="J711" s="318"/>
      <c r="K711" s="319"/>
      <c r="L711" s="1537"/>
      <c r="M711" s="319"/>
      <c r="N711" s="319"/>
      <c r="O711" s="319"/>
      <c r="P711" s="319"/>
      <c r="Q711" s="319"/>
      <c r="R711" s="319"/>
      <c r="S711" s="319"/>
      <c r="T711" s="319"/>
      <c r="U711" s="319"/>
    </row>
    <row r="712" spans="1:21" ht="19.5" x14ac:dyDescent="0.3">
      <c r="A712" s="387"/>
      <c r="B712" s="419" t="s">
        <v>265</v>
      </c>
      <c r="C712" s="387"/>
      <c r="D712" s="389"/>
      <c r="E712" s="389"/>
      <c r="F712" s="389"/>
      <c r="G712" s="390"/>
      <c r="H712" s="420" t="s">
        <v>46</v>
      </c>
      <c r="I712" s="392"/>
      <c r="J712" s="392">
        <f>J724</f>
        <v>0</v>
      </c>
      <c r="K712" s="1594">
        <f>IF(I712&gt;0,J712*100/I712,0)</f>
        <v>0</v>
      </c>
      <c r="L712" s="1581"/>
      <c r="M712" s="393"/>
      <c r="N712" s="393"/>
      <c r="O712" s="393"/>
      <c r="P712" s="393"/>
      <c r="Q712" s="393"/>
      <c r="R712" s="393"/>
      <c r="S712" s="393"/>
      <c r="T712" s="393"/>
      <c r="U712" s="393"/>
    </row>
    <row r="713" spans="1:21" ht="19.5" x14ac:dyDescent="0.3">
      <c r="A713" s="387"/>
      <c r="B713" s="419" t="s">
        <v>266</v>
      </c>
      <c r="C713" s="387"/>
      <c r="D713" s="389"/>
      <c r="E713" s="389"/>
      <c r="F713" s="389"/>
      <c r="G713" s="390"/>
      <c r="H713" s="391"/>
      <c r="I713" s="392"/>
      <c r="J713" s="392"/>
      <c r="K713" s="393"/>
      <c r="L713" s="1581"/>
      <c r="M713" s="393"/>
      <c r="N713" s="393"/>
      <c r="O713" s="393"/>
      <c r="P713" s="393"/>
      <c r="Q713" s="393"/>
      <c r="R713" s="393"/>
      <c r="S713" s="393"/>
      <c r="T713" s="393"/>
      <c r="U713" s="393"/>
    </row>
    <row r="714" spans="1:21" ht="19.5" x14ac:dyDescent="0.3">
      <c r="A714" s="128"/>
      <c r="B714" s="158"/>
      <c r="C714" s="314" t="s">
        <v>18</v>
      </c>
      <c r="D714" s="1569" t="s">
        <v>19</v>
      </c>
      <c r="E714" s="1285"/>
      <c r="F714" s="1285"/>
      <c r="G714" s="1286"/>
      <c r="H714" s="375" t="s">
        <v>14</v>
      </c>
      <c r="I714" s="44"/>
      <c r="J714" s="44"/>
      <c r="K714" s="45"/>
      <c r="L714" s="1389">
        <f>L715+L716</f>
        <v>0</v>
      </c>
      <c r="M714" s="1390">
        <f>M715+M716</f>
        <v>0</v>
      </c>
      <c r="N714" s="1390">
        <f>N715+N716</f>
        <v>0</v>
      </c>
      <c r="O714" s="1390">
        <f>IF(L714&gt;0,N714*100/L714,0)</f>
        <v>0</v>
      </c>
      <c r="P714" s="1390">
        <f>IF(M714&gt;0,N714*100/M714,0)</f>
        <v>0</v>
      </c>
      <c r="Q714" s="1390">
        <f>Q715+Q716</f>
        <v>0</v>
      </c>
      <c r="R714" s="1390">
        <f>R715+R716</f>
        <v>0</v>
      </c>
      <c r="S714" s="1390">
        <f>S715+S716</f>
        <v>0</v>
      </c>
      <c r="T714" s="1390">
        <f>IF(Q714&gt;0,S714*100/Q714,0)</f>
        <v>0</v>
      </c>
      <c r="U714" s="1390">
        <f>IF(R714&gt;0,S714*100/R714,0)</f>
        <v>0</v>
      </c>
    </row>
    <row r="715" spans="1:21" ht="18.75" x14ac:dyDescent="0.25">
      <c r="A715" s="128"/>
      <c r="B715" s="158"/>
      <c r="C715" s="158"/>
      <c r="D715" s="145"/>
      <c r="E715" s="156" t="s">
        <v>158</v>
      </c>
      <c r="F715" s="40"/>
      <c r="G715" s="42"/>
      <c r="H715" s="159" t="s">
        <v>14</v>
      </c>
      <c r="I715" s="44"/>
      <c r="J715" s="44"/>
      <c r="K715" s="45"/>
      <c r="L715" s="1358">
        <f>L718+L721</f>
        <v>0</v>
      </c>
      <c r="M715" s="83">
        <f>M718+M721</f>
        <v>0</v>
      </c>
      <c r="N715" s="83">
        <f>N718+N721</f>
        <v>0</v>
      </c>
      <c r="O715" s="83">
        <f>IF(L715&gt;0,N715*100/L715,0)</f>
        <v>0</v>
      </c>
      <c r="P715" s="83">
        <f>IF(M715&gt;0,N715*100/M715,0)</f>
        <v>0</v>
      </c>
      <c r="Q715" s="83">
        <f>Q718+Q721</f>
        <v>0</v>
      </c>
      <c r="R715" s="83">
        <f>R718+R721</f>
        <v>0</v>
      </c>
      <c r="S715" s="83">
        <f>S718+S721</f>
        <v>0</v>
      </c>
      <c r="T715" s="83">
        <f>IF(Q715&gt;0,S715*100/Q715,0)</f>
        <v>0</v>
      </c>
      <c r="U715" s="83">
        <f>IF(R715&gt;0,S715*100/R715,0)</f>
        <v>0</v>
      </c>
    </row>
    <row r="716" spans="1:21" ht="18.75" x14ac:dyDescent="0.25">
      <c r="A716" s="128"/>
      <c r="B716" s="158"/>
      <c r="C716" s="158"/>
      <c r="D716" s="145"/>
      <c r="E716" s="156" t="s">
        <v>159</v>
      </c>
      <c r="F716" s="40"/>
      <c r="G716" s="42"/>
      <c r="H716" s="159" t="s">
        <v>14</v>
      </c>
      <c r="I716" s="44"/>
      <c r="J716" s="44"/>
      <c r="K716" s="45"/>
      <c r="L716" s="1356">
        <f>L719+L722</f>
        <v>0</v>
      </c>
      <c r="M716" s="224">
        <f>M719+M722</f>
        <v>0</v>
      </c>
      <c r="N716" s="224">
        <f>N719+N722</f>
        <v>0</v>
      </c>
      <c r="O716" s="224">
        <f>IF(L716&gt;0,N716*100/L716,0)</f>
        <v>0</v>
      </c>
      <c r="P716" s="224">
        <f>IF(M716&gt;0,N716*100/M716,0)</f>
        <v>0</v>
      </c>
      <c r="Q716" s="224">
        <f>Q719+Q722</f>
        <v>0</v>
      </c>
      <c r="R716" s="224">
        <f>R719+R722</f>
        <v>0</v>
      </c>
      <c r="S716" s="224">
        <f>S719+S722</f>
        <v>0</v>
      </c>
      <c r="T716" s="224">
        <f>IF(Q716&gt;0,S716*100/Q716,0)</f>
        <v>0</v>
      </c>
      <c r="U716" s="224">
        <f>IF(R716&gt;0,S716*100/R716,0)</f>
        <v>0</v>
      </c>
    </row>
    <row r="717" spans="1:21" ht="19.5" x14ac:dyDescent="0.3">
      <c r="A717" s="128"/>
      <c r="B717" s="158"/>
      <c r="C717" s="158"/>
      <c r="D717" s="1434" t="s">
        <v>22</v>
      </c>
      <c r="E717" s="40"/>
      <c r="F717" s="40"/>
      <c r="G717" s="42"/>
      <c r="H717" s="375" t="s">
        <v>14</v>
      </c>
      <c r="I717" s="135"/>
      <c r="J717" s="135"/>
      <c r="K717" s="136"/>
      <c r="L717" s="1356">
        <f>L718+L719</f>
        <v>0</v>
      </c>
      <c r="M717" s="224">
        <f>M718+M719</f>
        <v>0</v>
      </c>
      <c r="N717" s="224">
        <f>N718+N719</f>
        <v>0</v>
      </c>
      <c r="O717" s="224">
        <f>IF(L717&gt;0,N717*100/L717,0)</f>
        <v>0</v>
      </c>
      <c r="P717" s="224">
        <f>IF(M717&gt;0,N717*100/M717,0)</f>
        <v>0</v>
      </c>
      <c r="Q717" s="224">
        <f>Q718+Q719</f>
        <v>0</v>
      </c>
      <c r="R717" s="224">
        <f>R718+R719</f>
        <v>0</v>
      </c>
      <c r="S717" s="224">
        <f>S718+S719</f>
        <v>0</v>
      </c>
      <c r="T717" s="224">
        <f>IF(Q717&gt;0,S717*100/Q717,0)</f>
        <v>0</v>
      </c>
      <c r="U717" s="224">
        <f>IF(R717&gt;0,S717*100/R717,0)</f>
        <v>0</v>
      </c>
    </row>
    <row r="718" spans="1:21" ht="18.75" x14ac:dyDescent="0.25">
      <c r="A718" s="128"/>
      <c r="B718" s="158"/>
      <c r="C718" s="158"/>
      <c r="D718" s="145"/>
      <c r="E718" s="156" t="s">
        <v>158</v>
      </c>
      <c r="F718" s="40"/>
      <c r="G718" s="42"/>
      <c r="H718" s="159" t="s">
        <v>14</v>
      </c>
      <c r="I718" s="44"/>
      <c r="J718" s="44"/>
      <c r="K718" s="45"/>
      <c r="L718" s="1358">
        <v>0</v>
      </c>
      <c r="M718" s="83">
        <v>0</v>
      </c>
      <c r="N718" s="83">
        <v>0</v>
      </c>
      <c r="O718" s="83">
        <f>IF(L718&gt;0,N718*100/L718,0)</f>
        <v>0</v>
      </c>
      <c r="P718" s="83">
        <f>IF(M718&gt;0,N718*100/M718,0)</f>
        <v>0</v>
      </c>
      <c r="Q718" s="83">
        <v>0</v>
      </c>
      <c r="R718" s="83">
        <v>0</v>
      </c>
      <c r="S718" s="83">
        <v>0</v>
      </c>
      <c r="T718" s="83">
        <f>IF(Q718&gt;0,S718*100/Q718,0)</f>
        <v>0</v>
      </c>
      <c r="U718" s="83">
        <f>IF(R718&gt;0,S718*100/R718,0)</f>
        <v>0</v>
      </c>
    </row>
    <row r="719" spans="1:21" ht="18.75" x14ac:dyDescent="0.25">
      <c r="A719" s="128"/>
      <c r="B719" s="158"/>
      <c r="C719" s="158"/>
      <c r="D719" s="145"/>
      <c r="E719" s="156" t="s">
        <v>159</v>
      </c>
      <c r="F719" s="40"/>
      <c r="G719" s="42"/>
      <c r="H719" s="159" t="s">
        <v>14</v>
      </c>
      <c r="I719" s="44"/>
      <c r="J719" s="44"/>
      <c r="K719" s="45"/>
      <c r="L719" s="1356">
        <v>0</v>
      </c>
      <c r="M719" s="224">
        <v>0</v>
      </c>
      <c r="N719" s="224">
        <v>0</v>
      </c>
      <c r="O719" s="224">
        <f>IF(L719&gt;0,N719*100/L719,0)</f>
        <v>0</v>
      </c>
      <c r="P719" s="224">
        <f>IF(M719&gt;0,N719*100/M719,0)</f>
        <v>0</v>
      </c>
      <c r="Q719" s="224">
        <v>0</v>
      </c>
      <c r="R719" s="224">
        <v>0</v>
      </c>
      <c r="S719" s="224">
        <v>0</v>
      </c>
      <c r="T719" s="224">
        <f>IF(Q719&gt;0,S719*100/Q719,0)</f>
        <v>0</v>
      </c>
      <c r="U719" s="224">
        <f>IF(R719&gt;0,S719*100/R719,0)</f>
        <v>0</v>
      </c>
    </row>
    <row r="720" spans="1:21" ht="19.5" x14ac:dyDescent="0.3">
      <c r="A720" s="128"/>
      <c r="B720" s="158"/>
      <c r="C720" s="158"/>
      <c r="D720" s="1434" t="s">
        <v>23</v>
      </c>
      <c r="E720" s="40"/>
      <c r="F720" s="40"/>
      <c r="G720" s="42"/>
      <c r="H720" s="377" t="s">
        <v>14</v>
      </c>
      <c r="I720" s="135"/>
      <c r="J720" s="135"/>
      <c r="K720" s="136"/>
      <c r="L720" s="1356">
        <f>L721+L722</f>
        <v>0</v>
      </c>
      <c r="M720" s="224">
        <f>M721+M722</f>
        <v>0</v>
      </c>
      <c r="N720" s="224">
        <f>N721+N722</f>
        <v>0</v>
      </c>
      <c r="O720" s="224">
        <f>IF(L720&gt;0,N720*100/L720,0)</f>
        <v>0</v>
      </c>
      <c r="P720" s="224">
        <f>IF(M720&gt;0,N720*100/M720,0)</f>
        <v>0</v>
      </c>
      <c r="Q720" s="224">
        <f>Q721+Q722</f>
        <v>0</v>
      </c>
      <c r="R720" s="224">
        <f>R721+R722</f>
        <v>0</v>
      </c>
      <c r="S720" s="224">
        <f>S721+S722</f>
        <v>0</v>
      </c>
      <c r="T720" s="224">
        <f>IF(Q720&gt;0,S720*100/Q720,0)</f>
        <v>0</v>
      </c>
      <c r="U720" s="224">
        <f>IF(R720&gt;0,S720*100/R720,0)</f>
        <v>0</v>
      </c>
    </row>
    <row r="721" spans="1:21" ht="18.75" x14ac:dyDescent="0.25">
      <c r="A721" s="128"/>
      <c r="B721" s="158"/>
      <c r="C721" s="158"/>
      <c r="D721" s="40"/>
      <c r="E721" s="156" t="s">
        <v>20</v>
      </c>
      <c r="F721" s="40"/>
      <c r="G721" s="42"/>
      <c r="H721" s="159" t="s">
        <v>14</v>
      </c>
      <c r="I721" s="135"/>
      <c r="J721" s="135"/>
      <c r="K721" s="136"/>
      <c r="L721" s="1358">
        <v>0</v>
      </c>
      <c r="M721" s="83">
        <v>0</v>
      </c>
      <c r="N721" s="83">
        <v>0</v>
      </c>
      <c r="O721" s="83">
        <f>IF(L721&gt;0,N721*100/L721,0)</f>
        <v>0</v>
      </c>
      <c r="P721" s="83">
        <f>IF(M721&gt;0,N721*100/M721,0)</f>
        <v>0</v>
      </c>
      <c r="Q721" s="83">
        <v>0</v>
      </c>
      <c r="R721" s="83">
        <v>0</v>
      </c>
      <c r="S721" s="83">
        <v>0</v>
      </c>
      <c r="T721" s="83">
        <f>IF(Q721&gt;0,S721*100/Q721,0)</f>
        <v>0</v>
      </c>
      <c r="U721" s="83">
        <f>IF(R721&gt;0,S721*100/R721,0)</f>
        <v>0</v>
      </c>
    </row>
    <row r="722" spans="1:21" ht="18.75" x14ac:dyDescent="0.25">
      <c r="A722" s="128"/>
      <c r="B722" s="158"/>
      <c r="C722" s="158"/>
      <c r="D722" s="40"/>
      <c r="E722" s="156" t="s">
        <v>21</v>
      </c>
      <c r="F722" s="40"/>
      <c r="G722" s="42"/>
      <c r="H722" s="378" t="s">
        <v>14</v>
      </c>
      <c r="I722" s="135"/>
      <c r="J722" s="135"/>
      <c r="K722" s="136"/>
      <c r="L722" s="1356">
        <v>0</v>
      </c>
      <c r="M722" s="224">
        <v>0</v>
      </c>
      <c r="N722" s="224">
        <v>0</v>
      </c>
      <c r="O722" s="224">
        <f>IF(L722&gt;0,N722*100/L722,0)</f>
        <v>0</v>
      </c>
      <c r="P722" s="224">
        <f>IF(M722&gt;0,N722*100/M722,0)</f>
        <v>0</v>
      </c>
      <c r="Q722" s="224">
        <v>0</v>
      </c>
      <c r="R722" s="224">
        <v>0</v>
      </c>
      <c r="S722" s="224">
        <v>0</v>
      </c>
      <c r="T722" s="224">
        <f>IF(Q722&gt;0,S722*100/Q722,0)</f>
        <v>0</v>
      </c>
      <c r="U722" s="224">
        <f>IF(R722&gt;0,S722*100/R722,0)</f>
        <v>0</v>
      </c>
    </row>
    <row r="723" spans="1:21" ht="19.5" x14ac:dyDescent="0.3">
      <c r="A723" s="138"/>
      <c r="B723" s="139"/>
      <c r="C723" s="314" t="s">
        <v>18</v>
      </c>
      <c r="D723" s="1595" t="s">
        <v>38</v>
      </c>
      <c r="E723" s="141"/>
      <c r="F723" s="141"/>
      <c r="G723" s="142"/>
      <c r="H723" s="178"/>
      <c r="I723" s="135"/>
      <c r="J723" s="135"/>
      <c r="K723" s="136"/>
      <c r="L723" s="1392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08"/>
      <c r="B724" s="158"/>
      <c r="C724" s="158"/>
      <c r="D724" s="40"/>
      <c r="E724" s="156" t="s">
        <v>267</v>
      </c>
      <c r="F724" s="40"/>
      <c r="G724" s="42"/>
      <c r="H724" s="159" t="s">
        <v>46</v>
      </c>
      <c r="I724" s="423">
        <v>0</v>
      </c>
      <c r="J724" s="44"/>
      <c r="K724" s="45"/>
      <c r="L724" s="1359"/>
      <c r="M724" s="45"/>
      <c r="N724" s="45"/>
      <c r="O724" s="45"/>
      <c r="P724" s="45"/>
      <c r="Q724" s="45"/>
      <c r="R724" s="45"/>
      <c r="S724" s="45"/>
      <c r="T724" s="45"/>
      <c r="U724" s="45"/>
    </row>
    <row r="725" spans="1:21" ht="18.75" x14ac:dyDescent="0.25">
      <c r="A725" s="329"/>
      <c r="B725" s="2"/>
      <c r="C725" s="2"/>
      <c r="D725" s="1"/>
      <c r="E725" s="424" t="s">
        <v>268</v>
      </c>
      <c r="F725" s="1"/>
      <c r="G725" s="52"/>
      <c r="H725" s="425" t="s">
        <v>46</v>
      </c>
      <c r="I725" s="426">
        <v>0</v>
      </c>
      <c r="J725" s="54"/>
      <c r="K725" s="3"/>
      <c r="L725" s="1360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9.5" x14ac:dyDescent="0.3">
      <c r="A726" s="387"/>
      <c r="B726" s="388" t="s">
        <v>269</v>
      </c>
      <c r="C726" s="387"/>
      <c r="D726" s="389"/>
      <c r="E726" s="389"/>
      <c r="F726" s="389"/>
      <c r="G726" s="390"/>
      <c r="H726" s="427" t="s">
        <v>35</v>
      </c>
      <c r="I726" s="1596">
        <f ca="1">IFERROR(__xludf.DUMMYFUNCTION("IMPORTRANGE(""https://docs.google.com/spreadsheets/d/1eHaY18a8A9IcSdp1K8H6x8fbOy06t2VsZHhMHf-1x7Y/edit?usp=sharing"",""แผน!GA27"")"),42)</f>
        <v>42</v>
      </c>
      <c r="J726" s="1596">
        <f>J742+J746+J749</f>
        <v>50</v>
      </c>
      <c r="K726" s="1593">
        <f ca="1">IF(I726&gt;0,J726*100/I726,0)</f>
        <v>119.04761904761905</v>
      </c>
      <c r="L726" s="1581"/>
      <c r="M726" s="393"/>
      <c r="N726" s="393"/>
      <c r="O726" s="393"/>
      <c r="P726" s="393"/>
      <c r="Q726" s="393"/>
      <c r="R726" s="393"/>
      <c r="S726" s="393"/>
      <c r="T726" s="393"/>
      <c r="U726" s="393"/>
    </row>
    <row r="727" spans="1:21" ht="19.5" x14ac:dyDescent="0.3">
      <c r="A727" s="429"/>
      <c r="B727" s="387"/>
      <c r="C727" s="387"/>
      <c r="D727" s="389"/>
      <c r="E727" s="389"/>
      <c r="F727" s="389"/>
      <c r="G727" s="390"/>
      <c r="H727" s="427" t="s">
        <v>46</v>
      </c>
      <c r="I727" s="1596">
        <f ca="1">IFERROR(__xludf.DUMMYFUNCTION("IMPORTRANGE(""https://docs.google.com/spreadsheets/d/1eHaY18a8A9IcSdp1K8H6x8fbOy06t2VsZHhMHf-1x7Y/edit?usp=sharing"",""แผน!FZ27"")"),400)</f>
        <v>400</v>
      </c>
      <c r="J727" s="1596">
        <f>J752+J755</f>
        <v>400</v>
      </c>
      <c r="K727" s="1593">
        <f ca="1">IF(I727&gt;0,J727*100/I727,0)</f>
        <v>100</v>
      </c>
      <c r="L727" s="1581"/>
      <c r="M727" s="393"/>
      <c r="N727" s="393"/>
      <c r="O727" s="393"/>
      <c r="P727" s="393"/>
      <c r="Q727" s="393"/>
      <c r="R727" s="393"/>
      <c r="S727" s="393"/>
      <c r="T727" s="393"/>
      <c r="U727" s="393"/>
    </row>
    <row r="728" spans="1:21" ht="19.5" x14ac:dyDescent="0.3">
      <c r="A728" s="128"/>
      <c r="B728" s="158"/>
      <c r="C728" s="177" t="s">
        <v>18</v>
      </c>
      <c r="D728" s="1585" t="s">
        <v>19</v>
      </c>
      <c r="E728" s="1285"/>
      <c r="F728" s="1285"/>
      <c r="G728" s="1286"/>
      <c r="H728" s="221" t="s">
        <v>14</v>
      </c>
      <c r="I728" s="44"/>
      <c r="J728" s="44"/>
      <c r="K728" s="45"/>
      <c r="L728" s="1389">
        <f>L729+L730</f>
        <v>0</v>
      </c>
      <c r="M728" s="1390">
        <f>M729+M730</f>
        <v>0</v>
      </c>
      <c r="N728" s="1390">
        <f>N729+N730</f>
        <v>0</v>
      </c>
      <c r="O728" s="1390">
        <f>IF(L728&gt;0,N728*100/L728,0)</f>
        <v>0</v>
      </c>
      <c r="P728" s="1390">
        <f>IF(M728&gt;0,N728*100/M728,0)</f>
        <v>0</v>
      </c>
      <c r="Q728" s="1390">
        <f ca="1">Q729+Q730</f>
        <v>322458</v>
      </c>
      <c r="R728" s="1390">
        <f ca="1">R729+R730</f>
        <v>322458</v>
      </c>
      <c r="S728" s="1390">
        <f ca="1">S729+S730</f>
        <v>62015</v>
      </c>
      <c r="T728" s="1390">
        <f ca="1">IF(Q728&gt;0,S728*100/Q728,0)</f>
        <v>19.231961991949341</v>
      </c>
      <c r="U728" s="1390">
        <f ca="1">IF(R728&gt;0,S728*100/R728,0)</f>
        <v>19.231961991949341</v>
      </c>
    </row>
    <row r="729" spans="1:21" ht="18.75" x14ac:dyDescent="0.25">
      <c r="A729" s="128"/>
      <c r="B729" s="158"/>
      <c r="C729" s="158"/>
      <c r="D729" s="145"/>
      <c r="E729" s="156" t="s">
        <v>158</v>
      </c>
      <c r="F729" s="40"/>
      <c r="G729" s="42"/>
      <c r="H729" s="159" t="s">
        <v>14</v>
      </c>
      <c r="I729" s="44"/>
      <c r="J729" s="44"/>
      <c r="K729" s="45"/>
      <c r="L729" s="1358">
        <f>L732+L735</f>
        <v>0</v>
      </c>
      <c r="M729" s="83">
        <f>M732+M735</f>
        <v>0</v>
      </c>
      <c r="N729" s="83">
        <f>N732+N735</f>
        <v>0</v>
      </c>
      <c r="O729" s="83">
        <f>IF(L729&gt;0,N729*100/L729,0)</f>
        <v>0</v>
      </c>
      <c r="P729" s="83">
        <f>IF(M729&gt;0,N729*100/M729,0)</f>
        <v>0</v>
      </c>
      <c r="Q729" s="83">
        <f>Q732+Q735</f>
        <v>0</v>
      </c>
      <c r="R729" s="83">
        <f>R732+R735</f>
        <v>0</v>
      </c>
      <c r="S729" s="83">
        <f>S732+S735</f>
        <v>0</v>
      </c>
      <c r="T729" s="83">
        <f>IF(Q729&gt;0,S729*100/Q729,0)</f>
        <v>0</v>
      </c>
      <c r="U729" s="83">
        <f>IF(R729&gt;0,S729*100/R729,0)</f>
        <v>0</v>
      </c>
    </row>
    <row r="730" spans="1:21" ht="18.75" x14ac:dyDescent="0.25">
      <c r="A730" s="128"/>
      <c r="B730" s="158"/>
      <c r="C730" s="158"/>
      <c r="D730" s="145"/>
      <c r="E730" s="47" t="s">
        <v>159</v>
      </c>
      <c r="F730" s="40"/>
      <c r="G730" s="42"/>
      <c r="H730" s="134" t="s">
        <v>14</v>
      </c>
      <c r="I730" s="44"/>
      <c r="J730" s="44"/>
      <c r="K730" s="45"/>
      <c r="L730" s="1356">
        <f>L733+L736</f>
        <v>0</v>
      </c>
      <c r="M730" s="224">
        <f>M733+M736</f>
        <v>0</v>
      </c>
      <c r="N730" s="224">
        <f>N733+N736</f>
        <v>0</v>
      </c>
      <c r="O730" s="224">
        <f>IF(L730&gt;0,N730*100/L730,0)</f>
        <v>0</v>
      </c>
      <c r="P730" s="224">
        <f>IF(M730&gt;0,N730*100/M730,0)</f>
        <v>0</v>
      </c>
      <c r="Q730" s="224">
        <f ca="1">Q733+Q736</f>
        <v>322458</v>
      </c>
      <c r="R730" s="224">
        <f ca="1">R733+R736</f>
        <v>322458</v>
      </c>
      <c r="S730" s="224">
        <f ca="1">S733+S736</f>
        <v>62015</v>
      </c>
      <c r="T730" s="224">
        <f ca="1">IF(Q730&gt;0,S730*100/Q730,0)</f>
        <v>19.231961991949341</v>
      </c>
      <c r="U730" s="224">
        <f ca="1">IF(R730&gt;0,S730*100/R730,0)</f>
        <v>19.231961991949341</v>
      </c>
    </row>
    <row r="731" spans="1:21" ht="18.75" x14ac:dyDescent="0.25">
      <c r="A731" s="128"/>
      <c r="B731" s="158"/>
      <c r="C731" s="158"/>
      <c r="D731" s="41" t="s">
        <v>22</v>
      </c>
      <c r="E731" s="40"/>
      <c r="F731" s="40"/>
      <c r="G731" s="42"/>
      <c r="H731" s="134" t="s">
        <v>14</v>
      </c>
      <c r="I731" s="135"/>
      <c r="J731" s="135"/>
      <c r="K731" s="136"/>
      <c r="L731" s="1356">
        <f>L732+L733</f>
        <v>0</v>
      </c>
      <c r="M731" s="224">
        <f>M732+M733</f>
        <v>0</v>
      </c>
      <c r="N731" s="224">
        <f>N732+N733</f>
        <v>0</v>
      </c>
      <c r="O731" s="224">
        <f>IF(L731&gt;0,N731*100/L731,0)</f>
        <v>0</v>
      </c>
      <c r="P731" s="224">
        <f>IF(M731&gt;0,N731*100/M731,0)</f>
        <v>0</v>
      </c>
      <c r="Q731" s="224">
        <f ca="1">Q732+Q733</f>
        <v>322458</v>
      </c>
      <c r="R731" s="224">
        <f ca="1">R732+R733</f>
        <v>322458</v>
      </c>
      <c r="S731" s="224">
        <f ca="1">S732+S733</f>
        <v>62015</v>
      </c>
      <c r="T731" s="224">
        <f ca="1">IF(Q731&gt;0,S731*100/Q731,0)</f>
        <v>19.231961991949341</v>
      </c>
      <c r="U731" s="224">
        <f ca="1">IF(R731&gt;0,S731*100/R731,0)</f>
        <v>19.231961991949341</v>
      </c>
    </row>
    <row r="732" spans="1:21" ht="18.75" x14ac:dyDescent="0.25">
      <c r="A732" s="128"/>
      <c r="B732" s="158"/>
      <c r="C732" s="158"/>
      <c r="D732" s="145"/>
      <c r="E732" s="156" t="s">
        <v>158</v>
      </c>
      <c r="F732" s="40"/>
      <c r="G732" s="42"/>
      <c r="H732" s="159" t="s">
        <v>14</v>
      </c>
      <c r="I732" s="44"/>
      <c r="J732" s="44"/>
      <c r="K732" s="45"/>
      <c r="L732" s="1358">
        <v>0</v>
      </c>
      <c r="M732" s="83">
        <v>0</v>
      </c>
      <c r="N732" s="83">
        <v>0</v>
      </c>
      <c r="O732" s="83">
        <f>IF(L732&gt;0,N732*100/L732,0)</f>
        <v>0</v>
      </c>
      <c r="P732" s="83">
        <f>IF(M732&gt;0,N732*100/M732,0)</f>
        <v>0</v>
      </c>
      <c r="Q732" s="83">
        <v>0</v>
      </c>
      <c r="R732" s="83">
        <v>0</v>
      </c>
      <c r="S732" s="83">
        <v>0</v>
      </c>
      <c r="T732" s="83">
        <f>IF(Q732&gt;0,S732*100/Q732,0)</f>
        <v>0</v>
      </c>
      <c r="U732" s="83">
        <f>IF(R732&gt;0,S732*100/R732,0)</f>
        <v>0</v>
      </c>
    </row>
    <row r="733" spans="1:21" ht="18.75" x14ac:dyDescent="0.25">
      <c r="A733" s="128"/>
      <c r="B733" s="158"/>
      <c r="C733" s="158"/>
      <c r="D733" s="145"/>
      <c r="E733" s="47" t="s">
        <v>159</v>
      </c>
      <c r="F733" s="40"/>
      <c r="G733" s="42"/>
      <c r="H733" s="134" t="s">
        <v>14</v>
      </c>
      <c r="I733" s="44"/>
      <c r="J733" s="44"/>
      <c r="K733" s="45"/>
      <c r="L733" s="1356">
        <v>0</v>
      </c>
      <c r="M733" s="224">
        <v>0</v>
      </c>
      <c r="N733" s="224">
        <v>0</v>
      </c>
      <c r="O733" s="224">
        <f>IF(L733&gt;0,N733*100/L733,0)</f>
        <v>0</v>
      </c>
      <c r="P733" s="224">
        <f>IF(M733&gt;0,N733*100/M733,0)</f>
        <v>0</v>
      </c>
      <c r="Q733" s="224">
        <f ca="1">IFERROR(__xludf.DUMMYFUNCTION("IMPORTRANGE(""https://docs.google.com/spreadsheets/d/1ItG2mGa2ceCfYo0BwxsXqNm01IGEUdYcSSLTEv9YCik/edit?usp=sharing"",""เบิกจ่ายกองทุน!O27"")"),322458)</f>
        <v>322458</v>
      </c>
      <c r="R733" s="224">
        <f ca="1">IFERROR(__xludf.DUMMYFUNCTION("IMPORTRANGE(""https://docs.google.com/spreadsheets/d/1ItG2mGa2ceCfYo0BwxsXqNm01IGEUdYcSSLTEv9YCik/edit?usp=sharing"",""เบิกจ่ายกองทุน!P27"")"),322458)</f>
        <v>322458</v>
      </c>
      <c r="S733" s="224">
        <f ca="1">IFERROR(__xludf.DUMMYFUNCTION("IMPORTRANGE(""https://docs.google.com/spreadsheets/d/1ItG2mGa2ceCfYo0BwxsXqNm01IGEUdYcSSLTEv9YCik/edit?usp=sharing"",""เบิกจ่ายกองทุน!Q27"")"),62015)</f>
        <v>62015</v>
      </c>
      <c r="T733" s="224">
        <f ca="1">IF(Q733&gt;0,S733*100/Q733,0)</f>
        <v>19.231961991949341</v>
      </c>
      <c r="U733" s="224">
        <f ca="1">IF(R733&gt;0,S733*100/R733,0)</f>
        <v>19.231961991949341</v>
      </c>
    </row>
    <row r="734" spans="1:21" ht="18.75" x14ac:dyDescent="0.25">
      <c r="A734" s="128"/>
      <c r="B734" s="158"/>
      <c r="C734" s="158"/>
      <c r="D734" s="41" t="s">
        <v>23</v>
      </c>
      <c r="E734" s="158"/>
      <c r="F734" s="158"/>
      <c r="G734" s="42"/>
      <c r="H734" s="137" t="s">
        <v>14</v>
      </c>
      <c r="I734" s="135"/>
      <c r="J734" s="135"/>
      <c r="K734" s="136"/>
      <c r="L734" s="1356">
        <f>L735+L736</f>
        <v>0</v>
      </c>
      <c r="M734" s="224">
        <f>M735+M736</f>
        <v>0</v>
      </c>
      <c r="N734" s="224">
        <f>N735+N736</f>
        <v>0</v>
      </c>
      <c r="O734" s="224">
        <f>IF(L734&gt;0,N734*100/L734,0)</f>
        <v>0</v>
      </c>
      <c r="P734" s="224">
        <f>IF(M734&gt;0,N734*100/M734,0)</f>
        <v>0</v>
      </c>
      <c r="Q734" s="224">
        <f>Q735+Q736</f>
        <v>0</v>
      </c>
      <c r="R734" s="224">
        <f>R735+R736</f>
        <v>0</v>
      </c>
      <c r="S734" s="224">
        <f>S735+S736</f>
        <v>0</v>
      </c>
      <c r="T734" s="224">
        <f>IF(Q734&gt;0,S734*100/Q734,0)</f>
        <v>0</v>
      </c>
      <c r="U734" s="224">
        <f>IF(R734&gt;0,S734*100/R734,0)</f>
        <v>0</v>
      </c>
    </row>
    <row r="735" spans="1:21" ht="18.75" x14ac:dyDescent="0.25">
      <c r="A735" s="128"/>
      <c r="B735" s="158"/>
      <c r="C735" s="158"/>
      <c r="D735" s="158"/>
      <c r="E735" s="314" t="s">
        <v>20</v>
      </c>
      <c r="F735" s="158"/>
      <c r="G735" s="42"/>
      <c r="H735" s="159" t="s">
        <v>14</v>
      </c>
      <c r="I735" s="135"/>
      <c r="J735" s="135"/>
      <c r="K735" s="136"/>
      <c r="L735" s="1358">
        <v>0</v>
      </c>
      <c r="M735" s="83">
        <v>0</v>
      </c>
      <c r="N735" s="83">
        <v>0</v>
      </c>
      <c r="O735" s="83">
        <f>IF(L735&gt;0,N735*100/L735,0)</f>
        <v>0</v>
      </c>
      <c r="P735" s="83">
        <f>IF(M735&gt;0,N735*100/M735,0)</f>
        <v>0</v>
      </c>
      <c r="Q735" s="83">
        <v>0</v>
      </c>
      <c r="R735" s="83">
        <v>0</v>
      </c>
      <c r="S735" s="83">
        <v>0</v>
      </c>
      <c r="T735" s="83">
        <f>IF(Q735&gt;0,S735*100/Q735,0)</f>
        <v>0</v>
      </c>
      <c r="U735" s="83">
        <f>IF(R735&gt;0,S735*100/R735,0)</f>
        <v>0</v>
      </c>
    </row>
    <row r="736" spans="1:21" ht="18.75" x14ac:dyDescent="0.25">
      <c r="A736" s="128"/>
      <c r="B736" s="158"/>
      <c r="C736" s="158"/>
      <c r="D736" s="158"/>
      <c r="E736" s="209" t="s">
        <v>21</v>
      </c>
      <c r="F736" s="158"/>
      <c r="G736" s="42"/>
      <c r="H736" s="137" t="s">
        <v>14</v>
      </c>
      <c r="I736" s="135"/>
      <c r="J736" s="135"/>
      <c r="K736" s="136"/>
      <c r="L736" s="1356">
        <v>0</v>
      </c>
      <c r="M736" s="224">
        <v>0</v>
      </c>
      <c r="N736" s="224">
        <v>0</v>
      </c>
      <c r="O736" s="224">
        <f>IF(L736&gt;0,N736*100/L736,0)</f>
        <v>0</v>
      </c>
      <c r="P736" s="224">
        <f>IF(M736&gt;0,N736*100/M736,0)</f>
        <v>0</v>
      </c>
      <c r="Q736" s="224">
        <v>0</v>
      </c>
      <c r="R736" s="224">
        <v>0</v>
      </c>
      <c r="S736" s="224">
        <v>0</v>
      </c>
      <c r="T736" s="224">
        <f>IF(Q736&gt;0,S736*100/Q736,0)</f>
        <v>0</v>
      </c>
      <c r="U736" s="224">
        <f>IF(R736&gt;0,S736*100/R736,0)</f>
        <v>0</v>
      </c>
    </row>
    <row r="737" spans="1:21" ht="19.5" x14ac:dyDescent="0.3">
      <c r="A737" s="138"/>
      <c r="B737" s="139"/>
      <c r="C737" s="177" t="s">
        <v>18</v>
      </c>
      <c r="D737" s="1535" t="s">
        <v>38</v>
      </c>
      <c r="E737" s="203"/>
      <c r="F737" s="141"/>
      <c r="G737" s="142"/>
      <c r="H737" s="178"/>
      <c r="I737" s="44"/>
      <c r="J737" s="44"/>
      <c r="K737" s="45"/>
      <c r="L737" s="1359"/>
      <c r="M737" s="45"/>
      <c r="N737" s="45"/>
      <c r="O737" s="45"/>
      <c r="P737" s="45"/>
      <c r="Q737" s="45"/>
      <c r="R737" s="45"/>
      <c r="S737" s="45"/>
      <c r="T737" s="45"/>
      <c r="U737" s="45"/>
    </row>
    <row r="738" spans="1:21" ht="19.5" x14ac:dyDescent="0.3">
      <c r="A738" s="138"/>
      <c r="B738" s="139"/>
      <c r="C738" s="139"/>
      <c r="D738" s="430" t="s">
        <v>121</v>
      </c>
      <c r="E738" s="139"/>
      <c r="F738" s="139"/>
      <c r="G738" s="143"/>
      <c r="H738" s="180"/>
      <c r="I738" s="44"/>
      <c r="J738" s="44"/>
      <c r="K738" s="45"/>
      <c r="L738" s="1359"/>
      <c r="M738" s="45"/>
      <c r="N738" s="45"/>
      <c r="O738" s="45"/>
      <c r="P738" s="45"/>
      <c r="Q738" s="45"/>
      <c r="R738" s="45"/>
      <c r="S738" s="45"/>
      <c r="T738" s="45"/>
      <c r="U738" s="45"/>
    </row>
    <row r="739" spans="1:21" ht="18.75" x14ac:dyDescent="0.25">
      <c r="A739" s="138"/>
      <c r="B739" s="139"/>
      <c r="C739" s="139"/>
      <c r="D739" s="139"/>
      <c r="E739" s="403" t="s">
        <v>270</v>
      </c>
      <c r="F739" s="139"/>
      <c r="G739" s="143"/>
      <c r="H739" s="180"/>
      <c r="I739" s="44"/>
      <c r="J739" s="44"/>
      <c r="K739" s="45"/>
      <c r="L739" s="1359"/>
      <c r="M739" s="45"/>
      <c r="N739" s="45"/>
      <c r="O739" s="45"/>
      <c r="P739" s="45"/>
      <c r="Q739" s="45"/>
      <c r="R739" s="45"/>
      <c r="S739" s="45"/>
      <c r="T739" s="45"/>
      <c r="U739" s="45"/>
    </row>
    <row r="740" spans="1:21" ht="18.75" x14ac:dyDescent="0.25">
      <c r="A740" s="138"/>
      <c r="B740" s="139"/>
      <c r="C740" s="139"/>
      <c r="D740" s="139"/>
      <c r="E740" s="139"/>
      <c r="F740" s="403" t="s">
        <v>271</v>
      </c>
      <c r="G740" s="143"/>
      <c r="H740" s="133" t="s">
        <v>46</v>
      </c>
      <c r="I740" s="184">
        <f ca="1">IFERROR(__xludf.DUMMYFUNCTION("IMPORTRANGE(""https://docs.google.com/spreadsheets/d/1eHaY18a8A9IcSdp1K8H6x8fbOy06t2VsZHhMHf-1x7Y/edit?usp=sharing"",""แผน!GB27"")"),320)</f>
        <v>320</v>
      </c>
      <c r="J740" s="1395">
        <v>320</v>
      </c>
      <c r="K740" s="224">
        <f ca="1">IF(I740&gt;0,J740*100/I740,0)</f>
        <v>100</v>
      </c>
      <c r="L740" s="1359"/>
      <c r="M740" s="45"/>
      <c r="N740" s="45"/>
      <c r="O740" s="45"/>
      <c r="P740" s="45"/>
      <c r="Q740" s="45"/>
      <c r="R740" s="45"/>
      <c r="S740" s="45"/>
      <c r="T740" s="45"/>
      <c r="U740" s="45"/>
    </row>
    <row r="741" spans="1:21" ht="18.75" x14ac:dyDescent="0.25">
      <c r="A741" s="138"/>
      <c r="B741" s="139"/>
      <c r="C741" s="139"/>
      <c r="D741" s="139"/>
      <c r="E741" s="139"/>
      <c r="F741" s="403" t="s">
        <v>272</v>
      </c>
      <c r="G741" s="143"/>
      <c r="H741" s="133" t="s">
        <v>35</v>
      </c>
      <c r="I741" s="44"/>
      <c r="J741" s="1395">
        <v>40</v>
      </c>
      <c r="K741" s="45"/>
      <c r="L741" s="1359"/>
      <c r="M741" s="45"/>
      <c r="N741" s="45"/>
      <c r="O741" s="45"/>
      <c r="P741" s="45"/>
      <c r="Q741" s="45"/>
      <c r="R741" s="45"/>
      <c r="S741" s="45"/>
      <c r="T741" s="45"/>
      <c r="U741" s="45"/>
    </row>
    <row r="742" spans="1:21" ht="18.75" x14ac:dyDescent="0.25">
      <c r="A742" s="138"/>
      <c r="B742" s="139"/>
      <c r="C742" s="139"/>
      <c r="D742" s="139"/>
      <c r="E742" s="139"/>
      <c r="F742" s="403" t="s">
        <v>273</v>
      </c>
      <c r="G742" s="143"/>
      <c r="H742" s="133" t="s">
        <v>35</v>
      </c>
      <c r="I742" s="184">
        <f ca="1">IFERROR(__xludf.DUMMYFUNCTION("IMPORTRANGE(""https://docs.google.com/spreadsheets/d/1eHaY18a8A9IcSdp1K8H6x8fbOy06t2VsZHhMHf-1x7Y/edit?usp=sharing"",""แผน!GC27"")"),32)</f>
        <v>32</v>
      </c>
      <c r="J742" s="1395">
        <v>40</v>
      </c>
      <c r="K742" s="224">
        <f ca="1">IF(I742&gt;0,J742*100/I742,0)</f>
        <v>125</v>
      </c>
      <c r="L742" s="1359"/>
      <c r="M742" s="45"/>
      <c r="N742" s="45"/>
      <c r="O742" s="45"/>
      <c r="P742" s="45"/>
      <c r="Q742" s="45"/>
      <c r="R742" s="45"/>
      <c r="S742" s="45"/>
      <c r="T742" s="45"/>
      <c r="U742" s="45"/>
    </row>
    <row r="743" spans="1:21" ht="18.75" x14ac:dyDescent="0.25">
      <c r="A743" s="138"/>
      <c r="B743" s="139"/>
      <c r="C743" s="139"/>
      <c r="D743" s="139"/>
      <c r="E743" s="403" t="s">
        <v>274</v>
      </c>
      <c r="F743" s="139"/>
      <c r="G743" s="143"/>
      <c r="H743" s="180"/>
      <c r="I743" s="44"/>
      <c r="J743" s="44"/>
      <c r="K743" s="45"/>
      <c r="L743" s="1359"/>
      <c r="M743" s="45"/>
      <c r="N743" s="45"/>
      <c r="O743" s="45"/>
      <c r="P743" s="45"/>
      <c r="Q743" s="45"/>
      <c r="R743" s="45"/>
      <c r="S743" s="45"/>
      <c r="T743" s="45"/>
      <c r="U743" s="45"/>
    </row>
    <row r="744" spans="1:21" ht="18.75" x14ac:dyDescent="0.25">
      <c r="A744" s="138"/>
      <c r="B744" s="139"/>
      <c r="C744" s="139"/>
      <c r="D744" s="139"/>
      <c r="E744" s="139"/>
      <c r="F744" s="403" t="s">
        <v>271</v>
      </c>
      <c r="G744" s="143"/>
      <c r="H744" s="133" t="s">
        <v>46</v>
      </c>
      <c r="I744" s="184">
        <f ca="1">IFERROR(__xludf.DUMMYFUNCTION("IMPORTRANGE(""https://docs.google.com/spreadsheets/d/1eHaY18a8A9IcSdp1K8H6x8fbOy06t2VsZHhMHf-1x7Y/edit?usp=sharing"",""แผน!GD27"")"),80)</f>
        <v>80</v>
      </c>
      <c r="J744" s="1395">
        <v>80</v>
      </c>
      <c r="K744" s="224">
        <f ca="1">IF(I744&gt;0,J744*100/I744,0)</f>
        <v>100</v>
      </c>
      <c r="L744" s="1359"/>
      <c r="M744" s="45"/>
      <c r="N744" s="45"/>
      <c r="O744" s="45"/>
      <c r="P744" s="45"/>
      <c r="Q744" s="45"/>
      <c r="R744" s="45"/>
      <c r="S744" s="45"/>
      <c r="T744" s="45"/>
      <c r="U744" s="45"/>
    </row>
    <row r="745" spans="1:21" ht="18.75" x14ac:dyDescent="0.25">
      <c r="A745" s="1484"/>
      <c r="B745" s="1485"/>
      <c r="C745" s="1485"/>
      <c r="D745" s="1485"/>
      <c r="E745" s="1485"/>
      <c r="F745" s="1597" t="s">
        <v>336</v>
      </c>
      <c r="G745" s="1487"/>
      <c r="H745" s="1474" t="s">
        <v>35</v>
      </c>
      <c r="I745" s="1464"/>
      <c r="J745" s="1599">
        <v>8</v>
      </c>
      <c r="K745" s="1465"/>
      <c r="L745" s="1600"/>
      <c r="M745" s="1465"/>
      <c r="N745" s="1465"/>
      <c r="O745" s="1465"/>
      <c r="P745" s="1465"/>
      <c r="Q745" s="1465"/>
      <c r="R745" s="1465"/>
      <c r="S745" s="1465"/>
      <c r="T745" s="1465"/>
      <c r="U745" s="1465"/>
    </row>
    <row r="746" spans="1:21" ht="18.75" x14ac:dyDescent="0.25">
      <c r="A746" s="1484"/>
      <c r="B746" s="1485"/>
      <c r="C746" s="1485"/>
      <c r="D746" s="1485"/>
      <c r="E746" s="1485"/>
      <c r="F746" s="1597" t="s">
        <v>337</v>
      </c>
      <c r="G746" s="1487"/>
      <c r="H746" s="1474" t="s">
        <v>35</v>
      </c>
      <c r="I746" s="1598">
        <f ca="1">IFERROR(__xludf.DUMMYFUNCTION("IMPORTRANGE(""https://docs.google.com/spreadsheets/d/1eHaY18a8A9IcSdp1K8H6x8fbOy06t2VsZHhMHf-1x7Y/edit?usp=sharing"",""แผน!GE27"")"),8)</f>
        <v>8</v>
      </c>
      <c r="J746" s="1599">
        <v>8</v>
      </c>
      <c r="K746" s="1476">
        <f ca="1">IF(I746&gt;0,J746*100/I746,0)</f>
        <v>100</v>
      </c>
      <c r="L746" s="1600"/>
      <c r="M746" s="1465"/>
      <c r="N746" s="1465"/>
      <c r="O746" s="1465"/>
      <c r="P746" s="1465"/>
      <c r="Q746" s="1465"/>
      <c r="R746" s="1465"/>
      <c r="S746" s="1465"/>
      <c r="T746" s="1465"/>
      <c r="U746" s="1465"/>
    </row>
    <row r="747" spans="1:21" ht="18.75" x14ac:dyDescent="0.25">
      <c r="A747" s="1484"/>
      <c r="B747" s="1485"/>
      <c r="C747" s="1485"/>
      <c r="D747" s="1485"/>
      <c r="E747" s="1597" t="s">
        <v>277</v>
      </c>
      <c r="F747" s="1602"/>
      <c r="G747" s="1487"/>
      <c r="H747" s="1601"/>
      <c r="I747" s="1464"/>
      <c r="J747" s="1464"/>
      <c r="K747" s="1465"/>
      <c r="L747" s="1600"/>
      <c r="M747" s="1465"/>
      <c r="N747" s="1465"/>
      <c r="O747" s="1465"/>
      <c r="P747" s="1465"/>
      <c r="Q747" s="1465"/>
      <c r="R747" s="1465"/>
      <c r="S747" s="1465"/>
      <c r="T747" s="1465"/>
      <c r="U747" s="1465"/>
    </row>
    <row r="748" spans="1:21" ht="18.75" x14ac:dyDescent="0.25">
      <c r="A748" s="1484"/>
      <c r="B748" s="1485"/>
      <c r="C748" s="1485"/>
      <c r="D748" s="1485"/>
      <c r="E748" s="1485"/>
      <c r="F748" s="1597" t="s">
        <v>338</v>
      </c>
      <c r="G748" s="1487"/>
      <c r="H748" s="1474" t="s">
        <v>35</v>
      </c>
      <c r="I748" s="1464"/>
      <c r="J748" s="1599">
        <v>2</v>
      </c>
      <c r="K748" s="1465"/>
      <c r="L748" s="1600"/>
      <c r="M748" s="1465"/>
      <c r="N748" s="1465"/>
      <c r="O748" s="1465"/>
      <c r="P748" s="1465"/>
      <c r="Q748" s="1465"/>
      <c r="R748" s="1465"/>
      <c r="S748" s="1465"/>
      <c r="T748" s="1465"/>
      <c r="U748" s="1465"/>
    </row>
    <row r="749" spans="1:21" ht="18.75" x14ac:dyDescent="0.25">
      <c r="A749" s="1484"/>
      <c r="B749" s="1485"/>
      <c r="C749" s="1485"/>
      <c r="D749" s="1485"/>
      <c r="E749" s="1485"/>
      <c r="F749" s="1597" t="s">
        <v>339</v>
      </c>
      <c r="G749" s="1487"/>
      <c r="H749" s="1474" t="s">
        <v>35</v>
      </c>
      <c r="I749" s="1598">
        <f ca="1">IFERROR(__xludf.DUMMYFUNCTION("IMPORTRANGE(""https://docs.google.com/spreadsheets/d/1eHaY18a8A9IcSdp1K8H6x8fbOy06t2VsZHhMHf-1x7Y/edit?usp=sharing"",""แผน!GF27"")"),2)</f>
        <v>2</v>
      </c>
      <c r="J749" s="1599">
        <v>2</v>
      </c>
      <c r="K749" s="1476">
        <f ca="1">IF(I749&gt;0,J749*100/I749,0)</f>
        <v>100</v>
      </c>
      <c r="L749" s="1600"/>
      <c r="M749" s="1465"/>
      <c r="N749" s="1465"/>
      <c r="O749" s="1465"/>
      <c r="P749" s="1465"/>
      <c r="Q749" s="1465"/>
      <c r="R749" s="1465"/>
      <c r="S749" s="1465"/>
      <c r="T749" s="1465"/>
      <c r="U749" s="1465"/>
    </row>
    <row r="750" spans="1:21" ht="19.5" x14ac:dyDescent="0.3">
      <c r="A750" s="1484"/>
      <c r="B750" s="1485"/>
      <c r="C750" s="1485"/>
      <c r="D750" s="1603" t="s">
        <v>50</v>
      </c>
      <c r="E750" s="1485"/>
      <c r="F750" s="1602"/>
      <c r="G750" s="1487"/>
      <c r="H750" s="1601"/>
      <c r="I750" s="1464"/>
      <c r="J750" s="1464"/>
      <c r="K750" s="1465"/>
      <c r="L750" s="1600"/>
      <c r="M750" s="1465"/>
      <c r="N750" s="1465"/>
      <c r="O750" s="1465"/>
      <c r="P750" s="1465"/>
      <c r="Q750" s="1465"/>
      <c r="R750" s="1465"/>
      <c r="S750" s="1465"/>
      <c r="T750" s="1465"/>
      <c r="U750" s="1465"/>
    </row>
    <row r="751" spans="1:21" ht="18.75" x14ac:dyDescent="0.25">
      <c r="A751" s="1484"/>
      <c r="B751" s="1485"/>
      <c r="C751" s="1485"/>
      <c r="D751" s="1485"/>
      <c r="E751" s="1597" t="s">
        <v>270</v>
      </c>
      <c r="F751" s="1602"/>
      <c r="G751" s="1487"/>
      <c r="H751" s="1601"/>
      <c r="I751" s="1464"/>
      <c r="J751" s="1464"/>
      <c r="K751" s="1465"/>
      <c r="L751" s="1600"/>
      <c r="M751" s="1465"/>
      <c r="N751" s="1465"/>
      <c r="O751" s="1465"/>
      <c r="P751" s="1465"/>
      <c r="Q751" s="1465"/>
      <c r="R751" s="1465"/>
      <c r="S751" s="1465"/>
      <c r="T751" s="1465"/>
      <c r="U751" s="1465"/>
    </row>
    <row r="752" spans="1:21" ht="18.75" x14ac:dyDescent="0.25">
      <c r="A752" s="1484"/>
      <c r="B752" s="1485"/>
      <c r="C752" s="1485"/>
      <c r="D752" s="1485"/>
      <c r="E752" s="1485"/>
      <c r="F752" s="1604" t="s">
        <v>340</v>
      </c>
      <c r="G752" s="1487"/>
      <c r="H752" s="1474" t="s">
        <v>46</v>
      </c>
      <c r="I752" s="1598">
        <f ca="1">IFERROR(__xludf.DUMMYFUNCTION("IMPORTRANGE(""https://docs.google.com/spreadsheets/d/1eHaY18a8A9IcSdp1K8H6x8fbOy06t2VsZHhMHf-1x7Y/edit?usp=sharing"",""แผน!GB27"")"),320)</f>
        <v>320</v>
      </c>
      <c r="J752" s="1599">
        <v>320</v>
      </c>
      <c r="K752" s="1476">
        <f ca="1">IF(I752&gt;0,J752*100/I752,0)</f>
        <v>100</v>
      </c>
      <c r="L752" s="1600"/>
      <c r="M752" s="1465"/>
      <c r="N752" s="1465"/>
      <c r="O752" s="1465"/>
      <c r="P752" s="1465"/>
      <c r="Q752" s="1465"/>
      <c r="R752" s="1465"/>
      <c r="S752" s="1465"/>
      <c r="T752" s="1465"/>
      <c r="U752" s="1465"/>
    </row>
    <row r="753" spans="1:21" ht="18.75" x14ac:dyDescent="0.25">
      <c r="A753" s="1484"/>
      <c r="B753" s="1485"/>
      <c r="C753" s="1485"/>
      <c r="D753" s="1485"/>
      <c r="E753" s="1485"/>
      <c r="F753" s="1604" t="s">
        <v>341</v>
      </c>
      <c r="G753" s="1487"/>
      <c r="H753" s="1474" t="s">
        <v>46</v>
      </c>
      <c r="I753" s="1464"/>
      <c r="J753" s="1599">
        <v>0</v>
      </c>
      <c r="K753" s="1465"/>
      <c r="L753" s="1600"/>
      <c r="M753" s="1465"/>
      <c r="N753" s="1465"/>
      <c r="O753" s="1465"/>
      <c r="P753" s="1465"/>
      <c r="Q753" s="1465"/>
      <c r="R753" s="1465"/>
      <c r="S753" s="1465"/>
      <c r="T753" s="1465"/>
      <c r="U753" s="1465"/>
    </row>
    <row r="754" spans="1:21" ht="18.75" x14ac:dyDescent="0.25">
      <c r="A754" s="1484"/>
      <c r="B754" s="1485"/>
      <c r="C754" s="1485"/>
      <c r="D754" s="1485"/>
      <c r="E754" s="1597" t="s">
        <v>274</v>
      </c>
      <c r="F754" s="1602"/>
      <c r="G754" s="1487"/>
      <c r="H754" s="1601"/>
      <c r="I754" s="1464"/>
      <c r="J754" s="1464"/>
      <c r="K754" s="1465"/>
      <c r="L754" s="1600"/>
      <c r="M754" s="1465"/>
      <c r="N754" s="1465"/>
      <c r="O754" s="1465"/>
      <c r="P754" s="1465"/>
      <c r="Q754" s="1465"/>
      <c r="R754" s="1465"/>
      <c r="S754" s="1465"/>
      <c r="T754" s="1465"/>
      <c r="U754" s="1465"/>
    </row>
    <row r="755" spans="1:21" ht="18.75" x14ac:dyDescent="0.25">
      <c r="A755" s="1484"/>
      <c r="B755" s="1485"/>
      <c r="C755" s="1485"/>
      <c r="D755" s="1485"/>
      <c r="E755" s="1602"/>
      <c r="F755" s="1604" t="s">
        <v>342</v>
      </c>
      <c r="G755" s="1487"/>
      <c r="H755" s="1474" t="s">
        <v>46</v>
      </c>
      <c r="I755" s="1598">
        <f ca="1">IFERROR(__xludf.DUMMYFUNCTION("IMPORTRANGE(""https://docs.google.com/spreadsheets/d/1eHaY18a8A9IcSdp1K8H6x8fbOy06t2VsZHhMHf-1x7Y/edit?usp=sharing"",""แผน!GD27"")"),80)</f>
        <v>80</v>
      </c>
      <c r="J755" s="1599">
        <v>80</v>
      </c>
      <c r="K755" s="1476">
        <f ca="1">IF(I755&gt;0,J755*100/I755,0)</f>
        <v>100</v>
      </c>
      <c r="L755" s="1600"/>
      <c r="M755" s="1465"/>
      <c r="N755" s="1465"/>
      <c r="O755" s="1465"/>
      <c r="P755" s="1465"/>
      <c r="Q755" s="1465"/>
      <c r="R755" s="1465"/>
      <c r="S755" s="1465"/>
      <c r="T755" s="1465"/>
      <c r="U755" s="1465"/>
    </row>
    <row r="756" spans="1:21" ht="18.75" x14ac:dyDescent="0.25">
      <c r="A756" s="1484"/>
      <c r="B756" s="1485"/>
      <c r="C756" s="1485"/>
      <c r="D756" s="1485"/>
      <c r="E756" s="1602"/>
      <c r="F756" s="1604" t="s">
        <v>343</v>
      </c>
      <c r="G756" s="1487"/>
      <c r="H756" s="1474" t="s">
        <v>46</v>
      </c>
      <c r="I756" s="1464"/>
      <c r="J756" s="1599">
        <v>0</v>
      </c>
      <c r="K756" s="1465"/>
      <c r="L756" s="1600"/>
      <c r="M756" s="1465"/>
      <c r="N756" s="1465"/>
      <c r="O756" s="1465"/>
      <c r="P756" s="1465"/>
      <c r="Q756" s="1465"/>
      <c r="R756" s="1465"/>
      <c r="S756" s="1465"/>
      <c r="T756" s="1465"/>
      <c r="U756" s="1465"/>
    </row>
    <row r="757" spans="1:21" ht="18.75" x14ac:dyDescent="0.25">
      <c r="A757" s="431"/>
      <c r="B757" s="431"/>
      <c r="C757" s="431"/>
      <c r="D757" s="431"/>
      <c r="E757" s="432" t="s">
        <v>284</v>
      </c>
      <c r="F757" s="433"/>
      <c r="G757" s="434"/>
      <c r="H757" s="435" t="s">
        <v>35</v>
      </c>
      <c r="I757" s="436"/>
      <c r="J757" s="437">
        <v>0</v>
      </c>
      <c r="K757" s="438"/>
      <c r="L757" s="438"/>
      <c r="M757" s="438"/>
      <c r="N757" s="438"/>
      <c r="O757" s="438"/>
      <c r="P757" s="438"/>
      <c r="Q757" s="438"/>
      <c r="R757" s="438"/>
      <c r="S757" s="438"/>
      <c r="T757" s="438"/>
      <c r="U757" s="438"/>
    </row>
    <row r="758" spans="1:21" ht="19.5" x14ac:dyDescent="0.3">
      <c r="A758" s="387"/>
      <c r="B758" s="388" t="s">
        <v>285</v>
      </c>
      <c r="C758" s="387"/>
      <c r="D758" s="389"/>
      <c r="E758" s="389"/>
      <c r="F758" s="389"/>
      <c r="G758" s="390"/>
      <c r="H758" s="427" t="s">
        <v>35</v>
      </c>
      <c r="I758" s="1596">
        <f ca="1">I772</f>
        <v>60</v>
      </c>
      <c r="J758" s="1596">
        <f>J772</f>
        <v>60</v>
      </c>
      <c r="K758" s="1593">
        <f ca="1">IF(I758&gt;0,J758*100/I758,0)</f>
        <v>100</v>
      </c>
      <c r="L758" s="1581"/>
      <c r="M758" s="393"/>
      <c r="N758" s="393"/>
      <c r="O758" s="393"/>
      <c r="P758" s="393"/>
      <c r="Q758" s="393"/>
      <c r="R758" s="393"/>
      <c r="S758" s="393"/>
      <c r="T758" s="393"/>
      <c r="U758" s="393"/>
    </row>
    <row r="759" spans="1:21" ht="19.5" x14ac:dyDescent="0.3">
      <c r="A759" s="429"/>
      <c r="B759" s="387"/>
      <c r="C759" s="387"/>
      <c r="D759" s="389"/>
      <c r="E759" s="389"/>
      <c r="F759" s="389"/>
      <c r="G759" s="390"/>
      <c r="H759" s="427" t="s">
        <v>46</v>
      </c>
      <c r="I759" s="1596">
        <f ca="1">I774</f>
        <v>250</v>
      </c>
      <c r="J759" s="1596">
        <f>J774</f>
        <v>250</v>
      </c>
      <c r="K759" s="1593">
        <f ca="1">IF(I759&gt;0,J759*100/I759,0)</f>
        <v>100</v>
      </c>
      <c r="L759" s="1581"/>
      <c r="M759" s="393"/>
      <c r="N759" s="393"/>
      <c r="O759" s="393"/>
      <c r="P759" s="393"/>
      <c r="Q759" s="393"/>
      <c r="R759" s="393"/>
      <c r="S759" s="393"/>
      <c r="T759" s="393"/>
      <c r="U759" s="393"/>
    </row>
    <row r="760" spans="1:21" ht="19.5" x14ac:dyDescent="0.3">
      <c r="A760" s="128"/>
      <c r="B760" s="158"/>
      <c r="C760" s="177" t="s">
        <v>18</v>
      </c>
      <c r="D760" s="1585" t="s">
        <v>19</v>
      </c>
      <c r="E760" s="1285"/>
      <c r="F760" s="1285"/>
      <c r="G760" s="1286"/>
      <c r="H760" s="221" t="s">
        <v>14</v>
      </c>
      <c r="I760" s="44"/>
      <c r="J760" s="44"/>
      <c r="K760" s="45"/>
      <c r="L760" s="1389">
        <f>L761+L762</f>
        <v>0</v>
      </c>
      <c r="M760" s="1390">
        <f>M761+M762</f>
        <v>0</v>
      </c>
      <c r="N760" s="1390">
        <f>N761+N762</f>
        <v>0</v>
      </c>
      <c r="O760" s="1390">
        <f>IF(L760&gt;0,N760*100/L760,0)</f>
        <v>0</v>
      </c>
      <c r="P760" s="1390">
        <f>IF(M760&gt;0,N760*100/M760,0)</f>
        <v>0</v>
      </c>
      <c r="Q760" s="1390">
        <f ca="1">Q761+Q762</f>
        <v>571100</v>
      </c>
      <c r="R760" s="1390">
        <f ca="1">R761+R762</f>
        <v>571100</v>
      </c>
      <c r="S760" s="1390">
        <f ca="1">S761+S762</f>
        <v>187300</v>
      </c>
      <c r="T760" s="1390">
        <f ca="1">IF(Q760&gt;0,S760*100/Q760,0)</f>
        <v>32.79635790579583</v>
      </c>
      <c r="U760" s="1390">
        <f ca="1">IF(R760&gt;0,S760*100/R760,0)</f>
        <v>32.79635790579583</v>
      </c>
    </row>
    <row r="761" spans="1:21" ht="18.75" x14ac:dyDescent="0.25">
      <c r="A761" s="128"/>
      <c r="B761" s="158"/>
      <c r="C761" s="158"/>
      <c r="D761" s="145"/>
      <c r="E761" s="156" t="s">
        <v>158</v>
      </c>
      <c r="F761" s="40"/>
      <c r="G761" s="42"/>
      <c r="H761" s="159" t="s">
        <v>14</v>
      </c>
      <c r="I761" s="44"/>
      <c r="J761" s="44"/>
      <c r="K761" s="45"/>
      <c r="L761" s="1358">
        <f>L764+L767</f>
        <v>0</v>
      </c>
      <c r="M761" s="83">
        <f>M764+M767</f>
        <v>0</v>
      </c>
      <c r="N761" s="83">
        <f>N764+N767</f>
        <v>0</v>
      </c>
      <c r="O761" s="83">
        <f>IF(L761&gt;0,N761*100/L761,0)</f>
        <v>0</v>
      </c>
      <c r="P761" s="83">
        <f>IF(M761&gt;0,N761*100/M761,0)</f>
        <v>0</v>
      </c>
      <c r="Q761" s="83">
        <f>Q764+Q767</f>
        <v>0</v>
      </c>
      <c r="R761" s="83">
        <f>R764+R767</f>
        <v>0</v>
      </c>
      <c r="S761" s="83">
        <f>S764+S767</f>
        <v>0</v>
      </c>
      <c r="T761" s="83">
        <f>IF(Q761&gt;0,S761*100/Q761,0)</f>
        <v>0</v>
      </c>
      <c r="U761" s="83">
        <f>IF(R761&gt;0,S761*100/R761,0)</f>
        <v>0</v>
      </c>
    </row>
    <row r="762" spans="1:21" ht="18.75" x14ac:dyDescent="0.25">
      <c r="A762" s="128"/>
      <c r="B762" s="158"/>
      <c r="C762" s="174"/>
      <c r="D762" s="145"/>
      <c r="E762" s="47" t="s">
        <v>159</v>
      </c>
      <c r="F762" s="40"/>
      <c r="G762" s="42"/>
      <c r="H762" s="134" t="s">
        <v>14</v>
      </c>
      <c r="I762" s="44"/>
      <c r="J762" s="44"/>
      <c r="K762" s="45"/>
      <c r="L762" s="1356">
        <f>L765+L768</f>
        <v>0</v>
      </c>
      <c r="M762" s="224">
        <f>M765+M768</f>
        <v>0</v>
      </c>
      <c r="N762" s="224">
        <f>N765+N768</f>
        <v>0</v>
      </c>
      <c r="O762" s="224">
        <f>IF(L762&gt;0,N762*100/L762,0)</f>
        <v>0</v>
      </c>
      <c r="P762" s="224">
        <f>IF(M762&gt;0,N762*100/M762,0)</f>
        <v>0</v>
      </c>
      <c r="Q762" s="224">
        <f ca="1">Q765+Q768</f>
        <v>571100</v>
      </c>
      <c r="R762" s="224">
        <f ca="1">R765+R768</f>
        <v>571100</v>
      </c>
      <c r="S762" s="224">
        <f ca="1">S765+S768</f>
        <v>187300</v>
      </c>
      <c r="T762" s="224">
        <f ca="1">IF(Q762&gt;0,S762*100/Q762,0)</f>
        <v>32.79635790579583</v>
      </c>
      <c r="U762" s="224">
        <f ca="1">IF(R762&gt;0,S762*100/R762,0)</f>
        <v>32.79635790579583</v>
      </c>
    </row>
    <row r="763" spans="1:21" ht="18.75" x14ac:dyDescent="0.25">
      <c r="A763" s="128"/>
      <c r="B763" s="158"/>
      <c r="C763" s="174"/>
      <c r="D763" s="41" t="s">
        <v>22</v>
      </c>
      <c r="E763" s="40"/>
      <c r="F763" s="40"/>
      <c r="G763" s="42"/>
      <c r="H763" s="134" t="s">
        <v>14</v>
      </c>
      <c r="I763" s="135"/>
      <c r="J763" s="135"/>
      <c r="K763" s="136"/>
      <c r="L763" s="1356">
        <f>L764+L765</f>
        <v>0</v>
      </c>
      <c r="M763" s="224">
        <f>M764+M765</f>
        <v>0</v>
      </c>
      <c r="N763" s="224">
        <f>N764+N765</f>
        <v>0</v>
      </c>
      <c r="O763" s="224">
        <f>IF(L763&gt;0,N763*100/L763,0)</f>
        <v>0</v>
      </c>
      <c r="P763" s="224">
        <f>IF(M763&gt;0,N763*100/M763,0)</f>
        <v>0</v>
      </c>
      <c r="Q763" s="224">
        <f ca="1">Q764+Q765</f>
        <v>571100</v>
      </c>
      <c r="R763" s="224">
        <f ca="1">R764+R765</f>
        <v>571100</v>
      </c>
      <c r="S763" s="224">
        <f ca="1">S764+S765</f>
        <v>187300</v>
      </c>
      <c r="T763" s="224">
        <f ca="1">IF(Q763&gt;0,S763*100/Q763,0)</f>
        <v>32.79635790579583</v>
      </c>
      <c r="U763" s="224">
        <f ca="1">IF(R763&gt;0,S763*100/R763,0)</f>
        <v>32.79635790579583</v>
      </c>
    </row>
    <row r="764" spans="1:21" ht="18.75" x14ac:dyDescent="0.25">
      <c r="A764" s="128"/>
      <c r="B764" s="158"/>
      <c r="C764" s="174"/>
      <c r="D764" s="145"/>
      <c r="E764" s="156" t="s">
        <v>158</v>
      </c>
      <c r="F764" s="40"/>
      <c r="G764" s="42"/>
      <c r="H764" s="159" t="s">
        <v>14</v>
      </c>
      <c r="I764" s="44"/>
      <c r="J764" s="44"/>
      <c r="K764" s="45"/>
      <c r="L764" s="1358">
        <v>0</v>
      </c>
      <c r="M764" s="83">
        <v>0</v>
      </c>
      <c r="N764" s="83">
        <v>0</v>
      </c>
      <c r="O764" s="83">
        <f>IF(L764&gt;0,N764*100/L764,0)</f>
        <v>0</v>
      </c>
      <c r="P764" s="83">
        <f>IF(M764&gt;0,N764*100/M764,0)</f>
        <v>0</v>
      </c>
      <c r="Q764" s="83">
        <v>0</v>
      </c>
      <c r="R764" s="83">
        <v>0</v>
      </c>
      <c r="S764" s="83">
        <v>0</v>
      </c>
      <c r="T764" s="83">
        <f>IF(Q764&gt;0,S764*100/Q764,0)</f>
        <v>0</v>
      </c>
      <c r="U764" s="83">
        <f>IF(R764&gt;0,S764*100/R764,0)</f>
        <v>0</v>
      </c>
    </row>
    <row r="765" spans="1:21" ht="18.75" x14ac:dyDescent="0.25">
      <c r="A765" s="128"/>
      <c r="B765" s="158"/>
      <c r="C765" s="174"/>
      <c r="D765" s="145"/>
      <c r="E765" s="47" t="s">
        <v>159</v>
      </c>
      <c r="F765" s="40"/>
      <c r="G765" s="42"/>
      <c r="H765" s="134" t="s">
        <v>14</v>
      </c>
      <c r="I765" s="44"/>
      <c r="J765" s="44"/>
      <c r="K765" s="45"/>
      <c r="L765" s="1356">
        <v>0</v>
      </c>
      <c r="M765" s="224">
        <v>0</v>
      </c>
      <c r="N765" s="224">
        <v>0</v>
      </c>
      <c r="O765" s="224">
        <f>IF(L765&gt;0,N765*100/L765,0)</f>
        <v>0</v>
      </c>
      <c r="P765" s="224">
        <f>IF(M765&gt;0,N765*100/M765,0)</f>
        <v>0</v>
      </c>
      <c r="Q765" s="224">
        <f ca="1">IFERROR(__xludf.DUMMYFUNCTION("IMPORTRANGE(""https://docs.google.com/spreadsheets/d/1ItG2mGa2ceCfYo0BwxsXqNm01IGEUdYcSSLTEv9YCik/edit?usp=sharing"",""เบิกจ่ายกองทุน!AA27"")"),571100)</f>
        <v>571100</v>
      </c>
      <c r="R765" s="224">
        <f ca="1">IFERROR(__xludf.DUMMYFUNCTION("IMPORTRANGE(""https://docs.google.com/spreadsheets/d/1ItG2mGa2ceCfYo0BwxsXqNm01IGEUdYcSSLTEv9YCik/edit?usp=sharing"",""เบิกจ่ายกองทุน!AB27"")"),571100)</f>
        <v>571100</v>
      </c>
      <c r="S765" s="224">
        <f ca="1">IFERROR(__xludf.DUMMYFUNCTION("IMPORTRANGE(""https://docs.google.com/spreadsheets/d/1ItG2mGa2ceCfYo0BwxsXqNm01IGEUdYcSSLTEv9YCik/edit?usp=sharing"",""เบิกจ่ายกองทุน!AC27"")"),187300)</f>
        <v>187300</v>
      </c>
      <c r="T765" s="224">
        <f ca="1">IF(Q765&gt;0,S765*100/Q765,0)</f>
        <v>32.79635790579583</v>
      </c>
      <c r="U765" s="224">
        <f ca="1">IF(R765&gt;0,S765*100/R765,0)</f>
        <v>32.79635790579583</v>
      </c>
    </row>
    <row r="766" spans="1:21" ht="18.75" x14ac:dyDescent="0.25">
      <c r="A766" s="128"/>
      <c r="B766" s="158"/>
      <c r="C766" s="158"/>
      <c r="D766" s="41" t="s">
        <v>23</v>
      </c>
      <c r="E766" s="158"/>
      <c r="F766" s="40"/>
      <c r="G766" s="42"/>
      <c r="H766" s="137" t="s">
        <v>14</v>
      </c>
      <c r="I766" s="135"/>
      <c r="J766" s="135"/>
      <c r="K766" s="136"/>
      <c r="L766" s="1356">
        <f>L767+L768</f>
        <v>0</v>
      </c>
      <c r="M766" s="224">
        <f>M767+M768</f>
        <v>0</v>
      </c>
      <c r="N766" s="224">
        <f>N767+N768</f>
        <v>0</v>
      </c>
      <c r="O766" s="224">
        <f>IF(L766&gt;0,N766*100/L766,0)</f>
        <v>0</v>
      </c>
      <c r="P766" s="224">
        <f>IF(M766&gt;0,N766*100/M766,0)</f>
        <v>0</v>
      </c>
      <c r="Q766" s="224">
        <f>Q767+Q768</f>
        <v>0</v>
      </c>
      <c r="R766" s="224">
        <f>R767+R768</f>
        <v>0</v>
      </c>
      <c r="S766" s="224">
        <f>S767+S768</f>
        <v>0</v>
      </c>
      <c r="T766" s="224">
        <f>IF(Q766&gt;0,S766*100/Q766,0)</f>
        <v>0</v>
      </c>
      <c r="U766" s="224">
        <f>IF(R766&gt;0,S766*100/R766,0)</f>
        <v>0</v>
      </c>
    </row>
    <row r="767" spans="1:21" ht="18.75" x14ac:dyDescent="0.25">
      <c r="A767" s="128"/>
      <c r="B767" s="158"/>
      <c r="C767" s="158"/>
      <c r="D767" s="158"/>
      <c r="E767" s="314" t="s">
        <v>20</v>
      </c>
      <c r="F767" s="40"/>
      <c r="G767" s="42"/>
      <c r="H767" s="159" t="s">
        <v>14</v>
      </c>
      <c r="I767" s="135"/>
      <c r="J767" s="135"/>
      <c r="K767" s="136"/>
      <c r="L767" s="1358">
        <v>0</v>
      </c>
      <c r="M767" s="83">
        <v>0</v>
      </c>
      <c r="N767" s="83">
        <v>0</v>
      </c>
      <c r="O767" s="83">
        <f>IF(L767&gt;0,N767*100/L767,0)</f>
        <v>0</v>
      </c>
      <c r="P767" s="83">
        <f>IF(M767&gt;0,N767*100/M767,0)</f>
        <v>0</v>
      </c>
      <c r="Q767" s="83">
        <v>0</v>
      </c>
      <c r="R767" s="83">
        <v>0</v>
      </c>
      <c r="S767" s="83">
        <v>0</v>
      </c>
      <c r="T767" s="83">
        <f>IF(Q767&gt;0,S767*100/Q767,0)</f>
        <v>0</v>
      </c>
      <c r="U767" s="83">
        <f>IF(R767&gt;0,S767*100/R767,0)</f>
        <v>0</v>
      </c>
    </row>
    <row r="768" spans="1:21" ht="18.75" x14ac:dyDescent="0.25">
      <c r="A768" s="128"/>
      <c r="B768" s="158"/>
      <c r="C768" s="158"/>
      <c r="D768" s="158"/>
      <c r="E768" s="209" t="s">
        <v>21</v>
      </c>
      <c r="F768" s="40"/>
      <c r="G768" s="42"/>
      <c r="H768" s="137" t="s">
        <v>14</v>
      </c>
      <c r="I768" s="135"/>
      <c r="J768" s="135"/>
      <c r="K768" s="136"/>
      <c r="L768" s="1356">
        <v>0</v>
      </c>
      <c r="M768" s="224">
        <v>0</v>
      </c>
      <c r="N768" s="224">
        <v>0</v>
      </c>
      <c r="O768" s="224">
        <f>IF(L768&gt;0,N768*100/L768,0)</f>
        <v>0</v>
      </c>
      <c r="P768" s="224">
        <f>IF(M768&gt;0,N768*100/M768,0)</f>
        <v>0</v>
      </c>
      <c r="Q768" s="224">
        <v>0</v>
      </c>
      <c r="R768" s="224">
        <v>0</v>
      </c>
      <c r="S768" s="224">
        <v>0</v>
      </c>
      <c r="T768" s="224">
        <f>IF(Q768&gt;0,S768*100/Q768,0)</f>
        <v>0</v>
      </c>
      <c r="U768" s="224">
        <f>IF(R768&gt;0,S768*100/R768,0)</f>
        <v>0</v>
      </c>
    </row>
    <row r="769" spans="1:21" ht="19.5" x14ac:dyDescent="0.3">
      <c r="A769" s="138"/>
      <c r="B769" s="139"/>
      <c r="C769" s="439" t="s">
        <v>18</v>
      </c>
      <c r="D769" s="1586" t="s">
        <v>38</v>
      </c>
      <c r="E769" s="203"/>
      <c r="F769" s="141"/>
      <c r="G769" s="142"/>
      <c r="H769" s="178"/>
      <c r="I769" s="44"/>
      <c r="J769" s="44"/>
      <c r="K769" s="45"/>
      <c r="L769" s="1359"/>
      <c r="M769" s="45"/>
      <c r="N769" s="45"/>
      <c r="O769" s="45"/>
      <c r="P769" s="45"/>
      <c r="Q769" s="45"/>
      <c r="R769" s="45"/>
      <c r="S769" s="45"/>
      <c r="T769" s="45"/>
      <c r="U769" s="45"/>
    </row>
    <row r="770" spans="1:21" ht="18.75" x14ac:dyDescent="0.25">
      <c r="A770" s="138"/>
      <c r="B770" s="139"/>
      <c r="C770" s="139"/>
      <c r="D770" s="379" t="s">
        <v>286</v>
      </c>
      <c r="E770" s="139"/>
      <c r="F770" s="145"/>
      <c r="G770" s="143"/>
      <c r="H770" s="378" t="s">
        <v>35</v>
      </c>
      <c r="I770" s="423">
        <f ca="1">IFERROR(__xludf.DUMMYFUNCTION("IMPORTRANGE(""https://docs.google.com/spreadsheets/d/1eHaY18a8A9IcSdp1K8H6x8fbOy06t2VsZHhMHf-1x7Y/edit?usp=sharing"",""แผน!FI27"")"),0)</f>
        <v>0</v>
      </c>
      <c r="J770" s="423">
        <v>0</v>
      </c>
      <c r="K770" s="83">
        <f ca="1">IF(I770&gt;0,J770*100/I770,0)</f>
        <v>0</v>
      </c>
      <c r="L770" s="1359"/>
      <c r="M770" s="45"/>
      <c r="N770" s="45"/>
      <c r="O770" s="45"/>
      <c r="P770" s="45"/>
      <c r="Q770" s="45"/>
      <c r="R770" s="45"/>
      <c r="S770" s="45"/>
      <c r="T770" s="45"/>
      <c r="U770" s="45"/>
    </row>
    <row r="771" spans="1:21" ht="18.75" x14ac:dyDescent="0.25">
      <c r="A771" s="138"/>
      <c r="B771" s="139"/>
      <c r="C771" s="139"/>
      <c r="D771" s="379" t="s">
        <v>287</v>
      </c>
      <c r="E771" s="139"/>
      <c r="F771" s="145"/>
      <c r="G771" s="143"/>
      <c r="H771" s="178"/>
      <c r="I771" s="44"/>
      <c r="J771" s="44"/>
      <c r="K771" s="45"/>
      <c r="L771" s="1359"/>
      <c r="M771" s="45"/>
      <c r="N771" s="45"/>
      <c r="O771" s="45"/>
      <c r="P771" s="45"/>
      <c r="Q771" s="45"/>
      <c r="R771" s="45"/>
      <c r="S771" s="45"/>
      <c r="T771" s="45"/>
      <c r="U771" s="45"/>
    </row>
    <row r="772" spans="1:21" ht="18.75" x14ac:dyDescent="0.25">
      <c r="A772" s="138"/>
      <c r="B772" s="139"/>
      <c r="C772" s="139"/>
      <c r="D772" s="403" t="s">
        <v>288</v>
      </c>
      <c r="E772" s="139"/>
      <c r="F772" s="145"/>
      <c r="G772" s="143"/>
      <c r="H772" s="137" t="s">
        <v>35</v>
      </c>
      <c r="I772" s="184">
        <f ca="1">IFERROR(__xludf.DUMMYFUNCTION("IMPORTRANGE(""https://docs.google.com/spreadsheets/d/1eHaY18a8A9IcSdp1K8H6x8fbOy06t2VsZHhMHf-1x7Y/edit?usp=sharing"",""แผน!FQ27"")"),60)</f>
        <v>60</v>
      </c>
      <c r="J772" s="1395">
        <v>60</v>
      </c>
      <c r="K772" s="224">
        <f ca="1">IF(I772&gt;0,J772*100/I772,0)</f>
        <v>100</v>
      </c>
      <c r="L772" s="1359"/>
      <c r="M772" s="45"/>
      <c r="N772" s="45"/>
      <c r="O772" s="45"/>
      <c r="P772" s="45"/>
      <c r="Q772" s="45"/>
      <c r="R772" s="45"/>
      <c r="S772" s="45"/>
      <c r="T772" s="45"/>
      <c r="U772" s="45"/>
    </row>
    <row r="773" spans="1:21" ht="18.75" x14ac:dyDescent="0.25">
      <c r="A773" s="138"/>
      <c r="B773" s="139"/>
      <c r="C773" s="139"/>
      <c r="D773" s="403" t="s">
        <v>289</v>
      </c>
      <c r="E773" s="139"/>
      <c r="F773" s="145"/>
      <c r="G773" s="143"/>
      <c r="H773" s="178"/>
      <c r="I773" s="44"/>
      <c r="J773" s="44"/>
      <c r="K773" s="45"/>
      <c r="L773" s="1359"/>
      <c r="M773" s="45"/>
      <c r="N773" s="45"/>
      <c r="O773" s="45"/>
      <c r="P773" s="45"/>
      <c r="Q773" s="45"/>
      <c r="R773" s="45"/>
      <c r="S773" s="45"/>
      <c r="T773" s="45"/>
      <c r="U773" s="45"/>
    </row>
    <row r="774" spans="1:21" ht="18.75" x14ac:dyDescent="0.25">
      <c r="A774" s="138"/>
      <c r="B774" s="139"/>
      <c r="C774" s="139"/>
      <c r="D774" s="403" t="s">
        <v>290</v>
      </c>
      <c r="E774" s="139"/>
      <c r="F774" s="145"/>
      <c r="G774" s="143"/>
      <c r="H774" s="137" t="s">
        <v>46</v>
      </c>
      <c r="I774" s="184">
        <f ca="1">IFERROR(__xludf.DUMMYFUNCTION("IMPORTRANGE(""https://docs.google.com/spreadsheets/d/1eHaY18a8A9IcSdp1K8H6x8fbOy06t2VsZHhMHf-1x7Y/edit?usp=sharing"",""แผน!FR27"")"),250)</f>
        <v>250</v>
      </c>
      <c r="J774" s="1395">
        <v>250</v>
      </c>
      <c r="K774" s="224">
        <f ca="1">IF(I774&gt;0,J774*100/I774,0)</f>
        <v>100</v>
      </c>
      <c r="L774" s="1359"/>
      <c r="M774" s="45"/>
      <c r="N774" s="45"/>
      <c r="O774" s="45"/>
      <c r="P774" s="45"/>
      <c r="Q774" s="45"/>
      <c r="R774" s="45"/>
      <c r="S774" s="45"/>
      <c r="T774" s="45"/>
      <c r="U774" s="45"/>
    </row>
    <row r="775" spans="1:21" ht="18.75" x14ac:dyDescent="0.25">
      <c r="A775" s="138"/>
      <c r="B775" s="139"/>
      <c r="C775" s="139"/>
      <c r="D775" s="403" t="s">
        <v>50</v>
      </c>
      <c r="E775" s="145"/>
      <c r="F775" s="40"/>
      <c r="G775" s="42"/>
      <c r="H775" s="137" t="s">
        <v>46</v>
      </c>
      <c r="I775" s="184">
        <f ca="1">IFERROR(__xludf.DUMMYFUNCTION("IMPORTRANGE(""https://docs.google.com/spreadsheets/d/1eHaY18a8A9IcSdp1K8H6x8fbOy06t2VsZHhMHf-1x7Y/edit?usp=sharing"",""แผน!FS27"")"),250)</f>
        <v>250</v>
      </c>
      <c r="J775" s="1395">
        <v>0</v>
      </c>
      <c r="K775" s="45"/>
      <c r="L775" s="1359"/>
      <c r="M775" s="45"/>
      <c r="N775" s="45"/>
      <c r="O775" s="45"/>
      <c r="P775" s="45"/>
      <c r="Q775" s="45"/>
      <c r="R775" s="45"/>
      <c r="S775" s="45"/>
      <c r="T775" s="45"/>
      <c r="U775" s="45"/>
    </row>
    <row r="776" spans="1:21" ht="18.75" x14ac:dyDescent="0.25">
      <c r="A776" s="249"/>
      <c r="B776" s="250"/>
      <c r="C776" s="250"/>
      <c r="D776" s="250"/>
      <c r="E776" s="252"/>
      <c r="F776" s="252"/>
      <c r="G776" s="52"/>
      <c r="H776" s="186" t="s">
        <v>35</v>
      </c>
      <c r="I776" s="188">
        <f ca="1">IFERROR(__xludf.DUMMYFUNCTION("IMPORTRANGE(""https://docs.google.com/spreadsheets/d/1eHaY18a8A9IcSdp1K8H6x8fbOy06t2VsZHhMHf-1x7Y/edit?usp=sharing"",""แผน!FT27"")"),60)</f>
        <v>60</v>
      </c>
      <c r="J776" s="1541">
        <v>0</v>
      </c>
      <c r="K776" s="3"/>
      <c r="L776" s="1360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9.5" x14ac:dyDescent="0.3">
      <c r="A777" s="1605" t="s">
        <v>291</v>
      </c>
      <c r="B777" s="442"/>
      <c r="C777" s="442"/>
      <c r="D777" s="441"/>
      <c r="E777" s="442"/>
      <c r="F777" s="442"/>
      <c r="G777" s="443"/>
      <c r="H777" s="1606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45"/>
      <c r="J777" s="446"/>
      <c r="K777" s="447"/>
      <c r="L777" s="447"/>
      <c r="M777" s="447"/>
      <c r="N777" s="447"/>
      <c r="O777" s="447"/>
      <c r="P777" s="447"/>
      <c r="Q777" s="447"/>
      <c r="R777" s="447"/>
      <c r="S777" s="447"/>
      <c r="T777" s="447"/>
      <c r="U777" s="447"/>
    </row>
    <row r="778" spans="1:21" ht="18.75" x14ac:dyDescent="0.25">
      <c r="A778" s="39"/>
      <c r="B778" s="47" t="s">
        <v>292</v>
      </c>
      <c r="C778" s="40"/>
      <c r="D778" s="158"/>
      <c r="E778" s="40"/>
      <c r="F778" s="40"/>
      <c r="G778" s="42"/>
      <c r="H778" s="43" t="s">
        <v>14</v>
      </c>
      <c r="I778" s="184">
        <f ca="1">IFERROR(__xludf.DUMMYFUNCTION("IMPORTRANGE(""https://docs.google.com/spreadsheets/d/10OvvATaaLtwErnr3qtWFcTmtbfpFEt5Bsqel9sXx0uE/edit?usp=sharing"",""งานกองทุน!D27"")"),6830000)</f>
        <v>6830000</v>
      </c>
      <c r="J778" s="184">
        <f ca="1">IFERROR(__xludf.DUMMYFUNCTION("IMPORTRANGE(""https://docs.google.com/spreadsheets/d/10OvvATaaLtwErnr3qtWFcTmtbfpFEt5Bsqel9sXx0uE/edit?usp=sharing"",""งานกองทุน!F27"")"),1149520)</f>
        <v>1149520</v>
      </c>
      <c r="K778" s="224">
        <f ca="1">IF(I778&gt;0,J778*100/I778,0)</f>
        <v>16.830453879941434</v>
      </c>
      <c r="L778" s="45"/>
      <c r="M778" s="45"/>
      <c r="N778" s="45"/>
      <c r="O778" s="45"/>
      <c r="P778" s="45"/>
      <c r="Q778" s="45"/>
      <c r="R778" s="45"/>
      <c r="S778" s="45"/>
      <c r="T778" s="45"/>
      <c r="U778" s="45"/>
    </row>
    <row r="779" spans="1:21" ht="18.75" x14ac:dyDescent="0.25">
      <c r="A779" s="39"/>
      <c r="B779" s="40"/>
      <c r="C779" s="40"/>
      <c r="D779" s="158"/>
      <c r="E779" s="40"/>
      <c r="F779" s="40"/>
      <c r="G779" s="42"/>
      <c r="H779" s="43" t="s">
        <v>35</v>
      </c>
      <c r="I779" s="184">
        <f ca="1">IFERROR(__xludf.DUMMYFUNCTION("IMPORTRANGE(""https://docs.google.com/spreadsheets/d/10OvvATaaLtwErnr3qtWFcTmtbfpFEt5Bsqel9sXx0uE/edit?usp=sharing"",""งานกองทุน!C27"")"),213)</f>
        <v>213</v>
      </c>
      <c r="J779" s="184">
        <f ca="1">IFERROR(__xludf.DUMMYFUNCTION("IMPORTRANGE(""https://docs.google.com/spreadsheets/d/10OvvATaaLtwErnr3qtWFcTmtbfpFEt5Bsqel9sXx0uE/edit?usp=sharing"",""งานกองทุน!E27"")"),35)</f>
        <v>35</v>
      </c>
      <c r="K779" s="224">
        <f ca="1">IF(I779&gt;0,J779*100/I779,0)</f>
        <v>16.431924882629108</v>
      </c>
      <c r="L779" s="45"/>
      <c r="M779" s="45"/>
      <c r="N779" s="45"/>
      <c r="O779" s="45"/>
      <c r="P779" s="45"/>
      <c r="Q779" s="45"/>
      <c r="R779" s="45"/>
      <c r="S779" s="45"/>
      <c r="T779" s="45"/>
      <c r="U779" s="45"/>
    </row>
    <row r="780" spans="1:21" ht="18.75" x14ac:dyDescent="0.25">
      <c r="A780" s="39"/>
      <c r="B780" s="47" t="s">
        <v>293</v>
      </c>
      <c r="C780" s="40"/>
      <c r="D780" s="158"/>
      <c r="E780" s="40"/>
      <c r="F780" s="40"/>
      <c r="G780" s="42"/>
      <c r="H780" s="43" t="s">
        <v>14</v>
      </c>
      <c r="I780" s="184">
        <f ca="1">IFERROR(__xludf.DUMMYFUNCTION("IMPORTRANGE(""https://docs.google.com/spreadsheets/d/10OvvATaaLtwErnr3qtWFcTmtbfpFEt5Bsqel9sXx0uE/edit?usp=sharing"",""งานกองทุน!I27"")"),5666637.15)</f>
        <v>5666637.1500000004</v>
      </c>
      <c r="J780" s="184">
        <f ca="1">IFERROR(__xludf.DUMMYFUNCTION("IMPORTRANGE(""https://docs.google.com/spreadsheets/d/10OvvATaaLtwErnr3qtWFcTmtbfpFEt5Bsqel9sXx0uE/edit?usp=sharing"",""งานกองทุน!K27"")"),116229.05)</f>
        <v>116229.05</v>
      </c>
      <c r="K780" s="224">
        <f ca="1">IF(I780&gt;0,J780*100/I780,0)</f>
        <v>2.0511115662311288</v>
      </c>
      <c r="L780" s="45"/>
      <c r="M780" s="45"/>
      <c r="N780" s="45"/>
      <c r="O780" s="45"/>
      <c r="P780" s="45"/>
      <c r="Q780" s="45"/>
      <c r="R780" s="45"/>
      <c r="S780" s="45"/>
      <c r="T780" s="45"/>
      <c r="U780" s="45"/>
    </row>
    <row r="781" spans="1:21" ht="18.75" x14ac:dyDescent="0.25">
      <c r="A781" s="39"/>
      <c r="B781" s="40"/>
      <c r="C781" s="40"/>
      <c r="D781" s="158"/>
      <c r="E781" s="40"/>
      <c r="F781" s="40"/>
      <c r="G781" s="42"/>
      <c r="H781" s="43" t="s">
        <v>35</v>
      </c>
      <c r="I781" s="184">
        <f ca="1">IFERROR(__xludf.DUMMYFUNCTION("IMPORTRANGE(""https://docs.google.com/spreadsheets/d/10OvvATaaLtwErnr3qtWFcTmtbfpFEt5Bsqel9sXx0uE/edit?usp=sharing"",""งานกองทุน!H27"")"),223)</f>
        <v>223</v>
      </c>
      <c r="J781" s="184">
        <f ca="1">IFERROR(__xludf.DUMMYFUNCTION("IMPORTRANGE(""https://docs.google.com/spreadsheets/d/10OvvATaaLtwErnr3qtWFcTmtbfpFEt5Bsqel9sXx0uE/edit?usp=sharing"",""งานกองทุน!J27"")"),21)</f>
        <v>21</v>
      </c>
      <c r="K781" s="224">
        <f ca="1">IF(I781&gt;0,J781*100/I781,0)</f>
        <v>9.4170403587443943</v>
      </c>
      <c r="L781" s="45"/>
      <c r="M781" s="45"/>
      <c r="N781" s="45"/>
      <c r="O781" s="45"/>
      <c r="P781" s="45"/>
      <c r="Q781" s="45"/>
      <c r="R781" s="45"/>
      <c r="S781" s="45"/>
      <c r="T781" s="45"/>
      <c r="U781" s="45"/>
    </row>
    <row r="782" spans="1:21" ht="18.75" x14ac:dyDescent="0.25">
      <c r="A782" s="39"/>
      <c r="B782" s="47" t="s">
        <v>294</v>
      </c>
      <c r="C782" s="40"/>
      <c r="D782" s="158"/>
      <c r="E782" s="40"/>
      <c r="F782" s="40"/>
      <c r="G782" s="42"/>
      <c r="H782" s="43" t="s">
        <v>14</v>
      </c>
      <c r="I782" s="184">
        <f ca="1">IFERROR(__xludf.DUMMYFUNCTION("IMPORTRANGE(""https://docs.google.com/spreadsheets/d/10OvvATaaLtwErnr3qtWFcTmtbfpFEt5Bsqel9sXx0uE/edit?usp=sharing"",""งานกองทุน!N27"")"),3567946.64)</f>
        <v>3567946.64</v>
      </c>
      <c r="J782" s="184">
        <f ca="1">IFERROR(__xludf.DUMMYFUNCTION("IMPORTRANGE(""https://docs.google.com/spreadsheets/d/10OvvATaaLtwErnr3qtWFcTmtbfpFEt5Bsqel9sXx0uE/edit?usp=sharing"",""งานกองทุน!P27"")"),396685.64)</f>
        <v>396685.64</v>
      </c>
      <c r="K782" s="224">
        <f ca="1">IF(I782&gt;0,J782*100/I782,0)</f>
        <v>11.118037348226709</v>
      </c>
      <c r="L782" s="45"/>
      <c r="M782" s="45"/>
      <c r="N782" s="45"/>
      <c r="O782" s="45"/>
      <c r="P782" s="45"/>
      <c r="Q782" s="45"/>
      <c r="R782" s="45"/>
      <c r="S782" s="45"/>
      <c r="T782" s="45"/>
      <c r="U782" s="45"/>
    </row>
    <row r="783" spans="1:21" ht="18.75" x14ac:dyDescent="0.25">
      <c r="A783" s="39"/>
      <c r="B783" s="40"/>
      <c r="C783" s="40"/>
      <c r="D783" s="158"/>
      <c r="E783" s="40"/>
      <c r="F783" s="40"/>
      <c r="G783" s="42"/>
      <c r="H783" s="43" t="s">
        <v>35</v>
      </c>
      <c r="I783" s="184">
        <f ca="1">IFERROR(__xludf.DUMMYFUNCTION("IMPORTRANGE(""https://docs.google.com/spreadsheets/d/10OvvATaaLtwErnr3qtWFcTmtbfpFEt5Bsqel9sXx0uE/edit?usp=sharing"",""งานกองทุน!M27"")"),436)</f>
        <v>436</v>
      </c>
      <c r="J783" s="184">
        <f ca="1">IFERROR(__xludf.DUMMYFUNCTION("IMPORTRANGE(""https://docs.google.com/spreadsheets/d/10OvvATaaLtwErnr3qtWFcTmtbfpFEt5Bsqel9sXx0uE/edit?usp=sharing"",""งานกองทุน!O27"")"),140)</f>
        <v>140</v>
      </c>
      <c r="K783" s="224">
        <f ca="1">IF(I783&gt;0,J783*100/I783,0)</f>
        <v>32.110091743119263</v>
      </c>
      <c r="L783" s="45"/>
      <c r="M783" s="45"/>
      <c r="N783" s="45"/>
      <c r="O783" s="45"/>
      <c r="P783" s="45"/>
      <c r="Q783" s="45"/>
      <c r="R783" s="45"/>
      <c r="S783" s="45"/>
      <c r="T783" s="45"/>
      <c r="U783" s="45"/>
    </row>
    <row r="784" spans="1:21" ht="18.75" x14ac:dyDescent="0.25">
      <c r="A784" s="39"/>
      <c r="B784" s="47" t="s">
        <v>295</v>
      </c>
      <c r="C784" s="40"/>
      <c r="D784" s="158"/>
      <c r="E784" s="40"/>
      <c r="F784" s="40"/>
      <c r="G784" s="42"/>
      <c r="H784" s="43" t="s">
        <v>14</v>
      </c>
      <c r="I784" s="184">
        <f ca="1">IFERROR(__xludf.DUMMYFUNCTION("IMPORTRANGE(""https://docs.google.com/spreadsheets/d/10OvvATaaLtwErnr3qtWFcTmtbfpFEt5Bsqel9sXx0uE/edit?usp=sharing"",""งานกองทุน!S27"")"),5656000)</f>
        <v>5656000</v>
      </c>
      <c r="J784" s="184">
        <f ca="1">IFERROR(__xludf.DUMMYFUNCTION("IMPORTRANGE(""https://docs.google.com/spreadsheets/d/10OvvATaaLtwErnr3qtWFcTmtbfpFEt5Bsqel9sXx0uE/edit?usp=sharing"",""งานกองทุน!U27"")"),1160000)</f>
        <v>1160000</v>
      </c>
      <c r="K784" s="224">
        <f ca="1">IF(I784&gt;0,J784*100/I784,0)</f>
        <v>20.509193776520508</v>
      </c>
      <c r="L784" s="45"/>
      <c r="M784" s="45"/>
      <c r="N784" s="45"/>
      <c r="O784" s="45"/>
      <c r="P784" s="45"/>
      <c r="Q784" s="45"/>
      <c r="R784" s="45"/>
      <c r="S784" s="45"/>
      <c r="T784" s="45"/>
      <c r="U784" s="45"/>
    </row>
    <row r="785" spans="1:21" ht="18.75" x14ac:dyDescent="0.25">
      <c r="A785" s="50"/>
      <c r="B785" s="1"/>
      <c r="C785" s="1"/>
      <c r="D785" s="2"/>
      <c r="E785" s="1"/>
      <c r="F785" s="1"/>
      <c r="G785" s="52"/>
      <c r="H785" s="53" t="s">
        <v>35</v>
      </c>
      <c r="I785" s="188">
        <f ca="1">IFERROR(__xludf.DUMMYFUNCTION("IMPORTRANGE(""https://docs.google.com/spreadsheets/d/10OvvATaaLtwErnr3qtWFcTmtbfpFEt5Bsqel9sXx0uE/edit?usp=sharing"",""งานกองทุน!R27"")"),202)</f>
        <v>202</v>
      </c>
      <c r="J785" s="188">
        <f ca="1">IFERROR(__xludf.DUMMYFUNCTION("IMPORTRANGE(""https://docs.google.com/spreadsheets/d/10OvvATaaLtwErnr3qtWFcTmtbfpFEt5Bsqel9sXx0uE/edit?usp=sharing"",""งานกองทุน!T27"")"),29)</f>
        <v>29</v>
      </c>
      <c r="K785" s="448">
        <f ca="1">IF(I785&gt;0,J785*100/I785,0)</f>
        <v>14.356435643564357</v>
      </c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2.75" x14ac:dyDescent="0.2">
      <c r="A786" s="165"/>
      <c r="B786" s="165"/>
      <c r="C786" s="165"/>
      <c r="D786" s="165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</row>
    <row r="787" spans="1:21" ht="16.5" x14ac:dyDescent="0.25">
      <c r="A787" s="1607" t="s">
        <v>296</v>
      </c>
      <c r="B787" s="165"/>
      <c r="C787" s="165"/>
      <c r="D787" s="165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</row>
    <row r="788" spans="1:21" ht="16.5" x14ac:dyDescent="0.25">
      <c r="A788" s="160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5"/>
      <c r="C788" s="165"/>
      <c r="D788" s="165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</row>
    <row r="789" spans="1:21" ht="16.5" x14ac:dyDescent="0.25">
      <c r="A789" s="1607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5"/>
      <c r="C789" s="165"/>
      <c r="D789" s="165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F334-2902-4949-8097-6BD73590DC31}">
  <sheetPr>
    <outlinePr summaryBelow="0" summaryRight="0"/>
  </sheetPr>
  <dimension ref="A1:U789"/>
  <sheetViews>
    <sheetView view="pageBreakPreview" zoomScale="60" zoomScaleNormal="80" workbookViewId="0">
      <pane xSplit="8" ySplit="6" topLeftCell="I38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0.28515625" bestFit="1" customWidth="1"/>
    <col min="15" max="15" width="19.28515625" bestFit="1" customWidth="1"/>
    <col min="16" max="16" width="20.7109375" bestFit="1" customWidth="1"/>
    <col min="17" max="18" width="20.28515625" bestFit="1" customWidth="1"/>
    <col min="19" max="19" width="17.85546875" bestFit="1" customWidth="1"/>
    <col min="20" max="20" width="19.28515625" bestFit="1" customWidth="1"/>
    <col min="21" max="21" width="20.7109375" bestFit="1" customWidth="1"/>
  </cols>
  <sheetData>
    <row r="1" spans="1:21" ht="15.75" customHeight="1" x14ac:dyDescent="0.3">
      <c r="A1" s="1335" t="s">
        <v>0</v>
      </c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5"/>
      <c r="N1" s="1335"/>
      <c r="O1" s="1335"/>
      <c r="P1" s="1335"/>
      <c r="Q1" s="1335"/>
      <c r="R1" s="1335"/>
      <c r="S1" s="1335"/>
      <c r="T1" s="1335"/>
      <c r="U1" s="1335"/>
    </row>
    <row r="2" spans="1:21" ht="15.75" customHeight="1" x14ac:dyDescent="0.3">
      <c r="A2" s="1335" t="s">
        <v>347</v>
      </c>
      <c r="B2" s="1335"/>
      <c r="C2" s="1335"/>
      <c r="D2" s="1335"/>
      <c r="E2" s="1335"/>
      <c r="F2" s="1335"/>
      <c r="G2" s="1335"/>
      <c r="H2" s="1335"/>
      <c r="I2" s="1335"/>
      <c r="J2" s="1335"/>
      <c r="K2" s="1335"/>
      <c r="L2" s="1335"/>
      <c r="M2" s="1335"/>
      <c r="N2" s="1335"/>
      <c r="O2" s="1335"/>
      <c r="P2" s="1335"/>
      <c r="Q2" s="1335"/>
      <c r="R2" s="1335"/>
      <c r="S2" s="1335"/>
      <c r="T2" s="1335"/>
      <c r="U2" s="1335"/>
    </row>
    <row r="3" spans="1:21" ht="15.75" customHeight="1" x14ac:dyDescent="0.3">
      <c r="A3" s="1335" t="s">
        <v>350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  <c r="L3" s="1335"/>
      <c r="M3" s="1335"/>
      <c r="N3" s="1335"/>
      <c r="O3" s="1335"/>
      <c r="P3" s="1335"/>
      <c r="Q3" s="1335"/>
      <c r="R3" s="1335"/>
      <c r="S3" s="1335"/>
      <c r="T3" s="1335"/>
      <c r="U3" s="1335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1336"/>
      <c r="L4" s="1337" t="s">
        <v>2</v>
      </c>
      <c r="M4" s="1292"/>
      <c r="N4" s="1292"/>
      <c r="O4" s="1292"/>
      <c r="P4" s="1293"/>
      <c r="Q4" s="1338" t="s">
        <v>3</v>
      </c>
      <c r="R4" s="1292"/>
      <c r="S4" s="1292"/>
      <c r="T4" s="1292"/>
      <c r="U4" s="1293"/>
    </row>
    <row r="5" spans="1:21" ht="15.75" customHeight="1" x14ac:dyDescent="0.3">
      <c r="A5" s="1339" t="s">
        <v>4</v>
      </c>
      <c r="B5" s="1289"/>
      <c r="C5" s="1289"/>
      <c r="D5" s="1289"/>
      <c r="E5" s="1289"/>
      <c r="F5" s="1289"/>
      <c r="G5" s="1290"/>
      <c r="H5" s="1340" t="s">
        <v>5</v>
      </c>
      <c r="I5" s="1309" t="s">
        <v>6</v>
      </c>
      <c r="J5" s="1292"/>
      <c r="K5" s="1293"/>
      <c r="L5" s="1341" t="s">
        <v>7</v>
      </c>
      <c r="M5" s="1293"/>
      <c r="N5" s="1302" t="s">
        <v>8</v>
      </c>
      <c r="O5" s="1292"/>
      <c r="P5" s="1293"/>
      <c r="Q5" s="1303" t="s">
        <v>7</v>
      </c>
      <c r="R5" s="1293"/>
      <c r="S5" s="1302" t="s">
        <v>8</v>
      </c>
      <c r="T5" s="1292"/>
      <c r="U5" s="1293"/>
    </row>
    <row r="6" spans="1:21" ht="15.75" customHeight="1" x14ac:dyDescent="0.3">
      <c r="A6" s="1291"/>
      <c r="B6" s="1292"/>
      <c r="C6" s="1292"/>
      <c r="D6" s="1292"/>
      <c r="E6" s="1292"/>
      <c r="F6" s="1292"/>
      <c r="G6" s="1293"/>
      <c r="H6" s="1342"/>
      <c r="I6" s="6" t="s">
        <v>9</v>
      </c>
      <c r="J6" s="7" t="s">
        <v>10</v>
      </c>
      <c r="K6" s="6" t="s">
        <v>11</v>
      </c>
      <c r="L6" s="1343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x14ac:dyDescent="0.2">
      <c r="A7" s="1344"/>
      <c r="B7" s="1292"/>
      <c r="C7" s="1292"/>
      <c r="D7" s="1292"/>
      <c r="E7" s="1292"/>
      <c r="F7" s="1292"/>
      <c r="G7" s="1293"/>
      <c r="H7" s="14"/>
      <c r="I7" s="15"/>
      <c r="J7" s="15"/>
      <c r="K7" s="16"/>
      <c r="L7" s="1345"/>
      <c r="M7" s="16"/>
      <c r="N7" s="16"/>
      <c r="O7" s="16"/>
      <c r="P7" s="16"/>
      <c r="Q7" s="16"/>
      <c r="R7" s="16"/>
      <c r="S7" s="16"/>
      <c r="T7" s="16"/>
      <c r="U7" s="16"/>
    </row>
    <row r="8" spans="1:21" ht="12.75" x14ac:dyDescent="0.2">
      <c r="A8" s="17"/>
      <c r="B8" s="18"/>
      <c r="C8" s="18"/>
      <c r="D8" s="18"/>
      <c r="E8" s="18"/>
      <c r="F8" s="18"/>
      <c r="G8" s="19"/>
      <c r="H8" s="19"/>
      <c r="I8" s="20"/>
      <c r="J8" s="20"/>
      <c r="K8" s="21"/>
      <c r="L8" s="1346"/>
      <c r="M8" s="21"/>
      <c r="N8" s="21"/>
      <c r="O8" s="21"/>
      <c r="P8" s="21"/>
      <c r="Q8" s="21"/>
      <c r="R8" s="21"/>
      <c r="S8" s="21"/>
      <c r="T8" s="21"/>
      <c r="U8" s="21"/>
    </row>
    <row r="9" spans="1:21" ht="12.75" x14ac:dyDescent="0.2">
      <c r="A9" s="17"/>
      <c r="B9" s="18"/>
      <c r="C9" s="18"/>
      <c r="D9" s="18"/>
      <c r="E9" s="18"/>
      <c r="F9" s="18"/>
      <c r="G9" s="19"/>
      <c r="H9" s="19"/>
      <c r="I9" s="20"/>
      <c r="J9" s="20"/>
      <c r="K9" s="21"/>
      <c r="L9" s="1346"/>
      <c r="M9" s="21"/>
      <c r="N9" s="21"/>
      <c r="O9" s="21"/>
      <c r="P9" s="21"/>
      <c r="Q9" s="21"/>
      <c r="R9" s="21"/>
      <c r="S9" s="21"/>
      <c r="T9" s="21"/>
      <c r="U9" s="21"/>
    </row>
    <row r="10" spans="1:21" ht="12.75" x14ac:dyDescent="0.2">
      <c r="A10" s="17"/>
      <c r="B10" s="18"/>
      <c r="C10" s="18"/>
      <c r="D10" s="18"/>
      <c r="E10" s="18"/>
      <c r="F10" s="18"/>
      <c r="G10" s="19"/>
      <c r="H10" s="19"/>
      <c r="I10" s="20"/>
      <c r="J10" s="20"/>
      <c r="K10" s="21"/>
      <c r="L10" s="1346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2.75" x14ac:dyDescent="0.2">
      <c r="A11" s="17"/>
      <c r="B11" s="18"/>
      <c r="C11" s="18"/>
      <c r="D11" s="18"/>
      <c r="E11" s="18"/>
      <c r="F11" s="18"/>
      <c r="G11" s="19"/>
      <c r="H11" s="19"/>
      <c r="I11" s="20"/>
      <c r="J11" s="20"/>
      <c r="K11" s="21"/>
      <c r="L11" s="1346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2.75" x14ac:dyDescent="0.2">
      <c r="A12" s="17"/>
      <c r="B12" s="18"/>
      <c r="C12" s="18"/>
      <c r="D12" s="18"/>
      <c r="E12" s="18"/>
      <c r="F12" s="18"/>
      <c r="G12" s="19"/>
      <c r="H12" s="19"/>
      <c r="I12" s="20"/>
      <c r="J12" s="20"/>
      <c r="K12" s="21"/>
      <c r="L12" s="1346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12.75" x14ac:dyDescent="0.2">
      <c r="A13" s="17"/>
      <c r="B13" s="18"/>
      <c r="C13" s="18"/>
      <c r="D13" s="18"/>
      <c r="E13" s="18"/>
      <c r="F13" s="18"/>
      <c r="G13" s="19"/>
      <c r="H13" s="19"/>
      <c r="I13" s="20"/>
      <c r="J13" s="20"/>
      <c r="K13" s="21"/>
      <c r="L13" s="1346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2.75" x14ac:dyDescent="0.2">
      <c r="A14" s="17"/>
      <c r="B14" s="18"/>
      <c r="C14" s="18"/>
      <c r="D14" s="18"/>
      <c r="E14" s="18"/>
      <c r="F14" s="18"/>
      <c r="G14" s="19"/>
      <c r="H14" s="19"/>
      <c r="I14" s="20"/>
      <c r="J14" s="20"/>
      <c r="K14" s="21"/>
      <c r="L14" s="1346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2.75" x14ac:dyDescent="0.2">
      <c r="A15" s="17"/>
      <c r="B15" s="18"/>
      <c r="C15" s="18"/>
      <c r="D15" s="18"/>
      <c r="E15" s="18"/>
      <c r="F15" s="18"/>
      <c r="G15" s="19"/>
      <c r="H15" s="19"/>
      <c r="I15" s="20"/>
      <c r="J15" s="20"/>
      <c r="K15" s="21"/>
      <c r="L15" s="1346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2.75" x14ac:dyDescent="0.2">
      <c r="A16" s="13"/>
      <c r="B16" s="22"/>
      <c r="C16" s="22"/>
      <c r="D16" s="22"/>
      <c r="E16" s="22"/>
      <c r="F16" s="22"/>
      <c r="G16" s="14"/>
      <c r="H16" s="14"/>
      <c r="I16" s="15"/>
      <c r="J16" s="15"/>
      <c r="K16" s="16"/>
      <c r="L16" s="1345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15.75" customHeight="1" x14ac:dyDescent="0.3">
      <c r="A17" s="1295" t="s">
        <v>298</v>
      </c>
      <c r="B17" s="1292"/>
      <c r="C17" s="1292"/>
      <c r="D17" s="1292"/>
      <c r="E17" s="1292"/>
      <c r="F17" s="1292"/>
      <c r="G17" s="1293"/>
      <c r="H17" s="23"/>
      <c r="I17" s="24"/>
      <c r="J17" s="24"/>
      <c r="K17" s="25"/>
      <c r="L17" s="1347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5.75" customHeight="1" x14ac:dyDescent="0.3">
      <c r="A18" s="26"/>
      <c r="B18" s="27"/>
      <c r="C18" s="28" t="s">
        <v>18</v>
      </c>
      <c r="D18" s="29" t="s">
        <v>19</v>
      </c>
      <c r="E18" s="27"/>
      <c r="F18" s="27"/>
      <c r="G18" s="30"/>
      <c r="H18" s="31" t="s">
        <v>14</v>
      </c>
      <c r="I18" s="32"/>
      <c r="J18" s="32"/>
      <c r="K18" s="33"/>
      <c r="L18" s="1348">
        <f ca="1">L19+L20</f>
        <v>2782580</v>
      </c>
      <c r="M18" s="1349">
        <f ca="1">M19+M20</f>
        <v>2858283.27</v>
      </c>
      <c r="N18" s="1349">
        <f ca="1">N19+N20</f>
        <v>1910152.93</v>
      </c>
      <c r="O18" s="1349">
        <f ca="1">IF(L18&gt;0,N18*100/L18,0)</f>
        <v>68.646828842297438</v>
      </c>
      <c r="P18" s="1349">
        <f ca="1">IF(M18&gt;0,N18*100/M18,0)</f>
        <v>66.828678250633985</v>
      </c>
      <c r="Q18" s="1349">
        <f ca="1">Q19+Q20</f>
        <v>4362937.1500000004</v>
      </c>
      <c r="R18" s="1349">
        <f ca="1">R19+R20</f>
        <v>4362937</v>
      </c>
      <c r="S18" s="1349">
        <f ca="1">S19+S20</f>
        <v>658447.29</v>
      </c>
      <c r="T18" s="1349">
        <f ca="1">IF(Q18&gt;0,S18*100/Q18,0)</f>
        <v>15.091835324742185</v>
      </c>
      <c r="U18" s="1349">
        <f ca="1">IF(R18&gt;0,S18*100/R18,0)</f>
        <v>15.091835843607186</v>
      </c>
    </row>
    <row r="19" spans="1:21" ht="15.75" customHeight="1" x14ac:dyDescent="0.25">
      <c r="A19" s="26"/>
      <c r="B19" s="27"/>
      <c r="C19" s="27"/>
      <c r="D19" s="27"/>
      <c r="E19" s="1350" t="s">
        <v>20</v>
      </c>
      <c r="F19" s="27"/>
      <c r="G19" s="30"/>
      <c r="H19" s="1351" t="s">
        <v>14</v>
      </c>
      <c r="I19" s="32"/>
      <c r="J19" s="32"/>
      <c r="K19" s="33"/>
      <c r="L19" s="1352">
        <f>L22+L25</f>
        <v>0</v>
      </c>
      <c r="M19" s="1353">
        <f>M22+M25</f>
        <v>0</v>
      </c>
      <c r="N19" s="1353">
        <f>N22+N25</f>
        <v>0</v>
      </c>
      <c r="O19" s="1353">
        <f>IF(L19&gt;0,N19*100/L19,0)</f>
        <v>0</v>
      </c>
      <c r="P19" s="1353">
        <f>IF(M19&gt;0,N19*100/M19,0)</f>
        <v>0</v>
      </c>
      <c r="Q19" s="1353">
        <f>Q22+Q25</f>
        <v>0</v>
      </c>
      <c r="R19" s="1353">
        <f>R22+R25</f>
        <v>0</v>
      </c>
      <c r="S19" s="1353">
        <f>S22+S25</f>
        <v>0</v>
      </c>
      <c r="T19" s="1353">
        <f>IF(Q19&gt;0,S19*100/Q19,0)</f>
        <v>0</v>
      </c>
      <c r="U19" s="1353">
        <f>IF(R19&gt;0,S19*100/R19,0)</f>
        <v>0</v>
      </c>
    </row>
    <row r="20" spans="1:21" ht="15.75" customHeight="1" x14ac:dyDescent="0.25">
      <c r="A20" s="26"/>
      <c r="B20" s="27"/>
      <c r="C20" s="27"/>
      <c r="D20" s="27"/>
      <c r="E20" s="35" t="s">
        <v>21</v>
      </c>
      <c r="F20" s="27"/>
      <c r="G20" s="30"/>
      <c r="H20" s="36" t="s">
        <v>14</v>
      </c>
      <c r="I20" s="32"/>
      <c r="J20" s="32"/>
      <c r="K20" s="33"/>
      <c r="L20" s="1354">
        <f ca="1">L23+L26</f>
        <v>2782580</v>
      </c>
      <c r="M20" s="1355">
        <f ca="1">M23+M26</f>
        <v>2858283.27</v>
      </c>
      <c r="N20" s="1355">
        <f ca="1">N23+N26</f>
        <v>1910152.93</v>
      </c>
      <c r="O20" s="1355">
        <f ca="1">IF(L20&gt;0,N20*100/L20,0)</f>
        <v>68.646828842297438</v>
      </c>
      <c r="P20" s="1355">
        <f ca="1">IF(M20&gt;0,N20*100/M20,0)</f>
        <v>66.828678250633985</v>
      </c>
      <c r="Q20" s="1355">
        <f ca="1">Q23+Q26</f>
        <v>4362937.1500000004</v>
      </c>
      <c r="R20" s="1355">
        <f ca="1">R23+R26</f>
        <v>4362937</v>
      </c>
      <c r="S20" s="1355">
        <f ca="1">S23+S26</f>
        <v>658447.29</v>
      </c>
      <c r="T20" s="1355">
        <f ca="1">IF(Q20&gt;0,S20*100/Q20,0)</f>
        <v>15.091835324742185</v>
      </c>
      <c r="U20" s="1355">
        <f ca="1">IF(R20&gt;0,S20*100/R20,0)</f>
        <v>15.091835843607186</v>
      </c>
    </row>
    <row r="21" spans="1:21" ht="15.75" customHeight="1" x14ac:dyDescent="0.25">
      <c r="A21" s="39"/>
      <c r="B21" s="40"/>
      <c r="C21" s="40"/>
      <c r="D21" s="41" t="s">
        <v>22</v>
      </c>
      <c r="E21" s="40"/>
      <c r="F21" s="40"/>
      <c r="G21" s="42"/>
      <c r="H21" s="43" t="s">
        <v>14</v>
      </c>
      <c r="I21" s="44"/>
      <c r="J21" s="44"/>
      <c r="K21" s="45"/>
      <c r="L21" s="1356">
        <f ca="1">L22+L23</f>
        <v>2782580</v>
      </c>
      <c r="M21" s="224">
        <f ca="1">M22+M23</f>
        <v>2858283.27</v>
      </c>
      <c r="N21" s="224">
        <f ca="1">N22+N23</f>
        <v>1910152.93</v>
      </c>
      <c r="O21" s="224">
        <f ca="1">IF(L21&gt;0,N21*100/L21,0)</f>
        <v>68.646828842297438</v>
      </c>
      <c r="P21" s="224">
        <f ca="1">IF(M21&gt;0,N21*100/M21,0)</f>
        <v>66.828678250633985</v>
      </c>
      <c r="Q21" s="224">
        <f ca="1">Q22+Q23</f>
        <v>3528414.15</v>
      </c>
      <c r="R21" s="224">
        <f ca="1">R22+R23</f>
        <v>3528414</v>
      </c>
      <c r="S21" s="224">
        <f ca="1">S22+S23</f>
        <v>658447.29</v>
      </c>
      <c r="T21" s="224">
        <f ca="1">IF(Q21&gt;0,S21*100/Q21,0)</f>
        <v>18.66128130111937</v>
      </c>
      <c r="U21" s="224">
        <f ca="1">IF(R21&gt;0,S21*100/R21,0)</f>
        <v>18.661282094448101</v>
      </c>
    </row>
    <row r="22" spans="1:21" ht="15.75" customHeight="1" x14ac:dyDescent="0.25">
      <c r="A22" s="39"/>
      <c r="B22" s="40"/>
      <c r="C22" s="40"/>
      <c r="D22" s="40"/>
      <c r="E22" s="156" t="s">
        <v>20</v>
      </c>
      <c r="F22" s="40"/>
      <c r="G22" s="42"/>
      <c r="H22" s="1357" t="s">
        <v>14</v>
      </c>
      <c r="I22" s="44"/>
      <c r="J22" s="44"/>
      <c r="K22" s="45"/>
      <c r="L22" s="1358">
        <f>L48+L63+L76+L98+L129+L143+L161+L190+L177+L270+L286+L307+L324+L337+L360+L517</f>
        <v>0</v>
      </c>
      <c r="M22" s="83">
        <f>M48+M63+M76+M98+M129+M143+M161+M190+M177+M270+M286+M307+M324+M337+M360+M517</f>
        <v>0</v>
      </c>
      <c r="N22" s="83">
        <f>N48+N63+N76+N98+N129+N143+N161+N190+N177+N270+N286+N307+N324+N337+N360+N517</f>
        <v>0</v>
      </c>
      <c r="O22" s="83">
        <f>IF(L22&gt;0,N22*100/L22,0)</f>
        <v>0</v>
      </c>
      <c r="P22" s="83">
        <f>IF(M22&gt;0,N22*100/M22,0)</f>
        <v>0</v>
      </c>
      <c r="Q22" s="83">
        <f>Q76+Q98+Q121+Q143+Q161+Q177+Q190+Q270+Q286+Q307+Q337+Q379+Q396+Q417+Q497+Q603+Q620+Q646+Q694+Q718+Q732+Q764</f>
        <v>0</v>
      </c>
      <c r="R22" s="83">
        <f>R76+R98+R121+R143+R161+R177+R190+R270+R286+R307+R337+R379+R396+R417+R497+R603+R620+R646+R694+R718+R732+R764</f>
        <v>0</v>
      </c>
      <c r="S22" s="83">
        <f>S76+S98+S121+S143+S161+S177+S190+S270+S286+S307+S337+S379+S396+S417+S497+S603+S620+S646+S694+S718+S732+S764</f>
        <v>0</v>
      </c>
      <c r="T22" s="83">
        <f>IF(Q22&gt;0,S22*100/Q22,0)</f>
        <v>0</v>
      </c>
      <c r="U22" s="83">
        <f>IF(R22&gt;0,S22*100/R22,0)</f>
        <v>0</v>
      </c>
    </row>
    <row r="23" spans="1:21" ht="15.75" customHeight="1" x14ac:dyDescent="0.25">
      <c r="A23" s="39"/>
      <c r="B23" s="40"/>
      <c r="C23" s="40"/>
      <c r="D23" s="40"/>
      <c r="E23" s="47" t="s">
        <v>21</v>
      </c>
      <c r="F23" s="40"/>
      <c r="G23" s="42"/>
      <c r="H23" s="43" t="s">
        <v>14</v>
      </c>
      <c r="I23" s="44"/>
      <c r="J23" s="44"/>
      <c r="K23" s="45"/>
      <c r="L23" s="1356">
        <f ca="1">L49+L64+L77+L99+L130+L144+L162+L191+L178+L271+L287+L308+L325+L338+L361+L518</f>
        <v>2782580</v>
      </c>
      <c r="M23" s="224">
        <f ca="1">M49+M64+M77+M99+M130+M144+M162+M191+M178+M271+M287+M308+M325+M338+M361+M518</f>
        <v>2858283.27</v>
      </c>
      <c r="N23" s="224">
        <f ca="1">N49+N64+N77+N99+N130+N144+N162+N191+N178+N271+N287+N308+N325+N338+N361+N518</f>
        <v>1910152.93</v>
      </c>
      <c r="O23" s="224">
        <f ca="1">IF(L23&gt;0,N23*100/L23,0)</f>
        <v>68.646828842297438</v>
      </c>
      <c r="P23" s="224">
        <f ca="1">IF(M23&gt;0,N23*100/M23,0)</f>
        <v>66.828678250633985</v>
      </c>
      <c r="Q23" s="224">
        <f ca="1">Q77+Q99+Q122+Q144+Q162+Q178+Q191+Q271+Q287+Q308+Q338+Q380+Q397+Q418+Q498+Q604+Q621+Q647+Q695+Q719+Q733+Q765</f>
        <v>3528414.15</v>
      </c>
      <c r="R23" s="224">
        <f ca="1">R77+R99+R122+R144+R162+R178+R191+R271+R287+R308+R338+R380+R397+R418+R498+R604+R621+R647+R695+R719+R733+R765</f>
        <v>3528414</v>
      </c>
      <c r="S23" s="224">
        <f ca="1">S77+S99+S122+S144+S162+S178+S191+S271+S287+S308+S338+S380+S397+S418+S498+S604+S621+S647+S695+S719+S733+S765</f>
        <v>658447.29</v>
      </c>
      <c r="T23" s="224">
        <f ca="1">IF(Q23&gt;0,S23*100/Q23,0)</f>
        <v>18.66128130111937</v>
      </c>
      <c r="U23" s="224">
        <f ca="1">IF(R23&gt;0,S23*100/R23,0)</f>
        <v>18.661282094448101</v>
      </c>
    </row>
    <row r="24" spans="1:21" ht="15.75" customHeight="1" x14ac:dyDescent="0.25">
      <c r="A24" s="39"/>
      <c r="B24" s="40"/>
      <c r="C24" s="40"/>
      <c r="D24" s="41" t="s">
        <v>23</v>
      </c>
      <c r="E24" s="40"/>
      <c r="F24" s="40"/>
      <c r="G24" s="42"/>
      <c r="H24" s="43" t="s">
        <v>14</v>
      </c>
      <c r="I24" s="44"/>
      <c r="J24" s="44"/>
      <c r="K24" s="45"/>
      <c r="L24" s="1356">
        <f ca="1">L25+L26</f>
        <v>0</v>
      </c>
      <c r="M24" s="224">
        <f ca="1">M25+M26</f>
        <v>0</v>
      </c>
      <c r="N24" s="224">
        <f ca="1">N25+N26</f>
        <v>0</v>
      </c>
      <c r="O24" s="224">
        <f ca="1">IF(L24&gt;0,N24*100/L24,0)</f>
        <v>0</v>
      </c>
      <c r="P24" s="224">
        <f ca="1">IF(M24&gt;0,N24*100/M24,0)</f>
        <v>0</v>
      </c>
      <c r="Q24" s="224">
        <f ca="1">Q25+Q26</f>
        <v>834523</v>
      </c>
      <c r="R24" s="224">
        <f ca="1">R25+R26</f>
        <v>834523</v>
      </c>
      <c r="S24" s="224">
        <f ca="1">S25+S26</f>
        <v>0</v>
      </c>
      <c r="T24" s="224">
        <f ca="1">IF(Q24&gt;0,S24*100/Q24,0)</f>
        <v>0</v>
      </c>
      <c r="U24" s="224">
        <f ca="1">IF(R24&gt;0,S24*100/R24,0)</f>
        <v>0</v>
      </c>
    </row>
    <row r="25" spans="1:21" ht="15.75" customHeight="1" x14ac:dyDescent="0.25">
      <c r="A25" s="39"/>
      <c r="B25" s="40"/>
      <c r="C25" s="40"/>
      <c r="D25" s="40"/>
      <c r="E25" s="156" t="s">
        <v>20</v>
      </c>
      <c r="F25" s="40"/>
      <c r="G25" s="42"/>
      <c r="H25" s="1357" t="s">
        <v>14</v>
      </c>
      <c r="I25" s="44"/>
      <c r="J25" s="44"/>
      <c r="K25" s="45"/>
      <c r="L25" s="1358">
        <f>L51+L66+L79+L101+L132+L146+L164+L193+L180+L273+L289+L310+L327+L340+L363+L520</f>
        <v>0</v>
      </c>
      <c r="M25" s="83">
        <f>M51+M66+M79+M101+M132+M146+M164+M193+M180+M273+M289+M310+M327+M340+M363+M520</f>
        <v>0</v>
      </c>
      <c r="N25" s="83">
        <f>N51+N66+N79+N101+N132+N146+N164+N193+N180+N273+N289+N310+N327+N340+N363+N520</f>
        <v>0</v>
      </c>
      <c r="O25" s="83">
        <f>IF(L25&gt;0,N25*100/L25,0)</f>
        <v>0</v>
      </c>
      <c r="P25" s="83">
        <f>IF(M25&gt;0,N25*100/M25,0)</f>
        <v>0</v>
      </c>
      <c r="Q25" s="83">
        <f>Q79+Q101+Q124+Q146+Q164+Q180+Q193+Q273+Q289+Q310+Q340+Q382+Q399+Q420+Q500+Q606+Q623+Q649+Q697+Q721+Q735+Q767</f>
        <v>0</v>
      </c>
      <c r="R25" s="83">
        <f>R79+R101+R124+R146+R164+R180+R193+R273+R289+R310+R340+R382+R399+R420+R500+R606+R623+R649+R697+R721+R735+R767</f>
        <v>0</v>
      </c>
      <c r="S25" s="83">
        <f>S79+S101+S124+S146+S164+S180+S193+S273+S289+S310+S340+S382+S399+S420+S500+S606+S623+S649+S697+S721+S735+S767</f>
        <v>0</v>
      </c>
      <c r="T25" s="83">
        <f>IF(Q25&gt;0,S25*100/Q25,0)</f>
        <v>0</v>
      </c>
      <c r="U25" s="83">
        <f>IF(R25&gt;0,S25*100/R25,0)</f>
        <v>0</v>
      </c>
    </row>
    <row r="26" spans="1:21" ht="15.75" customHeight="1" x14ac:dyDescent="0.25">
      <c r="A26" s="39"/>
      <c r="B26" s="40"/>
      <c r="C26" s="40"/>
      <c r="D26" s="40"/>
      <c r="E26" s="47" t="s">
        <v>21</v>
      </c>
      <c r="F26" s="40"/>
      <c r="G26" s="42"/>
      <c r="H26" s="43" t="s">
        <v>14</v>
      </c>
      <c r="I26" s="44"/>
      <c r="J26" s="44"/>
      <c r="K26" s="45"/>
      <c r="L26" s="1356">
        <f ca="1">L52+L67+L80+L102+L133+L147+L165+L194+L181+L274+L290+L311+L328+L341+L364+L521</f>
        <v>0</v>
      </c>
      <c r="M26" s="224">
        <f ca="1">M52+M67+M80+M102+M133+M147+M165+M194+M181+M274+M290+M311+M328+M341+M364+M521</f>
        <v>0</v>
      </c>
      <c r="N26" s="224">
        <f ca="1">N52+N67+N80+N102+N133+N147+N165+N194+N181+N274+N290+N311+N328+N341+N364+N521</f>
        <v>0</v>
      </c>
      <c r="O26" s="224">
        <f ca="1">IF(L26&gt;0,N26*100/L26,0)</f>
        <v>0</v>
      </c>
      <c r="P26" s="224">
        <f ca="1">IF(M26&gt;0,N26*100/M26,0)</f>
        <v>0</v>
      </c>
      <c r="Q26" s="83">
        <f ca="1">Q80+Q102+Q125+Q147+Q165+Q181+Q194+Q274+Q290+Q311+Q341+Q383+Q400+Q421+Q501+Q607+Q624+Q650+Q698+Q722+Q736+Q768</f>
        <v>834523</v>
      </c>
      <c r="R26" s="83">
        <f ca="1">R80+R102+R125+R147+R165+R181+R194+R274+R290+R311+R341+R383+R400+R421+R501+R607+R624+R650+R698+R722+R736+R768</f>
        <v>834523</v>
      </c>
      <c r="S26" s="83">
        <f ca="1">S80+S102+S125+S147+S165+S181+S194+S274+S290+S311+S341+S383+S400+S421+S501+S607+S624+S650+S698+S722+S736+S768</f>
        <v>0</v>
      </c>
      <c r="T26" s="224">
        <f ca="1">IF(Q26&gt;0,S26*100/Q26,0)</f>
        <v>0</v>
      </c>
      <c r="U26" s="224">
        <f ca="1">IF(R26&gt;0,S26*100/R26,0)</f>
        <v>0</v>
      </c>
    </row>
    <row r="27" spans="1:21" ht="15.75" customHeight="1" x14ac:dyDescent="0.25">
      <c r="A27" s="39"/>
      <c r="B27" s="40"/>
      <c r="C27" s="40"/>
      <c r="D27" s="41" t="s">
        <v>24</v>
      </c>
      <c r="E27" s="40"/>
      <c r="F27" s="40"/>
      <c r="G27" s="42"/>
      <c r="H27" s="43" t="s">
        <v>14</v>
      </c>
      <c r="I27" s="44"/>
      <c r="J27" s="44"/>
      <c r="K27" s="45"/>
      <c r="L27" s="1359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5.75" customHeight="1" x14ac:dyDescent="0.25">
      <c r="A28" s="39"/>
      <c r="B28" s="40"/>
      <c r="C28" s="40"/>
      <c r="D28" s="40"/>
      <c r="E28" s="156" t="s">
        <v>20</v>
      </c>
      <c r="F28" s="40"/>
      <c r="G28" s="42"/>
      <c r="H28" s="1357" t="s">
        <v>14</v>
      </c>
      <c r="I28" s="44"/>
      <c r="J28" s="44"/>
      <c r="K28" s="45"/>
      <c r="L28" s="1359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15.75" customHeight="1" x14ac:dyDescent="0.25">
      <c r="A29" s="50"/>
      <c r="B29" s="1"/>
      <c r="C29" s="1"/>
      <c r="D29" s="1"/>
      <c r="E29" s="51" t="s">
        <v>21</v>
      </c>
      <c r="F29" s="1"/>
      <c r="G29" s="52"/>
      <c r="H29" s="53" t="s">
        <v>14</v>
      </c>
      <c r="I29" s="54"/>
      <c r="J29" s="54"/>
      <c r="K29" s="3"/>
      <c r="L29" s="1360"/>
      <c r="M29" s="3"/>
      <c r="N29" s="3"/>
      <c r="O29" s="3"/>
      <c r="P29" s="3"/>
      <c r="Q29" s="3"/>
      <c r="R29" s="3"/>
      <c r="S29" s="3"/>
      <c r="T29" s="3"/>
      <c r="U29" s="3"/>
    </row>
    <row r="30" spans="1:21" ht="12.75" x14ac:dyDescent="0.2">
      <c r="A30" s="1344"/>
      <c r="B30" s="1292"/>
      <c r="C30" s="1292"/>
      <c r="D30" s="1292"/>
      <c r="E30" s="1292"/>
      <c r="F30" s="1292"/>
      <c r="G30" s="1293"/>
      <c r="H30" s="14"/>
      <c r="I30" s="15"/>
      <c r="J30" s="15"/>
      <c r="K30" s="16"/>
      <c r="L30" s="1345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2.75" x14ac:dyDescent="0.2">
      <c r="A31" s="17"/>
      <c r="B31" s="18"/>
      <c r="C31" s="18"/>
      <c r="D31" s="18"/>
      <c r="E31" s="18"/>
      <c r="F31" s="18"/>
      <c r="G31" s="19"/>
      <c r="H31" s="19"/>
      <c r="I31" s="20"/>
      <c r="J31" s="20"/>
      <c r="K31" s="21"/>
      <c r="L31" s="1346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2.75" x14ac:dyDescent="0.2">
      <c r="A32" s="17"/>
      <c r="B32" s="18"/>
      <c r="C32" s="18"/>
      <c r="D32" s="18"/>
      <c r="E32" s="18"/>
      <c r="F32" s="18"/>
      <c r="G32" s="19"/>
      <c r="H32" s="19"/>
      <c r="I32" s="20"/>
      <c r="J32" s="20"/>
      <c r="K32" s="21"/>
      <c r="L32" s="1346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2.75" x14ac:dyDescent="0.2">
      <c r="A33" s="17"/>
      <c r="B33" s="18"/>
      <c r="C33" s="18"/>
      <c r="D33" s="18"/>
      <c r="E33" s="18"/>
      <c r="F33" s="18"/>
      <c r="G33" s="19"/>
      <c r="H33" s="19"/>
      <c r="I33" s="20"/>
      <c r="J33" s="20"/>
      <c r="K33" s="21"/>
      <c r="L33" s="1346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2.75" x14ac:dyDescent="0.2">
      <c r="A34" s="17"/>
      <c r="B34" s="18"/>
      <c r="C34" s="18"/>
      <c r="D34" s="18"/>
      <c r="E34" s="18"/>
      <c r="F34" s="18"/>
      <c r="G34" s="19"/>
      <c r="H34" s="19"/>
      <c r="I34" s="20"/>
      <c r="J34" s="20"/>
      <c r="K34" s="21"/>
      <c r="L34" s="1346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2.75" x14ac:dyDescent="0.2">
      <c r="A35" s="17"/>
      <c r="B35" s="18"/>
      <c r="C35" s="18"/>
      <c r="D35" s="18"/>
      <c r="E35" s="18"/>
      <c r="F35" s="18"/>
      <c r="G35" s="19"/>
      <c r="H35" s="19"/>
      <c r="I35" s="20"/>
      <c r="J35" s="20"/>
      <c r="K35" s="21"/>
      <c r="L35" s="1346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2.75" x14ac:dyDescent="0.2">
      <c r="A36" s="17"/>
      <c r="B36" s="18"/>
      <c r="C36" s="18"/>
      <c r="D36" s="18"/>
      <c r="E36" s="18"/>
      <c r="F36" s="18"/>
      <c r="G36" s="19"/>
      <c r="H36" s="19"/>
      <c r="I36" s="20"/>
      <c r="J36" s="20"/>
      <c r="K36" s="21"/>
      <c r="L36" s="1346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2.75" x14ac:dyDescent="0.2">
      <c r="A37" s="17"/>
      <c r="B37" s="18"/>
      <c r="C37" s="18"/>
      <c r="D37" s="18"/>
      <c r="E37" s="18"/>
      <c r="F37" s="18"/>
      <c r="G37" s="19"/>
      <c r="H37" s="19"/>
      <c r="I37" s="20"/>
      <c r="J37" s="20"/>
      <c r="K37" s="21"/>
      <c r="L37" s="1346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2.75" x14ac:dyDescent="0.2">
      <c r="A38" s="17"/>
      <c r="B38" s="18"/>
      <c r="C38" s="18"/>
      <c r="D38" s="18"/>
      <c r="E38" s="18"/>
      <c r="F38" s="18"/>
      <c r="G38" s="19"/>
      <c r="H38" s="19"/>
      <c r="I38" s="20"/>
      <c r="J38" s="20"/>
      <c r="K38" s="21"/>
      <c r="L38" s="1346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2.75" x14ac:dyDescent="0.2">
      <c r="A39" s="13"/>
      <c r="B39" s="22"/>
      <c r="C39" s="22"/>
      <c r="D39" s="22"/>
      <c r="E39" s="22"/>
      <c r="F39" s="22"/>
      <c r="G39" s="14"/>
      <c r="H39" s="14"/>
      <c r="I39" s="15"/>
      <c r="J39" s="15"/>
      <c r="K39" s="16"/>
      <c r="L39" s="1345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9.5" x14ac:dyDescent="0.3">
      <c r="A40" s="55" t="s">
        <v>25</v>
      </c>
      <c r="B40" s="56"/>
      <c r="C40" s="56"/>
      <c r="D40" s="56"/>
      <c r="E40" s="56"/>
      <c r="F40" s="56"/>
      <c r="G40" s="57"/>
      <c r="H40" s="57"/>
      <c r="I40" s="58"/>
      <c r="J40" s="58"/>
      <c r="K40" s="59"/>
      <c r="L40" s="1361">
        <f ca="1">L44+L59+L72+L94+L125+L139+L157+L173+L186+L266+L282+L303+L320+L333+L356</f>
        <v>2782580</v>
      </c>
      <c r="M40" s="1362">
        <f ca="1">M44+M59+M72+M94+M125+M139+M157+M173+M186+M266+M282+M303+M320+M333+M356</f>
        <v>2858283.27</v>
      </c>
      <c r="N40" s="1362">
        <f ca="1">N44+N59+N72+N94+N125+N139+N157+N173+N186+N266+N282+N303+N320+N333+N356</f>
        <v>1910152.93</v>
      </c>
      <c r="O40" s="1362">
        <f ca="1">IF(L40&gt;0,N40*100/L40,0)</f>
        <v>68.646828842297438</v>
      </c>
      <c r="P40" s="1362">
        <f ca="1">IF(M40&gt;0,N40*100/M40,0)</f>
        <v>66.828678250633985</v>
      </c>
      <c r="Q40" s="59"/>
      <c r="R40" s="59"/>
      <c r="S40" s="59"/>
      <c r="T40" s="59"/>
      <c r="U40" s="59"/>
    </row>
    <row r="41" spans="1:21" ht="19.5" x14ac:dyDescent="0.3">
      <c r="A41" s="60" t="s">
        <v>26</v>
      </c>
      <c r="B41" s="61"/>
      <c r="C41" s="61"/>
      <c r="D41" s="61"/>
      <c r="E41" s="61"/>
      <c r="F41" s="61"/>
      <c r="G41" s="61"/>
      <c r="H41" s="61"/>
      <c r="I41" s="62"/>
      <c r="J41" s="62"/>
      <c r="K41" s="63"/>
      <c r="L41" s="63"/>
      <c r="M41" s="63"/>
      <c r="N41" s="63"/>
      <c r="O41" s="63"/>
      <c r="P41" s="64"/>
      <c r="Q41" s="63"/>
      <c r="R41" s="63"/>
      <c r="S41" s="63"/>
      <c r="T41" s="63"/>
      <c r="U41" s="64"/>
    </row>
    <row r="42" spans="1:21" ht="19.5" x14ac:dyDescent="0.3">
      <c r="A42" s="65"/>
      <c r="B42" s="66" t="s">
        <v>27</v>
      </c>
      <c r="C42" s="65"/>
      <c r="D42" s="65"/>
      <c r="E42" s="65"/>
      <c r="F42" s="65"/>
      <c r="G42" s="67"/>
      <c r="H42" s="67"/>
      <c r="I42" s="68"/>
      <c r="J42" s="68"/>
      <c r="K42" s="69"/>
      <c r="L42" s="1363"/>
      <c r="M42" s="69"/>
      <c r="N42" s="69"/>
      <c r="O42" s="69"/>
      <c r="P42" s="69"/>
      <c r="Q42" s="69"/>
      <c r="R42" s="69"/>
      <c r="S42" s="69"/>
      <c r="T42" s="69"/>
      <c r="U42" s="69"/>
    </row>
    <row r="43" spans="1:21" ht="12.75" x14ac:dyDescent="0.2">
      <c r="A43" s="17"/>
      <c r="B43" s="18"/>
      <c r="C43" s="18"/>
      <c r="D43" s="18"/>
      <c r="E43" s="18"/>
      <c r="F43" s="18"/>
      <c r="G43" s="19"/>
      <c r="H43" s="19"/>
      <c r="I43" s="20"/>
      <c r="J43" s="20"/>
      <c r="K43" s="21"/>
      <c r="L43" s="1346"/>
      <c r="M43" s="21"/>
      <c r="N43" s="21"/>
      <c r="O43" s="21"/>
      <c r="P43" s="21"/>
      <c r="Q43" s="21"/>
      <c r="R43" s="21"/>
      <c r="S43" s="21"/>
      <c r="T43" s="21"/>
      <c r="U43" s="21"/>
    </row>
    <row r="44" spans="1:21" ht="19.5" x14ac:dyDescent="0.3">
      <c r="A44" s="70"/>
      <c r="B44" s="71"/>
      <c r="C44" s="72" t="s">
        <v>18</v>
      </c>
      <c r="D44" s="1364" t="s">
        <v>19</v>
      </c>
      <c r="E44" s="71"/>
      <c r="F44" s="71"/>
      <c r="G44" s="74"/>
      <c r="H44" s="75" t="s">
        <v>14</v>
      </c>
      <c r="I44" s="76"/>
      <c r="J44" s="76"/>
      <c r="K44" s="77"/>
      <c r="L44" s="1365">
        <f ca="1">L45+L46</f>
        <v>572420</v>
      </c>
      <c r="M44" s="1366">
        <f ca="1">M45+M46</f>
        <v>573408.27</v>
      </c>
      <c r="N44" s="1366">
        <f ca="1">N45+N46</f>
        <v>453571.61</v>
      </c>
      <c r="O44" s="1366">
        <f ca="1">IF(L44&gt;0,N44*100/L44,0)</f>
        <v>79.237554592781521</v>
      </c>
      <c r="P44" s="1366">
        <f ca="1">IF(M44&gt;0,N44*100/M44,0)</f>
        <v>79.100988550444171</v>
      </c>
      <c r="Q44" s="1366">
        <f>Q45+Q46</f>
        <v>0</v>
      </c>
      <c r="R44" s="1366">
        <f>R45+R46</f>
        <v>0</v>
      </c>
      <c r="S44" s="1366">
        <f>S45+S46</f>
        <v>0</v>
      </c>
      <c r="T44" s="1366">
        <f>IF(Q44&gt;0,S44*100/Q44,0)</f>
        <v>0</v>
      </c>
      <c r="U44" s="1366">
        <f>IF(R44&gt;0,S44*100/R44,0)</f>
        <v>0</v>
      </c>
    </row>
    <row r="45" spans="1:21" ht="18.75" x14ac:dyDescent="0.25">
      <c r="A45" s="70"/>
      <c r="B45" s="71"/>
      <c r="C45" s="71"/>
      <c r="D45" s="71"/>
      <c r="E45" s="1367" t="s">
        <v>20</v>
      </c>
      <c r="F45" s="71"/>
      <c r="G45" s="74"/>
      <c r="H45" s="1368" t="s">
        <v>14</v>
      </c>
      <c r="I45" s="76"/>
      <c r="J45" s="76"/>
      <c r="K45" s="77"/>
      <c r="L45" s="1369">
        <f>L48+L51</f>
        <v>0</v>
      </c>
      <c r="M45" s="1370">
        <f>M48+M51</f>
        <v>0</v>
      </c>
      <c r="N45" s="1370">
        <f>N48+N51</f>
        <v>0</v>
      </c>
      <c r="O45" s="1370">
        <f>IF(L45&gt;0,N45*100/L45,0)</f>
        <v>0</v>
      </c>
      <c r="P45" s="1370">
        <f>IF(M45&gt;0,N45*100/M45,0)</f>
        <v>0</v>
      </c>
      <c r="Q45" s="1370">
        <f>Q48+Q51</f>
        <v>0</v>
      </c>
      <c r="R45" s="1370">
        <f>R48+R51</f>
        <v>0</v>
      </c>
      <c r="S45" s="1370">
        <f>S48+S51</f>
        <v>0</v>
      </c>
      <c r="T45" s="1370">
        <f>IF(Q45&gt;0,S45*100/Q45,0)</f>
        <v>0</v>
      </c>
      <c r="U45" s="1370">
        <f>IF(R45&gt;0,S45*100/R45,0)</f>
        <v>0</v>
      </c>
    </row>
    <row r="46" spans="1:21" ht="18.75" x14ac:dyDescent="0.25">
      <c r="A46" s="70"/>
      <c r="B46" s="71"/>
      <c r="C46" s="71"/>
      <c r="D46" s="71"/>
      <c r="E46" s="79" t="s">
        <v>21</v>
      </c>
      <c r="F46" s="71"/>
      <c r="G46" s="74"/>
      <c r="H46" s="80" t="s">
        <v>14</v>
      </c>
      <c r="I46" s="76"/>
      <c r="J46" s="76"/>
      <c r="K46" s="77"/>
      <c r="L46" s="1371">
        <f ca="1">L49+L52</f>
        <v>572420</v>
      </c>
      <c r="M46" s="1372">
        <f ca="1">M49+M52</f>
        <v>573408.27</v>
      </c>
      <c r="N46" s="1372">
        <f ca="1">N49+N52</f>
        <v>453571.61</v>
      </c>
      <c r="O46" s="1372">
        <f ca="1">IF(L46&gt;0,N46*100/L46,0)</f>
        <v>79.237554592781521</v>
      </c>
      <c r="P46" s="1372">
        <f ca="1">IF(M46&gt;0,N46*100/M46,0)</f>
        <v>79.100988550444171</v>
      </c>
      <c r="Q46" s="1372">
        <f>Q49+Q52</f>
        <v>0</v>
      </c>
      <c r="R46" s="1372">
        <f>R49+R52</f>
        <v>0</v>
      </c>
      <c r="S46" s="1372">
        <f>S49+S52</f>
        <v>0</v>
      </c>
      <c r="T46" s="1372">
        <f>IF(Q46&gt;0,S46*100/Q46,0)</f>
        <v>0</v>
      </c>
      <c r="U46" s="1372">
        <f>IF(R46&gt;0,S46*100/R46,0)</f>
        <v>0</v>
      </c>
    </row>
    <row r="47" spans="1:21" ht="18.75" x14ac:dyDescent="0.25">
      <c r="A47" s="39"/>
      <c r="B47" s="40"/>
      <c r="C47" s="40"/>
      <c r="D47" s="41" t="s">
        <v>22</v>
      </c>
      <c r="E47" s="40"/>
      <c r="F47" s="40"/>
      <c r="G47" s="42"/>
      <c r="H47" s="43" t="s">
        <v>14</v>
      </c>
      <c r="I47" s="44"/>
      <c r="J47" s="44"/>
      <c r="K47" s="45"/>
      <c r="L47" s="1356">
        <f ca="1">L48+L49</f>
        <v>572420</v>
      </c>
      <c r="M47" s="224">
        <f ca="1">M48+M49</f>
        <v>573408.27</v>
      </c>
      <c r="N47" s="224">
        <f ca="1">N48+N49</f>
        <v>453571.61</v>
      </c>
      <c r="O47" s="224">
        <f ca="1">IF(L47&gt;0,N47*100/L47,0)</f>
        <v>79.237554592781521</v>
      </c>
      <c r="P47" s="224">
        <f ca="1">IF(M47&gt;0,N47*100/M47,0)</f>
        <v>79.100988550444171</v>
      </c>
      <c r="Q47" s="224">
        <f>Q48+Q49</f>
        <v>0</v>
      </c>
      <c r="R47" s="224">
        <f>R48+R49</f>
        <v>0</v>
      </c>
      <c r="S47" s="224">
        <f>S48+S49</f>
        <v>0</v>
      </c>
      <c r="T47" s="224">
        <f>IF(Q47&gt;0,S47*100/Q47,0)</f>
        <v>0</v>
      </c>
      <c r="U47" s="224">
        <f>IF(R47&gt;0,S47*100/R47,0)</f>
        <v>0</v>
      </c>
    </row>
    <row r="48" spans="1:21" ht="18.75" x14ac:dyDescent="0.25">
      <c r="A48" s="39"/>
      <c r="B48" s="40"/>
      <c r="C48" s="40"/>
      <c r="D48" s="40"/>
      <c r="E48" s="156" t="s">
        <v>20</v>
      </c>
      <c r="F48" s="40"/>
      <c r="G48" s="42"/>
      <c r="H48" s="1357" t="s">
        <v>14</v>
      </c>
      <c r="I48" s="44"/>
      <c r="J48" s="44"/>
      <c r="K48" s="45"/>
      <c r="L48" s="1358">
        <v>0</v>
      </c>
      <c r="M48" s="83">
        <v>0</v>
      </c>
      <c r="N48" s="83">
        <v>0</v>
      </c>
      <c r="O48" s="83">
        <f>IF(L48&gt;0,N48*100/L48,0)</f>
        <v>0</v>
      </c>
      <c r="P48" s="83">
        <f>IF(M48&gt;0,N48*100/M48,0)</f>
        <v>0</v>
      </c>
      <c r="Q48" s="83">
        <v>0</v>
      </c>
      <c r="R48" s="83">
        <v>0</v>
      </c>
      <c r="S48" s="83">
        <v>0</v>
      </c>
      <c r="T48" s="83">
        <f>IF(Q48&gt;0,S48*100/Q48,0)</f>
        <v>0</v>
      </c>
      <c r="U48" s="83">
        <f>IF(R48&gt;0,S48*100/R48,0)</f>
        <v>0</v>
      </c>
    </row>
    <row r="49" spans="1:21" ht="18.75" x14ac:dyDescent="0.25">
      <c r="A49" s="39"/>
      <c r="B49" s="40"/>
      <c r="C49" s="40"/>
      <c r="D49" s="40"/>
      <c r="E49" s="47" t="s">
        <v>21</v>
      </c>
      <c r="F49" s="40"/>
      <c r="G49" s="42"/>
      <c r="H49" s="43" t="s">
        <v>14</v>
      </c>
      <c r="I49" s="44"/>
      <c r="J49" s="44"/>
      <c r="K49" s="45"/>
      <c r="L49" s="1356">
        <f ca="1">IFERROR(__xludf.DUMMYFUNCTION("IMPORTRANGE(""https://docs.google.com/spreadsheets/d/1-uDff_7J0KD5mKrp0Vvzr7lt3OU09vwQwhkpOPPYv2Y/edit?usp=sharing"",""งบพรบ!P28"")"),572420)</f>
        <v>572420</v>
      </c>
      <c r="M49" s="224">
        <f ca="1">IFERROR(__xludf.DUMMYFUNCTION("IMPORTRANGE(""https://docs.google.com/spreadsheets/d/1-uDff_7J0KD5mKrp0Vvzr7lt3OU09vwQwhkpOPPYv2Y/edit?usp=sharing"",""งบพรบ!V28"")"),573408.27)</f>
        <v>573408.27</v>
      </c>
      <c r="N49" s="224">
        <f ca="1">IFERROR(__xludf.DUMMYFUNCTION("IMPORTRANGE(""https://docs.google.com/spreadsheets/d/1-uDff_7J0KD5mKrp0Vvzr7lt3OU09vwQwhkpOPPYv2Y/edit?usp=sharing"",""งบพรบ!Y28"")"),453571.61)</f>
        <v>453571.61</v>
      </c>
      <c r="O49" s="224">
        <f ca="1">IF(L49&gt;0,N49*100/L49,0)</f>
        <v>79.237554592781521</v>
      </c>
      <c r="P49" s="224">
        <f ca="1">IF(M49&gt;0,N49*100/M49,0)</f>
        <v>79.100988550444171</v>
      </c>
      <c r="Q49" s="224">
        <v>0</v>
      </c>
      <c r="R49" s="224">
        <v>0</v>
      </c>
      <c r="S49" s="224">
        <v>0</v>
      </c>
      <c r="T49" s="224">
        <f>IF(Q49&gt;0,S49*100/Q49,0)</f>
        <v>0</v>
      </c>
      <c r="U49" s="224">
        <f>IF(R49&gt;0,S49*100/R49,0)</f>
        <v>0</v>
      </c>
    </row>
    <row r="50" spans="1:21" ht="18.75" x14ac:dyDescent="0.25">
      <c r="A50" s="39"/>
      <c r="B50" s="40"/>
      <c r="C50" s="40"/>
      <c r="D50" s="41" t="s">
        <v>23</v>
      </c>
      <c r="E50" s="40"/>
      <c r="F50" s="40"/>
      <c r="G50" s="42"/>
      <c r="H50" s="43" t="s">
        <v>14</v>
      </c>
      <c r="I50" s="44"/>
      <c r="J50" s="44"/>
      <c r="K50" s="45"/>
      <c r="L50" s="1356">
        <f ca="1">L51+L52</f>
        <v>0</v>
      </c>
      <c r="M50" s="224">
        <f ca="1">M51+M52</f>
        <v>0</v>
      </c>
      <c r="N50" s="224">
        <f ca="1">N51+N52</f>
        <v>0</v>
      </c>
      <c r="O50" s="224">
        <f ca="1">IF(L50&gt;0,N50*100/L50,0)</f>
        <v>0</v>
      </c>
      <c r="P50" s="224">
        <f ca="1">IF(M50&gt;0,N50*100/M50,0)</f>
        <v>0</v>
      </c>
      <c r="Q50" s="224">
        <f>Q51+Q52</f>
        <v>0</v>
      </c>
      <c r="R50" s="224">
        <f>R51+R52</f>
        <v>0</v>
      </c>
      <c r="S50" s="224">
        <f>S51+S52</f>
        <v>0</v>
      </c>
      <c r="T50" s="224">
        <f>IF(Q50&gt;0,S50*100/Q50,0)</f>
        <v>0</v>
      </c>
      <c r="U50" s="224">
        <f>IF(R50&gt;0,S50*100/R50,0)</f>
        <v>0</v>
      </c>
    </row>
    <row r="51" spans="1:21" ht="18.75" x14ac:dyDescent="0.25">
      <c r="A51" s="39"/>
      <c r="B51" s="40"/>
      <c r="C51" s="40"/>
      <c r="D51" s="40"/>
      <c r="E51" s="156" t="s">
        <v>20</v>
      </c>
      <c r="F51" s="40"/>
      <c r="G51" s="42"/>
      <c r="H51" s="1357" t="s">
        <v>14</v>
      </c>
      <c r="I51" s="44"/>
      <c r="J51" s="44"/>
      <c r="K51" s="45"/>
      <c r="L51" s="1358">
        <v>0</v>
      </c>
      <c r="M51" s="83">
        <v>0</v>
      </c>
      <c r="N51" s="83">
        <v>0</v>
      </c>
      <c r="O51" s="83">
        <f>IF(L51&gt;0,N51*100/L51,0)</f>
        <v>0</v>
      </c>
      <c r="P51" s="83">
        <f>IF(M51&gt;0,N51*100/M51,0)</f>
        <v>0</v>
      </c>
      <c r="Q51" s="83">
        <v>0</v>
      </c>
      <c r="R51" s="83">
        <v>0</v>
      </c>
      <c r="S51" s="83">
        <v>0</v>
      </c>
      <c r="T51" s="83">
        <f>IF(Q51&gt;0,S51*100/Q51,0)</f>
        <v>0</v>
      </c>
      <c r="U51" s="83">
        <f>IF(R51&gt;0,S51*100/R51,0)</f>
        <v>0</v>
      </c>
    </row>
    <row r="52" spans="1:21" ht="18.75" x14ac:dyDescent="0.25">
      <c r="A52" s="39"/>
      <c r="B52" s="40"/>
      <c r="C52" s="40"/>
      <c r="D52" s="40"/>
      <c r="E52" s="47" t="s">
        <v>21</v>
      </c>
      <c r="F52" s="40"/>
      <c r="G52" s="42"/>
      <c r="H52" s="43" t="s">
        <v>14</v>
      </c>
      <c r="I52" s="44"/>
      <c r="J52" s="44"/>
      <c r="K52" s="45"/>
      <c r="L52" s="1356">
        <f ca="1">IFERROR(__xludf.DUMMYFUNCTION("IMPORTRANGE(""https://docs.google.com/spreadsheets/d/1-uDff_7J0KD5mKrp0Vvzr7lt3OU09vwQwhkpOPPYv2Y/edit?usp=sharing"",""งบพรบ!S28"")"),0)</f>
        <v>0</v>
      </c>
      <c r="M52" s="224">
        <f ca="1">IFERROR(__xludf.DUMMYFUNCTION("IMPORTRANGE(""https://docs.google.com/spreadsheets/d/1-uDff_7J0KD5mKrp0Vvzr7lt3OU09vwQwhkpOPPYv2Y/edit?usp=sharing"",""งบพรบ!W28"")"),0)</f>
        <v>0</v>
      </c>
      <c r="N52" s="224">
        <f ca="1">IFERROR(__xludf.DUMMYFUNCTION("IMPORTRANGE(""https://docs.google.com/spreadsheets/d/1-uDff_7J0KD5mKrp0Vvzr7lt3OU09vwQwhkpOPPYv2Y/edit?usp=sharing"",""งบพรบ!Z28"")"),0)</f>
        <v>0</v>
      </c>
      <c r="O52" s="224">
        <f ca="1">IF(L52&gt;0,N52*100/L52,0)</f>
        <v>0</v>
      </c>
      <c r="P52" s="224">
        <f ca="1">IF(M52&gt;0,N52*100/M52,0)</f>
        <v>0</v>
      </c>
      <c r="Q52" s="224">
        <v>0</v>
      </c>
      <c r="R52" s="224">
        <v>0</v>
      </c>
      <c r="S52" s="224">
        <v>0</v>
      </c>
      <c r="T52" s="224">
        <f>IF(Q52&gt;0,S52*100/Q52,0)</f>
        <v>0</v>
      </c>
      <c r="U52" s="224">
        <f>IF(R52&gt;0,S52*100/R52,0)</f>
        <v>0</v>
      </c>
    </row>
    <row r="53" spans="1:21" ht="18.75" x14ac:dyDescent="0.25">
      <c r="A53" s="39"/>
      <c r="B53" s="40"/>
      <c r="C53" s="40"/>
      <c r="D53" s="41" t="s">
        <v>24</v>
      </c>
      <c r="E53" s="40"/>
      <c r="F53" s="40"/>
      <c r="G53" s="42"/>
      <c r="H53" s="43" t="s">
        <v>14</v>
      </c>
      <c r="I53" s="44"/>
      <c r="J53" s="44"/>
      <c r="K53" s="45"/>
      <c r="L53" s="1359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18.75" x14ac:dyDescent="0.25">
      <c r="A54" s="39"/>
      <c r="B54" s="40"/>
      <c r="C54" s="40"/>
      <c r="D54" s="40"/>
      <c r="E54" s="156" t="s">
        <v>20</v>
      </c>
      <c r="F54" s="40"/>
      <c r="G54" s="42"/>
      <c r="H54" s="1357" t="s">
        <v>14</v>
      </c>
      <c r="I54" s="44"/>
      <c r="J54" s="44"/>
      <c r="K54" s="45"/>
      <c r="L54" s="1359"/>
      <c r="M54" s="45"/>
      <c r="N54" s="45"/>
      <c r="O54" s="45"/>
      <c r="P54" s="45"/>
      <c r="Q54" s="45"/>
      <c r="R54" s="45"/>
      <c r="S54" s="45"/>
      <c r="T54" s="45"/>
      <c r="U54" s="45"/>
    </row>
    <row r="55" spans="1:21" ht="18.75" x14ac:dyDescent="0.25">
      <c r="A55" s="50"/>
      <c r="B55" s="1"/>
      <c r="C55" s="1"/>
      <c r="D55" s="1"/>
      <c r="E55" s="51" t="s">
        <v>21</v>
      </c>
      <c r="F55" s="1"/>
      <c r="G55" s="52"/>
      <c r="H55" s="53" t="s">
        <v>14</v>
      </c>
      <c r="I55" s="54"/>
      <c r="J55" s="54"/>
      <c r="K55" s="3"/>
      <c r="L55" s="1360"/>
      <c r="M55" s="3"/>
      <c r="N55" s="3"/>
      <c r="O55" s="3"/>
      <c r="P55" s="3"/>
      <c r="Q55" s="3"/>
      <c r="R55" s="3"/>
      <c r="S55" s="3"/>
      <c r="T55" s="3"/>
      <c r="U55" s="3"/>
    </row>
    <row r="56" spans="1:21" ht="19.5" x14ac:dyDescent="0.3">
      <c r="A56" s="1296" t="s">
        <v>28</v>
      </c>
      <c r="B56" s="1292"/>
      <c r="C56" s="1292"/>
      <c r="D56" s="1292"/>
      <c r="E56" s="1292"/>
      <c r="F56" s="1292"/>
      <c r="G56" s="1293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1297" t="s">
        <v>29</v>
      </c>
      <c r="C57" s="1285"/>
      <c r="D57" s="1285"/>
      <c r="E57" s="1285"/>
      <c r="F57" s="1285"/>
      <c r="G57" s="1286"/>
      <c r="H57" s="89"/>
      <c r="I57" s="90"/>
      <c r="J57" s="90"/>
      <c r="K57" s="91"/>
      <c r="L57" s="137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1374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1375" t="s">
        <v>19</v>
      </c>
      <c r="E59" s="99"/>
      <c r="F59" s="99"/>
      <c r="G59" s="102"/>
      <c r="H59" s="103" t="s">
        <v>14</v>
      </c>
      <c r="I59" s="104"/>
      <c r="J59" s="104"/>
      <c r="K59" s="105"/>
      <c r="L59" s="1376">
        <f ca="1">L60+L61</f>
        <v>761700</v>
      </c>
      <c r="M59" s="1377">
        <f ca="1">M60+M61</f>
        <v>761700</v>
      </c>
      <c r="N59" s="1377">
        <f ca="1">N60+N61</f>
        <v>414157.38</v>
      </c>
      <c r="O59" s="1377">
        <f ca="1">IF(L59&gt;0,N59*100/L59,0)</f>
        <v>54.372768806616776</v>
      </c>
      <c r="P59" s="1377">
        <f ca="1">IF(M59&gt;0,N59*100/M59,0)</f>
        <v>54.372768806616776</v>
      </c>
      <c r="Q59" s="1377">
        <f>Q60+Q61</f>
        <v>0</v>
      </c>
      <c r="R59" s="1377">
        <f>R60+R61</f>
        <v>0</v>
      </c>
      <c r="S59" s="1377">
        <f>S60+S61</f>
        <v>0</v>
      </c>
      <c r="T59" s="1377">
        <f>IF(Q59&gt;0,S59*100/Q59,0)</f>
        <v>0</v>
      </c>
      <c r="U59" s="1377">
        <f>IF(R59&gt;0,S59*100/R59,0)</f>
        <v>0</v>
      </c>
    </row>
    <row r="60" spans="1:21" ht="18.75" x14ac:dyDescent="0.25">
      <c r="A60" s="98"/>
      <c r="B60" s="99"/>
      <c r="C60" s="99"/>
      <c r="D60" s="99"/>
      <c r="E60" s="1378" t="s">
        <v>20</v>
      </c>
      <c r="F60" s="99"/>
      <c r="G60" s="102"/>
      <c r="H60" s="1379" t="s">
        <v>14</v>
      </c>
      <c r="I60" s="104"/>
      <c r="J60" s="104"/>
      <c r="K60" s="105"/>
      <c r="L60" s="1380">
        <f>L63+L66</f>
        <v>0</v>
      </c>
      <c r="M60" s="1381">
        <f>M63+M66</f>
        <v>0</v>
      </c>
      <c r="N60" s="1381">
        <f>N63+N66</f>
        <v>0</v>
      </c>
      <c r="O60" s="1381">
        <f>IF(L60&gt;0,N60*100/L60,0)</f>
        <v>0</v>
      </c>
      <c r="P60" s="1381">
        <f>IF(M60&gt;0,N60*100/M60,0)</f>
        <v>0</v>
      </c>
      <c r="Q60" s="1381">
        <f>Q63+Q66</f>
        <v>0</v>
      </c>
      <c r="R60" s="1381">
        <f>R63+R66</f>
        <v>0</v>
      </c>
      <c r="S60" s="1381">
        <f>S63+S66</f>
        <v>0</v>
      </c>
      <c r="T60" s="1381">
        <f>IF(Q60&gt;0,S60*100/Q60,0)</f>
        <v>0</v>
      </c>
      <c r="U60" s="1381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1382">
        <f ca="1">L64+L67</f>
        <v>761700</v>
      </c>
      <c r="M61" s="1383">
        <f ca="1">M64+M67</f>
        <v>761700</v>
      </c>
      <c r="N61" s="1383">
        <f ca="1">N64+N67</f>
        <v>414157.38</v>
      </c>
      <c r="O61" s="1383">
        <f ca="1">IF(L61&gt;0,N61*100/L61,0)</f>
        <v>54.372768806616776</v>
      </c>
      <c r="P61" s="1383">
        <f ca="1">IF(M61&gt;0,N61*100/M61,0)</f>
        <v>54.372768806616776</v>
      </c>
      <c r="Q61" s="1383">
        <f>Q64+Q67</f>
        <v>0</v>
      </c>
      <c r="R61" s="1383">
        <f>R64+R67</f>
        <v>0</v>
      </c>
      <c r="S61" s="1383">
        <f>S64+S67</f>
        <v>0</v>
      </c>
      <c r="T61" s="1383">
        <f>IF(Q61&gt;0,S61*100/Q61,0)</f>
        <v>0</v>
      </c>
      <c r="U61" s="1383">
        <f>IF(R61&gt;0,S61*100/R61,0)</f>
        <v>0</v>
      </c>
    </row>
    <row r="62" spans="1:21" ht="18.75" x14ac:dyDescent="0.25">
      <c r="A62" s="39"/>
      <c r="B62" s="40"/>
      <c r="C62" s="40"/>
      <c r="D62" s="41" t="s">
        <v>22</v>
      </c>
      <c r="E62" s="40"/>
      <c r="F62" s="40"/>
      <c r="G62" s="42"/>
      <c r="H62" s="43" t="s">
        <v>14</v>
      </c>
      <c r="I62" s="44"/>
      <c r="J62" s="44"/>
      <c r="K62" s="45"/>
      <c r="L62" s="1356">
        <f ca="1">L63+L64</f>
        <v>761700</v>
      </c>
      <c r="M62" s="224">
        <f ca="1">M63+M64</f>
        <v>761700</v>
      </c>
      <c r="N62" s="224">
        <f ca="1">N63+N64</f>
        <v>414157.38</v>
      </c>
      <c r="O62" s="224">
        <f ca="1">IF(L62&gt;0,N62*100/L62,0)</f>
        <v>54.372768806616776</v>
      </c>
      <c r="P62" s="224">
        <f ca="1">IF(M62&gt;0,N62*100/M62,0)</f>
        <v>54.372768806616776</v>
      </c>
      <c r="Q62" s="224">
        <f>Q63+Q64</f>
        <v>0</v>
      </c>
      <c r="R62" s="224">
        <f>R63+R64</f>
        <v>0</v>
      </c>
      <c r="S62" s="224">
        <f>S63+S64</f>
        <v>0</v>
      </c>
      <c r="T62" s="224">
        <f>IF(Q62&gt;0,S62*100/Q62,0)</f>
        <v>0</v>
      </c>
      <c r="U62" s="224">
        <f>IF(R62&gt;0,S62*100/R62,0)</f>
        <v>0</v>
      </c>
    </row>
    <row r="63" spans="1:21" ht="18.75" x14ac:dyDescent="0.25">
      <c r="A63" s="39"/>
      <c r="B63" s="40"/>
      <c r="C63" s="40"/>
      <c r="D63" s="40"/>
      <c r="E63" s="156" t="s">
        <v>20</v>
      </c>
      <c r="F63" s="40"/>
      <c r="G63" s="42"/>
      <c r="H63" s="1357" t="s">
        <v>14</v>
      </c>
      <c r="I63" s="44"/>
      <c r="J63" s="44"/>
      <c r="K63" s="45"/>
      <c r="L63" s="1358">
        <v>0</v>
      </c>
      <c r="M63" s="83">
        <v>0</v>
      </c>
      <c r="N63" s="83">
        <v>0</v>
      </c>
      <c r="O63" s="83">
        <f>IF(L63&gt;0,N63*100/L63,0)</f>
        <v>0</v>
      </c>
      <c r="P63" s="83">
        <f>IF(M63&gt;0,N63*100/M63,0)</f>
        <v>0</v>
      </c>
      <c r="Q63" s="83">
        <v>0</v>
      </c>
      <c r="R63" s="83">
        <v>0</v>
      </c>
      <c r="S63" s="83">
        <v>0</v>
      </c>
      <c r="T63" s="83">
        <f>IF(Q63&gt;0,S63*100/Q63,0)</f>
        <v>0</v>
      </c>
      <c r="U63" s="83">
        <f>IF(R63&gt;0,S63*100/R63,0)</f>
        <v>0</v>
      </c>
    </row>
    <row r="64" spans="1:21" ht="18.75" x14ac:dyDescent="0.25">
      <c r="A64" s="39"/>
      <c r="B64" s="40"/>
      <c r="C64" s="40"/>
      <c r="D64" s="40"/>
      <c r="E64" s="47" t="s">
        <v>21</v>
      </c>
      <c r="F64" s="40"/>
      <c r="G64" s="42"/>
      <c r="H64" s="43" t="s">
        <v>14</v>
      </c>
      <c r="I64" s="44"/>
      <c r="J64" s="44"/>
      <c r="K64" s="45"/>
      <c r="L64" s="1356">
        <f ca="1">IFERROR(__xludf.DUMMYFUNCTION("IMPORTRANGE(""https://docs.google.com/spreadsheets/d/1-uDff_7J0KD5mKrp0Vvzr7lt3OU09vwQwhkpOPPYv2Y/edit?usp=sharing"",""งบพรบ!AC28"")"),761700)</f>
        <v>761700</v>
      </c>
      <c r="M64" s="224">
        <f ca="1">IFERROR(__xludf.DUMMYFUNCTION("IMPORTRANGE(""https://docs.google.com/spreadsheets/d/1-uDff_7J0KD5mKrp0Vvzr7lt3OU09vwQwhkpOPPYv2Y/edit?usp=sharing"",""งบพรบ!AH28"")"),761700)</f>
        <v>761700</v>
      </c>
      <c r="N64" s="224">
        <f ca="1">IFERROR(__xludf.DUMMYFUNCTION("IMPORTRANGE(""https://docs.google.com/spreadsheets/d/1-uDff_7J0KD5mKrp0Vvzr7lt3OU09vwQwhkpOPPYv2Y/edit?usp=sharing"",""งบพรบ!AJ28"")"),414157.38)</f>
        <v>414157.38</v>
      </c>
      <c r="O64" s="224">
        <f ca="1">IF(L64&gt;0,N64*100/L64,0)</f>
        <v>54.372768806616776</v>
      </c>
      <c r="P64" s="224">
        <f ca="1">IF(M64&gt;0,N64*100/M64,0)</f>
        <v>54.372768806616776</v>
      </c>
      <c r="Q64" s="224">
        <v>0</v>
      </c>
      <c r="R64" s="224">
        <v>0</v>
      </c>
      <c r="S64" s="224">
        <v>0</v>
      </c>
      <c r="T64" s="224">
        <f>IF(Q64&gt;0,S64*100/Q64,0)</f>
        <v>0</v>
      </c>
      <c r="U64" s="224">
        <f>IF(R64&gt;0,S64*100/R64,0)</f>
        <v>0</v>
      </c>
    </row>
    <row r="65" spans="1:21" ht="18.75" x14ac:dyDescent="0.25">
      <c r="A65" s="39"/>
      <c r="B65" s="40"/>
      <c r="C65" s="40"/>
      <c r="D65" s="41" t="s">
        <v>23</v>
      </c>
      <c r="E65" s="40"/>
      <c r="F65" s="40"/>
      <c r="G65" s="42"/>
      <c r="H65" s="43" t="s">
        <v>14</v>
      </c>
      <c r="I65" s="44"/>
      <c r="J65" s="44"/>
      <c r="K65" s="45"/>
      <c r="L65" s="1356">
        <f ca="1">L66+L67</f>
        <v>0</v>
      </c>
      <c r="M65" s="224">
        <f ca="1">M66+M67</f>
        <v>0</v>
      </c>
      <c r="N65" s="224">
        <f ca="1">N66+N67</f>
        <v>0</v>
      </c>
      <c r="O65" s="224">
        <f ca="1">IF(L65&gt;0,N65*100/L65,0)</f>
        <v>0</v>
      </c>
      <c r="P65" s="224">
        <f ca="1">IF(M65&gt;0,N65*100/M65,0)</f>
        <v>0</v>
      </c>
      <c r="Q65" s="224">
        <f>Q66+Q67</f>
        <v>0</v>
      </c>
      <c r="R65" s="224">
        <f>R66+R67</f>
        <v>0</v>
      </c>
      <c r="S65" s="224">
        <f>S66+S67</f>
        <v>0</v>
      </c>
      <c r="T65" s="224">
        <f>IF(Q65&gt;0,S65*100/Q65,0)</f>
        <v>0</v>
      </c>
      <c r="U65" s="224">
        <f>IF(R65&gt;0,S65*100/R65,0)</f>
        <v>0</v>
      </c>
    </row>
    <row r="66" spans="1:21" ht="18.75" x14ac:dyDescent="0.25">
      <c r="A66" s="39"/>
      <c r="B66" s="40"/>
      <c r="C66" s="40"/>
      <c r="D66" s="40"/>
      <c r="E66" s="156" t="s">
        <v>20</v>
      </c>
      <c r="F66" s="40"/>
      <c r="G66" s="42"/>
      <c r="H66" s="1357" t="s">
        <v>14</v>
      </c>
      <c r="I66" s="44"/>
      <c r="J66" s="44"/>
      <c r="K66" s="45"/>
      <c r="L66" s="1358">
        <v>0</v>
      </c>
      <c r="M66" s="83">
        <v>0</v>
      </c>
      <c r="N66" s="83">
        <v>0</v>
      </c>
      <c r="O66" s="83">
        <f>IF(L66&gt;0,N66*100/L66,0)</f>
        <v>0</v>
      </c>
      <c r="P66" s="83">
        <f>IF(M66&gt;0,N66*100/M66,0)</f>
        <v>0</v>
      </c>
      <c r="Q66" s="83">
        <v>0</v>
      </c>
      <c r="R66" s="83">
        <v>0</v>
      </c>
      <c r="S66" s="83">
        <v>0</v>
      </c>
      <c r="T66" s="83">
        <f>IF(Q66&gt;0,S66*100/Q66,0)</f>
        <v>0</v>
      </c>
      <c r="U66" s="83">
        <f>IF(R66&gt;0,S66*100/R66,0)</f>
        <v>0</v>
      </c>
    </row>
    <row r="67" spans="1:21" ht="18.75" x14ac:dyDescent="0.25">
      <c r="A67" s="50"/>
      <c r="B67" s="1"/>
      <c r="C67" s="1"/>
      <c r="D67" s="1"/>
      <c r="E67" s="51" t="s">
        <v>21</v>
      </c>
      <c r="F67" s="1"/>
      <c r="G67" s="52"/>
      <c r="H67" s="53" t="s">
        <v>14</v>
      </c>
      <c r="I67" s="54"/>
      <c r="J67" s="54"/>
      <c r="K67" s="3"/>
      <c r="L67" s="1384">
        <f ca="1">IFERROR(__xludf.DUMMYFUNCTION("IMPORTRANGE(""https://docs.google.com/spreadsheets/d/1-uDff_7J0KD5mKrp0Vvzr7lt3OU09vwQwhkpOPPYv2Y/edit?usp=sharing"",""งบพรบ!AF28"")"),0)</f>
        <v>0</v>
      </c>
      <c r="M67" s="448">
        <f ca="1">IFERROR(__xludf.DUMMYFUNCTION("IMPORTRANGE(""https://docs.google.com/spreadsheets/d/1-uDff_7J0KD5mKrp0Vvzr7lt3OU09vwQwhkpOPPYv2Y/edit?usp=sharing"",""งบพรบ!AI28"")"),0)</f>
        <v>0</v>
      </c>
      <c r="N67" s="448">
        <f ca="1">IFERROR(__xludf.DUMMYFUNCTION("IMPORTRANGE(""https://docs.google.com/spreadsheets/d/1-uDff_7J0KD5mKrp0Vvzr7lt3OU09vwQwhkpOPPYv2Y/edit?usp=sharing"",""งบพรบ!AK28"")"),0)</f>
        <v>0</v>
      </c>
      <c r="O67" s="448">
        <f ca="1">IF(L67&gt;0,N67*100/L67,0)</f>
        <v>0</v>
      </c>
      <c r="P67" s="448">
        <f ca="1">IF(M67&gt;0,N67*100/M67,0)</f>
        <v>0</v>
      </c>
      <c r="Q67" s="448">
        <v>0</v>
      </c>
      <c r="R67" s="448">
        <v>0</v>
      </c>
      <c r="S67" s="448">
        <v>0</v>
      </c>
      <c r="T67" s="448">
        <f>IF(Q67&gt;0,S67*100/Q67,0)</f>
        <v>0</v>
      </c>
      <c r="U67" s="448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1385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8" t="s">
        <v>33</v>
      </c>
      <c r="C70" s="27"/>
      <c r="D70" s="125"/>
      <c r="E70" s="27"/>
      <c r="F70" s="27"/>
      <c r="G70" s="30"/>
      <c r="H70" s="126" t="s">
        <v>34</v>
      </c>
      <c r="I70" s="1386">
        <f ca="1">I82</f>
        <v>2</v>
      </c>
      <c r="J70" s="1386">
        <f>J82</f>
        <v>1</v>
      </c>
      <c r="K70" s="1349">
        <f ca="1">IF(I70&gt;0,J70*100/I70,0)</f>
        <v>50</v>
      </c>
      <c r="L70" s="1387"/>
      <c r="M70" s="33"/>
      <c r="N70" s="33"/>
      <c r="O70" s="33"/>
      <c r="P70" s="33"/>
      <c r="Q70" s="33"/>
      <c r="R70" s="33"/>
      <c r="S70" s="33"/>
      <c r="T70" s="33"/>
      <c r="U70" s="33"/>
    </row>
    <row r="71" spans="1:21" ht="19.5" x14ac:dyDescent="0.3">
      <c r="A71" s="124"/>
      <c r="B71" s="27"/>
      <c r="C71" s="27"/>
      <c r="D71" s="125"/>
      <c r="E71" s="27"/>
      <c r="F71" s="27"/>
      <c r="G71" s="30"/>
      <c r="H71" s="126" t="s">
        <v>35</v>
      </c>
      <c r="I71" s="1386">
        <f ca="1">I83</f>
        <v>77</v>
      </c>
      <c r="J71" s="1386">
        <f>J83</f>
        <v>47</v>
      </c>
      <c r="K71" s="1349">
        <f ca="1">IF(I71&gt;0,J71*100/I71,0)</f>
        <v>61.038961038961041</v>
      </c>
      <c r="L71" s="1387"/>
      <c r="M71" s="33"/>
      <c r="N71" s="33"/>
      <c r="O71" s="33"/>
      <c r="P71" s="33"/>
      <c r="Q71" s="33"/>
      <c r="R71" s="33"/>
      <c r="S71" s="33"/>
      <c r="T71" s="33"/>
      <c r="U71" s="33"/>
    </row>
    <row r="72" spans="1:21" ht="19.5" x14ac:dyDescent="0.3">
      <c r="A72" s="128"/>
      <c r="B72" s="40"/>
      <c r="C72" s="129" t="s">
        <v>18</v>
      </c>
      <c r="D72" s="1388" t="s">
        <v>19</v>
      </c>
      <c r="E72" s="40"/>
      <c r="F72" s="40"/>
      <c r="G72" s="42"/>
      <c r="H72" s="131" t="s">
        <v>14</v>
      </c>
      <c r="I72" s="44"/>
      <c r="J72" s="44"/>
      <c r="K72" s="45"/>
      <c r="L72" s="1389">
        <f ca="1">L73+L74</f>
        <v>98000</v>
      </c>
      <c r="M72" s="1390">
        <f ca="1">M73+M74</f>
        <v>98000</v>
      </c>
      <c r="N72" s="1390">
        <f ca="1">N73+N74</f>
        <v>0</v>
      </c>
      <c r="O72" s="1390">
        <f ca="1">IF(L72&gt;0,N72*100/L72,0)</f>
        <v>0</v>
      </c>
      <c r="P72" s="1390">
        <f ca="1">IF(M72&gt;0,N72*100/M72,0)</f>
        <v>0</v>
      </c>
      <c r="Q72" s="1390">
        <f ca="1">Q73+Q74</f>
        <v>1729763</v>
      </c>
      <c r="R72" s="1390">
        <f ca="1">R73+R74</f>
        <v>1729763</v>
      </c>
      <c r="S72" s="1390">
        <f ca="1">S73+S74</f>
        <v>53980</v>
      </c>
      <c r="T72" s="1390">
        <f ca="1">IF(Q72&gt;0,S72*100/Q72,0)</f>
        <v>3.1206587260798155</v>
      </c>
      <c r="U72" s="1390">
        <f ca="1">IF(R72&gt;0,S72*100/R72,0)</f>
        <v>3.1206587260798155</v>
      </c>
    </row>
    <row r="73" spans="1:21" ht="18.75" x14ac:dyDescent="0.25">
      <c r="A73" s="128"/>
      <c r="B73" s="40"/>
      <c r="C73" s="40"/>
      <c r="D73" s="40"/>
      <c r="E73" s="156" t="s">
        <v>20</v>
      </c>
      <c r="F73" s="40"/>
      <c r="G73" s="42"/>
      <c r="H73" s="157" t="s">
        <v>14</v>
      </c>
      <c r="I73" s="44"/>
      <c r="J73" s="44"/>
      <c r="K73" s="45"/>
      <c r="L73" s="1358">
        <f>L76+L79</f>
        <v>0</v>
      </c>
      <c r="M73" s="83">
        <f>M76+M79</f>
        <v>0</v>
      </c>
      <c r="N73" s="83">
        <f>N76+N79</f>
        <v>0</v>
      </c>
      <c r="O73" s="83">
        <f>IF(L73&gt;0,N73*100/L73,0)</f>
        <v>0</v>
      </c>
      <c r="P73" s="83">
        <f>IF(M73&gt;0,N73*100/M73,0)</f>
        <v>0</v>
      </c>
      <c r="Q73" s="83">
        <f>Q76+Q79</f>
        <v>0</v>
      </c>
      <c r="R73" s="83">
        <f>R76+R79</f>
        <v>0</v>
      </c>
      <c r="S73" s="83">
        <f>S76+S79</f>
        <v>0</v>
      </c>
      <c r="T73" s="83">
        <f>IF(Q73&gt;0,S73*100/Q73,0)</f>
        <v>0</v>
      </c>
      <c r="U73" s="83">
        <f>IF(R73&gt;0,S73*100/R73,0)</f>
        <v>0</v>
      </c>
    </row>
    <row r="74" spans="1:21" ht="18.75" x14ac:dyDescent="0.25">
      <c r="A74" s="128"/>
      <c r="B74" s="40"/>
      <c r="C74" s="40"/>
      <c r="D74" s="40"/>
      <c r="E74" s="47" t="s">
        <v>21</v>
      </c>
      <c r="F74" s="40"/>
      <c r="G74" s="42"/>
      <c r="H74" s="133" t="s">
        <v>14</v>
      </c>
      <c r="I74" s="44"/>
      <c r="J74" s="44"/>
      <c r="K74" s="45"/>
      <c r="L74" s="1356">
        <f ca="1">L77+L80</f>
        <v>98000</v>
      </c>
      <c r="M74" s="224">
        <f ca="1">M77+M80</f>
        <v>98000</v>
      </c>
      <c r="N74" s="224">
        <f ca="1">N77+N80</f>
        <v>0</v>
      </c>
      <c r="O74" s="224">
        <f ca="1">IF(L74&gt;0,N74*100/L74,0)</f>
        <v>0</v>
      </c>
      <c r="P74" s="224">
        <f ca="1">IF(M74&gt;0,N74*100/M74,0)</f>
        <v>0</v>
      </c>
      <c r="Q74" s="224">
        <f ca="1">Q77+Q80</f>
        <v>1729763</v>
      </c>
      <c r="R74" s="224">
        <f ca="1">R77+R80</f>
        <v>1729763</v>
      </c>
      <c r="S74" s="224">
        <f ca="1">S77+S80</f>
        <v>53980</v>
      </c>
      <c r="T74" s="224">
        <f ca="1">IF(Q74&gt;0,S74*100/Q74,0)</f>
        <v>3.1206587260798155</v>
      </c>
      <c r="U74" s="224">
        <f ca="1">IF(R74&gt;0,S74*100/R74,0)</f>
        <v>3.1206587260798155</v>
      </c>
    </row>
    <row r="75" spans="1:21" ht="18.75" x14ac:dyDescent="0.25">
      <c r="A75" s="128"/>
      <c r="B75" s="40"/>
      <c r="C75" s="40"/>
      <c r="D75" s="41" t="s">
        <v>22</v>
      </c>
      <c r="E75" s="40"/>
      <c r="F75" s="40"/>
      <c r="G75" s="42"/>
      <c r="H75" s="134" t="s">
        <v>14</v>
      </c>
      <c r="I75" s="135"/>
      <c r="J75" s="135"/>
      <c r="K75" s="136"/>
      <c r="L75" s="1356">
        <f ca="1">L76+L77</f>
        <v>98000</v>
      </c>
      <c r="M75" s="224">
        <f ca="1">M76+M77</f>
        <v>98000</v>
      </c>
      <c r="N75" s="224">
        <f ca="1">N76+N77</f>
        <v>0</v>
      </c>
      <c r="O75" s="224">
        <f ca="1">IF(L75&gt;0,N75*100/L75,0)</f>
        <v>0</v>
      </c>
      <c r="P75" s="224">
        <f ca="1">IF(M75&gt;0,N75*100/M75,0)</f>
        <v>0</v>
      </c>
      <c r="Q75" s="224">
        <f ca="1">Q76+Q77</f>
        <v>895240</v>
      </c>
      <c r="R75" s="224">
        <f ca="1">R76+R77</f>
        <v>895240</v>
      </c>
      <c r="S75" s="224">
        <f ca="1">S76+S77</f>
        <v>53980</v>
      </c>
      <c r="T75" s="224">
        <f ca="1">IF(Q75&gt;0,S75*100/Q75,0)</f>
        <v>6.0296680219829319</v>
      </c>
      <c r="U75" s="224">
        <f ca="1">IF(R75&gt;0,S75*100/R75,0)</f>
        <v>6.0296680219829319</v>
      </c>
    </row>
    <row r="76" spans="1:21" ht="18.75" x14ac:dyDescent="0.25">
      <c r="A76" s="128"/>
      <c r="B76" s="40"/>
      <c r="C76" s="40"/>
      <c r="D76" s="40"/>
      <c r="E76" s="156" t="s">
        <v>36</v>
      </c>
      <c r="F76" s="40"/>
      <c r="G76" s="42"/>
      <c r="H76" s="159" t="s">
        <v>14</v>
      </c>
      <c r="I76" s="135"/>
      <c r="J76" s="135"/>
      <c r="K76" s="136"/>
      <c r="L76" s="1358">
        <v>0</v>
      </c>
      <c r="M76" s="83">
        <v>0</v>
      </c>
      <c r="N76" s="83">
        <v>0</v>
      </c>
      <c r="O76" s="83">
        <f>IF(L76&gt;0,N76*100/L76,0)</f>
        <v>0</v>
      </c>
      <c r="P76" s="83">
        <f>IF(M76&gt;0,N76*100/M76,0)</f>
        <v>0</v>
      </c>
      <c r="Q76" s="83">
        <v>0</v>
      </c>
      <c r="R76" s="83">
        <v>0</v>
      </c>
      <c r="S76" s="83">
        <v>0</v>
      </c>
      <c r="T76" s="83">
        <f>IF(Q76&gt;0,S76*100/Q76,0)</f>
        <v>0</v>
      </c>
      <c r="U76" s="83">
        <f>IF(R76&gt;0,S76*100/R76,0)</f>
        <v>0</v>
      </c>
    </row>
    <row r="77" spans="1:21" ht="18.75" x14ac:dyDescent="0.25">
      <c r="A77" s="128"/>
      <c r="B77" s="40"/>
      <c r="C77" s="40"/>
      <c r="D77" s="40"/>
      <c r="E77" s="47" t="s">
        <v>37</v>
      </c>
      <c r="F77" s="40"/>
      <c r="G77" s="42"/>
      <c r="H77" s="134" t="s">
        <v>14</v>
      </c>
      <c r="I77" s="135"/>
      <c r="J77" s="135"/>
      <c r="K77" s="136"/>
      <c r="L77" s="1356">
        <f ca="1">IFERROR(__xludf.DUMMYFUNCTION("IMPORTRANGE(""https://docs.google.com/spreadsheets/d/1-uDff_7J0KD5mKrp0Vvzr7lt3OU09vwQwhkpOPPYv2Y/edit?usp=sharing"",""งบพรบ!AM28"")"),98000)</f>
        <v>98000</v>
      </c>
      <c r="M77" s="224">
        <f ca="1">IFERROR(__xludf.DUMMYFUNCTION("IMPORTRANGE(""https://docs.google.com/spreadsheets/d/1-uDff_7J0KD5mKrp0Vvzr7lt3OU09vwQwhkpOPPYv2Y/edit?usp=sharing"",""งบพรบ!AR28"")"),98000)</f>
        <v>98000</v>
      </c>
      <c r="N77" s="224">
        <f ca="1">IFERROR(__xludf.DUMMYFUNCTION("IMPORTRANGE(""https://docs.google.com/spreadsheets/d/1-uDff_7J0KD5mKrp0Vvzr7lt3OU09vwQwhkpOPPYv2Y/edit?usp=sharing"",""งบพรบ!AT28"")"),0)</f>
        <v>0</v>
      </c>
      <c r="O77" s="224">
        <f ca="1">IF(L77&gt;0,N77*100/L77,0)</f>
        <v>0</v>
      </c>
      <c r="P77" s="224">
        <f ca="1">IF(M77&gt;0,N77*100/M77,0)</f>
        <v>0</v>
      </c>
      <c r="Q77" s="224">
        <f ca="1">IFERROR(__xludf.DUMMYFUNCTION("IMPORTRANGE(""https://docs.google.com/spreadsheets/d/1ItG2mGa2ceCfYo0BwxsXqNm01IGEUdYcSSLTEv9YCik/edit?usp=sharing"",""เบิกจ่ายกองทุน!BH28"")"),895240)</f>
        <v>895240</v>
      </c>
      <c r="R77" s="224">
        <f ca="1">IFERROR(__xludf.DUMMYFUNCTION("IMPORTRANGE(""https://docs.google.com/spreadsheets/d/1ItG2mGa2ceCfYo0BwxsXqNm01IGEUdYcSSLTEv9YCik/edit?usp=sharing"",""เบิกจ่ายกองทุน!BI28"")"),895240)</f>
        <v>895240</v>
      </c>
      <c r="S77" s="224">
        <f ca="1">IFERROR(__xludf.DUMMYFUNCTION("IMPORTRANGE(""https://docs.google.com/spreadsheets/d/1ItG2mGa2ceCfYo0BwxsXqNm01IGEUdYcSSLTEv9YCik/edit?usp=sharing"",""เบิกจ่ายกองทุน!BJ28"")"),53980)</f>
        <v>53980</v>
      </c>
      <c r="T77" s="224">
        <f ca="1">IF(Q77&gt;0,S77*100/Q77,0)</f>
        <v>6.0296680219829319</v>
      </c>
      <c r="U77" s="224">
        <f ca="1">IF(R77&gt;0,S77*100/R77,0)</f>
        <v>6.0296680219829319</v>
      </c>
    </row>
    <row r="78" spans="1:21" ht="18.75" x14ac:dyDescent="0.25">
      <c r="A78" s="128"/>
      <c r="B78" s="40"/>
      <c r="C78" s="40"/>
      <c r="D78" s="41" t="s">
        <v>23</v>
      </c>
      <c r="E78" s="40"/>
      <c r="F78" s="40"/>
      <c r="G78" s="42"/>
      <c r="H78" s="137" t="s">
        <v>14</v>
      </c>
      <c r="I78" s="135"/>
      <c r="J78" s="135"/>
      <c r="K78" s="136"/>
      <c r="L78" s="1356">
        <f ca="1">L79+L80</f>
        <v>0</v>
      </c>
      <c r="M78" s="224">
        <f ca="1">M79+M80</f>
        <v>0</v>
      </c>
      <c r="N78" s="224">
        <f ca="1">N79+N80</f>
        <v>0</v>
      </c>
      <c r="O78" s="224">
        <f ca="1">IF(L78&gt;0,N78*100/L78,0)</f>
        <v>0</v>
      </c>
      <c r="P78" s="224">
        <f ca="1">IF(M78&gt;0,N78*100/M78,0)</f>
        <v>0</v>
      </c>
      <c r="Q78" s="224">
        <f ca="1">Q79+Q80</f>
        <v>834523</v>
      </c>
      <c r="R78" s="224">
        <f ca="1">R79+R80</f>
        <v>834523</v>
      </c>
      <c r="S78" s="224">
        <f ca="1">S79+S80</f>
        <v>0</v>
      </c>
      <c r="T78" s="224">
        <f ca="1">IF(Q78&gt;0,S78*100/Q78,0)</f>
        <v>0</v>
      </c>
      <c r="U78" s="224">
        <f ca="1">IF(R78&gt;0,S78*100/R78,0)</f>
        <v>0</v>
      </c>
    </row>
    <row r="79" spans="1:21" ht="18.75" x14ac:dyDescent="0.25">
      <c r="A79" s="128"/>
      <c r="B79" s="40"/>
      <c r="C79" s="40"/>
      <c r="D79" s="40"/>
      <c r="E79" s="156" t="s">
        <v>20</v>
      </c>
      <c r="F79" s="40"/>
      <c r="G79" s="42"/>
      <c r="H79" s="159" t="s">
        <v>14</v>
      </c>
      <c r="I79" s="135"/>
      <c r="J79" s="135"/>
      <c r="K79" s="136"/>
      <c r="L79" s="1358">
        <v>0</v>
      </c>
      <c r="M79" s="224">
        <v>0</v>
      </c>
      <c r="N79" s="224">
        <v>0</v>
      </c>
      <c r="O79" s="83">
        <f>IF(L79&gt;0,N79*100/L79,0)</f>
        <v>0</v>
      </c>
      <c r="P79" s="83">
        <f>IF(M79&gt;0,N79*100/M79,0)</f>
        <v>0</v>
      </c>
      <c r="Q79" s="83">
        <v>0</v>
      </c>
      <c r="R79" s="224">
        <v>0</v>
      </c>
      <c r="S79" s="224">
        <v>0</v>
      </c>
      <c r="T79" s="83">
        <f>IF(Q79&gt;0,S79*100/Q79,0)</f>
        <v>0</v>
      </c>
      <c r="U79" s="83">
        <f>IF(R79&gt;0,S79*100/R79,0)</f>
        <v>0</v>
      </c>
    </row>
    <row r="80" spans="1:21" ht="18.75" x14ac:dyDescent="0.25">
      <c r="A80" s="128"/>
      <c r="B80" s="40"/>
      <c r="C80" s="40"/>
      <c r="D80" s="40"/>
      <c r="E80" s="47" t="s">
        <v>21</v>
      </c>
      <c r="F80" s="40"/>
      <c r="G80" s="42"/>
      <c r="H80" s="137" t="s">
        <v>14</v>
      </c>
      <c r="I80" s="135"/>
      <c r="J80" s="135"/>
      <c r="K80" s="136"/>
      <c r="L80" s="1356">
        <f ca="1">IFERROR(__xludf.DUMMYFUNCTION("IMPORTRANGE(""https://docs.google.com/spreadsheets/d/1-uDff_7J0KD5mKrp0Vvzr7lt3OU09vwQwhkpOPPYv2Y/edit?usp=sharing"",""งบพรบ!AP28"")"),0)</f>
        <v>0</v>
      </c>
      <c r="M80" s="224">
        <f ca="1">IFERROR(__xludf.DUMMYFUNCTION("IMPORTRANGE(""https://docs.google.com/spreadsheets/d/1-uDff_7J0KD5mKrp0Vvzr7lt3OU09vwQwhkpOPPYv2Y/edit?usp=sharing"",""งบพรบ!AS28"")"),0)</f>
        <v>0</v>
      </c>
      <c r="N80" s="224">
        <f ca="1">IFERROR(__xludf.DUMMYFUNCTION("IMPORTRANGE(""https://docs.google.com/spreadsheets/d/1-uDff_7J0KD5mKrp0Vvzr7lt3OU09vwQwhkpOPPYv2Y/edit?usp=sharing"",""งบพรบ!AU28"")"),0)</f>
        <v>0</v>
      </c>
      <c r="O80" s="224">
        <f ca="1">IF(L80&gt;0,N80*100/L80,0)</f>
        <v>0</v>
      </c>
      <c r="P80" s="224">
        <f ca="1">IF(M80&gt;0,N80*100/M80,0)</f>
        <v>0</v>
      </c>
      <c r="Q80" s="224">
        <f ca="1">IFERROR(__xludf.DUMMYFUNCTION("IMPORTRANGE(""https://docs.google.com/spreadsheets/d/1ItG2mGa2ceCfYo0BwxsXqNm01IGEUdYcSSLTEv9YCik/edit?usp=sharing"",""เบิกจ่ายกองทุน!BK28"")"),834523)</f>
        <v>834523</v>
      </c>
      <c r="R80" s="224">
        <f ca="1">IFERROR(__xludf.DUMMYFUNCTION("IMPORTRANGE(""https://docs.google.com/spreadsheets/d/1ItG2mGa2ceCfYo0BwxsXqNm01IGEUdYcSSLTEv9YCik/edit?usp=sharing"",""เบิกจ่ายกองทุน!BL28"")"),834523)</f>
        <v>834523</v>
      </c>
      <c r="S80" s="224">
        <f ca="1">IFERROR(__xludf.DUMMYFUNCTION("IMPORTRANGE(""https://docs.google.com/spreadsheets/d/1ItG2mGa2ceCfYo0BwxsXqNm01IGEUdYcSSLTEv9YCik/edit?usp=sharing"",""เบิกจ่ายกองทุน!BM28"")"),0)</f>
        <v>0</v>
      </c>
      <c r="T80" s="224">
        <f ca="1">IF(Q80&gt;0,S80*100/Q80,0)</f>
        <v>0</v>
      </c>
      <c r="U80" s="224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1391" t="s">
        <v>38</v>
      </c>
      <c r="E81" s="141"/>
      <c r="F81" s="141"/>
      <c r="G81" s="142"/>
      <c r="H81" s="143"/>
      <c r="I81" s="135"/>
      <c r="J81" s="135"/>
      <c r="K81" s="136"/>
      <c r="L81" s="1392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328">
        <f ca="1">I84+I86+I88</f>
        <v>2</v>
      </c>
      <c r="J82" s="328">
        <f>J84+J86+J88</f>
        <v>1</v>
      </c>
      <c r="K82" s="1393">
        <f ca="1">IF(I82&gt;0,J82*100/I82,0)</f>
        <v>50</v>
      </c>
      <c r="L82" s="1392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328">
        <f ca="1">I85+I87+I89</f>
        <v>77</v>
      </c>
      <c r="J83" s="328">
        <f>J85+J87+J89</f>
        <v>47</v>
      </c>
      <c r="K83" s="1393">
        <f ca="1">IF(I83&gt;0,J83*100/I83,0)</f>
        <v>61.038961038961041</v>
      </c>
      <c r="L83" s="1392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394">
        <f ca="1">IFERROR(__xludf.DUMMYFUNCTION("IMPORTRANGE(""https://docs.google.com/spreadsheets/d/1eHaY18a8A9IcSdp1K8H6x8fbOy06t2VsZHhMHf-1x7Y/edit?usp=sharing"",""แผน!H28"")"),1)</f>
        <v>1</v>
      </c>
      <c r="J84" s="1395">
        <v>1</v>
      </c>
      <c r="K84" s="1396">
        <f ca="1">IF(I84&gt;0,J84*100/I84,0)</f>
        <v>100</v>
      </c>
      <c r="L84" s="1392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394">
        <f ca="1">IFERROR(__xludf.DUMMYFUNCTION("IMPORTRANGE(""https://docs.google.com/spreadsheets/d/1eHaY18a8A9IcSdp1K8H6x8fbOy06t2VsZHhMHf-1x7Y/edit?usp=sharing"",""แผน!I28"")"),47)</f>
        <v>47</v>
      </c>
      <c r="J85" s="1395">
        <v>47</v>
      </c>
      <c r="K85" s="1396">
        <f ca="1">IF(I85&gt;0,J85*100/I85,0)</f>
        <v>100</v>
      </c>
      <c r="L85" s="1392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394">
        <f ca="1">IFERROR(__xludf.DUMMYFUNCTION("IMPORTRANGE(""https://docs.google.com/spreadsheets/d/1eHaY18a8A9IcSdp1K8H6x8fbOy06t2VsZHhMHf-1x7Y/edit?usp=sharing"",""แผน!F28"")"),1)</f>
        <v>1</v>
      </c>
      <c r="J86" s="1395">
        <v>0</v>
      </c>
      <c r="K86" s="1396">
        <f ca="1">IF(I86&gt;0,J86*100/I86,0)</f>
        <v>0</v>
      </c>
      <c r="L86" s="1392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394">
        <f ca="1">IFERROR(__xludf.DUMMYFUNCTION("IMPORTRANGE(""https://docs.google.com/spreadsheets/d/1eHaY18a8A9IcSdp1K8H6x8fbOy06t2VsZHhMHf-1x7Y/edit?usp=sharing"",""แผน!G28"")"),30)</f>
        <v>30</v>
      </c>
      <c r="J87" s="1395">
        <v>0</v>
      </c>
      <c r="K87" s="1396">
        <f ca="1">IF(I87&gt;0,J87*100/I87,0)</f>
        <v>0</v>
      </c>
      <c r="L87" s="1392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394">
        <f ca="1">IFERROR(__xludf.DUMMYFUNCTION("IMPORTRANGE(""https://docs.google.com/spreadsheets/d/1eHaY18a8A9IcSdp1K8H6x8fbOy06t2VsZHhMHf-1x7Y/edit?usp=sharing"",""แผน!D28"")"),0)</f>
        <v>0</v>
      </c>
      <c r="J88" s="1395">
        <v>0</v>
      </c>
      <c r="K88" s="1396">
        <f ca="1">IF(I88&gt;0,J88*100/I88,0)</f>
        <v>0</v>
      </c>
      <c r="L88" s="1392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394">
        <f ca="1">IFERROR(__xludf.DUMMYFUNCTION("IMPORTRANGE(""https://docs.google.com/spreadsheets/d/1eHaY18a8A9IcSdp1K8H6x8fbOy06t2VsZHhMHf-1x7Y/edit?usp=sharing"",""แผน!E28"")"),0)</f>
        <v>0</v>
      </c>
      <c r="J89" s="1395">
        <v>0</v>
      </c>
      <c r="K89" s="1396">
        <f ca="1">IF(I89&gt;0,J89*100/I89,0)</f>
        <v>0</v>
      </c>
      <c r="L89" s="1392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3" t="s">
        <v>34</v>
      </c>
      <c r="I90" s="1394">
        <f ca="1">IFERROR(__xludf.DUMMYFUNCTION("IMPORTRANGE(""https://docs.google.com/spreadsheets/d/1eHaY18a8A9IcSdp1K8H6x8fbOy06t2VsZHhMHf-1x7Y/edit?usp=sharing"",""แผน!J28"")"),2)</f>
        <v>2</v>
      </c>
      <c r="J90" s="1395">
        <v>0</v>
      </c>
      <c r="K90" s="1396">
        <f ca="1">IF(I90&gt;0,J90*100/I90,0)</f>
        <v>0</v>
      </c>
      <c r="L90" s="1392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1385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8" t="s">
        <v>45</v>
      </c>
      <c r="C92" s="27"/>
      <c r="D92" s="125"/>
      <c r="E92" s="27"/>
      <c r="F92" s="27"/>
      <c r="G92" s="30"/>
      <c r="H92" s="126" t="s">
        <v>46</v>
      </c>
      <c r="I92" s="1386">
        <f ca="1">I108</f>
        <v>0</v>
      </c>
      <c r="J92" s="1386">
        <f>J108</f>
        <v>0</v>
      </c>
      <c r="K92" s="1349">
        <f ca="1">IF(I92&gt;0,J92*100/I92,0)</f>
        <v>0</v>
      </c>
      <c r="L92" s="1387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19.5" x14ac:dyDescent="0.3">
      <c r="A93" s="124"/>
      <c r="B93" s="27"/>
      <c r="C93" s="27"/>
      <c r="D93" s="125"/>
      <c r="E93" s="27"/>
      <c r="F93" s="27"/>
      <c r="G93" s="30"/>
      <c r="H93" s="126" t="s">
        <v>35</v>
      </c>
      <c r="I93" s="1386">
        <f ca="1">I109</f>
        <v>0</v>
      </c>
      <c r="J93" s="1386">
        <f>J109</f>
        <v>0</v>
      </c>
      <c r="K93" s="1349">
        <f ca="1">IF(I93&gt;0,J93*100/I93,0)</f>
        <v>0</v>
      </c>
      <c r="L93" s="1387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19.5" x14ac:dyDescent="0.3">
      <c r="A94" s="128"/>
      <c r="B94" s="40"/>
      <c r="C94" s="129" t="s">
        <v>18</v>
      </c>
      <c r="D94" s="1388" t="s">
        <v>19</v>
      </c>
      <c r="E94" s="40"/>
      <c r="F94" s="40"/>
      <c r="G94" s="42"/>
      <c r="H94" s="131" t="s">
        <v>14</v>
      </c>
      <c r="I94" s="44"/>
      <c r="J94" s="44"/>
      <c r="K94" s="45"/>
      <c r="L94" s="1389">
        <f ca="1">L95+L96</f>
        <v>0</v>
      </c>
      <c r="M94" s="1390">
        <f ca="1">M95+M96</f>
        <v>0</v>
      </c>
      <c r="N94" s="1390">
        <f ca="1">N95+N96</f>
        <v>0</v>
      </c>
      <c r="O94" s="1390">
        <f ca="1">IF(L94&gt;0,N94*100/L94,0)</f>
        <v>0</v>
      </c>
      <c r="P94" s="1390">
        <f ca="1">IF(M94&gt;0,N94*100/M94,0)</f>
        <v>0</v>
      </c>
      <c r="Q94" s="1390">
        <f ca="1">Q95+Q96</f>
        <v>0</v>
      </c>
      <c r="R94" s="1390">
        <f ca="1">R95+R96</f>
        <v>0</v>
      </c>
      <c r="S94" s="1390">
        <f ca="1">S95+S96</f>
        <v>0</v>
      </c>
      <c r="T94" s="1390">
        <f ca="1">IF(Q94&gt;0,S94*100/Q94,0)</f>
        <v>0</v>
      </c>
      <c r="U94" s="1390">
        <f ca="1">IF(R94&gt;0,S94*100/R94,0)</f>
        <v>0</v>
      </c>
    </row>
    <row r="95" spans="1:21" ht="18.75" x14ac:dyDescent="0.25">
      <c r="A95" s="128"/>
      <c r="B95" s="40"/>
      <c r="C95" s="40"/>
      <c r="D95" s="40"/>
      <c r="E95" s="156" t="s">
        <v>20</v>
      </c>
      <c r="F95" s="40"/>
      <c r="G95" s="42"/>
      <c r="H95" s="157" t="s">
        <v>14</v>
      </c>
      <c r="I95" s="44"/>
      <c r="J95" s="44"/>
      <c r="K95" s="45"/>
      <c r="L95" s="1358">
        <f>L98+L101</f>
        <v>0</v>
      </c>
      <c r="M95" s="83">
        <f>M98+M101</f>
        <v>0</v>
      </c>
      <c r="N95" s="83">
        <f>N98+N101</f>
        <v>0</v>
      </c>
      <c r="O95" s="83">
        <f>IF(L95&gt;0,N95*100/L95,0)</f>
        <v>0</v>
      </c>
      <c r="P95" s="83">
        <f>IF(M95&gt;0,N95*100/M95,0)</f>
        <v>0</v>
      </c>
      <c r="Q95" s="83">
        <f>Q98+Q101</f>
        <v>0</v>
      </c>
      <c r="R95" s="83">
        <f>R98+R101</f>
        <v>0</v>
      </c>
      <c r="S95" s="83">
        <f>S98+S101</f>
        <v>0</v>
      </c>
      <c r="T95" s="83">
        <f>IF(Q95&gt;0,S95*100/Q95,0)</f>
        <v>0</v>
      </c>
      <c r="U95" s="83">
        <f>IF(R95&gt;0,S95*100/R95,0)</f>
        <v>0</v>
      </c>
    </row>
    <row r="96" spans="1:21" ht="18.75" x14ac:dyDescent="0.25">
      <c r="A96" s="128"/>
      <c r="B96" s="40"/>
      <c r="C96" s="40"/>
      <c r="D96" s="40"/>
      <c r="E96" s="47" t="s">
        <v>21</v>
      </c>
      <c r="F96" s="40"/>
      <c r="G96" s="42"/>
      <c r="H96" s="133" t="s">
        <v>14</v>
      </c>
      <c r="I96" s="44"/>
      <c r="J96" s="44"/>
      <c r="K96" s="45"/>
      <c r="L96" s="1356">
        <f ca="1">L99+L102</f>
        <v>0</v>
      </c>
      <c r="M96" s="224">
        <f ca="1">M99+M102</f>
        <v>0</v>
      </c>
      <c r="N96" s="224">
        <f ca="1">N99+N102</f>
        <v>0</v>
      </c>
      <c r="O96" s="224">
        <f ca="1">IF(L96&gt;0,N96*100/L96,0)</f>
        <v>0</v>
      </c>
      <c r="P96" s="224">
        <f ca="1">IF(M96&gt;0,N96*100/M96,0)</f>
        <v>0</v>
      </c>
      <c r="Q96" s="224">
        <f ca="1">Q99+Q102</f>
        <v>0</v>
      </c>
      <c r="R96" s="224">
        <f ca="1">R99+R102</f>
        <v>0</v>
      </c>
      <c r="S96" s="224">
        <f ca="1">S99+S102</f>
        <v>0</v>
      </c>
      <c r="T96" s="224">
        <f ca="1">IF(Q96&gt;0,S96*100/Q96,0)</f>
        <v>0</v>
      </c>
      <c r="U96" s="224">
        <f ca="1">IF(R96&gt;0,S96*100/R96,0)</f>
        <v>0</v>
      </c>
    </row>
    <row r="97" spans="1:21" ht="18.75" x14ac:dyDescent="0.25">
      <c r="A97" s="128"/>
      <c r="B97" s="40"/>
      <c r="C97" s="40"/>
      <c r="D97" s="41" t="s">
        <v>22</v>
      </c>
      <c r="E97" s="40"/>
      <c r="F97" s="40"/>
      <c r="G97" s="42"/>
      <c r="H97" s="134" t="s">
        <v>14</v>
      </c>
      <c r="I97" s="135"/>
      <c r="J97" s="135"/>
      <c r="K97" s="136"/>
      <c r="L97" s="1356">
        <f ca="1">L98+L99</f>
        <v>0</v>
      </c>
      <c r="M97" s="224">
        <f ca="1">M98+M99</f>
        <v>0</v>
      </c>
      <c r="N97" s="224">
        <f ca="1">N98+N99</f>
        <v>0</v>
      </c>
      <c r="O97" s="224">
        <f ca="1">IF(L97&gt;0,N97*100/L97,0)</f>
        <v>0</v>
      </c>
      <c r="P97" s="224">
        <f ca="1">IF(M97&gt;0,N97*100/M97,0)</f>
        <v>0</v>
      </c>
      <c r="Q97" s="224">
        <f ca="1">Q98+Q99</f>
        <v>0</v>
      </c>
      <c r="R97" s="224">
        <f ca="1">R98+R99</f>
        <v>0</v>
      </c>
      <c r="S97" s="224">
        <f ca="1">S98+S99</f>
        <v>0</v>
      </c>
      <c r="T97" s="224">
        <f ca="1">IF(Q97&gt;0,S97*100/Q97,0)</f>
        <v>0</v>
      </c>
      <c r="U97" s="224">
        <f ca="1">IF(R97&gt;0,S97*100/R97,0)</f>
        <v>0</v>
      </c>
    </row>
    <row r="98" spans="1:21" ht="18.75" x14ac:dyDescent="0.25">
      <c r="A98" s="128"/>
      <c r="B98" s="40"/>
      <c r="C98" s="40"/>
      <c r="D98" s="40"/>
      <c r="E98" s="156" t="s">
        <v>36</v>
      </c>
      <c r="F98" s="40"/>
      <c r="G98" s="42"/>
      <c r="H98" s="159" t="s">
        <v>14</v>
      </c>
      <c r="I98" s="135"/>
      <c r="J98" s="135"/>
      <c r="K98" s="136"/>
      <c r="L98" s="1358">
        <v>0</v>
      </c>
      <c r="M98" s="83">
        <v>0</v>
      </c>
      <c r="N98" s="83">
        <v>0</v>
      </c>
      <c r="O98" s="83">
        <f>IF(L98&gt;0,N98*100/L98,0)</f>
        <v>0</v>
      </c>
      <c r="P98" s="83">
        <f>IF(M98&gt;0,N98*100/M98,0)</f>
        <v>0</v>
      </c>
      <c r="Q98" s="83">
        <v>0</v>
      </c>
      <c r="R98" s="83">
        <v>0</v>
      </c>
      <c r="S98" s="83">
        <v>0</v>
      </c>
      <c r="T98" s="83">
        <f>IF(Q98&gt;0,S98*100/Q98,0)</f>
        <v>0</v>
      </c>
      <c r="U98" s="83">
        <f>IF(R98&gt;0,S98*100/R98,0)</f>
        <v>0</v>
      </c>
    </row>
    <row r="99" spans="1:21" ht="18.75" x14ac:dyDescent="0.25">
      <c r="A99" s="128"/>
      <c r="B99" s="40"/>
      <c r="C99" s="40"/>
      <c r="D99" s="40"/>
      <c r="E99" s="47" t="s">
        <v>37</v>
      </c>
      <c r="F99" s="40"/>
      <c r="G99" s="42"/>
      <c r="H99" s="134" t="s">
        <v>14</v>
      </c>
      <c r="I99" s="135"/>
      <c r="J99" s="135"/>
      <c r="K99" s="136"/>
      <c r="L99" s="1356">
        <f ca="1">IFERROR(__xludf.DUMMYFUNCTION("IMPORTRANGE(""https://docs.google.com/spreadsheets/d/1-uDff_7J0KD5mKrp0Vvzr7lt3OU09vwQwhkpOPPYv2Y/edit?usp=sharing"",""งบพรบ!AW28"")"),0)</f>
        <v>0</v>
      </c>
      <c r="M99" s="224">
        <f ca="1">IFERROR(__xludf.DUMMYFUNCTION("IMPORTRANGE(""https://docs.google.com/spreadsheets/d/1-uDff_7J0KD5mKrp0Vvzr7lt3OU09vwQwhkpOPPYv2Y/edit?usp=sharing"",""งบพรบ!BB28"")"),0)</f>
        <v>0</v>
      </c>
      <c r="N99" s="224">
        <f ca="1">IFERROR(__xludf.DUMMYFUNCTION("IMPORTRANGE(""https://docs.google.com/spreadsheets/d/1-uDff_7J0KD5mKrp0Vvzr7lt3OU09vwQwhkpOPPYv2Y/edit?usp=sharing"",""งบพรบ!BD28"")"),0)</f>
        <v>0</v>
      </c>
      <c r="O99" s="224">
        <f ca="1">IF(L99&gt;0,N99*100/L99,0)</f>
        <v>0</v>
      </c>
      <c r="P99" s="224">
        <f ca="1">IF(M99&gt;0,N99*100/M99,0)</f>
        <v>0</v>
      </c>
      <c r="Q99" s="224">
        <f ca="1">IFERROR(__xludf.DUMMYFUNCTION("IMPORTRANGE(""https://docs.google.com/spreadsheets/d/1ItG2mGa2ceCfYo0BwxsXqNm01IGEUdYcSSLTEv9YCik/edit?usp=sharing"",""เบิกจ่ายกองทุน!AJ28"")"),0)</f>
        <v>0</v>
      </c>
      <c r="R99" s="224">
        <f ca="1">IFERROR(__xludf.DUMMYFUNCTION("IMPORTRANGE(""https://docs.google.com/spreadsheets/d/1ItG2mGa2ceCfYo0BwxsXqNm01IGEUdYcSSLTEv9YCik/edit?usp=sharing"",""เบิกจ่ายกองทุน!AK28"")"),0)</f>
        <v>0</v>
      </c>
      <c r="S99" s="224">
        <f ca="1">IFERROR(__xludf.DUMMYFUNCTION("IMPORTRANGE(""https://docs.google.com/spreadsheets/d/1ItG2mGa2ceCfYo0BwxsXqNm01IGEUdYcSSLTEv9YCik/edit?usp=sharing"",""เบิกจ่ายกองทุน!AL28"")"),0)</f>
        <v>0</v>
      </c>
      <c r="T99" s="224">
        <f ca="1">IF(Q99&gt;0,S99*100/Q99,0)</f>
        <v>0</v>
      </c>
      <c r="U99" s="224">
        <f ca="1">IF(R99&gt;0,S99*100/R99,0)</f>
        <v>0</v>
      </c>
    </row>
    <row r="100" spans="1:21" ht="18.75" x14ac:dyDescent="0.25">
      <c r="A100" s="128"/>
      <c r="B100" s="40"/>
      <c r="C100" s="40"/>
      <c r="D100" s="41" t="s">
        <v>23</v>
      </c>
      <c r="E100" s="40"/>
      <c r="F100" s="40"/>
      <c r="G100" s="42"/>
      <c r="H100" s="137" t="s">
        <v>14</v>
      </c>
      <c r="I100" s="135"/>
      <c r="J100" s="135"/>
      <c r="K100" s="136"/>
      <c r="L100" s="1356">
        <f ca="1">L101+L102</f>
        <v>0</v>
      </c>
      <c r="M100" s="224">
        <f ca="1">M101+M102</f>
        <v>0</v>
      </c>
      <c r="N100" s="224">
        <f ca="1">N101+N102</f>
        <v>0</v>
      </c>
      <c r="O100" s="224">
        <f ca="1">IF(L100&gt;0,N100*100/L100,0)</f>
        <v>0</v>
      </c>
      <c r="P100" s="224">
        <f ca="1">IF(M100&gt;0,N100*100/M100,0)</f>
        <v>0</v>
      </c>
      <c r="Q100" s="224">
        <f>Q101+Q102</f>
        <v>0</v>
      </c>
      <c r="R100" s="224">
        <f>R101+R102</f>
        <v>0</v>
      </c>
      <c r="S100" s="224">
        <f>S101+S102</f>
        <v>0</v>
      </c>
      <c r="T100" s="224">
        <f>IF(Q100&gt;0,S100*100/Q100,0)</f>
        <v>0</v>
      </c>
      <c r="U100" s="224">
        <f>IF(R100&gt;0,S100*100/R100,0)</f>
        <v>0</v>
      </c>
    </row>
    <row r="101" spans="1:21" ht="18.75" x14ac:dyDescent="0.25">
      <c r="A101" s="128"/>
      <c r="B101" s="40"/>
      <c r="C101" s="40"/>
      <c r="D101" s="40"/>
      <c r="E101" s="156" t="s">
        <v>20</v>
      </c>
      <c r="F101" s="40"/>
      <c r="G101" s="42"/>
      <c r="H101" s="159" t="s">
        <v>14</v>
      </c>
      <c r="I101" s="135"/>
      <c r="J101" s="135"/>
      <c r="K101" s="136"/>
      <c r="L101" s="1358">
        <v>0</v>
      </c>
      <c r="M101" s="83">
        <v>0</v>
      </c>
      <c r="N101" s="83">
        <v>0</v>
      </c>
      <c r="O101" s="83">
        <f>IF(L101&gt;0,N101*100/L101,0)</f>
        <v>0</v>
      </c>
      <c r="P101" s="83">
        <f>IF(M101&gt;0,N101*100/M101,0)</f>
        <v>0</v>
      </c>
      <c r="Q101" s="83">
        <v>0</v>
      </c>
      <c r="R101" s="83">
        <v>0</v>
      </c>
      <c r="S101" s="83">
        <v>0</v>
      </c>
      <c r="T101" s="83">
        <f>IF(Q101&gt;0,S101*100/Q101,0)</f>
        <v>0</v>
      </c>
      <c r="U101" s="83">
        <f>IF(R101&gt;0,S101*100/R101,0)</f>
        <v>0</v>
      </c>
    </row>
    <row r="102" spans="1:21" ht="18.75" x14ac:dyDescent="0.25">
      <c r="A102" s="128"/>
      <c r="B102" s="40"/>
      <c r="C102" s="40"/>
      <c r="D102" s="40"/>
      <c r="E102" s="47" t="s">
        <v>21</v>
      </c>
      <c r="F102" s="40"/>
      <c r="G102" s="42"/>
      <c r="H102" s="137" t="s">
        <v>14</v>
      </c>
      <c r="I102" s="135"/>
      <c r="J102" s="135"/>
      <c r="K102" s="136"/>
      <c r="L102" s="1356">
        <f ca="1">IFERROR(__xludf.DUMMYFUNCTION("IMPORTRANGE(""https://docs.google.com/spreadsheets/d/1-uDff_7J0KD5mKrp0Vvzr7lt3OU09vwQwhkpOPPYv2Y/edit?usp=sharing"",""งบพรบ!AZ28"")"),0)</f>
        <v>0</v>
      </c>
      <c r="M102" s="224">
        <f ca="1">IFERROR(__xludf.DUMMYFUNCTION("IMPORTRANGE(""https://docs.google.com/spreadsheets/d/1-uDff_7J0KD5mKrp0Vvzr7lt3OU09vwQwhkpOPPYv2Y/edit?usp=sharing"",""งบพรบ!BC28"")"),0)</f>
        <v>0</v>
      </c>
      <c r="N102" s="224">
        <f ca="1">IFERROR(__xludf.DUMMYFUNCTION("IMPORTRANGE(""https://docs.google.com/spreadsheets/d/1-uDff_7J0KD5mKrp0Vvzr7lt3OU09vwQwhkpOPPYv2Y/edit?usp=sharing"",""งบพรบ!BE28"")"),0)</f>
        <v>0</v>
      </c>
      <c r="O102" s="224">
        <f ca="1">IF(L102&gt;0,N102*100/L102,0)</f>
        <v>0</v>
      </c>
      <c r="P102" s="224">
        <f ca="1">IF(M102&gt;0,N102*100/M102,0)</f>
        <v>0</v>
      </c>
      <c r="Q102" s="224">
        <v>0</v>
      </c>
      <c r="R102" s="224">
        <v>0</v>
      </c>
      <c r="S102" s="224">
        <v>0</v>
      </c>
      <c r="T102" s="224">
        <f>IF(Q102&gt;0,S102*100/Q102,0)</f>
        <v>0</v>
      </c>
      <c r="U102" s="224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1391" t="s">
        <v>38</v>
      </c>
      <c r="E103" s="141"/>
      <c r="F103" s="141"/>
      <c r="G103" s="142"/>
      <c r="H103" s="143"/>
      <c r="I103" s="135"/>
      <c r="J103" s="44"/>
      <c r="K103" s="45"/>
      <c r="L103" s="1359"/>
      <c r="M103" s="45"/>
      <c r="N103" s="45"/>
      <c r="O103" s="136"/>
      <c r="P103" s="136"/>
      <c r="Q103" s="45"/>
      <c r="R103" s="45"/>
      <c r="S103" s="45"/>
      <c r="T103" s="136"/>
      <c r="U103" s="136"/>
    </row>
    <row r="104" spans="1:21" ht="12.75" x14ac:dyDescent="0.2">
      <c r="A104" s="162"/>
      <c r="B104" s="163"/>
      <c r="C104" s="163"/>
      <c r="D104" s="18"/>
      <c r="E104" s="18"/>
      <c r="F104" s="18"/>
      <c r="G104" s="19"/>
      <c r="H104" s="19"/>
      <c r="I104" s="20"/>
      <c r="J104" s="20"/>
      <c r="K104" s="21"/>
      <c r="L104" s="1346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12.75" x14ac:dyDescent="0.2">
      <c r="A105" s="162"/>
      <c r="B105" s="163"/>
      <c r="C105" s="163"/>
      <c r="D105" s="18"/>
      <c r="E105" s="18"/>
      <c r="F105" s="18"/>
      <c r="G105" s="19"/>
      <c r="H105" s="19"/>
      <c r="I105" s="20"/>
      <c r="J105" s="20"/>
      <c r="K105" s="21"/>
      <c r="L105" s="1346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12.75" x14ac:dyDescent="0.2">
      <c r="A106" s="162"/>
      <c r="B106" s="163"/>
      <c r="C106" s="163"/>
      <c r="D106" s="163"/>
      <c r="E106" s="18"/>
      <c r="F106" s="18"/>
      <c r="G106" s="19"/>
      <c r="H106" s="19"/>
      <c r="I106" s="20"/>
      <c r="J106" s="20"/>
      <c r="K106" s="21"/>
      <c r="L106" s="1346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19.5" x14ac:dyDescent="0.3">
      <c r="A107" s="138"/>
      <c r="B107" s="139"/>
      <c r="C107" s="139"/>
      <c r="D107" s="164" t="s">
        <v>47</v>
      </c>
      <c r="E107" s="165"/>
      <c r="F107" s="145"/>
      <c r="G107" s="143"/>
      <c r="H107" s="42"/>
      <c r="I107" s="44"/>
      <c r="J107" s="44"/>
      <c r="K107" s="45"/>
      <c r="L107" s="1359"/>
      <c r="M107" s="45"/>
      <c r="N107" s="45"/>
      <c r="O107" s="136"/>
      <c r="P107" s="136"/>
      <c r="Q107" s="45"/>
      <c r="R107" s="45"/>
      <c r="S107" s="45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3" t="s">
        <v>46</v>
      </c>
      <c r="I108" s="184">
        <f ca="1">IFERROR(__xludf.DUMMYFUNCTION("IMPORTRANGE(""https://docs.google.com/spreadsheets/d/1eHaY18a8A9IcSdp1K8H6x8fbOy06t2VsZHhMHf-1x7Y/edit?usp=sharing"",""แผน!N28"")"),0)</f>
        <v>0</v>
      </c>
      <c r="J108" s="1395">
        <v>0</v>
      </c>
      <c r="K108" s="224">
        <f ca="1">IF(I108&gt;0,J108*100/I108,0)</f>
        <v>0</v>
      </c>
      <c r="L108" s="1359"/>
      <c r="M108" s="45"/>
      <c r="N108" s="45"/>
      <c r="O108" s="136"/>
      <c r="P108" s="136"/>
      <c r="Q108" s="45"/>
      <c r="R108" s="45"/>
      <c r="S108" s="45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3" t="s">
        <v>35</v>
      </c>
      <c r="I109" s="184">
        <f ca="1">IFERROR(__xludf.DUMMYFUNCTION("IMPORTRANGE(""https://docs.google.com/spreadsheets/d/1eHaY18a8A9IcSdp1K8H6x8fbOy06t2VsZHhMHf-1x7Y/edit?usp=sharing"",""แผน!O28"")"),0)</f>
        <v>0</v>
      </c>
      <c r="J109" s="1395">
        <v>0</v>
      </c>
      <c r="K109" s="224">
        <f ca="1">IF(I109&gt;0,J109*100/I109,0)</f>
        <v>0</v>
      </c>
      <c r="L109" s="1359"/>
      <c r="M109" s="45"/>
      <c r="N109" s="45"/>
      <c r="O109" s="136"/>
      <c r="P109" s="136"/>
      <c r="Q109" s="45"/>
      <c r="R109" s="45"/>
      <c r="S109" s="45"/>
      <c r="T109" s="136"/>
      <c r="U109" s="136"/>
    </row>
    <row r="110" spans="1:21" ht="12.75" x14ac:dyDescent="0.2">
      <c r="A110" s="162"/>
      <c r="B110" s="163"/>
      <c r="C110" s="163"/>
      <c r="D110" s="18"/>
      <c r="E110" s="18"/>
      <c r="F110" s="18"/>
      <c r="G110" s="19"/>
      <c r="H110" s="19"/>
      <c r="I110" s="20"/>
      <c r="J110" s="20"/>
      <c r="K110" s="21"/>
      <c r="L110" s="1346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2.75" x14ac:dyDescent="0.2">
      <c r="A111" s="162"/>
      <c r="B111" s="163"/>
      <c r="C111" s="163"/>
      <c r="D111" s="18"/>
      <c r="E111" s="18"/>
      <c r="F111" s="18"/>
      <c r="G111" s="19"/>
      <c r="H111" s="19"/>
      <c r="I111" s="20"/>
      <c r="J111" s="20"/>
      <c r="K111" s="21"/>
      <c r="L111" s="1346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12.75" x14ac:dyDescent="0.2">
      <c r="A112" s="162"/>
      <c r="B112" s="163"/>
      <c r="C112" s="163"/>
      <c r="D112" s="18"/>
      <c r="E112" s="18"/>
      <c r="F112" s="18"/>
      <c r="G112" s="19"/>
      <c r="H112" s="19"/>
      <c r="I112" s="20"/>
      <c r="J112" s="20"/>
      <c r="K112" s="21"/>
      <c r="L112" s="1346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2.75" x14ac:dyDescent="0.2">
      <c r="A113" s="162"/>
      <c r="B113" s="163"/>
      <c r="C113" s="163"/>
      <c r="D113" s="18"/>
      <c r="E113" s="18"/>
      <c r="F113" s="18"/>
      <c r="G113" s="19"/>
      <c r="H113" s="19"/>
      <c r="I113" s="20">
        <v>0</v>
      </c>
      <c r="J113" s="20">
        <v>0</v>
      </c>
      <c r="K113" s="21"/>
      <c r="L113" s="1346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1:21" ht="18.75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394">
        <f ca="1">IFERROR(__xludf.DUMMYFUNCTION("IMPORTRANGE(""https://docs.google.com/spreadsheets/d/1eHaY18a8A9IcSdp1K8H6x8fbOy06t2VsZHhMHf-1x7Y/edit?usp=sharing"",""แผน!R28"")"),0)</f>
        <v>0</v>
      </c>
      <c r="J114" s="1395">
        <v>0</v>
      </c>
      <c r="K114" s="224">
        <f ca="1">IF(I114&gt;0,J114*100/I114,0)</f>
        <v>0</v>
      </c>
      <c r="L114" s="1359"/>
      <c r="M114" s="45"/>
      <c r="N114" s="45"/>
      <c r="O114" s="136"/>
      <c r="P114" s="136"/>
      <c r="Q114" s="45"/>
      <c r="R114" s="45"/>
      <c r="S114" s="45"/>
      <c r="T114" s="136"/>
      <c r="U114" s="136"/>
    </row>
    <row r="115" spans="1:21" ht="19.5" x14ac:dyDescent="0.3">
      <c r="A115" s="1400" t="s">
        <v>51</v>
      </c>
      <c r="B115" s="1401"/>
      <c r="C115" s="1402"/>
      <c r="D115" s="1403"/>
      <c r="E115" s="1403"/>
      <c r="F115" s="1403"/>
      <c r="G115" s="1403"/>
      <c r="H115" s="1401"/>
      <c r="I115" s="1404"/>
      <c r="J115" s="1404"/>
      <c r="K115" s="1405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71" t="s">
        <v>52</v>
      </c>
      <c r="C116" s="172"/>
      <c r="D116" s="125"/>
      <c r="E116" s="27"/>
      <c r="F116" s="27"/>
      <c r="G116" s="30"/>
      <c r="H116" s="173" t="s">
        <v>35</v>
      </c>
      <c r="I116" s="1386">
        <f ca="1">I127</f>
        <v>100</v>
      </c>
      <c r="J116" s="1386">
        <f>J127</f>
        <v>100</v>
      </c>
      <c r="K116" s="1349">
        <f ca="1">IF(I116&gt;0,J116*100/I116,0)</f>
        <v>100</v>
      </c>
      <c r="L116" s="1387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ht="19.5" x14ac:dyDescent="0.3">
      <c r="A117" s="128"/>
      <c r="B117" s="158"/>
      <c r="C117" s="161" t="s">
        <v>18</v>
      </c>
      <c r="D117" s="1388" t="s">
        <v>19</v>
      </c>
      <c r="E117" s="40"/>
      <c r="F117" s="40"/>
      <c r="G117" s="42"/>
      <c r="H117" s="131" t="s">
        <v>14</v>
      </c>
      <c r="I117" s="44"/>
      <c r="J117" s="44"/>
      <c r="K117" s="45"/>
      <c r="L117" s="1389">
        <f ca="1">L118+L119</f>
        <v>0</v>
      </c>
      <c r="M117" s="1390">
        <f ca="1">M118+M119</f>
        <v>0</v>
      </c>
      <c r="N117" s="1390">
        <f ca="1">N118+N119</f>
        <v>0</v>
      </c>
      <c r="O117" s="1390">
        <f ca="1">IF(L117&gt;0,N117*100/L117,0)</f>
        <v>0</v>
      </c>
      <c r="P117" s="1390">
        <f ca="1">IF(M117&gt;0,N117*100/M117,0)</f>
        <v>0</v>
      </c>
      <c r="Q117" s="1390">
        <f ca="1">Q118+Q119</f>
        <v>408480</v>
      </c>
      <c r="R117" s="1390">
        <f ca="1">R118+R119</f>
        <v>408480</v>
      </c>
      <c r="S117" s="1390">
        <f ca="1">S118+S119</f>
        <v>289590</v>
      </c>
      <c r="T117" s="1390">
        <f ca="1">IF(Q117&gt;0,S117*100/Q117,0)</f>
        <v>70.894535840188013</v>
      </c>
      <c r="U117" s="1390">
        <f ca="1">IF(R117&gt;0,S117*100/R117,0)</f>
        <v>70.894535840188013</v>
      </c>
    </row>
    <row r="118" spans="1:21" ht="18.75" x14ac:dyDescent="0.25">
      <c r="A118" s="128"/>
      <c r="B118" s="158"/>
      <c r="C118" s="158"/>
      <c r="D118" s="158"/>
      <c r="E118" s="156" t="s">
        <v>20</v>
      </c>
      <c r="F118" s="40"/>
      <c r="G118" s="42"/>
      <c r="H118" s="157" t="s">
        <v>14</v>
      </c>
      <c r="I118" s="44"/>
      <c r="J118" s="44"/>
      <c r="K118" s="45"/>
      <c r="L118" s="1358">
        <f>L121+L124</f>
        <v>0</v>
      </c>
      <c r="M118" s="83">
        <f>M121+M124</f>
        <v>0</v>
      </c>
      <c r="N118" s="83">
        <f>N121+N124</f>
        <v>0</v>
      </c>
      <c r="O118" s="83">
        <f>IF(L118&gt;0,N118*100/L118,0)</f>
        <v>0</v>
      </c>
      <c r="P118" s="83">
        <f>IF(M118&gt;0,N118*100/M118,0)</f>
        <v>0</v>
      </c>
      <c r="Q118" s="83">
        <f>Q121+Q124</f>
        <v>0</v>
      </c>
      <c r="R118" s="83">
        <f>R121+R124</f>
        <v>0</v>
      </c>
      <c r="S118" s="83">
        <f>S121+S124</f>
        <v>0</v>
      </c>
      <c r="T118" s="83">
        <f>IF(Q118&gt;0,S118*100/Q118,0)</f>
        <v>0</v>
      </c>
      <c r="U118" s="83">
        <f>IF(R118&gt;0,S118*100/R118,0)</f>
        <v>0</v>
      </c>
    </row>
    <row r="119" spans="1:21" ht="18.75" x14ac:dyDescent="0.25">
      <c r="A119" s="128"/>
      <c r="B119" s="158"/>
      <c r="C119" s="158"/>
      <c r="D119" s="158"/>
      <c r="E119" s="47" t="s">
        <v>21</v>
      </c>
      <c r="F119" s="40"/>
      <c r="G119" s="42"/>
      <c r="H119" s="133" t="s">
        <v>14</v>
      </c>
      <c r="I119" s="44"/>
      <c r="J119" s="44"/>
      <c r="K119" s="45"/>
      <c r="L119" s="1356">
        <f ca="1">L122+L125</f>
        <v>0</v>
      </c>
      <c r="M119" s="224">
        <f ca="1">M122+M125</f>
        <v>0</v>
      </c>
      <c r="N119" s="224">
        <f ca="1">N122+N125</f>
        <v>0</v>
      </c>
      <c r="O119" s="224">
        <f ca="1">IF(L119&gt;0,N119*100/L119,0)</f>
        <v>0</v>
      </c>
      <c r="P119" s="224">
        <f ca="1">IF(M119&gt;0,N119*100/M119,0)</f>
        <v>0</v>
      </c>
      <c r="Q119" s="224">
        <f ca="1">Q122+Q125</f>
        <v>408480</v>
      </c>
      <c r="R119" s="224">
        <f ca="1">R122+R125</f>
        <v>408480</v>
      </c>
      <c r="S119" s="224">
        <f ca="1">S122+S125</f>
        <v>289590</v>
      </c>
      <c r="T119" s="224">
        <f ca="1">IF(Q119&gt;0,S119*100/Q119,0)</f>
        <v>70.894535840188013</v>
      </c>
      <c r="U119" s="224">
        <f ca="1">IF(R119&gt;0,S119*100/R119,0)</f>
        <v>70.894535840188013</v>
      </c>
    </row>
    <row r="120" spans="1:21" ht="18.75" x14ac:dyDescent="0.25">
      <c r="A120" s="128"/>
      <c r="B120" s="158"/>
      <c r="C120" s="174"/>
      <c r="D120" s="1406" t="s">
        <v>22</v>
      </c>
      <c r="E120" s="40"/>
      <c r="F120" s="40"/>
      <c r="G120" s="42"/>
      <c r="H120" s="175" t="s">
        <v>14</v>
      </c>
      <c r="I120" s="44"/>
      <c r="J120" s="44"/>
      <c r="K120" s="45"/>
      <c r="L120" s="1356">
        <f ca="1">L121+L122</f>
        <v>0</v>
      </c>
      <c r="M120" s="224">
        <f ca="1">M121+M122</f>
        <v>0</v>
      </c>
      <c r="N120" s="224">
        <f ca="1">N121+N122</f>
        <v>0</v>
      </c>
      <c r="O120" s="224">
        <f ca="1">IF(L120&gt;0,N120*100/L120,0)</f>
        <v>0</v>
      </c>
      <c r="P120" s="224">
        <f ca="1">IF(M120&gt;0,N120*100/M120,0)</f>
        <v>0</v>
      </c>
      <c r="Q120" s="224">
        <f ca="1">Q121+Q122</f>
        <v>408480</v>
      </c>
      <c r="R120" s="224">
        <f ca="1">R121+R122</f>
        <v>408480</v>
      </c>
      <c r="S120" s="224">
        <f ca="1">S121+S122</f>
        <v>289590</v>
      </c>
      <c r="T120" s="224">
        <f ca="1">IF(Q120&gt;0,S120*100/Q120,0)</f>
        <v>70.894535840188013</v>
      </c>
      <c r="U120" s="224">
        <f ca="1">IF(R120&gt;0,S120*100/R120,0)</f>
        <v>70.894535840188013</v>
      </c>
    </row>
    <row r="121" spans="1:21" ht="18.75" x14ac:dyDescent="0.25">
      <c r="A121" s="128"/>
      <c r="B121" s="158"/>
      <c r="C121" s="174"/>
      <c r="D121" s="158"/>
      <c r="E121" s="156" t="s">
        <v>36</v>
      </c>
      <c r="F121" s="40"/>
      <c r="G121" s="42"/>
      <c r="H121" s="176" t="s">
        <v>14</v>
      </c>
      <c r="I121" s="44"/>
      <c r="J121" s="44"/>
      <c r="K121" s="45"/>
      <c r="L121" s="1358">
        <v>0</v>
      </c>
      <c r="M121" s="83">
        <v>0</v>
      </c>
      <c r="N121" s="83">
        <v>0</v>
      </c>
      <c r="O121" s="83">
        <f>IF(L121&gt;0,N121*100/L121,0)</f>
        <v>0</v>
      </c>
      <c r="P121" s="83">
        <f>IF(M121&gt;0,N121*100/M121,0)</f>
        <v>0</v>
      </c>
      <c r="Q121" s="83">
        <v>0</v>
      </c>
      <c r="R121" s="83">
        <v>0</v>
      </c>
      <c r="S121" s="83">
        <v>0</v>
      </c>
      <c r="T121" s="83">
        <f>IF(Q121&gt;0,S121*100/Q121,0)</f>
        <v>0</v>
      </c>
      <c r="U121" s="83">
        <f>IF(R121&gt;0,S121*100/R121,0)</f>
        <v>0</v>
      </c>
    </row>
    <row r="122" spans="1:21" ht="18.75" x14ac:dyDescent="0.25">
      <c r="A122" s="128"/>
      <c r="B122" s="158"/>
      <c r="C122" s="174"/>
      <c r="D122" s="158"/>
      <c r="E122" s="47" t="s">
        <v>37</v>
      </c>
      <c r="F122" s="40"/>
      <c r="G122" s="42"/>
      <c r="H122" s="175" t="s">
        <v>14</v>
      </c>
      <c r="I122" s="44"/>
      <c r="J122" s="44"/>
      <c r="K122" s="45"/>
      <c r="L122" s="1356">
        <f ca="1">IFERROR(__xludf.DUMMYFUNCTION("IMPORTRANGE(""https://docs.google.com/spreadsheets/d/1-uDff_7J0KD5mKrp0Vvzr7lt3OU09vwQwhkpOPPYv2Y/edit?usp=sharing"",""งบพรบ!BG28"")"),0)</f>
        <v>0</v>
      </c>
      <c r="M122" s="224">
        <f ca="1">IFERROR(__xludf.DUMMYFUNCTION("IMPORTRANGE(""https://docs.google.com/spreadsheets/d/1-uDff_7J0KD5mKrp0Vvzr7lt3OU09vwQwhkpOPPYv2Y/edit?usp=sharing"",""งบพรบ!BL28"")"),0)</f>
        <v>0</v>
      </c>
      <c r="N122" s="224">
        <f ca="1">IFERROR(__xludf.DUMMYFUNCTION("IMPORTRANGE(""https://docs.google.com/spreadsheets/d/1-uDff_7J0KD5mKrp0Vvzr7lt3OU09vwQwhkpOPPYv2Y/edit?usp=sharing"",""งบพรบ!BN28"")"),0)</f>
        <v>0</v>
      </c>
      <c r="O122" s="224">
        <f ca="1">IF(L122&gt;0,N122*100/L122,0)</f>
        <v>0</v>
      </c>
      <c r="P122" s="224">
        <f ca="1">IF(M122&gt;0,N122*100/M122,0)</f>
        <v>0</v>
      </c>
      <c r="Q122" s="224">
        <f ca="1">IFERROR(__xludf.DUMMYFUNCTION("IMPORTRANGE(""https://docs.google.com/spreadsheets/d/1ItG2mGa2ceCfYo0BwxsXqNm01IGEUdYcSSLTEv9YCik/edit?usp=sharing"",""เบิกจ่ายกองทุน!U28"")"),408480)</f>
        <v>408480</v>
      </c>
      <c r="R122" s="224">
        <f ca="1">IFERROR(__xludf.DUMMYFUNCTION("IMPORTRANGE(""https://docs.google.com/spreadsheets/d/1ItG2mGa2ceCfYo0BwxsXqNm01IGEUdYcSSLTEv9YCik/edit?usp=sharing"",""เบิกจ่ายกองทุน!V28"")"),408480)</f>
        <v>408480</v>
      </c>
      <c r="S122" s="224">
        <f ca="1">IFERROR(__xludf.DUMMYFUNCTION("IMPORTRANGE(""https://docs.google.com/spreadsheets/d/1ItG2mGa2ceCfYo0BwxsXqNm01IGEUdYcSSLTEv9YCik/edit?usp=sharing"",""เบิกจ่ายกองทุน!W28"")"),289590)</f>
        <v>289590</v>
      </c>
      <c r="T122" s="224">
        <f ca="1">IF(Q122&gt;0,S122*100/Q122,0)</f>
        <v>70.894535840188013</v>
      </c>
      <c r="U122" s="224">
        <f ca="1">IF(R122&gt;0,S122*100/R122,0)</f>
        <v>70.894535840188013</v>
      </c>
    </row>
    <row r="123" spans="1:21" ht="18.75" x14ac:dyDescent="0.25">
      <c r="A123" s="128"/>
      <c r="B123" s="40"/>
      <c r="C123" s="174"/>
      <c r="D123" s="1406" t="s">
        <v>23</v>
      </c>
      <c r="E123" s="40"/>
      <c r="F123" s="40"/>
      <c r="G123" s="42"/>
      <c r="H123" s="133" t="s">
        <v>14</v>
      </c>
      <c r="I123" s="44"/>
      <c r="J123" s="44"/>
      <c r="K123" s="45"/>
      <c r="L123" s="1356">
        <f ca="1">L124+L125</f>
        <v>0</v>
      </c>
      <c r="M123" s="224">
        <f ca="1">M124+M125</f>
        <v>0</v>
      </c>
      <c r="N123" s="224">
        <f ca="1">N124+N125</f>
        <v>0</v>
      </c>
      <c r="O123" s="224">
        <f ca="1">IF(L123&gt;0,N123*100/L123,0)</f>
        <v>0</v>
      </c>
      <c r="P123" s="224">
        <f ca="1">IF(M123&gt;0,N123*100/M123,0)</f>
        <v>0</v>
      </c>
      <c r="Q123" s="224">
        <f ca="1">Q124+Q125</f>
        <v>0</v>
      </c>
      <c r="R123" s="224">
        <f ca="1">R124+R125</f>
        <v>0</v>
      </c>
      <c r="S123" s="224">
        <f ca="1">S124+S125</f>
        <v>0</v>
      </c>
      <c r="T123" s="224">
        <f ca="1">IF(Q123&gt;0,S123*100/Q123,0)</f>
        <v>0</v>
      </c>
      <c r="U123" s="224">
        <f ca="1">IF(R123&gt;0,S123*100/R123,0)</f>
        <v>0</v>
      </c>
    </row>
    <row r="124" spans="1:21" ht="18.75" x14ac:dyDescent="0.25">
      <c r="A124" s="128"/>
      <c r="B124" s="40"/>
      <c r="C124" s="174"/>
      <c r="D124" s="158"/>
      <c r="E124" s="156" t="s">
        <v>20</v>
      </c>
      <c r="F124" s="40"/>
      <c r="G124" s="42"/>
      <c r="H124" s="176" t="s">
        <v>14</v>
      </c>
      <c r="I124" s="44"/>
      <c r="J124" s="44"/>
      <c r="K124" s="45"/>
      <c r="L124" s="1358">
        <v>0</v>
      </c>
      <c r="M124" s="83">
        <v>0</v>
      </c>
      <c r="N124" s="83">
        <v>0</v>
      </c>
      <c r="O124" s="83">
        <f>IF(L124&gt;0,N124*100/L124,0)</f>
        <v>0</v>
      </c>
      <c r="P124" s="83">
        <f>IF(M124&gt;0,N124*100/M124,0)</f>
        <v>0</v>
      </c>
      <c r="Q124" s="83">
        <v>0</v>
      </c>
      <c r="R124" s="83">
        <v>0</v>
      </c>
      <c r="S124" s="83">
        <v>0</v>
      </c>
      <c r="T124" s="83">
        <f>IF(Q124&gt;0,S124*100/Q124,0)</f>
        <v>0</v>
      </c>
      <c r="U124" s="83">
        <f>IF(R124&gt;0,S124*100/R124,0)</f>
        <v>0</v>
      </c>
    </row>
    <row r="125" spans="1:21" ht="18.75" x14ac:dyDescent="0.25">
      <c r="A125" s="128"/>
      <c r="B125" s="40"/>
      <c r="C125" s="40"/>
      <c r="D125" s="40"/>
      <c r="E125" s="47" t="s">
        <v>21</v>
      </c>
      <c r="F125" s="40"/>
      <c r="G125" s="42"/>
      <c r="H125" s="133" t="s">
        <v>14</v>
      </c>
      <c r="I125" s="44"/>
      <c r="J125" s="44"/>
      <c r="K125" s="45"/>
      <c r="L125" s="1356">
        <f ca="1">IFERROR(__xludf.DUMMYFUNCTION("IMPORTRANGE(""https://docs.google.com/spreadsheets/d/1-uDff_7J0KD5mKrp0Vvzr7lt3OU09vwQwhkpOPPYv2Y/edit?usp=sharing"",""งบพรบ!BJ28"")"),0)</f>
        <v>0</v>
      </c>
      <c r="M125" s="224">
        <f ca="1">IFERROR(__xludf.DUMMYFUNCTION("IMPORTRANGE(""https://docs.google.com/spreadsheets/d/1-uDff_7J0KD5mKrp0Vvzr7lt3OU09vwQwhkpOPPYv2Y/edit?usp=sharing"",""งบพรบ!BM28"")"),0)</f>
        <v>0</v>
      </c>
      <c r="N125" s="224">
        <f ca="1">IFERROR(__xludf.DUMMYFUNCTION("IMPORTRANGE(""https://docs.google.com/spreadsheets/d/1-uDff_7J0KD5mKrp0Vvzr7lt3OU09vwQwhkpOPPYv2Y/edit?usp=sharing"",""งบพรบ!BO28"")"),0)</f>
        <v>0</v>
      </c>
      <c r="O125" s="224">
        <f ca="1">IF(L125&gt;0,N125*100/L125,0)</f>
        <v>0</v>
      </c>
      <c r="P125" s="224">
        <f ca="1">IF(M125&gt;0,N125*100/M125,0)</f>
        <v>0</v>
      </c>
      <c r="Q125" s="224">
        <f ca="1">IFERROR(__xludf.DUMMYFUNCTION("IMPORTRANGE(""https://docs.google.com/spreadsheets/d/1ItG2mGa2ceCfYo0BwxsXqNm01IGEUdYcSSLTEv9YCik/edit?usp=sharing"",""เบิกจ่ายกองทุน!X28"")"),0)</f>
        <v>0</v>
      </c>
      <c r="R125" s="224">
        <f ca="1">IFERROR(__xludf.DUMMYFUNCTION("IMPORTRANGE(""https://docs.google.com/spreadsheets/d/1ItG2mGa2ceCfYo0BwxsXqNm01IGEUdYcSSLTEv9YCik/edit?usp=sharing"",""เบิกจ่ายกองทุน!Y28"")"),0)</f>
        <v>0</v>
      </c>
      <c r="S125" s="224">
        <f ca="1">IFERROR(__xludf.DUMMYFUNCTION("IMPORTRANGE(""https://docs.google.com/spreadsheets/d/1ItG2mGa2ceCfYo0BwxsXqNm01IGEUdYcSSLTEv9YCik/edit?usp=sharing"",""เบิกจ่ายกองทุน!Z28"")"),0)</f>
        <v>0</v>
      </c>
      <c r="T125" s="224">
        <f ca="1">IF(Q125&gt;0,S125*100/Q125,0)</f>
        <v>0</v>
      </c>
      <c r="U125" s="224">
        <f ca="1">IF(R125&gt;0,S125*100/R125,0)</f>
        <v>0</v>
      </c>
    </row>
    <row r="126" spans="1:21" ht="19.5" x14ac:dyDescent="0.3">
      <c r="A126" s="138"/>
      <c r="B126" s="139"/>
      <c r="C126" s="177" t="s">
        <v>18</v>
      </c>
      <c r="D126" s="1391" t="s">
        <v>38</v>
      </c>
      <c r="E126" s="141"/>
      <c r="F126" s="141"/>
      <c r="G126" s="142"/>
      <c r="H126" s="178"/>
      <c r="I126" s="44"/>
      <c r="J126" s="44"/>
      <c r="K126" s="45"/>
      <c r="L126" s="1359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84">
        <f ca="1">IFERROR(__xludf.DUMMYFUNCTION("IMPORTRANGE(""https://docs.google.com/spreadsheets/d/1eHaY18a8A9IcSdp1K8H6x8fbOy06t2VsZHhMHf-1x7Y/edit?usp=sharing"",""แผน!FF28"")"),100)</f>
        <v>100</v>
      </c>
      <c r="J127" s="1395">
        <v>100</v>
      </c>
      <c r="K127" s="224">
        <f ca="1">IF(I127&gt;0,J127*100/I127,0)</f>
        <v>100</v>
      </c>
      <c r="L127" s="1359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84">
        <f ca="1">IFERROR(__xludf.DUMMYFUNCTION("IMPORTRANGE(""https://docs.google.com/spreadsheets/d/1eHaY18a8A9IcSdp1K8H6x8fbOy06t2VsZHhMHf-1x7Y/edit?usp=sharing"",""แผน!FG28"")"),0)</f>
        <v>0</v>
      </c>
      <c r="J128" s="1395">
        <v>0</v>
      </c>
      <c r="K128" s="224">
        <f ca="1">IF(I128&gt;0,J128*100/I128,0)</f>
        <v>0</v>
      </c>
      <c r="L128" s="1359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84">
        <f ca="1">IFERROR(__xludf.DUMMYFUNCTION("IMPORTRANGE(""https://docs.google.com/spreadsheets/d/1eHaY18a8A9IcSdp1K8H6x8fbOy06t2VsZHhMHf-1x7Y/edit?usp=sharing"",""แผน!FH28"")"),20)</f>
        <v>20</v>
      </c>
      <c r="J129" s="1395">
        <v>0</v>
      </c>
      <c r="K129" s="224">
        <f ca="1">IF(I129&gt;0,J129*100/I129,0)</f>
        <v>0</v>
      </c>
      <c r="L129" s="1359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84">
        <f ca="1">IFERROR(__xludf.DUMMYFUNCTION("IMPORTRANGE(""https://docs.google.com/spreadsheets/d/1eHaY18a8A9IcSdp1K8H6x8fbOy06t2VsZHhMHf-1x7Y/edit?usp=sharing"",""แผน!FI28"")"),0)</f>
        <v>0</v>
      </c>
      <c r="J130" s="1395">
        <v>0</v>
      </c>
      <c r="K130" s="224">
        <f ca="1">IF(I130&gt;0,J130*100/I130,0)</f>
        <v>0</v>
      </c>
      <c r="L130" s="1359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ht="18.75" x14ac:dyDescent="0.25">
      <c r="A131" s="138"/>
      <c r="B131" s="139"/>
      <c r="C131" s="139"/>
      <c r="D131" s="179" t="s">
        <v>56</v>
      </c>
      <c r="E131" s="145"/>
      <c r="F131" s="145"/>
      <c r="G131" s="143"/>
      <c r="H131" s="157" t="s">
        <v>35</v>
      </c>
      <c r="I131" s="44"/>
      <c r="J131" s="44"/>
      <c r="K131" s="45"/>
      <c r="L131" s="1359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ht="18.75" x14ac:dyDescent="0.25">
      <c r="A132" s="138"/>
      <c r="B132" s="139"/>
      <c r="C132" s="139"/>
      <c r="D132" s="179" t="s">
        <v>57</v>
      </c>
      <c r="E132" s="145"/>
      <c r="F132" s="145"/>
      <c r="G132" s="143"/>
      <c r="H132" s="180"/>
      <c r="I132" s="44"/>
      <c r="J132" s="44"/>
      <c r="K132" s="45"/>
      <c r="L132" s="1359"/>
      <c r="M132" s="45"/>
      <c r="N132" s="45"/>
      <c r="O132" s="45"/>
      <c r="P132" s="45"/>
      <c r="Q132" s="45"/>
      <c r="R132" s="45"/>
      <c r="S132" s="45"/>
      <c r="T132" s="45"/>
      <c r="U132" s="45"/>
    </row>
    <row r="133" spans="1:21" ht="12.75" x14ac:dyDescent="0.2">
      <c r="A133" s="162"/>
      <c r="B133" s="163"/>
      <c r="C133" s="163"/>
      <c r="D133" s="18"/>
      <c r="E133" s="18"/>
      <c r="F133" s="18"/>
      <c r="G133" s="19"/>
      <c r="H133" s="181"/>
      <c r="I133" s="20"/>
      <c r="J133" s="20"/>
      <c r="K133" s="21"/>
      <c r="L133" s="1346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ht="19.5" x14ac:dyDescent="0.3">
      <c r="A134" s="118" t="s">
        <v>58</v>
      </c>
      <c r="B134" s="119"/>
      <c r="C134" s="168"/>
      <c r="D134" s="119"/>
      <c r="E134" s="119"/>
      <c r="F134" s="119"/>
      <c r="G134" s="119"/>
      <c r="H134" s="119"/>
      <c r="I134" s="169"/>
      <c r="J134" s="169"/>
      <c r="K134" s="170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8" t="s">
        <v>59</v>
      </c>
      <c r="C135" s="172"/>
      <c r="D135" s="125"/>
      <c r="E135" s="27"/>
      <c r="F135" s="27"/>
      <c r="G135" s="27"/>
      <c r="H135" s="27"/>
      <c r="I135" s="182"/>
      <c r="J135" s="32"/>
      <c r="K135" s="33"/>
      <c r="L135" s="1387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1:21" ht="19.5" x14ac:dyDescent="0.3">
      <c r="A136" s="124"/>
      <c r="B136" s="27"/>
      <c r="C136" s="183" t="s">
        <v>60</v>
      </c>
      <c r="D136" s="125"/>
      <c r="E136" s="27"/>
      <c r="F136" s="27"/>
      <c r="G136" s="30"/>
      <c r="H136" s="126" t="s">
        <v>61</v>
      </c>
      <c r="I136" s="1386">
        <f ca="1">I154</f>
        <v>0</v>
      </c>
      <c r="J136" s="1386">
        <f>J154</f>
        <v>0</v>
      </c>
      <c r="K136" s="1349">
        <f ca="1">IF(I136&gt;0,J136*100/I136,0)</f>
        <v>0</v>
      </c>
      <c r="L136" s="1387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1:21" ht="19.5" x14ac:dyDescent="0.3">
      <c r="A137" s="124"/>
      <c r="B137" s="27"/>
      <c r="C137" s="183" t="s">
        <v>62</v>
      </c>
      <c r="D137" s="125"/>
      <c r="E137" s="27"/>
      <c r="F137" s="27"/>
      <c r="G137" s="30"/>
      <c r="H137" s="126" t="s">
        <v>35</v>
      </c>
      <c r="I137" s="1386">
        <f ca="1">I152</f>
        <v>0</v>
      </c>
      <c r="J137" s="1386">
        <f>J152</f>
        <v>0</v>
      </c>
      <c r="K137" s="1349">
        <f ca="1">IF(I137&gt;0,J137*100/I137,0)</f>
        <v>0</v>
      </c>
      <c r="L137" s="1387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:21" ht="19.5" x14ac:dyDescent="0.3">
      <c r="A138" s="124"/>
      <c r="B138" s="27"/>
      <c r="C138" s="172"/>
      <c r="D138" s="125"/>
      <c r="E138" s="27"/>
      <c r="F138" s="27"/>
      <c r="G138" s="30"/>
      <c r="H138" s="126" t="s">
        <v>54</v>
      </c>
      <c r="I138" s="1386">
        <f ca="1">I153</f>
        <v>0</v>
      </c>
      <c r="J138" s="1386">
        <f>J153</f>
        <v>0</v>
      </c>
      <c r="K138" s="1349">
        <f ca="1">IF(I138&gt;0,J138*100/I138,0)</f>
        <v>0</v>
      </c>
      <c r="L138" s="1387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1:21" ht="19.5" x14ac:dyDescent="0.3">
      <c r="A139" s="128"/>
      <c r="B139" s="40"/>
      <c r="C139" s="129" t="s">
        <v>18</v>
      </c>
      <c r="D139" s="1388" t="s">
        <v>19</v>
      </c>
      <c r="E139" s="40"/>
      <c r="F139" s="40"/>
      <c r="G139" s="42"/>
      <c r="H139" s="131" t="s">
        <v>14</v>
      </c>
      <c r="I139" s="44"/>
      <c r="J139" s="44"/>
      <c r="K139" s="45"/>
      <c r="L139" s="1389">
        <f ca="1">L140+L141</f>
        <v>0</v>
      </c>
      <c r="M139" s="1390">
        <f ca="1">M140+M141</f>
        <v>0</v>
      </c>
      <c r="N139" s="1390">
        <f ca="1">N140+N141</f>
        <v>0</v>
      </c>
      <c r="O139" s="1390">
        <f ca="1">IF(L139&gt;0,N139*100/L139,0)</f>
        <v>0</v>
      </c>
      <c r="P139" s="1390">
        <f ca="1">IF(M139&gt;0,N139*100/M139,0)</f>
        <v>0</v>
      </c>
      <c r="Q139" s="1390">
        <f ca="1">Q140+Q141</f>
        <v>0</v>
      </c>
      <c r="R139" s="1390">
        <f ca="1">R140+R141</f>
        <v>0</v>
      </c>
      <c r="S139" s="1390">
        <f ca="1">S140+S141</f>
        <v>0</v>
      </c>
      <c r="T139" s="1390">
        <f ca="1">IF(Q139&gt;0,S139*100/Q139,0)</f>
        <v>0</v>
      </c>
      <c r="U139" s="1390">
        <f ca="1">IF(R139&gt;0,S139*100/R139,0)</f>
        <v>0</v>
      </c>
    </row>
    <row r="140" spans="1:21" ht="18.75" x14ac:dyDescent="0.25">
      <c r="A140" s="128"/>
      <c r="B140" s="40"/>
      <c r="C140" s="40"/>
      <c r="D140" s="40"/>
      <c r="E140" s="156" t="s">
        <v>20</v>
      </c>
      <c r="F140" s="40"/>
      <c r="G140" s="42"/>
      <c r="H140" s="157" t="s">
        <v>14</v>
      </c>
      <c r="I140" s="44"/>
      <c r="J140" s="44"/>
      <c r="K140" s="45"/>
      <c r="L140" s="1358">
        <f>L143+L146</f>
        <v>0</v>
      </c>
      <c r="M140" s="83">
        <f>M143+M146</f>
        <v>0</v>
      </c>
      <c r="N140" s="83">
        <f>N143+N146</f>
        <v>0</v>
      </c>
      <c r="O140" s="83">
        <f>IF(L140&gt;0,N140*100/L140,0)</f>
        <v>0</v>
      </c>
      <c r="P140" s="83">
        <f>IF(M140&gt;0,N140*100/M140,0)</f>
        <v>0</v>
      </c>
      <c r="Q140" s="83">
        <f>Q143+Q146</f>
        <v>0</v>
      </c>
      <c r="R140" s="83">
        <f>R143+R146</f>
        <v>0</v>
      </c>
      <c r="S140" s="83">
        <f>S143+S146</f>
        <v>0</v>
      </c>
      <c r="T140" s="83">
        <f>IF(Q140&gt;0,S140*100/Q140,0)</f>
        <v>0</v>
      </c>
      <c r="U140" s="83">
        <f>IF(R140&gt;0,S140*100/R140,0)</f>
        <v>0</v>
      </c>
    </row>
    <row r="141" spans="1:21" ht="18.75" x14ac:dyDescent="0.25">
      <c r="A141" s="128"/>
      <c r="B141" s="40"/>
      <c r="C141" s="40"/>
      <c r="D141" s="40"/>
      <c r="E141" s="47" t="s">
        <v>21</v>
      </c>
      <c r="F141" s="40"/>
      <c r="G141" s="42"/>
      <c r="H141" s="133" t="s">
        <v>14</v>
      </c>
      <c r="I141" s="44"/>
      <c r="J141" s="44"/>
      <c r="K141" s="45"/>
      <c r="L141" s="1356">
        <f ca="1">L144+L147</f>
        <v>0</v>
      </c>
      <c r="M141" s="224">
        <f ca="1">M144+M147</f>
        <v>0</v>
      </c>
      <c r="N141" s="224">
        <f ca="1">N144+N147</f>
        <v>0</v>
      </c>
      <c r="O141" s="224">
        <f ca="1">IF(L141&gt;0,N141*100/L141,0)</f>
        <v>0</v>
      </c>
      <c r="P141" s="224">
        <f ca="1">IF(M141&gt;0,N141*100/M141,0)</f>
        <v>0</v>
      </c>
      <c r="Q141" s="224">
        <f ca="1">Q144+Q147</f>
        <v>0</v>
      </c>
      <c r="R141" s="224">
        <f ca="1">R144+R147</f>
        <v>0</v>
      </c>
      <c r="S141" s="224">
        <f ca="1">S144+S147</f>
        <v>0</v>
      </c>
      <c r="T141" s="224">
        <f ca="1">IF(Q141&gt;0,S141*100/Q141,0)</f>
        <v>0</v>
      </c>
      <c r="U141" s="224">
        <f ca="1">IF(R141&gt;0,S141*100/R141,0)</f>
        <v>0</v>
      </c>
    </row>
    <row r="142" spans="1:21" ht="18.75" x14ac:dyDescent="0.25">
      <c r="A142" s="128"/>
      <c r="B142" s="40"/>
      <c r="C142" s="40"/>
      <c r="D142" s="41" t="s">
        <v>22</v>
      </c>
      <c r="E142" s="40"/>
      <c r="F142" s="40"/>
      <c r="G142" s="42"/>
      <c r="H142" s="134" t="s">
        <v>14</v>
      </c>
      <c r="I142" s="135"/>
      <c r="J142" s="135"/>
      <c r="K142" s="136"/>
      <c r="L142" s="1356">
        <f ca="1">L143+L144</f>
        <v>0</v>
      </c>
      <c r="M142" s="224">
        <f ca="1">M143+M144</f>
        <v>0</v>
      </c>
      <c r="N142" s="224">
        <f ca="1">N143+N144</f>
        <v>0</v>
      </c>
      <c r="O142" s="224">
        <f ca="1">IF(L142&gt;0,N142*100/L142,0)</f>
        <v>0</v>
      </c>
      <c r="P142" s="224">
        <f ca="1">IF(M142&gt;0,N142*100/M142,0)</f>
        <v>0</v>
      </c>
      <c r="Q142" s="224">
        <f ca="1">Q143+Q144</f>
        <v>0</v>
      </c>
      <c r="R142" s="224">
        <f ca="1">R143+R144</f>
        <v>0</v>
      </c>
      <c r="S142" s="224">
        <f ca="1">S143+S144</f>
        <v>0</v>
      </c>
      <c r="T142" s="224">
        <f ca="1">IF(Q142&gt;0,S142*100/Q142,0)</f>
        <v>0</v>
      </c>
      <c r="U142" s="224">
        <f ca="1">IF(R142&gt;0,S142*100/R142,0)</f>
        <v>0</v>
      </c>
    </row>
    <row r="143" spans="1:21" ht="18.75" x14ac:dyDescent="0.25">
      <c r="A143" s="128"/>
      <c r="B143" s="40"/>
      <c r="C143" s="40"/>
      <c r="D143" s="40"/>
      <c r="E143" s="156" t="s">
        <v>36</v>
      </c>
      <c r="F143" s="40"/>
      <c r="G143" s="42"/>
      <c r="H143" s="159" t="s">
        <v>14</v>
      </c>
      <c r="I143" s="135"/>
      <c r="J143" s="135"/>
      <c r="K143" s="136"/>
      <c r="L143" s="1358">
        <v>0</v>
      </c>
      <c r="M143" s="83">
        <v>0</v>
      </c>
      <c r="N143" s="83">
        <v>0</v>
      </c>
      <c r="O143" s="83">
        <f>IF(L143&gt;0,N143*100/L143,0)</f>
        <v>0</v>
      </c>
      <c r="P143" s="83">
        <f>IF(M143&gt;0,N143*100/M143,0)</f>
        <v>0</v>
      </c>
      <c r="Q143" s="83">
        <v>0</v>
      </c>
      <c r="R143" s="83">
        <v>0</v>
      </c>
      <c r="S143" s="83">
        <v>0</v>
      </c>
      <c r="T143" s="83">
        <f>IF(Q143&gt;0,S143*100/Q143,0)</f>
        <v>0</v>
      </c>
      <c r="U143" s="83">
        <f>IF(R143&gt;0,S143*100/R143,0)</f>
        <v>0</v>
      </c>
    </row>
    <row r="144" spans="1:21" ht="18.75" x14ac:dyDescent="0.25">
      <c r="A144" s="128"/>
      <c r="B144" s="40"/>
      <c r="C144" s="40"/>
      <c r="D144" s="40"/>
      <c r="E144" s="47" t="s">
        <v>37</v>
      </c>
      <c r="F144" s="40"/>
      <c r="G144" s="42"/>
      <c r="H144" s="134" t="s">
        <v>14</v>
      </c>
      <c r="I144" s="135"/>
      <c r="J144" s="135"/>
      <c r="K144" s="136"/>
      <c r="L144" s="1356">
        <f ca="1">IFERROR(__xludf.DUMMYFUNCTION("IMPORTRANGE(""https://docs.google.com/spreadsheets/d/1-uDff_7J0KD5mKrp0Vvzr7lt3OU09vwQwhkpOPPYv2Y/edit?usp=sharing"",""งบพรบ!BQ28"")"),0)</f>
        <v>0</v>
      </c>
      <c r="M144" s="224">
        <f ca="1">IFERROR(__xludf.DUMMYFUNCTION("IMPORTRANGE(""https://docs.google.com/spreadsheets/d/1-uDff_7J0KD5mKrp0Vvzr7lt3OU09vwQwhkpOPPYv2Y/edit?usp=sharing"",""งบพรบ!BV28"")"),0)</f>
        <v>0</v>
      </c>
      <c r="N144" s="224">
        <f ca="1">IFERROR(__xludf.DUMMYFUNCTION("IMPORTRANGE(""https://docs.google.com/spreadsheets/d/1-uDff_7J0KD5mKrp0Vvzr7lt3OU09vwQwhkpOPPYv2Y/edit?usp=sharing"",""งบพรบ!BX28"")"),0)</f>
        <v>0</v>
      </c>
      <c r="O144" s="224">
        <f ca="1">IF(L144&gt;0,N144*100/L144,0)</f>
        <v>0</v>
      </c>
      <c r="P144" s="224">
        <f ca="1">IF(M144&gt;0,N144*100/M144,0)</f>
        <v>0</v>
      </c>
      <c r="Q144" s="224">
        <f ca="1">IFERROR(__xludf.DUMMYFUNCTION("IMPORTRANGE(""https://docs.google.com/spreadsheets/d/1ItG2mGa2ceCfYo0BwxsXqNm01IGEUdYcSSLTEv9YCik/edit?usp=sharing"",""เบิกจ่ายกองทุน!CF28"")"),0)</f>
        <v>0</v>
      </c>
      <c r="R144" s="224">
        <f ca="1">IFERROR(__xludf.DUMMYFUNCTION("IMPORTRANGE(""https://docs.google.com/spreadsheets/d/1ItG2mGa2ceCfYo0BwxsXqNm01IGEUdYcSSLTEv9YCik/edit?usp=sharing"",""เบิกจ่ายกองทุน!CG28"")"),0)</f>
        <v>0</v>
      </c>
      <c r="S144" s="224">
        <f ca="1">IFERROR(__xludf.DUMMYFUNCTION("IMPORTRANGE(""https://docs.google.com/spreadsheets/d/1ItG2mGa2ceCfYo0BwxsXqNm01IGEUdYcSSLTEv9YCik/edit?usp=sharing"",""เบิกจ่ายกองทุน!CH28"")"),0)</f>
        <v>0</v>
      </c>
      <c r="T144" s="224">
        <f ca="1">IF(Q144&gt;0,S144*100/Q144,0)</f>
        <v>0</v>
      </c>
      <c r="U144" s="224">
        <f ca="1">IF(R144&gt;0,S144*100/R144,0)</f>
        <v>0</v>
      </c>
    </row>
    <row r="145" spans="1:21" ht="18.75" x14ac:dyDescent="0.25">
      <c r="A145" s="128"/>
      <c r="B145" s="40"/>
      <c r="C145" s="40"/>
      <c r="D145" s="41" t="s">
        <v>23</v>
      </c>
      <c r="E145" s="40"/>
      <c r="F145" s="40"/>
      <c r="G145" s="42"/>
      <c r="H145" s="137" t="s">
        <v>14</v>
      </c>
      <c r="I145" s="135"/>
      <c r="J145" s="135"/>
      <c r="K145" s="136"/>
      <c r="L145" s="1356">
        <f ca="1">L146+L147</f>
        <v>0</v>
      </c>
      <c r="M145" s="224">
        <f ca="1">M146+M147</f>
        <v>0</v>
      </c>
      <c r="N145" s="224">
        <f ca="1">N146+N147</f>
        <v>0</v>
      </c>
      <c r="O145" s="224">
        <f ca="1">IF(L145&gt;0,N145*100/L145,0)</f>
        <v>0</v>
      </c>
      <c r="P145" s="224">
        <f ca="1">IF(M145&gt;0,N145*100/M145,0)</f>
        <v>0</v>
      </c>
      <c r="Q145" s="224">
        <f ca="1">Q146+Q147</f>
        <v>0</v>
      </c>
      <c r="R145" s="224">
        <f ca="1">R146+R147</f>
        <v>0</v>
      </c>
      <c r="S145" s="224">
        <f ca="1">S146+S147</f>
        <v>0</v>
      </c>
      <c r="T145" s="224">
        <f ca="1">IF(Q145&gt;0,S145*100/Q145,0)</f>
        <v>0</v>
      </c>
      <c r="U145" s="224">
        <f ca="1">IF(R145&gt;0,S145*100/R145,0)</f>
        <v>0</v>
      </c>
    </row>
    <row r="146" spans="1:21" ht="18.75" x14ac:dyDescent="0.25">
      <c r="A146" s="128"/>
      <c r="B146" s="40"/>
      <c r="C146" s="40"/>
      <c r="D146" s="40"/>
      <c r="E146" s="156" t="s">
        <v>20</v>
      </c>
      <c r="F146" s="40"/>
      <c r="G146" s="42"/>
      <c r="H146" s="159" t="s">
        <v>14</v>
      </c>
      <c r="I146" s="135"/>
      <c r="J146" s="135"/>
      <c r="K146" s="136"/>
      <c r="L146" s="1358">
        <v>0</v>
      </c>
      <c r="M146" s="83">
        <v>0</v>
      </c>
      <c r="N146" s="83">
        <v>0</v>
      </c>
      <c r="O146" s="83">
        <f>IF(L146&gt;0,N146*100/L146,0)</f>
        <v>0</v>
      </c>
      <c r="P146" s="83">
        <f>IF(M146&gt;0,N146*100/M146,0)</f>
        <v>0</v>
      </c>
      <c r="Q146" s="83">
        <v>0</v>
      </c>
      <c r="R146" s="83">
        <v>0</v>
      </c>
      <c r="S146" s="83">
        <v>0</v>
      </c>
      <c r="T146" s="83">
        <f>IF(Q146&gt;0,S146*100/Q146,0)</f>
        <v>0</v>
      </c>
      <c r="U146" s="83">
        <f>IF(R146&gt;0,S146*100/R146,0)</f>
        <v>0</v>
      </c>
    </row>
    <row r="147" spans="1:21" ht="18.75" x14ac:dyDescent="0.25">
      <c r="A147" s="128"/>
      <c r="B147" s="40"/>
      <c r="C147" s="40"/>
      <c r="D147" s="40"/>
      <c r="E147" s="47" t="s">
        <v>21</v>
      </c>
      <c r="F147" s="40"/>
      <c r="G147" s="42"/>
      <c r="H147" s="137" t="s">
        <v>14</v>
      </c>
      <c r="I147" s="135"/>
      <c r="J147" s="135"/>
      <c r="K147" s="136"/>
      <c r="L147" s="1356">
        <f ca="1">IFERROR(__xludf.DUMMYFUNCTION("IMPORTRANGE(""https://docs.google.com/spreadsheets/d/1-uDff_7J0KD5mKrp0Vvzr7lt3OU09vwQwhkpOPPYv2Y/edit?usp=sharing"",""งบพรบ!BT28"")"),0)</f>
        <v>0</v>
      </c>
      <c r="M147" s="224">
        <f ca="1">IFERROR(__xludf.DUMMYFUNCTION("IMPORTRANGE(""https://docs.google.com/spreadsheets/d/1-uDff_7J0KD5mKrp0Vvzr7lt3OU09vwQwhkpOPPYv2Y/edit?usp=sharing"",""งบพรบ!BW28"")"),0)</f>
        <v>0</v>
      </c>
      <c r="N147" s="224">
        <f ca="1">IFERROR(__xludf.DUMMYFUNCTION("IMPORTRANGE(""https://docs.google.com/spreadsheets/d/1-uDff_7J0KD5mKrp0Vvzr7lt3OU09vwQwhkpOPPYv2Y/edit?usp=sharing"",""งบพรบ!BY28"")"),0)</f>
        <v>0</v>
      </c>
      <c r="O147" s="224">
        <f ca="1">IF(L147&gt;0,N147*100/L147,0)</f>
        <v>0</v>
      </c>
      <c r="P147" s="224">
        <f ca="1">IF(M147&gt;0,N147*100/M147,0)</f>
        <v>0</v>
      </c>
      <c r="Q147" s="224">
        <f ca="1">IFERROR(__xludf.DUMMYFUNCTION("IMPORTRANGE(""https://docs.google.com/spreadsheets/d/1ItG2mGa2ceCfYo0BwxsXqNm01IGEUdYcSSLTEv9YCik/edit?usp=sharing"",""เบิกจ่ายกองทุน!CI28"")"),0)</f>
        <v>0</v>
      </c>
      <c r="R147" s="224">
        <f ca="1">IFERROR(__xludf.DUMMYFUNCTION("IMPORTRANGE(""https://docs.google.com/spreadsheets/d/1ItG2mGa2ceCfYo0BwxsXqNm01IGEUdYcSSLTEv9YCik/edit?usp=sharing"",""เบิกจ่ายกองทุน!CJ28"")"),0)</f>
        <v>0</v>
      </c>
      <c r="S147" s="224">
        <f ca="1">IFERROR(__xludf.DUMMYFUNCTION("IMPORTRANGE(""https://docs.google.com/spreadsheets/d/1ItG2mGa2ceCfYo0BwxsXqNm01IGEUdYcSSLTEv9YCik/edit?usp=sharing"",""เบิกจ่ายกองทุน!CK28"")"),0)</f>
        <v>0</v>
      </c>
      <c r="T147" s="224">
        <f ca="1">IF(Q147&gt;0,S147*100/Q147,0)</f>
        <v>0</v>
      </c>
      <c r="U147" s="224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1391" t="s">
        <v>38</v>
      </c>
      <c r="E148" s="141"/>
      <c r="F148" s="141"/>
      <c r="G148" s="142"/>
      <c r="H148" s="178"/>
      <c r="I148" s="44"/>
      <c r="J148" s="44"/>
      <c r="K148" s="45"/>
      <c r="L148" s="1359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1:21" ht="18.75" x14ac:dyDescent="0.25">
      <c r="A149" s="128"/>
      <c r="B149" s="40"/>
      <c r="C149" s="40"/>
      <c r="D149" s="47" t="s">
        <v>63</v>
      </c>
      <c r="E149" s="40"/>
      <c r="F149" s="40"/>
      <c r="G149" s="42"/>
      <c r="H149" s="178"/>
      <c r="I149" s="44"/>
      <c r="J149" s="1395">
        <v>0</v>
      </c>
      <c r="K149" s="45"/>
      <c r="L149" s="1359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1:21" ht="19.5" x14ac:dyDescent="0.3">
      <c r="A150" s="128"/>
      <c r="B150" s="40"/>
      <c r="C150" s="40"/>
      <c r="D150" s="145"/>
      <c r="E150" s="129" t="s">
        <v>64</v>
      </c>
      <c r="F150" s="40"/>
      <c r="G150" s="42"/>
      <c r="H150" s="137" t="s">
        <v>35</v>
      </c>
      <c r="I150" s="184">
        <f ca="1">IFERROR(__xludf.DUMMYFUNCTION("IMPORTRANGE(""https://docs.google.com/spreadsheets/d/1eHaY18a8A9IcSdp1K8H6x8fbOy06t2VsZHhMHf-1x7Y/edit?usp=sharing"",""แผน!U28"")"),0)</f>
        <v>0</v>
      </c>
      <c r="J150" s="1395">
        <v>0</v>
      </c>
      <c r="K150" s="224">
        <f ca="1">IF(I150&gt;0,J150*100/I150,0)</f>
        <v>0</v>
      </c>
      <c r="L150" s="1359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1:21" ht="18.75" x14ac:dyDescent="0.25">
      <c r="A151" s="128"/>
      <c r="B151" s="40"/>
      <c r="C151" s="40"/>
      <c r="D151" s="145"/>
      <c r="E151" s="40"/>
      <c r="F151" s="40"/>
      <c r="G151" s="42"/>
      <c r="H151" s="137" t="s">
        <v>54</v>
      </c>
      <c r="I151" s="184">
        <f ca="1">IFERROR(__xludf.DUMMYFUNCTION("IMPORTRANGE(""https://docs.google.com/spreadsheets/d/1eHaY18a8A9IcSdp1K8H6x8fbOy06t2VsZHhMHf-1x7Y/edit?usp=sharing"",""แผน!V28"")"),0)</f>
        <v>0</v>
      </c>
      <c r="J151" s="1395">
        <v>0</v>
      </c>
      <c r="K151" s="224">
        <f ca="1">IF(I151&gt;0,J151*100/I151,0)</f>
        <v>0</v>
      </c>
      <c r="L151" s="1359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1:21" ht="19.5" x14ac:dyDescent="0.3">
      <c r="A152" s="128"/>
      <c r="B152" s="40"/>
      <c r="C152" s="40"/>
      <c r="D152" s="145"/>
      <c r="E152" s="129" t="s">
        <v>65</v>
      </c>
      <c r="F152" s="40"/>
      <c r="G152" s="42"/>
      <c r="H152" s="137" t="s">
        <v>35</v>
      </c>
      <c r="I152" s="184">
        <f ca="1">IFERROR(__xludf.DUMMYFUNCTION("IMPORTRANGE(""https://docs.google.com/spreadsheets/d/1eHaY18a8A9IcSdp1K8H6x8fbOy06t2VsZHhMHf-1x7Y/edit?usp=sharing"",""แผน!W28"")"),0)</f>
        <v>0</v>
      </c>
      <c r="J152" s="1395">
        <v>0</v>
      </c>
      <c r="K152" s="224">
        <f ca="1">IF(I152&gt;0,J152*100/I152,0)</f>
        <v>0</v>
      </c>
      <c r="L152" s="1359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1:21" ht="18.75" x14ac:dyDescent="0.25">
      <c r="A153" s="128"/>
      <c r="B153" s="40"/>
      <c r="C153" s="40"/>
      <c r="D153" s="40"/>
      <c r="E153" s="40"/>
      <c r="F153" s="40"/>
      <c r="G153" s="42"/>
      <c r="H153" s="137" t="s">
        <v>54</v>
      </c>
      <c r="I153" s="184">
        <f ca="1">IFERROR(__xludf.DUMMYFUNCTION("IMPORTRANGE(""https://docs.google.com/spreadsheets/d/1eHaY18a8A9IcSdp1K8H6x8fbOy06t2VsZHhMHf-1x7Y/edit?usp=sharing"",""แผน!X28"")"),0)</f>
        <v>0</v>
      </c>
      <c r="J153" s="1395">
        <v>0</v>
      </c>
      <c r="K153" s="224">
        <f ca="1">IF(I153&gt;0,J153*100/I153,0)</f>
        <v>0</v>
      </c>
      <c r="L153" s="1359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1:21" ht="18.75" x14ac:dyDescent="0.25">
      <c r="A154" s="128"/>
      <c r="B154" s="40"/>
      <c r="C154" s="40"/>
      <c r="D154" s="47" t="s">
        <v>66</v>
      </c>
      <c r="E154" s="40"/>
      <c r="F154" s="40"/>
      <c r="G154" s="42"/>
      <c r="H154" s="137" t="s">
        <v>61</v>
      </c>
      <c r="I154" s="184">
        <f ca="1">IFERROR(__xludf.DUMMYFUNCTION("IMPORTRANGE(""https://docs.google.com/spreadsheets/d/1eHaY18a8A9IcSdp1K8H6x8fbOy06t2VsZHhMHf-1x7Y/edit?usp=sharing"",""แผน!Y28"")"),0)</f>
        <v>0</v>
      </c>
      <c r="J154" s="1395">
        <v>0</v>
      </c>
      <c r="K154" s="224">
        <f ca="1">IF(I154&gt;0,J154*100/I154,0)</f>
        <v>0</v>
      </c>
      <c r="L154" s="1359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1:21" ht="19.5" x14ac:dyDescent="0.3">
      <c r="A155" s="118" t="s">
        <v>67</v>
      </c>
      <c r="B155" s="119"/>
      <c r="C155" s="168"/>
      <c r="D155" s="119"/>
      <c r="E155" s="119"/>
      <c r="F155" s="119"/>
      <c r="G155" s="119"/>
      <c r="H155" s="119"/>
      <c r="I155" s="169"/>
      <c r="J155" s="169"/>
      <c r="K155" s="170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8" t="s">
        <v>68</v>
      </c>
      <c r="C156" s="27"/>
      <c r="D156" s="27"/>
      <c r="E156" s="27"/>
      <c r="F156" s="27"/>
      <c r="G156" s="30"/>
      <c r="H156" s="173" t="s">
        <v>35</v>
      </c>
      <c r="I156" s="1386">
        <f ca="1">I167</f>
        <v>75</v>
      </c>
      <c r="J156" s="1386">
        <f>J167</f>
        <v>75</v>
      </c>
      <c r="K156" s="1349">
        <f ca="1">IF(I156&gt;0,J156*100/I156,0)</f>
        <v>100</v>
      </c>
      <c r="L156" s="1387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1:21" ht="19.5" x14ac:dyDescent="0.3">
      <c r="A157" s="128"/>
      <c r="B157" s="40"/>
      <c r="C157" s="129" t="s">
        <v>18</v>
      </c>
      <c r="D157" s="1388" t="s">
        <v>19</v>
      </c>
      <c r="E157" s="40"/>
      <c r="F157" s="40"/>
      <c r="G157" s="42"/>
      <c r="H157" s="131" t="s">
        <v>14</v>
      </c>
      <c r="I157" s="44"/>
      <c r="J157" s="44"/>
      <c r="K157" s="45"/>
      <c r="L157" s="1389">
        <f ca="1">L158+L159</f>
        <v>126500</v>
      </c>
      <c r="M157" s="1390">
        <f ca="1">M158+M159</f>
        <v>115250</v>
      </c>
      <c r="N157" s="1390">
        <f ca="1">N158+N159</f>
        <v>28173.27</v>
      </c>
      <c r="O157" s="1390">
        <f ca="1">IF(L157&gt;0,N157*100/L157,0)</f>
        <v>22.271359683794465</v>
      </c>
      <c r="P157" s="1390">
        <f ca="1">IF(M157&gt;0,N157*100/M157,0)</f>
        <v>24.445353579175706</v>
      </c>
      <c r="Q157" s="1390">
        <f ca="1">Q158+Q159</f>
        <v>0</v>
      </c>
      <c r="R157" s="1390">
        <f ca="1">R158+R159</f>
        <v>0</v>
      </c>
      <c r="S157" s="1390">
        <f ca="1">S158+S159</f>
        <v>0</v>
      </c>
      <c r="T157" s="1390">
        <f ca="1">IF(Q157&gt;0,S157*100/Q157,0)</f>
        <v>0</v>
      </c>
      <c r="U157" s="1390">
        <f ca="1">IF(R157&gt;0,S157*100/R157,0)</f>
        <v>0</v>
      </c>
    </row>
    <row r="158" spans="1:21" ht="18.75" x14ac:dyDescent="0.25">
      <c r="A158" s="128"/>
      <c r="B158" s="40"/>
      <c r="C158" s="40"/>
      <c r="D158" s="40"/>
      <c r="E158" s="156" t="s">
        <v>20</v>
      </c>
      <c r="F158" s="40"/>
      <c r="G158" s="42"/>
      <c r="H158" s="157" t="s">
        <v>14</v>
      </c>
      <c r="I158" s="44"/>
      <c r="J158" s="44"/>
      <c r="K158" s="45"/>
      <c r="L158" s="1358">
        <f>L161+L164</f>
        <v>0</v>
      </c>
      <c r="M158" s="83">
        <f>M161+M164</f>
        <v>0</v>
      </c>
      <c r="N158" s="83">
        <f>N161+N164</f>
        <v>0</v>
      </c>
      <c r="O158" s="83">
        <f>IF(L158&gt;0,N158*100/L158,0)</f>
        <v>0</v>
      </c>
      <c r="P158" s="83">
        <f>IF(M158&gt;0,N158*100/M158,0)</f>
        <v>0</v>
      </c>
      <c r="Q158" s="83">
        <f>Q161+Q164</f>
        <v>0</v>
      </c>
      <c r="R158" s="83">
        <f>R161+R164</f>
        <v>0</v>
      </c>
      <c r="S158" s="83">
        <f>S161+S164</f>
        <v>0</v>
      </c>
      <c r="T158" s="83">
        <f>IF(Q158&gt;0,S158*100/Q158,0)</f>
        <v>0</v>
      </c>
      <c r="U158" s="83">
        <f>IF(R158&gt;0,S158*100/R158,0)</f>
        <v>0</v>
      </c>
    </row>
    <row r="159" spans="1:21" ht="18.75" x14ac:dyDescent="0.25">
      <c r="A159" s="128"/>
      <c r="B159" s="40"/>
      <c r="C159" s="40"/>
      <c r="D159" s="40"/>
      <c r="E159" s="47" t="s">
        <v>21</v>
      </c>
      <c r="F159" s="40"/>
      <c r="G159" s="42"/>
      <c r="H159" s="133" t="s">
        <v>14</v>
      </c>
      <c r="I159" s="44"/>
      <c r="J159" s="44"/>
      <c r="K159" s="45"/>
      <c r="L159" s="1356">
        <f ca="1">L162+L165</f>
        <v>126500</v>
      </c>
      <c r="M159" s="224">
        <f ca="1">M162+M165</f>
        <v>115250</v>
      </c>
      <c r="N159" s="224">
        <f ca="1">N162+N165</f>
        <v>28173.27</v>
      </c>
      <c r="O159" s="224">
        <f ca="1">IF(L159&gt;0,N159*100/L159,0)</f>
        <v>22.271359683794465</v>
      </c>
      <c r="P159" s="224">
        <f ca="1">IF(M159&gt;0,N159*100/M159,0)</f>
        <v>24.445353579175706</v>
      </c>
      <c r="Q159" s="224">
        <f ca="1">Q162+Q165</f>
        <v>0</v>
      </c>
      <c r="R159" s="224">
        <f ca="1">R162+R165</f>
        <v>0</v>
      </c>
      <c r="S159" s="224">
        <f ca="1">S162+S165</f>
        <v>0</v>
      </c>
      <c r="T159" s="224">
        <f ca="1">IF(Q159&gt;0,S159*100/Q159,0)</f>
        <v>0</v>
      </c>
      <c r="U159" s="224">
        <f ca="1">IF(R159&gt;0,S159*100/R159,0)</f>
        <v>0</v>
      </c>
    </row>
    <row r="160" spans="1:21" ht="18.75" x14ac:dyDescent="0.25">
      <c r="A160" s="128"/>
      <c r="B160" s="40"/>
      <c r="C160" s="40"/>
      <c r="D160" s="41" t="s">
        <v>22</v>
      </c>
      <c r="E160" s="40"/>
      <c r="F160" s="40"/>
      <c r="G160" s="42"/>
      <c r="H160" s="134" t="s">
        <v>14</v>
      </c>
      <c r="I160" s="135"/>
      <c r="J160" s="135"/>
      <c r="K160" s="136"/>
      <c r="L160" s="1356">
        <f ca="1">L161+L162</f>
        <v>126500</v>
      </c>
      <c r="M160" s="224">
        <f ca="1">M161+M162</f>
        <v>115250</v>
      </c>
      <c r="N160" s="224">
        <f ca="1">N161+N162</f>
        <v>28173.27</v>
      </c>
      <c r="O160" s="224">
        <f ca="1">IF(L160&gt;0,N160*100/L160,0)</f>
        <v>22.271359683794465</v>
      </c>
      <c r="P160" s="224">
        <f ca="1">IF(M160&gt;0,N160*100/M160,0)</f>
        <v>24.445353579175706</v>
      </c>
      <c r="Q160" s="224">
        <f ca="1">Q161+Q162</f>
        <v>0</v>
      </c>
      <c r="R160" s="224">
        <f ca="1">R161+R162</f>
        <v>0</v>
      </c>
      <c r="S160" s="224">
        <f ca="1">S161+S162</f>
        <v>0</v>
      </c>
      <c r="T160" s="224">
        <f ca="1">IF(Q160&gt;0,S160*100/Q160,0)</f>
        <v>0</v>
      </c>
      <c r="U160" s="224">
        <f ca="1">IF(R160&gt;0,S160*100/R160,0)</f>
        <v>0</v>
      </c>
    </row>
    <row r="161" spans="1:21" ht="18.75" x14ac:dyDescent="0.25">
      <c r="A161" s="128"/>
      <c r="B161" s="40"/>
      <c r="C161" s="40"/>
      <c r="D161" s="40"/>
      <c r="E161" s="156" t="s">
        <v>36</v>
      </c>
      <c r="F161" s="40"/>
      <c r="G161" s="42"/>
      <c r="H161" s="159" t="s">
        <v>14</v>
      </c>
      <c r="I161" s="135"/>
      <c r="J161" s="135"/>
      <c r="K161" s="136"/>
      <c r="L161" s="1358">
        <v>0</v>
      </c>
      <c r="M161" s="83">
        <v>0</v>
      </c>
      <c r="N161" s="83">
        <v>0</v>
      </c>
      <c r="O161" s="83">
        <f>IF(L161&gt;0,N161*100/L161,0)</f>
        <v>0</v>
      </c>
      <c r="P161" s="83">
        <f>IF(M161&gt;0,N161*100/M161,0)</f>
        <v>0</v>
      </c>
      <c r="Q161" s="83">
        <v>0</v>
      </c>
      <c r="R161" s="83">
        <v>0</v>
      </c>
      <c r="S161" s="83">
        <v>0</v>
      </c>
      <c r="T161" s="83">
        <f>IF(Q161&gt;0,S161*100/Q161,0)</f>
        <v>0</v>
      </c>
      <c r="U161" s="83">
        <f>IF(R161&gt;0,S161*100/R161,0)</f>
        <v>0</v>
      </c>
    </row>
    <row r="162" spans="1:21" ht="18.75" x14ac:dyDescent="0.25">
      <c r="A162" s="128"/>
      <c r="B162" s="40"/>
      <c r="C162" s="40"/>
      <c r="D162" s="40"/>
      <c r="E162" s="47" t="s">
        <v>37</v>
      </c>
      <c r="F162" s="40"/>
      <c r="G162" s="42"/>
      <c r="H162" s="134" t="s">
        <v>14</v>
      </c>
      <c r="I162" s="135"/>
      <c r="J162" s="135"/>
      <c r="K162" s="136"/>
      <c r="L162" s="1356">
        <f ca="1">IFERROR(__xludf.DUMMYFUNCTION("IMPORTRANGE(""https://docs.google.com/spreadsheets/d/1-uDff_7J0KD5mKrp0Vvzr7lt3OU09vwQwhkpOPPYv2Y/edit?usp=sharing"",""งบพรบ!CA28"")"),126500)</f>
        <v>126500</v>
      </c>
      <c r="M162" s="224">
        <f ca="1">IFERROR(__xludf.DUMMYFUNCTION("IMPORTRANGE(""https://docs.google.com/spreadsheets/d/1-uDff_7J0KD5mKrp0Vvzr7lt3OU09vwQwhkpOPPYv2Y/edit?usp=sharing"",""งบพรบ!CF28"")"),115250)</f>
        <v>115250</v>
      </c>
      <c r="N162" s="224">
        <f ca="1">IFERROR(__xludf.DUMMYFUNCTION("IMPORTRANGE(""https://docs.google.com/spreadsheets/d/1-uDff_7J0KD5mKrp0Vvzr7lt3OU09vwQwhkpOPPYv2Y/edit?usp=sharing"",""งบพรบ!CH28"")"),28173.27)</f>
        <v>28173.27</v>
      </c>
      <c r="O162" s="224">
        <f ca="1">IF(L162&gt;0,N162*100/L162,0)</f>
        <v>22.271359683794465</v>
      </c>
      <c r="P162" s="224">
        <f ca="1">IF(M162&gt;0,N162*100/M162,0)</f>
        <v>24.445353579175706</v>
      </c>
      <c r="Q162" s="224">
        <f ca="1">IFERROR(__xludf.DUMMYFUNCTION("IMPORTRANGE(""https://docs.google.com/spreadsheets/d/1ItG2mGa2ceCfYo0BwxsXqNm01IGEUdYcSSLTEv9YCik/edit?usp=sharing"",""เบิกจ่ายกองทุน!AM28"")"),0)</f>
        <v>0</v>
      </c>
      <c r="R162" s="224">
        <f ca="1">IFERROR(__xludf.DUMMYFUNCTION("IMPORTRANGE(""https://docs.google.com/spreadsheets/d/1ItG2mGa2ceCfYo0BwxsXqNm01IGEUdYcSSLTEv9YCik/edit?usp=sharing"",""เบิกจ่ายกองทุน!AN28"")"),0)</f>
        <v>0</v>
      </c>
      <c r="S162" s="224">
        <f ca="1">IFERROR(__xludf.DUMMYFUNCTION("IMPORTRANGE(""https://docs.google.com/spreadsheets/d/1ItG2mGa2ceCfYo0BwxsXqNm01IGEUdYcSSLTEv9YCik/edit?usp=sharing"",""เบิกจ่ายกองทุน!AO28"")"),0)</f>
        <v>0</v>
      </c>
      <c r="T162" s="224">
        <f ca="1">IF(Q162&gt;0,S162*100/Q162,0)</f>
        <v>0</v>
      </c>
      <c r="U162" s="224">
        <f ca="1">IF(R162&gt;0,S162*100/R162,0)</f>
        <v>0</v>
      </c>
    </row>
    <row r="163" spans="1:21" ht="18.75" x14ac:dyDescent="0.25">
      <c r="A163" s="128"/>
      <c r="B163" s="40"/>
      <c r="C163" s="40"/>
      <c r="D163" s="41" t="s">
        <v>23</v>
      </c>
      <c r="E163" s="40"/>
      <c r="F163" s="40"/>
      <c r="G163" s="42"/>
      <c r="H163" s="137" t="s">
        <v>14</v>
      </c>
      <c r="I163" s="135"/>
      <c r="J163" s="135"/>
      <c r="K163" s="136"/>
      <c r="L163" s="1356">
        <f ca="1">L164+L165</f>
        <v>0</v>
      </c>
      <c r="M163" s="224">
        <f ca="1">M164+M165</f>
        <v>0</v>
      </c>
      <c r="N163" s="224">
        <f ca="1">N164+N165</f>
        <v>0</v>
      </c>
      <c r="O163" s="224">
        <f ca="1">IF(L163&gt;0,N163*100/L163,0)</f>
        <v>0</v>
      </c>
      <c r="P163" s="224">
        <f ca="1">IF(M163&gt;0,N163*100/M163,0)</f>
        <v>0</v>
      </c>
      <c r="Q163" s="224">
        <f>Q164+Q165</f>
        <v>0</v>
      </c>
      <c r="R163" s="224">
        <f>R164+R165</f>
        <v>0</v>
      </c>
      <c r="S163" s="224">
        <f>S164+S165</f>
        <v>0</v>
      </c>
      <c r="T163" s="224">
        <f>IF(Q163&gt;0,S163*100/Q163,0)</f>
        <v>0</v>
      </c>
      <c r="U163" s="224">
        <f>IF(R163&gt;0,S163*100/R163,0)</f>
        <v>0</v>
      </c>
    </row>
    <row r="164" spans="1:21" ht="18.75" x14ac:dyDescent="0.25">
      <c r="A164" s="128"/>
      <c r="B164" s="40"/>
      <c r="C164" s="40"/>
      <c r="D164" s="40"/>
      <c r="E164" s="156" t="s">
        <v>20</v>
      </c>
      <c r="F164" s="40"/>
      <c r="G164" s="42"/>
      <c r="H164" s="159" t="s">
        <v>14</v>
      </c>
      <c r="I164" s="135"/>
      <c r="J164" s="135"/>
      <c r="K164" s="136"/>
      <c r="L164" s="1358">
        <v>0</v>
      </c>
      <c r="M164" s="83">
        <v>0</v>
      </c>
      <c r="N164" s="83">
        <v>0</v>
      </c>
      <c r="O164" s="83">
        <f>IF(L164&gt;0,N164*100/L164,0)</f>
        <v>0</v>
      </c>
      <c r="P164" s="83">
        <f>IF(M164&gt;0,N164*100/M164,0)</f>
        <v>0</v>
      </c>
      <c r="Q164" s="83">
        <v>0</v>
      </c>
      <c r="R164" s="83">
        <v>0</v>
      </c>
      <c r="S164" s="83">
        <v>0</v>
      </c>
      <c r="T164" s="83">
        <f>IF(Q164&gt;0,S164*100/Q164,0)</f>
        <v>0</v>
      </c>
      <c r="U164" s="83">
        <f>IF(R164&gt;0,S164*100/R164,0)</f>
        <v>0</v>
      </c>
    </row>
    <row r="165" spans="1:21" ht="18.75" x14ac:dyDescent="0.25">
      <c r="A165" s="128"/>
      <c r="B165" s="40"/>
      <c r="C165" s="40"/>
      <c r="D165" s="40"/>
      <c r="E165" s="47" t="s">
        <v>21</v>
      </c>
      <c r="F165" s="40"/>
      <c r="G165" s="42"/>
      <c r="H165" s="137" t="s">
        <v>14</v>
      </c>
      <c r="I165" s="135"/>
      <c r="J165" s="135"/>
      <c r="K165" s="136"/>
      <c r="L165" s="1356">
        <f ca="1">IFERROR(__xludf.DUMMYFUNCTION("IMPORTRANGE(""https://docs.google.com/spreadsheets/d/1-uDff_7J0KD5mKrp0Vvzr7lt3OU09vwQwhkpOPPYv2Y/edit?usp=sharing"",""งบพรบ!CD28"")"),0)</f>
        <v>0</v>
      </c>
      <c r="M165" s="224">
        <f ca="1">IFERROR(__xludf.DUMMYFUNCTION("IMPORTRANGE(""https://docs.google.com/spreadsheets/d/1-uDff_7J0KD5mKrp0Vvzr7lt3OU09vwQwhkpOPPYv2Y/edit?usp=sharing"",""งบพรบ!CG28"")"),0)</f>
        <v>0</v>
      </c>
      <c r="N165" s="224">
        <f ca="1">IFERROR(__xludf.DUMMYFUNCTION("IMPORTRANGE(""https://docs.google.com/spreadsheets/d/1-uDff_7J0KD5mKrp0Vvzr7lt3OU09vwQwhkpOPPYv2Y/edit?usp=sharing"",""งบพรบ!CI28"")"),0)</f>
        <v>0</v>
      </c>
      <c r="O165" s="224">
        <f ca="1">IF(L165&gt;0,N165*100/L165,0)</f>
        <v>0</v>
      </c>
      <c r="P165" s="224">
        <f ca="1">IF(M165&gt;0,N165*100/M165,0)</f>
        <v>0</v>
      </c>
      <c r="Q165" s="224">
        <v>0</v>
      </c>
      <c r="R165" s="224">
        <v>0</v>
      </c>
      <c r="S165" s="224">
        <v>0</v>
      </c>
      <c r="T165" s="224">
        <f>IF(Q165&gt;0,S165*100/Q165,0)</f>
        <v>0</v>
      </c>
      <c r="U165" s="224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1391" t="s">
        <v>38</v>
      </c>
      <c r="E166" s="141"/>
      <c r="F166" s="141"/>
      <c r="G166" s="142"/>
      <c r="H166" s="178"/>
      <c r="I166" s="44"/>
      <c r="J166" s="44"/>
      <c r="K166" s="45"/>
      <c r="L166" s="1359"/>
      <c r="M166" s="45"/>
      <c r="N166" s="45"/>
      <c r="O166" s="45"/>
      <c r="P166" s="45"/>
      <c r="Q166" s="45"/>
      <c r="R166" s="45"/>
      <c r="S166" s="45"/>
      <c r="T166" s="45"/>
      <c r="U166" s="45"/>
    </row>
    <row r="167" spans="1:21" ht="18.75" x14ac:dyDescent="0.25">
      <c r="A167" s="128"/>
      <c r="B167" s="40"/>
      <c r="C167" s="40"/>
      <c r="D167" s="47" t="s">
        <v>69</v>
      </c>
      <c r="E167" s="40"/>
      <c r="F167" s="40"/>
      <c r="G167" s="42"/>
      <c r="H167" s="137" t="s">
        <v>35</v>
      </c>
      <c r="I167" s="184">
        <f ca="1">IFERROR(__xludf.DUMMYFUNCTION("IMPORTRANGE(""https://docs.google.com/spreadsheets/d/1eHaY18a8A9IcSdp1K8H6x8fbOy06t2VsZHhMHf-1x7Y/edit?usp=sharing"",""แผน!Z28"")"),75)</f>
        <v>75</v>
      </c>
      <c r="J167" s="1395">
        <v>75</v>
      </c>
      <c r="K167" s="224">
        <f ca="1">IF(I167&gt;0,J167*100/I167,0)</f>
        <v>100</v>
      </c>
      <c r="L167" s="1359"/>
      <c r="M167" s="45"/>
      <c r="N167" s="45"/>
      <c r="O167" s="45"/>
      <c r="P167" s="45"/>
      <c r="Q167" s="45"/>
      <c r="R167" s="45"/>
      <c r="S167" s="45"/>
      <c r="T167" s="45"/>
      <c r="U167" s="45"/>
    </row>
    <row r="168" spans="1:21" ht="18.75" x14ac:dyDescent="0.25">
      <c r="A168" s="128"/>
      <c r="B168" s="40"/>
      <c r="C168" s="40"/>
      <c r="D168" s="156" t="s">
        <v>70</v>
      </c>
      <c r="E168" s="40"/>
      <c r="F168" s="40"/>
      <c r="G168" s="42"/>
      <c r="H168" s="378" t="s">
        <v>35</v>
      </c>
      <c r="I168" s="423">
        <f ca="1">I167</f>
        <v>75</v>
      </c>
      <c r="J168" s="1407">
        <v>0</v>
      </c>
      <c r="K168" s="83">
        <f ca="1">IF(I168&gt;0,J168*100/I168,0)</f>
        <v>0</v>
      </c>
      <c r="L168" s="1359"/>
      <c r="M168" s="45"/>
      <c r="N168" s="45"/>
      <c r="O168" s="45"/>
      <c r="P168" s="45"/>
      <c r="Q168" s="45"/>
      <c r="R168" s="45"/>
      <c r="S168" s="45"/>
      <c r="T168" s="45"/>
      <c r="U168" s="45"/>
    </row>
    <row r="169" spans="1:21" ht="18.75" x14ac:dyDescent="0.25">
      <c r="A169" s="185"/>
      <c r="B169" s="1"/>
      <c r="C169" s="1"/>
      <c r="D169" s="424" t="s">
        <v>71</v>
      </c>
      <c r="E169" s="1"/>
      <c r="F169" s="1"/>
      <c r="G169" s="52"/>
      <c r="H169" s="1408" t="s">
        <v>35</v>
      </c>
      <c r="I169" s="426">
        <f ca="1">I167</f>
        <v>75</v>
      </c>
      <c r="J169" s="1409">
        <v>0</v>
      </c>
      <c r="K169" s="1410">
        <f ca="1">IF(I169&gt;0,J169*100/I169,0)</f>
        <v>0</v>
      </c>
      <c r="L169" s="1360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9.5" x14ac:dyDescent="0.3">
      <c r="A170" s="189" t="s">
        <v>72</v>
      </c>
      <c r="B170" s="190"/>
      <c r="C170" s="190"/>
      <c r="D170" s="190"/>
      <c r="E170" s="191"/>
      <c r="F170" s="191"/>
      <c r="G170" s="191"/>
      <c r="H170" s="191"/>
      <c r="I170" s="192"/>
      <c r="J170" s="192"/>
      <c r="K170" s="193"/>
      <c r="L170" s="193"/>
      <c r="M170" s="193"/>
      <c r="N170" s="193"/>
      <c r="O170" s="193"/>
      <c r="P170" s="194"/>
      <c r="Q170" s="193"/>
      <c r="R170" s="193"/>
      <c r="S170" s="193"/>
      <c r="T170" s="193"/>
      <c r="U170" s="194"/>
    </row>
    <row r="171" spans="1:21" ht="19.5" x14ac:dyDescent="0.3">
      <c r="A171" s="195" t="s">
        <v>73</v>
      </c>
      <c r="B171" s="196"/>
      <c r="C171" s="196"/>
      <c r="D171" s="197"/>
      <c r="E171" s="197"/>
      <c r="F171" s="197"/>
      <c r="G171" s="197"/>
      <c r="H171" s="198"/>
      <c r="I171" s="199"/>
      <c r="J171" s="199"/>
      <c r="K171" s="200"/>
      <c r="L171" s="1411"/>
      <c r="M171" s="200"/>
      <c r="N171" s="200"/>
      <c r="O171" s="200"/>
      <c r="P171" s="200"/>
      <c r="Q171" s="200"/>
      <c r="R171" s="200"/>
      <c r="S171" s="200"/>
      <c r="T171" s="200"/>
      <c r="U171" s="200"/>
    </row>
    <row r="172" spans="1:21" ht="19.5" x14ac:dyDescent="0.3">
      <c r="A172" s="201"/>
      <c r="B172" s="202" t="s">
        <v>74</v>
      </c>
      <c r="C172" s="203"/>
      <c r="D172" s="141"/>
      <c r="E172" s="141"/>
      <c r="F172" s="141"/>
      <c r="G172" s="142"/>
      <c r="H172" s="204" t="s">
        <v>35</v>
      </c>
      <c r="I172" s="1412">
        <f ca="1">I183+I184</f>
        <v>17</v>
      </c>
      <c r="J172" s="1412">
        <f>J183+J184</f>
        <v>7</v>
      </c>
      <c r="K172" s="1413">
        <f ca="1">IF(I172&gt;0,J172*100/I172,0)</f>
        <v>41.176470588235297</v>
      </c>
      <c r="L172" s="1414"/>
      <c r="M172" s="207"/>
      <c r="N172" s="207"/>
      <c r="O172" s="207"/>
      <c r="P172" s="207"/>
      <c r="Q172" s="207"/>
      <c r="R172" s="207"/>
      <c r="S172" s="207"/>
      <c r="T172" s="207"/>
      <c r="U172" s="207"/>
    </row>
    <row r="173" spans="1:21" ht="19.5" x14ac:dyDescent="0.3">
      <c r="A173" s="128"/>
      <c r="B173" s="40"/>
      <c r="C173" s="129" t="s">
        <v>18</v>
      </c>
      <c r="D173" s="1388" t="s">
        <v>19</v>
      </c>
      <c r="E173" s="40"/>
      <c r="F173" s="40"/>
      <c r="G173" s="42"/>
      <c r="H173" s="131" t="s">
        <v>14</v>
      </c>
      <c r="I173" s="44"/>
      <c r="J173" s="44"/>
      <c r="K173" s="45"/>
      <c r="L173" s="1389">
        <f ca="1">L174+L175</f>
        <v>19590</v>
      </c>
      <c r="M173" s="1390">
        <f ca="1">M174+M175</f>
        <v>244070</v>
      </c>
      <c r="N173" s="1390">
        <f ca="1">N174+N175</f>
        <v>237940</v>
      </c>
      <c r="O173" s="1390">
        <f ca="1">IF(L173&gt;0,N173*100/L173,0)</f>
        <v>1214.5992853496682</v>
      </c>
      <c r="P173" s="1390">
        <f ca="1">IF(M173&gt;0,N173*100/M173,0)</f>
        <v>97.488425451714676</v>
      </c>
      <c r="Q173" s="1390">
        <f ca="1">Q174+Q175</f>
        <v>0</v>
      </c>
      <c r="R173" s="1390">
        <f ca="1">R174+R175</f>
        <v>0</v>
      </c>
      <c r="S173" s="1390">
        <f ca="1">S174+S175</f>
        <v>0</v>
      </c>
      <c r="T173" s="1390">
        <f ca="1">IF(Q173&gt;0,S173*100/Q173,0)</f>
        <v>0</v>
      </c>
      <c r="U173" s="1390">
        <f ca="1">IF(R173&gt;0,S173*100/R173,0)</f>
        <v>0</v>
      </c>
    </row>
    <row r="174" spans="1:21" ht="18.75" x14ac:dyDescent="0.25">
      <c r="A174" s="128"/>
      <c r="B174" s="40"/>
      <c r="C174" s="40"/>
      <c r="D174" s="40"/>
      <c r="E174" s="156" t="s">
        <v>20</v>
      </c>
      <c r="F174" s="40"/>
      <c r="G174" s="42"/>
      <c r="H174" s="157" t="s">
        <v>14</v>
      </c>
      <c r="I174" s="44"/>
      <c r="J174" s="44"/>
      <c r="K174" s="45"/>
      <c r="L174" s="1358">
        <f>L177+L180</f>
        <v>0</v>
      </c>
      <c r="M174" s="83">
        <f>M177+M180</f>
        <v>0</v>
      </c>
      <c r="N174" s="83">
        <f>N177+N180</f>
        <v>0</v>
      </c>
      <c r="O174" s="83">
        <f>IF(L174&gt;0,N174*100/L174,0)</f>
        <v>0</v>
      </c>
      <c r="P174" s="83">
        <f>IF(M174&gt;0,N174*100/M174,0)</f>
        <v>0</v>
      </c>
      <c r="Q174" s="83">
        <f>Q177+Q180</f>
        <v>0</v>
      </c>
      <c r="R174" s="83">
        <f>R177+R180</f>
        <v>0</v>
      </c>
      <c r="S174" s="83">
        <f>S177+S180</f>
        <v>0</v>
      </c>
      <c r="T174" s="83">
        <f>IF(Q174&gt;0,S174*100/Q174,0)</f>
        <v>0</v>
      </c>
      <c r="U174" s="83">
        <f>IF(R174&gt;0,S174*100/R174,0)</f>
        <v>0</v>
      </c>
    </row>
    <row r="175" spans="1:21" ht="18.75" x14ac:dyDescent="0.25">
      <c r="A175" s="128"/>
      <c r="B175" s="40"/>
      <c r="C175" s="40"/>
      <c r="D175" s="40"/>
      <c r="E175" s="47" t="s">
        <v>21</v>
      </c>
      <c r="F175" s="40"/>
      <c r="G175" s="42"/>
      <c r="H175" s="133" t="s">
        <v>14</v>
      </c>
      <c r="I175" s="44"/>
      <c r="J175" s="44"/>
      <c r="K175" s="45"/>
      <c r="L175" s="1356">
        <f ca="1">L178+L181</f>
        <v>19590</v>
      </c>
      <c r="M175" s="224">
        <f ca="1">M178+M181</f>
        <v>244070</v>
      </c>
      <c r="N175" s="224">
        <f ca="1">N178+N181</f>
        <v>237940</v>
      </c>
      <c r="O175" s="224">
        <f ca="1">IF(L175&gt;0,N175*100/L175,0)</f>
        <v>1214.5992853496682</v>
      </c>
      <c r="P175" s="224">
        <f ca="1">IF(M175&gt;0,N175*100/M175,0)</f>
        <v>97.488425451714676</v>
      </c>
      <c r="Q175" s="224">
        <f ca="1">Q178+Q181</f>
        <v>0</v>
      </c>
      <c r="R175" s="224">
        <f ca="1">R178+R181</f>
        <v>0</v>
      </c>
      <c r="S175" s="224">
        <f ca="1">S178+S181</f>
        <v>0</v>
      </c>
      <c r="T175" s="224">
        <f ca="1">IF(Q175&gt;0,S175*100/Q175,0)</f>
        <v>0</v>
      </c>
      <c r="U175" s="224">
        <f ca="1">IF(R175&gt;0,S175*100/R175,0)</f>
        <v>0</v>
      </c>
    </row>
    <row r="176" spans="1:21" ht="18.75" x14ac:dyDescent="0.25">
      <c r="A176" s="128"/>
      <c r="B176" s="40"/>
      <c r="C176" s="40"/>
      <c r="D176" s="41" t="s">
        <v>22</v>
      </c>
      <c r="E176" s="40"/>
      <c r="F176" s="40"/>
      <c r="G176" s="42"/>
      <c r="H176" s="134" t="s">
        <v>14</v>
      </c>
      <c r="I176" s="135"/>
      <c r="J176" s="135"/>
      <c r="K176" s="136"/>
      <c r="L176" s="1356">
        <f ca="1">L177+L178</f>
        <v>19590</v>
      </c>
      <c r="M176" s="224">
        <f ca="1">M177+M178</f>
        <v>244070</v>
      </c>
      <c r="N176" s="224">
        <f ca="1">N177+N178</f>
        <v>237940</v>
      </c>
      <c r="O176" s="224">
        <f ca="1">IF(L176&gt;0,N176*100/L176,0)</f>
        <v>1214.5992853496682</v>
      </c>
      <c r="P176" s="224">
        <f ca="1">IF(M176&gt;0,N176*100/M176,0)</f>
        <v>97.488425451714676</v>
      </c>
      <c r="Q176" s="224">
        <f ca="1">Q177+Q178</f>
        <v>0</v>
      </c>
      <c r="R176" s="224">
        <f ca="1">R177+R178</f>
        <v>0</v>
      </c>
      <c r="S176" s="224">
        <f ca="1">S177+S178</f>
        <v>0</v>
      </c>
      <c r="T176" s="224">
        <f ca="1">IF(Q176&gt;0,S176*100/Q176,0)</f>
        <v>0</v>
      </c>
      <c r="U176" s="224">
        <f ca="1">IF(R176&gt;0,S176*100/R176,0)</f>
        <v>0</v>
      </c>
    </row>
    <row r="177" spans="1:21" ht="18.75" x14ac:dyDescent="0.25">
      <c r="A177" s="128"/>
      <c r="B177" s="40"/>
      <c r="C177" s="40"/>
      <c r="D177" s="40"/>
      <c r="E177" s="156" t="s">
        <v>36</v>
      </c>
      <c r="F177" s="40"/>
      <c r="G177" s="42"/>
      <c r="H177" s="159" t="s">
        <v>14</v>
      </c>
      <c r="I177" s="135"/>
      <c r="J177" s="135"/>
      <c r="K177" s="136"/>
      <c r="L177" s="1358">
        <v>0</v>
      </c>
      <c r="M177" s="83">
        <v>0</v>
      </c>
      <c r="N177" s="83">
        <v>0</v>
      </c>
      <c r="O177" s="83">
        <f>IF(L177&gt;0,N177*100/L177,0)</f>
        <v>0</v>
      </c>
      <c r="P177" s="83">
        <f>IF(M177&gt;0,N177*100/M177,0)</f>
        <v>0</v>
      </c>
      <c r="Q177" s="83">
        <v>0</v>
      </c>
      <c r="R177" s="83">
        <v>0</v>
      </c>
      <c r="S177" s="83">
        <v>0</v>
      </c>
      <c r="T177" s="83">
        <f>IF(Q177&gt;0,S177*100/Q177,0)</f>
        <v>0</v>
      </c>
      <c r="U177" s="83">
        <f>IF(R177&gt;0,S177*100/R177,0)</f>
        <v>0</v>
      </c>
    </row>
    <row r="178" spans="1:21" ht="18.75" x14ac:dyDescent="0.25">
      <c r="A178" s="128"/>
      <c r="B178" s="40"/>
      <c r="C178" s="40"/>
      <c r="D178" s="40"/>
      <c r="E178" s="47" t="s">
        <v>37</v>
      </c>
      <c r="F178" s="40"/>
      <c r="G178" s="42"/>
      <c r="H178" s="134" t="s">
        <v>14</v>
      </c>
      <c r="I178" s="135"/>
      <c r="J178" s="135"/>
      <c r="K178" s="136"/>
      <c r="L178" s="1356">
        <f ca="1">IFERROR(__xludf.DUMMYFUNCTION("IMPORTRANGE(""https://docs.google.com/spreadsheets/d/1-uDff_7J0KD5mKrp0Vvzr7lt3OU09vwQwhkpOPPYv2Y/edit?usp=sharing"",""งบพรบ!CK28"")"),19590)</f>
        <v>19590</v>
      </c>
      <c r="M178" s="224">
        <f ca="1">IFERROR(__xludf.DUMMYFUNCTION("IMPORTRANGE(""https://docs.google.com/spreadsheets/d/1-uDff_7J0KD5mKrp0Vvzr7lt3OU09vwQwhkpOPPYv2Y/edit?usp=sharing"",""งบพรบ!CP28"")"),244070)</f>
        <v>244070</v>
      </c>
      <c r="N178" s="224">
        <f ca="1">IFERROR(__xludf.DUMMYFUNCTION("IMPORTRANGE(""https://docs.google.com/spreadsheets/d/1-uDff_7J0KD5mKrp0Vvzr7lt3OU09vwQwhkpOPPYv2Y/edit?usp=sharing"",""งบพรบ!CR28"")"),237940)</f>
        <v>237940</v>
      </c>
      <c r="O178" s="224">
        <f ca="1">IF(L178&gt;0,N178*100/L178,0)</f>
        <v>1214.5992853496682</v>
      </c>
      <c r="P178" s="224">
        <f ca="1">IF(M178&gt;0,N178*100/M178,0)</f>
        <v>97.488425451714676</v>
      </c>
      <c r="Q178" s="224">
        <f ca="1">IFERROR(__xludf.DUMMYFUNCTION("IMPORTRANGE(""https://docs.google.com/spreadsheets/d/1ItG2mGa2ceCfYo0BwxsXqNm01IGEUdYcSSLTEv9YCik/edit?usp=sharing"",""เบิกจ่ายกองทุน!DG28"")"),0)</f>
        <v>0</v>
      </c>
      <c r="R178" s="224">
        <f ca="1">IFERROR(__xludf.DUMMYFUNCTION("IMPORTRANGE(""https://docs.google.com/spreadsheets/d/1ItG2mGa2ceCfYo0BwxsXqNm01IGEUdYcSSLTEv9YCik/edit?usp=sharing"",""เบิกจ่ายกองทุน!DH28"")"),0)</f>
        <v>0</v>
      </c>
      <c r="S178" s="224">
        <f ca="1">IFERROR(__xludf.DUMMYFUNCTION("IMPORTRANGE(""https://docs.google.com/spreadsheets/d/1ItG2mGa2ceCfYo0BwxsXqNm01IGEUdYcSSLTEv9YCik/edit?usp=sharing"",""เบิกจ่ายกองทุน!DI28"")"),0)</f>
        <v>0</v>
      </c>
      <c r="T178" s="224">
        <f ca="1">IF(Q178&gt;0,S178*100/Q178,0)</f>
        <v>0</v>
      </c>
      <c r="U178" s="224">
        <f ca="1">IF(R178&gt;0,S178*100/R178,0)</f>
        <v>0</v>
      </c>
    </row>
    <row r="179" spans="1:21" ht="18.75" x14ac:dyDescent="0.25">
      <c r="A179" s="128"/>
      <c r="B179" s="40"/>
      <c r="C179" s="40"/>
      <c r="D179" s="41" t="s">
        <v>23</v>
      </c>
      <c r="E179" s="40"/>
      <c r="F179" s="40"/>
      <c r="G179" s="42"/>
      <c r="H179" s="137" t="s">
        <v>14</v>
      </c>
      <c r="I179" s="135"/>
      <c r="J179" s="135"/>
      <c r="K179" s="136"/>
      <c r="L179" s="1356">
        <f ca="1">L180+L181</f>
        <v>0</v>
      </c>
      <c r="M179" s="224">
        <f ca="1">M180+M181</f>
        <v>0</v>
      </c>
      <c r="N179" s="224">
        <f ca="1">N180+N181</f>
        <v>0</v>
      </c>
      <c r="O179" s="224">
        <f ca="1">IF(L179&gt;0,N179*100/L179,0)</f>
        <v>0</v>
      </c>
      <c r="P179" s="224">
        <f ca="1">IF(M179&gt;0,N179*100/M179,0)</f>
        <v>0</v>
      </c>
      <c r="Q179" s="224">
        <f>Q180+Q181</f>
        <v>0</v>
      </c>
      <c r="R179" s="224">
        <f>R180+R181</f>
        <v>0</v>
      </c>
      <c r="S179" s="224">
        <f>S180+S181</f>
        <v>0</v>
      </c>
      <c r="T179" s="224">
        <f>IF(Q179&gt;0,S179*100/Q179,0)</f>
        <v>0</v>
      </c>
      <c r="U179" s="224">
        <f>IF(R179&gt;0,S179*100/R179,0)</f>
        <v>0</v>
      </c>
    </row>
    <row r="180" spans="1:21" ht="18.75" x14ac:dyDescent="0.25">
      <c r="A180" s="128"/>
      <c r="B180" s="40"/>
      <c r="C180" s="40"/>
      <c r="D180" s="40"/>
      <c r="E180" s="156" t="s">
        <v>20</v>
      </c>
      <c r="F180" s="40"/>
      <c r="G180" s="42"/>
      <c r="H180" s="159" t="s">
        <v>14</v>
      </c>
      <c r="I180" s="135"/>
      <c r="J180" s="135"/>
      <c r="K180" s="136"/>
      <c r="L180" s="1358">
        <v>0</v>
      </c>
      <c r="M180" s="83">
        <v>0</v>
      </c>
      <c r="N180" s="83">
        <v>0</v>
      </c>
      <c r="O180" s="83">
        <f>IF(L180&gt;0,N180*100/L180,0)</f>
        <v>0</v>
      </c>
      <c r="P180" s="83">
        <f>IF(M180&gt;0,N180*100/M180,0)</f>
        <v>0</v>
      </c>
      <c r="Q180" s="83">
        <v>0</v>
      </c>
      <c r="R180" s="83">
        <v>0</v>
      </c>
      <c r="S180" s="83">
        <v>0</v>
      </c>
      <c r="T180" s="83">
        <f>IF(Q180&gt;0,S180*100/Q180,0)</f>
        <v>0</v>
      </c>
      <c r="U180" s="83">
        <f>IF(R180&gt;0,S180*100/R180,0)</f>
        <v>0</v>
      </c>
    </row>
    <row r="181" spans="1:21" ht="18.75" x14ac:dyDescent="0.25">
      <c r="A181" s="128"/>
      <c r="B181" s="40"/>
      <c r="C181" s="40"/>
      <c r="D181" s="40"/>
      <c r="E181" s="47" t="s">
        <v>21</v>
      </c>
      <c r="F181" s="40"/>
      <c r="G181" s="42"/>
      <c r="H181" s="137" t="s">
        <v>14</v>
      </c>
      <c r="I181" s="135"/>
      <c r="J181" s="135"/>
      <c r="K181" s="136"/>
      <c r="L181" s="1356">
        <f ca="1">IFERROR(__xludf.DUMMYFUNCTION("IMPORTRANGE(""https://docs.google.com/spreadsheets/d/1-uDff_7J0KD5mKrp0Vvzr7lt3OU09vwQwhkpOPPYv2Y/edit?usp=sharing"",""งบพรบ!CN28"")"),0)</f>
        <v>0</v>
      </c>
      <c r="M181" s="224">
        <f ca="1">IFERROR(__xludf.DUMMYFUNCTION("IMPORTRANGE(""https://docs.google.com/spreadsheets/d/1-uDff_7J0KD5mKrp0Vvzr7lt3OU09vwQwhkpOPPYv2Y/edit?usp=sharing"",""งบพรบ!CQ28"")"),0)</f>
        <v>0</v>
      </c>
      <c r="N181" s="224">
        <f ca="1">IFERROR(__xludf.DUMMYFUNCTION("IMPORTRANGE(""https://docs.google.com/spreadsheets/d/1-uDff_7J0KD5mKrp0Vvzr7lt3OU09vwQwhkpOPPYv2Y/edit?usp=sharing"",""งบพรบ!CS28"")"),0)</f>
        <v>0</v>
      </c>
      <c r="O181" s="224">
        <f ca="1">IF(L181&gt;0,N181*100/L181,0)</f>
        <v>0</v>
      </c>
      <c r="P181" s="224">
        <f ca="1">IF(M181&gt;0,N181*100/M181,0)</f>
        <v>0</v>
      </c>
      <c r="Q181" s="224">
        <v>0</v>
      </c>
      <c r="R181" s="224">
        <v>0</v>
      </c>
      <c r="S181" s="224">
        <v>0</v>
      </c>
      <c r="T181" s="224">
        <f>IF(Q181&gt;0,S181*100/Q181,0)</f>
        <v>0</v>
      </c>
      <c r="U181" s="224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1391" t="s">
        <v>38</v>
      </c>
      <c r="E182" s="141"/>
      <c r="F182" s="141"/>
      <c r="G182" s="142"/>
      <c r="H182" s="178"/>
      <c r="I182" s="44"/>
      <c r="J182" s="44"/>
      <c r="K182" s="45"/>
      <c r="L182" s="1359"/>
      <c r="M182" s="45"/>
      <c r="N182" s="45"/>
      <c r="O182" s="45"/>
      <c r="P182" s="45"/>
      <c r="Q182" s="45"/>
      <c r="R182" s="45"/>
      <c r="S182" s="45"/>
      <c r="T182" s="45"/>
      <c r="U182" s="45"/>
    </row>
    <row r="183" spans="1:21" ht="18.75" x14ac:dyDescent="0.25">
      <c r="A183" s="208"/>
      <c r="B183" s="40"/>
      <c r="C183" s="158"/>
      <c r="D183" s="209" t="s">
        <v>75</v>
      </c>
      <c r="E183" s="40"/>
      <c r="F183" s="40"/>
      <c r="G183" s="42"/>
      <c r="H183" s="210" t="s">
        <v>35</v>
      </c>
      <c r="I183" s="184">
        <f ca="1">IFERROR(__xludf.DUMMYFUNCTION("IMPORTRANGE(""https://docs.google.com/spreadsheets/d/1eHaY18a8A9IcSdp1K8H6x8fbOy06t2VsZHhMHf-1x7Y/edit?usp=sharing"",""แผน!AA28"")"),17)</f>
        <v>17</v>
      </c>
      <c r="J183" s="1395">
        <v>7</v>
      </c>
      <c r="K183" s="224">
        <f ca="1">IF(I183&gt;0,J183*100/I183,0)</f>
        <v>41.176470588235297</v>
      </c>
      <c r="L183" s="1359"/>
      <c r="M183" s="45"/>
      <c r="N183" s="45"/>
      <c r="O183" s="45"/>
      <c r="P183" s="45"/>
      <c r="Q183" s="45"/>
      <c r="R183" s="45"/>
      <c r="S183" s="45"/>
      <c r="T183" s="45"/>
      <c r="U183" s="45"/>
    </row>
    <row r="184" spans="1:21" ht="18.75" x14ac:dyDescent="0.25">
      <c r="A184" s="208"/>
      <c r="B184" s="158"/>
      <c r="C184" s="158"/>
      <c r="D184" s="314" t="s">
        <v>76</v>
      </c>
      <c r="E184" s="40"/>
      <c r="F184" s="40"/>
      <c r="G184" s="42"/>
      <c r="H184" s="1415" t="s">
        <v>35</v>
      </c>
      <c r="I184" s="423">
        <v>0</v>
      </c>
      <c r="J184" s="423">
        <v>0</v>
      </c>
      <c r="K184" s="83">
        <f>IF(I184&gt;0,J184*100/I184,0)</f>
        <v>0</v>
      </c>
      <c r="L184" s="1359"/>
      <c r="M184" s="45"/>
      <c r="N184" s="45"/>
      <c r="O184" s="45"/>
      <c r="P184" s="45"/>
      <c r="Q184" s="45"/>
      <c r="R184" s="45"/>
      <c r="S184" s="45"/>
      <c r="T184" s="45"/>
      <c r="U184" s="45"/>
    </row>
    <row r="185" spans="1:21" ht="19.5" x14ac:dyDescent="0.3">
      <c r="A185" s="201"/>
      <c r="B185" s="202" t="s">
        <v>77</v>
      </c>
      <c r="C185" s="203"/>
      <c r="D185" s="141"/>
      <c r="E185" s="141"/>
      <c r="F185" s="141"/>
      <c r="G185" s="142"/>
      <c r="H185" s="204" t="s">
        <v>35</v>
      </c>
      <c r="I185" s="1412">
        <f ca="1">I230+I231</f>
        <v>0</v>
      </c>
      <c r="J185" s="1412">
        <f>J230+J231</f>
        <v>0</v>
      </c>
      <c r="K185" s="1413">
        <f ca="1">IF(I185&gt;0,J185*100/I185,0)</f>
        <v>0</v>
      </c>
      <c r="L185" s="1414"/>
      <c r="M185" s="207"/>
      <c r="N185" s="207"/>
      <c r="O185" s="207"/>
      <c r="P185" s="207"/>
      <c r="Q185" s="207"/>
      <c r="R185" s="207"/>
      <c r="S185" s="207"/>
      <c r="T185" s="207"/>
      <c r="U185" s="207"/>
    </row>
    <row r="186" spans="1:21" ht="19.5" x14ac:dyDescent="0.3">
      <c r="A186" s="128"/>
      <c r="B186" s="40"/>
      <c r="C186" s="129" t="s">
        <v>18</v>
      </c>
      <c r="D186" s="1388" t="s">
        <v>19</v>
      </c>
      <c r="E186" s="40"/>
      <c r="F186" s="40"/>
      <c r="G186" s="42"/>
      <c r="H186" s="131" t="s">
        <v>14</v>
      </c>
      <c r="I186" s="44"/>
      <c r="J186" s="44"/>
      <c r="K186" s="45"/>
      <c r="L186" s="1389">
        <f ca="1">L187+L188</f>
        <v>34500</v>
      </c>
      <c r="M186" s="1390">
        <f ca="1">M187+M188</f>
        <v>34500</v>
      </c>
      <c r="N186" s="1390">
        <f ca="1">N187+N188</f>
        <v>2000</v>
      </c>
      <c r="O186" s="1390">
        <f ca="1">IF(L186&gt;0,N186*100/L186,0)</f>
        <v>5.7971014492753623</v>
      </c>
      <c r="P186" s="1390">
        <f ca="1">IF(M186&gt;0,N186*100/M186,0)</f>
        <v>5.7971014492753623</v>
      </c>
      <c r="Q186" s="1390">
        <f ca="1">Q187+Q188</f>
        <v>56000</v>
      </c>
      <c r="R186" s="1390">
        <f ca="1">R187+R188</f>
        <v>56000</v>
      </c>
      <c r="S186" s="1390">
        <f ca="1">S187+S188</f>
        <v>0</v>
      </c>
      <c r="T186" s="1390">
        <f ca="1">IF(Q186&gt;0,S186*100/Q186,0)</f>
        <v>0</v>
      </c>
      <c r="U186" s="1390">
        <f ca="1">IF(R186&gt;0,S186*100/R186,0)</f>
        <v>0</v>
      </c>
    </row>
    <row r="187" spans="1:21" ht="18.75" x14ac:dyDescent="0.25">
      <c r="A187" s="128"/>
      <c r="B187" s="40"/>
      <c r="C187" s="40"/>
      <c r="D187" s="40"/>
      <c r="E187" s="156" t="s">
        <v>20</v>
      </c>
      <c r="F187" s="40"/>
      <c r="G187" s="42"/>
      <c r="H187" s="157" t="s">
        <v>14</v>
      </c>
      <c r="I187" s="44"/>
      <c r="J187" s="44"/>
      <c r="K187" s="45"/>
      <c r="L187" s="1358">
        <f>L190+L193</f>
        <v>0</v>
      </c>
      <c r="M187" s="83">
        <f>M190+M193</f>
        <v>0</v>
      </c>
      <c r="N187" s="83">
        <f>N190+N193</f>
        <v>0</v>
      </c>
      <c r="O187" s="83">
        <f>IF(L187&gt;0,N187*100/L187,0)</f>
        <v>0</v>
      </c>
      <c r="P187" s="83">
        <f>IF(M187&gt;0,N187*100/M187,0)</f>
        <v>0</v>
      </c>
      <c r="Q187" s="83">
        <f>Q190+Q193</f>
        <v>0</v>
      </c>
      <c r="R187" s="83">
        <f>R190+R193</f>
        <v>0</v>
      </c>
      <c r="S187" s="83">
        <f>S190+S193</f>
        <v>0</v>
      </c>
      <c r="T187" s="83">
        <f>IF(Q187&gt;0,S187*100/Q187,0)</f>
        <v>0</v>
      </c>
      <c r="U187" s="83">
        <f>IF(R187&gt;0,S187*100/R187,0)</f>
        <v>0</v>
      </c>
    </row>
    <row r="188" spans="1:21" ht="18.75" x14ac:dyDescent="0.25">
      <c r="A188" s="128"/>
      <c r="B188" s="40"/>
      <c r="C188" s="40"/>
      <c r="D188" s="40"/>
      <c r="E188" s="47" t="s">
        <v>21</v>
      </c>
      <c r="F188" s="40"/>
      <c r="G188" s="42"/>
      <c r="H188" s="133" t="s">
        <v>14</v>
      </c>
      <c r="I188" s="44"/>
      <c r="J188" s="44"/>
      <c r="K188" s="45"/>
      <c r="L188" s="1356">
        <f ca="1">L191+L194</f>
        <v>34500</v>
      </c>
      <c r="M188" s="224">
        <f ca="1">M191+M194</f>
        <v>34500</v>
      </c>
      <c r="N188" s="224">
        <f ca="1">N191+N194</f>
        <v>2000</v>
      </c>
      <c r="O188" s="224">
        <f ca="1">IF(L188&gt;0,N188*100/L188,0)</f>
        <v>5.7971014492753623</v>
      </c>
      <c r="P188" s="224">
        <f ca="1">IF(M188&gt;0,N188*100/M188,0)</f>
        <v>5.7971014492753623</v>
      </c>
      <c r="Q188" s="224">
        <f ca="1">Q191+Q194</f>
        <v>56000</v>
      </c>
      <c r="R188" s="224">
        <f ca="1">R191+R194</f>
        <v>56000</v>
      </c>
      <c r="S188" s="224">
        <f ca="1">S191+S194</f>
        <v>0</v>
      </c>
      <c r="T188" s="224">
        <f ca="1">IF(Q188&gt;0,S188*100/Q188,0)</f>
        <v>0</v>
      </c>
      <c r="U188" s="224">
        <f ca="1">IF(R188&gt;0,S188*100/R188,0)</f>
        <v>0</v>
      </c>
    </row>
    <row r="189" spans="1:21" ht="18.75" x14ac:dyDescent="0.25">
      <c r="A189" s="128"/>
      <c r="B189" s="40"/>
      <c r="C189" s="40"/>
      <c r="D189" s="41" t="s">
        <v>22</v>
      </c>
      <c r="E189" s="40"/>
      <c r="F189" s="40"/>
      <c r="G189" s="42"/>
      <c r="H189" s="134" t="s">
        <v>14</v>
      </c>
      <c r="I189" s="135"/>
      <c r="J189" s="135"/>
      <c r="K189" s="136"/>
      <c r="L189" s="1356">
        <f ca="1">L190+L191</f>
        <v>34500</v>
      </c>
      <c r="M189" s="224">
        <f ca="1">M190+M191</f>
        <v>34500</v>
      </c>
      <c r="N189" s="224">
        <f ca="1">N190+N191</f>
        <v>2000</v>
      </c>
      <c r="O189" s="224">
        <f ca="1">IF(L189&gt;0,N189*100/L189,0)</f>
        <v>5.7971014492753623</v>
      </c>
      <c r="P189" s="224">
        <f ca="1">IF(M189&gt;0,N189*100/M189,0)</f>
        <v>5.7971014492753623</v>
      </c>
      <c r="Q189" s="224">
        <f ca="1">Q190+Q191</f>
        <v>56000</v>
      </c>
      <c r="R189" s="224">
        <f ca="1">R190+R191</f>
        <v>56000</v>
      </c>
      <c r="S189" s="224">
        <f ca="1">S190+S191</f>
        <v>0</v>
      </c>
      <c r="T189" s="224">
        <f ca="1">IF(Q189&gt;0,S189*100/Q189,0)</f>
        <v>0</v>
      </c>
      <c r="U189" s="224">
        <f ca="1">IF(R189&gt;0,S189*100/R189,0)</f>
        <v>0</v>
      </c>
    </row>
    <row r="190" spans="1:21" ht="18.75" x14ac:dyDescent="0.25">
      <c r="A190" s="128"/>
      <c r="B190" s="40"/>
      <c r="C190" s="40"/>
      <c r="D190" s="40"/>
      <c r="E190" s="156" t="s">
        <v>36</v>
      </c>
      <c r="F190" s="40"/>
      <c r="G190" s="42"/>
      <c r="H190" s="159" t="s">
        <v>14</v>
      </c>
      <c r="I190" s="135"/>
      <c r="J190" s="135"/>
      <c r="K190" s="136"/>
      <c r="L190" s="1358">
        <v>0</v>
      </c>
      <c r="M190" s="83">
        <v>0</v>
      </c>
      <c r="N190" s="83">
        <v>0</v>
      </c>
      <c r="O190" s="83">
        <f>IF(L190&gt;0,N190*100/L190,0)</f>
        <v>0</v>
      </c>
      <c r="P190" s="83">
        <f>IF(M190&gt;0,N190*100/M190,0)</f>
        <v>0</v>
      </c>
      <c r="Q190" s="83">
        <v>0</v>
      </c>
      <c r="R190" s="83">
        <v>0</v>
      </c>
      <c r="S190" s="83">
        <v>0</v>
      </c>
      <c r="T190" s="83">
        <f>IF(Q190&gt;0,S190*100/Q190,0)</f>
        <v>0</v>
      </c>
      <c r="U190" s="83">
        <f>IF(R190&gt;0,S190*100/R190,0)</f>
        <v>0</v>
      </c>
    </row>
    <row r="191" spans="1:21" ht="18.75" x14ac:dyDescent="0.25">
      <c r="A191" s="128"/>
      <c r="B191" s="40"/>
      <c r="C191" s="40"/>
      <c r="D191" s="40"/>
      <c r="E191" s="47" t="s">
        <v>37</v>
      </c>
      <c r="F191" s="40"/>
      <c r="G191" s="42"/>
      <c r="H191" s="134" t="s">
        <v>14</v>
      </c>
      <c r="I191" s="135"/>
      <c r="J191" s="135"/>
      <c r="K191" s="136"/>
      <c r="L191" s="1356">
        <f ca="1">IFERROR(__xludf.DUMMYFUNCTION("IMPORTRANGE(""https://docs.google.com/spreadsheets/d/1-uDff_7J0KD5mKrp0Vvzr7lt3OU09vwQwhkpOPPYv2Y/edit?usp=sharing"",""งบพรบ!CU28"")"),34500)</f>
        <v>34500</v>
      </c>
      <c r="M191" s="224">
        <f ca="1">IFERROR(__xludf.DUMMYFUNCTION("IMPORTRANGE(""https://docs.google.com/spreadsheets/d/1-uDff_7J0KD5mKrp0Vvzr7lt3OU09vwQwhkpOPPYv2Y/edit?usp=sharing"",""งบพรบ!CZ28"")"),34500)</f>
        <v>34500</v>
      </c>
      <c r="N191" s="224">
        <f ca="1">IFERROR(__xludf.DUMMYFUNCTION("IMPORTRANGE(""https://docs.google.com/spreadsheets/d/1-uDff_7J0KD5mKrp0Vvzr7lt3OU09vwQwhkpOPPYv2Y/edit?usp=sharing"",""งบพรบ!DB28"")"),2000)</f>
        <v>2000</v>
      </c>
      <c r="O191" s="224">
        <f ca="1">IF(L191&gt;0,N191*100/L191,0)</f>
        <v>5.7971014492753623</v>
      </c>
      <c r="P191" s="224">
        <f ca="1">IF(M191&gt;0,N191*100/M191,0)</f>
        <v>5.7971014492753623</v>
      </c>
      <c r="Q191" s="224">
        <f ca="1">IFERROR(__xludf.DUMMYFUNCTION("IMPORTRANGE(""https://docs.google.com/spreadsheets/d/1ItG2mGa2ceCfYo0BwxsXqNm01IGEUdYcSSLTEv9YCik/edit?usp=sharing"",""เบิกจ่ายกองทุน!BQ28"")"),56000)</f>
        <v>56000</v>
      </c>
      <c r="R191" s="224">
        <f ca="1">IFERROR(__xludf.DUMMYFUNCTION("IMPORTRANGE(""https://docs.google.com/spreadsheets/d/1ItG2mGa2ceCfYo0BwxsXqNm01IGEUdYcSSLTEv9YCik/edit?usp=sharing"",""เบิกจ่ายกองทุน!BR28"")"),56000)</f>
        <v>56000</v>
      </c>
      <c r="S191" s="224">
        <f ca="1">IFERROR(__xludf.DUMMYFUNCTION("IMPORTRANGE(""https://docs.google.com/spreadsheets/d/1ItG2mGa2ceCfYo0BwxsXqNm01IGEUdYcSSLTEv9YCik/edit?usp=sharing"",""เบิกจ่ายกองทุน!BS28"")"),0)</f>
        <v>0</v>
      </c>
      <c r="T191" s="224">
        <f ca="1">IF(Q191&gt;0,S191*100/Q191,0)</f>
        <v>0</v>
      </c>
      <c r="U191" s="224">
        <f ca="1">IF(R191&gt;0,S191*100/R191,0)</f>
        <v>0</v>
      </c>
    </row>
    <row r="192" spans="1:21" ht="18.75" x14ac:dyDescent="0.25">
      <c r="A192" s="128"/>
      <c r="B192" s="40"/>
      <c r="C192" s="40"/>
      <c r="D192" s="41" t="s">
        <v>23</v>
      </c>
      <c r="E192" s="40"/>
      <c r="F192" s="40"/>
      <c r="G192" s="42"/>
      <c r="H192" s="137" t="s">
        <v>14</v>
      </c>
      <c r="I192" s="135"/>
      <c r="J192" s="135"/>
      <c r="K192" s="136"/>
      <c r="L192" s="1356">
        <f ca="1">L193+L194</f>
        <v>0</v>
      </c>
      <c r="M192" s="224">
        <f ca="1">M193+M194</f>
        <v>0</v>
      </c>
      <c r="N192" s="224">
        <f ca="1">N193+N194</f>
        <v>0</v>
      </c>
      <c r="O192" s="224">
        <f ca="1">IF(L192&gt;0,N192*100/L192,0)</f>
        <v>0</v>
      </c>
      <c r="P192" s="224">
        <f ca="1">IF(M192&gt;0,N192*100/M192,0)</f>
        <v>0</v>
      </c>
      <c r="Q192" s="224">
        <f ca="1">Q193+Q194</f>
        <v>0</v>
      </c>
      <c r="R192" s="224">
        <f ca="1">R193+R194</f>
        <v>0</v>
      </c>
      <c r="S192" s="224">
        <f ca="1">S193+S194</f>
        <v>0</v>
      </c>
      <c r="T192" s="224">
        <f ca="1">IF(Q192&gt;0,S192*100/Q192,0)</f>
        <v>0</v>
      </c>
      <c r="U192" s="224">
        <f ca="1">IF(R192&gt;0,S192*100/R192,0)</f>
        <v>0</v>
      </c>
    </row>
    <row r="193" spans="1:21" ht="18.75" x14ac:dyDescent="0.25">
      <c r="A193" s="128"/>
      <c r="B193" s="40"/>
      <c r="C193" s="40"/>
      <c r="D193" s="40"/>
      <c r="E193" s="156" t="s">
        <v>20</v>
      </c>
      <c r="F193" s="40"/>
      <c r="G193" s="42"/>
      <c r="H193" s="159" t="s">
        <v>14</v>
      </c>
      <c r="I193" s="135"/>
      <c r="J193" s="135"/>
      <c r="K193" s="136"/>
      <c r="L193" s="1358">
        <v>0</v>
      </c>
      <c r="M193" s="83">
        <v>0</v>
      </c>
      <c r="N193" s="83">
        <v>0</v>
      </c>
      <c r="O193" s="83">
        <f>IF(L193&gt;0,N193*100/L193,0)</f>
        <v>0</v>
      </c>
      <c r="P193" s="83">
        <f>IF(M193&gt;0,N193*100/M193,0)</f>
        <v>0</v>
      </c>
      <c r="Q193" s="83">
        <v>0</v>
      </c>
      <c r="R193" s="83">
        <v>0</v>
      </c>
      <c r="S193" s="83">
        <v>0</v>
      </c>
      <c r="T193" s="83">
        <f>IF(Q193&gt;0,S193*100/Q193,0)</f>
        <v>0</v>
      </c>
      <c r="U193" s="83">
        <f>IF(R193&gt;0,S193*100/R193,0)</f>
        <v>0</v>
      </c>
    </row>
    <row r="194" spans="1:21" ht="18.75" x14ac:dyDescent="0.25">
      <c r="A194" s="128"/>
      <c r="B194" s="40"/>
      <c r="C194" s="40"/>
      <c r="D194" s="40"/>
      <c r="E194" s="47" t="s">
        <v>21</v>
      </c>
      <c r="F194" s="40"/>
      <c r="G194" s="42"/>
      <c r="H194" s="137" t="s">
        <v>14</v>
      </c>
      <c r="I194" s="135"/>
      <c r="J194" s="135"/>
      <c r="K194" s="136"/>
      <c r="L194" s="1356">
        <f ca="1">IFERROR(__xludf.DUMMYFUNCTION("IMPORTRANGE(""https://docs.google.com/spreadsheets/d/1-uDff_7J0KD5mKrp0Vvzr7lt3OU09vwQwhkpOPPYv2Y/edit?usp=sharing"",""งบพรบ!CX28"")"),0)</f>
        <v>0</v>
      </c>
      <c r="M194" s="224">
        <f ca="1">IFERROR(__xludf.DUMMYFUNCTION("IMPORTRANGE(""https://docs.google.com/spreadsheets/d/1-uDff_7J0KD5mKrp0Vvzr7lt3OU09vwQwhkpOPPYv2Y/edit?usp=sharing"",""งบพรบ!DA28"")"),0)</f>
        <v>0</v>
      </c>
      <c r="N194" s="224">
        <f ca="1">IFERROR(__xludf.DUMMYFUNCTION("IMPORTRANGE(""https://docs.google.com/spreadsheets/d/1-uDff_7J0KD5mKrp0Vvzr7lt3OU09vwQwhkpOPPYv2Y/edit?usp=sharing"",""งบพรบ!DC28"")"),0)</f>
        <v>0</v>
      </c>
      <c r="O194" s="224">
        <f ca="1">IF(L194&gt;0,N194*100/L194,0)</f>
        <v>0</v>
      </c>
      <c r="P194" s="224">
        <f ca="1">IF(M194&gt;0,N194*100/M194,0)</f>
        <v>0</v>
      </c>
      <c r="Q194" s="224">
        <f ca="1">IFERROR(__xludf.DUMMYFUNCTION("IMPORTRANGE(""https://docs.google.com/spreadsheets/d/1ItG2mGa2ceCfYo0BwxsXqNm01IGEUdYcSSLTEv9YCik/edit?usp=sharing"",""เบิกจ่ายกองทุน!BT28"")"),0)</f>
        <v>0</v>
      </c>
      <c r="R194" s="224">
        <f ca="1">IFERROR(__xludf.DUMMYFUNCTION("IMPORTRANGE(""https://docs.google.com/spreadsheets/d/1ItG2mGa2ceCfYo0BwxsXqNm01IGEUdYcSSLTEv9YCik/edit?usp=sharing"",""เบิกจ่ายกองทุน!BU28"")"),0)</f>
        <v>0</v>
      </c>
      <c r="S194" s="224">
        <f ca="1">IFERROR(__xludf.DUMMYFUNCTION("IMPORTRANGE(""https://docs.google.com/spreadsheets/d/1ItG2mGa2ceCfYo0BwxsXqNm01IGEUdYcSSLTEv9YCik/edit?usp=sharing"",""เบิกจ่ายกองทุน!BV28"")"),0)</f>
        <v>0</v>
      </c>
      <c r="T194" s="224">
        <f ca="1">IF(Q194&gt;0,S194*100/Q194,0)</f>
        <v>0</v>
      </c>
      <c r="U194" s="224">
        <f ca="1">IF(R194&gt;0,S194*100/R194,0)</f>
        <v>0</v>
      </c>
    </row>
    <row r="195" spans="1:21" ht="19.5" x14ac:dyDescent="0.3">
      <c r="A195" s="211"/>
      <c r="B195" s="212"/>
      <c r="C195" s="213" t="s">
        <v>78</v>
      </c>
      <c r="D195" s="214"/>
      <c r="E195" s="214"/>
      <c r="F195" s="214"/>
      <c r="G195" s="215"/>
      <c r="H195" s="216" t="s">
        <v>79</v>
      </c>
      <c r="I195" s="303">
        <f ca="1">I198</f>
        <v>4</v>
      </c>
      <c r="J195" s="303">
        <f>J198</f>
        <v>2</v>
      </c>
      <c r="K195" s="304">
        <f ca="1">IF(I195&gt;0,J195*100/I195,0)</f>
        <v>50</v>
      </c>
      <c r="L195" s="1416"/>
      <c r="M195" s="219"/>
      <c r="N195" s="219"/>
      <c r="O195" s="219"/>
      <c r="P195" s="219"/>
      <c r="Q195" s="219"/>
      <c r="R195" s="219"/>
      <c r="S195" s="219"/>
      <c r="T195" s="219"/>
      <c r="U195" s="219"/>
    </row>
    <row r="196" spans="1:21" ht="19.5" x14ac:dyDescent="0.3">
      <c r="A196" s="128"/>
      <c r="B196" s="40"/>
      <c r="C196" s="129" t="s">
        <v>18</v>
      </c>
      <c r="D196" s="1417" t="s">
        <v>19</v>
      </c>
      <c r="E196" s="40"/>
      <c r="F196" s="40"/>
      <c r="G196" s="42"/>
      <c r="H196" s="221" t="s">
        <v>14</v>
      </c>
      <c r="I196" s="44"/>
      <c r="J196" s="44"/>
      <c r="K196" s="45"/>
      <c r="L196" s="1389">
        <f ca="1">IFERROR(__xludf.DUMMYFUNCTION("IMPORTRANGE(""https://docs.google.com/spreadsheets/d/1eHaY18a8A9IcSdp1K8H6x8fbOy06t2VsZHhMHf-1x7Y/edit?usp=sharing"",""แผน!AB28"")"),6000)</f>
        <v>6000</v>
      </c>
      <c r="M196" s="45"/>
      <c r="N196" s="1418">
        <v>0</v>
      </c>
      <c r="O196" s="1390">
        <f ca="1">IF(L196&gt;0,N196*100/L196,0)</f>
        <v>0</v>
      </c>
      <c r="P196" s="1390">
        <f>IF(M196&gt;0,N196*100/M196,0)</f>
        <v>0</v>
      </c>
      <c r="Q196" s="45"/>
      <c r="R196" s="45"/>
      <c r="S196" s="45"/>
      <c r="T196" s="45"/>
      <c r="U196" s="45"/>
    </row>
    <row r="197" spans="1:21" ht="19.5" x14ac:dyDescent="0.3">
      <c r="A197" s="138"/>
      <c r="B197" s="139"/>
      <c r="C197" s="129" t="s">
        <v>18</v>
      </c>
      <c r="D197" s="1391" t="s">
        <v>38</v>
      </c>
      <c r="E197" s="141"/>
      <c r="F197" s="141"/>
      <c r="G197" s="142"/>
      <c r="H197" s="143"/>
      <c r="I197" s="44"/>
      <c r="J197" s="44"/>
      <c r="K197" s="45"/>
      <c r="L197" s="1359"/>
      <c r="M197" s="45"/>
      <c r="N197" s="45"/>
      <c r="O197" s="45"/>
      <c r="P197" s="45"/>
      <c r="Q197" s="45"/>
      <c r="R197" s="45"/>
      <c r="S197" s="45"/>
      <c r="T197" s="45"/>
      <c r="U197" s="45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84">
        <f ca="1">IFERROR(__xludf.DUMMYFUNCTION("IMPORTRANGE(""https://docs.google.com/spreadsheets/d/1eHaY18a8A9IcSdp1K8H6x8fbOy06t2VsZHhMHf-1x7Y/edit?usp=sharing"",""แผน!AE28"")"),4)</f>
        <v>4</v>
      </c>
      <c r="J198" s="1395">
        <v>2</v>
      </c>
      <c r="K198" s="224">
        <f ca="1">IF(I198&gt;0,J198*100/I198,0)</f>
        <v>50</v>
      </c>
      <c r="L198" s="1359"/>
      <c r="M198" s="45"/>
      <c r="N198" s="45"/>
      <c r="O198" s="45"/>
      <c r="P198" s="45"/>
      <c r="Q198" s="45"/>
      <c r="R198" s="45"/>
      <c r="S198" s="45"/>
      <c r="T198" s="45"/>
      <c r="U198" s="45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0" t="s">
        <v>35</v>
      </c>
      <c r="I199" s="44"/>
      <c r="J199" s="184">
        <f>J200+J201</f>
        <v>62</v>
      </c>
      <c r="K199" s="45"/>
      <c r="L199" s="1359"/>
      <c r="M199" s="45"/>
      <c r="N199" s="45"/>
      <c r="O199" s="45"/>
      <c r="P199" s="45"/>
      <c r="Q199" s="45"/>
      <c r="R199" s="45"/>
      <c r="S199" s="45"/>
      <c r="T199" s="45"/>
      <c r="U199" s="45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0" t="s">
        <v>35</v>
      </c>
      <c r="I200" s="44"/>
      <c r="J200" s="1395">
        <v>62</v>
      </c>
      <c r="K200" s="45"/>
      <c r="L200" s="1359"/>
      <c r="M200" s="45"/>
      <c r="N200" s="45"/>
      <c r="O200" s="45"/>
      <c r="P200" s="45"/>
      <c r="Q200" s="45"/>
      <c r="R200" s="45"/>
      <c r="S200" s="45"/>
      <c r="T200" s="45"/>
      <c r="U200" s="45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0" t="s">
        <v>35</v>
      </c>
      <c r="I201" s="44"/>
      <c r="J201" s="1395">
        <v>0</v>
      </c>
      <c r="K201" s="45"/>
      <c r="L201" s="1359"/>
      <c r="M201" s="45"/>
      <c r="N201" s="45"/>
      <c r="O201" s="45"/>
      <c r="P201" s="45"/>
      <c r="Q201" s="45"/>
      <c r="R201" s="45"/>
      <c r="S201" s="45"/>
      <c r="T201" s="45"/>
      <c r="U201" s="45"/>
    </row>
    <row r="202" spans="1:21" ht="19.5" x14ac:dyDescent="0.3">
      <c r="A202" s="211"/>
      <c r="B202" s="212"/>
      <c r="C202" s="213" t="s">
        <v>84</v>
      </c>
      <c r="D202" s="214"/>
      <c r="E202" s="214"/>
      <c r="F202" s="214"/>
      <c r="G202" s="215"/>
      <c r="H202" s="223" t="s">
        <v>85</v>
      </c>
      <c r="I202" s="303">
        <f ca="1">I209</f>
        <v>4</v>
      </c>
      <c r="J202" s="303">
        <f>J209</f>
        <v>0</v>
      </c>
      <c r="K202" s="304">
        <f ca="1">IF(I202&gt;0,J202*100/I202,0)</f>
        <v>0</v>
      </c>
      <c r="L202" s="1416"/>
      <c r="M202" s="219"/>
      <c r="N202" s="219"/>
      <c r="O202" s="219"/>
      <c r="P202" s="219"/>
      <c r="Q202" s="219"/>
      <c r="R202" s="219"/>
      <c r="S202" s="219"/>
      <c r="T202" s="219"/>
      <c r="U202" s="219"/>
    </row>
    <row r="203" spans="1:21" ht="19.5" x14ac:dyDescent="0.3">
      <c r="A203" s="128"/>
      <c r="B203" s="40"/>
      <c r="C203" s="129" t="s">
        <v>18</v>
      </c>
      <c r="D203" s="1417" t="s">
        <v>19</v>
      </c>
      <c r="E203" s="40"/>
      <c r="F203" s="40"/>
      <c r="G203" s="42"/>
      <c r="H203" s="221" t="s">
        <v>14</v>
      </c>
      <c r="I203" s="135"/>
      <c r="J203" s="135"/>
      <c r="K203" s="136"/>
      <c r="L203" s="1389">
        <f ca="1">L204+L205+L206+L207</f>
        <v>20000</v>
      </c>
      <c r="M203" s="45"/>
      <c r="N203" s="1390">
        <f>N204+N205+N206+N207</f>
        <v>0</v>
      </c>
      <c r="O203" s="1390">
        <f ca="1">IF(L203&gt;0,N203*100/L203,0)</f>
        <v>0</v>
      </c>
      <c r="P203" s="1390">
        <f>IF(M203&gt;0,N203*100/M203,0)</f>
        <v>0</v>
      </c>
      <c r="Q203" s="1419">
        <f ca="1">Q204+Q205+Q206+Q207</f>
        <v>56000</v>
      </c>
      <c r="R203" s="373"/>
      <c r="S203" s="1420">
        <f>S204+S205+S206+S207</f>
        <v>0</v>
      </c>
      <c r="T203" s="1420">
        <f ca="1">IF(Q203&gt;0,S203*100/Q203,0)</f>
        <v>0</v>
      </c>
      <c r="U203" s="1420">
        <f>IF(R203&gt;0,S203*100/R203,0)</f>
        <v>0</v>
      </c>
    </row>
    <row r="204" spans="1:21" ht="18.75" x14ac:dyDescent="0.25">
      <c r="A204" s="128"/>
      <c r="B204" s="158"/>
      <c r="C204" s="40"/>
      <c r="D204" s="1421" t="s">
        <v>317</v>
      </c>
      <c r="E204" s="40"/>
      <c r="F204" s="40"/>
      <c r="G204" s="42"/>
      <c r="H204" s="134" t="s">
        <v>14</v>
      </c>
      <c r="I204" s="135"/>
      <c r="J204" s="135"/>
      <c r="K204" s="136"/>
      <c r="L204" s="1356">
        <f ca="1">IFERROR(__xludf.DUMMYFUNCTION("IMPORTRANGE(""https://docs.google.com/spreadsheets/d/1eHaY18a8A9IcSdp1K8H6x8fbOy06t2VsZHhMHf-1x7Y/edit?usp=sharing"",""แผน!AG28"")"),4000)</f>
        <v>4000</v>
      </c>
      <c r="M204" s="45"/>
      <c r="N204" s="1422">
        <v>0</v>
      </c>
      <c r="O204" s="136"/>
      <c r="P204" s="45"/>
      <c r="Q204" s="1356">
        <v>0</v>
      </c>
      <c r="R204" s="45"/>
      <c r="S204" s="224">
        <v>0</v>
      </c>
      <c r="T204" s="136"/>
      <c r="U204" s="45"/>
    </row>
    <row r="205" spans="1:21" ht="18.75" x14ac:dyDescent="0.25">
      <c r="A205" s="208"/>
      <c r="B205" s="158"/>
      <c r="C205" s="40"/>
      <c r="D205" s="47" t="s">
        <v>301</v>
      </c>
      <c r="E205" s="40"/>
      <c r="F205" s="40"/>
      <c r="G205" s="42"/>
      <c r="H205" s="43" t="s">
        <v>14</v>
      </c>
      <c r="I205" s="44"/>
      <c r="J205" s="44"/>
      <c r="K205" s="45"/>
      <c r="L205" s="1356">
        <f ca="1">IFERROR(__xludf.DUMMYFUNCTION("IMPORTRANGE(""https://docs.google.com/spreadsheets/d/1eHaY18a8A9IcSdp1K8H6x8fbOy06t2VsZHhMHf-1x7Y/edit?usp=sharing"",""แผน!AH28"")"),0)</f>
        <v>0</v>
      </c>
      <c r="M205" s="45"/>
      <c r="N205" s="1422">
        <v>0</v>
      </c>
      <c r="O205" s="136"/>
      <c r="P205" s="45"/>
      <c r="Q205" s="1356">
        <v>0</v>
      </c>
      <c r="R205" s="45"/>
      <c r="S205" s="224">
        <v>0</v>
      </c>
      <c r="T205" s="136"/>
      <c r="U205" s="45"/>
    </row>
    <row r="206" spans="1:21" ht="18.75" x14ac:dyDescent="0.25">
      <c r="A206" s="208"/>
      <c r="B206" s="158"/>
      <c r="C206" s="40"/>
      <c r="D206" s="47" t="s">
        <v>88</v>
      </c>
      <c r="E206" s="40"/>
      <c r="F206" s="40"/>
      <c r="G206" s="42"/>
      <c r="H206" s="43" t="s">
        <v>14</v>
      </c>
      <c r="I206" s="44"/>
      <c r="J206" s="44"/>
      <c r="K206" s="45"/>
      <c r="L206" s="1356">
        <f ca="1">IFERROR(__xludf.DUMMYFUNCTION("IMPORTRANGE(""https://docs.google.com/spreadsheets/d/1eHaY18a8A9IcSdp1K8H6x8fbOy06t2VsZHhMHf-1x7Y/edit?usp=sharing"",""แผน!AI28"")"),0)</f>
        <v>0</v>
      </c>
      <c r="M206" s="45"/>
      <c r="N206" s="1422">
        <v>0</v>
      </c>
      <c r="O206" s="136"/>
      <c r="P206" s="45"/>
      <c r="Q206" s="1356">
        <f ca="1">IFERROR(__xludf.DUMMYFUNCTION("IMPORTRANGE(""https://docs.google.com/spreadsheets/d/1eHaY18a8A9IcSdp1K8H6x8fbOy06t2VsZHhMHf-1x7Y/edit?usp=sharing"",""แผน!LV28"")"),56000)</f>
        <v>56000</v>
      </c>
      <c r="R206" s="45"/>
      <c r="S206" s="1422">
        <v>0</v>
      </c>
      <c r="T206" s="136"/>
      <c r="U206" s="45"/>
    </row>
    <row r="207" spans="1:21" ht="18.75" x14ac:dyDescent="0.25">
      <c r="A207" s="208"/>
      <c r="B207" s="158"/>
      <c r="C207" s="40"/>
      <c r="D207" s="47" t="s">
        <v>89</v>
      </c>
      <c r="E207" s="40"/>
      <c r="F207" s="40"/>
      <c r="G207" s="42"/>
      <c r="H207" s="43" t="s">
        <v>14</v>
      </c>
      <c r="I207" s="44"/>
      <c r="J207" s="44"/>
      <c r="K207" s="45"/>
      <c r="L207" s="1356">
        <f ca="1">IFERROR(__xludf.DUMMYFUNCTION("IMPORTRANGE(""https://docs.google.com/spreadsheets/d/1eHaY18a8A9IcSdp1K8H6x8fbOy06t2VsZHhMHf-1x7Y/edit?usp=sharing"",""แผน!AJ28"")"),16000)</f>
        <v>16000</v>
      </c>
      <c r="M207" s="45"/>
      <c r="N207" s="1422">
        <v>0</v>
      </c>
      <c r="O207" s="136"/>
      <c r="P207" s="45"/>
      <c r="Q207" s="1356">
        <v>0</v>
      </c>
      <c r="R207" s="45"/>
      <c r="S207" s="224">
        <v>0</v>
      </c>
      <c r="T207" s="136"/>
      <c r="U207" s="45"/>
    </row>
    <row r="208" spans="1:21" ht="19.5" x14ac:dyDescent="0.3">
      <c r="A208" s="138"/>
      <c r="B208" s="139"/>
      <c r="C208" s="129" t="s">
        <v>18</v>
      </c>
      <c r="D208" s="1391" t="s">
        <v>38</v>
      </c>
      <c r="E208" s="141"/>
      <c r="F208" s="141"/>
      <c r="G208" s="142"/>
      <c r="H208" s="143"/>
      <c r="I208" s="135"/>
      <c r="J208" s="135"/>
      <c r="K208" s="136"/>
      <c r="L208" s="1392"/>
      <c r="M208" s="136"/>
      <c r="N208" s="136"/>
      <c r="O208" s="136"/>
      <c r="P208" s="136"/>
      <c r="Q208" s="1392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25" t="s">
        <v>85</v>
      </c>
      <c r="I209" s="184">
        <f ca="1">IFERROR(__xludf.DUMMYFUNCTION("IMPORTRANGE(""https://docs.google.com/spreadsheets/d/1eHaY18a8A9IcSdp1K8H6x8fbOy06t2VsZHhMHf-1x7Y/edit?usp=sharing"",""แผน!AK28"")"),4)</f>
        <v>4</v>
      </c>
      <c r="J209" s="1395">
        <v>0</v>
      </c>
      <c r="K209" s="1396">
        <f ca="1">IF(I209&gt;0,J209*100/I209,0)</f>
        <v>0</v>
      </c>
      <c r="L209" s="1359"/>
      <c r="M209" s="45"/>
      <c r="N209" s="45"/>
      <c r="O209" s="45"/>
      <c r="P209" s="45"/>
      <c r="Q209" s="1359"/>
      <c r="R209" s="45"/>
      <c r="S209" s="45"/>
      <c r="T209" s="45"/>
      <c r="U209" s="45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4"/>
      <c r="J210" s="44"/>
      <c r="K210" s="136"/>
      <c r="L210" s="1359"/>
      <c r="M210" s="45"/>
      <c r="N210" s="45"/>
      <c r="O210" s="45"/>
      <c r="P210" s="45"/>
      <c r="Q210" s="1359"/>
      <c r="R210" s="45"/>
      <c r="S210" s="45"/>
      <c r="T210" s="45"/>
      <c r="U210" s="45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25" t="s">
        <v>85</v>
      </c>
      <c r="I211" s="184">
        <f ca="1">IFERROR(__xludf.DUMMYFUNCTION("IMPORTRANGE(""https://docs.google.com/spreadsheets/d/1eHaY18a8A9IcSdp1K8H6x8fbOy06t2VsZHhMHf-1x7Y/edit?usp=sharing"",""แผน!JX28"")"),4)</f>
        <v>4</v>
      </c>
      <c r="J211" s="1395">
        <v>0</v>
      </c>
      <c r="K211" s="1396">
        <f ca="1">IF(I211&gt;0,J211*100/I211,0)</f>
        <v>0</v>
      </c>
      <c r="L211" s="1359"/>
      <c r="M211" s="45"/>
      <c r="N211" s="45"/>
      <c r="O211" s="45"/>
      <c r="P211" s="45"/>
      <c r="Q211" s="1359"/>
      <c r="R211" s="45"/>
      <c r="S211" s="45"/>
      <c r="T211" s="45"/>
      <c r="U211" s="45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84">
        <f ca="1">IFERROR(__xludf.DUMMYFUNCTION("IMPORTRANGE(""https://docs.google.com/spreadsheets/d/1eHaY18a8A9IcSdp1K8H6x8fbOy06t2VsZHhMHf-1x7Y/edit?usp=sharing"",""แผน!JY28"")"),0)</f>
        <v>0</v>
      </c>
      <c r="J212" s="1395">
        <v>0</v>
      </c>
      <c r="K212" s="1396">
        <f ca="1">IF(I212&gt;0,J212*100/I212,0)</f>
        <v>0</v>
      </c>
      <c r="L212" s="1359"/>
      <c r="M212" s="45"/>
      <c r="N212" s="45"/>
      <c r="O212" s="45"/>
      <c r="P212" s="45"/>
      <c r="Q212" s="1359"/>
      <c r="R212" s="45"/>
      <c r="S212" s="45"/>
      <c r="T212" s="45"/>
      <c r="U212" s="45"/>
    </row>
    <row r="213" spans="1:21" ht="19.5" x14ac:dyDescent="0.3">
      <c r="A213" s="211"/>
      <c r="B213" s="212"/>
      <c r="C213" s="213" t="s">
        <v>94</v>
      </c>
      <c r="D213" s="214"/>
      <c r="E213" s="214"/>
      <c r="F213" s="214"/>
      <c r="G213" s="215"/>
      <c r="H213" s="223" t="s">
        <v>85</v>
      </c>
      <c r="I213" s="303">
        <f ca="1">I220</f>
        <v>0</v>
      </c>
      <c r="J213" s="303">
        <f>J220</f>
        <v>0</v>
      </c>
      <c r="K213" s="304">
        <f ca="1">IF(I213&gt;0,J213*100/I213,0)</f>
        <v>0</v>
      </c>
      <c r="L213" s="1416"/>
      <c r="M213" s="219"/>
      <c r="N213" s="219"/>
      <c r="O213" s="219"/>
      <c r="P213" s="219"/>
      <c r="Q213" s="1416"/>
      <c r="R213" s="219"/>
      <c r="S213" s="219"/>
      <c r="T213" s="219"/>
      <c r="U213" s="219"/>
    </row>
    <row r="214" spans="1:21" ht="19.5" x14ac:dyDescent="0.3">
      <c r="A214" s="128"/>
      <c r="B214" s="40"/>
      <c r="C214" s="129" t="s">
        <v>18</v>
      </c>
      <c r="D214" s="1417" t="s">
        <v>19</v>
      </c>
      <c r="E214" s="40"/>
      <c r="F214" s="40"/>
      <c r="G214" s="42"/>
      <c r="H214" s="221" t="s">
        <v>14</v>
      </c>
      <c r="I214" s="135"/>
      <c r="J214" s="135"/>
      <c r="K214" s="136"/>
      <c r="L214" s="1389">
        <f ca="1">L215+L216+L217</f>
        <v>0</v>
      </c>
      <c r="M214" s="45"/>
      <c r="N214" s="1390">
        <f>N215+N216+N217</f>
        <v>0</v>
      </c>
      <c r="O214" s="1390">
        <f ca="1">IF(L214&gt;0,N214*100/L214,0)</f>
        <v>0</v>
      </c>
      <c r="P214" s="1390">
        <f>IF(M214&gt;0,N214*100/M214,0)</f>
        <v>0</v>
      </c>
      <c r="Q214" s="1389">
        <f ca="1">Q215+Q216+Q217</f>
        <v>0</v>
      </c>
      <c r="R214" s="45"/>
      <c r="S214" s="1390">
        <f>S215+S216+S217</f>
        <v>229220</v>
      </c>
      <c r="T214" s="1390">
        <f ca="1">IF(Q214&gt;0,S214*100/Q214,0)</f>
        <v>0</v>
      </c>
      <c r="U214" s="1390">
        <f>IF(R214&gt;0,S214*100/R214,0)</f>
        <v>0</v>
      </c>
    </row>
    <row r="215" spans="1:21" ht="18.75" x14ac:dyDescent="0.25">
      <c r="A215" s="128"/>
      <c r="B215" s="158"/>
      <c r="C215" s="40"/>
      <c r="D215" s="47" t="s">
        <v>86</v>
      </c>
      <c r="E215" s="40"/>
      <c r="F215" s="40"/>
      <c r="G215" s="42"/>
      <c r="H215" s="134" t="s">
        <v>14</v>
      </c>
      <c r="I215" s="135"/>
      <c r="J215" s="135"/>
      <c r="K215" s="136"/>
      <c r="L215" s="1356">
        <f ca="1">IFERROR(__xludf.DUMMYFUNCTION("IMPORTRANGE(""https://docs.google.com/spreadsheets/d/1eHaY18a8A9IcSdp1K8H6x8fbOy06t2VsZHhMHf-1x7Y/edit?usp=sharing"",""แผน!AM28"")"),0)</f>
        <v>0</v>
      </c>
      <c r="M215" s="45"/>
      <c r="N215" s="1422">
        <v>0</v>
      </c>
      <c r="O215" s="136"/>
      <c r="P215" s="45"/>
      <c r="Q215" s="1356">
        <v>0</v>
      </c>
      <c r="R215" s="45"/>
      <c r="S215" s="224">
        <v>0</v>
      </c>
      <c r="T215" s="136"/>
      <c r="U215" s="45"/>
    </row>
    <row r="216" spans="1:21" ht="18.75" x14ac:dyDescent="0.25">
      <c r="A216" s="208"/>
      <c r="B216" s="158"/>
      <c r="C216" s="158"/>
      <c r="D216" s="47" t="s">
        <v>95</v>
      </c>
      <c r="E216" s="40"/>
      <c r="F216" s="40"/>
      <c r="G216" s="42"/>
      <c r="H216" s="134" t="s">
        <v>14</v>
      </c>
      <c r="I216" s="44"/>
      <c r="J216" s="44"/>
      <c r="K216" s="45"/>
      <c r="L216" s="1356">
        <f ca="1">IFERROR(__xludf.DUMMYFUNCTION("IMPORTRANGE(""https://docs.google.com/spreadsheets/d/1eHaY18a8A9IcSdp1K8H6x8fbOy06t2VsZHhMHf-1x7Y/edit?usp=sharing"",""แผน!AN28"")"),0)</f>
        <v>0</v>
      </c>
      <c r="M216" s="45"/>
      <c r="N216" s="1422">
        <v>0</v>
      </c>
      <c r="O216" s="136"/>
      <c r="P216" s="45"/>
      <c r="Q216" s="1356">
        <v>0</v>
      </c>
      <c r="R216" s="45"/>
      <c r="S216" s="224">
        <v>0</v>
      </c>
      <c r="T216" s="136"/>
      <c r="U216" s="45"/>
    </row>
    <row r="217" spans="1:21" ht="18.75" x14ac:dyDescent="0.25">
      <c r="A217" s="208"/>
      <c r="B217" s="158"/>
      <c r="C217" s="158"/>
      <c r="D217" s="47" t="s">
        <v>88</v>
      </c>
      <c r="E217" s="40"/>
      <c r="F217" s="40"/>
      <c r="G217" s="42"/>
      <c r="H217" s="134" t="s">
        <v>14</v>
      </c>
      <c r="I217" s="44"/>
      <c r="J217" s="44"/>
      <c r="K217" s="45"/>
      <c r="L217" s="1356">
        <f ca="1">IFERROR(__xludf.DUMMYFUNCTION("IMPORTRANGE(""https://docs.google.com/spreadsheets/d/1eHaY18a8A9IcSdp1K8H6x8fbOy06t2VsZHhMHf-1x7Y/edit?usp=sharing"",""แผน!AO28"")"),0)</f>
        <v>0</v>
      </c>
      <c r="M217" s="45"/>
      <c r="N217" s="1422">
        <v>0</v>
      </c>
      <c r="O217" s="136"/>
      <c r="P217" s="45"/>
      <c r="Q217" s="1356">
        <f ca="1">IFERROR(__xludf.DUMMYFUNCTION("IMPORTRANGE(""https://docs.google.com/spreadsheets/d/1eHaY18a8A9IcSdp1K8H6x8fbOy06t2VsZHhMHf-1x7Y/edit?usp=sharing"",""แผน!LY28"")"),0)</f>
        <v>0</v>
      </c>
      <c r="R217" s="45"/>
      <c r="S217" s="1422">
        <v>229220</v>
      </c>
      <c r="T217" s="136"/>
      <c r="U217" s="45"/>
    </row>
    <row r="218" spans="1:21" ht="19.5" x14ac:dyDescent="0.3">
      <c r="A218" s="138"/>
      <c r="B218" s="139"/>
      <c r="C218" s="161" t="s">
        <v>18</v>
      </c>
      <c r="D218" s="1391" t="s">
        <v>38</v>
      </c>
      <c r="E218" s="141"/>
      <c r="F218" s="141"/>
      <c r="G218" s="142"/>
      <c r="H218" s="143"/>
      <c r="I218" s="135"/>
      <c r="J218" s="44"/>
      <c r="K218" s="45"/>
      <c r="L218" s="1359"/>
      <c r="M218" s="45"/>
      <c r="N218" s="45"/>
      <c r="O218" s="136"/>
      <c r="P218" s="136"/>
      <c r="Q218" s="1359"/>
      <c r="R218" s="45"/>
      <c r="S218" s="45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25" t="s">
        <v>85</v>
      </c>
      <c r="I219" s="184">
        <f ca="1">IFERROR(__xludf.DUMMYFUNCTION("IMPORTRANGE(""https://docs.google.com/spreadsheets/d/1eHaY18a8A9IcSdp1K8H6x8fbOy06t2VsZHhMHf-1x7Y/edit?usp=sharing"",""แผน!AP28"")"),0)</f>
        <v>0</v>
      </c>
      <c r="J219" s="1395">
        <v>0</v>
      </c>
      <c r="K219" s="224">
        <f ca="1">IF(I219&gt;0,J219*100/I219,0)</f>
        <v>0</v>
      </c>
      <c r="L219" s="1359"/>
      <c r="M219" s="45"/>
      <c r="N219" s="45"/>
      <c r="O219" s="45"/>
      <c r="P219" s="45"/>
      <c r="Q219" s="1359"/>
      <c r="R219" s="45"/>
      <c r="S219" s="45"/>
      <c r="T219" s="45"/>
      <c r="U219" s="45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25" t="s">
        <v>85</v>
      </c>
      <c r="I220" s="184">
        <f ca="1">IFERROR(__xludf.DUMMYFUNCTION("IMPORTRANGE(""https://docs.google.com/spreadsheets/d/1eHaY18a8A9IcSdp1K8H6x8fbOy06t2VsZHhMHf-1x7Y/edit?usp=sharing"",""แผน!AP28"")"),0)</f>
        <v>0</v>
      </c>
      <c r="J220" s="1395">
        <v>0</v>
      </c>
      <c r="K220" s="224">
        <f ca="1">IF(I220&gt;0,J220*100/I220,0)</f>
        <v>0</v>
      </c>
      <c r="L220" s="1359"/>
      <c r="M220" s="45"/>
      <c r="N220" s="45"/>
      <c r="O220" s="45"/>
      <c r="P220" s="45"/>
      <c r="Q220" s="1359"/>
      <c r="R220" s="45"/>
      <c r="S220" s="45"/>
      <c r="T220" s="45"/>
      <c r="U220" s="45"/>
    </row>
    <row r="221" spans="1:21" ht="19.5" x14ac:dyDescent="0.3">
      <c r="A221" s="211"/>
      <c r="B221" s="212"/>
      <c r="C221" s="213" t="s">
        <v>98</v>
      </c>
      <c r="D221" s="214"/>
      <c r="E221" s="214"/>
      <c r="F221" s="214"/>
      <c r="G221" s="215"/>
      <c r="H221" s="216" t="s">
        <v>99</v>
      </c>
      <c r="I221" s="303">
        <f ca="1">I229</f>
        <v>50000</v>
      </c>
      <c r="J221" s="303">
        <f>J229</f>
        <v>0</v>
      </c>
      <c r="K221" s="304">
        <f ca="1">IF(I221&gt;0,J221*100/I221,0)</f>
        <v>0</v>
      </c>
      <c r="L221" s="1416"/>
      <c r="M221" s="219"/>
      <c r="N221" s="219"/>
      <c r="O221" s="219"/>
      <c r="P221" s="219"/>
      <c r="Q221" s="219"/>
      <c r="R221" s="219"/>
      <c r="S221" s="219"/>
      <c r="T221" s="219"/>
      <c r="U221" s="219"/>
    </row>
    <row r="222" spans="1:21" ht="19.5" x14ac:dyDescent="0.3">
      <c r="A222" s="128"/>
      <c r="B222" s="40"/>
      <c r="C222" s="129" t="s">
        <v>18</v>
      </c>
      <c r="D222" s="1417" t="s">
        <v>19</v>
      </c>
      <c r="E222" s="40"/>
      <c r="F222" s="40"/>
      <c r="G222" s="42"/>
      <c r="H222" s="221" t="s">
        <v>14</v>
      </c>
      <c r="I222" s="135"/>
      <c r="J222" s="135"/>
      <c r="K222" s="136"/>
      <c r="L222" s="1389">
        <f ca="1">L223+L224+L225</f>
        <v>8500</v>
      </c>
      <c r="M222" s="45"/>
      <c r="N222" s="1390">
        <f>N223+N224+N225</f>
        <v>0</v>
      </c>
      <c r="O222" s="1390">
        <f ca="1">IF(L222&gt;0,N222*100/L222,0)</f>
        <v>0</v>
      </c>
      <c r="P222" s="1390">
        <f>IF(M222&gt;0,N222*100/M222,0)</f>
        <v>0</v>
      </c>
      <c r="Q222" s="45"/>
      <c r="R222" s="45"/>
      <c r="S222" s="45"/>
      <c r="T222" s="45"/>
      <c r="U222" s="45"/>
    </row>
    <row r="223" spans="1:21" ht="18.75" x14ac:dyDescent="0.25">
      <c r="A223" s="128"/>
      <c r="B223" s="158"/>
      <c r="C223" s="40"/>
      <c r="D223" s="1421" t="s">
        <v>302</v>
      </c>
      <c r="E223" s="40"/>
      <c r="F223" s="40"/>
      <c r="G223" s="42"/>
      <c r="H223" s="134" t="s">
        <v>14</v>
      </c>
      <c r="I223" s="135"/>
      <c r="J223" s="135"/>
      <c r="K223" s="136"/>
      <c r="L223" s="1356">
        <f ca="1">IFERROR(__xludf.DUMMYFUNCTION("IMPORTRANGE(""https://docs.google.com/spreadsheets/d/1eHaY18a8A9IcSdp1K8H6x8fbOy06t2VsZHhMHf-1x7Y/edit?usp=sharing"",""แผน!AR28"")"),2500)</f>
        <v>2500</v>
      </c>
      <c r="M223" s="45"/>
      <c r="N223" s="1422">
        <v>0</v>
      </c>
      <c r="O223" s="136"/>
      <c r="P223" s="45"/>
      <c r="Q223" s="45"/>
      <c r="R223" s="45"/>
      <c r="S223" s="45"/>
      <c r="T223" s="136"/>
      <c r="U223" s="45"/>
    </row>
    <row r="224" spans="1:21" ht="18.75" x14ac:dyDescent="0.25">
      <c r="A224" s="208"/>
      <c r="B224" s="158"/>
      <c r="C224" s="158"/>
      <c r="D224" s="47" t="s">
        <v>301</v>
      </c>
      <c r="E224" s="40"/>
      <c r="F224" s="40"/>
      <c r="G224" s="42"/>
      <c r="H224" s="134" t="s">
        <v>14</v>
      </c>
      <c r="I224" s="44"/>
      <c r="J224" s="44"/>
      <c r="K224" s="45"/>
      <c r="L224" s="1356">
        <f ca="1">IFERROR(__xludf.DUMMYFUNCTION("IMPORTRANGE(""https://docs.google.com/spreadsheets/d/1eHaY18a8A9IcSdp1K8H6x8fbOy06t2VsZHhMHf-1x7Y/edit?usp=sharing"",""แผน!AS28"")"),6000)</f>
        <v>6000</v>
      </c>
      <c r="M224" s="45"/>
      <c r="N224" s="1422">
        <v>0</v>
      </c>
      <c r="O224" s="136"/>
      <c r="P224" s="45"/>
      <c r="Q224" s="45"/>
      <c r="R224" s="45"/>
      <c r="S224" s="45"/>
      <c r="T224" s="136"/>
      <c r="U224" s="45"/>
    </row>
    <row r="225" spans="1:21" ht="18.75" x14ac:dyDescent="0.25">
      <c r="A225" s="208"/>
      <c r="B225" s="158"/>
      <c r="C225" s="158"/>
      <c r="D225" s="47" t="s">
        <v>88</v>
      </c>
      <c r="E225" s="40"/>
      <c r="F225" s="40"/>
      <c r="G225" s="42"/>
      <c r="H225" s="134" t="s">
        <v>14</v>
      </c>
      <c r="I225" s="44"/>
      <c r="J225" s="44"/>
      <c r="K225" s="45"/>
      <c r="L225" s="1356">
        <f ca="1">IFERROR(__xludf.DUMMYFUNCTION("IMPORTRANGE(""https://docs.google.com/spreadsheets/d/1eHaY18a8A9IcSdp1K8H6x8fbOy06t2VsZHhMHf-1x7Y/edit?usp=sharing"",""แผน!AT28"")"),0)</f>
        <v>0</v>
      </c>
      <c r="M225" s="45"/>
      <c r="N225" s="1422">
        <v>0</v>
      </c>
      <c r="O225" s="136"/>
      <c r="P225" s="45"/>
      <c r="Q225" s="45"/>
      <c r="R225" s="45"/>
      <c r="S225" s="45"/>
      <c r="T225" s="136"/>
      <c r="U225" s="45"/>
    </row>
    <row r="226" spans="1:21" ht="19.5" x14ac:dyDescent="0.3">
      <c r="A226" s="138"/>
      <c r="B226" s="139"/>
      <c r="C226" s="161" t="s">
        <v>18</v>
      </c>
      <c r="D226" s="1391" t="s">
        <v>38</v>
      </c>
      <c r="E226" s="141"/>
      <c r="F226" s="141"/>
      <c r="G226" s="142"/>
      <c r="H226" s="143"/>
      <c r="I226" s="135"/>
      <c r="J226" s="135"/>
      <c r="K226" s="136"/>
      <c r="L226" s="1392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7" t="s">
        <v>101</v>
      </c>
      <c r="E227" s="145"/>
      <c r="F227" s="145"/>
      <c r="G227" s="143"/>
      <c r="H227" s="143"/>
      <c r="I227" s="44"/>
      <c r="J227" s="44"/>
      <c r="K227" s="136"/>
      <c r="L227" s="1392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84">
        <f ca="1">IFERROR(__xludf.DUMMYFUNCTION("IMPORTRANGE(""https://docs.google.com/spreadsheets/d/1eHaY18a8A9IcSdp1K8H6x8fbOy06t2VsZHhMHf-1x7Y/edit?usp=sharing"",""แผน!AV28"")"),50000)</f>
        <v>50000</v>
      </c>
      <c r="J228" s="1395">
        <v>50000</v>
      </c>
      <c r="K228" s="1396">
        <f ca="1">IF(I228&gt;0,J228*100/I228,0)</f>
        <v>100</v>
      </c>
      <c r="L228" s="1392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84">
        <f ca="1">IFERROR(__xludf.DUMMYFUNCTION("IMPORTRANGE(""https://docs.google.com/spreadsheets/d/1eHaY18a8A9IcSdp1K8H6x8fbOy06t2VsZHhMHf-1x7Y/edit?usp=sharing"",""แผน!AV28"")"),50000)</f>
        <v>50000</v>
      </c>
      <c r="J229" s="1395">
        <v>0</v>
      </c>
      <c r="K229" s="1396">
        <f ca="1">IF(I229&gt;0,J229*100/I229,0)</f>
        <v>0</v>
      </c>
      <c r="L229" s="1359"/>
      <c r="M229" s="45"/>
      <c r="N229" s="45"/>
      <c r="O229" s="45"/>
      <c r="P229" s="45"/>
      <c r="Q229" s="45"/>
      <c r="R229" s="45"/>
      <c r="S229" s="45"/>
      <c r="T229" s="45"/>
      <c r="U229" s="45"/>
    </row>
    <row r="230" spans="1:21" ht="18.75" x14ac:dyDescent="0.25">
      <c r="A230" s="138"/>
      <c r="B230" s="139"/>
      <c r="C230" s="139"/>
      <c r="D230" s="47" t="s">
        <v>104</v>
      </c>
      <c r="E230" s="145"/>
      <c r="F230" s="145"/>
      <c r="G230" s="143"/>
      <c r="H230" s="150" t="s">
        <v>35</v>
      </c>
      <c r="I230" s="184">
        <f ca="1">IFERROR(__xludf.DUMMYFUNCTION("IMPORTRANGE(""https://docs.google.com/spreadsheets/d/1eHaY18a8A9IcSdp1K8H6x8fbOy06t2VsZHhMHf-1x7Y/edit?usp=sharing"",""แผน!AU28"")"),0)</f>
        <v>0</v>
      </c>
      <c r="J230" s="1395">
        <v>0</v>
      </c>
      <c r="K230" s="1396">
        <f ca="1">IF(I230&gt;0,J230*100/I230,0)</f>
        <v>0</v>
      </c>
      <c r="L230" s="1359"/>
      <c r="M230" s="45"/>
      <c r="N230" s="45"/>
      <c r="O230" s="45"/>
      <c r="P230" s="45"/>
      <c r="Q230" s="45"/>
      <c r="R230" s="45"/>
      <c r="S230" s="45"/>
      <c r="T230" s="45"/>
      <c r="U230" s="45"/>
    </row>
    <row r="231" spans="1:21" ht="19.5" x14ac:dyDescent="0.3">
      <c r="A231" s="211"/>
      <c r="B231" s="212"/>
      <c r="C231" s="213" t="s">
        <v>105</v>
      </c>
      <c r="D231" s="214"/>
      <c r="E231" s="214"/>
      <c r="F231" s="214"/>
      <c r="G231" s="215"/>
      <c r="H231" s="216" t="s">
        <v>35</v>
      </c>
      <c r="I231" s="303">
        <f ca="1">I242+I253</f>
        <v>0</v>
      </c>
      <c r="J231" s="303">
        <f>J242+J253</f>
        <v>0</v>
      </c>
      <c r="K231" s="304">
        <f ca="1">IF(I231&gt;0,J231*100/I231,0)</f>
        <v>0</v>
      </c>
      <c r="L231" s="1416"/>
      <c r="M231" s="219"/>
      <c r="N231" s="219"/>
      <c r="O231" s="219"/>
      <c r="P231" s="219"/>
      <c r="Q231" s="219"/>
      <c r="R231" s="219"/>
      <c r="S231" s="219"/>
      <c r="T231" s="219"/>
      <c r="U231" s="219"/>
    </row>
    <row r="232" spans="1:21" ht="19.5" x14ac:dyDescent="0.3">
      <c r="A232" s="128"/>
      <c r="B232" s="40"/>
      <c r="C232" s="129" t="s">
        <v>18</v>
      </c>
      <c r="D232" s="1388" t="s">
        <v>19</v>
      </c>
      <c r="E232" s="40"/>
      <c r="F232" s="40"/>
      <c r="G232" s="42"/>
      <c r="H232" s="221" t="s">
        <v>14</v>
      </c>
      <c r="I232" s="135"/>
      <c r="J232" s="135"/>
      <c r="K232" s="136"/>
      <c r="L232" s="1423">
        <f ca="1">L243+L254</f>
        <v>0</v>
      </c>
      <c r="M232" s="45"/>
      <c r="N232" s="1424">
        <f>N243+N254</f>
        <v>0</v>
      </c>
      <c r="O232" s="45"/>
      <c r="P232" s="45"/>
      <c r="Q232" s="45"/>
      <c r="R232" s="45"/>
      <c r="S232" s="45"/>
      <c r="T232" s="45"/>
      <c r="U232" s="45"/>
    </row>
    <row r="233" spans="1:21" ht="18.75" x14ac:dyDescent="0.25">
      <c r="A233" s="128"/>
      <c r="B233" s="158"/>
      <c r="C233" s="40"/>
      <c r="D233" s="47" t="s">
        <v>86</v>
      </c>
      <c r="E233" s="40"/>
      <c r="F233" s="40"/>
      <c r="G233" s="42"/>
      <c r="H233" s="134" t="s">
        <v>14</v>
      </c>
      <c r="I233" s="135"/>
      <c r="J233" s="135"/>
      <c r="K233" s="136"/>
      <c r="L233" s="1358">
        <f ca="1">L244+L255</f>
        <v>0</v>
      </c>
      <c r="M233" s="45"/>
      <c r="N233" s="83">
        <f>N244+N255</f>
        <v>0</v>
      </c>
      <c r="O233" s="45"/>
      <c r="P233" s="45"/>
      <c r="Q233" s="46">
        <v>0</v>
      </c>
      <c r="R233" s="46">
        <v>0</v>
      </c>
      <c r="S233" s="46">
        <v>0</v>
      </c>
      <c r="T233" s="45"/>
      <c r="U233" s="45"/>
    </row>
    <row r="234" spans="1:21" ht="18.75" x14ac:dyDescent="0.25">
      <c r="A234" s="208"/>
      <c r="B234" s="158"/>
      <c r="C234" s="158"/>
      <c r="D234" s="47" t="s">
        <v>88</v>
      </c>
      <c r="E234" s="40"/>
      <c r="F234" s="40"/>
      <c r="G234" s="42"/>
      <c r="H234" s="134" t="s">
        <v>14</v>
      </c>
      <c r="I234" s="44"/>
      <c r="J234" s="44"/>
      <c r="K234" s="45"/>
      <c r="L234" s="1358">
        <f ca="1">L245+L256</f>
        <v>0</v>
      </c>
      <c r="M234" s="45"/>
      <c r="N234" s="83">
        <f>N245+N256</f>
        <v>0</v>
      </c>
      <c r="O234" s="45"/>
      <c r="P234" s="45"/>
      <c r="Q234" s="46">
        <v>0</v>
      </c>
      <c r="R234" s="46">
        <v>0</v>
      </c>
      <c r="S234" s="46">
        <v>0</v>
      </c>
      <c r="T234" s="45"/>
      <c r="U234" s="45"/>
    </row>
    <row r="235" spans="1:21" ht="18.75" x14ac:dyDescent="0.25">
      <c r="A235" s="208"/>
      <c r="B235" s="158"/>
      <c r="C235" s="158"/>
      <c r="D235" s="47" t="s">
        <v>106</v>
      </c>
      <c r="E235" s="40"/>
      <c r="F235" s="40"/>
      <c r="G235" s="42"/>
      <c r="H235" s="134" t="s">
        <v>14</v>
      </c>
      <c r="I235" s="44"/>
      <c r="J235" s="44"/>
      <c r="K235" s="45"/>
      <c r="L235" s="1358">
        <f ca="1">L246+L257</f>
        <v>0</v>
      </c>
      <c r="M235" s="45"/>
      <c r="N235" s="83">
        <f>N246+N257</f>
        <v>0</v>
      </c>
      <c r="O235" s="45"/>
      <c r="P235" s="45"/>
      <c r="Q235" s="46">
        <v>0</v>
      </c>
      <c r="R235" s="46">
        <v>0</v>
      </c>
      <c r="S235" s="46">
        <v>0</v>
      </c>
      <c r="T235" s="45"/>
      <c r="U235" s="45"/>
    </row>
    <row r="236" spans="1:21" ht="18.75" x14ac:dyDescent="0.25">
      <c r="A236" s="208"/>
      <c r="B236" s="158"/>
      <c r="C236" s="158"/>
      <c r="D236" s="47" t="s">
        <v>107</v>
      </c>
      <c r="E236" s="40"/>
      <c r="F236" s="40"/>
      <c r="G236" s="42"/>
      <c r="H236" s="134" t="s">
        <v>14</v>
      </c>
      <c r="I236" s="44"/>
      <c r="J236" s="44"/>
      <c r="K236" s="45"/>
      <c r="L236" s="1358">
        <f ca="1">L247+L258</f>
        <v>0</v>
      </c>
      <c r="M236" s="45"/>
      <c r="N236" s="83">
        <f>N247+N258</f>
        <v>0</v>
      </c>
      <c r="O236" s="45"/>
      <c r="P236" s="45"/>
      <c r="Q236" s="46">
        <v>0</v>
      </c>
      <c r="R236" s="46">
        <v>0</v>
      </c>
      <c r="S236" s="46">
        <v>0</v>
      </c>
      <c r="T236" s="45"/>
      <c r="U236" s="45"/>
    </row>
    <row r="237" spans="1:21" ht="19.5" x14ac:dyDescent="0.3">
      <c r="A237" s="138"/>
      <c r="B237" s="139"/>
      <c r="C237" s="161" t="s">
        <v>18</v>
      </c>
      <c r="D237" s="1391" t="s">
        <v>38</v>
      </c>
      <c r="E237" s="141"/>
      <c r="F237" s="141"/>
      <c r="G237" s="142"/>
      <c r="H237" s="143"/>
      <c r="I237" s="135"/>
      <c r="J237" s="44"/>
      <c r="K237" s="45"/>
      <c r="L237" s="1359"/>
      <c r="M237" s="45"/>
      <c r="N237" s="45"/>
      <c r="O237" s="136"/>
      <c r="P237" s="136"/>
      <c r="Q237" s="45"/>
      <c r="R237" s="45"/>
      <c r="S237" s="45"/>
      <c r="T237" s="136"/>
      <c r="U237" s="136"/>
    </row>
    <row r="238" spans="1:21" ht="18.75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84">
        <f ca="1">I249+I260</f>
        <v>0</v>
      </c>
      <c r="J238" s="184">
        <f>J249+J260</f>
        <v>0</v>
      </c>
      <c r="K238" s="224">
        <f ca="1">IF(I238&gt;0,J238*100/I238,0)</f>
        <v>0</v>
      </c>
      <c r="L238" s="1359"/>
      <c r="M238" s="45"/>
      <c r="N238" s="45"/>
      <c r="O238" s="45"/>
      <c r="P238" s="45"/>
      <c r="Q238" s="45"/>
      <c r="R238" s="45"/>
      <c r="S238" s="45"/>
      <c r="T238" s="45"/>
      <c r="U238" s="45"/>
    </row>
    <row r="239" spans="1:21" ht="18.75" x14ac:dyDescent="0.25">
      <c r="A239" s="138"/>
      <c r="B239" s="139"/>
      <c r="C239" s="139"/>
      <c r="D239" s="234" t="s">
        <v>43</v>
      </c>
      <c r="E239" s="145"/>
      <c r="F239" s="145"/>
      <c r="G239" s="143"/>
      <c r="H239" s="143"/>
      <c r="I239" s="44"/>
      <c r="J239" s="44"/>
      <c r="K239" s="45"/>
      <c r="L239" s="1359"/>
      <c r="M239" s="45"/>
      <c r="N239" s="45"/>
      <c r="O239" s="136"/>
      <c r="P239" s="136"/>
      <c r="Q239" s="45"/>
      <c r="R239" s="45"/>
      <c r="S239" s="45"/>
      <c r="T239" s="136"/>
      <c r="U239" s="136"/>
    </row>
    <row r="240" spans="1:21" ht="18.75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84">
        <f>I251+I262</f>
        <v>0</v>
      </c>
      <c r="J240" s="184">
        <f>J251+J262</f>
        <v>0</v>
      </c>
      <c r="K240" s="224">
        <f>IF(I240&gt;0,J240*100/I240,0)</f>
        <v>0</v>
      </c>
      <c r="L240" s="1359"/>
      <c r="M240" s="45"/>
      <c r="N240" s="45"/>
      <c r="O240" s="45"/>
      <c r="P240" s="45"/>
      <c r="Q240" s="45"/>
      <c r="R240" s="45"/>
      <c r="S240" s="45"/>
      <c r="T240" s="45"/>
      <c r="U240" s="45"/>
    </row>
    <row r="241" spans="1:21" ht="18.75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84">
        <f>I252+I263</f>
        <v>0</v>
      </c>
      <c r="J241" s="184">
        <f>J252+J263</f>
        <v>0</v>
      </c>
      <c r="K241" s="224">
        <f>IF(I241&gt;0,J241*100/I241,0)</f>
        <v>0</v>
      </c>
      <c r="L241" s="1359"/>
      <c r="M241" s="45"/>
      <c r="N241" s="45"/>
      <c r="O241" s="45"/>
      <c r="P241" s="45"/>
      <c r="Q241" s="45"/>
      <c r="R241" s="45"/>
      <c r="S241" s="45"/>
      <c r="T241" s="45"/>
      <c r="U241" s="45"/>
    </row>
    <row r="242" spans="1:21" ht="19.5" x14ac:dyDescent="0.3">
      <c r="A242" s="211"/>
      <c r="B242" s="212"/>
      <c r="C242" s="1429" t="s">
        <v>111</v>
      </c>
      <c r="D242" s="214"/>
      <c r="E242" s="214"/>
      <c r="F242" s="214"/>
      <c r="G242" s="215"/>
      <c r="H242" s="1430" t="s">
        <v>35</v>
      </c>
      <c r="I242" s="1431">
        <f ca="1">I249</f>
        <v>0</v>
      </c>
      <c r="J242" s="1431">
        <f>J249</f>
        <v>0</v>
      </c>
      <c r="K242" s="1432">
        <f ca="1">IF(I242&gt;0,J242*100/I242,0)</f>
        <v>0</v>
      </c>
      <c r="L242" s="1416"/>
      <c r="M242" s="219"/>
      <c r="N242" s="219"/>
      <c r="O242" s="219"/>
      <c r="P242" s="219"/>
      <c r="Q242" s="219"/>
      <c r="R242" s="219"/>
      <c r="S242" s="219"/>
      <c r="T242" s="219"/>
      <c r="U242" s="219"/>
    </row>
    <row r="243" spans="1:21" ht="19.5" x14ac:dyDescent="0.3">
      <c r="A243" s="128"/>
      <c r="B243" s="40"/>
      <c r="C243" s="1433" t="s">
        <v>18</v>
      </c>
      <c r="D243" s="1434" t="s">
        <v>19</v>
      </c>
      <c r="E243" s="40"/>
      <c r="F243" s="40"/>
      <c r="G243" s="42"/>
      <c r="H243" s="375" t="s">
        <v>14</v>
      </c>
      <c r="I243" s="135"/>
      <c r="J243" s="135"/>
      <c r="K243" s="136"/>
      <c r="L243" s="1389">
        <f ca="1">L244+L245+L246+L247</f>
        <v>0</v>
      </c>
      <c r="M243" s="45"/>
      <c r="N243" s="1390">
        <f>N244+N245+N246+N247</f>
        <v>0</v>
      </c>
      <c r="O243" s="1390">
        <f ca="1">IF(L243&gt;0,N243*100/L243,0)</f>
        <v>0</v>
      </c>
      <c r="P243" s="1390">
        <f>IF(M243&gt;0,N243*100/M243,0)</f>
        <v>0</v>
      </c>
      <c r="Q243" s="45"/>
      <c r="R243" s="45"/>
      <c r="S243" s="45"/>
      <c r="T243" s="45"/>
      <c r="U243" s="45"/>
    </row>
    <row r="244" spans="1:21" ht="18.75" x14ac:dyDescent="0.25">
      <c r="A244" s="128"/>
      <c r="B244" s="158"/>
      <c r="C244" s="40"/>
      <c r="D244" s="156" t="s">
        <v>86</v>
      </c>
      <c r="E244" s="40"/>
      <c r="F244" s="40"/>
      <c r="G244" s="42"/>
      <c r="H244" s="159" t="s">
        <v>14</v>
      </c>
      <c r="I244" s="135"/>
      <c r="J244" s="135"/>
      <c r="K244" s="136"/>
      <c r="L244" s="1356">
        <f ca="1">IFERROR(__xludf.DUMMYFUNCTION("IMPORTRANGE(""https://docs.google.com/spreadsheets/d/1eHaY18a8A9IcSdp1K8H6x8fbOy06t2VsZHhMHf-1x7Y/edit?usp=sharing"",""แผน!AX28"")"),0)</f>
        <v>0</v>
      </c>
      <c r="M244" s="45"/>
      <c r="N244" s="1422">
        <v>0</v>
      </c>
      <c r="O244" s="45"/>
      <c r="P244" s="45"/>
      <c r="Q244" s="45"/>
      <c r="R244" s="45"/>
      <c r="S244" s="45"/>
      <c r="T244" s="45"/>
      <c r="U244" s="45"/>
    </row>
    <row r="245" spans="1:21" ht="18.75" x14ac:dyDescent="0.25">
      <c r="A245" s="208"/>
      <c r="B245" s="158"/>
      <c r="C245" s="158"/>
      <c r="D245" s="156" t="s">
        <v>88</v>
      </c>
      <c r="E245" s="40"/>
      <c r="F245" s="40"/>
      <c r="G245" s="42"/>
      <c r="H245" s="159" t="s">
        <v>14</v>
      </c>
      <c r="I245" s="44"/>
      <c r="J245" s="44"/>
      <c r="K245" s="45"/>
      <c r="L245" s="1356">
        <f ca="1">IFERROR(__xludf.DUMMYFUNCTION("IMPORTRANGE(""https://docs.google.com/spreadsheets/d/1eHaY18a8A9IcSdp1K8H6x8fbOy06t2VsZHhMHf-1x7Y/edit?usp=sharing"",""แผน!AY28"")"),0)</f>
        <v>0</v>
      </c>
      <c r="M245" s="45"/>
      <c r="N245" s="1422">
        <v>0</v>
      </c>
      <c r="O245" s="45"/>
      <c r="P245" s="45"/>
      <c r="Q245" s="45"/>
      <c r="R245" s="45"/>
      <c r="S245" s="45"/>
      <c r="T245" s="45"/>
      <c r="U245" s="45"/>
    </row>
    <row r="246" spans="1:21" ht="18.75" x14ac:dyDescent="0.25">
      <c r="A246" s="208"/>
      <c r="B246" s="158"/>
      <c r="C246" s="158"/>
      <c r="D246" s="156" t="s">
        <v>106</v>
      </c>
      <c r="E246" s="40"/>
      <c r="F246" s="40"/>
      <c r="G246" s="42"/>
      <c r="H246" s="159" t="s">
        <v>14</v>
      </c>
      <c r="I246" s="44"/>
      <c r="J246" s="44"/>
      <c r="K246" s="45"/>
      <c r="L246" s="1356">
        <f ca="1">IFERROR(__xludf.DUMMYFUNCTION("IMPORTRANGE(""https://docs.google.com/spreadsheets/d/1eHaY18a8A9IcSdp1K8H6x8fbOy06t2VsZHhMHf-1x7Y/edit?usp=sharing"",""แผน!AZ28"")"),0)</f>
        <v>0</v>
      </c>
      <c r="M246" s="45"/>
      <c r="N246" s="1422">
        <v>0</v>
      </c>
      <c r="O246" s="45"/>
      <c r="P246" s="45"/>
      <c r="Q246" s="45"/>
      <c r="R246" s="45"/>
      <c r="S246" s="45"/>
      <c r="T246" s="45"/>
      <c r="U246" s="45"/>
    </row>
    <row r="247" spans="1:21" ht="18.75" x14ac:dyDescent="0.25">
      <c r="A247" s="208"/>
      <c r="B247" s="158"/>
      <c r="C247" s="158"/>
      <c r="D247" s="156" t="s">
        <v>107</v>
      </c>
      <c r="E247" s="40"/>
      <c r="F247" s="40"/>
      <c r="G247" s="42"/>
      <c r="H247" s="159" t="s">
        <v>14</v>
      </c>
      <c r="I247" s="44"/>
      <c r="J247" s="44"/>
      <c r="K247" s="45"/>
      <c r="L247" s="1356">
        <f ca="1">IFERROR(__xludf.DUMMYFUNCTION("IMPORTRANGE(""https://docs.google.com/spreadsheets/d/1eHaY18a8A9IcSdp1K8H6x8fbOy06t2VsZHhMHf-1x7Y/edit?usp=sharing"",""แผน!BA28"")"),0)</f>
        <v>0</v>
      </c>
      <c r="M247" s="45"/>
      <c r="N247" s="1422">
        <v>0</v>
      </c>
      <c r="O247" s="45"/>
      <c r="P247" s="45"/>
      <c r="Q247" s="45"/>
      <c r="R247" s="45"/>
      <c r="S247" s="45"/>
      <c r="T247" s="45"/>
      <c r="U247" s="45"/>
    </row>
    <row r="248" spans="1:21" ht="19.5" x14ac:dyDescent="0.3">
      <c r="A248" s="138"/>
      <c r="B248" s="139"/>
      <c r="C248" s="1435" t="s">
        <v>18</v>
      </c>
      <c r="D248" s="1436" t="s">
        <v>38</v>
      </c>
      <c r="E248" s="141"/>
      <c r="F248" s="141"/>
      <c r="G248" s="142"/>
      <c r="H248" s="143"/>
      <c r="I248" s="135"/>
      <c r="J248" s="44"/>
      <c r="K248" s="45"/>
      <c r="L248" s="1359"/>
      <c r="M248" s="45"/>
      <c r="N248" s="45"/>
      <c r="O248" s="136"/>
      <c r="P248" s="136"/>
      <c r="Q248" s="45"/>
      <c r="R248" s="45"/>
      <c r="S248" s="45"/>
      <c r="T248" s="136"/>
      <c r="U248" s="136"/>
    </row>
    <row r="249" spans="1:21" ht="18.75" x14ac:dyDescent="0.25">
      <c r="A249" s="138"/>
      <c r="B249" s="139"/>
      <c r="C249" s="139"/>
      <c r="D249" s="179" t="s">
        <v>108</v>
      </c>
      <c r="E249" s="145"/>
      <c r="F249" s="145"/>
      <c r="G249" s="143"/>
      <c r="H249" s="1437" t="s">
        <v>35</v>
      </c>
      <c r="I249" s="423">
        <f ca="1">IFERROR(__xludf.DUMMYFUNCTION("IMPORTRANGE(""https://docs.google.com/spreadsheets/d/1eHaY18a8A9IcSdp1K8H6x8fbOy06t2VsZHhMHf-1x7Y/edit?usp=sharing"",""แผน!BG28"")"),0)</f>
        <v>0</v>
      </c>
      <c r="J249" s="1407">
        <v>0</v>
      </c>
      <c r="K249" s="83">
        <f ca="1">IF(I249&gt;0,J249*100/I249,0)</f>
        <v>0</v>
      </c>
      <c r="L249" s="1359"/>
      <c r="M249" s="45"/>
      <c r="N249" s="45"/>
      <c r="O249" s="45"/>
      <c r="P249" s="45"/>
      <c r="Q249" s="45"/>
      <c r="R249" s="45"/>
      <c r="S249" s="45"/>
      <c r="T249" s="45"/>
      <c r="U249" s="45"/>
    </row>
    <row r="250" spans="1:21" ht="18.75" x14ac:dyDescent="0.25">
      <c r="A250" s="138"/>
      <c r="B250" s="139"/>
      <c r="C250" s="139"/>
      <c r="D250" s="1438" t="s">
        <v>43</v>
      </c>
      <c r="E250" s="145"/>
      <c r="F250" s="145"/>
      <c r="G250" s="143"/>
      <c r="H250" s="143"/>
      <c r="I250" s="44"/>
      <c r="J250" s="44"/>
      <c r="K250" s="45"/>
      <c r="L250" s="1359"/>
      <c r="M250" s="45"/>
      <c r="N250" s="45"/>
      <c r="O250" s="136"/>
      <c r="P250" s="136"/>
      <c r="Q250" s="45"/>
      <c r="R250" s="45"/>
      <c r="S250" s="45"/>
      <c r="T250" s="136"/>
      <c r="U250" s="136"/>
    </row>
    <row r="251" spans="1:21" ht="18.75" x14ac:dyDescent="0.25">
      <c r="A251" s="138"/>
      <c r="B251" s="139"/>
      <c r="C251" s="139"/>
      <c r="D251" s="139"/>
      <c r="E251" s="1439" t="s">
        <v>109</v>
      </c>
      <c r="F251" s="145"/>
      <c r="G251" s="143"/>
      <c r="H251" s="1437" t="s">
        <v>35</v>
      </c>
      <c r="I251" s="423">
        <v>0</v>
      </c>
      <c r="J251" s="1407">
        <v>0</v>
      </c>
      <c r="K251" s="83">
        <f>IF(I251&gt;0,J251*100/I251,0)</f>
        <v>0</v>
      </c>
      <c r="L251" s="1359"/>
      <c r="M251" s="45"/>
      <c r="N251" s="45"/>
      <c r="O251" s="45"/>
      <c r="P251" s="45"/>
      <c r="Q251" s="45"/>
      <c r="R251" s="45"/>
      <c r="S251" s="45"/>
      <c r="T251" s="45"/>
      <c r="U251" s="45"/>
    </row>
    <row r="252" spans="1:21" ht="18.75" x14ac:dyDescent="0.25">
      <c r="A252" s="138"/>
      <c r="B252" s="139"/>
      <c r="C252" s="139"/>
      <c r="D252" s="139"/>
      <c r="E252" s="1439" t="s">
        <v>110</v>
      </c>
      <c r="F252" s="145"/>
      <c r="G252" s="143"/>
      <c r="H252" s="1437" t="s">
        <v>61</v>
      </c>
      <c r="I252" s="423">
        <v>0</v>
      </c>
      <c r="J252" s="1407">
        <v>0</v>
      </c>
      <c r="K252" s="83">
        <f>IF(I252&gt;0,J252*100/I252,0)</f>
        <v>0</v>
      </c>
      <c r="L252" s="1359"/>
      <c r="M252" s="45"/>
      <c r="N252" s="45"/>
      <c r="O252" s="45"/>
      <c r="P252" s="45"/>
      <c r="Q252" s="45"/>
      <c r="R252" s="45"/>
      <c r="S252" s="45"/>
      <c r="T252" s="45"/>
      <c r="U252" s="45"/>
    </row>
    <row r="253" spans="1:21" ht="19.5" x14ac:dyDescent="0.3">
      <c r="A253" s="211"/>
      <c r="B253" s="212"/>
      <c r="C253" s="1429" t="s">
        <v>112</v>
      </c>
      <c r="D253" s="214"/>
      <c r="E253" s="214"/>
      <c r="F253" s="214"/>
      <c r="G253" s="215"/>
      <c r="H253" s="1430" t="s">
        <v>35</v>
      </c>
      <c r="I253" s="1431">
        <f ca="1">I260</f>
        <v>0</v>
      </c>
      <c r="J253" s="1431">
        <f>J260</f>
        <v>0</v>
      </c>
      <c r="K253" s="1432">
        <f ca="1">IF(I253&gt;0,J253*100/I253,0)</f>
        <v>0</v>
      </c>
      <c r="L253" s="1416"/>
      <c r="M253" s="219"/>
      <c r="N253" s="219"/>
      <c r="O253" s="219"/>
      <c r="P253" s="219"/>
      <c r="Q253" s="219"/>
      <c r="R253" s="219"/>
      <c r="S253" s="219"/>
      <c r="T253" s="219"/>
      <c r="U253" s="219"/>
    </row>
    <row r="254" spans="1:21" ht="19.5" x14ac:dyDescent="0.3">
      <c r="A254" s="128"/>
      <c r="B254" s="40"/>
      <c r="C254" s="1433" t="s">
        <v>18</v>
      </c>
      <c r="D254" s="1440" t="s">
        <v>19</v>
      </c>
      <c r="E254" s="40"/>
      <c r="F254" s="40"/>
      <c r="G254" s="42"/>
      <c r="H254" s="375" t="s">
        <v>14</v>
      </c>
      <c r="I254" s="135"/>
      <c r="J254" s="135"/>
      <c r="K254" s="136"/>
      <c r="L254" s="1389">
        <f ca="1">L255+L256+L257+L258</f>
        <v>0</v>
      </c>
      <c r="M254" s="45"/>
      <c r="N254" s="1390">
        <f>N255+N256+N257+N258</f>
        <v>0</v>
      </c>
      <c r="O254" s="1390">
        <f ca="1">IF(L254&gt;0,N254*100/L254,0)</f>
        <v>0</v>
      </c>
      <c r="P254" s="1390">
        <f>IF(M254&gt;0,N254*100/M254,0)</f>
        <v>0</v>
      </c>
      <c r="Q254" s="45"/>
      <c r="R254" s="45"/>
      <c r="S254" s="45"/>
      <c r="T254" s="45"/>
      <c r="U254" s="45"/>
    </row>
    <row r="255" spans="1:21" ht="18.75" x14ac:dyDescent="0.25">
      <c r="A255" s="128"/>
      <c r="B255" s="158"/>
      <c r="C255" s="40"/>
      <c r="D255" s="156" t="s">
        <v>86</v>
      </c>
      <c r="E255" s="40"/>
      <c r="F255" s="40"/>
      <c r="G255" s="42"/>
      <c r="H255" s="159" t="s">
        <v>14</v>
      </c>
      <c r="I255" s="135"/>
      <c r="J255" s="135"/>
      <c r="K255" s="136"/>
      <c r="L255" s="1356">
        <f ca="1">IFERROR(__xludf.DUMMYFUNCTION("IMPORTRANGE(""https://docs.google.com/spreadsheets/d/1eHaY18a8A9IcSdp1K8H6x8fbOy06t2VsZHhMHf-1x7Y/edit?usp=sharing"",""แผน!BB28"")"),0)</f>
        <v>0</v>
      </c>
      <c r="M255" s="45"/>
      <c r="N255" s="1422">
        <v>0</v>
      </c>
      <c r="O255" s="45"/>
      <c r="P255" s="45"/>
      <c r="Q255" s="45"/>
      <c r="R255" s="45"/>
      <c r="S255" s="45"/>
      <c r="T255" s="45"/>
      <c r="U255" s="45"/>
    </row>
    <row r="256" spans="1:21" ht="18.75" x14ac:dyDescent="0.25">
      <c r="A256" s="208"/>
      <c r="B256" s="158"/>
      <c r="C256" s="158"/>
      <c r="D256" s="156" t="s">
        <v>88</v>
      </c>
      <c r="E256" s="40"/>
      <c r="F256" s="40"/>
      <c r="G256" s="42"/>
      <c r="H256" s="159" t="s">
        <v>14</v>
      </c>
      <c r="I256" s="44"/>
      <c r="J256" s="44"/>
      <c r="K256" s="45"/>
      <c r="L256" s="1356">
        <f ca="1">IFERROR(__xludf.DUMMYFUNCTION("IMPORTRANGE(""https://docs.google.com/spreadsheets/d/1eHaY18a8A9IcSdp1K8H6x8fbOy06t2VsZHhMHf-1x7Y/edit?usp=sharing"",""แผน!BC28"")"),0)</f>
        <v>0</v>
      </c>
      <c r="M256" s="45"/>
      <c r="N256" s="1422">
        <v>0</v>
      </c>
      <c r="O256" s="45"/>
      <c r="P256" s="45"/>
      <c r="Q256" s="45"/>
      <c r="R256" s="45"/>
      <c r="S256" s="45"/>
      <c r="T256" s="45"/>
      <c r="U256" s="45"/>
    </row>
    <row r="257" spans="1:21" ht="18.75" x14ac:dyDescent="0.25">
      <c r="A257" s="208"/>
      <c r="B257" s="158"/>
      <c r="C257" s="158"/>
      <c r="D257" s="156" t="s">
        <v>106</v>
      </c>
      <c r="E257" s="40"/>
      <c r="F257" s="40"/>
      <c r="G257" s="42"/>
      <c r="H257" s="159" t="s">
        <v>14</v>
      </c>
      <c r="I257" s="44"/>
      <c r="J257" s="44"/>
      <c r="K257" s="45"/>
      <c r="L257" s="1356">
        <f ca="1">IFERROR(__xludf.DUMMYFUNCTION("IMPORTRANGE(""https://docs.google.com/spreadsheets/d/1eHaY18a8A9IcSdp1K8H6x8fbOy06t2VsZHhMHf-1x7Y/edit?usp=sharing"",""แผน!BD28"")"),0)</f>
        <v>0</v>
      </c>
      <c r="M257" s="45"/>
      <c r="N257" s="1422">
        <v>0</v>
      </c>
      <c r="O257" s="45"/>
      <c r="P257" s="45"/>
      <c r="Q257" s="45"/>
      <c r="R257" s="45"/>
      <c r="S257" s="45"/>
      <c r="T257" s="45"/>
      <c r="U257" s="45"/>
    </row>
    <row r="258" spans="1:21" ht="18.75" x14ac:dyDescent="0.25">
      <c r="A258" s="208"/>
      <c r="B258" s="158"/>
      <c r="C258" s="158"/>
      <c r="D258" s="156" t="s">
        <v>107</v>
      </c>
      <c r="E258" s="40"/>
      <c r="F258" s="40"/>
      <c r="G258" s="42"/>
      <c r="H258" s="159" t="s">
        <v>14</v>
      </c>
      <c r="I258" s="44"/>
      <c r="J258" s="44"/>
      <c r="K258" s="45"/>
      <c r="L258" s="1356">
        <f ca="1">IFERROR(__xludf.DUMMYFUNCTION("IMPORTRANGE(""https://docs.google.com/spreadsheets/d/1eHaY18a8A9IcSdp1K8H6x8fbOy06t2VsZHhMHf-1x7Y/edit?usp=sharing"",""แผน!BE28"")"),0)</f>
        <v>0</v>
      </c>
      <c r="M258" s="45"/>
      <c r="N258" s="1422">
        <v>0</v>
      </c>
      <c r="O258" s="45"/>
      <c r="P258" s="45"/>
      <c r="Q258" s="45"/>
      <c r="R258" s="45"/>
      <c r="S258" s="45"/>
      <c r="T258" s="45"/>
      <c r="U258" s="45"/>
    </row>
    <row r="259" spans="1:21" ht="19.5" x14ac:dyDescent="0.3">
      <c r="A259" s="138"/>
      <c r="B259" s="139"/>
      <c r="C259" s="1435" t="s">
        <v>18</v>
      </c>
      <c r="D259" s="1436" t="s">
        <v>38</v>
      </c>
      <c r="E259" s="141"/>
      <c r="F259" s="141"/>
      <c r="G259" s="142"/>
      <c r="H259" s="143"/>
      <c r="I259" s="135"/>
      <c r="J259" s="44"/>
      <c r="K259" s="45"/>
      <c r="L259" s="1359"/>
      <c r="M259" s="45"/>
      <c r="N259" s="45"/>
      <c r="O259" s="136"/>
      <c r="P259" s="136"/>
      <c r="Q259" s="45"/>
      <c r="R259" s="45"/>
      <c r="S259" s="45"/>
      <c r="T259" s="136"/>
      <c r="U259" s="136"/>
    </row>
    <row r="260" spans="1:21" ht="18.75" x14ac:dyDescent="0.25">
      <c r="A260" s="138"/>
      <c r="B260" s="139"/>
      <c r="C260" s="139"/>
      <c r="D260" s="179" t="s">
        <v>108</v>
      </c>
      <c r="E260" s="145"/>
      <c r="F260" s="145"/>
      <c r="G260" s="143"/>
      <c r="H260" s="1437" t="s">
        <v>35</v>
      </c>
      <c r="I260" s="423">
        <f ca="1">IFERROR(__xludf.DUMMYFUNCTION("IMPORTRANGE(""https://docs.google.com/spreadsheets/d/1eHaY18a8A9IcSdp1K8H6x8fbOy06t2VsZHhMHf-1x7Y/edit?usp=sharing"",""แผน!BH28"")"),0)</f>
        <v>0</v>
      </c>
      <c r="J260" s="1407">
        <v>0</v>
      </c>
      <c r="K260" s="83">
        <f ca="1">IF(I260&gt;0,J260*100/I260,0)</f>
        <v>0</v>
      </c>
      <c r="L260" s="1359"/>
      <c r="M260" s="45"/>
      <c r="N260" s="45"/>
      <c r="O260" s="45"/>
      <c r="P260" s="45"/>
      <c r="Q260" s="45"/>
      <c r="R260" s="45"/>
      <c r="S260" s="45"/>
      <c r="T260" s="45"/>
      <c r="U260" s="45"/>
    </row>
    <row r="261" spans="1:21" ht="18.75" x14ac:dyDescent="0.25">
      <c r="A261" s="138"/>
      <c r="B261" s="139"/>
      <c r="C261" s="139"/>
      <c r="D261" s="1438" t="s">
        <v>43</v>
      </c>
      <c r="E261" s="145"/>
      <c r="F261" s="145"/>
      <c r="G261" s="143"/>
      <c r="H261" s="143"/>
      <c r="I261" s="44"/>
      <c r="J261" s="44"/>
      <c r="K261" s="45"/>
      <c r="L261" s="1359"/>
      <c r="M261" s="45"/>
      <c r="N261" s="45"/>
      <c r="O261" s="136"/>
      <c r="P261" s="136"/>
      <c r="Q261" s="45"/>
      <c r="R261" s="45"/>
      <c r="S261" s="45"/>
      <c r="T261" s="136"/>
      <c r="U261" s="136"/>
    </row>
    <row r="262" spans="1:21" ht="18.75" x14ac:dyDescent="0.25">
      <c r="A262" s="138"/>
      <c r="B262" s="139"/>
      <c r="C262" s="139"/>
      <c r="D262" s="139"/>
      <c r="E262" s="1439" t="s">
        <v>109</v>
      </c>
      <c r="F262" s="145"/>
      <c r="G262" s="143"/>
      <c r="H262" s="1437" t="s">
        <v>35</v>
      </c>
      <c r="I262" s="44"/>
      <c r="J262" s="1407">
        <v>0</v>
      </c>
      <c r="K262" s="83">
        <f>IF(I262&gt;0,J262*100/I262,0)</f>
        <v>0</v>
      </c>
      <c r="L262" s="1359"/>
      <c r="M262" s="45"/>
      <c r="N262" s="45"/>
      <c r="O262" s="45"/>
      <c r="P262" s="45"/>
      <c r="Q262" s="45"/>
      <c r="R262" s="45"/>
      <c r="S262" s="45"/>
      <c r="T262" s="45"/>
      <c r="U262" s="45"/>
    </row>
    <row r="263" spans="1:21" ht="18.75" x14ac:dyDescent="0.25">
      <c r="A263" s="138"/>
      <c r="B263" s="139"/>
      <c r="C263" s="139"/>
      <c r="D263" s="139"/>
      <c r="E263" s="1439" t="s">
        <v>110</v>
      </c>
      <c r="F263" s="145"/>
      <c r="G263" s="143"/>
      <c r="H263" s="1437" t="s">
        <v>61</v>
      </c>
      <c r="I263" s="44"/>
      <c r="J263" s="1407">
        <v>0</v>
      </c>
      <c r="K263" s="83">
        <f>IF(I263&gt;0,J263*100/I263,0)</f>
        <v>0</v>
      </c>
      <c r="L263" s="1359"/>
      <c r="M263" s="45"/>
      <c r="N263" s="45"/>
      <c r="O263" s="45"/>
      <c r="P263" s="45"/>
      <c r="Q263" s="45"/>
      <c r="R263" s="45"/>
      <c r="S263" s="45"/>
      <c r="T263" s="45"/>
      <c r="U263" s="45"/>
    </row>
    <row r="264" spans="1:21" ht="19.5" x14ac:dyDescent="0.3">
      <c r="A264" s="1441" t="s">
        <v>113</v>
      </c>
      <c r="B264" s="1442"/>
      <c r="C264" s="1442"/>
      <c r="D264" s="1443"/>
      <c r="E264" s="1443"/>
      <c r="F264" s="1443"/>
      <c r="G264" s="1444"/>
      <c r="H264" s="1444"/>
      <c r="I264" s="1445"/>
      <c r="J264" s="1445"/>
      <c r="K264" s="1446"/>
      <c r="L264" s="1447"/>
      <c r="M264" s="1446"/>
      <c r="N264" s="1446"/>
      <c r="O264" s="1446"/>
      <c r="P264" s="1446"/>
      <c r="Q264" s="1446"/>
      <c r="R264" s="1446"/>
      <c r="S264" s="1446"/>
      <c r="T264" s="1446"/>
      <c r="U264" s="1446"/>
    </row>
    <row r="265" spans="1:21" ht="19.5" x14ac:dyDescent="0.3">
      <c r="A265" s="1448"/>
      <c r="B265" s="1449" t="s">
        <v>114</v>
      </c>
      <c r="C265" s="1450"/>
      <c r="D265" s="1451"/>
      <c r="E265" s="1451"/>
      <c r="F265" s="1451"/>
      <c r="G265" s="1452"/>
      <c r="H265" s="1453" t="s">
        <v>35</v>
      </c>
      <c r="I265" s="1454">
        <f ca="1">I276</f>
        <v>24</v>
      </c>
      <c r="J265" s="1454">
        <f>J276</f>
        <v>24</v>
      </c>
      <c r="K265" s="1455">
        <f ca="1">IF(I265&gt;0,J265*100/I265,0)</f>
        <v>100</v>
      </c>
      <c r="L265" s="1456"/>
      <c r="M265" s="1457"/>
      <c r="N265" s="1457"/>
      <c r="O265" s="1457"/>
      <c r="P265" s="1457"/>
      <c r="Q265" s="1457"/>
      <c r="R265" s="1457"/>
      <c r="S265" s="1457"/>
      <c r="T265" s="1457"/>
      <c r="U265" s="1457"/>
    </row>
    <row r="266" spans="1:21" ht="19.5" x14ac:dyDescent="0.3">
      <c r="A266" s="1458"/>
      <c r="B266" s="1459"/>
      <c r="C266" s="1460" t="s">
        <v>18</v>
      </c>
      <c r="D266" s="1461" t="s">
        <v>19</v>
      </c>
      <c r="E266" s="1459"/>
      <c r="F266" s="1459"/>
      <c r="G266" s="1462"/>
      <c r="H266" s="1463" t="s">
        <v>14</v>
      </c>
      <c r="I266" s="1464"/>
      <c r="J266" s="1464"/>
      <c r="K266" s="1465"/>
      <c r="L266" s="1466">
        <f ca="1">L267+L268</f>
        <v>5000</v>
      </c>
      <c r="M266" s="1467">
        <f ca="1">M267+M268</f>
        <v>5000</v>
      </c>
      <c r="N266" s="1467">
        <f ca="1">N267+N268</f>
        <v>0</v>
      </c>
      <c r="O266" s="1467">
        <f ca="1">IF(L266&gt;0,N266*100/L266,0)</f>
        <v>0</v>
      </c>
      <c r="P266" s="1467">
        <f ca="1">IF(M266&gt;0,N266*100/M266,0)</f>
        <v>0</v>
      </c>
      <c r="Q266" s="1467">
        <f ca="1">Q267+Q268</f>
        <v>53440</v>
      </c>
      <c r="R266" s="1467">
        <f ca="1">R267+R268</f>
        <v>53440</v>
      </c>
      <c r="S266" s="1467">
        <f ca="1">S267+S268</f>
        <v>46560</v>
      </c>
      <c r="T266" s="1467">
        <f ca="1">IF(Q266&gt;0,S266*100/Q266,0)</f>
        <v>87.125748502994014</v>
      </c>
      <c r="U266" s="1467">
        <f ca="1">IF(R266&gt;0,S266*100/R266,0)</f>
        <v>87.125748502994014</v>
      </c>
    </row>
    <row r="267" spans="1:21" ht="18.75" x14ac:dyDescent="0.25">
      <c r="A267" s="1468"/>
      <c r="B267" s="1469"/>
      <c r="C267" s="1469"/>
      <c r="D267" s="1469"/>
      <c r="E267" s="156" t="s">
        <v>20</v>
      </c>
      <c r="F267" s="1469"/>
      <c r="G267" s="1470"/>
      <c r="H267" s="157" t="s">
        <v>14</v>
      </c>
      <c r="I267" s="1471"/>
      <c r="J267" s="1471"/>
      <c r="K267" s="1472"/>
      <c r="L267" s="1358">
        <f>L270+L273</f>
        <v>0</v>
      </c>
      <c r="M267" s="83">
        <f>M270+M273</f>
        <v>0</v>
      </c>
      <c r="N267" s="83">
        <f>N270+N273</f>
        <v>0</v>
      </c>
      <c r="O267" s="83">
        <f>IF(L267&gt;0,N267*100/L267,0)</f>
        <v>0</v>
      </c>
      <c r="P267" s="83">
        <f>IF(M267&gt;0,N267*100/M267,0)</f>
        <v>0</v>
      </c>
      <c r="Q267" s="83">
        <f>Q270+Q273</f>
        <v>0</v>
      </c>
      <c r="R267" s="83">
        <f>R270+R273</f>
        <v>0</v>
      </c>
      <c r="S267" s="83">
        <f>S270+S273</f>
        <v>0</v>
      </c>
      <c r="T267" s="83">
        <f>IF(Q267&gt;0,S267*100/Q267,0)</f>
        <v>0</v>
      </c>
      <c r="U267" s="83">
        <f>IF(R267&gt;0,S267*100/R267,0)</f>
        <v>0</v>
      </c>
    </row>
    <row r="268" spans="1:21" ht="18.75" x14ac:dyDescent="0.25">
      <c r="A268" s="1458"/>
      <c r="B268" s="1459"/>
      <c r="C268" s="1459"/>
      <c r="D268" s="1459"/>
      <c r="E268" s="1473" t="s">
        <v>21</v>
      </c>
      <c r="F268" s="1459"/>
      <c r="G268" s="1462"/>
      <c r="H268" s="1474" t="s">
        <v>14</v>
      </c>
      <c r="I268" s="1464"/>
      <c r="J268" s="1464"/>
      <c r="K268" s="1465"/>
      <c r="L268" s="1475">
        <f ca="1">L271+L274</f>
        <v>5000</v>
      </c>
      <c r="M268" s="1476">
        <f ca="1">M271+M274</f>
        <v>5000</v>
      </c>
      <c r="N268" s="1476">
        <f ca="1">N271+N274</f>
        <v>0</v>
      </c>
      <c r="O268" s="1476">
        <f ca="1">IF(L268&gt;0,N268*100/L268,0)</f>
        <v>0</v>
      </c>
      <c r="P268" s="1476">
        <f ca="1">IF(M268&gt;0,N268*100/M268,0)</f>
        <v>0</v>
      </c>
      <c r="Q268" s="1476">
        <f ca="1">Q271+Q274</f>
        <v>53440</v>
      </c>
      <c r="R268" s="1476">
        <f ca="1">R271+R274</f>
        <v>53440</v>
      </c>
      <c r="S268" s="1476">
        <f ca="1">S271+S274</f>
        <v>46560</v>
      </c>
      <c r="T268" s="1476">
        <f ca="1">IF(Q268&gt;0,S268*100/Q268,0)</f>
        <v>87.125748502994014</v>
      </c>
      <c r="U268" s="1476">
        <f ca="1">IF(R268&gt;0,S268*100/R268,0)</f>
        <v>87.125748502994014</v>
      </c>
    </row>
    <row r="269" spans="1:21" ht="18.75" x14ac:dyDescent="0.25">
      <c r="A269" s="1458"/>
      <c r="B269" s="1459"/>
      <c r="C269" s="1459"/>
      <c r="D269" s="1477" t="s">
        <v>22</v>
      </c>
      <c r="E269" s="1459"/>
      <c r="F269" s="1459"/>
      <c r="G269" s="1462"/>
      <c r="H269" s="1478" t="s">
        <v>14</v>
      </c>
      <c r="I269" s="1479"/>
      <c r="J269" s="1479"/>
      <c r="K269" s="1480"/>
      <c r="L269" s="1475">
        <f ca="1">L270+L271</f>
        <v>5000</v>
      </c>
      <c r="M269" s="1476">
        <f ca="1">M270+M271</f>
        <v>5000</v>
      </c>
      <c r="N269" s="1476">
        <f ca="1">N270+N271</f>
        <v>0</v>
      </c>
      <c r="O269" s="1476">
        <f ca="1">IF(L269&gt;0,N269*100/L269,0)</f>
        <v>0</v>
      </c>
      <c r="P269" s="1476">
        <f ca="1">IF(M269&gt;0,N269*100/M269,0)</f>
        <v>0</v>
      </c>
      <c r="Q269" s="1476">
        <f ca="1">Q270+Q271</f>
        <v>53440</v>
      </c>
      <c r="R269" s="1476">
        <f ca="1">R270+R271</f>
        <v>53440</v>
      </c>
      <c r="S269" s="1476">
        <f ca="1">S270+S271</f>
        <v>46560</v>
      </c>
      <c r="T269" s="1476">
        <f ca="1">IF(Q269&gt;0,S269*100/Q269,0)</f>
        <v>87.125748502994014</v>
      </c>
      <c r="U269" s="1476">
        <f ca="1">IF(R269&gt;0,S269*100/R269,0)</f>
        <v>87.125748502994014</v>
      </c>
    </row>
    <row r="270" spans="1:21" ht="18.75" x14ac:dyDescent="0.25">
      <c r="A270" s="1468"/>
      <c r="B270" s="1469"/>
      <c r="C270" s="1469"/>
      <c r="D270" s="1469"/>
      <c r="E270" s="156" t="s">
        <v>36</v>
      </c>
      <c r="F270" s="1469"/>
      <c r="G270" s="1470"/>
      <c r="H270" s="159" t="s">
        <v>14</v>
      </c>
      <c r="I270" s="1481"/>
      <c r="J270" s="1481"/>
      <c r="K270" s="1482"/>
      <c r="L270" s="1358">
        <v>0</v>
      </c>
      <c r="M270" s="83">
        <v>0</v>
      </c>
      <c r="N270" s="83">
        <v>0</v>
      </c>
      <c r="O270" s="83">
        <f>IF(L270&gt;0,N270*100/L270,0)</f>
        <v>0</v>
      </c>
      <c r="P270" s="83">
        <f>IF(M270&gt;0,N270*100/M270,0)</f>
        <v>0</v>
      </c>
      <c r="Q270" s="83">
        <v>0</v>
      </c>
      <c r="R270" s="83">
        <v>0</v>
      </c>
      <c r="S270" s="83">
        <v>0</v>
      </c>
      <c r="T270" s="83">
        <f>IF(Q270&gt;0,S270*100/Q270,0)</f>
        <v>0</v>
      </c>
      <c r="U270" s="83">
        <f>IF(R270&gt;0,S270*100/R270,0)</f>
        <v>0</v>
      </c>
    </row>
    <row r="271" spans="1:21" ht="18.75" x14ac:dyDescent="0.25">
      <c r="A271" s="1458"/>
      <c r="B271" s="1459"/>
      <c r="C271" s="1459"/>
      <c r="D271" s="1459"/>
      <c r="E271" s="1473" t="s">
        <v>37</v>
      </c>
      <c r="F271" s="1459"/>
      <c r="G271" s="1462"/>
      <c r="H271" s="1478" t="s">
        <v>14</v>
      </c>
      <c r="I271" s="1479"/>
      <c r="J271" s="1479"/>
      <c r="K271" s="1480"/>
      <c r="L271" s="1475">
        <f ca="1">IFERROR(__xludf.DUMMYFUNCTION("IMPORTRANGE(""https://docs.google.com/spreadsheets/d/1-uDff_7J0KD5mKrp0Vvzr7lt3OU09vwQwhkpOPPYv2Y/edit?usp=sharing"",""งบพรบ!DE28"")"),5000)</f>
        <v>5000</v>
      </c>
      <c r="M271" s="1476">
        <f ca="1">IFERROR(__xludf.DUMMYFUNCTION("IMPORTRANGE(""https://docs.google.com/spreadsheets/d/1-uDff_7J0KD5mKrp0Vvzr7lt3OU09vwQwhkpOPPYv2Y/edit?usp=sharing"",""งบพรบ!DJ28"")"),5000)</f>
        <v>5000</v>
      </c>
      <c r="N271" s="1476">
        <f ca="1">IFERROR(__xludf.DUMMYFUNCTION("IMPORTRANGE(""https://docs.google.com/spreadsheets/d/1-uDff_7J0KD5mKrp0Vvzr7lt3OU09vwQwhkpOPPYv2Y/edit?usp=sharing"",""งบพรบ!DL28"")"),0)</f>
        <v>0</v>
      </c>
      <c r="O271" s="1476">
        <f ca="1">IF(L271&gt;0,N271*100/L271,0)</f>
        <v>0</v>
      </c>
      <c r="P271" s="1476">
        <f ca="1">IF(M271&gt;0,N271*100/M271,0)</f>
        <v>0</v>
      </c>
      <c r="Q271" s="1476">
        <f ca="1">IFERROR(__xludf.DUMMYFUNCTION("IMPORTRANGE(""https://docs.google.com/spreadsheets/d/1ItG2mGa2ceCfYo0BwxsXqNm01IGEUdYcSSLTEv9YCik/edit?usp=sharing"",""เบิกจ่ายกองทุน!AP28"")"),53440)</f>
        <v>53440</v>
      </c>
      <c r="R271" s="1476">
        <f ca="1">IFERROR(__xludf.DUMMYFUNCTION("IMPORTRANGE(""https://docs.google.com/spreadsheets/d/1ItG2mGa2ceCfYo0BwxsXqNm01IGEUdYcSSLTEv9YCik/edit?usp=sharing"",""เบิกจ่ายกองทุน!AQ28"")"),53440)</f>
        <v>53440</v>
      </c>
      <c r="S271" s="1476">
        <f ca="1">IFERROR(__xludf.DUMMYFUNCTION("IMPORTRANGE(""https://docs.google.com/spreadsheets/d/1ItG2mGa2ceCfYo0BwxsXqNm01IGEUdYcSSLTEv9YCik/edit?usp=sharing"",""เบิกจ่ายกองทุน!AR28"")"),46560)</f>
        <v>46560</v>
      </c>
      <c r="T271" s="1476">
        <f ca="1">IF(Q271&gt;0,S271*100/Q271,0)</f>
        <v>87.125748502994014</v>
      </c>
      <c r="U271" s="1476">
        <f ca="1">IF(R271&gt;0,S271*100/R271,0)</f>
        <v>87.125748502994014</v>
      </c>
    </row>
    <row r="272" spans="1:21" ht="18.75" x14ac:dyDescent="0.25">
      <c r="A272" s="1458"/>
      <c r="B272" s="1459"/>
      <c r="C272" s="1459"/>
      <c r="D272" s="1477" t="s">
        <v>23</v>
      </c>
      <c r="E272" s="1459"/>
      <c r="F272" s="1459"/>
      <c r="G272" s="1462"/>
      <c r="H272" s="1483" t="s">
        <v>14</v>
      </c>
      <c r="I272" s="1479"/>
      <c r="J272" s="1479"/>
      <c r="K272" s="1480"/>
      <c r="L272" s="1475">
        <f ca="1">L273+L274</f>
        <v>0</v>
      </c>
      <c r="M272" s="1476">
        <f ca="1">M273+M274</f>
        <v>0</v>
      </c>
      <c r="N272" s="1476">
        <f ca="1">N273+N274</f>
        <v>0</v>
      </c>
      <c r="O272" s="1476">
        <f ca="1">IF(L272&gt;0,N272*100/L272,0)</f>
        <v>0</v>
      </c>
      <c r="P272" s="1476">
        <f ca="1">IF(M272&gt;0,N272*100/M272,0)</f>
        <v>0</v>
      </c>
      <c r="Q272" s="1476">
        <f>Q273+Q274</f>
        <v>0</v>
      </c>
      <c r="R272" s="1476">
        <f>R273+R274</f>
        <v>0</v>
      </c>
      <c r="S272" s="1476">
        <f>S273+S274</f>
        <v>0</v>
      </c>
      <c r="T272" s="1476">
        <f>IF(Q272&gt;0,S272*100/Q272,0)</f>
        <v>0</v>
      </c>
      <c r="U272" s="1476">
        <f>IF(R272&gt;0,S272*100/R272,0)</f>
        <v>0</v>
      </c>
    </row>
    <row r="273" spans="1:21" ht="18.75" x14ac:dyDescent="0.25">
      <c r="A273" s="1468"/>
      <c r="B273" s="1469"/>
      <c r="C273" s="1469"/>
      <c r="D273" s="1469"/>
      <c r="E273" s="156" t="s">
        <v>20</v>
      </c>
      <c r="F273" s="1469"/>
      <c r="G273" s="1470"/>
      <c r="H273" s="159" t="s">
        <v>14</v>
      </c>
      <c r="I273" s="1481"/>
      <c r="J273" s="1481"/>
      <c r="K273" s="1482"/>
      <c r="L273" s="1358">
        <v>0</v>
      </c>
      <c r="M273" s="83">
        <v>0</v>
      </c>
      <c r="N273" s="83">
        <v>0</v>
      </c>
      <c r="O273" s="83">
        <f>IF(L273&gt;0,N273*100/L273,0)</f>
        <v>0</v>
      </c>
      <c r="P273" s="83">
        <f>IF(M273&gt;0,N273*100/M273,0)</f>
        <v>0</v>
      </c>
      <c r="Q273" s="83">
        <v>0</v>
      </c>
      <c r="R273" s="83">
        <v>0</v>
      </c>
      <c r="S273" s="83">
        <v>0</v>
      </c>
      <c r="T273" s="83">
        <f>IF(Q273&gt;0,S273*100/Q273,0)</f>
        <v>0</v>
      </c>
      <c r="U273" s="83">
        <f>IF(R273&gt;0,S273*100/R273,0)</f>
        <v>0</v>
      </c>
    </row>
    <row r="274" spans="1:21" ht="18.75" x14ac:dyDescent="0.25">
      <c r="A274" s="1458"/>
      <c r="B274" s="1459"/>
      <c r="C274" s="1459"/>
      <c r="D274" s="1459"/>
      <c r="E274" s="1473" t="s">
        <v>21</v>
      </c>
      <c r="F274" s="1459"/>
      <c r="G274" s="1462"/>
      <c r="H274" s="1483" t="s">
        <v>14</v>
      </c>
      <c r="I274" s="1479"/>
      <c r="J274" s="1479"/>
      <c r="K274" s="1480"/>
      <c r="L274" s="1475">
        <f ca="1">IFERROR(__xludf.DUMMYFUNCTION("IMPORTRANGE(""https://docs.google.com/spreadsheets/d/1-uDff_7J0KD5mKrp0Vvzr7lt3OU09vwQwhkpOPPYv2Y/edit?usp=sharing"",""งบพรบ!DH28"")"),0)</f>
        <v>0</v>
      </c>
      <c r="M274" s="1476">
        <f ca="1">IFERROR(__xludf.DUMMYFUNCTION("IMPORTRANGE(""https://docs.google.com/spreadsheets/d/1-uDff_7J0KD5mKrp0Vvzr7lt3OU09vwQwhkpOPPYv2Y/edit?usp=sharing"",""งบพรบ!DK28"")"),0)</f>
        <v>0</v>
      </c>
      <c r="N274" s="1476">
        <f ca="1">IFERROR(__xludf.DUMMYFUNCTION("IMPORTRANGE(""https://docs.google.com/spreadsheets/d/1-uDff_7J0KD5mKrp0Vvzr7lt3OU09vwQwhkpOPPYv2Y/edit?usp=sharing"",""งบพรบ!DM28"")"),0)</f>
        <v>0</v>
      </c>
      <c r="O274" s="1476">
        <f ca="1">IF(L274&gt;0,N274*100/L274,0)</f>
        <v>0</v>
      </c>
      <c r="P274" s="1476">
        <f ca="1">IF(M274&gt;0,N274*100/M274,0)</f>
        <v>0</v>
      </c>
      <c r="Q274" s="1476">
        <v>0</v>
      </c>
      <c r="R274" s="1476">
        <v>0</v>
      </c>
      <c r="S274" s="1476">
        <v>0</v>
      </c>
      <c r="T274" s="1476">
        <f>IF(Q274&gt;0,S274*100/Q274,0)</f>
        <v>0</v>
      </c>
      <c r="U274" s="1476">
        <f>IF(R274&gt;0,S274*100/R274,0)</f>
        <v>0</v>
      </c>
    </row>
    <row r="275" spans="1:21" ht="19.5" x14ac:dyDescent="0.3">
      <c r="A275" s="1484"/>
      <c r="B275" s="1485"/>
      <c r="C275" s="1473" t="s">
        <v>18</v>
      </c>
      <c r="D275" s="1486" t="s">
        <v>38</v>
      </c>
      <c r="E275" s="1451"/>
      <c r="F275" s="1451"/>
      <c r="G275" s="1452"/>
      <c r="H275" s="1487"/>
      <c r="I275" s="1479"/>
      <c r="J275" s="1479"/>
      <c r="K275" s="1480"/>
      <c r="L275" s="1488"/>
      <c r="M275" s="1480"/>
      <c r="N275" s="1480"/>
      <c r="O275" s="1480"/>
      <c r="P275" s="1480"/>
      <c r="Q275" s="1480"/>
      <c r="R275" s="1480"/>
      <c r="S275" s="1480"/>
      <c r="T275" s="1480"/>
      <c r="U275" s="1480"/>
    </row>
    <row r="276" spans="1:21" ht="18.75" x14ac:dyDescent="0.25">
      <c r="A276" s="1489"/>
      <c r="B276" s="367"/>
      <c r="C276" s="367"/>
      <c r="D276" s="1490" t="s">
        <v>115</v>
      </c>
      <c r="E276" s="366"/>
      <c r="F276" s="366"/>
      <c r="G276" s="369"/>
      <c r="H276" s="1491" t="s">
        <v>35</v>
      </c>
      <c r="I276" s="371">
        <f ca="1">IFERROR(__xludf.DUMMYFUNCTION("IMPORTRANGE(""https://docs.google.com/spreadsheets/d/1eHaY18a8A9IcSdp1K8H6x8fbOy06t2VsZHhMHf-1x7Y/edit?usp=sharing"",""แผน!EC28"")"),24)</f>
        <v>24</v>
      </c>
      <c r="J276" s="437">
        <v>24</v>
      </c>
      <c r="K276" s="372">
        <f ca="1">IF(I276&gt;0,J276*100/I276,0)</f>
        <v>100</v>
      </c>
      <c r="L276" s="1359"/>
      <c r="M276" s="45"/>
      <c r="N276" s="45"/>
      <c r="O276" s="45"/>
      <c r="P276" s="45"/>
      <c r="Q276" s="45"/>
      <c r="R276" s="45"/>
      <c r="S276" s="45"/>
      <c r="T276" s="45"/>
      <c r="U276" s="45"/>
    </row>
    <row r="277" spans="1:21" ht="18.75" x14ac:dyDescent="0.25">
      <c r="A277" s="249"/>
      <c r="B277" s="250"/>
      <c r="C277" s="250"/>
      <c r="D277" s="1492" t="s">
        <v>116</v>
      </c>
      <c r="E277" s="252"/>
      <c r="F277" s="252"/>
      <c r="G277" s="253"/>
      <c r="H277" s="1493" t="s">
        <v>35</v>
      </c>
      <c r="I277" s="426">
        <v>0</v>
      </c>
      <c r="J277" s="426">
        <v>0</v>
      </c>
      <c r="K277" s="1494">
        <v>0</v>
      </c>
      <c r="L277" s="1495"/>
      <c r="M277" s="255"/>
      <c r="N277" s="255"/>
      <c r="O277" s="255"/>
      <c r="P277" s="255"/>
      <c r="Q277" s="255"/>
      <c r="R277" s="255"/>
      <c r="S277" s="255"/>
      <c r="T277" s="255"/>
      <c r="U277" s="255"/>
    </row>
    <row r="278" spans="1:21" ht="19.5" x14ac:dyDescent="0.3">
      <c r="A278" s="256" t="s">
        <v>117</v>
      </c>
      <c r="B278" s="257"/>
      <c r="C278" s="257"/>
      <c r="D278" s="257"/>
      <c r="E278" s="258"/>
      <c r="F278" s="258"/>
      <c r="G278" s="258"/>
      <c r="H278" s="258"/>
      <c r="I278" s="259"/>
      <c r="J278" s="259"/>
      <c r="K278" s="260"/>
      <c r="L278" s="260"/>
      <c r="M278" s="260"/>
      <c r="N278" s="260"/>
      <c r="O278" s="260"/>
      <c r="P278" s="261"/>
      <c r="Q278" s="260"/>
      <c r="R278" s="260"/>
      <c r="S278" s="260"/>
      <c r="T278" s="260"/>
      <c r="U278" s="261"/>
    </row>
    <row r="279" spans="1:21" ht="19.5" x14ac:dyDescent="0.3">
      <c r="A279" s="262" t="s">
        <v>118</v>
      </c>
      <c r="B279" s="263"/>
      <c r="C279" s="264"/>
      <c r="D279" s="263"/>
      <c r="E279" s="263"/>
      <c r="F279" s="263"/>
      <c r="G279" s="263"/>
      <c r="H279" s="263"/>
      <c r="I279" s="265"/>
      <c r="J279" s="266"/>
      <c r="K279" s="267"/>
      <c r="L279" s="1496"/>
      <c r="M279" s="267"/>
      <c r="N279" s="267"/>
      <c r="O279" s="267"/>
      <c r="P279" s="267"/>
      <c r="Q279" s="267"/>
      <c r="R279" s="267"/>
      <c r="S279" s="267"/>
      <c r="T279" s="267"/>
      <c r="U279" s="267"/>
    </row>
    <row r="280" spans="1:21" ht="19.5" x14ac:dyDescent="0.3">
      <c r="A280" s="268"/>
      <c r="B280" s="269" t="s">
        <v>119</v>
      </c>
      <c r="C280" s="270"/>
      <c r="D280" s="271"/>
      <c r="E280" s="270"/>
      <c r="F280" s="270"/>
      <c r="G280" s="272"/>
      <c r="H280" s="273" t="s">
        <v>35</v>
      </c>
      <c r="I280" s="1497">
        <f ca="1">I293</f>
        <v>20</v>
      </c>
      <c r="J280" s="1497">
        <f>J293</f>
        <v>20</v>
      </c>
      <c r="K280" s="1498">
        <f ca="1">IF(I280&gt;0,J280*100/I280,0)</f>
        <v>100</v>
      </c>
      <c r="L280" s="1499"/>
      <c r="M280" s="276"/>
      <c r="N280" s="276"/>
      <c r="O280" s="276"/>
      <c r="P280" s="276"/>
      <c r="Q280" s="276"/>
      <c r="R280" s="276"/>
      <c r="S280" s="276"/>
      <c r="T280" s="276"/>
      <c r="U280" s="276"/>
    </row>
    <row r="281" spans="1:21" ht="19.5" x14ac:dyDescent="0.3">
      <c r="A281" s="268"/>
      <c r="B281" s="270"/>
      <c r="C281" s="270"/>
      <c r="D281" s="271"/>
      <c r="E281" s="270"/>
      <c r="F281" s="270"/>
      <c r="G281" s="272"/>
      <c r="H281" s="273" t="s">
        <v>46</v>
      </c>
      <c r="I281" s="1497">
        <f ca="1">I292</f>
        <v>200</v>
      </c>
      <c r="J281" s="1497">
        <f>J292</f>
        <v>200</v>
      </c>
      <c r="K281" s="1498">
        <f ca="1">IF(I281&gt;0,J281*100/I281,0)</f>
        <v>100</v>
      </c>
      <c r="L281" s="1499"/>
      <c r="M281" s="276"/>
      <c r="N281" s="276"/>
      <c r="O281" s="276"/>
      <c r="P281" s="276"/>
      <c r="Q281" s="276"/>
      <c r="R281" s="276"/>
      <c r="S281" s="276"/>
      <c r="T281" s="276"/>
      <c r="U281" s="276"/>
    </row>
    <row r="282" spans="1:21" ht="19.5" x14ac:dyDescent="0.3">
      <c r="A282" s="128"/>
      <c r="B282" s="40"/>
      <c r="C282" s="129" t="s">
        <v>18</v>
      </c>
      <c r="D282" s="1388" t="s">
        <v>19</v>
      </c>
      <c r="E282" s="40"/>
      <c r="F282" s="40"/>
      <c r="G282" s="42"/>
      <c r="H282" s="131" t="s">
        <v>14</v>
      </c>
      <c r="I282" s="44"/>
      <c r="J282" s="44"/>
      <c r="K282" s="45"/>
      <c r="L282" s="1389">
        <f ca="1">L283+L284</f>
        <v>201520</v>
      </c>
      <c r="M282" s="1390">
        <f ca="1">M283+M284</f>
        <v>201520</v>
      </c>
      <c r="N282" s="1390">
        <f ca="1">N283+N284</f>
        <v>123879</v>
      </c>
      <c r="O282" s="1390">
        <f ca="1">IF(L282&gt;0,N282*100/L282,0)</f>
        <v>61.47231044065105</v>
      </c>
      <c r="P282" s="1390">
        <f ca="1">IF(M282&gt;0,N282*100/M282,0)</f>
        <v>61.47231044065105</v>
      </c>
      <c r="Q282" s="1390">
        <f>Q283+Q284</f>
        <v>0</v>
      </c>
      <c r="R282" s="1390">
        <f>R283+R284</f>
        <v>0</v>
      </c>
      <c r="S282" s="1390">
        <f>S283+S284</f>
        <v>0</v>
      </c>
      <c r="T282" s="1390">
        <f>IF(Q282&gt;0,S282*100/Q282,0)</f>
        <v>0</v>
      </c>
      <c r="U282" s="1390">
        <f>IF(R282&gt;0,S282*100/R282,0)</f>
        <v>0</v>
      </c>
    </row>
    <row r="283" spans="1:21" ht="18.75" x14ac:dyDescent="0.25">
      <c r="A283" s="128"/>
      <c r="B283" s="40"/>
      <c r="C283" s="40"/>
      <c r="D283" s="40"/>
      <c r="E283" s="156" t="s">
        <v>20</v>
      </c>
      <c r="F283" s="40"/>
      <c r="G283" s="42"/>
      <c r="H283" s="157" t="s">
        <v>14</v>
      </c>
      <c r="I283" s="44"/>
      <c r="J283" s="44"/>
      <c r="K283" s="45"/>
      <c r="L283" s="1358">
        <f>L286+L289</f>
        <v>0</v>
      </c>
      <c r="M283" s="83">
        <f>M286+M289</f>
        <v>0</v>
      </c>
      <c r="N283" s="83">
        <f>N286+N289</f>
        <v>0</v>
      </c>
      <c r="O283" s="83">
        <f>IF(L283&gt;0,N283*100/L283,0)</f>
        <v>0</v>
      </c>
      <c r="P283" s="83">
        <f>IF(M283&gt;0,N283*100/M283,0)</f>
        <v>0</v>
      </c>
      <c r="Q283" s="83">
        <f>Q286+Q289</f>
        <v>0</v>
      </c>
      <c r="R283" s="83">
        <f>R286+R289</f>
        <v>0</v>
      </c>
      <c r="S283" s="83">
        <f>S286+S289</f>
        <v>0</v>
      </c>
      <c r="T283" s="83">
        <f>IF(Q283&gt;0,S283*100/Q283,0)</f>
        <v>0</v>
      </c>
      <c r="U283" s="83">
        <f>IF(R283&gt;0,S283*100/R283,0)</f>
        <v>0</v>
      </c>
    </row>
    <row r="284" spans="1:21" ht="18.75" x14ac:dyDescent="0.25">
      <c r="A284" s="128"/>
      <c r="B284" s="40"/>
      <c r="C284" s="40"/>
      <c r="D284" s="40"/>
      <c r="E284" s="47" t="s">
        <v>21</v>
      </c>
      <c r="F284" s="40"/>
      <c r="G284" s="42"/>
      <c r="H284" s="133" t="s">
        <v>14</v>
      </c>
      <c r="I284" s="44"/>
      <c r="J284" s="44"/>
      <c r="K284" s="45"/>
      <c r="L284" s="1356">
        <f ca="1">L287+L290</f>
        <v>201520</v>
      </c>
      <c r="M284" s="224">
        <f ca="1">M287+M290</f>
        <v>201520</v>
      </c>
      <c r="N284" s="224">
        <f ca="1">N287+N290</f>
        <v>123879</v>
      </c>
      <c r="O284" s="224">
        <f ca="1">IF(L284&gt;0,N284*100/L284,0)</f>
        <v>61.47231044065105</v>
      </c>
      <c r="P284" s="224">
        <f ca="1">IF(M284&gt;0,N284*100/M284,0)</f>
        <v>61.47231044065105</v>
      </c>
      <c r="Q284" s="224">
        <f>Q287+Q290</f>
        <v>0</v>
      </c>
      <c r="R284" s="224">
        <f>R287+R290</f>
        <v>0</v>
      </c>
      <c r="S284" s="224">
        <f>S287+S290</f>
        <v>0</v>
      </c>
      <c r="T284" s="224">
        <f>IF(Q284&gt;0,S284*100/Q284,0)</f>
        <v>0</v>
      </c>
      <c r="U284" s="224">
        <f>IF(R284&gt;0,S284*100/R284,0)</f>
        <v>0</v>
      </c>
    </row>
    <row r="285" spans="1:21" ht="18.75" x14ac:dyDescent="0.25">
      <c r="A285" s="128"/>
      <c r="B285" s="40"/>
      <c r="C285" s="40"/>
      <c r="D285" s="41" t="s">
        <v>22</v>
      </c>
      <c r="E285" s="40"/>
      <c r="F285" s="40"/>
      <c r="G285" s="42"/>
      <c r="H285" s="134" t="s">
        <v>14</v>
      </c>
      <c r="I285" s="135"/>
      <c r="J285" s="135"/>
      <c r="K285" s="136"/>
      <c r="L285" s="1356">
        <f ca="1">L286+L287</f>
        <v>201520</v>
      </c>
      <c r="M285" s="224">
        <f ca="1">M286+M287</f>
        <v>201520</v>
      </c>
      <c r="N285" s="224">
        <f ca="1">N286+N287</f>
        <v>123879</v>
      </c>
      <c r="O285" s="224">
        <f ca="1">IF(L285&gt;0,N285*100/L285,0)</f>
        <v>61.47231044065105</v>
      </c>
      <c r="P285" s="224">
        <f ca="1">IF(M285&gt;0,N285*100/M285,0)</f>
        <v>61.47231044065105</v>
      </c>
      <c r="Q285" s="224">
        <f>Q286+Q287</f>
        <v>0</v>
      </c>
      <c r="R285" s="224">
        <f>R286+R287</f>
        <v>0</v>
      </c>
      <c r="S285" s="224">
        <f>S286+S287</f>
        <v>0</v>
      </c>
      <c r="T285" s="224">
        <f>IF(Q285&gt;0,S285*100/Q285,0)</f>
        <v>0</v>
      </c>
      <c r="U285" s="224">
        <f>IF(R285&gt;0,S285*100/R285,0)</f>
        <v>0</v>
      </c>
    </row>
    <row r="286" spans="1:21" ht="18.75" x14ac:dyDescent="0.25">
      <c r="A286" s="128"/>
      <c r="B286" s="40"/>
      <c r="C286" s="40"/>
      <c r="D286" s="40"/>
      <c r="E286" s="156" t="s">
        <v>36</v>
      </c>
      <c r="F286" s="40"/>
      <c r="G286" s="42"/>
      <c r="H286" s="159" t="s">
        <v>14</v>
      </c>
      <c r="I286" s="135"/>
      <c r="J286" s="135"/>
      <c r="K286" s="136"/>
      <c r="L286" s="1358">
        <v>0</v>
      </c>
      <c r="M286" s="83">
        <v>0</v>
      </c>
      <c r="N286" s="83">
        <v>0</v>
      </c>
      <c r="O286" s="83">
        <f>IF(L286&gt;0,N286*100/L286,0)</f>
        <v>0</v>
      </c>
      <c r="P286" s="83">
        <f>IF(M286&gt;0,N286*100/M286,0)</f>
        <v>0</v>
      </c>
      <c r="Q286" s="83">
        <v>0</v>
      </c>
      <c r="R286" s="83">
        <v>0</v>
      </c>
      <c r="S286" s="83">
        <v>0</v>
      </c>
      <c r="T286" s="83">
        <f>IF(Q286&gt;0,S286*100/Q286,0)</f>
        <v>0</v>
      </c>
      <c r="U286" s="83">
        <f>IF(R286&gt;0,S286*100/R286,0)</f>
        <v>0</v>
      </c>
    </row>
    <row r="287" spans="1:21" ht="18.75" x14ac:dyDescent="0.25">
      <c r="A287" s="128"/>
      <c r="B287" s="40"/>
      <c r="C287" s="40"/>
      <c r="D287" s="40"/>
      <c r="E287" s="47" t="s">
        <v>37</v>
      </c>
      <c r="F287" s="40"/>
      <c r="G287" s="42"/>
      <c r="H287" s="134" t="s">
        <v>14</v>
      </c>
      <c r="I287" s="135"/>
      <c r="J287" s="135"/>
      <c r="K287" s="136"/>
      <c r="L287" s="1356">
        <f ca="1">IFERROR(__xludf.DUMMYFUNCTION("IMPORTRANGE(""https://docs.google.com/spreadsheets/d/1-uDff_7J0KD5mKrp0Vvzr7lt3OU09vwQwhkpOPPYv2Y/edit?usp=sharing"",""งบพรบ!DO28"")"),201520)</f>
        <v>201520</v>
      </c>
      <c r="M287" s="224">
        <f ca="1">IFERROR(__xludf.DUMMYFUNCTION("IMPORTRANGE(""https://docs.google.com/spreadsheets/d/1-uDff_7J0KD5mKrp0Vvzr7lt3OU09vwQwhkpOPPYv2Y/edit?usp=sharing"",""งบพรบ!DT28"")"),201520)</f>
        <v>201520</v>
      </c>
      <c r="N287" s="224">
        <f ca="1">IFERROR(__xludf.DUMMYFUNCTION("IMPORTRANGE(""https://docs.google.com/spreadsheets/d/1-uDff_7J0KD5mKrp0Vvzr7lt3OU09vwQwhkpOPPYv2Y/edit?usp=sharing"",""งบพรบ!DV28"")"),123879)</f>
        <v>123879</v>
      </c>
      <c r="O287" s="224">
        <f ca="1">IF(L287&gt;0,N287*100/L287,0)</f>
        <v>61.47231044065105</v>
      </c>
      <c r="P287" s="224">
        <f ca="1">IF(M287&gt;0,N287*100/M287,0)</f>
        <v>61.47231044065105</v>
      </c>
      <c r="Q287" s="224">
        <v>0</v>
      </c>
      <c r="R287" s="224">
        <v>0</v>
      </c>
      <c r="S287" s="224">
        <v>0</v>
      </c>
      <c r="T287" s="83">
        <f>IF(Q287&gt;0,S287*100/Q287,0)</f>
        <v>0</v>
      </c>
      <c r="U287" s="83">
        <f>IF(R287&gt;0,S287*100/R287,0)</f>
        <v>0</v>
      </c>
    </row>
    <row r="288" spans="1:21" ht="18.75" x14ac:dyDescent="0.25">
      <c r="A288" s="128"/>
      <c r="B288" s="40"/>
      <c r="C288" s="40"/>
      <c r="D288" s="41" t="s">
        <v>23</v>
      </c>
      <c r="E288" s="40"/>
      <c r="F288" s="40"/>
      <c r="G288" s="42"/>
      <c r="H288" s="137" t="s">
        <v>14</v>
      </c>
      <c r="I288" s="135"/>
      <c r="J288" s="135"/>
      <c r="K288" s="136"/>
      <c r="L288" s="1356">
        <f ca="1">L289+L290</f>
        <v>0</v>
      </c>
      <c r="M288" s="224">
        <f ca="1">M289+M290</f>
        <v>0</v>
      </c>
      <c r="N288" s="224">
        <f ca="1">N289+N290</f>
        <v>0</v>
      </c>
      <c r="O288" s="224">
        <f ca="1">IF(L288&gt;0,N288*100/L288,0)</f>
        <v>0</v>
      </c>
      <c r="P288" s="224">
        <f ca="1">IF(M288&gt;0,N288*100/M288,0)</f>
        <v>0</v>
      </c>
      <c r="Q288" s="224">
        <f>Q289+Q290</f>
        <v>0</v>
      </c>
      <c r="R288" s="224">
        <f>R289+R290</f>
        <v>0</v>
      </c>
      <c r="S288" s="224">
        <f>S289+S290</f>
        <v>0</v>
      </c>
      <c r="T288" s="224">
        <f>IF(Q288&gt;0,S288*100/Q288,0)</f>
        <v>0</v>
      </c>
      <c r="U288" s="224">
        <f>IF(R288&gt;0,S288*100/R288,0)</f>
        <v>0</v>
      </c>
    </row>
    <row r="289" spans="1:21" ht="18.75" x14ac:dyDescent="0.25">
      <c r="A289" s="128"/>
      <c r="B289" s="40"/>
      <c r="C289" s="40"/>
      <c r="D289" s="40"/>
      <c r="E289" s="156" t="s">
        <v>20</v>
      </c>
      <c r="F289" s="40"/>
      <c r="G289" s="42"/>
      <c r="H289" s="159" t="s">
        <v>14</v>
      </c>
      <c r="I289" s="135"/>
      <c r="J289" s="135"/>
      <c r="K289" s="136"/>
      <c r="L289" s="1358">
        <v>0</v>
      </c>
      <c r="M289" s="83">
        <v>0</v>
      </c>
      <c r="N289" s="83">
        <v>0</v>
      </c>
      <c r="O289" s="83">
        <f>IF(L289&gt;0,N289*100/L289,0)</f>
        <v>0</v>
      </c>
      <c r="P289" s="83">
        <f>IF(M289&gt;0,N289*100/M289,0)</f>
        <v>0</v>
      </c>
      <c r="Q289" s="83">
        <v>0</v>
      </c>
      <c r="R289" s="83">
        <v>0</v>
      </c>
      <c r="S289" s="83">
        <v>0</v>
      </c>
      <c r="T289" s="83">
        <f>IF(Q289&gt;0,S289*100/Q289,0)</f>
        <v>0</v>
      </c>
      <c r="U289" s="83">
        <f>IF(R289&gt;0,S289*100/R289,0)</f>
        <v>0</v>
      </c>
    </row>
    <row r="290" spans="1:21" ht="18.75" x14ac:dyDescent="0.25">
      <c r="A290" s="128"/>
      <c r="B290" s="40"/>
      <c r="C290" s="40"/>
      <c r="D290" s="40"/>
      <c r="E290" s="47" t="s">
        <v>21</v>
      </c>
      <c r="F290" s="40"/>
      <c r="G290" s="42"/>
      <c r="H290" s="137" t="s">
        <v>14</v>
      </c>
      <c r="I290" s="135"/>
      <c r="J290" s="135"/>
      <c r="K290" s="136"/>
      <c r="L290" s="1356">
        <f ca="1">IFERROR(__xludf.DUMMYFUNCTION("IMPORTRANGE(""https://docs.google.com/spreadsheets/d/1-uDff_7J0KD5mKrp0Vvzr7lt3OU09vwQwhkpOPPYv2Y/edit?usp=sharing"",""งบพรบ!DR28"")"),0)</f>
        <v>0</v>
      </c>
      <c r="M290" s="224">
        <f ca="1">IFERROR(__xludf.DUMMYFUNCTION("IMPORTRANGE(""https://docs.google.com/spreadsheets/d/1-uDff_7J0KD5mKrp0Vvzr7lt3OU09vwQwhkpOPPYv2Y/edit?usp=sharing"",""งบพรบ!DU28"")"),0)</f>
        <v>0</v>
      </c>
      <c r="N290" s="224">
        <f ca="1">IFERROR(__xludf.DUMMYFUNCTION("IMPORTRANGE(""https://docs.google.com/spreadsheets/d/1-uDff_7J0KD5mKrp0Vvzr7lt3OU09vwQwhkpOPPYv2Y/edit?usp=sharing"",""งบพรบ!DW28"")"),0)</f>
        <v>0</v>
      </c>
      <c r="O290" s="224">
        <f ca="1">IF(L290&gt;0,N290*100/L290,0)</f>
        <v>0</v>
      </c>
      <c r="P290" s="224">
        <f ca="1">IF(M290&gt;0,N290*100/M290,0)</f>
        <v>0</v>
      </c>
      <c r="Q290" s="224">
        <v>0</v>
      </c>
      <c r="R290" s="224">
        <v>0</v>
      </c>
      <c r="S290" s="224">
        <v>0</v>
      </c>
      <c r="T290" s="224">
        <f>IF(Q290&gt;0,S290*100/Q290,0)</f>
        <v>0</v>
      </c>
      <c r="U290" s="224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1391" t="s">
        <v>38</v>
      </c>
      <c r="E291" s="141"/>
      <c r="F291" s="141"/>
      <c r="G291" s="142"/>
      <c r="H291" s="143"/>
      <c r="I291" s="135"/>
      <c r="J291" s="135"/>
      <c r="K291" s="136"/>
      <c r="L291" s="1392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3" t="s">
        <v>46</v>
      </c>
      <c r="I292" s="184">
        <f ca="1">IFERROR(__xludf.DUMMYFUNCTION("IMPORTRANGE(""https://docs.google.com/spreadsheets/d/1eHaY18a8A9IcSdp1K8H6x8fbOy06t2VsZHhMHf-1x7Y/edit?usp=sharing"",""แผน!EE28"")"),200)</f>
        <v>200</v>
      </c>
      <c r="J292" s="1395">
        <v>200</v>
      </c>
      <c r="K292" s="1396">
        <f ca="1">IF(I292&gt;0,J292*100/I292,0)</f>
        <v>100</v>
      </c>
      <c r="L292" s="1392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328">
        <f ca="1">IFERROR(__xludf.DUMMYFUNCTION("IMPORTRANGE(""https://docs.google.com/spreadsheets/d/1eHaY18a8A9IcSdp1K8H6x8fbOy06t2VsZHhMHf-1x7Y/edit?usp=sharing"",""แผน!ED28"")"),20)</f>
        <v>20</v>
      </c>
      <c r="J293" s="328">
        <f>J296</f>
        <v>20</v>
      </c>
      <c r="K293" s="1393">
        <f ca="1">IF(I293&gt;0,J293*100/I293,0)</f>
        <v>100</v>
      </c>
      <c r="L293" s="1392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4" t="s">
        <v>122</v>
      </c>
      <c r="F294" s="145"/>
      <c r="G294" s="143"/>
      <c r="H294" s="143"/>
      <c r="I294" s="135"/>
      <c r="J294" s="44"/>
      <c r="K294" s="136"/>
      <c r="L294" s="1392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394">
        <f ca="1">IFERROR(__xludf.DUMMYFUNCTION("IMPORTRANGE(""https://docs.google.com/spreadsheets/d/1eHaY18a8A9IcSdp1K8H6x8fbOy06t2VsZHhMHf-1x7Y/edit?usp=sharing"",""แผน!ED28"")"),20)</f>
        <v>20</v>
      </c>
      <c r="J295" s="1395">
        <v>20</v>
      </c>
      <c r="K295" s="1396">
        <f ca="1">IF(I295&gt;0,J295*100/I295,0)</f>
        <v>100</v>
      </c>
      <c r="L295" s="1392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394">
        <f ca="1">IFERROR(__xludf.DUMMYFUNCTION("IMPORTRANGE(""https://docs.google.com/spreadsheets/d/1eHaY18a8A9IcSdp1K8H6x8fbOy06t2VsZHhMHf-1x7Y/edit?usp=sharing"",""แผน!ED28"")"),20)</f>
        <v>20</v>
      </c>
      <c r="J296" s="1395">
        <v>20</v>
      </c>
      <c r="K296" s="1396">
        <f ca="1">IF(I296&gt;0,J296*100/I296,0)</f>
        <v>100</v>
      </c>
      <c r="L296" s="1392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2"/>
      <c r="B297" s="163"/>
      <c r="C297" s="163"/>
      <c r="D297" s="18"/>
      <c r="E297" s="18"/>
      <c r="F297" s="18"/>
      <c r="G297" s="19"/>
      <c r="H297" s="19"/>
      <c r="I297" s="20"/>
      <c r="J297" s="20"/>
      <c r="K297" s="21"/>
      <c r="L297" s="1346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12.75" x14ac:dyDescent="0.2">
      <c r="A298" s="162"/>
      <c r="B298" s="163"/>
      <c r="C298" s="163"/>
      <c r="D298" s="18"/>
      <c r="E298" s="18"/>
      <c r="F298" s="18"/>
      <c r="G298" s="19"/>
      <c r="H298" s="19"/>
      <c r="I298" s="20"/>
      <c r="J298" s="20"/>
      <c r="K298" s="21"/>
      <c r="L298" s="1346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1:21" ht="12.75" x14ac:dyDescent="0.2">
      <c r="A299" s="277"/>
      <c r="B299" s="278"/>
      <c r="C299" s="278"/>
      <c r="D299" s="22"/>
      <c r="E299" s="22"/>
      <c r="F299" s="22"/>
      <c r="G299" s="14"/>
      <c r="H299" s="14"/>
      <c r="I299" s="15"/>
      <c r="J299" s="15"/>
      <c r="K299" s="16"/>
      <c r="L299" s="1345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 ht="19.5" x14ac:dyDescent="0.3">
      <c r="A300" s="279" t="s">
        <v>125</v>
      </c>
      <c r="B300" s="280"/>
      <c r="C300" s="280"/>
      <c r="D300" s="280"/>
      <c r="E300" s="281"/>
      <c r="F300" s="281"/>
      <c r="G300" s="281"/>
      <c r="H300" s="281"/>
      <c r="I300" s="282"/>
      <c r="J300" s="282"/>
      <c r="K300" s="283"/>
      <c r="L300" s="283"/>
      <c r="M300" s="283"/>
      <c r="N300" s="283"/>
      <c r="O300" s="283"/>
      <c r="P300" s="284"/>
      <c r="Q300" s="283"/>
      <c r="R300" s="283"/>
      <c r="S300" s="283"/>
      <c r="T300" s="283"/>
      <c r="U300" s="284"/>
    </row>
    <row r="301" spans="1:21" ht="19.5" x14ac:dyDescent="0.3">
      <c r="A301" s="285" t="s">
        <v>126</v>
      </c>
      <c r="B301" s="286"/>
      <c r="C301" s="286"/>
      <c r="D301" s="287"/>
      <c r="E301" s="287"/>
      <c r="F301" s="287"/>
      <c r="G301" s="288"/>
      <c r="H301" s="288"/>
      <c r="I301" s="289"/>
      <c r="J301" s="289"/>
      <c r="K301" s="290"/>
      <c r="L301" s="1500"/>
      <c r="M301" s="290"/>
      <c r="N301" s="290"/>
      <c r="O301" s="290"/>
      <c r="P301" s="290"/>
      <c r="Q301" s="290"/>
      <c r="R301" s="290"/>
      <c r="S301" s="290"/>
      <c r="T301" s="290"/>
      <c r="U301" s="290"/>
    </row>
    <row r="302" spans="1:21" ht="19.5" x14ac:dyDescent="0.3">
      <c r="A302" s="291"/>
      <c r="B302" s="292" t="s">
        <v>127</v>
      </c>
      <c r="C302" s="293"/>
      <c r="D302" s="293"/>
      <c r="E302" s="293"/>
      <c r="F302" s="293"/>
      <c r="G302" s="294"/>
      <c r="H302" s="295" t="s">
        <v>35</v>
      </c>
      <c r="I302" s="1501">
        <f ca="1">I314</f>
        <v>50</v>
      </c>
      <c r="J302" s="1501">
        <f>J314</f>
        <v>0</v>
      </c>
      <c r="K302" s="1502">
        <f ca="1">IF(I302&gt;0,J302*100/I302,0)</f>
        <v>0</v>
      </c>
      <c r="L302" s="1503"/>
      <c r="M302" s="298"/>
      <c r="N302" s="298"/>
      <c r="O302" s="298"/>
      <c r="P302" s="298"/>
      <c r="Q302" s="298"/>
      <c r="R302" s="298"/>
      <c r="S302" s="298"/>
      <c r="T302" s="298"/>
      <c r="U302" s="298"/>
    </row>
    <row r="303" spans="1:21" ht="19.5" x14ac:dyDescent="0.3">
      <c r="A303" s="128"/>
      <c r="B303" s="40"/>
      <c r="C303" s="129" t="s">
        <v>18</v>
      </c>
      <c r="D303" s="1388" t="s">
        <v>19</v>
      </c>
      <c r="E303" s="40"/>
      <c r="F303" s="40"/>
      <c r="G303" s="42"/>
      <c r="H303" s="131" t="s">
        <v>14</v>
      </c>
      <c r="I303" s="44"/>
      <c r="J303" s="44"/>
      <c r="K303" s="45"/>
      <c r="L303" s="1389">
        <f ca="1">L304+L305</f>
        <v>0</v>
      </c>
      <c r="M303" s="1390">
        <f ca="1">M304+M305</f>
        <v>0</v>
      </c>
      <c r="N303" s="1390">
        <f ca="1">N304+N305</f>
        <v>0</v>
      </c>
      <c r="O303" s="1390">
        <f ca="1">IF(L303&gt;0,N303*100/L303,0)</f>
        <v>0</v>
      </c>
      <c r="P303" s="1390">
        <f ca="1">IF(M303&gt;0,N303*100/M303,0)</f>
        <v>0</v>
      </c>
      <c r="Q303" s="1390">
        <f ca="1">Q304+Q305</f>
        <v>374853.15</v>
      </c>
      <c r="R303" s="1390">
        <f ca="1">R304+R305</f>
        <v>374853</v>
      </c>
      <c r="S303" s="1390">
        <f ca="1">S304+S305</f>
        <v>0</v>
      </c>
      <c r="T303" s="1390">
        <f ca="1">IF(Q303&gt;0,S303*100/Q303,0)</f>
        <v>0</v>
      </c>
      <c r="U303" s="1390">
        <f ca="1">IF(R303&gt;0,S303*100/R303,0)</f>
        <v>0</v>
      </c>
    </row>
    <row r="304" spans="1:21" ht="18.75" x14ac:dyDescent="0.25">
      <c r="A304" s="128"/>
      <c r="B304" s="40"/>
      <c r="C304" s="40"/>
      <c r="D304" s="40"/>
      <c r="E304" s="156" t="s">
        <v>20</v>
      </c>
      <c r="F304" s="40"/>
      <c r="G304" s="42"/>
      <c r="H304" s="157" t="s">
        <v>14</v>
      </c>
      <c r="I304" s="44"/>
      <c r="J304" s="44"/>
      <c r="K304" s="45"/>
      <c r="L304" s="1358">
        <f>L307+L310</f>
        <v>0</v>
      </c>
      <c r="M304" s="83">
        <f>M307+M310</f>
        <v>0</v>
      </c>
      <c r="N304" s="83">
        <f>N307+N310</f>
        <v>0</v>
      </c>
      <c r="O304" s="83">
        <f>IF(L304&gt;0,N304*100/L304,0)</f>
        <v>0</v>
      </c>
      <c r="P304" s="83">
        <f>IF(M304&gt;0,N304*100/M304,0)</f>
        <v>0</v>
      </c>
      <c r="Q304" s="83">
        <f>Q307+Q310</f>
        <v>0</v>
      </c>
      <c r="R304" s="83">
        <f>R307+R310</f>
        <v>0</v>
      </c>
      <c r="S304" s="83">
        <f>S307+S310</f>
        <v>0</v>
      </c>
      <c r="T304" s="83">
        <f>IF(Q304&gt;0,S304*100/Q304,0)</f>
        <v>0</v>
      </c>
      <c r="U304" s="83">
        <f>IF(R304&gt;0,S304*100/R304,0)</f>
        <v>0</v>
      </c>
    </row>
    <row r="305" spans="1:21" ht="18.75" x14ac:dyDescent="0.25">
      <c r="A305" s="128"/>
      <c r="B305" s="40"/>
      <c r="C305" s="40"/>
      <c r="D305" s="40"/>
      <c r="E305" s="47" t="s">
        <v>21</v>
      </c>
      <c r="F305" s="40"/>
      <c r="G305" s="42"/>
      <c r="H305" s="133" t="s">
        <v>14</v>
      </c>
      <c r="I305" s="44"/>
      <c r="J305" s="44"/>
      <c r="K305" s="45"/>
      <c r="L305" s="1356">
        <f ca="1">L308+L311</f>
        <v>0</v>
      </c>
      <c r="M305" s="224">
        <f ca="1">M308+M311</f>
        <v>0</v>
      </c>
      <c r="N305" s="224">
        <f ca="1">N308+N311</f>
        <v>0</v>
      </c>
      <c r="O305" s="224">
        <f ca="1">IF(L305&gt;0,N305*100/L305,0)</f>
        <v>0</v>
      </c>
      <c r="P305" s="224">
        <f ca="1">IF(M305&gt;0,N305*100/M305,0)</f>
        <v>0</v>
      </c>
      <c r="Q305" s="224">
        <f ca="1">Q308+Q311</f>
        <v>374853.15</v>
      </c>
      <c r="R305" s="224">
        <f ca="1">R308+R311</f>
        <v>374853</v>
      </c>
      <c r="S305" s="224">
        <f ca="1">S308+S311</f>
        <v>0</v>
      </c>
      <c r="T305" s="224">
        <f ca="1">IF(Q305&gt;0,S305*100/Q305,0)</f>
        <v>0</v>
      </c>
      <c r="U305" s="224">
        <f ca="1">IF(R305&gt;0,S305*100/R305,0)</f>
        <v>0</v>
      </c>
    </row>
    <row r="306" spans="1:21" ht="18.75" x14ac:dyDescent="0.25">
      <c r="A306" s="128"/>
      <c r="B306" s="40"/>
      <c r="C306" s="40"/>
      <c r="D306" s="41" t="s">
        <v>22</v>
      </c>
      <c r="E306" s="40"/>
      <c r="F306" s="40"/>
      <c r="G306" s="42"/>
      <c r="H306" s="134" t="s">
        <v>14</v>
      </c>
      <c r="I306" s="135"/>
      <c r="J306" s="135"/>
      <c r="K306" s="136"/>
      <c r="L306" s="1356">
        <f ca="1">L307+L308</f>
        <v>0</v>
      </c>
      <c r="M306" s="224">
        <f ca="1">M307+M308</f>
        <v>0</v>
      </c>
      <c r="N306" s="224">
        <f ca="1">N307+N308</f>
        <v>0</v>
      </c>
      <c r="O306" s="224">
        <f ca="1">IF(L306&gt;0,N306*100/L306,0)</f>
        <v>0</v>
      </c>
      <c r="P306" s="224">
        <f ca="1">IF(M306&gt;0,N306*100/M306,0)</f>
        <v>0</v>
      </c>
      <c r="Q306" s="224">
        <f ca="1">Q307+Q308</f>
        <v>374853.15</v>
      </c>
      <c r="R306" s="224">
        <f ca="1">R307+R308</f>
        <v>374853</v>
      </c>
      <c r="S306" s="224">
        <f ca="1">S307+S308</f>
        <v>0</v>
      </c>
      <c r="T306" s="224">
        <f ca="1">IF(Q306&gt;0,S306*100/Q306,0)</f>
        <v>0</v>
      </c>
      <c r="U306" s="224">
        <f ca="1">IF(R306&gt;0,S306*100/R306,0)</f>
        <v>0</v>
      </c>
    </row>
    <row r="307" spans="1:21" ht="18.75" x14ac:dyDescent="0.25">
      <c r="A307" s="128"/>
      <c r="B307" s="40"/>
      <c r="C307" s="40"/>
      <c r="D307" s="40"/>
      <c r="E307" s="156" t="s">
        <v>36</v>
      </c>
      <c r="F307" s="40"/>
      <c r="G307" s="42"/>
      <c r="H307" s="159" t="s">
        <v>14</v>
      </c>
      <c r="I307" s="135"/>
      <c r="J307" s="135"/>
      <c r="K307" s="136"/>
      <c r="L307" s="1358">
        <v>0</v>
      </c>
      <c r="M307" s="83">
        <v>0</v>
      </c>
      <c r="N307" s="83">
        <v>0</v>
      </c>
      <c r="O307" s="83">
        <f>IF(L307&gt;0,N307*100/L307,0)</f>
        <v>0</v>
      </c>
      <c r="P307" s="83">
        <f>IF(M307&gt;0,N307*100/M307,0)</f>
        <v>0</v>
      </c>
      <c r="Q307" s="83">
        <v>0</v>
      </c>
      <c r="R307" s="83">
        <v>0</v>
      </c>
      <c r="S307" s="83">
        <v>0</v>
      </c>
      <c r="T307" s="83">
        <f>IF(Q307&gt;0,S307*100/Q307,0)</f>
        <v>0</v>
      </c>
      <c r="U307" s="83">
        <f>IF(R307&gt;0,S307*100/R307,0)</f>
        <v>0</v>
      </c>
    </row>
    <row r="308" spans="1:21" ht="18.75" x14ac:dyDescent="0.25">
      <c r="A308" s="128"/>
      <c r="B308" s="40"/>
      <c r="C308" s="40"/>
      <c r="D308" s="40"/>
      <c r="E308" s="47" t="s">
        <v>37</v>
      </c>
      <c r="F308" s="40"/>
      <c r="G308" s="42"/>
      <c r="H308" s="134" t="s">
        <v>14</v>
      </c>
      <c r="I308" s="135"/>
      <c r="J308" s="135"/>
      <c r="K308" s="136"/>
      <c r="L308" s="1356">
        <f ca="1">IFERROR(__xludf.DUMMYFUNCTION("IMPORTRANGE(""https://docs.google.com/spreadsheets/d/1-uDff_7J0KD5mKrp0Vvzr7lt3OU09vwQwhkpOPPYv2Y/edit?usp=sharing"",""งบพรบ!DY28"")"),0)</f>
        <v>0</v>
      </c>
      <c r="M308" s="224">
        <f ca="1">IFERROR(__xludf.DUMMYFUNCTION("IMPORTRANGE(""https://docs.google.com/spreadsheets/d/1-uDff_7J0KD5mKrp0Vvzr7lt3OU09vwQwhkpOPPYv2Y/edit?usp=sharing"",""งบพรบ!ED28"")"),0)</f>
        <v>0</v>
      </c>
      <c r="N308" s="224">
        <f ca="1">IFERROR(__xludf.DUMMYFUNCTION("IMPORTRANGE(""https://docs.google.com/spreadsheets/d/1-uDff_7J0KD5mKrp0Vvzr7lt3OU09vwQwhkpOPPYv2Y/edit?usp=sharing"",""งบพรบ!EF28"")"),0)</f>
        <v>0</v>
      </c>
      <c r="O308" s="224">
        <f ca="1">IF(L308&gt;0,N308*100/L308,0)</f>
        <v>0</v>
      </c>
      <c r="P308" s="224">
        <f ca="1">IF(M308&gt;0,N308*100/M308,0)</f>
        <v>0</v>
      </c>
      <c r="Q308" s="224">
        <f ca="1">IFERROR(__xludf.DUMMYFUNCTION("IMPORTRANGE(""https://docs.google.com/spreadsheets/d/1ItG2mGa2ceCfYo0BwxsXqNm01IGEUdYcSSLTEv9YCik/edit?usp=sharing"",""เบิกจ่ายกองทุน!BB28"")"),374853.15)</f>
        <v>374853.15</v>
      </c>
      <c r="R308" s="224">
        <f ca="1">IFERROR(__xludf.DUMMYFUNCTION("IMPORTRANGE(""https://docs.google.com/spreadsheets/d/1ItG2mGa2ceCfYo0BwxsXqNm01IGEUdYcSSLTEv9YCik/edit?usp=sharing"",""เบิกจ่ายกองทุน!BC28"")"),374853)</f>
        <v>374853</v>
      </c>
      <c r="S308" s="224">
        <f ca="1">IFERROR(__xludf.DUMMYFUNCTION("IMPORTRANGE(""https://docs.google.com/spreadsheets/d/1ItG2mGa2ceCfYo0BwxsXqNm01IGEUdYcSSLTEv9YCik/edit?usp=sharing"",""เบิกจ่ายกองทุน!BD28"")"),0)</f>
        <v>0</v>
      </c>
      <c r="T308" s="224">
        <f ca="1">IF(Q308&gt;0,S308*100/Q308,0)</f>
        <v>0</v>
      </c>
      <c r="U308" s="224">
        <f ca="1">IF(R308&gt;0,S308*100/R308,0)</f>
        <v>0</v>
      </c>
    </row>
    <row r="309" spans="1:21" ht="18.75" x14ac:dyDescent="0.25">
      <c r="A309" s="128"/>
      <c r="B309" s="40"/>
      <c r="C309" s="40"/>
      <c r="D309" s="41" t="s">
        <v>23</v>
      </c>
      <c r="E309" s="40"/>
      <c r="F309" s="40"/>
      <c r="G309" s="42"/>
      <c r="H309" s="137" t="s">
        <v>14</v>
      </c>
      <c r="I309" s="135"/>
      <c r="J309" s="135"/>
      <c r="K309" s="136"/>
      <c r="L309" s="1356">
        <f ca="1">L310+L311</f>
        <v>0</v>
      </c>
      <c r="M309" s="224">
        <f ca="1">M310+M311</f>
        <v>0</v>
      </c>
      <c r="N309" s="224">
        <f ca="1">N310+N311</f>
        <v>0</v>
      </c>
      <c r="O309" s="224">
        <f ca="1">IF(L309&gt;0,N309*100/L309,0)</f>
        <v>0</v>
      </c>
      <c r="P309" s="224">
        <f ca="1">IF(M309&gt;0,N309*100/M309,0)</f>
        <v>0</v>
      </c>
      <c r="Q309" s="224">
        <f>Q310+Q311</f>
        <v>0</v>
      </c>
      <c r="R309" s="224">
        <f>R310+R311</f>
        <v>0</v>
      </c>
      <c r="S309" s="224">
        <f>S310+S311</f>
        <v>0</v>
      </c>
      <c r="T309" s="224">
        <f>IF(Q309&gt;0,S309*100/Q309,0)</f>
        <v>0</v>
      </c>
      <c r="U309" s="224">
        <f>IF(R309&gt;0,S309*100/R309,0)</f>
        <v>0</v>
      </c>
    </row>
    <row r="310" spans="1:21" ht="18.75" x14ac:dyDescent="0.25">
      <c r="A310" s="128"/>
      <c r="B310" s="40"/>
      <c r="C310" s="40"/>
      <c r="D310" s="40"/>
      <c r="E310" s="156" t="s">
        <v>20</v>
      </c>
      <c r="F310" s="40"/>
      <c r="G310" s="42"/>
      <c r="H310" s="159" t="s">
        <v>14</v>
      </c>
      <c r="I310" s="135"/>
      <c r="J310" s="135"/>
      <c r="K310" s="136"/>
      <c r="L310" s="1358">
        <v>0</v>
      </c>
      <c r="M310" s="83">
        <v>0</v>
      </c>
      <c r="N310" s="83">
        <v>0</v>
      </c>
      <c r="O310" s="83">
        <f>IF(L310&gt;0,N310*100/L310,0)</f>
        <v>0</v>
      </c>
      <c r="P310" s="83">
        <f>IF(M310&gt;0,N310*100/M310,0)</f>
        <v>0</v>
      </c>
      <c r="Q310" s="83">
        <v>0</v>
      </c>
      <c r="R310" s="83">
        <v>0</v>
      </c>
      <c r="S310" s="83">
        <v>0</v>
      </c>
      <c r="T310" s="83">
        <f>IF(Q310&gt;0,S310*100/Q310,0)</f>
        <v>0</v>
      </c>
      <c r="U310" s="83">
        <f>IF(R310&gt;0,S310*100/R310,0)</f>
        <v>0</v>
      </c>
    </row>
    <row r="311" spans="1:21" ht="18.75" x14ac:dyDescent="0.25">
      <c r="A311" s="128"/>
      <c r="B311" s="40"/>
      <c r="C311" s="40"/>
      <c r="D311" s="40"/>
      <c r="E311" s="47" t="s">
        <v>21</v>
      </c>
      <c r="F311" s="40"/>
      <c r="G311" s="42"/>
      <c r="H311" s="137" t="s">
        <v>14</v>
      </c>
      <c r="I311" s="135"/>
      <c r="J311" s="135"/>
      <c r="K311" s="136"/>
      <c r="L311" s="1356">
        <f ca="1">IFERROR(__xludf.DUMMYFUNCTION("IMPORTRANGE(""https://docs.google.com/spreadsheets/d/1-uDff_7J0KD5mKrp0Vvzr7lt3OU09vwQwhkpOPPYv2Y/edit?usp=sharing"",""งบพรบ!EB28"")"),0)</f>
        <v>0</v>
      </c>
      <c r="M311" s="224">
        <f ca="1">IFERROR(__xludf.DUMMYFUNCTION("IMPORTRANGE(""https://docs.google.com/spreadsheets/d/1-uDff_7J0KD5mKrp0Vvzr7lt3OU09vwQwhkpOPPYv2Y/edit?usp=sharing"",""งบพรบ!EE28"")"),0)</f>
        <v>0</v>
      </c>
      <c r="N311" s="224">
        <f ca="1">IFERROR(__xludf.DUMMYFUNCTION("IMPORTRANGE(""https://docs.google.com/spreadsheets/d/1-uDff_7J0KD5mKrp0Vvzr7lt3OU09vwQwhkpOPPYv2Y/edit?usp=sharing"",""งบพรบ!EG28"")"),0)</f>
        <v>0</v>
      </c>
      <c r="O311" s="224">
        <f ca="1">IF(L311&gt;0,N311*100/L311,0)</f>
        <v>0</v>
      </c>
      <c r="P311" s="224">
        <f ca="1">IF(M311&gt;0,N311*100/M311,0)</f>
        <v>0</v>
      </c>
      <c r="Q311" s="224">
        <v>0</v>
      </c>
      <c r="R311" s="224">
        <v>0</v>
      </c>
      <c r="S311" s="224">
        <v>0</v>
      </c>
      <c r="T311" s="224">
        <f>IF(Q311&gt;0,S311*100/Q311,0)</f>
        <v>0</v>
      </c>
      <c r="U311" s="224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1391" t="s">
        <v>38</v>
      </c>
      <c r="E312" s="141"/>
      <c r="F312" s="141"/>
      <c r="G312" s="142"/>
      <c r="H312" s="143"/>
      <c r="I312" s="44"/>
      <c r="J312" s="44"/>
      <c r="K312" s="45"/>
      <c r="L312" s="1359"/>
      <c r="M312" s="45"/>
      <c r="N312" s="45"/>
      <c r="O312" s="45"/>
      <c r="P312" s="45"/>
      <c r="Q312" s="45"/>
      <c r="R312" s="45"/>
      <c r="S312" s="45"/>
      <c r="T312" s="45"/>
      <c r="U312" s="45"/>
    </row>
    <row r="313" spans="1:21" ht="18.75" x14ac:dyDescent="0.25">
      <c r="A313" s="162"/>
      <c r="B313" s="163"/>
      <c r="C313" s="163"/>
      <c r="D313" s="1504"/>
      <c r="E313" s="18"/>
      <c r="F313" s="18"/>
      <c r="G313" s="19"/>
      <c r="H313" s="19"/>
      <c r="I313" s="20"/>
      <c r="J313" s="1505"/>
      <c r="K313" s="21"/>
      <c r="L313" s="1346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84">
        <f ca="1">IFERROR(__xludf.DUMMYFUNCTION("IMPORTRANGE(""https://docs.google.com/spreadsheets/d/1eHaY18a8A9IcSdp1K8H6x8fbOy06t2VsZHhMHf-1x7Y/edit?usp=sharing"",""แผน!EF28"")"),50)</f>
        <v>50</v>
      </c>
      <c r="J314" s="1395">
        <v>0</v>
      </c>
      <c r="K314" s="224">
        <f ca="1">IF(I314&gt;0,J314*100/I314,0)</f>
        <v>0</v>
      </c>
      <c r="L314" s="1359"/>
      <c r="M314" s="45"/>
      <c r="N314" s="45"/>
      <c r="O314" s="45"/>
      <c r="P314" s="45"/>
      <c r="Q314" s="45"/>
      <c r="R314" s="45"/>
      <c r="S314" s="45"/>
      <c r="T314" s="45"/>
      <c r="U314" s="45"/>
    </row>
    <row r="315" spans="1:21" ht="18.75" x14ac:dyDescent="0.25">
      <c r="A315" s="162"/>
      <c r="B315" s="163"/>
      <c r="C315" s="163"/>
      <c r="D315" s="1504"/>
      <c r="E315" s="18"/>
      <c r="F315" s="18"/>
      <c r="G315" s="19"/>
      <c r="H315" s="1506"/>
      <c r="I315" s="1505"/>
      <c r="J315" s="1505"/>
      <c r="K315" s="1507"/>
      <c r="L315" s="1346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1:21" ht="18.75" x14ac:dyDescent="0.25">
      <c r="A316" s="162"/>
      <c r="B316" s="163"/>
      <c r="C316" s="163"/>
      <c r="D316" s="1504"/>
      <c r="E316" s="18"/>
      <c r="F316" s="18"/>
      <c r="G316" s="19"/>
      <c r="H316" s="1506"/>
      <c r="I316" s="1505"/>
      <c r="J316" s="1505"/>
      <c r="K316" s="1507"/>
      <c r="L316" s="1346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1:21" ht="18.75" x14ac:dyDescent="0.25">
      <c r="A317" s="162"/>
      <c r="B317" s="163"/>
      <c r="C317" s="163"/>
      <c r="D317" s="1508"/>
      <c r="E317" s="18"/>
      <c r="F317" s="18"/>
      <c r="G317" s="19"/>
      <c r="H317" s="1509"/>
      <c r="I317" s="1510"/>
      <c r="J317" s="1510"/>
      <c r="K317" s="1511"/>
      <c r="L317" s="1346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1:21" ht="19.5" x14ac:dyDescent="0.3">
      <c r="A318" s="285" t="s">
        <v>131</v>
      </c>
      <c r="B318" s="286"/>
      <c r="C318" s="286"/>
      <c r="D318" s="287"/>
      <c r="E318" s="286"/>
      <c r="F318" s="286"/>
      <c r="G318" s="286"/>
      <c r="H318" s="287"/>
      <c r="I318" s="289"/>
      <c r="J318" s="289"/>
      <c r="K318" s="290"/>
      <c r="L318" s="1500"/>
      <c r="M318" s="290"/>
      <c r="N318" s="290"/>
      <c r="O318" s="290"/>
      <c r="P318" s="290"/>
      <c r="Q318" s="290"/>
      <c r="R318" s="290"/>
      <c r="S318" s="290"/>
      <c r="T318" s="290"/>
      <c r="U318" s="290"/>
    </row>
    <row r="319" spans="1:21" ht="19.5" x14ac:dyDescent="0.3">
      <c r="A319" s="299"/>
      <c r="B319" s="292" t="s">
        <v>132</v>
      </c>
      <c r="C319" s="300"/>
      <c r="D319" s="301"/>
      <c r="E319" s="293"/>
      <c r="F319" s="293"/>
      <c r="G319" s="294"/>
      <c r="H319" s="295" t="s">
        <v>133</v>
      </c>
      <c r="I319" s="1501">
        <f ca="1">I330</f>
        <v>0</v>
      </c>
      <c r="J319" s="1501">
        <f>J330</f>
        <v>0</v>
      </c>
      <c r="K319" s="1502">
        <f ca="1">IF(I319&gt;0,J319*100/I319,0)</f>
        <v>0</v>
      </c>
      <c r="L319" s="1503"/>
      <c r="M319" s="298"/>
      <c r="N319" s="298"/>
      <c r="O319" s="298"/>
      <c r="P319" s="298"/>
      <c r="Q319" s="298"/>
      <c r="R319" s="298"/>
      <c r="S319" s="298"/>
      <c r="T319" s="298"/>
      <c r="U319" s="298"/>
    </row>
    <row r="320" spans="1:21" ht="19.5" x14ac:dyDescent="0.3">
      <c r="A320" s="128"/>
      <c r="B320" s="40"/>
      <c r="C320" s="129" t="s">
        <v>18</v>
      </c>
      <c r="D320" s="1388" t="s">
        <v>19</v>
      </c>
      <c r="E320" s="40"/>
      <c r="F320" s="40"/>
      <c r="G320" s="42"/>
      <c r="H320" s="131" t="s">
        <v>14</v>
      </c>
      <c r="I320" s="44"/>
      <c r="J320" s="44"/>
      <c r="K320" s="45"/>
      <c r="L320" s="1389">
        <f ca="1">L321+L322</f>
        <v>0</v>
      </c>
      <c r="M320" s="1390">
        <f ca="1">M321+M322</f>
        <v>0</v>
      </c>
      <c r="N320" s="1390">
        <f ca="1">N321+N322</f>
        <v>0</v>
      </c>
      <c r="O320" s="1390">
        <f ca="1">IF(L320&gt;0,N320*100/L320,0)</f>
        <v>0</v>
      </c>
      <c r="P320" s="1390">
        <f ca="1">IF(M320&gt;0,N320*100/M320,0)</f>
        <v>0</v>
      </c>
      <c r="Q320" s="1390">
        <f>Q321+Q322</f>
        <v>0</v>
      </c>
      <c r="R320" s="1390">
        <f>R321+R322</f>
        <v>0</v>
      </c>
      <c r="S320" s="1390">
        <f>S321+S322</f>
        <v>0</v>
      </c>
      <c r="T320" s="1390">
        <f>IF(Q320&gt;0,S320*100/Q320,0)</f>
        <v>0</v>
      </c>
      <c r="U320" s="1390">
        <f>IF(R320&gt;0,S320*100/R320,0)</f>
        <v>0</v>
      </c>
    </row>
    <row r="321" spans="1:21" ht="18.75" x14ac:dyDescent="0.25">
      <c r="A321" s="128"/>
      <c r="B321" s="40"/>
      <c r="C321" s="40"/>
      <c r="D321" s="40"/>
      <c r="E321" s="156" t="s">
        <v>20</v>
      </c>
      <c r="F321" s="40"/>
      <c r="G321" s="42"/>
      <c r="H321" s="157" t="s">
        <v>14</v>
      </c>
      <c r="I321" s="44"/>
      <c r="J321" s="44"/>
      <c r="K321" s="45"/>
      <c r="L321" s="1358">
        <f>L324+L327</f>
        <v>0</v>
      </c>
      <c r="M321" s="83">
        <f>M324+M327</f>
        <v>0</v>
      </c>
      <c r="N321" s="83">
        <f>N324+N327</f>
        <v>0</v>
      </c>
      <c r="O321" s="83">
        <f>IF(L321&gt;0,N321*100/L321,0)</f>
        <v>0</v>
      </c>
      <c r="P321" s="83">
        <f>IF(M321&gt;0,N321*100/M321,0)</f>
        <v>0</v>
      </c>
      <c r="Q321" s="83">
        <f>Q324+Q327</f>
        <v>0</v>
      </c>
      <c r="R321" s="83">
        <f>R324+R327</f>
        <v>0</v>
      </c>
      <c r="S321" s="83">
        <f>S324+S327</f>
        <v>0</v>
      </c>
      <c r="T321" s="83">
        <f>IF(Q321&gt;0,S321*100/Q321,0)</f>
        <v>0</v>
      </c>
      <c r="U321" s="83">
        <f>IF(R321&gt;0,S321*100/R321,0)</f>
        <v>0</v>
      </c>
    </row>
    <row r="322" spans="1:21" ht="18.75" x14ac:dyDescent="0.25">
      <c r="A322" s="128"/>
      <c r="B322" s="40"/>
      <c r="C322" s="40"/>
      <c r="D322" s="40"/>
      <c r="E322" s="47" t="s">
        <v>21</v>
      </c>
      <c r="F322" s="40"/>
      <c r="G322" s="42"/>
      <c r="H322" s="133" t="s">
        <v>14</v>
      </c>
      <c r="I322" s="44"/>
      <c r="J322" s="44"/>
      <c r="K322" s="45"/>
      <c r="L322" s="1356">
        <f ca="1">L325+L328</f>
        <v>0</v>
      </c>
      <c r="M322" s="224">
        <f ca="1">M325+M328</f>
        <v>0</v>
      </c>
      <c r="N322" s="224">
        <f ca="1">N325+N328</f>
        <v>0</v>
      </c>
      <c r="O322" s="224">
        <f ca="1">IF(L322&gt;0,N322*100/L322,0)</f>
        <v>0</v>
      </c>
      <c r="P322" s="224">
        <f ca="1">IF(M322&gt;0,N322*100/M322,0)</f>
        <v>0</v>
      </c>
      <c r="Q322" s="224">
        <f>Q325+Q328</f>
        <v>0</v>
      </c>
      <c r="R322" s="224">
        <f>R325+R328</f>
        <v>0</v>
      </c>
      <c r="S322" s="224">
        <f>S325+S328</f>
        <v>0</v>
      </c>
      <c r="T322" s="224">
        <f>IF(Q322&gt;0,S322*100/Q322,0)</f>
        <v>0</v>
      </c>
      <c r="U322" s="224">
        <f>IF(R322&gt;0,S322*100/R322,0)</f>
        <v>0</v>
      </c>
    </row>
    <row r="323" spans="1:21" ht="18.75" x14ac:dyDescent="0.25">
      <c r="A323" s="128"/>
      <c r="B323" s="40"/>
      <c r="C323" s="40"/>
      <c r="D323" s="41" t="s">
        <v>22</v>
      </c>
      <c r="E323" s="40"/>
      <c r="F323" s="40"/>
      <c r="G323" s="42"/>
      <c r="H323" s="134" t="s">
        <v>14</v>
      </c>
      <c r="I323" s="135"/>
      <c r="J323" s="135"/>
      <c r="K323" s="136"/>
      <c r="L323" s="1356">
        <f ca="1">L324+L325</f>
        <v>0</v>
      </c>
      <c r="M323" s="224">
        <f ca="1">M324+M325</f>
        <v>0</v>
      </c>
      <c r="N323" s="224">
        <f ca="1">N324+N325</f>
        <v>0</v>
      </c>
      <c r="O323" s="224">
        <f ca="1">IF(L323&gt;0,N323*100/L323,0)</f>
        <v>0</v>
      </c>
      <c r="P323" s="224">
        <f ca="1">IF(M323&gt;0,N323*100/M323,0)</f>
        <v>0</v>
      </c>
      <c r="Q323" s="224">
        <f>Q324+Q325</f>
        <v>0</v>
      </c>
      <c r="R323" s="224">
        <f>R324+R325</f>
        <v>0</v>
      </c>
      <c r="S323" s="224">
        <f>S324+S325</f>
        <v>0</v>
      </c>
      <c r="T323" s="224">
        <f>IF(Q323&gt;0,S323*100/Q323,0)</f>
        <v>0</v>
      </c>
      <c r="U323" s="224">
        <f>IF(R323&gt;0,S323*100/R323,0)</f>
        <v>0</v>
      </c>
    </row>
    <row r="324" spans="1:21" ht="18.75" x14ac:dyDescent="0.25">
      <c r="A324" s="128"/>
      <c r="B324" s="40"/>
      <c r="C324" s="40"/>
      <c r="D324" s="40"/>
      <c r="E324" s="156" t="s">
        <v>36</v>
      </c>
      <c r="F324" s="40"/>
      <c r="G324" s="42"/>
      <c r="H324" s="159" t="s">
        <v>14</v>
      </c>
      <c r="I324" s="135"/>
      <c r="J324" s="135"/>
      <c r="K324" s="136"/>
      <c r="L324" s="1358">
        <v>0</v>
      </c>
      <c r="M324" s="83">
        <v>0</v>
      </c>
      <c r="N324" s="83">
        <v>0</v>
      </c>
      <c r="O324" s="83">
        <f>IF(L324&gt;0,N324*100/L324,0)</f>
        <v>0</v>
      </c>
      <c r="P324" s="83">
        <f>IF(M324&gt;0,N324*100/M324,0)</f>
        <v>0</v>
      </c>
      <c r="Q324" s="83">
        <v>0</v>
      </c>
      <c r="R324" s="83">
        <v>0</v>
      </c>
      <c r="S324" s="83">
        <v>0</v>
      </c>
      <c r="T324" s="83">
        <f>IF(Q324&gt;0,S324*100/Q324,0)</f>
        <v>0</v>
      </c>
      <c r="U324" s="83">
        <f>IF(R324&gt;0,S324*100/R324,0)</f>
        <v>0</v>
      </c>
    </row>
    <row r="325" spans="1:21" ht="18.75" x14ac:dyDescent="0.25">
      <c r="A325" s="128"/>
      <c r="B325" s="40"/>
      <c r="C325" s="40"/>
      <c r="D325" s="40"/>
      <c r="E325" s="47" t="s">
        <v>37</v>
      </c>
      <c r="F325" s="40"/>
      <c r="G325" s="42"/>
      <c r="H325" s="134" t="s">
        <v>14</v>
      </c>
      <c r="I325" s="135"/>
      <c r="J325" s="135"/>
      <c r="K325" s="136"/>
      <c r="L325" s="1356">
        <f ca="1">IFERROR(__xludf.DUMMYFUNCTION("IMPORTRANGE(""https://docs.google.com/spreadsheets/d/1-uDff_7J0KD5mKrp0Vvzr7lt3OU09vwQwhkpOPPYv2Y/edit?usp=sharing"",""งบพรบ!EI28"")"),0)</f>
        <v>0</v>
      </c>
      <c r="M325" s="224">
        <f ca="1">IFERROR(__xludf.DUMMYFUNCTION("IMPORTRANGE(""https://docs.google.com/spreadsheets/d/1-uDff_7J0KD5mKrp0Vvzr7lt3OU09vwQwhkpOPPYv2Y/edit?usp=sharing"",""งบพรบ!EN28"")"),0)</f>
        <v>0</v>
      </c>
      <c r="N325" s="224">
        <f ca="1">IFERROR(__xludf.DUMMYFUNCTION("IMPORTRANGE(""https://docs.google.com/spreadsheets/d/1-uDff_7J0KD5mKrp0Vvzr7lt3OU09vwQwhkpOPPYv2Y/edit?usp=sharing"",""งบพรบ!EP28"")"),0)</f>
        <v>0</v>
      </c>
      <c r="O325" s="224">
        <f ca="1">IF(L325&gt;0,N325*100/L325,0)</f>
        <v>0</v>
      </c>
      <c r="P325" s="224">
        <f ca="1">IF(M325&gt;0,N325*100/M325,0)</f>
        <v>0</v>
      </c>
      <c r="Q325" s="224">
        <v>0</v>
      </c>
      <c r="R325" s="224">
        <v>0</v>
      </c>
      <c r="S325" s="224">
        <v>0</v>
      </c>
      <c r="T325" s="224">
        <f>IF(Q325&gt;0,S325*100/Q325,0)</f>
        <v>0</v>
      </c>
      <c r="U325" s="224">
        <f>IF(R325&gt;0,S325*100/R325,0)</f>
        <v>0</v>
      </c>
    </row>
    <row r="326" spans="1:21" ht="18.75" x14ac:dyDescent="0.25">
      <c r="A326" s="128"/>
      <c r="B326" s="40"/>
      <c r="C326" s="40"/>
      <c r="D326" s="41" t="s">
        <v>23</v>
      </c>
      <c r="E326" s="40"/>
      <c r="F326" s="40"/>
      <c r="G326" s="42"/>
      <c r="H326" s="137" t="s">
        <v>14</v>
      </c>
      <c r="I326" s="135"/>
      <c r="J326" s="135"/>
      <c r="K326" s="136"/>
      <c r="L326" s="1356">
        <f ca="1">L327+L328</f>
        <v>0</v>
      </c>
      <c r="M326" s="224">
        <f ca="1">M327+M328</f>
        <v>0</v>
      </c>
      <c r="N326" s="224">
        <f ca="1">N327+N328</f>
        <v>0</v>
      </c>
      <c r="O326" s="224">
        <f ca="1">IF(L326&gt;0,N326*100/L326,0)</f>
        <v>0</v>
      </c>
      <c r="P326" s="224">
        <f ca="1">IF(M326&gt;0,N326*100/M326,0)</f>
        <v>0</v>
      </c>
      <c r="Q326" s="224">
        <f>Q327+Q328</f>
        <v>0</v>
      </c>
      <c r="R326" s="224">
        <f>R327+R328</f>
        <v>0</v>
      </c>
      <c r="S326" s="224">
        <f>S327+S328</f>
        <v>0</v>
      </c>
      <c r="T326" s="224">
        <f>IF(Q326&gt;0,S326*100/Q326,0)</f>
        <v>0</v>
      </c>
      <c r="U326" s="224">
        <f>IF(R326&gt;0,S326*100/R326,0)</f>
        <v>0</v>
      </c>
    </row>
    <row r="327" spans="1:21" ht="18.75" x14ac:dyDescent="0.25">
      <c r="A327" s="128"/>
      <c r="B327" s="40"/>
      <c r="C327" s="40"/>
      <c r="D327" s="40"/>
      <c r="E327" s="156" t="s">
        <v>20</v>
      </c>
      <c r="F327" s="40"/>
      <c r="G327" s="42"/>
      <c r="H327" s="159" t="s">
        <v>14</v>
      </c>
      <c r="I327" s="135"/>
      <c r="J327" s="135"/>
      <c r="K327" s="136"/>
      <c r="L327" s="1358">
        <v>0</v>
      </c>
      <c r="M327" s="83">
        <v>0</v>
      </c>
      <c r="N327" s="83">
        <v>0</v>
      </c>
      <c r="O327" s="83">
        <f>IF(L327&gt;0,N327*100/L327,0)</f>
        <v>0</v>
      </c>
      <c r="P327" s="83">
        <f>IF(M327&gt;0,N327*100/M327,0)</f>
        <v>0</v>
      </c>
      <c r="Q327" s="83">
        <v>0</v>
      </c>
      <c r="R327" s="83">
        <v>0</v>
      </c>
      <c r="S327" s="83">
        <v>0</v>
      </c>
      <c r="T327" s="83">
        <f>IF(Q327&gt;0,S327*100/Q327,0)</f>
        <v>0</v>
      </c>
      <c r="U327" s="83">
        <f>IF(R327&gt;0,S327*100/R327,0)</f>
        <v>0</v>
      </c>
    </row>
    <row r="328" spans="1:21" ht="18.75" x14ac:dyDescent="0.25">
      <c r="A328" s="128"/>
      <c r="B328" s="40"/>
      <c r="C328" s="40"/>
      <c r="D328" s="40"/>
      <c r="E328" s="47" t="s">
        <v>21</v>
      </c>
      <c r="F328" s="40"/>
      <c r="G328" s="42"/>
      <c r="H328" s="137" t="s">
        <v>14</v>
      </c>
      <c r="I328" s="135"/>
      <c r="J328" s="135"/>
      <c r="K328" s="136"/>
      <c r="L328" s="1356">
        <f ca="1">IFERROR(__xludf.DUMMYFUNCTION("IMPORTRANGE(""https://docs.google.com/spreadsheets/d/1-uDff_7J0KD5mKrp0Vvzr7lt3OU09vwQwhkpOPPYv2Y/edit?usp=sharing"",""งบพรบ!EL28"")"),0)</f>
        <v>0</v>
      </c>
      <c r="M328" s="224">
        <f ca="1">IFERROR(__xludf.DUMMYFUNCTION("IMPORTRANGE(""https://docs.google.com/spreadsheets/d/1-uDff_7J0KD5mKrp0Vvzr7lt3OU09vwQwhkpOPPYv2Y/edit?usp=sharing"",""งบพรบ!EO28"")"),0)</f>
        <v>0</v>
      </c>
      <c r="N328" s="224">
        <f ca="1">IFERROR(__xludf.DUMMYFUNCTION("IMPORTRANGE(""https://docs.google.com/spreadsheets/d/1-uDff_7J0KD5mKrp0Vvzr7lt3OU09vwQwhkpOPPYv2Y/edit?usp=sharing"",""งบพรบ!EQ28"")"),0)</f>
        <v>0</v>
      </c>
      <c r="O328" s="224">
        <f ca="1">IF(L328&gt;0,N328*100/L328,0)</f>
        <v>0</v>
      </c>
      <c r="P328" s="224">
        <f ca="1">IF(M328&gt;0,N328*100/M328,0)</f>
        <v>0</v>
      </c>
      <c r="Q328" s="224">
        <v>0</v>
      </c>
      <c r="R328" s="224">
        <v>0</v>
      </c>
      <c r="S328" s="224">
        <v>0</v>
      </c>
      <c r="T328" s="224">
        <f>IF(Q328&gt;0,S328*100/Q328,0)</f>
        <v>0</v>
      </c>
      <c r="U328" s="224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1391" t="s">
        <v>38</v>
      </c>
      <c r="E329" s="141"/>
      <c r="F329" s="141"/>
      <c r="G329" s="142"/>
      <c r="H329" s="143"/>
      <c r="I329" s="135"/>
      <c r="J329" s="44"/>
      <c r="K329" s="45"/>
      <c r="L329" s="1359"/>
      <c r="M329" s="45"/>
      <c r="N329" s="45"/>
      <c r="O329" s="136"/>
      <c r="P329" s="136"/>
      <c r="Q329" s="45"/>
      <c r="R329" s="45"/>
      <c r="S329" s="45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3" t="s">
        <v>133</v>
      </c>
      <c r="I330" s="184">
        <f ca="1">IFERROR(__xludf.DUMMYFUNCTION("IMPORTRANGE(""https://docs.google.com/spreadsheets/d/1eHaY18a8A9IcSdp1K8H6x8fbOy06t2VsZHhMHf-1x7Y/edit?usp=sharing"",""แผน!EJ28"")"),0)</f>
        <v>0</v>
      </c>
      <c r="J330" s="1395">
        <v>0</v>
      </c>
      <c r="K330" s="224">
        <f ca="1">IF(I330&gt;0,J330*100/I330,0)</f>
        <v>0</v>
      </c>
      <c r="L330" s="1359"/>
      <c r="M330" s="45"/>
      <c r="N330" s="45"/>
      <c r="O330" s="136"/>
      <c r="P330" s="136"/>
      <c r="Q330" s="45"/>
      <c r="R330" s="45"/>
      <c r="S330" s="45"/>
      <c r="T330" s="136"/>
      <c r="U330" s="136"/>
    </row>
    <row r="331" spans="1:21" ht="19.5" x14ac:dyDescent="0.3">
      <c r="A331" s="285" t="s">
        <v>135</v>
      </c>
      <c r="B331" s="286"/>
      <c r="C331" s="286"/>
      <c r="D331" s="287"/>
      <c r="E331" s="286"/>
      <c r="F331" s="286"/>
      <c r="G331" s="286"/>
      <c r="H331" s="287"/>
      <c r="I331" s="289"/>
      <c r="J331" s="289"/>
      <c r="K331" s="290"/>
      <c r="L331" s="1500"/>
      <c r="M331" s="290"/>
      <c r="N331" s="290"/>
      <c r="O331" s="290"/>
      <c r="P331" s="290"/>
      <c r="Q331" s="290"/>
      <c r="R331" s="290"/>
      <c r="S331" s="290"/>
      <c r="T331" s="290"/>
      <c r="U331" s="290"/>
    </row>
    <row r="332" spans="1:21" ht="19.5" x14ac:dyDescent="0.3">
      <c r="A332" s="291"/>
      <c r="B332" s="292" t="s">
        <v>136</v>
      </c>
      <c r="C332" s="301"/>
      <c r="D332" s="293"/>
      <c r="E332" s="293"/>
      <c r="F332" s="293"/>
      <c r="G332" s="294"/>
      <c r="H332" s="295" t="s">
        <v>35</v>
      </c>
      <c r="I332" s="1512">
        <f ca="1">I344</f>
        <v>3740</v>
      </c>
      <c r="J332" s="1513">
        <f ca="1">J344+J347+J348+J349+J353</f>
        <v>6614</v>
      </c>
      <c r="K332" s="1514">
        <f ca="1">IF(I332&gt;0,J332*100/I332,0)</f>
        <v>176.84491978609626</v>
      </c>
      <c r="L332" s="1503"/>
      <c r="M332" s="298"/>
      <c r="N332" s="298"/>
      <c r="O332" s="298"/>
      <c r="P332" s="298"/>
      <c r="Q332" s="298"/>
      <c r="R332" s="298"/>
      <c r="S332" s="298"/>
      <c r="T332" s="298"/>
      <c r="U332" s="298"/>
    </row>
    <row r="333" spans="1:21" ht="19.5" x14ac:dyDescent="0.3">
      <c r="A333" s="128"/>
      <c r="B333" s="40"/>
      <c r="C333" s="129" t="s">
        <v>18</v>
      </c>
      <c r="D333" s="1388" t="s">
        <v>19</v>
      </c>
      <c r="E333" s="40"/>
      <c r="F333" s="40"/>
      <c r="G333" s="42"/>
      <c r="H333" s="131" t="s">
        <v>14</v>
      </c>
      <c r="I333" s="44"/>
      <c r="J333" s="44"/>
      <c r="K333" s="45"/>
      <c r="L333" s="1389">
        <f ca="1">L334+L335</f>
        <v>197000</v>
      </c>
      <c r="M333" s="1390">
        <f ca="1">M334+M335</f>
        <v>121000</v>
      </c>
      <c r="N333" s="1390">
        <f ca="1">N334+N335</f>
        <v>95600.65</v>
      </c>
      <c r="O333" s="1390">
        <f ca="1">IF(L333&gt;0,N333*100/L333,0)</f>
        <v>48.528248730964464</v>
      </c>
      <c r="P333" s="1390">
        <f ca="1">IF(M333&gt;0,N333*100/M333,0)</f>
        <v>79.008801652892558</v>
      </c>
      <c r="Q333" s="1390">
        <f>Q334+Q335</f>
        <v>0</v>
      </c>
      <c r="R333" s="1390">
        <f>R334+R335</f>
        <v>0</v>
      </c>
      <c r="S333" s="1390">
        <f>S334+S335</f>
        <v>0</v>
      </c>
      <c r="T333" s="1390">
        <f>IF(Q333&gt;0,S333*100/Q333,0)</f>
        <v>0</v>
      </c>
      <c r="U333" s="1390">
        <f>IF(R333&gt;0,S333*100/R333,0)</f>
        <v>0</v>
      </c>
    </row>
    <row r="334" spans="1:21" ht="18.75" x14ac:dyDescent="0.25">
      <c r="A334" s="128"/>
      <c r="B334" s="40"/>
      <c r="C334" s="40"/>
      <c r="D334" s="40"/>
      <c r="E334" s="156" t="s">
        <v>20</v>
      </c>
      <c r="F334" s="40"/>
      <c r="G334" s="42"/>
      <c r="H334" s="157" t="s">
        <v>14</v>
      </c>
      <c r="I334" s="44"/>
      <c r="J334" s="44"/>
      <c r="K334" s="45"/>
      <c r="L334" s="1358">
        <f>L337+L340</f>
        <v>0</v>
      </c>
      <c r="M334" s="83">
        <f>M337+M340</f>
        <v>0</v>
      </c>
      <c r="N334" s="83">
        <f>N337+N340</f>
        <v>0</v>
      </c>
      <c r="O334" s="83">
        <f>IF(L334&gt;0,N334*100/L334,0)</f>
        <v>0</v>
      </c>
      <c r="P334" s="83">
        <f>IF(M334&gt;0,N334*100/M334,0)</f>
        <v>0</v>
      </c>
      <c r="Q334" s="83">
        <f>Q337+Q340</f>
        <v>0</v>
      </c>
      <c r="R334" s="83">
        <f>R337+R340</f>
        <v>0</v>
      </c>
      <c r="S334" s="83">
        <f>S337+S340</f>
        <v>0</v>
      </c>
      <c r="T334" s="83">
        <f>IF(Q334&gt;0,S334*100/Q334,0)</f>
        <v>0</v>
      </c>
      <c r="U334" s="83">
        <f>IF(R334&gt;0,S334*100/R334,0)</f>
        <v>0</v>
      </c>
    </row>
    <row r="335" spans="1:21" ht="18.75" x14ac:dyDescent="0.25">
      <c r="A335" s="128"/>
      <c r="B335" s="40"/>
      <c r="C335" s="40"/>
      <c r="D335" s="40"/>
      <c r="E335" s="47" t="s">
        <v>21</v>
      </c>
      <c r="F335" s="40"/>
      <c r="G335" s="42"/>
      <c r="H335" s="133" t="s">
        <v>14</v>
      </c>
      <c r="I335" s="44"/>
      <c r="J335" s="44"/>
      <c r="K335" s="45"/>
      <c r="L335" s="1356">
        <f ca="1">L338+L341</f>
        <v>197000</v>
      </c>
      <c r="M335" s="224">
        <f ca="1">M338+M341</f>
        <v>121000</v>
      </c>
      <c r="N335" s="224">
        <f ca="1">N338+N341</f>
        <v>95600.65</v>
      </c>
      <c r="O335" s="224">
        <f ca="1">IF(L335&gt;0,N335*100/L335,0)</f>
        <v>48.528248730964464</v>
      </c>
      <c r="P335" s="224">
        <f ca="1">IF(M335&gt;0,N335*100/M335,0)</f>
        <v>79.008801652892558</v>
      </c>
      <c r="Q335" s="224">
        <f>Q338+Q341</f>
        <v>0</v>
      </c>
      <c r="R335" s="224">
        <f>R338+R341</f>
        <v>0</v>
      </c>
      <c r="S335" s="224">
        <f>S338+S341</f>
        <v>0</v>
      </c>
      <c r="T335" s="224">
        <f>IF(Q335&gt;0,S335*100/Q335,0)</f>
        <v>0</v>
      </c>
      <c r="U335" s="224">
        <f>IF(R335&gt;0,S335*100/R335,0)</f>
        <v>0</v>
      </c>
    </row>
    <row r="336" spans="1:21" ht="18.75" x14ac:dyDescent="0.25">
      <c r="A336" s="128"/>
      <c r="B336" s="40"/>
      <c r="C336" s="40"/>
      <c r="D336" s="41" t="s">
        <v>22</v>
      </c>
      <c r="E336" s="40"/>
      <c r="F336" s="40"/>
      <c r="G336" s="42"/>
      <c r="H336" s="134" t="s">
        <v>14</v>
      </c>
      <c r="I336" s="135"/>
      <c r="J336" s="135"/>
      <c r="K336" s="136"/>
      <c r="L336" s="1356">
        <f ca="1">L337+L338</f>
        <v>197000</v>
      </c>
      <c r="M336" s="224">
        <f ca="1">M337+M338</f>
        <v>121000</v>
      </c>
      <c r="N336" s="224">
        <f ca="1">N337+N338</f>
        <v>95600.65</v>
      </c>
      <c r="O336" s="224">
        <f ca="1">IF(L336&gt;0,N336*100/L336,0)</f>
        <v>48.528248730964464</v>
      </c>
      <c r="P336" s="224">
        <f ca="1">IF(M336&gt;0,N336*100/M336,0)</f>
        <v>79.008801652892558</v>
      </c>
      <c r="Q336" s="224">
        <f>Q337+Q338</f>
        <v>0</v>
      </c>
      <c r="R336" s="224">
        <f>R337+R338</f>
        <v>0</v>
      </c>
      <c r="S336" s="224">
        <f>S337+S338</f>
        <v>0</v>
      </c>
      <c r="T336" s="224">
        <f>IF(Q336&gt;0,S336*100/Q336,0)</f>
        <v>0</v>
      </c>
      <c r="U336" s="224">
        <f>IF(R336&gt;0,S336*100/R336,0)</f>
        <v>0</v>
      </c>
    </row>
    <row r="337" spans="1:21" ht="18.75" x14ac:dyDescent="0.25">
      <c r="A337" s="128"/>
      <c r="B337" s="40"/>
      <c r="C337" s="40"/>
      <c r="D337" s="40"/>
      <c r="E337" s="156" t="s">
        <v>36</v>
      </c>
      <c r="F337" s="40"/>
      <c r="G337" s="42"/>
      <c r="H337" s="159" t="s">
        <v>14</v>
      </c>
      <c r="I337" s="135"/>
      <c r="J337" s="135"/>
      <c r="K337" s="136"/>
      <c r="L337" s="1358">
        <v>0</v>
      </c>
      <c r="M337" s="83">
        <v>0</v>
      </c>
      <c r="N337" s="83">
        <v>0</v>
      </c>
      <c r="O337" s="83">
        <f>IF(L337&gt;0,N337*100/L337,0)</f>
        <v>0</v>
      </c>
      <c r="P337" s="83">
        <f>IF(M337&gt;0,N337*100/M337,0)</f>
        <v>0</v>
      </c>
      <c r="Q337" s="83">
        <v>0</v>
      </c>
      <c r="R337" s="83">
        <v>0</v>
      </c>
      <c r="S337" s="83">
        <v>0</v>
      </c>
      <c r="T337" s="83">
        <f>IF(Q337&gt;0,S337*100/Q337,0)</f>
        <v>0</v>
      </c>
      <c r="U337" s="83">
        <f>IF(R337&gt;0,S337*100/R337,0)</f>
        <v>0</v>
      </c>
    </row>
    <row r="338" spans="1:21" ht="18.75" x14ac:dyDescent="0.25">
      <c r="A338" s="128"/>
      <c r="B338" s="40"/>
      <c r="C338" s="40"/>
      <c r="D338" s="40"/>
      <c r="E338" s="47" t="s">
        <v>37</v>
      </c>
      <c r="F338" s="40"/>
      <c r="G338" s="42"/>
      <c r="H338" s="134" t="s">
        <v>14</v>
      </c>
      <c r="I338" s="135"/>
      <c r="J338" s="135"/>
      <c r="K338" s="136"/>
      <c r="L338" s="1356">
        <f ca="1">IFERROR(__xludf.DUMMYFUNCTION("IMPORTRANGE(""https://docs.google.com/spreadsheets/d/1-uDff_7J0KD5mKrp0Vvzr7lt3OU09vwQwhkpOPPYv2Y/edit?usp=sharing"",""งบพรบ!ES28"")"),197000)</f>
        <v>197000</v>
      </c>
      <c r="M338" s="224">
        <f ca="1">IFERROR(__xludf.DUMMYFUNCTION("IMPORTRANGE(""https://docs.google.com/spreadsheets/d/1-uDff_7J0KD5mKrp0Vvzr7lt3OU09vwQwhkpOPPYv2Y/edit?usp=sharing"",""งบพรบ!EX28"")"),121000)</f>
        <v>121000</v>
      </c>
      <c r="N338" s="224">
        <f ca="1">IFERROR(__xludf.DUMMYFUNCTION("IMPORTRANGE(""https://docs.google.com/spreadsheets/d/1-uDff_7J0KD5mKrp0Vvzr7lt3OU09vwQwhkpOPPYv2Y/edit?usp=sharing"",""งบพรบ!EZ28"")"),95600.65)</f>
        <v>95600.65</v>
      </c>
      <c r="O338" s="224">
        <f ca="1">IF(L338&gt;0,N338*100/L338,0)</f>
        <v>48.528248730964464</v>
      </c>
      <c r="P338" s="224">
        <f ca="1">IF(M338&gt;0,N338*100/M338,0)</f>
        <v>79.008801652892558</v>
      </c>
      <c r="Q338" s="224">
        <v>0</v>
      </c>
      <c r="R338" s="224">
        <v>0</v>
      </c>
      <c r="S338" s="224">
        <v>0</v>
      </c>
      <c r="T338" s="224">
        <f>IF(Q338&gt;0,S338*100/Q338,0)</f>
        <v>0</v>
      </c>
      <c r="U338" s="224">
        <f>IF(R338&gt;0,S338*100/R338,0)</f>
        <v>0</v>
      </c>
    </row>
    <row r="339" spans="1:21" ht="18.75" x14ac:dyDescent="0.25">
      <c r="A339" s="128"/>
      <c r="B339" s="40"/>
      <c r="C339" s="40"/>
      <c r="D339" s="41" t="s">
        <v>23</v>
      </c>
      <c r="E339" s="40"/>
      <c r="F339" s="40"/>
      <c r="G339" s="42"/>
      <c r="H339" s="137" t="s">
        <v>14</v>
      </c>
      <c r="I339" s="135"/>
      <c r="J339" s="135"/>
      <c r="K339" s="136"/>
      <c r="L339" s="1356">
        <f ca="1">L340+L341</f>
        <v>0</v>
      </c>
      <c r="M339" s="224">
        <f ca="1">M340+M341</f>
        <v>0</v>
      </c>
      <c r="N339" s="224">
        <f ca="1">N340+N341</f>
        <v>0</v>
      </c>
      <c r="O339" s="224">
        <f ca="1">IF(L339&gt;0,N339*100/L339,0)</f>
        <v>0</v>
      </c>
      <c r="P339" s="224">
        <f ca="1">IF(M339&gt;0,N339*100/M339,0)</f>
        <v>0</v>
      </c>
      <c r="Q339" s="224">
        <f>Q340+Q341</f>
        <v>0</v>
      </c>
      <c r="R339" s="224">
        <f>R340+R341</f>
        <v>0</v>
      </c>
      <c r="S339" s="224">
        <f>S340+S341</f>
        <v>0</v>
      </c>
      <c r="T339" s="224">
        <f>IF(Q339&gt;0,S339*100/Q339,0)</f>
        <v>0</v>
      </c>
      <c r="U339" s="224">
        <f>IF(R339&gt;0,S339*100/R339,0)</f>
        <v>0</v>
      </c>
    </row>
    <row r="340" spans="1:21" ht="18.75" x14ac:dyDescent="0.25">
      <c r="A340" s="128"/>
      <c r="B340" s="40"/>
      <c r="C340" s="40"/>
      <c r="D340" s="40"/>
      <c r="E340" s="156" t="s">
        <v>20</v>
      </c>
      <c r="F340" s="40"/>
      <c r="G340" s="42"/>
      <c r="H340" s="159" t="s">
        <v>14</v>
      </c>
      <c r="I340" s="135"/>
      <c r="J340" s="135"/>
      <c r="K340" s="136"/>
      <c r="L340" s="1358">
        <v>0</v>
      </c>
      <c r="M340" s="83">
        <v>0</v>
      </c>
      <c r="N340" s="83">
        <v>0</v>
      </c>
      <c r="O340" s="83">
        <f>IF(L340&gt;0,N340*100/L340,0)</f>
        <v>0</v>
      </c>
      <c r="P340" s="83">
        <f>IF(M340&gt;0,N340*100/M340,0)</f>
        <v>0</v>
      </c>
      <c r="Q340" s="83">
        <v>0</v>
      </c>
      <c r="R340" s="83">
        <v>0</v>
      </c>
      <c r="S340" s="83">
        <v>0</v>
      </c>
      <c r="T340" s="83">
        <f>IF(Q340&gt;0,S340*100/Q340,0)</f>
        <v>0</v>
      </c>
      <c r="U340" s="83">
        <f>IF(R340&gt;0,S340*100/R340,0)</f>
        <v>0</v>
      </c>
    </row>
    <row r="341" spans="1:21" ht="18.75" x14ac:dyDescent="0.25">
      <c r="A341" s="128"/>
      <c r="B341" s="40"/>
      <c r="C341" s="40"/>
      <c r="D341" s="40"/>
      <c r="E341" s="47" t="s">
        <v>21</v>
      </c>
      <c r="F341" s="40"/>
      <c r="G341" s="42"/>
      <c r="H341" s="137" t="s">
        <v>14</v>
      </c>
      <c r="I341" s="135"/>
      <c r="J341" s="135"/>
      <c r="K341" s="136"/>
      <c r="L341" s="1356">
        <f ca="1">IFERROR(__xludf.DUMMYFUNCTION("IMPORTRANGE(""https://docs.google.com/spreadsheets/d/1-uDff_7J0KD5mKrp0Vvzr7lt3OU09vwQwhkpOPPYv2Y/edit?usp=sharing"",""งบพรบ!EV28"")"),0)</f>
        <v>0</v>
      </c>
      <c r="M341" s="224">
        <f ca="1">IFERROR(__xludf.DUMMYFUNCTION("IMPORTRANGE(""https://docs.google.com/spreadsheets/d/1-uDff_7J0KD5mKrp0Vvzr7lt3OU09vwQwhkpOPPYv2Y/edit?usp=sharing"",""งบพรบ!EY28"")"),0)</f>
        <v>0</v>
      </c>
      <c r="N341" s="224">
        <f ca="1">IFERROR(__xludf.DUMMYFUNCTION("IMPORTRANGE(""https://docs.google.com/spreadsheets/d/1-uDff_7J0KD5mKrp0Vvzr7lt3OU09vwQwhkpOPPYv2Y/edit?usp=sharing"",""งบพรบ!FA28"")"),0)</f>
        <v>0</v>
      </c>
      <c r="O341" s="224">
        <f ca="1">IF(L341&gt;0,N341*100/L341,0)</f>
        <v>0</v>
      </c>
      <c r="P341" s="224">
        <f ca="1">IF(M341&gt;0,N341*100/M341,0)</f>
        <v>0</v>
      </c>
      <c r="Q341" s="224">
        <v>0</v>
      </c>
      <c r="R341" s="224">
        <v>0</v>
      </c>
      <c r="S341" s="224">
        <v>0</v>
      </c>
      <c r="T341" s="224">
        <f>IF(Q341&gt;0,S341*100/Q341,0)</f>
        <v>0</v>
      </c>
      <c r="U341" s="224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02" t="s">
        <v>38</v>
      </c>
      <c r="E342" s="141"/>
      <c r="F342" s="141"/>
      <c r="G342" s="142"/>
      <c r="H342" s="42"/>
      <c r="I342" s="44"/>
      <c r="J342" s="44"/>
      <c r="K342" s="45"/>
      <c r="L342" s="1359"/>
      <c r="M342" s="45"/>
      <c r="N342" s="45"/>
      <c r="O342" s="136"/>
      <c r="P342" s="136"/>
      <c r="Q342" s="45"/>
      <c r="R342" s="45"/>
      <c r="S342" s="45"/>
      <c r="T342" s="136"/>
      <c r="U342" s="136"/>
    </row>
    <row r="343" spans="1:21" ht="19.5" x14ac:dyDescent="0.3">
      <c r="A343" s="1515"/>
      <c r="B343" s="1516"/>
      <c r="C343" s="1517"/>
      <c r="D343" s="1516"/>
      <c r="E343" s="1518" t="s">
        <v>137</v>
      </c>
      <c r="F343" s="1516"/>
      <c r="G343" s="1519"/>
      <c r="H343" s="1520" t="s">
        <v>35</v>
      </c>
      <c r="I343" s="1521">
        <v>0</v>
      </c>
      <c r="J343" s="1521">
        <f ca="1">J344+J347+J348+J349</f>
        <v>1337</v>
      </c>
      <c r="K343" s="1522">
        <v>0</v>
      </c>
      <c r="L343" s="1416"/>
      <c r="M343" s="219"/>
      <c r="N343" s="219"/>
      <c r="O343" s="219"/>
      <c r="P343" s="219"/>
      <c r="Q343" s="219"/>
      <c r="R343" s="219"/>
      <c r="S343" s="219"/>
      <c r="T343" s="219"/>
      <c r="U343" s="219"/>
    </row>
    <row r="344" spans="1:21" ht="18.75" x14ac:dyDescent="0.25">
      <c r="A344" s="208"/>
      <c r="B344" s="40"/>
      <c r="C344" s="158"/>
      <c r="D344" s="145"/>
      <c r="E344" s="149" t="s">
        <v>138</v>
      </c>
      <c r="F344" s="40"/>
      <c r="G344" s="42"/>
      <c r="H344" s="210" t="s">
        <v>35</v>
      </c>
      <c r="I344" s="184">
        <f ca="1">IFERROR(__xludf.DUMMYFUNCTION("IMPORTRANGE(""https://docs.google.com/spreadsheets/d/1eHaY18a8A9IcSdp1K8H6x8fbOy06t2VsZHhMHf-1x7Y/edit?usp=sharing"",""แผน!EK28"")"),3740)</f>
        <v>3740</v>
      </c>
      <c r="J344" s="184">
        <f ca="1">IFERROR(__xludf.DUMMYFUNCTION("IMPORTRANGE(""https://docs.google.com/spreadsheets/d/1awYsYK3VOup2i3Pq_Yjnu8DRu_mYwSBnCR2QPthd0rU/edit?usp=sharing"",""ศูนย์ยกเว้นโฉนด!D28"")"),1164)</f>
        <v>1164</v>
      </c>
      <c r="K344" s="224">
        <f ca="1">IF(I344&gt;0,J344*100/I344,0)</f>
        <v>31.122994652406415</v>
      </c>
      <c r="L344" s="1359"/>
      <c r="M344" s="45"/>
      <c r="N344" s="45"/>
      <c r="O344" s="45"/>
      <c r="P344" s="45"/>
      <c r="Q344" s="45"/>
      <c r="R344" s="45"/>
      <c r="S344" s="45"/>
      <c r="T344" s="45"/>
      <c r="U344" s="45"/>
    </row>
    <row r="345" spans="1:21" ht="18.75" x14ac:dyDescent="0.25">
      <c r="A345" s="208"/>
      <c r="B345" s="40"/>
      <c r="C345" s="158"/>
      <c r="D345" s="145"/>
      <c r="E345" s="149" t="s">
        <v>139</v>
      </c>
      <c r="F345" s="40"/>
      <c r="G345" s="42"/>
      <c r="H345" s="180"/>
      <c r="I345" s="44"/>
      <c r="J345" s="44"/>
      <c r="K345" s="45"/>
      <c r="L345" s="1359"/>
      <c r="M345" s="45"/>
      <c r="N345" s="45"/>
      <c r="O345" s="45"/>
      <c r="P345" s="45"/>
      <c r="Q345" s="45"/>
      <c r="R345" s="45"/>
      <c r="S345" s="45"/>
      <c r="T345" s="45"/>
      <c r="U345" s="45"/>
    </row>
    <row r="346" spans="1:21" ht="18.75" x14ac:dyDescent="0.25">
      <c r="A346" s="208"/>
      <c r="B346" s="40"/>
      <c r="C346" s="158"/>
      <c r="D346" s="145"/>
      <c r="E346" s="145"/>
      <c r="F346" s="149" t="s">
        <v>140</v>
      </c>
      <c r="G346" s="42"/>
      <c r="H346" s="175" t="s">
        <v>141</v>
      </c>
      <c r="I346" s="184">
        <f ca="1">IFERROR(__xludf.DUMMYFUNCTION("IMPORTRANGE(""https://docs.google.com/spreadsheets/d/1eHaY18a8A9IcSdp1K8H6x8fbOy06t2VsZHhMHf-1x7Y/edit?usp=sharing"",""แผน!EL28"")"),5)</f>
        <v>5</v>
      </c>
      <c r="J346" s="184">
        <f ca="1">IFERROR(__xludf.DUMMYFUNCTION("IMPORTRANGE(""https://docs.google.com/spreadsheets/d/1awYsYK3VOup2i3Pq_Yjnu8DRu_mYwSBnCR2QPthd0rU/edit?usp=sharing"",""ศูนย์รวม!E28"")"),5)</f>
        <v>5</v>
      </c>
      <c r="K346" s="224">
        <f ca="1">IF(I346&gt;0,J346*100/I346,0)</f>
        <v>100</v>
      </c>
      <c r="L346" s="1359"/>
      <c r="M346" s="45"/>
      <c r="N346" s="45"/>
      <c r="O346" s="45"/>
      <c r="P346" s="45"/>
      <c r="Q346" s="45"/>
      <c r="R346" s="45"/>
      <c r="S346" s="45"/>
      <c r="T346" s="45"/>
      <c r="U346" s="45"/>
    </row>
    <row r="347" spans="1:21" ht="18.75" x14ac:dyDescent="0.25">
      <c r="A347" s="208"/>
      <c r="B347" s="40"/>
      <c r="C347" s="158"/>
      <c r="D347" s="145"/>
      <c r="E347" s="145"/>
      <c r="F347" s="149" t="s">
        <v>142</v>
      </c>
      <c r="G347" s="42"/>
      <c r="H347" s="175" t="s">
        <v>35</v>
      </c>
      <c r="I347" s="44"/>
      <c r="J347" s="184">
        <f ca="1">IFERROR(__xludf.DUMMYFUNCTION("IMPORTRANGE(""https://docs.google.com/spreadsheets/d/1awYsYK3VOup2i3Pq_Yjnu8DRu_mYwSBnCR2QPthd0rU/edit?usp=sharing"",""ศูนย์ยกเว้นโฉนด!F28"")"),169)</f>
        <v>169</v>
      </c>
      <c r="K347" s="45"/>
      <c r="L347" s="1359"/>
      <c r="M347" s="45"/>
      <c r="N347" s="45"/>
      <c r="O347" s="45"/>
      <c r="P347" s="45"/>
      <c r="Q347" s="45"/>
      <c r="R347" s="45"/>
      <c r="S347" s="45"/>
      <c r="T347" s="45"/>
      <c r="U347" s="45"/>
    </row>
    <row r="348" spans="1:21" ht="18.75" x14ac:dyDescent="0.25">
      <c r="A348" s="208"/>
      <c r="B348" s="40"/>
      <c r="C348" s="158"/>
      <c r="D348" s="145"/>
      <c r="E348" s="149" t="s">
        <v>143</v>
      </c>
      <c r="F348" s="145"/>
      <c r="G348" s="42"/>
      <c r="H348" s="175" t="s">
        <v>35</v>
      </c>
      <c r="I348" s="44"/>
      <c r="J348" s="184">
        <f ca="1">IFERROR(__xludf.DUMMYFUNCTION("IMPORTRANGE(""https://docs.google.com/spreadsheets/d/1awYsYK3VOup2i3Pq_Yjnu8DRu_mYwSBnCR2QPthd0rU/edit?usp=sharing"",""ศูนย์ยกเว้นโฉนด!G28"")"),4)</f>
        <v>4</v>
      </c>
      <c r="K348" s="45"/>
      <c r="L348" s="1359"/>
      <c r="M348" s="45"/>
      <c r="N348" s="45"/>
      <c r="O348" s="45"/>
      <c r="P348" s="45"/>
      <c r="Q348" s="45"/>
      <c r="R348" s="45"/>
      <c r="S348" s="45"/>
      <c r="T348" s="45"/>
      <c r="U348" s="45"/>
    </row>
    <row r="349" spans="1:21" ht="18.75" x14ac:dyDescent="0.25">
      <c r="A349" s="208"/>
      <c r="B349" s="40"/>
      <c r="C349" s="158"/>
      <c r="D349" s="139"/>
      <c r="E349" s="149" t="s">
        <v>144</v>
      </c>
      <c r="F349" s="145"/>
      <c r="G349" s="42"/>
      <c r="H349" s="175" t="s">
        <v>35</v>
      </c>
      <c r="I349" s="44"/>
      <c r="J349" s="184">
        <f ca="1">IFERROR(__xludf.DUMMYFUNCTION("IMPORTRANGE(""https://docs.google.com/spreadsheets/d/1awYsYK3VOup2i3Pq_Yjnu8DRu_mYwSBnCR2QPthd0rU/edit?usp=sharing"",""ศูนย์ยกเว้นโฉนด!H28"")"),0)</f>
        <v>0</v>
      </c>
      <c r="K349" s="45"/>
      <c r="L349" s="1359"/>
      <c r="M349" s="45"/>
      <c r="N349" s="45"/>
      <c r="O349" s="45"/>
      <c r="P349" s="45"/>
      <c r="Q349" s="45"/>
      <c r="R349" s="45"/>
      <c r="S349" s="45"/>
      <c r="T349" s="45"/>
      <c r="U349" s="45"/>
    </row>
    <row r="350" spans="1:21" ht="16.5" x14ac:dyDescent="0.25">
      <c r="A350" s="158"/>
      <c r="B350" s="40"/>
      <c r="C350" s="158"/>
      <c r="D350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0"/>
      <c r="F350" s="40"/>
      <c r="G350" s="42"/>
      <c r="H350" s="180"/>
      <c r="I350" s="44"/>
      <c r="J350" s="44"/>
      <c r="K350" s="45"/>
      <c r="L350" s="1359"/>
      <c r="M350" s="45"/>
      <c r="N350" s="45"/>
      <c r="O350" s="45"/>
      <c r="P350" s="45"/>
      <c r="Q350" s="45"/>
      <c r="R350" s="45"/>
      <c r="S350" s="45"/>
      <c r="T350" s="45"/>
      <c r="U350" s="45"/>
    </row>
    <row r="351" spans="1:21" ht="19.5" x14ac:dyDescent="0.3">
      <c r="A351" s="211"/>
      <c r="B351" s="214"/>
      <c r="C351" s="212"/>
      <c r="D351" s="214"/>
      <c r="E351" s="1523" t="s">
        <v>145</v>
      </c>
      <c r="F351" s="214"/>
      <c r="G351" s="215"/>
      <c r="H351" s="216" t="s">
        <v>35</v>
      </c>
      <c r="I351" s="303">
        <v>0</v>
      </c>
      <c r="J351" s="303">
        <f ca="1">J352+J353</f>
        <v>7439</v>
      </c>
      <c r="K351" s="304">
        <v>0</v>
      </c>
      <c r="L351" s="1416"/>
      <c r="M351" s="219"/>
      <c r="N351" s="219"/>
      <c r="O351" s="219"/>
      <c r="P351" s="219"/>
      <c r="Q351" s="219"/>
      <c r="R351" s="219"/>
      <c r="S351" s="219"/>
      <c r="T351" s="219"/>
      <c r="U351" s="219"/>
    </row>
    <row r="352" spans="1:21" ht="18.75" x14ac:dyDescent="0.25">
      <c r="A352" s="158"/>
      <c r="B352" s="40"/>
      <c r="C352" s="158"/>
      <c r="D352" s="145"/>
      <c r="E352" s="149" t="s">
        <v>146</v>
      </c>
      <c r="F352" s="40"/>
      <c r="G352" s="42"/>
      <c r="H352" s="133" t="s">
        <v>35</v>
      </c>
      <c r="I352" s="44"/>
      <c r="J352" s="184">
        <f ca="1">IFERROR(__xludf.DUMMYFUNCTION("IMPORTRANGE(""https://docs.google.com/spreadsheets/d/1awYsYK3VOup2i3Pq_Yjnu8DRu_mYwSBnCR2QPthd0rU/edit?usp=sharing"",""โฉนดM3!G28"")"),2162)</f>
        <v>2162</v>
      </c>
      <c r="K352" s="45"/>
      <c r="L352" s="1359"/>
      <c r="M352" s="45"/>
      <c r="N352" s="45"/>
      <c r="O352" s="45"/>
      <c r="P352" s="45"/>
      <c r="Q352" s="45"/>
      <c r="R352" s="45"/>
      <c r="S352" s="45"/>
      <c r="T352" s="45"/>
      <c r="U352" s="45"/>
    </row>
    <row r="353" spans="1:21" ht="18.75" x14ac:dyDescent="0.25">
      <c r="A353" s="158"/>
      <c r="B353" s="40"/>
      <c r="C353" s="158"/>
      <c r="D353" s="145"/>
      <c r="E353" s="149" t="s">
        <v>147</v>
      </c>
      <c r="F353" s="40"/>
      <c r="G353" s="42"/>
      <c r="H353" s="133" t="s">
        <v>35</v>
      </c>
      <c r="I353" s="44"/>
      <c r="J353" s="184">
        <f ca="1">IFERROR(__xludf.DUMMYFUNCTION("IMPORTRANGE(""https://docs.google.com/spreadsheets/d/1awYsYK3VOup2i3Pq_Yjnu8DRu_mYwSBnCR2QPthd0rU/edit?usp=sharing"",""โฉนดM3!H28"")"),5277)</f>
        <v>5277</v>
      </c>
      <c r="K353" s="45"/>
      <c r="L353" s="1359"/>
      <c r="M353" s="45"/>
      <c r="N353" s="45"/>
      <c r="O353" s="45"/>
      <c r="P353" s="45"/>
      <c r="Q353" s="45"/>
      <c r="R353" s="45"/>
      <c r="S353" s="45"/>
      <c r="T353" s="45"/>
      <c r="U353" s="45"/>
    </row>
    <row r="354" spans="1:21" ht="16.5" x14ac:dyDescent="0.25">
      <c r="A354" s="158"/>
      <c r="B354" s="40"/>
      <c r="C354" s="158"/>
      <c r="D354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0"/>
      <c r="F354" s="40"/>
      <c r="G354" s="42"/>
      <c r="H354" s="180"/>
      <c r="I354" s="44"/>
      <c r="J354" s="44"/>
      <c r="K354" s="45"/>
      <c r="L354" s="1359"/>
      <c r="M354" s="45"/>
      <c r="N354" s="45"/>
      <c r="O354" s="45"/>
      <c r="P354" s="45"/>
      <c r="Q354" s="45"/>
      <c r="R354" s="45"/>
      <c r="S354" s="45"/>
      <c r="T354" s="45"/>
      <c r="U354" s="45"/>
    </row>
    <row r="355" spans="1:21" ht="19.5" x14ac:dyDescent="0.3">
      <c r="A355" s="291"/>
      <c r="B355" s="292" t="s">
        <v>148</v>
      </c>
      <c r="C355" s="301"/>
      <c r="D355" s="293"/>
      <c r="E355" s="293"/>
      <c r="F355" s="293"/>
      <c r="G355" s="294"/>
      <c r="H355" s="294"/>
      <c r="I355" s="307"/>
      <c r="J355" s="307"/>
      <c r="K355" s="298"/>
      <c r="L355" s="1503"/>
      <c r="M355" s="298"/>
      <c r="N355" s="298"/>
      <c r="O355" s="298"/>
      <c r="P355" s="298"/>
      <c r="Q355" s="298"/>
      <c r="R355" s="298"/>
      <c r="S355" s="298"/>
      <c r="T355" s="298"/>
      <c r="U355" s="298"/>
    </row>
    <row r="356" spans="1:21" ht="19.5" x14ac:dyDescent="0.3">
      <c r="A356" s="128"/>
      <c r="B356" s="40"/>
      <c r="C356" s="129" t="s">
        <v>18</v>
      </c>
      <c r="D356" s="1388" t="s">
        <v>19</v>
      </c>
      <c r="E356" s="40"/>
      <c r="F356" s="40"/>
      <c r="G356" s="42"/>
      <c r="H356" s="131" t="s">
        <v>14</v>
      </c>
      <c r="I356" s="44"/>
      <c r="J356" s="44"/>
      <c r="K356" s="45"/>
      <c r="L356" s="1389">
        <f ca="1">L357+L358</f>
        <v>766350</v>
      </c>
      <c r="M356" s="1390">
        <f ca="1">M357+M358</f>
        <v>703835</v>
      </c>
      <c r="N356" s="1390">
        <f ca="1">N357+N358</f>
        <v>554831.02</v>
      </c>
      <c r="O356" s="1390">
        <f ca="1">IF(L356&gt;0,N356*100/L356,0)</f>
        <v>72.399167482220918</v>
      </c>
      <c r="P356" s="1390">
        <f ca="1">IF(M356&gt;0,N356*100/M356,0)</f>
        <v>78.82970014278915</v>
      </c>
      <c r="Q356" s="1390">
        <f>Q357+Q358</f>
        <v>0</v>
      </c>
      <c r="R356" s="1390">
        <f>R357+R358</f>
        <v>0</v>
      </c>
      <c r="S356" s="1390">
        <f>S357+S358</f>
        <v>0</v>
      </c>
      <c r="T356" s="1390">
        <f>IF(Q356&gt;0,S356*100/Q356,0)</f>
        <v>0</v>
      </c>
      <c r="U356" s="1390">
        <f>IF(R356&gt;0,S356*100/R356,0)</f>
        <v>0</v>
      </c>
    </row>
    <row r="357" spans="1:21" ht="18.75" x14ac:dyDescent="0.25">
      <c r="A357" s="128"/>
      <c r="B357" s="40"/>
      <c r="C357" s="40"/>
      <c r="D357" s="40"/>
      <c r="E357" s="156" t="s">
        <v>20</v>
      </c>
      <c r="F357" s="40"/>
      <c r="G357" s="42"/>
      <c r="H357" s="157" t="s">
        <v>14</v>
      </c>
      <c r="I357" s="44"/>
      <c r="J357" s="44"/>
      <c r="K357" s="45"/>
      <c r="L357" s="1358">
        <f>L360+L363</f>
        <v>0</v>
      </c>
      <c r="M357" s="83">
        <f>M360+M363</f>
        <v>0</v>
      </c>
      <c r="N357" s="83">
        <f>N360+N363</f>
        <v>0</v>
      </c>
      <c r="O357" s="83">
        <f>IF(L357&gt;0,N357*100/L357,0)</f>
        <v>0</v>
      </c>
      <c r="P357" s="83">
        <f>IF(M357&gt;0,N357*100/M357,0)</f>
        <v>0</v>
      </c>
      <c r="Q357" s="83">
        <f>Q360+Q363</f>
        <v>0</v>
      </c>
      <c r="R357" s="83">
        <f>R360+R363</f>
        <v>0</v>
      </c>
      <c r="S357" s="83">
        <f>S360+S363</f>
        <v>0</v>
      </c>
      <c r="T357" s="83">
        <f>IF(Q357&gt;0,S357*100/Q357,0)</f>
        <v>0</v>
      </c>
      <c r="U357" s="83">
        <f>IF(R357&gt;0,S357*100/R357,0)</f>
        <v>0</v>
      </c>
    </row>
    <row r="358" spans="1:21" ht="18.75" x14ac:dyDescent="0.25">
      <c r="A358" s="128"/>
      <c r="B358" s="40"/>
      <c r="C358" s="40"/>
      <c r="D358" s="40"/>
      <c r="E358" s="47" t="s">
        <v>21</v>
      </c>
      <c r="F358" s="40"/>
      <c r="G358" s="42"/>
      <c r="H358" s="133" t="s">
        <v>14</v>
      </c>
      <c r="I358" s="44"/>
      <c r="J358" s="44"/>
      <c r="K358" s="45"/>
      <c r="L358" s="1356">
        <f ca="1">L361+L364</f>
        <v>766350</v>
      </c>
      <c r="M358" s="224">
        <f ca="1">M361+M364</f>
        <v>703835</v>
      </c>
      <c r="N358" s="224">
        <f ca="1">N361+N364</f>
        <v>554831.02</v>
      </c>
      <c r="O358" s="224">
        <f ca="1">IF(L358&gt;0,N358*100/L358,0)</f>
        <v>72.399167482220918</v>
      </c>
      <c r="P358" s="224">
        <f ca="1">IF(M358&gt;0,N358*100/M358,0)</f>
        <v>78.82970014278915</v>
      </c>
      <c r="Q358" s="224">
        <f>Q361+Q364</f>
        <v>0</v>
      </c>
      <c r="R358" s="224">
        <f>R361+R364</f>
        <v>0</v>
      </c>
      <c r="S358" s="224">
        <f>S361+S364</f>
        <v>0</v>
      </c>
      <c r="T358" s="224">
        <f>IF(Q358&gt;0,S358*100/Q358,0)</f>
        <v>0</v>
      </c>
      <c r="U358" s="224">
        <f>IF(R358&gt;0,S358*100/R358,0)</f>
        <v>0</v>
      </c>
    </row>
    <row r="359" spans="1:21" ht="18.75" x14ac:dyDescent="0.25">
      <c r="A359" s="128"/>
      <c r="B359" s="40"/>
      <c r="C359" s="40"/>
      <c r="D359" s="41" t="s">
        <v>22</v>
      </c>
      <c r="E359" s="40"/>
      <c r="F359" s="40"/>
      <c r="G359" s="42"/>
      <c r="H359" s="134" t="s">
        <v>14</v>
      </c>
      <c r="I359" s="135"/>
      <c r="J359" s="135"/>
      <c r="K359" s="136"/>
      <c r="L359" s="1356">
        <f ca="1">L360+L361</f>
        <v>766350</v>
      </c>
      <c r="M359" s="224">
        <f ca="1">M360+M361</f>
        <v>703835</v>
      </c>
      <c r="N359" s="224">
        <f ca="1">N360+N361</f>
        <v>554831.02</v>
      </c>
      <c r="O359" s="224">
        <f ca="1">IF(L359&gt;0,N359*100/L359,0)</f>
        <v>72.399167482220918</v>
      </c>
      <c r="P359" s="224">
        <f ca="1">IF(M359&gt;0,N359*100/M359,0)</f>
        <v>78.82970014278915</v>
      </c>
      <c r="Q359" s="224">
        <f>Q360+Q361</f>
        <v>0</v>
      </c>
      <c r="R359" s="224">
        <f>R360+R361</f>
        <v>0</v>
      </c>
      <c r="S359" s="224">
        <f>S360+S361</f>
        <v>0</v>
      </c>
      <c r="T359" s="224">
        <f>IF(Q359&gt;0,S359*100/Q359,0)</f>
        <v>0</v>
      </c>
      <c r="U359" s="224">
        <f>IF(R359&gt;0,S359*100/R359,0)</f>
        <v>0</v>
      </c>
    </row>
    <row r="360" spans="1:21" ht="18.75" x14ac:dyDescent="0.25">
      <c r="A360" s="128"/>
      <c r="B360" s="40"/>
      <c r="C360" s="40"/>
      <c r="D360" s="40"/>
      <c r="E360" s="156" t="s">
        <v>36</v>
      </c>
      <c r="F360" s="40"/>
      <c r="G360" s="42"/>
      <c r="H360" s="159" t="s">
        <v>14</v>
      </c>
      <c r="I360" s="135"/>
      <c r="J360" s="135"/>
      <c r="K360" s="136"/>
      <c r="L360" s="1358">
        <v>0</v>
      </c>
      <c r="M360" s="83">
        <v>0</v>
      </c>
      <c r="N360" s="83">
        <v>0</v>
      </c>
      <c r="O360" s="83">
        <f>IF(L360&gt;0,N360*100/L360,0)</f>
        <v>0</v>
      </c>
      <c r="P360" s="83">
        <f>IF(M360&gt;0,N360*100/M360,0)</f>
        <v>0</v>
      </c>
      <c r="Q360" s="83">
        <v>0</v>
      </c>
      <c r="R360" s="83">
        <v>0</v>
      </c>
      <c r="S360" s="83">
        <v>0</v>
      </c>
      <c r="T360" s="83">
        <f>IF(Q360&gt;0,S360*100/Q360,0)</f>
        <v>0</v>
      </c>
      <c r="U360" s="83">
        <f>IF(R360&gt;0,S360*100/R360,0)</f>
        <v>0</v>
      </c>
    </row>
    <row r="361" spans="1:21" ht="18.75" x14ac:dyDescent="0.25">
      <c r="A361" s="128"/>
      <c r="B361" s="40"/>
      <c r="C361" s="40"/>
      <c r="D361" s="40"/>
      <c r="E361" s="47" t="s">
        <v>37</v>
      </c>
      <c r="F361" s="40"/>
      <c r="G361" s="42"/>
      <c r="H361" s="134" t="s">
        <v>14</v>
      </c>
      <c r="I361" s="135"/>
      <c r="J361" s="135"/>
      <c r="K361" s="136"/>
      <c r="L361" s="1356">
        <f ca="1">IFERROR(__xludf.DUMMYFUNCTION("IMPORTRANGE(""https://docs.google.com/spreadsheets/d/1-uDff_7J0KD5mKrp0Vvzr7lt3OU09vwQwhkpOPPYv2Y/edit?usp=sharing"",""งบพรบ!FC28"")"),766350)</f>
        <v>766350</v>
      </c>
      <c r="M361" s="224">
        <f ca="1">IFERROR(__xludf.DUMMYFUNCTION("IMPORTRANGE(""https://docs.google.com/spreadsheets/d/1-uDff_7J0KD5mKrp0Vvzr7lt3OU09vwQwhkpOPPYv2Y/edit?usp=sharing"",""งบพรบ!FH28"")"),703835)</f>
        <v>703835</v>
      </c>
      <c r="N361" s="224">
        <f ca="1">IFERROR(__xludf.DUMMYFUNCTION("IMPORTRANGE(""https://docs.google.com/spreadsheets/d/1-uDff_7J0KD5mKrp0Vvzr7lt3OU09vwQwhkpOPPYv2Y/edit?usp=sharing"",""งบพรบ!FJ28"")"),554831.02)</f>
        <v>554831.02</v>
      </c>
      <c r="O361" s="224">
        <f ca="1">IF(L361&gt;0,N361*100/L361,0)</f>
        <v>72.399167482220918</v>
      </c>
      <c r="P361" s="224">
        <f ca="1">IF(M361&gt;0,N361*100/M361,0)</f>
        <v>78.82970014278915</v>
      </c>
      <c r="Q361" s="224">
        <v>0</v>
      </c>
      <c r="R361" s="224">
        <v>0</v>
      </c>
      <c r="S361" s="224">
        <v>0</v>
      </c>
      <c r="T361" s="224">
        <f>IF(Q361&gt;0,S361*100/Q361,0)</f>
        <v>0</v>
      </c>
      <c r="U361" s="224">
        <f>IF(R361&gt;0,S361*100/R361,0)</f>
        <v>0</v>
      </c>
    </row>
    <row r="362" spans="1:21" ht="18.75" x14ac:dyDescent="0.25">
      <c r="A362" s="128"/>
      <c r="B362" s="40"/>
      <c r="C362" s="40"/>
      <c r="D362" s="41" t="s">
        <v>23</v>
      </c>
      <c r="E362" s="40"/>
      <c r="F362" s="40"/>
      <c r="G362" s="42"/>
      <c r="H362" s="137" t="s">
        <v>14</v>
      </c>
      <c r="I362" s="135"/>
      <c r="J362" s="135"/>
      <c r="K362" s="136"/>
      <c r="L362" s="1356">
        <f ca="1">L363+L364</f>
        <v>0</v>
      </c>
      <c r="M362" s="224">
        <f ca="1">M363+M364</f>
        <v>0</v>
      </c>
      <c r="N362" s="224">
        <f ca="1">N363+N364</f>
        <v>0</v>
      </c>
      <c r="O362" s="224">
        <f ca="1">IF(L362&gt;0,N362*100/L362,0)</f>
        <v>0</v>
      </c>
      <c r="P362" s="224">
        <f ca="1">IF(M362&gt;0,N362*100/M362,0)</f>
        <v>0</v>
      </c>
      <c r="Q362" s="224">
        <f>Q363+Q364</f>
        <v>0</v>
      </c>
      <c r="R362" s="224">
        <f>R363+R364</f>
        <v>0</v>
      </c>
      <c r="S362" s="224">
        <f>S363+S364</f>
        <v>0</v>
      </c>
      <c r="T362" s="224">
        <f>IF(Q362&gt;0,S362*100/Q362,0)</f>
        <v>0</v>
      </c>
      <c r="U362" s="224">
        <f>IF(R362&gt;0,S362*100/R362,0)</f>
        <v>0</v>
      </c>
    </row>
    <row r="363" spans="1:21" ht="18.75" x14ac:dyDescent="0.25">
      <c r="A363" s="128"/>
      <c r="B363" s="40"/>
      <c r="C363" s="40"/>
      <c r="D363" s="40"/>
      <c r="E363" s="156" t="s">
        <v>20</v>
      </c>
      <c r="F363" s="40"/>
      <c r="G363" s="42"/>
      <c r="H363" s="159" t="s">
        <v>14</v>
      </c>
      <c r="I363" s="135"/>
      <c r="J363" s="135"/>
      <c r="K363" s="136"/>
      <c r="L363" s="1358">
        <v>0</v>
      </c>
      <c r="M363" s="83">
        <v>0</v>
      </c>
      <c r="N363" s="83">
        <v>0</v>
      </c>
      <c r="O363" s="83">
        <f>IF(L363&gt;0,N363*100/L363,0)</f>
        <v>0</v>
      </c>
      <c r="P363" s="83">
        <f>IF(M363&gt;0,N363*100/M363,0)</f>
        <v>0</v>
      </c>
      <c r="Q363" s="83">
        <v>0</v>
      </c>
      <c r="R363" s="83">
        <v>0</v>
      </c>
      <c r="S363" s="83">
        <v>0</v>
      </c>
      <c r="T363" s="83">
        <f>IF(Q363&gt;0,S363*100/Q363,0)</f>
        <v>0</v>
      </c>
      <c r="U363" s="83">
        <f>IF(R363&gt;0,S363*100/R363,0)</f>
        <v>0</v>
      </c>
    </row>
    <row r="364" spans="1:21" ht="18.75" x14ac:dyDescent="0.25">
      <c r="A364" s="128"/>
      <c r="B364" s="40"/>
      <c r="C364" s="40"/>
      <c r="D364" s="40"/>
      <c r="E364" s="47" t="s">
        <v>21</v>
      </c>
      <c r="F364" s="40"/>
      <c r="G364" s="42"/>
      <c r="H364" s="137" t="s">
        <v>14</v>
      </c>
      <c r="I364" s="135"/>
      <c r="J364" s="135"/>
      <c r="K364" s="136"/>
      <c r="L364" s="1356">
        <f ca="1">IFERROR(__xludf.DUMMYFUNCTION("IMPORTRANGE(""https://docs.google.com/spreadsheets/d/1-uDff_7J0KD5mKrp0Vvzr7lt3OU09vwQwhkpOPPYv2Y/edit?usp=sharing"",""งบพรบ!FF28"")"),0)</f>
        <v>0</v>
      </c>
      <c r="M364" s="224">
        <f ca="1">IFERROR(__xludf.DUMMYFUNCTION("IMPORTRANGE(""https://docs.google.com/spreadsheets/d/1-uDff_7J0KD5mKrp0Vvzr7lt3OU09vwQwhkpOPPYv2Y/edit?usp=sharing"",""งบพรบ!FI28"")"),0)</f>
        <v>0</v>
      </c>
      <c r="N364" s="224">
        <f ca="1">IFERROR(__xludf.DUMMYFUNCTION("IMPORTRANGE(""https://docs.google.com/spreadsheets/d/1-uDff_7J0KD5mKrp0Vvzr7lt3OU09vwQwhkpOPPYv2Y/edit?usp=sharing"",""งบพรบ!FK28"")"),0)</f>
        <v>0</v>
      </c>
      <c r="O364" s="224">
        <f ca="1">IF(L364&gt;0,N364*100/L364,0)</f>
        <v>0</v>
      </c>
      <c r="P364" s="224">
        <f ca="1">IF(M364&gt;0,N364*100/M364,0)</f>
        <v>0</v>
      </c>
      <c r="Q364" s="224">
        <v>0</v>
      </c>
      <c r="R364" s="224">
        <v>0</v>
      </c>
      <c r="S364" s="224">
        <v>0</v>
      </c>
      <c r="T364" s="224">
        <f>IF(Q364&gt;0,S364*100/Q364,0)</f>
        <v>0</v>
      </c>
      <c r="U364" s="224">
        <f>IF(R364&gt;0,S364*100/R364,0)</f>
        <v>0</v>
      </c>
    </row>
    <row r="365" spans="1:21" ht="19.5" x14ac:dyDescent="0.3">
      <c r="A365" s="211"/>
      <c r="B365" s="212"/>
      <c r="C365" s="214"/>
      <c r="D365" s="1523" t="s">
        <v>149</v>
      </c>
      <c r="E365" s="214"/>
      <c r="F365" s="214"/>
      <c r="G365" s="215"/>
      <c r="H365" s="223" t="s">
        <v>35</v>
      </c>
      <c r="I365" s="303">
        <f ca="1">I371</f>
        <v>288</v>
      </c>
      <c r="J365" s="303">
        <f ca="1">J371</f>
        <v>315</v>
      </c>
      <c r="K365" s="304">
        <f ca="1">IF(I365&gt;0,J365*100/I365,0)</f>
        <v>109.375</v>
      </c>
      <c r="L365" s="1416"/>
      <c r="M365" s="219"/>
      <c r="N365" s="219"/>
      <c r="O365" s="219"/>
      <c r="P365" s="219"/>
      <c r="Q365" s="219"/>
      <c r="R365" s="219"/>
      <c r="S365" s="219"/>
      <c r="T365" s="219"/>
      <c r="U365" s="219"/>
    </row>
    <row r="366" spans="1:21" ht="19.5" x14ac:dyDescent="0.3">
      <c r="A366" s="138"/>
      <c r="B366" s="139"/>
      <c r="C366" s="129" t="s">
        <v>18</v>
      </c>
      <c r="D366" s="1391" t="s">
        <v>38</v>
      </c>
      <c r="E366" s="141"/>
      <c r="F366" s="141"/>
      <c r="G366" s="142"/>
      <c r="H366" s="143"/>
      <c r="I366" s="44"/>
      <c r="J366" s="44"/>
      <c r="K366" s="45"/>
      <c r="L366" s="1392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3" t="s">
        <v>35</v>
      </c>
      <c r="I367" s="184">
        <v>0</v>
      </c>
      <c r="J367" s="184">
        <f ca="1">IFERROR(__xludf.DUMMYFUNCTION("IMPORTRANGE(""https://docs.google.com/spreadsheets/d/1tdoBKaGub7dwA3U6UFTqxio9LNnvDCQjHKmttSEBsFQ/edit?usp=sharing"",""จัดที่ดิน!AB28"")"),131)</f>
        <v>131</v>
      </c>
      <c r="K367" s="224">
        <f>IF(I367&gt;0,J367*100/I367,0)</f>
        <v>0</v>
      </c>
      <c r="L367" s="1392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3" t="s">
        <v>46</v>
      </c>
      <c r="I368" s="184">
        <f ca="1">IFERROR(__xludf.DUMMYFUNCTION("IMPORTRANGE(""https://docs.google.com/spreadsheets/d/1eHaY18a8A9IcSdp1K8H6x8fbOy06t2VsZHhMHf-1x7Y/edit?usp=sharing"",""แผน!EW28"")"),750)</f>
        <v>750</v>
      </c>
      <c r="J368" s="1524">
        <f ca="1">IFERROR(__xludf.DUMMYFUNCTION("IMPORTRANGE(""https://docs.google.com/spreadsheets/d/1tdoBKaGub7dwA3U6UFTqxio9LNnvDCQjHKmttSEBsFQ/edit?usp=sharing"",""จัดที่ดิน!AC28"")"),1154.81)</f>
        <v>1154.81</v>
      </c>
      <c r="K368" s="224">
        <f ca="1">IF(I368&gt;0,J368*100/I368,0)</f>
        <v>153.97466666666668</v>
      </c>
      <c r="L368" s="1392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84">
        <f ca="1">IFERROR(__xludf.DUMMYFUNCTION("IMPORTRANGE(""https://docs.google.com/spreadsheets/d/1eHaY18a8A9IcSdp1K8H6x8fbOy06t2VsZHhMHf-1x7Y/edit?usp=sharing"",""แผน!EX28"")"),288)</f>
        <v>288</v>
      </c>
      <c r="J369" s="184">
        <f ca="1">IFERROR(__xludf.DUMMYFUNCTION("IMPORTRANGE(""https://docs.google.com/spreadsheets/d/1tdoBKaGub7dwA3U6UFTqxio9LNnvDCQjHKmttSEBsFQ/edit?usp=sharing"",""จัดที่ดิน!AD28"")"),395)</f>
        <v>395</v>
      </c>
      <c r="K369" s="224">
        <f ca="1">IF(I369&gt;0,J369*100/I369,0)</f>
        <v>137.15277777777777</v>
      </c>
      <c r="L369" s="1392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84">
        <v>0</v>
      </c>
      <c r="J370" s="1524">
        <f ca="1">IFERROR(__xludf.DUMMYFUNCTION("IMPORTRANGE(""https://docs.google.com/spreadsheets/d/1tdoBKaGub7dwA3U6UFTqxio9LNnvDCQjHKmttSEBsFQ/edit?usp=sharing"",""จัดที่ดิน!AE28"")"),4627.73)</f>
        <v>4627.7299999999996</v>
      </c>
      <c r="K370" s="224">
        <f>IF(I370&gt;0,J370*100/I370,0)</f>
        <v>0</v>
      </c>
      <c r="L370" s="1392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08" t="s">
        <v>152</v>
      </c>
      <c r="F371" s="145"/>
      <c r="G371" s="143"/>
      <c r="H371" s="150" t="s">
        <v>35</v>
      </c>
      <c r="I371" s="184">
        <f ca="1">IFERROR(__xludf.DUMMYFUNCTION("IMPORTRANGE(""https://docs.google.com/spreadsheets/d/1eHaY18a8A9IcSdp1K8H6x8fbOy06t2VsZHhMHf-1x7Y/edit?usp=sharing"",""แผน!EY28"")"),288)</f>
        <v>288</v>
      </c>
      <c r="J371" s="184">
        <f ca="1">IFERROR(__xludf.DUMMYFUNCTION("IMPORTRANGE(""https://docs.google.com/spreadsheets/d/1tdoBKaGub7dwA3U6UFTqxio9LNnvDCQjHKmttSEBsFQ/edit?usp=sharing"",""จัดที่ดิน!AF28"")"),315)</f>
        <v>315</v>
      </c>
      <c r="K371" s="224">
        <f ca="1">IF(I371&gt;0,J371*100/I371,0)</f>
        <v>109.375</v>
      </c>
      <c r="L371" s="1392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84">
        <v>0</v>
      </c>
      <c r="J372" s="1524">
        <f ca="1">IFERROR(__xludf.DUMMYFUNCTION("IMPORTRANGE(""https://docs.google.com/spreadsheets/d/1tdoBKaGub7dwA3U6UFTqxio9LNnvDCQjHKmttSEBsFQ/edit?usp=sharing"",""จัดที่ดิน!AG28"")"),4067.81999999999)</f>
        <v>4067.8199999999902</v>
      </c>
      <c r="K372" s="224">
        <f>IF(I372&gt;0,J372*100/I372,0)</f>
        <v>0</v>
      </c>
      <c r="L372" s="1392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2"/>
      <c r="B373" s="1"/>
      <c r="C373" s="2"/>
      <c r="D373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2"/>
      <c r="H373" s="52"/>
      <c r="I373" s="54"/>
      <c r="J373" s="54"/>
      <c r="K373" s="3"/>
      <c r="L373" s="1360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9.5" x14ac:dyDescent="0.3">
      <c r="A374" s="1525"/>
      <c r="B374" s="1526" t="s">
        <v>153</v>
      </c>
      <c r="C374" s="1527"/>
      <c r="D374" s="1528"/>
      <c r="E374" s="1529"/>
      <c r="F374" s="1529"/>
      <c r="G374" s="1530"/>
      <c r="H374" s="1531" t="s">
        <v>46</v>
      </c>
      <c r="I374" s="1532">
        <f ca="1">I386+I388</f>
        <v>2000</v>
      </c>
      <c r="J374" s="1532">
        <f ca="1">J386+J388</f>
        <v>0</v>
      </c>
      <c r="K374" s="1533">
        <f ca="1">IF(I374&gt;0,J374*100/I374,0)</f>
        <v>0</v>
      </c>
      <c r="L374" s="1503"/>
      <c r="M374" s="298"/>
      <c r="N374" s="298"/>
      <c r="O374" s="298"/>
      <c r="P374" s="298"/>
      <c r="Q374" s="298"/>
      <c r="R374" s="298"/>
      <c r="S374" s="298"/>
      <c r="T374" s="298"/>
      <c r="U374" s="298"/>
    </row>
    <row r="375" spans="1:21" ht="19.5" x14ac:dyDescent="0.3">
      <c r="A375" s="128"/>
      <c r="B375" s="158"/>
      <c r="C375" s="161" t="s">
        <v>18</v>
      </c>
      <c r="D375" s="1534" t="s">
        <v>19</v>
      </c>
      <c r="E375" s="40"/>
      <c r="F375" s="40"/>
      <c r="G375" s="42"/>
      <c r="H375" s="131" t="s">
        <v>14</v>
      </c>
      <c r="I375" s="44"/>
      <c r="J375" s="44"/>
      <c r="K375" s="45"/>
      <c r="L375" s="1389">
        <f ca="1">L376+L377</f>
        <v>0</v>
      </c>
      <c r="M375" s="1390">
        <f ca="1">M376+M377</f>
        <v>0</v>
      </c>
      <c r="N375" s="1390">
        <f ca="1">N376+N377</f>
        <v>0</v>
      </c>
      <c r="O375" s="1390">
        <f ca="1">IF(L375&gt;0,N375*100/L375,0)</f>
        <v>0</v>
      </c>
      <c r="P375" s="1390">
        <f ca="1">IF(M375&gt;0,N375*100/M375,0)</f>
        <v>0</v>
      </c>
      <c r="Q375" s="1390">
        <f ca="1">Q376+Q377</f>
        <v>125000</v>
      </c>
      <c r="R375" s="1390">
        <f ca="1">R376+R377</f>
        <v>125000</v>
      </c>
      <c r="S375" s="1390">
        <f ca="1">S376+S377</f>
        <v>0</v>
      </c>
      <c r="T375" s="1390">
        <f ca="1">IF(Q375&gt;0,S375*100/Q375,0)</f>
        <v>0</v>
      </c>
      <c r="U375" s="1390">
        <f ca="1">IF(R375&gt;0,S375*100/R375,0)</f>
        <v>0</v>
      </c>
    </row>
    <row r="376" spans="1:21" ht="18.75" x14ac:dyDescent="0.25">
      <c r="A376" s="128"/>
      <c r="B376" s="158"/>
      <c r="C376" s="158"/>
      <c r="D376" s="158"/>
      <c r="E376" s="156" t="s">
        <v>20</v>
      </c>
      <c r="F376" s="40"/>
      <c r="G376" s="42"/>
      <c r="H376" s="157" t="s">
        <v>14</v>
      </c>
      <c r="I376" s="44"/>
      <c r="J376" s="44"/>
      <c r="K376" s="45"/>
      <c r="L376" s="1358">
        <f>L379+L382</f>
        <v>0</v>
      </c>
      <c r="M376" s="83">
        <f>M379+M382</f>
        <v>0</v>
      </c>
      <c r="N376" s="83">
        <f>N379+N382</f>
        <v>0</v>
      </c>
      <c r="O376" s="83">
        <f>IF(L376&gt;0,N376*100/L376,0)</f>
        <v>0</v>
      </c>
      <c r="P376" s="83">
        <f>IF(M376&gt;0,N376*100/M376,0)</f>
        <v>0</v>
      </c>
      <c r="Q376" s="83">
        <f>Q379+Q382</f>
        <v>0</v>
      </c>
      <c r="R376" s="83">
        <f>R379+R382</f>
        <v>0</v>
      </c>
      <c r="S376" s="83">
        <f>S379+S382</f>
        <v>0</v>
      </c>
      <c r="T376" s="83">
        <f>IF(Q376&gt;0,S376*100/Q376,0)</f>
        <v>0</v>
      </c>
      <c r="U376" s="83">
        <f>IF(R376&gt;0,S376*100/R376,0)</f>
        <v>0</v>
      </c>
    </row>
    <row r="377" spans="1:21" ht="18.75" x14ac:dyDescent="0.25">
      <c r="A377" s="128"/>
      <c r="B377" s="158"/>
      <c r="C377" s="158"/>
      <c r="D377" s="158"/>
      <c r="E377" s="47" t="s">
        <v>21</v>
      </c>
      <c r="F377" s="40"/>
      <c r="G377" s="42"/>
      <c r="H377" s="133" t="s">
        <v>14</v>
      </c>
      <c r="I377" s="44"/>
      <c r="J377" s="44"/>
      <c r="K377" s="45"/>
      <c r="L377" s="1356">
        <f ca="1">L380+L383</f>
        <v>0</v>
      </c>
      <c r="M377" s="224">
        <f ca="1">M380+M383</f>
        <v>0</v>
      </c>
      <c r="N377" s="224">
        <f ca="1">N380+N383</f>
        <v>0</v>
      </c>
      <c r="O377" s="224">
        <f ca="1">IF(L377&gt;0,N377*100/L377,0)</f>
        <v>0</v>
      </c>
      <c r="P377" s="224">
        <f ca="1">IF(M377&gt;0,N377*100/M377,0)</f>
        <v>0</v>
      </c>
      <c r="Q377" s="224">
        <f ca="1">Q380+Q383</f>
        <v>125000</v>
      </c>
      <c r="R377" s="224">
        <f ca="1">R380+R383</f>
        <v>125000</v>
      </c>
      <c r="S377" s="224">
        <f ca="1">S380+S383</f>
        <v>0</v>
      </c>
      <c r="T377" s="224">
        <f ca="1">IF(Q377&gt;0,S377*100/Q377,0)</f>
        <v>0</v>
      </c>
      <c r="U377" s="224">
        <f ca="1">IF(R377&gt;0,S377*100/R377,0)</f>
        <v>0</v>
      </c>
    </row>
    <row r="378" spans="1:21" ht="18.75" x14ac:dyDescent="0.25">
      <c r="A378" s="128"/>
      <c r="B378" s="158"/>
      <c r="C378" s="158"/>
      <c r="D378" s="1406" t="s">
        <v>22</v>
      </c>
      <c r="E378" s="40"/>
      <c r="F378" s="40"/>
      <c r="G378" s="42"/>
      <c r="H378" s="134" t="s">
        <v>14</v>
      </c>
      <c r="I378" s="135"/>
      <c r="J378" s="135"/>
      <c r="K378" s="136"/>
      <c r="L378" s="1356">
        <f ca="1">L379+L380</f>
        <v>0</v>
      </c>
      <c r="M378" s="224">
        <f ca="1">M379+M380</f>
        <v>0</v>
      </c>
      <c r="N378" s="224">
        <f ca="1">N379+N380</f>
        <v>0</v>
      </c>
      <c r="O378" s="224">
        <f ca="1">IF(L378&gt;0,N378*100/L378,0)</f>
        <v>0</v>
      </c>
      <c r="P378" s="224">
        <f ca="1">IF(M378&gt;0,N378*100/M378,0)</f>
        <v>0</v>
      </c>
      <c r="Q378" s="224">
        <f ca="1">Q379+Q380</f>
        <v>125000</v>
      </c>
      <c r="R378" s="224">
        <f ca="1">R379+R380</f>
        <v>125000</v>
      </c>
      <c r="S378" s="224">
        <f ca="1">S379+S380</f>
        <v>0</v>
      </c>
      <c r="T378" s="224">
        <f ca="1">IF(Q378&gt;0,S378*100/Q378,0)</f>
        <v>0</v>
      </c>
      <c r="U378" s="224">
        <f ca="1">IF(R378&gt;0,S378*100/R378,0)</f>
        <v>0</v>
      </c>
    </row>
    <row r="379" spans="1:21" ht="18.75" x14ac:dyDescent="0.25">
      <c r="A379" s="128"/>
      <c r="B379" s="158"/>
      <c r="C379" s="158"/>
      <c r="D379" s="158"/>
      <c r="E379" s="156" t="s">
        <v>36</v>
      </c>
      <c r="F379" s="40"/>
      <c r="G379" s="42"/>
      <c r="H379" s="159" t="s">
        <v>14</v>
      </c>
      <c r="I379" s="135"/>
      <c r="J379" s="135"/>
      <c r="K379" s="136"/>
      <c r="L379" s="1358">
        <v>0</v>
      </c>
      <c r="M379" s="83">
        <v>0</v>
      </c>
      <c r="N379" s="83">
        <v>0</v>
      </c>
      <c r="O379" s="83">
        <f>IF(L379&gt;0,N379*100/L379,0)</f>
        <v>0</v>
      </c>
      <c r="P379" s="83">
        <f>IF(M379&gt;0,N379*100/M379,0)</f>
        <v>0</v>
      </c>
      <c r="Q379" s="83">
        <v>0</v>
      </c>
      <c r="R379" s="83">
        <v>0</v>
      </c>
      <c r="S379" s="83">
        <v>0</v>
      </c>
      <c r="T379" s="83">
        <f>IF(Q379&gt;0,S379*100/Q379,0)</f>
        <v>0</v>
      </c>
      <c r="U379" s="83">
        <f>IF(R379&gt;0,S379*100/R379,0)</f>
        <v>0</v>
      </c>
    </row>
    <row r="380" spans="1:21" ht="18.75" x14ac:dyDescent="0.25">
      <c r="A380" s="128"/>
      <c r="B380" s="158"/>
      <c r="C380" s="158"/>
      <c r="D380" s="158"/>
      <c r="E380" s="209" t="s">
        <v>37</v>
      </c>
      <c r="F380" s="158"/>
      <c r="G380" s="180"/>
      <c r="H380" s="134" t="s">
        <v>14</v>
      </c>
      <c r="I380" s="135"/>
      <c r="J380" s="135"/>
      <c r="K380" s="136"/>
      <c r="L380" s="1356">
        <f ca="1">IFERROR(__xludf.DUMMYFUNCTION("IMPORTRANGE(""https://docs.google.com/spreadsheets/d/1-uDff_7J0KD5mKrp0Vvzr7lt3OU09vwQwhkpOPPYv2Y/edit?usp=sharing"",""งบพรบ!IE28"")"),0)</f>
        <v>0</v>
      </c>
      <c r="M380" s="224">
        <f ca="1">IFERROR(__xludf.DUMMYFUNCTION("IMPORTRANGE(""https://docs.google.com/spreadsheets/d/1-uDff_7J0KD5mKrp0Vvzr7lt3OU09vwQwhkpOPPYv2Y/edit?usp=sharing"",""งบพรบ!IJ28"")"),0)</f>
        <v>0</v>
      </c>
      <c r="N380" s="224">
        <f ca="1">IFERROR(__xludf.DUMMYFUNCTION("IMPORTRANGE(""https://docs.google.com/spreadsheets/d/1-uDff_7J0KD5mKrp0Vvzr7lt3OU09vwQwhkpOPPYv2Y/edit?usp=sharing"",""งบพรบ!IL28"")"),0)</f>
        <v>0</v>
      </c>
      <c r="O380" s="224">
        <f ca="1">IF(L380&gt;0,N380*100/L380,0)</f>
        <v>0</v>
      </c>
      <c r="P380" s="224">
        <f ca="1">IF(M380&gt;0,N380*100/M380,0)</f>
        <v>0</v>
      </c>
      <c r="Q380" s="224">
        <f ca="1">IFERROR(__xludf.DUMMYFUNCTION("IMPORTRANGE(""https://docs.google.com/spreadsheets/d/1ItG2mGa2ceCfYo0BwxsXqNm01IGEUdYcSSLTEv9YCik/edit?usp=sharing"",""เบิกจ่ายกองทุน!BW28"")"),125000)</f>
        <v>125000</v>
      </c>
      <c r="R380" s="224">
        <f ca="1">IFERROR(__xludf.DUMMYFUNCTION("IMPORTRANGE(""https://docs.google.com/spreadsheets/d/1ItG2mGa2ceCfYo0BwxsXqNm01IGEUdYcSSLTEv9YCik/edit?usp=sharing"",""เบิกจ่ายกองทุน!BX28"")"),125000)</f>
        <v>125000</v>
      </c>
      <c r="S380" s="224">
        <f ca="1">IFERROR(__xludf.DUMMYFUNCTION("IMPORTRANGE(""https://docs.google.com/spreadsheets/d/1ItG2mGa2ceCfYo0BwxsXqNm01IGEUdYcSSLTEv9YCik/edit?usp=sharing"",""เบิกจ่ายกองทุน!BY28"")"),0)</f>
        <v>0</v>
      </c>
      <c r="T380" s="224">
        <f ca="1">IF(Q380&gt;0,S380*100/Q380,0)</f>
        <v>0</v>
      </c>
      <c r="U380" s="224">
        <f ca="1">IF(R380&gt;0,S380*100/R380,0)</f>
        <v>0</v>
      </c>
    </row>
    <row r="381" spans="1:21" ht="18.75" x14ac:dyDescent="0.25">
      <c r="A381" s="128"/>
      <c r="B381" s="158"/>
      <c r="C381" s="158"/>
      <c r="D381" s="1406" t="s">
        <v>23</v>
      </c>
      <c r="E381" s="40"/>
      <c r="F381" s="40"/>
      <c r="G381" s="42"/>
      <c r="H381" s="137" t="s">
        <v>14</v>
      </c>
      <c r="I381" s="135"/>
      <c r="J381" s="135"/>
      <c r="K381" s="136"/>
      <c r="L381" s="1356">
        <f ca="1">L382+L383</f>
        <v>0</v>
      </c>
      <c r="M381" s="224">
        <f ca="1">M382+M383</f>
        <v>0</v>
      </c>
      <c r="N381" s="224">
        <f ca="1">N382+N383</f>
        <v>0</v>
      </c>
      <c r="O381" s="224">
        <f ca="1">IF(L381&gt;0,N381*100/L381,0)</f>
        <v>0</v>
      </c>
      <c r="P381" s="224">
        <f ca="1">IF(M381&gt;0,N381*100/M381,0)</f>
        <v>0</v>
      </c>
      <c r="Q381" s="224">
        <f>Q382+Q383</f>
        <v>0</v>
      </c>
      <c r="R381" s="224">
        <f>R382+R383</f>
        <v>0</v>
      </c>
      <c r="S381" s="224">
        <f>S382+S383</f>
        <v>0</v>
      </c>
      <c r="T381" s="224">
        <f>IF(Q381&gt;0,S381*100/Q381,0)</f>
        <v>0</v>
      </c>
      <c r="U381" s="224">
        <f>IF(R381&gt;0,S381*100/R381,0)</f>
        <v>0</v>
      </c>
    </row>
    <row r="382" spans="1:21" ht="18.75" x14ac:dyDescent="0.25">
      <c r="A382" s="128"/>
      <c r="B382" s="158"/>
      <c r="C382" s="158"/>
      <c r="D382" s="158"/>
      <c r="E382" s="156" t="s">
        <v>20</v>
      </c>
      <c r="F382" s="40"/>
      <c r="G382" s="42"/>
      <c r="H382" s="159" t="s">
        <v>14</v>
      </c>
      <c r="I382" s="135"/>
      <c r="J382" s="135"/>
      <c r="K382" s="136"/>
      <c r="L382" s="1358">
        <v>0</v>
      </c>
      <c r="M382" s="83">
        <v>0</v>
      </c>
      <c r="N382" s="83">
        <v>0</v>
      </c>
      <c r="O382" s="83">
        <f>IF(L382&gt;0,N382*100/L382,0)</f>
        <v>0</v>
      </c>
      <c r="P382" s="83">
        <f>IF(M382&gt;0,N382*100/M382,0)</f>
        <v>0</v>
      </c>
      <c r="Q382" s="83">
        <v>0</v>
      </c>
      <c r="R382" s="83">
        <v>0</v>
      </c>
      <c r="S382" s="83">
        <v>0</v>
      </c>
      <c r="T382" s="83">
        <f>IF(Q382&gt;0,S382*100/Q382,0)</f>
        <v>0</v>
      </c>
      <c r="U382" s="83">
        <f>IF(R382&gt;0,S382*100/R382,0)</f>
        <v>0</v>
      </c>
    </row>
    <row r="383" spans="1:21" ht="18.75" x14ac:dyDescent="0.25">
      <c r="A383" s="128"/>
      <c r="B383" s="158"/>
      <c r="C383" s="158"/>
      <c r="D383" s="158"/>
      <c r="E383" s="47" t="s">
        <v>21</v>
      </c>
      <c r="F383" s="40"/>
      <c r="G383" s="42"/>
      <c r="H383" s="137" t="s">
        <v>14</v>
      </c>
      <c r="I383" s="135"/>
      <c r="J383" s="135"/>
      <c r="K383" s="136"/>
      <c r="L383" s="1356">
        <f ca="1">IFERROR(__xludf.DUMMYFUNCTION("IMPORTRANGE(""https://docs.google.com/spreadsheets/d/1-uDff_7J0KD5mKrp0Vvzr7lt3OU09vwQwhkpOPPYv2Y/edit?usp=sharing"",""งบพรบ!IH28"")"),0)</f>
        <v>0</v>
      </c>
      <c r="M383" s="224">
        <f ca="1">IFERROR(__xludf.DUMMYFUNCTION("IMPORTRANGE(""https://docs.google.com/spreadsheets/d/1-uDff_7J0KD5mKrp0Vvzr7lt3OU09vwQwhkpOPPYv2Y/edit?usp=sharing"",""งบพรบ!IK28"")"),0)</f>
        <v>0</v>
      </c>
      <c r="N383" s="224">
        <f ca="1">IFERROR(__xludf.DUMMYFUNCTION("IMPORTRANGE(""https://docs.google.com/spreadsheets/d/1-uDff_7J0KD5mKrp0Vvzr7lt3OU09vwQwhkpOPPYv2Y/edit?usp=sharing"",""งบพรบ!IM28"")"),0)</f>
        <v>0</v>
      </c>
      <c r="O383" s="224">
        <f ca="1">IF(L383&gt;0,N383*100/L383,0)</f>
        <v>0</v>
      </c>
      <c r="P383" s="224">
        <f ca="1">IF(M383&gt;0,N383*100/M383,0)</f>
        <v>0</v>
      </c>
      <c r="Q383" s="224">
        <v>0</v>
      </c>
      <c r="R383" s="224">
        <v>0</v>
      </c>
      <c r="S383" s="224">
        <v>0</v>
      </c>
      <c r="T383" s="224">
        <f>IF(Q383&gt;0,S383*100/Q383,0)</f>
        <v>0</v>
      </c>
      <c r="U383" s="224">
        <f>IF(R383&gt;0,S383*100/R383,0)</f>
        <v>0</v>
      </c>
    </row>
    <row r="384" spans="1:21" ht="19.5" x14ac:dyDescent="0.3">
      <c r="A384" s="138"/>
      <c r="B384" s="139"/>
      <c r="C384" s="161" t="s">
        <v>18</v>
      </c>
      <c r="D384" s="1535" t="s">
        <v>38</v>
      </c>
      <c r="E384" s="141"/>
      <c r="F384" s="141"/>
      <c r="G384" s="142"/>
      <c r="H384" s="178"/>
      <c r="I384" s="135"/>
      <c r="J384" s="44"/>
      <c r="K384" s="45"/>
      <c r="L384" s="1359"/>
      <c r="M384" s="45"/>
      <c r="N384" s="45"/>
      <c r="O384" s="136"/>
      <c r="P384" s="136"/>
      <c r="Q384" s="45"/>
      <c r="R384" s="45"/>
      <c r="S384" s="45"/>
      <c r="T384" s="136"/>
      <c r="U384" s="136"/>
    </row>
    <row r="385" spans="1:21" ht="18.75" x14ac:dyDescent="0.25">
      <c r="A385" s="208"/>
      <c r="B385" s="158"/>
      <c r="C385" s="158"/>
      <c r="D385" s="158"/>
      <c r="E385" s="47" t="s">
        <v>154</v>
      </c>
      <c r="F385" s="40"/>
      <c r="G385" s="42"/>
      <c r="H385" s="133" t="s">
        <v>34</v>
      </c>
      <c r="I385" s="184">
        <v>0</v>
      </c>
      <c r="J385" s="184">
        <f ca="1">IFERROR(__xludf.DUMMYFUNCTION("IMPORTRANGE(""https://docs.google.com/spreadsheets/d/1w5rwWK1o49a35cNtocGL0gxDwhFSTZUQu90BiH9_zqM/edit?usp=sharing"",""RTK!H28"")"),0)</f>
        <v>0</v>
      </c>
      <c r="K385" s="224">
        <f>IF(I385&gt;0,J385*100/I385,0)</f>
        <v>0</v>
      </c>
      <c r="L385" s="1359"/>
      <c r="M385" s="45"/>
      <c r="N385" s="45"/>
      <c r="O385" s="45"/>
      <c r="P385" s="45"/>
      <c r="Q385" s="45"/>
      <c r="R385" s="45"/>
      <c r="S385" s="45"/>
      <c r="T385" s="45"/>
      <c r="U385" s="45"/>
    </row>
    <row r="386" spans="1:21" ht="18.75" x14ac:dyDescent="0.25">
      <c r="A386" s="158"/>
      <c r="B386" s="158"/>
      <c r="C386" s="158"/>
      <c r="D386" s="158"/>
      <c r="E386" s="158"/>
      <c r="F386" s="158"/>
      <c r="G386" s="180"/>
      <c r="H386" s="133" t="s">
        <v>46</v>
      </c>
      <c r="I386" s="184">
        <f ca="1">IFERROR(__xludf.DUMMYFUNCTION("IMPORTRANGE(""https://docs.google.com/spreadsheets/d/1w5rwWK1o49a35cNtocGL0gxDwhFSTZUQu90BiH9_zqM/edit?usp=sharing"",""RTK!G28"")"),2000)</f>
        <v>2000</v>
      </c>
      <c r="J386" s="184">
        <f ca="1">IFERROR(__xludf.DUMMYFUNCTION("IMPORTRANGE(""https://docs.google.com/spreadsheets/d/1w5rwWK1o49a35cNtocGL0gxDwhFSTZUQu90BiH9_zqM/edit?usp=sharing"",""RTK!I28"")"),0)</f>
        <v>0</v>
      </c>
      <c r="K386" s="224">
        <f ca="1">IF(I386&gt;0,J386*100/I386,0)</f>
        <v>0</v>
      </c>
      <c r="L386" s="1359"/>
      <c r="M386" s="45"/>
      <c r="N386" s="45"/>
      <c r="O386" s="45"/>
      <c r="P386" s="45"/>
      <c r="Q386" s="45"/>
      <c r="R386" s="45"/>
      <c r="S386" s="45"/>
      <c r="T386" s="45"/>
      <c r="U386" s="45"/>
    </row>
    <row r="387" spans="1:21" ht="18.75" x14ac:dyDescent="0.25">
      <c r="A387" s="1608"/>
      <c r="B387" s="1608"/>
      <c r="C387" s="1608"/>
      <c r="D387" s="1608"/>
      <c r="E387" s="1609" t="s">
        <v>155</v>
      </c>
      <c r="F387" s="1608"/>
      <c r="G387" s="1601"/>
      <c r="H387" s="1474" t="s">
        <v>34</v>
      </c>
      <c r="I387" s="1598">
        <v>0</v>
      </c>
      <c r="J387" s="1598">
        <f ca="1">IFERROR(__xludf.DUMMYFUNCTION("IMPORTRANGE(""https://docs.google.com/spreadsheets/d/1w5rwWK1o49a35cNtocGL0gxDwhFSTZUQu90BiH9_zqM/edit?usp=sharing"",""RTK!L28"")"),0)</f>
        <v>0</v>
      </c>
      <c r="K387" s="1476">
        <f>IF(I387&gt;0,J387*100/I387,0)</f>
        <v>0</v>
      </c>
      <c r="L387" s="1600"/>
      <c r="M387" s="1465"/>
      <c r="N387" s="1465"/>
      <c r="O387" s="1465"/>
      <c r="P387" s="1465"/>
      <c r="Q387" s="1465"/>
      <c r="R387" s="1465"/>
      <c r="S387" s="1465"/>
      <c r="T387" s="1465"/>
      <c r="U387" s="1465"/>
    </row>
    <row r="388" spans="1:21" ht="18.75" x14ac:dyDescent="0.25">
      <c r="A388" s="1608"/>
      <c r="B388" s="1608"/>
      <c r="C388" s="1608"/>
      <c r="D388" s="1608"/>
      <c r="E388" s="1608"/>
      <c r="F388" s="1608"/>
      <c r="G388" s="1601"/>
      <c r="H388" s="1474" t="s">
        <v>46</v>
      </c>
      <c r="I388" s="1598">
        <f ca="1">IFERROR(__xludf.DUMMYFUNCTION("IMPORTRANGE(""https://docs.google.com/spreadsheets/d/1w5rwWK1o49a35cNtocGL0gxDwhFSTZUQu90BiH9_zqM/edit?usp=sharing"",""RTK!K28"")"),0)</f>
        <v>0</v>
      </c>
      <c r="J388" s="1598">
        <f ca="1">IFERROR(__xludf.DUMMYFUNCTION("IMPORTRANGE(""https://docs.google.com/spreadsheets/d/1w5rwWK1o49a35cNtocGL0gxDwhFSTZUQu90BiH9_zqM/edit?usp=sharing"",""RTK!M28"")"),0)</f>
        <v>0</v>
      </c>
      <c r="K388" s="1476">
        <f ca="1">IF(I388&gt;0,J388*100/I388,0)</f>
        <v>0</v>
      </c>
      <c r="L388" s="1600"/>
      <c r="M388" s="1465"/>
      <c r="N388" s="1465"/>
      <c r="O388" s="1465"/>
      <c r="P388" s="1465"/>
      <c r="Q388" s="1465"/>
      <c r="R388" s="1465"/>
      <c r="S388" s="1465"/>
      <c r="T388" s="1465"/>
      <c r="U388" s="1465"/>
    </row>
    <row r="389" spans="1:21" ht="12.75" x14ac:dyDescent="0.2">
      <c r="A389" s="228"/>
      <c r="B389" s="228"/>
      <c r="C389" s="228"/>
      <c r="D389" s="228"/>
      <c r="E389" s="228"/>
      <c r="F389" s="228"/>
      <c r="G389" s="231"/>
      <c r="H389" s="231"/>
      <c r="I389" s="232"/>
      <c r="J389" s="232"/>
      <c r="K389" s="233"/>
      <c r="L389" s="1536"/>
      <c r="M389" s="233"/>
      <c r="N389" s="233"/>
      <c r="O389" s="233"/>
      <c r="P389" s="233"/>
      <c r="Q389" s="233"/>
      <c r="R389" s="233"/>
      <c r="S389" s="233"/>
      <c r="T389" s="233"/>
      <c r="U389" s="233"/>
    </row>
    <row r="390" spans="1:21" ht="12.75" x14ac:dyDescent="0.2">
      <c r="A390" s="316"/>
      <c r="B390" s="316"/>
      <c r="C390" s="316"/>
      <c r="D390" s="316"/>
      <c r="E390" s="316"/>
      <c r="F390" s="316"/>
      <c r="G390" s="317"/>
      <c r="H390" s="317"/>
      <c r="I390" s="318"/>
      <c r="J390" s="318"/>
      <c r="K390" s="319"/>
      <c r="L390" s="1537"/>
      <c r="M390" s="319"/>
      <c r="N390" s="319"/>
      <c r="O390" s="319"/>
      <c r="P390" s="319"/>
      <c r="Q390" s="319"/>
      <c r="R390" s="319"/>
      <c r="S390" s="319"/>
      <c r="T390" s="319"/>
      <c r="U390" s="319"/>
    </row>
    <row r="391" spans="1:21" ht="19.5" x14ac:dyDescent="0.3">
      <c r="A391" s="299"/>
      <c r="B391" s="310" t="s">
        <v>156</v>
      </c>
      <c r="C391" s="300"/>
      <c r="D391" s="301"/>
      <c r="E391" s="293"/>
      <c r="F391" s="293"/>
      <c r="G391" s="294"/>
      <c r="H391" s="311" t="s">
        <v>61</v>
      </c>
      <c r="I391" s="307">
        <f>I402</f>
        <v>0</v>
      </c>
      <c r="J391" s="307">
        <f>J402</f>
        <v>0</v>
      </c>
      <c r="K391" s="1502">
        <f>IF(I391&gt;0,J391*100/I391,0)</f>
        <v>0</v>
      </c>
      <c r="L391" s="1503"/>
      <c r="M391" s="298"/>
      <c r="N391" s="298"/>
      <c r="O391" s="298"/>
      <c r="P391" s="298"/>
      <c r="Q391" s="298"/>
      <c r="R391" s="298"/>
      <c r="S391" s="298"/>
      <c r="T391" s="298"/>
      <c r="U391" s="298"/>
    </row>
    <row r="392" spans="1:21" ht="19.5" x14ac:dyDescent="0.3">
      <c r="A392" s="128"/>
      <c r="B392" s="158"/>
      <c r="C392" s="161" t="s">
        <v>18</v>
      </c>
      <c r="D392" s="1534" t="s">
        <v>19</v>
      </c>
      <c r="E392" s="40"/>
      <c r="F392" s="40"/>
      <c r="G392" s="42"/>
      <c r="H392" s="131" t="s">
        <v>14</v>
      </c>
      <c r="I392" s="44"/>
      <c r="J392" s="44"/>
      <c r="K392" s="45"/>
      <c r="L392" s="1389">
        <f>L393+L394</f>
        <v>0</v>
      </c>
      <c r="M392" s="1390">
        <f>M393+M394</f>
        <v>0</v>
      </c>
      <c r="N392" s="1390">
        <f>N393+N394</f>
        <v>0</v>
      </c>
      <c r="O392" s="1390">
        <f>IF(L392&gt;0,N392*100/L392,0)</f>
        <v>0</v>
      </c>
      <c r="P392" s="1390">
        <f>IF(M392&gt;0,N392*100/M392,0)</f>
        <v>0</v>
      </c>
      <c r="Q392" s="1390">
        <f ca="1">Q393+Q394</f>
        <v>0</v>
      </c>
      <c r="R392" s="1390">
        <f ca="1">R393+R394</f>
        <v>0</v>
      </c>
      <c r="S392" s="1390">
        <f ca="1">S393+S394</f>
        <v>0</v>
      </c>
      <c r="T392" s="1390">
        <f ca="1">IF(Q392&gt;0,S392*100/Q392,0)</f>
        <v>0</v>
      </c>
      <c r="U392" s="1390">
        <f ca="1">IF(R392&gt;0,S392*100/R392,0)</f>
        <v>0</v>
      </c>
    </row>
    <row r="393" spans="1:21" ht="18.75" x14ac:dyDescent="0.25">
      <c r="A393" s="128"/>
      <c r="B393" s="158"/>
      <c r="C393" s="158"/>
      <c r="D393" s="158"/>
      <c r="E393" s="156" t="s">
        <v>20</v>
      </c>
      <c r="F393" s="40"/>
      <c r="G393" s="42"/>
      <c r="H393" s="157" t="s">
        <v>14</v>
      </c>
      <c r="I393" s="44"/>
      <c r="J393" s="44"/>
      <c r="K393" s="45"/>
      <c r="L393" s="1358">
        <f>L396+L399</f>
        <v>0</v>
      </c>
      <c r="M393" s="83">
        <f>M396+M399</f>
        <v>0</v>
      </c>
      <c r="N393" s="83">
        <f>N396+N399</f>
        <v>0</v>
      </c>
      <c r="O393" s="83">
        <f>IF(L393&gt;0,N393*100/L393,0)</f>
        <v>0</v>
      </c>
      <c r="P393" s="83">
        <f>IF(M393&gt;0,N393*100/M393,0)</f>
        <v>0</v>
      </c>
      <c r="Q393" s="83">
        <f>Q396+Q399</f>
        <v>0</v>
      </c>
      <c r="R393" s="83">
        <f>R396+R399</f>
        <v>0</v>
      </c>
      <c r="S393" s="83">
        <f>S396+S399</f>
        <v>0</v>
      </c>
      <c r="T393" s="83">
        <f>IF(Q393&gt;0,S393*100/Q393,0)</f>
        <v>0</v>
      </c>
      <c r="U393" s="83">
        <f>IF(R393&gt;0,S393*100/R393,0)</f>
        <v>0</v>
      </c>
    </row>
    <row r="394" spans="1:21" ht="18.75" x14ac:dyDescent="0.25">
      <c r="A394" s="128"/>
      <c r="B394" s="158"/>
      <c r="C394" s="158"/>
      <c r="D394" s="158"/>
      <c r="E394" s="47" t="s">
        <v>21</v>
      </c>
      <c r="F394" s="40"/>
      <c r="G394" s="42"/>
      <c r="H394" s="133" t="s">
        <v>14</v>
      </c>
      <c r="I394" s="44"/>
      <c r="J394" s="44"/>
      <c r="K394" s="45"/>
      <c r="L394" s="1356">
        <f>L397+L400</f>
        <v>0</v>
      </c>
      <c r="M394" s="224">
        <f>M397+M400</f>
        <v>0</v>
      </c>
      <c r="N394" s="224">
        <f>N397+N400</f>
        <v>0</v>
      </c>
      <c r="O394" s="224">
        <f>IF(L394&gt;0,N394*100/L394,0)</f>
        <v>0</v>
      </c>
      <c r="P394" s="224">
        <f>IF(M394&gt;0,N394*100/M394,0)</f>
        <v>0</v>
      </c>
      <c r="Q394" s="224">
        <f ca="1">Q397+Q400</f>
        <v>0</v>
      </c>
      <c r="R394" s="224">
        <f ca="1">R397+R400</f>
        <v>0</v>
      </c>
      <c r="S394" s="224">
        <f ca="1">S397+S400</f>
        <v>0</v>
      </c>
      <c r="T394" s="224">
        <f ca="1">IF(Q394&gt;0,S394*100/Q394,0)</f>
        <v>0</v>
      </c>
      <c r="U394" s="224">
        <f ca="1">IF(R394&gt;0,S394*100/R394,0)</f>
        <v>0</v>
      </c>
    </row>
    <row r="395" spans="1:21" ht="18.75" x14ac:dyDescent="0.25">
      <c r="A395" s="128"/>
      <c r="B395" s="158"/>
      <c r="C395" s="158"/>
      <c r="D395" s="1406" t="s">
        <v>22</v>
      </c>
      <c r="E395" s="40"/>
      <c r="F395" s="40"/>
      <c r="G395" s="42"/>
      <c r="H395" s="134" t="s">
        <v>14</v>
      </c>
      <c r="I395" s="135"/>
      <c r="J395" s="135"/>
      <c r="K395" s="136"/>
      <c r="L395" s="1356">
        <f>L396+L397</f>
        <v>0</v>
      </c>
      <c r="M395" s="224">
        <f>M396+M397</f>
        <v>0</v>
      </c>
      <c r="N395" s="224">
        <f>N396+N397</f>
        <v>0</v>
      </c>
      <c r="O395" s="224">
        <f>IF(L395&gt;0,N395*100/L395,0)</f>
        <v>0</v>
      </c>
      <c r="P395" s="224">
        <f>IF(M395&gt;0,N395*100/M395,0)</f>
        <v>0</v>
      </c>
      <c r="Q395" s="224">
        <f ca="1">Q396+Q397</f>
        <v>0</v>
      </c>
      <c r="R395" s="224">
        <f ca="1">R396+R397</f>
        <v>0</v>
      </c>
      <c r="S395" s="224">
        <f ca="1">S396+S397</f>
        <v>0</v>
      </c>
      <c r="T395" s="224">
        <f ca="1">IF(Q395&gt;0,S395*100/Q395,0)</f>
        <v>0</v>
      </c>
      <c r="U395" s="224">
        <f ca="1">IF(R395&gt;0,S395*100/R395,0)</f>
        <v>0</v>
      </c>
    </row>
    <row r="396" spans="1:21" ht="18.75" x14ac:dyDescent="0.25">
      <c r="A396" s="128"/>
      <c r="B396" s="158"/>
      <c r="C396" s="158"/>
      <c r="D396" s="158"/>
      <c r="E396" s="156" t="s">
        <v>36</v>
      </c>
      <c r="F396" s="40"/>
      <c r="G396" s="42"/>
      <c r="H396" s="159" t="s">
        <v>14</v>
      </c>
      <c r="I396" s="135"/>
      <c r="J396" s="135"/>
      <c r="K396" s="136"/>
      <c r="L396" s="1358">
        <v>0</v>
      </c>
      <c r="M396" s="83">
        <v>0</v>
      </c>
      <c r="N396" s="83">
        <v>0</v>
      </c>
      <c r="O396" s="83">
        <f>IF(L396&gt;0,N396*100/L396,0)</f>
        <v>0</v>
      </c>
      <c r="P396" s="83">
        <f>IF(M396&gt;0,N396*100/M396,0)</f>
        <v>0</v>
      </c>
      <c r="Q396" s="83">
        <v>0</v>
      </c>
      <c r="R396" s="83">
        <v>0</v>
      </c>
      <c r="S396" s="83">
        <v>0</v>
      </c>
      <c r="T396" s="83">
        <f>IF(Q396&gt;0,S396*100/Q396,0)</f>
        <v>0</v>
      </c>
      <c r="U396" s="83">
        <f>IF(R396&gt;0,S396*100/R396,0)</f>
        <v>0</v>
      </c>
    </row>
    <row r="397" spans="1:21" ht="18.75" x14ac:dyDescent="0.25">
      <c r="A397" s="128"/>
      <c r="B397" s="158"/>
      <c r="C397" s="158"/>
      <c r="D397" s="158"/>
      <c r="E397" s="209" t="s">
        <v>37</v>
      </c>
      <c r="F397" s="158"/>
      <c r="G397" s="180"/>
      <c r="H397" s="134" t="s">
        <v>14</v>
      </c>
      <c r="I397" s="135"/>
      <c r="J397" s="135"/>
      <c r="K397" s="136"/>
      <c r="L397" s="1356">
        <v>0</v>
      </c>
      <c r="M397" s="224">
        <v>0</v>
      </c>
      <c r="N397" s="224">
        <v>0</v>
      </c>
      <c r="O397" s="224">
        <f>IF(L397&gt;0,N397*100/L397,0)</f>
        <v>0</v>
      </c>
      <c r="P397" s="224">
        <f>IF(M397&gt;0,N397*100/M397,0)</f>
        <v>0</v>
      </c>
      <c r="Q397" s="224">
        <f ca="1">IFERROR(__xludf.DUMMYFUNCTION("IMPORTRANGE(""https://docs.google.com/spreadsheets/d/1ItG2mGa2ceCfYo0BwxsXqNm01IGEUdYcSSLTEv9YCik/edit?usp=sharing"",""เบิกจ่ายกองทุน!CL28"")"),0)</f>
        <v>0</v>
      </c>
      <c r="R397" s="224">
        <f ca="1">IFERROR(__xludf.DUMMYFUNCTION("IMPORTRANGE(""https://docs.google.com/spreadsheets/d/1ItG2mGa2ceCfYo0BwxsXqNm01IGEUdYcSSLTEv9YCik/edit?usp=sharing"",""เบิกจ่ายกองทุน!CM28"")"),0)</f>
        <v>0</v>
      </c>
      <c r="S397" s="224">
        <f ca="1">IFERROR(__xludf.DUMMYFUNCTION("IMPORTRANGE(""https://docs.google.com/spreadsheets/d/1ItG2mGa2ceCfYo0BwxsXqNm01IGEUdYcSSLTEv9YCik/edit?usp=sharing"",""เบิกจ่ายกองทุน!CN28"")"),0)</f>
        <v>0</v>
      </c>
      <c r="T397" s="224">
        <f ca="1">IF(Q397&gt;0,S397*100/Q397,0)</f>
        <v>0</v>
      </c>
      <c r="U397" s="224">
        <f ca="1">IF(R397&gt;0,S397*100/R397,0)</f>
        <v>0</v>
      </c>
    </row>
    <row r="398" spans="1:21" ht="18.75" x14ac:dyDescent="0.25">
      <c r="A398" s="128"/>
      <c r="B398" s="158"/>
      <c r="C398" s="158"/>
      <c r="D398" s="1406" t="s">
        <v>23</v>
      </c>
      <c r="E398" s="40"/>
      <c r="F398" s="40"/>
      <c r="G398" s="42"/>
      <c r="H398" s="137" t="s">
        <v>14</v>
      </c>
      <c r="I398" s="135"/>
      <c r="J398" s="135"/>
      <c r="K398" s="136"/>
      <c r="L398" s="1356">
        <f>L399+L400</f>
        <v>0</v>
      </c>
      <c r="M398" s="224">
        <f>M399+M400</f>
        <v>0</v>
      </c>
      <c r="N398" s="224">
        <f>N399+N400</f>
        <v>0</v>
      </c>
      <c r="O398" s="224">
        <f>IF(L398&gt;0,N398*100/L398,0)</f>
        <v>0</v>
      </c>
      <c r="P398" s="224">
        <f>IF(M398&gt;0,N398*100/M398,0)</f>
        <v>0</v>
      </c>
      <c r="Q398" s="224">
        <f>Q399+Q400</f>
        <v>0</v>
      </c>
      <c r="R398" s="224">
        <f>R399+R400</f>
        <v>0</v>
      </c>
      <c r="S398" s="224">
        <f>S399+S400</f>
        <v>0</v>
      </c>
      <c r="T398" s="224">
        <f>IF(Q398&gt;0,S398*100/Q398,0)</f>
        <v>0</v>
      </c>
      <c r="U398" s="224">
        <f>IF(R398&gt;0,S398*100/R398,0)</f>
        <v>0</v>
      </c>
    </row>
    <row r="399" spans="1:21" ht="18.75" x14ac:dyDescent="0.25">
      <c r="A399" s="128"/>
      <c r="B399" s="158"/>
      <c r="C399" s="158"/>
      <c r="D399" s="158"/>
      <c r="E399" s="156" t="s">
        <v>20</v>
      </c>
      <c r="F399" s="40"/>
      <c r="G399" s="42"/>
      <c r="H399" s="159" t="s">
        <v>14</v>
      </c>
      <c r="I399" s="135"/>
      <c r="J399" s="135"/>
      <c r="K399" s="136"/>
      <c r="L399" s="1358">
        <v>0</v>
      </c>
      <c r="M399" s="83">
        <v>0</v>
      </c>
      <c r="N399" s="83">
        <v>0</v>
      </c>
      <c r="O399" s="83">
        <f>IF(L399&gt;0,N399*100/L399,0)</f>
        <v>0</v>
      </c>
      <c r="P399" s="83">
        <f>IF(M399&gt;0,N399*100/M399,0)</f>
        <v>0</v>
      </c>
      <c r="Q399" s="83">
        <v>0</v>
      </c>
      <c r="R399" s="83">
        <v>0</v>
      </c>
      <c r="S399" s="83">
        <v>0</v>
      </c>
      <c r="T399" s="83">
        <f>IF(Q399&gt;0,S399*100/Q399,0)</f>
        <v>0</v>
      </c>
      <c r="U399" s="83">
        <f>IF(R399&gt;0,S399*100/R399,0)</f>
        <v>0</v>
      </c>
    </row>
    <row r="400" spans="1:21" ht="18.75" x14ac:dyDescent="0.25">
      <c r="A400" s="128"/>
      <c r="B400" s="158"/>
      <c r="C400" s="158"/>
      <c r="D400" s="158"/>
      <c r="E400" s="47" t="s">
        <v>21</v>
      </c>
      <c r="F400" s="40"/>
      <c r="G400" s="42"/>
      <c r="H400" s="137" t="s">
        <v>14</v>
      </c>
      <c r="I400" s="135"/>
      <c r="J400" s="135"/>
      <c r="K400" s="136"/>
      <c r="L400" s="1356">
        <v>0</v>
      </c>
      <c r="M400" s="224">
        <v>0</v>
      </c>
      <c r="N400" s="224">
        <v>0</v>
      </c>
      <c r="O400" s="224">
        <f>IF(L400&gt;0,N400*100/L400,0)</f>
        <v>0</v>
      </c>
      <c r="P400" s="224">
        <f>IF(M400&gt;0,N400*100/M400,0)</f>
        <v>0</v>
      </c>
      <c r="Q400" s="224">
        <v>0</v>
      </c>
      <c r="R400" s="224">
        <v>0</v>
      </c>
      <c r="S400" s="224">
        <v>0</v>
      </c>
      <c r="T400" s="224">
        <f>IF(Q400&gt;0,S400*100/Q400,0)</f>
        <v>0</v>
      </c>
      <c r="U400" s="224">
        <f>IF(R400&gt;0,S400*100/R400,0)</f>
        <v>0</v>
      </c>
    </row>
    <row r="401" spans="1:21" ht="19.5" x14ac:dyDescent="0.3">
      <c r="A401" s="138"/>
      <c r="B401" s="139"/>
      <c r="C401" s="161" t="s">
        <v>18</v>
      </c>
      <c r="D401" s="1535" t="s">
        <v>38</v>
      </c>
      <c r="E401" s="141"/>
      <c r="F401" s="141"/>
      <c r="G401" s="142"/>
      <c r="H401" s="178"/>
      <c r="I401" s="135"/>
      <c r="J401" s="44"/>
      <c r="K401" s="45"/>
      <c r="L401" s="1359"/>
      <c r="M401" s="45"/>
      <c r="N401" s="45"/>
      <c r="O401" s="136"/>
      <c r="P401" s="136"/>
      <c r="Q401" s="45"/>
      <c r="R401" s="45"/>
      <c r="S401" s="45"/>
      <c r="T401" s="136"/>
      <c r="U401" s="136"/>
    </row>
    <row r="402" spans="1:21" ht="12.75" x14ac:dyDescent="0.2">
      <c r="A402" s="227"/>
      <c r="B402" s="228"/>
      <c r="C402" s="228"/>
      <c r="D402" s="228"/>
      <c r="E402" s="229"/>
      <c r="F402" s="229"/>
      <c r="G402" s="230"/>
      <c r="H402" s="231"/>
      <c r="I402" s="232"/>
      <c r="J402" s="232"/>
      <c r="K402" s="233"/>
      <c r="L402" s="1536"/>
      <c r="M402" s="233"/>
      <c r="N402" s="233"/>
      <c r="O402" s="233"/>
      <c r="P402" s="233"/>
      <c r="Q402" s="233"/>
      <c r="R402" s="233"/>
      <c r="S402" s="233"/>
      <c r="T402" s="233"/>
      <c r="U402" s="233"/>
    </row>
    <row r="403" spans="1:21" ht="12.75" x14ac:dyDescent="0.2">
      <c r="A403" s="228"/>
      <c r="B403" s="228"/>
      <c r="C403" s="228"/>
      <c r="D403" s="228"/>
      <c r="E403" s="228"/>
      <c r="F403" s="228"/>
      <c r="G403" s="231"/>
      <c r="H403" s="231"/>
      <c r="I403" s="232"/>
      <c r="J403" s="232"/>
      <c r="K403" s="233"/>
      <c r="L403" s="1536"/>
      <c r="M403" s="233"/>
      <c r="N403" s="233"/>
      <c r="O403" s="233"/>
      <c r="P403" s="233"/>
      <c r="Q403" s="233"/>
      <c r="R403" s="233"/>
      <c r="S403" s="233"/>
      <c r="T403" s="233"/>
      <c r="U403" s="233"/>
    </row>
    <row r="404" spans="1:21" ht="12.75" x14ac:dyDescent="0.2">
      <c r="A404" s="228"/>
      <c r="B404" s="228"/>
      <c r="C404" s="228"/>
      <c r="D404" s="228"/>
      <c r="E404" s="228"/>
      <c r="F404" s="228"/>
      <c r="G404" s="231"/>
      <c r="H404" s="231"/>
      <c r="I404" s="232"/>
      <c r="J404" s="232"/>
      <c r="K404" s="233"/>
      <c r="L404" s="1536"/>
      <c r="M404" s="233"/>
      <c r="N404" s="233"/>
      <c r="O404" s="233"/>
      <c r="P404" s="233"/>
      <c r="Q404" s="233"/>
      <c r="R404" s="233"/>
      <c r="S404" s="233"/>
      <c r="T404" s="233"/>
      <c r="U404" s="233"/>
    </row>
    <row r="405" spans="1:21" ht="12.75" x14ac:dyDescent="0.2">
      <c r="A405" s="228"/>
      <c r="B405" s="228"/>
      <c r="C405" s="228"/>
      <c r="D405" s="228"/>
      <c r="E405" s="228"/>
      <c r="F405" s="228"/>
      <c r="G405" s="231"/>
      <c r="H405" s="231"/>
      <c r="I405" s="232"/>
      <c r="J405" s="232"/>
      <c r="K405" s="233"/>
      <c r="L405" s="1536"/>
      <c r="M405" s="233"/>
      <c r="N405" s="233"/>
      <c r="O405" s="233"/>
      <c r="P405" s="233"/>
      <c r="Q405" s="233"/>
      <c r="R405" s="233"/>
      <c r="S405" s="233"/>
      <c r="T405" s="233"/>
      <c r="U405" s="233"/>
    </row>
    <row r="406" spans="1:21" ht="12.75" x14ac:dyDescent="0.2">
      <c r="A406" s="228"/>
      <c r="B406" s="228"/>
      <c r="C406" s="228"/>
      <c r="D406" s="228"/>
      <c r="E406" s="228"/>
      <c r="F406" s="228"/>
      <c r="G406" s="231"/>
      <c r="H406" s="231"/>
      <c r="I406" s="232"/>
      <c r="J406" s="232"/>
      <c r="K406" s="233"/>
      <c r="L406" s="1536"/>
      <c r="M406" s="233"/>
      <c r="N406" s="233"/>
      <c r="O406" s="233"/>
      <c r="P406" s="233"/>
      <c r="Q406" s="233"/>
      <c r="R406" s="233"/>
      <c r="S406" s="233"/>
      <c r="T406" s="233"/>
      <c r="U406" s="233"/>
    </row>
    <row r="407" spans="1:21" ht="12.75" x14ac:dyDescent="0.2">
      <c r="A407" s="228"/>
      <c r="B407" s="228"/>
      <c r="C407" s="228"/>
      <c r="D407" s="228"/>
      <c r="E407" s="228"/>
      <c r="F407" s="228"/>
      <c r="G407" s="231"/>
      <c r="H407" s="231"/>
      <c r="I407" s="232"/>
      <c r="J407" s="232"/>
      <c r="K407" s="233"/>
      <c r="L407" s="1536"/>
      <c r="M407" s="233"/>
      <c r="N407" s="233"/>
      <c r="O407" s="233"/>
      <c r="P407" s="233"/>
      <c r="Q407" s="233"/>
      <c r="R407" s="233"/>
      <c r="S407" s="233"/>
      <c r="T407" s="233"/>
      <c r="U407" s="233"/>
    </row>
    <row r="408" spans="1:21" ht="12.75" x14ac:dyDescent="0.2">
      <c r="A408" s="228"/>
      <c r="B408" s="228"/>
      <c r="C408" s="228"/>
      <c r="D408" s="228"/>
      <c r="E408" s="228"/>
      <c r="F408" s="228"/>
      <c r="G408" s="231"/>
      <c r="H408" s="231"/>
      <c r="I408" s="232"/>
      <c r="J408" s="232"/>
      <c r="K408" s="233"/>
      <c r="L408" s="1536"/>
      <c r="M408" s="233"/>
      <c r="N408" s="233"/>
      <c r="O408" s="233"/>
      <c r="P408" s="233"/>
      <c r="Q408" s="233"/>
      <c r="R408" s="233"/>
      <c r="S408" s="233"/>
      <c r="T408" s="233"/>
      <c r="U408" s="233"/>
    </row>
    <row r="409" spans="1:21" ht="12.75" x14ac:dyDescent="0.2">
      <c r="A409" s="228"/>
      <c r="B409" s="228"/>
      <c r="C409" s="228"/>
      <c r="D409" s="228"/>
      <c r="E409" s="228"/>
      <c r="F409" s="228"/>
      <c r="G409" s="231"/>
      <c r="H409" s="231"/>
      <c r="I409" s="232"/>
      <c r="J409" s="232"/>
      <c r="K409" s="233"/>
      <c r="L409" s="1536"/>
      <c r="M409" s="233"/>
      <c r="N409" s="233"/>
      <c r="O409" s="233"/>
      <c r="P409" s="233"/>
      <c r="Q409" s="233"/>
      <c r="R409" s="233"/>
      <c r="S409" s="233"/>
      <c r="T409" s="233"/>
      <c r="U409" s="233"/>
    </row>
    <row r="410" spans="1:21" ht="12.75" x14ac:dyDescent="0.2">
      <c r="A410" s="228"/>
      <c r="B410" s="228"/>
      <c r="C410" s="228"/>
      <c r="D410" s="228"/>
      <c r="E410" s="228"/>
      <c r="F410" s="228"/>
      <c r="G410" s="231"/>
      <c r="H410" s="231"/>
      <c r="I410" s="232"/>
      <c r="J410" s="232"/>
      <c r="K410" s="233"/>
      <c r="L410" s="1536"/>
      <c r="M410" s="233"/>
      <c r="N410" s="233"/>
      <c r="O410" s="233"/>
      <c r="P410" s="233"/>
      <c r="Q410" s="233"/>
      <c r="R410" s="233"/>
      <c r="S410" s="233"/>
      <c r="T410" s="233"/>
      <c r="U410" s="233"/>
    </row>
    <row r="411" spans="1:21" ht="12.75" x14ac:dyDescent="0.2">
      <c r="A411" s="316"/>
      <c r="B411" s="316"/>
      <c r="C411" s="316"/>
      <c r="D411" s="316"/>
      <c r="E411" s="316"/>
      <c r="F411" s="316"/>
      <c r="G411" s="317"/>
      <c r="H411" s="317"/>
      <c r="I411" s="318"/>
      <c r="J411" s="318"/>
      <c r="K411" s="319"/>
      <c r="L411" s="1537"/>
      <c r="M411" s="319"/>
      <c r="N411" s="319"/>
      <c r="O411" s="319"/>
      <c r="P411" s="319"/>
      <c r="Q411" s="319"/>
      <c r="R411" s="319"/>
      <c r="S411" s="319"/>
      <c r="T411" s="319"/>
      <c r="U411" s="319"/>
    </row>
    <row r="412" spans="1:21" ht="19.5" x14ac:dyDescent="0.3">
      <c r="A412" s="301"/>
      <c r="B412" s="310" t="s">
        <v>157</v>
      </c>
      <c r="C412" s="301"/>
      <c r="D412" s="301"/>
      <c r="E412" s="301"/>
      <c r="F412" s="301"/>
      <c r="G412" s="320"/>
      <c r="H412" s="321" t="s">
        <v>46</v>
      </c>
      <c r="I412" s="1501">
        <f ca="1">I423</f>
        <v>91916</v>
      </c>
      <c r="J412" s="1501">
        <f>J423</f>
        <v>0</v>
      </c>
      <c r="K412" s="1502">
        <f ca="1">IF(I412&gt;0,J412*100/I412,0)</f>
        <v>0</v>
      </c>
      <c r="L412" s="1503"/>
      <c r="M412" s="298"/>
      <c r="N412" s="298"/>
      <c r="O412" s="298"/>
      <c r="P412" s="298"/>
      <c r="Q412" s="298"/>
      <c r="R412" s="298"/>
      <c r="S412" s="298"/>
      <c r="T412" s="298"/>
      <c r="U412" s="298"/>
    </row>
    <row r="413" spans="1:21" ht="19.5" x14ac:dyDescent="0.3">
      <c r="A413" s="128"/>
      <c r="B413" s="158"/>
      <c r="C413" s="322" t="s">
        <v>18</v>
      </c>
      <c r="D413" s="1538" t="s">
        <v>19</v>
      </c>
      <c r="E413" s="1292"/>
      <c r="F413" s="1292"/>
      <c r="G413" s="1293"/>
      <c r="H413" s="323" t="s">
        <v>14</v>
      </c>
      <c r="I413" s="44"/>
      <c r="J413" s="44"/>
      <c r="K413" s="45"/>
      <c r="L413" s="1389">
        <f ca="1">L414+L415</f>
        <v>614810</v>
      </c>
      <c r="M413" s="1390">
        <f ca="1">M414+M415</f>
        <v>233200</v>
      </c>
      <c r="N413" s="1390">
        <f ca="1">N414+N415</f>
        <v>0</v>
      </c>
      <c r="O413" s="1390">
        <f ca="1">IF(L413&gt;0,N413*100/L413,0)</f>
        <v>0</v>
      </c>
      <c r="P413" s="1390">
        <f ca="1">IF(M413&gt;0,N413*100/M413,0)</f>
        <v>0</v>
      </c>
      <c r="Q413" s="1390">
        <f ca="1">Q414+Q415</f>
        <v>72740</v>
      </c>
      <c r="R413" s="1390">
        <f ca="1">R414+R415</f>
        <v>72740</v>
      </c>
      <c r="S413" s="1390">
        <f ca="1">S414+S415</f>
        <v>0</v>
      </c>
      <c r="T413" s="1390">
        <f ca="1">IF(Q413&gt;0,S413*100/Q413,0)</f>
        <v>0</v>
      </c>
      <c r="U413" s="1390">
        <f ca="1">IF(R413&gt;0,S413*100/R413,0)</f>
        <v>0</v>
      </c>
    </row>
    <row r="414" spans="1:21" ht="18.75" x14ac:dyDescent="0.25">
      <c r="A414" s="128"/>
      <c r="B414" s="158"/>
      <c r="C414" s="158"/>
      <c r="D414" s="158"/>
      <c r="E414" s="314" t="s">
        <v>158</v>
      </c>
      <c r="F414" s="158"/>
      <c r="G414" s="180"/>
      <c r="H414" s="176" t="s">
        <v>14</v>
      </c>
      <c r="I414" s="44"/>
      <c r="J414" s="44"/>
      <c r="K414" s="45"/>
      <c r="L414" s="1358">
        <f>L417+L420</f>
        <v>0</v>
      </c>
      <c r="M414" s="83">
        <f>M417+M420</f>
        <v>0</v>
      </c>
      <c r="N414" s="83">
        <f>N417+N420</f>
        <v>0</v>
      </c>
      <c r="O414" s="83">
        <f>IF(L414&gt;0,N414*100/L414,0)</f>
        <v>0</v>
      </c>
      <c r="P414" s="83">
        <f>IF(M414&gt;0,N414*100/M414,0)</f>
        <v>0</v>
      </c>
      <c r="Q414" s="83">
        <f>Q417+Q420</f>
        <v>0</v>
      </c>
      <c r="R414" s="83">
        <f>R417+R420</f>
        <v>0</v>
      </c>
      <c r="S414" s="83">
        <f>S417+S420</f>
        <v>0</v>
      </c>
      <c r="T414" s="83">
        <f>IF(Q414&gt;0,S414*100/Q414,0)</f>
        <v>0</v>
      </c>
      <c r="U414" s="83">
        <f>IF(R414&gt;0,S414*100/R414,0)</f>
        <v>0</v>
      </c>
    </row>
    <row r="415" spans="1:21" ht="18.75" x14ac:dyDescent="0.25">
      <c r="A415" s="128"/>
      <c r="B415" s="158"/>
      <c r="C415" s="158"/>
      <c r="D415" s="158"/>
      <c r="E415" s="209" t="s">
        <v>159</v>
      </c>
      <c r="F415" s="158"/>
      <c r="G415" s="180"/>
      <c r="H415" s="175" t="s">
        <v>14</v>
      </c>
      <c r="I415" s="44"/>
      <c r="J415" s="44"/>
      <c r="K415" s="45"/>
      <c r="L415" s="1356">
        <f ca="1">L418+L421</f>
        <v>614810</v>
      </c>
      <c r="M415" s="224">
        <f ca="1">M418+M421</f>
        <v>233200</v>
      </c>
      <c r="N415" s="224">
        <f ca="1">N418+N421</f>
        <v>0</v>
      </c>
      <c r="O415" s="224">
        <f ca="1">IF(L415&gt;0,N415*100/L415,0)</f>
        <v>0</v>
      </c>
      <c r="P415" s="224">
        <f ca="1">IF(M415&gt;0,N415*100/M415,0)</f>
        <v>0</v>
      </c>
      <c r="Q415" s="224">
        <f ca="1">Q418+Q421</f>
        <v>72740</v>
      </c>
      <c r="R415" s="224">
        <f ca="1">R418+R421</f>
        <v>72740</v>
      </c>
      <c r="S415" s="224">
        <f ca="1">S418+S421</f>
        <v>0</v>
      </c>
      <c r="T415" s="224">
        <f ca="1">IF(Q415&gt;0,S415*100/Q415,0)</f>
        <v>0</v>
      </c>
      <c r="U415" s="224">
        <f ca="1">IF(R415&gt;0,S415*100/R415,0)</f>
        <v>0</v>
      </c>
    </row>
    <row r="416" spans="1:21" ht="19.5" x14ac:dyDescent="0.3">
      <c r="A416" s="128"/>
      <c r="B416" s="158"/>
      <c r="C416" s="158"/>
      <c r="D416" s="1534" t="s">
        <v>22</v>
      </c>
      <c r="E416" s="158"/>
      <c r="F416" s="158"/>
      <c r="G416" s="180"/>
      <c r="H416" s="323" t="s">
        <v>14</v>
      </c>
      <c r="I416" s="44"/>
      <c r="J416" s="44"/>
      <c r="K416" s="45"/>
      <c r="L416" s="1356">
        <f ca="1">L417+L418</f>
        <v>614810</v>
      </c>
      <c r="M416" s="224">
        <f ca="1">M417+M418</f>
        <v>233200</v>
      </c>
      <c r="N416" s="224">
        <f ca="1">N417+N418</f>
        <v>0</v>
      </c>
      <c r="O416" s="224">
        <f ca="1">IF(L416&gt;0,N416*100/L416,0)</f>
        <v>0</v>
      </c>
      <c r="P416" s="224">
        <f ca="1">IF(M416&gt;0,N416*100/M416,0)</f>
        <v>0</v>
      </c>
      <c r="Q416" s="224">
        <f ca="1">Q417+Q418</f>
        <v>72740</v>
      </c>
      <c r="R416" s="224">
        <f ca="1">R417+R418</f>
        <v>72740</v>
      </c>
      <c r="S416" s="224">
        <f ca="1">S417+S418</f>
        <v>0</v>
      </c>
      <c r="T416" s="224">
        <f ca="1">IF(Q416&gt;0,S416*100/Q416,0)</f>
        <v>0</v>
      </c>
      <c r="U416" s="224">
        <f ca="1">IF(R416&gt;0,S416*100/R416,0)</f>
        <v>0</v>
      </c>
    </row>
    <row r="417" spans="1:21" ht="18.75" x14ac:dyDescent="0.25">
      <c r="A417" s="128"/>
      <c r="B417" s="158"/>
      <c r="C417" s="158"/>
      <c r="D417" s="158"/>
      <c r="E417" s="314" t="s">
        <v>158</v>
      </c>
      <c r="F417" s="158"/>
      <c r="G417" s="180"/>
      <c r="H417" s="176" t="s">
        <v>14</v>
      </c>
      <c r="I417" s="44"/>
      <c r="J417" s="44"/>
      <c r="K417" s="45"/>
      <c r="L417" s="1358">
        <v>0</v>
      </c>
      <c r="M417" s="83">
        <v>0</v>
      </c>
      <c r="N417" s="83">
        <v>0</v>
      </c>
      <c r="O417" s="83">
        <f>IF(L417&gt;0,N417*100/L417,0)</f>
        <v>0</v>
      </c>
      <c r="P417" s="83">
        <f>IF(M417&gt;0,N417*100/M417,0)</f>
        <v>0</v>
      </c>
      <c r="Q417" s="83">
        <v>0</v>
      </c>
      <c r="R417" s="83">
        <v>0</v>
      </c>
      <c r="S417" s="83">
        <v>0</v>
      </c>
      <c r="T417" s="83">
        <f>IF(Q417&gt;0,S417*100/Q417,0)</f>
        <v>0</v>
      </c>
      <c r="U417" s="83">
        <f>IF(R417&gt;0,S417*100/R417,0)</f>
        <v>0</v>
      </c>
    </row>
    <row r="418" spans="1:21" ht="18.75" x14ac:dyDescent="0.25">
      <c r="A418" s="128"/>
      <c r="B418" s="158"/>
      <c r="C418" s="158"/>
      <c r="D418" s="158"/>
      <c r="E418" s="209" t="s">
        <v>159</v>
      </c>
      <c r="F418" s="158"/>
      <c r="G418" s="180"/>
      <c r="H418" s="175" t="s">
        <v>14</v>
      </c>
      <c r="I418" s="44"/>
      <c r="J418" s="44"/>
      <c r="K418" s="45"/>
      <c r="L418" s="1356">
        <f ca="1">IFERROR(__xludf.DUMMYFUNCTION("IMPORTRANGE(""https://docs.google.com/spreadsheets/d/1-uDff_7J0KD5mKrp0Vvzr7lt3OU09vwQwhkpOPPYv2Y/edit?usp=sharing"",""งบพรบ!IO28"")"),614810)</f>
        <v>614810</v>
      </c>
      <c r="M418" s="224">
        <f ca="1">IFERROR(__xludf.DUMMYFUNCTION("IMPORTRANGE(""https://docs.google.com/spreadsheets/d/1-uDff_7J0KD5mKrp0Vvzr7lt3OU09vwQwhkpOPPYv2Y/edit?usp=sharing"",""งบพรบ!IT28"")"),233200)</f>
        <v>233200</v>
      </c>
      <c r="N418" s="224">
        <f ca="1">IFERROR(__xludf.DUMMYFUNCTION("IMPORTRANGE(""https://docs.google.com/spreadsheets/d/1-uDff_7J0KD5mKrp0Vvzr7lt3OU09vwQwhkpOPPYv2Y/edit?usp=sharing"",""งบพรบ!IV28"")"),0)</f>
        <v>0</v>
      </c>
      <c r="O418" s="224">
        <f ca="1">IF(L418&gt;0,N418*100/L418,0)</f>
        <v>0</v>
      </c>
      <c r="P418" s="224">
        <f ca="1">IF(M418&gt;0,N418*100/M418,0)</f>
        <v>0</v>
      </c>
      <c r="Q418" s="224">
        <f ca="1">IFERROR(__xludf.DUMMYFUNCTION("IMPORTRANGE(""https://docs.google.com/spreadsheets/d/1ItG2mGa2ceCfYo0BwxsXqNm01IGEUdYcSSLTEv9YCik/edit?usp=sharing"",""เบิกจ่ายกองทุน!BZ28"")"),72740)</f>
        <v>72740</v>
      </c>
      <c r="R418" s="224">
        <f ca="1">IFERROR(__xludf.DUMMYFUNCTION("IMPORTRANGE(""https://docs.google.com/spreadsheets/d/1ItG2mGa2ceCfYo0BwxsXqNm01IGEUdYcSSLTEv9YCik/edit?usp=sharing"",""เบิกจ่ายกองทุน!CA28"")"),72740)</f>
        <v>72740</v>
      </c>
      <c r="S418" s="224">
        <f ca="1">IFERROR(__xludf.DUMMYFUNCTION("IMPORTRANGE(""https://docs.google.com/spreadsheets/d/1ItG2mGa2ceCfYo0BwxsXqNm01IGEUdYcSSLTEv9YCik/edit?usp=sharing"",""เบิกจ่ายกองทุน!CB28"")"),0)</f>
        <v>0</v>
      </c>
      <c r="T418" s="224">
        <f ca="1">IF(Q418&gt;0,S418*100/Q418,0)</f>
        <v>0</v>
      </c>
      <c r="U418" s="224">
        <f ca="1">IF(R418&gt;0,S418*100/R418,0)</f>
        <v>0</v>
      </c>
    </row>
    <row r="419" spans="1:21" ht="19.5" x14ac:dyDescent="0.3">
      <c r="A419" s="128"/>
      <c r="B419" s="158"/>
      <c r="C419" s="158"/>
      <c r="D419" s="1534" t="s">
        <v>23</v>
      </c>
      <c r="E419" s="158"/>
      <c r="F419" s="158"/>
      <c r="G419" s="180"/>
      <c r="H419" s="131" t="s">
        <v>14</v>
      </c>
      <c r="I419" s="44"/>
      <c r="J419" s="44"/>
      <c r="K419" s="45"/>
      <c r="L419" s="1356">
        <f ca="1">L420+L421</f>
        <v>0</v>
      </c>
      <c r="M419" s="224">
        <f ca="1">M420+M421</f>
        <v>0</v>
      </c>
      <c r="N419" s="224">
        <f ca="1">N420+N421</f>
        <v>0</v>
      </c>
      <c r="O419" s="224">
        <f ca="1">IF(L419&gt;0,N419*100/L419,0)</f>
        <v>0</v>
      </c>
      <c r="P419" s="224">
        <f ca="1">IF(M419&gt;0,N419*100/M419,0)</f>
        <v>0</v>
      </c>
      <c r="Q419" s="224">
        <f>Q420+Q421</f>
        <v>0</v>
      </c>
      <c r="R419" s="224">
        <f>R420+R421</f>
        <v>0</v>
      </c>
      <c r="S419" s="224">
        <f>S420+S421</f>
        <v>0</v>
      </c>
      <c r="T419" s="224">
        <f>IF(Q419&gt;0,S419*100/Q419,0)</f>
        <v>0</v>
      </c>
      <c r="U419" s="224">
        <f>IF(R419&gt;0,S419*100/R419,0)</f>
        <v>0</v>
      </c>
    </row>
    <row r="420" spans="1:21" ht="18.75" x14ac:dyDescent="0.25">
      <c r="A420" s="128"/>
      <c r="B420" s="158"/>
      <c r="C420" s="158"/>
      <c r="D420" s="158"/>
      <c r="E420" s="314" t="s">
        <v>20</v>
      </c>
      <c r="F420" s="158"/>
      <c r="G420" s="180"/>
      <c r="H420" s="176" t="s">
        <v>14</v>
      </c>
      <c r="I420" s="44"/>
      <c r="J420" s="44"/>
      <c r="K420" s="45"/>
      <c r="L420" s="1358">
        <v>0</v>
      </c>
      <c r="M420" s="83">
        <v>0</v>
      </c>
      <c r="N420" s="83">
        <v>0</v>
      </c>
      <c r="O420" s="83">
        <f>IF(L420&gt;0,N420*100/L420,0)</f>
        <v>0</v>
      </c>
      <c r="P420" s="83">
        <f>IF(M420&gt;0,N420*100/M420,0)</f>
        <v>0</v>
      </c>
      <c r="Q420" s="83">
        <v>0</v>
      </c>
      <c r="R420" s="83">
        <v>0</v>
      </c>
      <c r="S420" s="83">
        <v>0</v>
      </c>
      <c r="T420" s="83">
        <f>IF(Q420&gt;0,S420*100/Q420,0)</f>
        <v>0</v>
      </c>
      <c r="U420" s="83">
        <f>IF(R420&gt;0,S420*100/R420,0)</f>
        <v>0</v>
      </c>
    </row>
    <row r="421" spans="1:21" ht="18.75" x14ac:dyDescent="0.25">
      <c r="A421" s="128"/>
      <c r="B421" s="158"/>
      <c r="C421" s="158"/>
      <c r="D421" s="158"/>
      <c r="E421" s="209" t="s">
        <v>21</v>
      </c>
      <c r="F421" s="158"/>
      <c r="G421" s="180"/>
      <c r="H421" s="133" t="s">
        <v>14</v>
      </c>
      <c r="I421" s="44"/>
      <c r="J421" s="44"/>
      <c r="K421" s="45"/>
      <c r="L421" s="1356">
        <f ca="1">IFERROR(__xludf.DUMMYFUNCTION("IMPORTRANGE(""https://docs.google.com/spreadsheets/d/1-uDff_7J0KD5mKrp0Vvzr7lt3OU09vwQwhkpOPPYv2Y/edit?usp=sharing"",""งบพรบ!IR28"")"),0)</f>
        <v>0</v>
      </c>
      <c r="M421" s="224">
        <f ca="1">IFERROR(__xludf.DUMMYFUNCTION("IMPORTRANGE(""https://docs.google.com/spreadsheets/d/1-uDff_7J0KD5mKrp0Vvzr7lt3OU09vwQwhkpOPPYv2Y/edit?usp=sharing"",""งบพรบ!IU28"")"),0)</f>
        <v>0</v>
      </c>
      <c r="N421" s="224">
        <f ca="1">IFERROR(__xludf.DUMMYFUNCTION("IMPORTRANGE(""https://docs.google.com/spreadsheets/d/1-uDff_7J0KD5mKrp0Vvzr7lt3OU09vwQwhkpOPPYv2Y/edit?usp=sharing"",""งบพรบ!IW28"")"),0)</f>
        <v>0</v>
      </c>
      <c r="O421" s="224">
        <f ca="1">IF(L421&gt;0,N421*100/L421,0)</f>
        <v>0</v>
      </c>
      <c r="P421" s="224">
        <f ca="1">IF(M421&gt;0,N421*100/M421,0)</f>
        <v>0</v>
      </c>
      <c r="Q421" s="224">
        <v>0</v>
      </c>
      <c r="R421" s="224">
        <v>0</v>
      </c>
      <c r="S421" s="224">
        <v>0</v>
      </c>
      <c r="T421" s="224">
        <f>IF(Q421&gt;0,S421*100/Q421,0)</f>
        <v>0</v>
      </c>
      <c r="U421" s="224">
        <f>IF(R421&gt;0,S421*100/R421,0)</f>
        <v>0</v>
      </c>
    </row>
    <row r="422" spans="1:21" ht="19.5" x14ac:dyDescent="0.3">
      <c r="A422" s="208"/>
      <c r="B422" s="158"/>
      <c r="C422" s="322" t="s">
        <v>18</v>
      </c>
      <c r="D422" s="1539" t="s">
        <v>38</v>
      </c>
      <c r="E422" s="158"/>
      <c r="F422" s="158"/>
      <c r="G422" s="180"/>
      <c r="H422" s="180"/>
      <c r="I422" s="44"/>
      <c r="J422" s="44"/>
      <c r="K422" s="45"/>
      <c r="L422" s="1359"/>
      <c r="M422" s="45"/>
      <c r="N422" s="45"/>
      <c r="O422" s="45"/>
      <c r="P422" s="45"/>
      <c r="Q422" s="45"/>
      <c r="R422" s="45"/>
      <c r="S422" s="45"/>
      <c r="T422" s="45"/>
      <c r="U422" s="45"/>
    </row>
    <row r="423" spans="1:21" ht="19.5" x14ac:dyDescent="0.3">
      <c r="A423" s="208"/>
      <c r="B423" s="161" t="s">
        <v>160</v>
      </c>
      <c r="C423" s="158"/>
      <c r="D423" s="158"/>
      <c r="E423" s="158"/>
      <c r="F423" s="158"/>
      <c r="G423" s="180"/>
      <c r="H423" s="323" t="s">
        <v>46</v>
      </c>
      <c r="I423" s="328">
        <f ca="1">I440</f>
        <v>91916</v>
      </c>
      <c r="J423" s="328">
        <f>J440</f>
        <v>0</v>
      </c>
      <c r="K423" s="1390">
        <f ca="1">IF(I423&gt;0,J423*100/I423,0)</f>
        <v>0</v>
      </c>
      <c r="L423" s="1359"/>
      <c r="M423" s="45"/>
      <c r="N423" s="45"/>
      <c r="O423" s="45"/>
      <c r="P423" s="45"/>
      <c r="Q423" s="45"/>
      <c r="R423" s="45"/>
      <c r="S423" s="45"/>
      <c r="T423" s="45"/>
      <c r="U423" s="45"/>
    </row>
    <row r="424" spans="1:21" ht="19.5" x14ac:dyDescent="0.3">
      <c r="A424" s="208"/>
      <c r="B424" s="158"/>
      <c r="C424" s="161" t="s">
        <v>161</v>
      </c>
      <c r="D424" s="158"/>
      <c r="E424" s="158"/>
      <c r="F424" s="158"/>
      <c r="G424" s="180"/>
      <c r="H424" s="131" t="s">
        <v>46</v>
      </c>
      <c r="I424" s="328">
        <f ca="1">IFERROR(__xludf.DUMMYFUNCTION("IMPORTRANGE(""https://docs.google.com/spreadsheets/d/1eHaY18a8A9IcSdp1K8H6x8fbOy06t2VsZHhMHf-1x7Y/edit?usp=sharing"",""แผน!HJ28"")"),91916)</f>
        <v>91916</v>
      </c>
      <c r="J424" s="328">
        <f>J426+J428+J430</f>
        <v>0</v>
      </c>
      <c r="K424" s="1390">
        <f ca="1">IF(I424&gt;0,J424*100/I424,0)</f>
        <v>0</v>
      </c>
      <c r="L424" s="1359"/>
      <c r="M424" s="45"/>
      <c r="N424" s="45"/>
      <c r="O424" s="45"/>
      <c r="P424" s="45"/>
      <c r="Q424" s="45"/>
      <c r="R424" s="45"/>
      <c r="S424" s="45"/>
      <c r="T424" s="45"/>
      <c r="U424" s="45"/>
    </row>
    <row r="425" spans="1:21" ht="19.5" x14ac:dyDescent="0.3">
      <c r="A425" s="208"/>
      <c r="B425" s="158"/>
      <c r="C425" s="158"/>
      <c r="D425" s="158"/>
      <c r="E425" s="158"/>
      <c r="F425" s="158"/>
      <c r="G425" s="180"/>
      <c r="H425" s="131" t="s">
        <v>34</v>
      </c>
      <c r="I425" s="328">
        <f ca="1">IFERROR(__xludf.DUMMYFUNCTION("IMPORTRANGE(""https://docs.google.com/spreadsheets/d/1eHaY18a8A9IcSdp1K8H6x8fbOy06t2VsZHhMHf-1x7Y/edit?usp=sharing"",""แผน!HK28"")"),8168)</f>
        <v>8168</v>
      </c>
      <c r="J425" s="328">
        <f>J427+J429+J431</f>
        <v>0</v>
      </c>
      <c r="K425" s="1390">
        <f ca="1">IF(I425&gt;0,J425*100/I425,0)</f>
        <v>0</v>
      </c>
      <c r="L425" s="1359"/>
      <c r="M425" s="45"/>
      <c r="N425" s="45"/>
      <c r="O425" s="45"/>
      <c r="P425" s="45"/>
      <c r="Q425" s="45"/>
      <c r="R425" s="45"/>
      <c r="S425" s="45"/>
      <c r="T425" s="45"/>
      <c r="U425" s="45"/>
    </row>
    <row r="426" spans="1:21" ht="18.75" x14ac:dyDescent="0.25">
      <c r="A426" s="208"/>
      <c r="B426" s="158"/>
      <c r="C426" s="158"/>
      <c r="D426" s="209" t="s">
        <v>162</v>
      </c>
      <c r="E426" s="158"/>
      <c r="F426" s="158"/>
      <c r="G426" s="180"/>
      <c r="H426" s="133" t="s">
        <v>46</v>
      </c>
      <c r="I426" s="44"/>
      <c r="J426" s="44"/>
      <c r="K426" s="45"/>
      <c r="L426" s="1359"/>
      <c r="M426" s="45"/>
      <c r="N426" s="45"/>
      <c r="O426" s="45"/>
      <c r="P426" s="45"/>
      <c r="Q426" s="45"/>
      <c r="R426" s="45"/>
      <c r="S426" s="45"/>
      <c r="T426" s="45"/>
      <c r="U426" s="45"/>
    </row>
    <row r="427" spans="1:21" ht="18.75" x14ac:dyDescent="0.25">
      <c r="A427" s="208"/>
      <c r="B427" s="158"/>
      <c r="C427" s="158"/>
      <c r="D427" s="158"/>
      <c r="E427" s="158"/>
      <c r="F427" s="158"/>
      <c r="G427" s="180"/>
      <c r="H427" s="133" t="s">
        <v>34</v>
      </c>
      <c r="I427" s="44"/>
      <c r="J427" s="44"/>
      <c r="K427" s="45"/>
      <c r="L427" s="1359"/>
      <c r="M427" s="45"/>
      <c r="N427" s="45"/>
      <c r="O427" s="45"/>
      <c r="P427" s="45"/>
      <c r="Q427" s="45"/>
      <c r="R427" s="45"/>
      <c r="S427" s="45"/>
      <c r="T427" s="45"/>
      <c r="U427" s="45"/>
    </row>
    <row r="428" spans="1:21" ht="18.75" x14ac:dyDescent="0.25">
      <c r="A428" s="208"/>
      <c r="B428" s="158"/>
      <c r="C428" s="158"/>
      <c r="D428" s="209" t="s">
        <v>163</v>
      </c>
      <c r="E428" s="158"/>
      <c r="F428" s="158"/>
      <c r="G428" s="180"/>
      <c r="H428" s="133" t="s">
        <v>46</v>
      </c>
      <c r="I428" s="44"/>
      <c r="J428" s="44"/>
      <c r="K428" s="45"/>
      <c r="L428" s="1359"/>
      <c r="M428" s="45"/>
      <c r="N428" s="45"/>
      <c r="O428" s="45"/>
      <c r="P428" s="45"/>
      <c r="Q428" s="45"/>
      <c r="R428" s="45"/>
      <c r="S428" s="45"/>
      <c r="T428" s="45"/>
      <c r="U428" s="45"/>
    </row>
    <row r="429" spans="1:21" ht="18.75" x14ac:dyDescent="0.25">
      <c r="A429" s="208"/>
      <c r="B429" s="158"/>
      <c r="C429" s="158"/>
      <c r="D429" s="158"/>
      <c r="E429" s="158"/>
      <c r="F429" s="158"/>
      <c r="G429" s="180"/>
      <c r="H429" s="133" t="s">
        <v>34</v>
      </c>
      <c r="I429" s="44"/>
      <c r="J429" s="44"/>
      <c r="K429" s="45"/>
      <c r="L429" s="1359"/>
      <c r="M429" s="45"/>
      <c r="N429" s="45"/>
      <c r="O429" s="45"/>
      <c r="P429" s="45"/>
      <c r="Q429" s="45"/>
      <c r="R429" s="45"/>
      <c r="S429" s="45"/>
      <c r="T429" s="45"/>
      <c r="U429" s="45"/>
    </row>
    <row r="430" spans="1:21" ht="18.75" x14ac:dyDescent="0.25">
      <c r="A430" s="208"/>
      <c r="B430" s="158"/>
      <c r="C430" s="158"/>
      <c r="D430" s="209" t="s">
        <v>164</v>
      </c>
      <c r="E430" s="158"/>
      <c r="F430" s="158"/>
      <c r="G430" s="180"/>
      <c r="H430" s="133" t="s">
        <v>46</v>
      </c>
      <c r="I430" s="44"/>
      <c r="J430" s="44"/>
      <c r="K430" s="45"/>
      <c r="L430" s="1359"/>
      <c r="M430" s="45"/>
      <c r="N430" s="45"/>
      <c r="O430" s="45"/>
      <c r="P430" s="45"/>
      <c r="Q430" s="45"/>
      <c r="R430" s="45"/>
      <c r="S430" s="45"/>
      <c r="T430" s="45"/>
      <c r="U430" s="45"/>
    </row>
    <row r="431" spans="1:21" ht="18.75" x14ac:dyDescent="0.25">
      <c r="A431" s="208"/>
      <c r="B431" s="158"/>
      <c r="C431" s="158"/>
      <c r="D431" s="158"/>
      <c r="E431" s="158"/>
      <c r="F431" s="158"/>
      <c r="G431" s="180"/>
      <c r="H431" s="133" t="s">
        <v>34</v>
      </c>
      <c r="I431" s="44"/>
      <c r="J431" s="44"/>
      <c r="K431" s="45"/>
      <c r="L431" s="1359"/>
      <c r="M431" s="45"/>
      <c r="N431" s="45"/>
      <c r="O431" s="45"/>
      <c r="P431" s="45"/>
      <c r="Q431" s="45"/>
      <c r="R431" s="45"/>
      <c r="S431" s="45"/>
      <c r="T431" s="45"/>
      <c r="U431" s="45"/>
    </row>
    <row r="432" spans="1:21" ht="19.5" x14ac:dyDescent="0.3">
      <c r="A432" s="208"/>
      <c r="B432" s="158"/>
      <c r="C432" s="161" t="s">
        <v>165</v>
      </c>
      <c r="D432" s="158"/>
      <c r="E432" s="158"/>
      <c r="F432" s="158"/>
      <c r="G432" s="180"/>
      <c r="H432" s="131" t="s">
        <v>46</v>
      </c>
      <c r="I432" s="328">
        <f ca="1">IFERROR(__xludf.DUMMYFUNCTION("IMPORTRANGE(""https://docs.google.com/spreadsheets/d/1eHaY18a8A9IcSdp1K8H6x8fbOy06t2VsZHhMHf-1x7Y/edit?usp=sharing"",""แผน!HJ28"")"),91916)</f>
        <v>91916</v>
      </c>
      <c r="J432" s="328">
        <f>J434+J436+J438</f>
        <v>0</v>
      </c>
      <c r="K432" s="1390">
        <f ca="1">IF(I432&gt;0,J432*100/I432,0)</f>
        <v>0</v>
      </c>
      <c r="L432" s="1359"/>
      <c r="M432" s="45"/>
      <c r="N432" s="45"/>
      <c r="O432" s="45"/>
      <c r="P432" s="45"/>
      <c r="Q432" s="45"/>
      <c r="R432" s="45"/>
      <c r="S432" s="45"/>
      <c r="T432" s="45"/>
      <c r="U432" s="45"/>
    </row>
    <row r="433" spans="1:21" ht="19.5" x14ac:dyDescent="0.3">
      <c r="A433" s="208"/>
      <c r="B433" s="158"/>
      <c r="C433" s="158"/>
      <c r="D433" s="158"/>
      <c r="E433" s="158"/>
      <c r="F433" s="158"/>
      <c r="G433" s="180"/>
      <c r="H433" s="131" t="s">
        <v>34</v>
      </c>
      <c r="I433" s="328">
        <f ca="1">IFERROR(__xludf.DUMMYFUNCTION("IMPORTRANGE(""https://docs.google.com/spreadsheets/d/1eHaY18a8A9IcSdp1K8H6x8fbOy06t2VsZHhMHf-1x7Y/edit?usp=sharing"",""แผน!HK28"")"),8168)</f>
        <v>8168</v>
      </c>
      <c r="J433" s="328">
        <f>J435+J437+J439</f>
        <v>0</v>
      </c>
      <c r="K433" s="1390">
        <f ca="1">IF(I433&gt;0,J433*100/I433,0)</f>
        <v>0</v>
      </c>
      <c r="L433" s="1359"/>
      <c r="M433" s="45"/>
      <c r="N433" s="45"/>
      <c r="O433" s="45"/>
      <c r="P433" s="45"/>
      <c r="Q433" s="45"/>
      <c r="R433" s="45"/>
      <c r="S433" s="45"/>
      <c r="T433" s="45"/>
      <c r="U433" s="45"/>
    </row>
    <row r="434" spans="1:21" ht="18.75" x14ac:dyDescent="0.25">
      <c r="A434" s="208"/>
      <c r="B434" s="158"/>
      <c r="C434" s="158"/>
      <c r="D434" s="209" t="s">
        <v>166</v>
      </c>
      <c r="E434" s="158"/>
      <c r="F434" s="158"/>
      <c r="G434" s="180"/>
      <c r="H434" s="133" t="s">
        <v>46</v>
      </c>
      <c r="I434" s="44"/>
      <c r="J434" s="44"/>
      <c r="K434" s="45"/>
      <c r="L434" s="1359"/>
      <c r="M434" s="45"/>
      <c r="N434" s="45"/>
      <c r="O434" s="45"/>
      <c r="P434" s="45"/>
      <c r="Q434" s="45"/>
      <c r="R434" s="45"/>
      <c r="S434" s="45"/>
      <c r="T434" s="45"/>
      <c r="U434" s="45"/>
    </row>
    <row r="435" spans="1:21" ht="18.75" x14ac:dyDescent="0.25">
      <c r="A435" s="208"/>
      <c r="B435" s="158"/>
      <c r="C435" s="158"/>
      <c r="D435" s="158"/>
      <c r="E435" s="158"/>
      <c r="F435" s="158"/>
      <c r="G435" s="180"/>
      <c r="H435" s="133" t="s">
        <v>34</v>
      </c>
      <c r="I435" s="44"/>
      <c r="J435" s="44"/>
      <c r="K435" s="45"/>
      <c r="L435" s="1359"/>
      <c r="M435" s="45"/>
      <c r="N435" s="45"/>
      <c r="O435" s="45"/>
      <c r="P435" s="45"/>
      <c r="Q435" s="45"/>
      <c r="R435" s="45"/>
      <c r="S435" s="45"/>
      <c r="T435" s="45"/>
      <c r="U435" s="45"/>
    </row>
    <row r="436" spans="1:21" ht="18.75" x14ac:dyDescent="0.25">
      <c r="A436" s="208"/>
      <c r="B436" s="158"/>
      <c r="C436" s="158"/>
      <c r="D436" s="209" t="s">
        <v>167</v>
      </c>
      <c r="E436" s="158"/>
      <c r="F436" s="158"/>
      <c r="G436" s="180"/>
      <c r="H436" s="133" t="s">
        <v>46</v>
      </c>
      <c r="I436" s="44"/>
      <c r="J436" s="44"/>
      <c r="K436" s="45"/>
      <c r="L436" s="1359"/>
      <c r="M436" s="45"/>
      <c r="N436" s="45"/>
      <c r="O436" s="45"/>
      <c r="P436" s="45"/>
      <c r="Q436" s="45"/>
      <c r="R436" s="45"/>
      <c r="S436" s="45"/>
      <c r="T436" s="45"/>
      <c r="U436" s="45"/>
    </row>
    <row r="437" spans="1:21" ht="18.75" x14ac:dyDescent="0.25">
      <c r="A437" s="208"/>
      <c r="B437" s="158"/>
      <c r="C437" s="158"/>
      <c r="D437" s="158"/>
      <c r="E437" s="158"/>
      <c r="F437" s="158"/>
      <c r="G437" s="180"/>
      <c r="H437" s="133" t="s">
        <v>34</v>
      </c>
      <c r="I437" s="44"/>
      <c r="J437" s="44"/>
      <c r="K437" s="45"/>
      <c r="L437" s="1359"/>
      <c r="M437" s="45"/>
      <c r="N437" s="45"/>
      <c r="O437" s="45"/>
      <c r="P437" s="45"/>
      <c r="Q437" s="45"/>
      <c r="R437" s="45"/>
      <c r="S437" s="45"/>
      <c r="T437" s="45"/>
      <c r="U437" s="45"/>
    </row>
    <row r="438" spans="1:21" ht="18.75" x14ac:dyDescent="0.25">
      <c r="A438" s="208"/>
      <c r="B438" s="158"/>
      <c r="C438" s="158"/>
      <c r="D438" s="209" t="s">
        <v>168</v>
      </c>
      <c r="E438" s="158"/>
      <c r="F438" s="158"/>
      <c r="G438" s="180"/>
      <c r="H438" s="133" t="s">
        <v>46</v>
      </c>
      <c r="I438" s="44"/>
      <c r="J438" s="44"/>
      <c r="K438" s="45"/>
      <c r="L438" s="1359"/>
      <c r="M438" s="45"/>
      <c r="N438" s="45"/>
      <c r="O438" s="45"/>
      <c r="P438" s="45"/>
      <c r="Q438" s="45"/>
      <c r="R438" s="45"/>
      <c r="S438" s="45"/>
      <c r="T438" s="45"/>
      <c r="U438" s="45"/>
    </row>
    <row r="439" spans="1:21" ht="18.75" x14ac:dyDescent="0.25">
      <c r="A439" s="208"/>
      <c r="B439" s="158"/>
      <c r="C439" s="158"/>
      <c r="D439" s="158"/>
      <c r="E439" s="158"/>
      <c r="F439" s="158"/>
      <c r="G439" s="180"/>
      <c r="H439" s="133" t="s">
        <v>34</v>
      </c>
      <c r="I439" s="44"/>
      <c r="J439" s="44"/>
      <c r="K439" s="45"/>
      <c r="L439" s="1359"/>
      <c r="M439" s="45"/>
      <c r="N439" s="45"/>
      <c r="O439" s="45"/>
      <c r="P439" s="45"/>
      <c r="Q439" s="45"/>
      <c r="R439" s="45"/>
      <c r="S439" s="45"/>
      <c r="T439" s="45"/>
      <c r="U439" s="45"/>
    </row>
    <row r="440" spans="1:21" ht="19.5" x14ac:dyDescent="0.3">
      <c r="A440" s="208"/>
      <c r="B440" s="158"/>
      <c r="C440" s="161" t="s">
        <v>169</v>
      </c>
      <c r="D440" s="158"/>
      <c r="E440" s="158"/>
      <c r="F440" s="158"/>
      <c r="G440" s="180"/>
      <c r="H440" s="131" t="s">
        <v>46</v>
      </c>
      <c r="I440" s="328">
        <f ca="1">IFERROR(__xludf.DUMMYFUNCTION("IMPORTRANGE(""https://docs.google.com/spreadsheets/d/1eHaY18a8A9IcSdp1K8H6x8fbOy06t2VsZHhMHf-1x7Y/edit?usp=sharing"",""แผน!HJ28"")"),91916)</f>
        <v>91916</v>
      </c>
      <c r="J440" s="328">
        <f>J442+J444+J446+J452+J454</f>
        <v>0</v>
      </c>
      <c r="K440" s="1390">
        <f ca="1">IF(I440&gt;0,J440*100/I440,0)</f>
        <v>0</v>
      </c>
      <c r="L440" s="1359"/>
      <c r="M440" s="45"/>
      <c r="N440" s="45"/>
      <c r="O440" s="45"/>
      <c r="P440" s="45"/>
      <c r="Q440" s="45"/>
      <c r="R440" s="45"/>
      <c r="S440" s="45"/>
      <c r="T440" s="45"/>
      <c r="U440" s="45"/>
    </row>
    <row r="441" spans="1:21" ht="19.5" x14ac:dyDescent="0.3">
      <c r="A441" s="208"/>
      <c r="B441" s="158"/>
      <c r="C441" s="158"/>
      <c r="D441" s="158"/>
      <c r="E441" s="158"/>
      <c r="F441" s="158"/>
      <c r="G441" s="180"/>
      <c r="H441" s="131" t="s">
        <v>34</v>
      </c>
      <c r="I441" s="328">
        <f ca="1">IFERROR(__xludf.DUMMYFUNCTION("IMPORTRANGE(""https://docs.google.com/spreadsheets/d/1eHaY18a8A9IcSdp1K8H6x8fbOy06t2VsZHhMHf-1x7Y/edit?usp=sharing"",""แผน!HK28"")"),8168)</f>
        <v>8168</v>
      </c>
      <c r="J441" s="328">
        <f>J443+J445+J447+J453+J455</f>
        <v>0</v>
      </c>
      <c r="K441" s="1390">
        <f ca="1">IF(I441&gt;0,J441*100/I441,0)</f>
        <v>0</v>
      </c>
      <c r="L441" s="1359"/>
      <c r="M441" s="45"/>
      <c r="N441" s="45"/>
      <c r="O441" s="45"/>
      <c r="P441" s="45"/>
      <c r="Q441" s="45"/>
      <c r="R441" s="45"/>
      <c r="S441" s="45"/>
      <c r="T441" s="45"/>
      <c r="U441" s="45"/>
    </row>
    <row r="442" spans="1:21" ht="18.75" x14ac:dyDescent="0.25">
      <c r="A442" s="208"/>
      <c r="B442" s="158"/>
      <c r="C442" s="158"/>
      <c r="D442" s="209" t="s">
        <v>170</v>
      </c>
      <c r="E442" s="158"/>
      <c r="F442" s="158"/>
      <c r="G442" s="180"/>
      <c r="H442" s="133" t="s">
        <v>46</v>
      </c>
      <c r="I442" s="44"/>
      <c r="J442" s="44"/>
      <c r="K442" s="45"/>
      <c r="L442" s="1359"/>
      <c r="M442" s="45"/>
      <c r="N442" s="45"/>
      <c r="O442" s="45"/>
      <c r="P442" s="45"/>
      <c r="Q442" s="45"/>
      <c r="R442" s="45"/>
      <c r="S442" s="45"/>
      <c r="T442" s="45"/>
      <c r="U442" s="45"/>
    </row>
    <row r="443" spans="1:21" ht="18.75" x14ac:dyDescent="0.25">
      <c r="A443" s="208"/>
      <c r="B443" s="158"/>
      <c r="C443" s="158"/>
      <c r="D443" s="158"/>
      <c r="E443" s="158"/>
      <c r="F443" s="158"/>
      <c r="G443" s="180"/>
      <c r="H443" s="133" t="s">
        <v>34</v>
      </c>
      <c r="I443" s="44"/>
      <c r="J443" s="44"/>
      <c r="K443" s="45"/>
      <c r="L443" s="1359"/>
      <c r="M443" s="45"/>
      <c r="N443" s="45"/>
      <c r="O443" s="45"/>
      <c r="P443" s="45"/>
      <c r="Q443" s="45"/>
      <c r="R443" s="45"/>
      <c r="S443" s="45"/>
      <c r="T443" s="45"/>
      <c r="U443" s="45"/>
    </row>
    <row r="444" spans="1:21" ht="18.75" x14ac:dyDescent="0.25">
      <c r="A444" s="208"/>
      <c r="B444" s="158"/>
      <c r="C444" s="158"/>
      <c r="D444" s="209" t="s">
        <v>171</v>
      </c>
      <c r="E444" s="158"/>
      <c r="F444" s="158"/>
      <c r="G444" s="180"/>
      <c r="H444" s="133" t="s">
        <v>46</v>
      </c>
      <c r="I444" s="44"/>
      <c r="J444" s="44"/>
      <c r="K444" s="45"/>
      <c r="L444" s="1359"/>
      <c r="M444" s="45"/>
      <c r="N444" s="45"/>
      <c r="O444" s="45"/>
      <c r="P444" s="45"/>
      <c r="Q444" s="45"/>
      <c r="R444" s="45"/>
      <c r="S444" s="45"/>
      <c r="T444" s="45"/>
      <c r="U444" s="45"/>
    </row>
    <row r="445" spans="1:21" ht="18.75" x14ac:dyDescent="0.25">
      <c r="A445" s="208"/>
      <c r="B445" s="158"/>
      <c r="C445" s="158"/>
      <c r="D445" s="158"/>
      <c r="E445" s="158"/>
      <c r="F445" s="158"/>
      <c r="G445" s="180"/>
      <c r="H445" s="133" t="s">
        <v>34</v>
      </c>
      <c r="I445" s="44"/>
      <c r="J445" s="44"/>
      <c r="K445" s="45"/>
      <c r="L445" s="1359"/>
      <c r="M445" s="45"/>
      <c r="N445" s="45"/>
      <c r="O445" s="45"/>
      <c r="P445" s="45"/>
      <c r="Q445" s="45"/>
      <c r="R445" s="45"/>
      <c r="S445" s="45"/>
      <c r="T445" s="45"/>
      <c r="U445" s="45"/>
    </row>
    <row r="446" spans="1:21" ht="19.5" x14ac:dyDescent="0.3">
      <c r="A446" s="208"/>
      <c r="B446" s="158"/>
      <c r="C446" s="158"/>
      <c r="D446" s="209" t="s">
        <v>172</v>
      </c>
      <c r="E446" s="158"/>
      <c r="F446" s="158"/>
      <c r="G446" s="180"/>
      <c r="H446" s="133" t="s">
        <v>46</v>
      </c>
      <c r="I446" s="44"/>
      <c r="J446" s="328">
        <f>J448+J450</f>
        <v>0</v>
      </c>
      <c r="K446" s="45"/>
      <c r="L446" s="1359"/>
      <c r="M446" s="45"/>
      <c r="N446" s="45"/>
      <c r="O446" s="45"/>
      <c r="P446" s="45"/>
      <c r="Q446" s="45"/>
      <c r="R446" s="45"/>
      <c r="S446" s="45"/>
      <c r="T446" s="45"/>
      <c r="U446" s="45"/>
    </row>
    <row r="447" spans="1:21" ht="19.5" x14ac:dyDescent="0.3">
      <c r="A447" s="208"/>
      <c r="B447" s="158"/>
      <c r="C447" s="158"/>
      <c r="D447" s="158"/>
      <c r="E447" s="158"/>
      <c r="F447" s="158"/>
      <c r="G447" s="180"/>
      <c r="H447" s="133" t="s">
        <v>34</v>
      </c>
      <c r="I447" s="44"/>
      <c r="J447" s="328">
        <f>J449+J451</f>
        <v>0</v>
      </c>
      <c r="K447" s="45"/>
      <c r="L447" s="1359"/>
      <c r="M447" s="45"/>
      <c r="N447" s="45"/>
      <c r="O447" s="45"/>
      <c r="P447" s="45"/>
      <c r="Q447" s="45"/>
      <c r="R447" s="45"/>
      <c r="S447" s="45"/>
      <c r="T447" s="45"/>
      <c r="U447" s="45"/>
    </row>
    <row r="448" spans="1:21" ht="18.75" x14ac:dyDescent="0.25">
      <c r="A448" s="208"/>
      <c r="B448" s="158"/>
      <c r="C448" s="158"/>
      <c r="D448" s="158"/>
      <c r="E448" s="209" t="s">
        <v>173</v>
      </c>
      <c r="F448" s="158"/>
      <c r="G448" s="180"/>
      <c r="H448" s="133" t="s">
        <v>46</v>
      </c>
      <c r="I448" s="44"/>
      <c r="J448" s="44"/>
      <c r="K448" s="45"/>
      <c r="L448" s="1359"/>
      <c r="M448" s="45"/>
      <c r="N448" s="45"/>
      <c r="O448" s="45"/>
      <c r="P448" s="45"/>
      <c r="Q448" s="45"/>
      <c r="R448" s="45"/>
      <c r="S448" s="45"/>
      <c r="T448" s="45"/>
      <c r="U448" s="45"/>
    </row>
    <row r="449" spans="1:21" ht="18.75" x14ac:dyDescent="0.25">
      <c r="A449" s="208"/>
      <c r="B449" s="158"/>
      <c r="C449" s="158"/>
      <c r="D449" s="158"/>
      <c r="E449" s="158"/>
      <c r="F449" s="158"/>
      <c r="G449" s="180"/>
      <c r="H449" s="133" t="s">
        <v>34</v>
      </c>
      <c r="I449" s="44"/>
      <c r="J449" s="44"/>
      <c r="K449" s="45"/>
      <c r="L449" s="1359"/>
      <c r="M449" s="45"/>
      <c r="N449" s="45"/>
      <c r="O449" s="45"/>
      <c r="P449" s="45"/>
      <c r="Q449" s="45"/>
      <c r="R449" s="45"/>
      <c r="S449" s="45"/>
      <c r="T449" s="45"/>
      <c r="U449" s="45"/>
    </row>
    <row r="450" spans="1:21" ht="18.75" x14ac:dyDescent="0.25">
      <c r="A450" s="208"/>
      <c r="B450" s="158"/>
      <c r="C450" s="158"/>
      <c r="D450" s="158"/>
      <c r="E450" s="209" t="s">
        <v>174</v>
      </c>
      <c r="F450" s="158"/>
      <c r="G450" s="180"/>
      <c r="H450" s="133" t="s">
        <v>46</v>
      </c>
      <c r="I450" s="44"/>
      <c r="J450" s="44"/>
      <c r="K450" s="45"/>
      <c r="L450" s="1359"/>
      <c r="M450" s="45"/>
      <c r="N450" s="45"/>
      <c r="O450" s="45"/>
      <c r="P450" s="45"/>
      <c r="Q450" s="45"/>
      <c r="R450" s="45"/>
      <c r="S450" s="45"/>
      <c r="T450" s="45"/>
      <c r="U450" s="45"/>
    </row>
    <row r="451" spans="1:21" ht="18.75" x14ac:dyDescent="0.25">
      <c r="A451" s="208"/>
      <c r="B451" s="158"/>
      <c r="C451" s="158"/>
      <c r="D451" s="158"/>
      <c r="E451" s="158"/>
      <c r="F451" s="158"/>
      <c r="G451" s="180"/>
      <c r="H451" s="133" t="s">
        <v>34</v>
      </c>
      <c r="I451" s="44"/>
      <c r="J451" s="44"/>
      <c r="K451" s="45"/>
      <c r="L451" s="1359"/>
      <c r="M451" s="45"/>
      <c r="N451" s="45"/>
      <c r="O451" s="45"/>
      <c r="P451" s="45"/>
      <c r="Q451" s="45"/>
      <c r="R451" s="45"/>
      <c r="S451" s="45"/>
      <c r="T451" s="45"/>
      <c r="U451" s="45"/>
    </row>
    <row r="452" spans="1:21" ht="18.75" x14ac:dyDescent="0.25">
      <c r="A452" s="208"/>
      <c r="B452" s="158"/>
      <c r="C452" s="158"/>
      <c r="D452" s="209" t="s">
        <v>175</v>
      </c>
      <c r="E452" s="158"/>
      <c r="F452" s="158"/>
      <c r="G452" s="180"/>
      <c r="H452" s="133" t="s">
        <v>46</v>
      </c>
      <c r="I452" s="44"/>
      <c r="J452" s="44"/>
      <c r="K452" s="45"/>
      <c r="L452" s="1359"/>
      <c r="M452" s="45"/>
      <c r="N452" s="45"/>
      <c r="O452" s="45"/>
      <c r="P452" s="45"/>
      <c r="Q452" s="45"/>
      <c r="R452" s="45"/>
      <c r="S452" s="45"/>
      <c r="T452" s="45"/>
      <c r="U452" s="45"/>
    </row>
    <row r="453" spans="1:21" ht="18.75" x14ac:dyDescent="0.25">
      <c r="A453" s="208"/>
      <c r="B453" s="158"/>
      <c r="C453" s="158"/>
      <c r="D453" s="158"/>
      <c r="E453" s="158"/>
      <c r="F453" s="158"/>
      <c r="G453" s="180"/>
      <c r="H453" s="133" t="s">
        <v>34</v>
      </c>
      <c r="I453" s="44"/>
      <c r="J453" s="44"/>
      <c r="K453" s="45"/>
      <c r="L453" s="1359"/>
      <c r="M453" s="45"/>
      <c r="N453" s="45"/>
      <c r="O453" s="45"/>
      <c r="P453" s="45"/>
      <c r="Q453" s="45"/>
      <c r="R453" s="45"/>
      <c r="S453" s="45"/>
      <c r="T453" s="45"/>
      <c r="U453" s="45"/>
    </row>
    <row r="454" spans="1:21" ht="18.75" x14ac:dyDescent="0.25">
      <c r="A454" s="208"/>
      <c r="B454" s="158"/>
      <c r="C454" s="158"/>
      <c r="D454" s="209" t="s">
        <v>176</v>
      </c>
      <c r="E454" s="158"/>
      <c r="F454" s="158"/>
      <c r="G454" s="180"/>
      <c r="H454" s="133" t="s">
        <v>46</v>
      </c>
      <c r="I454" s="44"/>
      <c r="J454" s="1540"/>
      <c r="K454" s="45"/>
      <c r="L454" s="1359"/>
      <c r="M454" s="45"/>
      <c r="N454" s="45"/>
      <c r="O454" s="45"/>
      <c r="P454" s="45"/>
      <c r="Q454" s="45"/>
      <c r="R454" s="45"/>
      <c r="S454" s="45"/>
      <c r="T454" s="45"/>
      <c r="U454" s="45"/>
    </row>
    <row r="455" spans="1:21" ht="18.75" x14ac:dyDescent="0.25">
      <c r="A455" s="208"/>
      <c r="B455" s="158"/>
      <c r="C455" s="158"/>
      <c r="D455" s="158"/>
      <c r="E455" s="158"/>
      <c r="F455" s="158"/>
      <c r="G455" s="180"/>
      <c r="H455" s="133" t="s">
        <v>34</v>
      </c>
      <c r="I455" s="44"/>
      <c r="J455" s="44"/>
      <c r="K455" s="45"/>
      <c r="L455" s="1359"/>
      <c r="M455" s="45"/>
      <c r="N455" s="45"/>
      <c r="O455" s="45"/>
      <c r="P455" s="45"/>
      <c r="Q455" s="45"/>
      <c r="R455" s="45"/>
      <c r="S455" s="45"/>
      <c r="T455" s="45"/>
      <c r="U455" s="45"/>
    </row>
    <row r="456" spans="1:21" ht="19.5" x14ac:dyDescent="0.3">
      <c r="A456" s="208"/>
      <c r="B456" s="161" t="s">
        <v>177</v>
      </c>
      <c r="C456" s="158"/>
      <c r="D456" s="158"/>
      <c r="E456" s="158"/>
      <c r="F456" s="158"/>
      <c r="G456" s="180"/>
      <c r="H456" s="323" t="s">
        <v>46</v>
      </c>
      <c r="I456" s="328">
        <f ca="1">I457</f>
        <v>450</v>
      </c>
      <c r="J456" s="328">
        <f>J457</f>
        <v>0</v>
      </c>
      <c r="K456" s="1390">
        <f ca="1">IF(I456&gt;0,J456*100/I456,0)</f>
        <v>0</v>
      </c>
      <c r="L456" s="1359"/>
      <c r="M456" s="45"/>
      <c r="N456" s="45"/>
      <c r="O456" s="45"/>
      <c r="P456" s="45"/>
      <c r="Q456" s="45"/>
      <c r="R456" s="45"/>
      <c r="S456" s="45"/>
      <c r="T456" s="45"/>
      <c r="U456" s="45"/>
    </row>
    <row r="457" spans="1:21" ht="19.5" x14ac:dyDescent="0.3">
      <c r="A457" s="208"/>
      <c r="B457" s="158"/>
      <c r="C457" s="161" t="s">
        <v>178</v>
      </c>
      <c r="D457" s="158"/>
      <c r="E457" s="158"/>
      <c r="F457" s="158"/>
      <c r="G457" s="180"/>
      <c r="H457" s="131" t="s">
        <v>46</v>
      </c>
      <c r="I457" s="328">
        <f ca="1">IFERROR(__xludf.DUMMYFUNCTION("IMPORTRANGE(""https://docs.google.com/spreadsheets/d/1eHaY18a8A9IcSdp1K8H6x8fbOy06t2VsZHhMHf-1x7Y/edit?usp=sharing"",""แผน!HL28"")"),450)</f>
        <v>450</v>
      </c>
      <c r="J457" s="328">
        <f>J459+J467+J473</f>
        <v>0</v>
      </c>
      <c r="K457" s="1390">
        <f ca="1">IF(I457&gt;0,J457*100/I457,0)</f>
        <v>0</v>
      </c>
      <c r="L457" s="1359"/>
      <c r="M457" s="45"/>
      <c r="N457" s="45"/>
      <c r="O457" s="45"/>
      <c r="P457" s="45"/>
      <c r="Q457" s="45"/>
      <c r="R457" s="45"/>
      <c r="S457" s="45"/>
      <c r="T457" s="45"/>
      <c r="U457" s="45"/>
    </row>
    <row r="458" spans="1:21" ht="19.5" x14ac:dyDescent="0.3">
      <c r="A458" s="208"/>
      <c r="B458" s="158"/>
      <c r="C458" s="158"/>
      <c r="D458" s="158"/>
      <c r="E458" s="158"/>
      <c r="F458" s="158"/>
      <c r="G458" s="180"/>
      <c r="H458" s="131" t="s">
        <v>34</v>
      </c>
      <c r="I458" s="328">
        <f ca="1">IFERROR(__xludf.DUMMYFUNCTION("IMPORTRANGE(""https://docs.google.com/spreadsheets/d/1eHaY18a8A9IcSdp1K8H6x8fbOy06t2VsZHhMHf-1x7Y/edit?usp=sharing"",""แผน!HM28"")"),0)</f>
        <v>0</v>
      </c>
      <c r="J458" s="328">
        <f>J460+J468+J474</f>
        <v>0</v>
      </c>
      <c r="K458" s="1390">
        <f ca="1">IF(I458&gt;0,J458*100/I458,0)</f>
        <v>0</v>
      </c>
      <c r="L458" s="1359"/>
      <c r="M458" s="45"/>
      <c r="N458" s="45"/>
      <c r="O458" s="45"/>
      <c r="P458" s="45"/>
      <c r="Q458" s="45"/>
      <c r="R458" s="45"/>
      <c r="S458" s="45"/>
      <c r="T458" s="45"/>
      <c r="U458" s="45"/>
    </row>
    <row r="459" spans="1:21" ht="18.75" x14ac:dyDescent="0.25">
      <c r="A459" s="208"/>
      <c r="B459" s="158"/>
      <c r="C459" s="209" t="s">
        <v>179</v>
      </c>
      <c r="D459" s="158"/>
      <c r="E459" s="158"/>
      <c r="F459" s="158"/>
      <c r="G459" s="180"/>
      <c r="H459" s="133" t="s">
        <v>46</v>
      </c>
      <c r="I459" s="44"/>
      <c r="J459" s="184">
        <f>J461+J463</f>
        <v>0</v>
      </c>
      <c r="K459" s="45"/>
      <c r="L459" s="1359"/>
      <c r="M459" s="45"/>
      <c r="N459" s="45"/>
      <c r="O459" s="45"/>
      <c r="P459" s="45"/>
      <c r="Q459" s="45"/>
      <c r="R459" s="45"/>
      <c r="S459" s="45"/>
      <c r="T459" s="45"/>
      <c r="U459" s="45"/>
    </row>
    <row r="460" spans="1:21" ht="18.75" x14ac:dyDescent="0.25">
      <c r="A460" s="208"/>
      <c r="B460" s="158"/>
      <c r="C460" s="158"/>
      <c r="D460" s="158"/>
      <c r="E460" s="158"/>
      <c r="F460" s="158"/>
      <c r="G460" s="180"/>
      <c r="H460" s="133" t="s">
        <v>34</v>
      </c>
      <c r="I460" s="44"/>
      <c r="J460" s="184">
        <f>J462+J464</f>
        <v>0</v>
      </c>
      <c r="K460" s="45"/>
      <c r="L460" s="1359"/>
      <c r="M460" s="45"/>
      <c r="N460" s="45"/>
      <c r="O460" s="45"/>
      <c r="P460" s="45"/>
      <c r="Q460" s="45"/>
      <c r="R460" s="45"/>
      <c r="S460" s="45"/>
      <c r="T460" s="45"/>
      <c r="U460" s="45"/>
    </row>
    <row r="461" spans="1:21" ht="18.75" x14ac:dyDescent="0.25">
      <c r="A461" s="208"/>
      <c r="B461" s="158"/>
      <c r="C461" s="158"/>
      <c r="D461" s="326" t="s">
        <v>180</v>
      </c>
      <c r="E461" s="158"/>
      <c r="F461" s="158"/>
      <c r="G461" s="180"/>
      <c r="H461" s="133" t="s">
        <v>46</v>
      </c>
      <c r="I461" s="44"/>
      <c r="J461" s="44"/>
      <c r="K461" s="45"/>
      <c r="L461" s="1359"/>
      <c r="M461" s="45"/>
      <c r="N461" s="45"/>
      <c r="O461" s="45"/>
      <c r="P461" s="45"/>
      <c r="Q461" s="45"/>
      <c r="R461" s="45"/>
      <c r="S461" s="45"/>
      <c r="T461" s="45"/>
      <c r="U461" s="45"/>
    </row>
    <row r="462" spans="1:21" ht="18.75" x14ac:dyDescent="0.25">
      <c r="A462" s="208"/>
      <c r="B462" s="158"/>
      <c r="C462" s="158"/>
      <c r="D462" s="158"/>
      <c r="E462" s="158"/>
      <c r="F462" s="158"/>
      <c r="G462" s="180"/>
      <c r="H462" s="133" t="s">
        <v>34</v>
      </c>
      <c r="I462" s="44"/>
      <c r="J462" s="44"/>
      <c r="K462" s="45"/>
      <c r="L462" s="1359"/>
      <c r="M462" s="45"/>
      <c r="N462" s="45"/>
      <c r="O462" s="45"/>
      <c r="P462" s="45"/>
      <c r="Q462" s="45"/>
      <c r="R462" s="45"/>
      <c r="S462" s="45"/>
      <c r="T462" s="45"/>
      <c r="U462" s="45"/>
    </row>
    <row r="463" spans="1:21" ht="18.75" x14ac:dyDescent="0.25">
      <c r="A463" s="208"/>
      <c r="B463" s="158"/>
      <c r="C463" s="158"/>
      <c r="D463" s="326" t="s">
        <v>181</v>
      </c>
      <c r="E463" s="158"/>
      <c r="F463" s="158"/>
      <c r="G463" s="180"/>
      <c r="H463" s="133" t="s">
        <v>46</v>
      </c>
      <c r="I463" s="44"/>
      <c r="J463" s="44"/>
      <c r="K463" s="45"/>
      <c r="L463" s="1359"/>
      <c r="M463" s="45"/>
      <c r="N463" s="45"/>
      <c r="O463" s="45"/>
      <c r="P463" s="45"/>
      <c r="Q463" s="45"/>
      <c r="R463" s="45"/>
      <c r="S463" s="45"/>
      <c r="T463" s="45"/>
      <c r="U463" s="45"/>
    </row>
    <row r="464" spans="1:21" ht="18.75" x14ac:dyDescent="0.25">
      <c r="A464" s="208"/>
      <c r="B464" s="158"/>
      <c r="C464" s="158"/>
      <c r="D464" s="158"/>
      <c r="E464" s="158"/>
      <c r="F464" s="158"/>
      <c r="G464" s="180"/>
      <c r="H464" s="133" t="s">
        <v>34</v>
      </c>
      <c r="I464" s="44"/>
      <c r="J464" s="44"/>
      <c r="K464" s="45"/>
      <c r="L464" s="1359"/>
      <c r="M464" s="45"/>
      <c r="N464" s="45"/>
      <c r="O464" s="45"/>
      <c r="P464" s="45"/>
      <c r="Q464" s="45"/>
      <c r="R464" s="45"/>
      <c r="S464" s="45"/>
      <c r="T464" s="45"/>
      <c r="U464" s="45"/>
    </row>
    <row r="465" spans="1:21" ht="18.75" x14ac:dyDescent="0.25">
      <c r="A465" s="208"/>
      <c r="B465" s="158"/>
      <c r="C465" s="158"/>
      <c r="D465" s="326" t="s">
        <v>182</v>
      </c>
      <c r="E465" s="158"/>
      <c r="F465" s="158"/>
      <c r="G465" s="180"/>
      <c r="H465" s="133" t="s">
        <v>46</v>
      </c>
      <c r="I465" s="44"/>
      <c r="J465" s="44"/>
      <c r="K465" s="45"/>
      <c r="L465" s="1359"/>
      <c r="M465" s="45"/>
      <c r="N465" s="45"/>
      <c r="O465" s="45"/>
      <c r="P465" s="45"/>
      <c r="Q465" s="45"/>
      <c r="R465" s="45"/>
      <c r="S465" s="45"/>
      <c r="T465" s="45"/>
      <c r="U465" s="45"/>
    </row>
    <row r="466" spans="1:21" ht="18.75" x14ac:dyDescent="0.25">
      <c r="A466" s="208"/>
      <c r="B466" s="158"/>
      <c r="C466" s="158"/>
      <c r="D466" s="158"/>
      <c r="E466" s="158"/>
      <c r="F466" s="158"/>
      <c r="G466" s="180"/>
      <c r="H466" s="133" t="s">
        <v>34</v>
      </c>
      <c r="I466" s="44"/>
      <c r="J466" s="44"/>
      <c r="K466" s="45"/>
      <c r="L466" s="1359"/>
      <c r="M466" s="45"/>
      <c r="N466" s="45"/>
      <c r="O466" s="45"/>
      <c r="P466" s="45"/>
      <c r="Q466" s="45"/>
      <c r="R466" s="45"/>
      <c r="S466" s="45"/>
      <c r="T466" s="45"/>
      <c r="U466" s="45"/>
    </row>
    <row r="467" spans="1:21" ht="18.75" x14ac:dyDescent="0.25">
      <c r="A467" s="208"/>
      <c r="B467" s="158"/>
      <c r="C467" s="326" t="s">
        <v>183</v>
      </c>
      <c r="D467" s="158"/>
      <c r="E467" s="158"/>
      <c r="F467" s="158"/>
      <c r="G467" s="180"/>
      <c r="H467" s="133" t="s">
        <v>46</v>
      </c>
      <c r="I467" s="44"/>
      <c r="J467" s="184">
        <f>J469+J471</f>
        <v>0</v>
      </c>
      <c r="K467" s="45"/>
      <c r="L467" s="1359"/>
      <c r="M467" s="45"/>
      <c r="N467" s="45"/>
      <c r="O467" s="45"/>
      <c r="P467" s="45"/>
      <c r="Q467" s="45"/>
      <c r="R467" s="45"/>
      <c r="S467" s="45"/>
      <c r="T467" s="45"/>
      <c r="U467" s="45"/>
    </row>
    <row r="468" spans="1:21" ht="18.75" x14ac:dyDescent="0.25">
      <c r="A468" s="208"/>
      <c r="B468" s="158"/>
      <c r="C468" s="158"/>
      <c r="D468" s="158"/>
      <c r="E468" s="158"/>
      <c r="F468" s="158"/>
      <c r="G468" s="180"/>
      <c r="H468" s="133" t="s">
        <v>34</v>
      </c>
      <c r="I468" s="44"/>
      <c r="J468" s="184">
        <f>J470+J472</f>
        <v>0</v>
      </c>
      <c r="K468" s="45"/>
      <c r="L468" s="1359"/>
      <c r="M468" s="45"/>
      <c r="N468" s="45"/>
      <c r="O468" s="45"/>
      <c r="P468" s="45"/>
      <c r="Q468" s="45"/>
      <c r="R468" s="45"/>
      <c r="S468" s="45"/>
      <c r="T468" s="45"/>
      <c r="U468" s="45"/>
    </row>
    <row r="469" spans="1:21" ht="18.75" x14ac:dyDescent="0.25">
      <c r="A469" s="208"/>
      <c r="B469" s="158"/>
      <c r="C469" s="158"/>
      <c r="D469" s="326" t="s">
        <v>184</v>
      </c>
      <c r="E469" s="158"/>
      <c r="F469" s="158"/>
      <c r="G469" s="180"/>
      <c r="H469" s="133" t="s">
        <v>46</v>
      </c>
      <c r="I469" s="44"/>
      <c r="J469" s="44"/>
      <c r="K469" s="45"/>
      <c r="L469" s="1359"/>
      <c r="M469" s="45"/>
      <c r="N469" s="45"/>
      <c r="O469" s="45"/>
      <c r="P469" s="45"/>
      <c r="Q469" s="45"/>
      <c r="R469" s="45"/>
      <c r="S469" s="45"/>
      <c r="T469" s="45"/>
      <c r="U469" s="45"/>
    </row>
    <row r="470" spans="1:21" ht="18.75" x14ac:dyDescent="0.25">
      <c r="A470" s="208"/>
      <c r="B470" s="158"/>
      <c r="C470" s="158"/>
      <c r="D470" s="158"/>
      <c r="E470" s="158"/>
      <c r="F470" s="158"/>
      <c r="G470" s="180"/>
      <c r="H470" s="133" t="s">
        <v>34</v>
      </c>
      <c r="I470" s="44"/>
      <c r="J470" s="44"/>
      <c r="K470" s="45"/>
      <c r="L470" s="1359"/>
      <c r="M470" s="45"/>
      <c r="N470" s="45"/>
      <c r="O470" s="45"/>
      <c r="P470" s="45"/>
      <c r="Q470" s="45"/>
      <c r="R470" s="45"/>
      <c r="S470" s="45"/>
      <c r="T470" s="45"/>
      <c r="U470" s="45"/>
    </row>
    <row r="471" spans="1:21" ht="18.75" x14ac:dyDescent="0.25">
      <c r="A471" s="208"/>
      <c r="B471" s="158"/>
      <c r="C471" s="158"/>
      <c r="D471" s="326" t="s">
        <v>185</v>
      </c>
      <c r="E471" s="158"/>
      <c r="F471" s="158"/>
      <c r="G471" s="180"/>
      <c r="H471" s="133" t="s">
        <v>46</v>
      </c>
      <c r="I471" s="44"/>
      <c r="J471" s="44"/>
      <c r="K471" s="45"/>
      <c r="L471" s="1359"/>
      <c r="M471" s="45"/>
      <c r="N471" s="45"/>
      <c r="O471" s="45"/>
      <c r="P471" s="45"/>
      <c r="Q471" s="45"/>
      <c r="R471" s="45"/>
      <c r="S471" s="45"/>
      <c r="T471" s="45"/>
      <c r="U471" s="45"/>
    </row>
    <row r="472" spans="1:21" ht="18.75" x14ac:dyDescent="0.25">
      <c r="A472" s="208"/>
      <c r="B472" s="158"/>
      <c r="C472" s="158"/>
      <c r="D472" s="158"/>
      <c r="E472" s="158"/>
      <c r="F472" s="158"/>
      <c r="G472" s="180"/>
      <c r="H472" s="133" t="s">
        <v>34</v>
      </c>
      <c r="I472" s="44"/>
      <c r="J472" s="44"/>
      <c r="K472" s="45"/>
      <c r="L472" s="1359"/>
      <c r="M472" s="45"/>
      <c r="N472" s="45"/>
      <c r="O472" s="45"/>
      <c r="P472" s="45"/>
      <c r="Q472" s="45"/>
      <c r="R472" s="45"/>
      <c r="S472" s="45"/>
      <c r="T472" s="45"/>
      <c r="U472" s="45"/>
    </row>
    <row r="473" spans="1:21" ht="18.75" x14ac:dyDescent="0.25">
      <c r="A473" s="208"/>
      <c r="B473" s="158"/>
      <c r="C473" s="209" t="s">
        <v>186</v>
      </c>
      <c r="D473" s="158"/>
      <c r="E473" s="158"/>
      <c r="F473" s="158"/>
      <c r="G473" s="180"/>
      <c r="H473" s="133" t="s">
        <v>46</v>
      </c>
      <c r="I473" s="44"/>
      <c r="J473" s="44"/>
      <c r="K473" s="45"/>
      <c r="L473" s="1359"/>
      <c r="M473" s="45"/>
      <c r="N473" s="45"/>
      <c r="O473" s="45"/>
      <c r="P473" s="45"/>
      <c r="Q473" s="45"/>
      <c r="R473" s="45"/>
      <c r="S473" s="45"/>
      <c r="T473" s="45"/>
      <c r="U473" s="45"/>
    </row>
    <row r="474" spans="1:21" ht="18.75" x14ac:dyDescent="0.25">
      <c r="A474" s="208"/>
      <c r="B474" s="158"/>
      <c r="C474" s="158"/>
      <c r="D474" s="158"/>
      <c r="E474" s="158"/>
      <c r="F474" s="158"/>
      <c r="G474" s="180"/>
      <c r="H474" s="133" t="s">
        <v>34</v>
      </c>
      <c r="I474" s="44"/>
      <c r="J474" s="44"/>
      <c r="K474" s="45"/>
      <c r="L474" s="1359"/>
      <c r="M474" s="45"/>
      <c r="N474" s="45"/>
      <c r="O474" s="45"/>
      <c r="P474" s="45"/>
      <c r="Q474" s="45"/>
      <c r="R474" s="45"/>
      <c r="S474" s="45"/>
      <c r="T474" s="45"/>
      <c r="U474" s="45"/>
    </row>
    <row r="475" spans="1:21" ht="19.5" x14ac:dyDescent="0.3">
      <c r="A475" s="208"/>
      <c r="B475" s="327" t="s">
        <v>187</v>
      </c>
      <c r="C475" s="158"/>
      <c r="D475" s="158"/>
      <c r="E475" s="158"/>
      <c r="F475" s="158"/>
      <c r="G475" s="180"/>
      <c r="H475" s="131" t="s">
        <v>46</v>
      </c>
      <c r="I475" s="328">
        <v>0</v>
      </c>
      <c r="J475" s="328">
        <f>J478+J480</f>
        <v>0</v>
      </c>
      <c r="K475" s="1390">
        <f>IF(I475&gt;0,J475*100/I475,0)</f>
        <v>0</v>
      </c>
      <c r="L475" s="1359"/>
      <c r="M475" s="45"/>
      <c r="N475" s="45"/>
      <c r="O475" s="45"/>
      <c r="P475" s="45"/>
      <c r="Q475" s="45"/>
      <c r="R475" s="45"/>
      <c r="S475" s="45"/>
      <c r="T475" s="45"/>
      <c r="U475" s="45"/>
    </row>
    <row r="476" spans="1:21" ht="19.5" x14ac:dyDescent="0.3">
      <c r="A476" s="208"/>
      <c r="B476" s="158"/>
      <c r="C476" s="161" t="s">
        <v>188</v>
      </c>
      <c r="D476" s="158"/>
      <c r="E476" s="158"/>
      <c r="F476" s="158"/>
      <c r="G476" s="180"/>
      <c r="H476" s="131" t="s">
        <v>46</v>
      </c>
      <c r="I476" s="328">
        <v>0</v>
      </c>
      <c r="J476" s="328">
        <f>J478+J480</f>
        <v>0</v>
      </c>
      <c r="K476" s="1390">
        <f>IF(I476&gt;0,J476*100/I476,0)</f>
        <v>0</v>
      </c>
      <c r="L476" s="1359"/>
      <c r="M476" s="45"/>
      <c r="N476" s="45"/>
      <c r="O476" s="45"/>
      <c r="P476" s="45"/>
      <c r="Q476" s="45"/>
      <c r="R476" s="45"/>
      <c r="S476" s="45"/>
      <c r="T476" s="45"/>
      <c r="U476" s="45"/>
    </row>
    <row r="477" spans="1:21" ht="19.5" x14ac:dyDescent="0.3">
      <c r="A477" s="208"/>
      <c r="B477" s="158"/>
      <c r="C477" s="209" t="s">
        <v>189</v>
      </c>
      <c r="D477" s="158"/>
      <c r="E477" s="158"/>
      <c r="F477" s="158"/>
      <c r="G477" s="180"/>
      <c r="H477" s="131" t="s">
        <v>34</v>
      </c>
      <c r="I477" s="328">
        <v>0</v>
      </c>
      <c r="J477" s="328">
        <f>J479+J481</f>
        <v>0</v>
      </c>
      <c r="K477" s="1390">
        <f>IF(I477&gt;0,J477*100/I477,0)</f>
        <v>0</v>
      </c>
      <c r="L477" s="1359"/>
      <c r="M477" s="45"/>
      <c r="N477" s="45"/>
      <c r="O477" s="45"/>
      <c r="P477" s="45"/>
      <c r="Q477" s="45"/>
      <c r="R477" s="45"/>
      <c r="S477" s="45"/>
      <c r="T477" s="45"/>
      <c r="U477" s="45"/>
    </row>
    <row r="478" spans="1:21" ht="18.75" x14ac:dyDescent="0.25">
      <c r="A478" s="208"/>
      <c r="B478" s="158"/>
      <c r="C478" s="158"/>
      <c r="D478" s="209" t="s">
        <v>190</v>
      </c>
      <c r="E478" s="158"/>
      <c r="F478" s="158"/>
      <c r="G478" s="180"/>
      <c r="H478" s="133" t="s">
        <v>46</v>
      </c>
      <c r="I478" s="44"/>
      <c r="J478" s="44"/>
      <c r="K478" s="45"/>
      <c r="L478" s="1359"/>
      <c r="M478" s="45"/>
      <c r="N478" s="45"/>
      <c r="O478" s="45"/>
      <c r="P478" s="45"/>
      <c r="Q478" s="45"/>
      <c r="R478" s="45"/>
      <c r="S478" s="45"/>
      <c r="T478" s="45"/>
      <c r="U478" s="45"/>
    </row>
    <row r="479" spans="1:21" ht="18.75" x14ac:dyDescent="0.25">
      <c r="A479" s="208"/>
      <c r="B479" s="158"/>
      <c r="C479" s="158"/>
      <c r="D479" s="158"/>
      <c r="E479" s="158"/>
      <c r="F479" s="158"/>
      <c r="G479" s="180"/>
      <c r="H479" s="133" t="s">
        <v>34</v>
      </c>
      <c r="I479" s="44"/>
      <c r="J479" s="44"/>
      <c r="K479" s="45"/>
      <c r="L479" s="1359"/>
      <c r="M479" s="45"/>
      <c r="N479" s="45"/>
      <c r="O479" s="45"/>
      <c r="P479" s="45"/>
      <c r="Q479" s="45"/>
      <c r="R479" s="45"/>
      <c r="S479" s="45"/>
      <c r="T479" s="45"/>
      <c r="U479" s="45"/>
    </row>
    <row r="480" spans="1:21" ht="18.75" x14ac:dyDescent="0.25">
      <c r="A480" s="208"/>
      <c r="B480" s="158"/>
      <c r="C480" s="158"/>
      <c r="D480" s="326" t="s">
        <v>191</v>
      </c>
      <c r="E480" s="158"/>
      <c r="F480" s="158"/>
      <c r="G480" s="180"/>
      <c r="H480" s="133" t="s">
        <v>46</v>
      </c>
      <c r="I480" s="44"/>
      <c r="J480" s="44"/>
      <c r="K480" s="45"/>
      <c r="L480" s="1359"/>
      <c r="M480" s="45"/>
      <c r="N480" s="45"/>
      <c r="O480" s="45"/>
      <c r="P480" s="45"/>
      <c r="Q480" s="45"/>
      <c r="R480" s="45"/>
      <c r="S480" s="45"/>
      <c r="T480" s="45"/>
      <c r="U480" s="45"/>
    </row>
    <row r="481" spans="1:21" ht="18.75" x14ac:dyDescent="0.25">
      <c r="A481" s="208"/>
      <c r="B481" s="158"/>
      <c r="C481" s="158"/>
      <c r="D481" s="158"/>
      <c r="E481" s="158"/>
      <c r="F481" s="158"/>
      <c r="G481" s="180"/>
      <c r="H481" s="133" t="s">
        <v>34</v>
      </c>
      <c r="I481" s="44"/>
      <c r="J481" s="44"/>
      <c r="K481" s="45"/>
      <c r="L481" s="1359"/>
      <c r="M481" s="45"/>
      <c r="N481" s="45"/>
      <c r="O481" s="45"/>
      <c r="P481" s="45"/>
      <c r="Q481" s="45"/>
      <c r="R481" s="45"/>
      <c r="S481" s="45"/>
      <c r="T481" s="45"/>
      <c r="U481" s="45"/>
    </row>
    <row r="482" spans="1:21" ht="18.75" x14ac:dyDescent="0.25">
      <c r="A482" s="208"/>
      <c r="B482" s="158"/>
      <c r="C482" s="158"/>
      <c r="D482" s="326" t="s">
        <v>192</v>
      </c>
      <c r="E482" s="158"/>
      <c r="F482" s="158"/>
      <c r="G482" s="180"/>
      <c r="H482" s="133" t="s">
        <v>46</v>
      </c>
      <c r="I482" s="44"/>
      <c r="J482" s="184">
        <f ca="1">IFERROR(__xludf.DUMMYFUNCTION("IMPORTRANGE(""https://docs.google.com/spreadsheets/d/1eHaY18a8A9IcSdp1K8H6x8fbOy06t2VsZHhMHf-1x7Y/edit?usp=sharing"",""แผน!HN28"")"),0)</f>
        <v>0</v>
      </c>
      <c r="K482" s="45"/>
      <c r="L482" s="1359"/>
      <c r="M482" s="45"/>
      <c r="N482" s="45"/>
      <c r="O482" s="45"/>
      <c r="P482" s="45"/>
      <c r="Q482" s="45"/>
      <c r="R482" s="45"/>
      <c r="S482" s="45"/>
      <c r="T482" s="45"/>
      <c r="U482" s="45"/>
    </row>
    <row r="483" spans="1:21" ht="18.75" x14ac:dyDescent="0.25">
      <c r="A483" s="208"/>
      <c r="B483" s="158"/>
      <c r="C483" s="158"/>
      <c r="D483" s="158"/>
      <c r="E483" s="158"/>
      <c r="F483" s="158"/>
      <c r="G483" s="180"/>
      <c r="H483" s="133" t="s">
        <v>34</v>
      </c>
      <c r="I483" s="44"/>
      <c r="J483" s="184">
        <f ca="1">IFERROR(__xludf.DUMMYFUNCTION("IMPORTRANGE(""https://docs.google.com/spreadsheets/d/1eHaY18a8A9IcSdp1K8H6x8fbOy06t2VsZHhMHf-1x7Y/edit?usp=sharing"",""แผน!HO28"")"),0)</f>
        <v>0</v>
      </c>
      <c r="K483" s="45"/>
      <c r="L483" s="1359"/>
      <c r="M483" s="45"/>
      <c r="N483" s="45"/>
      <c r="O483" s="45"/>
      <c r="P483" s="45"/>
      <c r="Q483" s="45"/>
      <c r="R483" s="45"/>
      <c r="S483" s="45"/>
      <c r="T483" s="45"/>
      <c r="U483" s="45"/>
    </row>
    <row r="484" spans="1:21" ht="19.5" x14ac:dyDescent="0.3">
      <c r="A484" s="208"/>
      <c r="B484" s="158"/>
      <c r="C484" s="161" t="s">
        <v>193</v>
      </c>
      <c r="D484" s="158"/>
      <c r="E484" s="158"/>
      <c r="F484" s="158"/>
      <c r="G484" s="180"/>
      <c r="H484" s="131" t="s">
        <v>46</v>
      </c>
      <c r="I484" s="44">
        <f>J480</f>
        <v>0</v>
      </c>
      <c r="J484" s="328">
        <f>J486+J488+J490</f>
        <v>0</v>
      </c>
      <c r="K484" s="1390">
        <f>IF(I484&gt;0,J484*100/I484,0)</f>
        <v>0</v>
      </c>
      <c r="L484" s="1359"/>
      <c r="M484" s="45"/>
      <c r="N484" s="45"/>
      <c r="O484" s="45"/>
      <c r="P484" s="45"/>
      <c r="Q484" s="45"/>
      <c r="R484" s="45"/>
      <c r="S484" s="45"/>
      <c r="T484" s="45"/>
      <c r="U484" s="45"/>
    </row>
    <row r="485" spans="1:21" ht="19.5" x14ac:dyDescent="0.3">
      <c r="A485" s="208"/>
      <c r="B485" s="158"/>
      <c r="C485" s="209" t="s">
        <v>194</v>
      </c>
      <c r="D485" s="158"/>
      <c r="E485" s="158"/>
      <c r="F485" s="158"/>
      <c r="G485" s="180"/>
      <c r="H485" s="131" t="s">
        <v>34</v>
      </c>
      <c r="I485" s="44">
        <f>J481</f>
        <v>0</v>
      </c>
      <c r="J485" s="328">
        <f>J487+J489+J491</f>
        <v>0</v>
      </c>
      <c r="K485" s="1390">
        <f>IF(I485&gt;0,J485*100/I485,0)</f>
        <v>0</v>
      </c>
      <c r="L485" s="1359"/>
      <c r="M485" s="45"/>
      <c r="N485" s="45"/>
      <c r="O485" s="45"/>
      <c r="P485" s="45"/>
      <c r="Q485" s="45"/>
      <c r="R485" s="45"/>
      <c r="S485" s="45"/>
      <c r="T485" s="45"/>
      <c r="U485" s="45"/>
    </row>
    <row r="486" spans="1:21" ht="18.75" x14ac:dyDescent="0.25">
      <c r="A486" s="208"/>
      <c r="B486" s="158"/>
      <c r="C486" s="158"/>
      <c r="D486" s="326" t="s">
        <v>195</v>
      </c>
      <c r="E486" s="158"/>
      <c r="F486" s="158"/>
      <c r="G486" s="180"/>
      <c r="H486" s="133" t="s">
        <v>46</v>
      </c>
      <c r="I486" s="44"/>
      <c r="J486" s="44"/>
      <c r="K486" s="45"/>
      <c r="L486" s="1359"/>
      <c r="M486" s="45"/>
      <c r="N486" s="45"/>
      <c r="O486" s="45"/>
      <c r="P486" s="45"/>
      <c r="Q486" s="45"/>
      <c r="R486" s="45"/>
      <c r="S486" s="45"/>
      <c r="T486" s="45"/>
      <c r="U486" s="45"/>
    </row>
    <row r="487" spans="1:21" ht="18.75" x14ac:dyDescent="0.25">
      <c r="A487" s="208"/>
      <c r="B487" s="158"/>
      <c r="C487" s="158"/>
      <c r="D487" s="158"/>
      <c r="E487" s="158"/>
      <c r="F487" s="158"/>
      <c r="G487" s="180"/>
      <c r="H487" s="133" t="s">
        <v>34</v>
      </c>
      <c r="I487" s="44"/>
      <c r="J487" s="44"/>
      <c r="K487" s="45"/>
      <c r="L487" s="1359"/>
      <c r="M487" s="45"/>
      <c r="N487" s="45"/>
      <c r="O487" s="45"/>
      <c r="P487" s="45"/>
      <c r="Q487" s="45"/>
      <c r="R487" s="45"/>
      <c r="S487" s="45"/>
      <c r="T487" s="45"/>
      <c r="U487" s="45"/>
    </row>
    <row r="488" spans="1:21" ht="18.75" x14ac:dyDescent="0.25">
      <c r="A488" s="208"/>
      <c r="B488" s="158"/>
      <c r="C488" s="158"/>
      <c r="D488" s="326" t="s">
        <v>196</v>
      </c>
      <c r="E488" s="158"/>
      <c r="F488" s="158"/>
      <c r="G488" s="180"/>
      <c r="H488" s="133" t="s">
        <v>46</v>
      </c>
      <c r="I488" s="44"/>
      <c r="J488" s="44"/>
      <c r="K488" s="45"/>
      <c r="L488" s="1359"/>
      <c r="M488" s="45"/>
      <c r="N488" s="45"/>
      <c r="O488" s="45"/>
      <c r="P488" s="45"/>
      <c r="Q488" s="45"/>
      <c r="R488" s="45"/>
      <c r="S488" s="45"/>
      <c r="T488" s="45"/>
      <c r="U488" s="45"/>
    </row>
    <row r="489" spans="1:21" ht="18.75" x14ac:dyDescent="0.25">
      <c r="A489" s="208"/>
      <c r="B489" s="158"/>
      <c r="C489" s="158"/>
      <c r="D489" s="158"/>
      <c r="E489" s="158"/>
      <c r="F489" s="158"/>
      <c r="G489" s="180"/>
      <c r="H489" s="133" t="s">
        <v>34</v>
      </c>
      <c r="I489" s="44"/>
      <c r="J489" s="44"/>
      <c r="K489" s="45"/>
      <c r="L489" s="1359"/>
      <c r="M489" s="45"/>
      <c r="N489" s="45"/>
      <c r="O489" s="45"/>
      <c r="P489" s="45"/>
      <c r="Q489" s="45"/>
      <c r="R489" s="45"/>
      <c r="S489" s="45"/>
      <c r="T489" s="45"/>
      <c r="U489" s="45"/>
    </row>
    <row r="490" spans="1:21" ht="18.75" x14ac:dyDescent="0.25">
      <c r="A490" s="208"/>
      <c r="B490" s="158"/>
      <c r="C490" s="158"/>
      <c r="D490" s="326" t="s">
        <v>197</v>
      </c>
      <c r="E490" s="158"/>
      <c r="F490" s="158"/>
      <c r="G490" s="180"/>
      <c r="H490" s="133" t="s">
        <v>46</v>
      </c>
      <c r="I490" s="44"/>
      <c r="J490" s="44"/>
      <c r="K490" s="45"/>
      <c r="L490" s="1359"/>
      <c r="M490" s="45"/>
      <c r="N490" s="45"/>
      <c r="O490" s="45"/>
      <c r="P490" s="45"/>
      <c r="Q490" s="45"/>
      <c r="R490" s="45"/>
      <c r="S490" s="45"/>
      <c r="T490" s="45"/>
      <c r="U490" s="45"/>
    </row>
    <row r="491" spans="1:21" ht="18.75" x14ac:dyDescent="0.25">
      <c r="A491" s="329"/>
      <c r="B491" s="2"/>
      <c r="C491" s="2"/>
      <c r="D491" s="2"/>
      <c r="E491" s="2"/>
      <c r="F491" s="2"/>
      <c r="G491" s="330"/>
      <c r="H491" s="331" t="s">
        <v>34</v>
      </c>
      <c r="I491" s="54"/>
      <c r="J491" s="54"/>
      <c r="K491" s="3"/>
      <c r="L491" s="1360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9.5" x14ac:dyDescent="0.3">
      <c r="A492" s="299"/>
      <c r="B492" s="310" t="s">
        <v>198</v>
      </c>
      <c r="C492" s="301"/>
      <c r="D492" s="301"/>
      <c r="E492" s="293"/>
      <c r="F492" s="293"/>
      <c r="G492" s="294"/>
      <c r="H492" s="321" t="s">
        <v>35</v>
      </c>
      <c r="I492" s="1501">
        <f ca="1">I503</f>
        <v>0</v>
      </c>
      <c r="J492" s="1501">
        <f ca="1">J503</f>
        <v>0</v>
      </c>
      <c r="K492" s="1502">
        <f ca="1">IF(I492&gt;0,J492*100/I492,0)</f>
        <v>0</v>
      </c>
      <c r="L492" s="1503"/>
      <c r="M492" s="298"/>
      <c r="N492" s="298"/>
      <c r="O492" s="298"/>
      <c r="P492" s="298"/>
      <c r="Q492" s="298"/>
      <c r="R492" s="298"/>
      <c r="S492" s="298"/>
      <c r="T492" s="298"/>
      <c r="U492" s="298"/>
    </row>
    <row r="493" spans="1:21" ht="19.5" x14ac:dyDescent="0.3">
      <c r="A493" s="128"/>
      <c r="B493" s="158"/>
      <c r="C493" s="177" t="s">
        <v>18</v>
      </c>
      <c r="D493" s="1538" t="s">
        <v>19</v>
      </c>
      <c r="E493" s="1292"/>
      <c r="F493" s="1292"/>
      <c r="G493" s="42"/>
      <c r="H493" s="221" t="s">
        <v>14</v>
      </c>
      <c r="I493" s="44"/>
      <c r="J493" s="44"/>
      <c r="K493" s="45"/>
      <c r="L493" s="1389">
        <f ca="1">L494+L495</f>
        <v>0</v>
      </c>
      <c r="M493" s="1390">
        <f ca="1">M494+M495</f>
        <v>0</v>
      </c>
      <c r="N493" s="1390">
        <f ca="1">N494+N495</f>
        <v>0</v>
      </c>
      <c r="O493" s="1390">
        <f ca="1">IF(L493&gt;0,N493*100/L493,0)</f>
        <v>0</v>
      </c>
      <c r="P493" s="1390">
        <f ca="1">IF(M493&gt;0,N493*100/M493,0)</f>
        <v>0</v>
      </c>
      <c r="Q493" s="1390">
        <f ca="1">Q494+Q495</f>
        <v>0</v>
      </c>
      <c r="R493" s="1390">
        <f ca="1">R494+R495</f>
        <v>0</v>
      </c>
      <c r="S493" s="1390">
        <f ca="1">S494+S495</f>
        <v>0</v>
      </c>
      <c r="T493" s="1390">
        <f ca="1">IF(Q493&gt;0,S493*100/Q493,0)</f>
        <v>0</v>
      </c>
      <c r="U493" s="1390">
        <f ca="1">IF(R493&gt;0,S493*100/R493,0)</f>
        <v>0</v>
      </c>
    </row>
    <row r="494" spans="1:21" ht="18.75" x14ac:dyDescent="0.25">
      <c r="A494" s="128"/>
      <c r="B494" s="158"/>
      <c r="C494" s="158"/>
      <c r="D494" s="139"/>
      <c r="E494" s="156" t="s">
        <v>158</v>
      </c>
      <c r="F494" s="40"/>
      <c r="G494" s="42"/>
      <c r="H494" s="159" t="s">
        <v>14</v>
      </c>
      <c r="I494" s="44"/>
      <c r="J494" s="44"/>
      <c r="K494" s="45"/>
      <c r="L494" s="1358">
        <f>L497+L500</f>
        <v>0</v>
      </c>
      <c r="M494" s="83">
        <f>M497+M500</f>
        <v>0</v>
      </c>
      <c r="N494" s="83">
        <f>N497+N500</f>
        <v>0</v>
      </c>
      <c r="O494" s="83">
        <f>IF(L494&gt;0,N494*100/L494,0)</f>
        <v>0</v>
      </c>
      <c r="P494" s="83">
        <f>IF(M494&gt;0,N494*100/M494,0)</f>
        <v>0</v>
      </c>
      <c r="Q494" s="83">
        <f>Q497+Q500</f>
        <v>0</v>
      </c>
      <c r="R494" s="83">
        <f>R497+R500</f>
        <v>0</v>
      </c>
      <c r="S494" s="83">
        <f>S497+S500</f>
        <v>0</v>
      </c>
      <c r="T494" s="83">
        <f>IF(Q494&gt;0,S494*100/Q494,0)</f>
        <v>0</v>
      </c>
      <c r="U494" s="83">
        <f>IF(R494&gt;0,S494*100/R494,0)</f>
        <v>0</v>
      </c>
    </row>
    <row r="495" spans="1:21" ht="18.75" x14ac:dyDescent="0.25">
      <c r="A495" s="128"/>
      <c r="B495" s="158"/>
      <c r="C495" s="158"/>
      <c r="D495" s="139"/>
      <c r="E495" s="47" t="s">
        <v>159</v>
      </c>
      <c r="F495" s="40"/>
      <c r="G495" s="42"/>
      <c r="H495" s="134" t="s">
        <v>14</v>
      </c>
      <c r="I495" s="44"/>
      <c r="J495" s="44"/>
      <c r="K495" s="45"/>
      <c r="L495" s="1356">
        <f ca="1">L498+L501</f>
        <v>0</v>
      </c>
      <c r="M495" s="224">
        <f ca="1">M498+M501</f>
        <v>0</v>
      </c>
      <c r="N495" s="224">
        <f ca="1">N498+N501</f>
        <v>0</v>
      </c>
      <c r="O495" s="224">
        <f ca="1">IF(L495&gt;0,N495*100/L495,0)</f>
        <v>0</v>
      </c>
      <c r="P495" s="224">
        <f ca="1">IF(M495&gt;0,N495*100/M495,0)</f>
        <v>0</v>
      </c>
      <c r="Q495" s="224">
        <f ca="1">Q498+Q501</f>
        <v>0</v>
      </c>
      <c r="R495" s="224">
        <f ca="1">R498+R501</f>
        <v>0</v>
      </c>
      <c r="S495" s="224">
        <f ca="1">S498+S501</f>
        <v>0</v>
      </c>
      <c r="T495" s="224">
        <f ca="1">IF(Q495&gt;0,S495*100/Q495,0)</f>
        <v>0</v>
      </c>
      <c r="U495" s="224">
        <f ca="1">IF(R495&gt;0,S495*100/R495,0)</f>
        <v>0</v>
      </c>
    </row>
    <row r="496" spans="1:21" ht="18.75" x14ac:dyDescent="0.25">
      <c r="A496" s="128"/>
      <c r="B496" s="158"/>
      <c r="C496" s="158"/>
      <c r="D496" s="1406" t="s">
        <v>22</v>
      </c>
      <c r="E496" s="40"/>
      <c r="F496" s="40"/>
      <c r="G496" s="42"/>
      <c r="H496" s="134" t="s">
        <v>14</v>
      </c>
      <c r="I496" s="135"/>
      <c r="J496" s="135"/>
      <c r="K496" s="136"/>
      <c r="L496" s="1356">
        <f ca="1">L497+L498</f>
        <v>0</v>
      </c>
      <c r="M496" s="224">
        <f ca="1">M497+M498</f>
        <v>0</v>
      </c>
      <c r="N496" s="224">
        <f ca="1">N497+N498</f>
        <v>0</v>
      </c>
      <c r="O496" s="224">
        <f ca="1">IF(L496&gt;0,N496*100/L496,0)</f>
        <v>0</v>
      </c>
      <c r="P496" s="224">
        <f ca="1">IF(M496&gt;0,N496*100/M496,0)</f>
        <v>0</v>
      </c>
      <c r="Q496" s="224">
        <f ca="1">Q497+Q498</f>
        <v>0</v>
      </c>
      <c r="R496" s="224">
        <f ca="1">R497+R498</f>
        <v>0</v>
      </c>
      <c r="S496" s="224">
        <f ca="1">S497+S498</f>
        <v>0</v>
      </c>
      <c r="T496" s="224">
        <f ca="1">IF(Q496&gt;0,S496*100/Q496,0)</f>
        <v>0</v>
      </c>
      <c r="U496" s="224">
        <f ca="1">IF(R496&gt;0,S496*100/R496,0)</f>
        <v>0</v>
      </c>
    </row>
    <row r="497" spans="1:21" ht="18.75" x14ac:dyDescent="0.25">
      <c r="A497" s="128"/>
      <c r="B497" s="158"/>
      <c r="C497" s="158"/>
      <c r="D497" s="139"/>
      <c r="E497" s="156" t="s">
        <v>158</v>
      </c>
      <c r="F497" s="40"/>
      <c r="G497" s="42"/>
      <c r="H497" s="159" t="s">
        <v>14</v>
      </c>
      <c r="I497" s="44"/>
      <c r="J497" s="44"/>
      <c r="K497" s="45"/>
      <c r="L497" s="1358">
        <v>0</v>
      </c>
      <c r="M497" s="83">
        <v>0</v>
      </c>
      <c r="N497" s="83">
        <v>0</v>
      </c>
      <c r="O497" s="83">
        <f>IF(L497&gt;0,N497*100/L497,0)</f>
        <v>0</v>
      </c>
      <c r="P497" s="83">
        <f>IF(M497&gt;0,N497*100/M497,0)</f>
        <v>0</v>
      </c>
      <c r="Q497" s="83">
        <v>0</v>
      </c>
      <c r="R497" s="83">
        <v>0</v>
      </c>
      <c r="S497" s="83">
        <v>0</v>
      </c>
      <c r="T497" s="83">
        <f>IF(Q497&gt;0,S497*100/Q497,0)</f>
        <v>0</v>
      </c>
      <c r="U497" s="83">
        <f>IF(R497&gt;0,S497*100/R497,0)</f>
        <v>0</v>
      </c>
    </row>
    <row r="498" spans="1:21" ht="18.75" x14ac:dyDescent="0.25">
      <c r="A498" s="128"/>
      <c r="B498" s="158"/>
      <c r="C498" s="158"/>
      <c r="D498" s="139"/>
      <c r="E498" s="47" t="s">
        <v>159</v>
      </c>
      <c r="F498" s="40"/>
      <c r="G498" s="42"/>
      <c r="H498" s="134" t="s">
        <v>14</v>
      </c>
      <c r="I498" s="44"/>
      <c r="J498" s="44"/>
      <c r="K498" s="45"/>
      <c r="L498" s="1356">
        <f ca="1">IFERROR(__xludf.DUMMYFUNCTION("IMPORTRANGE(""https://docs.google.com/spreadsheets/d/1-uDff_7J0KD5mKrp0Vvzr7lt3OU09vwQwhkpOPPYv2Y/edit?usp=sharing"",""งบพรบ!HU28"")"),0)</f>
        <v>0</v>
      </c>
      <c r="M498" s="224">
        <f ca="1">IFERROR(__xludf.DUMMYFUNCTION("IMPORTRANGE(""https://docs.google.com/spreadsheets/d/1-uDff_7J0KD5mKrp0Vvzr7lt3OU09vwQwhkpOPPYv2Y/edit?usp=sharing"",""งบพรบ!HZ28"")"),0)</f>
        <v>0</v>
      </c>
      <c r="N498" s="224">
        <f ca="1">IFERROR(__xludf.DUMMYFUNCTION("IMPORTRANGE(""https://docs.google.com/spreadsheets/d/1-uDff_7J0KD5mKrp0Vvzr7lt3OU09vwQwhkpOPPYv2Y/edit?usp=sharing"",""งบพรบ!IB28"")"),0)</f>
        <v>0</v>
      </c>
      <c r="O498" s="224">
        <f ca="1">IF(L498&gt;0,N498*100/L498,0)</f>
        <v>0</v>
      </c>
      <c r="P498" s="224">
        <f ca="1">IF(M498&gt;0,N498*100/M498,0)</f>
        <v>0</v>
      </c>
      <c r="Q498" s="224">
        <f ca="1">IFERROR(__xludf.DUMMYFUNCTION("IMPORTRANGE(""https://docs.google.com/spreadsheets/d/1ItG2mGa2ceCfYo0BwxsXqNm01IGEUdYcSSLTEv9YCik/edit?usp=sharing"",""เบิกจ่ายกองทุน!AD28"")"),0)</f>
        <v>0</v>
      </c>
      <c r="R498" s="224">
        <f ca="1">IFERROR(__xludf.DUMMYFUNCTION("IMPORTRANGE(""https://docs.google.com/spreadsheets/d/1ItG2mGa2ceCfYo0BwxsXqNm01IGEUdYcSSLTEv9YCik/edit?usp=sharing"",""เบิกจ่ายกองทุน!AE28"")"),0)</f>
        <v>0</v>
      </c>
      <c r="S498" s="224">
        <f ca="1">IFERROR(__xludf.DUMMYFUNCTION("IMPORTRANGE(""https://docs.google.com/spreadsheets/d/1ItG2mGa2ceCfYo0BwxsXqNm01IGEUdYcSSLTEv9YCik/edit?usp=sharing"",""เบิกจ่ายกองทุน!AF28"")"),0)</f>
        <v>0</v>
      </c>
      <c r="T498" s="224">
        <f ca="1">IF(Q498&gt;0,S498*100/Q498,0)</f>
        <v>0</v>
      </c>
      <c r="U498" s="224">
        <f ca="1">IF(R498&gt;0,S498*100/R498,0)</f>
        <v>0</v>
      </c>
    </row>
    <row r="499" spans="1:21" ht="18.75" x14ac:dyDescent="0.25">
      <c r="A499" s="128"/>
      <c r="B499" s="158"/>
      <c r="C499" s="158"/>
      <c r="D499" s="1406" t="s">
        <v>23</v>
      </c>
      <c r="E499" s="40"/>
      <c r="F499" s="40"/>
      <c r="G499" s="42"/>
      <c r="H499" s="137" t="s">
        <v>14</v>
      </c>
      <c r="I499" s="135"/>
      <c r="J499" s="135"/>
      <c r="K499" s="136"/>
      <c r="L499" s="1356">
        <f ca="1">L500+L501</f>
        <v>0</v>
      </c>
      <c r="M499" s="224">
        <f ca="1">M500+M501</f>
        <v>0</v>
      </c>
      <c r="N499" s="224">
        <f ca="1">N500+N501</f>
        <v>0</v>
      </c>
      <c r="O499" s="224">
        <f ca="1">IF(L499&gt;0,N499*100/L499,0)</f>
        <v>0</v>
      </c>
      <c r="P499" s="224">
        <f ca="1">IF(M499&gt;0,N499*100/M499,0)</f>
        <v>0</v>
      </c>
      <c r="Q499" s="224">
        <f>Q500+Q501</f>
        <v>0</v>
      </c>
      <c r="R499" s="224">
        <f>R500+R501</f>
        <v>0</v>
      </c>
      <c r="S499" s="224">
        <f>S500+S501</f>
        <v>0</v>
      </c>
      <c r="T499" s="224">
        <f>IF(Q499&gt;0,S499*100/Q499,0)</f>
        <v>0</v>
      </c>
      <c r="U499" s="224">
        <f>IF(R499&gt;0,S499*100/R499,0)</f>
        <v>0</v>
      </c>
    </row>
    <row r="500" spans="1:21" ht="18.75" x14ac:dyDescent="0.25">
      <c r="A500" s="128"/>
      <c r="B500" s="158"/>
      <c r="C500" s="158"/>
      <c r="D500" s="158"/>
      <c r="E500" s="156" t="s">
        <v>20</v>
      </c>
      <c r="F500" s="40"/>
      <c r="G500" s="42"/>
      <c r="H500" s="159" t="s">
        <v>14</v>
      </c>
      <c r="I500" s="135"/>
      <c r="J500" s="135"/>
      <c r="K500" s="136"/>
      <c r="L500" s="1358">
        <v>0</v>
      </c>
      <c r="M500" s="83">
        <v>0</v>
      </c>
      <c r="N500" s="83">
        <v>0</v>
      </c>
      <c r="O500" s="83">
        <f>IF(L500&gt;0,N500*100/L500,0)</f>
        <v>0</v>
      </c>
      <c r="P500" s="83">
        <f>IF(M500&gt;0,N500*100/M500,0)</f>
        <v>0</v>
      </c>
      <c r="Q500" s="83">
        <v>0</v>
      </c>
      <c r="R500" s="83">
        <v>0</v>
      </c>
      <c r="S500" s="83">
        <v>0</v>
      </c>
      <c r="T500" s="83">
        <f>IF(Q500&gt;0,S500*100/Q500,0)</f>
        <v>0</v>
      </c>
      <c r="U500" s="83">
        <f>IF(R500&gt;0,S500*100/R500,0)</f>
        <v>0</v>
      </c>
    </row>
    <row r="501" spans="1:21" ht="18.75" x14ac:dyDescent="0.25">
      <c r="A501" s="128"/>
      <c r="B501" s="158"/>
      <c r="C501" s="158"/>
      <c r="D501" s="158"/>
      <c r="E501" s="47" t="s">
        <v>21</v>
      </c>
      <c r="F501" s="40"/>
      <c r="G501" s="42"/>
      <c r="H501" s="137" t="s">
        <v>14</v>
      </c>
      <c r="I501" s="135"/>
      <c r="J501" s="135"/>
      <c r="K501" s="136"/>
      <c r="L501" s="1356">
        <f ca="1">IFERROR(__xludf.DUMMYFUNCTION("IMPORTRANGE(""https://docs.google.com/spreadsheets/d/1-uDff_7J0KD5mKrp0Vvzr7lt3OU09vwQwhkpOPPYv2Y/edit?usp=sharing"",""งบพรบ!HX28"")"),0)</f>
        <v>0</v>
      </c>
      <c r="M501" s="224">
        <f ca="1">IFERROR(__xludf.DUMMYFUNCTION("IMPORTRANGE(""https://docs.google.com/spreadsheets/d/1-uDff_7J0KD5mKrp0Vvzr7lt3OU09vwQwhkpOPPYv2Y/edit?usp=sharing"",""งบพรบ!IA28"")"),0)</f>
        <v>0</v>
      </c>
      <c r="N501" s="224">
        <f ca="1">IFERROR(__xludf.DUMMYFUNCTION("IMPORTRANGE(""https://docs.google.com/spreadsheets/d/1-uDff_7J0KD5mKrp0Vvzr7lt3OU09vwQwhkpOPPYv2Y/edit?usp=sharing"",""งบพรบ!IC28"")"),0)</f>
        <v>0</v>
      </c>
      <c r="O501" s="224">
        <f ca="1">IF(L501&gt;0,N501*100/L501,0)</f>
        <v>0</v>
      </c>
      <c r="P501" s="224">
        <f ca="1">IF(M501&gt;0,N501*100/M501,0)</f>
        <v>0</v>
      </c>
      <c r="Q501" s="224">
        <v>0</v>
      </c>
      <c r="R501" s="224">
        <v>0</v>
      </c>
      <c r="S501" s="224">
        <v>0</v>
      </c>
      <c r="T501" s="224">
        <f>IF(Q501&gt;0,S501*100/Q501,0)</f>
        <v>0</v>
      </c>
      <c r="U501" s="224">
        <f>IF(R501&gt;0,S501*100/R501,0)</f>
        <v>0</v>
      </c>
    </row>
    <row r="502" spans="1:21" ht="19.5" x14ac:dyDescent="0.3">
      <c r="A502" s="138"/>
      <c r="B502" s="139"/>
      <c r="C502" s="177" t="s">
        <v>18</v>
      </c>
      <c r="D502" s="1535" t="s">
        <v>38</v>
      </c>
      <c r="E502" s="141"/>
      <c r="F502" s="141"/>
      <c r="G502" s="142"/>
      <c r="H502" s="178"/>
      <c r="I502" s="135"/>
      <c r="J502" s="135"/>
      <c r="K502" s="136"/>
      <c r="L502" s="1392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08"/>
      <c r="B503" s="158"/>
      <c r="C503" s="158"/>
      <c r="D503" s="161" t="s">
        <v>199</v>
      </c>
      <c r="E503" s="40"/>
      <c r="F503" s="40"/>
      <c r="G503" s="42"/>
      <c r="H503" s="133" t="s">
        <v>35</v>
      </c>
      <c r="I503" s="328">
        <f ca="1">IFERROR(__xludf.DUMMYFUNCTION("IMPORTRANGE(""https://docs.google.com/spreadsheets/d/1eHaY18a8A9IcSdp1K8H6x8fbOy06t2VsZHhMHf-1x7Y/edit?usp=sharing"",""แผน!GX28"")"),0)</f>
        <v>0</v>
      </c>
      <c r="J503" s="328">
        <f ca="1">IF(AND(J504=I504,J505=I505,J506=I506,J507=I507),I503,0)</f>
        <v>0</v>
      </c>
      <c r="K503" s="1390">
        <f ca="1">IF(I503&gt;0,J503*100/I503,0)</f>
        <v>0</v>
      </c>
      <c r="L503" s="1359"/>
      <c r="M503" s="45"/>
      <c r="N503" s="45"/>
      <c r="O503" s="45"/>
      <c r="P503" s="45"/>
      <c r="Q503" s="45"/>
      <c r="R503" s="45"/>
      <c r="S503" s="45"/>
      <c r="T503" s="45"/>
      <c r="U503" s="45"/>
    </row>
    <row r="504" spans="1:21" ht="18.75" x14ac:dyDescent="0.25">
      <c r="A504" s="208"/>
      <c r="B504" s="158"/>
      <c r="C504" s="158"/>
      <c r="D504" s="158"/>
      <c r="E504" s="47" t="s">
        <v>200</v>
      </c>
      <c r="F504" s="40"/>
      <c r="G504" s="42"/>
      <c r="H504" s="133" t="s">
        <v>35</v>
      </c>
      <c r="I504" s="184">
        <f ca="1">IFERROR(__xludf.DUMMYFUNCTION("IMPORTRANGE(""https://docs.google.com/spreadsheets/d/1eHaY18a8A9IcSdp1K8H6x8fbOy06t2VsZHhMHf-1x7Y/edit?usp=sharing"",""แผน!GY28"")"),0)</f>
        <v>0</v>
      </c>
      <c r="J504" s="1395">
        <v>0</v>
      </c>
      <c r="K504" s="224">
        <f ca="1">IF(I504&gt;0,J504*100/I504,0)</f>
        <v>0</v>
      </c>
      <c r="L504" s="1359"/>
      <c r="M504" s="45"/>
      <c r="N504" s="45"/>
      <c r="O504" s="45"/>
      <c r="P504" s="45"/>
      <c r="Q504" s="45"/>
      <c r="R504" s="45"/>
      <c r="S504" s="45"/>
      <c r="T504" s="45"/>
      <c r="U504" s="45"/>
    </row>
    <row r="505" spans="1:21" ht="18.75" x14ac:dyDescent="0.25">
      <c r="A505" s="208"/>
      <c r="B505" s="158"/>
      <c r="C505" s="158"/>
      <c r="D505" s="158"/>
      <c r="E505" s="47" t="s">
        <v>201</v>
      </c>
      <c r="F505" s="40"/>
      <c r="G505" s="42"/>
      <c r="H505" s="133" t="s">
        <v>35</v>
      </c>
      <c r="I505" s="184">
        <f ca="1">IFERROR(__xludf.DUMMYFUNCTION("IMPORTRANGE(""https://docs.google.com/spreadsheets/d/1eHaY18a8A9IcSdp1K8H6x8fbOy06t2VsZHhMHf-1x7Y/edit?usp=sharing"",""แผน!GZ28"")"),0)</f>
        <v>0</v>
      </c>
      <c r="J505" s="1395">
        <v>0</v>
      </c>
      <c r="K505" s="224">
        <f ca="1">IF(I505&gt;0,J505*100/I505,0)</f>
        <v>0</v>
      </c>
      <c r="L505" s="1359"/>
      <c r="M505" s="45"/>
      <c r="N505" s="45"/>
      <c r="O505" s="45"/>
      <c r="P505" s="45"/>
      <c r="Q505" s="45"/>
      <c r="R505" s="45"/>
      <c r="S505" s="45"/>
      <c r="T505" s="45"/>
      <c r="U505" s="45"/>
    </row>
    <row r="506" spans="1:21" ht="18.75" x14ac:dyDescent="0.25">
      <c r="A506" s="208"/>
      <c r="B506" s="158"/>
      <c r="C506" s="158"/>
      <c r="D506" s="158"/>
      <c r="E506" s="47" t="s">
        <v>202</v>
      </c>
      <c r="F506" s="40"/>
      <c r="G506" s="42"/>
      <c r="H506" s="133" t="s">
        <v>35</v>
      </c>
      <c r="I506" s="184">
        <f ca="1">IFERROR(__xludf.DUMMYFUNCTION("IMPORTRANGE(""https://docs.google.com/spreadsheets/d/1eHaY18a8A9IcSdp1K8H6x8fbOy06t2VsZHhMHf-1x7Y/edit?usp=sharing"",""แผน!HA28"")"),0)</f>
        <v>0</v>
      </c>
      <c r="J506" s="1395">
        <v>0</v>
      </c>
      <c r="K506" s="224">
        <f ca="1">IF(I506&gt;0,J506*100/I506,0)</f>
        <v>0</v>
      </c>
      <c r="L506" s="1359"/>
      <c r="M506" s="45"/>
      <c r="N506" s="45"/>
      <c r="O506" s="45"/>
      <c r="P506" s="45"/>
      <c r="Q506" s="45"/>
      <c r="R506" s="45"/>
      <c r="S506" s="45"/>
      <c r="T506" s="45"/>
      <c r="U506" s="45"/>
    </row>
    <row r="507" spans="1:21" ht="18.75" x14ac:dyDescent="0.25">
      <c r="A507" s="208"/>
      <c r="B507" s="158"/>
      <c r="C507" s="158"/>
      <c r="D507" s="158"/>
      <c r="E507" s="332" t="s">
        <v>203</v>
      </c>
      <c r="F507" s="40"/>
      <c r="G507" s="42"/>
      <c r="H507" s="133" t="s">
        <v>35</v>
      </c>
      <c r="I507" s="184">
        <f ca="1">IFERROR(__xludf.DUMMYFUNCTION("IMPORTRANGE(""https://docs.google.com/spreadsheets/d/1eHaY18a8A9IcSdp1K8H6x8fbOy06t2VsZHhMHf-1x7Y/edit?usp=sharing"",""แผน!HB28"")"),0)</f>
        <v>0</v>
      </c>
      <c r="J507" s="1395">
        <v>0</v>
      </c>
      <c r="K507" s="224">
        <f ca="1">IF(I507&gt;0,J507*100/I507,0)</f>
        <v>0</v>
      </c>
      <c r="L507" s="1359"/>
      <c r="M507" s="45"/>
      <c r="N507" s="45"/>
      <c r="O507" s="45"/>
      <c r="P507" s="45"/>
      <c r="Q507" s="45"/>
      <c r="R507" s="45"/>
      <c r="S507" s="45"/>
      <c r="T507" s="45"/>
      <c r="U507" s="45"/>
    </row>
    <row r="508" spans="1:21" ht="18.75" x14ac:dyDescent="0.25">
      <c r="A508" s="208"/>
      <c r="B508" s="158"/>
      <c r="C508" s="158"/>
      <c r="D508" s="158"/>
      <c r="E508" s="47" t="s">
        <v>204</v>
      </c>
      <c r="F508" s="40"/>
      <c r="G508" s="42"/>
      <c r="H508" s="133" t="s">
        <v>35</v>
      </c>
      <c r="I508" s="184">
        <v>0</v>
      </c>
      <c r="J508" s="184">
        <v>0</v>
      </c>
      <c r="K508" s="224">
        <f>IF(I508&gt;0,J508*100/I508,0)</f>
        <v>0</v>
      </c>
      <c r="L508" s="1359"/>
      <c r="M508" s="45"/>
      <c r="N508" s="45"/>
      <c r="O508" s="45"/>
      <c r="P508" s="45"/>
      <c r="Q508" s="45"/>
      <c r="R508" s="45"/>
      <c r="S508" s="45"/>
      <c r="T508" s="45"/>
      <c r="U508" s="45"/>
    </row>
    <row r="509" spans="1:21" ht="19.5" x14ac:dyDescent="0.3">
      <c r="A509" s="329"/>
      <c r="B509" s="2"/>
      <c r="C509" s="2"/>
      <c r="D509" s="333" t="s">
        <v>50</v>
      </c>
      <c r="E509" s="1"/>
      <c r="F509" s="1"/>
      <c r="G509" s="52"/>
      <c r="H509" s="331" t="s">
        <v>35</v>
      </c>
      <c r="I509" s="188">
        <f ca="1">IFERROR(__xludf.DUMMYFUNCTION("IMPORTRANGE(""https://docs.google.com/spreadsheets/d/1eHaY18a8A9IcSdp1K8H6x8fbOy06t2VsZHhMHf-1x7Y/edit?usp=sharing"",""แผน!HC28"")"),0)</f>
        <v>0</v>
      </c>
      <c r="J509" s="1541">
        <v>0</v>
      </c>
      <c r="K509" s="448">
        <f ca="1">IF(I509&gt;0,J509*100/I509,0)</f>
        <v>0</v>
      </c>
      <c r="L509" s="1360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9.5" x14ac:dyDescent="0.3">
      <c r="A510" s="1542" t="s">
        <v>205</v>
      </c>
      <c r="B510" s="336"/>
      <c r="C510" s="336"/>
      <c r="D510" s="336"/>
      <c r="E510" s="337"/>
      <c r="F510" s="337"/>
      <c r="G510" s="337"/>
      <c r="H510" s="337"/>
      <c r="I510" s="338"/>
      <c r="J510" s="338"/>
      <c r="K510" s="339"/>
      <c r="L510" s="1543"/>
      <c r="M510" s="341"/>
      <c r="N510" s="341"/>
      <c r="O510" s="341"/>
      <c r="P510" s="341"/>
      <c r="Q510" s="341"/>
      <c r="R510" s="341"/>
      <c r="S510" s="341"/>
      <c r="T510" s="341"/>
      <c r="U510" s="341"/>
    </row>
    <row r="511" spans="1:21" ht="19.5" x14ac:dyDescent="0.3">
      <c r="A511" s="1544" t="s">
        <v>206</v>
      </c>
      <c r="B511" s="343"/>
      <c r="C511" s="343"/>
      <c r="D511" s="344"/>
      <c r="E511" s="343"/>
      <c r="F511" s="343"/>
      <c r="G511" s="343"/>
      <c r="H511" s="345"/>
      <c r="I511" s="346"/>
      <c r="J511" s="346"/>
      <c r="K511" s="347"/>
      <c r="L511" s="1545"/>
      <c r="M511" s="348"/>
      <c r="N511" s="348"/>
      <c r="O511" s="348"/>
      <c r="P511" s="348"/>
      <c r="Q511" s="348"/>
      <c r="R511" s="348"/>
      <c r="S511" s="348"/>
      <c r="T511" s="348"/>
      <c r="U511" s="348"/>
    </row>
    <row r="512" spans="1:21" ht="19.5" x14ac:dyDescent="0.3">
      <c r="A512" s="349"/>
      <c r="B512" s="1546" t="s">
        <v>207</v>
      </c>
      <c r="C512" s="351"/>
      <c r="D512" s="352"/>
      <c r="E512" s="352"/>
      <c r="F512" s="352"/>
      <c r="G512" s="353"/>
      <c r="H512" s="1547" t="s">
        <v>61</v>
      </c>
      <c r="I512" s="1548">
        <f>I524</f>
        <v>0</v>
      </c>
      <c r="J512" s="1548">
        <f>J524</f>
        <v>0</v>
      </c>
      <c r="K512" s="1549">
        <f>IF(I512&gt;0,J512*100/I512,0)</f>
        <v>0</v>
      </c>
      <c r="L512" s="1550"/>
      <c r="M512" s="357"/>
      <c r="N512" s="357"/>
      <c r="O512" s="357"/>
      <c r="P512" s="357"/>
      <c r="Q512" s="357"/>
      <c r="R512" s="357"/>
      <c r="S512" s="357"/>
      <c r="T512" s="357"/>
      <c r="U512" s="357"/>
    </row>
    <row r="513" spans="1:21" ht="19.5" x14ac:dyDescent="0.3">
      <c r="A513" s="128"/>
      <c r="B513" s="40"/>
      <c r="C513" s="1433" t="s">
        <v>18</v>
      </c>
      <c r="D513" s="1434" t="s">
        <v>19</v>
      </c>
      <c r="E513" s="40"/>
      <c r="F513" s="40"/>
      <c r="G513" s="42"/>
      <c r="H513" s="1551" t="s">
        <v>14</v>
      </c>
      <c r="I513" s="44"/>
      <c r="J513" s="44"/>
      <c r="K513" s="45"/>
      <c r="L513" s="1389">
        <f ca="1">L514+L515</f>
        <v>0</v>
      </c>
      <c r="M513" s="1390">
        <f ca="1">M514+M515</f>
        <v>0</v>
      </c>
      <c r="N513" s="1390">
        <f ca="1">N514+N515</f>
        <v>0</v>
      </c>
      <c r="O513" s="1390">
        <f ca="1">IF(L513&gt;0,N513*100/L513,0)</f>
        <v>0</v>
      </c>
      <c r="P513" s="1390">
        <f ca="1">IF(M513&gt;0,N513*100/M513,0)</f>
        <v>0</v>
      </c>
      <c r="Q513" s="1390">
        <f>Q514+Q515</f>
        <v>0</v>
      </c>
      <c r="R513" s="1390">
        <f>R514+R515</f>
        <v>0</v>
      </c>
      <c r="S513" s="1390">
        <f>S514+S515</f>
        <v>0</v>
      </c>
      <c r="T513" s="1390">
        <f>IF(Q513&gt;0,S513*100/Q513,0)</f>
        <v>0</v>
      </c>
      <c r="U513" s="1390">
        <f>IF(R513&gt;0,S513*100/R513,0)</f>
        <v>0</v>
      </c>
    </row>
    <row r="514" spans="1:21" ht="18.75" x14ac:dyDescent="0.25">
      <c r="A514" s="128"/>
      <c r="B514" s="40"/>
      <c r="C514" s="40"/>
      <c r="D514" s="40"/>
      <c r="E514" s="156" t="s">
        <v>20</v>
      </c>
      <c r="F514" s="40"/>
      <c r="G514" s="42"/>
      <c r="H514" s="157" t="s">
        <v>14</v>
      </c>
      <c r="I514" s="44"/>
      <c r="J514" s="44"/>
      <c r="K514" s="45"/>
      <c r="L514" s="1358">
        <f>L517+L520</f>
        <v>0</v>
      </c>
      <c r="M514" s="83">
        <f>M517+M520</f>
        <v>0</v>
      </c>
      <c r="N514" s="83">
        <f>N517+N520</f>
        <v>0</v>
      </c>
      <c r="O514" s="83">
        <f>IF(L514&gt;0,N514*100/L514,0)</f>
        <v>0</v>
      </c>
      <c r="P514" s="83">
        <f>IF(M514&gt;0,N514*100/M514,0)</f>
        <v>0</v>
      </c>
      <c r="Q514" s="83">
        <f>Q517+Q520</f>
        <v>0</v>
      </c>
      <c r="R514" s="83">
        <f>R517+R520</f>
        <v>0</v>
      </c>
      <c r="S514" s="83">
        <f>S517+S520</f>
        <v>0</v>
      </c>
      <c r="T514" s="83">
        <f>IF(Q514&gt;0,S514*100/Q514,0)</f>
        <v>0</v>
      </c>
      <c r="U514" s="83">
        <f>IF(R514&gt;0,S514*100/R514,0)</f>
        <v>0</v>
      </c>
    </row>
    <row r="515" spans="1:21" ht="18.75" x14ac:dyDescent="0.25">
      <c r="A515" s="128"/>
      <c r="B515" s="40"/>
      <c r="C515" s="40"/>
      <c r="D515" s="40"/>
      <c r="E515" s="156" t="s">
        <v>21</v>
      </c>
      <c r="F515" s="40"/>
      <c r="G515" s="42"/>
      <c r="H515" s="157" t="s">
        <v>14</v>
      </c>
      <c r="I515" s="44"/>
      <c r="J515" s="44"/>
      <c r="K515" s="45"/>
      <c r="L515" s="1356">
        <f ca="1">L518+L521</f>
        <v>0</v>
      </c>
      <c r="M515" s="224">
        <f ca="1">M518+M521</f>
        <v>0</v>
      </c>
      <c r="N515" s="224">
        <f ca="1">N518+N521</f>
        <v>0</v>
      </c>
      <c r="O515" s="224">
        <f ca="1">IF(L515&gt;0,N515*100/L515,0)</f>
        <v>0</v>
      </c>
      <c r="P515" s="224">
        <f ca="1">IF(M515&gt;0,N515*100/M515,0)</f>
        <v>0</v>
      </c>
      <c r="Q515" s="224">
        <f>Q518+Q521</f>
        <v>0</v>
      </c>
      <c r="R515" s="224">
        <f>R518+R521</f>
        <v>0</v>
      </c>
      <c r="S515" s="224">
        <f>S518+S521</f>
        <v>0</v>
      </c>
      <c r="T515" s="224">
        <f>IF(Q515&gt;0,S515*100/Q515,0)</f>
        <v>0</v>
      </c>
      <c r="U515" s="224">
        <f>IF(R515&gt;0,S515*100/R515,0)</f>
        <v>0</v>
      </c>
    </row>
    <row r="516" spans="1:21" ht="18.75" x14ac:dyDescent="0.25">
      <c r="A516" s="128"/>
      <c r="B516" s="40"/>
      <c r="C516" s="40"/>
      <c r="D516" s="1552" t="s">
        <v>22</v>
      </c>
      <c r="E516" s="40"/>
      <c r="F516" s="40"/>
      <c r="G516" s="42"/>
      <c r="H516" s="159" t="s">
        <v>14</v>
      </c>
      <c r="I516" s="135"/>
      <c r="J516" s="135"/>
      <c r="K516" s="136"/>
      <c r="L516" s="1356">
        <f ca="1">L517+L518</f>
        <v>0</v>
      </c>
      <c r="M516" s="224">
        <f ca="1">M517+M518</f>
        <v>0</v>
      </c>
      <c r="N516" s="224">
        <f ca="1">N517+N518</f>
        <v>0</v>
      </c>
      <c r="O516" s="224">
        <f ca="1">IF(L516&gt;0,N516*100/L516,0)</f>
        <v>0</v>
      </c>
      <c r="P516" s="224">
        <f ca="1">IF(M516&gt;0,N516*100/M516,0)</f>
        <v>0</v>
      </c>
      <c r="Q516" s="224">
        <f>Q517+Q518</f>
        <v>0</v>
      </c>
      <c r="R516" s="224">
        <f>R517+R518</f>
        <v>0</v>
      </c>
      <c r="S516" s="224">
        <f>S517+S518</f>
        <v>0</v>
      </c>
      <c r="T516" s="224">
        <f>IF(Q516&gt;0,S516*100/Q516,0)</f>
        <v>0</v>
      </c>
      <c r="U516" s="224">
        <f>IF(R516&gt;0,S516*100/R516,0)</f>
        <v>0</v>
      </c>
    </row>
    <row r="517" spans="1:21" ht="18.75" x14ac:dyDescent="0.25">
      <c r="A517" s="128"/>
      <c r="B517" s="40"/>
      <c r="C517" s="40"/>
      <c r="D517" s="40"/>
      <c r="E517" s="156" t="s">
        <v>36</v>
      </c>
      <c r="F517" s="40"/>
      <c r="G517" s="42"/>
      <c r="H517" s="159" t="s">
        <v>14</v>
      </c>
      <c r="I517" s="135"/>
      <c r="J517" s="135"/>
      <c r="K517" s="136"/>
      <c r="L517" s="1358">
        <v>0</v>
      </c>
      <c r="M517" s="83">
        <v>0</v>
      </c>
      <c r="N517" s="83">
        <v>0</v>
      </c>
      <c r="O517" s="83">
        <f>IF(L517&gt;0,N517*100/L517,0)</f>
        <v>0</v>
      </c>
      <c r="P517" s="83">
        <f>IF(M517&gt;0,N517*100/M517,0)</f>
        <v>0</v>
      </c>
      <c r="Q517" s="83">
        <v>0</v>
      </c>
      <c r="R517" s="83">
        <v>0</v>
      </c>
      <c r="S517" s="83">
        <v>0</v>
      </c>
      <c r="T517" s="83">
        <f>IF(Q517&gt;0,S517*100/Q517,0)</f>
        <v>0</v>
      </c>
      <c r="U517" s="83">
        <f>IF(R517&gt;0,S517*100/R517,0)</f>
        <v>0</v>
      </c>
    </row>
    <row r="518" spans="1:21" ht="18.75" x14ac:dyDescent="0.25">
      <c r="A518" s="128"/>
      <c r="B518" s="40"/>
      <c r="C518" s="40"/>
      <c r="D518" s="40"/>
      <c r="E518" s="156" t="s">
        <v>37</v>
      </c>
      <c r="F518" s="40"/>
      <c r="G518" s="42"/>
      <c r="H518" s="159" t="s">
        <v>14</v>
      </c>
      <c r="I518" s="135"/>
      <c r="J518" s="135"/>
      <c r="K518" s="136"/>
      <c r="L518" s="1356">
        <f ca="1">IFERROR(__xludf.DUMMYFUNCTION("IMPORTRANGE(""https://docs.google.com/spreadsheets/d/1-uDff_7J0KD5mKrp0Vvzr7lt3OU09vwQwhkpOPPYv2Y/edit?usp=sharing"",""งบพรบ!FM28"")"),0)</f>
        <v>0</v>
      </c>
      <c r="M518" s="224">
        <f ca="1">IFERROR(__xludf.DUMMYFUNCTION("IMPORTRANGE(""https://docs.google.com/spreadsheets/d/1-uDff_7J0KD5mKrp0Vvzr7lt3OU09vwQwhkpOPPYv2Y/edit?usp=sharing"",""งบพรบ!FR28"")"),0)</f>
        <v>0</v>
      </c>
      <c r="N518" s="224">
        <f ca="1">IFERROR(__xludf.DUMMYFUNCTION("IMPORTRANGE(""https://docs.google.com/spreadsheets/d/1-uDff_7J0KD5mKrp0Vvzr7lt3OU09vwQwhkpOPPYv2Y/edit?usp=sharing"",""งบพรบ!FT28"")"),0)</f>
        <v>0</v>
      </c>
      <c r="O518" s="224">
        <f ca="1">IF(L518&gt;0,N518*100/L518,0)</f>
        <v>0</v>
      </c>
      <c r="P518" s="224">
        <f ca="1">IF(M518&gt;0,N518*100/M518,0)</f>
        <v>0</v>
      </c>
      <c r="Q518" s="224">
        <v>0</v>
      </c>
      <c r="R518" s="224">
        <v>0</v>
      </c>
      <c r="S518" s="224">
        <v>0</v>
      </c>
      <c r="T518" s="224">
        <f>IF(Q518&gt;0,S518*100/Q518,0)</f>
        <v>0</v>
      </c>
      <c r="U518" s="224">
        <f>IF(R518&gt;0,S518*100/R518,0)</f>
        <v>0</v>
      </c>
    </row>
    <row r="519" spans="1:21" ht="18.75" x14ac:dyDescent="0.25">
      <c r="A519" s="128"/>
      <c r="B519" s="40"/>
      <c r="C519" s="40"/>
      <c r="D519" s="1552" t="s">
        <v>23</v>
      </c>
      <c r="E519" s="40"/>
      <c r="F519" s="40"/>
      <c r="G519" s="42"/>
      <c r="H519" s="378" t="s">
        <v>14</v>
      </c>
      <c r="I519" s="135"/>
      <c r="J519" s="135"/>
      <c r="K519" s="136"/>
      <c r="L519" s="1356">
        <f ca="1">L520+L521</f>
        <v>0</v>
      </c>
      <c r="M519" s="224">
        <f ca="1">M520+M521</f>
        <v>0</v>
      </c>
      <c r="N519" s="224">
        <f ca="1">N520+N521</f>
        <v>0</v>
      </c>
      <c r="O519" s="224">
        <f ca="1">IF(L519&gt;0,N519*100/L519,0)</f>
        <v>0</v>
      </c>
      <c r="P519" s="224">
        <f ca="1">IF(M519&gt;0,N519*100/M519,0)</f>
        <v>0</v>
      </c>
      <c r="Q519" s="224">
        <f>Q520+Q521</f>
        <v>0</v>
      </c>
      <c r="R519" s="224">
        <f>R520+R521</f>
        <v>0</v>
      </c>
      <c r="S519" s="224">
        <f>S520+S521</f>
        <v>0</v>
      </c>
      <c r="T519" s="224">
        <f>IF(Q519&gt;0,S519*100/Q519,0)</f>
        <v>0</v>
      </c>
      <c r="U519" s="224">
        <f>IF(R519&gt;0,S519*100/R519,0)</f>
        <v>0</v>
      </c>
    </row>
    <row r="520" spans="1:21" ht="18.75" x14ac:dyDescent="0.25">
      <c r="A520" s="128"/>
      <c r="B520" s="40"/>
      <c r="C520" s="40"/>
      <c r="D520" s="40"/>
      <c r="E520" s="156" t="s">
        <v>20</v>
      </c>
      <c r="F520" s="40"/>
      <c r="G520" s="42"/>
      <c r="H520" s="159" t="s">
        <v>14</v>
      </c>
      <c r="I520" s="135"/>
      <c r="J520" s="135"/>
      <c r="K520" s="136"/>
      <c r="L520" s="1358">
        <v>0</v>
      </c>
      <c r="M520" s="83">
        <v>0</v>
      </c>
      <c r="N520" s="83">
        <v>0</v>
      </c>
      <c r="O520" s="83">
        <f>IF(L520&gt;0,N520*100/L520,0)</f>
        <v>0</v>
      </c>
      <c r="P520" s="83">
        <f>IF(M520&gt;0,N520*100/M520,0)</f>
        <v>0</v>
      </c>
      <c r="Q520" s="83">
        <v>0</v>
      </c>
      <c r="R520" s="83">
        <v>0</v>
      </c>
      <c r="S520" s="83">
        <v>0</v>
      </c>
      <c r="T520" s="83">
        <f>IF(Q520&gt;0,S520*100/Q520,0)</f>
        <v>0</v>
      </c>
      <c r="U520" s="83">
        <f>IF(R520&gt;0,S520*100/R520,0)</f>
        <v>0</v>
      </c>
    </row>
    <row r="521" spans="1:21" ht="18.75" x14ac:dyDescent="0.25">
      <c r="A521" s="128"/>
      <c r="B521" s="40"/>
      <c r="C521" s="40"/>
      <c r="D521" s="40"/>
      <c r="E521" s="156" t="s">
        <v>21</v>
      </c>
      <c r="F521" s="40"/>
      <c r="G521" s="42"/>
      <c r="H521" s="378" t="s">
        <v>14</v>
      </c>
      <c r="I521" s="135"/>
      <c r="J521" s="135"/>
      <c r="K521" s="136"/>
      <c r="L521" s="1356">
        <f ca="1">IFERROR(__xludf.DUMMYFUNCTION("IMPORTRANGE(""https://docs.google.com/spreadsheets/d/1-uDff_7J0KD5mKrp0Vvzr7lt3OU09vwQwhkpOPPYv2Y/edit?usp=sharing"",""งบพรบ!FP28"")"),0)</f>
        <v>0</v>
      </c>
      <c r="M521" s="224">
        <f ca="1">IFERROR(__xludf.DUMMYFUNCTION("IMPORTRANGE(""https://docs.google.com/spreadsheets/d/1-uDff_7J0KD5mKrp0Vvzr7lt3OU09vwQwhkpOPPYv2Y/edit?usp=sharing"",""งบพรบ!FS28"")"),0)</f>
        <v>0</v>
      </c>
      <c r="N521" s="224">
        <f ca="1">IFERROR(__xludf.DUMMYFUNCTION("IMPORTRANGE(""https://docs.google.com/spreadsheets/d/1-uDff_7J0KD5mKrp0Vvzr7lt3OU09vwQwhkpOPPYv2Y/edit?usp=sharing"",""งบพรบ!FU28"")"),0)</f>
        <v>0</v>
      </c>
      <c r="O521" s="224">
        <f ca="1">IF(L521&gt;0,N521*100/L521,0)</f>
        <v>0</v>
      </c>
      <c r="P521" s="224">
        <f ca="1">IF(M521&gt;0,N521*100/M521,0)</f>
        <v>0</v>
      </c>
      <c r="Q521" s="224">
        <v>0</v>
      </c>
      <c r="R521" s="224">
        <v>0</v>
      </c>
      <c r="S521" s="224">
        <v>0</v>
      </c>
      <c r="T521" s="224">
        <f>IF(Q521&gt;0,S521*100/Q521,0)</f>
        <v>0</v>
      </c>
      <c r="U521" s="224">
        <f>IF(R521&gt;0,S521*100/R521,0)</f>
        <v>0</v>
      </c>
    </row>
    <row r="522" spans="1:21" ht="19.5" x14ac:dyDescent="0.3">
      <c r="A522" s="138"/>
      <c r="B522" s="139"/>
      <c r="C522" s="1433" t="s">
        <v>18</v>
      </c>
      <c r="D522" s="1436" t="s">
        <v>38</v>
      </c>
      <c r="E522" s="141"/>
      <c r="F522" s="141"/>
      <c r="G522" s="142"/>
      <c r="H522" s="143"/>
      <c r="I522" s="135"/>
      <c r="J522" s="44"/>
      <c r="K522" s="45"/>
      <c r="L522" s="1359"/>
      <c r="M522" s="45"/>
      <c r="N522" s="45"/>
      <c r="O522" s="136"/>
      <c r="P522" s="136"/>
      <c r="Q522" s="45"/>
      <c r="R522" s="45"/>
      <c r="S522" s="45"/>
      <c r="T522" s="136"/>
      <c r="U522" s="136"/>
    </row>
    <row r="523" spans="1:21" ht="18.75" x14ac:dyDescent="0.25">
      <c r="A523" s="208"/>
      <c r="B523" s="40"/>
      <c r="C523" s="158"/>
      <c r="D523" s="179" t="s">
        <v>208</v>
      </c>
      <c r="E523" s="139"/>
      <c r="F523" s="40"/>
      <c r="G523" s="42"/>
      <c r="H523" s="1415" t="s">
        <v>11</v>
      </c>
      <c r="I523" s="423">
        <v>0</v>
      </c>
      <c r="J523" s="1407">
        <v>0</v>
      </c>
      <c r="K523" s="83">
        <f>IF(I523&gt;0,J523*100/I523,0)</f>
        <v>0</v>
      </c>
      <c r="L523" s="1359"/>
      <c r="M523" s="45"/>
      <c r="N523" s="45"/>
      <c r="O523" s="45"/>
      <c r="P523" s="45"/>
      <c r="Q523" s="45"/>
      <c r="R523" s="45"/>
      <c r="S523" s="45"/>
      <c r="T523" s="45"/>
      <c r="U523" s="45"/>
    </row>
    <row r="524" spans="1:21" ht="18.75" x14ac:dyDescent="0.25">
      <c r="A524" s="329"/>
      <c r="B524" s="1"/>
      <c r="C524" s="2"/>
      <c r="D524" s="1553" t="s">
        <v>209</v>
      </c>
      <c r="E524" s="250"/>
      <c r="F524" s="1"/>
      <c r="G524" s="52"/>
      <c r="H524" s="1554" t="s">
        <v>61</v>
      </c>
      <c r="I524" s="426">
        <v>0</v>
      </c>
      <c r="J524" s="1409">
        <v>0</v>
      </c>
      <c r="K524" s="1410">
        <f>IF(I524&gt;0,J524*100/I524,0)</f>
        <v>0</v>
      </c>
      <c r="L524" s="1359"/>
      <c r="M524" s="45"/>
      <c r="N524" s="45"/>
      <c r="O524" s="45"/>
      <c r="P524" s="45"/>
      <c r="Q524" s="45"/>
      <c r="R524" s="45"/>
      <c r="S524" s="45"/>
      <c r="T524" s="45"/>
      <c r="U524" s="45"/>
    </row>
    <row r="525" spans="1:21" ht="12.75" x14ac:dyDescent="0.2">
      <c r="A525" s="1555"/>
      <c r="B525" s="1556"/>
      <c r="C525" s="1556"/>
      <c r="D525" s="1557"/>
      <c r="E525" s="1557"/>
      <c r="F525" s="1557"/>
      <c r="G525" s="1558"/>
      <c r="H525" s="1559"/>
      <c r="I525" s="1560"/>
      <c r="J525" s="1560"/>
      <c r="K525" s="1561"/>
      <c r="L525" s="1536"/>
      <c r="M525" s="233"/>
      <c r="N525" s="233"/>
      <c r="O525" s="233"/>
      <c r="P525" s="233"/>
      <c r="Q525" s="233"/>
      <c r="R525" s="233"/>
      <c r="S525" s="233"/>
      <c r="T525" s="233"/>
      <c r="U525" s="233"/>
    </row>
    <row r="526" spans="1:21" ht="12.75" x14ac:dyDescent="0.2">
      <c r="A526" s="227"/>
      <c r="B526" s="228"/>
      <c r="C526" s="228"/>
      <c r="D526" s="229"/>
      <c r="E526" s="229"/>
      <c r="F526" s="229"/>
      <c r="G526" s="230"/>
      <c r="H526" s="231"/>
      <c r="I526" s="232"/>
      <c r="J526" s="232"/>
      <c r="K526" s="233"/>
      <c r="L526" s="1536"/>
      <c r="M526" s="233"/>
      <c r="N526" s="233"/>
      <c r="O526" s="233"/>
      <c r="P526" s="233"/>
      <c r="Q526" s="233"/>
      <c r="R526" s="233"/>
      <c r="S526" s="233"/>
      <c r="T526" s="233"/>
      <c r="U526" s="233"/>
    </row>
    <row r="527" spans="1:21" ht="12.75" x14ac:dyDescent="0.2">
      <c r="A527" s="227"/>
      <c r="B527" s="228"/>
      <c r="C527" s="228"/>
      <c r="D527" s="229"/>
      <c r="E527" s="229"/>
      <c r="F527" s="229"/>
      <c r="G527" s="230"/>
      <c r="H527" s="231"/>
      <c r="I527" s="232"/>
      <c r="J527" s="232"/>
      <c r="K527" s="233"/>
      <c r="L527" s="1536"/>
      <c r="M527" s="233"/>
      <c r="N527" s="233"/>
      <c r="O527" s="233"/>
      <c r="P527" s="233"/>
      <c r="Q527" s="233"/>
      <c r="R527" s="233"/>
      <c r="S527" s="233"/>
      <c r="T527" s="233"/>
      <c r="U527" s="233"/>
    </row>
    <row r="528" spans="1:21" ht="12.75" x14ac:dyDescent="0.2">
      <c r="A528" s="227"/>
      <c r="B528" s="228"/>
      <c r="C528" s="228"/>
      <c r="D528" s="229"/>
      <c r="E528" s="229"/>
      <c r="F528" s="229"/>
      <c r="G528" s="230"/>
      <c r="H528" s="231"/>
      <c r="I528" s="232"/>
      <c r="J528" s="232"/>
      <c r="K528" s="233"/>
      <c r="L528" s="1536"/>
      <c r="M528" s="233"/>
      <c r="N528" s="233"/>
      <c r="O528" s="233"/>
      <c r="P528" s="233"/>
      <c r="Q528" s="233"/>
      <c r="R528" s="233"/>
      <c r="S528" s="233"/>
      <c r="T528" s="233"/>
      <c r="U528" s="233"/>
    </row>
    <row r="529" spans="1:21" ht="12.75" x14ac:dyDescent="0.2">
      <c r="A529" s="227"/>
      <c r="B529" s="228"/>
      <c r="C529" s="228"/>
      <c r="D529" s="229"/>
      <c r="E529" s="229"/>
      <c r="F529" s="229"/>
      <c r="G529" s="230"/>
      <c r="H529" s="231"/>
      <c r="I529" s="232"/>
      <c r="J529" s="232"/>
      <c r="K529" s="233"/>
      <c r="L529" s="1536"/>
      <c r="M529" s="233"/>
      <c r="N529" s="233"/>
      <c r="O529" s="233"/>
      <c r="P529" s="233"/>
      <c r="Q529" s="233"/>
      <c r="R529" s="233"/>
      <c r="S529" s="233"/>
      <c r="T529" s="233"/>
      <c r="U529" s="233"/>
    </row>
    <row r="530" spans="1:21" ht="12.75" x14ac:dyDescent="0.2">
      <c r="A530" s="227"/>
      <c r="B530" s="228"/>
      <c r="C530" s="228"/>
      <c r="D530" s="229"/>
      <c r="E530" s="229"/>
      <c r="F530" s="229"/>
      <c r="G530" s="230"/>
      <c r="H530" s="231"/>
      <c r="I530" s="232"/>
      <c r="J530" s="232"/>
      <c r="K530" s="233"/>
      <c r="L530" s="1536"/>
      <c r="M530" s="233"/>
      <c r="N530" s="233"/>
      <c r="O530" s="233"/>
      <c r="P530" s="233"/>
      <c r="Q530" s="233"/>
      <c r="R530" s="233"/>
      <c r="S530" s="233"/>
      <c r="T530" s="233"/>
      <c r="U530" s="233"/>
    </row>
    <row r="531" spans="1:21" ht="12.75" x14ac:dyDescent="0.2">
      <c r="A531" s="227"/>
      <c r="B531" s="228"/>
      <c r="C531" s="228"/>
      <c r="D531" s="229"/>
      <c r="E531" s="229"/>
      <c r="F531" s="229"/>
      <c r="G531" s="230"/>
      <c r="H531" s="231"/>
      <c r="I531" s="232"/>
      <c r="J531" s="232"/>
      <c r="K531" s="233"/>
      <c r="L531" s="1536"/>
      <c r="M531" s="233"/>
      <c r="N531" s="233"/>
      <c r="O531" s="233"/>
      <c r="P531" s="233"/>
      <c r="Q531" s="233"/>
      <c r="R531" s="233"/>
      <c r="S531" s="233"/>
      <c r="T531" s="233"/>
      <c r="U531" s="233"/>
    </row>
    <row r="532" spans="1:21" ht="12.75" x14ac:dyDescent="0.2">
      <c r="A532" s="360"/>
      <c r="B532" s="316"/>
      <c r="C532" s="316"/>
      <c r="D532" s="361"/>
      <c r="E532" s="361"/>
      <c r="F532" s="361"/>
      <c r="G532" s="362"/>
      <c r="H532" s="317"/>
      <c r="I532" s="318"/>
      <c r="J532" s="318"/>
      <c r="K532" s="319"/>
      <c r="L532" s="1537"/>
      <c r="M532" s="319"/>
      <c r="N532" s="319"/>
      <c r="O532" s="319"/>
      <c r="P532" s="319"/>
      <c r="Q532" s="319"/>
      <c r="R532" s="319"/>
      <c r="S532" s="319"/>
      <c r="T532" s="319"/>
      <c r="U532" s="319"/>
    </row>
    <row r="533" spans="1:21" ht="19.5" x14ac:dyDescent="0.3">
      <c r="A533" s="349"/>
      <c r="B533" s="350" t="s">
        <v>210</v>
      </c>
      <c r="C533" s="351"/>
      <c r="D533" s="352"/>
      <c r="E533" s="352"/>
      <c r="F533" s="352"/>
      <c r="G533" s="353"/>
      <c r="H533" s="363" t="s">
        <v>61</v>
      </c>
      <c r="I533" s="374">
        <f>I545</f>
        <v>0</v>
      </c>
      <c r="J533" s="374">
        <f>J545</f>
        <v>0</v>
      </c>
      <c r="K533" s="1562">
        <f>IF(I533&gt;0,J533*100/I533,0)</f>
        <v>0</v>
      </c>
      <c r="L533" s="1550"/>
      <c r="M533" s="357"/>
      <c r="N533" s="357"/>
      <c r="O533" s="357"/>
      <c r="P533" s="357"/>
      <c r="Q533" s="357"/>
      <c r="R533" s="357"/>
      <c r="S533" s="357"/>
      <c r="T533" s="357"/>
      <c r="U533" s="357"/>
    </row>
    <row r="534" spans="1:21" ht="19.5" x14ac:dyDescent="0.3">
      <c r="A534" s="128"/>
      <c r="B534" s="40"/>
      <c r="C534" s="129" t="s">
        <v>18</v>
      </c>
      <c r="D534" s="1388" t="s">
        <v>19</v>
      </c>
      <c r="E534" s="40"/>
      <c r="F534" s="40"/>
      <c r="G534" s="42"/>
      <c r="H534" s="131" t="s">
        <v>14</v>
      </c>
      <c r="I534" s="44"/>
      <c r="J534" s="44"/>
      <c r="K534" s="45"/>
      <c r="L534" s="1389">
        <f ca="1">L535+L536</f>
        <v>0</v>
      </c>
      <c r="M534" s="1390">
        <f ca="1">M535+M536</f>
        <v>0</v>
      </c>
      <c r="N534" s="1390">
        <f ca="1">N535+N536</f>
        <v>0</v>
      </c>
      <c r="O534" s="1390">
        <f ca="1">IF(L534&gt;0,N534*100/L534,0)</f>
        <v>0</v>
      </c>
      <c r="P534" s="1390">
        <f ca="1">IF(M534&gt;0,N534*100/M534,0)</f>
        <v>0</v>
      </c>
      <c r="Q534" s="1390">
        <f>Q535+Q536</f>
        <v>0</v>
      </c>
      <c r="R534" s="1390">
        <f>R535+R536</f>
        <v>0</v>
      </c>
      <c r="S534" s="1390">
        <f>S535+S536</f>
        <v>0</v>
      </c>
      <c r="T534" s="1390">
        <f>IF(Q534&gt;0,S534*100/Q534,0)</f>
        <v>0</v>
      </c>
      <c r="U534" s="1390">
        <f>IF(R534&gt;0,S534*100/R534,0)</f>
        <v>0</v>
      </c>
    </row>
    <row r="535" spans="1:21" ht="18.75" x14ac:dyDescent="0.25">
      <c r="A535" s="128"/>
      <c r="B535" s="158"/>
      <c r="C535" s="40"/>
      <c r="D535" s="40"/>
      <c r="E535" s="156" t="s">
        <v>20</v>
      </c>
      <c r="F535" s="40"/>
      <c r="G535" s="42"/>
      <c r="H535" s="157" t="s">
        <v>14</v>
      </c>
      <c r="I535" s="44"/>
      <c r="J535" s="44"/>
      <c r="K535" s="45"/>
      <c r="L535" s="1358">
        <f>L538+L541</f>
        <v>0</v>
      </c>
      <c r="M535" s="83">
        <f>M538+M541</f>
        <v>0</v>
      </c>
      <c r="N535" s="83">
        <f>N538+N541</f>
        <v>0</v>
      </c>
      <c r="O535" s="83">
        <f>IF(L535&gt;0,N535*100/L535,0)</f>
        <v>0</v>
      </c>
      <c r="P535" s="83">
        <f>IF(M535&gt;0,N535*100/M535,0)</f>
        <v>0</v>
      </c>
      <c r="Q535" s="83">
        <f>Q538+Q541</f>
        <v>0</v>
      </c>
      <c r="R535" s="83">
        <f>R538+R541</f>
        <v>0</v>
      </c>
      <c r="S535" s="83">
        <f>S538+S541</f>
        <v>0</v>
      </c>
      <c r="T535" s="83">
        <f>IF(Q535&gt;0,S535*100/Q535,0)</f>
        <v>0</v>
      </c>
      <c r="U535" s="83">
        <f>IF(R535&gt;0,S535*100/R535,0)</f>
        <v>0</v>
      </c>
    </row>
    <row r="536" spans="1:21" ht="18.75" x14ac:dyDescent="0.25">
      <c r="A536" s="128"/>
      <c r="B536" s="40"/>
      <c r="C536" s="158"/>
      <c r="D536" s="40"/>
      <c r="E536" s="209" t="s">
        <v>21</v>
      </c>
      <c r="F536" s="40"/>
      <c r="G536" s="42"/>
      <c r="H536" s="133" t="s">
        <v>14</v>
      </c>
      <c r="I536" s="44"/>
      <c r="J536" s="44"/>
      <c r="K536" s="45"/>
      <c r="L536" s="1356">
        <f ca="1">L539+L542</f>
        <v>0</v>
      </c>
      <c r="M536" s="224">
        <f ca="1">M539+M542</f>
        <v>0</v>
      </c>
      <c r="N536" s="224">
        <f ca="1">N539+N542</f>
        <v>0</v>
      </c>
      <c r="O536" s="224">
        <f ca="1">IF(L536&gt;0,N536*100/L536,0)</f>
        <v>0</v>
      </c>
      <c r="P536" s="224">
        <f ca="1">IF(M536&gt;0,N536*100/M536,0)</f>
        <v>0</v>
      </c>
      <c r="Q536" s="224">
        <f>Q539+Q542</f>
        <v>0</v>
      </c>
      <c r="R536" s="224">
        <f>R539+R542</f>
        <v>0</v>
      </c>
      <c r="S536" s="224">
        <f>S539+S542</f>
        <v>0</v>
      </c>
      <c r="T536" s="224">
        <f>IF(Q536&gt;0,S536*100/Q536,0)</f>
        <v>0</v>
      </c>
      <c r="U536" s="224">
        <f>IF(R536&gt;0,S536*100/R536,0)</f>
        <v>0</v>
      </c>
    </row>
    <row r="537" spans="1:21" ht="18.75" x14ac:dyDescent="0.25">
      <c r="A537" s="128"/>
      <c r="B537" s="40"/>
      <c r="C537" s="158"/>
      <c r="D537" s="41" t="s">
        <v>22</v>
      </c>
      <c r="E537" s="158"/>
      <c r="F537" s="40"/>
      <c r="G537" s="42"/>
      <c r="H537" s="134" t="s">
        <v>14</v>
      </c>
      <c r="I537" s="135"/>
      <c r="J537" s="135"/>
      <c r="K537" s="136"/>
      <c r="L537" s="1356">
        <f ca="1">L538+L539</f>
        <v>0</v>
      </c>
      <c r="M537" s="224">
        <f ca="1">M538+M539</f>
        <v>0</v>
      </c>
      <c r="N537" s="224">
        <f ca="1">N538+N539</f>
        <v>0</v>
      </c>
      <c r="O537" s="224">
        <f ca="1">IF(L537&gt;0,N537*100/L537,0)</f>
        <v>0</v>
      </c>
      <c r="P537" s="224">
        <f ca="1">IF(M537&gt;0,N537*100/M537,0)</f>
        <v>0</v>
      </c>
      <c r="Q537" s="224">
        <f>Q538+Q539</f>
        <v>0</v>
      </c>
      <c r="R537" s="224">
        <f>R538+R539</f>
        <v>0</v>
      </c>
      <c r="S537" s="224">
        <f>S538+S539</f>
        <v>0</v>
      </c>
      <c r="T537" s="224">
        <f>IF(Q537&gt;0,S537*100/Q537,0)</f>
        <v>0</v>
      </c>
      <c r="U537" s="224">
        <f>IF(R537&gt;0,S537*100/R537,0)</f>
        <v>0</v>
      </c>
    </row>
    <row r="538" spans="1:21" ht="18.75" x14ac:dyDescent="0.25">
      <c r="A538" s="128"/>
      <c r="B538" s="40"/>
      <c r="C538" s="40"/>
      <c r="D538" s="40"/>
      <c r="E538" s="156" t="s">
        <v>36</v>
      </c>
      <c r="F538" s="40"/>
      <c r="G538" s="42"/>
      <c r="H538" s="159" t="s">
        <v>14</v>
      </c>
      <c r="I538" s="135"/>
      <c r="J538" s="135"/>
      <c r="K538" s="136"/>
      <c r="L538" s="1358">
        <v>0</v>
      </c>
      <c r="M538" s="83">
        <v>0</v>
      </c>
      <c r="N538" s="83">
        <v>0</v>
      </c>
      <c r="O538" s="83">
        <f>IF(L538&gt;0,N538*100/L538,0)</f>
        <v>0</v>
      </c>
      <c r="P538" s="83">
        <f>IF(M538&gt;0,N538*100/M538,0)</f>
        <v>0</v>
      </c>
      <c r="Q538" s="83">
        <v>0</v>
      </c>
      <c r="R538" s="83">
        <v>0</v>
      </c>
      <c r="S538" s="83">
        <v>0</v>
      </c>
      <c r="T538" s="83">
        <f>IF(Q538&gt;0,S538*100/Q538,0)</f>
        <v>0</v>
      </c>
      <c r="U538" s="83">
        <f>IF(R538&gt;0,S538*100/R538,0)</f>
        <v>0</v>
      </c>
    </row>
    <row r="539" spans="1:21" ht="18.75" x14ac:dyDescent="0.25">
      <c r="A539" s="128"/>
      <c r="B539" s="40"/>
      <c r="C539" s="40"/>
      <c r="D539" s="40"/>
      <c r="E539" s="47" t="s">
        <v>37</v>
      </c>
      <c r="F539" s="40"/>
      <c r="G539" s="42"/>
      <c r="H539" s="134" t="s">
        <v>14</v>
      </c>
      <c r="I539" s="135"/>
      <c r="J539" s="135"/>
      <c r="K539" s="136"/>
      <c r="L539" s="1356">
        <f ca="1">IFERROR(__xludf.DUMMYFUNCTION("IMPORTRANGE(""https://docs.google.com/spreadsheets/d/1-uDff_7J0KD5mKrp0Vvzr7lt3OU09vwQwhkpOPPYv2Y/edit?usp=sharing"",""งบพรบ!FW28"")"),0)</f>
        <v>0</v>
      </c>
      <c r="M539" s="224">
        <f ca="1">IFERROR(__xludf.DUMMYFUNCTION("IMPORTRANGE(""https://docs.google.com/spreadsheets/d/1-uDff_7J0KD5mKrp0Vvzr7lt3OU09vwQwhkpOPPYv2Y/edit?usp=sharing"",""งบพรบ!GB28"")"),0)</f>
        <v>0</v>
      </c>
      <c r="N539" s="224">
        <f ca="1">IFERROR(__xludf.DUMMYFUNCTION("IMPORTRANGE(""https://docs.google.com/spreadsheets/d/1-uDff_7J0KD5mKrp0Vvzr7lt3OU09vwQwhkpOPPYv2Y/edit?usp=sharing"",""งบพรบ!GD28"")"),0)</f>
        <v>0</v>
      </c>
      <c r="O539" s="224">
        <f ca="1">IF(L539&gt;0,N539*100/L539,0)</f>
        <v>0</v>
      </c>
      <c r="P539" s="224">
        <f ca="1">IF(M539&gt;0,N539*100/M539,0)</f>
        <v>0</v>
      </c>
      <c r="Q539" s="224">
        <v>0</v>
      </c>
      <c r="R539" s="224">
        <v>0</v>
      </c>
      <c r="S539" s="224">
        <v>0</v>
      </c>
      <c r="T539" s="224">
        <f>IF(Q539&gt;0,S539*100/Q539,0)</f>
        <v>0</v>
      </c>
      <c r="U539" s="224">
        <f>IF(R539&gt;0,S539*100/R539,0)</f>
        <v>0</v>
      </c>
    </row>
    <row r="540" spans="1:21" ht="18.75" x14ac:dyDescent="0.25">
      <c r="A540" s="128"/>
      <c r="B540" s="40"/>
      <c r="C540" s="40"/>
      <c r="D540" s="41" t="s">
        <v>23</v>
      </c>
      <c r="E540" s="40"/>
      <c r="F540" s="40"/>
      <c r="G540" s="42"/>
      <c r="H540" s="137" t="s">
        <v>14</v>
      </c>
      <c r="I540" s="135"/>
      <c r="J540" s="135"/>
      <c r="K540" s="136"/>
      <c r="L540" s="1356">
        <f ca="1">L541+L542</f>
        <v>0</v>
      </c>
      <c r="M540" s="224">
        <f ca="1">M541+M542</f>
        <v>0</v>
      </c>
      <c r="N540" s="224">
        <f ca="1">N541+N542</f>
        <v>0</v>
      </c>
      <c r="O540" s="224">
        <f ca="1">IF(L540&gt;0,N540*100/L540,0)</f>
        <v>0</v>
      </c>
      <c r="P540" s="224">
        <f ca="1">IF(M540&gt;0,N540*100/M540,0)</f>
        <v>0</v>
      </c>
      <c r="Q540" s="224">
        <f>Q541+Q542</f>
        <v>0</v>
      </c>
      <c r="R540" s="224">
        <f>R541+R542</f>
        <v>0</v>
      </c>
      <c r="S540" s="224">
        <f>S541+S542</f>
        <v>0</v>
      </c>
      <c r="T540" s="224">
        <f>IF(Q540&gt;0,S540*100/Q540,0)</f>
        <v>0</v>
      </c>
      <c r="U540" s="224">
        <f>IF(R540&gt;0,S540*100/R540,0)</f>
        <v>0</v>
      </c>
    </row>
    <row r="541" spans="1:21" ht="18.75" x14ac:dyDescent="0.25">
      <c r="A541" s="128"/>
      <c r="B541" s="40"/>
      <c r="C541" s="40"/>
      <c r="D541" s="40"/>
      <c r="E541" s="156" t="s">
        <v>20</v>
      </c>
      <c r="F541" s="40"/>
      <c r="G541" s="42"/>
      <c r="H541" s="159" t="s">
        <v>14</v>
      </c>
      <c r="I541" s="135"/>
      <c r="J541" s="135"/>
      <c r="K541" s="136"/>
      <c r="L541" s="1358">
        <v>0</v>
      </c>
      <c r="M541" s="83">
        <v>0</v>
      </c>
      <c r="N541" s="83">
        <v>0</v>
      </c>
      <c r="O541" s="83">
        <f>IF(L541&gt;0,N541*100/L541,0)</f>
        <v>0</v>
      </c>
      <c r="P541" s="83">
        <f>IF(M541&gt;0,N541*100/M541,0)</f>
        <v>0</v>
      </c>
      <c r="Q541" s="83">
        <v>0</v>
      </c>
      <c r="R541" s="83">
        <v>0</v>
      </c>
      <c r="S541" s="83">
        <v>0</v>
      </c>
      <c r="T541" s="83">
        <f>IF(Q541&gt;0,S541*100/Q541,0)</f>
        <v>0</v>
      </c>
      <c r="U541" s="83">
        <f>IF(R541&gt;0,S541*100/R541,0)</f>
        <v>0</v>
      </c>
    </row>
    <row r="542" spans="1:21" ht="18.75" x14ac:dyDescent="0.25">
      <c r="A542" s="128"/>
      <c r="B542" s="40"/>
      <c r="C542" s="40"/>
      <c r="D542" s="40"/>
      <c r="E542" s="47" t="s">
        <v>21</v>
      </c>
      <c r="F542" s="40"/>
      <c r="G542" s="42"/>
      <c r="H542" s="137" t="s">
        <v>14</v>
      </c>
      <c r="I542" s="135"/>
      <c r="J542" s="135"/>
      <c r="K542" s="136"/>
      <c r="L542" s="1356">
        <f ca="1">IFERROR(__xludf.DUMMYFUNCTION("IMPORTRANGE(""https://docs.google.com/spreadsheets/d/1-uDff_7J0KD5mKrp0Vvzr7lt3OU09vwQwhkpOPPYv2Y/edit?usp=sharing"",""งบพรบ!FZ28"")"),0)</f>
        <v>0</v>
      </c>
      <c r="M542" s="224">
        <f ca="1">IFERROR(__xludf.DUMMYFUNCTION("IMPORTRANGE(""https://docs.google.com/spreadsheets/d/1-uDff_7J0KD5mKrp0Vvzr7lt3OU09vwQwhkpOPPYv2Y/edit?usp=sharing"",""งบพรบ!GC28"")"),0)</f>
        <v>0</v>
      </c>
      <c r="N542" s="224">
        <f ca="1">IFERROR(__xludf.DUMMYFUNCTION("IMPORTRANGE(""https://docs.google.com/spreadsheets/d/1-uDff_7J0KD5mKrp0Vvzr7lt3OU09vwQwhkpOPPYv2Y/edit?usp=sharing"",""งบพรบ!GE28"")"),0)</f>
        <v>0</v>
      </c>
      <c r="O542" s="224">
        <f ca="1">IF(L542&gt;0,N542*100/L542,0)</f>
        <v>0</v>
      </c>
      <c r="P542" s="224">
        <f ca="1">IF(M542&gt;0,N542*100/M542,0)</f>
        <v>0</v>
      </c>
      <c r="Q542" s="224">
        <v>0</v>
      </c>
      <c r="R542" s="224">
        <v>0</v>
      </c>
      <c r="S542" s="224">
        <v>0</v>
      </c>
      <c r="T542" s="224">
        <f>IF(Q542&gt;0,S542*100/Q542,0)</f>
        <v>0</v>
      </c>
      <c r="U542" s="224">
        <f>IF(R542&gt;0,S542*100/R542,0)</f>
        <v>0</v>
      </c>
    </row>
    <row r="543" spans="1:21" ht="19.5" x14ac:dyDescent="0.3">
      <c r="A543" s="138"/>
      <c r="B543" s="139"/>
      <c r="C543" s="364" t="s">
        <v>18</v>
      </c>
      <c r="D543" s="1391" t="s">
        <v>38</v>
      </c>
      <c r="E543" s="141"/>
      <c r="F543" s="141"/>
      <c r="G543" s="142"/>
      <c r="H543" s="143"/>
      <c r="I543" s="135"/>
      <c r="J543" s="44"/>
      <c r="K543" s="45"/>
      <c r="L543" s="1359"/>
      <c r="M543" s="45"/>
      <c r="N543" s="45"/>
      <c r="O543" s="136"/>
      <c r="P543" s="136"/>
      <c r="Q543" s="45"/>
      <c r="R543" s="45"/>
      <c r="S543" s="45"/>
      <c r="T543" s="136"/>
      <c r="U543" s="136"/>
    </row>
    <row r="544" spans="1:21" ht="12.75" x14ac:dyDescent="0.2">
      <c r="A544" s="227"/>
      <c r="B544" s="229"/>
      <c r="C544" s="228"/>
      <c r="D544" s="229"/>
      <c r="E544" s="228"/>
      <c r="F544" s="229"/>
      <c r="G544" s="230"/>
      <c r="H544" s="230"/>
      <c r="I544" s="232"/>
      <c r="J544" s="232"/>
      <c r="K544" s="233"/>
      <c r="L544" s="1536"/>
      <c r="M544" s="233"/>
      <c r="N544" s="233"/>
      <c r="O544" s="233"/>
      <c r="P544" s="233"/>
      <c r="Q544" s="233"/>
      <c r="R544" s="233"/>
      <c r="S544" s="233"/>
      <c r="T544" s="233"/>
      <c r="U544" s="233"/>
    </row>
    <row r="545" spans="1:21" ht="12.75" x14ac:dyDescent="0.2">
      <c r="A545" s="227"/>
      <c r="B545" s="229"/>
      <c r="C545" s="228"/>
      <c r="D545" s="229"/>
      <c r="E545" s="228"/>
      <c r="F545" s="229"/>
      <c r="G545" s="230"/>
      <c r="H545" s="230"/>
      <c r="I545" s="232"/>
      <c r="J545" s="232"/>
      <c r="K545" s="233"/>
      <c r="L545" s="1536"/>
      <c r="M545" s="233"/>
      <c r="N545" s="233"/>
      <c r="O545" s="233"/>
      <c r="P545" s="233"/>
      <c r="Q545" s="233"/>
      <c r="R545" s="233"/>
      <c r="S545" s="233"/>
      <c r="T545" s="233"/>
      <c r="U545" s="233"/>
    </row>
    <row r="546" spans="1:21" ht="12.75" x14ac:dyDescent="0.2">
      <c r="A546" s="227"/>
      <c r="B546" s="228"/>
      <c r="C546" s="228"/>
      <c r="D546" s="229"/>
      <c r="E546" s="229"/>
      <c r="F546" s="229"/>
      <c r="G546" s="230"/>
      <c r="H546" s="231"/>
      <c r="I546" s="232"/>
      <c r="J546" s="232"/>
      <c r="K546" s="233"/>
      <c r="L546" s="1536"/>
      <c r="M546" s="233"/>
      <c r="N546" s="233"/>
      <c r="O546" s="233"/>
      <c r="P546" s="233"/>
      <c r="Q546" s="233"/>
      <c r="R546" s="233"/>
      <c r="S546" s="233"/>
      <c r="T546" s="233"/>
      <c r="U546" s="233"/>
    </row>
    <row r="547" spans="1:21" ht="12.75" x14ac:dyDescent="0.2">
      <c r="A547" s="227"/>
      <c r="B547" s="228"/>
      <c r="C547" s="228"/>
      <c r="D547" s="229"/>
      <c r="E547" s="229"/>
      <c r="F547" s="229"/>
      <c r="G547" s="230"/>
      <c r="H547" s="231"/>
      <c r="I547" s="232"/>
      <c r="J547" s="232"/>
      <c r="K547" s="233"/>
      <c r="L547" s="1536"/>
      <c r="M547" s="233"/>
      <c r="N547" s="233"/>
      <c r="O547" s="233"/>
      <c r="P547" s="233"/>
      <c r="Q547" s="233"/>
      <c r="R547" s="233"/>
      <c r="S547" s="233"/>
      <c r="T547" s="233"/>
      <c r="U547" s="233"/>
    </row>
    <row r="548" spans="1:21" ht="12.75" x14ac:dyDescent="0.2">
      <c r="A548" s="227"/>
      <c r="B548" s="228"/>
      <c r="C548" s="228"/>
      <c r="D548" s="229"/>
      <c r="E548" s="229"/>
      <c r="F548" s="229"/>
      <c r="G548" s="230"/>
      <c r="H548" s="231"/>
      <c r="I548" s="232"/>
      <c r="J548" s="232"/>
      <c r="K548" s="233"/>
      <c r="L548" s="1536"/>
      <c r="M548" s="233"/>
      <c r="N548" s="233"/>
      <c r="O548" s="233"/>
      <c r="P548" s="233"/>
      <c r="Q548" s="233"/>
      <c r="R548" s="233"/>
      <c r="S548" s="233"/>
      <c r="T548" s="233"/>
      <c r="U548" s="233"/>
    </row>
    <row r="549" spans="1:21" ht="12.75" x14ac:dyDescent="0.2">
      <c r="A549" s="227"/>
      <c r="B549" s="228"/>
      <c r="C549" s="228"/>
      <c r="D549" s="229"/>
      <c r="E549" s="229"/>
      <c r="F549" s="229"/>
      <c r="G549" s="230"/>
      <c r="H549" s="231"/>
      <c r="I549" s="232"/>
      <c r="J549" s="232"/>
      <c r="K549" s="233"/>
      <c r="L549" s="1536"/>
      <c r="M549" s="233"/>
      <c r="N549" s="233"/>
      <c r="O549" s="233"/>
      <c r="P549" s="233"/>
      <c r="Q549" s="233"/>
      <c r="R549" s="233"/>
      <c r="S549" s="233"/>
      <c r="T549" s="233"/>
      <c r="U549" s="233"/>
    </row>
    <row r="550" spans="1:21" ht="12.75" x14ac:dyDescent="0.2">
      <c r="A550" s="227"/>
      <c r="B550" s="228"/>
      <c r="C550" s="228"/>
      <c r="D550" s="229"/>
      <c r="E550" s="229"/>
      <c r="F550" s="229"/>
      <c r="G550" s="230"/>
      <c r="H550" s="231"/>
      <c r="I550" s="232"/>
      <c r="J550" s="232"/>
      <c r="K550" s="233"/>
      <c r="L550" s="1536"/>
      <c r="M550" s="233"/>
      <c r="N550" s="233"/>
      <c r="O550" s="233"/>
      <c r="P550" s="233"/>
      <c r="Q550" s="233"/>
      <c r="R550" s="233"/>
      <c r="S550" s="233"/>
      <c r="T550" s="233"/>
      <c r="U550" s="233"/>
    </row>
    <row r="551" spans="1:21" ht="12.75" x14ac:dyDescent="0.2">
      <c r="A551" s="227"/>
      <c r="B551" s="228"/>
      <c r="C551" s="228"/>
      <c r="D551" s="229"/>
      <c r="E551" s="229"/>
      <c r="F551" s="229"/>
      <c r="G551" s="230"/>
      <c r="H551" s="231"/>
      <c r="I551" s="232"/>
      <c r="J551" s="232"/>
      <c r="K551" s="233"/>
      <c r="L551" s="1536"/>
      <c r="M551" s="233"/>
      <c r="N551" s="233"/>
      <c r="O551" s="233"/>
      <c r="P551" s="233"/>
      <c r="Q551" s="233"/>
      <c r="R551" s="233"/>
      <c r="S551" s="233"/>
      <c r="T551" s="233"/>
      <c r="U551" s="233"/>
    </row>
    <row r="552" spans="1:21" ht="12.75" x14ac:dyDescent="0.2">
      <c r="A552" s="227"/>
      <c r="B552" s="228"/>
      <c r="C552" s="228"/>
      <c r="D552" s="229"/>
      <c r="E552" s="229"/>
      <c r="F552" s="229"/>
      <c r="G552" s="230"/>
      <c r="H552" s="231"/>
      <c r="I552" s="232"/>
      <c r="J552" s="232"/>
      <c r="K552" s="233"/>
      <c r="L552" s="1536"/>
      <c r="M552" s="233"/>
      <c r="N552" s="233"/>
      <c r="O552" s="233"/>
      <c r="P552" s="233"/>
      <c r="Q552" s="233"/>
      <c r="R552" s="233"/>
      <c r="S552" s="233"/>
      <c r="T552" s="233"/>
      <c r="U552" s="233"/>
    </row>
    <row r="553" spans="1:21" ht="12.75" x14ac:dyDescent="0.2">
      <c r="A553" s="360"/>
      <c r="B553" s="316"/>
      <c r="C553" s="316"/>
      <c r="D553" s="361"/>
      <c r="E553" s="361"/>
      <c r="F553" s="361"/>
      <c r="G553" s="362"/>
      <c r="H553" s="317"/>
      <c r="I553" s="318"/>
      <c r="J553" s="318"/>
      <c r="K553" s="319"/>
      <c r="L553" s="1537"/>
      <c r="M553" s="319"/>
      <c r="N553" s="319"/>
      <c r="O553" s="319"/>
      <c r="P553" s="319"/>
      <c r="Q553" s="319"/>
      <c r="R553" s="319"/>
      <c r="S553" s="319"/>
      <c r="T553" s="319"/>
      <c r="U553" s="319"/>
    </row>
    <row r="554" spans="1:21" ht="19.5" x14ac:dyDescent="0.3">
      <c r="A554" s="349"/>
      <c r="B554" s="350" t="s">
        <v>211</v>
      </c>
      <c r="C554" s="351"/>
      <c r="D554" s="352"/>
      <c r="E554" s="352"/>
      <c r="F554" s="352"/>
      <c r="G554" s="353"/>
      <c r="H554" s="363" t="s">
        <v>61</v>
      </c>
      <c r="I554" s="374">
        <f>I566</f>
        <v>0</v>
      </c>
      <c r="J554" s="374">
        <f>J566</f>
        <v>0</v>
      </c>
      <c r="K554" s="1562">
        <f>IF(I554&gt;0,J554*100/I554,0)</f>
        <v>0</v>
      </c>
      <c r="L554" s="1550"/>
      <c r="M554" s="357"/>
      <c r="N554" s="357"/>
      <c r="O554" s="357"/>
      <c r="P554" s="357"/>
      <c r="Q554" s="357"/>
      <c r="R554" s="357"/>
      <c r="S554" s="357"/>
      <c r="T554" s="357"/>
      <c r="U554" s="357"/>
    </row>
    <row r="555" spans="1:21" ht="19.5" x14ac:dyDescent="0.3">
      <c r="A555" s="128"/>
      <c r="B555" s="40"/>
      <c r="C555" s="129" t="s">
        <v>18</v>
      </c>
      <c r="D555" s="1388" t="s">
        <v>19</v>
      </c>
      <c r="E555" s="40"/>
      <c r="F555" s="40"/>
      <c r="G555" s="42"/>
      <c r="H555" s="131" t="s">
        <v>14</v>
      </c>
      <c r="I555" s="44"/>
      <c r="J555" s="44"/>
      <c r="K555" s="45"/>
      <c r="L555" s="1389">
        <f ca="1">L556+L557</f>
        <v>0</v>
      </c>
      <c r="M555" s="1390">
        <f ca="1">M556+M557</f>
        <v>0</v>
      </c>
      <c r="N555" s="1390">
        <f ca="1">N556+N557</f>
        <v>0</v>
      </c>
      <c r="O555" s="1390">
        <f ca="1">IF(L555&gt;0,N555*100/L555,0)</f>
        <v>0</v>
      </c>
      <c r="P555" s="1390">
        <f ca="1">IF(M555&gt;0,N555*100/M555,0)</f>
        <v>0</v>
      </c>
      <c r="Q555" s="1390">
        <f>Q556+Q557</f>
        <v>0</v>
      </c>
      <c r="R555" s="1390">
        <f>R556+R557</f>
        <v>0</v>
      </c>
      <c r="S555" s="1390">
        <f>S556+S557</f>
        <v>0</v>
      </c>
      <c r="T555" s="1390">
        <f>IF(Q555&gt;0,S555*100/Q555,0)</f>
        <v>0</v>
      </c>
      <c r="U555" s="1390">
        <f>IF(R555&gt;0,S555*100/R555,0)</f>
        <v>0</v>
      </c>
    </row>
    <row r="556" spans="1:21" ht="18.75" x14ac:dyDescent="0.25">
      <c r="A556" s="128"/>
      <c r="B556" s="158"/>
      <c r="C556" s="40"/>
      <c r="D556" s="40"/>
      <c r="E556" s="156" t="s">
        <v>20</v>
      </c>
      <c r="F556" s="40"/>
      <c r="G556" s="42"/>
      <c r="H556" s="157" t="s">
        <v>14</v>
      </c>
      <c r="I556" s="44"/>
      <c r="J556" s="44"/>
      <c r="K556" s="45"/>
      <c r="L556" s="1358">
        <f>L559+L562</f>
        <v>0</v>
      </c>
      <c r="M556" s="83">
        <f>M559+M562</f>
        <v>0</v>
      </c>
      <c r="N556" s="83">
        <f>N559+N562</f>
        <v>0</v>
      </c>
      <c r="O556" s="83">
        <f>IF(L556&gt;0,N556*100/L556,0)</f>
        <v>0</v>
      </c>
      <c r="P556" s="83">
        <f>IF(M556&gt;0,N556*100/M556,0)</f>
        <v>0</v>
      </c>
      <c r="Q556" s="83">
        <f>Q559+Q562</f>
        <v>0</v>
      </c>
      <c r="R556" s="83">
        <f>R559+R562</f>
        <v>0</v>
      </c>
      <c r="S556" s="83">
        <f>S559+S562</f>
        <v>0</v>
      </c>
      <c r="T556" s="83">
        <f>IF(Q556&gt;0,S556*100/Q556,0)</f>
        <v>0</v>
      </c>
      <c r="U556" s="83">
        <f>IF(R556&gt;0,S556*100/R556,0)</f>
        <v>0</v>
      </c>
    </row>
    <row r="557" spans="1:21" ht="18.75" x14ac:dyDescent="0.25">
      <c r="A557" s="128"/>
      <c r="B557" s="40"/>
      <c r="C557" s="158"/>
      <c r="D557" s="40"/>
      <c r="E557" s="209" t="s">
        <v>21</v>
      </c>
      <c r="F557" s="40"/>
      <c r="G557" s="42"/>
      <c r="H557" s="133" t="s">
        <v>14</v>
      </c>
      <c r="I557" s="44"/>
      <c r="J557" s="44"/>
      <c r="K557" s="45"/>
      <c r="L557" s="1356">
        <f ca="1">L560+L563</f>
        <v>0</v>
      </c>
      <c r="M557" s="224">
        <f ca="1">M560+M563</f>
        <v>0</v>
      </c>
      <c r="N557" s="224">
        <f ca="1">N560+N563</f>
        <v>0</v>
      </c>
      <c r="O557" s="224">
        <f ca="1">IF(L557&gt;0,N557*100/L557,0)</f>
        <v>0</v>
      </c>
      <c r="P557" s="224">
        <f ca="1">IF(M557&gt;0,N557*100/M557,0)</f>
        <v>0</v>
      </c>
      <c r="Q557" s="224">
        <f>Q560+Q563</f>
        <v>0</v>
      </c>
      <c r="R557" s="224">
        <f>R560+R563</f>
        <v>0</v>
      </c>
      <c r="S557" s="224">
        <f>S560+S563</f>
        <v>0</v>
      </c>
      <c r="T557" s="224">
        <f>IF(Q557&gt;0,S557*100/Q557,0)</f>
        <v>0</v>
      </c>
      <c r="U557" s="224">
        <f>IF(R557&gt;0,S557*100/R557,0)</f>
        <v>0</v>
      </c>
    </row>
    <row r="558" spans="1:21" ht="18.75" x14ac:dyDescent="0.25">
      <c r="A558" s="128"/>
      <c r="B558" s="40"/>
      <c r="C558" s="158"/>
      <c r="D558" s="41" t="s">
        <v>22</v>
      </c>
      <c r="E558" s="158"/>
      <c r="F558" s="40"/>
      <c r="G558" s="42"/>
      <c r="H558" s="134" t="s">
        <v>14</v>
      </c>
      <c r="I558" s="135"/>
      <c r="J558" s="135"/>
      <c r="K558" s="136"/>
      <c r="L558" s="1356">
        <f ca="1">L559+L560</f>
        <v>0</v>
      </c>
      <c r="M558" s="224">
        <f ca="1">M559+M560</f>
        <v>0</v>
      </c>
      <c r="N558" s="224">
        <f ca="1">N559+N560</f>
        <v>0</v>
      </c>
      <c r="O558" s="224">
        <f ca="1">IF(L558&gt;0,N558*100/L558,0)</f>
        <v>0</v>
      </c>
      <c r="P558" s="224">
        <f ca="1">IF(M558&gt;0,N558*100/M558,0)</f>
        <v>0</v>
      </c>
      <c r="Q558" s="224">
        <f>Q559+Q560</f>
        <v>0</v>
      </c>
      <c r="R558" s="224">
        <f>R559+R560</f>
        <v>0</v>
      </c>
      <c r="S558" s="224">
        <f>S559+S560</f>
        <v>0</v>
      </c>
      <c r="T558" s="224">
        <f>IF(Q558&gt;0,S558*100/Q558,0)</f>
        <v>0</v>
      </c>
      <c r="U558" s="224">
        <f>IF(R558&gt;0,S558*100/R558,0)</f>
        <v>0</v>
      </c>
    </row>
    <row r="559" spans="1:21" ht="18.75" x14ac:dyDescent="0.25">
      <c r="A559" s="128"/>
      <c r="B559" s="40"/>
      <c r="C559" s="40"/>
      <c r="D559" s="40"/>
      <c r="E559" s="156" t="s">
        <v>36</v>
      </c>
      <c r="F559" s="40"/>
      <c r="G559" s="42"/>
      <c r="H559" s="159" t="s">
        <v>14</v>
      </c>
      <c r="I559" s="135"/>
      <c r="J559" s="135"/>
      <c r="K559" s="136"/>
      <c r="L559" s="1358">
        <v>0</v>
      </c>
      <c r="M559" s="83">
        <v>0</v>
      </c>
      <c r="N559" s="83">
        <v>0</v>
      </c>
      <c r="O559" s="83">
        <f>IF(L559&gt;0,N559*100/L559,0)</f>
        <v>0</v>
      </c>
      <c r="P559" s="83">
        <f>IF(M559&gt;0,N559*100/M559,0)</f>
        <v>0</v>
      </c>
      <c r="Q559" s="83">
        <v>0</v>
      </c>
      <c r="R559" s="83">
        <v>0</v>
      </c>
      <c r="S559" s="83">
        <v>0</v>
      </c>
      <c r="T559" s="83">
        <f>IF(Q559&gt;0,S559*100/Q559,0)</f>
        <v>0</v>
      </c>
      <c r="U559" s="83">
        <f>IF(R559&gt;0,S559*100/R559,0)</f>
        <v>0</v>
      </c>
    </row>
    <row r="560" spans="1:21" ht="18.75" x14ac:dyDescent="0.25">
      <c r="A560" s="128"/>
      <c r="B560" s="40"/>
      <c r="C560" s="40"/>
      <c r="D560" s="40"/>
      <c r="E560" s="47" t="s">
        <v>37</v>
      </c>
      <c r="F560" s="40"/>
      <c r="G560" s="42"/>
      <c r="H560" s="134" t="s">
        <v>14</v>
      </c>
      <c r="I560" s="135"/>
      <c r="J560" s="135"/>
      <c r="K560" s="136"/>
      <c r="L560" s="1356">
        <f ca="1">IFERROR(__xludf.DUMMYFUNCTION("IMPORTRANGE(""https://docs.google.com/spreadsheets/d/1-uDff_7J0KD5mKrp0Vvzr7lt3OU09vwQwhkpOPPYv2Y/edit?usp=sharing"",""งบพรบ!GG28"")"),0)</f>
        <v>0</v>
      </c>
      <c r="M560" s="224">
        <f ca="1">IFERROR(__xludf.DUMMYFUNCTION("IMPORTRANGE(""https://docs.google.com/spreadsheets/d/1-uDff_7J0KD5mKrp0Vvzr7lt3OU09vwQwhkpOPPYv2Y/edit?usp=sharing"",""งบพรบ!GL28"")"),0)</f>
        <v>0</v>
      </c>
      <c r="N560" s="224">
        <f ca="1">IFERROR(__xludf.DUMMYFUNCTION("IMPORTRANGE(""https://docs.google.com/spreadsheets/d/1-uDff_7J0KD5mKrp0Vvzr7lt3OU09vwQwhkpOPPYv2Y/edit?usp=sharing"",""งบพรบ!GN28"")"),0)</f>
        <v>0</v>
      </c>
      <c r="O560" s="224">
        <f ca="1">IF(L560&gt;0,N560*100/L560,0)</f>
        <v>0</v>
      </c>
      <c r="P560" s="224">
        <f ca="1">IF(M560&gt;0,N560*100/M560,0)</f>
        <v>0</v>
      </c>
      <c r="Q560" s="224">
        <v>0</v>
      </c>
      <c r="R560" s="224">
        <v>0</v>
      </c>
      <c r="S560" s="224">
        <v>0</v>
      </c>
      <c r="T560" s="224">
        <f>IF(Q560&gt;0,S560*100/Q560,0)</f>
        <v>0</v>
      </c>
      <c r="U560" s="224">
        <f>IF(R560&gt;0,S560*100/R560,0)</f>
        <v>0</v>
      </c>
    </row>
    <row r="561" spans="1:21" ht="18.75" x14ac:dyDescent="0.25">
      <c r="A561" s="128"/>
      <c r="B561" s="40"/>
      <c r="C561" s="40"/>
      <c r="D561" s="41" t="s">
        <v>23</v>
      </c>
      <c r="E561" s="40"/>
      <c r="F561" s="40"/>
      <c r="G561" s="42"/>
      <c r="H561" s="137" t="s">
        <v>14</v>
      </c>
      <c r="I561" s="135"/>
      <c r="J561" s="135"/>
      <c r="K561" s="136"/>
      <c r="L561" s="1356">
        <f ca="1">L562+L563</f>
        <v>0</v>
      </c>
      <c r="M561" s="224">
        <f ca="1">M562+M563</f>
        <v>0</v>
      </c>
      <c r="N561" s="224">
        <f ca="1">N562+N563</f>
        <v>0</v>
      </c>
      <c r="O561" s="224">
        <f ca="1">IF(L561&gt;0,N561*100/L561,0)</f>
        <v>0</v>
      </c>
      <c r="P561" s="224">
        <f ca="1">IF(M561&gt;0,N561*100/M561,0)</f>
        <v>0</v>
      </c>
      <c r="Q561" s="224">
        <f>Q562+Q563</f>
        <v>0</v>
      </c>
      <c r="R561" s="224">
        <f>R562+R563</f>
        <v>0</v>
      </c>
      <c r="S561" s="224">
        <f>S562+S563</f>
        <v>0</v>
      </c>
      <c r="T561" s="224">
        <f>IF(Q561&gt;0,S561*100/Q561,0)</f>
        <v>0</v>
      </c>
      <c r="U561" s="224">
        <f>IF(R561&gt;0,S561*100/R561,0)</f>
        <v>0</v>
      </c>
    </row>
    <row r="562" spans="1:21" ht="18.75" x14ac:dyDescent="0.25">
      <c r="A562" s="128"/>
      <c r="B562" s="40"/>
      <c r="C562" s="40"/>
      <c r="D562" s="40"/>
      <c r="E562" s="156" t="s">
        <v>20</v>
      </c>
      <c r="F562" s="40"/>
      <c r="G562" s="42"/>
      <c r="H562" s="159" t="s">
        <v>14</v>
      </c>
      <c r="I562" s="135"/>
      <c r="J562" s="135"/>
      <c r="K562" s="136"/>
      <c r="L562" s="1358">
        <v>0</v>
      </c>
      <c r="M562" s="83">
        <v>0</v>
      </c>
      <c r="N562" s="83">
        <v>0</v>
      </c>
      <c r="O562" s="83">
        <f>IF(L562&gt;0,N562*100/L562,0)</f>
        <v>0</v>
      </c>
      <c r="P562" s="83">
        <f>IF(M562&gt;0,N562*100/M562,0)</f>
        <v>0</v>
      </c>
      <c r="Q562" s="83">
        <v>0</v>
      </c>
      <c r="R562" s="83">
        <v>0</v>
      </c>
      <c r="S562" s="83">
        <v>0</v>
      </c>
      <c r="T562" s="83">
        <f>IF(Q562&gt;0,S562*100/Q562,0)</f>
        <v>0</v>
      </c>
      <c r="U562" s="83">
        <f>IF(R562&gt;0,S562*100/R562,0)</f>
        <v>0</v>
      </c>
    </row>
    <row r="563" spans="1:21" ht="18.75" x14ac:dyDescent="0.25">
      <c r="A563" s="128"/>
      <c r="B563" s="40"/>
      <c r="C563" s="40"/>
      <c r="D563" s="40"/>
      <c r="E563" s="47" t="s">
        <v>21</v>
      </c>
      <c r="F563" s="40"/>
      <c r="G563" s="42"/>
      <c r="H563" s="137" t="s">
        <v>14</v>
      </c>
      <c r="I563" s="135"/>
      <c r="J563" s="135"/>
      <c r="K563" s="136"/>
      <c r="L563" s="1356">
        <f ca="1">IFERROR(__xludf.DUMMYFUNCTION("IMPORTRANGE(""https://docs.google.com/spreadsheets/d/1-uDff_7J0KD5mKrp0Vvzr7lt3OU09vwQwhkpOPPYv2Y/edit?usp=sharing"",""งบพรบ!GJ28"")"),0)</f>
        <v>0</v>
      </c>
      <c r="M563" s="224">
        <f ca="1">IFERROR(__xludf.DUMMYFUNCTION("IMPORTRANGE(""https://docs.google.com/spreadsheets/d/1-uDff_7J0KD5mKrp0Vvzr7lt3OU09vwQwhkpOPPYv2Y/edit?usp=sharing"",""งบพรบ!GM28"")"),0)</f>
        <v>0</v>
      </c>
      <c r="N563" s="224">
        <f ca="1">IFERROR(__xludf.DUMMYFUNCTION("IMPORTRANGE(""https://docs.google.com/spreadsheets/d/1-uDff_7J0KD5mKrp0Vvzr7lt3OU09vwQwhkpOPPYv2Y/edit?usp=sharing"",""งบพรบ!GO28"")"),0)</f>
        <v>0</v>
      </c>
      <c r="O563" s="224">
        <f ca="1">IF(L563&gt;0,N563*100/L563,0)</f>
        <v>0</v>
      </c>
      <c r="P563" s="224">
        <f ca="1">IF(M563&gt;0,N563*100/M563,0)</f>
        <v>0</v>
      </c>
      <c r="Q563" s="224">
        <v>0</v>
      </c>
      <c r="R563" s="224">
        <v>0</v>
      </c>
      <c r="S563" s="224">
        <v>0</v>
      </c>
      <c r="T563" s="224">
        <f>IF(Q563&gt;0,S563*100/Q563,0)</f>
        <v>0</v>
      </c>
      <c r="U563" s="224">
        <f>IF(R563&gt;0,S563*100/R563,0)</f>
        <v>0</v>
      </c>
    </row>
    <row r="564" spans="1:21" ht="19.5" x14ac:dyDescent="0.3">
      <c r="A564" s="138"/>
      <c r="B564" s="139"/>
      <c r="C564" s="364" t="s">
        <v>18</v>
      </c>
      <c r="D564" s="1391" t="s">
        <v>38</v>
      </c>
      <c r="E564" s="141"/>
      <c r="F564" s="141"/>
      <c r="G564" s="142"/>
      <c r="H564" s="143"/>
      <c r="I564" s="135"/>
      <c r="J564" s="44"/>
      <c r="K564" s="45"/>
      <c r="L564" s="1359"/>
      <c r="M564" s="45"/>
      <c r="N564" s="45"/>
      <c r="O564" s="136"/>
      <c r="P564" s="136"/>
      <c r="Q564" s="45"/>
      <c r="R564" s="45"/>
      <c r="S564" s="45"/>
      <c r="T564" s="136"/>
      <c r="U564" s="136"/>
    </row>
    <row r="565" spans="1:21" ht="12.75" x14ac:dyDescent="0.2">
      <c r="A565" s="227"/>
      <c r="B565" s="229"/>
      <c r="C565" s="228"/>
      <c r="D565" s="229"/>
      <c r="E565" s="228"/>
      <c r="F565" s="229"/>
      <c r="G565" s="230"/>
      <c r="H565" s="230"/>
      <c r="I565" s="232"/>
      <c r="J565" s="232"/>
      <c r="K565" s="233"/>
      <c r="L565" s="1536"/>
      <c r="M565" s="233"/>
      <c r="N565" s="233"/>
      <c r="O565" s="233"/>
      <c r="P565" s="233"/>
      <c r="Q565" s="233"/>
      <c r="R565" s="233"/>
      <c r="S565" s="233"/>
      <c r="T565" s="233"/>
      <c r="U565" s="233"/>
    </row>
    <row r="566" spans="1:21" ht="12.75" x14ac:dyDescent="0.2">
      <c r="A566" s="227"/>
      <c r="B566" s="229"/>
      <c r="C566" s="228"/>
      <c r="D566" s="229"/>
      <c r="E566" s="228"/>
      <c r="F566" s="229"/>
      <c r="G566" s="230"/>
      <c r="H566" s="230"/>
      <c r="I566" s="232"/>
      <c r="J566" s="232"/>
      <c r="K566" s="233"/>
      <c r="L566" s="1536"/>
      <c r="M566" s="233"/>
      <c r="N566" s="233"/>
      <c r="O566" s="233"/>
      <c r="P566" s="233"/>
      <c r="Q566" s="233"/>
      <c r="R566" s="233"/>
      <c r="S566" s="233"/>
      <c r="T566" s="233"/>
      <c r="U566" s="233"/>
    </row>
    <row r="567" spans="1:21" ht="12.75" x14ac:dyDescent="0.2">
      <c r="A567" s="227"/>
      <c r="B567" s="228"/>
      <c r="C567" s="228"/>
      <c r="D567" s="229"/>
      <c r="E567" s="229"/>
      <c r="F567" s="229"/>
      <c r="G567" s="230"/>
      <c r="H567" s="231"/>
      <c r="I567" s="232"/>
      <c r="J567" s="232"/>
      <c r="K567" s="233"/>
      <c r="L567" s="1536"/>
      <c r="M567" s="233"/>
      <c r="N567" s="233"/>
      <c r="O567" s="233"/>
      <c r="P567" s="233"/>
      <c r="Q567" s="233"/>
      <c r="R567" s="233"/>
      <c r="S567" s="233"/>
      <c r="T567" s="233"/>
      <c r="U567" s="233"/>
    </row>
    <row r="568" spans="1:21" ht="12.75" x14ac:dyDescent="0.2">
      <c r="A568" s="227"/>
      <c r="B568" s="228"/>
      <c r="C568" s="228"/>
      <c r="D568" s="229"/>
      <c r="E568" s="229"/>
      <c r="F568" s="229"/>
      <c r="G568" s="230"/>
      <c r="H568" s="231"/>
      <c r="I568" s="232"/>
      <c r="J568" s="232"/>
      <c r="K568" s="233"/>
      <c r="L568" s="1536"/>
      <c r="M568" s="233"/>
      <c r="N568" s="233"/>
      <c r="O568" s="233"/>
      <c r="P568" s="233"/>
      <c r="Q568" s="233"/>
      <c r="R568" s="233"/>
      <c r="S568" s="233"/>
      <c r="T568" s="233"/>
      <c r="U568" s="233"/>
    </row>
    <row r="569" spans="1:21" ht="12.75" x14ac:dyDescent="0.2">
      <c r="A569" s="227"/>
      <c r="B569" s="228"/>
      <c r="C569" s="228"/>
      <c r="D569" s="229"/>
      <c r="E569" s="229"/>
      <c r="F569" s="229"/>
      <c r="G569" s="230"/>
      <c r="H569" s="231"/>
      <c r="I569" s="232"/>
      <c r="J569" s="232"/>
      <c r="K569" s="233"/>
      <c r="L569" s="1536"/>
      <c r="M569" s="233"/>
      <c r="N569" s="233"/>
      <c r="O569" s="233"/>
      <c r="P569" s="233"/>
      <c r="Q569" s="233"/>
      <c r="R569" s="233"/>
      <c r="S569" s="233"/>
      <c r="T569" s="233"/>
      <c r="U569" s="233"/>
    </row>
    <row r="570" spans="1:21" ht="12.75" x14ac:dyDescent="0.2">
      <c r="A570" s="227"/>
      <c r="B570" s="228"/>
      <c r="C570" s="228"/>
      <c r="D570" s="229"/>
      <c r="E570" s="229"/>
      <c r="F570" s="229"/>
      <c r="G570" s="230"/>
      <c r="H570" s="231"/>
      <c r="I570" s="232"/>
      <c r="J570" s="232"/>
      <c r="K570" s="233"/>
      <c r="L570" s="1536"/>
      <c r="M570" s="233"/>
      <c r="N570" s="233"/>
      <c r="O570" s="233"/>
      <c r="P570" s="233"/>
      <c r="Q570" s="233"/>
      <c r="R570" s="233"/>
      <c r="S570" s="233"/>
      <c r="T570" s="233"/>
      <c r="U570" s="233"/>
    </row>
    <row r="571" spans="1:21" ht="12.75" x14ac:dyDescent="0.2">
      <c r="A571" s="227"/>
      <c r="B571" s="228"/>
      <c r="C571" s="228"/>
      <c r="D571" s="229"/>
      <c r="E571" s="229"/>
      <c r="F571" s="229"/>
      <c r="G571" s="230"/>
      <c r="H571" s="231"/>
      <c r="I571" s="232"/>
      <c r="J571" s="232"/>
      <c r="K571" s="233"/>
      <c r="L571" s="1536"/>
      <c r="M571" s="233"/>
      <c r="N571" s="233"/>
      <c r="O571" s="233"/>
      <c r="P571" s="233"/>
      <c r="Q571" s="233"/>
      <c r="R571" s="233"/>
      <c r="S571" s="233"/>
      <c r="T571" s="233"/>
      <c r="U571" s="233"/>
    </row>
    <row r="572" spans="1:21" ht="12.75" x14ac:dyDescent="0.2">
      <c r="A572" s="227"/>
      <c r="B572" s="228"/>
      <c r="C572" s="228"/>
      <c r="D572" s="229"/>
      <c r="E572" s="229"/>
      <c r="F572" s="229"/>
      <c r="G572" s="230"/>
      <c r="H572" s="231"/>
      <c r="I572" s="232"/>
      <c r="J572" s="232"/>
      <c r="K572" s="233"/>
      <c r="L572" s="1536"/>
      <c r="M572" s="233"/>
      <c r="N572" s="233"/>
      <c r="O572" s="233"/>
      <c r="P572" s="233"/>
      <c r="Q572" s="233"/>
      <c r="R572" s="233"/>
      <c r="S572" s="233"/>
      <c r="T572" s="233"/>
      <c r="U572" s="233"/>
    </row>
    <row r="573" spans="1:21" ht="12.75" x14ac:dyDescent="0.2">
      <c r="A573" s="227"/>
      <c r="B573" s="228"/>
      <c r="C573" s="228"/>
      <c r="D573" s="229"/>
      <c r="E573" s="229"/>
      <c r="F573" s="229"/>
      <c r="G573" s="230"/>
      <c r="H573" s="231"/>
      <c r="I573" s="232"/>
      <c r="J573" s="232"/>
      <c r="K573" s="233"/>
      <c r="L573" s="1536"/>
      <c r="M573" s="233"/>
      <c r="N573" s="233"/>
      <c r="O573" s="233"/>
      <c r="P573" s="233"/>
      <c r="Q573" s="233"/>
      <c r="R573" s="233"/>
      <c r="S573" s="233"/>
      <c r="T573" s="233"/>
      <c r="U573" s="233"/>
    </row>
    <row r="574" spans="1:21" ht="12.75" x14ac:dyDescent="0.2">
      <c r="A574" s="360"/>
      <c r="B574" s="316"/>
      <c r="C574" s="316"/>
      <c r="D574" s="361"/>
      <c r="E574" s="361"/>
      <c r="F574" s="361"/>
      <c r="G574" s="362"/>
      <c r="H574" s="317"/>
      <c r="I574" s="318"/>
      <c r="J574" s="318"/>
      <c r="K574" s="319"/>
      <c r="L574" s="1537"/>
      <c r="M574" s="319"/>
      <c r="N574" s="319"/>
      <c r="O574" s="319"/>
      <c r="P574" s="319"/>
      <c r="Q574" s="319"/>
      <c r="R574" s="319"/>
      <c r="S574" s="319"/>
      <c r="T574" s="319"/>
      <c r="U574" s="319"/>
    </row>
    <row r="575" spans="1:21" ht="19.5" x14ac:dyDescent="0.3">
      <c r="A575" s="349"/>
      <c r="B575" s="350" t="s">
        <v>212</v>
      </c>
      <c r="C575" s="351"/>
      <c r="D575" s="352"/>
      <c r="E575" s="352"/>
      <c r="F575" s="352"/>
      <c r="G575" s="353"/>
      <c r="H575" s="363" t="s">
        <v>61</v>
      </c>
      <c r="I575" s="374">
        <f>I587</f>
        <v>0</v>
      </c>
      <c r="J575" s="374">
        <f>J587</f>
        <v>0</v>
      </c>
      <c r="K575" s="1562">
        <f>IF(I575&gt;0,J575*100/I575,0)</f>
        <v>0</v>
      </c>
      <c r="L575" s="1550"/>
      <c r="M575" s="357"/>
      <c r="N575" s="357"/>
      <c r="O575" s="357"/>
      <c r="P575" s="357"/>
      <c r="Q575" s="357"/>
      <c r="R575" s="357"/>
      <c r="S575" s="357"/>
      <c r="T575" s="357"/>
      <c r="U575" s="357"/>
    </row>
    <row r="576" spans="1:21" ht="19.5" x14ac:dyDescent="0.3">
      <c r="A576" s="128"/>
      <c r="B576" s="40"/>
      <c r="C576" s="129" t="s">
        <v>18</v>
      </c>
      <c r="D576" s="1388" t="s">
        <v>19</v>
      </c>
      <c r="E576" s="40"/>
      <c r="F576" s="40"/>
      <c r="G576" s="42"/>
      <c r="H576" s="131" t="s">
        <v>14</v>
      </c>
      <c r="I576" s="44"/>
      <c r="J576" s="44"/>
      <c r="K576" s="45"/>
      <c r="L576" s="1389">
        <f ca="1">L577+L578</f>
        <v>114578</v>
      </c>
      <c r="M576" s="1390">
        <f ca="1">M577+M578</f>
        <v>0</v>
      </c>
      <c r="N576" s="1390">
        <f ca="1">N577+N578</f>
        <v>0</v>
      </c>
      <c r="O576" s="1390">
        <f ca="1">IF(L576&gt;0,N576*100/L576,0)</f>
        <v>0</v>
      </c>
      <c r="P576" s="1390">
        <f ca="1">IF(M576&gt;0,N576*100/M576,0)</f>
        <v>0</v>
      </c>
      <c r="Q576" s="1390">
        <f>Q577+Q578</f>
        <v>0</v>
      </c>
      <c r="R576" s="1390">
        <f>R577+R578</f>
        <v>0</v>
      </c>
      <c r="S576" s="1390">
        <f>S577+S578</f>
        <v>0</v>
      </c>
      <c r="T576" s="1390">
        <f>IF(Q576&gt;0,S576*100/Q576,0)</f>
        <v>0</v>
      </c>
      <c r="U576" s="1390">
        <f>IF(R576&gt;0,S576*100/R576,0)</f>
        <v>0</v>
      </c>
    </row>
    <row r="577" spans="1:21" ht="18.75" x14ac:dyDescent="0.25">
      <c r="A577" s="128"/>
      <c r="B577" s="158"/>
      <c r="C577" s="40"/>
      <c r="D577" s="40"/>
      <c r="E577" s="156" t="s">
        <v>20</v>
      </c>
      <c r="F577" s="40"/>
      <c r="G577" s="42"/>
      <c r="H577" s="157" t="s">
        <v>14</v>
      </c>
      <c r="I577" s="44"/>
      <c r="J577" s="44"/>
      <c r="K577" s="45"/>
      <c r="L577" s="1358">
        <f>L580+L583</f>
        <v>0</v>
      </c>
      <c r="M577" s="83">
        <f>M580+M583</f>
        <v>0</v>
      </c>
      <c r="N577" s="83">
        <f>N580+N583</f>
        <v>0</v>
      </c>
      <c r="O577" s="83">
        <f>IF(L577&gt;0,N577*100/L577,0)</f>
        <v>0</v>
      </c>
      <c r="P577" s="83">
        <f>IF(M577&gt;0,N577*100/M577,0)</f>
        <v>0</v>
      </c>
      <c r="Q577" s="83">
        <f>Q580+Q583</f>
        <v>0</v>
      </c>
      <c r="R577" s="83">
        <f>R580+R583</f>
        <v>0</v>
      </c>
      <c r="S577" s="83">
        <f>S580+S583</f>
        <v>0</v>
      </c>
      <c r="T577" s="83">
        <f>IF(Q577&gt;0,S577*100/Q577,0)</f>
        <v>0</v>
      </c>
      <c r="U577" s="83">
        <f>IF(R577&gt;0,S577*100/R577,0)</f>
        <v>0</v>
      </c>
    </row>
    <row r="578" spans="1:21" ht="18.75" x14ac:dyDescent="0.25">
      <c r="A578" s="128"/>
      <c r="B578" s="40"/>
      <c r="C578" s="158"/>
      <c r="D578" s="40"/>
      <c r="E578" s="209" t="s">
        <v>21</v>
      </c>
      <c r="F578" s="40"/>
      <c r="G578" s="42"/>
      <c r="H578" s="133" t="s">
        <v>14</v>
      </c>
      <c r="I578" s="44"/>
      <c r="J578" s="44"/>
      <c r="K578" s="45"/>
      <c r="L578" s="1356">
        <f ca="1">L581+L584</f>
        <v>114578</v>
      </c>
      <c r="M578" s="224">
        <f ca="1">M581+M584</f>
        <v>0</v>
      </c>
      <c r="N578" s="224">
        <f ca="1">N581+N584</f>
        <v>0</v>
      </c>
      <c r="O578" s="224">
        <f ca="1">IF(L578&gt;0,N578*100/L578,0)</f>
        <v>0</v>
      </c>
      <c r="P578" s="224">
        <f ca="1">IF(M578&gt;0,N578*100/M578,0)</f>
        <v>0</v>
      </c>
      <c r="Q578" s="224">
        <f>Q581+Q584</f>
        <v>0</v>
      </c>
      <c r="R578" s="224">
        <f>R581+R584</f>
        <v>0</v>
      </c>
      <c r="S578" s="224">
        <f>S581+S584</f>
        <v>0</v>
      </c>
      <c r="T578" s="224">
        <f>IF(Q578&gt;0,S578*100/Q578,0)</f>
        <v>0</v>
      </c>
      <c r="U578" s="224">
        <f>IF(R578&gt;0,S578*100/R578,0)</f>
        <v>0</v>
      </c>
    </row>
    <row r="579" spans="1:21" ht="18.75" x14ac:dyDescent="0.25">
      <c r="A579" s="128"/>
      <c r="B579" s="40"/>
      <c r="C579" s="158"/>
      <c r="D579" s="41" t="s">
        <v>22</v>
      </c>
      <c r="E579" s="158"/>
      <c r="F579" s="40"/>
      <c r="G579" s="42"/>
      <c r="H579" s="134" t="s">
        <v>14</v>
      </c>
      <c r="I579" s="135"/>
      <c r="J579" s="135"/>
      <c r="K579" s="136"/>
      <c r="L579" s="1356">
        <f ca="1">L580+L581</f>
        <v>114578</v>
      </c>
      <c r="M579" s="224">
        <f ca="1">M580+M581</f>
        <v>0</v>
      </c>
      <c r="N579" s="224">
        <f ca="1">N580+N581</f>
        <v>0</v>
      </c>
      <c r="O579" s="224">
        <f ca="1">IF(L579&gt;0,N579*100/L579,0)</f>
        <v>0</v>
      </c>
      <c r="P579" s="224">
        <f ca="1">IF(M579&gt;0,N579*100/M579,0)</f>
        <v>0</v>
      </c>
      <c r="Q579" s="224">
        <f>Q580+Q581</f>
        <v>0</v>
      </c>
      <c r="R579" s="224">
        <f>R580+R581</f>
        <v>0</v>
      </c>
      <c r="S579" s="224">
        <f>S580+S581</f>
        <v>0</v>
      </c>
      <c r="T579" s="224">
        <f>IF(Q579&gt;0,S579*100/Q579,0)</f>
        <v>0</v>
      </c>
      <c r="U579" s="224">
        <f>IF(R579&gt;0,S579*100/R579,0)</f>
        <v>0</v>
      </c>
    </row>
    <row r="580" spans="1:21" ht="18.75" x14ac:dyDescent="0.25">
      <c r="A580" s="128"/>
      <c r="B580" s="40"/>
      <c r="C580" s="40"/>
      <c r="D580" s="40"/>
      <c r="E580" s="156" t="s">
        <v>36</v>
      </c>
      <c r="F580" s="40"/>
      <c r="G580" s="42"/>
      <c r="H580" s="159" t="s">
        <v>14</v>
      </c>
      <c r="I580" s="135"/>
      <c r="J580" s="135"/>
      <c r="K580" s="136"/>
      <c r="L580" s="1358">
        <v>0</v>
      </c>
      <c r="M580" s="83">
        <v>0</v>
      </c>
      <c r="N580" s="83">
        <v>0</v>
      </c>
      <c r="O580" s="83">
        <f>IF(L580&gt;0,N580*100/L580,0)</f>
        <v>0</v>
      </c>
      <c r="P580" s="83">
        <f>IF(M580&gt;0,N580*100/M580,0)</f>
        <v>0</v>
      </c>
      <c r="Q580" s="83">
        <v>0</v>
      </c>
      <c r="R580" s="83">
        <v>0</v>
      </c>
      <c r="S580" s="83">
        <v>0</v>
      </c>
      <c r="T580" s="83">
        <f>IF(Q580&gt;0,S580*100/Q580,0)</f>
        <v>0</v>
      </c>
      <c r="U580" s="83">
        <f>IF(R580&gt;0,S580*100/R580,0)</f>
        <v>0</v>
      </c>
    </row>
    <row r="581" spans="1:21" ht="18.75" x14ac:dyDescent="0.25">
      <c r="A581" s="128"/>
      <c r="B581" s="40"/>
      <c r="C581" s="40"/>
      <c r="D581" s="40"/>
      <c r="E581" s="47" t="s">
        <v>37</v>
      </c>
      <c r="F581" s="40"/>
      <c r="G581" s="42"/>
      <c r="H581" s="134" t="s">
        <v>14</v>
      </c>
      <c r="I581" s="135"/>
      <c r="J581" s="135"/>
      <c r="K581" s="136"/>
      <c r="L581" s="1356">
        <f ca="1">IFERROR(__xludf.DUMMYFUNCTION("IMPORTRANGE(""https://docs.google.com/spreadsheets/d/1-uDff_7J0KD5mKrp0Vvzr7lt3OU09vwQwhkpOPPYv2Y/edit?usp=sharing"",""งบพรบ!GQ28"")"),114578)</f>
        <v>114578</v>
      </c>
      <c r="M581" s="224">
        <f ca="1">IFERROR(__xludf.DUMMYFUNCTION("IMPORTRANGE(""https://docs.google.com/spreadsheets/d/1-uDff_7J0KD5mKrp0Vvzr7lt3OU09vwQwhkpOPPYv2Y/edit?usp=sharing"",""งบพรบ!GV28"")"),0)</f>
        <v>0</v>
      </c>
      <c r="N581" s="224">
        <f ca="1">IFERROR(__xludf.DUMMYFUNCTION("IMPORTRANGE(""https://docs.google.com/spreadsheets/d/1-uDff_7J0KD5mKrp0Vvzr7lt3OU09vwQwhkpOPPYv2Y/edit?usp=sharing"",""งบพรบ!GX28"")"),0)</f>
        <v>0</v>
      </c>
      <c r="O581" s="224">
        <f ca="1">IF(L581&gt;0,N581*100/L581,0)</f>
        <v>0</v>
      </c>
      <c r="P581" s="224">
        <f ca="1">IF(M581&gt;0,N581*100/M581,0)</f>
        <v>0</v>
      </c>
      <c r="Q581" s="224">
        <v>0</v>
      </c>
      <c r="R581" s="224">
        <v>0</v>
      </c>
      <c r="S581" s="224">
        <v>0</v>
      </c>
      <c r="T581" s="224">
        <f>IF(Q581&gt;0,S581*100/Q581,0)</f>
        <v>0</v>
      </c>
      <c r="U581" s="224">
        <f>IF(R581&gt;0,S581*100/R581,0)</f>
        <v>0</v>
      </c>
    </row>
    <row r="582" spans="1:21" ht="18.75" x14ac:dyDescent="0.25">
      <c r="A582" s="128"/>
      <c r="B582" s="40"/>
      <c r="C582" s="40"/>
      <c r="D582" s="41" t="s">
        <v>23</v>
      </c>
      <c r="E582" s="40"/>
      <c r="F582" s="40"/>
      <c r="G582" s="42"/>
      <c r="H582" s="137" t="s">
        <v>14</v>
      </c>
      <c r="I582" s="135"/>
      <c r="J582" s="135"/>
      <c r="K582" s="136"/>
      <c r="L582" s="1356">
        <f ca="1">L583+L584</f>
        <v>0</v>
      </c>
      <c r="M582" s="224">
        <f ca="1">M583+M584</f>
        <v>0</v>
      </c>
      <c r="N582" s="224">
        <f ca="1">N583+N584</f>
        <v>0</v>
      </c>
      <c r="O582" s="224">
        <f ca="1">IF(L582&gt;0,N582*100/L582,0)</f>
        <v>0</v>
      </c>
      <c r="P582" s="224">
        <f ca="1">IF(M582&gt;0,N582*100/M582,0)</f>
        <v>0</v>
      </c>
      <c r="Q582" s="224">
        <f>Q583+Q584</f>
        <v>0</v>
      </c>
      <c r="R582" s="224">
        <f>R583+R584</f>
        <v>0</v>
      </c>
      <c r="S582" s="224">
        <f>S583+S584</f>
        <v>0</v>
      </c>
      <c r="T582" s="224">
        <f>IF(Q582&gt;0,S582*100/Q582,0)</f>
        <v>0</v>
      </c>
      <c r="U582" s="224">
        <f>IF(R582&gt;0,S582*100/R582,0)</f>
        <v>0</v>
      </c>
    </row>
    <row r="583" spans="1:21" ht="18.75" x14ac:dyDescent="0.25">
      <c r="A583" s="128"/>
      <c r="B583" s="40"/>
      <c r="C583" s="40"/>
      <c r="D583" s="40"/>
      <c r="E583" s="156" t="s">
        <v>20</v>
      </c>
      <c r="F583" s="40"/>
      <c r="G583" s="42"/>
      <c r="H583" s="159" t="s">
        <v>14</v>
      </c>
      <c r="I583" s="135"/>
      <c r="J583" s="135"/>
      <c r="K583" s="136"/>
      <c r="L583" s="1358">
        <v>0</v>
      </c>
      <c r="M583" s="83">
        <v>0</v>
      </c>
      <c r="N583" s="83">
        <v>0</v>
      </c>
      <c r="O583" s="83">
        <f>IF(L583&gt;0,N583*100/L583,0)</f>
        <v>0</v>
      </c>
      <c r="P583" s="83">
        <f>IF(M583&gt;0,N583*100/M583,0)</f>
        <v>0</v>
      </c>
      <c r="Q583" s="83">
        <v>0</v>
      </c>
      <c r="R583" s="83">
        <v>0</v>
      </c>
      <c r="S583" s="83">
        <v>0</v>
      </c>
      <c r="T583" s="83">
        <f>IF(Q583&gt;0,S583*100/Q583,0)</f>
        <v>0</v>
      </c>
      <c r="U583" s="83">
        <f>IF(R583&gt;0,S583*100/R583,0)</f>
        <v>0</v>
      </c>
    </row>
    <row r="584" spans="1:21" ht="18.75" x14ac:dyDescent="0.25">
      <c r="A584" s="128"/>
      <c r="B584" s="40"/>
      <c r="C584" s="40"/>
      <c r="D584" s="40"/>
      <c r="E584" s="47" t="s">
        <v>21</v>
      </c>
      <c r="F584" s="40"/>
      <c r="G584" s="42"/>
      <c r="H584" s="137" t="s">
        <v>14</v>
      </c>
      <c r="I584" s="135"/>
      <c r="J584" s="135"/>
      <c r="K584" s="136"/>
      <c r="L584" s="1356">
        <f ca="1">IFERROR(__xludf.DUMMYFUNCTION("IMPORTRANGE(""https://docs.google.com/spreadsheets/d/1-uDff_7J0KD5mKrp0Vvzr7lt3OU09vwQwhkpOPPYv2Y/edit?usp=sharing"",""งบพรบ!GT28"")"),0)</f>
        <v>0</v>
      </c>
      <c r="M584" s="224">
        <f ca="1">IFERROR(__xludf.DUMMYFUNCTION("IMPORTRANGE(""https://docs.google.com/spreadsheets/d/1-uDff_7J0KD5mKrp0Vvzr7lt3OU09vwQwhkpOPPYv2Y/edit?usp=sharing"",""งบพรบ!GW28"")"),0)</f>
        <v>0</v>
      </c>
      <c r="N584" s="224">
        <f ca="1">IFERROR(__xludf.DUMMYFUNCTION("IMPORTRANGE(""https://docs.google.com/spreadsheets/d/1-uDff_7J0KD5mKrp0Vvzr7lt3OU09vwQwhkpOPPYv2Y/edit?usp=sharing"",""งบพรบ!GY28"")"),0)</f>
        <v>0</v>
      </c>
      <c r="O584" s="224">
        <f ca="1">IF(L584&gt;0,N584*100/L584,0)</f>
        <v>0</v>
      </c>
      <c r="P584" s="224">
        <f ca="1">IF(M584&gt;0,N584*100/M584,0)</f>
        <v>0</v>
      </c>
      <c r="Q584" s="224">
        <v>0</v>
      </c>
      <c r="R584" s="224">
        <v>0</v>
      </c>
      <c r="S584" s="224">
        <v>0</v>
      </c>
      <c r="T584" s="224">
        <f>IF(Q584&gt;0,S584*100/Q584,0)</f>
        <v>0</v>
      </c>
      <c r="U584" s="224">
        <f>IF(R584&gt;0,S584*100/R584,0)</f>
        <v>0</v>
      </c>
    </row>
    <row r="585" spans="1:21" ht="19.5" x14ac:dyDescent="0.3">
      <c r="A585" s="138"/>
      <c r="B585" s="139"/>
      <c r="C585" s="364" t="s">
        <v>18</v>
      </c>
      <c r="D585" s="1391" t="s">
        <v>38</v>
      </c>
      <c r="E585" s="141"/>
      <c r="F585" s="141"/>
      <c r="G585" s="142"/>
      <c r="H585" s="143"/>
      <c r="I585" s="135"/>
      <c r="J585" s="44"/>
      <c r="K585" s="45"/>
      <c r="L585" s="1359"/>
      <c r="M585" s="45"/>
      <c r="N585" s="45"/>
      <c r="O585" s="136"/>
      <c r="P585" s="136"/>
      <c r="Q585" s="45"/>
      <c r="R585" s="45"/>
      <c r="S585" s="45"/>
      <c r="T585" s="136"/>
      <c r="U585" s="136"/>
    </row>
    <row r="586" spans="1:21" ht="12.75" x14ac:dyDescent="0.2">
      <c r="A586" s="227"/>
      <c r="B586" s="229"/>
      <c r="C586" s="228"/>
      <c r="D586" s="229"/>
      <c r="E586" s="228"/>
      <c r="F586" s="229"/>
      <c r="G586" s="230"/>
      <c r="H586" s="230"/>
      <c r="I586" s="232"/>
      <c r="J586" s="232"/>
      <c r="K586" s="233"/>
      <c r="L586" s="1536"/>
      <c r="M586" s="233"/>
      <c r="N586" s="233"/>
      <c r="O586" s="233"/>
      <c r="P586" s="233"/>
      <c r="Q586" s="233"/>
      <c r="R586" s="233"/>
      <c r="S586" s="233"/>
      <c r="T586" s="233"/>
      <c r="U586" s="233"/>
    </row>
    <row r="587" spans="1:21" ht="12.75" x14ac:dyDescent="0.2">
      <c r="A587" s="227"/>
      <c r="B587" s="229"/>
      <c r="C587" s="228"/>
      <c r="D587" s="229"/>
      <c r="E587" s="228"/>
      <c r="F587" s="229"/>
      <c r="G587" s="230"/>
      <c r="H587" s="230"/>
      <c r="I587" s="232"/>
      <c r="J587" s="232"/>
      <c r="K587" s="233"/>
      <c r="L587" s="1536"/>
      <c r="M587" s="233"/>
      <c r="N587" s="233"/>
      <c r="O587" s="233"/>
      <c r="P587" s="233"/>
      <c r="Q587" s="233"/>
      <c r="R587" s="233"/>
      <c r="S587" s="233"/>
      <c r="T587" s="233"/>
      <c r="U587" s="233"/>
    </row>
    <row r="588" spans="1:21" ht="12.75" x14ac:dyDescent="0.2">
      <c r="A588" s="227"/>
      <c r="B588" s="228"/>
      <c r="C588" s="228"/>
      <c r="D588" s="229"/>
      <c r="E588" s="229"/>
      <c r="F588" s="229"/>
      <c r="G588" s="230"/>
      <c r="H588" s="231"/>
      <c r="I588" s="232"/>
      <c r="J588" s="232"/>
      <c r="K588" s="233"/>
      <c r="L588" s="1536"/>
      <c r="M588" s="233"/>
      <c r="N588" s="233"/>
      <c r="O588" s="233"/>
      <c r="P588" s="233"/>
      <c r="Q588" s="233"/>
      <c r="R588" s="233"/>
      <c r="S588" s="233"/>
      <c r="T588" s="233"/>
      <c r="U588" s="233"/>
    </row>
    <row r="589" spans="1:21" ht="12.75" x14ac:dyDescent="0.2">
      <c r="A589" s="227"/>
      <c r="B589" s="228"/>
      <c r="C589" s="228"/>
      <c r="D589" s="229"/>
      <c r="E589" s="229"/>
      <c r="F589" s="229"/>
      <c r="G589" s="230"/>
      <c r="H589" s="231"/>
      <c r="I589" s="232"/>
      <c r="J589" s="232"/>
      <c r="K589" s="233"/>
      <c r="L589" s="1536"/>
      <c r="M589" s="233"/>
      <c r="N589" s="233"/>
      <c r="O589" s="233"/>
      <c r="P589" s="233"/>
      <c r="Q589" s="233"/>
      <c r="R589" s="233"/>
      <c r="S589" s="233"/>
      <c r="T589" s="233"/>
      <c r="U589" s="233"/>
    </row>
    <row r="590" spans="1:21" ht="12.75" x14ac:dyDescent="0.2">
      <c r="A590" s="227"/>
      <c r="B590" s="228"/>
      <c r="C590" s="228"/>
      <c r="D590" s="229"/>
      <c r="E590" s="229"/>
      <c r="F590" s="229"/>
      <c r="G590" s="230"/>
      <c r="H590" s="231"/>
      <c r="I590" s="232"/>
      <c r="J590" s="232"/>
      <c r="K590" s="233"/>
      <c r="L590" s="1536"/>
      <c r="M590" s="233"/>
      <c r="N590" s="233"/>
      <c r="O590" s="233"/>
      <c r="P590" s="233"/>
      <c r="Q590" s="233"/>
      <c r="R590" s="233"/>
      <c r="S590" s="233"/>
      <c r="T590" s="233"/>
      <c r="U590" s="233"/>
    </row>
    <row r="591" spans="1:21" ht="12.75" x14ac:dyDescent="0.2">
      <c r="A591" s="227"/>
      <c r="B591" s="228"/>
      <c r="C591" s="228"/>
      <c r="D591" s="229"/>
      <c r="E591" s="229"/>
      <c r="F591" s="229"/>
      <c r="G591" s="230"/>
      <c r="H591" s="231"/>
      <c r="I591" s="232"/>
      <c r="J591" s="232"/>
      <c r="K591" s="233"/>
      <c r="L591" s="1536"/>
      <c r="M591" s="233"/>
      <c r="N591" s="233"/>
      <c r="O591" s="233"/>
      <c r="P591" s="233"/>
      <c r="Q591" s="233"/>
      <c r="R591" s="233"/>
      <c r="S591" s="233"/>
      <c r="T591" s="233"/>
      <c r="U591" s="233"/>
    </row>
    <row r="592" spans="1:21" ht="12.75" x14ac:dyDescent="0.2">
      <c r="A592" s="227"/>
      <c r="B592" s="228"/>
      <c r="C592" s="228"/>
      <c r="D592" s="229"/>
      <c r="E592" s="229"/>
      <c r="F592" s="229"/>
      <c r="G592" s="230"/>
      <c r="H592" s="231"/>
      <c r="I592" s="232"/>
      <c r="J592" s="232"/>
      <c r="K592" s="233"/>
      <c r="L592" s="1536"/>
      <c r="M592" s="233"/>
      <c r="N592" s="233"/>
      <c r="O592" s="233"/>
      <c r="P592" s="233"/>
      <c r="Q592" s="233"/>
      <c r="R592" s="233"/>
      <c r="S592" s="233"/>
      <c r="T592" s="233"/>
      <c r="U592" s="233"/>
    </row>
    <row r="593" spans="1:21" ht="12.75" x14ac:dyDescent="0.2">
      <c r="A593" s="227"/>
      <c r="B593" s="228"/>
      <c r="C593" s="228"/>
      <c r="D593" s="229"/>
      <c r="E593" s="229"/>
      <c r="F593" s="229"/>
      <c r="G593" s="230"/>
      <c r="H593" s="231"/>
      <c r="I593" s="232"/>
      <c r="J593" s="232"/>
      <c r="K593" s="233"/>
      <c r="L593" s="1536"/>
      <c r="M593" s="233"/>
      <c r="N593" s="233"/>
      <c r="O593" s="233"/>
      <c r="P593" s="233"/>
      <c r="Q593" s="233"/>
      <c r="R593" s="233"/>
      <c r="S593" s="233"/>
      <c r="T593" s="233"/>
      <c r="U593" s="233"/>
    </row>
    <row r="594" spans="1:21" ht="12.75" x14ac:dyDescent="0.2">
      <c r="A594" s="227"/>
      <c r="B594" s="228"/>
      <c r="C594" s="228"/>
      <c r="D594" s="229"/>
      <c r="E594" s="229"/>
      <c r="F594" s="229"/>
      <c r="G594" s="230"/>
      <c r="H594" s="231"/>
      <c r="I594" s="232"/>
      <c r="J594" s="232"/>
      <c r="K594" s="233"/>
      <c r="L594" s="1536"/>
      <c r="M594" s="233"/>
      <c r="N594" s="233"/>
      <c r="O594" s="233"/>
      <c r="P594" s="233"/>
      <c r="Q594" s="233"/>
      <c r="R594" s="233"/>
      <c r="S594" s="233"/>
      <c r="T594" s="233"/>
      <c r="U594" s="233"/>
    </row>
    <row r="595" spans="1:21" ht="12.75" x14ac:dyDescent="0.2">
      <c r="A595" s="360"/>
      <c r="B595" s="316"/>
      <c r="C595" s="316"/>
      <c r="D595" s="361"/>
      <c r="E595" s="361"/>
      <c r="F595" s="361"/>
      <c r="G595" s="362"/>
      <c r="H595" s="317"/>
      <c r="I595" s="318"/>
      <c r="J595" s="318"/>
      <c r="K595" s="319"/>
      <c r="L595" s="1537"/>
      <c r="M595" s="319"/>
      <c r="N595" s="319"/>
      <c r="O595" s="319"/>
      <c r="P595" s="319"/>
      <c r="Q595" s="319"/>
      <c r="R595" s="319"/>
      <c r="S595" s="319"/>
      <c r="T595" s="319"/>
      <c r="U595" s="319"/>
    </row>
    <row r="596" spans="1:21" ht="19.5" x14ac:dyDescent="0.3">
      <c r="A596" s="1563" t="s">
        <v>213</v>
      </c>
      <c r="B596" s="119"/>
      <c r="C596" s="168"/>
      <c r="D596" s="119"/>
      <c r="E596" s="119"/>
      <c r="F596" s="119"/>
      <c r="G596" s="119"/>
      <c r="H596" s="120"/>
      <c r="I596" s="169"/>
      <c r="J596" s="169"/>
      <c r="K596" s="170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1564" t="s">
        <v>214</v>
      </c>
      <c r="C597" s="172"/>
      <c r="D597" s="125"/>
      <c r="E597" s="27"/>
      <c r="F597" s="27"/>
      <c r="G597" s="27"/>
      <c r="H597" s="1565" t="s">
        <v>99</v>
      </c>
      <c r="I597" s="182"/>
      <c r="J597" s="32"/>
      <c r="K597" s="33"/>
      <c r="L597" s="1387"/>
      <c r="M597" s="33"/>
      <c r="N597" s="33"/>
      <c r="O597" s="33"/>
      <c r="P597" s="33"/>
      <c r="Q597" s="33"/>
      <c r="R597" s="33"/>
      <c r="S597" s="33"/>
      <c r="T597" s="33"/>
      <c r="U597" s="33"/>
    </row>
    <row r="598" spans="1:21" ht="19.5" x14ac:dyDescent="0.3">
      <c r="A598" s="1566"/>
      <c r="B598" s="1567" t="s">
        <v>215</v>
      </c>
      <c r="C598" s="125"/>
      <c r="D598" s="27"/>
      <c r="E598" s="27"/>
      <c r="F598" s="27"/>
      <c r="G598" s="30"/>
      <c r="H598" s="1568" t="s">
        <v>35</v>
      </c>
      <c r="I598" s="32"/>
      <c r="J598" s="32"/>
      <c r="K598" s="33"/>
      <c r="L598" s="1387"/>
      <c r="M598" s="33"/>
      <c r="N598" s="33"/>
      <c r="O598" s="33"/>
      <c r="P598" s="33"/>
      <c r="Q598" s="33"/>
      <c r="R598" s="33"/>
      <c r="S598" s="33"/>
      <c r="T598" s="33"/>
      <c r="U598" s="33"/>
    </row>
    <row r="599" spans="1:21" ht="19.5" x14ac:dyDescent="0.3">
      <c r="A599" s="128"/>
      <c r="B599" s="158"/>
      <c r="C599" s="177" t="s">
        <v>18</v>
      </c>
      <c r="D599" s="1569" t="s">
        <v>19</v>
      </c>
      <c r="E599" s="1285"/>
      <c r="F599" s="1285"/>
      <c r="G599" s="1286"/>
      <c r="H599" s="375" t="s">
        <v>14</v>
      </c>
      <c r="I599" s="44"/>
      <c r="J599" s="44"/>
      <c r="K599" s="45"/>
      <c r="L599" s="1389">
        <f ca="1">L600+L601</f>
        <v>8285</v>
      </c>
      <c r="M599" s="1390">
        <f ca="1">M600+M601</f>
        <v>0</v>
      </c>
      <c r="N599" s="1390">
        <f ca="1">N600+N601</f>
        <v>0</v>
      </c>
      <c r="O599" s="1390">
        <f ca="1">IF(L599&gt;0,N599*100/L599,0)</f>
        <v>0</v>
      </c>
      <c r="P599" s="1390">
        <f ca="1">IF(M599&gt;0,N599*100/M599,0)</f>
        <v>0</v>
      </c>
      <c r="Q599" s="1390">
        <f ca="1">Q600+Q601</f>
        <v>0</v>
      </c>
      <c r="R599" s="1390">
        <f ca="1">R600+R601</f>
        <v>0</v>
      </c>
      <c r="S599" s="1390">
        <f ca="1">S600+S601</f>
        <v>0</v>
      </c>
      <c r="T599" s="1390">
        <f ca="1">IF(Q599&gt;0,S599*100/Q599,0)</f>
        <v>0</v>
      </c>
      <c r="U599" s="1390">
        <f ca="1">IF(R599&gt;0,S599*100/R599,0)</f>
        <v>0</v>
      </c>
    </row>
    <row r="600" spans="1:21" ht="18.75" x14ac:dyDescent="0.25">
      <c r="A600" s="128"/>
      <c r="B600" s="158"/>
      <c r="C600" s="158"/>
      <c r="D600" s="145"/>
      <c r="E600" s="156" t="s">
        <v>158</v>
      </c>
      <c r="F600" s="40"/>
      <c r="G600" s="42"/>
      <c r="H600" s="159" t="s">
        <v>14</v>
      </c>
      <c r="I600" s="44"/>
      <c r="J600" s="44"/>
      <c r="K600" s="45"/>
      <c r="L600" s="1358">
        <f>L603+L606</f>
        <v>0</v>
      </c>
      <c r="M600" s="83">
        <f>M603+M606</f>
        <v>0</v>
      </c>
      <c r="N600" s="83">
        <f>N603+N606</f>
        <v>0</v>
      </c>
      <c r="O600" s="83">
        <f>IF(L600&gt;0,N600*100/L600,0)</f>
        <v>0</v>
      </c>
      <c r="P600" s="83">
        <f>IF(M600&gt;0,N600*100/M600,0)</f>
        <v>0</v>
      </c>
      <c r="Q600" s="83">
        <f>Q603+Q606</f>
        <v>0</v>
      </c>
      <c r="R600" s="83">
        <f>R603+R606</f>
        <v>0</v>
      </c>
      <c r="S600" s="83">
        <f>S603+S606</f>
        <v>0</v>
      </c>
      <c r="T600" s="83">
        <f>IF(Q600&gt;0,S600*100/Q600,0)</f>
        <v>0</v>
      </c>
      <c r="U600" s="83">
        <f>IF(R600&gt;0,S600*100/R600,0)</f>
        <v>0</v>
      </c>
    </row>
    <row r="601" spans="1:21" ht="18.75" x14ac:dyDescent="0.25">
      <c r="A601" s="128"/>
      <c r="B601" s="158"/>
      <c r="C601" s="158"/>
      <c r="D601" s="145"/>
      <c r="E601" s="156" t="s">
        <v>159</v>
      </c>
      <c r="F601" s="40"/>
      <c r="G601" s="42"/>
      <c r="H601" s="159" t="s">
        <v>14</v>
      </c>
      <c r="I601" s="44"/>
      <c r="J601" s="44"/>
      <c r="K601" s="45"/>
      <c r="L601" s="1356">
        <f ca="1">L604+L607</f>
        <v>8285</v>
      </c>
      <c r="M601" s="224">
        <f ca="1">M604+M607</f>
        <v>0</v>
      </c>
      <c r="N601" s="224">
        <f ca="1">N604+N607</f>
        <v>0</v>
      </c>
      <c r="O601" s="224">
        <f ca="1">IF(L601&gt;0,N601*100/L601,0)</f>
        <v>0</v>
      </c>
      <c r="P601" s="224">
        <f ca="1">IF(M601&gt;0,N601*100/M601,0)</f>
        <v>0</v>
      </c>
      <c r="Q601" s="224">
        <f ca="1">Q604+Q607</f>
        <v>0</v>
      </c>
      <c r="R601" s="224">
        <f ca="1">R604+R607</f>
        <v>0</v>
      </c>
      <c r="S601" s="224">
        <f ca="1">S604+S607</f>
        <v>0</v>
      </c>
      <c r="T601" s="224">
        <f ca="1">IF(Q601&gt;0,S601*100/Q601,0)</f>
        <v>0</v>
      </c>
      <c r="U601" s="224">
        <f ca="1">IF(R601&gt;0,S601*100/R601,0)</f>
        <v>0</v>
      </c>
    </row>
    <row r="602" spans="1:21" ht="19.5" x14ac:dyDescent="0.3">
      <c r="A602" s="128"/>
      <c r="B602" s="158"/>
      <c r="C602" s="158"/>
      <c r="D602" s="1434" t="s">
        <v>22</v>
      </c>
      <c r="E602" s="40"/>
      <c r="F602" s="40"/>
      <c r="G602" s="42"/>
      <c r="H602" s="375" t="s">
        <v>14</v>
      </c>
      <c r="I602" s="135"/>
      <c r="J602" s="135"/>
      <c r="K602" s="136"/>
      <c r="L602" s="1356">
        <f ca="1">L603+L604</f>
        <v>8285</v>
      </c>
      <c r="M602" s="224">
        <f ca="1">M603+M604</f>
        <v>0</v>
      </c>
      <c r="N602" s="224">
        <f ca="1">N603+N604</f>
        <v>0</v>
      </c>
      <c r="O602" s="224">
        <f ca="1">IF(L602&gt;0,N602*100/L602,0)</f>
        <v>0</v>
      </c>
      <c r="P602" s="224">
        <f ca="1">IF(M602&gt;0,N602*100/M602,0)</f>
        <v>0</v>
      </c>
      <c r="Q602" s="224">
        <f ca="1">Q603+Q604</f>
        <v>0</v>
      </c>
      <c r="R602" s="224">
        <f ca="1">R603+R604</f>
        <v>0</v>
      </c>
      <c r="S602" s="224">
        <f ca="1">S603+S604</f>
        <v>0</v>
      </c>
      <c r="T602" s="224">
        <f ca="1">IF(Q602&gt;0,S602*100/Q602,0)</f>
        <v>0</v>
      </c>
      <c r="U602" s="224">
        <f ca="1">IF(R602&gt;0,S602*100/R602,0)</f>
        <v>0</v>
      </c>
    </row>
    <row r="603" spans="1:21" ht="18.75" x14ac:dyDescent="0.25">
      <c r="A603" s="128"/>
      <c r="B603" s="158"/>
      <c r="C603" s="158"/>
      <c r="D603" s="145"/>
      <c r="E603" s="156" t="s">
        <v>158</v>
      </c>
      <c r="F603" s="40"/>
      <c r="G603" s="42"/>
      <c r="H603" s="159" t="s">
        <v>14</v>
      </c>
      <c r="I603" s="44"/>
      <c r="J603" s="44"/>
      <c r="K603" s="45"/>
      <c r="L603" s="1358">
        <v>0</v>
      </c>
      <c r="M603" s="83">
        <v>0</v>
      </c>
      <c r="N603" s="83">
        <v>0</v>
      </c>
      <c r="O603" s="83">
        <f>IF(L603&gt;0,N603*100/L603,0)</f>
        <v>0</v>
      </c>
      <c r="P603" s="83">
        <f>IF(M603&gt;0,N603*100/M603,0)</f>
        <v>0</v>
      </c>
      <c r="Q603" s="83">
        <v>0</v>
      </c>
      <c r="R603" s="83">
        <v>0</v>
      </c>
      <c r="S603" s="83">
        <v>0</v>
      </c>
      <c r="T603" s="83">
        <f>IF(Q603&gt;0,S603*100/Q603,0)</f>
        <v>0</v>
      </c>
      <c r="U603" s="83">
        <f>IF(R603&gt;0,S603*100/R603,0)</f>
        <v>0</v>
      </c>
    </row>
    <row r="604" spans="1:21" ht="18.75" x14ac:dyDescent="0.25">
      <c r="A604" s="128"/>
      <c r="B604" s="158"/>
      <c r="C604" s="158"/>
      <c r="D604" s="145"/>
      <c r="E604" s="156" t="s">
        <v>159</v>
      </c>
      <c r="F604" s="40"/>
      <c r="G604" s="42"/>
      <c r="H604" s="159" t="s">
        <v>14</v>
      </c>
      <c r="I604" s="44"/>
      <c r="J604" s="44"/>
      <c r="K604" s="45"/>
      <c r="L604" s="1356">
        <f ca="1">IFERROR(__xludf.DUMMYFUNCTION("IMPORTRANGE(""https://docs.google.com/spreadsheets/d/1-uDff_7J0KD5mKrp0Vvzr7lt3OU09vwQwhkpOPPYv2Y/edit?usp=sharing"",""งบพรบ!HK28"")"),8285)</f>
        <v>8285</v>
      </c>
      <c r="M604" s="224">
        <f ca="1">IFERROR(__xludf.DUMMYFUNCTION("IMPORTRANGE(""https://docs.google.com/spreadsheets/d/1-uDff_7J0KD5mKrp0Vvzr7lt3OU09vwQwhkpOPPYv2Y/edit?usp=sharing"",""งบพรบ!HP28"")"),0)</f>
        <v>0</v>
      </c>
      <c r="N604" s="224">
        <f ca="1">IFERROR(__xludf.DUMMYFUNCTION("IMPORTRANGE(""https://docs.google.com/spreadsheets/d/1-uDff_7J0KD5mKrp0Vvzr7lt3OU09vwQwhkpOPPYv2Y/edit?usp=sharing"",""งบพรบ!HR28"")"),0)</f>
        <v>0</v>
      </c>
      <c r="O604" s="224">
        <f ca="1">IF(L604&gt;0,N604*100/L604,0)</f>
        <v>0</v>
      </c>
      <c r="P604" s="224">
        <f ca="1">IF(M604&gt;0,N604*100/M604,0)</f>
        <v>0</v>
      </c>
      <c r="Q604" s="224">
        <f ca="1">IFERROR(__xludf.DUMMYFUNCTION("IMPORTRANGE(""https://docs.google.com/spreadsheets/d/1ItG2mGa2ceCfYo0BwxsXqNm01IGEUdYcSSLTEv9YCik/edit?usp=sharing"",""เบิกจ่ายกองทุน!AV28"")"),0)</f>
        <v>0</v>
      </c>
      <c r="R604" s="224">
        <f ca="1">IFERROR(__xludf.DUMMYFUNCTION("IMPORTRANGE(""https://docs.google.com/spreadsheets/d/1ItG2mGa2ceCfYo0BwxsXqNm01IGEUdYcSSLTEv9YCik/edit?usp=sharing"",""เบิกจ่ายกองทุน!AW28"")"),0)</f>
        <v>0</v>
      </c>
      <c r="S604" s="224">
        <f ca="1">IFERROR(__xludf.DUMMYFUNCTION("IMPORTRANGE(""https://docs.google.com/spreadsheets/d/1ItG2mGa2ceCfYo0BwxsXqNm01IGEUdYcSSLTEv9YCik/edit?usp=sharing"",""เบิกจ่ายกองทุน!AX28"")"),0)</f>
        <v>0</v>
      </c>
      <c r="T604" s="224">
        <f ca="1">IF(Q604&gt;0,S604*100/Q604,0)</f>
        <v>0</v>
      </c>
      <c r="U604" s="224">
        <f ca="1">IF(R604&gt;0,S604*100/R604,0)</f>
        <v>0</v>
      </c>
    </row>
    <row r="605" spans="1:21" ht="19.5" x14ac:dyDescent="0.3">
      <c r="A605" s="128"/>
      <c r="B605" s="158"/>
      <c r="C605" s="158"/>
      <c r="D605" s="1434" t="s">
        <v>23</v>
      </c>
      <c r="E605" s="158"/>
      <c r="F605" s="40"/>
      <c r="G605" s="42"/>
      <c r="H605" s="377" t="s">
        <v>14</v>
      </c>
      <c r="I605" s="135"/>
      <c r="J605" s="135"/>
      <c r="K605" s="136"/>
      <c r="L605" s="1356">
        <f ca="1">L606+L607</f>
        <v>0</v>
      </c>
      <c r="M605" s="224">
        <f ca="1">M606+M607</f>
        <v>0</v>
      </c>
      <c r="N605" s="224">
        <f ca="1">N606+N607</f>
        <v>0</v>
      </c>
      <c r="O605" s="224">
        <f ca="1">IF(L605&gt;0,N605*100/L605,0)</f>
        <v>0</v>
      </c>
      <c r="P605" s="224">
        <f ca="1">IF(M605&gt;0,N605*100/M605,0)</f>
        <v>0</v>
      </c>
      <c r="Q605" s="224">
        <f ca="1">Q606+Q607</f>
        <v>0</v>
      </c>
      <c r="R605" s="224">
        <f ca="1">R606+R607</f>
        <v>0</v>
      </c>
      <c r="S605" s="224">
        <f ca="1">S606+S607</f>
        <v>0</v>
      </c>
      <c r="T605" s="224">
        <f ca="1">IF(Q605&gt;0,S605*100/Q605,0)</f>
        <v>0</v>
      </c>
      <c r="U605" s="224">
        <f ca="1">IF(R605&gt;0,S605*100/R605,0)</f>
        <v>0</v>
      </c>
    </row>
    <row r="606" spans="1:21" ht="18.75" x14ac:dyDescent="0.25">
      <c r="A606" s="128"/>
      <c r="B606" s="158"/>
      <c r="C606" s="158"/>
      <c r="D606" s="158"/>
      <c r="E606" s="314" t="s">
        <v>20</v>
      </c>
      <c r="F606" s="40"/>
      <c r="G606" s="42"/>
      <c r="H606" s="159" t="s">
        <v>14</v>
      </c>
      <c r="I606" s="135"/>
      <c r="J606" s="135"/>
      <c r="K606" s="136"/>
      <c r="L606" s="1358">
        <v>0</v>
      </c>
      <c r="M606" s="83">
        <v>0</v>
      </c>
      <c r="N606" s="83">
        <v>0</v>
      </c>
      <c r="O606" s="83">
        <f>IF(L606&gt;0,N606*100/L606,0)</f>
        <v>0</v>
      </c>
      <c r="P606" s="83">
        <f>IF(M606&gt;0,N606*100/M606,0)</f>
        <v>0</v>
      </c>
      <c r="Q606" s="83">
        <v>0</v>
      </c>
      <c r="R606" s="83">
        <v>0</v>
      </c>
      <c r="S606" s="83">
        <v>0</v>
      </c>
      <c r="T606" s="83">
        <f>IF(Q606&gt;0,S606*100/Q606,0)</f>
        <v>0</v>
      </c>
      <c r="U606" s="83">
        <f>IF(R606&gt;0,S606*100/R606,0)</f>
        <v>0</v>
      </c>
    </row>
    <row r="607" spans="1:21" ht="18.75" x14ac:dyDescent="0.25">
      <c r="A607" s="128"/>
      <c r="B607" s="158"/>
      <c r="C607" s="158"/>
      <c r="D607" s="40"/>
      <c r="E607" s="314" t="s">
        <v>21</v>
      </c>
      <c r="F607" s="40"/>
      <c r="G607" s="42"/>
      <c r="H607" s="378" t="s">
        <v>14</v>
      </c>
      <c r="I607" s="135"/>
      <c r="J607" s="135"/>
      <c r="K607" s="136"/>
      <c r="L607" s="1356">
        <f ca="1">IFERROR(__xludf.DUMMYFUNCTION("IMPORTRANGE(""https://docs.google.com/spreadsheets/d/1-uDff_7J0KD5mKrp0Vvzr7lt3OU09vwQwhkpOPPYv2Y/edit?usp=sharing"",""งบพรบ!HN28"")"),0)</f>
        <v>0</v>
      </c>
      <c r="M607" s="224">
        <f ca="1">IFERROR(__xludf.DUMMYFUNCTION("IMPORTRANGE(""https://docs.google.com/spreadsheets/d/1-uDff_7J0KD5mKrp0Vvzr7lt3OU09vwQwhkpOPPYv2Y/edit?usp=sharing"",""งบพรบ!HQ28"")"),0)</f>
        <v>0</v>
      </c>
      <c r="N607" s="224">
        <f ca="1">IFERROR(__xludf.DUMMYFUNCTION("IMPORTRANGE(""https://docs.google.com/spreadsheets/d/1-uDff_7J0KD5mKrp0Vvzr7lt3OU09vwQwhkpOPPYv2Y/edit?usp=sharing"",""งบพรบ!HS28"")"),0)</f>
        <v>0</v>
      </c>
      <c r="O607" s="224">
        <f ca="1">IF(L607&gt;0,N607*100/L607,0)</f>
        <v>0</v>
      </c>
      <c r="P607" s="224">
        <f ca="1">IF(M607&gt;0,N607*100/M607,0)</f>
        <v>0</v>
      </c>
      <c r="Q607" s="224">
        <f ca="1">IFERROR(__xludf.DUMMYFUNCTION("IMPORTRANGE(""https://docs.google.com/spreadsheets/d/1ItG2mGa2ceCfYo0BwxsXqNm01IGEUdYcSSLTEv9YCik/edit?usp=sharing"",""เบิกจ่ายกองทุน!AY28"")"),0)</f>
        <v>0</v>
      </c>
      <c r="R607" s="224">
        <f ca="1">IFERROR(__xludf.DUMMYFUNCTION("IMPORTRANGE(""https://docs.google.com/spreadsheets/d/1ItG2mGa2ceCfYo0BwxsXqNm01IGEUdYcSSLTEv9YCik/edit?usp=sharing"",""เบิกจ่ายกองทุน!AZ28"")"),0)</f>
        <v>0</v>
      </c>
      <c r="S607" s="224">
        <f ca="1">IFERROR(__xludf.DUMMYFUNCTION("IMPORTRANGE(""https://docs.google.com/spreadsheets/d/1ItG2mGa2ceCfYo0BwxsXqNm01IGEUdYcSSLTEv9YCik/edit?usp=sharing"",""เบิกจ่ายกองทุน!BA28"")"),0)</f>
        <v>0</v>
      </c>
      <c r="T607" s="224">
        <f ca="1">IF(Q607&gt;0,S607*100/Q607,0)</f>
        <v>0</v>
      </c>
      <c r="U607" s="224">
        <f ca="1">IF(R607&gt;0,S607*100/R607,0)</f>
        <v>0</v>
      </c>
    </row>
    <row r="608" spans="1:21" ht="19.5" x14ac:dyDescent="0.3">
      <c r="A608" s="138"/>
      <c r="B608" s="139"/>
      <c r="C608" s="177" t="s">
        <v>18</v>
      </c>
      <c r="D608" s="1436" t="s">
        <v>38</v>
      </c>
      <c r="E608" s="141"/>
      <c r="F608" s="141"/>
      <c r="G608" s="142"/>
      <c r="H608" s="178"/>
      <c r="I608" s="135"/>
      <c r="J608" s="135"/>
      <c r="K608" s="136"/>
      <c r="L608" s="1359"/>
      <c r="M608" s="45"/>
      <c r="N608" s="45"/>
      <c r="O608" s="45"/>
      <c r="P608" s="45"/>
      <c r="Q608" s="45"/>
      <c r="R608" s="45"/>
      <c r="S608" s="45"/>
      <c r="T608" s="45"/>
      <c r="U608" s="45"/>
    </row>
    <row r="609" spans="1:21" ht="18.75" x14ac:dyDescent="0.25">
      <c r="A609" s="138"/>
      <c r="B609" s="139"/>
      <c r="C609" s="139"/>
      <c r="D609" s="379" t="s">
        <v>216</v>
      </c>
      <c r="E609" s="145"/>
      <c r="F609" s="145"/>
      <c r="G609" s="143"/>
      <c r="H609" s="159" t="s">
        <v>99</v>
      </c>
      <c r="I609" s="44"/>
      <c r="J609" s="44"/>
      <c r="K609" s="136"/>
      <c r="L609" s="1359"/>
      <c r="M609" s="45"/>
      <c r="N609" s="45"/>
      <c r="O609" s="45"/>
      <c r="P609" s="45"/>
      <c r="Q609" s="45"/>
      <c r="R609" s="45"/>
      <c r="S609" s="45"/>
      <c r="T609" s="45"/>
      <c r="U609" s="45"/>
    </row>
    <row r="610" spans="1:21" ht="19.5" x14ac:dyDescent="0.3">
      <c r="A610" s="138"/>
      <c r="B610" s="139"/>
      <c r="C610" s="139"/>
      <c r="D610" s="379" t="s">
        <v>217</v>
      </c>
      <c r="E610" s="145"/>
      <c r="F610" s="145"/>
      <c r="G610" s="143"/>
      <c r="H610" s="375" t="s">
        <v>35</v>
      </c>
      <c r="I610" s="44"/>
      <c r="J610" s="44"/>
      <c r="K610" s="136"/>
      <c r="L610" s="1359"/>
      <c r="M610" s="45"/>
      <c r="N610" s="45"/>
      <c r="O610" s="45"/>
      <c r="P610" s="45"/>
      <c r="Q610" s="45"/>
      <c r="R610" s="45"/>
      <c r="S610" s="45"/>
      <c r="T610" s="45"/>
      <c r="U610" s="45"/>
    </row>
    <row r="611" spans="1:21" ht="18.75" x14ac:dyDescent="0.25">
      <c r="A611" s="138"/>
      <c r="B611" s="139"/>
      <c r="C611" s="139"/>
      <c r="D611" s="139"/>
      <c r="E611" s="379" t="s">
        <v>218</v>
      </c>
      <c r="F611" s="145"/>
      <c r="G611" s="143"/>
      <c r="H611" s="378" t="s">
        <v>35</v>
      </c>
      <c r="I611" s="44"/>
      <c r="J611" s="44"/>
      <c r="K611" s="136"/>
      <c r="L611" s="1359"/>
      <c r="M611" s="45"/>
      <c r="N611" s="45"/>
      <c r="O611" s="45"/>
      <c r="P611" s="45"/>
      <c r="Q611" s="45"/>
      <c r="R611" s="45"/>
      <c r="S611" s="45"/>
      <c r="T611" s="45"/>
      <c r="U611" s="45"/>
    </row>
    <row r="612" spans="1:21" ht="19.5" thickBot="1" x14ac:dyDescent="0.3">
      <c r="A612" s="1570"/>
      <c r="B612" s="1571"/>
      <c r="C612" s="1571"/>
      <c r="D612" s="1571"/>
      <c r="E612" s="1572" t="s">
        <v>219</v>
      </c>
      <c r="F612" s="1573"/>
      <c r="G612" s="1574"/>
      <c r="H612" s="1575" t="s">
        <v>35</v>
      </c>
      <c r="I612" s="1576"/>
      <c r="J612" s="1576"/>
      <c r="K612" s="1577"/>
      <c r="L612" s="1578"/>
      <c r="M612" s="1579"/>
      <c r="N612" s="1579"/>
      <c r="O612" s="1579"/>
      <c r="P612" s="1579"/>
      <c r="Q612" s="1579"/>
      <c r="R612" s="1579"/>
      <c r="S612" s="1579"/>
      <c r="T612" s="1579"/>
      <c r="U612" s="1579"/>
    </row>
    <row r="613" spans="1:21" ht="19.5" x14ac:dyDescent="0.3">
      <c r="A613" s="380" t="s">
        <v>220</v>
      </c>
      <c r="B613" s="381"/>
      <c r="C613" s="381"/>
      <c r="D613" s="382"/>
      <c r="E613" s="382"/>
      <c r="F613" s="382"/>
      <c r="G613" s="383"/>
      <c r="H613" s="384"/>
      <c r="I613" s="385"/>
      <c r="J613" s="385"/>
      <c r="K613" s="386"/>
      <c r="L613" s="1580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x14ac:dyDescent="0.3">
      <c r="A614" s="387"/>
      <c r="B614" s="388" t="s">
        <v>221</v>
      </c>
      <c r="C614" s="387"/>
      <c r="D614" s="389"/>
      <c r="E614" s="389"/>
      <c r="F614" s="389"/>
      <c r="G614" s="390"/>
      <c r="H614" s="391"/>
      <c r="I614" s="392"/>
      <c r="J614" s="392"/>
      <c r="K614" s="393"/>
      <c r="L614" s="158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222</v>
      </c>
      <c r="C615" s="394"/>
      <c r="D615" s="396"/>
      <c r="E615" s="396"/>
      <c r="F615" s="396"/>
      <c r="G615" s="397"/>
      <c r="H615" s="398" t="s">
        <v>46</v>
      </c>
      <c r="I615" s="1582">
        <f ca="1">I626</f>
        <v>100</v>
      </c>
      <c r="J615" s="1582">
        <f>J626</f>
        <v>0</v>
      </c>
      <c r="K615" s="1583">
        <f ca="1">IF(I615&gt;0,J615*100/I615,0)</f>
        <v>0</v>
      </c>
      <c r="L615" s="1584"/>
      <c r="M615" s="401"/>
      <c r="N615" s="401"/>
      <c r="O615" s="401"/>
      <c r="P615" s="401"/>
      <c r="Q615" s="401"/>
      <c r="R615" s="401"/>
      <c r="S615" s="401"/>
      <c r="T615" s="401"/>
      <c r="U615" s="401"/>
    </row>
    <row r="616" spans="1:21" ht="19.5" x14ac:dyDescent="0.3">
      <c r="A616" s="128"/>
      <c r="B616" s="158"/>
      <c r="C616" s="177" t="s">
        <v>18</v>
      </c>
      <c r="D616" s="1585" t="s">
        <v>19</v>
      </c>
      <c r="E616" s="1285"/>
      <c r="F616" s="1285"/>
      <c r="G616" s="1286"/>
      <c r="H616" s="221" t="s">
        <v>14</v>
      </c>
      <c r="I616" s="44"/>
      <c r="J616" s="44"/>
      <c r="K616" s="45"/>
      <c r="L616" s="1389">
        <f>L617+L618</f>
        <v>0</v>
      </c>
      <c r="M616" s="1390">
        <f>M617+M618</f>
        <v>0</v>
      </c>
      <c r="N616" s="1390">
        <f>N617+N618</f>
        <v>0</v>
      </c>
      <c r="O616" s="1390">
        <f>IF(L616&gt;0,N616*100/L616,0)</f>
        <v>0</v>
      </c>
      <c r="P616" s="1390">
        <f>IF(M616&gt;0,N616*100/M616,0)</f>
        <v>0</v>
      </c>
      <c r="Q616" s="1390">
        <f ca="1">Q617+Q618</f>
        <v>11725</v>
      </c>
      <c r="R616" s="1390">
        <f ca="1">R617+R618</f>
        <v>11725</v>
      </c>
      <c r="S616" s="1390">
        <f ca="1">S617+S618</f>
        <v>0</v>
      </c>
      <c r="T616" s="1390">
        <f ca="1">IF(Q616&gt;0,S616*100/Q616,0)</f>
        <v>0</v>
      </c>
      <c r="U616" s="1390">
        <f ca="1">IF(R616&gt;0,S616*100/R616,0)</f>
        <v>0</v>
      </c>
    </row>
    <row r="617" spans="1:21" ht="18.75" x14ac:dyDescent="0.25">
      <c r="A617" s="128"/>
      <c r="B617" s="158"/>
      <c r="C617" s="158"/>
      <c r="D617" s="145"/>
      <c r="E617" s="156" t="s">
        <v>158</v>
      </c>
      <c r="F617" s="40"/>
      <c r="G617" s="42"/>
      <c r="H617" s="159" t="s">
        <v>14</v>
      </c>
      <c r="I617" s="44"/>
      <c r="J617" s="44"/>
      <c r="K617" s="45"/>
      <c r="L617" s="1358">
        <f>L620+L623</f>
        <v>0</v>
      </c>
      <c r="M617" s="83">
        <f>M620+M623</f>
        <v>0</v>
      </c>
      <c r="N617" s="83">
        <f>N620+N623</f>
        <v>0</v>
      </c>
      <c r="O617" s="83">
        <f>IF(L617&gt;0,N617*100/L617,0)</f>
        <v>0</v>
      </c>
      <c r="P617" s="83">
        <f>IF(M617&gt;0,N617*100/M617,0)</f>
        <v>0</v>
      </c>
      <c r="Q617" s="83">
        <f>Q620+Q623</f>
        <v>0</v>
      </c>
      <c r="R617" s="83">
        <f>R620+R623</f>
        <v>0</v>
      </c>
      <c r="S617" s="83">
        <f>S620+S623</f>
        <v>0</v>
      </c>
      <c r="T617" s="83">
        <f>IF(Q617&gt;0,S617*100/Q617,0)</f>
        <v>0</v>
      </c>
      <c r="U617" s="83">
        <f>IF(R617&gt;0,S617*100/R617,0)</f>
        <v>0</v>
      </c>
    </row>
    <row r="618" spans="1:21" ht="18.75" x14ac:dyDescent="0.25">
      <c r="A618" s="128"/>
      <c r="B618" s="158"/>
      <c r="C618" s="158"/>
      <c r="D618" s="145"/>
      <c r="E618" s="47" t="s">
        <v>159</v>
      </c>
      <c r="F618" s="40"/>
      <c r="G618" s="42"/>
      <c r="H618" s="134" t="s">
        <v>14</v>
      </c>
      <c r="I618" s="44"/>
      <c r="J618" s="44"/>
      <c r="K618" s="45"/>
      <c r="L618" s="1356">
        <f>L621+L624</f>
        <v>0</v>
      </c>
      <c r="M618" s="224">
        <f>M621+M624</f>
        <v>0</v>
      </c>
      <c r="N618" s="224">
        <f>N621+N624</f>
        <v>0</v>
      </c>
      <c r="O618" s="224">
        <f>IF(L618&gt;0,N618*100/L618,0)</f>
        <v>0</v>
      </c>
      <c r="P618" s="224">
        <f>IF(M618&gt;0,N618*100/M618,0)</f>
        <v>0</v>
      </c>
      <c r="Q618" s="224">
        <f ca="1">Q621+Q624</f>
        <v>11725</v>
      </c>
      <c r="R618" s="224">
        <f ca="1">R621+R624</f>
        <v>11725</v>
      </c>
      <c r="S618" s="224">
        <f ca="1">S621+S624</f>
        <v>0</v>
      </c>
      <c r="T618" s="224">
        <f ca="1">IF(Q618&gt;0,S618*100/Q618,0)</f>
        <v>0</v>
      </c>
      <c r="U618" s="224">
        <f ca="1">IF(R618&gt;0,S618*100/R618,0)</f>
        <v>0</v>
      </c>
    </row>
    <row r="619" spans="1:21" ht="18.75" x14ac:dyDescent="0.25">
      <c r="A619" s="128"/>
      <c r="B619" s="158"/>
      <c r="C619" s="158"/>
      <c r="D619" s="41" t="s">
        <v>22</v>
      </c>
      <c r="E619" s="40"/>
      <c r="F619" s="40"/>
      <c r="G619" s="42"/>
      <c r="H619" s="134" t="s">
        <v>14</v>
      </c>
      <c r="I619" s="135"/>
      <c r="J619" s="135"/>
      <c r="K619" s="136"/>
      <c r="L619" s="1356">
        <f>L620+L621</f>
        <v>0</v>
      </c>
      <c r="M619" s="224">
        <f>M620+M621</f>
        <v>0</v>
      </c>
      <c r="N619" s="224">
        <f>N620+N621</f>
        <v>0</v>
      </c>
      <c r="O619" s="224">
        <f>IF(L619&gt;0,N619*100/L619,0)</f>
        <v>0</v>
      </c>
      <c r="P619" s="224">
        <f>IF(M619&gt;0,N619*100/M619,0)</f>
        <v>0</v>
      </c>
      <c r="Q619" s="224">
        <f ca="1">Q620+Q621</f>
        <v>11725</v>
      </c>
      <c r="R619" s="224">
        <f ca="1">R620+R621</f>
        <v>11725</v>
      </c>
      <c r="S619" s="224">
        <f ca="1">S620+S621</f>
        <v>0</v>
      </c>
      <c r="T619" s="224">
        <f ca="1">IF(Q619&gt;0,S619*100/Q619,0)</f>
        <v>0</v>
      </c>
      <c r="U619" s="224">
        <f ca="1">IF(R619&gt;0,S619*100/R619,0)</f>
        <v>0</v>
      </c>
    </row>
    <row r="620" spans="1:21" ht="18.75" x14ac:dyDescent="0.25">
      <c r="A620" s="128"/>
      <c r="B620" s="158"/>
      <c r="C620" s="158"/>
      <c r="D620" s="145"/>
      <c r="E620" s="156" t="s">
        <v>158</v>
      </c>
      <c r="F620" s="40"/>
      <c r="G620" s="42"/>
      <c r="H620" s="159" t="s">
        <v>14</v>
      </c>
      <c r="I620" s="44"/>
      <c r="J620" s="44"/>
      <c r="K620" s="45"/>
      <c r="L620" s="1358">
        <v>0</v>
      </c>
      <c r="M620" s="83">
        <v>0</v>
      </c>
      <c r="N620" s="83">
        <v>0</v>
      </c>
      <c r="O620" s="83">
        <f>IF(L620&gt;0,N620*100/L620,0)</f>
        <v>0</v>
      </c>
      <c r="P620" s="83">
        <f>IF(M620&gt;0,N620*100/M620,0)</f>
        <v>0</v>
      </c>
      <c r="Q620" s="83">
        <v>0</v>
      </c>
      <c r="R620" s="83">
        <v>0</v>
      </c>
      <c r="S620" s="83">
        <v>0</v>
      </c>
      <c r="T620" s="83">
        <f>IF(Q620&gt;0,S620*100/Q620,0)</f>
        <v>0</v>
      </c>
      <c r="U620" s="83">
        <f>IF(R620&gt;0,S620*100/R620,0)</f>
        <v>0</v>
      </c>
    </row>
    <row r="621" spans="1:21" ht="18.75" x14ac:dyDescent="0.25">
      <c r="A621" s="128"/>
      <c r="B621" s="158"/>
      <c r="C621" s="158"/>
      <c r="D621" s="145"/>
      <c r="E621" s="47" t="s">
        <v>159</v>
      </c>
      <c r="F621" s="40"/>
      <c r="G621" s="42"/>
      <c r="H621" s="134" t="s">
        <v>14</v>
      </c>
      <c r="I621" s="44"/>
      <c r="J621" s="44"/>
      <c r="K621" s="45"/>
      <c r="L621" s="1356">
        <v>0</v>
      </c>
      <c r="M621" s="224">
        <v>0</v>
      </c>
      <c r="N621" s="224">
        <v>0</v>
      </c>
      <c r="O621" s="224">
        <f>IF(L621&gt;0,N621*100/L621,0)</f>
        <v>0</v>
      </c>
      <c r="P621" s="224">
        <f>IF(M621&gt;0,N621*100/M621,0)</f>
        <v>0</v>
      </c>
      <c r="Q621" s="224">
        <f ca="1">IFERROR(__xludf.DUMMYFUNCTION("IMPORTRANGE(""https://docs.google.com/spreadsheets/d/1ItG2mGa2ceCfYo0BwxsXqNm01IGEUdYcSSLTEv9YCik/edit?usp=sharing"",""เบิกจ่ายกองทุน!F28"")"),11725)</f>
        <v>11725</v>
      </c>
      <c r="R621" s="224">
        <f ca="1">IFERROR(__xludf.DUMMYFUNCTION("IMPORTRANGE(""https://docs.google.com/spreadsheets/d/1ItG2mGa2ceCfYo0BwxsXqNm01IGEUdYcSSLTEv9YCik/edit?usp=sharing"",""เบิกจ่ายกองทุน!G28"")"),11725)</f>
        <v>11725</v>
      </c>
      <c r="S621" s="224">
        <f ca="1">IFERROR(__xludf.DUMMYFUNCTION("IMPORTRANGE(""https://docs.google.com/spreadsheets/d/1ItG2mGa2ceCfYo0BwxsXqNm01IGEUdYcSSLTEv9YCik/edit?usp=sharing"",""เบิกจ่ายกองทุน!H28"")"),0)</f>
        <v>0</v>
      </c>
      <c r="T621" s="224">
        <f ca="1">IF(Q621&gt;0,S621*100/Q621,0)</f>
        <v>0</v>
      </c>
      <c r="U621" s="224">
        <f ca="1">IF(R621&gt;0,S621*100/R621,0)</f>
        <v>0</v>
      </c>
    </row>
    <row r="622" spans="1:21" ht="18.75" x14ac:dyDescent="0.25">
      <c r="A622" s="128"/>
      <c r="B622" s="158"/>
      <c r="C622" s="158"/>
      <c r="D622" s="41" t="s">
        <v>23</v>
      </c>
      <c r="E622" s="40"/>
      <c r="F622" s="40"/>
      <c r="G622" s="42"/>
      <c r="H622" s="137" t="s">
        <v>14</v>
      </c>
      <c r="I622" s="135"/>
      <c r="J622" s="135"/>
      <c r="K622" s="136"/>
      <c r="L622" s="1356">
        <f>L623+L624</f>
        <v>0</v>
      </c>
      <c r="M622" s="224">
        <f>M623+M624</f>
        <v>0</v>
      </c>
      <c r="N622" s="224">
        <f>N623+N624</f>
        <v>0</v>
      </c>
      <c r="O622" s="224">
        <f>IF(L622&gt;0,N622*100/L622,0)</f>
        <v>0</v>
      </c>
      <c r="P622" s="224">
        <f>IF(M622&gt;0,N622*100/M622,0)</f>
        <v>0</v>
      </c>
      <c r="Q622" s="224">
        <f>Q623+Q624</f>
        <v>0</v>
      </c>
      <c r="R622" s="224">
        <f>R623+R624</f>
        <v>0</v>
      </c>
      <c r="S622" s="224">
        <f>S623+S624</f>
        <v>0</v>
      </c>
      <c r="T622" s="224">
        <f>IF(Q622&gt;0,S622*100/Q622,0)</f>
        <v>0</v>
      </c>
      <c r="U622" s="224">
        <f>IF(R622&gt;0,S622*100/R622,0)</f>
        <v>0</v>
      </c>
    </row>
    <row r="623" spans="1:21" ht="18.75" x14ac:dyDescent="0.25">
      <c r="A623" s="128"/>
      <c r="B623" s="158"/>
      <c r="C623" s="158"/>
      <c r="D623" s="158"/>
      <c r="E623" s="156" t="s">
        <v>20</v>
      </c>
      <c r="F623" s="40"/>
      <c r="G623" s="42"/>
      <c r="H623" s="159" t="s">
        <v>14</v>
      </c>
      <c r="I623" s="135"/>
      <c r="J623" s="135"/>
      <c r="K623" s="136"/>
      <c r="L623" s="1358">
        <v>0</v>
      </c>
      <c r="M623" s="83">
        <v>0</v>
      </c>
      <c r="N623" s="83">
        <v>0</v>
      </c>
      <c r="O623" s="83">
        <f>IF(L623&gt;0,N623*100/L623,0)</f>
        <v>0</v>
      </c>
      <c r="P623" s="83">
        <f>IF(M623&gt;0,N623*100/M623,0)</f>
        <v>0</v>
      </c>
      <c r="Q623" s="83">
        <v>0</v>
      </c>
      <c r="R623" s="83">
        <v>0</v>
      </c>
      <c r="S623" s="83">
        <v>0</v>
      </c>
      <c r="T623" s="83">
        <f>IF(Q623&gt;0,S623*100/Q623,0)</f>
        <v>0</v>
      </c>
      <c r="U623" s="83">
        <f>IF(R623&gt;0,S623*100/R623,0)</f>
        <v>0</v>
      </c>
    </row>
    <row r="624" spans="1:21" ht="18.75" x14ac:dyDescent="0.25">
      <c r="A624" s="128"/>
      <c r="B624" s="158"/>
      <c r="C624" s="158"/>
      <c r="D624" s="158"/>
      <c r="E624" s="47" t="s">
        <v>21</v>
      </c>
      <c r="F624" s="40"/>
      <c r="G624" s="42"/>
      <c r="H624" s="137" t="s">
        <v>14</v>
      </c>
      <c r="I624" s="135"/>
      <c r="J624" s="135"/>
      <c r="K624" s="136"/>
      <c r="L624" s="1356">
        <v>0</v>
      </c>
      <c r="M624" s="224">
        <v>0</v>
      </c>
      <c r="N624" s="224">
        <v>0</v>
      </c>
      <c r="O624" s="224">
        <f>IF(L624&gt;0,N624*100/L624,0)</f>
        <v>0</v>
      </c>
      <c r="P624" s="224">
        <f>IF(M624&gt;0,N624*100/M624,0)</f>
        <v>0</v>
      </c>
      <c r="Q624" s="224">
        <v>0</v>
      </c>
      <c r="R624" s="224">
        <v>0</v>
      </c>
      <c r="S624" s="224">
        <v>0</v>
      </c>
      <c r="T624" s="224">
        <f>IF(Q624&gt;0,S624*100/Q624,0)</f>
        <v>0</v>
      </c>
      <c r="U624" s="224">
        <f>IF(R624&gt;0,S624*100/R624,0)</f>
        <v>0</v>
      </c>
    </row>
    <row r="625" spans="1:21" ht="19.5" x14ac:dyDescent="0.3">
      <c r="A625" s="138"/>
      <c r="B625" s="139"/>
      <c r="C625" s="177" t="s">
        <v>18</v>
      </c>
      <c r="D625" s="1586" t="s">
        <v>38</v>
      </c>
      <c r="E625" s="141"/>
      <c r="F625" s="141"/>
      <c r="G625" s="142"/>
      <c r="H625" s="178"/>
      <c r="I625" s="135"/>
      <c r="J625" s="135"/>
      <c r="K625" s="136"/>
      <c r="L625" s="1392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03" t="s">
        <v>223</v>
      </c>
      <c r="E626" s="145"/>
      <c r="F626" s="145"/>
      <c r="G626" s="143"/>
      <c r="H626" s="404" t="s">
        <v>46</v>
      </c>
      <c r="I626" s="328">
        <f ca="1">IFERROR(__xludf.DUMMYFUNCTION("IMPORTRANGE(""https://docs.google.com/spreadsheets/d/1eHaY18a8A9IcSdp1K8H6x8fbOy06t2VsZHhMHf-1x7Y/edit?usp=sharing"",""แผน!ID28"")"),100)</f>
        <v>100</v>
      </c>
      <c r="J626" s="328">
        <f>J632</f>
        <v>0</v>
      </c>
      <c r="K626" s="1390">
        <f ca="1">IF(I626&gt;0,J626*100/I626,0)</f>
        <v>0</v>
      </c>
      <c r="L626" s="1392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84">
        <f ca="1">IFERROR(__xludf.DUMMYFUNCTION("IMPORTRANGE(""https://docs.google.com/spreadsheets/d/1eHaY18a8A9IcSdp1K8H6x8fbOy06t2VsZHhMHf-1x7Y/edit?usp=sharing"",""แผน!IC28"")"),0)</f>
        <v>0</v>
      </c>
      <c r="J627" s="1395">
        <v>0</v>
      </c>
      <c r="K627" s="224">
        <f ca="1">IF(I627&gt;0,(J627*100)/I627,0)</f>
        <v>0</v>
      </c>
      <c r="L627" s="1392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84">
        <f ca="1">IFERROR(__xludf.DUMMYFUNCTION("IMPORTRANGE(""https://docs.google.com/spreadsheets/d/1eHaY18a8A9IcSdp1K8H6x8fbOy06t2VsZHhMHf-1x7Y/edit?usp=sharing"",""แผน!IC28"")"),0)</f>
        <v>0</v>
      </c>
      <c r="J628" s="1395">
        <v>0</v>
      </c>
      <c r="K628" s="224">
        <f ca="1">IF(I628&gt;0,(J628*100)/I628,0)</f>
        <v>0</v>
      </c>
      <c r="L628" s="1392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4"/>
      <c r="J629" s="1395">
        <v>0</v>
      </c>
      <c r="K629" s="224">
        <f ca="1">IF(I$626&gt;0,J629*100/I$626,0)</f>
        <v>0</v>
      </c>
      <c r="L629" s="1392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4"/>
      <c r="J630" s="1395">
        <v>0</v>
      </c>
      <c r="K630" s="224">
        <f ca="1">IF(I$626&gt;0,J630*100/I$626,0)</f>
        <v>0</v>
      </c>
      <c r="L630" s="1392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4"/>
      <c r="J631" s="1395">
        <v>0</v>
      </c>
      <c r="K631" s="224">
        <f ca="1">IF(I$626&gt;0,J631*100/I$626,0)</f>
        <v>0</v>
      </c>
      <c r="L631" s="1392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4"/>
      <c r="J632" s="328">
        <f>J633+J634</f>
        <v>0</v>
      </c>
      <c r="K632" s="1390">
        <f ca="1">IF(I626&gt;0,J632*100/I626,0)</f>
        <v>0</v>
      </c>
      <c r="L632" s="1392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4"/>
      <c r="J633" s="1395">
        <v>0</v>
      </c>
      <c r="K633" s="45"/>
      <c r="L633" s="1392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4"/>
      <c r="J634" s="1395">
        <v>0</v>
      </c>
      <c r="K634" s="45"/>
      <c r="L634" s="1392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03" t="s">
        <v>232</v>
      </c>
      <c r="E635" s="145"/>
      <c r="F635" s="145"/>
      <c r="G635" s="143"/>
      <c r="H635" s="137" t="s">
        <v>46</v>
      </c>
      <c r="I635" s="328">
        <f ca="1">IFERROR(__xludf.DUMMYFUNCTION("IMPORTRANGE(""https://docs.google.com/spreadsheets/d/1eHaY18a8A9IcSdp1K8H6x8fbOy06t2VsZHhMHf-1x7Y/edit?usp=sharing"",""แผน!IE28"")"),0)</f>
        <v>0</v>
      </c>
      <c r="J635" s="328">
        <f>J636</f>
        <v>0</v>
      </c>
      <c r="K635" s="1390">
        <f ca="1">IF(I635&gt;0,J635*100/I635,0)</f>
        <v>0</v>
      </c>
      <c r="L635" s="1392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4"/>
      <c r="J636" s="184">
        <f>J637+J638</f>
        <v>0</v>
      </c>
      <c r="K636" s="45"/>
      <c r="L636" s="1392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4"/>
      <c r="J637" s="1395">
        <v>0</v>
      </c>
      <c r="K637" s="45"/>
      <c r="L637" s="1392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4"/>
      <c r="J638" s="1395">
        <v>0</v>
      </c>
      <c r="K638" s="45"/>
      <c r="L638" s="1392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4"/>
      <c r="J639" s="1395">
        <v>0</v>
      </c>
      <c r="K639" s="45"/>
      <c r="L639" s="1392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4"/>
      <c r="J640" s="1395">
        <v>0</v>
      </c>
      <c r="K640" s="45"/>
      <c r="L640" s="1392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394"/>
      <c r="B641" s="395" t="s">
        <v>236</v>
      </c>
      <c r="C641" s="394"/>
      <c r="D641" s="396"/>
      <c r="E641" s="396"/>
      <c r="F641" s="396"/>
      <c r="G641" s="397"/>
      <c r="H641" s="405"/>
      <c r="I641" s="406"/>
      <c r="J641" s="406"/>
      <c r="K641" s="401"/>
      <c r="L641" s="1584"/>
      <c r="M641" s="401"/>
      <c r="N641" s="401"/>
      <c r="O641" s="401"/>
      <c r="P641" s="401"/>
      <c r="Q641" s="401"/>
      <c r="R641" s="401"/>
      <c r="S641" s="401"/>
      <c r="T641" s="401"/>
      <c r="U641" s="401"/>
    </row>
    <row r="642" spans="1:21" ht="19.5" x14ac:dyDescent="0.3">
      <c r="A642" s="128"/>
      <c r="B642" s="158"/>
      <c r="C642" s="209" t="s">
        <v>18</v>
      </c>
      <c r="D642" s="1585" t="s">
        <v>19</v>
      </c>
      <c r="E642" s="1285"/>
      <c r="F642" s="1285"/>
      <c r="G642" s="1286"/>
      <c r="H642" s="221" t="s">
        <v>14</v>
      </c>
      <c r="I642" s="44"/>
      <c r="J642" s="44"/>
      <c r="K642" s="45"/>
      <c r="L642" s="1389">
        <f>L643+L644</f>
        <v>0</v>
      </c>
      <c r="M642" s="1390">
        <f>M643+M644</f>
        <v>0</v>
      </c>
      <c r="N642" s="1390">
        <f>N643+N644</f>
        <v>0</v>
      </c>
      <c r="O642" s="1390">
        <f>IF(L642&gt;0,N642*100/L642,0)</f>
        <v>0</v>
      </c>
      <c r="P642" s="1390">
        <f>IF(M642&gt;0,N642*100/M642,0)</f>
        <v>0</v>
      </c>
      <c r="Q642" s="1390">
        <f ca="1">Q643+Q644</f>
        <v>2180</v>
      </c>
      <c r="R642" s="1390">
        <f ca="1">R643+R644</f>
        <v>2180</v>
      </c>
      <c r="S642" s="1390">
        <f ca="1">S643+S644</f>
        <v>0</v>
      </c>
      <c r="T642" s="1390">
        <f ca="1">IF(Q642&gt;0,S642*100/Q642,0)</f>
        <v>0</v>
      </c>
      <c r="U642" s="1390">
        <f ca="1">IF(R642&gt;0,S642*100/R642,0)</f>
        <v>0</v>
      </c>
    </row>
    <row r="643" spans="1:21" ht="18.75" x14ac:dyDescent="0.25">
      <c r="A643" s="128"/>
      <c r="B643" s="158"/>
      <c r="C643" s="158"/>
      <c r="D643" s="145"/>
      <c r="E643" s="156" t="s">
        <v>158</v>
      </c>
      <c r="F643" s="40"/>
      <c r="G643" s="42"/>
      <c r="H643" s="159" t="s">
        <v>14</v>
      </c>
      <c r="I643" s="44"/>
      <c r="J643" s="44"/>
      <c r="K643" s="45"/>
      <c r="L643" s="1358">
        <f>L646+L649</f>
        <v>0</v>
      </c>
      <c r="M643" s="83">
        <f>M646+M649</f>
        <v>0</v>
      </c>
      <c r="N643" s="83">
        <f>N646+N649</f>
        <v>0</v>
      </c>
      <c r="O643" s="83">
        <f>IF(L643&gt;0,N643*100/L643,0)</f>
        <v>0</v>
      </c>
      <c r="P643" s="83">
        <f>IF(M643&gt;0,N643*100/M643,0)</f>
        <v>0</v>
      </c>
      <c r="Q643" s="83">
        <f>Q646+Q649</f>
        <v>0</v>
      </c>
      <c r="R643" s="83">
        <f>R646+R649</f>
        <v>0</v>
      </c>
      <c r="S643" s="83">
        <f>S646+S649</f>
        <v>0</v>
      </c>
      <c r="T643" s="83">
        <f>IF(Q643&gt;0,S643*100/Q643,0)</f>
        <v>0</v>
      </c>
      <c r="U643" s="83">
        <f>IF(R643&gt;0,S643*100/R643,0)</f>
        <v>0</v>
      </c>
    </row>
    <row r="644" spans="1:21" ht="18.75" x14ac:dyDescent="0.25">
      <c r="A644" s="128"/>
      <c r="B644" s="158"/>
      <c r="C644" s="158"/>
      <c r="D644" s="145"/>
      <c r="E644" s="47" t="s">
        <v>159</v>
      </c>
      <c r="F644" s="40"/>
      <c r="G644" s="42"/>
      <c r="H644" s="134" t="s">
        <v>14</v>
      </c>
      <c r="I644" s="44"/>
      <c r="J644" s="44"/>
      <c r="K644" s="45"/>
      <c r="L644" s="1356">
        <f>L647+L650</f>
        <v>0</v>
      </c>
      <c r="M644" s="224">
        <f>M647+M650</f>
        <v>0</v>
      </c>
      <c r="N644" s="224">
        <f>N647+N650</f>
        <v>0</v>
      </c>
      <c r="O644" s="224">
        <f>IF(L644&gt;0,N644*100/L644,0)</f>
        <v>0</v>
      </c>
      <c r="P644" s="224">
        <f>IF(M644&gt;0,N644*100/M644,0)</f>
        <v>0</v>
      </c>
      <c r="Q644" s="224">
        <f ca="1">Q647+Q650</f>
        <v>2180</v>
      </c>
      <c r="R644" s="224">
        <f ca="1">R647+R650</f>
        <v>2180</v>
      </c>
      <c r="S644" s="224">
        <f ca="1">S647+S650</f>
        <v>0</v>
      </c>
      <c r="T644" s="224">
        <f ca="1">IF(Q644&gt;0,S644*100/Q644,0)</f>
        <v>0</v>
      </c>
      <c r="U644" s="224">
        <f ca="1">IF(R644&gt;0,S644*100/R644,0)</f>
        <v>0</v>
      </c>
    </row>
    <row r="645" spans="1:21" ht="18.75" x14ac:dyDescent="0.25">
      <c r="A645" s="128"/>
      <c r="B645" s="158"/>
      <c r="C645" s="158"/>
      <c r="D645" s="41" t="s">
        <v>22</v>
      </c>
      <c r="E645" s="40"/>
      <c r="F645" s="40"/>
      <c r="G645" s="42"/>
      <c r="H645" s="134" t="s">
        <v>14</v>
      </c>
      <c r="I645" s="135"/>
      <c r="J645" s="135"/>
      <c r="K645" s="136"/>
      <c r="L645" s="1356">
        <f>L646+L647</f>
        <v>0</v>
      </c>
      <c r="M645" s="224">
        <f>M646+M647</f>
        <v>0</v>
      </c>
      <c r="N645" s="224">
        <f>N646+N647</f>
        <v>0</v>
      </c>
      <c r="O645" s="224">
        <f>IF(L645&gt;0,N645*100/L645,0)</f>
        <v>0</v>
      </c>
      <c r="P645" s="224">
        <f>IF(M645&gt;0,N645*100/M645,0)</f>
        <v>0</v>
      </c>
      <c r="Q645" s="224">
        <f ca="1">Q646+Q647</f>
        <v>2180</v>
      </c>
      <c r="R645" s="224">
        <f ca="1">R646+R647</f>
        <v>2180</v>
      </c>
      <c r="S645" s="224">
        <f ca="1">S646+S647</f>
        <v>0</v>
      </c>
      <c r="T645" s="224">
        <f ca="1">IF(Q645&gt;0,S645*100/Q645,0)</f>
        <v>0</v>
      </c>
      <c r="U645" s="224">
        <f ca="1">IF(R645&gt;0,S645*100/R645,0)</f>
        <v>0</v>
      </c>
    </row>
    <row r="646" spans="1:21" ht="18.75" x14ac:dyDescent="0.25">
      <c r="A646" s="128"/>
      <c r="B646" s="158"/>
      <c r="C646" s="158"/>
      <c r="D646" s="145"/>
      <c r="E646" s="156" t="s">
        <v>158</v>
      </c>
      <c r="F646" s="40"/>
      <c r="G646" s="42"/>
      <c r="H646" s="159" t="s">
        <v>14</v>
      </c>
      <c r="I646" s="44"/>
      <c r="J646" s="44"/>
      <c r="K646" s="45"/>
      <c r="L646" s="1358">
        <v>0</v>
      </c>
      <c r="M646" s="83">
        <v>0</v>
      </c>
      <c r="N646" s="83">
        <v>0</v>
      </c>
      <c r="O646" s="83">
        <f>IF(L646&gt;0,N646*100/L646,0)</f>
        <v>0</v>
      </c>
      <c r="P646" s="83">
        <f>IF(M646&gt;0,N646*100/M646,0)</f>
        <v>0</v>
      </c>
      <c r="Q646" s="83">
        <v>0</v>
      </c>
      <c r="R646" s="83">
        <v>0</v>
      </c>
      <c r="S646" s="83">
        <v>0</v>
      </c>
      <c r="T646" s="83">
        <f>IF(Q646&gt;0,S646*100/Q646,0)</f>
        <v>0</v>
      </c>
      <c r="U646" s="83">
        <f>IF(R646&gt;0,S646*100/R646,0)</f>
        <v>0</v>
      </c>
    </row>
    <row r="647" spans="1:21" ht="18.75" x14ac:dyDescent="0.25">
      <c r="A647" s="128"/>
      <c r="B647" s="158"/>
      <c r="C647" s="158"/>
      <c r="D647" s="145"/>
      <c r="E647" s="47" t="s">
        <v>159</v>
      </c>
      <c r="F647" s="40"/>
      <c r="G647" s="42"/>
      <c r="H647" s="134" t="s">
        <v>14</v>
      </c>
      <c r="I647" s="44"/>
      <c r="J647" s="44"/>
      <c r="K647" s="45"/>
      <c r="L647" s="1356">
        <v>0</v>
      </c>
      <c r="M647" s="224">
        <v>0</v>
      </c>
      <c r="N647" s="224">
        <v>0</v>
      </c>
      <c r="O647" s="224">
        <f>IF(L647&gt;0,N647*100/L647,0)</f>
        <v>0</v>
      </c>
      <c r="P647" s="224">
        <f>IF(M647&gt;0,N647*100/M647,0)</f>
        <v>0</v>
      </c>
      <c r="Q647" s="224">
        <f ca="1">IFERROR(__xludf.DUMMYFUNCTION("IMPORTRANGE(""https://docs.google.com/spreadsheets/d/1ItG2mGa2ceCfYo0BwxsXqNm01IGEUdYcSSLTEv9YCik/edit?usp=sharing"",""เบิกจ่ายกองทุน!I28"")"),2180)</f>
        <v>2180</v>
      </c>
      <c r="R647" s="224">
        <f ca="1">IFERROR(__xludf.DUMMYFUNCTION("IMPORTRANGE(""https://docs.google.com/spreadsheets/d/1ItG2mGa2ceCfYo0BwxsXqNm01IGEUdYcSSLTEv9YCik/edit?usp=sharing"",""เบิกจ่ายกองทุน!J28"")"),2180)</f>
        <v>2180</v>
      </c>
      <c r="S647" s="224">
        <f ca="1">IFERROR(__xludf.DUMMYFUNCTION("IMPORTRANGE(""https://docs.google.com/spreadsheets/d/1ItG2mGa2ceCfYo0BwxsXqNm01IGEUdYcSSLTEv9YCik/edit?usp=sharing"",""เบิกจ่ายกองทุน!K28"")"),0)</f>
        <v>0</v>
      </c>
      <c r="T647" s="224">
        <f ca="1">IF(Q647&gt;0,S647*100/Q647,0)</f>
        <v>0</v>
      </c>
      <c r="U647" s="224">
        <f ca="1">IF(R647&gt;0,S647*100/R647,0)</f>
        <v>0</v>
      </c>
    </row>
    <row r="648" spans="1:21" ht="18.75" x14ac:dyDescent="0.25">
      <c r="A648" s="128"/>
      <c r="B648" s="158"/>
      <c r="C648" s="158"/>
      <c r="D648" s="41" t="s">
        <v>23</v>
      </c>
      <c r="E648" s="40"/>
      <c r="F648" s="40"/>
      <c r="G648" s="42"/>
      <c r="H648" s="137" t="s">
        <v>14</v>
      </c>
      <c r="I648" s="135"/>
      <c r="J648" s="135"/>
      <c r="K648" s="136"/>
      <c r="L648" s="1356">
        <f>L649+L650</f>
        <v>0</v>
      </c>
      <c r="M648" s="224">
        <f>M649+M650</f>
        <v>0</v>
      </c>
      <c r="N648" s="224">
        <f>N649+N650</f>
        <v>0</v>
      </c>
      <c r="O648" s="224">
        <f>IF(L648&gt;0,N648*100/L648,0)</f>
        <v>0</v>
      </c>
      <c r="P648" s="224">
        <f>IF(M648&gt;0,N648*100/M648,0)</f>
        <v>0</v>
      </c>
      <c r="Q648" s="224">
        <f>Q649+Q650</f>
        <v>0</v>
      </c>
      <c r="R648" s="224">
        <f>R649+R650</f>
        <v>0</v>
      </c>
      <c r="S648" s="224">
        <f>S649+S650</f>
        <v>0</v>
      </c>
      <c r="T648" s="224">
        <f>IF(Q648&gt;0,S648*100/Q648,0)</f>
        <v>0</v>
      </c>
      <c r="U648" s="224">
        <f>IF(R648&gt;0,S648*100/R648,0)</f>
        <v>0</v>
      </c>
    </row>
    <row r="649" spans="1:21" ht="18.75" x14ac:dyDescent="0.25">
      <c r="A649" s="128"/>
      <c r="B649" s="158"/>
      <c r="C649" s="158"/>
      <c r="D649" s="40"/>
      <c r="E649" s="156" t="s">
        <v>20</v>
      </c>
      <c r="F649" s="40"/>
      <c r="G649" s="42"/>
      <c r="H649" s="159" t="s">
        <v>14</v>
      </c>
      <c r="I649" s="135"/>
      <c r="J649" s="135"/>
      <c r="K649" s="136"/>
      <c r="L649" s="1358">
        <v>0</v>
      </c>
      <c r="M649" s="83">
        <v>0</v>
      </c>
      <c r="N649" s="83">
        <v>0</v>
      </c>
      <c r="O649" s="83">
        <f>IF(L649&gt;0,N649*100/L649,0)</f>
        <v>0</v>
      </c>
      <c r="P649" s="83">
        <f>IF(M649&gt;0,N649*100/M649,0)</f>
        <v>0</v>
      </c>
      <c r="Q649" s="83">
        <v>0</v>
      </c>
      <c r="R649" s="83">
        <v>0</v>
      </c>
      <c r="S649" s="83">
        <v>0</v>
      </c>
      <c r="T649" s="83">
        <f>IF(Q649&gt;0,S649*100/Q649,0)</f>
        <v>0</v>
      </c>
      <c r="U649" s="83">
        <f>IF(R649&gt;0,S649*100/R649,0)</f>
        <v>0</v>
      </c>
    </row>
    <row r="650" spans="1:21" ht="18.75" x14ac:dyDescent="0.25">
      <c r="A650" s="128"/>
      <c r="B650" s="158"/>
      <c r="C650" s="158"/>
      <c r="D650" s="40"/>
      <c r="E650" s="47" t="s">
        <v>21</v>
      </c>
      <c r="F650" s="40"/>
      <c r="G650" s="42"/>
      <c r="H650" s="137" t="s">
        <v>14</v>
      </c>
      <c r="I650" s="135"/>
      <c r="J650" s="135"/>
      <c r="K650" s="136"/>
      <c r="L650" s="1356">
        <v>0</v>
      </c>
      <c r="M650" s="224">
        <v>0</v>
      </c>
      <c r="N650" s="224">
        <v>0</v>
      </c>
      <c r="O650" s="224">
        <f>IF(L650&gt;0,N650*100/L650,0)</f>
        <v>0</v>
      </c>
      <c r="P650" s="224">
        <f>IF(M650&gt;0,N650*100/M650,0)</f>
        <v>0</v>
      </c>
      <c r="Q650" s="224">
        <v>0</v>
      </c>
      <c r="R650" s="224">
        <v>0</v>
      </c>
      <c r="S650" s="224">
        <v>0</v>
      </c>
      <c r="T650" s="224">
        <f>IF(Q650&gt;0,S650*100/Q650,0)</f>
        <v>0</v>
      </c>
      <c r="U650" s="224">
        <f>IF(R650&gt;0,S650*100/R650,0)</f>
        <v>0</v>
      </c>
    </row>
    <row r="651" spans="1:21" ht="19.5" x14ac:dyDescent="0.3">
      <c r="A651" s="138"/>
      <c r="B651" s="139"/>
      <c r="C651" s="209" t="s">
        <v>18</v>
      </c>
      <c r="D651" s="1587" t="s">
        <v>38</v>
      </c>
      <c r="E651" s="141"/>
      <c r="F651" s="141"/>
      <c r="G651" s="142"/>
      <c r="H651" s="178"/>
      <c r="I651" s="135"/>
      <c r="J651" s="135"/>
      <c r="K651" s="136"/>
      <c r="L651" s="1392"/>
      <c r="M651" s="136"/>
      <c r="N651" s="136"/>
      <c r="O651" s="136"/>
      <c r="P651" s="136"/>
      <c r="Q651" s="45"/>
      <c r="R651" s="45"/>
      <c r="S651" s="45"/>
      <c r="T651" s="136"/>
      <c r="U651" s="136"/>
    </row>
    <row r="652" spans="1:21" ht="18.75" x14ac:dyDescent="0.25">
      <c r="A652" s="208"/>
      <c r="B652" s="158"/>
      <c r="C652" s="158"/>
      <c r="D652" s="47" t="s">
        <v>237</v>
      </c>
      <c r="E652" s="40"/>
      <c r="F652" s="40"/>
      <c r="G652" s="42"/>
      <c r="H652" s="137" t="s">
        <v>46</v>
      </c>
      <c r="I652" s="1588">
        <f ca="1">IFERROR(__xludf.DUMMYFUNCTION("IMPORTRANGE(""https://docs.google.com/spreadsheets/d/1eHaY18a8A9IcSdp1K8H6x8fbOy06t2VsZHhMHf-1x7Y/edit?usp=sharing"",""แผน!IF28"")"),0)</f>
        <v>0</v>
      </c>
      <c r="J652" s="184">
        <f ca="1">IFERROR(__xludf.DUMMYFUNCTION("IMPORTRANGE(""https://docs.google.com/spreadsheets/d/1tdoBKaGub7dwA3U6UFTqxio9LNnvDCQjHKmttSEBsFQ/edit?usp=sharing"",""จัดที่ดิน!AU28"")"),0)</f>
        <v>0</v>
      </c>
      <c r="K652" s="224">
        <f ca="1">IF(I652&gt;0,J652*100/I652,0)</f>
        <v>0</v>
      </c>
      <c r="L652" s="1359"/>
      <c r="M652" s="45"/>
      <c r="N652" s="409"/>
      <c r="O652" s="45"/>
      <c r="P652" s="45"/>
      <c r="Q652" s="45"/>
      <c r="R652" s="45"/>
      <c r="S652" s="409"/>
      <c r="T652" s="45"/>
      <c r="U652" s="45"/>
    </row>
    <row r="653" spans="1:21" ht="18.75" x14ac:dyDescent="0.25">
      <c r="A653" s="208"/>
      <c r="B653" s="158"/>
      <c r="C653" s="158"/>
      <c r="D653" s="47" t="s">
        <v>238</v>
      </c>
      <c r="E653" s="40"/>
      <c r="F653" s="40"/>
      <c r="G653" s="42"/>
      <c r="H653" s="137" t="s">
        <v>35</v>
      </c>
      <c r="I653" s="1588">
        <f ca="1">IFERROR(__xludf.DUMMYFUNCTION("IMPORTRANGE(""https://docs.google.com/spreadsheets/d/1eHaY18a8A9IcSdp1K8H6x8fbOy06t2VsZHhMHf-1x7Y/edit?usp=sharing"",""แผน!IG28"")"),0)</f>
        <v>0</v>
      </c>
      <c r="J653" s="184">
        <f ca="1">IFERROR(__xludf.DUMMYFUNCTION("IMPORTRANGE(""https://docs.google.com/spreadsheets/d/1tdoBKaGub7dwA3U6UFTqxio9LNnvDCQjHKmttSEBsFQ/edit?usp=sharing"",""จัดที่ดิน!AW28"")"),0)</f>
        <v>0</v>
      </c>
      <c r="K653" s="224">
        <f ca="1">IF(I653&gt;0,J653*100/I653,0)</f>
        <v>0</v>
      </c>
      <c r="L653" s="1359"/>
      <c r="M653" s="45"/>
      <c r="N653" s="409"/>
      <c r="O653" s="45"/>
      <c r="P653" s="45"/>
      <c r="Q653" s="45"/>
      <c r="R653" s="45"/>
      <c r="S653" s="409"/>
      <c r="T653" s="45"/>
      <c r="U653" s="45"/>
    </row>
    <row r="654" spans="1:21" ht="19.5" x14ac:dyDescent="0.3">
      <c r="A654" s="208"/>
      <c r="B654" s="158"/>
      <c r="C654" s="158"/>
      <c r="D654" s="47" t="s">
        <v>239</v>
      </c>
      <c r="E654" s="40"/>
      <c r="F654" s="40"/>
      <c r="G654" s="42"/>
      <c r="H654" s="404" t="s">
        <v>46</v>
      </c>
      <c r="I654" s="1589">
        <f ca="1">IFERROR(__xludf.DUMMYFUNCTION("IMPORTRANGE(""https://docs.google.com/spreadsheets/d/1eHaY18a8A9IcSdp1K8H6x8fbOy06t2VsZHhMHf-1x7Y/edit?usp=sharing"",""แผน!IH28"")"),29)</f>
        <v>29</v>
      </c>
      <c r="J654" s="328">
        <f>J657+J660</f>
        <v>0</v>
      </c>
      <c r="K654" s="1390">
        <f ca="1">IF(I654&gt;0,J654*100/I654,0)</f>
        <v>0</v>
      </c>
      <c r="L654" s="1359"/>
      <c r="M654" s="45"/>
      <c r="N654" s="409"/>
      <c r="O654" s="45"/>
      <c r="P654" s="45"/>
      <c r="Q654" s="45"/>
      <c r="R654" s="45"/>
      <c r="S654" s="409"/>
      <c r="T654" s="45"/>
      <c r="U654" s="45"/>
    </row>
    <row r="655" spans="1:21" ht="18.75" x14ac:dyDescent="0.25">
      <c r="A655" s="208"/>
      <c r="B655" s="158"/>
      <c r="C655" s="158"/>
      <c r="D655" s="40"/>
      <c r="E655" s="47" t="s">
        <v>240</v>
      </c>
      <c r="F655" s="40"/>
      <c r="G655" s="42"/>
      <c r="H655" s="137" t="s">
        <v>35</v>
      </c>
      <c r="I655" s="180"/>
      <c r="J655" s="1395">
        <v>0</v>
      </c>
      <c r="K655" s="45"/>
      <c r="L655" s="1359"/>
      <c r="M655" s="45"/>
      <c r="N655" s="409"/>
      <c r="O655" s="45"/>
      <c r="P655" s="45"/>
      <c r="Q655" s="45"/>
      <c r="R655" s="45"/>
      <c r="S655" s="409"/>
      <c r="T655" s="45"/>
      <c r="U655" s="45"/>
    </row>
    <row r="656" spans="1:21" ht="18.75" x14ac:dyDescent="0.25">
      <c r="A656" s="208"/>
      <c r="B656" s="158"/>
      <c r="C656" s="158"/>
      <c r="D656" s="40"/>
      <c r="E656" s="40"/>
      <c r="F656" s="40"/>
      <c r="G656" s="42"/>
      <c r="H656" s="137" t="s">
        <v>34</v>
      </c>
      <c r="I656" s="180"/>
      <c r="J656" s="1395">
        <v>0</v>
      </c>
      <c r="K656" s="45"/>
      <c r="L656" s="1359"/>
      <c r="M656" s="45"/>
      <c r="N656" s="409"/>
      <c r="O656" s="45"/>
      <c r="P656" s="45"/>
      <c r="Q656" s="45"/>
      <c r="R656" s="45"/>
      <c r="S656" s="409"/>
      <c r="T656" s="45"/>
      <c r="U656" s="45"/>
    </row>
    <row r="657" spans="1:21" ht="18.75" x14ac:dyDescent="0.25">
      <c r="A657" s="208"/>
      <c r="B657" s="158"/>
      <c r="C657" s="158"/>
      <c r="D657" s="40"/>
      <c r="E657" s="40"/>
      <c r="F657" s="40"/>
      <c r="G657" s="42"/>
      <c r="H657" s="137" t="s">
        <v>46</v>
      </c>
      <c r="I657" s="1588">
        <f ca="1">IFERROR(__xludf.DUMMYFUNCTION("IMPORTRANGE(""https://docs.google.com/spreadsheets/d/1eHaY18a8A9IcSdp1K8H6x8fbOy06t2VsZHhMHf-1x7Y/edit?usp=sharing"",""แผน!II28"")"),29)</f>
        <v>29</v>
      </c>
      <c r="J657" s="1395">
        <v>0</v>
      </c>
      <c r="K657" s="45"/>
      <c r="L657" s="1359"/>
      <c r="M657" s="45"/>
      <c r="N657" s="409"/>
      <c r="O657" s="45"/>
      <c r="P657" s="45"/>
      <c r="Q657" s="45"/>
      <c r="R657" s="45"/>
      <c r="S657" s="409"/>
      <c r="T657" s="45"/>
      <c r="U657" s="45"/>
    </row>
    <row r="658" spans="1:21" ht="18.75" x14ac:dyDescent="0.25">
      <c r="A658" s="208"/>
      <c r="B658" s="158"/>
      <c r="C658" s="158"/>
      <c r="D658" s="40"/>
      <c r="E658" s="47" t="s">
        <v>241</v>
      </c>
      <c r="F658" s="40"/>
      <c r="G658" s="42"/>
      <c r="H658" s="137" t="s">
        <v>35</v>
      </c>
      <c r="I658" s="180"/>
      <c r="J658" s="1395">
        <v>0</v>
      </c>
      <c r="K658" s="45"/>
      <c r="L658" s="1359"/>
      <c r="M658" s="45"/>
      <c r="N658" s="409"/>
      <c r="O658" s="45"/>
      <c r="P658" s="45"/>
      <c r="Q658" s="45"/>
      <c r="R658" s="45"/>
      <c r="S658" s="409"/>
      <c r="T658" s="45"/>
      <c r="U658" s="45"/>
    </row>
    <row r="659" spans="1:21" ht="18.75" x14ac:dyDescent="0.25">
      <c r="A659" s="208"/>
      <c r="B659" s="158"/>
      <c r="C659" s="158"/>
      <c r="D659" s="40"/>
      <c r="E659" s="40"/>
      <c r="F659" s="40"/>
      <c r="G659" s="42"/>
      <c r="H659" s="137" t="s">
        <v>34</v>
      </c>
      <c r="I659" s="180"/>
      <c r="J659" s="1395">
        <v>0</v>
      </c>
      <c r="K659" s="45"/>
      <c r="L659" s="1359"/>
      <c r="M659" s="45"/>
      <c r="N659" s="409"/>
      <c r="O659" s="45"/>
      <c r="P659" s="45"/>
      <c r="Q659" s="45"/>
      <c r="R659" s="45"/>
      <c r="S659" s="409"/>
      <c r="T659" s="45"/>
      <c r="U659" s="45"/>
    </row>
    <row r="660" spans="1:21" ht="18.75" x14ac:dyDescent="0.25">
      <c r="A660" s="208"/>
      <c r="B660" s="158"/>
      <c r="C660" s="158"/>
      <c r="D660" s="40"/>
      <c r="E660" s="40"/>
      <c r="F660" s="40"/>
      <c r="G660" s="42"/>
      <c r="H660" s="137" t="s">
        <v>46</v>
      </c>
      <c r="I660" s="1588">
        <f ca="1">IFERROR(__xludf.DUMMYFUNCTION("IMPORTRANGE(""https://docs.google.com/spreadsheets/d/1eHaY18a8A9IcSdp1K8H6x8fbOy06t2VsZHhMHf-1x7Y/edit?usp=sharing"",""แผน!IJ28"")"),0)</f>
        <v>0</v>
      </c>
      <c r="J660" s="1395">
        <v>0</v>
      </c>
      <c r="K660" s="45"/>
      <c r="L660" s="1359"/>
      <c r="M660" s="45"/>
      <c r="N660" s="409"/>
      <c r="O660" s="45"/>
      <c r="P660" s="45"/>
      <c r="Q660" s="45"/>
      <c r="R660" s="45"/>
      <c r="S660" s="409"/>
      <c r="T660" s="45"/>
      <c r="U660" s="45"/>
    </row>
    <row r="661" spans="1:21" ht="19.5" x14ac:dyDescent="0.3">
      <c r="A661" s="208"/>
      <c r="B661" s="158"/>
      <c r="C661" s="158"/>
      <c r="D661" s="332" t="s">
        <v>242</v>
      </c>
      <c r="E661" s="40"/>
      <c r="F661" s="40"/>
      <c r="G661" s="42"/>
      <c r="H661" s="404" t="s">
        <v>46</v>
      </c>
      <c r="I661" s="1589">
        <f ca="1">IFERROR(__xludf.DUMMYFUNCTION("IMPORTRANGE(""https://docs.google.com/spreadsheets/d/1eHaY18a8A9IcSdp1K8H6x8fbOy06t2VsZHhMHf-1x7Y/edit?usp=sharing"",""แผน!IK28"")"),0)</f>
        <v>0</v>
      </c>
      <c r="J661" s="328">
        <f>J667+J670</f>
        <v>0</v>
      </c>
      <c r="K661" s="1390">
        <f ca="1">IF(I661&gt;0,J661*100/I661,0)</f>
        <v>0</v>
      </c>
      <c r="L661" s="1359"/>
      <c r="M661" s="45"/>
      <c r="N661" s="409"/>
      <c r="O661" s="45"/>
      <c r="P661" s="45"/>
      <c r="Q661" s="45"/>
      <c r="R661" s="45"/>
      <c r="S661" s="409"/>
      <c r="T661" s="45"/>
      <c r="U661" s="45"/>
    </row>
    <row r="662" spans="1:21" ht="18.75" x14ac:dyDescent="0.25">
      <c r="A662" s="208"/>
      <c r="B662" s="158"/>
      <c r="C662" s="158"/>
      <c r="D662" s="40"/>
      <c r="E662" s="47" t="s">
        <v>243</v>
      </c>
      <c r="F662" s="40"/>
      <c r="G662" s="42"/>
      <c r="H662" s="137" t="s">
        <v>34</v>
      </c>
      <c r="I662" s="180"/>
      <c r="J662" s="1395">
        <v>0</v>
      </c>
      <c r="K662" s="45"/>
      <c r="L662" s="1590"/>
      <c r="M662" s="45"/>
      <c r="N662" s="409"/>
      <c r="O662" s="45"/>
      <c r="P662" s="45"/>
      <c r="Q662" s="409"/>
      <c r="R662" s="45"/>
      <c r="S662" s="409"/>
      <c r="T662" s="45"/>
      <c r="U662" s="45"/>
    </row>
    <row r="663" spans="1:21" ht="18.75" x14ac:dyDescent="0.25">
      <c r="A663" s="208"/>
      <c r="B663" s="158"/>
      <c r="C663" s="158"/>
      <c r="D663" s="40"/>
      <c r="E663" s="40"/>
      <c r="F663" s="40"/>
      <c r="G663" s="42"/>
      <c r="H663" s="137" t="s">
        <v>46</v>
      </c>
      <c r="I663" s="180"/>
      <c r="J663" s="1395">
        <v>0</v>
      </c>
      <c r="K663" s="45"/>
      <c r="L663" s="1590"/>
      <c r="M663" s="45"/>
      <c r="N663" s="409"/>
      <c r="O663" s="45"/>
      <c r="P663" s="45"/>
      <c r="Q663" s="409"/>
      <c r="R663" s="45"/>
      <c r="S663" s="409"/>
      <c r="T663" s="45"/>
      <c r="U663" s="45"/>
    </row>
    <row r="664" spans="1:21" ht="18.75" x14ac:dyDescent="0.25">
      <c r="A664" s="208"/>
      <c r="B664" s="158"/>
      <c r="C664" s="158"/>
      <c r="D664" s="40"/>
      <c r="E664" s="47" t="s">
        <v>244</v>
      </c>
      <c r="F664" s="40"/>
      <c r="G664" s="42"/>
      <c r="H664" s="178"/>
      <c r="I664" s="180"/>
      <c r="J664" s="44"/>
      <c r="K664" s="45"/>
      <c r="L664" s="1590"/>
      <c r="M664" s="45"/>
      <c r="N664" s="409"/>
      <c r="O664" s="45"/>
      <c r="P664" s="45"/>
      <c r="Q664" s="409"/>
      <c r="R664" s="45"/>
      <c r="S664" s="409"/>
      <c r="T664" s="45"/>
      <c r="U664" s="45"/>
    </row>
    <row r="665" spans="1:21" ht="18.75" x14ac:dyDescent="0.25">
      <c r="A665" s="208"/>
      <c r="B665" s="158"/>
      <c r="C665" s="158"/>
      <c r="D665" s="40"/>
      <c r="E665" s="40"/>
      <c r="F665" s="47" t="s">
        <v>245</v>
      </c>
      <c r="G665" s="42"/>
      <c r="H665" s="137" t="s">
        <v>35</v>
      </c>
      <c r="I665" s="180"/>
      <c r="J665" s="1395">
        <v>0</v>
      </c>
      <c r="K665" s="45"/>
      <c r="L665" s="1590"/>
      <c r="M665" s="45"/>
      <c r="N665" s="409"/>
      <c r="O665" s="45"/>
      <c r="P665" s="45"/>
      <c r="Q665" s="409"/>
      <c r="R665" s="45"/>
      <c r="S665" s="409"/>
      <c r="T665" s="45"/>
      <c r="U665" s="45"/>
    </row>
    <row r="666" spans="1:21" ht="18.75" x14ac:dyDescent="0.25">
      <c r="A666" s="208"/>
      <c r="B666" s="158"/>
      <c r="C666" s="158"/>
      <c r="D666" s="40"/>
      <c r="E666" s="40"/>
      <c r="F666" s="40"/>
      <c r="G666" s="42"/>
      <c r="H666" s="137" t="s">
        <v>34</v>
      </c>
      <c r="I666" s="180"/>
      <c r="J666" s="1395">
        <v>0</v>
      </c>
      <c r="K666" s="45"/>
      <c r="L666" s="1590"/>
      <c r="M666" s="45"/>
      <c r="N666" s="409"/>
      <c r="O666" s="45"/>
      <c r="P666" s="45"/>
      <c r="Q666" s="409"/>
      <c r="R666" s="45"/>
      <c r="S666" s="409"/>
      <c r="T666" s="45"/>
      <c r="U666" s="45"/>
    </row>
    <row r="667" spans="1:21" ht="18.75" x14ac:dyDescent="0.25">
      <c r="A667" s="208"/>
      <c r="B667" s="158"/>
      <c r="C667" s="158"/>
      <c r="D667" s="40"/>
      <c r="E667" s="40"/>
      <c r="F667" s="40"/>
      <c r="G667" s="42"/>
      <c r="H667" s="137" t="s">
        <v>46</v>
      </c>
      <c r="I667" s="180"/>
      <c r="J667" s="1395">
        <v>0</v>
      </c>
      <c r="K667" s="45"/>
      <c r="L667" s="1590"/>
      <c r="M667" s="45"/>
      <c r="N667" s="409"/>
      <c r="O667" s="45"/>
      <c r="P667" s="45"/>
      <c r="Q667" s="409"/>
      <c r="R667" s="45"/>
      <c r="S667" s="409"/>
      <c r="T667" s="45"/>
      <c r="U667" s="45"/>
    </row>
    <row r="668" spans="1:21" ht="18.75" x14ac:dyDescent="0.25">
      <c r="A668" s="208"/>
      <c r="B668" s="158"/>
      <c r="C668" s="158"/>
      <c r="D668" s="40"/>
      <c r="E668" s="40"/>
      <c r="F668" s="47" t="s">
        <v>246</v>
      </c>
      <c r="G668" s="42"/>
      <c r="H668" s="137" t="s">
        <v>35</v>
      </c>
      <c r="I668" s="180"/>
      <c r="J668" s="1395">
        <v>0</v>
      </c>
      <c r="K668" s="45"/>
      <c r="L668" s="1590"/>
      <c r="M668" s="45"/>
      <c r="N668" s="409"/>
      <c r="O668" s="45"/>
      <c r="P668" s="45"/>
      <c r="Q668" s="409"/>
      <c r="R668" s="45"/>
      <c r="S668" s="409"/>
      <c r="T668" s="45"/>
      <c r="U668" s="45"/>
    </row>
    <row r="669" spans="1:21" ht="18.75" x14ac:dyDescent="0.25">
      <c r="A669" s="208"/>
      <c r="B669" s="158"/>
      <c r="C669" s="158"/>
      <c r="D669" s="40"/>
      <c r="E669" s="40"/>
      <c r="F669" s="40"/>
      <c r="G669" s="42"/>
      <c r="H669" s="137" t="s">
        <v>34</v>
      </c>
      <c r="I669" s="180"/>
      <c r="J669" s="1395">
        <v>0</v>
      </c>
      <c r="K669" s="45"/>
      <c r="L669" s="1590"/>
      <c r="M669" s="45"/>
      <c r="N669" s="409"/>
      <c r="O669" s="45"/>
      <c r="P669" s="45"/>
      <c r="Q669" s="409"/>
      <c r="R669" s="45"/>
      <c r="S669" s="409"/>
      <c r="T669" s="45"/>
      <c r="U669" s="45"/>
    </row>
    <row r="670" spans="1:21" ht="18.75" x14ac:dyDescent="0.25">
      <c r="A670" s="208"/>
      <c r="B670" s="158"/>
      <c r="C670" s="158"/>
      <c r="D670" s="40"/>
      <c r="E670" s="40"/>
      <c r="F670" s="40"/>
      <c r="G670" s="42"/>
      <c r="H670" s="137" t="s">
        <v>46</v>
      </c>
      <c r="I670" s="180"/>
      <c r="J670" s="1395">
        <v>0</v>
      </c>
      <c r="K670" s="45"/>
      <c r="L670" s="1590"/>
      <c r="M670" s="45"/>
      <c r="N670" s="409"/>
      <c r="O670" s="45"/>
      <c r="P670" s="45"/>
      <c r="Q670" s="409"/>
      <c r="R670" s="45"/>
      <c r="S670" s="409"/>
      <c r="T670" s="45"/>
      <c r="U670" s="45"/>
    </row>
    <row r="671" spans="1:21" ht="18.75" x14ac:dyDescent="0.25">
      <c r="A671" s="208"/>
      <c r="B671" s="158"/>
      <c r="C671" s="158"/>
      <c r="D671" s="47" t="s">
        <v>247</v>
      </c>
      <c r="E671" s="40"/>
      <c r="F671" s="40"/>
      <c r="G671" s="42"/>
      <c r="H671" s="137" t="s">
        <v>35</v>
      </c>
      <c r="I671" s="180"/>
      <c r="J671" s="184">
        <f ca="1">IFERROR(__xludf.DUMMYFUNCTION("IMPORTRANGE(""https://docs.google.com/spreadsheets/d/1tdoBKaGub7dwA3U6UFTqxio9LNnvDCQjHKmttSEBsFQ/edit?usp=sharing"",""จัดที่ดิน!AY28"")"),0)</f>
        <v>0</v>
      </c>
      <c r="K671" s="45"/>
      <c r="L671" s="1359"/>
      <c r="M671" s="45"/>
      <c r="N671" s="409"/>
      <c r="O671" s="45"/>
      <c r="P671" s="45"/>
      <c r="Q671" s="45"/>
      <c r="R671" s="45"/>
      <c r="S671" s="409"/>
      <c r="T671" s="45"/>
      <c r="U671" s="45"/>
    </row>
    <row r="672" spans="1:21" ht="18.75" x14ac:dyDescent="0.25">
      <c r="A672" s="208"/>
      <c r="B672" s="158"/>
      <c r="C672" s="158"/>
      <c r="D672" s="40"/>
      <c r="E672" s="40"/>
      <c r="F672" s="40"/>
      <c r="G672" s="42"/>
      <c r="H672" s="137" t="s">
        <v>34</v>
      </c>
      <c r="I672" s="180"/>
      <c r="J672" s="184">
        <f ca="1">IFERROR(__xludf.DUMMYFUNCTION("IMPORTRANGE(""https://docs.google.com/spreadsheets/d/1tdoBKaGub7dwA3U6UFTqxio9LNnvDCQjHKmttSEBsFQ/edit?usp=sharing"",""จัดที่ดิน!AZ28"")"),0)</f>
        <v>0</v>
      </c>
      <c r="K672" s="45"/>
      <c r="L672" s="1590"/>
      <c r="M672" s="45"/>
      <c r="N672" s="409"/>
      <c r="O672" s="45"/>
      <c r="P672" s="45"/>
      <c r="Q672" s="409"/>
      <c r="R672" s="45"/>
      <c r="S672" s="409"/>
      <c r="T672" s="45"/>
      <c r="U672" s="45"/>
    </row>
    <row r="673" spans="1:21" ht="18.75" x14ac:dyDescent="0.25">
      <c r="A673" s="208"/>
      <c r="B673" s="158"/>
      <c r="C673" s="158"/>
      <c r="D673" s="40"/>
      <c r="E673" s="40"/>
      <c r="F673" s="40"/>
      <c r="G673" s="42"/>
      <c r="H673" s="137" t="s">
        <v>46</v>
      </c>
      <c r="I673" s="1588">
        <f ca="1">IFERROR(__xludf.DUMMYFUNCTION("IMPORTRANGE(""https://docs.google.com/spreadsheets/d/1eHaY18a8A9IcSdp1K8H6x8fbOy06t2VsZHhMHf-1x7Y/edit?usp=sharing"",""แผน!IL28"")"),0)</f>
        <v>0</v>
      </c>
      <c r="J673" s="184">
        <f ca="1">IFERROR(__xludf.DUMMYFUNCTION("IMPORTRANGE(""https://docs.google.com/spreadsheets/d/1tdoBKaGub7dwA3U6UFTqxio9LNnvDCQjHKmttSEBsFQ/edit?usp=sharing"",""จัดที่ดิน!BA28"")"),0)</f>
        <v>0</v>
      </c>
      <c r="K673" s="224">
        <f ca="1">IF(I673&gt;0,J673*100/I673,0)</f>
        <v>0</v>
      </c>
      <c r="L673" s="1590"/>
      <c r="M673" s="45"/>
      <c r="N673" s="409"/>
      <c r="O673" s="45"/>
      <c r="P673" s="45"/>
      <c r="Q673" s="409"/>
      <c r="R673" s="45"/>
      <c r="S673" s="409"/>
      <c r="T673" s="45"/>
      <c r="U673" s="45"/>
    </row>
    <row r="674" spans="1:21" ht="19.5" x14ac:dyDescent="0.3">
      <c r="A674" s="208"/>
      <c r="B674" s="158"/>
      <c r="C674" s="158"/>
      <c r="D674" s="47" t="s">
        <v>248</v>
      </c>
      <c r="E674" s="40"/>
      <c r="F674" s="40"/>
      <c r="G674" s="42"/>
      <c r="H674" s="404" t="s">
        <v>35</v>
      </c>
      <c r="I674" s="1589">
        <f ca="1">IFERROR(__xludf.DUMMYFUNCTION("IMPORTRANGE(""https://docs.google.com/spreadsheets/d/1eHaY18a8A9IcSdp1K8H6x8fbOy06t2VsZHhMHf-1x7Y/edit?usp=sharing"",""แผน!IM28"")"),5)</f>
        <v>5</v>
      </c>
      <c r="J674" s="328">
        <f ca="1">J676+J679</f>
        <v>1</v>
      </c>
      <c r="K674" s="1390">
        <f ca="1">IF(I674&gt;0,J674*100/I674,0)</f>
        <v>20</v>
      </c>
      <c r="L674" s="1590"/>
      <c r="M674" s="45"/>
      <c r="N674" s="409"/>
      <c r="O674" s="45"/>
      <c r="P674" s="45"/>
      <c r="Q674" s="409"/>
      <c r="R674" s="45"/>
      <c r="S674" s="409"/>
      <c r="T674" s="45"/>
      <c r="U674" s="45"/>
    </row>
    <row r="675" spans="1:21" ht="19.5" x14ac:dyDescent="0.3">
      <c r="A675" s="208"/>
      <c r="B675" s="158"/>
      <c r="C675" s="158"/>
      <c r="D675" s="40"/>
      <c r="E675" s="40"/>
      <c r="F675" s="40"/>
      <c r="G675" s="42"/>
      <c r="H675" s="404" t="s">
        <v>46</v>
      </c>
      <c r="I675" s="1589">
        <f ca="1">IFERROR(__xludf.DUMMYFUNCTION("IMPORTRANGE(""https://docs.google.com/spreadsheets/d/1eHaY18a8A9IcSdp1K8H6x8fbOy06t2VsZHhMHf-1x7Y/edit?usp=sharing"",""แผน!IN28"")"),73)</f>
        <v>73</v>
      </c>
      <c r="J675" s="328">
        <f ca="1">J678+J681</f>
        <v>25</v>
      </c>
      <c r="K675" s="1390">
        <f ca="1">IF(I675&gt;0,J675*100/I675,0)</f>
        <v>34.246575342465754</v>
      </c>
      <c r="L675" s="1359"/>
      <c r="M675" s="45"/>
      <c r="N675" s="409"/>
      <c r="O675" s="45"/>
      <c r="P675" s="45"/>
      <c r="Q675" s="45"/>
      <c r="R675" s="45"/>
      <c r="S675" s="409"/>
      <c r="T675" s="45"/>
      <c r="U675" s="45"/>
    </row>
    <row r="676" spans="1:21" ht="18.75" x14ac:dyDescent="0.25">
      <c r="A676" s="208"/>
      <c r="B676" s="158"/>
      <c r="C676" s="158"/>
      <c r="D676" s="40"/>
      <c r="E676" s="47" t="s">
        <v>249</v>
      </c>
      <c r="F676" s="40"/>
      <c r="G676" s="42"/>
      <c r="H676" s="137" t="s">
        <v>35</v>
      </c>
      <c r="I676" s="1588">
        <f ca="1">IFERROR(__xludf.DUMMYFUNCTION("IMPORTRANGE(""https://docs.google.com/spreadsheets/d/1eHaY18a8A9IcSdp1K8H6x8fbOy06t2VsZHhMHf-1x7Y/edit?usp=sharing"",""แผน!IO28"")"),5)</f>
        <v>5</v>
      </c>
      <c r="J676" s="184">
        <f ca="1">IFERROR(__xludf.DUMMYFUNCTION("IMPORTRANGE(""https://docs.google.com/spreadsheets/d/1tdoBKaGub7dwA3U6UFTqxio9LNnvDCQjHKmttSEBsFQ/edit?usp=sharing"",""จัดที่ดิน!BF28"")"),1)</f>
        <v>1</v>
      </c>
      <c r="K676" s="224">
        <f ca="1">IF(I676&gt;0,J676*100/I676,0)</f>
        <v>20</v>
      </c>
      <c r="L676" s="1359"/>
      <c r="M676" s="45"/>
      <c r="N676" s="409"/>
      <c r="O676" s="45"/>
      <c r="P676" s="45"/>
      <c r="Q676" s="45"/>
      <c r="R676" s="45"/>
      <c r="S676" s="409"/>
      <c r="T676" s="45"/>
      <c r="U676" s="45"/>
    </row>
    <row r="677" spans="1:21" ht="18.75" x14ac:dyDescent="0.25">
      <c r="A677" s="208"/>
      <c r="B677" s="158"/>
      <c r="C677" s="158"/>
      <c r="D677" s="40"/>
      <c r="E677" s="40"/>
      <c r="F677" s="40"/>
      <c r="G677" s="42"/>
      <c r="H677" s="137" t="s">
        <v>34</v>
      </c>
      <c r="I677" s="180"/>
      <c r="J677" s="184">
        <f ca="1">IFERROR(__xludf.DUMMYFUNCTION("IMPORTRANGE(""https://docs.google.com/spreadsheets/d/1tdoBKaGub7dwA3U6UFTqxio9LNnvDCQjHKmttSEBsFQ/edit?usp=sharing"",""จัดที่ดิน!BG28"")"),1)</f>
        <v>1</v>
      </c>
      <c r="K677" s="45"/>
      <c r="L677" s="1590"/>
      <c r="M677" s="45"/>
      <c r="N677" s="409"/>
      <c r="O677" s="45"/>
      <c r="P677" s="45"/>
      <c r="Q677" s="409"/>
      <c r="R677" s="45"/>
      <c r="S677" s="409"/>
      <c r="T677" s="45"/>
      <c r="U677" s="45"/>
    </row>
    <row r="678" spans="1:21" ht="18.75" x14ac:dyDescent="0.25">
      <c r="A678" s="208"/>
      <c r="B678" s="158"/>
      <c r="C678" s="158"/>
      <c r="D678" s="40"/>
      <c r="E678" s="40"/>
      <c r="F678" s="40"/>
      <c r="G678" s="42"/>
      <c r="H678" s="137" t="s">
        <v>46</v>
      </c>
      <c r="I678" s="1588">
        <f ca="1">IFERROR(__xludf.DUMMYFUNCTION("IMPORTRANGE(""https://docs.google.com/spreadsheets/d/1eHaY18a8A9IcSdp1K8H6x8fbOy06t2VsZHhMHf-1x7Y/edit?usp=sharing"",""แผน!IP28"")"),73)</f>
        <v>73</v>
      </c>
      <c r="J678" s="184">
        <f ca="1">IFERROR(__xludf.DUMMYFUNCTION("IMPORTRANGE(""https://docs.google.com/spreadsheets/d/1tdoBKaGub7dwA3U6UFTqxio9LNnvDCQjHKmttSEBsFQ/edit?usp=sharing"",""จัดที่ดิน!BH28"")"),25)</f>
        <v>25</v>
      </c>
      <c r="K678" s="224">
        <f ca="1">IF(I678&gt;0,J678*100/I678,0)</f>
        <v>34.246575342465754</v>
      </c>
      <c r="L678" s="1590"/>
      <c r="M678" s="45"/>
      <c r="N678" s="409"/>
      <c r="O678" s="45"/>
      <c r="P678" s="45"/>
      <c r="Q678" s="409"/>
      <c r="R678" s="45"/>
      <c r="S678" s="409"/>
      <c r="T678" s="45"/>
      <c r="U678" s="45"/>
    </row>
    <row r="679" spans="1:21" ht="18.75" x14ac:dyDescent="0.25">
      <c r="A679" s="208"/>
      <c r="B679" s="158"/>
      <c r="C679" s="158"/>
      <c r="D679" s="40"/>
      <c r="E679" s="47" t="s">
        <v>250</v>
      </c>
      <c r="F679" s="40"/>
      <c r="G679" s="42"/>
      <c r="H679" s="137" t="s">
        <v>35</v>
      </c>
      <c r="I679" s="1588">
        <f ca="1">IFERROR(__xludf.DUMMYFUNCTION("IMPORTRANGE(""https://docs.google.com/spreadsheets/d/1eHaY18a8A9IcSdp1K8H6x8fbOy06t2VsZHhMHf-1x7Y/edit?usp=sharing"",""แผน!IQ28"")"),0)</f>
        <v>0</v>
      </c>
      <c r="J679" s="184">
        <f ca="1">IFERROR(__xludf.DUMMYFUNCTION("IMPORTRANGE(""https://docs.google.com/spreadsheets/d/1tdoBKaGub7dwA3U6UFTqxio9LNnvDCQjHKmttSEBsFQ/edit?usp=sharing"",""จัดที่ดิน!BK28"")"),0)</f>
        <v>0</v>
      </c>
      <c r="K679" s="224">
        <f ca="1">IF(I679&gt;0,J679*100/I679,0)</f>
        <v>0</v>
      </c>
      <c r="L679" s="1359"/>
      <c r="M679" s="45"/>
      <c r="N679" s="409"/>
      <c r="O679" s="45"/>
      <c r="P679" s="45"/>
      <c r="Q679" s="45"/>
      <c r="R679" s="45"/>
      <c r="S679" s="409"/>
      <c r="T679" s="45"/>
      <c r="U679" s="45"/>
    </row>
    <row r="680" spans="1:21" ht="18.75" x14ac:dyDescent="0.25">
      <c r="A680" s="208"/>
      <c r="B680" s="158"/>
      <c r="C680" s="158"/>
      <c r="D680" s="40"/>
      <c r="E680" s="40"/>
      <c r="F680" s="40"/>
      <c r="G680" s="42"/>
      <c r="H680" s="137" t="s">
        <v>34</v>
      </c>
      <c r="I680" s="180"/>
      <c r="J680" s="184">
        <f ca="1">IFERROR(__xludf.DUMMYFUNCTION("IMPORTRANGE(""https://docs.google.com/spreadsheets/d/1tdoBKaGub7dwA3U6UFTqxio9LNnvDCQjHKmttSEBsFQ/edit?usp=sharing"",""จัดที่ดิน!BL28"")"),0)</f>
        <v>0</v>
      </c>
      <c r="K680" s="45"/>
      <c r="L680" s="1590"/>
      <c r="M680" s="45"/>
      <c r="N680" s="409"/>
      <c r="O680" s="45"/>
      <c r="P680" s="45"/>
      <c r="Q680" s="409"/>
      <c r="R680" s="45"/>
      <c r="S680" s="409"/>
      <c r="T680" s="45"/>
      <c r="U680" s="45"/>
    </row>
    <row r="681" spans="1:21" ht="18.75" x14ac:dyDescent="0.25">
      <c r="A681" s="208"/>
      <c r="B681" s="158"/>
      <c r="C681" s="158"/>
      <c r="D681" s="40"/>
      <c r="E681" s="40"/>
      <c r="F681" s="40"/>
      <c r="G681" s="42"/>
      <c r="H681" s="137" t="s">
        <v>46</v>
      </c>
      <c r="I681" s="1588">
        <f ca="1">IFERROR(__xludf.DUMMYFUNCTION("IMPORTRANGE(""https://docs.google.com/spreadsheets/d/1eHaY18a8A9IcSdp1K8H6x8fbOy06t2VsZHhMHf-1x7Y/edit?usp=sharing"",""แผน!IR28"")"),0)</f>
        <v>0</v>
      </c>
      <c r="J681" s="184">
        <f ca="1">IFERROR(__xludf.DUMMYFUNCTION("IMPORTRANGE(""https://docs.google.com/spreadsheets/d/1tdoBKaGub7dwA3U6UFTqxio9LNnvDCQjHKmttSEBsFQ/edit?usp=sharing"",""จัดที่ดิน!BM28"")"),0)</f>
        <v>0</v>
      </c>
      <c r="K681" s="224">
        <f ca="1">IF(I681&gt;0,J681*100/I681,0)</f>
        <v>0</v>
      </c>
      <c r="L681" s="1590"/>
      <c r="M681" s="45"/>
      <c r="N681" s="409"/>
      <c r="O681" s="45"/>
      <c r="P681" s="45"/>
      <c r="Q681" s="409"/>
      <c r="R681" s="45"/>
      <c r="S681" s="409"/>
      <c r="T681" s="45"/>
      <c r="U681" s="45"/>
    </row>
    <row r="682" spans="1:21" ht="19.5" x14ac:dyDescent="0.3">
      <c r="A682" s="208"/>
      <c r="B682" s="158"/>
      <c r="C682" s="158"/>
      <c r="D682" s="47" t="s">
        <v>251</v>
      </c>
      <c r="E682" s="40"/>
      <c r="F682" s="40"/>
      <c r="G682" s="42"/>
      <c r="H682" s="404" t="s">
        <v>46</v>
      </c>
      <c r="I682" s="1589">
        <f ca="1">IFERROR(__xludf.DUMMYFUNCTION("IMPORTRANGE(""https://docs.google.com/spreadsheets/d/1eHaY18a8A9IcSdp1K8H6x8fbOy06t2VsZHhMHf-1x7Y/edit?usp=sharing"",""แผน!IS28"")"),0)</f>
        <v>0</v>
      </c>
      <c r="J682" s="328">
        <f>J685+J688</f>
        <v>0</v>
      </c>
      <c r="K682" s="1390">
        <f ca="1">IF(I682&gt;0,J682*100/I682,0)</f>
        <v>0</v>
      </c>
      <c r="L682" s="1359"/>
      <c r="M682" s="45"/>
      <c r="N682" s="409"/>
      <c r="O682" s="45"/>
      <c r="P682" s="45"/>
      <c r="Q682" s="45"/>
      <c r="R682" s="45"/>
      <c r="S682" s="409"/>
      <c r="T682" s="45"/>
      <c r="U682" s="45"/>
    </row>
    <row r="683" spans="1:21" ht="18.75" x14ac:dyDescent="0.25">
      <c r="A683" s="208"/>
      <c r="B683" s="158"/>
      <c r="C683" s="158"/>
      <c r="D683" s="40"/>
      <c r="E683" s="47" t="s">
        <v>252</v>
      </c>
      <c r="F683" s="40"/>
      <c r="G683" s="42"/>
      <c r="H683" s="137" t="s">
        <v>35</v>
      </c>
      <c r="I683" s="180"/>
      <c r="J683" s="1395">
        <v>0</v>
      </c>
      <c r="K683" s="45"/>
      <c r="L683" s="1590"/>
      <c r="M683" s="45"/>
      <c r="N683" s="409"/>
      <c r="O683" s="45"/>
      <c r="P683" s="45"/>
      <c r="Q683" s="409"/>
      <c r="R683" s="45"/>
      <c r="S683" s="409"/>
      <c r="T683" s="45"/>
      <c r="U683" s="45"/>
    </row>
    <row r="684" spans="1:21" ht="18.75" x14ac:dyDescent="0.25">
      <c r="A684" s="208"/>
      <c r="B684" s="158"/>
      <c r="C684" s="158"/>
      <c r="D684" s="40"/>
      <c r="E684" s="40"/>
      <c r="F684" s="40"/>
      <c r="G684" s="42"/>
      <c r="H684" s="137" t="s">
        <v>34</v>
      </c>
      <c r="I684" s="180"/>
      <c r="J684" s="1395">
        <v>0</v>
      </c>
      <c r="K684" s="45"/>
      <c r="L684" s="1590"/>
      <c r="M684" s="45"/>
      <c r="N684" s="409"/>
      <c r="O684" s="45"/>
      <c r="P684" s="45"/>
      <c r="Q684" s="409"/>
      <c r="R684" s="45"/>
      <c r="S684" s="409"/>
      <c r="T684" s="45"/>
      <c r="U684" s="45"/>
    </row>
    <row r="685" spans="1:21" ht="18.75" x14ac:dyDescent="0.25">
      <c r="A685" s="208"/>
      <c r="B685" s="158"/>
      <c r="C685" s="158"/>
      <c r="D685" s="40"/>
      <c r="E685" s="40"/>
      <c r="F685" s="40"/>
      <c r="G685" s="42"/>
      <c r="H685" s="137" t="s">
        <v>46</v>
      </c>
      <c r="I685" s="180"/>
      <c r="J685" s="1395">
        <v>0</v>
      </c>
      <c r="K685" s="45"/>
      <c r="L685" s="1590"/>
      <c r="M685" s="45"/>
      <c r="N685" s="409"/>
      <c r="O685" s="45"/>
      <c r="P685" s="45"/>
      <c r="Q685" s="409"/>
      <c r="R685" s="45"/>
      <c r="S685" s="409"/>
      <c r="T685" s="45"/>
      <c r="U685" s="45"/>
    </row>
    <row r="686" spans="1:21" ht="18.75" x14ac:dyDescent="0.25">
      <c r="A686" s="208"/>
      <c r="B686" s="158"/>
      <c r="C686" s="158"/>
      <c r="D686" s="40"/>
      <c r="E686" s="47" t="s">
        <v>253</v>
      </c>
      <c r="F686" s="40"/>
      <c r="G686" s="42"/>
      <c r="H686" s="137" t="s">
        <v>35</v>
      </c>
      <c r="I686" s="180"/>
      <c r="J686" s="1395">
        <v>0</v>
      </c>
      <c r="K686" s="45"/>
      <c r="L686" s="1590"/>
      <c r="M686" s="45"/>
      <c r="N686" s="409"/>
      <c r="O686" s="45"/>
      <c r="P686" s="45"/>
      <c r="Q686" s="409"/>
      <c r="R686" s="45"/>
      <c r="S686" s="409"/>
      <c r="T686" s="45"/>
      <c r="U686" s="45"/>
    </row>
    <row r="687" spans="1:21" ht="18.75" x14ac:dyDescent="0.25">
      <c r="A687" s="208"/>
      <c r="B687" s="158"/>
      <c r="C687" s="158"/>
      <c r="D687" s="40"/>
      <c r="E687" s="40"/>
      <c r="F687" s="40"/>
      <c r="G687" s="42"/>
      <c r="H687" s="137" t="s">
        <v>34</v>
      </c>
      <c r="I687" s="180"/>
      <c r="J687" s="1395">
        <v>0</v>
      </c>
      <c r="K687" s="45"/>
      <c r="L687" s="1590"/>
      <c r="M687" s="45"/>
      <c r="N687" s="409"/>
      <c r="O687" s="45"/>
      <c r="P687" s="45"/>
      <c r="Q687" s="409"/>
      <c r="R687" s="45"/>
      <c r="S687" s="409"/>
      <c r="T687" s="45"/>
      <c r="U687" s="45"/>
    </row>
    <row r="688" spans="1:21" ht="19.5" x14ac:dyDescent="0.3">
      <c r="A688" s="249"/>
      <c r="B688" s="412" t="s">
        <v>254</v>
      </c>
      <c r="C688" s="250"/>
      <c r="D688" s="252"/>
      <c r="E688" s="252"/>
      <c r="F688" s="252"/>
      <c r="G688" s="253"/>
      <c r="H688" s="186" t="s">
        <v>46</v>
      </c>
      <c r="I688" s="330"/>
      <c r="J688" s="1541">
        <v>0</v>
      </c>
      <c r="K688" s="3"/>
      <c r="L688" s="1591"/>
      <c r="M688" s="3"/>
      <c r="N688" s="413"/>
      <c r="O688" s="3"/>
      <c r="P688" s="3"/>
      <c r="Q688" s="413"/>
      <c r="R688" s="3"/>
      <c r="S688" s="413"/>
      <c r="T688" s="3"/>
      <c r="U688" s="3"/>
    </row>
    <row r="689" spans="1:21" ht="19.5" x14ac:dyDescent="0.3">
      <c r="A689" s="387"/>
      <c r="B689" s="388" t="s">
        <v>255</v>
      </c>
      <c r="C689" s="387"/>
      <c r="D689" s="389"/>
      <c r="E689" s="389"/>
      <c r="F689" s="389"/>
      <c r="G689" s="390"/>
      <c r="H689" s="427" t="s">
        <v>35</v>
      </c>
      <c r="I689" s="1596">
        <f ca="1">I707</f>
        <v>160</v>
      </c>
      <c r="J689" s="1596">
        <f ca="1">J707</f>
        <v>45</v>
      </c>
      <c r="K689" s="1593">
        <f ca="1">IF(I689&gt;0,J689*100/I689,0)</f>
        <v>28.125</v>
      </c>
      <c r="L689" s="1581"/>
      <c r="M689" s="393"/>
      <c r="N689" s="393"/>
      <c r="O689" s="393"/>
      <c r="P689" s="393"/>
      <c r="Q689" s="393"/>
      <c r="R689" s="393"/>
      <c r="S689" s="393"/>
      <c r="T689" s="393"/>
      <c r="U689" s="393"/>
    </row>
    <row r="690" spans="1:21" ht="19.5" x14ac:dyDescent="0.3">
      <c r="A690" s="128"/>
      <c r="B690" s="158"/>
      <c r="C690" s="177" t="s">
        <v>18</v>
      </c>
      <c r="D690" s="1585" t="s">
        <v>19</v>
      </c>
      <c r="E690" s="1285"/>
      <c r="F690" s="1285"/>
      <c r="G690" s="1286"/>
      <c r="H690" s="221" t="s">
        <v>14</v>
      </c>
      <c r="I690" s="44"/>
      <c r="J690" s="44"/>
      <c r="K690" s="45"/>
      <c r="L690" s="1389">
        <f>L691+L692</f>
        <v>0</v>
      </c>
      <c r="M690" s="1390">
        <f>M691+M692</f>
        <v>0</v>
      </c>
      <c r="N690" s="1390">
        <f>N691+N692</f>
        <v>0</v>
      </c>
      <c r="O690" s="1390">
        <f>IF(L690&gt;0,N690*100/L690,0)</f>
        <v>0</v>
      </c>
      <c r="P690" s="1390">
        <f>IF(M690&gt;0,N690*100/M690,0)</f>
        <v>0</v>
      </c>
      <c r="Q690" s="1390">
        <f ca="1">Q691+Q692</f>
        <v>268050</v>
      </c>
      <c r="R690" s="1390">
        <f ca="1">R691+R692</f>
        <v>268050</v>
      </c>
      <c r="S690" s="1390">
        <f ca="1">S691+S692</f>
        <v>74507.289999999994</v>
      </c>
      <c r="T690" s="1390">
        <f ca="1">IF(Q690&gt;0,S690*100/Q690,0)</f>
        <v>27.79604178324939</v>
      </c>
      <c r="U690" s="1390">
        <f ca="1">IF(R690&gt;0,S690*100/R690,0)</f>
        <v>27.79604178324939</v>
      </c>
    </row>
    <row r="691" spans="1:21" ht="18.75" x14ac:dyDescent="0.25">
      <c r="A691" s="128"/>
      <c r="B691" s="158"/>
      <c r="C691" s="158"/>
      <c r="D691" s="145"/>
      <c r="E691" s="156" t="s">
        <v>158</v>
      </c>
      <c r="F691" s="40"/>
      <c r="G691" s="42"/>
      <c r="H691" s="159" t="s">
        <v>14</v>
      </c>
      <c r="I691" s="44"/>
      <c r="J691" s="44"/>
      <c r="K691" s="45"/>
      <c r="L691" s="1358">
        <f>L694+L697</f>
        <v>0</v>
      </c>
      <c r="M691" s="83">
        <f>M694+M697</f>
        <v>0</v>
      </c>
      <c r="N691" s="83">
        <f>N694+N697</f>
        <v>0</v>
      </c>
      <c r="O691" s="83">
        <f>IF(L691&gt;0,N691*100/L691,0)</f>
        <v>0</v>
      </c>
      <c r="P691" s="83">
        <f>IF(M691&gt;0,N691*100/M691,0)</f>
        <v>0</v>
      </c>
      <c r="Q691" s="83">
        <f>Q694+Q697</f>
        <v>0</v>
      </c>
      <c r="R691" s="83">
        <f>R694+R697</f>
        <v>0</v>
      </c>
      <c r="S691" s="83">
        <f>S694+S697</f>
        <v>0</v>
      </c>
      <c r="T691" s="83">
        <f>IF(Q691&gt;0,S691*100/Q691,0)</f>
        <v>0</v>
      </c>
      <c r="U691" s="83">
        <f>IF(R691&gt;0,S691*100/R691,0)</f>
        <v>0</v>
      </c>
    </row>
    <row r="692" spans="1:21" ht="18.75" x14ac:dyDescent="0.25">
      <c r="A692" s="128"/>
      <c r="B692" s="158"/>
      <c r="C692" s="158"/>
      <c r="D692" s="145"/>
      <c r="E692" s="47" t="s">
        <v>159</v>
      </c>
      <c r="F692" s="40"/>
      <c r="G692" s="42"/>
      <c r="H692" s="134" t="s">
        <v>14</v>
      </c>
      <c r="I692" s="44"/>
      <c r="J692" s="44"/>
      <c r="K692" s="45"/>
      <c r="L692" s="1356">
        <f>L695+L698</f>
        <v>0</v>
      </c>
      <c r="M692" s="224">
        <f>M695+M698</f>
        <v>0</v>
      </c>
      <c r="N692" s="224">
        <f>N695+N698</f>
        <v>0</v>
      </c>
      <c r="O692" s="224">
        <f>IF(L692&gt;0,N692*100/L692,0)</f>
        <v>0</v>
      </c>
      <c r="P692" s="224">
        <f>IF(M692&gt;0,N692*100/M692,0)</f>
        <v>0</v>
      </c>
      <c r="Q692" s="224">
        <f ca="1">Q695+Q698</f>
        <v>268050</v>
      </c>
      <c r="R692" s="224">
        <f ca="1">R695+R698</f>
        <v>268050</v>
      </c>
      <c r="S692" s="224">
        <f ca="1">S695+S698</f>
        <v>74507.289999999994</v>
      </c>
      <c r="T692" s="224">
        <f ca="1">IF(Q692&gt;0,S692*100/Q692,0)</f>
        <v>27.79604178324939</v>
      </c>
      <c r="U692" s="224">
        <f ca="1">IF(R692&gt;0,S692*100/R692,0)</f>
        <v>27.79604178324939</v>
      </c>
    </row>
    <row r="693" spans="1:21" ht="18.75" x14ac:dyDescent="0.25">
      <c r="A693" s="128"/>
      <c r="B693" s="158"/>
      <c r="C693" s="158"/>
      <c r="D693" s="41" t="s">
        <v>22</v>
      </c>
      <c r="E693" s="40"/>
      <c r="F693" s="40"/>
      <c r="G693" s="42"/>
      <c r="H693" s="134" t="s">
        <v>14</v>
      </c>
      <c r="I693" s="135"/>
      <c r="J693" s="135"/>
      <c r="K693" s="136"/>
      <c r="L693" s="1356">
        <f>L694+L695</f>
        <v>0</v>
      </c>
      <c r="M693" s="224">
        <f>M694+M695</f>
        <v>0</v>
      </c>
      <c r="N693" s="224">
        <f>N694+N695</f>
        <v>0</v>
      </c>
      <c r="O693" s="224">
        <f>IF(L693&gt;0,N693*100/L693,0)</f>
        <v>0</v>
      </c>
      <c r="P693" s="224">
        <f>IF(M693&gt;0,N693*100/M693,0)</f>
        <v>0</v>
      </c>
      <c r="Q693" s="224">
        <f ca="1">Q694+Q695</f>
        <v>268050</v>
      </c>
      <c r="R693" s="224">
        <f ca="1">R694+R695</f>
        <v>268050</v>
      </c>
      <c r="S693" s="224">
        <f ca="1">S694+S695</f>
        <v>74507.289999999994</v>
      </c>
      <c r="T693" s="224">
        <f ca="1">IF(Q693&gt;0,S693*100/Q693,0)</f>
        <v>27.79604178324939</v>
      </c>
      <c r="U693" s="224">
        <f ca="1">IF(R693&gt;0,S693*100/R693,0)</f>
        <v>27.79604178324939</v>
      </c>
    </row>
    <row r="694" spans="1:21" ht="18.75" x14ac:dyDescent="0.25">
      <c r="A694" s="128"/>
      <c r="B694" s="158"/>
      <c r="C694" s="158"/>
      <c r="D694" s="145"/>
      <c r="E694" s="156" t="s">
        <v>158</v>
      </c>
      <c r="F694" s="40"/>
      <c r="G694" s="42"/>
      <c r="H694" s="159" t="s">
        <v>14</v>
      </c>
      <c r="I694" s="44"/>
      <c r="J694" s="44"/>
      <c r="K694" s="45"/>
      <c r="L694" s="1358">
        <v>0</v>
      </c>
      <c r="M694" s="83">
        <v>0</v>
      </c>
      <c r="N694" s="83">
        <v>0</v>
      </c>
      <c r="O694" s="83">
        <f>IF(L694&gt;0,N694*100/L694,0)</f>
        <v>0</v>
      </c>
      <c r="P694" s="83">
        <f>IF(M694&gt;0,N694*100/M694,0)</f>
        <v>0</v>
      </c>
      <c r="Q694" s="83">
        <v>0</v>
      </c>
      <c r="R694" s="83">
        <v>0</v>
      </c>
      <c r="S694" s="83">
        <v>0</v>
      </c>
      <c r="T694" s="83">
        <f>IF(Q694&gt;0,S694*100/Q694,0)</f>
        <v>0</v>
      </c>
      <c r="U694" s="83">
        <f>IF(R694&gt;0,S694*100/R694,0)</f>
        <v>0</v>
      </c>
    </row>
    <row r="695" spans="1:21" ht="18.75" x14ac:dyDescent="0.25">
      <c r="A695" s="128"/>
      <c r="B695" s="158"/>
      <c r="C695" s="158"/>
      <c r="D695" s="145"/>
      <c r="E695" s="47" t="s">
        <v>159</v>
      </c>
      <c r="F695" s="40"/>
      <c r="G695" s="42"/>
      <c r="H695" s="134" t="s">
        <v>14</v>
      </c>
      <c r="I695" s="44"/>
      <c r="J695" s="44"/>
      <c r="K695" s="45"/>
      <c r="L695" s="1356">
        <v>0</v>
      </c>
      <c r="M695" s="224">
        <v>0</v>
      </c>
      <c r="N695" s="224">
        <v>0</v>
      </c>
      <c r="O695" s="224">
        <f>IF(L695&gt;0,N695*100/L695,0)</f>
        <v>0</v>
      </c>
      <c r="P695" s="224">
        <f>IF(M695&gt;0,N695*100/M695,0)</f>
        <v>0</v>
      </c>
      <c r="Q695" s="224">
        <f ca="1">IFERROR(__xludf.DUMMYFUNCTION("IMPORTRANGE(""https://docs.google.com/spreadsheets/d/1ItG2mGa2ceCfYo0BwxsXqNm01IGEUdYcSSLTEv9YCik/edit?usp=sharing"",""เบิกจ่ายกองทุน!L28"")"),268050)</f>
        <v>268050</v>
      </c>
      <c r="R695" s="224">
        <f ca="1">IFERROR(__xludf.DUMMYFUNCTION("IMPORTRANGE(""https://docs.google.com/spreadsheets/d/1ItG2mGa2ceCfYo0BwxsXqNm01IGEUdYcSSLTEv9YCik/edit?usp=sharing"",""เบิกจ่ายกองทุน!M28"")"),268050)</f>
        <v>268050</v>
      </c>
      <c r="S695" s="224">
        <f ca="1">IFERROR(__xludf.DUMMYFUNCTION("IMPORTRANGE(""https://docs.google.com/spreadsheets/d/1ItG2mGa2ceCfYo0BwxsXqNm01IGEUdYcSSLTEv9YCik/edit?usp=sharing"",""เบิกจ่ายกองทุน!N28"")"),74507.29)</f>
        <v>74507.289999999994</v>
      </c>
      <c r="T695" s="224">
        <f ca="1">IF(Q695&gt;0,S695*100/Q695,0)</f>
        <v>27.79604178324939</v>
      </c>
      <c r="U695" s="224">
        <f ca="1">IF(R695&gt;0,S695*100/R695,0)</f>
        <v>27.79604178324939</v>
      </c>
    </row>
    <row r="696" spans="1:21" ht="18.75" x14ac:dyDescent="0.25">
      <c r="A696" s="128"/>
      <c r="B696" s="158"/>
      <c r="C696" s="158"/>
      <c r="D696" s="41" t="s">
        <v>23</v>
      </c>
      <c r="E696" s="40"/>
      <c r="F696" s="40"/>
      <c r="G696" s="42"/>
      <c r="H696" s="137" t="s">
        <v>14</v>
      </c>
      <c r="I696" s="135"/>
      <c r="J696" s="135"/>
      <c r="K696" s="136"/>
      <c r="L696" s="1356">
        <f>L697+L698</f>
        <v>0</v>
      </c>
      <c r="M696" s="224">
        <f>M697+M698</f>
        <v>0</v>
      </c>
      <c r="N696" s="224">
        <f>N697+N698</f>
        <v>0</v>
      </c>
      <c r="O696" s="224">
        <f>IF(L696&gt;0,N696*100/L696,0)</f>
        <v>0</v>
      </c>
      <c r="P696" s="224">
        <f>IF(M696&gt;0,N696*100/M696,0)</f>
        <v>0</v>
      </c>
      <c r="Q696" s="224">
        <f>Q697+Q698</f>
        <v>0</v>
      </c>
      <c r="R696" s="224">
        <f>R697+R698</f>
        <v>0</v>
      </c>
      <c r="S696" s="224">
        <f>S697+S698</f>
        <v>0</v>
      </c>
      <c r="T696" s="224">
        <f>IF(Q696&gt;0,S696*100/Q696,0)</f>
        <v>0</v>
      </c>
      <c r="U696" s="224">
        <f>IF(R696&gt;0,S696*100/R696,0)</f>
        <v>0</v>
      </c>
    </row>
    <row r="697" spans="1:21" ht="18.75" x14ac:dyDescent="0.25">
      <c r="A697" s="128"/>
      <c r="B697" s="158"/>
      <c r="C697" s="158"/>
      <c r="D697" s="40"/>
      <c r="E697" s="156" t="s">
        <v>20</v>
      </c>
      <c r="F697" s="40"/>
      <c r="G697" s="42"/>
      <c r="H697" s="159" t="s">
        <v>14</v>
      </c>
      <c r="I697" s="135"/>
      <c r="J697" s="135"/>
      <c r="K697" s="136"/>
      <c r="L697" s="1358">
        <v>0</v>
      </c>
      <c r="M697" s="83">
        <v>0</v>
      </c>
      <c r="N697" s="83">
        <v>0</v>
      </c>
      <c r="O697" s="83">
        <f>IF(L697&gt;0,N697*100/L697,0)</f>
        <v>0</v>
      </c>
      <c r="P697" s="83">
        <f>IF(M697&gt;0,N697*100/M697,0)</f>
        <v>0</v>
      </c>
      <c r="Q697" s="83">
        <v>0</v>
      </c>
      <c r="R697" s="83">
        <v>0</v>
      </c>
      <c r="S697" s="83">
        <v>0</v>
      </c>
      <c r="T697" s="83">
        <f>IF(Q697&gt;0,S697*100/Q697,0)</f>
        <v>0</v>
      </c>
      <c r="U697" s="83">
        <f>IF(R697&gt;0,S697*100/R697,0)</f>
        <v>0</v>
      </c>
    </row>
    <row r="698" spans="1:21" ht="18.75" x14ac:dyDescent="0.25">
      <c r="A698" s="128"/>
      <c r="B698" s="158"/>
      <c r="C698" s="158"/>
      <c r="D698" s="40"/>
      <c r="E698" s="47" t="s">
        <v>21</v>
      </c>
      <c r="F698" s="40"/>
      <c r="G698" s="42"/>
      <c r="H698" s="137" t="s">
        <v>14</v>
      </c>
      <c r="I698" s="135"/>
      <c r="J698" s="135"/>
      <c r="K698" s="136"/>
      <c r="L698" s="1356">
        <v>0</v>
      </c>
      <c r="M698" s="224">
        <v>0</v>
      </c>
      <c r="N698" s="224">
        <v>0</v>
      </c>
      <c r="O698" s="224">
        <f>IF(L698&gt;0,N698*100/L698,0)</f>
        <v>0</v>
      </c>
      <c r="P698" s="224">
        <f>IF(M698&gt;0,N698*100/M698,0)</f>
        <v>0</v>
      </c>
      <c r="Q698" s="224">
        <v>0</v>
      </c>
      <c r="R698" s="224">
        <v>0</v>
      </c>
      <c r="S698" s="224">
        <v>0</v>
      </c>
      <c r="T698" s="224">
        <f>IF(Q698&gt;0,S698*100/Q698,0)</f>
        <v>0</v>
      </c>
      <c r="U698" s="224">
        <f>IF(R698&gt;0,S698*100/R698,0)</f>
        <v>0</v>
      </c>
    </row>
    <row r="699" spans="1:21" ht="19.5" x14ac:dyDescent="0.3">
      <c r="A699" s="138"/>
      <c r="B699" s="139"/>
      <c r="C699" s="177" t="s">
        <v>18</v>
      </c>
      <c r="D699" s="1391" t="s">
        <v>38</v>
      </c>
      <c r="E699" s="141"/>
      <c r="F699" s="141"/>
      <c r="G699" s="141"/>
      <c r="H699" s="178"/>
      <c r="I699" s="135"/>
      <c r="J699" s="135"/>
      <c r="K699" s="136"/>
      <c r="L699" s="1359"/>
      <c r="M699" s="45"/>
      <c r="N699" s="45"/>
      <c r="O699" s="45"/>
      <c r="P699" s="45"/>
      <c r="Q699" s="45"/>
      <c r="R699" s="45"/>
      <c r="S699" s="45"/>
      <c r="T699" s="45"/>
      <c r="U699" s="45"/>
    </row>
    <row r="700" spans="1:21" ht="18.75" x14ac:dyDescent="0.25">
      <c r="A700" s="208"/>
      <c r="B700" s="158"/>
      <c r="C700" s="158"/>
      <c r="D700" s="145"/>
      <c r="E700" s="144" t="s">
        <v>256</v>
      </c>
      <c r="F700" s="145"/>
      <c r="G700" s="143"/>
      <c r="H700" s="137" t="s">
        <v>257</v>
      </c>
      <c r="I700" s="184">
        <f ca="1">IFERROR(__xludf.DUMMYFUNCTION("IMPORTRANGE(""https://docs.google.com/spreadsheets/d/1eHaY18a8A9IcSdp1K8H6x8fbOy06t2VsZHhMHf-1x7Y/edit?usp=sharing"",""แผน!LC28"")"),0)</f>
        <v>0</v>
      </c>
      <c r="J700" s="1395">
        <v>0</v>
      </c>
      <c r="K700" s="1396">
        <f ca="1">IF(I700&gt;0,J700*100/I700,0)</f>
        <v>0</v>
      </c>
      <c r="L700" s="1392"/>
      <c r="M700" s="136"/>
      <c r="N700" s="45"/>
      <c r="O700" s="136"/>
      <c r="P700" s="136"/>
      <c r="Q700" s="136"/>
      <c r="R700" s="136"/>
      <c r="S700" s="45"/>
      <c r="T700" s="136"/>
      <c r="U700" s="136"/>
    </row>
    <row r="701" spans="1:21" ht="19.5" x14ac:dyDescent="0.3">
      <c r="A701" s="208"/>
      <c r="B701" s="158"/>
      <c r="C701" s="158"/>
      <c r="D701" s="145"/>
      <c r="E701" s="417" t="s">
        <v>258</v>
      </c>
      <c r="F701" s="145"/>
      <c r="G701" s="143"/>
      <c r="H701" s="131" t="s">
        <v>35</v>
      </c>
      <c r="I701" s="328">
        <f ca="1">I703+I705</f>
        <v>163</v>
      </c>
      <c r="J701" s="328">
        <f ca="1">J703+J705</f>
        <v>48</v>
      </c>
      <c r="K701" s="1390">
        <f ca="1">IF(I701&gt;0,J701*100/I701,0)</f>
        <v>29.447852760736197</v>
      </c>
      <c r="L701" s="1392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08"/>
      <c r="B702" s="158"/>
      <c r="C702" s="158"/>
      <c r="D702" s="145"/>
      <c r="E702" s="145"/>
      <c r="F702" s="145"/>
      <c r="G702" s="143"/>
      <c r="H702" s="131" t="s">
        <v>46</v>
      </c>
      <c r="I702" s="328">
        <v>0</v>
      </c>
      <c r="J702" s="328">
        <f ca="1">J704+J706</f>
        <v>47.8</v>
      </c>
      <c r="K702" s="1390">
        <f>IF(I702&gt;0,J702*100/I702,0)</f>
        <v>0</v>
      </c>
      <c r="L702" s="1392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08"/>
      <c r="B703" s="158"/>
      <c r="C703" s="158"/>
      <c r="D703" s="145"/>
      <c r="E703" s="145"/>
      <c r="F703" s="144" t="s">
        <v>259</v>
      </c>
      <c r="G703" s="143"/>
      <c r="H703" s="137" t="s">
        <v>35</v>
      </c>
      <c r="I703" s="184">
        <f ca="1">IFERROR(__xludf.DUMMYFUNCTION("IMPORTRANGE(""https://docs.google.com/spreadsheets/d/1eHaY18a8A9IcSdp1K8H6x8fbOy06t2VsZHhMHf-1x7Y/edit?usp=sharing"",""แผน!LJ28"")"),160)</f>
        <v>160</v>
      </c>
      <c r="J703" s="184">
        <f ca="1">IFERROR(__xludf.DUMMYFUNCTION("IMPORTRANGE(""https://docs.google.com/spreadsheets/d/1tdoBKaGub7dwA3U6UFTqxio9LNnvDCQjHKmttSEBsFQ/edit?usp=sharing"",""จัดที่ดิน!AP28"")"),48)</f>
        <v>48</v>
      </c>
      <c r="K703" s="224">
        <f ca="1">IF(I703&gt;0,J703*100/I703,0)</f>
        <v>30</v>
      </c>
      <c r="L703" s="1392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8"/>
      <c r="B704" s="158"/>
      <c r="C704" s="158"/>
      <c r="D704" s="145"/>
      <c r="E704" s="145"/>
      <c r="F704" s="145"/>
      <c r="G704" s="143"/>
      <c r="H704" s="137" t="s">
        <v>46</v>
      </c>
      <c r="I704" s="184">
        <v>0</v>
      </c>
      <c r="J704" s="184">
        <f ca="1">IFERROR(__xludf.DUMMYFUNCTION("IMPORTRANGE(""https://docs.google.com/spreadsheets/d/1tdoBKaGub7dwA3U6UFTqxio9LNnvDCQjHKmttSEBsFQ/edit?usp=sharing"",""จัดที่ดิน!AQ28"")"),47.8)</f>
        <v>47.8</v>
      </c>
      <c r="K704" s="224">
        <f>IF(I704&gt;0,J704*100/I704,0)</f>
        <v>0</v>
      </c>
      <c r="L704" s="1392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8"/>
      <c r="B705" s="158"/>
      <c r="C705" s="158"/>
      <c r="D705" s="145"/>
      <c r="E705" s="145"/>
      <c r="F705" s="144" t="s">
        <v>260</v>
      </c>
      <c r="G705" s="143"/>
      <c r="H705" s="137" t="s">
        <v>35</v>
      </c>
      <c r="I705" s="184">
        <f ca="1">IFERROR(__xludf.DUMMYFUNCTION("IMPORTRANGE(""https://docs.google.com/spreadsheets/d/1eHaY18a8A9IcSdp1K8H6x8fbOy06t2VsZHhMHf-1x7Y/edit?usp=sharing"",""แผน!LK28"")"),3)</f>
        <v>3</v>
      </c>
      <c r="J705" s="184">
        <f ca="1">IFERROR(__xludf.DUMMYFUNCTION("IMPORTRANGE(""https://docs.google.com/spreadsheets/d/1tdoBKaGub7dwA3U6UFTqxio9LNnvDCQjHKmttSEBsFQ/edit?usp=sharing"",""จัดที่ดิน!AR28"")"),0)</f>
        <v>0</v>
      </c>
      <c r="K705" s="1396">
        <f ca="1">IF(I705&gt;0,J705*100/I705,0)</f>
        <v>0</v>
      </c>
      <c r="L705" s="1392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8"/>
      <c r="B706" s="158"/>
      <c r="C706" s="158"/>
      <c r="D706" s="145"/>
      <c r="E706" s="145"/>
      <c r="F706" s="145"/>
      <c r="G706" s="143"/>
      <c r="H706" s="137" t="s">
        <v>46</v>
      </c>
      <c r="I706" s="184">
        <v>0</v>
      </c>
      <c r="J706" s="184">
        <f ca="1">IFERROR(__xludf.DUMMYFUNCTION("IMPORTRANGE(""https://docs.google.com/spreadsheets/d/1tdoBKaGub7dwA3U6UFTqxio9LNnvDCQjHKmttSEBsFQ/edit?usp=sharing"",""จัดที่ดิน!AS28"")"),0)</f>
        <v>0</v>
      </c>
      <c r="K706" s="224">
        <f>IF(I706&gt;0,J706*100/I706,0)</f>
        <v>0</v>
      </c>
      <c r="L706" s="1392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8"/>
      <c r="B707" s="158"/>
      <c r="C707" s="158"/>
      <c r="D707" s="145"/>
      <c r="E707" s="144" t="s">
        <v>261</v>
      </c>
      <c r="F707" s="145"/>
      <c r="G707" s="143"/>
      <c r="H707" s="134" t="s">
        <v>35</v>
      </c>
      <c r="I707" s="184">
        <f ca="1">IFERROR(__xludf.DUMMYFUNCTION("IMPORTRANGE(""https://docs.google.com/spreadsheets/d/1eHaY18a8A9IcSdp1K8H6x8fbOy06t2VsZHhMHf-1x7Y/edit?usp=sharing"",""แผน!LJ28"")"),160)</f>
        <v>160</v>
      </c>
      <c r="J707" s="184">
        <f ca="1">IFERROR(__xludf.DUMMYFUNCTION("IMPORTRANGE(""https://docs.google.com/spreadsheets/d/1tdoBKaGub7dwA3U6UFTqxio9LNnvDCQjHKmttSEBsFQ/edit?usp=sharing"",""จัดที่ดิน!BN28"")"),45)</f>
        <v>45</v>
      </c>
      <c r="K707" s="224">
        <f ca="1">IF(I707&gt;0,J707*100/I707,0)</f>
        <v>28.125</v>
      </c>
      <c r="L707" s="1392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8"/>
      <c r="B708" s="158"/>
      <c r="C708" s="158"/>
      <c r="D708" s="145"/>
      <c r="E708" s="418" t="s">
        <v>262</v>
      </c>
      <c r="F708" s="145"/>
      <c r="G708" s="143"/>
      <c r="H708" s="134" t="s">
        <v>46</v>
      </c>
      <c r="I708" s="184">
        <v>0</v>
      </c>
      <c r="J708" s="184">
        <f ca="1">IFERROR(__xludf.DUMMYFUNCTION("IMPORTRANGE(""https://docs.google.com/spreadsheets/d/1tdoBKaGub7dwA3U6UFTqxio9LNnvDCQjHKmttSEBsFQ/edit?usp=sharing"",""จัดที่ดิน!BO28"")"),44)</f>
        <v>44</v>
      </c>
      <c r="K708" s="224">
        <f>IF(I708&gt;0,J708*100/I708,0)</f>
        <v>0</v>
      </c>
      <c r="L708" s="1392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8"/>
      <c r="B709" s="158"/>
      <c r="C709" s="158"/>
      <c r="D709" s="40"/>
      <c r="E709" s="47" t="s">
        <v>263</v>
      </c>
      <c r="F709" s="40"/>
      <c r="G709" s="42"/>
      <c r="H709" s="175" t="s">
        <v>35</v>
      </c>
      <c r="I709" s="184">
        <f ca="1">IFERROR(__xludf.DUMMYFUNCTION("IMPORTRANGE(""https://docs.google.com/spreadsheets/d/1eHaY18a8A9IcSdp1K8H6x8fbOy06t2VsZHhMHf-1x7Y/edit?usp=sharing"",""แผน!LK28"")"),3)</f>
        <v>3</v>
      </c>
      <c r="J709" s="184">
        <f ca="1">IFERROR(__xludf.DUMMYFUNCTION("IMPORTRANGE(""https://docs.google.com/spreadsheets/d/1tdoBKaGub7dwA3U6UFTqxio9LNnvDCQjHKmttSEBsFQ/edit?usp=sharing"",""จัดที่ดิน!BP28"")"),12)</f>
        <v>12</v>
      </c>
      <c r="K709" s="224">
        <f ca="1">IF(I709&gt;0,J709*100/I709,0)</f>
        <v>400</v>
      </c>
      <c r="L709" s="1359"/>
      <c r="M709" s="45"/>
      <c r="N709" s="45"/>
      <c r="O709" s="45"/>
      <c r="P709" s="45"/>
      <c r="Q709" s="45"/>
      <c r="R709" s="45"/>
      <c r="S709" s="45"/>
      <c r="T709" s="45"/>
      <c r="U709" s="45"/>
    </row>
    <row r="710" spans="1:21" ht="18.75" x14ac:dyDescent="0.25">
      <c r="A710" s="208"/>
      <c r="B710" s="158"/>
      <c r="C710" s="158"/>
      <c r="D710" s="40"/>
      <c r="E710" s="418" t="s">
        <v>264</v>
      </c>
      <c r="F710" s="40"/>
      <c r="G710" s="42"/>
      <c r="H710" s="175" t="s">
        <v>46</v>
      </c>
      <c r="I710" s="184">
        <v>0</v>
      </c>
      <c r="J710" s="184">
        <f ca="1">IFERROR(__xludf.DUMMYFUNCTION("IMPORTRANGE(""https://docs.google.com/spreadsheets/d/1tdoBKaGub7dwA3U6UFTqxio9LNnvDCQjHKmttSEBsFQ/edit?usp=sharing"",""จัดที่ดิน!BQ28"")"),0)</f>
        <v>0</v>
      </c>
      <c r="K710" s="224">
        <f>IF(I710&gt;0,J710*100/I710,0)</f>
        <v>0</v>
      </c>
      <c r="L710" s="1359"/>
      <c r="M710" s="45"/>
      <c r="N710" s="45"/>
      <c r="O710" s="45"/>
      <c r="P710" s="45"/>
      <c r="Q710" s="45"/>
      <c r="R710" s="45"/>
      <c r="S710" s="45"/>
      <c r="T710" s="45"/>
      <c r="U710" s="45"/>
    </row>
    <row r="711" spans="1:21" ht="12.75" x14ac:dyDescent="0.2">
      <c r="A711" s="360"/>
      <c r="B711" s="316"/>
      <c r="C711" s="316"/>
      <c r="D711" s="361"/>
      <c r="E711" s="361"/>
      <c r="F711" s="361"/>
      <c r="G711" s="362"/>
      <c r="H711" s="317"/>
      <c r="I711" s="318"/>
      <c r="J711" s="318"/>
      <c r="K711" s="319"/>
      <c r="L711" s="1537"/>
      <c r="M711" s="319"/>
      <c r="N711" s="319"/>
      <c r="O711" s="319"/>
      <c r="P711" s="319"/>
      <c r="Q711" s="319"/>
      <c r="R711" s="319"/>
      <c r="S711" s="319"/>
      <c r="T711" s="319"/>
      <c r="U711" s="319"/>
    </row>
    <row r="712" spans="1:21" ht="19.5" x14ac:dyDescent="0.3">
      <c r="A712" s="387"/>
      <c r="B712" s="419" t="s">
        <v>265</v>
      </c>
      <c r="C712" s="387"/>
      <c r="D712" s="389"/>
      <c r="E712" s="389"/>
      <c r="F712" s="389"/>
      <c r="G712" s="390"/>
      <c r="H712" s="420" t="s">
        <v>46</v>
      </c>
      <c r="I712" s="392"/>
      <c r="J712" s="392">
        <f>J724</f>
        <v>0</v>
      </c>
      <c r="K712" s="1594">
        <f>IF(I712&gt;0,J712*100/I712,0)</f>
        <v>0</v>
      </c>
      <c r="L712" s="1581"/>
      <c r="M712" s="393"/>
      <c r="N712" s="393"/>
      <c r="O712" s="393"/>
      <c r="P712" s="393"/>
      <c r="Q712" s="393"/>
      <c r="R712" s="393"/>
      <c r="S712" s="393"/>
      <c r="T712" s="393"/>
      <c r="U712" s="393"/>
    </row>
    <row r="713" spans="1:21" ht="19.5" x14ac:dyDescent="0.3">
      <c r="A713" s="387"/>
      <c r="B713" s="419" t="s">
        <v>266</v>
      </c>
      <c r="C713" s="387"/>
      <c r="D713" s="389"/>
      <c r="E713" s="389"/>
      <c r="F713" s="389"/>
      <c r="G713" s="390"/>
      <c r="H713" s="391"/>
      <c r="I713" s="392"/>
      <c r="J713" s="392"/>
      <c r="K713" s="393"/>
      <c r="L713" s="1581"/>
      <c r="M713" s="393"/>
      <c r="N713" s="393"/>
      <c r="O713" s="393"/>
      <c r="P713" s="393"/>
      <c r="Q713" s="393"/>
      <c r="R713" s="393"/>
      <c r="S713" s="393"/>
      <c r="T713" s="393"/>
      <c r="U713" s="393"/>
    </row>
    <row r="714" spans="1:21" ht="19.5" x14ac:dyDescent="0.3">
      <c r="A714" s="128"/>
      <c r="B714" s="158"/>
      <c r="C714" s="314" t="s">
        <v>18</v>
      </c>
      <c r="D714" s="1569" t="s">
        <v>19</v>
      </c>
      <c r="E714" s="1285"/>
      <c r="F714" s="1285"/>
      <c r="G714" s="1286"/>
      <c r="H714" s="375" t="s">
        <v>14</v>
      </c>
      <c r="I714" s="44"/>
      <c r="J714" s="44"/>
      <c r="K714" s="45"/>
      <c r="L714" s="1389">
        <f>L715+L716</f>
        <v>0</v>
      </c>
      <c r="M714" s="1390">
        <f>M715+M716</f>
        <v>0</v>
      </c>
      <c r="N714" s="1390">
        <f>N715+N716</f>
        <v>0</v>
      </c>
      <c r="O714" s="1390">
        <f>IF(L714&gt;0,N714*100/L714,0)</f>
        <v>0</v>
      </c>
      <c r="P714" s="1390">
        <f>IF(M714&gt;0,N714*100/M714,0)</f>
        <v>0</v>
      </c>
      <c r="Q714" s="1390">
        <f>Q715+Q716</f>
        <v>0</v>
      </c>
      <c r="R714" s="1390">
        <f>R715+R716</f>
        <v>0</v>
      </c>
      <c r="S714" s="1390">
        <f>S715+S716</f>
        <v>0</v>
      </c>
      <c r="T714" s="1390">
        <f>IF(Q714&gt;0,S714*100/Q714,0)</f>
        <v>0</v>
      </c>
      <c r="U714" s="1390">
        <f>IF(R714&gt;0,S714*100/R714,0)</f>
        <v>0</v>
      </c>
    </row>
    <row r="715" spans="1:21" ht="18.75" x14ac:dyDescent="0.25">
      <c r="A715" s="128"/>
      <c r="B715" s="158"/>
      <c r="C715" s="158"/>
      <c r="D715" s="145"/>
      <c r="E715" s="156" t="s">
        <v>158</v>
      </c>
      <c r="F715" s="40"/>
      <c r="G715" s="42"/>
      <c r="H715" s="159" t="s">
        <v>14</v>
      </c>
      <c r="I715" s="44"/>
      <c r="J715" s="44"/>
      <c r="K715" s="45"/>
      <c r="L715" s="1358">
        <f>L718+L721</f>
        <v>0</v>
      </c>
      <c r="M715" s="83">
        <f>M718+M721</f>
        <v>0</v>
      </c>
      <c r="N715" s="83">
        <f>N718+N721</f>
        <v>0</v>
      </c>
      <c r="O715" s="83">
        <f>IF(L715&gt;0,N715*100/L715,0)</f>
        <v>0</v>
      </c>
      <c r="P715" s="83">
        <f>IF(M715&gt;0,N715*100/M715,0)</f>
        <v>0</v>
      </c>
      <c r="Q715" s="83">
        <f>Q718+Q721</f>
        <v>0</v>
      </c>
      <c r="R715" s="83">
        <f>R718+R721</f>
        <v>0</v>
      </c>
      <c r="S715" s="83">
        <f>S718+S721</f>
        <v>0</v>
      </c>
      <c r="T715" s="83">
        <f>IF(Q715&gt;0,S715*100/Q715,0)</f>
        <v>0</v>
      </c>
      <c r="U715" s="83">
        <f>IF(R715&gt;0,S715*100/R715,0)</f>
        <v>0</v>
      </c>
    </row>
    <row r="716" spans="1:21" ht="18.75" x14ac:dyDescent="0.25">
      <c r="A716" s="128"/>
      <c r="B716" s="158"/>
      <c r="C716" s="158"/>
      <c r="D716" s="145"/>
      <c r="E716" s="156" t="s">
        <v>159</v>
      </c>
      <c r="F716" s="40"/>
      <c r="G716" s="42"/>
      <c r="H716" s="159" t="s">
        <v>14</v>
      </c>
      <c r="I716" s="44"/>
      <c r="J716" s="44"/>
      <c r="K716" s="45"/>
      <c r="L716" s="1356">
        <f>L719+L722</f>
        <v>0</v>
      </c>
      <c r="M716" s="224">
        <f>M719+M722</f>
        <v>0</v>
      </c>
      <c r="N716" s="224">
        <f>N719+N722</f>
        <v>0</v>
      </c>
      <c r="O716" s="224">
        <f>IF(L716&gt;0,N716*100/L716,0)</f>
        <v>0</v>
      </c>
      <c r="P716" s="224">
        <f>IF(M716&gt;0,N716*100/M716,0)</f>
        <v>0</v>
      </c>
      <c r="Q716" s="224">
        <f>Q719+Q722</f>
        <v>0</v>
      </c>
      <c r="R716" s="224">
        <f>R719+R722</f>
        <v>0</v>
      </c>
      <c r="S716" s="224">
        <f>S719+S722</f>
        <v>0</v>
      </c>
      <c r="T716" s="224">
        <f>IF(Q716&gt;0,S716*100/Q716,0)</f>
        <v>0</v>
      </c>
      <c r="U716" s="224">
        <f>IF(R716&gt;0,S716*100/R716,0)</f>
        <v>0</v>
      </c>
    </row>
    <row r="717" spans="1:21" ht="19.5" x14ac:dyDescent="0.3">
      <c r="A717" s="128"/>
      <c r="B717" s="158"/>
      <c r="C717" s="158"/>
      <c r="D717" s="1434" t="s">
        <v>22</v>
      </c>
      <c r="E717" s="40"/>
      <c r="F717" s="40"/>
      <c r="G717" s="42"/>
      <c r="H717" s="375" t="s">
        <v>14</v>
      </c>
      <c r="I717" s="135"/>
      <c r="J717" s="135"/>
      <c r="K717" s="136"/>
      <c r="L717" s="1356">
        <f>L718+L719</f>
        <v>0</v>
      </c>
      <c r="M717" s="224">
        <f>M718+M719</f>
        <v>0</v>
      </c>
      <c r="N717" s="224">
        <f>N718+N719</f>
        <v>0</v>
      </c>
      <c r="O717" s="224">
        <f>IF(L717&gt;0,N717*100/L717,0)</f>
        <v>0</v>
      </c>
      <c r="P717" s="224">
        <f>IF(M717&gt;0,N717*100/M717,0)</f>
        <v>0</v>
      </c>
      <c r="Q717" s="224">
        <f>Q718+Q719</f>
        <v>0</v>
      </c>
      <c r="R717" s="224">
        <f>R718+R719</f>
        <v>0</v>
      </c>
      <c r="S717" s="224">
        <f>S718+S719</f>
        <v>0</v>
      </c>
      <c r="T717" s="224">
        <f>IF(Q717&gt;0,S717*100/Q717,0)</f>
        <v>0</v>
      </c>
      <c r="U717" s="224">
        <f>IF(R717&gt;0,S717*100/R717,0)</f>
        <v>0</v>
      </c>
    </row>
    <row r="718" spans="1:21" ht="18.75" x14ac:dyDescent="0.25">
      <c r="A718" s="128"/>
      <c r="B718" s="158"/>
      <c r="C718" s="158"/>
      <c r="D718" s="145"/>
      <c r="E718" s="156" t="s">
        <v>158</v>
      </c>
      <c r="F718" s="40"/>
      <c r="G718" s="42"/>
      <c r="H718" s="159" t="s">
        <v>14</v>
      </c>
      <c r="I718" s="44"/>
      <c r="J718" s="44"/>
      <c r="K718" s="45"/>
      <c r="L718" s="1358">
        <v>0</v>
      </c>
      <c r="M718" s="83">
        <v>0</v>
      </c>
      <c r="N718" s="83">
        <v>0</v>
      </c>
      <c r="O718" s="83">
        <f>IF(L718&gt;0,N718*100/L718,0)</f>
        <v>0</v>
      </c>
      <c r="P718" s="83">
        <f>IF(M718&gt;0,N718*100/M718,0)</f>
        <v>0</v>
      </c>
      <c r="Q718" s="83">
        <v>0</v>
      </c>
      <c r="R718" s="83">
        <v>0</v>
      </c>
      <c r="S718" s="83">
        <v>0</v>
      </c>
      <c r="T718" s="83">
        <f>IF(Q718&gt;0,S718*100/Q718,0)</f>
        <v>0</v>
      </c>
      <c r="U718" s="83">
        <f>IF(R718&gt;0,S718*100/R718,0)</f>
        <v>0</v>
      </c>
    </row>
    <row r="719" spans="1:21" ht="18.75" x14ac:dyDescent="0.25">
      <c r="A719" s="128"/>
      <c r="B719" s="158"/>
      <c r="C719" s="158"/>
      <c r="D719" s="145"/>
      <c r="E719" s="156" t="s">
        <v>159</v>
      </c>
      <c r="F719" s="40"/>
      <c r="G719" s="42"/>
      <c r="H719" s="159" t="s">
        <v>14</v>
      </c>
      <c r="I719" s="44"/>
      <c r="J719" s="44"/>
      <c r="K719" s="45"/>
      <c r="L719" s="1356">
        <v>0</v>
      </c>
      <c r="M719" s="224">
        <v>0</v>
      </c>
      <c r="N719" s="224">
        <v>0</v>
      </c>
      <c r="O719" s="224">
        <f>IF(L719&gt;0,N719*100/L719,0)</f>
        <v>0</v>
      </c>
      <c r="P719" s="224">
        <f>IF(M719&gt;0,N719*100/M719,0)</f>
        <v>0</v>
      </c>
      <c r="Q719" s="224">
        <v>0</v>
      </c>
      <c r="R719" s="224">
        <v>0</v>
      </c>
      <c r="S719" s="224">
        <v>0</v>
      </c>
      <c r="T719" s="224">
        <f>IF(Q719&gt;0,S719*100/Q719,0)</f>
        <v>0</v>
      </c>
      <c r="U719" s="224">
        <f>IF(R719&gt;0,S719*100/R719,0)</f>
        <v>0</v>
      </c>
    </row>
    <row r="720" spans="1:21" ht="19.5" x14ac:dyDescent="0.3">
      <c r="A720" s="128"/>
      <c r="B720" s="158"/>
      <c r="C720" s="158"/>
      <c r="D720" s="1434" t="s">
        <v>23</v>
      </c>
      <c r="E720" s="40"/>
      <c r="F720" s="40"/>
      <c r="G720" s="42"/>
      <c r="H720" s="377" t="s">
        <v>14</v>
      </c>
      <c r="I720" s="135"/>
      <c r="J720" s="135"/>
      <c r="K720" s="136"/>
      <c r="L720" s="1356">
        <f>L721+L722</f>
        <v>0</v>
      </c>
      <c r="M720" s="224">
        <f>M721+M722</f>
        <v>0</v>
      </c>
      <c r="N720" s="224">
        <f>N721+N722</f>
        <v>0</v>
      </c>
      <c r="O720" s="224">
        <f>IF(L720&gt;0,N720*100/L720,0)</f>
        <v>0</v>
      </c>
      <c r="P720" s="224">
        <f>IF(M720&gt;0,N720*100/M720,0)</f>
        <v>0</v>
      </c>
      <c r="Q720" s="224">
        <f>Q721+Q722</f>
        <v>0</v>
      </c>
      <c r="R720" s="224">
        <f>R721+R722</f>
        <v>0</v>
      </c>
      <c r="S720" s="224">
        <f>S721+S722</f>
        <v>0</v>
      </c>
      <c r="T720" s="224">
        <f>IF(Q720&gt;0,S720*100/Q720,0)</f>
        <v>0</v>
      </c>
      <c r="U720" s="224">
        <f>IF(R720&gt;0,S720*100/R720,0)</f>
        <v>0</v>
      </c>
    </row>
    <row r="721" spans="1:21" ht="18.75" x14ac:dyDescent="0.25">
      <c r="A721" s="128"/>
      <c r="B721" s="158"/>
      <c r="C721" s="158"/>
      <c r="D721" s="40"/>
      <c r="E721" s="156" t="s">
        <v>20</v>
      </c>
      <c r="F721" s="40"/>
      <c r="G721" s="42"/>
      <c r="H721" s="159" t="s">
        <v>14</v>
      </c>
      <c r="I721" s="135"/>
      <c r="J721" s="135"/>
      <c r="K721" s="136"/>
      <c r="L721" s="1358">
        <v>0</v>
      </c>
      <c r="M721" s="83">
        <v>0</v>
      </c>
      <c r="N721" s="83">
        <v>0</v>
      </c>
      <c r="O721" s="83">
        <f>IF(L721&gt;0,N721*100/L721,0)</f>
        <v>0</v>
      </c>
      <c r="P721" s="83">
        <f>IF(M721&gt;0,N721*100/M721,0)</f>
        <v>0</v>
      </c>
      <c r="Q721" s="83">
        <v>0</v>
      </c>
      <c r="R721" s="83">
        <v>0</v>
      </c>
      <c r="S721" s="83">
        <v>0</v>
      </c>
      <c r="T721" s="83">
        <f>IF(Q721&gt;0,S721*100/Q721,0)</f>
        <v>0</v>
      </c>
      <c r="U721" s="83">
        <f>IF(R721&gt;0,S721*100/R721,0)</f>
        <v>0</v>
      </c>
    </row>
    <row r="722" spans="1:21" ht="18.75" x14ac:dyDescent="0.25">
      <c r="A722" s="128"/>
      <c r="B722" s="158"/>
      <c r="C722" s="158"/>
      <c r="D722" s="40"/>
      <c r="E722" s="156" t="s">
        <v>21</v>
      </c>
      <c r="F722" s="40"/>
      <c r="G722" s="42"/>
      <c r="H722" s="378" t="s">
        <v>14</v>
      </c>
      <c r="I722" s="135"/>
      <c r="J722" s="135"/>
      <c r="K722" s="136"/>
      <c r="L722" s="1356">
        <v>0</v>
      </c>
      <c r="M722" s="224">
        <v>0</v>
      </c>
      <c r="N722" s="224">
        <v>0</v>
      </c>
      <c r="O722" s="224">
        <f>IF(L722&gt;0,N722*100/L722,0)</f>
        <v>0</v>
      </c>
      <c r="P722" s="224">
        <f>IF(M722&gt;0,N722*100/M722,0)</f>
        <v>0</v>
      </c>
      <c r="Q722" s="224">
        <v>0</v>
      </c>
      <c r="R722" s="224">
        <v>0</v>
      </c>
      <c r="S722" s="224">
        <v>0</v>
      </c>
      <c r="T722" s="224">
        <f>IF(Q722&gt;0,S722*100/Q722,0)</f>
        <v>0</v>
      </c>
      <c r="U722" s="224">
        <f>IF(R722&gt;0,S722*100/R722,0)</f>
        <v>0</v>
      </c>
    </row>
    <row r="723" spans="1:21" ht="19.5" x14ac:dyDescent="0.3">
      <c r="A723" s="138"/>
      <c r="B723" s="139"/>
      <c r="C723" s="314" t="s">
        <v>18</v>
      </c>
      <c r="D723" s="1595" t="s">
        <v>38</v>
      </c>
      <c r="E723" s="141"/>
      <c r="F723" s="141"/>
      <c r="G723" s="142"/>
      <c r="H723" s="178"/>
      <c r="I723" s="135"/>
      <c r="J723" s="135"/>
      <c r="K723" s="136"/>
      <c r="L723" s="1392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08"/>
      <c r="B724" s="158"/>
      <c r="C724" s="158"/>
      <c r="D724" s="40"/>
      <c r="E724" s="156" t="s">
        <v>267</v>
      </c>
      <c r="F724" s="40"/>
      <c r="G724" s="42"/>
      <c r="H724" s="159" t="s">
        <v>46</v>
      </c>
      <c r="I724" s="423">
        <v>0</v>
      </c>
      <c r="J724" s="44"/>
      <c r="K724" s="45"/>
      <c r="L724" s="1359"/>
      <c r="M724" s="45"/>
      <c r="N724" s="45"/>
      <c r="O724" s="45"/>
      <c r="P724" s="45"/>
      <c r="Q724" s="45"/>
      <c r="R724" s="45"/>
      <c r="S724" s="45"/>
      <c r="T724" s="45"/>
      <c r="U724" s="45"/>
    </row>
    <row r="725" spans="1:21" ht="18.75" x14ac:dyDescent="0.25">
      <c r="A725" s="329"/>
      <c r="B725" s="2"/>
      <c r="C725" s="2"/>
      <c r="D725" s="1"/>
      <c r="E725" s="424" t="s">
        <v>268</v>
      </c>
      <c r="F725" s="1"/>
      <c r="G725" s="52"/>
      <c r="H725" s="425" t="s">
        <v>46</v>
      </c>
      <c r="I725" s="426">
        <v>0</v>
      </c>
      <c r="J725" s="54"/>
      <c r="K725" s="3"/>
      <c r="L725" s="1360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9.5" x14ac:dyDescent="0.3">
      <c r="A726" s="387"/>
      <c r="B726" s="388" t="s">
        <v>269</v>
      </c>
      <c r="C726" s="387"/>
      <c r="D726" s="389"/>
      <c r="E726" s="389"/>
      <c r="F726" s="389"/>
      <c r="G726" s="390"/>
      <c r="H726" s="427" t="s">
        <v>35</v>
      </c>
      <c r="I726" s="1596">
        <f ca="1">IFERROR(__xludf.DUMMYFUNCTION("IMPORTRANGE(""https://docs.google.com/spreadsheets/d/1eHaY18a8A9IcSdp1K8H6x8fbOy06t2VsZHhMHf-1x7Y/edit?usp=sharing"",""แผน!GA28"")"),31)</f>
        <v>31</v>
      </c>
      <c r="J726" s="1596">
        <f>J742+J746+J749</f>
        <v>0</v>
      </c>
      <c r="K726" s="1593">
        <f ca="1">IF(I726&gt;0,J726*100/I726,0)</f>
        <v>0</v>
      </c>
      <c r="L726" s="1581"/>
      <c r="M726" s="393"/>
      <c r="N726" s="393"/>
      <c r="O726" s="393"/>
      <c r="P726" s="393"/>
      <c r="Q726" s="393"/>
      <c r="R726" s="393"/>
      <c r="S726" s="393"/>
      <c r="T726" s="393"/>
      <c r="U726" s="393"/>
    </row>
    <row r="727" spans="1:21" ht="19.5" x14ac:dyDescent="0.3">
      <c r="A727" s="429"/>
      <c r="B727" s="387"/>
      <c r="C727" s="387"/>
      <c r="D727" s="389"/>
      <c r="E727" s="389"/>
      <c r="F727" s="389"/>
      <c r="G727" s="390"/>
      <c r="H727" s="427" t="s">
        <v>46</v>
      </c>
      <c r="I727" s="1596">
        <f ca="1">IFERROR(__xludf.DUMMYFUNCTION("IMPORTRANGE(""https://docs.google.com/spreadsheets/d/1eHaY18a8A9IcSdp1K8H6x8fbOy06t2VsZHhMHf-1x7Y/edit?usp=sharing"",""แผน!FZ28"")"),300)</f>
        <v>300</v>
      </c>
      <c r="J727" s="1596">
        <f>J752+J755</f>
        <v>0</v>
      </c>
      <c r="K727" s="1593">
        <f ca="1">IF(I727&gt;0,J727*100/I727,0)</f>
        <v>0</v>
      </c>
      <c r="L727" s="1581"/>
      <c r="M727" s="393"/>
      <c r="N727" s="393"/>
      <c r="O727" s="393"/>
      <c r="P727" s="393"/>
      <c r="Q727" s="393"/>
      <c r="R727" s="393"/>
      <c r="S727" s="393"/>
      <c r="T727" s="393"/>
      <c r="U727" s="393"/>
    </row>
    <row r="728" spans="1:21" ht="19.5" x14ac:dyDescent="0.3">
      <c r="A728" s="128"/>
      <c r="B728" s="158"/>
      <c r="C728" s="177" t="s">
        <v>18</v>
      </c>
      <c r="D728" s="1585" t="s">
        <v>19</v>
      </c>
      <c r="E728" s="1285"/>
      <c r="F728" s="1285"/>
      <c r="G728" s="1286"/>
      <c r="H728" s="221" t="s">
        <v>14</v>
      </c>
      <c r="I728" s="44"/>
      <c r="J728" s="44"/>
      <c r="K728" s="45"/>
      <c r="L728" s="1389">
        <f>L729+L730</f>
        <v>0</v>
      </c>
      <c r="M728" s="1390">
        <f>M729+M730</f>
        <v>0</v>
      </c>
      <c r="N728" s="1390">
        <f>N729+N730</f>
        <v>0</v>
      </c>
      <c r="O728" s="1390">
        <f>IF(L728&gt;0,N728*100/L728,0)</f>
        <v>0</v>
      </c>
      <c r="P728" s="1390">
        <f>IF(M728&gt;0,N728*100/M728,0)</f>
        <v>0</v>
      </c>
      <c r="Q728" s="1390">
        <f ca="1">Q729+Q730</f>
        <v>242546</v>
      </c>
      <c r="R728" s="1390">
        <f ca="1">R729+R730</f>
        <v>242546</v>
      </c>
      <c r="S728" s="1390">
        <f ca="1">S729+S730</f>
        <v>0</v>
      </c>
      <c r="T728" s="1390">
        <f ca="1">IF(Q728&gt;0,S728*100/Q728,0)</f>
        <v>0</v>
      </c>
      <c r="U728" s="1390">
        <f ca="1">IF(R728&gt;0,S728*100/R728,0)</f>
        <v>0</v>
      </c>
    </row>
    <row r="729" spans="1:21" ht="18.75" x14ac:dyDescent="0.25">
      <c r="A729" s="128"/>
      <c r="B729" s="158"/>
      <c r="C729" s="158"/>
      <c r="D729" s="145"/>
      <c r="E729" s="156" t="s">
        <v>158</v>
      </c>
      <c r="F729" s="40"/>
      <c r="G729" s="42"/>
      <c r="H729" s="159" t="s">
        <v>14</v>
      </c>
      <c r="I729" s="44"/>
      <c r="J729" s="44"/>
      <c r="K729" s="45"/>
      <c r="L729" s="1358">
        <f>L732+L735</f>
        <v>0</v>
      </c>
      <c r="M729" s="83">
        <f>M732+M735</f>
        <v>0</v>
      </c>
      <c r="N729" s="83">
        <f>N732+N735</f>
        <v>0</v>
      </c>
      <c r="O729" s="83">
        <f>IF(L729&gt;0,N729*100/L729,0)</f>
        <v>0</v>
      </c>
      <c r="P729" s="83">
        <f>IF(M729&gt;0,N729*100/M729,0)</f>
        <v>0</v>
      </c>
      <c r="Q729" s="83">
        <f>Q732+Q735</f>
        <v>0</v>
      </c>
      <c r="R729" s="83">
        <f>R732+R735</f>
        <v>0</v>
      </c>
      <c r="S729" s="83">
        <f>S732+S735</f>
        <v>0</v>
      </c>
      <c r="T729" s="83">
        <f>IF(Q729&gt;0,S729*100/Q729,0)</f>
        <v>0</v>
      </c>
      <c r="U729" s="83">
        <f>IF(R729&gt;0,S729*100/R729,0)</f>
        <v>0</v>
      </c>
    </row>
    <row r="730" spans="1:21" ht="18.75" x14ac:dyDescent="0.25">
      <c r="A730" s="128"/>
      <c r="B730" s="158"/>
      <c r="C730" s="158"/>
      <c r="D730" s="145"/>
      <c r="E730" s="47" t="s">
        <v>159</v>
      </c>
      <c r="F730" s="40"/>
      <c r="G730" s="42"/>
      <c r="H730" s="134" t="s">
        <v>14</v>
      </c>
      <c r="I730" s="44"/>
      <c r="J730" s="44"/>
      <c r="K730" s="45"/>
      <c r="L730" s="1356">
        <f>L733+L736</f>
        <v>0</v>
      </c>
      <c r="M730" s="224">
        <f>M733+M736</f>
        <v>0</v>
      </c>
      <c r="N730" s="224">
        <f>N733+N736</f>
        <v>0</v>
      </c>
      <c r="O730" s="224">
        <f>IF(L730&gt;0,N730*100/L730,0)</f>
        <v>0</v>
      </c>
      <c r="P730" s="224">
        <f>IF(M730&gt;0,N730*100/M730,0)</f>
        <v>0</v>
      </c>
      <c r="Q730" s="224">
        <f ca="1">Q733+Q736</f>
        <v>242546</v>
      </c>
      <c r="R730" s="224">
        <f ca="1">R733+R736</f>
        <v>242546</v>
      </c>
      <c r="S730" s="224">
        <f ca="1">S733+S736</f>
        <v>0</v>
      </c>
      <c r="T730" s="224">
        <f ca="1">IF(Q730&gt;0,S730*100/Q730,0)</f>
        <v>0</v>
      </c>
      <c r="U730" s="224">
        <f ca="1">IF(R730&gt;0,S730*100/R730,0)</f>
        <v>0</v>
      </c>
    </row>
    <row r="731" spans="1:21" ht="18.75" x14ac:dyDescent="0.25">
      <c r="A731" s="128"/>
      <c r="B731" s="158"/>
      <c r="C731" s="158"/>
      <c r="D731" s="41" t="s">
        <v>22</v>
      </c>
      <c r="E731" s="40"/>
      <c r="F731" s="40"/>
      <c r="G731" s="42"/>
      <c r="H731" s="134" t="s">
        <v>14</v>
      </c>
      <c r="I731" s="135"/>
      <c r="J731" s="135"/>
      <c r="K731" s="136"/>
      <c r="L731" s="1356">
        <f>L732+L733</f>
        <v>0</v>
      </c>
      <c r="M731" s="224">
        <f>M732+M733</f>
        <v>0</v>
      </c>
      <c r="N731" s="224">
        <f>N732+N733</f>
        <v>0</v>
      </c>
      <c r="O731" s="224">
        <f>IF(L731&gt;0,N731*100/L731,0)</f>
        <v>0</v>
      </c>
      <c r="P731" s="224">
        <f>IF(M731&gt;0,N731*100/M731,0)</f>
        <v>0</v>
      </c>
      <c r="Q731" s="224">
        <f ca="1">Q732+Q733</f>
        <v>242546</v>
      </c>
      <c r="R731" s="224">
        <f ca="1">R732+R733</f>
        <v>242546</v>
      </c>
      <c r="S731" s="224">
        <f ca="1">S732+S733</f>
        <v>0</v>
      </c>
      <c r="T731" s="224">
        <f ca="1">IF(Q731&gt;0,S731*100/Q731,0)</f>
        <v>0</v>
      </c>
      <c r="U731" s="224">
        <f ca="1">IF(R731&gt;0,S731*100/R731,0)</f>
        <v>0</v>
      </c>
    </row>
    <row r="732" spans="1:21" ht="18.75" x14ac:dyDescent="0.25">
      <c r="A732" s="128"/>
      <c r="B732" s="158"/>
      <c r="C732" s="158"/>
      <c r="D732" s="145"/>
      <c r="E732" s="156" t="s">
        <v>158</v>
      </c>
      <c r="F732" s="40"/>
      <c r="G732" s="42"/>
      <c r="H732" s="159" t="s">
        <v>14</v>
      </c>
      <c r="I732" s="44"/>
      <c r="J732" s="44"/>
      <c r="K732" s="45"/>
      <c r="L732" s="1358">
        <v>0</v>
      </c>
      <c r="M732" s="83">
        <v>0</v>
      </c>
      <c r="N732" s="83">
        <v>0</v>
      </c>
      <c r="O732" s="83">
        <f>IF(L732&gt;0,N732*100/L732,0)</f>
        <v>0</v>
      </c>
      <c r="P732" s="83">
        <f>IF(M732&gt;0,N732*100/M732,0)</f>
        <v>0</v>
      </c>
      <c r="Q732" s="83">
        <v>0</v>
      </c>
      <c r="R732" s="83">
        <v>0</v>
      </c>
      <c r="S732" s="83">
        <v>0</v>
      </c>
      <c r="T732" s="83">
        <f>IF(Q732&gt;0,S732*100/Q732,0)</f>
        <v>0</v>
      </c>
      <c r="U732" s="83">
        <f>IF(R732&gt;0,S732*100/R732,0)</f>
        <v>0</v>
      </c>
    </row>
    <row r="733" spans="1:21" ht="18.75" x14ac:dyDescent="0.25">
      <c r="A733" s="128"/>
      <c r="B733" s="158"/>
      <c r="C733" s="158"/>
      <c r="D733" s="145"/>
      <c r="E733" s="47" t="s">
        <v>159</v>
      </c>
      <c r="F733" s="40"/>
      <c r="G733" s="42"/>
      <c r="H733" s="134" t="s">
        <v>14</v>
      </c>
      <c r="I733" s="44"/>
      <c r="J733" s="44"/>
      <c r="K733" s="45"/>
      <c r="L733" s="1356">
        <v>0</v>
      </c>
      <c r="M733" s="224">
        <v>0</v>
      </c>
      <c r="N733" s="224">
        <v>0</v>
      </c>
      <c r="O733" s="224">
        <f>IF(L733&gt;0,N733*100/L733,0)</f>
        <v>0</v>
      </c>
      <c r="P733" s="224">
        <f>IF(M733&gt;0,N733*100/M733,0)</f>
        <v>0</v>
      </c>
      <c r="Q733" s="224">
        <f ca="1">IFERROR(__xludf.DUMMYFUNCTION("IMPORTRANGE(""https://docs.google.com/spreadsheets/d/1ItG2mGa2ceCfYo0BwxsXqNm01IGEUdYcSSLTEv9YCik/edit?usp=sharing"",""เบิกจ่ายกองทุน!O28"")"),242546)</f>
        <v>242546</v>
      </c>
      <c r="R733" s="224">
        <f ca="1">IFERROR(__xludf.DUMMYFUNCTION("IMPORTRANGE(""https://docs.google.com/spreadsheets/d/1ItG2mGa2ceCfYo0BwxsXqNm01IGEUdYcSSLTEv9YCik/edit?usp=sharing"",""เบิกจ่ายกองทุน!P28"")"),242546)</f>
        <v>242546</v>
      </c>
      <c r="S733" s="224">
        <f ca="1">IFERROR(__xludf.DUMMYFUNCTION("IMPORTRANGE(""https://docs.google.com/spreadsheets/d/1ItG2mGa2ceCfYo0BwxsXqNm01IGEUdYcSSLTEv9YCik/edit?usp=sharing"",""เบิกจ่ายกองทุน!Q28"")"),0)</f>
        <v>0</v>
      </c>
      <c r="T733" s="224">
        <f ca="1">IF(Q733&gt;0,S733*100/Q733,0)</f>
        <v>0</v>
      </c>
      <c r="U733" s="224">
        <f ca="1">IF(R733&gt;0,S733*100/R733,0)</f>
        <v>0</v>
      </c>
    </row>
    <row r="734" spans="1:21" ht="18.75" x14ac:dyDescent="0.25">
      <c r="A734" s="128"/>
      <c r="B734" s="158"/>
      <c r="C734" s="158"/>
      <c r="D734" s="41" t="s">
        <v>23</v>
      </c>
      <c r="E734" s="158"/>
      <c r="F734" s="158"/>
      <c r="G734" s="42"/>
      <c r="H734" s="137" t="s">
        <v>14</v>
      </c>
      <c r="I734" s="135"/>
      <c r="J734" s="135"/>
      <c r="K734" s="136"/>
      <c r="L734" s="1356">
        <f>L735+L736</f>
        <v>0</v>
      </c>
      <c r="M734" s="224">
        <f>M735+M736</f>
        <v>0</v>
      </c>
      <c r="N734" s="224">
        <f>N735+N736</f>
        <v>0</v>
      </c>
      <c r="O734" s="224">
        <f>IF(L734&gt;0,N734*100/L734,0)</f>
        <v>0</v>
      </c>
      <c r="P734" s="224">
        <f>IF(M734&gt;0,N734*100/M734,0)</f>
        <v>0</v>
      </c>
      <c r="Q734" s="224">
        <f>Q735+Q736</f>
        <v>0</v>
      </c>
      <c r="R734" s="224">
        <f>R735+R736</f>
        <v>0</v>
      </c>
      <c r="S734" s="224">
        <f>S735+S736</f>
        <v>0</v>
      </c>
      <c r="T734" s="224">
        <f>IF(Q734&gt;0,S734*100/Q734,0)</f>
        <v>0</v>
      </c>
      <c r="U734" s="224">
        <f>IF(R734&gt;0,S734*100/R734,0)</f>
        <v>0</v>
      </c>
    </row>
    <row r="735" spans="1:21" ht="18.75" x14ac:dyDescent="0.25">
      <c r="A735" s="128"/>
      <c r="B735" s="158"/>
      <c r="C735" s="158"/>
      <c r="D735" s="158"/>
      <c r="E735" s="314" t="s">
        <v>20</v>
      </c>
      <c r="F735" s="158"/>
      <c r="G735" s="42"/>
      <c r="H735" s="159" t="s">
        <v>14</v>
      </c>
      <c r="I735" s="135"/>
      <c r="J735" s="135"/>
      <c r="K735" s="136"/>
      <c r="L735" s="1358">
        <v>0</v>
      </c>
      <c r="M735" s="83">
        <v>0</v>
      </c>
      <c r="N735" s="83">
        <v>0</v>
      </c>
      <c r="O735" s="83">
        <f>IF(L735&gt;0,N735*100/L735,0)</f>
        <v>0</v>
      </c>
      <c r="P735" s="83">
        <f>IF(M735&gt;0,N735*100/M735,0)</f>
        <v>0</v>
      </c>
      <c r="Q735" s="83">
        <v>0</v>
      </c>
      <c r="R735" s="83">
        <v>0</v>
      </c>
      <c r="S735" s="83">
        <v>0</v>
      </c>
      <c r="T735" s="83">
        <f>IF(Q735&gt;0,S735*100/Q735,0)</f>
        <v>0</v>
      </c>
      <c r="U735" s="83">
        <f>IF(R735&gt;0,S735*100/R735,0)</f>
        <v>0</v>
      </c>
    </row>
    <row r="736" spans="1:21" ht="18.75" x14ac:dyDescent="0.25">
      <c r="A736" s="128"/>
      <c r="B736" s="158"/>
      <c r="C736" s="158"/>
      <c r="D736" s="158"/>
      <c r="E736" s="209" t="s">
        <v>21</v>
      </c>
      <c r="F736" s="158"/>
      <c r="G736" s="42"/>
      <c r="H736" s="137" t="s">
        <v>14</v>
      </c>
      <c r="I736" s="135"/>
      <c r="J736" s="135"/>
      <c r="K736" s="136"/>
      <c r="L736" s="1356">
        <v>0</v>
      </c>
      <c r="M736" s="224">
        <v>0</v>
      </c>
      <c r="N736" s="224">
        <v>0</v>
      </c>
      <c r="O736" s="224">
        <f>IF(L736&gt;0,N736*100/L736,0)</f>
        <v>0</v>
      </c>
      <c r="P736" s="224">
        <f>IF(M736&gt;0,N736*100/M736,0)</f>
        <v>0</v>
      </c>
      <c r="Q736" s="224">
        <v>0</v>
      </c>
      <c r="R736" s="224">
        <v>0</v>
      </c>
      <c r="S736" s="224">
        <v>0</v>
      </c>
      <c r="T736" s="224">
        <f>IF(Q736&gt;0,S736*100/Q736,0)</f>
        <v>0</v>
      </c>
      <c r="U736" s="224">
        <f>IF(R736&gt;0,S736*100/R736,0)</f>
        <v>0</v>
      </c>
    </row>
    <row r="737" spans="1:21" ht="19.5" x14ac:dyDescent="0.3">
      <c r="A737" s="138"/>
      <c r="B737" s="139"/>
      <c r="C737" s="177" t="s">
        <v>18</v>
      </c>
      <c r="D737" s="1535" t="s">
        <v>38</v>
      </c>
      <c r="E737" s="203"/>
      <c r="F737" s="141"/>
      <c r="G737" s="142"/>
      <c r="H737" s="178"/>
      <c r="I737" s="44"/>
      <c r="J737" s="44"/>
      <c r="K737" s="45"/>
      <c r="L737" s="1359"/>
      <c r="M737" s="45"/>
      <c r="N737" s="45"/>
      <c r="O737" s="45"/>
      <c r="P737" s="45"/>
      <c r="Q737" s="45"/>
      <c r="R737" s="45"/>
      <c r="S737" s="45"/>
      <c r="T737" s="45"/>
      <c r="U737" s="45"/>
    </row>
    <row r="738" spans="1:21" ht="19.5" x14ac:dyDescent="0.3">
      <c r="A738" s="138"/>
      <c r="B738" s="139"/>
      <c r="C738" s="139"/>
      <c r="D738" s="430" t="s">
        <v>121</v>
      </c>
      <c r="E738" s="139"/>
      <c r="F738" s="139"/>
      <c r="G738" s="143"/>
      <c r="H738" s="180"/>
      <c r="I738" s="44"/>
      <c r="J738" s="44"/>
      <c r="K738" s="45"/>
      <c r="L738" s="1359"/>
      <c r="M738" s="45"/>
      <c r="N738" s="45"/>
      <c r="O738" s="45"/>
      <c r="P738" s="45"/>
      <c r="Q738" s="45"/>
      <c r="R738" s="45"/>
      <c r="S738" s="45"/>
      <c r="T738" s="45"/>
      <c r="U738" s="45"/>
    </row>
    <row r="739" spans="1:21" ht="18.75" x14ac:dyDescent="0.25">
      <c r="A739" s="138"/>
      <c r="B739" s="139"/>
      <c r="C739" s="139"/>
      <c r="D739" s="139"/>
      <c r="E739" s="403" t="s">
        <v>270</v>
      </c>
      <c r="F739" s="139"/>
      <c r="G739" s="143"/>
      <c r="H739" s="180"/>
      <c r="I739" s="44"/>
      <c r="J739" s="44"/>
      <c r="K739" s="45"/>
      <c r="L739" s="1359"/>
      <c r="M739" s="45"/>
      <c r="N739" s="45"/>
      <c r="O739" s="45"/>
      <c r="P739" s="45"/>
      <c r="Q739" s="45"/>
      <c r="R739" s="45"/>
      <c r="S739" s="45"/>
      <c r="T739" s="45"/>
      <c r="U739" s="45"/>
    </row>
    <row r="740" spans="1:21" ht="18.75" x14ac:dyDescent="0.25">
      <c r="A740" s="138"/>
      <c r="B740" s="139"/>
      <c r="C740" s="139"/>
      <c r="D740" s="139"/>
      <c r="E740" s="139"/>
      <c r="F740" s="403" t="s">
        <v>271</v>
      </c>
      <c r="G740" s="143"/>
      <c r="H740" s="133" t="s">
        <v>46</v>
      </c>
      <c r="I740" s="184">
        <f ca="1">IFERROR(__xludf.DUMMYFUNCTION("IMPORTRANGE(""https://docs.google.com/spreadsheets/d/1eHaY18a8A9IcSdp1K8H6x8fbOy06t2VsZHhMHf-1x7Y/edit?usp=sharing"",""แผน!GB28"")"),240)</f>
        <v>240</v>
      </c>
      <c r="J740" s="1395">
        <v>0</v>
      </c>
      <c r="K740" s="224">
        <f ca="1">IF(I740&gt;0,J740*100/I740,0)</f>
        <v>0</v>
      </c>
      <c r="L740" s="1359"/>
      <c r="M740" s="45"/>
      <c r="N740" s="45"/>
      <c r="O740" s="45"/>
      <c r="P740" s="45"/>
      <c r="Q740" s="45"/>
      <c r="R740" s="45"/>
      <c r="S740" s="45"/>
      <c r="T740" s="45"/>
      <c r="U740" s="45"/>
    </row>
    <row r="741" spans="1:21" ht="18.75" x14ac:dyDescent="0.25">
      <c r="A741" s="1484"/>
      <c r="B741" s="1485"/>
      <c r="C741" s="1485"/>
      <c r="D741" s="1485"/>
      <c r="E741" s="1485"/>
      <c r="F741" s="1597" t="s">
        <v>334</v>
      </c>
      <c r="G741" s="1487"/>
      <c r="H741" s="1474" t="s">
        <v>35</v>
      </c>
      <c r="I741" s="1464"/>
      <c r="J741" s="1599">
        <v>0</v>
      </c>
      <c r="K741" s="1465"/>
      <c r="L741" s="1600"/>
      <c r="M741" s="1465"/>
      <c r="N741" s="1465"/>
      <c r="O741" s="1465"/>
      <c r="P741" s="1465"/>
      <c r="Q741" s="1465"/>
      <c r="R741" s="1465"/>
      <c r="S741" s="1465"/>
      <c r="T741" s="1465"/>
      <c r="U741" s="1465"/>
    </row>
    <row r="742" spans="1:21" ht="18.75" x14ac:dyDescent="0.25">
      <c r="A742" s="1484"/>
      <c r="B742" s="1485"/>
      <c r="C742" s="1485"/>
      <c r="D742" s="1485"/>
      <c r="E742" s="1485"/>
      <c r="F742" s="1597" t="s">
        <v>335</v>
      </c>
      <c r="G742" s="1487"/>
      <c r="H742" s="1474" t="s">
        <v>35</v>
      </c>
      <c r="I742" s="1598">
        <f ca="1">IFERROR(__xludf.DUMMYFUNCTION("IMPORTRANGE(""https://docs.google.com/spreadsheets/d/1eHaY18a8A9IcSdp1K8H6x8fbOy06t2VsZHhMHf-1x7Y/edit?usp=sharing"",""แผน!GC28"")"),24)</f>
        <v>24</v>
      </c>
      <c r="J742" s="1599">
        <v>0</v>
      </c>
      <c r="K742" s="1476">
        <f ca="1">IF(I742&gt;0,J742*100/I742,0)</f>
        <v>0</v>
      </c>
      <c r="L742" s="1600"/>
      <c r="M742" s="1465"/>
      <c r="N742" s="1465"/>
      <c r="O742" s="1465"/>
      <c r="P742" s="1465"/>
      <c r="Q742" s="1465"/>
      <c r="R742" s="1465"/>
      <c r="S742" s="1465"/>
      <c r="T742" s="1465"/>
      <c r="U742" s="1465"/>
    </row>
    <row r="743" spans="1:21" ht="18.75" x14ac:dyDescent="0.25">
      <c r="A743" s="1484"/>
      <c r="B743" s="1485"/>
      <c r="C743" s="1485"/>
      <c r="D743" s="1485"/>
      <c r="E743" s="1597" t="s">
        <v>274</v>
      </c>
      <c r="F743" s="1485"/>
      <c r="G743" s="1487"/>
      <c r="H743" s="1601"/>
      <c r="I743" s="1464"/>
      <c r="J743" s="1464"/>
      <c r="K743" s="1465"/>
      <c r="L743" s="1600"/>
      <c r="M743" s="1465"/>
      <c r="N743" s="1465"/>
      <c r="O743" s="1465"/>
      <c r="P743" s="1465"/>
      <c r="Q743" s="1465"/>
      <c r="R743" s="1465"/>
      <c r="S743" s="1465"/>
      <c r="T743" s="1465"/>
      <c r="U743" s="1465"/>
    </row>
    <row r="744" spans="1:21" ht="18.75" x14ac:dyDescent="0.25">
      <c r="A744" s="1484"/>
      <c r="B744" s="1485"/>
      <c r="C744" s="1485"/>
      <c r="D744" s="1485"/>
      <c r="E744" s="1485"/>
      <c r="F744" s="1597" t="s">
        <v>271</v>
      </c>
      <c r="G744" s="1487"/>
      <c r="H744" s="1474" t="s">
        <v>46</v>
      </c>
      <c r="I744" s="1598">
        <f ca="1">IFERROR(__xludf.DUMMYFUNCTION("IMPORTRANGE(""https://docs.google.com/spreadsheets/d/1eHaY18a8A9IcSdp1K8H6x8fbOy06t2VsZHhMHf-1x7Y/edit?usp=sharing"",""แผน!GD28"")"),60)</f>
        <v>60</v>
      </c>
      <c r="J744" s="1599">
        <v>0</v>
      </c>
      <c r="K744" s="1476">
        <f ca="1">IF(I744&gt;0,J744*100/I744,0)</f>
        <v>0</v>
      </c>
      <c r="L744" s="1600"/>
      <c r="M744" s="1465"/>
      <c r="N744" s="1465"/>
      <c r="O744" s="1465"/>
      <c r="P744" s="1465"/>
      <c r="Q744" s="1465"/>
      <c r="R744" s="1465"/>
      <c r="S744" s="1465"/>
      <c r="T744" s="1465"/>
      <c r="U744" s="1465"/>
    </row>
    <row r="745" spans="1:21" ht="18.75" x14ac:dyDescent="0.25">
      <c r="A745" s="1484"/>
      <c r="B745" s="1485"/>
      <c r="C745" s="1485"/>
      <c r="D745" s="1485"/>
      <c r="E745" s="1485"/>
      <c r="F745" s="1597" t="s">
        <v>336</v>
      </c>
      <c r="G745" s="1487"/>
      <c r="H745" s="1474" t="s">
        <v>35</v>
      </c>
      <c r="I745" s="1464"/>
      <c r="J745" s="1599">
        <v>0</v>
      </c>
      <c r="K745" s="1465"/>
      <c r="L745" s="1600"/>
      <c r="M745" s="1465"/>
      <c r="N745" s="1465"/>
      <c r="O745" s="1465"/>
      <c r="P745" s="1465"/>
      <c r="Q745" s="1465"/>
      <c r="R745" s="1465"/>
      <c r="S745" s="1465"/>
      <c r="T745" s="1465"/>
      <c r="U745" s="1465"/>
    </row>
    <row r="746" spans="1:21" ht="18.75" x14ac:dyDescent="0.25">
      <c r="A746" s="1484"/>
      <c r="B746" s="1485"/>
      <c r="C746" s="1485"/>
      <c r="D746" s="1485"/>
      <c r="E746" s="1485"/>
      <c r="F746" s="1597" t="s">
        <v>337</v>
      </c>
      <c r="G746" s="1487"/>
      <c r="H746" s="1474" t="s">
        <v>35</v>
      </c>
      <c r="I746" s="1598">
        <f ca="1">IFERROR(__xludf.DUMMYFUNCTION("IMPORTRANGE(""https://docs.google.com/spreadsheets/d/1eHaY18a8A9IcSdp1K8H6x8fbOy06t2VsZHhMHf-1x7Y/edit?usp=sharing"",""แผน!GE28"")"),6)</f>
        <v>6</v>
      </c>
      <c r="J746" s="1599">
        <v>0</v>
      </c>
      <c r="K746" s="1476">
        <f ca="1">IF(I746&gt;0,J746*100/I746,0)</f>
        <v>0</v>
      </c>
      <c r="L746" s="1600"/>
      <c r="M746" s="1465"/>
      <c r="N746" s="1465"/>
      <c r="O746" s="1465"/>
      <c r="P746" s="1465"/>
      <c r="Q746" s="1465"/>
      <c r="R746" s="1465"/>
      <c r="S746" s="1465"/>
      <c r="T746" s="1465"/>
      <c r="U746" s="1465"/>
    </row>
    <row r="747" spans="1:21" ht="18.75" x14ac:dyDescent="0.25">
      <c r="A747" s="1484"/>
      <c r="B747" s="1485"/>
      <c r="C747" s="1485"/>
      <c r="D747" s="1485"/>
      <c r="E747" s="1597" t="s">
        <v>277</v>
      </c>
      <c r="F747" s="1602"/>
      <c r="G747" s="1487"/>
      <c r="H747" s="1601"/>
      <c r="I747" s="1464"/>
      <c r="J747" s="1464"/>
      <c r="K747" s="1465"/>
      <c r="L747" s="1600"/>
      <c r="M747" s="1465"/>
      <c r="N747" s="1465"/>
      <c r="O747" s="1465"/>
      <c r="P747" s="1465"/>
      <c r="Q747" s="1465"/>
      <c r="R747" s="1465"/>
      <c r="S747" s="1465"/>
      <c r="T747" s="1465"/>
      <c r="U747" s="1465"/>
    </row>
    <row r="748" spans="1:21" ht="18.75" x14ac:dyDescent="0.25">
      <c r="A748" s="1484"/>
      <c r="B748" s="1485"/>
      <c r="C748" s="1485"/>
      <c r="D748" s="1485"/>
      <c r="E748" s="1485"/>
      <c r="F748" s="1597" t="s">
        <v>338</v>
      </c>
      <c r="G748" s="1487"/>
      <c r="H748" s="1474" t="s">
        <v>35</v>
      </c>
      <c r="I748" s="1464"/>
      <c r="J748" s="1599">
        <v>0</v>
      </c>
      <c r="K748" s="1465"/>
      <c r="L748" s="1600"/>
      <c r="M748" s="1465"/>
      <c r="N748" s="1465"/>
      <c r="O748" s="1465"/>
      <c r="P748" s="1465"/>
      <c r="Q748" s="1465"/>
      <c r="R748" s="1465"/>
      <c r="S748" s="1465"/>
      <c r="T748" s="1465"/>
      <c r="U748" s="1465"/>
    </row>
    <row r="749" spans="1:21" ht="18.75" x14ac:dyDescent="0.25">
      <c r="A749" s="1484"/>
      <c r="B749" s="1485"/>
      <c r="C749" s="1485"/>
      <c r="D749" s="1485"/>
      <c r="E749" s="1485"/>
      <c r="F749" s="1597" t="s">
        <v>339</v>
      </c>
      <c r="G749" s="1487"/>
      <c r="H749" s="1474" t="s">
        <v>35</v>
      </c>
      <c r="I749" s="1598">
        <f ca="1">IFERROR(__xludf.DUMMYFUNCTION("IMPORTRANGE(""https://docs.google.com/spreadsheets/d/1eHaY18a8A9IcSdp1K8H6x8fbOy06t2VsZHhMHf-1x7Y/edit?usp=sharing"",""แผน!GF28"")"),1)</f>
        <v>1</v>
      </c>
      <c r="J749" s="1599">
        <v>0</v>
      </c>
      <c r="K749" s="1476">
        <f ca="1">IF(I749&gt;0,J749*100/I749,0)</f>
        <v>0</v>
      </c>
      <c r="L749" s="1600"/>
      <c r="M749" s="1465"/>
      <c r="N749" s="1465"/>
      <c r="O749" s="1465"/>
      <c r="P749" s="1465"/>
      <c r="Q749" s="1465"/>
      <c r="R749" s="1465"/>
      <c r="S749" s="1465"/>
      <c r="T749" s="1465"/>
      <c r="U749" s="1465"/>
    </row>
    <row r="750" spans="1:21" ht="19.5" x14ac:dyDescent="0.3">
      <c r="A750" s="1484"/>
      <c r="B750" s="1485"/>
      <c r="C750" s="1485"/>
      <c r="D750" s="1603" t="s">
        <v>50</v>
      </c>
      <c r="E750" s="1485"/>
      <c r="F750" s="1602"/>
      <c r="G750" s="1487"/>
      <c r="H750" s="1601"/>
      <c r="I750" s="1464"/>
      <c r="J750" s="1464"/>
      <c r="K750" s="1465"/>
      <c r="L750" s="1600"/>
      <c r="M750" s="1465"/>
      <c r="N750" s="1465"/>
      <c r="O750" s="1465"/>
      <c r="P750" s="1465"/>
      <c r="Q750" s="1465"/>
      <c r="R750" s="1465"/>
      <c r="S750" s="1465"/>
      <c r="T750" s="1465"/>
      <c r="U750" s="1465"/>
    </row>
    <row r="751" spans="1:21" ht="18.75" x14ac:dyDescent="0.25">
      <c r="A751" s="1484"/>
      <c r="B751" s="1485"/>
      <c r="C751" s="1485"/>
      <c r="D751" s="1485"/>
      <c r="E751" s="1597" t="s">
        <v>270</v>
      </c>
      <c r="F751" s="1602"/>
      <c r="G751" s="1487"/>
      <c r="H751" s="1601"/>
      <c r="I751" s="1464"/>
      <c r="J751" s="1464"/>
      <c r="K751" s="1465"/>
      <c r="L751" s="1600"/>
      <c r="M751" s="1465"/>
      <c r="N751" s="1465"/>
      <c r="O751" s="1465"/>
      <c r="P751" s="1465"/>
      <c r="Q751" s="1465"/>
      <c r="R751" s="1465"/>
      <c r="S751" s="1465"/>
      <c r="T751" s="1465"/>
      <c r="U751" s="1465"/>
    </row>
    <row r="752" spans="1:21" ht="18.75" x14ac:dyDescent="0.25">
      <c r="A752" s="1484"/>
      <c r="B752" s="1485"/>
      <c r="C752" s="1485"/>
      <c r="D752" s="1485"/>
      <c r="E752" s="1485"/>
      <c r="F752" s="1604" t="s">
        <v>340</v>
      </c>
      <c r="G752" s="1487"/>
      <c r="H752" s="1474" t="s">
        <v>46</v>
      </c>
      <c r="I752" s="1598">
        <f ca="1">IFERROR(__xludf.DUMMYFUNCTION("IMPORTRANGE(""https://docs.google.com/spreadsheets/d/1eHaY18a8A9IcSdp1K8H6x8fbOy06t2VsZHhMHf-1x7Y/edit?usp=sharing"",""แผน!GB28"")"),240)</f>
        <v>240</v>
      </c>
      <c r="J752" s="1599">
        <v>0</v>
      </c>
      <c r="K752" s="1476">
        <f ca="1">IF(I752&gt;0,J752*100/I752,0)</f>
        <v>0</v>
      </c>
      <c r="L752" s="1600"/>
      <c r="M752" s="1465"/>
      <c r="N752" s="1465"/>
      <c r="O752" s="1465"/>
      <c r="P752" s="1465"/>
      <c r="Q752" s="1465"/>
      <c r="R752" s="1465"/>
      <c r="S752" s="1465"/>
      <c r="T752" s="1465"/>
      <c r="U752" s="1465"/>
    </row>
    <row r="753" spans="1:21" ht="18.75" x14ac:dyDescent="0.25">
      <c r="A753" s="1484"/>
      <c r="B753" s="1485"/>
      <c r="C753" s="1485"/>
      <c r="D753" s="1485"/>
      <c r="E753" s="1485"/>
      <c r="F753" s="1604" t="s">
        <v>341</v>
      </c>
      <c r="G753" s="1487"/>
      <c r="H753" s="1474" t="s">
        <v>46</v>
      </c>
      <c r="I753" s="1464"/>
      <c r="J753" s="1599">
        <v>0</v>
      </c>
      <c r="K753" s="1465"/>
      <c r="L753" s="1600"/>
      <c r="M753" s="1465"/>
      <c r="N753" s="1465"/>
      <c r="O753" s="1465"/>
      <c r="P753" s="1465"/>
      <c r="Q753" s="1465"/>
      <c r="R753" s="1465"/>
      <c r="S753" s="1465"/>
      <c r="T753" s="1465"/>
      <c r="U753" s="1465"/>
    </row>
    <row r="754" spans="1:21" ht="18.75" x14ac:dyDescent="0.25">
      <c r="A754" s="1484"/>
      <c r="B754" s="1485"/>
      <c r="C754" s="1485"/>
      <c r="D754" s="1485"/>
      <c r="E754" s="1597" t="s">
        <v>274</v>
      </c>
      <c r="F754" s="1602"/>
      <c r="G754" s="1487"/>
      <c r="H754" s="1601"/>
      <c r="I754" s="1464"/>
      <c r="J754" s="1464"/>
      <c r="K754" s="1465"/>
      <c r="L754" s="1600"/>
      <c r="M754" s="1465"/>
      <c r="N754" s="1465"/>
      <c r="O754" s="1465"/>
      <c r="P754" s="1465"/>
      <c r="Q754" s="1465"/>
      <c r="R754" s="1465"/>
      <c r="S754" s="1465"/>
      <c r="T754" s="1465"/>
      <c r="U754" s="1465"/>
    </row>
    <row r="755" spans="1:21" ht="18.75" x14ac:dyDescent="0.25">
      <c r="A755" s="1484"/>
      <c r="B755" s="1485"/>
      <c r="C755" s="1485"/>
      <c r="D755" s="1485"/>
      <c r="E755" s="1602"/>
      <c r="F755" s="1604" t="s">
        <v>342</v>
      </c>
      <c r="G755" s="1487"/>
      <c r="H755" s="1474" t="s">
        <v>46</v>
      </c>
      <c r="I755" s="1598">
        <f ca="1">IFERROR(__xludf.DUMMYFUNCTION("IMPORTRANGE(""https://docs.google.com/spreadsheets/d/1eHaY18a8A9IcSdp1K8H6x8fbOy06t2VsZHhMHf-1x7Y/edit?usp=sharing"",""แผน!GD28"")"),60)</f>
        <v>60</v>
      </c>
      <c r="J755" s="1599">
        <v>0</v>
      </c>
      <c r="K755" s="1476">
        <f ca="1">IF(I755&gt;0,J755*100/I755,0)</f>
        <v>0</v>
      </c>
      <c r="L755" s="1600"/>
      <c r="M755" s="1465"/>
      <c r="N755" s="1465"/>
      <c r="O755" s="1465"/>
      <c r="P755" s="1465"/>
      <c r="Q755" s="1465"/>
      <c r="R755" s="1465"/>
      <c r="S755" s="1465"/>
      <c r="T755" s="1465"/>
      <c r="U755" s="1465"/>
    </row>
    <row r="756" spans="1:21" ht="18.75" x14ac:dyDescent="0.25">
      <c r="A756" s="1484"/>
      <c r="B756" s="1485"/>
      <c r="C756" s="1485"/>
      <c r="D756" s="1485"/>
      <c r="E756" s="1602"/>
      <c r="F756" s="1604" t="s">
        <v>343</v>
      </c>
      <c r="G756" s="1487"/>
      <c r="H756" s="1474" t="s">
        <v>46</v>
      </c>
      <c r="I756" s="1464"/>
      <c r="J756" s="1599">
        <v>0</v>
      </c>
      <c r="K756" s="1465"/>
      <c r="L756" s="1600"/>
      <c r="M756" s="1465"/>
      <c r="N756" s="1465"/>
      <c r="O756" s="1465"/>
      <c r="P756" s="1465"/>
      <c r="Q756" s="1465"/>
      <c r="R756" s="1465"/>
      <c r="S756" s="1465"/>
      <c r="T756" s="1465"/>
      <c r="U756" s="1465"/>
    </row>
    <row r="757" spans="1:21" ht="18.75" x14ac:dyDescent="0.25">
      <c r="A757" s="431"/>
      <c r="B757" s="431"/>
      <c r="C757" s="431"/>
      <c r="D757" s="431"/>
      <c r="E757" s="432" t="s">
        <v>284</v>
      </c>
      <c r="F757" s="433"/>
      <c r="G757" s="434"/>
      <c r="H757" s="435" t="s">
        <v>35</v>
      </c>
      <c r="I757" s="436"/>
      <c r="J757" s="437">
        <v>0</v>
      </c>
      <c r="K757" s="438"/>
      <c r="L757" s="438"/>
      <c r="M757" s="438"/>
      <c r="N757" s="438"/>
      <c r="O757" s="438"/>
      <c r="P757" s="438"/>
      <c r="Q757" s="438"/>
      <c r="R757" s="438"/>
      <c r="S757" s="438"/>
      <c r="T757" s="438"/>
      <c r="U757" s="438"/>
    </row>
    <row r="758" spans="1:21" ht="19.5" x14ac:dyDescent="0.3">
      <c r="A758" s="387"/>
      <c r="B758" s="388" t="s">
        <v>285</v>
      </c>
      <c r="C758" s="387"/>
      <c r="D758" s="389"/>
      <c r="E758" s="389"/>
      <c r="F758" s="389"/>
      <c r="G758" s="390"/>
      <c r="H758" s="427" t="s">
        <v>35</v>
      </c>
      <c r="I758" s="1596">
        <f ca="1">I772</f>
        <v>146</v>
      </c>
      <c r="J758" s="1596">
        <f>J772</f>
        <v>64</v>
      </c>
      <c r="K758" s="1593">
        <f ca="1">IF(I758&gt;0,J758*100/I758,0)</f>
        <v>43.835616438356162</v>
      </c>
      <c r="L758" s="1581"/>
      <c r="M758" s="393"/>
      <c r="N758" s="393"/>
      <c r="O758" s="393"/>
      <c r="P758" s="393"/>
      <c r="Q758" s="393"/>
      <c r="R758" s="393"/>
      <c r="S758" s="393"/>
      <c r="T758" s="393"/>
      <c r="U758" s="393"/>
    </row>
    <row r="759" spans="1:21" ht="19.5" x14ac:dyDescent="0.3">
      <c r="A759" s="429"/>
      <c r="B759" s="387"/>
      <c r="C759" s="387"/>
      <c r="D759" s="389"/>
      <c r="E759" s="389"/>
      <c r="F759" s="389"/>
      <c r="G759" s="390"/>
      <c r="H759" s="427" t="s">
        <v>46</v>
      </c>
      <c r="I759" s="1596">
        <f ca="1">I774</f>
        <v>509</v>
      </c>
      <c r="J759" s="1596">
        <f>J774</f>
        <v>0</v>
      </c>
      <c r="K759" s="1593">
        <f ca="1">IF(I759&gt;0,J759*100/I759,0)</f>
        <v>0</v>
      </c>
      <c r="L759" s="1581"/>
      <c r="M759" s="393"/>
      <c r="N759" s="393"/>
      <c r="O759" s="393"/>
      <c r="P759" s="393"/>
      <c r="Q759" s="393"/>
      <c r="R759" s="393"/>
      <c r="S759" s="393"/>
      <c r="T759" s="393"/>
      <c r="U759" s="393"/>
    </row>
    <row r="760" spans="1:21" ht="19.5" x14ac:dyDescent="0.3">
      <c r="A760" s="128"/>
      <c r="B760" s="158"/>
      <c r="C760" s="177" t="s">
        <v>18</v>
      </c>
      <c r="D760" s="1585" t="s">
        <v>19</v>
      </c>
      <c r="E760" s="1285"/>
      <c r="F760" s="1285"/>
      <c r="G760" s="1286"/>
      <c r="H760" s="221" t="s">
        <v>14</v>
      </c>
      <c r="I760" s="44"/>
      <c r="J760" s="44"/>
      <c r="K760" s="45"/>
      <c r="L760" s="1389">
        <f>L761+L762</f>
        <v>0</v>
      </c>
      <c r="M760" s="1390">
        <f>M761+M762</f>
        <v>0</v>
      </c>
      <c r="N760" s="1390">
        <f>N761+N762</f>
        <v>0</v>
      </c>
      <c r="O760" s="1390">
        <f>IF(L760&gt;0,N760*100/L760,0)</f>
        <v>0</v>
      </c>
      <c r="P760" s="1390">
        <f>IF(M760&gt;0,N760*100/M760,0)</f>
        <v>0</v>
      </c>
      <c r="Q760" s="1390">
        <f ca="1">Q761+Q762</f>
        <v>1018160</v>
      </c>
      <c r="R760" s="1390">
        <f ca="1">R761+R762</f>
        <v>1018160</v>
      </c>
      <c r="S760" s="1390">
        <f ca="1">S761+S762</f>
        <v>193810</v>
      </c>
      <c r="T760" s="1390">
        <f ca="1">IF(Q760&gt;0,S760*100/Q760,0)</f>
        <v>19.035318613970301</v>
      </c>
      <c r="U760" s="1390">
        <f ca="1">IF(R760&gt;0,S760*100/R760,0)</f>
        <v>19.035318613970301</v>
      </c>
    </row>
    <row r="761" spans="1:21" ht="18.75" x14ac:dyDescent="0.25">
      <c r="A761" s="128"/>
      <c r="B761" s="158"/>
      <c r="C761" s="158"/>
      <c r="D761" s="145"/>
      <c r="E761" s="156" t="s">
        <v>158</v>
      </c>
      <c r="F761" s="40"/>
      <c r="G761" s="42"/>
      <c r="H761" s="159" t="s">
        <v>14</v>
      </c>
      <c r="I761" s="44"/>
      <c r="J761" s="44"/>
      <c r="K761" s="45"/>
      <c r="L761" s="1358">
        <f>L764+L767</f>
        <v>0</v>
      </c>
      <c r="M761" s="83">
        <f>M764+M767</f>
        <v>0</v>
      </c>
      <c r="N761" s="83">
        <f>N764+N767</f>
        <v>0</v>
      </c>
      <c r="O761" s="83">
        <f>IF(L761&gt;0,N761*100/L761,0)</f>
        <v>0</v>
      </c>
      <c r="P761" s="83">
        <f>IF(M761&gt;0,N761*100/M761,0)</f>
        <v>0</v>
      </c>
      <c r="Q761" s="83">
        <f>Q764+Q767</f>
        <v>0</v>
      </c>
      <c r="R761" s="83">
        <f>R764+R767</f>
        <v>0</v>
      </c>
      <c r="S761" s="83">
        <f>S764+S767</f>
        <v>0</v>
      </c>
      <c r="T761" s="83">
        <f>IF(Q761&gt;0,S761*100/Q761,0)</f>
        <v>0</v>
      </c>
      <c r="U761" s="83">
        <f>IF(R761&gt;0,S761*100/R761,0)</f>
        <v>0</v>
      </c>
    </row>
    <row r="762" spans="1:21" ht="18.75" x14ac:dyDescent="0.25">
      <c r="A762" s="128"/>
      <c r="B762" s="158"/>
      <c r="C762" s="174"/>
      <c r="D762" s="145"/>
      <c r="E762" s="47" t="s">
        <v>159</v>
      </c>
      <c r="F762" s="40"/>
      <c r="G762" s="42"/>
      <c r="H762" s="134" t="s">
        <v>14</v>
      </c>
      <c r="I762" s="44"/>
      <c r="J762" s="44"/>
      <c r="K762" s="45"/>
      <c r="L762" s="1356">
        <f>L765+L768</f>
        <v>0</v>
      </c>
      <c r="M762" s="224">
        <f>M765+M768</f>
        <v>0</v>
      </c>
      <c r="N762" s="224">
        <f>N765+N768</f>
        <v>0</v>
      </c>
      <c r="O762" s="224">
        <f>IF(L762&gt;0,N762*100/L762,0)</f>
        <v>0</v>
      </c>
      <c r="P762" s="224">
        <f>IF(M762&gt;0,N762*100/M762,0)</f>
        <v>0</v>
      </c>
      <c r="Q762" s="224">
        <f ca="1">Q765+Q768</f>
        <v>1018160</v>
      </c>
      <c r="R762" s="224">
        <f ca="1">R765+R768</f>
        <v>1018160</v>
      </c>
      <c r="S762" s="224">
        <f ca="1">S765+S768</f>
        <v>193810</v>
      </c>
      <c r="T762" s="224">
        <f ca="1">IF(Q762&gt;0,S762*100/Q762,0)</f>
        <v>19.035318613970301</v>
      </c>
      <c r="U762" s="224">
        <f ca="1">IF(R762&gt;0,S762*100/R762,0)</f>
        <v>19.035318613970301</v>
      </c>
    </row>
    <row r="763" spans="1:21" ht="18.75" x14ac:dyDescent="0.25">
      <c r="A763" s="128"/>
      <c r="B763" s="158"/>
      <c r="C763" s="174"/>
      <c r="D763" s="41" t="s">
        <v>22</v>
      </c>
      <c r="E763" s="40"/>
      <c r="F763" s="40"/>
      <c r="G763" s="42"/>
      <c r="H763" s="134" t="s">
        <v>14</v>
      </c>
      <c r="I763" s="135"/>
      <c r="J763" s="135"/>
      <c r="K763" s="136"/>
      <c r="L763" s="1356">
        <f>L764+L765</f>
        <v>0</v>
      </c>
      <c r="M763" s="224">
        <f>M764+M765</f>
        <v>0</v>
      </c>
      <c r="N763" s="224">
        <f>N764+N765</f>
        <v>0</v>
      </c>
      <c r="O763" s="224">
        <f>IF(L763&gt;0,N763*100/L763,0)</f>
        <v>0</v>
      </c>
      <c r="P763" s="224">
        <f>IF(M763&gt;0,N763*100/M763,0)</f>
        <v>0</v>
      </c>
      <c r="Q763" s="224">
        <f ca="1">Q764+Q765</f>
        <v>1018160</v>
      </c>
      <c r="R763" s="224">
        <f ca="1">R764+R765</f>
        <v>1018160</v>
      </c>
      <c r="S763" s="224">
        <f ca="1">S764+S765</f>
        <v>193810</v>
      </c>
      <c r="T763" s="224">
        <f ca="1">IF(Q763&gt;0,S763*100/Q763,0)</f>
        <v>19.035318613970301</v>
      </c>
      <c r="U763" s="224">
        <f ca="1">IF(R763&gt;0,S763*100/R763,0)</f>
        <v>19.035318613970301</v>
      </c>
    </row>
    <row r="764" spans="1:21" ht="18.75" x14ac:dyDescent="0.25">
      <c r="A764" s="128"/>
      <c r="B764" s="158"/>
      <c r="C764" s="174"/>
      <c r="D764" s="145"/>
      <c r="E764" s="156" t="s">
        <v>158</v>
      </c>
      <c r="F764" s="40"/>
      <c r="G764" s="42"/>
      <c r="H764" s="159" t="s">
        <v>14</v>
      </c>
      <c r="I764" s="44"/>
      <c r="J764" s="44"/>
      <c r="K764" s="45"/>
      <c r="L764" s="1358">
        <v>0</v>
      </c>
      <c r="M764" s="83">
        <v>0</v>
      </c>
      <c r="N764" s="83">
        <v>0</v>
      </c>
      <c r="O764" s="83">
        <f>IF(L764&gt;0,N764*100/L764,0)</f>
        <v>0</v>
      </c>
      <c r="P764" s="83">
        <f>IF(M764&gt;0,N764*100/M764,0)</f>
        <v>0</v>
      </c>
      <c r="Q764" s="83">
        <v>0</v>
      </c>
      <c r="R764" s="83">
        <v>0</v>
      </c>
      <c r="S764" s="83">
        <v>0</v>
      </c>
      <c r="T764" s="83">
        <f>IF(Q764&gt;0,S764*100/Q764,0)</f>
        <v>0</v>
      </c>
      <c r="U764" s="83">
        <f>IF(R764&gt;0,S764*100/R764,0)</f>
        <v>0</v>
      </c>
    </row>
    <row r="765" spans="1:21" ht="18.75" x14ac:dyDescent="0.25">
      <c r="A765" s="128"/>
      <c r="B765" s="158"/>
      <c r="C765" s="174"/>
      <c r="D765" s="145"/>
      <c r="E765" s="47" t="s">
        <v>159</v>
      </c>
      <c r="F765" s="40"/>
      <c r="G765" s="42"/>
      <c r="H765" s="134" t="s">
        <v>14</v>
      </c>
      <c r="I765" s="44"/>
      <c r="J765" s="44"/>
      <c r="K765" s="45"/>
      <c r="L765" s="1356">
        <v>0</v>
      </c>
      <c r="M765" s="224">
        <v>0</v>
      </c>
      <c r="N765" s="224">
        <v>0</v>
      </c>
      <c r="O765" s="224">
        <f>IF(L765&gt;0,N765*100/L765,0)</f>
        <v>0</v>
      </c>
      <c r="P765" s="224">
        <f>IF(M765&gt;0,N765*100/M765,0)</f>
        <v>0</v>
      </c>
      <c r="Q765" s="224">
        <f ca="1">IFERROR(__xludf.DUMMYFUNCTION("IMPORTRANGE(""https://docs.google.com/spreadsheets/d/1ItG2mGa2ceCfYo0BwxsXqNm01IGEUdYcSSLTEv9YCik/edit?usp=sharing"",""เบิกจ่ายกองทุน!AA28"")"),1018160)</f>
        <v>1018160</v>
      </c>
      <c r="R765" s="224">
        <f ca="1">IFERROR(__xludf.DUMMYFUNCTION("IMPORTRANGE(""https://docs.google.com/spreadsheets/d/1ItG2mGa2ceCfYo0BwxsXqNm01IGEUdYcSSLTEv9YCik/edit?usp=sharing"",""เบิกจ่ายกองทุน!AB28"")"),1018160)</f>
        <v>1018160</v>
      </c>
      <c r="S765" s="224">
        <f ca="1">IFERROR(__xludf.DUMMYFUNCTION("IMPORTRANGE(""https://docs.google.com/spreadsheets/d/1ItG2mGa2ceCfYo0BwxsXqNm01IGEUdYcSSLTEv9YCik/edit?usp=sharing"",""เบิกจ่ายกองทุน!AC28"")"),193810)</f>
        <v>193810</v>
      </c>
      <c r="T765" s="224">
        <f ca="1">IF(Q765&gt;0,S765*100/Q765,0)</f>
        <v>19.035318613970301</v>
      </c>
      <c r="U765" s="224">
        <f ca="1">IF(R765&gt;0,S765*100/R765,0)</f>
        <v>19.035318613970301</v>
      </c>
    </row>
    <row r="766" spans="1:21" ht="18.75" x14ac:dyDescent="0.25">
      <c r="A766" s="128"/>
      <c r="B766" s="158"/>
      <c r="C766" s="158"/>
      <c r="D766" s="41" t="s">
        <v>23</v>
      </c>
      <c r="E766" s="158"/>
      <c r="F766" s="40"/>
      <c r="G766" s="42"/>
      <c r="H766" s="137" t="s">
        <v>14</v>
      </c>
      <c r="I766" s="135"/>
      <c r="J766" s="135"/>
      <c r="K766" s="136"/>
      <c r="L766" s="1356">
        <f>L767+L768</f>
        <v>0</v>
      </c>
      <c r="M766" s="224">
        <f>M767+M768</f>
        <v>0</v>
      </c>
      <c r="N766" s="224">
        <f>N767+N768</f>
        <v>0</v>
      </c>
      <c r="O766" s="224">
        <f>IF(L766&gt;0,N766*100/L766,0)</f>
        <v>0</v>
      </c>
      <c r="P766" s="224">
        <f>IF(M766&gt;0,N766*100/M766,0)</f>
        <v>0</v>
      </c>
      <c r="Q766" s="224">
        <f>Q767+Q768</f>
        <v>0</v>
      </c>
      <c r="R766" s="224">
        <f>R767+R768</f>
        <v>0</v>
      </c>
      <c r="S766" s="224">
        <f>S767+S768</f>
        <v>0</v>
      </c>
      <c r="T766" s="224">
        <f>IF(Q766&gt;0,S766*100/Q766,0)</f>
        <v>0</v>
      </c>
      <c r="U766" s="224">
        <f>IF(R766&gt;0,S766*100/R766,0)</f>
        <v>0</v>
      </c>
    </row>
    <row r="767" spans="1:21" ht="18.75" x14ac:dyDescent="0.25">
      <c r="A767" s="128"/>
      <c r="B767" s="158"/>
      <c r="C767" s="158"/>
      <c r="D767" s="158"/>
      <c r="E767" s="314" t="s">
        <v>20</v>
      </c>
      <c r="F767" s="40"/>
      <c r="G767" s="42"/>
      <c r="H767" s="159" t="s">
        <v>14</v>
      </c>
      <c r="I767" s="135"/>
      <c r="J767" s="135"/>
      <c r="K767" s="136"/>
      <c r="L767" s="1358">
        <v>0</v>
      </c>
      <c r="M767" s="83">
        <v>0</v>
      </c>
      <c r="N767" s="83">
        <v>0</v>
      </c>
      <c r="O767" s="83">
        <f>IF(L767&gt;0,N767*100/L767,0)</f>
        <v>0</v>
      </c>
      <c r="P767" s="83">
        <f>IF(M767&gt;0,N767*100/M767,0)</f>
        <v>0</v>
      </c>
      <c r="Q767" s="83">
        <v>0</v>
      </c>
      <c r="R767" s="83">
        <v>0</v>
      </c>
      <c r="S767" s="83">
        <v>0</v>
      </c>
      <c r="T767" s="83">
        <f>IF(Q767&gt;0,S767*100/Q767,0)</f>
        <v>0</v>
      </c>
      <c r="U767" s="83">
        <f>IF(R767&gt;0,S767*100/R767,0)</f>
        <v>0</v>
      </c>
    </row>
    <row r="768" spans="1:21" ht="18.75" x14ac:dyDescent="0.25">
      <c r="A768" s="128"/>
      <c r="B768" s="158"/>
      <c r="C768" s="158"/>
      <c r="D768" s="158"/>
      <c r="E768" s="209" t="s">
        <v>21</v>
      </c>
      <c r="F768" s="40"/>
      <c r="G768" s="42"/>
      <c r="H768" s="137" t="s">
        <v>14</v>
      </c>
      <c r="I768" s="135"/>
      <c r="J768" s="135"/>
      <c r="K768" s="136"/>
      <c r="L768" s="1356">
        <v>0</v>
      </c>
      <c r="M768" s="224">
        <v>0</v>
      </c>
      <c r="N768" s="224">
        <v>0</v>
      </c>
      <c r="O768" s="224">
        <f>IF(L768&gt;0,N768*100/L768,0)</f>
        <v>0</v>
      </c>
      <c r="P768" s="224">
        <f>IF(M768&gt;0,N768*100/M768,0)</f>
        <v>0</v>
      </c>
      <c r="Q768" s="224">
        <v>0</v>
      </c>
      <c r="R768" s="224">
        <v>0</v>
      </c>
      <c r="S768" s="224">
        <v>0</v>
      </c>
      <c r="T768" s="224">
        <f>IF(Q768&gt;0,S768*100/Q768,0)</f>
        <v>0</v>
      </c>
      <c r="U768" s="224">
        <f>IF(R768&gt;0,S768*100/R768,0)</f>
        <v>0</v>
      </c>
    </row>
    <row r="769" spans="1:21" ht="19.5" x14ac:dyDescent="0.3">
      <c r="A769" s="138"/>
      <c r="B769" s="139"/>
      <c r="C769" s="439" t="s">
        <v>18</v>
      </c>
      <c r="D769" s="1586" t="s">
        <v>38</v>
      </c>
      <c r="E769" s="203"/>
      <c r="F769" s="141"/>
      <c r="G769" s="142"/>
      <c r="H769" s="178"/>
      <c r="I769" s="44"/>
      <c r="J769" s="44"/>
      <c r="K769" s="45"/>
      <c r="L769" s="1359"/>
      <c r="M769" s="45"/>
      <c r="N769" s="45"/>
      <c r="O769" s="45"/>
      <c r="P769" s="45"/>
      <c r="Q769" s="45"/>
      <c r="R769" s="45"/>
      <c r="S769" s="45"/>
      <c r="T769" s="45"/>
      <c r="U769" s="45"/>
    </row>
    <row r="770" spans="1:21" ht="18.75" x14ac:dyDescent="0.25">
      <c r="A770" s="138"/>
      <c r="B770" s="139"/>
      <c r="C770" s="139"/>
      <c r="D770" s="379" t="s">
        <v>286</v>
      </c>
      <c r="E770" s="139"/>
      <c r="F770" s="145"/>
      <c r="G770" s="143"/>
      <c r="H770" s="378" t="s">
        <v>35</v>
      </c>
      <c r="I770" s="423">
        <f ca="1">IFERROR(__xludf.DUMMYFUNCTION("IMPORTRANGE(""https://docs.google.com/spreadsheets/d/1eHaY18a8A9IcSdp1K8H6x8fbOy06t2VsZHhMHf-1x7Y/edit?usp=sharing"",""แผน!FI28"")"),0)</f>
        <v>0</v>
      </c>
      <c r="J770" s="423">
        <v>0</v>
      </c>
      <c r="K770" s="83">
        <f ca="1">IF(I770&gt;0,J770*100/I770,0)</f>
        <v>0</v>
      </c>
      <c r="L770" s="1359"/>
      <c r="M770" s="45"/>
      <c r="N770" s="45"/>
      <c r="O770" s="45"/>
      <c r="P770" s="45"/>
      <c r="Q770" s="45"/>
      <c r="R770" s="45"/>
      <c r="S770" s="45"/>
      <c r="T770" s="45"/>
      <c r="U770" s="45"/>
    </row>
    <row r="771" spans="1:21" ht="18.75" x14ac:dyDescent="0.25">
      <c r="A771" s="138"/>
      <c r="B771" s="139"/>
      <c r="C771" s="139"/>
      <c r="D771" s="379" t="s">
        <v>287</v>
      </c>
      <c r="E771" s="139"/>
      <c r="F771" s="145"/>
      <c r="G771" s="143"/>
      <c r="H771" s="178"/>
      <c r="I771" s="44"/>
      <c r="J771" s="44"/>
      <c r="K771" s="45"/>
      <c r="L771" s="1359"/>
      <c r="M771" s="45"/>
      <c r="N771" s="45"/>
      <c r="O771" s="45"/>
      <c r="P771" s="45"/>
      <c r="Q771" s="45"/>
      <c r="R771" s="45"/>
      <c r="S771" s="45"/>
      <c r="T771" s="45"/>
      <c r="U771" s="45"/>
    </row>
    <row r="772" spans="1:21" ht="18.75" x14ac:dyDescent="0.25">
      <c r="A772" s="138"/>
      <c r="B772" s="139"/>
      <c r="C772" s="139"/>
      <c r="D772" s="403" t="s">
        <v>288</v>
      </c>
      <c r="E772" s="139"/>
      <c r="F772" s="145"/>
      <c r="G772" s="143"/>
      <c r="H772" s="137" t="s">
        <v>35</v>
      </c>
      <c r="I772" s="184">
        <f ca="1">IFERROR(__xludf.DUMMYFUNCTION("IMPORTRANGE(""https://docs.google.com/spreadsheets/d/1eHaY18a8A9IcSdp1K8H6x8fbOy06t2VsZHhMHf-1x7Y/edit?usp=sharing"",""แผน!FQ28"")"),146)</f>
        <v>146</v>
      </c>
      <c r="J772" s="1395">
        <v>64</v>
      </c>
      <c r="K772" s="224">
        <f ca="1">IF(I772&gt;0,J772*100/I772,0)</f>
        <v>43.835616438356162</v>
      </c>
      <c r="L772" s="1359"/>
      <c r="M772" s="45"/>
      <c r="N772" s="45"/>
      <c r="O772" s="45"/>
      <c r="P772" s="45"/>
      <c r="Q772" s="45"/>
      <c r="R772" s="45"/>
      <c r="S772" s="45"/>
      <c r="T772" s="45"/>
      <c r="U772" s="45"/>
    </row>
    <row r="773" spans="1:21" ht="18.75" x14ac:dyDescent="0.25">
      <c r="A773" s="138"/>
      <c r="B773" s="139"/>
      <c r="C773" s="139"/>
      <c r="D773" s="403" t="s">
        <v>289</v>
      </c>
      <c r="E773" s="139"/>
      <c r="F773" s="145"/>
      <c r="G773" s="143"/>
      <c r="H773" s="178"/>
      <c r="I773" s="44"/>
      <c r="J773" s="44"/>
      <c r="K773" s="45"/>
      <c r="L773" s="1359"/>
      <c r="M773" s="45"/>
      <c r="N773" s="45"/>
      <c r="O773" s="45"/>
      <c r="P773" s="45"/>
      <c r="Q773" s="45"/>
      <c r="R773" s="45"/>
      <c r="S773" s="45"/>
      <c r="T773" s="45"/>
      <c r="U773" s="45"/>
    </row>
    <row r="774" spans="1:21" ht="18.75" x14ac:dyDescent="0.25">
      <c r="A774" s="138"/>
      <c r="B774" s="139"/>
      <c r="C774" s="139"/>
      <c r="D774" s="403" t="s">
        <v>290</v>
      </c>
      <c r="E774" s="139"/>
      <c r="F774" s="145"/>
      <c r="G774" s="143"/>
      <c r="H774" s="137" t="s">
        <v>46</v>
      </c>
      <c r="I774" s="184">
        <f ca="1">IFERROR(__xludf.DUMMYFUNCTION("IMPORTRANGE(""https://docs.google.com/spreadsheets/d/1eHaY18a8A9IcSdp1K8H6x8fbOy06t2VsZHhMHf-1x7Y/edit?usp=sharing"",""แผน!FR28"")"),509)</f>
        <v>509</v>
      </c>
      <c r="J774" s="1395">
        <v>0</v>
      </c>
      <c r="K774" s="224">
        <f ca="1">IF(I774&gt;0,J774*100/I774,0)</f>
        <v>0</v>
      </c>
      <c r="L774" s="1359"/>
      <c r="M774" s="45"/>
      <c r="N774" s="45"/>
      <c r="O774" s="45"/>
      <c r="P774" s="45"/>
      <c r="Q774" s="45"/>
      <c r="R774" s="45"/>
      <c r="S774" s="45"/>
      <c r="T774" s="45"/>
      <c r="U774" s="45"/>
    </row>
    <row r="775" spans="1:21" ht="18.75" x14ac:dyDescent="0.25">
      <c r="A775" s="138"/>
      <c r="B775" s="139"/>
      <c r="C775" s="139"/>
      <c r="D775" s="403" t="s">
        <v>50</v>
      </c>
      <c r="E775" s="145"/>
      <c r="F775" s="40"/>
      <c r="G775" s="42"/>
      <c r="H775" s="137" t="s">
        <v>46</v>
      </c>
      <c r="I775" s="184">
        <f ca="1">IFERROR(__xludf.DUMMYFUNCTION("IMPORTRANGE(""https://docs.google.com/spreadsheets/d/1eHaY18a8A9IcSdp1K8H6x8fbOy06t2VsZHhMHf-1x7Y/edit?usp=sharing"",""แผน!FS28"")"),509)</f>
        <v>509</v>
      </c>
      <c r="J775" s="1395">
        <v>0</v>
      </c>
      <c r="K775" s="45"/>
      <c r="L775" s="1359"/>
      <c r="M775" s="45"/>
      <c r="N775" s="45"/>
      <c r="O775" s="45"/>
      <c r="P775" s="45"/>
      <c r="Q775" s="45"/>
      <c r="R775" s="45"/>
      <c r="S775" s="45"/>
      <c r="T775" s="45"/>
      <c r="U775" s="45"/>
    </row>
    <row r="776" spans="1:21" ht="18.75" x14ac:dyDescent="0.25">
      <c r="A776" s="249"/>
      <c r="B776" s="250"/>
      <c r="C776" s="250"/>
      <c r="D776" s="250"/>
      <c r="E776" s="252"/>
      <c r="F776" s="252"/>
      <c r="G776" s="52"/>
      <c r="H776" s="186" t="s">
        <v>35</v>
      </c>
      <c r="I776" s="188">
        <f ca="1">IFERROR(__xludf.DUMMYFUNCTION("IMPORTRANGE(""https://docs.google.com/spreadsheets/d/1eHaY18a8A9IcSdp1K8H6x8fbOy06t2VsZHhMHf-1x7Y/edit?usp=sharing"",""แผน!FT28"")"),146)</f>
        <v>146</v>
      </c>
      <c r="J776" s="1541">
        <v>0</v>
      </c>
      <c r="K776" s="3"/>
      <c r="L776" s="1360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9.5" x14ac:dyDescent="0.3">
      <c r="A777" s="1605" t="s">
        <v>291</v>
      </c>
      <c r="B777" s="442"/>
      <c r="C777" s="442"/>
      <c r="D777" s="441"/>
      <c r="E777" s="442"/>
      <c r="F777" s="442"/>
      <c r="G777" s="443"/>
      <c r="H777" s="1606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45"/>
      <c r="J777" s="446"/>
      <c r="K777" s="447"/>
      <c r="L777" s="447"/>
      <c r="M777" s="447"/>
      <c r="N777" s="447"/>
      <c r="O777" s="447"/>
      <c r="P777" s="447"/>
      <c r="Q777" s="447"/>
      <c r="R777" s="447"/>
      <c r="S777" s="447"/>
      <c r="T777" s="447"/>
      <c r="U777" s="447"/>
    </row>
    <row r="778" spans="1:21" ht="18.75" x14ac:dyDescent="0.25">
      <c r="A778" s="39"/>
      <c r="B778" s="47" t="s">
        <v>292</v>
      </c>
      <c r="C778" s="40"/>
      <c r="D778" s="158"/>
      <c r="E778" s="40"/>
      <c r="F778" s="40"/>
      <c r="G778" s="42"/>
      <c r="H778" s="43" t="s">
        <v>14</v>
      </c>
      <c r="I778" s="184">
        <f ca="1">IFERROR(__xludf.DUMMYFUNCTION("IMPORTRANGE(""https://docs.google.com/spreadsheets/d/10OvvATaaLtwErnr3qtWFcTmtbfpFEt5Bsqel9sXx0uE/edit?usp=sharing"",""งานกองทุน!D28"")"),4007548.06)</f>
        <v>4007548.06</v>
      </c>
      <c r="J778" s="184">
        <f ca="1">IFERROR(__xludf.DUMMYFUNCTION("IMPORTRANGE(""https://docs.google.com/spreadsheets/d/10OvvATaaLtwErnr3qtWFcTmtbfpFEt5Bsqel9sXx0uE/edit?usp=sharing"",""งานกองทุน!F28"")"),1708069.95)</f>
        <v>1708069.95</v>
      </c>
      <c r="K778" s="224">
        <f ca="1">IF(I778&gt;0,J778*100/I778,0)</f>
        <v>42.621321676676288</v>
      </c>
      <c r="L778" s="45"/>
      <c r="M778" s="45"/>
      <c r="N778" s="45"/>
      <c r="O778" s="45"/>
      <c r="P778" s="45"/>
      <c r="Q778" s="45"/>
      <c r="R778" s="45"/>
      <c r="S778" s="45"/>
      <c r="T778" s="45"/>
      <c r="U778" s="45"/>
    </row>
    <row r="779" spans="1:21" ht="18.75" x14ac:dyDescent="0.25">
      <c r="A779" s="39"/>
      <c r="B779" s="40"/>
      <c r="C779" s="40"/>
      <c r="D779" s="158"/>
      <c r="E779" s="40"/>
      <c r="F779" s="40"/>
      <c r="G779" s="42"/>
      <c r="H779" s="43" t="s">
        <v>35</v>
      </c>
      <c r="I779" s="184">
        <f ca="1">IFERROR(__xludf.DUMMYFUNCTION("IMPORTRANGE(""https://docs.google.com/spreadsheets/d/10OvvATaaLtwErnr3qtWFcTmtbfpFEt5Bsqel9sXx0uE/edit?usp=sharing"",""งานกองทุน!C28"")"),285)</f>
        <v>285</v>
      </c>
      <c r="J779" s="184">
        <f ca="1">IFERROR(__xludf.DUMMYFUNCTION("IMPORTRANGE(""https://docs.google.com/spreadsheets/d/10OvvATaaLtwErnr3qtWFcTmtbfpFEt5Bsqel9sXx0uE/edit?usp=sharing"",""งานกองทุน!E28"")"),169)</f>
        <v>169</v>
      </c>
      <c r="K779" s="224">
        <f ca="1">IF(I779&gt;0,J779*100/I779,0)</f>
        <v>59.298245614035089</v>
      </c>
      <c r="L779" s="45"/>
      <c r="M779" s="45"/>
      <c r="N779" s="45"/>
      <c r="O779" s="45"/>
      <c r="P779" s="45"/>
      <c r="Q779" s="45"/>
      <c r="R779" s="45"/>
      <c r="S779" s="45"/>
      <c r="T779" s="45"/>
      <c r="U779" s="45"/>
    </row>
    <row r="780" spans="1:21" ht="18.75" x14ac:dyDescent="0.25">
      <c r="A780" s="39"/>
      <c r="B780" s="47" t="s">
        <v>293</v>
      </c>
      <c r="C780" s="40"/>
      <c r="D780" s="158"/>
      <c r="E780" s="40"/>
      <c r="F780" s="40"/>
      <c r="G780" s="42"/>
      <c r="H780" s="43" t="s">
        <v>14</v>
      </c>
      <c r="I780" s="184">
        <f ca="1">IFERROR(__xludf.DUMMYFUNCTION("IMPORTRANGE(""https://docs.google.com/spreadsheets/d/10OvvATaaLtwErnr3qtWFcTmtbfpFEt5Bsqel9sXx0uE/edit?usp=sharing"",""งานกองทุน!I28"")"),8048617.16)</f>
        <v>8048617.1600000001</v>
      </c>
      <c r="J780" s="184">
        <f ca="1">IFERROR(__xludf.DUMMYFUNCTION("IMPORTRANGE(""https://docs.google.com/spreadsheets/d/10OvvATaaLtwErnr3qtWFcTmtbfpFEt5Bsqel9sXx0uE/edit?usp=sharing"",""งานกองทุน!K28"")"),341227.64)</f>
        <v>341227.64</v>
      </c>
      <c r="K780" s="224">
        <f ca="1">IF(I780&gt;0,J780*100/I780,0)</f>
        <v>4.2395809518165724</v>
      </c>
      <c r="L780" s="45"/>
      <c r="M780" s="45"/>
      <c r="N780" s="45"/>
      <c r="O780" s="45"/>
      <c r="P780" s="45"/>
      <c r="Q780" s="45"/>
      <c r="R780" s="45"/>
      <c r="S780" s="45"/>
      <c r="T780" s="45"/>
      <c r="U780" s="45"/>
    </row>
    <row r="781" spans="1:21" ht="18.75" x14ac:dyDescent="0.25">
      <c r="A781" s="39"/>
      <c r="B781" s="40"/>
      <c r="C781" s="40"/>
      <c r="D781" s="158"/>
      <c r="E781" s="40"/>
      <c r="F781" s="40"/>
      <c r="G781" s="42"/>
      <c r="H781" s="43" t="s">
        <v>35</v>
      </c>
      <c r="I781" s="184">
        <f ca="1">IFERROR(__xludf.DUMMYFUNCTION("IMPORTRANGE(""https://docs.google.com/spreadsheets/d/10OvvATaaLtwErnr3qtWFcTmtbfpFEt5Bsqel9sXx0uE/edit?usp=sharing"",""งานกองทุน!H28"")"),213)</f>
        <v>213</v>
      </c>
      <c r="J781" s="184">
        <f ca="1">IFERROR(__xludf.DUMMYFUNCTION("IMPORTRANGE(""https://docs.google.com/spreadsheets/d/10OvvATaaLtwErnr3qtWFcTmtbfpFEt5Bsqel9sXx0uE/edit?usp=sharing"",""งานกองทุน!J28"")"),104)</f>
        <v>104</v>
      </c>
      <c r="K781" s="224">
        <f ca="1">IF(I781&gt;0,J781*100/I781,0)</f>
        <v>48.826291079812208</v>
      </c>
      <c r="L781" s="45"/>
      <c r="M781" s="45"/>
      <c r="N781" s="45"/>
      <c r="O781" s="45"/>
      <c r="P781" s="45"/>
      <c r="Q781" s="45"/>
      <c r="R781" s="45"/>
      <c r="S781" s="45"/>
      <c r="T781" s="45"/>
      <c r="U781" s="45"/>
    </row>
    <row r="782" spans="1:21" ht="18.75" x14ac:dyDescent="0.25">
      <c r="A782" s="39"/>
      <c r="B782" s="47" t="s">
        <v>294</v>
      </c>
      <c r="C782" s="40"/>
      <c r="D782" s="158"/>
      <c r="E782" s="40"/>
      <c r="F782" s="40"/>
      <c r="G782" s="42"/>
      <c r="H782" s="43" t="s">
        <v>14</v>
      </c>
      <c r="I782" s="184">
        <f ca="1">IFERROR(__xludf.DUMMYFUNCTION("IMPORTRANGE(""https://docs.google.com/spreadsheets/d/10OvvATaaLtwErnr3qtWFcTmtbfpFEt5Bsqel9sXx0uE/edit?usp=sharing"",""งานกองทุน!N28"")"),1999966.68)</f>
        <v>1999966.68</v>
      </c>
      <c r="J782" s="184">
        <f ca="1">IFERROR(__xludf.DUMMYFUNCTION("IMPORTRANGE(""https://docs.google.com/spreadsheets/d/10OvvATaaLtwErnr3qtWFcTmtbfpFEt5Bsqel9sXx0uE/edit?usp=sharing"",""งานกองทุน!P28"")"),843608.21)</f>
        <v>843608.21</v>
      </c>
      <c r="K782" s="224">
        <f ca="1">IF(I782&gt;0,J782*100/I782,0)</f>
        <v>42.181113237346537</v>
      </c>
      <c r="L782" s="45"/>
      <c r="M782" s="45"/>
      <c r="N782" s="45"/>
      <c r="O782" s="45"/>
      <c r="P782" s="45"/>
      <c r="Q782" s="45"/>
      <c r="R782" s="45"/>
      <c r="S782" s="45"/>
      <c r="T782" s="45"/>
      <c r="U782" s="45"/>
    </row>
    <row r="783" spans="1:21" ht="18.75" x14ac:dyDescent="0.25">
      <c r="A783" s="39"/>
      <c r="B783" s="40"/>
      <c r="C783" s="40"/>
      <c r="D783" s="158"/>
      <c r="E783" s="40"/>
      <c r="F783" s="40"/>
      <c r="G783" s="42"/>
      <c r="H783" s="43" t="s">
        <v>35</v>
      </c>
      <c r="I783" s="184">
        <f ca="1">IFERROR(__xludf.DUMMYFUNCTION("IMPORTRANGE(""https://docs.google.com/spreadsheets/d/10OvvATaaLtwErnr3qtWFcTmtbfpFEt5Bsqel9sXx0uE/edit?usp=sharing"",""งานกองทุน!M28"")"),170)</f>
        <v>170</v>
      </c>
      <c r="J783" s="184">
        <f ca="1">IFERROR(__xludf.DUMMYFUNCTION("IMPORTRANGE(""https://docs.google.com/spreadsheets/d/10OvvATaaLtwErnr3qtWFcTmtbfpFEt5Bsqel9sXx0uE/edit?usp=sharing"",""งานกองทุน!O28"")"),87)</f>
        <v>87</v>
      </c>
      <c r="K783" s="224">
        <f ca="1">IF(I783&gt;0,J783*100/I783,0)</f>
        <v>51.176470588235297</v>
      </c>
      <c r="L783" s="45"/>
      <c r="M783" s="45"/>
      <c r="N783" s="45"/>
      <c r="O783" s="45"/>
      <c r="P783" s="45"/>
      <c r="Q783" s="45"/>
      <c r="R783" s="45"/>
      <c r="S783" s="45"/>
      <c r="T783" s="45"/>
      <c r="U783" s="45"/>
    </row>
    <row r="784" spans="1:21" ht="18.75" x14ac:dyDescent="0.25">
      <c r="A784" s="39"/>
      <c r="B784" s="47" t="s">
        <v>295</v>
      </c>
      <c r="C784" s="40"/>
      <c r="D784" s="158"/>
      <c r="E784" s="40"/>
      <c r="F784" s="40"/>
      <c r="G784" s="42"/>
      <c r="H784" s="43" t="s">
        <v>14</v>
      </c>
      <c r="I784" s="184">
        <f ca="1">IFERROR(__xludf.DUMMYFUNCTION("IMPORTRANGE(""https://docs.google.com/spreadsheets/d/10OvvATaaLtwErnr3qtWFcTmtbfpFEt5Bsqel9sXx0uE/edit?usp=sharing"",""งานกองทุน!S28"")"),6440000)</f>
        <v>6440000</v>
      </c>
      <c r="J784" s="184">
        <f ca="1">IFERROR(__xludf.DUMMYFUNCTION("IMPORTRANGE(""https://docs.google.com/spreadsheets/d/10OvvATaaLtwErnr3qtWFcTmtbfpFEt5Bsqel9sXx0uE/edit?usp=sharing"",""งานกองทุน!U28"")"),0)</f>
        <v>0</v>
      </c>
      <c r="K784" s="224">
        <f ca="1">IF(I784&gt;0,J784*100/I784,0)</f>
        <v>0</v>
      </c>
      <c r="L784" s="45"/>
      <c r="M784" s="45"/>
      <c r="N784" s="45"/>
      <c r="O784" s="45"/>
      <c r="P784" s="45"/>
      <c r="Q784" s="45"/>
      <c r="R784" s="45"/>
      <c r="S784" s="45"/>
      <c r="T784" s="45"/>
      <c r="U784" s="45"/>
    </row>
    <row r="785" spans="1:21" ht="18.75" x14ac:dyDescent="0.25">
      <c r="A785" s="50"/>
      <c r="B785" s="1"/>
      <c r="C785" s="1"/>
      <c r="D785" s="2"/>
      <c r="E785" s="1"/>
      <c r="F785" s="1"/>
      <c r="G785" s="52"/>
      <c r="H785" s="53" t="s">
        <v>35</v>
      </c>
      <c r="I785" s="188">
        <f ca="1">IFERROR(__xludf.DUMMYFUNCTION("IMPORTRANGE(""https://docs.google.com/spreadsheets/d/10OvvATaaLtwErnr3qtWFcTmtbfpFEt5Bsqel9sXx0uE/edit?usp=sharing"",""งานกองทุน!R28"")"),230)</f>
        <v>230</v>
      </c>
      <c r="J785" s="188">
        <f ca="1">IFERROR(__xludf.DUMMYFUNCTION("IMPORTRANGE(""https://docs.google.com/spreadsheets/d/10OvvATaaLtwErnr3qtWFcTmtbfpFEt5Bsqel9sXx0uE/edit?usp=sharing"",""งานกองทุน!T28"")"),0)</f>
        <v>0</v>
      </c>
      <c r="K785" s="448">
        <f ca="1">IF(I785&gt;0,J785*100/I785,0)</f>
        <v>0</v>
      </c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2.75" x14ac:dyDescent="0.2">
      <c r="A786" s="165"/>
      <c r="B786" s="165"/>
      <c r="C786" s="165"/>
      <c r="D786" s="165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</row>
    <row r="787" spans="1:21" ht="16.5" x14ac:dyDescent="0.25">
      <c r="A787" s="1607" t="s">
        <v>296</v>
      </c>
      <c r="B787" s="165"/>
      <c r="C787" s="165"/>
      <c r="D787" s="165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</row>
    <row r="788" spans="1:21" ht="16.5" x14ac:dyDescent="0.25">
      <c r="A788" s="160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5"/>
      <c r="C788" s="165"/>
      <c r="D788" s="165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</row>
    <row r="789" spans="1:21" ht="16.5" x14ac:dyDescent="0.25">
      <c r="A789" s="1607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5"/>
      <c r="C789" s="165"/>
      <c r="D789" s="165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7917-485C-4CF0-8055-8D812A7E00EC}">
  <sheetPr>
    <outlinePr summaryBelow="0" summaryRight="0"/>
  </sheetPr>
  <dimension ref="A1:U789"/>
  <sheetViews>
    <sheetView view="pageBreakPreview" zoomScale="60" zoomScaleNormal="80" workbookViewId="0">
      <pane xSplit="8" ySplit="6" topLeftCell="I7" activePane="bottomRight" state="frozen"/>
      <selection activeCell="W19" sqref="W19"/>
      <selection pane="topRight" activeCell="W19" sqref="W19"/>
      <selection pane="bottomLeft" activeCell="W19" sqref="W19"/>
      <selection pane="bottomRight" activeCell="W19" sqref="W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0.28515625" bestFit="1" customWidth="1"/>
    <col min="15" max="15" width="19.28515625" bestFit="1" customWidth="1"/>
    <col min="16" max="16" width="20.7109375" bestFit="1" customWidth="1"/>
    <col min="17" max="18" width="20.28515625" bestFit="1" customWidth="1"/>
    <col min="19" max="19" width="17.85546875" bestFit="1" customWidth="1"/>
    <col min="20" max="20" width="19.28515625" bestFit="1" customWidth="1"/>
    <col min="21" max="21" width="20.7109375" bestFit="1" customWidth="1"/>
  </cols>
  <sheetData>
    <row r="1" spans="1:21" ht="15.75" customHeight="1" x14ac:dyDescent="0.3">
      <c r="A1" s="1335" t="s">
        <v>0</v>
      </c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5"/>
      <c r="N1" s="1335"/>
      <c r="O1" s="1335"/>
      <c r="P1" s="1335"/>
      <c r="Q1" s="1335"/>
      <c r="R1" s="1335"/>
      <c r="S1" s="1335"/>
      <c r="T1" s="1335"/>
      <c r="U1" s="1335"/>
    </row>
    <row r="2" spans="1:21" ht="15.75" customHeight="1" x14ac:dyDescent="0.3">
      <c r="A2" s="1335" t="s">
        <v>348</v>
      </c>
      <c r="B2" s="1335"/>
      <c r="C2" s="1335"/>
      <c r="D2" s="1335"/>
      <c r="E2" s="1335"/>
      <c r="F2" s="1335"/>
      <c r="G2" s="1335"/>
      <c r="H2" s="1335"/>
      <c r="I2" s="1335"/>
      <c r="J2" s="1335"/>
      <c r="K2" s="1335"/>
      <c r="L2" s="1335"/>
      <c r="M2" s="1335"/>
      <c r="N2" s="1335"/>
      <c r="O2" s="1335"/>
      <c r="P2" s="1335"/>
      <c r="Q2" s="1335"/>
      <c r="R2" s="1335"/>
      <c r="S2" s="1335"/>
      <c r="T2" s="1335"/>
      <c r="U2" s="1335"/>
    </row>
    <row r="3" spans="1:21" ht="15.75" customHeight="1" x14ac:dyDescent="0.3">
      <c r="A3" s="1335" t="s">
        <v>350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  <c r="L3" s="1335"/>
      <c r="M3" s="1335"/>
      <c r="N3" s="1335"/>
      <c r="O3" s="1335"/>
      <c r="P3" s="1335"/>
      <c r="Q3" s="1335"/>
      <c r="R3" s="1335"/>
      <c r="S3" s="1335"/>
      <c r="T3" s="1335"/>
      <c r="U3" s="1335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1336"/>
      <c r="L4" s="1337" t="s">
        <v>2</v>
      </c>
      <c r="M4" s="1292"/>
      <c r="N4" s="1292"/>
      <c r="O4" s="1292"/>
      <c r="P4" s="1293"/>
      <c r="Q4" s="1338" t="s">
        <v>3</v>
      </c>
      <c r="R4" s="1292"/>
      <c r="S4" s="1292"/>
      <c r="T4" s="1292"/>
      <c r="U4" s="1293"/>
    </row>
    <row r="5" spans="1:21" ht="15.75" customHeight="1" x14ac:dyDescent="0.3">
      <c r="A5" s="1339" t="s">
        <v>4</v>
      </c>
      <c r="B5" s="1289"/>
      <c r="C5" s="1289"/>
      <c r="D5" s="1289"/>
      <c r="E5" s="1289"/>
      <c r="F5" s="1289"/>
      <c r="G5" s="1290"/>
      <c r="H5" s="1340" t="s">
        <v>5</v>
      </c>
      <c r="I5" s="1309" t="s">
        <v>6</v>
      </c>
      <c r="J5" s="1292"/>
      <c r="K5" s="1293"/>
      <c r="L5" s="1341" t="s">
        <v>7</v>
      </c>
      <c r="M5" s="1293"/>
      <c r="N5" s="1302" t="s">
        <v>8</v>
      </c>
      <c r="O5" s="1292"/>
      <c r="P5" s="1293"/>
      <c r="Q5" s="1303" t="s">
        <v>7</v>
      </c>
      <c r="R5" s="1293"/>
      <c r="S5" s="1302" t="s">
        <v>8</v>
      </c>
      <c r="T5" s="1292"/>
      <c r="U5" s="1293"/>
    </row>
    <row r="6" spans="1:21" ht="15.75" customHeight="1" x14ac:dyDescent="0.3">
      <c r="A6" s="1291"/>
      <c r="B6" s="1292"/>
      <c r="C6" s="1292"/>
      <c r="D6" s="1292"/>
      <c r="E6" s="1292"/>
      <c r="F6" s="1292"/>
      <c r="G6" s="1293"/>
      <c r="H6" s="1342"/>
      <c r="I6" s="6" t="s">
        <v>9</v>
      </c>
      <c r="J6" s="7" t="s">
        <v>10</v>
      </c>
      <c r="K6" s="6" t="s">
        <v>11</v>
      </c>
      <c r="L6" s="1343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x14ac:dyDescent="0.2">
      <c r="A7" s="1344"/>
      <c r="B7" s="1292"/>
      <c r="C7" s="1292"/>
      <c r="D7" s="1292"/>
      <c r="E7" s="1292"/>
      <c r="F7" s="1292"/>
      <c r="G7" s="1293"/>
      <c r="H7" s="14"/>
      <c r="I7" s="15"/>
      <c r="J7" s="15"/>
      <c r="K7" s="16"/>
      <c r="L7" s="1345"/>
      <c r="M7" s="16"/>
      <c r="N7" s="16"/>
      <c r="O7" s="16"/>
      <c r="P7" s="16"/>
      <c r="Q7" s="16"/>
      <c r="R7" s="16"/>
      <c r="S7" s="16"/>
      <c r="T7" s="16"/>
      <c r="U7" s="16"/>
    </row>
    <row r="8" spans="1:21" ht="12.75" x14ac:dyDescent="0.2">
      <c r="A8" s="17"/>
      <c r="B8" s="18"/>
      <c r="C8" s="18"/>
      <c r="D8" s="18"/>
      <c r="E8" s="18"/>
      <c r="F8" s="18"/>
      <c r="G8" s="19"/>
      <c r="H8" s="19"/>
      <c r="I8" s="20"/>
      <c r="J8" s="20"/>
      <c r="K8" s="21"/>
      <c r="L8" s="1346"/>
      <c r="M8" s="21"/>
      <c r="N8" s="21"/>
      <c r="O8" s="21"/>
      <c r="P8" s="21"/>
      <c r="Q8" s="21"/>
      <c r="R8" s="21"/>
      <c r="S8" s="21"/>
      <c r="T8" s="21"/>
      <c r="U8" s="21"/>
    </row>
    <row r="9" spans="1:21" ht="12.75" x14ac:dyDescent="0.2">
      <c r="A9" s="17"/>
      <c r="B9" s="18"/>
      <c r="C9" s="18"/>
      <c r="D9" s="18"/>
      <c r="E9" s="18"/>
      <c r="F9" s="18"/>
      <c r="G9" s="19"/>
      <c r="H9" s="19"/>
      <c r="I9" s="20"/>
      <c r="J9" s="20"/>
      <c r="K9" s="21"/>
      <c r="L9" s="1346"/>
      <c r="M9" s="21"/>
      <c r="N9" s="21"/>
      <c r="O9" s="21"/>
      <c r="P9" s="21"/>
      <c r="Q9" s="21"/>
      <c r="R9" s="21"/>
      <c r="S9" s="21"/>
      <c r="T9" s="21"/>
      <c r="U9" s="21"/>
    </row>
    <row r="10" spans="1:21" ht="12.75" x14ac:dyDescent="0.2">
      <c r="A10" s="17"/>
      <c r="B10" s="18"/>
      <c r="C10" s="18"/>
      <c r="D10" s="18"/>
      <c r="E10" s="18"/>
      <c r="F10" s="18"/>
      <c r="G10" s="19"/>
      <c r="H10" s="19"/>
      <c r="I10" s="20"/>
      <c r="J10" s="20"/>
      <c r="K10" s="21"/>
      <c r="L10" s="1346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2.75" x14ac:dyDescent="0.2">
      <c r="A11" s="17"/>
      <c r="B11" s="18"/>
      <c r="C11" s="18"/>
      <c r="D11" s="18"/>
      <c r="E11" s="18"/>
      <c r="F11" s="18"/>
      <c r="G11" s="19"/>
      <c r="H11" s="19"/>
      <c r="I11" s="20"/>
      <c r="J11" s="20"/>
      <c r="K11" s="21"/>
      <c r="L11" s="1346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2.75" x14ac:dyDescent="0.2">
      <c r="A12" s="17"/>
      <c r="B12" s="18"/>
      <c r="C12" s="18"/>
      <c r="D12" s="18"/>
      <c r="E12" s="18"/>
      <c r="F12" s="18"/>
      <c r="G12" s="19"/>
      <c r="H12" s="19"/>
      <c r="I12" s="20"/>
      <c r="J12" s="20"/>
      <c r="K12" s="21"/>
      <c r="L12" s="1346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12.75" x14ac:dyDescent="0.2">
      <c r="A13" s="17"/>
      <c r="B13" s="18"/>
      <c r="C13" s="18"/>
      <c r="D13" s="18"/>
      <c r="E13" s="18"/>
      <c r="F13" s="18"/>
      <c r="G13" s="19"/>
      <c r="H13" s="19"/>
      <c r="I13" s="20"/>
      <c r="J13" s="20"/>
      <c r="K13" s="21"/>
      <c r="L13" s="1346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2.75" x14ac:dyDescent="0.2">
      <c r="A14" s="17"/>
      <c r="B14" s="18"/>
      <c r="C14" s="18"/>
      <c r="D14" s="18"/>
      <c r="E14" s="18"/>
      <c r="F14" s="18"/>
      <c r="G14" s="19"/>
      <c r="H14" s="19"/>
      <c r="I14" s="20"/>
      <c r="J14" s="20"/>
      <c r="K14" s="21"/>
      <c r="L14" s="1346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2.75" x14ac:dyDescent="0.2">
      <c r="A15" s="17"/>
      <c r="B15" s="18"/>
      <c r="C15" s="18"/>
      <c r="D15" s="18"/>
      <c r="E15" s="18"/>
      <c r="F15" s="18"/>
      <c r="G15" s="19"/>
      <c r="H15" s="19"/>
      <c r="I15" s="20"/>
      <c r="J15" s="20"/>
      <c r="K15" s="21"/>
      <c r="L15" s="1346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2.75" x14ac:dyDescent="0.2">
      <c r="A16" s="13"/>
      <c r="B16" s="22"/>
      <c r="C16" s="22"/>
      <c r="D16" s="22"/>
      <c r="E16" s="22"/>
      <c r="F16" s="22"/>
      <c r="G16" s="14"/>
      <c r="H16" s="14"/>
      <c r="I16" s="15"/>
      <c r="J16" s="15"/>
      <c r="K16" s="16"/>
      <c r="L16" s="1345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15.75" customHeight="1" x14ac:dyDescent="0.3">
      <c r="A17" s="1295" t="s">
        <v>298</v>
      </c>
      <c r="B17" s="1292"/>
      <c r="C17" s="1292"/>
      <c r="D17" s="1292"/>
      <c r="E17" s="1292"/>
      <c r="F17" s="1292"/>
      <c r="G17" s="1293"/>
      <c r="H17" s="23"/>
      <c r="I17" s="24"/>
      <c r="J17" s="24"/>
      <c r="K17" s="25"/>
      <c r="L17" s="1347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5.75" customHeight="1" x14ac:dyDescent="0.3">
      <c r="A18" s="26"/>
      <c r="B18" s="27"/>
      <c r="C18" s="28" t="s">
        <v>18</v>
      </c>
      <c r="D18" s="29" t="s">
        <v>19</v>
      </c>
      <c r="E18" s="27"/>
      <c r="F18" s="27"/>
      <c r="G18" s="30"/>
      <c r="H18" s="31" t="s">
        <v>14</v>
      </c>
      <c r="I18" s="32"/>
      <c r="J18" s="32"/>
      <c r="K18" s="33"/>
      <c r="L18" s="1348">
        <f ca="1">L19+L20</f>
        <v>4504310</v>
      </c>
      <c r="M18" s="1349">
        <f ca="1">M19+M20</f>
        <v>4419129</v>
      </c>
      <c r="N18" s="1349">
        <f ca="1">N19+N20</f>
        <v>1851365.94</v>
      </c>
      <c r="O18" s="1349">
        <f ca="1">IF(L18&gt;0,N18*100/L18,0)</f>
        <v>41.102098656619994</v>
      </c>
      <c r="P18" s="1349">
        <f ca="1">IF(M18&gt;0,N18*100/M18,0)</f>
        <v>41.894362893683351</v>
      </c>
      <c r="Q18" s="1349">
        <f ca="1">Q19+Q20</f>
        <v>2508714.2400000002</v>
      </c>
      <c r="R18" s="1349">
        <f ca="1">R19+R20</f>
        <v>2333854</v>
      </c>
      <c r="S18" s="1349">
        <f ca="1">S19+S20</f>
        <v>393212.5</v>
      </c>
      <c r="T18" s="1349">
        <f ca="1">IF(Q18&gt;0,S18*100/Q18,0)</f>
        <v>15.673865669132566</v>
      </c>
      <c r="U18" s="1349">
        <f ca="1">IF(R18&gt;0,S18*100/R18,0)</f>
        <v>16.84820472917329</v>
      </c>
    </row>
    <row r="19" spans="1:21" ht="15.75" customHeight="1" x14ac:dyDescent="0.25">
      <c r="A19" s="26"/>
      <c r="B19" s="27"/>
      <c r="C19" s="27"/>
      <c r="D19" s="27"/>
      <c r="E19" s="1350" t="s">
        <v>20</v>
      </c>
      <c r="F19" s="27"/>
      <c r="G19" s="30"/>
      <c r="H19" s="1351" t="s">
        <v>14</v>
      </c>
      <c r="I19" s="32"/>
      <c r="J19" s="32"/>
      <c r="K19" s="33"/>
      <c r="L19" s="1352">
        <f>L22+L25</f>
        <v>0</v>
      </c>
      <c r="M19" s="1353">
        <f>M22+M25</f>
        <v>0</v>
      </c>
      <c r="N19" s="1353">
        <f>N22+N25</f>
        <v>0</v>
      </c>
      <c r="O19" s="1353">
        <f>IF(L19&gt;0,N19*100/L19,0)</f>
        <v>0</v>
      </c>
      <c r="P19" s="1353">
        <f>IF(M19&gt;0,N19*100/M19,0)</f>
        <v>0</v>
      </c>
      <c r="Q19" s="1353">
        <f>Q22+Q25</f>
        <v>0</v>
      </c>
      <c r="R19" s="1353">
        <f>R22+R25</f>
        <v>0</v>
      </c>
      <c r="S19" s="1353">
        <f>S22+S25</f>
        <v>0</v>
      </c>
      <c r="T19" s="1353">
        <f>IF(Q19&gt;0,S19*100/Q19,0)</f>
        <v>0</v>
      </c>
      <c r="U19" s="1353">
        <f>IF(R19&gt;0,S19*100/R19,0)</f>
        <v>0</v>
      </c>
    </row>
    <row r="20" spans="1:21" ht="15.75" customHeight="1" x14ac:dyDescent="0.25">
      <c r="A20" s="26"/>
      <c r="B20" s="27"/>
      <c r="C20" s="27"/>
      <c r="D20" s="27"/>
      <c r="E20" s="35" t="s">
        <v>21</v>
      </c>
      <c r="F20" s="27"/>
      <c r="G20" s="30"/>
      <c r="H20" s="36" t="s">
        <v>14</v>
      </c>
      <c r="I20" s="32"/>
      <c r="J20" s="32"/>
      <c r="K20" s="33"/>
      <c r="L20" s="1354">
        <f ca="1">L23+L26</f>
        <v>4504310</v>
      </c>
      <c r="M20" s="1355">
        <f ca="1">M23+M26</f>
        <v>4419129</v>
      </c>
      <c r="N20" s="1355">
        <f ca="1">N23+N26</f>
        <v>1851365.94</v>
      </c>
      <c r="O20" s="1355">
        <f ca="1">IF(L20&gt;0,N20*100/L20,0)</f>
        <v>41.102098656619994</v>
      </c>
      <c r="P20" s="1355">
        <f ca="1">IF(M20&gt;0,N20*100/M20,0)</f>
        <v>41.894362893683351</v>
      </c>
      <c r="Q20" s="1355">
        <f ca="1">Q23+Q26</f>
        <v>2508714.2400000002</v>
      </c>
      <c r="R20" s="1355">
        <f ca="1">R23+R26</f>
        <v>2333854</v>
      </c>
      <c r="S20" s="1355">
        <f ca="1">S23+S26</f>
        <v>393212.5</v>
      </c>
      <c r="T20" s="1355">
        <f ca="1">IF(Q20&gt;0,S20*100/Q20,0)</f>
        <v>15.673865669132566</v>
      </c>
      <c r="U20" s="1355">
        <f ca="1">IF(R20&gt;0,S20*100/R20,0)</f>
        <v>16.84820472917329</v>
      </c>
    </row>
    <row r="21" spans="1:21" ht="15.75" customHeight="1" x14ac:dyDescent="0.25">
      <c r="A21" s="39"/>
      <c r="B21" s="40"/>
      <c r="C21" s="40"/>
      <c r="D21" s="41" t="s">
        <v>22</v>
      </c>
      <c r="E21" s="40"/>
      <c r="F21" s="40"/>
      <c r="G21" s="42"/>
      <c r="H21" s="43" t="s">
        <v>14</v>
      </c>
      <c r="I21" s="44"/>
      <c r="J21" s="44"/>
      <c r="K21" s="45"/>
      <c r="L21" s="1356">
        <f ca="1">L22+L23</f>
        <v>2819710</v>
      </c>
      <c r="M21" s="224">
        <f ca="1">M22+M23</f>
        <v>2734529</v>
      </c>
      <c r="N21" s="224">
        <f ca="1">N22+N23</f>
        <v>1840865.94</v>
      </c>
      <c r="O21" s="224">
        <f ca="1">IF(L21&gt;0,N21*100/L21,0)</f>
        <v>65.285647814846214</v>
      </c>
      <c r="P21" s="224">
        <f ca="1">IF(M21&gt;0,N21*100/M21,0)</f>
        <v>67.319305810982442</v>
      </c>
      <c r="Q21" s="224">
        <f ca="1">Q22+Q23</f>
        <v>2508714.2400000002</v>
      </c>
      <c r="R21" s="224">
        <f ca="1">R22+R23</f>
        <v>2333854</v>
      </c>
      <c r="S21" s="224">
        <f ca="1">S22+S23</f>
        <v>393212.5</v>
      </c>
      <c r="T21" s="224">
        <f ca="1">IF(Q21&gt;0,S21*100/Q21,0)</f>
        <v>15.673865669132566</v>
      </c>
      <c r="U21" s="224">
        <f ca="1">IF(R21&gt;0,S21*100/R21,0)</f>
        <v>16.84820472917329</v>
      </c>
    </row>
    <row r="22" spans="1:21" ht="15.75" customHeight="1" x14ac:dyDescent="0.25">
      <c r="A22" s="39"/>
      <c r="B22" s="40"/>
      <c r="C22" s="40"/>
      <c r="D22" s="40"/>
      <c r="E22" s="156" t="s">
        <v>20</v>
      </c>
      <c r="F22" s="40"/>
      <c r="G22" s="42"/>
      <c r="H22" s="1357" t="s">
        <v>14</v>
      </c>
      <c r="I22" s="44"/>
      <c r="J22" s="44"/>
      <c r="K22" s="45"/>
      <c r="L22" s="1358">
        <f>L48+L63+L76+L98+L129+L143+L161+L190+L177+L270+L286+L307+L324+L337+L360+L517</f>
        <v>0</v>
      </c>
      <c r="M22" s="83">
        <f>M48+M63+M76+M98+M129+M143+M161+M190+M177+M270+M286+M307+M324+M337+M360+M517</f>
        <v>0</v>
      </c>
      <c r="N22" s="83">
        <f>N48+N63+N76+N98+N129+N143+N161+N190+N177+N270+N286+N307+N324+N337+N360+N517</f>
        <v>0</v>
      </c>
      <c r="O22" s="83">
        <f>IF(L22&gt;0,N22*100/L22,0)</f>
        <v>0</v>
      </c>
      <c r="P22" s="83">
        <f>IF(M22&gt;0,N22*100/M22,0)</f>
        <v>0</v>
      </c>
      <c r="Q22" s="83">
        <f>Q76+Q98+Q121+Q143+Q161+Q177+Q190+Q270+Q286+Q307+Q337+Q379+Q396+Q417+Q497+Q603+Q620+Q646+Q694+Q718+Q732+Q764</f>
        <v>0</v>
      </c>
      <c r="R22" s="83">
        <f>R76+R98+R121+R143+R161+R177+R190+R270+R286+R307+R337+R379+R396+R417+R497+R603+R620+R646+R694+R718+R732+R764</f>
        <v>0</v>
      </c>
      <c r="S22" s="83">
        <f>S76+S98+S121+S143+S161+S177+S190+S270+S286+S307+S337+S379+S396+S417+S497+S603+S620+S646+S694+S718+S732+S764</f>
        <v>0</v>
      </c>
      <c r="T22" s="83">
        <f>IF(Q22&gt;0,S22*100/Q22,0)</f>
        <v>0</v>
      </c>
      <c r="U22" s="83">
        <f>IF(R22&gt;0,S22*100/R22,0)</f>
        <v>0</v>
      </c>
    </row>
    <row r="23" spans="1:21" ht="15.75" customHeight="1" x14ac:dyDescent="0.25">
      <c r="A23" s="39"/>
      <c r="B23" s="40"/>
      <c r="C23" s="40"/>
      <c r="D23" s="40"/>
      <c r="E23" s="47" t="s">
        <v>21</v>
      </c>
      <c r="F23" s="40"/>
      <c r="G23" s="42"/>
      <c r="H23" s="43" t="s">
        <v>14</v>
      </c>
      <c r="I23" s="44"/>
      <c r="J23" s="44"/>
      <c r="K23" s="45"/>
      <c r="L23" s="1356">
        <f ca="1">L49+L64+L77+L99+L130+L144+L162+L191+L178+L271+L287+L308+L325+L338+L361+L518</f>
        <v>2819710</v>
      </c>
      <c r="M23" s="224">
        <f ca="1">M49+M64+M77+M99+M130+M144+M162+M191+M178+M271+M287+M308+M325+M338+M361+M518</f>
        <v>2734529</v>
      </c>
      <c r="N23" s="224">
        <f ca="1">N49+N64+N77+N99+N130+N144+N162+N191+N178+N271+N287+N308+N325+N338+N361+N518</f>
        <v>1840865.94</v>
      </c>
      <c r="O23" s="224">
        <f ca="1">IF(L23&gt;0,N23*100/L23,0)</f>
        <v>65.285647814846214</v>
      </c>
      <c r="P23" s="224">
        <f ca="1">IF(M23&gt;0,N23*100/M23,0)</f>
        <v>67.319305810982442</v>
      </c>
      <c r="Q23" s="224">
        <f ca="1">Q77+Q99+Q122+Q144+Q162+Q178+Q191+Q271+Q287+Q308+Q338+Q380+Q397+Q418+Q498+Q604+Q621+Q647+Q695+Q719+Q733+Q765</f>
        <v>2508714.2400000002</v>
      </c>
      <c r="R23" s="224">
        <f ca="1">R77+R99+R122+R144+R162+R178+R191+R271+R287+R308+R338+R380+R397+R418+R498+R604+R621+R647+R695+R719+R733+R765</f>
        <v>2333854</v>
      </c>
      <c r="S23" s="224">
        <f ca="1">S77+S99+S122+S144+S162+S178+S191+S271+S287+S308+S338+S380+S397+S418+S498+S604+S621+S647+S695+S719+S733+S765</f>
        <v>393212.5</v>
      </c>
      <c r="T23" s="224">
        <f ca="1">IF(Q23&gt;0,S23*100/Q23,0)</f>
        <v>15.673865669132566</v>
      </c>
      <c r="U23" s="224">
        <f ca="1">IF(R23&gt;0,S23*100/R23,0)</f>
        <v>16.84820472917329</v>
      </c>
    </row>
    <row r="24" spans="1:21" ht="15.75" customHeight="1" x14ac:dyDescent="0.25">
      <c r="A24" s="39"/>
      <c r="B24" s="40"/>
      <c r="C24" s="40"/>
      <c r="D24" s="41" t="s">
        <v>23</v>
      </c>
      <c r="E24" s="40"/>
      <c r="F24" s="40"/>
      <c r="G24" s="42"/>
      <c r="H24" s="43" t="s">
        <v>14</v>
      </c>
      <c r="I24" s="44"/>
      <c r="J24" s="44"/>
      <c r="K24" s="45"/>
      <c r="L24" s="1356">
        <f ca="1">L25+L26</f>
        <v>1684600</v>
      </c>
      <c r="M24" s="224">
        <f ca="1">M25+M26</f>
        <v>1684600</v>
      </c>
      <c r="N24" s="224">
        <f ca="1">N25+N26</f>
        <v>10500</v>
      </c>
      <c r="O24" s="224">
        <f ca="1">IF(L24&gt;0,N24*100/L24,0)</f>
        <v>0.62329336340971153</v>
      </c>
      <c r="P24" s="224">
        <f ca="1">IF(M24&gt;0,N24*100/M24,0)</f>
        <v>0.62329336340971153</v>
      </c>
      <c r="Q24" s="224">
        <f ca="1">Q25+Q26</f>
        <v>0</v>
      </c>
      <c r="R24" s="224">
        <f ca="1">R25+R26</f>
        <v>0</v>
      </c>
      <c r="S24" s="224">
        <f ca="1">S25+S26</f>
        <v>0</v>
      </c>
      <c r="T24" s="224">
        <f ca="1">IF(Q24&gt;0,S24*100/Q24,0)</f>
        <v>0</v>
      </c>
      <c r="U24" s="224">
        <f ca="1">IF(R24&gt;0,S24*100/R24,0)</f>
        <v>0</v>
      </c>
    </row>
    <row r="25" spans="1:21" ht="15.75" customHeight="1" x14ac:dyDescent="0.25">
      <c r="A25" s="39"/>
      <c r="B25" s="40"/>
      <c r="C25" s="40"/>
      <c r="D25" s="40"/>
      <c r="E25" s="156" t="s">
        <v>20</v>
      </c>
      <c r="F25" s="40"/>
      <c r="G25" s="42"/>
      <c r="H25" s="1357" t="s">
        <v>14</v>
      </c>
      <c r="I25" s="44"/>
      <c r="J25" s="44"/>
      <c r="K25" s="45"/>
      <c r="L25" s="1358">
        <f>L51+L66+L79+L101+L132+L146+L164+L193+L180+L273+L289+L310+L327+L340+L363+L520</f>
        <v>0</v>
      </c>
      <c r="M25" s="83">
        <f>M51+M66+M79+M101+M132+M146+M164+M193+M180+M273+M289+M310+M327+M340+M363+M520</f>
        <v>0</v>
      </c>
      <c r="N25" s="83">
        <f>N51+N66+N79+N101+N132+N146+N164+N193+N180+N273+N289+N310+N327+N340+N363+N520</f>
        <v>0</v>
      </c>
      <c r="O25" s="83">
        <f>IF(L25&gt;0,N25*100/L25,0)</f>
        <v>0</v>
      </c>
      <c r="P25" s="83">
        <f>IF(M25&gt;0,N25*100/M25,0)</f>
        <v>0</v>
      </c>
      <c r="Q25" s="83">
        <f>Q79+Q101+Q124+Q146+Q164+Q180+Q193+Q273+Q289+Q310+Q340+Q382+Q399+Q420+Q500+Q606+Q623+Q649+Q697+Q721+Q735+Q767</f>
        <v>0</v>
      </c>
      <c r="R25" s="83">
        <f>R79+R101+R124+R146+R164+R180+R193+R273+R289+R310+R340+R382+R399+R420+R500+R606+R623+R649+R697+R721+R735+R767</f>
        <v>0</v>
      </c>
      <c r="S25" s="83">
        <f>S79+S101+S124+S146+S164+S180+S193+S273+S289+S310+S340+S382+S399+S420+S500+S606+S623+S649+S697+S721+S735+S767</f>
        <v>0</v>
      </c>
      <c r="T25" s="83">
        <f>IF(Q25&gt;0,S25*100/Q25,0)</f>
        <v>0</v>
      </c>
      <c r="U25" s="83">
        <f>IF(R25&gt;0,S25*100/R25,0)</f>
        <v>0</v>
      </c>
    </row>
    <row r="26" spans="1:21" ht="15.75" customHeight="1" x14ac:dyDescent="0.25">
      <c r="A26" s="39"/>
      <c r="B26" s="40"/>
      <c r="C26" s="40"/>
      <c r="D26" s="40"/>
      <c r="E26" s="47" t="s">
        <v>21</v>
      </c>
      <c r="F26" s="40"/>
      <c r="G26" s="42"/>
      <c r="H26" s="43" t="s">
        <v>14</v>
      </c>
      <c r="I26" s="44"/>
      <c r="J26" s="44"/>
      <c r="K26" s="45"/>
      <c r="L26" s="1356">
        <f ca="1">L52+L67+L80+L102+L133+L147+L165+L194+L181+L274+L290+L311+L328+L341+L364+L521</f>
        <v>1684600</v>
      </c>
      <c r="M26" s="224">
        <f ca="1">M52+M67+M80+M102+M133+M147+M165+M194+M181+M274+M290+M311+M328+M341+M364+M521</f>
        <v>1684600</v>
      </c>
      <c r="N26" s="224">
        <f ca="1">N52+N67+N80+N102+N133+N147+N165+N194+N181+N274+N290+N311+N328+N341+N364+N521</f>
        <v>10500</v>
      </c>
      <c r="O26" s="224">
        <f ca="1">IF(L26&gt;0,N26*100/L26,0)</f>
        <v>0.62329336340971153</v>
      </c>
      <c r="P26" s="224">
        <f ca="1">IF(M26&gt;0,N26*100/M26,0)</f>
        <v>0.62329336340971153</v>
      </c>
      <c r="Q26" s="83">
        <f ca="1">Q80+Q102+Q125+Q147+Q165+Q181+Q194+Q274+Q290+Q311+Q341+Q383+Q400+Q421+Q501+Q607+Q624+Q650+Q698+Q722+Q736+Q768</f>
        <v>0</v>
      </c>
      <c r="R26" s="83">
        <f ca="1">R80+R102+R125+R147+R165+R181+R194+R274+R290+R311+R341+R383+R400+R421+R501+R607+R624+R650+R698+R722+R736+R768</f>
        <v>0</v>
      </c>
      <c r="S26" s="83">
        <f ca="1">S80+S102+S125+S147+S165+S181+S194+S274+S290+S311+S341+S383+S400+S421+S501+S607+S624+S650+S698+S722+S736+S768</f>
        <v>0</v>
      </c>
      <c r="T26" s="224">
        <f ca="1">IF(Q26&gt;0,S26*100/Q26,0)</f>
        <v>0</v>
      </c>
      <c r="U26" s="224">
        <f ca="1">IF(R26&gt;0,S26*100/R26,0)</f>
        <v>0</v>
      </c>
    </row>
    <row r="27" spans="1:21" ht="15.75" customHeight="1" x14ac:dyDescent="0.25">
      <c r="A27" s="39"/>
      <c r="B27" s="40"/>
      <c r="C27" s="40"/>
      <c r="D27" s="41" t="s">
        <v>24</v>
      </c>
      <c r="E27" s="40"/>
      <c r="F27" s="40"/>
      <c r="G27" s="42"/>
      <c r="H27" s="43" t="s">
        <v>14</v>
      </c>
      <c r="I27" s="44"/>
      <c r="J27" s="44"/>
      <c r="K27" s="45"/>
      <c r="L27" s="1359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5.75" customHeight="1" x14ac:dyDescent="0.25">
      <c r="A28" s="39"/>
      <c r="B28" s="40"/>
      <c r="C28" s="40"/>
      <c r="D28" s="40"/>
      <c r="E28" s="156" t="s">
        <v>20</v>
      </c>
      <c r="F28" s="40"/>
      <c r="G28" s="42"/>
      <c r="H28" s="1357" t="s">
        <v>14</v>
      </c>
      <c r="I28" s="44"/>
      <c r="J28" s="44"/>
      <c r="K28" s="45"/>
      <c r="L28" s="1359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15.75" customHeight="1" x14ac:dyDescent="0.25">
      <c r="A29" s="50"/>
      <c r="B29" s="1"/>
      <c r="C29" s="1"/>
      <c r="D29" s="1"/>
      <c r="E29" s="51" t="s">
        <v>21</v>
      </c>
      <c r="F29" s="1"/>
      <c r="G29" s="52"/>
      <c r="H29" s="53" t="s">
        <v>14</v>
      </c>
      <c r="I29" s="54"/>
      <c r="J29" s="54"/>
      <c r="K29" s="3"/>
      <c r="L29" s="1360"/>
      <c r="M29" s="3"/>
      <c r="N29" s="3"/>
      <c r="O29" s="3"/>
      <c r="P29" s="3"/>
      <c r="Q29" s="3"/>
      <c r="R29" s="3"/>
      <c r="S29" s="3"/>
      <c r="T29" s="3"/>
      <c r="U29" s="3"/>
    </row>
    <row r="30" spans="1:21" ht="12.75" x14ac:dyDescent="0.2">
      <c r="A30" s="1344"/>
      <c r="B30" s="1292"/>
      <c r="C30" s="1292"/>
      <c r="D30" s="1292"/>
      <c r="E30" s="1292"/>
      <c r="F30" s="1292"/>
      <c r="G30" s="1293"/>
      <c r="H30" s="14"/>
      <c r="I30" s="15"/>
      <c r="J30" s="15"/>
      <c r="K30" s="16"/>
      <c r="L30" s="1345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2.75" x14ac:dyDescent="0.2">
      <c r="A31" s="17"/>
      <c r="B31" s="18"/>
      <c r="C31" s="18"/>
      <c r="D31" s="18"/>
      <c r="E31" s="18"/>
      <c r="F31" s="18"/>
      <c r="G31" s="19"/>
      <c r="H31" s="19"/>
      <c r="I31" s="20"/>
      <c r="J31" s="20"/>
      <c r="K31" s="21"/>
      <c r="L31" s="1346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2.75" x14ac:dyDescent="0.2">
      <c r="A32" s="17"/>
      <c r="B32" s="18"/>
      <c r="C32" s="18"/>
      <c r="D32" s="18"/>
      <c r="E32" s="18"/>
      <c r="F32" s="18"/>
      <c r="G32" s="19"/>
      <c r="H32" s="19"/>
      <c r="I32" s="20"/>
      <c r="J32" s="20"/>
      <c r="K32" s="21"/>
      <c r="L32" s="1346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2.75" x14ac:dyDescent="0.2">
      <c r="A33" s="17"/>
      <c r="B33" s="18"/>
      <c r="C33" s="18"/>
      <c r="D33" s="18"/>
      <c r="E33" s="18"/>
      <c r="F33" s="18"/>
      <c r="G33" s="19"/>
      <c r="H33" s="19"/>
      <c r="I33" s="20"/>
      <c r="J33" s="20"/>
      <c r="K33" s="21"/>
      <c r="L33" s="1346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2.75" x14ac:dyDescent="0.2">
      <c r="A34" s="17"/>
      <c r="B34" s="18"/>
      <c r="C34" s="18"/>
      <c r="D34" s="18"/>
      <c r="E34" s="18"/>
      <c r="F34" s="18"/>
      <c r="G34" s="19"/>
      <c r="H34" s="19"/>
      <c r="I34" s="20"/>
      <c r="J34" s="20"/>
      <c r="K34" s="21"/>
      <c r="L34" s="1346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2.75" x14ac:dyDescent="0.2">
      <c r="A35" s="17"/>
      <c r="B35" s="18"/>
      <c r="C35" s="18"/>
      <c r="D35" s="18"/>
      <c r="E35" s="18"/>
      <c r="F35" s="18"/>
      <c r="G35" s="19"/>
      <c r="H35" s="19"/>
      <c r="I35" s="20"/>
      <c r="J35" s="20"/>
      <c r="K35" s="21"/>
      <c r="L35" s="1346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2.75" x14ac:dyDescent="0.2">
      <c r="A36" s="17"/>
      <c r="B36" s="18"/>
      <c r="C36" s="18"/>
      <c r="D36" s="18"/>
      <c r="E36" s="18"/>
      <c r="F36" s="18"/>
      <c r="G36" s="19"/>
      <c r="H36" s="19"/>
      <c r="I36" s="20"/>
      <c r="J36" s="20"/>
      <c r="K36" s="21"/>
      <c r="L36" s="1346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2.75" x14ac:dyDescent="0.2">
      <c r="A37" s="17"/>
      <c r="B37" s="18"/>
      <c r="C37" s="18"/>
      <c r="D37" s="18"/>
      <c r="E37" s="18"/>
      <c r="F37" s="18"/>
      <c r="G37" s="19"/>
      <c r="H37" s="19"/>
      <c r="I37" s="20"/>
      <c r="J37" s="20"/>
      <c r="K37" s="21"/>
      <c r="L37" s="1346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2.75" x14ac:dyDescent="0.2">
      <c r="A38" s="17"/>
      <c r="B38" s="18"/>
      <c r="C38" s="18"/>
      <c r="D38" s="18"/>
      <c r="E38" s="18"/>
      <c r="F38" s="18"/>
      <c r="G38" s="19"/>
      <c r="H38" s="19"/>
      <c r="I38" s="20"/>
      <c r="J38" s="20"/>
      <c r="K38" s="21"/>
      <c r="L38" s="1346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2.75" x14ac:dyDescent="0.2">
      <c r="A39" s="13"/>
      <c r="B39" s="22"/>
      <c r="C39" s="22"/>
      <c r="D39" s="22"/>
      <c r="E39" s="22"/>
      <c r="F39" s="22"/>
      <c r="G39" s="14"/>
      <c r="H39" s="14"/>
      <c r="I39" s="15"/>
      <c r="J39" s="15"/>
      <c r="K39" s="16"/>
      <c r="L39" s="1345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9.5" x14ac:dyDescent="0.3">
      <c r="A40" s="55" t="s">
        <v>25</v>
      </c>
      <c r="B40" s="56"/>
      <c r="C40" s="56"/>
      <c r="D40" s="56"/>
      <c r="E40" s="56"/>
      <c r="F40" s="56"/>
      <c r="G40" s="57"/>
      <c r="H40" s="57"/>
      <c r="I40" s="58"/>
      <c r="J40" s="58"/>
      <c r="K40" s="59"/>
      <c r="L40" s="1361">
        <f ca="1">L44+L59+L72+L94+L125+L139+L157+L173+L186+L266+L282+L303+L320+L333+L356</f>
        <v>4504310</v>
      </c>
      <c r="M40" s="1362">
        <f ca="1">M44+M59+M72+M94+M125+M139+M157+M173+M186+M266+M282+M303+M320+M333+M356</f>
        <v>4419129</v>
      </c>
      <c r="N40" s="1362">
        <f ca="1">N44+N59+N72+N94+N125+N139+N157+N173+N186+N266+N282+N303+N320+N333+N356</f>
        <v>1851365.94</v>
      </c>
      <c r="O40" s="1362">
        <f ca="1">IF(L40&gt;0,N40*100/L40,0)</f>
        <v>41.102098656619994</v>
      </c>
      <c r="P40" s="1362">
        <f ca="1">IF(M40&gt;0,N40*100/M40,0)</f>
        <v>41.894362893683351</v>
      </c>
      <c r="Q40" s="59"/>
      <c r="R40" s="59"/>
      <c r="S40" s="59"/>
      <c r="T40" s="59"/>
      <c r="U40" s="59"/>
    </row>
    <row r="41" spans="1:21" ht="19.5" x14ac:dyDescent="0.3">
      <c r="A41" s="60" t="s">
        <v>26</v>
      </c>
      <c r="B41" s="61"/>
      <c r="C41" s="61"/>
      <c r="D41" s="61"/>
      <c r="E41" s="61"/>
      <c r="F41" s="61"/>
      <c r="G41" s="61"/>
      <c r="H41" s="61"/>
      <c r="I41" s="62"/>
      <c r="J41" s="62"/>
      <c r="K41" s="63"/>
      <c r="L41" s="63"/>
      <c r="M41" s="63"/>
      <c r="N41" s="63"/>
      <c r="O41" s="63"/>
      <c r="P41" s="64"/>
      <c r="Q41" s="63"/>
      <c r="R41" s="63"/>
      <c r="S41" s="63"/>
      <c r="T41" s="63"/>
      <c r="U41" s="64"/>
    </row>
    <row r="42" spans="1:21" ht="19.5" x14ac:dyDescent="0.3">
      <c r="A42" s="65"/>
      <c r="B42" s="66" t="s">
        <v>27</v>
      </c>
      <c r="C42" s="65"/>
      <c r="D42" s="65"/>
      <c r="E42" s="65"/>
      <c r="F42" s="65"/>
      <c r="G42" s="67"/>
      <c r="H42" s="67"/>
      <c r="I42" s="68"/>
      <c r="J42" s="68"/>
      <c r="K42" s="69"/>
      <c r="L42" s="1363"/>
      <c r="M42" s="69"/>
      <c r="N42" s="69"/>
      <c r="O42" s="69"/>
      <c r="P42" s="69"/>
      <c r="Q42" s="69"/>
      <c r="R42" s="69"/>
      <c r="S42" s="69"/>
      <c r="T42" s="69"/>
      <c r="U42" s="69"/>
    </row>
    <row r="43" spans="1:21" ht="12.75" x14ac:dyDescent="0.2">
      <c r="A43" s="17"/>
      <c r="B43" s="18"/>
      <c r="C43" s="18"/>
      <c r="D43" s="18"/>
      <c r="E43" s="18"/>
      <c r="F43" s="18"/>
      <c r="G43" s="19"/>
      <c r="H43" s="19"/>
      <c r="I43" s="20"/>
      <c r="J43" s="20"/>
      <c r="K43" s="21"/>
      <c r="L43" s="1346"/>
      <c r="M43" s="21"/>
      <c r="N43" s="21"/>
      <c r="O43" s="21"/>
      <c r="P43" s="21"/>
      <c r="Q43" s="21"/>
      <c r="R43" s="21"/>
      <c r="S43" s="21"/>
      <c r="T43" s="21"/>
      <c r="U43" s="21"/>
    </row>
    <row r="44" spans="1:21" ht="19.5" x14ac:dyDescent="0.3">
      <c r="A44" s="70"/>
      <c r="B44" s="71"/>
      <c r="C44" s="72" t="s">
        <v>18</v>
      </c>
      <c r="D44" s="1364" t="s">
        <v>19</v>
      </c>
      <c r="E44" s="71"/>
      <c r="F44" s="71"/>
      <c r="G44" s="74"/>
      <c r="H44" s="75" t="s">
        <v>14</v>
      </c>
      <c r="I44" s="76"/>
      <c r="J44" s="76"/>
      <c r="K44" s="77"/>
      <c r="L44" s="1365">
        <f ca="1">L45+L46</f>
        <v>507400</v>
      </c>
      <c r="M44" s="1366">
        <f ca="1">M45+M46</f>
        <v>583609</v>
      </c>
      <c r="N44" s="1366">
        <f ca="1">N45+N46</f>
        <v>369659</v>
      </c>
      <c r="O44" s="1366">
        <f ca="1">IF(L44&gt;0,N44*100/L44,0)</f>
        <v>72.853567205360662</v>
      </c>
      <c r="P44" s="1366">
        <f ca="1">IF(M44&gt;0,N44*100/M44,0)</f>
        <v>63.340181525644738</v>
      </c>
      <c r="Q44" s="1366">
        <f>Q45+Q46</f>
        <v>0</v>
      </c>
      <c r="R44" s="1366">
        <f>R45+R46</f>
        <v>0</v>
      </c>
      <c r="S44" s="1366">
        <f>S45+S46</f>
        <v>0</v>
      </c>
      <c r="T44" s="1366">
        <f>IF(Q44&gt;0,S44*100/Q44,0)</f>
        <v>0</v>
      </c>
      <c r="U44" s="1366">
        <f>IF(R44&gt;0,S44*100/R44,0)</f>
        <v>0</v>
      </c>
    </row>
    <row r="45" spans="1:21" ht="18.75" x14ac:dyDescent="0.25">
      <c r="A45" s="70"/>
      <c r="B45" s="71"/>
      <c r="C45" s="71"/>
      <c r="D45" s="71"/>
      <c r="E45" s="1367" t="s">
        <v>20</v>
      </c>
      <c r="F45" s="71"/>
      <c r="G45" s="74"/>
      <c r="H45" s="1368" t="s">
        <v>14</v>
      </c>
      <c r="I45" s="76"/>
      <c r="J45" s="76"/>
      <c r="K45" s="77"/>
      <c r="L45" s="1369">
        <f>L48+L51</f>
        <v>0</v>
      </c>
      <c r="M45" s="1370">
        <f>M48+M51</f>
        <v>0</v>
      </c>
      <c r="N45" s="1370">
        <f>N48+N51</f>
        <v>0</v>
      </c>
      <c r="O45" s="1370">
        <f>IF(L45&gt;0,N45*100/L45,0)</f>
        <v>0</v>
      </c>
      <c r="P45" s="1370">
        <f>IF(M45&gt;0,N45*100/M45,0)</f>
        <v>0</v>
      </c>
      <c r="Q45" s="1370">
        <f>Q48+Q51</f>
        <v>0</v>
      </c>
      <c r="R45" s="1370">
        <f>R48+R51</f>
        <v>0</v>
      </c>
      <c r="S45" s="1370">
        <f>S48+S51</f>
        <v>0</v>
      </c>
      <c r="T45" s="1370">
        <f>IF(Q45&gt;0,S45*100/Q45,0)</f>
        <v>0</v>
      </c>
      <c r="U45" s="1370">
        <f>IF(R45&gt;0,S45*100/R45,0)</f>
        <v>0</v>
      </c>
    </row>
    <row r="46" spans="1:21" ht="18.75" x14ac:dyDescent="0.25">
      <c r="A46" s="70"/>
      <c r="B46" s="71"/>
      <c r="C46" s="71"/>
      <c r="D46" s="71"/>
      <c r="E46" s="79" t="s">
        <v>21</v>
      </c>
      <c r="F46" s="71"/>
      <c r="G46" s="74"/>
      <c r="H46" s="80" t="s">
        <v>14</v>
      </c>
      <c r="I46" s="76"/>
      <c r="J46" s="76"/>
      <c r="K46" s="77"/>
      <c r="L46" s="1371">
        <f ca="1">L49+L52</f>
        <v>507400</v>
      </c>
      <c r="M46" s="1372">
        <f ca="1">M49+M52</f>
        <v>583609</v>
      </c>
      <c r="N46" s="1372">
        <f ca="1">N49+N52</f>
        <v>369659</v>
      </c>
      <c r="O46" s="1372">
        <f ca="1">IF(L46&gt;0,N46*100/L46,0)</f>
        <v>72.853567205360662</v>
      </c>
      <c r="P46" s="1372">
        <f ca="1">IF(M46&gt;0,N46*100/M46,0)</f>
        <v>63.340181525644738</v>
      </c>
      <c r="Q46" s="1372">
        <f>Q49+Q52</f>
        <v>0</v>
      </c>
      <c r="R46" s="1372">
        <f>R49+R52</f>
        <v>0</v>
      </c>
      <c r="S46" s="1372">
        <f>S49+S52</f>
        <v>0</v>
      </c>
      <c r="T46" s="1372">
        <f>IF(Q46&gt;0,S46*100/Q46,0)</f>
        <v>0</v>
      </c>
      <c r="U46" s="1372">
        <f>IF(R46&gt;0,S46*100/R46,0)</f>
        <v>0</v>
      </c>
    </row>
    <row r="47" spans="1:21" ht="18.75" x14ac:dyDescent="0.25">
      <c r="A47" s="39"/>
      <c r="B47" s="40"/>
      <c r="C47" s="40"/>
      <c r="D47" s="41" t="s">
        <v>22</v>
      </c>
      <c r="E47" s="40"/>
      <c r="F47" s="40"/>
      <c r="G47" s="42"/>
      <c r="H47" s="43" t="s">
        <v>14</v>
      </c>
      <c r="I47" s="44"/>
      <c r="J47" s="44"/>
      <c r="K47" s="45"/>
      <c r="L47" s="1356">
        <f ca="1">L48+L49</f>
        <v>507400</v>
      </c>
      <c r="M47" s="224">
        <f ca="1">M48+M49</f>
        <v>583609</v>
      </c>
      <c r="N47" s="224">
        <f ca="1">N48+N49</f>
        <v>369659</v>
      </c>
      <c r="O47" s="224">
        <f ca="1">IF(L47&gt;0,N47*100/L47,0)</f>
        <v>72.853567205360662</v>
      </c>
      <c r="P47" s="224">
        <f ca="1">IF(M47&gt;0,N47*100/M47,0)</f>
        <v>63.340181525644738</v>
      </c>
      <c r="Q47" s="224">
        <f>Q48+Q49</f>
        <v>0</v>
      </c>
      <c r="R47" s="224">
        <f>R48+R49</f>
        <v>0</v>
      </c>
      <c r="S47" s="224">
        <f>S48+S49</f>
        <v>0</v>
      </c>
      <c r="T47" s="224">
        <f>IF(Q47&gt;0,S47*100/Q47,0)</f>
        <v>0</v>
      </c>
      <c r="U47" s="224">
        <f>IF(R47&gt;0,S47*100/R47,0)</f>
        <v>0</v>
      </c>
    </row>
    <row r="48" spans="1:21" ht="18.75" x14ac:dyDescent="0.25">
      <c r="A48" s="39"/>
      <c r="B48" s="40"/>
      <c r="C48" s="40"/>
      <c r="D48" s="40"/>
      <c r="E48" s="156" t="s">
        <v>20</v>
      </c>
      <c r="F48" s="40"/>
      <c r="G48" s="42"/>
      <c r="H48" s="1357" t="s">
        <v>14</v>
      </c>
      <c r="I48" s="44"/>
      <c r="J48" s="44"/>
      <c r="K48" s="45"/>
      <c r="L48" s="1358">
        <v>0</v>
      </c>
      <c r="M48" s="83">
        <v>0</v>
      </c>
      <c r="N48" s="83">
        <v>0</v>
      </c>
      <c r="O48" s="83">
        <f>IF(L48&gt;0,N48*100/L48,0)</f>
        <v>0</v>
      </c>
      <c r="P48" s="83">
        <f>IF(M48&gt;0,N48*100/M48,0)</f>
        <v>0</v>
      </c>
      <c r="Q48" s="83">
        <v>0</v>
      </c>
      <c r="R48" s="83">
        <v>0</v>
      </c>
      <c r="S48" s="83">
        <v>0</v>
      </c>
      <c r="T48" s="83">
        <f>IF(Q48&gt;0,S48*100/Q48,0)</f>
        <v>0</v>
      </c>
      <c r="U48" s="83">
        <f>IF(R48&gt;0,S48*100/R48,0)</f>
        <v>0</v>
      </c>
    </row>
    <row r="49" spans="1:21" ht="18.75" x14ac:dyDescent="0.25">
      <c r="A49" s="39"/>
      <c r="B49" s="40"/>
      <c r="C49" s="40"/>
      <c r="D49" s="40"/>
      <c r="E49" s="47" t="s">
        <v>21</v>
      </c>
      <c r="F49" s="40"/>
      <c r="G49" s="42"/>
      <c r="H49" s="43" t="s">
        <v>14</v>
      </c>
      <c r="I49" s="44"/>
      <c r="J49" s="44"/>
      <c r="K49" s="45"/>
      <c r="L49" s="1356">
        <f ca="1">IFERROR(__xludf.DUMMYFUNCTION("IMPORTRANGE(""https://docs.google.com/spreadsheets/d/1-uDff_7J0KD5mKrp0Vvzr7lt3OU09vwQwhkpOPPYv2Y/edit?usp=sharing"",""งบพรบ!P29"")"),507400)</f>
        <v>507400</v>
      </c>
      <c r="M49" s="224">
        <f ca="1">IFERROR(__xludf.DUMMYFUNCTION("IMPORTRANGE(""https://docs.google.com/spreadsheets/d/1-uDff_7J0KD5mKrp0Vvzr7lt3OU09vwQwhkpOPPYv2Y/edit?usp=sharing"",""งบพรบ!V29"")"),583609)</f>
        <v>583609</v>
      </c>
      <c r="N49" s="224">
        <f ca="1">IFERROR(__xludf.DUMMYFUNCTION("IMPORTRANGE(""https://docs.google.com/spreadsheets/d/1-uDff_7J0KD5mKrp0Vvzr7lt3OU09vwQwhkpOPPYv2Y/edit?usp=sharing"",""งบพรบ!Y29"")"),369659)</f>
        <v>369659</v>
      </c>
      <c r="O49" s="224">
        <f ca="1">IF(L49&gt;0,N49*100/L49,0)</f>
        <v>72.853567205360662</v>
      </c>
      <c r="P49" s="224">
        <f ca="1">IF(M49&gt;0,N49*100/M49,0)</f>
        <v>63.340181525644738</v>
      </c>
      <c r="Q49" s="224">
        <v>0</v>
      </c>
      <c r="R49" s="224">
        <v>0</v>
      </c>
      <c r="S49" s="224">
        <v>0</v>
      </c>
      <c r="T49" s="224">
        <f>IF(Q49&gt;0,S49*100/Q49,0)</f>
        <v>0</v>
      </c>
      <c r="U49" s="224">
        <f>IF(R49&gt;0,S49*100/R49,0)</f>
        <v>0</v>
      </c>
    </row>
    <row r="50" spans="1:21" ht="18.75" x14ac:dyDescent="0.25">
      <c r="A50" s="39"/>
      <c r="B50" s="40"/>
      <c r="C50" s="40"/>
      <c r="D50" s="41" t="s">
        <v>23</v>
      </c>
      <c r="E50" s="40"/>
      <c r="F50" s="40"/>
      <c r="G50" s="42"/>
      <c r="H50" s="43" t="s">
        <v>14</v>
      </c>
      <c r="I50" s="44"/>
      <c r="J50" s="44"/>
      <c r="K50" s="45"/>
      <c r="L50" s="1356">
        <f ca="1">L51+L52</f>
        <v>0</v>
      </c>
      <c r="M50" s="224">
        <f ca="1">M51+M52</f>
        <v>0</v>
      </c>
      <c r="N50" s="224">
        <f ca="1">N51+N52</f>
        <v>0</v>
      </c>
      <c r="O50" s="224">
        <f ca="1">IF(L50&gt;0,N50*100/L50,0)</f>
        <v>0</v>
      </c>
      <c r="P50" s="224">
        <f ca="1">IF(M50&gt;0,N50*100/M50,0)</f>
        <v>0</v>
      </c>
      <c r="Q50" s="224">
        <f>Q51+Q52</f>
        <v>0</v>
      </c>
      <c r="R50" s="224">
        <f>R51+R52</f>
        <v>0</v>
      </c>
      <c r="S50" s="224">
        <f>S51+S52</f>
        <v>0</v>
      </c>
      <c r="T50" s="224">
        <f>IF(Q50&gt;0,S50*100/Q50,0)</f>
        <v>0</v>
      </c>
      <c r="U50" s="224">
        <f>IF(R50&gt;0,S50*100/R50,0)</f>
        <v>0</v>
      </c>
    </row>
    <row r="51" spans="1:21" ht="18.75" x14ac:dyDescent="0.25">
      <c r="A51" s="39"/>
      <c r="B51" s="40"/>
      <c r="C51" s="40"/>
      <c r="D51" s="40"/>
      <c r="E51" s="156" t="s">
        <v>20</v>
      </c>
      <c r="F51" s="40"/>
      <c r="G51" s="42"/>
      <c r="H51" s="1357" t="s">
        <v>14</v>
      </c>
      <c r="I51" s="44"/>
      <c r="J51" s="44"/>
      <c r="K51" s="45"/>
      <c r="L51" s="1358">
        <v>0</v>
      </c>
      <c r="M51" s="83">
        <v>0</v>
      </c>
      <c r="N51" s="83">
        <v>0</v>
      </c>
      <c r="O51" s="83">
        <f>IF(L51&gt;0,N51*100/L51,0)</f>
        <v>0</v>
      </c>
      <c r="P51" s="83">
        <f>IF(M51&gt;0,N51*100/M51,0)</f>
        <v>0</v>
      </c>
      <c r="Q51" s="83">
        <v>0</v>
      </c>
      <c r="R51" s="83">
        <v>0</v>
      </c>
      <c r="S51" s="83">
        <v>0</v>
      </c>
      <c r="T51" s="83">
        <f>IF(Q51&gt;0,S51*100/Q51,0)</f>
        <v>0</v>
      </c>
      <c r="U51" s="83">
        <f>IF(R51&gt;0,S51*100/R51,0)</f>
        <v>0</v>
      </c>
    </row>
    <row r="52" spans="1:21" ht="18.75" x14ac:dyDescent="0.25">
      <c r="A52" s="39"/>
      <c r="B52" s="40"/>
      <c r="C52" s="40"/>
      <c r="D52" s="40"/>
      <c r="E52" s="47" t="s">
        <v>21</v>
      </c>
      <c r="F52" s="40"/>
      <c r="G52" s="42"/>
      <c r="H52" s="43" t="s">
        <v>14</v>
      </c>
      <c r="I52" s="44"/>
      <c r="J52" s="44"/>
      <c r="K52" s="45"/>
      <c r="L52" s="1356">
        <f ca="1">IFERROR(__xludf.DUMMYFUNCTION("IMPORTRANGE(""https://docs.google.com/spreadsheets/d/1-uDff_7J0KD5mKrp0Vvzr7lt3OU09vwQwhkpOPPYv2Y/edit?usp=sharing"",""งบพรบ!S29"")"),0)</f>
        <v>0</v>
      </c>
      <c r="M52" s="224">
        <f ca="1">IFERROR(__xludf.DUMMYFUNCTION("IMPORTRANGE(""https://docs.google.com/spreadsheets/d/1-uDff_7J0KD5mKrp0Vvzr7lt3OU09vwQwhkpOPPYv2Y/edit?usp=sharing"",""งบพรบ!W29"")"),0)</f>
        <v>0</v>
      </c>
      <c r="N52" s="224">
        <f ca="1">IFERROR(__xludf.DUMMYFUNCTION("IMPORTRANGE(""https://docs.google.com/spreadsheets/d/1-uDff_7J0KD5mKrp0Vvzr7lt3OU09vwQwhkpOPPYv2Y/edit?usp=sharing"",""งบพรบ!Z29"")"),0)</f>
        <v>0</v>
      </c>
      <c r="O52" s="224">
        <f ca="1">IF(L52&gt;0,N52*100/L52,0)</f>
        <v>0</v>
      </c>
      <c r="P52" s="224">
        <f ca="1">IF(M52&gt;0,N52*100/M52,0)</f>
        <v>0</v>
      </c>
      <c r="Q52" s="224">
        <v>0</v>
      </c>
      <c r="R52" s="224">
        <v>0</v>
      </c>
      <c r="S52" s="224">
        <v>0</v>
      </c>
      <c r="T52" s="224">
        <f>IF(Q52&gt;0,S52*100/Q52,0)</f>
        <v>0</v>
      </c>
      <c r="U52" s="224">
        <f>IF(R52&gt;0,S52*100/R52,0)</f>
        <v>0</v>
      </c>
    </row>
    <row r="53" spans="1:21" ht="18.75" x14ac:dyDescent="0.25">
      <c r="A53" s="39"/>
      <c r="B53" s="40"/>
      <c r="C53" s="40"/>
      <c r="D53" s="41" t="s">
        <v>24</v>
      </c>
      <c r="E53" s="40"/>
      <c r="F53" s="40"/>
      <c r="G53" s="42"/>
      <c r="H53" s="43" t="s">
        <v>14</v>
      </c>
      <c r="I53" s="44"/>
      <c r="J53" s="44"/>
      <c r="K53" s="45"/>
      <c r="L53" s="1359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18.75" x14ac:dyDescent="0.25">
      <c r="A54" s="39"/>
      <c r="B54" s="40"/>
      <c r="C54" s="40"/>
      <c r="D54" s="40"/>
      <c r="E54" s="156" t="s">
        <v>20</v>
      </c>
      <c r="F54" s="40"/>
      <c r="G54" s="42"/>
      <c r="H54" s="1357" t="s">
        <v>14</v>
      </c>
      <c r="I54" s="44"/>
      <c r="J54" s="44"/>
      <c r="K54" s="45"/>
      <c r="L54" s="1359"/>
      <c r="M54" s="45"/>
      <c r="N54" s="45"/>
      <c r="O54" s="45"/>
      <c r="P54" s="45"/>
      <c r="Q54" s="45"/>
      <c r="R54" s="45"/>
      <c r="S54" s="45"/>
      <c r="T54" s="45"/>
      <c r="U54" s="45"/>
    </row>
    <row r="55" spans="1:21" ht="18.75" x14ac:dyDescent="0.25">
      <c r="A55" s="50"/>
      <c r="B55" s="1"/>
      <c r="C55" s="1"/>
      <c r="D55" s="1"/>
      <c r="E55" s="51" t="s">
        <v>21</v>
      </c>
      <c r="F55" s="1"/>
      <c r="G55" s="52"/>
      <c r="H55" s="53" t="s">
        <v>14</v>
      </c>
      <c r="I55" s="54"/>
      <c r="J55" s="54"/>
      <c r="K55" s="3"/>
      <c r="L55" s="1360"/>
      <c r="M55" s="3"/>
      <c r="N55" s="3"/>
      <c r="O55" s="3"/>
      <c r="P55" s="3"/>
      <c r="Q55" s="3"/>
      <c r="R55" s="3"/>
      <c r="S55" s="3"/>
      <c r="T55" s="3"/>
      <c r="U55" s="3"/>
    </row>
    <row r="56" spans="1:21" ht="19.5" x14ac:dyDescent="0.3">
      <c r="A56" s="1296" t="s">
        <v>28</v>
      </c>
      <c r="B56" s="1292"/>
      <c r="C56" s="1292"/>
      <c r="D56" s="1292"/>
      <c r="E56" s="1292"/>
      <c r="F56" s="1292"/>
      <c r="G56" s="1293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1297" t="s">
        <v>29</v>
      </c>
      <c r="C57" s="1285"/>
      <c r="D57" s="1285"/>
      <c r="E57" s="1285"/>
      <c r="F57" s="1285"/>
      <c r="G57" s="1286"/>
      <c r="H57" s="89"/>
      <c r="I57" s="90"/>
      <c r="J57" s="90"/>
      <c r="K57" s="91"/>
      <c r="L57" s="137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1374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1375" t="s">
        <v>19</v>
      </c>
      <c r="E59" s="99"/>
      <c r="F59" s="99"/>
      <c r="G59" s="102"/>
      <c r="H59" s="103" t="s">
        <v>14</v>
      </c>
      <c r="I59" s="104"/>
      <c r="J59" s="104"/>
      <c r="K59" s="105"/>
      <c r="L59" s="1376">
        <f ca="1">L60+L61</f>
        <v>2429600</v>
      </c>
      <c r="M59" s="1377">
        <f ca="1">M60+M61</f>
        <v>2431100</v>
      </c>
      <c r="N59" s="1377">
        <f ca="1">N60+N61</f>
        <v>498669.76</v>
      </c>
      <c r="O59" s="1377">
        <f ca="1">IF(L59&gt;0,N59*100/L59,0)</f>
        <v>20.524767863022721</v>
      </c>
      <c r="P59" s="1377">
        <f ca="1">IF(M59&gt;0,N59*100/M59,0)</f>
        <v>20.512103985850025</v>
      </c>
      <c r="Q59" s="1377">
        <f>Q60+Q61</f>
        <v>0</v>
      </c>
      <c r="R59" s="1377">
        <f>R60+R61</f>
        <v>0</v>
      </c>
      <c r="S59" s="1377">
        <f>S60+S61</f>
        <v>0</v>
      </c>
      <c r="T59" s="1377">
        <f>IF(Q59&gt;0,S59*100/Q59,0)</f>
        <v>0</v>
      </c>
      <c r="U59" s="1377">
        <f>IF(R59&gt;0,S59*100/R59,0)</f>
        <v>0</v>
      </c>
    </row>
    <row r="60" spans="1:21" ht="18.75" x14ac:dyDescent="0.25">
      <c r="A60" s="98"/>
      <c r="B60" s="99"/>
      <c r="C60" s="99"/>
      <c r="D60" s="99"/>
      <c r="E60" s="1378" t="s">
        <v>20</v>
      </c>
      <c r="F60" s="99"/>
      <c r="G60" s="102"/>
      <c r="H60" s="1379" t="s">
        <v>14</v>
      </c>
      <c r="I60" s="104"/>
      <c r="J60" s="104"/>
      <c r="K60" s="105"/>
      <c r="L60" s="1380">
        <f>L63+L66</f>
        <v>0</v>
      </c>
      <c r="M60" s="1381">
        <f>M63+M66</f>
        <v>0</v>
      </c>
      <c r="N60" s="1381">
        <f>N63+N66</f>
        <v>0</v>
      </c>
      <c r="O60" s="1381">
        <f>IF(L60&gt;0,N60*100/L60,0)</f>
        <v>0</v>
      </c>
      <c r="P60" s="1381">
        <f>IF(M60&gt;0,N60*100/M60,0)</f>
        <v>0</v>
      </c>
      <c r="Q60" s="1381">
        <f>Q63+Q66</f>
        <v>0</v>
      </c>
      <c r="R60" s="1381">
        <f>R63+R66</f>
        <v>0</v>
      </c>
      <c r="S60" s="1381">
        <f>S63+S66</f>
        <v>0</v>
      </c>
      <c r="T60" s="1381">
        <f>IF(Q60&gt;0,S60*100/Q60,0)</f>
        <v>0</v>
      </c>
      <c r="U60" s="1381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1382">
        <f ca="1">L64+L67</f>
        <v>2429600</v>
      </c>
      <c r="M61" s="1383">
        <f ca="1">M64+M67</f>
        <v>2431100</v>
      </c>
      <c r="N61" s="1383">
        <f ca="1">N64+N67</f>
        <v>498669.76</v>
      </c>
      <c r="O61" s="1383">
        <f ca="1">IF(L61&gt;0,N61*100/L61,0)</f>
        <v>20.524767863022721</v>
      </c>
      <c r="P61" s="1383">
        <f ca="1">IF(M61&gt;0,N61*100/M61,0)</f>
        <v>20.512103985850025</v>
      </c>
      <c r="Q61" s="1383">
        <f>Q64+Q67</f>
        <v>0</v>
      </c>
      <c r="R61" s="1383">
        <f>R64+R67</f>
        <v>0</v>
      </c>
      <c r="S61" s="1383">
        <f>S64+S67</f>
        <v>0</v>
      </c>
      <c r="T61" s="1383">
        <f>IF(Q61&gt;0,S61*100/Q61,0)</f>
        <v>0</v>
      </c>
      <c r="U61" s="1383">
        <f>IF(R61&gt;0,S61*100/R61,0)</f>
        <v>0</v>
      </c>
    </row>
    <row r="62" spans="1:21" ht="18.75" x14ac:dyDescent="0.25">
      <c r="A62" s="39"/>
      <c r="B62" s="40"/>
      <c r="C62" s="40"/>
      <c r="D62" s="41" t="s">
        <v>22</v>
      </c>
      <c r="E62" s="40"/>
      <c r="F62" s="40"/>
      <c r="G62" s="42"/>
      <c r="H62" s="43" t="s">
        <v>14</v>
      </c>
      <c r="I62" s="44"/>
      <c r="J62" s="44"/>
      <c r="K62" s="45"/>
      <c r="L62" s="1356">
        <f ca="1">L63+L64</f>
        <v>745000</v>
      </c>
      <c r="M62" s="224">
        <f ca="1">M63+M64</f>
        <v>746500</v>
      </c>
      <c r="N62" s="224">
        <f ca="1">N63+N64</f>
        <v>488169.76</v>
      </c>
      <c r="O62" s="224">
        <f ca="1">IF(L62&gt;0,N62*100/L62,0)</f>
        <v>65.526142281879189</v>
      </c>
      <c r="P62" s="224">
        <f ca="1">IF(M62&gt;0,N62*100/M62,0)</f>
        <v>65.394475552578697</v>
      </c>
      <c r="Q62" s="224">
        <f>Q63+Q64</f>
        <v>0</v>
      </c>
      <c r="R62" s="224">
        <f>R63+R64</f>
        <v>0</v>
      </c>
      <c r="S62" s="224">
        <f>S63+S64</f>
        <v>0</v>
      </c>
      <c r="T62" s="224">
        <f>IF(Q62&gt;0,S62*100/Q62,0)</f>
        <v>0</v>
      </c>
      <c r="U62" s="224">
        <f>IF(R62&gt;0,S62*100/R62,0)</f>
        <v>0</v>
      </c>
    </row>
    <row r="63" spans="1:21" ht="18.75" x14ac:dyDescent="0.25">
      <c r="A63" s="39"/>
      <c r="B63" s="40"/>
      <c r="C63" s="40"/>
      <c r="D63" s="40"/>
      <c r="E63" s="156" t="s">
        <v>20</v>
      </c>
      <c r="F63" s="40"/>
      <c r="G63" s="42"/>
      <c r="H63" s="1357" t="s">
        <v>14</v>
      </c>
      <c r="I63" s="44"/>
      <c r="J63" s="44"/>
      <c r="K63" s="45"/>
      <c r="L63" s="1358">
        <v>0</v>
      </c>
      <c r="M63" s="83">
        <v>0</v>
      </c>
      <c r="N63" s="83">
        <v>0</v>
      </c>
      <c r="O63" s="83">
        <f>IF(L63&gt;0,N63*100/L63,0)</f>
        <v>0</v>
      </c>
      <c r="P63" s="83">
        <f>IF(M63&gt;0,N63*100/M63,0)</f>
        <v>0</v>
      </c>
      <c r="Q63" s="83">
        <v>0</v>
      </c>
      <c r="R63" s="83">
        <v>0</v>
      </c>
      <c r="S63" s="83">
        <v>0</v>
      </c>
      <c r="T63" s="83">
        <f>IF(Q63&gt;0,S63*100/Q63,0)</f>
        <v>0</v>
      </c>
      <c r="U63" s="83">
        <f>IF(R63&gt;0,S63*100/R63,0)</f>
        <v>0</v>
      </c>
    </row>
    <row r="64" spans="1:21" ht="18.75" x14ac:dyDescent="0.25">
      <c r="A64" s="39"/>
      <c r="B64" s="40"/>
      <c r="C64" s="40"/>
      <c r="D64" s="40"/>
      <c r="E64" s="47" t="s">
        <v>21</v>
      </c>
      <c r="F64" s="40"/>
      <c r="G64" s="42"/>
      <c r="H64" s="43" t="s">
        <v>14</v>
      </c>
      <c r="I64" s="44"/>
      <c r="J64" s="44"/>
      <c r="K64" s="45"/>
      <c r="L64" s="1356">
        <f ca="1">IFERROR(__xludf.DUMMYFUNCTION("IMPORTRANGE(""https://docs.google.com/spreadsheets/d/1-uDff_7J0KD5mKrp0Vvzr7lt3OU09vwQwhkpOPPYv2Y/edit?usp=sharing"",""งบพรบ!AC29"")"),745000)</f>
        <v>745000</v>
      </c>
      <c r="M64" s="224">
        <f ca="1">IFERROR(__xludf.DUMMYFUNCTION("IMPORTRANGE(""https://docs.google.com/spreadsheets/d/1-uDff_7J0KD5mKrp0Vvzr7lt3OU09vwQwhkpOPPYv2Y/edit?usp=sharing"",""งบพรบ!AH29"")"),746500)</f>
        <v>746500</v>
      </c>
      <c r="N64" s="224">
        <f ca="1">IFERROR(__xludf.DUMMYFUNCTION("IMPORTRANGE(""https://docs.google.com/spreadsheets/d/1-uDff_7J0KD5mKrp0Vvzr7lt3OU09vwQwhkpOPPYv2Y/edit?usp=sharing"",""งบพรบ!AJ29"")"),488169.76)</f>
        <v>488169.76</v>
      </c>
      <c r="O64" s="224">
        <f ca="1">IF(L64&gt;0,N64*100/L64,0)</f>
        <v>65.526142281879189</v>
      </c>
      <c r="P64" s="224">
        <f ca="1">IF(M64&gt;0,N64*100/M64,0)</f>
        <v>65.394475552578697</v>
      </c>
      <c r="Q64" s="224">
        <v>0</v>
      </c>
      <c r="R64" s="224">
        <v>0</v>
      </c>
      <c r="S64" s="224">
        <v>0</v>
      </c>
      <c r="T64" s="224">
        <f>IF(Q64&gt;0,S64*100/Q64,0)</f>
        <v>0</v>
      </c>
      <c r="U64" s="224">
        <f>IF(R64&gt;0,S64*100/R64,0)</f>
        <v>0</v>
      </c>
    </row>
    <row r="65" spans="1:21" ht="18.75" x14ac:dyDescent="0.25">
      <c r="A65" s="39"/>
      <c r="B65" s="40"/>
      <c r="C65" s="40"/>
      <c r="D65" s="41" t="s">
        <v>23</v>
      </c>
      <c r="E65" s="40"/>
      <c r="F65" s="40"/>
      <c r="G65" s="42"/>
      <c r="H65" s="43" t="s">
        <v>14</v>
      </c>
      <c r="I65" s="44"/>
      <c r="J65" s="44"/>
      <c r="K65" s="45"/>
      <c r="L65" s="1356">
        <f ca="1">L66+L67</f>
        <v>1684600</v>
      </c>
      <c r="M65" s="224">
        <f ca="1">M66+M67</f>
        <v>1684600</v>
      </c>
      <c r="N65" s="224">
        <f ca="1">N66+N67</f>
        <v>10500</v>
      </c>
      <c r="O65" s="224">
        <f ca="1">IF(L65&gt;0,N65*100/L65,0)</f>
        <v>0.62329336340971153</v>
      </c>
      <c r="P65" s="224">
        <f ca="1">IF(M65&gt;0,N65*100/M65,0)</f>
        <v>0.62329336340971153</v>
      </c>
      <c r="Q65" s="224">
        <f>Q66+Q67</f>
        <v>0</v>
      </c>
      <c r="R65" s="224">
        <f>R66+R67</f>
        <v>0</v>
      </c>
      <c r="S65" s="224">
        <f>S66+S67</f>
        <v>0</v>
      </c>
      <c r="T65" s="224">
        <f>IF(Q65&gt;0,S65*100/Q65,0)</f>
        <v>0</v>
      </c>
      <c r="U65" s="224">
        <f>IF(R65&gt;0,S65*100/R65,0)</f>
        <v>0</v>
      </c>
    </row>
    <row r="66" spans="1:21" ht="18.75" x14ac:dyDescent="0.25">
      <c r="A66" s="39"/>
      <c r="B66" s="40"/>
      <c r="C66" s="40"/>
      <c r="D66" s="40"/>
      <c r="E66" s="156" t="s">
        <v>20</v>
      </c>
      <c r="F66" s="40"/>
      <c r="G66" s="42"/>
      <c r="H66" s="1357" t="s">
        <v>14</v>
      </c>
      <c r="I66" s="44"/>
      <c r="J66" s="44"/>
      <c r="K66" s="45"/>
      <c r="L66" s="1358">
        <v>0</v>
      </c>
      <c r="M66" s="83">
        <v>0</v>
      </c>
      <c r="N66" s="83">
        <v>0</v>
      </c>
      <c r="O66" s="83">
        <f>IF(L66&gt;0,N66*100/L66,0)</f>
        <v>0</v>
      </c>
      <c r="P66" s="83">
        <f>IF(M66&gt;0,N66*100/M66,0)</f>
        <v>0</v>
      </c>
      <c r="Q66" s="83">
        <v>0</v>
      </c>
      <c r="R66" s="83">
        <v>0</v>
      </c>
      <c r="S66" s="83">
        <v>0</v>
      </c>
      <c r="T66" s="83">
        <f>IF(Q66&gt;0,S66*100/Q66,0)</f>
        <v>0</v>
      </c>
      <c r="U66" s="83">
        <f>IF(R66&gt;0,S66*100/R66,0)</f>
        <v>0</v>
      </c>
    </row>
    <row r="67" spans="1:21" ht="18.75" x14ac:dyDescent="0.25">
      <c r="A67" s="50"/>
      <c r="B67" s="1"/>
      <c r="C67" s="1"/>
      <c r="D67" s="1"/>
      <c r="E67" s="51" t="s">
        <v>21</v>
      </c>
      <c r="F67" s="1"/>
      <c r="G67" s="52"/>
      <c r="H67" s="53" t="s">
        <v>14</v>
      </c>
      <c r="I67" s="54"/>
      <c r="J67" s="54"/>
      <c r="K67" s="3"/>
      <c r="L67" s="1384">
        <f ca="1">IFERROR(__xludf.DUMMYFUNCTION("IMPORTRANGE(""https://docs.google.com/spreadsheets/d/1-uDff_7J0KD5mKrp0Vvzr7lt3OU09vwQwhkpOPPYv2Y/edit?usp=sharing"",""งบพรบ!AF29"")"),1684600)</f>
        <v>1684600</v>
      </c>
      <c r="M67" s="448">
        <f ca="1">IFERROR(__xludf.DUMMYFUNCTION("IMPORTRANGE(""https://docs.google.com/spreadsheets/d/1-uDff_7J0KD5mKrp0Vvzr7lt3OU09vwQwhkpOPPYv2Y/edit?usp=sharing"",""งบพรบ!AI29"")"),1684600)</f>
        <v>1684600</v>
      </c>
      <c r="N67" s="448">
        <f ca="1">IFERROR(__xludf.DUMMYFUNCTION("IMPORTRANGE(""https://docs.google.com/spreadsheets/d/1-uDff_7J0KD5mKrp0Vvzr7lt3OU09vwQwhkpOPPYv2Y/edit?usp=sharing"",""งบพรบ!AK29"")"),10500)</f>
        <v>10500</v>
      </c>
      <c r="O67" s="448">
        <f ca="1">IF(L67&gt;0,N67*100/L67,0)</f>
        <v>0.62329336340971153</v>
      </c>
      <c r="P67" s="448">
        <f ca="1">IF(M67&gt;0,N67*100/M67,0)</f>
        <v>0.62329336340971153</v>
      </c>
      <c r="Q67" s="448">
        <v>0</v>
      </c>
      <c r="R67" s="448">
        <v>0</v>
      </c>
      <c r="S67" s="448">
        <v>0</v>
      </c>
      <c r="T67" s="448">
        <f>IF(Q67&gt;0,S67*100/Q67,0)</f>
        <v>0</v>
      </c>
      <c r="U67" s="448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1385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8" t="s">
        <v>33</v>
      </c>
      <c r="C70" s="27"/>
      <c r="D70" s="125"/>
      <c r="E70" s="27"/>
      <c r="F70" s="27"/>
      <c r="G70" s="30"/>
      <c r="H70" s="126" t="s">
        <v>34</v>
      </c>
      <c r="I70" s="1386">
        <f ca="1">I82</f>
        <v>0</v>
      </c>
      <c r="J70" s="1386">
        <f>J82</f>
        <v>0</v>
      </c>
      <c r="K70" s="1349">
        <f ca="1">IF(I70&gt;0,J70*100/I70,0)</f>
        <v>0</v>
      </c>
      <c r="L70" s="1387"/>
      <c r="M70" s="33"/>
      <c r="N70" s="33"/>
      <c r="O70" s="33"/>
      <c r="P70" s="33"/>
      <c r="Q70" s="33"/>
      <c r="R70" s="33"/>
      <c r="S70" s="33"/>
      <c r="T70" s="33"/>
      <c r="U70" s="33"/>
    </row>
    <row r="71" spans="1:21" ht="19.5" x14ac:dyDescent="0.3">
      <c r="A71" s="124"/>
      <c r="B71" s="27"/>
      <c r="C71" s="27"/>
      <c r="D71" s="125"/>
      <c r="E71" s="27"/>
      <c r="F71" s="27"/>
      <c r="G71" s="30"/>
      <c r="H71" s="126" t="s">
        <v>35</v>
      </c>
      <c r="I71" s="1386">
        <f ca="1">I83</f>
        <v>0</v>
      </c>
      <c r="J71" s="1386">
        <f>J83</f>
        <v>0</v>
      </c>
      <c r="K71" s="1349">
        <f ca="1">IF(I71&gt;0,J71*100/I71,0)</f>
        <v>0</v>
      </c>
      <c r="L71" s="1387"/>
      <c r="M71" s="33"/>
      <c r="N71" s="33"/>
      <c r="O71" s="33"/>
      <c r="P71" s="33"/>
      <c r="Q71" s="33"/>
      <c r="R71" s="33"/>
      <c r="S71" s="33"/>
      <c r="T71" s="33"/>
      <c r="U71" s="33"/>
    </row>
    <row r="72" spans="1:21" ht="19.5" x14ac:dyDescent="0.3">
      <c r="A72" s="128"/>
      <c r="B72" s="40"/>
      <c r="C72" s="129" t="s">
        <v>18</v>
      </c>
      <c r="D72" s="1388" t="s">
        <v>19</v>
      </c>
      <c r="E72" s="40"/>
      <c r="F72" s="40"/>
      <c r="G72" s="42"/>
      <c r="H72" s="131" t="s">
        <v>14</v>
      </c>
      <c r="I72" s="44"/>
      <c r="J72" s="44"/>
      <c r="K72" s="45"/>
      <c r="L72" s="1389">
        <f ca="1">L73+L74</f>
        <v>0</v>
      </c>
      <c r="M72" s="1390">
        <f ca="1">M73+M74</f>
        <v>0</v>
      </c>
      <c r="N72" s="1390">
        <f ca="1">N73+N74</f>
        <v>0</v>
      </c>
      <c r="O72" s="1390">
        <f ca="1">IF(L72&gt;0,N72*100/L72,0)</f>
        <v>0</v>
      </c>
      <c r="P72" s="1390">
        <f ca="1">IF(M72&gt;0,N72*100/M72,0)</f>
        <v>0</v>
      </c>
      <c r="Q72" s="1390">
        <f ca="1">Q73+Q74</f>
        <v>0</v>
      </c>
      <c r="R72" s="1390">
        <f ca="1">R73+R74</f>
        <v>0</v>
      </c>
      <c r="S72" s="1390">
        <f ca="1">S73+S74</f>
        <v>0</v>
      </c>
      <c r="T72" s="1390">
        <f ca="1">IF(Q72&gt;0,S72*100/Q72,0)</f>
        <v>0</v>
      </c>
      <c r="U72" s="1390">
        <f ca="1">IF(R72&gt;0,S72*100/R72,0)</f>
        <v>0</v>
      </c>
    </row>
    <row r="73" spans="1:21" ht="18.75" x14ac:dyDescent="0.25">
      <c r="A73" s="128"/>
      <c r="B73" s="40"/>
      <c r="C73" s="40"/>
      <c r="D73" s="40"/>
      <c r="E73" s="156" t="s">
        <v>20</v>
      </c>
      <c r="F73" s="40"/>
      <c r="G73" s="42"/>
      <c r="H73" s="157" t="s">
        <v>14</v>
      </c>
      <c r="I73" s="44"/>
      <c r="J73" s="44"/>
      <c r="K73" s="45"/>
      <c r="L73" s="1358">
        <f>L76+L79</f>
        <v>0</v>
      </c>
      <c r="M73" s="83">
        <f>M76+M79</f>
        <v>0</v>
      </c>
      <c r="N73" s="83">
        <f>N76+N79</f>
        <v>0</v>
      </c>
      <c r="O73" s="83">
        <f>IF(L73&gt;0,N73*100/L73,0)</f>
        <v>0</v>
      </c>
      <c r="P73" s="83">
        <f>IF(M73&gt;0,N73*100/M73,0)</f>
        <v>0</v>
      </c>
      <c r="Q73" s="83">
        <f>Q76+Q79</f>
        <v>0</v>
      </c>
      <c r="R73" s="83">
        <f>R76+R79</f>
        <v>0</v>
      </c>
      <c r="S73" s="83">
        <f>S76+S79</f>
        <v>0</v>
      </c>
      <c r="T73" s="83">
        <f>IF(Q73&gt;0,S73*100/Q73,0)</f>
        <v>0</v>
      </c>
      <c r="U73" s="83">
        <f>IF(R73&gt;0,S73*100/R73,0)</f>
        <v>0</v>
      </c>
    </row>
    <row r="74" spans="1:21" ht="18.75" x14ac:dyDescent="0.25">
      <c r="A74" s="128"/>
      <c r="B74" s="40"/>
      <c r="C74" s="40"/>
      <c r="D74" s="40"/>
      <c r="E74" s="47" t="s">
        <v>21</v>
      </c>
      <c r="F74" s="40"/>
      <c r="G74" s="42"/>
      <c r="H74" s="133" t="s">
        <v>14</v>
      </c>
      <c r="I74" s="44"/>
      <c r="J74" s="44"/>
      <c r="K74" s="45"/>
      <c r="L74" s="1356">
        <f ca="1">L77+L80</f>
        <v>0</v>
      </c>
      <c r="M74" s="224">
        <f ca="1">M77+M80</f>
        <v>0</v>
      </c>
      <c r="N74" s="224">
        <f ca="1">N77+N80</f>
        <v>0</v>
      </c>
      <c r="O74" s="224">
        <f ca="1">IF(L74&gt;0,N74*100/L74,0)</f>
        <v>0</v>
      </c>
      <c r="P74" s="224">
        <f ca="1">IF(M74&gt;0,N74*100/M74,0)</f>
        <v>0</v>
      </c>
      <c r="Q74" s="224">
        <f ca="1">Q77+Q80</f>
        <v>0</v>
      </c>
      <c r="R74" s="224">
        <f ca="1">R77+R80</f>
        <v>0</v>
      </c>
      <c r="S74" s="224">
        <f ca="1">S77+S80</f>
        <v>0</v>
      </c>
      <c r="T74" s="224">
        <f ca="1">IF(Q74&gt;0,S74*100/Q74,0)</f>
        <v>0</v>
      </c>
      <c r="U74" s="224">
        <f ca="1">IF(R74&gt;0,S74*100/R74,0)</f>
        <v>0</v>
      </c>
    </row>
    <row r="75" spans="1:21" ht="18.75" x14ac:dyDescent="0.25">
      <c r="A75" s="128"/>
      <c r="B75" s="40"/>
      <c r="C75" s="40"/>
      <c r="D75" s="41" t="s">
        <v>22</v>
      </c>
      <c r="E75" s="40"/>
      <c r="F75" s="40"/>
      <c r="G75" s="42"/>
      <c r="H75" s="134" t="s">
        <v>14</v>
      </c>
      <c r="I75" s="135"/>
      <c r="J75" s="135"/>
      <c r="K75" s="136"/>
      <c r="L75" s="1356">
        <f ca="1">L76+L77</f>
        <v>0</v>
      </c>
      <c r="M75" s="224">
        <f ca="1">M76+M77</f>
        <v>0</v>
      </c>
      <c r="N75" s="224">
        <f ca="1">N76+N77</f>
        <v>0</v>
      </c>
      <c r="O75" s="224">
        <f ca="1">IF(L75&gt;0,N75*100/L75,0)</f>
        <v>0</v>
      </c>
      <c r="P75" s="224">
        <f ca="1">IF(M75&gt;0,N75*100/M75,0)</f>
        <v>0</v>
      </c>
      <c r="Q75" s="224">
        <f ca="1">Q76+Q77</f>
        <v>0</v>
      </c>
      <c r="R75" s="224">
        <f ca="1">R76+R77</f>
        <v>0</v>
      </c>
      <c r="S75" s="224">
        <f ca="1">S76+S77</f>
        <v>0</v>
      </c>
      <c r="T75" s="224">
        <f ca="1">IF(Q75&gt;0,S75*100/Q75,0)</f>
        <v>0</v>
      </c>
      <c r="U75" s="224">
        <f ca="1">IF(R75&gt;0,S75*100/R75,0)</f>
        <v>0</v>
      </c>
    </row>
    <row r="76" spans="1:21" ht="18.75" x14ac:dyDescent="0.25">
      <c r="A76" s="128"/>
      <c r="B76" s="40"/>
      <c r="C76" s="40"/>
      <c r="D76" s="40"/>
      <c r="E76" s="156" t="s">
        <v>36</v>
      </c>
      <c r="F76" s="40"/>
      <c r="G76" s="42"/>
      <c r="H76" s="159" t="s">
        <v>14</v>
      </c>
      <c r="I76" s="135"/>
      <c r="J76" s="135"/>
      <c r="K76" s="136"/>
      <c r="L76" s="1358">
        <v>0</v>
      </c>
      <c r="M76" s="83">
        <v>0</v>
      </c>
      <c r="N76" s="83">
        <v>0</v>
      </c>
      <c r="O76" s="83">
        <f>IF(L76&gt;0,N76*100/L76,0)</f>
        <v>0</v>
      </c>
      <c r="P76" s="83">
        <f>IF(M76&gt;0,N76*100/M76,0)</f>
        <v>0</v>
      </c>
      <c r="Q76" s="83">
        <v>0</v>
      </c>
      <c r="R76" s="83">
        <v>0</v>
      </c>
      <c r="S76" s="83">
        <v>0</v>
      </c>
      <c r="T76" s="83">
        <f>IF(Q76&gt;0,S76*100/Q76,0)</f>
        <v>0</v>
      </c>
      <c r="U76" s="83">
        <f>IF(R76&gt;0,S76*100/R76,0)</f>
        <v>0</v>
      </c>
    </row>
    <row r="77" spans="1:21" ht="18.75" x14ac:dyDescent="0.25">
      <c r="A77" s="128"/>
      <c r="B77" s="40"/>
      <c r="C77" s="40"/>
      <c r="D77" s="40"/>
      <c r="E77" s="47" t="s">
        <v>37</v>
      </c>
      <c r="F77" s="40"/>
      <c r="G77" s="42"/>
      <c r="H77" s="134" t="s">
        <v>14</v>
      </c>
      <c r="I77" s="135"/>
      <c r="J77" s="135"/>
      <c r="K77" s="136"/>
      <c r="L77" s="1356">
        <f ca="1">IFERROR(__xludf.DUMMYFUNCTION("IMPORTRANGE(""https://docs.google.com/spreadsheets/d/1-uDff_7J0KD5mKrp0Vvzr7lt3OU09vwQwhkpOPPYv2Y/edit?usp=sharing"",""งบพรบ!AM29"")"),0)</f>
        <v>0</v>
      </c>
      <c r="M77" s="224">
        <f ca="1">IFERROR(__xludf.DUMMYFUNCTION("IMPORTRANGE(""https://docs.google.com/spreadsheets/d/1-uDff_7J0KD5mKrp0Vvzr7lt3OU09vwQwhkpOPPYv2Y/edit?usp=sharing"",""งบพรบ!AR29"")"),0)</f>
        <v>0</v>
      </c>
      <c r="N77" s="224">
        <f ca="1">IFERROR(__xludf.DUMMYFUNCTION("IMPORTRANGE(""https://docs.google.com/spreadsheets/d/1-uDff_7J0KD5mKrp0Vvzr7lt3OU09vwQwhkpOPPYv2Y/edit?usp=sharing"",""งบพรบ!AT29"")"),0)</f>
        <v>0</v>
      </c>
      <c r="O77" s="224">
        <f ca="1">IF(L77&gt;0,N77*100/L77,0)</f>
        <v>0</v>
      </c>
      <c r="P77" s="224">
        <f ca="1">IF(M77&gt;0,N77*100/M77,0)</f>
        <v>0</v>
      </c>
      <c r="Q77" s="224">
        <f ca="1">IFERROR(__xludf.DUMMYFUNCTION("IMPORTRANGE(""https://docs.google.com/spreadsheets/d/1ItG2mGa2ceCfYo0BwxsXqNm01IGEUdYcSSLTEv9YCik/edit?usp=sharing"",""เบิกจ่ายกองทุน!BH29"")"),0)</f>
        <v>0</v>
      </c>
      <c r="R77" s="224">
        <f ca="1">IFERROR(__xludf.DUMMYFUNCTION("IMPORTRANGE(""https://docs.google.com/spreadsheets/d/1ItG2mGa2ceCfYo0BwxsXqNm01IGEUdYcSSLTEv9YCik/edit?usp=sharing"",""เบิกจ่ายกองทุน!BI29"")"),0)</f>
        <v>0</v>
      </c>
      <c r="S77" s="224">
        <f ca="1">IFERROR(__xludf.DUMMYFUNCTION("IMPORTRANGE(""https://docs.google.com/spreadsheets/d/1ItG2mGa2ceCfYo0BwxsXqNm01IGEUdYcSSLTEv9YCik/edit?usp=sharing"",""เบิกจ่ายกองทุน!BJ29"")"),0)</f>
        <v>0</v>
      </c>
      <c r="T77" s="224">
        <f ca="1">IF(Q77&gt;0,S77*100/Q77,0)</f>
        <v>0</v>
      </c>
      <c r="U77" s="224">
        <f ca="1">IF(R77&gt;0,S77*100/R77,0)</f>
        <v>0</v>
      </c>
    </row>
    <row r="78" spans="1:21" ht="18.75" x14ac:dyDescent="0.25">
      <c r="A78" s="128"/>
      <c r="B78" s="40"/>
      <c r="C78" s="40"/>
      <c r="D78" s="41" t="s">
        <v>23</v>
      </c>
      <c r="E78" s="40"/>
      <c r="F78" s="40"/>
      <c r="G78" s="42"/>
      <c r="H78" s="137" t="s">
        <v>14</v>
      </c>
      <c r="I78" s="135"/>
      <c r="J78" s="135"/>
      <c r="K78" s="136"/>
      <c r="L78" s="1356">
        <f ca="1">L79+L80</f>
        <v>0</v>
      </c>
      <c r="M78" s="224">
        <f ca="1">M79+M80</f>
        <v>0</v>
      </c>
      <c r="N78" s="224">
        <f ca="1">N79+N80</f>
        <v>0</v>
      </c>
      <c r="O78" s="224">
        <f ca="1">IF(L78&gt;0,N78*100/L78,0)</f>
        <v>0</v>
      </c>
      <c r="P78" s="224">
        <f ca="1">IF(M78&gt;0,N78*100/M78,0)</f>
        <v>0</v>
      </c>
      <c r="Q78" s="224">
        <f ca="1">Q79+Q80</f>
        <v>0</v>
      </c>
      <c r="R78" s="224">
        <f ca="1">R79+R80</f>
        <v>0</v>
      </c>
      <c r="S78" s="224">
        <f ca="1">S79+S80</f>
        <v>0</v>
      </c>
      <c r="T78" s="224">
        <f ca="1">IF(Q78&gt;0,S78*100/Q78,0)</f>
        <v>0</v>
      </c>
      <c r="U78" s="224">
        <f ca="1">IF(R78&gt;0,S78*100/R78,0)</f>
        <v>0</v>
      </c>
    </row>
    <row r="79" spans="1:21" ht="18.75" x14ac:dyDescent="0.25">
      <c r="A79" s="128"/>
      <c r="B79" s="40"/>
      <c r="C79" s="40"/>
      <c r="D79" s="40"/>
      <c r="E79" s="156" t="s">
        <v>20</v>
      </c>
      <c r="F79" s="40"/>
      <c r="G79" s="42"/>
      <c r="H79" s="159" t="s">
        <v>14</v>
      </c>
      <c r="I79" s="135"/>
      <c r="J79" s="135"/>
      <c r="K79" s="136"/>
      <c r="L79" s="1358">
        <v>0</v>
      </c>
      <c r="M79" s="224">
        <v>0</v>
      </c>
      <c r="N79" s="224">
        <v>0</v>
      </c>
      <c r="O79" s="83">
        <f>IF(L79&gt;0,N79*100/L79,0)</f>
        <v>0</v>
      </c>
      <c r="P79" s="83">
        <f>IF(M79&gt;0,N79*100/M79,0)</f>
        <v>0</v>
      </c>
      <c r="Q79" s="83">
        <v>0</v>
      </c>
      <c r="R79" s="224">
        <v>0</v>
      </c>
      <c r="S79" s="224">
        <v>0</v>
      </c>
      <c r="T79" s="83">
        <f>IF(Q79&gt;0,S79*100/Q79,0)</f>
        <v>0</v>
      </c>
      <c r="U79" s="83">
        <f>IF(R79&gt;0,S79*100/R79,0)</f>
        <v>0</v>
      </c>
    </row>
    <row r="80" spans="1:21" ht="18.75" x14ac:dyDescent="0.25">
      <c r="A80" s="128"/>
      <c r="B80" s="40"/>
      <c r="C80" s="40"/>
      <c r="D80" s="40"/>
      <c r="E80" s="47" t="s">
        <v>21</v>
      </c>
      <c r="F80" s="40"/>
      <c r="G80" s="42"/>
      <c r="H80" s="137" t="s">
        <v>14</v>
      </c>
      <c r="I80" s="135"/>
      <c r="J80" s="135"/>
      <c r="K80" s="136"/>
      <c r="L80" s="1356">
        <f ca="1">IFERROR(__xludf.DUMMYFUNCTION("IMPORTRANGE(""https://docs.google.com/spreadsheets/d/1-uDff_7J0KD5mKrp0Vvzr7lt3OU09vwQwhkpOPPYv2Y/edit?usp=sharing"",""งบพรบ!AP29"")"),0)</f>
        <v>0</v>
      </c>
      <c r="M80" s="224">
        <f ca="1">IFERROR(__xludf.DUMMYFUNCTION("IMPORTRANGE(""https://docs.google.com/spreadsheets/d/1-uDff_7J0KD5mKrp0Vvzr7lt3OU09vwQwhkpOPPYv2Y/edit?usp=sharing"",""งบพรบ!AS29"")"),0)</f>
        <v>0</v>
      </c>
      <c r="N80" s="224">
        <f ca="1">IFERROR(__xludf.DUMMYFUNCTION("IMPORTRANGE(""https://docs.google.com/spreadsheets/d/1-uDff_7J0KD5mKrp0Vvzr7lt3OU09vwQwhkpOPPYv2Y/edit?usp=sharing"",""งบพรบ!AU29"")"),0)</f>
        <v>0</v>
      </c>
      <c r="O80" s="224">
        <f ca="1">IF(L80&gt;0,N80*100/L80,0)</f>
        <v>0</v>
      </c>
      <c r="P80" s="224">
        <f ca="1">IF(M80&gt;0,N80*100/M80,0)</f>
        <v>0</v>
      </c>
      <c r="Q80" s="224">
        <f ca="1">IFERROR(__xludf.DUMMYFUNCTION("IMPORTRANGE(""https://docs.google.com/spreadsheets/d/1ItG2mGa2ceCfYo0BwxsXqNm01IGEUdYcSSLTEv9YCik/edit?usp=sharing"",""เบิกจ่ายกองทุน!BK29"")"),0)</f>
        <v>0</v>
      </c>
      <c r="R80" s="224">
        <f ca="1">IFERROR(__xludf.DUMMYFUNCTION("IMPORTRANGE(""https://docs.google.com/spreadsheets/d/1ItG2mGa2ceCfYo0BwxsXqNm01IGEUdYcSSLTEv9YCik/edit?usp=sharing"",""เบิกจ่ายกองทุน!BL29"")"),0)</f>
        <v>0</v>
      </c>
      <c r="S80" s="224">
        <f ca="1">IFERROR(__xludf.DUMMYFUNCTION("IMPORTRANGE(""https://docs.google.com/spreadsheets/d/1ItG2mGa2ceCfYo0BwxsXqNm01IGEUdYcSSLTEv9YCik/edit?usp=sharing"",""เบิกจ่ายกองทุน!BM29"")"),0)</f>
        <v>0</v>
      </c>
      <c r="T80" s="224">
        <f ca="1">IF(Q80&gt;0,S80*100/Q80,0)</f>
        <v>0</v>
      </c>
      <c r="U80" s="224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1391" t="s">
        <v>38</v>
      </c>
      <c r="E81" s="141"/>
      <c r="F81" s="141"/>
      <c r="G81" s="142"/>
      <c r="H81" s="143"/>
      <c r="I81" s="135"/>
      <c r="J81" s="135"/>
      <c r="K81" s="136"/>
      <c r="L81" s="1392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328">
        <f ca="1">I84+I86+I88</f>
        <v>0</v>
      </c>
      <c r="J82" s="328">
        <f>J84+J86+J88</f>
        <v>0</v>
      </c>
      <c r="K82" s="1393">
        <f ca="1">IF(I82&gt;0,J82*100/I82,0)</f>
        <v>0</v>
      </c>
      <c r="L82" s="1392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328">
        <f ca="1">I85+I87+I89</f>
        <v>0</v>
      </c>
      <c r="J83" s="328">
        <f>J85+J87+J89</f>
        <v>0</v>
      </c>
      <c r="K83" s="1393">
        <f ca="1">IF(I83&gt;0,J83*100/I83,0)</f>
        <v>0</v>
      </c>
      <c r="L83" s="1392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394">
        <f ca="1">IFERROR(__xludf.DUMMYFUNCTION("IMPORTRANGE(""https://docs.google.com/spreadsheets/d/1eHaY18a8A9IcSdp1K8H6x8fbOy06t2VsZHhMHf-1x7Y/edit?usp=sharing"",""แผน!H29"")"),0)</f>
        <v>0</v>
      </c>
      <c r="J84" s="1395">
        <v>0</v>
      </c>
      <c r="K84" s="1396">
        <f ca="1">IF(I84&gt;0,J84*100/I84,0)</f>
        <v>0</v>
      </c>
      <c r="L84" s="1392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394">
        <f ca="1">IFERROR(__xludf.DUMMYFUNCTION("IMPORTRANGE(""https://docs.google.com/spreadsheets/d/1eHaY18a8A9IcSdp1K8H6x8fbOy06t2VsZHhMHf-1x7Y/edit?usp=sharing"",""แผน!I29"")"),0)</f>
        <v>0</v>
      </c>
      <c r="J85" s="1395">
        <v>0</v>
      </c>
      <c r="K85" s="1396">
        <f ca="1">IF(I85&gt;0,J85*100/I85,0)</f>
        <v>0</v>
      </c>
      <c r="L85" s="1392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394">
        <f ca="1">IFERROR(__xludf.DUMMYFUNCTION("IMPORTRANGE(""https://docs.google.com/spreadsheets/d/1eHaY18a8A9IcSdp1K8H6x8fbOy06t2VsZHhMHf-1x7Y/edit?usp=sharing"",""แผน!F29"")"),0)</f>
        <v>0</v>
      </c>
      <c r="J86" s="1395">
        <v>0</v>
      </c>
      <c r="K86" s="1396">
        <f ca="1">IF(I86&gt;0,J86*100/I86,0)</f>
        <v>0</v>
      </c>
      <c r="L86" s="1392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394">
        <f ca="1">IFERROR(__xludf.DUMMYFUNCTION("IMPORTRANGE(""https://docs.google.com/spreadsheets/d/1eHaY18a8A9IcSdp1K8H6x8fbOy06t2VsZHhMHf-1x7Y/edit?usp=sharing"",""แผน!G29"")"),0)</f>
        <v>0</v>
      </c>
      <c r="J87" s="1395">
        <v>0</v>
      </c>
      <c r="K87" s="1396">
        <f ca="1">IF(I87&gt;0,J87*100/I87,0)</f>
        <v>0</v>
      </c>
      <c r="L87" s="1392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394">
        <f ca="1">IFERROR(__xludf.DUMMYFUNCTION("IMPORTRANGE(""https://docs.google.com/spreadsheets/d/1eHaY18a8A9IcSdp1K8H6x8fbOy06t2VsZHhMHf-1x7Y/edit?usp=sharing"",""แผน!D29"")"),0)</f>
        <v>0</v>
      </c>
      <c r="J88" s="1395">
        <v>0</v>
      </c>
      <c r="K88" s="1396">
        <f ca="1">IF(I88&gt;0,J88*100/I88,0)</f>
        <v>0</v>
      </c>
      <c r="L88" s="1392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394">
        <f ca="1">IFERROR(__xludf.DUMMYFUNCTION("IMPORTRANGE(""https://docs.google.com/spreadsheets/d/1eHaY18a8A9IcSdp1K8H6x8fbOy06t2VsZHhMHf-1x7Y/edit?usp=sharing"",""แผน!E29"")"),0)</f>
        <v>0</v>
      </c>
      <c r="J89" s="1395">
        <v>0</v>
      </c>
      <c r="K89" s="1396">
        <f ca="1">IF(I89&gt;0,J89*100/I89,0)</f>
        <v>0</v>
      </c>
      <c r="L89" s="1392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3" t="s">
        <v>34</v>
      </c>
      <c r="I90" s="1394">
        <f ca="1">IFERROR(__xludf.DUMMYFUNCTION("IMPORTRANGE(""https://docs.google.com/spreadsheets/d/1eHaY18a8A9IcSdp1K8H6x8fbOy06t2VsZHhMHf-1x7Y/edit?usp=sharing"",""แผน!J29"")"),0)</f>
        <v>0</v>
      </c>
      <c r="J90" s="1395">
        <v>0</v>
      </c>
      <c r="K90" s="1396">
        <f ca="1">IF(I90&gt;0,J90*100/I90,0)</f>
        <v>0</v>
      </c>
      <c r="L90" s="1392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1385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8" t="s">
        <v>45</v>
      </c>
      <c r="C92" s="27"/>
      <c r="D92" s="125"/>
      <c r="E92" s="27"/>
      <c r="F92" s="27"/>
      <c r="G92" s="30"/>
      <c r="H92" s="126" t="s">
        <v>46</v>
      </c>
      <c r="I92" s="1386">
        <f ca="1">I108</f>
        <v>0</v>
      </c>
      <c r="J92" s="1386">
        <f>J108</f>
        <v>0</v>
      </c>
      <c r="K92" s="1349">
        <f ca="1">IF(I92&gt;0,J92*100/I92,0)</f>
        <v>0</v>
      </c>
      <c r="L92" s="1387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19.5" x14ac:dyDescent="0.3">
      <c r="A93" s="124"/>
      <c r="B93" s="27"/>
      <c r="C93" s="27"/>
      <c r="D93" s="125"/>
      <c r="E93" s="27"/>
      <c r="F93" s="27"/>
      <c r="G93" s="30"/>
      <c r="H93" s="126" t="s">
        <v>35</v>
      </c>
      <c r="I93" s="1386">
        <f ca="1">I109</f>
        <v>0</v>
      </c>
      <c r="J93" s="1386">
        <f>J109</f>
        <v>0</v>
      </c>
      <c r="K93" s="1349">
        <f ca="1">IF(I93&gt;0,J93*100/I93,0)</f>
        <v>0</v>
      </c>
      <c r="L93" s="1387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19.5" x14ac:dyDescent="0.3">
      <c r="A94" s="128"/>
      <c r="B94" s="40"/>
      <c r="C94" s="129" t="s">
        <v>18</v>
      </c>
      <c r="D94" s="1388" t="s">
        <v>19</v>
      </c>
      <c r="E94" s="40"/>
      <c r="F94" s="40"/>
      <c r="G94" s="42"/>
      <c r="H94" s="131" t="s">
        <v>14</v>
      </c>
      <c r="I94" s="44"/>
      <c r="J94" s="44"/>
      <c r="K94" s="45"/>
      <c r="L94" s="1389">
        <f ca="1">L95+L96</f>
        <v>0</v>
      </c>
      <c r="M94" s="1390">
        <f ca="1">M95+M96</f>
        <v>0</v>
      </c>
      <c r="N94" s="1390">
        <f ca="1">N95+N96</f>
        <v>0</v>
      </c>
      <c r="O94" s="1390">
        <f ca="1">IF(L94&gt;0,N94*100/L94,0)</f>
        <v>0</v>
      </c>
      <c r="P94" s="1390">
        <f ca="1">IF(M94&gt;0,N94*100/M94,0)</f>
        <v>0</v>
      </c>
      <c r="Q94" s="1390">
        <f ca="1">Q95+Q96</f>
        <v>0</v>
      </c>
      <c r="R94" s="1390">
        <f ca="1">R95+R96</f>
        <v>0</v>
      </c>
      <c r="S94" s="1390">
        <f ca="1">S95+S96</f>
        <v>0</v>
      </c>
      <c r="T94" s="1390">
        <f ca="1">IF(Q94&gt;0,S94*100/Q94,0)</f>
        <v>0</v>
      </c>
      <c r="U94" s="1390">
        <f ca="1">IF(R94&gt;0,S94*100/R94,0)</f>
        <v>0</v>
      </c>
    </row>
    <row r="95" spans="1:21" ht="18.75" x14ac:dyDescent="0.25">
      <c r="A95" s="128"/>
      <c r="B95" s="40"/>
      <c r="C95" s="40"/>
      <c r="D95" s="40"/>
      <c r="E95" s="156" t="s">
        <v>20</v>
      </c>
      <c r="F95" s="40"/>
      <c r="G95" s="42"/>
      <c r="H95" s="157" t="s">
        <v>14</v>
      </c>
      <c r="I95" s="44"/>
      <c r="J95" s="44"/>
      <c r="K95" s="45"/>
      <c r="L95" s="1358">
        <f>L98+L101</f>
        <v>0</v>
      </c>
      <c r="M95" s="83">
        <f>M98+M101</f>
        <v>0</v>
      </c>
      <c r="N95" s="83">
        <f>N98+N101</f>
        <v>0</v>
      </c>
      <c r="O95" s="83">
        <f>IF(L95&gt;0,N95*100/L95,0)</f>
        <v>0</v>
      </c>
      <c r="P95" s="83">
        <f>IF(M95&gt;0,N95*100/M95,0)</f>
        <v>0</v>
      </c>
      <c r="Q95" s="83">
        <f>Q98+Q101</f>
        <v>0</v>
      </c>
      <c r="R95" s="83">
        <f>R98+R101</f>
        <v>0</v>
      </c>
      <c r="S95" s="83">
        <f>S98+S101</f>
        <v>0</v>
      </c>
      <c r="T95" s="83">
        <f>IF(Q95&gt;0,S95*100/Q95,0)</f>
        <v>0</v>
      </c>
      <c r="U95" s="83">
        <f>IF(R95&gt;0,S95*100/R95,0)</f>
        <v>0</v>
      </c>
    </row>
    <row r="96" spans="1:21" ht="18.75" x14ac:dyDescent="0.25">
      <c r="A96" s="128"/>
      <c r="B96" s="40"/>
      <c r="C96" s="40"/>
      <c r="D96" s="40"/>
      <c r="E96" s="47" t="s">
        <v>21</v>
      </c>
      <c r="F96" s="40"/>
      <c r="G96" s="42"/>
      <c r="H96" s="133" t="s">
        <v>14</v>
      </c>
      <c r="I96" s="44"/>
      <c r="J96" s="44"/>
      <c r="K96" s="45"/>
      <c r="L96" s="1356">
        <f ca="1">L99+L102</f>
        <v>0</v>
      </c>
      <c r="M96" s="224">
        <f ca="1">M99+M102</f>
        <v>0</v>
      </c>
      <c r="N96" s="224">
        <f ca="1">N99+N102</f>
        <v>0</v>
      </c>
      <c r="O96" s="224">
        <f ca="1">IF(L96&gt;0,N96*100/L96,0)</f>
        <v>0</v>
      </c>
      <c r="P96" s="224">
        <f ca="1">IF(M96&gt;0,N96*100/M96,0)</f>
        <v>0</v>
      </c>
      <c r="Q96" s="224">
        <f ca="1">Q99+Q102</f>
        <v>0</v>
      </c>
      <c r="R96" s="224">
        <f ca="1">R99+R102</f>
        <v>0</v>
      </c>
      <c r="S96" s="224">
        <f ca="1">S99+S102</f>
        <v>0</v>
      </c>
      <c r="T96" s="224">
        <f ca="1">IF(Q96&gt;0,S96*100/Q96,0)</f>
        <v>0</v>
      </c>
      <c r="U96" s="224">
        <f ca="1">IF(R96&gt;0,S96*100/R96,0)</f>
        <v>0</v>
      </c>
    </row>
    <row r="97" spans="1:21" ht="18.75" x14ac:dyDescent="0.25">
      <c r="A97" s="128"/>
      <c r="B97" s="40"/>
      <c r="C97" s="40"/>
      <c r="D97" s="41" t="s">
        <v>22</v>
      </c>
      <c r="E97" s="40"/>
      <c r="F97" s="40"/>
      <c r="G97" s="42"/>
      <c r="H97" s="134" t="s">
        <v>14</v>
      </c>
      <c r="I97" s="135"/>
      <c r="J97" s="135"/>
      <c r="K97" s="136"/>
      <c r="L97" s="1356">
        <f ca="1">L98+L99</f>
        <v>0</v>
      </c>
      <c r="M97" s="224">
        <f ca="1">M98+M99</f>
        <v>0</v>
      </c>
      <c r="N97" s="224">
        <f ca="1">N98+N99</f>
        <v>0</v>
      </c>
      <c r="O97" s="224">
        <f ca="1">IF(L97&gt;0,N97*100/L97,0)</f>
        <v>0</v>
      </c>
      <c r="P97" s="224">
        <f ca="1">IF(M97&gt;0,N97*100/M97,0)</f>
        <v>0</v>
      </c>
      <c r="Q97" s="224">
        <f ca="1">Q98+Q99</f>
        <v>0</v>
      </c>
      <c r="R97" s="224">
        <f ca="1">R98+R99</f>
        <v>0</v>
      </c>
      <c r="S97" s="224">
        <f ca="1">S98+S99</f>
        <v>0</v>
      </c>
      <c r="T97" s="224">
        <f ca="1">IF(Q97&gt;0,S97*100/Q97,0)</f>
        <v>0</v>
      </c>
      <c r="U97" s="224">
        <f ca="1">IF(R97&gt;0,S97*100/R97,0)</f>
        <v>0</v>
      </c>
    </row>
    <row r="98" spans="1:21" ht="18.75" x14ac:dyDescent="0.25">
      <c r="A98" s="128"/>
      <c r="B98" s="40"/>
      <c r="C98" s="40"/>
      <c r="D98" s="40"/>
      <c r="E98" s="156" t="s">
        <v>36</v>
      </c>
      <c r="F98" s="40"/>
      <c r="G98" s="42"/>
      <c r="H98" s="159" t="s">
        <v>14</v>
      </c>
      <c r="I98" s="135"/>
      <c r="J98" s="135"/>
      <c r="K98" s="136"/>
      <c r="L98" s="1358">
        <v>0</v>
      </c>
      <c r="M98" s="83">
        <v>0</v>
      </c>
      <c r="N98" s="83">
        <v>0</v>
      </c>
      <c r="O98" s="83">
        <f>IF(L98&gt;0,N98*100/L98,0)</f>
        <v>0</v>
      </c>
      <c r="P98" s="83">
        <f>IF(M98&gt;0,N98*100/M98,0)</f>
        <v>0</v>
      </c>
      <c r="Q98" s="83">
        <v>0</v>
      </c>
      <c r="R98" s="83">
        <v>0</v>
      </c>
      <c r="S98" s="83">
        <v>0</v>
      </c>
      <c r="T98" s="83">
        <f>IF(Q98&gt;0,S98*100/Q98,0)</f>
        <v>0</v>
      </c>
      <c r="U98" s="83">
        <f>IF(R98&gt;0,S98*100/R98,0)</f>
        <v>0</v>
      </c>
    </row>
    <row r="99" spans="1:21" ht="18.75" x14ac:dyDescent="0.25">
      <c r="A99" s="128"/>
      <c r="B99" s="40"/>
      <c r="C99" s="40"/>
      <c r="D99" s="40"/>
      <c r="E99" s="47" t="s">
        <v>37</v>
      </c>
      <c r="F99" s="40"/>
      <c r="G99" s="42"/>
      <c r="H99" s="134" t="s">
        <v>14</v>
      </c>
      <c r="I99" s="135"/>
      <c r="J99" s="135"/>
      <c r="K99" s="136"/>
      <c r="L99" s="1356">
        <f ca="1">IFERROR(__xludf.DUMMYFUNCTION("IMPORTRANGE(""https://docs.google.com/spreadsheets/d/1-uDff_7J0KD5mKrp0Vvzr7lt3OU09vwQwhkpOPPYv2Y/edit?usp=sharing"",""งบพรบ!AW29"")"),0)</f>
        <v>0</v>
      </c>
      <c r="M99" s="224">
        <f ca="1">IFERROR(__xludf.DUMMYFUNCTION("IMPORTRANGE(""https://docs.google.com/spreadsheets/d/1-uDff_7J0KD5mKrp0Vvzr7lt3OU09vwQwhkpOPPYv2Y/edit?usp=sharing"",""งบพรบ!BB29"")"),0)</f>
        <v>0</v>
      </c>
      <c r="N99" s="224">
        <f ca="1">IFERROR(__xludf.DUMMYFUNCTION("IMPORTRANGE(""https://docs.google.com/spreadsheets/d/1-uDff_7J0KD5mKrp0Vvzr7lt3OU09vwQwhkpOPPYv2Y/edit?usp=sharing"",""งบพรบ!BD29"")"),0)</f>
        <v>0</v>
      </c>
      <c r="O99" s="224">
        <f ca="1">IF(L99&gt;0,N99*100/L99,0)</f>
        <v>0</v>
      </c>
      <c r="P99" s="224">
        <f ca="1">IF(M99&gt;0,N99*100/M99,0)</f>
        <v>0</v>
      </c>
      <c r="Q99" s="224">
        <f ca="1">IFERROR(__xludf.DUMMYFUNCTION("IMPORTRANGE(""https://docs.google.com/spreadsheets/d/1ItG2mGa2ceCfYo0BwxsXqNm01IGEUdYcSSLTEv9YCik/edit?usp=sharing"",""เบิกจ่ายกองทุน!AJ29"")"),0)</f>
        <v>0</v>
      </c>
      <c r="R99" s="224">
        <f ca="1">IFERROR(__xludf.DUMMYFUNCTION("IMPORTRANGE(""https://docs.google.com/spreadsheets/d/1ItG2mGa2ceCfYo0BwxsXqNm01IGEUdYcSSLTEv9YCik/edit?usp=sharing"",""เบิกจ่ายกองทุน!AK29"")"),0)</f>
        <v>0</v>
      </c>
      <c r="S99" s="224">
        <f ca="1">IFERROR(__xludf.DUMMYFUNCTION("IMPORTRANGE(""https://docs.google.com/spreadsheets/d/1ItG2mGa2ceCfYo0BwxsXqNm01IGEUdYcSSLTEv9YCik/edit?usp=sharing"",""เบิกจ่ายกองทุน!AL29"")"),0)</f>
        <v>0</v>
      </c>
      <c r="T99" s="224">
        <f ca="1">IF(Q99&gt;0,S99*100/Q99,0)</f>
        <v>0</v>
      </c>
      <c r="U99" s="224">
        <f ca="1">IF(R99&gt;0,S99*100/R99,0)</f>
        <v>0</v>
      </c>
    </row>
    <row r="100" spans="1:21" ht="18.75" x14ac:dyDescent="0.25">
      <c r="A100" s="128"/>
      <c r="B100" s="40"/>
      <c r="C100" s="40"/>
      <c r="D100" s="41" t="s">
        <v>23</v>
      </c>
      <c r="E100" s="40"/>
      <c r="F100" s="40"/>
      <c r="G100" s="42"/>
      <c r="H100" s="137" t="s">
        <v>14</v>
      </c>
      <c r="I100" s="135"/>
      <c r="J100" s="135"/>
      <c r="K100" s="136"/>
      <c r="L100" s="1356">
        <f ca="1">L101+L102</f>
        <v>0</v>
      </c>
      <c r="M100" s="224">
        <f ca="1">M101+M102</f>
        <v>0</v>
      </c>
      <c r="N100" s="224">
        <f ca="1">N101+N102</f>
        <v>0</v>
      </c>
      <c r="O100" s="224">
        <f ca="1">IF(L100&gt;0,N100*100/L100,0)</f>
        <v>0</v>
      </c>
      <c r="P100" s="224">
        <f ca="1">IF(M100&gt;0,N100*100/M100,0)</f>
        <v>0</v>
      </c>
      <c r="Q100" s="224">
        <f>Q101+Q102</f>
        <v>0</v>
      </c>
      <c r="R100" s="224">
        <f>R101+R102</f>
        <v>0</v>
      </c>
      <c r="S100" s="224">
        <f>S101+S102</f>
        <v>0</v>
      </c>
      <c r="T100" s="224">
        <f>IF(Q100&gt;0,S100*100/Q100,0)</f>
        <v>0</v>
      </c>
      <c r="U100" s="224">
        <f>IF(R100&gt;0,S100*100/R100,0)</f>
        <v>0</v>
      </c>
    </row>
    <row r="101" spans="1:21" ht="18.75" x14ac:dyDescent="0.25">
      <c r="A101" s="128"/>
      <c r="B101" s="40"/>
      <c r="C101" s="40"/>
      <c r="D101" s="40"/>
      <c r="E101" s="156" t="s">
        <v>20</v>
      </c>
      <c r="F101" s="40"/>
      <c r="G101" s="42"/>
      <c r="H101" s="159" t="s">
        <v>14</v>
      </c>
      <c r="I101" s="135"/>
      <c r="J101" s="135"/>
      <c r="K101" s="136"/>
      <c r="L101" s="1358">
        <v>0</v>
      </c>
      <c r="M101" s="83">
        <v>0</v>
      </c>
      <c r="N101" s="83">
        <v>0</v>
      </c>
      <c r="O101" s="83">
        <f>IF(L101&gt;0,N101*100/L101,0)</f>
        <v>0</v>
      </c>
      <c r="P101" s="83">
        <f>IF(M101&gt;0,N101*100/M101,0)</f>
        <v>0</v>
      </c>
      <c r="Q101" s="83">
        <v>0</v>
      </c>
      <c r="R101" s="83">
        <v>0</v>
      </c>
      <c r="S101" s="83">
        <v>0</v>
      </c>
      <c r="T101" s="83">
        <f>IF(Q101&gt;0,S101*100/Q101,0)</f>
        <v>0</v>
      </c>
      <c r="U101" s="83">
        <f>IF(R101&gt;0,S101*100/R101,0)</f>
        <v>0</v>
      </c>
    </row>
    <row r="102" spans="1:21" ht="18.75" x14ac:dyDescent="0.25">
      <c r="A102" s="128"/>
      <c r="B102" s="40"/>
      <c r="C102" s="40"/>
      <c r="D102" s="40"/>
      <c r="E102" s="47" t="s">
        <v>21</v>
      </c>
      <c r="F102" s="40"/>
      <c r="G102" s="42"/>
      <c r="H102" s="137" t="s">
        <v>14</v>
      </c>
      <c r="I102" s="135"/>
      <c r="J102" s="135"/>
      <c r="K102" s="136"/>
      <c r="L102" s="1356">
        <f ca="1">IFERROR(__xludf.DUMMYFUNCTION("IMPORTRANGE(""https://docs.google.com/spreadsheets/d/1-uDff_7J0KD5mKrp0Vvzr7lt3OU09vwQwhkpOPPYv2Y/edit?usp=sharing"",""งบพรบ!AZ29"")"),0)</f>
        <v>0</v>
      </c>
      <c r="M102" s="224">
        <f ca="1">IFERROR(__xludf.DUMMYFUNCTION("IMPORTRANGE(""https://docs.google.com/spreadsheets/d/1-uDff_7J0KD5mKrp0Vvzr7lt3OU09vwQwhkpOPPYv2Y/edit?usp=sharing"",""งบพรบ!BC29"")"),0)</f>
        <v>0</v>
      </c>
      <c r="N102" s="224">
        <f ca="1">IFERROR(__xludf.DUMMYFUNCTION("IMPORTRANGE(""https://docs.google.com/spreadsheets/d/1-uDff_7J0KD5mKrp0Vvzr7lt3OU09vwQwhkpOPPYv2Y/edit?usp=sharing"",""งบพรบ!BE29"")"),0)</f>
        <v>0</v>
      </c>
      <c r="O102" s="224">
        <f ca="1">IF(L102&gt;0,N102*100/L102,0)</f>
        <v>0</v>
      </c>
      <c r="P102" s="224">
        <f ca="1">IF(M102&gt;0,N102*100/M102,0)</f>
        <v>0</v>
      </c>
      <c r="Q102" s="224">
        <v>0</v>
      </c>
      <c r="R102" s="224">
        <v>0</v>
      </c>
      <c r="S102" s="224">
        <v>0</v>
      </c>
      <c r="T102" s="224">
        <f>IF(Q102&gt;0,S102*100/Q102,0)</f>
        <v>0</v>
      </c>
      <c r="U102" s="224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1391" t="s">
        <v>38</v>
      </c>
      <c r="E103" s="141"/>
      <c r="F103" s="141"/>
      <c r="G103" s="142"/>
      <c r="H103" s="143"/>
      <c r="I103" s="135"/>
      <c r="J103" s="44"/>
      <c r="K103" s="45"/>
      <c r="L103" s="1359"/>
      <c r="M103" s="45"/>
      <c r="N103" s="45"/>
      <c r="O103" s="136"/>
      <c r="P103" s="136"/>
      <c r="Q103" s="45"/>
      <c r="R103" s="45"/>
      <c r="S103" s="45"/>
      <c r="T103" s="136"/>
      <c r="U103" s="136"/>
    </row>
    <row r="104" spans="1:21" ht="12.75" x14ac:dyDescent="0.2">
      <c r="A104" s="162"/>
      <c r="B104" s="163"/>
      <c r="C104" s="163"/>
      <c r="D104" s="18"/>
      <c r="E104" s="18"/>
      <c r="F104" s="18"/>
      <c r="G104" s="19"/>
      <c r="H104" s="19"/>
      <c r="I104" s="20"/>
      <c r="J104" s="20"/>
      <c r="K104" s="21"/>
      <c r="L104" s="1346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12.75" x14ac:dyDescent="0.2">
      <c r="A105" s="162"/>
      <c r="B105" s="163"/>
      <c r="C105" s="163"/>
      <c r="D105" s="18"/>
      <c r="E105" s="18"/>
      <c r="F105" s="18"/>
      <c r="G105" s="19"/>
      <c r="H105" s="19"/>
      <c r="I105" s="20"/>
      <c r="J105" s="20"/>
      <c r="K105" s="21"/>
      <c r="L105" s="1346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12.75" x14ac:dyDescent="0.2">
      <c r="A106" s="162"/>
      <c r="B106" s="163"/>
      <c r="C106" s="163"/>
      <c r="D106" s="163"/>
      <c r="E106" s="18"/>
      <c r="F106" s="18"/>
      <c r="G106" s="19"/>
      <c r="H106" s="19"/>
      <c r="I106" s="20"/>
      <c r="J106" s="20"/>
      <c r="K106" s="21"/>
      <c r="L106" s="1346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19.5" x14ac:dyDescent="0.3">
      <c r="A107" s="138"/>
      <c r="B107" s="139"/>
      <c r="C107" s="139"/>
      <c r="D107" s="164" t="s">
        <v>47</v>
      </c>
      <c r="E107" s="165"/>
      <c r="F107" s="145"/>
      <c r="G107" s="143"/>
      <c r="H107" s="42"/>
      <c r="I107" s="44"/>
      <c r="J107" s="44"/>
      <c r="K107" s="45"/>
      <c r="L107" s="1359"/>
      <c r="M107" s="45"/>
      <c r="N107" s="45"/>
      <c r="O107" s="136"/>
      <c r="P107" s="136"/>
      <c r="Q107" s="45"/>
      <c r="R107" s="45"/>
      <c r="S107" s="45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3" t="s">
        <v>46</v>
      </c>
      <c r="I108" s="184">
        <f ca="1">IFERROR(__xludf.DUMMYFUNCTION("IMPORTRANGE(""https://docs.google.com/spreadsheets/d/1eHaY18a8A9IcSdp1K8H6x8fbOy06t2VsZHhMHf-1x7Y/edit?usp=sharing"",""แผน!N29"")"),0)</f>
        <v>0</v>
      </c>
      <c r="J108" s="1395">
        <v>0</v>
      </c>
      <c r="K108" s="224">
        <f ca="1">IF(I108&gt;0,J108*100/I108,0)</f>
        <v>0</v>
      </c>
      <c r="L108" s="1359"/>
      <c r="M108" s="45"/>
      <c r="N108" s="45"/>
      <c r="O108" s="136"/>
      <c r="P108" s="136"/>
      <c r="Q108" s="45"/>
      <c r="R108" s="45"/>
      <c r="S108" s="45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3" t="s">
        <v>35</v>
      </c>
      <c r="I109" s="184">
        <f ca="1">IFERROR(__xludf.DUMMYFUNCTION("IMPORTRANGE(""https://docs.google.com/spreadsheets/d/1eHaY18a8A9IcSdp1K8H6x8fbOy06t2VsZHhMHf-1x7Y/edit?usp=sharing"",""แผน!O29"")"),0)</f>
        <v>0</v>
      </c>
      <c r="J109" s="1395">
        <v>0</v>
      </c>
      <c r="K109" s="224">
        <f ca="1">IF(I109&gt;0,J109*100/I109,0)</f>
        <v>0</v>
      </c>
      <c r="L109" s="1359"/>
      <c r="M109" s="45"/>
      <c r="N109" s="45"/>
      <c r="O109" s="136"/>
      <c r="P109" s="136"/>
      <c r="Q109" s="45"/>
      <c r="R109" s="45"/>
      <c r="S109" s="45"/>
      <c r="T109" s="136"/>
      <c r="U109" s="136"/>
    </row>
    <row r="110" spans="1:21" ht="12.75" x14ac:dyDescent="0.2">
      <c r="A110" s="162"/>
      <c r="B110" s="163"/>
      <c r="C110" s="163"/>
      <c r="D110" s="18"/>
      <c r="E110" s="18"/>
      <c r="F110" s="18"/>
      <c r="G110" s="19"/>
      <c r="H110" s="19"/>
      <c r="I110" s="20"/>
      <c r="J110" s="20"/>
      <c r="K110" s="21"/>
      <c r="L110" s="1346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2.75" x14ac:dyDescent="0.2">
      <c r="A111" s="162"/>
      <c r="B111" s="163"/>
      <c r="C111" s="163"/>
      <c r="D111" s="18"/>
      <c r="E111" s="18"/>
      <c r="F111" s="18"/>
      <c r="G111" s="19"/>
      <c r="H111" s="19"/>
      <c r="I111" s="20"/>
      <c r="J111" s="20"/>
      <c r="K111" s="21"/>
      <c r="L111" s="1346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12.75" x14ac:dyDescent="0.2">
      <c r="A112" s="162"/>
      <c r="B112" s="163"/>
      <c r="C112" s="163"/>
      <c r="D112" s="18"/>
      <c r="E112" s="18"/>
      <c r="F112" s="18"/>
      <c r="G112" s="19"/>
      <c r="H112" s="19"/>
      <c r="I112" s="20"/>
      <c r="J112" s="20"/>
      <c r="K112" s="21"/>
      <c r="L112" s="1346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2.75" x14ac:dyDescent="0.2">
      <c r="A113" s="162"/>
      <c r="B113" s="163"/>
      <c r="C113" s="163"/>
      <c r="D113" s="18"/>
      <c r="E113" s="18"/>
      <c r="F113" s="18"/>
      <c r="G113" s="19"/>
      <c r="H113" s="19"/>
      <c r="I113" s="20">
        <v>0</v>
      </c>
      <c r="J113" s="20">
        <v>0</v>
      </c>
      <c r="K113" s="21"/>
      <c r="L113" s="1346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1:21" ht="18.75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394">
        <f ca="1">IFERROR(__xludf.DUMMYFUNCTION("IMPORTRANGE(""https://docs.google.com/spreadsheets/d/1eHaY18a8A9IcSdp1K8H6x8fbOy06t2VsZHhMHf-1x7Y/edit?usp=sharing"",""แผน!R29"")"),0)</f>
        <v>0</v>
      </c>
      <c r="J114" s="1395">
        <v>0</v>
      </c>
      <c r="K114" s="224">
        <f ca="1">IF(I114&gt;0,J114*100/I114,0)</f>
        <v>0</v>
      </c>
      <c r="L114" s="1359"/>
      <c r="M114" s="45"/>
      <c r="N114" s="45"/>
      <c r="O114" s="136"/>
      <c r="P114" s="136"/>
      <c r="Q114" s="45"/>
      <c r="R114" s="45"/>
      <c r="S114" s="45"/>
      <c r="T114" s="136"/>
      <c r="U114" s="136"/>
    </row>
    <row r="115" spans="1:21" ht="19.5" x14ac:dyDescent="0.3">
      <c r="A115" s="1400" t="s">
        <v>51</v>
      </c>
      <c r="B115" s="1401"/>
      <c r="C115" s="1402"/>
      <c r="D115" s="1403"/>
      <c r="E115" s="1403"/>
      <c r="F115" s="1403"/>
      <c r="G115" s="1403"/>
      <c r="H115" s="1401"/>
      <c r="I115" s="1404"/>
      <c r="J115" s="1404"/>
      <c r="K115" s="1405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71" t="s">
        <v>52</v>
      </c>
      <c r="C116" s="172"/>
      <c r="D116" s="125"/>
      <c r="E116" s="27"/>
      <c r="F116" s="27"/>
      <c r="G116" s="30"/>
      <c r="H116" s="173" t="s">
        <v>35</v>
      </c>
      <c r="I116" s="1386">
        <f ca="1">I127</f>
        <v>25</v>
      </c>
      <c r="J116" s="1386">
        <f>J127</f>
        <v>25</v>
      </c>
      <c r="K116" s="1349">
        <f ca="1">IF(I116&gt;0,J116*100/I116,0)</f>
        <v>100</v>
      </c>
      <c r="L116" s="1387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ht="19.5" x14ac:dyDescent="0.3">
      <c r="A117" s="128"/>
      <c r="B117" s="158"/>
      <c r="C117" s="161" t="s">
        <v>18</v>
      </c>
      <c r="D117" s="1388" t="s">
        <v>19</v>
      </c>
      <c r="E117" s="40"/>
      <c r="F117" s="40"/>
      <c r="G117" s="42"/>
      <c r="H117" s="131" t="s">
        <v>14</v>
      </c>
      <c r="I117" s="44"/>
      <c r="J117" s="44"/>
      <c r="K117" s="45"/>
      <c r="L117" s="1389">
        <f ca="1">L118+L119</f>
        <v>0</v>
      </c>
      <c r="M117" s="1390">
        <f ca="1">M118+M119</f>
        <v>0</v>
      </c>
      <c r="N117" s="1390">
        <f ca="1">N118+N119</f>
        <v>0</v>
      </c>
      <c r="O117" s="1390">
        <f ca="1">IF(L117&gt;0,N117*100/L117,0)</f>
        <v>0</v>
      </c>
      <c r="P117" s="1390">
        <f ca="1">IF(M117&gt;0,N117*100/M117,0)</f>
        <v>0</v>
      </c>
      <c r="Q117" s="1390">
        <f ca="1">Q118+Q119</f>
        <v>229220</v>
      </c>
      <c r="R117" s="1390">
        <f ca="1">R118+R119</f>
        <v>229220</v>
      </c>
      <c r="S117" s="1390">
        <f ca="1">S118+S119</f>
        <v>131407</v>
      </c>
      <c r="T117" s="1390">
        <f ca="1">IF(Q117&gt;0,S117*100/Q117,0)</f>
        <v>57.327894599075123</v>
      </c>
      <c r="U117" s="1390">
        <f ca="1">IF(R117&gt;0,S117*100/R117,0)</f>
        <v>57.327894599075123</v>
      </c>
    </row>
    <row r="118" spans="1:21" ht="18.75" x14ac:dyDescent="0.25">
      <c r="A118" s="128"/>
      <c r="B118" s="158"/>
      <c r="C118" s="158"/>
      <c r="D118" s="158"/>
      <c r="E118" s="156" t="s">
        <v>20</v>
      </c>
      <c r="F118" s="40"/>
      <c r="G118" s="42"/>
      <c r="H118" s="157" t="s">
        <v>14</v>
      </c>
      <c r="I118" s="44"/>
      <c r="J118" s="44"/>
      <c r="K118" s="45"/>
      <c r="L118" s="1358">
        <f>L121+L124</f>
        <v>0</v>
      </c>
      <c r="M118" s="83">
        <f>M121+M124</f>
        <v>0</v>
      </c>
      <c r="N118" s="83">
        <f>N121+N124</f>
        <v>0</v>
      </c>
      <c r="O118" s="83">
        <f>IF(L118&gt;0,N118*100/L118,0)</f>
        <v>0</v>
      </c>
      <c r="P118" s="83">
        <f>IF(M118&gt;0,N118*100/M118,0)</f>
        <v>0</v>
      </c>
      <c r="Q118" s="83">
        <f>Q121+Q124</f>
        <v>0</v>
      </c>
      <c r="R118" s="83">
        <f>R121+R124</f>
        <v>0</v>
      </c>
      <c r="S118" s="83">
        <f>S121+S124</f>
        <v>0</v>
      </c>
      <c r="T118" s="83">
        <f>IF(Q118&gt;0,S118*100/Q118,0)</f>
        <v>0</v>
      </c>
      <c r="U118" s="83">
        <f>IF(R118&gt;0,S118*100/R118,0)</f>
        <v>0</v>
      </c>
    </row>
    <row r="119" spans="1:21" ht="18.75" x14ac:dyDescent="0.25">
      <c r="A119" s="128"/>
      <c r="B119" s="158"/>
      <c r="C119" s="158"/>
      <c r="D119" s="158"/>
      <c r="E119" s="47" t="s">
        <v>21</v>
      </c>
      <c r="F119" s="40"/>
      <c r="G119" s="42"/>
      <c r="H119" s="133" t="s">
        <v>14</v>
      </c>
      <c r="I119" s="44"/>
      <c r="J119" s="44"/>
      <c r="K119" s="45"/>
      <c r="L119" s="1356">
        <f ca="1">L122+L125</f>
        <v>0</v>
      </c>
      <c r="M119" s="224">
        <f ca="1">M122+M125</f>
        <v>0</v>
      </c>
      <c r="N119" s="224">
        <f ca="1">N122+N125</f>
        <v>0</v>
      </c>
      <c r="O119" s="224">
        <f ca="1">IF(L119&gt;0,N119*100/L119,0)</f>
        <v>0</v>
      </c>
      <c r="P119" s="224">
        <f ca="1">IF(M119&gt;0,N119*100/M119,0)</f>
        <v>0</v>
      </c>
      <c r="Q119" s="224">
        <f ca="1">Q122+Q125</f>
        <v>229220</v>
      </c>
      <c r="R119" s="224">
        <f ca="1">R122+R125</f>
        <v>229220</v>
      </c>
      <c r="S119" s="224">
        <f ca="1">S122+S125</f>
        <v>131407</v>
      </c>
      <c r="T119" s="224">
        <f ca="1">IF(Q119&gt;0,S119*100/Q119,0)</f>
        <v>57.327894599075123</v>
      </c>
      <c r="U119" s="224">
        <f ca="1">IF(R119&gt;0,S119*100/R119,0)</f>
        <v>57.327894599075123</v>
      </c>
    </row>
    <row r="120" spans="1:21" ht="18.75" x14ac:dyDescent="0.25">
      <c r="A120" s="128"/>
      <c r="B120" s="158"/>
      <c r="C120" s="174"/>
      <c r="D120" s="1406" t="s">
        <v>22</v>
      </c>
      <c r="E120" s="40"/>
      <c r="F120" s="40"/>
      <c r="G120" s="42"/>
      <c r="H120" s="175" t="s">
        <v>14</v>
      </c>
      <c r="I120" s="44"/>
      <c r="J120" s="44"/>
      <c r="K120" s="45"/>
      <c r="L120" s="1356">
        <f ca="1">L121+L122</f>
        <v>0</v>
      </c>
      <c r="M120" s="224">
        <f ca="1">M121+M122</f>
        <v>0</v>
      </c>
      <c r="N120" s="224">
        <f ca="1">N121+N122</f>
        <v>0</v>
      </c>
      <c r="O120" s="224">
        <f ca="1">IF(L120&gt;0,N120*100/L120,0)</f>
        <v>0</v>
      </c>
      <c r="P120" s="224">
        <f ca="1">IF(M120&gt;0,N120*100/M120,0)</f>
        <v>0</v>
      </c>
      <c r="Q120" s="224">
        <f ca="1">Q121+Q122</f>
        <v>229220</v>
      </c>
      <c r="R120" s="224">
        <f ca="1">R121+R122</f>
        <v>229220</v>
      </c>
      <c r="S120" s="224">
        <f ca="1">S121+S122</f>
        <v>131407</v>
      </c>
      <c r="T120" s="224">
        <f ca="1">IF(Q120&gt;0,S120*100/Q120,0)</f>
        <v>57.327894599075123</v>
      </c>
      <c r="U120" s="224">
        <f ca="1">IF(R120&gt;0,S120*100/R120,0)</f>
        <v>57.327894599075123</v>
      </c>
    </row>
    <row r="121" spans="1:21" ht="18.75" x14ac:dyDescent="0.25">
      <c r="A121" s="128"/>
      <c r="B121" s="158"/>
      <c r="C121" s="174"/>
      <c r="D121" s="158"/>
      <c r="E121" s="156" t="s">
        <v>36</v>
      </c>
      <c r="F121" s="40"/>
      <c r="G121" s="42"/>
      <c r="H121" s="176" t="s">
        <v>14</v>
      </c>
      <c r="I121" s="44"/>
      <c r="J121" s="44"/>
      <c r="K121" s="45"/>
      <c r="L121" s="1358">
        <v>0</v>
      </c>
      <c r="M121" s="83">
        <v>0</v>
      </c>
      <c r="N121" s="83">
        <v>0</v>
      </c>
      <c r="O121" s="83">
        <f>IF(L121&gt;0,N121*100/L121,0)</f>
        <v>0</v>
      </c>
      <c r="P121" s="83">
        <f>IF(M121&gt;0,N121*100/M121,0)</f>
        <v>0</v>
      </c>
      <c r="Q121" s="83">
        <v>0</v>
      </c>
      <c r="R121" s="83">
        <v>0</v>
      </c>
      <c r="S121" s="83">
        <v>0</v>
      </c>
      <c r="T121" s="83">
        <f>IF(Q121&gt;0,S121*100/Q121,0)</f>
        <v>0</v>
      </c>
      <c r="U121" s="83">
        <f>IF(R121&gt;0,S121*100/R121,0)</f>
        <v>0</v>
      </c>
    </row>
    <row r="122" spans="1:21" ht="18.75" x14ac:dyDescent="0.25">
      <c r="A122" s="128"/>
      <c r="B122" s="158"/>
      <c r="C122" s="174"/>
      <c r="D122" s="158"/>
      <c r="E122" s="47" t="s">
        <v>37</v>
      </c>
      <c r="F122" s="40"/>
      <c r="G122" s="42"/>
      <c r="H122" s="175" t="s">
        <v>14</v>
      </c>
      <c r="I122" s="44"/>
      <c r="J122" s="44"/>
      <c r="K122" s="45"/>
      <c r="L122" s="1356">
        <f ca="1">IFERROR(__xludf.DUMMYFUNCTION("IMPORTRANGE(""https://docs.google.com/spreadsheets/d/1-uDff_7J0KD5mKrp0Vvzr7lt3OU09vwQwhkpOPPYv2Y/edit?usp=sharing"",""งบพรบ!BG29"")"),0)</f>
        <v>0</v>
      </c>
      <c r="M122" s="224">
        <f ca="1">IFERROR(__xludf.DUMMYFUNCTION("IMPORTRANGE(""https://docs.google.com/spreadsheets/d/1-uDff_7J0KD5mKrp0Vvzr7lt3OU09vwQwhkpOPPYv2Y/edit?usp=sharing"",""งบพรบ!BL29"")"),0)</f>
        <v>0</v>
      </c>
      <c r="N122" s="224">
        <f ca="1">IFERROR(__xludf.DUMMYFUNCTION("IMPORTRANGE(""https://docs.google.com/spreadsheets/d/1-uDff_7J0KD5mKrp0Vvzr7lt3OU09vwQwhkpOPPYv2Y/edit?usp=sharing"",""งบพรบ!BN29"")"),0)</f>
        <v>0</v>
      </c>
      <c r="O122" s="224">
        <f ca="1">IF(L122&gt;0,N122*100/L122,0)</f>
        <v>0</v>
      </c>
      <c r="P122" s="224">
        <f ca="1">IF(M122&gt;0,N122*100/M122,0)</f>
        <v>0</v>
      </c>
      <c r="Q122" s="224">
        <f ca="1">IFERROR(__xludf.DUMMYFUNCTION("IMPORTRANGE(""https://docs.google.com/spreadsheets/d/1ItG2mGa2ceCfYo0BwxsXqNm01IGEUdYcSSLTEv9YCik/edit?usp=sharing"",""เบิกจ่ายกองทุน!U29"")"),229220)</f>
        <v>229220</v>
      </c>
      <c r="R122" s="224">
        <f ca="1">IFERROR(__xludf.DUMMYFUNCTION("IMPORTRANGE(""https://docs.google.com/spreadsheets/d/1ItG2mGa2ceCfYo0BwxsXqNm01IGEUdYcSSLTEv9YCik/edit?usp=sharing"",""เบิกจ่ายกองทุน!V29"")"),229220)</f>
        <v>229220</v>
      </c>
      <c r="S122" s="224">
        <f ca="1">IFERROR(__xludf.DUMMYFUNCTION("IMPORTRANGE(""https://docs.google.com/spreadsheets/d/1ItG2mGa2ceCfYo0BwxsXqNm01IGEUdYcSSLTEv9YCik/edit?usp=sharing"",""เบิกจ่ายกองทุน!W29"")"),131407)</f>
        <v>131407</v>
      </c>
      <c r="T122" s="224">
        <f ca="1">IF(Q122&gt;0,S122*100/Q122,0)</f>
        <v>57.327894599075123</v>
      </c>
      <c r="U122" s="224">
        <f ca="1">IF(R122&gt;0,S122*100/R122,0)</f>
        <v>57.327894599075123</v>
      </c>
    </row>
    <row r="123" spans="1:21" ht="18.75" x14ac:dyDescent="0.25">
      <c r="A123" s="128"/>
      <c r="B123" s="40"/>
      <c r="C123" s="174"/>
      <c r="D123" s="1406" t="s">
        <v>23</v>
      </c>
      <c r="E123" s="40"/>
      <c r="F123" s="40"/>
      <c r="G123" s="42"/>
      <c r="H123" s="133" t="s">
        <v>14</v>
      </c>
      <c r="I123" s="44"/>
      <c r="J123" s="44"/>
      <c r="K123" s="45"/>
      <c r="L123" s="1356">
        <f ca="1">L124+L125</f>
        <v>0</v>
      </c>
      <c r="M123" s="224">
        <f ca="1">M124+M125</f>
        <v>0</v>
      </c>
      <c r="N123" s="224">
        <f ca="1">N124+N125</f>
        <v>0</v>
      </c>
      <c r="O123" s="224">
        <f ca="1">IF(L123&gt;0,N123*100/L123,0)</f>
        <v>0</v>
      </c>
      <c r="P123" s="224">
        <f ca="1">IF(M123&gt;0,N123*100/M123,0)</f>
        <v>0</v>
      </c>
      <c r="Q123" s="224">
        <f ca="1">Q124+Q125</f>
        <v>0</v>
      </c>
      <c r="R123" s="224">
        <f ca="1">R124+R125</f>
        <v>0</v>
      </c>
      <c r="S123" s="224">
        <f ca="1">S124+S125</f>
        <v>0</v>
      </c>
      <c r="T123" s="224">
        <f ca="1">IF(Q123&gt;0,S123*100/Q123,0)</f>
        <v>0</v>
      </c>
      <c r="U123" s="224">
        <f ca="1">IF(R123&gt;0,S123*100/R123,0)</f>
        <v>0</v>
      </c>
    </row>
    <row r="124" spans="1:21" ht="18.75" x14ac:dyDescent="0.25">
      <c r="A124" s="128"/>
      <c r="B124" s="40"/>
      <c r="C124" s="174"/>
      <c r="D124" s="158"/>
      <c r="E124" s="156" t="s">
        <v>20</v>
      </c>
      <c r="F124" s="40"/>
      <c r="G124" s="42"/>
      <c r="H124" s="176" t="s">
        <v>14</v>
      </c>
      <c r="I124" s="44"/>
      <c r="J124" s="44"/>
      <c r="K124" s="45"/>
      <c r="L124" s="1358">
        <v>0</v>
      </c>
      <c r="M124" s="83">
        <v>0</v>
      </c>
      <c r="N124" s="83">
        <v>0</v>
      </c>
      <c r="O124" s="83">
        <f>IF(L124&gt;0,N124*100/L124,0)</f>
        <v>0</v>
      </c>
      <c r="P124" s="83">
        <f>IF(M124&gt;0,N124*100/M124,0)</f>
        <v>0</v>
      </c>
      <c r="Q124" s="83">
        <v>0</v>
      </c>
      <c r="R124" s="83">
        <v>0</v>
      </c>
      <c r="S124" s="83">
        <v>0</v>
      </c>
      <c r="T124" s="83">
        <f>IF(Q124&gt;0,S124*100/Q124,0)</f>
        <v>0</v>
      </c>
      <c r="U124" s="83">
        <f>IF(R124&gt;0,S124*100/R124,0)</f>
        <v>0</v>
      </c>
    </row>
    <row r="125" spans="1:21" ht="18.75" x14ac:dyDescent="0.25">
      <c r="A125" s="128"/>
      <c r="B125" s="40"/>
      <c r="C125" s="40"/>
      <c r="D125" s="40"/>
      <c r="E125" s="47" t="s">
        <v>21</v>
      </c>
      <c r="F125" s="40"/>
      <c r="G125" s="42"/>
      <c r="H125" s="133" t="s">
        <v>14</v>
      </c>
      <c r="I125" s="44"/>
      <c r="J125" s="44"/>
      <c r="K125" s="45"/>
      <c r="L125" s="1356">
        <f ca="1">IFERROR(__xludf.DUMMYFUNCTION("IMPORTRANGE(""https://docs.google.com/spreadsheets/d/1-uDff_7J0KD5mKrp0Vvzr7lt3OU09vwQwhkpOPPYv2Y/edit?usp=sharing"",""งบพรบ!BJ29"")"),0)</f>
        <v>0</v>
      </c>
      <c r="M125" s="224">
        <f ca="1">IFERROR(__xludf.DUMMYFUNCTION("IMPORTRANGE(""https://docs.google.com/spreadsheets/d/1-uDff_7J0KD5mKrp0Vvzr7lt3OU09vwQwhkpOPPYv2Y/edit?usp=sharing"",""งบพรบ!BM29"")"),0)</f>
        <v>0</v>
      </c>
      <c r="N125" s="224">
        <f ca="1">IFERROR(__xludf.DUMMYFUNCTION("IMPORTRANGE(""https://docs.google.com/spreadsheets/d/1-uDff_7J0KD5mKrp0Vvzr7lt3OU09vwQwhkpOPPYv2Y/edit?usp=sharing"",""งบพรบ!BO29"")"),0)</f>
        <v>0</v>
      </c>
      <c r="O125" s="224">
        <f ca="1">IF(L125&gt;0,N125*100/L125,0)</f>
        <v>0</v>
      </c>
      <c r="P125" s="224">
        <f ca="1">IF(M125&gt;0,N125*100/M125,0)</f>
        <v>0</v>
      </c>
      <c r="Q125" s="224">
        <f ca="1">IFERROR(__xludf.DUMMYFUNCTION("IMPORTRANGE(""https://docs.google.com/spreadsheets/d/1ItG2mGa2ceCfYo0BwxsXqNm01IGEUdYcSSLTEv9YCik/edit?usp=sharing"",""เบิกจ่ายกองทุน!X29"")"),0)</f>
        <v>0</v>
      </c>
      <c r="R125" s="224">
        <f ca="1">IFERROR(__xludf.DUMMYFUNCTION("IMPORTRANGE(""https://docs.google.com/spreadsheets/d/1ItG2mGa2ceCfYo0BwxsXqNm01IGEUdYcSSLTEv9YCik/edit?usp=sharing"",""เบิกจ่ายกองทุน!Y29"")"),0)</f>
        <v>0</v>
      </c>
      <c r="S125" s="224">
        <f ca="1">IFERROR(__xludf.DUMMYFUNCTION("IMPORTRANGE(""https://docs.google.com/spreadsheets/d/1ItG2mGa2ceCfYo0BwxsXqNm01IGEUdYcSSLTEv9YCik/edit?usp=sharing"",""เบิกจ่ายกองทุน!Z29"")"),0)</f>
        <v>0</v>
      </c>
      <c r="T125" s="224">
        <f ca="1">IF(Q125&gt;0,S125*100/Q125,0)</f>
        <v>0</v>
      </c>
      <c r="U125" s="224">
        <f ca="1">IF(R125&gt;0,S125*100/R125,0)</f>
        <v>0</v>
      </c>
    </row>
    <row r="126" spans="1:21" ht="19.5" x14ac:dyDescent="0.3">
      <c r="A126" s="138"/>
      <c r="B126" s="139"/>
      <c r="C126" s="177" t="s">
        <v>18</v>
      </c>
      <c r="D126" s="1391" t="s">
        <v>38</v>
      </c>
      <c r="E126" s="141"/>
      <c r="F126" s="141"/>
      <c r="G126" s="142"/>
      <c r="H126" s="178"/>
      <c r="I126" s="44"/>
      <c r="J126" s="44"/>
      <c r="K126" s="45"/>
      <c r="L126" s="1359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84">
        <f ca="1">IFERROR(__xludf.DUMMYFUNCTION("IMPORTRANGE(""https://docs.google.com/spreadsheets/d/1eHaY18a8A9IcSdp1K8H6x8fbOy06t2VsZHhMHf-1x7Y/edit?usp=sharing"",""แผน!FF29"")"),25)</f>
        <v>25</v>
      </c>
      <c r="J127" s="1395">
        <v>25</v>
      </c>
      <c r="K127" s="224">
        <f ca="1">IF(I127&gt;0,J127*100/I127,0)</f>
        <v>100</v>
      </c>
      <c r="L127" s="1359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84">
        <f ca="1">IFERROR(__xludf.DUMMYFUNCTION("IMPORTRANGE(""https://docs.google.com/spreadsheets/d/1eHaY18a8A9IcSdp1K8H6x8fbOy06t2VsZHhMHf-1x7Y/edit?usp=sharing"",""แผน!FG29"")"),0)</f>
        <v>0</v>
      </c>
      <c r="J128" s="1395">
        <v>2</v>
      </c>
      <c r="K128" s="224">
        <f ca="1">IF(I128&gt;0,J128*100/I128,0)</f>
        <v>0</v>
      </c>
      <c r="L128" s="1359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84">
        <f ca="1">IFERROR(__xludf.DUMMYFUNCTION("IMPORTRANGE(""https://docs.google.com/spreadsheets/d/1eHaY18a8A9IcSdp1K8H6x8fbOy06t2VsZHhMHf-1x7Y/edit?usp=sharing"",""แผน!FH29"")"),25)</f>
        <v>25</v>
      </c>
      <c r="J129" s="1395">
        <v>25</v>
      </c>
      <c r="K129" s="224">
        <f ca="1">IF(I129&gt;0,J129*100/I129,0)</f>
        <v>100</v>
      </c>
      <c r="L129" s="1359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84">
        <f ca="1">IFERROR(__xludf.DUMMYFUNCTION("IMPORTRANGE(""https://docs.google.com/spreadsheets/d/1eHaY18a8A9IcSdp1K8H6x8fbOy06t2VsZHhMHf-1x7Y/edit?usp=sharing"",""แผน!FI29"")"),0)</f>
        <v>0</v>
      </c>
      <c r="J130" s="1395">
        <v>2</v>
      </c>
      <c r="K130" s="224">
        <f ca="1">IF(I130&gt;0,J130*100/I130,0)</f>
        <v>0</v>
      </c>
      <c r="L130" s="1359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ht="18.75" x14ac:dyDescent="0.25">
      <c r="A131" s="138"/>
      <c r="B131" s="139"/>
      <c r="C131" s="139"/>
      <c r="D131" s="179" t="s">
        <v>56</v>
      </c>
      <c r="E131" s="145"/>
      <c r="F131" s="145"/>
      <c r="G131" s="143"/>
      <c r="H131" s="157" t="s">
        <v>35</v>
      </c>
      <c r="I131" s="44"/>
      <c r="J131" s="44"/>
      <c r="K131" s="45"/>
      <c r="L131" s="1359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ht="18.75" x14ac:dyDescent="0.25">
      <c r="A132" s="138"/>
      <c r="B132" s="139"/>
      <c r="C132" s="139"/>
      <c r="D132" s="179" t="s">
        <v>57</v>
      </c>
      <c r="E132" s="145"/>
      <c r="F132" s="145"/>
      <c r="G132" s="143"/>
      <c r="H132" s="180"/>
      <c r="I132" s="44"/>
      <c r="J132" s="44"/>
      <c r="K132" s="45"/>
      <c r="L132" s="1359"/>
      <c r="M132" s="45"/>
      <c r="N132" s="45"/>
      <c r="O132" s="45"/>
      <c r="P132" s="45"/>
      <c r="Q132" s="45"/>
      <c r="R132" s="45"/>
      <c r="S132" s="45"/>
      <c r="T132" s="45"/>
      <c r="U132" s="45"/>
    </row>
    <row r="133" spans="1:21" ht="12.75" x14ac:dyDescent="0.2">
      <c r="A133" s="162"/>
      <c r="B133" s="163"/>
      <c r="C133" s="163"/>
      <c r="D133" s="18"/>
      <c r="E133" s="18"/>
      <c r="F133" s="18"/>
      <c r="G133" s="19"/>
      <c r="H133" s="181"/>
      <c r="I133" s="20"/>
      <c r="J133" s="20"/>
      <c r="K133" s="21"/>
      <c r="L133" s="1346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ht="19.5" x14ac:dyDescent="0.3">
      <c r="A134" s="118" t="s">
        <v>58</v>
      </c>
      <c r="B134" s="119"/>
      <c r="C134" s="168"/>
      <c r="D134" s="119"/>
      <c r="E134" s="119"/>
      <c r="F134" s="119"/>
      <c r="G134" s="119"/>
      <c r="H134" s="119"/>
      <c r="I134" s="169"/>
      <c r="J134" s="169"/>
      <c r="K134" s="170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8" t="s">
        <v>59</v>
      </c>
      <c r="C135" s="172"/>
      <c r="D135" s="125"/>
      <c r="E135" s="27"/>
      <c r="F135" s="27"/>
      <c r="G135" s="27"/>
      <c r="H135" s="27"/>
      <c r="I135" s="182"/>
      <c r="J135" s="32"/>
      <c r="K135" s="33"/>
      <c r="L135" s="1387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1:21" ht="19.5" x14ac:dyDescent="0.3">
      <c r="A136" s="124"/>
      <c r="B136" s="27"/>
      <c r="C136" s="183" t="s">
        <v>60</v>
      </c>
      <c r="D136" s="125"/>
      <c r="E136" s="27"/>
      <c r="F136" s="27"/>
      <c r="G136" s="30"/>
      <c r="H136" s="126" t="s">
        <v>61</v>
      </c>
      <c r="I136" s="1386">
        <f ca="1">I154</f>
        <v>1</v>
      </c>
      <c r="J136" s="1386">
        <f>J154</f>
        <v>0</v>
      </c>
      <c r="K136" s="1349">
        <f ca="1">IF(I136&gt;0,J136*100/I136,0)</f>
        <v>0</v>
      </c>
      <c r="L136" s="1387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1:21" ht="19.5" x14ac:dyDescent="0.3">
      <c r="A137" s="124"/>
      <c r="B137" s="27"/>
      <c r="C137" s="183" t="s">
        <v>62</v>
      </c>
      <c r="D137" s="125"/>
      <c r="E137" s="27"/>
      <c r="F137" s="27"/>
      <c r="G137" s="30"/>
      <c r="H137" s="126" t="s">
        <v>35</v>
      </c>
      <c r="I137" s="1386">
        <f ca="1">I152</f>
        <v>20</v>
      </c>
      <c r="J137" s="1386">
        <f>J152</f>
        <v>0</v>
      </c>
      <c r="K137" s="1349">
        <f ca="1">IF(I137&gt;0,J137*100/I137,0)</f>
        <v>0</v>
      </c>
      <c r="L137" s="1387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:21" ht="19.5" x14ac:dyDescent="0.3">
      <c r="A138" s="124"/>
      <c r="B138" s="27"/>
      <c r="C138" s="172"/>
      <c r="D138" s="125"/>
      <c r="E138" s="27"/>
      <c r="F138" s="27"/>
      <c r="G138" s="30"/>
      <c r="H138" s="126" t="s">
        <v>54</v>
      </c>
      <c r="I138" s="1386">
        <f ca="1">I153</f>
        <v>2</v>
      </c>
      <c r="J138" s="1386">
        <f>J153</f>
        <v>0</v>
      </c>
      <c r="K138" s="1349">
        <f ca="1">IF(I138&gt;0,J138*100/I138,0)</f>
        <v>0</v>
      </c>
      <c r="L138" s="1387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1:21" ht="19.5" x14ac:dyDescent="0.3">
      <c r="A139" s="128"/>
      <c r="B139" s="40"/>
      <c r="C139" s="129" t="s">
        <v>18</v>
      </c>
      <c r="D139" s="1388" t="s">
        <v>19</v>
      </c>
      <c r="E139" s="40"/>
      <c r="F139" s="40"/>
      <c r="G139" s="42"/>
      <c r="H139" s="131" t="s">
        <v>14</v>
      </c>
      <c r="I139" s="44"/>
      <c r="J139" s="44"/>
      <c r="K139" s="45"/>
      <c r="L139" s="1389">
        <f ca="1">L140+L141</f>
        <v>136400</v>
      </c>
      <c r="M139" s="1390">
        <f ca="1">M140+M141</f>
        <v>131400</v>
      </c>
      <c r="N139" s="1390">
        <f ca="1">N140+N141</f>
        <v>89200.63</v>
      </c>
      <c r="O139" s="1390">
        <f ca="1">IF(L139&gt;0,N139*100/L139,0)</f>
        <v>65.396356304985332</v>
      </c>
      <c r="P139" s="1390">
        <f ca="1">IF(M139&gt;0,N139*100/M139,0)</f>
        <v>67.884802130898024</v>
      </c>
      <c r="Q139" s="1390">
        <f ca="1">Q140+Q141</f>
        <v>174860</v>
      </c>
      <c r="R139" s="1390">
        <f ca="1">R140+R141</f>
        <v>0</v>
      </c>
      <c r="S139" s="1390">
        <f ca="1">S140+S141</f>
        <v>0</v>
      </c>
      <c r="T139" s="1390">
        <f ca="1">IF(Q139&gt;0,S139*100/Q139,0)</f>
        <v>0</v>
      </c>
      <c r="U139" s="1390">
        <f ca="1">IF(R139&gt;0,S139*100/R139,0)</f>
        <v>0</v>
      </c>
    </row>
    <row r="140" spans="1:21" ht="18.75" x14ac:dyDescent="0.25">
      <c r="A140" s="128"/>
      <c r="B140" s="40"/>
      <c r="C140" s="40"/>
      <c r="D140" s="40"/>
      <c r="E140" s="156" t="s">
        <v>20</v>
      </c>
      <c r="F140" s="40"/>
      <c r="G140" s="42"/>
      <c r="H140" s="157" t="s">
        <v>14</v>
      </c>
      <c r="I140" s="44"/>
      <c r="J140" s="44"/>
      <c r="K140" s="45"/>
      <c r="L140" s="1358">
        <f>L143+L146</f>
        <v>0</v>
      </c>
      <c r="M140" s="83">
        <f>M143+M146</f>
        <v>0</v>
      </c>
      <c r="N140" s="83">
        <f>N143+N146</f>
        <v>0</v>
      </c>
      <c r="O140" s="83">
        <f>IF(L140&gt;0,N140*100/L140,0)</f>
        <v>0</v>
      </c>
      <c r="P140" s="83">
        <f>IF(M140&gt;0,N140*100/M140,0)</f>
        <v>0</v>
      </c>
      <c r="Q140" s="83">
        <f>Q143+Q146</f>
        <v>0</v>
      </c>
      <c r="R140" s="83">
        <f>R143+R146</f>
        <v>0</v>
      </c>
      <c r="S140" s="83">
        <f>S143+S146</f>
        <v>0</v>
      </c>
      <c r="T140" s="83">
        <f>IF(Q140&gt;0,S140*100/Q140,0)</f>
        <v>0</v>
      </c>
      <c r="U140" s="83">
        <f>IF(R140&gt;0,S140*100/R140,0)</f>
        <v>0</v>
      </c>
    </row>
    <row r="141" spans="1:21" ht="18.75" x14ac:dyDescent="0.25">
      <c r="A141" s="128"/>
      <c r="B141" s="40"/>
      <c r="C141" s="40"/>
      <c r="D141" s="40"/>
      <c r="E141" s="47" t="s">
        <v>21</v>
      </c>
      <c r="F141" s="40"/>
      <c r="G141" s="42"/>
      <c r="H141" s="133" t="s">
        <v>14</v>
      </c>
      <c r="I141" s="44"/>
      <c r="J141" s="44"/>
      <c r="K141" s="45"/>
      <c r="L141" s="1356">
        <f ca="1">L144+L147</f>
        <v>136400</v>
      </c>
      <c r="M141" s="224">
        <f ca="1">M144+M147</f>
        <v>131400</v>
      </c>
      <c r="N141" s="224">
        <f ca="1">N144+N147</f>
        <v>89200.63</v>
      </c>
      <c r="O141" s="224">
        <f ca="1">IF(L141&gt;0,N141*100/L141,0)</f>
        <v>65.396356304985332</v>
      </c>
      <c r="P141" s="224">
        <f ca="1">IF(M141&gt;0,N141*100/M141,0)</f>
        <v>67.884802130898024</v>
      </c>
      <c r="Q141" s="224">
        <f ca="1">Q144+Q147</f>
        <v>174860</v>
      </c>
      <c r="R141" s="224">
        <f ca="1">R144+R147</f>
        <v>0</v>
      </c>
      <c r="S141" s="224">
        <f ca="1">S144+S147</f>
        <v>0</v>
      </c>
      <c r="T141" s="224">
        <f ca="1">IF(Q141&gt;0,S141*100/Q141,0)</f>
        <v>0</v>
      </c>
      <c r="U141" s="224">
        <f ca="1">IF(R141&gt;0,S141*100/R141,0)</f>
        <v>0</v>
      </c>
    </row>
    <row r="142" spans="1:21" ht="18.75" x14ac:dyDescent="0.25">
      <c r="A142" s="128"/>
      <c r="B142" s="40"/>
      <c r="C142" s="40"/>
      <c r="D142" s="41" t="s">
        <v>22</v>
      </c>
      <c r="E142" s="40"/>
      <c r="F142" s="40"/>
      <c r="G142" s="42"/>
      <c r="H142" s="134" t="s">
        <v>14</v>
      </c>
      <c r="I142" s="135"/>
      <c r="J142" s="135"/>
      <c r="K142" s="136"/>
      <c r="L142" s="1356">
        <f ca="1">L143+L144</f>
        <v>136400</v>
      </c>
      <c r="M142" s="224">
        <f ca="1">M143+M144</f>
        <v>131400</v>
      </c>
      <c r="N142" s="224">
        <f ca="1">N143+N144</f>
        <v>89200.63</v>
      </c>
      <c r="O142" s="224">
        <f ca="1">IF(L142&gt;0,N142*100/L142,0)</f>
        <v>65.396356304985332</v>
      </c>
      <c r="P142" s="224">
        <f ca="1">IF(M142&gt;0,N142*100/M142,0)</f>
        <v>67.884802130898024</v>
      </c>
      <c r="Q142" s="224">
        <f ca="1">Q143+Q144</f>
        <v>174860</v>
      </c>
      <c r="R142" s="224">
        <f ca="1">R143+R144</f>
        <v>0</v>
      </c>
      <c r="S142" s="224">
        <f ca="1">S143+S144</f>
        <v>0</v>
      </c>
      <c r="T142" s="224">
        <f ca="1">IF(Q142&gt;0,S142*100/Q142,0)</f>
        <v>0</v>
      </c>
      <c r="U142" s="224">
        <f ca="1">IF(R142&gt;0,S142*100/R142,0)</f>
        <v>0</v>
      </c>
    </row>
    <row r="143" spans="1:21" ht="18.75" x14ac:dyDescent="0.25">
      <c r="A143" s="128"/>
      <c r="B143" s="40"/>
      <c r="C143" s="40"/>
      <c r="D143" s="40"/>
      <c r="E143" s="156" t="s">
        <v>36</v>
      </c>
      <c r="F143" s="40"/>
      <c r="G143" s="42"/>
      <c r="H143" s="159" t="s">
        <v>14</v>
      </c>
      <c r="I143" s="135"/>
      <c r="J143" s="135"/>
      <c r="K143" s="136"/>
      <c r="L143" s="1358">
        <v>0</v>
      </c>
      <c r="M143" s="83">
        <v>0</v>
      </c>
      <c r="N143" s="83">
        <v>0</v>
      </c>
      <c r="O143" s="83">
        <f>IF(L143&gt;0,N143*100/L143,0)</f>
        <v>0</v>
      </c>
      <c r="P143" s="83">
        <f>IF(M143&gt;0,N143*100/M143,0)</f>
        <v>0</v>
      </c>
      <c r="Q143" s="83">
        <v>0</v>
      </c>
      <c r="R143" s="83">
        <v>0</v>
      </c>
      <c r="S143" s="83">
        <v>0</v>
      </c>
      <c r="T143" s="83">
        <f>IF(Q143&gt;0,S143*100/Q143,0)</f>
        <v>0</v>
      </c>
      <c r="U143" s="83">
        <f>IF(R143&gt;0,S143*100/R143,0)</f>
        <v>0</v>
      </c>
    </row>
    <row r="144" spans="1:21" ht="18.75" x14ac:dyDescent="0.25">
      <c r="A144" s="128"/>
      <c r="B144" s="40"/>
      <c r="C144" s="40"/>
      <c r="D144" s="40"/>
      <c r="E144" s="47" t="s">
        <v>37</v>
      </c>
      <c r="F144" s="40"/>
      <c r="G144" s="42"/>
      <c r="H144" s="134" t="s">
        <v>14</v>
      </c>
      <c r="I144" s="135"/>
      <c r="J144" s="135"/>
      <c r="K144" s="136"/>
      <c r="L144" s="1356">
        <f ca="1">IFERROR(__xludf.DUMMYFUNCTION("IMPORTRANGE(""https://docs.google.com/spreadsheets/d/1-uDff_7J0KD5mKrp0Vvzr7lt3OU09vwQwhkpOPPYv2Y/edit?usp=sharing"",""งบพรบ!BQ29"")"),136400)</f>
        <v>136400</v>
      </c>
      <c r="M144" s="224">
        <f ca="1">IFERROR(__xludf.DUMMYFUNCTION("IMPORTRANGE(""https://docs.google.com/spreadsheets/d/1-uDff_7J0KD5mKrp0Vvzr7lt3OU09vwQwhkpOPPYv2Y/edit?usp=sharing"",""งบพรบ!BV29"")"),131400)</f>
        <v>131400</v>
      </c>
      <c r="N144" s="224">
        <f ca="1">IFERROR(__xludf.DUMMYFUNCTION("IMPORTRANGE(""https://docs.google.com/spreadsheets/d/1-uDff_7J0KD5mKrp0Vvzr7lt3OU09vwQwhkpOPPYv2Y/edit?usp=sharing"",""งบพรบ!BX29"")"),89200.63)</f>
        <v>89200.63</v>
      </c>
      <c r="O144" s="224">
        <f ca="1">IF(L144&gt;0,N144*100/L144,0)</f>
        <v>65.396356304985332</v>
      </c>
      <c r="P144" s="224">
        <f ca="1">IF(M144&gt;0,N144*100/M144,0)</f>
        <v>67.884802130898024</v>
      </c>
      <c r="Q144" s="224">
        <f ca="1">IFERROR(__xludf.DUMMYFUNCTION("IMPORTRANGE(""https://docs.google.com/spreadsheets/d/1ItG2mGa2ceCfYo0BwxsXqNm01IGEUdYcSSLTEv9YCik/edit?usp=sharing"",""เบิกจ่ายกองทุน!CF29"")"),174860)</f>
        <v>174860</v>
      </c>
      <c r="R144" s="224">
        <f ca="1">IFERROR(__xludf.DUMMYFUNCTION("IMPORTRANGE(""https://docs.google.com/spreadsheets/d/1ItG2mGa2ceCfYo0BwxsXqNm01IGEUdYcSSLTEv9YCik/edit?usp=sharing"",""เบิกจ่ายกองทุน!CG29"")"),0)</f>
        <v>0</v>
      </c>
      <c r="S144" s="224">
        <f ca="1">IFERROR(__xludf.DUMMYFUNCTION("IMPORTRANGE(""https://docs.google.com/spreadsheets/d/1ItG2mGa2ceCfYo0BwxsXqNm01IGEUdYcSSLTEv9YCik/edit?usp=sharing"",""เบิกจ่ายกองทุน!CH29"")"),0)</f>
        <v>0</v>
      </c>
      <c r="T144" s="224">
        <f ca="1">IF(Q144&gt;0,S144*100/Q144,0)</f>
        <v>0</v>
      </c>
      <c r="U144" s="224">
        <f ca="1">IF(R144&gt;0,S144*100/R144,0)</f>
        <v>0</v>
      </c>
    </row>
    <row r="145" spans="1:21" ht="18.75" x14ac:dyDescent="0.25">
      <c r="A145" s="128"/>
      <c r="B145" s="40"/>
      <c r="C145" s="40"/>
      <c r="D145" s="41" t="s">
        <v>23</v>
      </c>
      <c r="E145" s="40"/>
      <c r="F145" s="40"/>
      <c r="G145" s="42"/>
      <c r="H145" s="137" t="s">
        <v>14</v>
      </c>
      <c r="I145" s="135"/>
      <c r="J145" s="135"/>
      <c r="K145" s="136"/>
      <c r="L145" s="1356">
        <f ca="1">L146+L147</f>
        <v>0</v>
      </c>
      <c r="M145" s="224">
        <f ca="1">M146+M147</f>
        <v>0</v>
      </c>
      <c r="N145" s="224">
        <f ca="1">N146+N147</f>
        <v>0</v>
      </c>
      <c r="O145" s="224">
        <f ca="1">IF(L145&gt;0,N145*100/L145,0)</f>
        <v>0</v>
      </c>
      <c r="P145" s="224">
        <f ca="1">IF(M145&gt;0,N145*100/M145,0)</f>
        <v>0</v>
      </c>
      <c r="Q145" s="224">
        <f ca="1">Q146+Q147</f>
        <v>0</v>
      </c>
      <c r="R145" s="224">
        <f ca="1">R146+R147</f>
        <v>0</v>
      </c>
      <c r="S145" s="224">
        <f ca="1">S146+S147</f>
        <v>0</v>
      </c>
      <c r="T145" s="224">
        <f ca="1">IF(Q145&gt;0,S145*100/Q145,0)</f>
        <v>0</v>
      </c>
      <c r="U145" s="224">
        <f ca="1">IF(R145&gt;0,S145*100/R145,0)</f>
        <v>0</v>
      </c>
    </row>
    <row r="146" spans="1:21" ht="18.75" x14ac:dyDescent="0.25">
      <c r="A146" s="128"/>
      <c r="B146" s="40"/>
      <c r="C146" s="40"/>
      <c r="D146" s="40"/>
      <c r="E146" s="156" t="s">
        <v>20</v>
      </c>
      <c r="F146" s="40"/>
      <c r="G146" s="42"/>
      <c r="H146" s="159" t="s">
        <v>14</v>
      </c>
      <c r="I146" s="135"/>
      <c r="J146" s="135"/>
      <c r="K146" s="136"/>
      <c r="L146" s="1358">
        <v>0</v>
      </c>
      <c r="M146" s="83">
        <v>0</v>
      </c>
      <c r="N146" s="83">
        <v>0</v>
      </c>
      <c r="O146" s="83">
        <f>IF(L146&gt;0,N146*100/L146,0)</f>
        <v>0</v>
      </c>
      <c r="P146" s="83">
        <f>IF(M146&gt;0,N146*100/M146,0)</f>
        <v>0</v>
      </c>
      <c r="Q146" s="83">
        <v>0</v>
      </c>
      <c r="R146" s="83">
        <v>0</v>
      </c>
      <c r="S146" s="83">
        <v>0</v>
      </c>
      <c r="T146" s="83">
        <f>IF(Q146&gt;0,S146*100/Q146,0)</f>
        <v>0</v>
      </c>
      <c r="U146" s="83">
        <f>IF(R146&gt;0,S146*100/R146,0)</f>
        <v>0</v>
      </c>
    </row>
    <row r="147" spans="1:21" ht="18.75" x14ac:dyDescent="0.25">
      <c r="A147" s="128"/>
      <c r="B147" s="40"/>
      <c r="C147" s="40"/>
      <c r="D147" s="40"/>
      <c r="E147" s="47" t="s">
        <v>21</v>
      </c>
      <c r="F147" s="40"/>
      <c r="G147" s="42"/>
      <c r="H147" s="137" t="s">
        <v>14</v>
      </c>
      <c r="I147" s="135"/>
      <c r="J147" s="135"/>
      <c r="K147" s="136"/>
      <c r="L147" s="1356">
        <f ca="1">IFERROR(__xludf.DUMMYFUNCTION("IMPORTRANGE(""https://docs.google.com/spreadsheets/d/1-uDff_7J0KD5mKrp0Vvzr7lt3OU09vwQwhkpOPPYv2Y/edit?usp=sharing"",""งบพรบ!BT29"")"),0)</f>
        <v>0</v>
      </c>
      <c r="M147" s="224">
        <f ca="1">IFERROR(__xludf.DUMMYFUNCTION("IMPORTRANGE(""https://docs.google.com/spreadsheets/d/1-uDff_7J0KD5mKrp0Vvzr7lt3OU09vwQwhkpOPPYv2Y/edit?usp=sharing"",""งบพรบ!BW29"")"),0)</f>
        <v>0</v>
      </c>
      <c r="N147" s="224">
        <f ca="1">IFERROR(__xludf.DUMMYFUNCTION("IMPORTRANGE(""https://docs.google.com/spreadsheets/d/1-uDff_7J0KD5mKrp0Vvzr7lt3OU09vwQwhkpOPPYv2Y/edit?usp=sharing"",""งบพรบ!BY29"")"),0)</f>
        <v>0</v>
      </c>
      <c r="O147" s="224">
        <f ca="1">IF(L147&gt;0,N147*100/L147,0)</f>
        <v>0</v>
      </c>
      <c r="P147" s="224">
        <f ca="1">IF(M147&gt;0,N147*100/M147,0)</f>
        <v>0</v>
      </c>
      <c r="Q147" s="224">
        <f ca="1">IFERROR(__xludf.DUMMYFUNCTION("IMPORTRANGE(""https://docs.google.com/spreadsheets/d/1ItG2mGa2ceCfYo0BwxsXqNm01IGEUdYcSSLTEv9YCik/edit?usp=sharing"",""เบิกจ่ายกองทุน!CI29"")"),0)</f>
        <v>0</v>
      </c>
      <c r="R147" s="224">
        <f ca="1">IFERROR(__xludf.DUMMYFUNCTION("IMPORTRANGE(""https://docs.google.com/spreadsheets/d/1ItG2mGa2ceCfYo0BwxsXqNm01IGEUdYcSSLTEv9YCik/edit?usp=sharing"",""เบิกจ่ายกองทุน!CJ29"")"),0)</f>
        <v>0</v>
      </c>
      <c r="S147" s="224">
        <f ca="1">IFERROR(__xludf.DUMMYFUNCTION("IMPORTRANGE(""https://docs.google.com/spreadsheets/d/1ItG2mGa2ceCfYo0BwxsXqNm01IGEUdYcSSLTEv9YCik/edit?usp=sharing"",""เบิกจ่ายกองทุน!CK29"")"),0)</f>
        <v>0</v>
      </c>
      <c r="T147" s="224">
        <f ca="1">IF(Q147&gt;0,S147*100/Q147,0)</f>
        <v>0</v>
      </c>
      <c r="U147" s="224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1391" t="s">
        <v>38</v>
      </c>
      <c r="E148" s="141"/>
      <c r="F148" s="141"/>
      <c r="G148" s="142"/>
      <c r="H148" s="178"/>
      <c r="I148" s="44"/>
      <c r="J148" s="44"/>
      <c r="K148" s="45"/>
      <c r="L148" s="1359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1:21" ht="18.75" x14ac:dyDescent="0.25">
      <c r="A149" s="128"/>
      <c r="B149" s="40"/>
      <c r="C149" s="40"/>
      <c r="D149" s="47" t="s">
        <v>63</v>
      </c>
      <c r="E149" s="40"/>
      <c r="F149" s="40"/>
      <c r="G149" s="42"/>
      <c r="H149" s="178"/>
      <c r="I149" s="44"/>
      <c r="J149" s="1395">
        <v>0</v>
      </c>
      <c r="K149" s="45"/>
      <c r="L149" s="1359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1:21" ht="19.5" x14ac:dyDescent="0.3">
      <c r="A150" s="128"/>
      <c r="B150" s="40"/>
      <c r="C150" s="40"/>
      <c r="D150" s="145"/>
      <c r="E150" s="129" t="s">
        <v>64</v>
      </c>
      <c r="F150" s="40"/>
      <c r="G150" s="42"/>
      <c r="H150" s="137" t="s">
        <v>35</v>
      </c>
      <c r="I150" s="184">
        <f ca="1">IFERROR(__xludf.DUMMYFUNCTION("IMPORTRANGE(""https://docs.google.com/spreadsheets/d/1eHaY18a8A9IcSdp1K8H6x8fbOy06t2VsZHhMHf-1x7Y/edit?usp=sharing"",""แผน!U29"")"),10)</f>
        <v>10</v>
      </c>
      <c r="J150" s="1395">
        <v>0</v>
      </c>
      <c r="K150" s="224">
        <f ca="1">IF(I150&gt;0,J150*100/I150,0)</f>
        <v>0</v>
      </c>
      <c r="L150" s="1359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1:21" ht="18.75" x14ac:dyDescent="0.25">
      <c r="A151" s="128"/>
      <c r="B151" s="40"/>
      <c r="C151" s="40"/>
      <c r="D151" s="145"/>
      <c r="E151" s="40"/>
      <c r="F151" s="40"/>
      <c r="G151" s="42"/>
      <c r="H151" s="137" t="s">
        <v>54</v>
      </c>
      <c r="I151" s="184">
        <f ca="1">IFERROR(__xludf.DUMMYFUNCTION("IMPORTRANGE(""https://docs.google.com/spreadsheets/d/1eHaY18a8A9IcSdp1K8H6x8fbOy06t2VsZHhMHf-1x7Y/edit?usp=sharing"",""แผน!V29"")"),1)</f>
        <v>1</v>
      </c>
      <c r="J151" s="1395">
        <v>0</v>
      </c>
      <c r="K151" s="224">
        <f ca="1">IF(I151&gt;0,J151*100/I151,0)</f>
        <v>0</v>
      </c>
      <c r="L151" s="1359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1:21" ht="19.5" x14ac:dyDescent="0.3">
      <c r="A152" s="128"/>
      <c r="B152" s="40"/>
      <c r="C152" s="40"/>
      <c r="D152" s="145"/>
      <c r="E152" s="129" t="s">
        <v>65</v>
      </c>
      <c r="F152" s="40"/>
      <c r="G152" s="42"/>
      <c r="H152" s="137" t="s">
        <v>35</v>
      </c>
      <c r="I152" s="184">
        <f ca="1">IFERROR(__xludf.DUMMYFUNCTION("IMPORTRANGE(""https://docs.google.com/spreadsheets/d/1eHaY18a8A9IcSdp1K8H6x8fbOy06t2VsZHhMHf-1x7Y/edit?usp=sharing"",""แผน!W29"")"),20)</f>
        <v>20</v>
      </c>
      <c r="J152" s="1395">
        <v>0</v>
      </c>
      <c r="K152" s="224">
        <f ca="1">IF(I152&gt;0,J152*100/I152,0)</f>
        <v>0</v>
      </c>
      <c r="L152" s="1359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1:21" ht="18.75" x14ac:dyDescent="0.25">
      <c r="A153" s="128"/>
      <c r="B153" s="40"/>
      <c r="C153" s="40"/>
      <c r="D153" s="40"/>
      <c r="E153" s="40"/>
      <c r="F153" s="40"/>
      <c r="G153" s="42"/>
      <c r="H153" s="137" t="s">
        <v>54</v>
      </c>
      <c r="I153" s="184">
        <f ca="1">IFERROR(__xludf.DUMMYFUNCTION("IMPORTRANGE(""https://docs.google.com/spreadsheets/d/1eHaY18a8A9IcSdp1K8H6x8fbOy06t2VsZHhMHf-1x7Y/edit?usp=sharing"",""แผน!X29"")"),2)</f>
        <v>2</v>
      </c>
      <c r="J153" s="1395">
        <v>0</v>
      </c>
      <c r="K153" s="224">
        <f ca="1">IF(I153&gt;0,J153*100/I153,0)</f>
        <v>0</v>
      </c>
      <c r="L153" s="1359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1:21" ht="18.75" x14ac:dyDescent="0.25">
      <c r="A154" s="128"/>
      <c r="B154" s="40"/>
      <c r="C154" s="40"/>
      <c r="D154" s="47" t="s">
        <v>66</v>
      </c>
      <c r="E154" s="40"/>
      <c r="F154" s="40"/>
      <c r="G154" s="42"/>
      <c r="H154" s="137" t="s">
        <v>61</v>
      </c>
      <c r="I154" s="184">
        <f ca="1">IFERROR(__xludf.DUMMYFUNCTION("IMPORTRANGE(""https://docs.google.com/spreadsheets/d/1eHaY18a8A9IcSdp1K8H6x8fbOy06t2VsZHhMHf-1x7Y/edit?usp=sharing"",""แผน!Y29"")"),1)</f>
        <v>1</v>
      </c>
      <c r="J154" s="1395">
        <v>0</v>
      </c>
      <c r="K154" s="224">
        <f ca="1">IF(I154&gt;0,J154*100/I154,0)</f>
        <v>0</v>
      </c>
      <c r="L154" s="1359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1:21" ht="19.5" x14ac:dyDescent="0.3">
      <c r="A155" s="118" t="s">
        <v>67</v>
      </c>
      <c r="B155" s="119"/>
      <c r="C155" s="168"/>
      <c r="D155" s="119"/>
      <c r="E155" s="119"/>
      <c r="F155" s="119"/>
      <c r="G155" s="119"/>
      <c r="H155" s="119"/>
      <c r="I155" s="169"/>
      <c r="J155" s="169"/>
      <c r="K155" s="170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8" t="s">
        <v>68</v>
      </c>
      <c r="C156" s="27"/>
      <c r="D156" s="27"/>
      <c r="E156" s="27"/>
      <c r="F156" s="27"/>
      <c r="G156" s="30"/>
      <c r="H156" s="173" t="s">
        <v>35</v>
      </c>
      <c r="I156" s="1386">
        <f ca="1">I169</f>
        <v>0</v>
      </c>
      <c r="J156" s="1386">
        <f>J169</f>
        <v>0</v>
      </c>
      <c r="K156" s="1349">
        <f ca="1">IF(I156&gt;0,J156*100/I156,0)</f>
        <v>0</v>
      </c>
      <c r="L156" s="1387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1:21" ht="19.5" x14ac:dyDescent="0.3">
      <c r="A157" s="128"/>
      <c r="B157" s="40"/>
      <c r="C157" s="129" t="s">
        <v>18</v>
      </c>
      <c r="D157" s="1388" t="s">
        <v>19</v>
      </c>
      <c r="E157" s="40"/>
      <c r="F157" s="40"/>
      <c r="G157" s="42"/>
      <c r="H157" s="131" t="s">
        <v>14</v>
      </c>
      <c r="I157" s="44"/>
      <c r="J157" s="44"/>
      <c r="K157" s="45"/>
      <c r="L157" s="1389">
        <f ca="1">L158+L159</f>
        <v>0</v>
      </c>
      <c r="M157" s="1390">
        <f ca="1">M158+M159</f>
        <v>1120</v>
      </c>
      <c r="N157" s="1390">
        <f ca="1">N158+N159</f>
        <v>856</v>
      </c>
      <c r="O157" s="1390">
        <f ca="1">IF(L157&gt;0,N157*100/L157,0)</f>
        <v>0</v>
      </c>
      <c r="P157" s="1390">
        <f ca="1">IF(M157&gt;0,N157*100/M157,0)</f>
        <v>76.428571428571431</v>
      </c>
      <c r="Q157" s="1390">
        <f ca="1">Q158+Q159</f>
        <v>0</v>
      </c>
      <c r="R157" s="1390">
        <f ca="1">R158+R159</f>
        <v>0</v>
      </c>
      <c r="S157" s="1390">
        <f ca="1">S158+S159</f>
        <v>0</v>
      </c>
      <c r="T157" s="1390">
        <f ca="1">IF(Q157&gt;0,S157*100/Q157,0)</f>
        <v>0</v>
      </c>
      <c r="U157" s="1390">
        <f ca="1">IF(R157&gt;0,S157*100/R157,0)</f>
        <v>0</v>
      </c>
    </row>
    <row r="158" spans="1:21" ht="18.75" x14ac:dyDescent="0.25">
      <c r="A158" s="128"/>
      <c r="B158" s="40"/>
      <c r="C158" s="40"/>
      <c r="D158" s="40"/>
      <c r="E158" s="156" t="s">
        <v>20</v>
      </c>
      <c r="F158" s="40"/>
      <c r="G158" s="42"/>
      <c r="H158" s="157" t="s">
        <v>14</v>
      </c>
      <c r="I158" s="44"/>
      <c r="J158" s="44"/>
      <c r="K158" s="45"/>
      <c r="L158" s="1358">
        <f>L161+L164</f>
        <v>0</v>
      </c>
      <c r="M158" s="83">
        <f>M161+M164</f>
        <v>0</v>
      </c>
      <c r="N158" s="83">
        <f>N161+N164</f>
        <v>0</v>
      </c>
      <c r="O158" s="83">
        <f>IF(L158&gt;0,N158*100/L158,0)</f>
        <v>0</v>
      </c>
      <c r="P158" s="83">
        <f>IF(M158&gt;0,N158*100/M158,0)</f>
        <v>0</v>
      </c>
      <c r="Q158" s="83">
        <f>Q161+Q164</f>
        <v>0</v>
      </c>
      <c r="R158" s="83">
        <f>R161+R164</f>
        <v>0</v>
      </c>
      <c r="S158" s="83">
        <f>S161+S164</f>
        <v>0</v>
      </c>
      <c r="T158" s="83">
        <f>IF(Q158&gt;0,S158*100/Q158,0)</f>
        <v>0</v>
      </c>
      <c r="U158" s="83">
        <f>IF(R158&gt;0,S158*100/R158,0)</f>
        <v>0</v>
      </c>
    </row>
    <row r="159" spans="1:21" ht="18.75" x14ac:dyDescent="0.25">
      <c r="A159" s="128"/>
      <c r="B159" s="40"/>
      <c r="C159" s="40"/>
      <c r="D159" s="40"/>
      <c r="E159" s="47" t="s">
        <v>21</v>
      </c>
      <c r="F159" s="40"/>
      <c r="G159" s="42"/>
      <c r="H159" s="133" t="s">
        <v>14</v>
      </c>
      <c r="I159" s="44"/>
      <c r="J159" s="44"/>
      <c r="K159" s="45"/>
      <c r="L159" s="1356">
        <f ca="1">L162+L165</f>
        <v>0</v>
      </c>
      <c r="M159" s="224">
        <f ca="1">M162+M165</f>
        <v>1120</v>
      </c>
      <c r="N159" s="224">
        <f ca="1">N162+N165</f>
        <v>856</v>
      </c>
      <c r="O159" s="224">
        <f ca="1">IF(L159&gt;0,N159*100/L159,0)</f>
        <v>0</v>
      </c>
      <c r="P159" s="224">
        <f ca="1">IF(M159&gt;0,N159*100/M159,0)</f>
        <v>76.428571428571431</v>
      </c>
      <c r="Q159" s="224">
        <f ca="1">Q162+Q165</f>
        <v>0</v>
      </c>
      <c r="R159" s="224">
        <f ca="1">R162+R165</f>
        <v>0</v>
      </c>
      <c r="S159" s="224">
        <f ca="1">S162+S165</f>
        <v>0</v>
      </c>
      <c r="T159" s="224">
        <f ca="1">IF(Q159&gt;0,S159*100/Q159,0)</f>
        <v>0</v>
      </c>
      <c r="U159" s="224">
        <f ca="1">IF(R159&gt;0,S159*100/R159,0)</f>
        <v>0</v>
      </c>
    </row>
    <row r="160" spans="1:21" ht="18.75" x14ac:dyDescent="0.25">
      <c r="A160" s="128"/>
      <c r="B160" s="40"/>
      <c r="C160" s="40"/>
      <c r="D160" s="41" t="s">
        <v>22</v>
      </c>
      <c r="E160" s="40"/>
      <c r="F160" s="40"/>
      <c r="G160" s="42"/>
      <c r="H160" s="134" t="s">
        <v>14</v>
      </c>
      <c r="I160" s="135"/>
      <c r="J160" s="135"/>
      <c r="K160" s="136"/>
      <c r="L160" s="1356">
        <f ca="1">L161+L162</f>
        <v>0</v>
      </c>
      <c r="M160" s="224">
        <f ca="1">M161+M162</f>
        <v>1120</v>
      </c>
      <c r="N160" s="224">
        <f ca="1">N161+N162</f>
        <v>856</v>
      </c>
      <c r="O160" s="224">
        <f ca="1">IF(L160&gt;0,N160*100/L160,0)</f>
        <v>0</v>
      </c>
      <c r="P160" s="224">
        <f ca="1">IF(M160&gt;0,N160*100/M160,0)</f>
        <v>76.428571428571431</v>
      </c>
      <c r="Q160" s="224">
        <f ca="1">Q161+Q162</f>
        <v>0</v>
      </c>
      <c r="R160" s="224">
        <f ca="1">R161+R162</f>
        <v>0</v>
      </c>
      <c r="S160" s="224">
        <f ca="1">S161+S162</f>
        <v>0</v>
      </c>
      <c r="T160" s="224">
        <f ca="1">IF(Q160&gt;0,S160*100/Q160,0)</f>
        <v>0</v>
      </c>
      <c r="U160" s="224">
        <f ca="1">IF(R160&gt;0,S160*100/R160,0)</f>
        <v>0</v>
      </c>
    </row>
    <row r="161" spans="1:21" ht="18.75" x14ac:dyDescent="0.25">
      <c r="A161" s="128"/>
      <c r="B161" s="40"/>
      <c r="C161" s="40"/>
      <c r="D161" s="40"/>
      <c r="E161" s="156" t="s">
        <v>36</v>
      </c>
      <c r="F161" s="40"/>
      <c r="G161" s="42"/>
      <c r="H161" s="159" t="s">
        <v>14</v>
      </c>
      <c r="I161" s="135"/>
      <c r="J161" s="135"/>
      <c r="K161" s="136"/>
      <c r="L161" s="1358">
        <v>0</v>
      </c>
      <c r="M161" s="83">
        <v>0</v>
      </c>
      <c r="N161" s="83">
        <v>0</v>
      </c>
      <c r="O161" s="83">
        <f>IF(L161&gt;0,N161*100/L161,0)</f>
        <v>0</v>
      </c>
      <c r="P161" s="83">
        <f>IF(M161&gt;0,N161*100/M161,0)</f>
        <v>0</v>
      </c>
      <c r="Q161" s="83">
        <v>0</v>
      </c>
      <c r="R161" s="83">
        <v>0</v>
      </c>
      <c r="S161" s="83">
        <v>0</v>
      </c>
      <c r="T161" s="83">
        <f>IF(Q161&gt;0,S161*100/Q161,0)</f>
        <v>0</v>
      </c>
      <c r="U161" s="83">
        <f>IF(R161&gt;0,S161*100/R161,0)</f>
        <v>0</v>
      </c>
    </row>
    <row r="162" spans="1:21" ht="18.75" x14ac:dyDescent="0.25">
      <c r="A162" s="128"/>
      <c r="B162" s="40"/>
      <c r="C162" s="40"/>
      <c r="D162" s="40"/>
      <c r="E162" s="47" t="s">
        <v>37</v>
      </c>
      <c r="F162" s="40"/>
      <c r="G162" s="42"/>
      <c r="H162" s="134" t="s">
        <v>14</v>
      </c>
      <c r="I162" s="135"/>
      <c r="J162" s="135"/>
      <c r="K162" s="136"/>
      <c r="L162" s="1356">
        <f ca="1">IFERROR(__xludf.DUMMYFUNCTION("IMPORTRANGE(""https://docs.google.com/spreadsheets/d/1-uDff_7J0KD5mKrp0Vvzr7lt3OU09vwQwhkpOPPYv2Y/edit?usp=sharing"",""งบพรบ!CA29"")"),0)</f>
        <v>0</v>
      </c>
      <c r="M162" s="224">
        <f ca="1">IFERROR(__xludf.DUMMYFUNCTION("IMPORTRANGE(""https://docs.google.com/spreadsheets/d/1-uDff_7J0KD5mKrp0Vvzr7lt3OU09vwQwhkpOPPYv2Y/edit?usp=sharing"",""งบพรบ!CF29"")"),1120)</f>
        <v>1120</v>
      </c>
      <c r="N162" s="224">
        <f ca="1">IFERROR(__xludf.DUMMYFUNCTION("IMPORTRANGE(""https://docs.google.com/spreadsheets/d/1-uDff_7J0KD5mKrp0Vvzr7lt3OU09vwQwhkpOPPYv2Y/edit?usp=sharing"",""งบพรบ!CH29"")"),856)</f>
        <v>856</v>
      </c>
      <c r="O162" s="224">
        <f ca="1">IF(L162&gt;0,N162*100/L162,0)</f>
        <v>0</v>
      </c>
      <c r="P162" s="224">
        <f ca="1">IF(M162&gt;0,N162*100/M162,0)</f>
        <v>76.428571428571431</v>
      </c>
      <c r="Q162" s="224">
        <f ca="1">IFERROR(__xludf.DUMMYFUNCTION("IMPORTRANGE(""https://docs.google.com/spreadsheets/d/1ItG2mGa2ceCfYo0BwxsXqNm01IGEUdYcSSLTEv9YCik/edit?usp=sharing"",""เบิกจ่ายกองทุน!AM29"")"),0)</f>
        <v>0</v>
      </c>
      <c r="R162" s="224">
        <f ca="1">IFERROR(__xludf.DUMMYFUNCTION("IMPORTRANGE(""https://docs.google.com/spreadsheets/d/1ItG2mGa2ceCfYo0BwxsXqNm01IGEUdYcSSLTEv9YCik/edit?usp=sharing"",""เบิกจ่ายกองทุน!AN29"")"),0)</f>
        <v>0</v>
      </c>
      <c r="S162" s="224">
        <f ca="1">IFERROR(__xludf.DUMMYFUNCTION("IMPORTRANGE(""https://docs.google.com/spreadsheets/d/1ItG2mGa2ceCfYo0BwxsXqNm01IGEUdYcSSLTEv9YCik/edit?usp=sharing"",""เบิกจ่ายกองทุน!AO29"")"),0)</f>
        <v>0</v>
      </c>
      <c r="T162" s="224">
        <f ca="1">IF(Q162&gt;0,S162*100/Q162,0)</f>
        <v>0</v>
      </c>
      <c r="U162" s="224">
        <f ca="1">IF(R162&gt;0,S162*100/R162,0)</f>
        <v>0</v>
      </c>
    </row>
    <row r="163" spans="1:21" ht="18.75" x14ac:dyDescent="0.25">
      <c r="A163" s="128"/>
      <c r="B163" s="40"/>
      <c r="C163" s="40"/>
      <c r="D163" s="41" t="s">
        <v>23</v>
      </c>
      <c r="E163" s="40"/>
      <c r="F163" s="40"/>
      <c r="G163" s="42"/>
      <c r="H163" s="137" t="s">
        <v>14</v>
      </c>
      <c r="I163" s="135"/>
      <c r="J163" s="135"/>
      <c r="K163" s="136"/>
      <c r="L163" s="1356">
        <f ca="1">L164+L165</f>
        <v>0</v>
      </c>
      <c r="M163" s="224">
        <f ca="1">M164+M165</f>
        <v>0</v>
      </c>
      <c r="N163" s="224">
        <f ca="1">N164+N165</f>
        <v>0</v>
      </c>
      <c r="O163" s="224">
        <f ca="1">IF(L163&gt;0,N163*100/L163,0)</f>
        <v>0</v>
      </c>
      <c r="P163" s="224">
        <f ca="1">IF(M163&gt;0,N163*100/M163,0)</f>
        <v>0</v>
      </c>
      <c r="Q163" s="224">
        <f>Q164+Q165</f>
        <v>0</v>
      </c>
      <c r="R163" s="224">
        <f>R164+R165</f>
        <v>0</v>
      </c>
      <c r="S163" s="224">
        <f>S164+S165</f>
        <v>0</v>
      </c>
      <c r="T163" s="224">
        <f>IF(Q163&gt;0,S163*100/Q163,0)</f>
        <v>0</v>
      </c>
      <c r="U163" s="224">
        <f>IF(R163&gt;0,S163*100/R163,0)</f>
        <v>0</v>
      </c>
    </row>
    <row r="164" spans="1:21" ht="18.75" x14ac:dyDescent="0.25">
      <c r="A164" s="128"/>
      <c r="B164" s="40"/>
      <c r="C164" s="40"/>
      <c r="D164" s="40"/>
      <c r="E164" s="156" t="s">
        <v>20</v>
      </c>
      <c r="F164" s="40"/>
      <c r="G164" s="42"/>
      <c r="H164" s="159" t="s">
        <v>14</v>
      </c>
      <c r="I164" s="135"/>
      <c r="J164" s="135"/>
      <c r="K164" s="136"/>
      <c r="L164" s="1358">
        <v>0</v>
      </c>
      <c r="M164" s="83">
        <v>0</v>
      </c>
      <c r="N164" s="83">
        <v>0</v>
      </c>
      <c r="O164" s="83">
        <f>IF(L164&gt;0,N164*100/L164,0)</f>
        <v>0</v>
      </c>
      <c r="P164" s="83">
        <f>IF(M164&gt;0,N164*100/M164,0)</f>
        <v>0</v>
      </c>
      <c r="Q164" s="83">
        <v>0</v>
      </c>
      <c r="R164" s="83">
        <v>0</v>
      </c>
      <c r="S164" s="83">
        <v>0</v>
      </c>
      <c r="T164" s="83">
        <f>IF(Q164&gt;0,S164*100/Q164,0)</f>
        <v>0</v>
      </c>
      <c r="U164" s="83">
        <f>IF(R164&gt;0,S164*100/R164,0)</f>
        <v>0</v>
      </c>
    </row>
    <row r="165" spans="1:21" ht="18.75" x14ac:dyDescent="0.25">
      <c r="A165" s="128"/>
      <c r="B165" s="40"/>
      <c r="C165" s="40"/>
      <c r="D165" s="40"/>
      <c r="E165" s="47" t="s">
        <v>21</v>
      </c>
      <c r="F165" s="40"/>
      <c r="G165" s="42"/>
      <c r="H165" s="137" t="s">
        <v>14</v>
      </c>
      <c r="I165" s="135"/>
      <c r="J165" s="135"/>
      <c r="K165" s="136"/>
      <c r="L165" s="1356">
        <f ca="1">IFERROR(__xludf.DUMMYFUNCTION("IMPORTRANGE(""https://docs.google.com/spreadsheets/d/1-uDff_7J0KD5mKrp0Vvzr7lt3OU09vwQwhkpOPPYv2Y/edit?usp=sharing"",""งบพรบ!CD29"")"),0)</f>
        <v>0</v>
      </c>
      <c r="M165" s="224">
        <f ca="1">IFERROR(__xludf.DUMMYFUNCTION("IMPORTRANGE(""https://docs.google.com/spreadsheets/d/1-uDff_7J0KD5mKrp0Vvzr7lt3OU09vwQwhkpOPPYv2Y/edit?usp=sharing"",""งบพรบ!CG29"")"),0)</f>
        <v>0</v>
      </c>
      <c r="N165" s="224">
        <f ca="1">IFERROR(__xludf.DUMMYFUNCTION("IMPORTRANGE(""https://docs.google.com/spreadsheets/d/1-uDff_7J0KD5mKrp0Vvzr7lt3OU09vwQwhkpOPPYv2Y/edit?usp=sharing"",""งบพรบ!CI29"")"),0)</f>
        <v>0</v>
      </c>
      <c r="O165" s="224">
        <f ca="1">IF(L165&gt;0,N165*100/L165,0)</f>
        <v>0</v>
      </c>
      <c r="P165" s="224">
        <f ca="1">IF(M165&gt;0,N165*100/M165,0)</f>
        <v>0</v>
      </c>
      <c r="Q165" s="224">
        <v>0</v>
      </c>
      <c r="R165" s="224">
        <v>0</v>
      </c>
      <c r="S165" s="224">
        <v>0</v>
      </c>
      <c r="T165" s="224">
        <f>IF(Q165&gt;0,S165*100/Q165,0)</f>
        <v>0</v>
      </c>
      <c r="U165" s="224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1391" t="s">
        <v>38</v>
      </c>
      <c r="E166" s="141"/>
      <c r="F166" s="141"/>
      <c r="G166" s="142"/>
      <c r="H166" s="178"/>
      <c r="I166" s="44"/>
      <c r="J166" s="44"/>
      <c r="K166" s="45"/>
      <c r="L166" s="1359"/>
      <c r="M166" s="45"/>
      <c r="N166" s="45"/>
      <c r="O166" s="45"/>
      <c r="P166" s="45"/>
      <c r="Q166" s="45"/>
      <c r="R166" s="45"/>
      <c r="S166" s="45"/>
      <c r="T166" s="45"/>
      <c r="U166" s="45"/>
    </row>
    <row r="167" spans="1:21" ht="18.75" x14ac:dyDescent="0.25">
      <c r="A167" s="128"/>
      <c r="B167" s="40"/>
      <c r="C167" s="40"/>
      <c r="D167" s="47" t="s">
        <v>69</v>
      </c>
      <c r="E167" s="40"/>
      <c r="F167" s="40"/>
      <c r="G167" s="42"/>
      <c r="H167" s="137" t="s">
        <v>35</v>
      </c>
      <c r="I167" s="184">
        <f ca="1">IFERROR(__xludf.DUMMYFUNCTION("IMPORTRANGE(""https://docs.google.com/spreadsheets/d/1eHaY18a8A9IcSdp1K8H6x8fbOy06t2VsZHhMHf-1x7Y/edit?usp=sharing"",""แผน!Z29"")"),0)</f>
        <v>0</v>
      </c>
      <c r="J167" s="1395">
        <v>0</v>
      </c>
      <c r="K167" s="224">
        <f ca="1">IF(I167&gt;0,J167*100/I167,0)</f>
        <v>0</v>
      </c>
      <c r="L167" s="1359"/>
      <c r="M167" s="45"/>
      <c r="N167" s="45"/>
      <c r="O167" s="45"/>
      <c r="P167" s="45"/>
      <c r="Q167" s="45"/>
      <c r="R167" s="45"/>
      <c r="S167" s="45"/>
      <c r="T167" s="45"/>
      <c r="U167" s="45"/>
    </row>
    <row r="168" spans="1:21" ht="18.75" x14ac:dyDescent="0.25">
      <c r="A168" s="128"/>
      <c r="B168" s="40"/>
      <c r="C168" s="40"/>
      <c r="D168" s="156" t="s">
        <v>70</v>
      </c>
      <c r="E168" s="40"/>
      <c r="F168" s="40"/>
      <c r="G168" s="42"/>
      <c r="H168" s="378" t="s">
        <v>35</v>
      </c>
      <c r="I168" s="423">
        <f ca="1">IFERROR(__xludf.DUMMYFUNCTION("IMPORTRANGE(""https://docs.google.com/spreadsheets/d/1eHaY18a8A9IcSdp1K8H6x8fbOy06t2VsZHhMHf-1x7Y/edit?usp=sharing"",""แผน!Z29"")"),0)</f>
        <v>0</v>
      </c>
      <c r="J168" s="1407">
        <v>0</v>
      </c>
      <c r="K168" s="83">
        <f ca="1">IF(I168&gt;0,J168*100/I168,0)</f>
        <v>0</v>
      </c>
      <c r="L168" s="1359"/>
      <c r="M168" s="45"/>
      <c r="N168" s="45"/>
      <c r="O168" s="45"/>
      <c r="P168" s="45"/>
      <c r="Q168" s="45"/>
      <c r="R168" s="45"/>
      <c r="S168" s="45"/>
      <c r="T168" s="45"/>
      <c r="U168" s="45"/>
    </row>
    <row r="169" spans="1:21" ht="18.75" x14ac:dyDescent="0.25">
      <c r="A169" s="185"/>
      <c r="B169" s="1"/>
      <c r="C169" s="1"/>
      <c r="D169" s="424" t="s">
        <v>71</v>
      </c>
      <c r="E169" s="1"/>
      <c r="F169" s="1"/>
      <c r="G169" s="52"/>
      <c r="H169" s="1408" t="s">
        <v>35</v>
      </c>
      <c r="I169" s="426">
        <f ca="1">IFERROR(__xludf.DUMMYFUNCTION("IMPORTRANGE(""https://docs.google.com/spreadsheets/d/1eHaY18a8A9IcSdp1K8H6x8fbOy06t2VsZHhMHf-1x7Y/edit?usp=sharing"",""แผน!Z29"")"),0)</f>
        <v>0</v>
      </c>
      <c r="J169" s="1409">
        <v>0</v>
      </c>
      <c r="K169" s="1410">
        <f ca="1">IF(I169&gt;0,J169*100/I169,0)</f>
        <v>0</v>
      </c>
      <c r="L169" s="1360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9.5" x14ac:dyDescent="0.3">
      <c r="A170" s="189" t="s">
        <v>72</v>
      </c>
      <c r="B170" s="190"/>
      <c r="C170" s="190"/>
      <c r="D170" s="190"/>
      <c r="E170" s="191"/>
      <c r="F170" s="191"/>
      <c r="G170" s="191"/>
      <c r="H170" s="191"/>
      <c r="I170" s="192"/>
      <c r="J170" s="192"/>
      <c r="K170" s="193"/>
      <c r="L170" s="193"/>
      <c r="M170" s="193"/>
      <c r="N170" s="193"/>
      <c r="O170" s="193"/>
      <c r="P170" s="194"/>
      <c r="Q170" s="193"/>
      <c r="R170" s="193"/>
      <c r="S170" s="193"/>
      <c r="T170" s="193"/>
      <c r="U170" s="194"/>
    </row>
    <row r="171" spans="1:21" ht="19.5" x14ac:dyDescent="0.3">
      <c r="A171" s="195" t="s">
        <v>73</v>
      </c>
      <c r="B171" s="196"/>
      <c r="C171" s="196"/>
      <c r="D171" s="197"/>
      <c r="E171" s="197"/>
      <c r="F171" s="197"/>
      <c r="G171" s="197"/>
      <c r="H171" s="198"/>
      <c r="I171" s="199"/>
      <c r="J171" s="199"/>
      <c r="K171" s="200"/>
      <c r="L171" s="1411"/>
      <c r="M171" s="200"/>
      <c r="N171" s="200"/>
      <c r="O171" s="200"/>
      <c r="P171" s="200"/>
      <c r="Q171" s="200"/>
      <c r="R171" s="200"/>
      <c r="S171" s="200"/>
      <c r="T171" s="200"/>
      <c r="U171" s="200"/>
    </row>
    <row r="172" spans="1:21" ht="19.5" x14ac:dyDescent="0.3">
      <c r="A172" s="201"/>
      <c r="B172" s="202" t="s">
        <v>74</v>
      </c>
      <c r="C172" s="203"/>
      <c r="D172" s="141"/>
      <c r="E172" s="141"/>
      <c r="F172" s="141"/>
      <c r="G172" s="142"/>
      <c r="H172" s="204" t="s">
        <v>35</v>
      </c>
      <c r="I172" s="1412">
        <f ca="1">I183+I184</f>
        <v>7</v>
      </c>
      <c r="J172" s="1412">
        <f>J183+J184</f>
        <v>7</v>
      </c>
      <c r="K172" s="1413">
        <f ca="1">IF(I172&gt;0,J172*100/I172,0)</f>
        <v>100</v>
      </c>
      <c r="L172" s="1414"/>
      <c r="M172" s="207"/>
      <c r="N172" s="207"/>
      <c r="O172" s="207"/>
      <c r="P172" s="207"/>
      <c r="Q172" s="207"/>
      <c r="R172" s="207"/>
      <c r="S172" s="207"/>
      <c r="T172" s="207"/>
      <c r="U172" s="207"/>
    </row>
    <row r="173" spans="1:21" ht="19.5" x14ac:dyDescent="0.3">
      <c r="A173" s="128"/>
      <c r="B173" s="40"/>
      <c r="C173" s="129" t="s">
        <v>18</v>
      </c>
      <c r="D173" s="1388" t="s">
        <v>19</v>
      </c>
      <c r="E173" s="40"/>
      <c r="F173" s="40"/>
      <c r="G173" s="42"/>
      <c r="H173" s="131" t="s">
        <v>14</v>
      </c>
      <c r="I173" s="44"/>
      <c r="J173" s="44"/>
      <c r="K173" s="45"/>
      <c r="L173" s="1389">
        <f ca="1">L174+L175</f>
        <v>19590</v>
      </c>
      <c r="M173" s="1390">
        <f ca="1">M174+M175</f>
        <v>85520</v>
      </c>
      <c r="N173" s="1390">
        <f ca="1">N174+N175</f>
        <v>85520</v>
      </c>
      <c r="O173" s="1390">
        <f ca="1">IF(L173&gt;0,N173*100/L173,0)</f>
        <v>436.54925982644204</v>
      </c>
      <c r="P173" s="1390">
        <f ca="1">IF(M173&gt;0,N173*100/M173,0)</f>
        <v>100</v>
      </c>
      <c r="Q173" s="1390">
        <f ca="1">Q174+Q175</f>
        <v>0</v>
      </c>
      <c r="R173" s="1390">
        <f ca="1">R174+R175</f>
        <v>0</v>
      </c>
      <c r="S173" s="1390">
        <f ca="1">S174+S175</f>
        <v>0</v>
      </c>
      <c r="T173" s="1390">
        <f ca="1">IF(Q173&gt;0,S173*100/Q173,0)</f>
        <v>0</v>
      </c>
      <c r="U173" s="1390">
        <f ca="1">IF(R173&gt;0,S173*100/R173,0)</f>
        <v>0</v>
      </c>
    </row>
    <row r="174" spans="1:21" ht="18.75" x14ac:dyDescent="0.25">
      <c r="A174" s="128"/>
      <c r="B174" s="40"/>
      <c r="C174" s="40"/>
      <c r="D174" s="40"/>
      <c r="E174" s="156" t="s">
        <v>20</v>
      </c>
      <c r="F174" s="40"/>
      <c r="G174" s="42"/>
      <c r="H174" s="157" t="s">
        <v>14</v>
      </c>
      <c r="I174" s="44"/>
      <c r="J174" s="44"/>
      <c r="K174" s="45"/>
      <c r="L174" s="1358">
        <f>L177+L180</f>
        <v>0</v>
      </c>
      <c r="M174" s="83">
        <f>M177+M180</f>
        <v>0</v>
      </c>
      <c r="N174" s="83">
        <f>N177+N180</f>
        <v>0</v>
      </c>
      <c r="O174" s="83">
        <f>IF(L174&gt;0,N174*100/L174,0)</f>
        <v>0</v>
      </c>
      <c r="P174" s="83">
        <f>IF(M174&gt;0,N174*100/M174,0)</f>
        <v>0</v>
      </c>
      <c r="Q174" s="83">
        <f>Q177+Q180</f>
        <v>0</v>
      </c>
      <c r="R174" s="83">
        <f>R177+R180</f>
        <v>0</v>
      </c>
      <c r="S174" s="83">
        <f>S177+S180</f>
        <v>0</v>
      </c>
      <c r="T174" s="83">
        <f>IF(Q174&gt;0,S174*100/Q174,0)</f>
        <v>0</v>
      </c>
      <c r="U174" s="83">
        <f>IF(R174&gt;0,S174*100/R174,0)</f>
        <v>0</v>
      </c>
    </row>
    <row r="175" spans="1:21" ht="18.75" x14ac:dyDescent="0.25">
      <c r="A175" s="128"/>
      <c r="B175" s="40"/>
      <c r="C175" s="40"/>
      <c r="D175" s="40"/>
      <c r="E175" s="47" t="s">
        <v>21</v>
      </c>
      <c r="F175" s="40"/>
      <c r="G175" s="42"/>
      <c r="H175" s="133" t="s">
        <v>14</v>
      </c>
      <c r="I175" s="44"/>
      <c r="J175" s="44"/>
      <c r="K175" s="45"/>
      <c r="L175" s="1356">
        <f ca="1">L178+L181</f>
        <v>19590</v>
      </c>
      <c r="M175" s="224">
        <f ca="1">M178+M181</f>
        <v>85520</v>
      </c>
      <c r="N175" s="224">
        <f ca="1">N178+N181</f>
        <v>85520</v>
      </c>
      <c r="O175" s="224">
        <f ca="1">IF(L175&gt;0,N175*100/L175,0)</f>
        <v>436.54925982644204</v>
      </c>
      <c r="P175" s="224">
        <f ca="1">IF(M175&gt;0,N175*100/M175,0)</f>
        <v>100</v>
      </c>
      <c r="Q175" s="224">
        <f ca="1">Q178+Q181</f>
        <v>0</v>
      </c>
      <c r="R175" s="224">
        <f ca="1">R178+R181</f>
        <v>0</v>
      </c>
      <c r="S175" s="224">
        <f ca="1">S178+S181</f>
        <v>0</v>
      </c>
      <c r="T175" s="224">
        <f ca="1">IF(Q175&gt;0,S175*100/Q175,0)</f>
        <v>0</v>
      </c>
      <c r="U175" s="224">
        <f ca="1">IF(R175&gt;0,S175*100/R175,0)</f>
        <v>0</v>
      </c>
    </row>
    <row r="176" spans="1:21" ht="18.75" x14ac:dyDescent="0.25">
      <c r="A176" s="128"/>
      <c r="B176" s="40"/>
      <c r="C176" s="40"/>
      <c r="D176" s="41" t="s">
        <v>22</v>
      </c>
      <c r="E176" s="40"/>
      <c r="F176" s="40"/>
      <c r="G176" s="42"/>
      <c r="H176" s="134" t="s">
        <v>14</v>
      </c>
      <c r="I176" s="135"/>
      <c r="J176" s="135"/>
      <c r="K176" s="136"/>
      <c r="L176" s="1356">
        <f ca="1">L177+L178</f>
        <v>19590</v>
      </c>
      <c r="M176" s="224">
        <f ca="1">M177+M178</f>
        <v>85520</v>
      </c>
      <c r="N176" s="224">
        <f ca="1">N177+N178</f>
        <v>85520</v>
      </c>
      <c r="O176" s="224">
        <f ca="1">IF(L176&gt;0,N176*100/L176,0)</f>
        <v>436.54925982644204</v>
      </c>
      <c r="P176" s="224">
        <f ca="1">IF(M176&gt;0,N176*100/M176,0)</f>
        <v>100</v>
      </c>
      <c r="Q176" s="224">
        <f ca="1">Q177+Q178</f>
        <v>0</v>
      </c>
      <c r="R176" s="224">
        <f ca="1">R177+R178</f>
        <v>0</v>
      </c>
      <c r="S176" s="224">
        <f ca="1">S177+S178</f>
        <v>0</v>
      </c>
      <c r="T176" s="224">
        <f ca="1">IF(Q176&gt;0,S176*100/Q176,0)</f>
        <v>0</v>
      </c>
      <c r="U176" s="224">
        <f ca="1">IF(R176&gt;0,S176*100/R176,0)</f>
        <v>0</v>
      </c>
    </row>
    <row r="177" spans="1:21" ht="18.75" x14ac:dyDescent="0.25">
      <c r="A177" s="128"/>
      <c r="B177" s="40"/>
      <c r="C177" s="40"/>
      <c r="D177" s="40"/>
      <c r="E177" s="156" t="s">
        <v>36</v>
      </c>
      <c r="F177" s="40"/>
      <c r="G177" s="42"/>
      <c r="H177" s="159" t="s">
        <v>14</v>
      </c>
      <c r="I177" s="135"/>
      <c r="J177" s="135"/>
      <c r="K177" s="136"/>
      <c r="L177" s="1358">
        <v>0</v>
      </c>
      <c r="M177" s="83">
        <v>0</v>
      </c>
      <c r="N177" s="83">
        <v>0</v>
      </c>
      <c r="O177" s="83">
        <f>IF(L177&gt;0,N177*100/L177,0)</f>
        <v>0</v>
      </c>
      <c r="P177" s="83">
        <f>IF(M177&gt;0,N177*100/M177,0)</f>
        <v>0</v>
      </c>
      <c r="Q177" s="83">
        <v>0</v>
      </c>
      <c r="R177" s="83">
        <v>0</v>
      </c>
      <c r="S177" s="83">
        <v>0</v>
      </c>
      <c r="T177" s="83">
        <f>IF(Q177&gt;0,S177*100/Q177,0)</f>
        <v>0</v>
      </c>
      <c r="U177" s="83">
        <f>IF(R177&gt;0,S177*100/R177,0)</f>
        <v>0</v>
      </c>
    </row>
    <row r="178" spans="1:21" ht="18.75" x14ac:dyDescent="0.25">
      <c r="A178" s="128"/>
      <c r="B178" s="40"/>
      <c r="C178" s="40"/>
      <c r="D178" s="40"/>
      <c r="E178" s="47" t="s">
        <v>37</v>
      </c>
      <c r="F178" s="40"/>
      <c r="G178" s="42"/>
      <c r="H178" s="134" t="s">
        <v>14</v>
      </c>
      <c r="I178" s="135"/>
      <c r="J178" s="135"/>
      <c r="K178" s="136"/>
      <c r="L178" s="1356">
        <f ca="1">IFERROR(__xludf.DUMMYFUNCTION("IMPORTRANGE(""https://docs.google.com/spreadsheets/d/1-uDff_7J0KD5mKrp0Vvzr7lt3OU09vwQwhkpOPPYv2Y/edit?usp=sharing"",""งบพรบ!CK29"")"),19590)</f>
        <v>19590</v>
      </c>
      <c r="M178" s="224">
        <f ca="1">IFERROR(__xludf.DUMMYFUNCTION("IMPORTRANGE(""https://docs.google.com/spreadsheets/d/1-uDff_7J0KD5mKrp0Vvzr7lt3OU09vwQwhkpOPPYv2Y/edit?usp=sharing"",""งบพรบ!CP29"")"),85520)</f>
        <v>85520</v>
      </c>
      <c r="N178" s="224">
        <f ca="1">IFERROR(__xludf.DUMMYFUNCTION("IMPORTRANGE(""https://docs.google.com/spreadsheets/d/1-uDff_7J0KD5mKrp0Vvzr7lt3OU09vwQwhkpOPPYv2Y/edit?usp=sharing"",""งบพรบ!CR29"")"),85520)</f>
        <v>85520</v>
      </c>
      <c r="O178" s="224">
        <f ca="1">IF(L178&gt;0,N178*100/L178,0)</f>
        <v>436.54925982644204</v>
      </c>
      <c r="P178" s="224">
        <f ca="1">IF(M178&gt;0,N178*100/M178,0)</f>
        <v>100</v>
      </c>
      <c r="Q178" s="224">
        <f ca="1">IFERROR(__xludf.DUMMYFUNCTION("IMPORTRANGE(""https://docs.google.com/spreadsheets/d/1ItG2mGa2ceCfYo0BwxsXqNm01IGEUdYcSSLTEv9YCik/edit?usp=sharing"",""เบิกจ่ายกองทุน!DG29"")"),0)</f>
        <v>0</v>
      </c>
      <c r="R178" s="224">
        <f ca="1">IFERROR(__xludf.DUMMYFUNCTION("IMPORTRANGE(""https://docs.google.com/spreadsheets/d/1ItG2mGa2ceCfYo0BwxsXqNm01IGEUdYcSSLTEv9YCik/edit?usp=sharing"",""เบิกจ่ายกองทุน!DH29"")"),0)</f>
        <v>0</v>
      </c>
      <c r="S178" s="224">
        <f ca="1">IFERROR(__xludf.DUMMYFUNCTION("IMPORTRANGE(""https://docs.google.com/spreadsheets/d/1ItG2mGa2ceCfYo0BwxsXqNm01IGEUdYcSSLTEv9YCik/edit?usp=sharing"",""เบิกจ่ายกองทุน!DI29"")"),0)</f>
        <v>0</v>
      </c>
      <c r="T178" s="224">
        <f ca="1">IF(Q178&gt;0,S178*100/Q178,0)</f>
        <v>0</v>
      </c>
      <c r="U178" s="224">
        <f ca="1">IF(R178&gt;0,S178*100/R178,0)</f>
        <v>0</v>
      </c>
    </row>
    <row r="179" spans="1:21" ht="18.75" x14ac:dyDescent="0.25">
      <c r="A179" s="128"/>
      <c r="B179" s="40"/>
      <c r="C179" s="40"/>
      <c r="D179" s="41" t="s">
        <v>23</v>
      </c>
      <c r="E179" s="40"/>
      <c r="F179" s="40"/>
      <c r="G179" s="42"/>
      <c r="H179" s="137" t="s">
        <v>14</v>
      </c>
      <c r="I179" s="135"/>
      <c r="J179" s="135"/>
      <c r="K179" s="136"/>
      <c r="L179" s="1356">
        <f ca="1">L180+L181</f>
        <v>0</v>
      </c>
      <c r="M179" s="224">
        <f ca="1">M180+M181</f>
        <v>0</v>
      </c>
      <c r="N179" s="224">
        <f ca="1">N180+N181</f>
        <v>0</v>
      </c>
      <c r="O179" s="224">
        <f ca="1">IF(L179&gt;0,N179*100/L179,0)</f>
        <v>0</v>
      </c>
      <c r="P179" s="224">
        <f ca="1">IF(M179&gt;0,N179*100/M179,0)</f>
        <v>0</v>
      </c>
      <c r="Q179" s="224">
        <f>Q180+Q181</f>
        <v>0</v>
      </c>
      <c r="R179" s="224">
        <f>R180+R181</f>
        <v>0</v>
      </c>
      <c r="S179" s="224">
        <f>S180+S181</f>
        <v>0</v>
      </c>
      <c r="T179" s="224">
        <f>IF(Q179&gt;0,S179*100/Q179,0)</f>
        <v>0</v>
      </c>
      <c r="U179" s="224">
        <f>IF(R179&gt;0,S179*100/R179,0)</f>
        <v>0</v>
      </c>
    </row>
    <row r="180" spans="1:21" ht="18.75" x14ac:dyDescent="0.25">
      <c r="A180" s="128"/>
      <c r="B180" s="40"/>
      <c r="C180" s="40"/>
      <c r="D180" s="40"/>
      <c r="E180" s="156" t="s">
        <v>20</v>
      </c>
      <c r="F180" s="40"/>
      <c r="G180" s="42"/>
      <c r="H180" s="159" t="s">
        <v>14</v>
      </c>
      <c r="I180" s="135"/>
      <c r="J180" s="135"/>
      <c r="K180" s="136"/>
      <c r="L180" s="1358">
        <v>0</v>
      </c>
      <c r="M180" s="83">
        <v>0</v>
      </c>
      <c r="N180" s="83">
        <v>0</v>
      </c>
      <c r="O180" s="83">
        <f>IF(L180&gt;0,N180*100/L180,0)</f>
        <v>0</v>
      </c>
      <c r="P180" s="83">
        <f>IF(M180&gt;0,N180*100/M180,0)</f>
        <v>0</v>
      </c>
      <c r="Q180" s="83">
        <v>0</v>
      </c>
      <c r="R180" s="83">
        <v>0</v>
      </c>
      <c r="S180" s="83">
        <v>0</v>
      </c>
      <c r="T180" s="83">
        <f>IF(Q180&gt;0,S180*100/Q180,0)</f>
        <v>0</v>
      </c>
      <c r="U180" s="83">
        <f>IF(R180&gt;0,S180*100/R180,0)</f>
        <v>0</v>
      </c>
    </row>
    <row r="181" spans="1:21" ht="18.75" x14ac:dyDescent="0.25">
      <c r="A181" s="128"/>
      <c r="B181" s="40"/>
      <c r="C181" s="40"/>
      <c r="D181" s="40"/>
      <c r="E181" s="47" t="s">
        <v>21</v>
      </c>
      <c r="F181" s="40"/>
      <c r="G181" s="42"/>
      <c r="H181" s="137" t="s">
        <v>14</v>
      </c>
      <c r="I181" s="135"/>
      <c r="J181" s="135"/>
      <c r="K181" s="136"/>
      <c r="L181" s="1356">
        <f ca="1">IFERROR(__xludf.DUMMYFUNCTION("IMPORTRANGE(""https://docs.google.com/spreadsheets/d/1-uDff_7J0KD5mKrp0Vvzr7lt3OU09vwQwhkpOPPYv2Y/edit?usp=sharing"",""งบพรบ!CN29"")"),0)</f>
        <v>0</v>
      </c>
      <c r="M181" s="224">
        <f ca="1">IFERROR(__xludf.DUMMYFUNCTION("IMPORTRANGE(""https://docs.google.com/spreadsheets/d/1-uDff_7J0KD5mKrp0Vvzr7lt3OU09vwQwhkpOPPYv2Y/edit?usp=sharing"",""งบพรบ!CQ29"")"),0)</f>
        <v>0</v>
      </c>
      <c r="N181" s="224">
        <f ca="1">IFERROR(__xludf.DUMMYFUNCTION("IMPORTRANGE(""https://docs.google.com/spreadsheets/d/1-uDff_7J0KD5mKrp0Vvzr7lt3OU09vwQwhkpOPPYv2Y/edit?usp=sharing"",""งบพรบ!CS29"")"),0)</f>
        <v>0</v>
      </c>
      <c r="O181" s="224">
        <f ca="1">IF(L181&gt;0,N181*100/L181,0)</f>
        <v>0</v>
      </c>
      <c r="P181" s="224">
        <f ca="1">IF(M181&gt;0,N181*100/M181,0)</f>
        <v>0</v>
      </c>
      <c r="Q181" s="224">
        <v>0</v>
      </c>
      <c r="R181" s="224">
        <v>0</v>
      </c>
      <c r="S181" s="224">
        <v>0</v>
      </c>
      <c r="T181" s="224">
        <f>IF(Q181&gt;0,S181*100/Q181,0)</f>
        <v>0</v>
      </c>
      <c r="U181" s="224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1391" t="s">
        <v>38</v>
      </c>
      <c r="E182" s="141"/>
      <c r="F182" s="141"/>
      <c r="G182" s="142"/>
      <c r="H182" s="178"/>
      <c r="I182" s="44"/>
      <c r="J182" s="44"/>
      <c r="K182" s="45"/>
      <c r="L182" s="1359"/>
      <c r="M182" s="45"/>
      <c r="N182" s="45"/>
      <c r="O182" s="45"/>
      <c r="P182" s="45"/>
      <c r="Q182" s="45"/>
      <c r="R182" s="45"/>
      <c r="S182" s="45"/>
      <c r="T182" s="45"/>
      <c r="U182" s="45"/>
    </row>
    <row r="183" spans="1:21" ht="18.75" x14ac:dyDescent="0.25">
      <c r="A183" s="208"/>
      <c r="B183" s="40"/>
      <c r="C183" s="158"/>
      <c r="D183" s="209" t="s">
        <v>75</v>
      </c>
      <c r="E183" s="40"/>
      <c r="F183" s="40"/>
      <c r="G183" s="42"/>
      <c r="H183" s="210" t="s">
        <v>35</v>
      </c>
      <c r="I183" s="184">
        <f ca="1">IFERROR(__xludf.DUMMYFUNCTION("IMPORTRANGE(""https://docs.google.com/spreadsheets/d/1eHaY18a8A9IcSdp1K8H6x8fbOy06t2VsZHhMHf-1x7Y/edit?usp=sharing"",""แผน!AA29"")"),7)</f>
        <v>7</v>
      </c>
      <c r="J183" s="1395">
        <v>7</v>
      </c>
      <c r="K183" s="224">
        <f ca="1">IF(I183&gt;0,J183*100/I183,0)</f>
        <v>100</v>
      </c>
      <c r="L183" s="1359"/>
      <c r="M183" s="45"/>
      <c r="N183" s="45"/>
      <c r="O183" s="45"/>
      <c r="P183" s="45"/>
      <c r="Q183" s="45"/>
      <c r="R183" s="45"/>
      <c r="S183" s="45"/>
      <c r="T183" s="45"/>
      <c r="U183" s="45"/>
    </row>
    <row r="184" spans="1:21" ht="18.75" x14ac:dyDescent="0.25">
      <c r="A184" s="208"/>
      <c r="B184" s="158"/>
      <c r="C184" s="158"/>
      <c r="D184" s="314" t="s">
        <v>76</v>
      </c>
      <c r="E184" s="40"/>
      <c r="F184" s="40"/>
      <c r="G184" s="42"/>
      <c r="H184" s="1415" t="s">
        <v>35</v>
      </c>
      <c r="I184" s="423">
        <v>0</v>
      </c>
      <c r="J184" s="423">
        <v>0</v>
      </c>
      <c r="K184" s="83">
        <f>IF(I184&gt;0,J184*100/I184,0)</f>
        <v>0</v>
      </c>
      <c r="L184" s="1359"/>
      <c r="M184" s="45"/>
      <c r="N184" s="45"/>
      <c r="O184" s="45"/>
      <c r="P184" s="45"/>
      <c r="Q184" s="45"/>
      <c r="R184" s="45"/>
      <c r="S184" s="45"/>
      <c r="T184" s="45"/>
      <c r="U184" s="45"/>
    </row>
    <row r="185" spans="1:21" ht="19.5" x14ac:dyDescent="0.3">
      <c r="A185" s="201"/>
      <c r="B185" s="202" t="s">
        <v>77</v>
      </c>
      <c r="C185" s="203"/>
      <c r="D185" s="141"/>
      <c r="E185" s="141"/>
      <c r="F185" s="141"/>
      <c r="G185" s="142"/>
      <c r="H185" s="204" t="s">
        <v>35</v>
      </c>
      <c r="I185" s="1412">
        <f ca="1">I230+I231</f>
        <v>0</v>
      </c>
      <c r="J185" s="1412">
        <f>J230+J231</f>
        <v>0</v>
      </c>
      <c r="K185" s="1413">
        <f ca="1">IF(I185&gt;0,J185*100/I185,0)</f>
        <v>0</v>
      </c>
      <c r="L185" s="1414"/>
      <c r="M185" s="207"/>
      <c r="N185" s="207"/>
      <c r="O185" s="207"/>
      <c r="P185" s="207"/>
      <c r="Q185" s="207"/>
      <c r="R185" s="207"/>
      <c r="S185" s="207"/>
      <c r="T185" s="207"/>
      <c r="U185" s="207"/>
    </row>
    <row r="186" spans="1:21" ht="19.5" x14ac:dyDescent="0.3">
      <c r="A186" s="128"/>
      <c r="B186" s="40"/>
      <c r="C186" s="129" t="s">
        <v>18</v>
      </c>
      <c r="D186" s="1388" t="s">
        <v>19</v>
      </c>
      <c r="E186" s="40"/>
      <c r="F186" s="40"/>
      <c r="G186" s="42"/>
      <c r="H186" s="131" t="s">
        <v>14</v>
      </c>
      <c r="I186" s="44"/>
      <c r="J186" s="44"/>
      <c r="K186" s="45"/>
      <c r="L186" s="1389">
        <f ca="1">L187+L188</f>
        <v>129500</v>
      </c>
      <c r="M186" s="1390">
        <f ca="1">M187+M188</f>
        <v>129500</v>
      </c>
      <c r="N186" s="1390">
        <f ca="1">N187+N188</f>
        <v>95129.55</v>
      </c>
      <c r="O186" s="1390">
        <f ca="1">IF(L186&gt;0,N186*100/L186,0)</f>
        <v>73.459111969111973</v>
      </c>
      <c r="P186" s="1390">
        <f ca="1">IF(M186&gt;0,N186*100/M186,0)</f>
        <v>73.459111969111973</v>
      </c>
      <c r="Q186" s="1390">
        <f ca="1">Q187+Q188</f>
        <v>91700</v>
      </c>
      <c r="R186" s="1390">
        <f ca="1">R187+R188</f>
        <v>91700</v>
      </c>
      <c r="S186" s="1390">
        <f ca="1">S187+S188</f>
        <v>25650</v>
      </c>
      <c r="T186" s="1390">
        <f ca="1">IF(Q186&gt;0,S186*100/Q186,0)</f>
        <v>27.97164667393675</v>
      </c>
      <c r="U186" s="1390">
        <f ca="1">IF(R186&gt;0,S186*100/R186,0)</f>
        <v>27.97164667393675</v>
      </c>
    </row>
    <row r="187" spans="1:21" ht="18.75" x14ac:dyDescent="0.25">
      <c r="A187" s="128"/>
      <c r="B187" s="40"/>
      <c r="C187" s="40"/>
      <c r="D187" s="40"/>
      <c r="E187" s="156" t="s">
        <v>20</v>
      </c>
      <c r="F187" s="40"/>
      <c r="G187" s="42"/>
      <c r="H187" s="157" t="s">
        <v>14</v>
      </c>
      <c r="I187" s="44"/>
      <c r="J187" s="44"/>
      <c r="K187" s="45"/>
      <c r="L187" s="1358">
        <f>L190+L193</f>
        <v>0</v>
      </c>
      <c r="M187" s="83">
        <f>M190+M193</f>
        <v>0</v>
      </c>
      <c r="N187" s="83">
        <f>N190+N193</f>
        <v>0</v>
      </c>
      <c r="O187" s="83">
        <f>IF(L187&gt;0,N187*100/L187,0)</f>
        <v>0</v>
      </c>
      <c r="P187" s="83">
        <f>IF(M187&gt;0,N187*100/M187,0)</f>
        <v>0</v>
      </c>
      <c r="Q187" s="83">
        <f>Q190+Q193</f>
        <v>0</v>
      </c>
      <c r="R187" s="83">
        <f>R190+R193</f>
        <v>0</v>
      </c>
      <c r="S187" s="83">
        <f>S190+S193</f>
        <v>0</v>
      </c>
      <c r="T187" s="83">
        <f>IF(Q187&gt;0,S187*100/Q187,0)</f>
        <v>0</v>
      </c>
      <c r="U187" s="83">
        <f>IF(R187&gt;0,S187*100/R187,0)</f>
        <v>0</v>
      </c>
    </row>
    <row r="188" spans="1:21" ht="18.75" x14ac:dyDescent="0.25">
      <c r="A188" s="128"/>
      <c r="B188" s="40"/>
      <c r="C188" s="40"/>
      <c r="D188" s="40"/>
      <c r="E188" s="47" t="s">
        <v>21</v>
      </c>
      <c r="F188" s="40"/>
      <c r="G188" s="42"/>
      <c r="H188" s="133" t="s">
        <v>14</v>
      </c>
      <c r="I188" s="44"/>
      <c r="J188" s="44"/>
      <c r="K188" s="45"/>
      <c r="L188" s="1356">
        <f ca="1">L191+L194</f>
        <v>129500</v>
      </c>
      <c r="M188" s="224">
        <f ca="1">M191+M194</f>
        <v>129500</v>
      </c>
      <c r="N188" s="224">
        <f ca="1">N191+N194</f>
        <v>95129.55</v>
      </c>
      <c r="O188" s="224">
        <f ca="1">IF(L188&gt;0,N188*100/L188,0)</f>
        <v>73.459111969111973</v>
      </c>
      <c r="P188" s="224">
        <f ca="1">IF(M188&gt;0,N188*100/M188,0)</f>
        <v>73.459111969111973</v>
      </c>
      <c r="Q188" s="224">
        <f ca="1">Q191+Q194</f>
        <v>91700</v>
      </c>
      <c r="R188" s="224">
        <f ca="1">R191+R194</f>
        <v>91700</v>
      </c>
      <c r="S188" s="224">
        <f ca="1">S191+S194</f>
        <v>25650</v>
      </c>
      <c r="T188" s="224">
        <f ca="1">IF(Q188&gt;0,S188*100/Q188,0)</f>
        <v>27.97164667393675</v>
      </c>
      <c r="U188" s="224">
        <f ca="1">IF(R188&gt;0,S188*100/R188,0)</f>
        <v>27.97164667393675</v>
      </c>
    </row>
    <row r="189" spans="1:21" ht="18.75" x14ac:dyDescent="0.25">
      <c r="A189" s="128"/>
      <c r="B189" s="40"/>
      <c r="C189" s="40"/>
      <c r="D189" s="41" t="s">
        <v>22</v>
      </c>
      <c r="E189" s="40"/>
      <c r="F189" s="40"/>
      <c r="G189" s="42"/>
      <c r="H189" s="134" t="s">
        <v>14</v>
      </c>
      <c r="I189" s="135"/>
      <c r="J189" s="135"/>
      <c r="K189" s="136"/>
      <c r="L189" s="1356">
        <f ca="1">L190+L191</f>
        <v>129500</v>
      </c>
      <c r="M189" s="224">
        <f ca="1">M190+M191</f>
        <v>129500</v>
      </c>
      <c r="N189" s="224">
        <f ca="1">N190+N191</f>
        <v>95129.55</v>
      </c>
      <c r="O189" s="224">
        <f ca="1">IF(L189&gt;0,N189*100/L189,0)</f>
        <v>73.459111969111973</v>
      </c>
      <c r="P189" s="224">
        <f ca="1">IF(M189&gt;0,N189*100/M189,0)</f>
        <v>73.459111969111973</v>
      </c>
      <c r="Q189" s="224">
        <f ca="1">Q190+Q191</f>
        <v>91700</v>
      </c>
      <c r="R189" s="224">
        <f ca="1">R190+R191</f>
        <v>91700</v>
      </c>
      <c r="S189" s="224">
        <f ca="1">S190+S191</f>
        <v>25650</v>
      </c>
      <c r="T189" s="224">
        <f ca="1">IF(Q189&gt;0,S189*100/Q189,0)</f>
        <v>27.97164667393675</v>
      </c>
      <c r="U189" s="224">
        <f ca="1">IF(R189&gt;0,S189*100/R189,0)</f>
        <v>27.97164667393675</v>
      </c>
    </row>
    <row r="190" spans="1:21" ht="18.75" x14ac:dyDescent="0.25">
      <c r="A190" s="128"/>
      <c r="B190" s="40"/>
      <c r="C190" s="40"/>
      <c r="D190" s="40"/>
      <c r="E190" s="156" t="s">
        <v>36</v>
      </c>
      <c r="F190" s="40"/>
      <c r="G190" s="42"/>
      <c r="H190" s="159" t="s">
        <v>14</v>
      </c>
      <c r="I190" s="135"/>
      <c r="J190" s="135"/>
      <c r="K190" s="136"/>
      <c r="L190" s="1358">
        <v>0</v>
      </c>
      <c r="M190" s="83">
        <v>0</v>
      </c>
      <c r="N190" s="83">
        <v>0</v>
      </c>
      <c r="O190" s="83">
        <f>IF(L190&gt;0,N190*100/L190,0)</f>
        <v>0</v>
      </c>
      <c r="P190" s="83">
        <f>IF(M190&gt;0,N190*100/M190,0)</f>
        <v>0</v>
      </c>
      <c r="Q190" s="83">
        <v>0</v>
      </c>
      <c r="R190" s="83">
        <v>0</v>
      </c>
      <c r="S190" s="83">
        <v>0</v>
      </c>
      <c r="T190" s="83">
        <f>IF(Q190&gt;0,S190*100/Q190,0)</f>
        <v>0</v>
      </c>
      <c r="U190" s="83">
        <f>IF(R190&gt;0,S190*100/R190,0)</f>
        <v>0</v>
      </c>
    </row>
    <row r="191" spans="1:21" ht="18.75" x14ac:dyDescent="0.25">
      <c r="A191" s="128"/>
      <c r="B191" s="40"/>
      <c r="C191" s="40"/>
      <c r="D191" s="40"/>
      <c r="E191" s="47" t="s">
        <v>37</v>
      </c>
      <c r="F191" s="40"/>
      <c r="G191" s="42"/>
      <c r="H191" s="134" t="s">
        <v>14</v>
      </c>
      <c r="I191" s="135"/>
      <c r="J191" s="135"/>
      <c r="K191" s="136"/>
      <c r="L191" s="1356">
        <f ca="1">IFERROR(__xludf.DUMMYFUNCTION("IMPORTRANGE(""https://docs.google.com/spreadsheets/d/1-uDff_7J0KD5mKrp0Vvzr7lt3OU09vwQwhkpOPPYv2Y/edit?usp=sharing"",""งบพรบ!CU29"")"),129500)</f>
        <v>129500</v>
      </c>
      <c r="M191" s="224">
        <f ca="1">IFERROR(__xludf.DUMMYFUNCTION("IMPORTRANGE(""https://docs.google.com/spreadsheets/d/1-uDff_7J0KD5mKrp0Vvzr7lt3OU09vwQwhkpOPPYv2Y/edit?usp=sharing"",""งบพรบ!CZ29"")"),129500)</f>
        <v>129500</v>
      </c>
      <c r="N191" s="224">
        <f ca="1">IFERROR(__xludf.DUMMYFUNCTION("IMPORTRANGE(""https://docs.google.com/spreadsheets/d/1-uDff_7J0KD5mKrp0Vvzr7lt3OU09vwQwhkpOPPYv2Y/edit?usp=sharing"",""งบพรบ!DB29"")"),95129.55)</f>
        <v>95129.55</v>
      </c>
      <c r="O191" s="224">
        <f ca="1">IF(L191&gt;0,N191*100/L191,0)</f>
        <v>73.459111969111973</v>
      </c>
      <c r="P191" s="224">
        <f ca="1">IF(M191&gt;0,N191*100/M191,0)</f>
        <v>73.459111969111973</v>
      </c>
      <c r="Q191" s="224">
        <f ca="1">IFERROR(__xludf.DUMMYFUNCTION("IMPORTRANGE(""https://docs.google.com/spreadsheets/d/1ItG2mGa2ceCfYo0BwxsXqNm01IGEUdYcSSLTEv9YCik/edit?usp=sharing"",""เบิกจ่ายกองทุน!BQ29"")"),91700)</f>
        <v>91700</v>
      </c>
      <c r="R191" s="224">
        <f ca="1">IFERROR(__xludf.DUMMYFUNCTION("IMPORTRANGE(""https://docs.google.com/spreadsheets/d/1ItG2mGa2ceCfYo0BwxsXqNm01IGEUdYcSSLTEv9YCik/edit?usp=sharing"",""เบิกจ่ายกองทุน!BR29"")"),91700)</f>
        <v>91700</v>
      </c>
      <c r="S191" s="224">
        <f ca="1">IFERROR(__xludf.DUMMYFUNCTION("IMPORTRANGE(""https://docs.google.com/spreadsheets/d/1ItG2mGa2ceCfYo0BwxsXqNm01IGEUdYcSSLTEv9YCik/edit?usp=sharing"",""เบิกจ่ายกองทุน!BS29"")"),25650)</f>
        <v>25650</v>
      </c>
      <c r="T191" s="224">
        <f ca="1">IF(Q191&gt;0,S191*100/Q191,0)</f>
        <v>27.97164667393675</v>
      </c>
      <c r="U191" s="224">
        <f ca="1">IF(R191&gt;0,S191*100/R191,0)</f>
        <v>27.97164667393675</v>
      </c>
    </row>
    <row r="192" spans="1:21" ht="18.75" x14ac:dyDescent="0.25">
      <c r="A192" s="128"/>
      <c r="B192" s="40"/>
      <c r="C192" s="40"/>
      <c r="D192" s="41" t="s">
        <v>23</v>
      </c>
      <c r="E192" s="40"/>
      <c r="F192" s="40"/>
      <c r="G192" s="42"/>
      <c r="H192" s="137" t="s">
        <v>14</v>
      </c>
      <c r="I192" s="135"/>
      <c r="J192" s="135"/>
      <c r="K192" s="136"/>
      <c r="L192" s="1356">
        <f ca="1">L193+L194</f>
        <v>0</v>
      </c>
      <c r="M192" s="224">
        <f ca="1">M193+M194</f>
        <v>0</v>
      </c>
      <c r="N192" s="224">
        <f ca="1">N193+N194</f>
        <v>0</v>
      </c>
      <c r="O192" s="224">
        <f ca="1">IF(L192&gt;0,N192*100/L192,0)</f>
        <v>0</v>
      </c>
      <c r="P192" s="224">
        <f ca="1">IF(M192&gt;0,N192*100/M192,0)</f>
        <v>0</v>
      </c>
      <c r="Q192" s="224">
        <f ca="1">Q193+Q194</f>
        <v>0</v>
      </c>
      <c r="R192" s="224">
        <f ca="1">R193+R194</f>
        <v>0</v>
      </c>
      <c r="S192" s="224">
        <f ca="1">S193+S194</f>
        <v>0</v>
      </c>
      <c r="T192" s="224">
        <f ca="1">IF(Q192&gt;0,S192*100/Q192,0)</f>
        <v>0</v>
      </c>
      <c r="U192" s="224">
        <f ca="1">IF(R192&gt;0,S192*100/R192,0)</f>
        <v>0</v>
      </c>
    </row>
    <row r="193" spans="1:21" ht="18.75" x14ac:dyDescent="0.25">
      <c r="A193" s="128"/>
      <c r="B193" s="40"/>
      <c r="C193" s="40"/>
      <c r="D193" s="40"/>
      <c r="E193" s="156" t="s">
        <v>20</v>
      </c>
      <c r="F193" s="40"/>
      <c r="G193" s="42"/>
      <c r="H193" s="159" t="s">
        <v>14</v>
      </c>
      <c r="I193" s="135"/>
      <c r="J193" s="135"/>
      <c r="K193" s="136"/>
      <c r="L193" s="1358">
        <v>0</v>
      </c>
      <c r="M193" s="83">
        <v>0</v>
      </c>
      <c r="N193" s="83">
        <v>0</v>
      </c>
      <c r="O193" s="83">
        <f>IF(L193&gt;0,N193*100/L193,0)</f>
        <v>0</v>
      </c>
      <c r="P193" s="83">
        <f>IF(M193&gt;0,N193*100/M193,0)</f>
        <v>0</v>
      </c>
      <c r="Q193" s="83">
        <v>0</v>
      </c>
      <c r="R193" s="83">
        <v>0</v>
      </c>
      <c r="S193" s="83">
        <v>0</v>
      </c>
      <c r="T193" s="83">
        <f>IF(Q193&gt;0,S193*100/Q193,0)</f>
        <v>0</v>
      </c>
      <c r="U193" s="83">
        <f>IF(R193&gt;0,S193*100/R193,0)</f>
        <v>0</v>
      </c>
    </row>
    <row r="194" spans="1:21" ht="18.75" x14ac:dyDescent="0.25">
      <c r="A194" s="128"/>
      <c r="B194" s="40"/>
      <c r="C194" s="40"/>
      <c r="D194" s="40"/>
      <c r="E194" s="47" t="s">
        <v>21</v>
      </c>
      <c r="F194" s="40"/>
      <c r="G194" s="42"/>
      <c r="H194" s="137" t="s">
        <v>14</v>
      </c>
      <c r="I194" s="135"/>
      <c r="J194" s="135"/>
      <c r="K194" s="136"/>
      <c r="L194" s="1356">
        <f ca="1">IFERROR(__xludf.DUMMYFUNCTION("IMPORTRANGE(""https://docs.google.com/spreadsheets/d/1-uDff_7J0KD5mKrp0Vvzr7lt3OU09vwQwhkpOPPYv2Y/edit?usp=sharing"",""งบพรบ!CX29"")"),0)</f>
        <v>0</v>
      </c>
      <c r="M194" s="224">
        <f ca="1">IFERROR(__xludf.DUMMYFUNCTION("IMPORTRANGE(""https://docs.google.com/spreadsheets/d/1-uDff_7J0KD5mKrp0Vvzr7lt3OU09vwQwhkpOPPYv2Y/edit?usp=sharing"",""งบพรบ!DA29"")"),0)</f>
        <v>0</v>
      </c>
      <c r="N194" s="224">
        <f ca="1">IFERROR(__xludf.DUMMYFUNCTION("IMPORTRANGE(""https://docs.google.com/spreadsheets/d/1-uDff_7J0KD5mKrp0Vvzr7lt3OU09vwQwhkpOPPYv2Y/edit?usp=sharing"",""งบพรบ!DC29"")"),0)</f>
        <v>0</v>
      </c>
      <c r="O194" s="224">
        <f ca="1">IF(L194&gt;0,N194*100/L194,0)</f>
        <v>0</v>
      </c>
      <c r="P194" s="224">
        <f ca="1">IF(M194&gt;0,N194*100/M194,0)</f>
        <v>0</v>
      </c>
      <c r="Q194" s="224">
        <f ca="1">IFERROR(__xludf.DUMMYFUNCTION("IMPORTRANGE(""https://docs.google.com/spreadsheets/d/1ItG2mGa2ceCfYo0BwxsXqNm01IGEUdYcSSLTEv9YCik/edit?usp=sharing"",""เบิกจ่ายกองทุน!BT29"")"),0)</f>
        <v>0</v>
      </c>
      <c r="R194" s="224">
        <f ca="1">IFERROR(__xludf.DUMMYFUNCTION("IMPORTRANGE(""https://docs.google.com/spreadsheets/d/1ItG2mGa2ceCfYo0BwxsXqNm01IGEUdYcSSLTEv9YCik/edit?usp=sharing"",""เบิกจ่ายกองทุน!BU29"")"),0)</f>
        <v>0</v>
      </c>
      <c r="S194" s="224">
        <f ca="1">IFERROR(__xludf.DUMMYFUNCTION("IMPORTRANGE(""https://docs.google.com/spreadsheets/d/1ItG2mGa2ceCfYo0BwxsXqNm01IGEUdYcSSLTEv9YCik/edit?usp=sharing"",""เบิกจ่ายกองทุน!BV29"")"),0)</f>
        <v>0</v>
      </c>
      <c r="T194" s="224">
        <f ca="1">IF(Q194&gt;0,S194*100/Q194,0)</f>
        <v>0</v>
      </c>
      <c r="U194" s="224">
        <f ca="1">IF(R194&gt;0,S194*100/R194,0)</f>
        <v>0</v>
      </c>
    </row>
    <row r="195" spans="1:21" ht="19.5" x14ac:dyDescent="0.3">
      <c r="A195" s="211"/>
      <c r="B195" s="212"/>
      <c r="C195" s="213" t="s">
        <v>78</v>
      </c>
      <c r="D195" s="214"/>
      <c r="E195" s="214"/>
      <c r="F195" s="214"/>
      <c r="G195" s="215"/>
      <c r="H195" s="216" t="s">
        <v>79</v>
      </c>
      <c r="I195" s="303">
        <f ca="1">I198</f>
        <v>4</v>
      </c>
      <c r="J195" s="303">
        <f>J198</f>
        <v>2</v>
      </c>
      <c r="K195" s="304">
        <f ca="1">IF(I195&gt;0,J195*100/I195,0)</f>
        <v>50</v>
      </c>
      <c r="L195" s="1416"/>
      <c r="M195" s="219"/>
      <c r="N195" s="219"/>
      <c r="O195" s="219"/>
      <c r="P195" s="219"/>
      <c r="Q195" s="219"/>
      <c r="R195" s="219"/>
      <c r="S195" s="219"/>
      <c r="T195" s="219"/>
      <c r="U195" s="219"/>
    </row>
    <row r="196" spans="1:21" ht="19.5" x14ac:dyDescent="0.3">
      <c r="A196" s="128"/>
      <c r="B196" s="40"/>
      <c r="C196" s="129" t="s">
        <v>18</v>
      </c>
      <c r="D196" s="1417" t="s">
        <v>19</v>
      </c>
      <c r="E196" s="40"/>
      <c r="F196" s="40"/>
      <c r="G196" s="42"/>
      <c r="H196" s="221" t="s">
        <v>14</v>
      </c>
      <c r="I196" s="44"/>
      <c r="J196" s="44"/>
      <c r="K196" s="45"/>
      <c r="L196" s="1389">
        <f ca="1">IFERROR(__xludf.DUMMYFUNCTION("IMPORTRANGE(""https://docs.google.com/spreadsheets/d/1eHaY18a8A9IcSdp1K8H6x8fbOy06t2VsZHhMHf-1x7Y/edit?usp=sharing"",""แผน!AB29"")"),6000)</f>
        <v>6000</v>
      </c>
      <c r="M196" s="45"/>
      <c r="N196" s="1418">
        <v>0</v>
      </c>
      <c r="O196" s="1390">
        <f ca="1">IF(L196&gt;0,N196*100/L196,0)</f>
        <v>0</v>
      </c>
      <c r="P196" s="1390">
        <f>IF(M196&gt;0,N196*100/M196,0)</f>
        <v>0</v>
      </c>
      <c r="Q196" s="45"/>
      <c r="R196" s="45"/>
      <c r="S196" s="45"/>
      <c r="T196" s="45"/>
      <c r="U196" s="45"/>
    </row>
    <row r="197" spans="1:21" ht="19.5" x14ac:dyDescent="0.3">
      <c r="A197" s="138"/>
      <c r="B197" s="139"/>
      <c r="C197" s="129" t="s">
        <v>18</v>
      </c>
      <c r="D197" s="1391" t="s">
        <v>38</v>
      </c>
      <c r="E197" s="141"/>
      <c r="F197" s="141"/>
      <c r="G197" s="142"/>
      <c r="H197" s="143"/>
      <c r="I197" s="44"/>
      <c r="J197" s="44"/>
      <c r="K197" s="45"/>
      <c r="L197" s="1359"/>
      <c r="M197" s="45"/>
      <c r="N197" s="45"/>
      <c r="O197" s="45"/>
      <c r="P197" s="45"/>
      <c r="Q197" s="45"/>
      <c r="R197" s="45"/>
      <c r="S197" s="45"/>
      <c r="T197" s="45"/>
      <c r="U197" s="45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84">
        <f ca="1">IFERROR(__xludf.DUMMYFUNCTION("IMPORTRANGE(""https://docs.google.com/spreadsheets/d/1eHaY18a8A9IcSdp1K8H6x8fbOy06t2VsZHhMHf-1x7Y/edit?usp=sharing"",""แผน!AE29"")"),4)</f>
        <v>4</v>
      </c>
      <c r="J198" s="1395">
        <v>2</v>
      </c>
      <c r="K198" s="224">
        <f ca="1">IF(I198&gt;0,J198*100/I198,0)</f>
        <v>50</v>
      </c>
      <c r="L198" s="1359"/>
      <c r="M198" s="45"/>
      <c r="N198" s="45"/>
      <c r="O198" s="45"/>
      <c r="P198" s="45"/>
      <c r="Q198" s="45"/>
      <c r="R198" s="45"/>
      <c r="S198" s="45"/>
      <c r="T198" s="45"/>
      <c r="U198" s="45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0" t="s">
        <v>35</v>
      </c>
      <c r="I199" s="44"/>
      <c r="J199" s="184">
        <f>J200+J201</f>
        <v>91</v>
      </c>
      <c r="K199" s="45"/>
      <c r="L199" s="1359"/>
      <c r="M199" s="45"/>
      <c r="N199" s="45"/>
      <c r="O199" s="45"/>
      <c r="P199" s="45"/>
      <c r="Q199" s="45"/>
      <c r="R199" s="45"/>
      <c r="S199" s="45"/>
      <c r="T199" s="45"/>
      <c r="U199" s="45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0" t="s">
        <v>35</v>
      </c>
      <c r="I200" s="44"/>
      <c r="J200" s="1395">
        <v>91</v>
      </c>
      <c r="K200" s="45"/>
      <c r="L200" s="1359"/>
      <c r="M200" s="45"/>
      <c r="N200" s="45"/>
      <c r="O200" s="45"/>
      <c r="P200" s="45"/>
      <c r="Q200" s="45"/>
      <c r="R200" s="45"/>
      <c r="S200" s="45"/>
      <c r="T200" s="45"/>
      <c r="U200" s="45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0" t="s">
        <v>35</v>
      </c>
      <c r="I201" s="44"/>
      <c r="J201" s="1395">
        <v>0</v>
      </c>
      <c r="K201" s="45"/>
      <c r="L201" s="1359"/>
      <c r="M201" s="45"/>
      <c r="N201" s="45"/>
      <c r="O201" s="45"/>
      <c r="P201" s="45"/>
      <c r="Q201" s="45"/>
      <c r="R201" s="45"/>
      <c r="S201" s="45"/>
      <c r="T201" s="45"/>
      <c r="U201" s="45"/>
    </row>
    <row r="202" spans="1:21" ht="19.5" x14ac:dyDescent="0.3">
      <c r="A202" s="211"/>
      <c r="B202" s="212"/>
      <c r="C202" s="213" t="s">
        <v>84</v>
      </c>
      <c r="D202" s="214"/>
      <c r="E202" s="214"/>
      <c r="F202" s="214"/>
      <c r="G202" s="215"/>
      <c r="H202" s="223" t="s">
        <v>85</v>
      </c>
      <c r="I202" s="303">
        <f ca="1">I209</f>
        <v>3</v>
      </c>
      <c r="J202" s="303">
        <f>J209</f>
        <v>3</v>
      </c>
      <c r="K202" s="304">
        <f ca="1">IF(I202&gt;0,J202*100/I202,0)</f>
        <v>100</v>
      </c>
      <c r="L202" s="1416"/>
      <c r="M202" s="219"/>
      <c r="N202" s="219"/>
      <c r="O202" s="219"/>
      <c r="P202" s="219"/>
      <c r="Q202" s="219"/>
      <c r="R202" s="219"/>
      <c r="S202" s="219"/>
      <c r="T202" s="219"/>
      <c r="U202" s="219"/>
    </row>
    <row r="203" spans="1:21" ht="19.5" x14ac:dyDescent="0.3">
      <c r="A203" s="128"/>
      <c r="B203" s="40"/>
      <c r="C203" s="129" t="s">
        <v>18</v>
      </c>
      <c r="D203" s="1417" t="s">
        <v>19</v>
      </c>
      <c r="E203" s="40"/>
      <c r="F203" s="40"/>
      <c r="G203" s="42"/>
      <c r="H203" s="221" t="s">
        <v>14</v>
      </c>
      <c r="I203" s="135"/>
      <c r="J203" s="135"/>
      <c r="K203" s="136"/>
      <c r="L203" s="1389">
        <f ca="1">L204+L205+L206+L207</f>
        <v>20000</v>
      </c>
      <c r="M203" s="45"/>
      <c r="N203" s="1390">
        <f>N204+N205+N206+N207</f>
        <v>0</v>
      </c>
      <c r="O203" s="1390">
        <f ca="1">IF(L203&gt;0,N203*100/L203,0)</f>
        <v>0</v>
      </c>
      <c r="P203" s="1390">
        <f>IF(M203&gt;0,N203*100/M203,0)</f>
        <v>0</v>
      </c>
      <c r="Q203" s="1419">
        <f ca="1">Q204+Q205+Q206+Q207</f>
        <v>42000</v>
      </c>
      <c r="R203" s="373"/>
      <c r="S203" s="1420">
        <f>S204+S205+S206+S207</f>
        <v>0</v>
      </c>
      <c r="T203" s="1420">
        <f ca="1">IF(Q203&gt;0,S203*100/Q203,0)</f>
        <v>0</v>
      </c>
      <c r="U203" s="1420">
        <f>IF(R203&gt;0,S203*100/R203,0)</f>
        <v>0</v>
      </c>
    </row>
    <row r="204" spans="1:21" ht="18.75" x14ac:dyDescent="0.25">
      <c r="A204" s="128"/>
      <c r="B204" s="158"/>
      <c r="C204" s="40"/>
      <c r="D204" s="1421" t="s">
        <v>317</v>
      </c>
      <c r="E204" s="40"/>
      <c r="F204" s="40"/>
      <c r="G204" s="42"/>
      <c r="H204" s="134" t="s">
        <v>14</v>
      </c>
      <c r="I204" s="135"/>
      <c r="J204" s="135"/>
      <c r="K204" s="136"/>
      <c r="L204" s="1356">
        <f ca="1">IFERROR(__xludf.DUMMYFUNCTION("IMPORTRANGE(""https://docs.google.com/spreadsheets/d/1eHaY18a8A9IcSdp1K8H6x8fbOy06t2VsZHhMHf-1x7Y/edit?usp=sharing"",""แผน!AG29"")"),3000)</f>
        <v>3000</v>
      </c>
      <c r="M204" s="45"/>
      <c r="N204" s="1422">
        <v>0</v>
      </c>
      <c r="O204" s="136"/>
      <c r="P204" s="45"/>
      <c r="Q204" s="1356">
        <v>0</v>
      </c>
      <c r="R204" s="45"/>
      <c r="S204" s="224">
        <v>0</v>
      </c>
      <c r="T204" s="136"/>
      <c r="U204" s="45"/>
    </row>
    <row r="205" spans="1:21" ht="18.75" x14ac:dyDescent="0.25">
      <c r="A205" s="208"/>
      <c r="B205" s="158"/>
      <c r="C205" s="40"/>
      <c r="D205" s="47" t="s">
        <v>301</v>
      </c>
      <c r="E205" s="40"/>
      <c r="F205" s="40"/>
      <c r="G205" s="42"/>
      <c r="H205" s="43" t="s">
        <v>14</v>
      </c>
      <c r="I205" s="44"/>
      <c r="J205" s="44"/>
      <c r="K205" s="45"/>
      <c r="L205" s="1356">
        <f ca="1">IFERROR(__xludf.DUMMYFUNCTION("IMPORTRANGE(""https://docs.google.com/spreadsheets/d/1eHaY18a8A9IcSdp1K8H6x8fbOy06t2VsZHhMHf-1x7Y/edit?usp=sharing"",""แผน!AH29"")"),0)</f>
        <v>0</v>
      </c>
      <c r="M205" s="45"/>
      <c r="N205" s="1422">
        <v>0</v>
      </c>
      <c r="O205" s="136"/>
      <c r="P205" s="45"/>
      <c r="Q205" s="1356">
        <v>0</v>
      </c>
      <c r="R205" s="45"/>
      <c r="S205" s="224">
        <v>0</v>
      </c>
      <c r="T205" s="136"/>
      <c r="U205" s="45"/>
    </row>
    <row r="206" spans="1:21" ht="18.75" x14ac:dyDescent="0.25">
      <c r="A206" s="208"/>
      <c r="B206" s="158"/>
      <c r="C206" s="40"/>
      <c r="D206" s="47" t="s">
        <v>88</v>
      </c>
      <c r="E206" s="40"/>
      <c r="F206" s="40"/>
      <c r="G206" s="42"/>
      <c r="H206" s="43" t="s">
        <v>14</v>
      </c>
      <c r="I206" s="44"/>
      <c r="J206" s="44"/>
      <c r="K206" s="45"/>
      <c r="L206" s="1356">
        <f ca="1">IFERROR(__xludf.DUMMYFUNCTION("IMPORTRANGE(""https://docs.google.com/spreadsheets/d/1eHaY18a8A9IcSdp1K8H6x8fbOy06t2VsZHhMHf-1x7Y/edit?usp=sharing"",""แผน!AI29"")"),0)</f>
        <v>0</v>
      </c>
      <c r="M206" s="45"/>
      <c r="N206" s="1422">
        <v>0</v>
      </c>
      <c r="O206" s="136"/>
      <c r="P206" s="45"/>
      <c r="Q206" s="1356">
        <f ca="1">IFERROR(__xludf.DUMMYFUNCTION("IMPORTRANGE(""https://docs.google.com/spreadsheets/d/1eHaY18a8A9IcSdp1K8H6x8fbOy06t2VsZHhMHf-1x7Y/edit?usp=sharing"",""แผน!LV29"")"),42000)</f>
        <v>42000</v>
      </c>
      <c r="R206" s="45"/>
      <c r="S206" s="1422">
        <v>0</v>
      </c>
      <c r="T206" s="136"/>
      <c r="U206" s="45"/>
    </row>
    <row r="207" spans="1:21" ht="18.75" x14ac:dyDescent="0.25">
      <c r="A207" s="208"/>
      <c r="B207" s="158"/>
      <c r="C207" s="40"/>
      <c r="D207" s="47" t="s">
        <v>89</v>
      </c>
      <c r="E207" s="40"/>
      <c r="F207" s="40"/>
      <c r="G207" s="42"/>
      <c r="H207" s="43" t="s">
        <v>14</v>
      </c>
      <c r="I207" s="44"/>
      <c r="J207" s="44"/>
      <c r="K207" s="45"/>
      <c r="L207" s="1356">
        <f ca="1">IFERROR(__xludf.DUMMYFUNCTION("IMPORTRANGE(""https://docs.google.com/spreadsheets/d/1eHaY18a8A9IcSdp1K8H6x8fbOy06t2VsZHhMHf-1x7Y/edit?usp=sharing"",""แผน!AJ29"")"),17000)</f>
        <v>17000</v>
      </c>
      <c r="M207" s="45"/>
      <c r="N207" s="1422">
        <v>0</v>
      </c>
      <c r="O207" s="136"/>
      <c r="P207" s="45"/>
      <c r="Q207" s="1356">
        <v>0</v>
      </c>
      <c r="R207" s="45"/>
      <c r="S207" s="224">
        <v>0</v>
      </c>
      <c r="T207" s="136"/>
      <c r="U207" s="45"/>
    </row>
    <row r="208" spans="1:21" ht="19.5" x14ac:dyDescent="0.3">
      <c r="A208" s="138"/>
      <c r="B208" s="139"/>
      <c r="C208" s="129" t="s">
        <v>18</v>
      </c>
      <c r="D208" s="1391" t="s">
        <v>38</v>
      </c>
      <c r="E208" s="141"/>
      <c r="F208" s="141"/>
      <c r="G208" s="142"/>
      <c r="H208" s="143"/>
      <c r="I208" s="135"/>
      <c r="J208" s="135"/>
      <c r="K208" s="136"/>
      <c r="L208" s="1392"/>
      <c r="M208" s="136"/>
      <c r="N208" s="136"/>
      <c r="O208" s="136"/>
      <c r="P208" s="136"/>
      <c r="Q208" s="1392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25" t="s">
        <v>85</v>
      </c>
      <c r="I209" s="184">
        <f ca="1">IFERROR(__xludf.DUMMYFUNCTION("IMPORTRANGE(""https://docs.google.com/spreadsheets/d/1eHaY18a8A9IcSdp1K8H6x8fbOy06t2VsZHhMHf-1x7Y/edit?usp=sharing"",""แผน!AK29"")"),3)</f>
        <v>3</v>
      </c>
      <c r="J209" s="1395">
        <v>3</v>
      </c>
      <c r="K209" s="1396">
        <f ca="1">IF(I209&gt;0,J209*100/I209,0)</f>
        <v>100</v>
      </c>
      <c r="L209" s="1359"/>
      <c r="M209" s="45"/>
      <c r="N209" s="45"/>
      <c r="O209" s="45"/>
      <c r="P209" s="45"/>
      <c r="Q209" s="1359"/>
      <c r="R209" s="45"/>
      <c r="S209" s="45"/>
      <c r="T209" s="45"/>
      <c r="U209" s="45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4"/>
      <c r="J210" s="44"/>
      <c r="K210" s="136"/>
      <c r="L210" s="1359"/>
      <c r="M210" s="45"/>
      <c r="N210" s="45"/>
      <c r="O210" s="45"/>
      <c r="P210" s="45"/>
      <c r="Q210" s="1359"/>
      <c r="R210" s="45"/>
      <c r="S210" s="45"/>
      <c r="T210" s="45"/>
      <c r="U210" s="45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25" t="s">
        <v>85</v>
      </c>
      <c r="I211" s="184">
        <f ca="1">IFERROR(__xludf.DUMMYFUNCTION("IMPORTRANGE(""https://docs.google.com/spreadsheets/d/1eHaY18a8A9IcSdp1K8H6x8fbOy06t2VsZHhMHf-1x7Y/edit?usp=sharing"",""แผน!JX29"")"),3)</f>
        <v>3</v>
      </c>
      <c r="J211" s="1395">
        <v>3</v>
      </c>
      <c r="K211" s="1396">
        <f ca="1">IF(I211&gt;0,J211*100/I211,0)</f>
        <v>100</v>
      </c>
      <c r="L211" s="1359"/>
      <c r="M211" s="45"/>
      <c r="N211" s="45"/>
      <c r="O211" s="45"/>
      <c r="P211" s="45"/>
      <c r="Q211" s="1359"/>
      <c r="R211" s="45"/>
      <c r="S211" s="45"/>
      <c r="T211" s="45"/>
      <c r="U211" s="45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84">
        <f ca="1">IFERROR(__xludf.DUMMYFUNCTION("IMPORTRANGE(""https://docs.google.com/spreadsheets/d/1eHaY18a8A9IcSdp1K8H6x8fbOy06t2VsZHhMHf-1x7Y/edit?usp=sharing"",""แผน!JY29"")"),1)</f>
        <v>1</v>
      </c>
      <c r="J212" s="1395">
        <v>0</v>
      </c>
      <c r="K212" s="1396">
        <f ca="1">IF(I212&gt;0,J212*100/I212,0)</f>
        <v>0</v>
      </c>
      <c r="L212" s="1359"/>
      <c r="M212" s="45"/>
      <c r="N212" s="45"/>
      <c r="O212" s="45"/>
      <c r="P212" s="45"/>
      <c r="Q212" s="1359"/>
      <c r="R212" s="45"/>
      <c r="S212" s="45"/>
      <c r="T212" s="45"/>
      <c r="U212" s="45"/>
    </row>
    <row r="213" spans="1:21" ht="19.5" x14ac:dyDescent="0.3">
      <c r="A213" s="211"/>
      <c r="B213" s="212"/>
      <c r="C213" s="213" t="s">
        <v>94</v>
      </c>
      <c r="D213" s="214"/>
      <c r="E213" s="214"/>
      <c r="F213" s="214"/>
      <c r="G213" s="215"/>
      <c r="H213" s="223" t="s">
        <v>85</v>
      </c>
      <c r="I213" s="303">
        <f ca="1">I220</f>
        <v>1</v>
      </c>
      <c r="J213" s="303">
        <f>J220</f>
        <v>0</v>
      </c>
      <c r="K213" s="304">
        <f ca="1">IF(I213&gt;0,J213*100/I213,0)</f>
        <v>0</v>
      </c>
      <c r="L213" s="1416"/>
      <c r="M213" s="219"/>
      <c r="N213" s="219"/>
      <c r="O213" s="219"/>
      <c r="P213" s="219"/>
      <c r="Q213" s="1416"/>
      <c r="R213" s="219"/>
      <c r="S213" s="219"/>
      <c r="T213" s="219"/>
      <c r="U213" s="219"/>
    </row>
    <row r="214" spans="1:21" ht="19.5" x14ac:dyDescent="0.3">
      <c r="A214" s="128"/>
      <c r="B214" s="40"/>
      <c r="C214" s="129" t="s">
        <v>18</v>
      </c>
      <c r="D214" s="1417" t="s">
        <v>19</v>
      </c>
      <c r="E214" s="40"/>
      <c r="F214" s="40"/>
      <c r="G214" s="42"/>
      <c r="H214" s="221" t="s">
        <v>14</v>
      </c>
      <c r="I214" s="135"/>
      <c r="J214" s="135"/>
      <c r="K214" s="136"/>
      <c r="L214" s="1389">
        <f ca="1">L215+L216+L217</f>
        <v>6000</v>
      </c>
      <c r="M214" s="45"/>
      <c r="N214" s="1390">
        <f>N215+N216+N217</f>
        <v>0</v>
      </c>
      <c r="O214" s="1390">
        <f ca="1">IF(L214&gt;0,N214*100/L214,0)</f>
        <v>0</v>
      </c>
      <c r="P214" s="1390">
        <f>IF(M214&gt;0,N214*100/M214,0)</f>
        <v>0</v>
      </c>
      <c r="Q214" s="1389">
        <f ca="1">Q215+Q216+Q217</f>
        <v>49700</v>
      </c>
      <c r="R214" s="45"/>
      <c r="S214" s="1390">
        <f>S215+S216+S217</f>
        <v>229220</v>
      </c>
      <c r="T214" s="1390">
        <f ca="1">IF(Q214&gt;0,S214*100/Q214,0)</f>
        <v>461.20724346076457</v>
      </c>
      <c r="U214" s="1390">
        <f>IF(R214&gt;0,S214*100/R214,0)</f>
        <v>0</v>
      </c>
    </row>
    <row r="215" spans="1:21" ht="18.75" x14ac:dyDescent="0.25">
      <c r="A215" s="128"/>
      <c r="B215" s="158"/>
      <c r="C215" s="40"/>
      <c r="D215" s="47" t="s">
        <v>86</v>
      </c>
      <c r="E215" s="40"/>
      <c r="F215" s="40"/>
      <c r="G215" s="42"/>
      <c r="H215" s="134" t="s">
        <v>14</v>
      </c>
      <c r="I215" s="135"/>
      <c r="J215" s="135"/>
      <c r="K215" s="136"/>
      <c r="L215" s="1356">
        <f ca="1">IFERROR(__xludf.DUMMYFUNCTION("IMPORTRANGE(""https://docs.google.com/spreadsheets/d/1eHaY18a8A9IcSdp1K8H6x8fbOy06t2VsZHhMHf-1x7Y/edit?usp=sharing"",""แผน!AM29"")"),1000)</f>
        <v>1000</v>
      </c>
      <c r="M215" s="45"/>
      <c r="N215" s="1422">
        <v>0</v>
      </c>
      <c r="O215" s="136"/>
      <c r="P215" s="45"/>
      <c r="Q215" s="1356">
        <v>0</v>
      </c>
      <c r="R215" s="45"/>
      <c r="S215" s="224">
        <v>0</v>
      </c>
      <c r="T215" s="136"/>
      <c r="U215" s="45"/>
    </row>
    <row r="216" spans="1:21" ht="18.75" x14ac:dyDescent="0.25">
      <c r="A216" s="208"/>
      <c r="B216" s="158"/>
      <c r="C216" s="158"/>
      <c r="D216" s="47" t="s">
        <v>95</v>
      </c>
      <c r="E216" s="40"/>
      <c r="F216" s="40"/>
      <c r="G216" s="42"/>
      <c r="H216" s="134" t="s">
        <v>14</v>
      </c>
      <c r="I216" s="44"/>
      <c r="J216" s="44"/>
      <c r="K216" s="45"/>
      <c r="L216" s="1356">
        <f ca="1">IFERROR(__xludf.DUMMYFUNCTION("IMPORTRANGE(""https://docs.google.com/spreadsheets/d/1eHaY18a8A9IcSdp1K8H6x8fbOy06t2VsZHhMHf-1x7Y/edit?usp=sharing"",""แผน!AN29"")"),5000)</f>
        <v>5000</v>
      </c>
      <c r="M216" s="45"/>
      <c r="N216" s="1422">
        <v>0</v>
      </c>
      <c r="O216" s="136"/>
      <c r="P216" s="45"/>
      <c r="Q216" s="1356">
        <v>0</v>
      </c>
      <c r="R216" s="45"/>
      <c r="S216" s="224">
        <v>0</v>
      </c>
      <c r="T216" s="136"/>
      <c r="U216" s="45"/>
    </row>
    <row r="217" spans="1:21" ht="18.75" x14ac:dyDescent="0.25">
      <c r="A217" s="208"/>
      <c r="B217" s="158"/>
      <c r="C217" s="158"/>
      <c r="D217" s="47" t="s">
        <v>88</v>
      </c>
      <c r="E217" s="40"/>
      <c r="F217" s="40"/>
      <c r="G217" s="42"/>
      <c r="H217" s="134" t="s">
        <v>14</v>
      </c>
      <c r="I217" s="44"/>
      <c r="J217" s="44"/>
      <c r="K217" s="45"/>
      <c r="L217" s="1356">
        <f ca="1">IFERROR(__xludf.DUMMYFUNCTION("IMPORTRANGE(""https://docs.google.com/spreadsheets/d/1eHaY18a8A9IcSdp1K8H6x8fbOy06t2VsZHhMHf-1x7Y/edit?usp=sharing"",""แผน!AO29"")"),0)</f>
        <v>0</v>
      </c>
      <c r="M217" s="45"/>
      <c r="N217" s="1422">
        <v>0</v>
      </c>
      <c r="O217" s="136"/>
      <c r="P217" s="45"/>
      <c r="Q217" s="1356">
        <f ca="1">IFERROR(__xludf.DUMMYFUNCTION("IMPORTRANGE(""https://docs.google.com/spreadsheets/d/1eHaY18a8A9IcSdp1K8H6x8fbOy06t2VsZHhMHf-1x7Y/edit?usp=sharing"",""แผน!LY29"")"),49700)</f>
        <v>49700</v>
      </c>
      <c r="R217" s="45"/>
      <c r="S217" s="1422">
        <v>229220</v>
      </c>
      <c r="T217" s="136"/>
      <c r="U217" s="45"/>
    </row>
    <row r="218" spans="1:21" ht="19.5" x14ac:dyDescent="0.3">
      <c r="A218" s="138"/>
      <c r="B218" s="139"/>
      <c r="C218" s="161" t="s">
        <v>18</v>
      </c>
      <c r="D218" s="1391" t="s">
        <v>38</v>
      </c>
      <c r="E218" s="141"/>
      <c r="F218" s="141"/>
      <c r="G218" s="142"/>
      <c r="H218" s="143"/>
      <c r="I218" s="135"/>
      <c r="J218" s="44"/>
      <c r="K218" s="45"/>
      <c r="L218" s="1359"/>
      <c r="M218" s="45"/>
      <c r="N218" s="45"/>
      <c r="O218" s="136"/>
      <c r="P218" s="136"/>
      <c r="Q218" s="1359"/>
      <c r="R218" s="45"/>
      <c r="S218" s="45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25" t="s">
        <v>85</v>
      </c>
      <c r="I219" s="184">
        <f ca="1">IFERROR(__xludf.DUMMYFUNCTION("IMPORTRANGE(""https://docs.google.com/spreadsheets/d/1eHaY18a8A9IcSdp1K8H6x8fbOy06t2VsZHhMHf-1x7Y/edit?usp=sharing"",""แผน!AP29"")"),1)</f>
        <v>1</v>
      </c>
      <c r="J219" s="1395">
        <v>0</v>
      </c>
      <c r="K219" s="224">
        <f ca="1">IF(I219&gt;0,J219*100/I219,0)</f>
        <v>0</v>
      </c>
      <c r="L219" s="1359"/>
      <c r="M219" s="45"/>
      <c r="N219" s="45"/>
      <c r="O219" s="45"/>
      <c r="P219" s="45"/>
      <c r="Q219" s="1359"/>
      <c r="R219" s="45"/>
      <c r="S219" s="45"/>
      <c r="T219" s="45"/>
      <c r="U219" s="45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25" t="s">
        <v>85</v>
      </c>
      <c r="I220" s="184">
        <f ca="1">IFERROR(__xludf.DUMMYFUNCTION("IMPORTRANGE(""https://docs.google.com/spreadsheets/d/1eHaY18a8A9IcSdp1K8H6x8fbOy06t2VsZHhMHf-1x7Y/edit?usp=sharing"",""แผน!AP29"")"),1)</f>
        <v>1</v>
      </c>
      <c r="J220" s="1395">
        <v>0</v>
      </c>
      <c r="K220" s="224">
        <f ca="1">IF(I220&gt;0,J220*100/I220,0)</f>
        <v>0</v>
      </c>
      <c r="L220" s="1359"/>
      <c r="M220" s="45"/>
      <c r="N220" s="45"/>
      <c r="O220" s="45"/>
      <c r="P220" s="45"/>
      <c r="Q220" s="1359"/>
      <c r="R220" s="45"/>
      <c r="S220" s="45"/>
      <c r="T220" s="45"/>
      <c r="U220" s="45"/>
    </row>
    <row r="221" spans="1:21" ht="19.5" x14ac:dyDescent="0.3">
      <c r="A221" s="211"/>
      <c r="B221" s="212"/>
      <c r="C221" s="213" t="s">
        <v>98</v>
      </c>
      <c r="D221" s="214"/>
      <c r="E221" s="214"/>
      <c r="F221" s="214"/>
      <c r="G221" s="215"/>
      <c r="H221" s="216" t="s">
        <v>99</v>
      </c>
      <c r="I221" s="303">
        <f ca="1">I229</f>
        <v>30000</v>
      </c>
      <c r="J221" s="303">
        <f>J229</f>
        <v>0</v>
      </c>
      <c r="K221" s="304">
        <f ca="1">IF(I221&gt;0,J221*100/I221,0)</f>
        <v>0</v>
      </c>
      <c r="L221" s="1416"/>
      <c r="M221" s="219"/>
      <c r="N221" s="219"/>
      <c r="O221" s="219"/>
      <c r="P221" s="219"/>
      <c r="Q221" s="219"/>
      <c r="R221" s="219"/>
      <c r="S221" s="219"/>
      <c r="T221" s="219"/>
      <c r="U221" s="219"/>
    </row>
    <row r="222" spans="1:21" ht="19.5" x14ac:dyDescent="0.3">
      <c r="A222" s="128"/>
      <c r="B222" s="40"/>
      <c r="C222" s="129" t="s">
        <v>18</v>
      </c>
      <c r="D222" s="1417" t="s">
        <v>19</v>
      </c>
      <c r="E222" s="40"/>
      <c r="F222" s="40"/>
      <c r="G222" s="42"/>
      <c r="H222" s="221" t="s">
        <v>14</v>
      </c>
      <c r="I222" s="135"/>
      <c r="J222" s="135"/>
      <c r="K222" s="136"/>
      <c r="L222" s="1389">
        <f ca="1">L223+L224+L225</f>
        <v>6500</v>
      </c>
      <c r="M222" s="45"/>
      <c r="N222" s="1390">
        <f>N223+N224+N225</f>
        <v>0</v>
      </c>
      <c r="O222" s="1390">
        <f ca="1">IF(L222&gt;0,N222*100/L222,0)</f>
        <v>0</v>
      </c>
      <c r="P222" s="1390">
        <f>IF(M222&gt;0,N222*100/M222,0)</f>
        <v>0</v>
      </c>
      <c r="Q222" s="45"/>
      <c r="R222" s="45"/>
      <c r="S222" s="45"/>
      <c r="T222" s="45"/>
      <c r="U222" s="45"/>
    </row>
    <row r="223" spans="1:21" ht="18.75" x14ac:dyDescent="0.25">
      <c r="A223" s="128"/>
      <c r="B223" s="158"/>
      <c r="C223" s="40"/>
      <c r="D223" s="1421" t="s">
        <v>302</v>
      </c>
      <c r="E223" s="40"/>
      <c r="F223" s="40"/>
      <c r="G223" s="42"/>
      <c r="H223" s="134" t="s">
        <v>14</v>
      </c>
      <c r="I223" s="135"/>
      <c r="J223" s="135"/>
      <c r="K223" s="136"/>
      <c r="L223" s="1356">
        <f ca="1">IFERROR(__xludf.DUMMYFUNCTION("IMPORTRANGE(""https://docs.google.com/spreadsheets/d/1eHaY18a8A9IcSdp1K8H6x8fbOy06t2VsZHhMHf-1x7Y/edit?usp=sharing"",""แผน!AR29"")"),2500)</f>
        <v>2500</v>
      </c>
      <c r="M223" s="45"/>
      <c r="N223" s="1422">
        <v>0</v>
      </c>
      <c r="O223" s="136"/>
      <c r="P223" s="45"/>
      <c r="Q223" s="45"/>
      <c r="R223" s="45"/>
      <c r="S223" s="45"/>
      <c r="T223" s="136"/>
      <c r="U223" s="45"/>
    </row>
    <row r="224" spans="1:21" ht="18.75" x14ac:dyDescent="0.25">
      <c r="A224" s="208"/>
      <c r="B224" s="158"/>
      <c r="C224" s="158"/>
      <c r="D224" s="47" t="s">
        <v>301</v>
      </c>
      <c r="E224" s="40"/>
      <c r="F224" s="40"/>
      <c r="G224" s="42"/>
      <c r="H224" s="134" t="s">
        <v>14</v>
      </c>
      <c r="I224" s="44"/>
      <c r="J224" s="44"/>
      <c r="K224" s="45"/>
      <c r="L224" s="1356">
        <f ca="1">IFERROR(__xludf.DUMMYFUNCTION("IMPORTRANGE(""https://docs.google.com/spreadsheets/d/1eHaY18a8A9IcSdp1K8H6x8fbOy06t2VsZHhMHf-1x7Y/edit?usp=sharing"",""แผน!AS29"")"),4000)</f>
        <v>4000</v>
      </c>
      <c r="M224" s="45"/>
      <c r="N224" s="1422">
        <v>0</v>
      </c>
      <c r="O224" s="136"/>
      <c r="P224" s="45"/>
      <c r="Q224" s="45"/>
      <c r="R224" s="45"/>
      <c r="S224" s="45"/>
      <c r="T224" s="136"/>
      <c r="U224" s="45"/>
    </row>
    <row r="225" spans="1:21" ht="18.75" x14ac:dyDescent="0.25">
      <c r="A225" s="208"/>
      <c r="B225" s="158"/>
      <c r="C225" s="158"/>
      <c r="D225" s="47" t="s">
        <v>88</v>
      </c>
      <c r="E225" s="40"/>
      <c r="F225" s="40"/>
      <c r="G225" s="42"/>
      <c r="H225" s="134" t="s">
        <v>14</v>
      </c>
      <c r="I225" s="44"/>
      <c r="J225" s="44"/>
      <c r="K225" s="45"/>
      <c r="L225" s="1356">
        <f ca="1">IFERROR(__xludf.DUMMYFUNCTION("IMPORTRANGE(""https://docs.google.com/spreadsheets/d/1eHaY18a8A9IcSdp1K8H6x8fbOy06t2VsZHhMHf-1x7Y/edit?usp=sharing"",""แผน!AT29"")"),0)</f>
        <v>0</v>
      </c>
      <c r="M225" s="45"/>
      <c r="N225" s="1422">
        <v>0</v>
      </c>
      <c r="O225" s="136"/>
      <c r="P225" s="45"/>
      <c r="Q225" s="45"/>
      <c r="R225" s="45"/>
      <c r="S225" s="45"/>
      <c r="T225" s="136"/>
      <c r="U225" s="45"/>
    </row>
    <row r="226" spans="1:21" ht="19.5" x14ac:dyDescent="0.3">
      <c r="A226" s="138"/>
      <c r="B226" s="139"/>
      <c r="C226" s="161" t="s">
        <v>18</v>
      </c>
      <c r="D226" s="1391" t="s">
        <v>38</v>
      </c>
      <c r="E226" s="141"/>
      <c r="F226" s="141"/>
      <c r="G226" s="142"/>
      <c r="H226" s="143"/>
      <c r="I226" s="135"/>
      <c r="J226" s="135"/>
      <c r="K226" s="136"/>
      <c r="L226" s="1392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7" t="s">
        <v>101</v>
      </c>
      <c r="E227" s="145"/>
      <c r="F227" s="145"/>
      <c r="G227" s="143"/>
      <c r="H227" s="143"/>
      <c r="I227" s="44"/>
      <c r="J227" s="44"/>
      <c r="K227" s="136"/>
      <c r="L227" s="1392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84">
        <f ca="1">IFERROR(__xludf.DUMMYFUNCTION("IMPORTRANGE(""https://docs.google.com/spreadsheets/d/1eHaY18a8A9IcSdp1K8H6x8fbOy06t2VsZHhMHf-1x7Y/edit?usp=sharing"",""แผน!AV29"")"),30000)</f>
        <v>30000</v>
      </c>
      <c r="J228" s="1395">
        <v>0</v>
      </c>
      <c r="K228" s="1396">
        <f ca="1">IF(I228&gt;0,J228*100/I228,0)</f>
        <v>0</v>
      </c>
      <c r="L228" s="1392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84">
        <f ca="1">IFERROR(__xludf.DUMMYFUNCTION("IMPORTRANGE(""https://docs.google.com/spreadsheets/d/1eHaY18a8A9IcSdp1K8H6x8fbOy06t2VsZHhMHf-1x7Y/edit?usp=sharing"",""แผน!AV29"")"),30000)</f>
        <v>30000</v>
      </c>
      <c r="J229" s="1395">
        <v>0</v>
      </c>
      <c r="K229" s="1396">
        <f ca="1">IF(I229&gt;0,J229*100/I229,0)</f>
        <v>0</v>
      </c>
      <c r="L229" s="1359"/>
      <c r="M229" s="45"/>
      <c r="N229" s="45"/>
      <c r="O229" s="45"/>
      <c r="P229" s="45"/>
      <c r="Q229" s="45"/>
      <c r="R229" s="45"/>
      <c r="S229" s="45"/>
      <c r="T229" s="45"/>
      <c r="U229" s="45"/>
    </row>
    <row r="230" spans="1:21" ht="18.75" x14ac:dyDescent="0.25">
      <c r="A230" s="138"/>
      <c r="B230" s="139"/>
      <c r="C230" s="139"/>
      <c r="D230" s="47" t="s">
        <v>104</v>
      </c>
      <c r="E230" s="145"/>
      <c r="F230" s="145"/>
      <c r="G230" s="143"/>
      <c r="H230" s="150" t="s">
        <v>35</v>
      </c>
      <c r="I230" s="184">
        <f ca="1">IFERROR(__xludf.DUMMYFUNCTION("IMPORTRANGE(""https://docs.google.com/spreadsheets/d/1eHaY18a8A9IcSdp1K8H6x8fbOy06t2VsZHhMHf-1x7Y/edit?usp=sharing"",""แผน!AU29"")"),0)</f>
        <v>0</v>
      </c>
      <c r="J230" s="1395">
        <v>0</v>
      </c>
      <c r="K230" s="1396">
        <f ca="1">IF(I230&gt;0,J230*100/I230,0)</f>
        <v>0</v>
      </c>
      <c r="L230" s="1359"/>
      <c r="M230" s="45"/>
      <c r="N230" s="45"/>
      <c r="O230" s="45"/>
      <c r="P230" s="45"/>
      <c r="Q230" s="45"/>
      <c r="R230" s="45"/>
      <c r="S230" s="45"/>
      <c r="T230" s="45"/>
      <c r="U230" s="45"/>
    </row>
    <row r="231" spans="1:21" ht="19.5" x14ac:dyDescent="0.3">
      <c r="A231" s="211"/>
      <c r="B231" s="212"/>
      <c r="C231" s="213" t="s">
        <v>105</v>
      </c>
      <c r="D231" s="214"/>
      <c r="E231" s="214"/>
      <c r="F231" s="214"/>
      <c r="G231" s="215"/>
      <c r="H231" s="216" t="s">
        <v>35</v>
      </c>
      <c r="I231" s="303">
        <f ca="1">I242+I253</f>
        <v>0</v>
      </c>
      <c r="J231" s="303">
        <f>J242+J253</f>
        <v>0</v>
      </c>
      <c r="K231" s="304">
        <f ca="1">IF(I231&gt;0,J231*100/I231,0)</f>
        <v>0</v>
      </c>
      <c r="L231" s="1416"/>
      <c r="M231" s="219"/>
      <c r="N231" s="219"/>
      <c r="O231" s="219"/>
      <c r="P231" s="219"/>
      <c r="Q231" s="219"/>
      <c r="R231" s="219"/>
      <c r="S231" s="219"/>
      <c r="T231" s="219"/>
      <c r="U231" s="219"/>
    </row>
    <row r="232" spans="1:21" ht="19.5" x14ac:dyDescent="0.3">
      <c r="A232" s="128"/>
      <c r="B232" s="40"/>
      <c r="C232" s="129" t="s">
        <v>18</v>
      </c>
      <c r="D232" s="1388" t="s">
        <v>19</v>
      </c>
      <c r="E232" s="40"/>
      <c r="F232" s="40"/>
      <c r="G232" s="42"/>
      <c r="H232" s="221" t="s">
        <v>14</v>
      </c>
      <c r="I232" s="135"/>
      <c r="J232" s="135"/>
      <c r="K232" s="136"/>
      <c r="L232" s="1423">
        <f ca="1">L243+L254</f>
        <v>0</v>
      </c>
      <c r="M232" s="45"/>
      <c r="N232" s="1424">
        <f>N243+N254</f>
        <v>0</v>
      </c>
      <c r="O232" s="45"/>
      <c r="P232" s="45"/>
      <c r="Q232" s="45"/>
      <c r="R232" s="45"/>
      <c r="S232" s="45"/>
      <c r="T232" s="45"/>
      <c r="U232" s="45"/>
    </row>
    <row r="233" spans="1:21" ht="18.75" x14ac:dyDescent="0.25">
      <c r="A233" s="128"/>
      <c r="B233" s="158"/>
      <c r="C233" s="40"/>
      <c r="D233" s="47" t="s">
        <v>86</v>
      </c>
      <c r="E233" s="40"/>
      <c r="F233" s="40"/>
      <c r="G233" s="42"/>
      <c r="H233" s="134" t="s">
        <v>14</v>
      </c>
      <c r="I233" s="135"/>
      <c r="J233" s="135"/>
      <c r="K233" s="136"/>
      <c r="L233" s="1358">
        <f ca="1">L244+L255</f>
        <v>0</v>
      </c>
      <c r="M233" s="45"/>
      <c r="N233" s="83">
        <f>N244+N255</f>
        <v>0</v>
      </c>
      <c r="O233" s="45"/>
      <c r="P233" s="45"/>
      <c r="Q233" s="1636">
        <v>0</v>
      </c>
      <c r="R233" s="372">
        <v>0</v>
      </c>
      <c r="S233" s="372">
        <v>0</v>
      </c>
      <c r="T233" s="45"/>
      <c r="U233" s="45"/>
    </row>
    <row r="234" spans="1:21" ht="18.75" x14ac:dyDescent="0.25">
      <c r="A234" s="208"/>
      <c r="B234" s="158"/>
      <c r="C234" s="158"/>
      <c r="D234" s="47" t="s">
        <v>88</v>
      </c>
      <c r="E234" s="40"/>
      <c r="F234" s="40"/>
      <c r="G234" s="42"/>
      <c r="H234" s="134" t="s">
        <v>14</v>
      </c>
      <c r="I234" s="44"/>
      <c r="J234" s="44"/>
      <c r="K234" s="45"/>
      <c r="L234" s="1358">
        <f ca="1">L245+L256</f>
        <v>0</v>
      </c>
      <c r="M234" s="45"/>
      <c r="N234" s="83">
        <f>N245+N256</f>
        <v>0</v>
      </c>
      <c r="O234" s="45"/>
      <c r="P234" s="45"/>
      <c r="Q234" s="1356">
        <v>0</v>
      </c>
      <c r="R234" s="224">
        <v>0</v>
      </c>
      <c r="S234" s="224">
        <v>0</v>
      </c>
      <c r="T234" s="45"/>
      <c r="U234" s="45"/>
    </row>
    <row r="235" spans="1:21" ht="18.75" x14ac:dyDescent="0.25">
      <c r="A235" s="208"/>
      <c r="B235" s="158"/>
      <c r="C235" s="158"/>
      <c r="D235" s="47" t="s">
        <v>106</v>
      </c>
      <c r="E235" s="40"/>
      <c r="F235" s="40"/>
      <c r="G235" s="42"/>
      <c r="H235" s="134" t="s">
        <v>14</v>
      </c>
      <c r="I235" s="44"/>
      <c r="J235" s="44"/>
      <c r="K235" s="45"/>
      <c r="L235" s="1358">
        <f ca="1">L246+L257</f>
        <v>0</v>
      </c>
      <c r="M235" s="45"/>
      <c r="N235" s="83">
        <f>N246+N257</f>
        <v>0</v>
      </c>
      <c r="O235" s="45"/>
      <c r="P235" s="45"/>
      <c r="Q235" s="1356">
        <v>0</v>
      </c>
      <c r="R235" s="224">
        <v>0</v>
      </c>
      <c r="S235" s="224">
        <v>0</v>
      </c>
      <c r="T235" s="45"/>
      <c r="U235" s="45"/>
    </row>
    <row r="236" spans="1:21" ht="18.75" x14ac:dyDescent="0.25">
      <c r="A236" s="208"/>
      <c r="B236" s="158"/>
      <c r="C236" s="158"/>
      <c r="D236" s="47" t="s">
        <v>107</v>
      </c>
      <c r="E236" s="40"/>
      <c r="F236" s="40"/>
      <c r="G236" s="42"/>
      <c r="H236" s="134" t="s">
        <v>14</v>
      </c>
      <c r="I236" s="44"/>
      <c r="J236" s="44"/>
      <c r="K236" s="45"/>
      <c r="L236" s="1358">
        <f ca="1">L247+L258</f>
        <v>0</v>
      </c>
      <c r="M236" s="45"/>
      <c r="N236" s="83">
        <f>N247+N258</f>
        <v>0</v>
      </c>
      <c r="O236" s="45"/>
      <c r="P236" s="45"/>
      <c r="Q236" s="1356">
        <v>0</v>
      </c>
      <c r="R236" s="224">
        <v>0</v>
      </c>
      <c r="S236" s="224">
        <v>0</v>
      </c>
      <c r="T236" s="45"/>
      <c r="U236" s="45"/>
    </row>
    <row r="237" spans="1:21" ht="19.5" x14ac:dyDescent="0.3">
      <c r="A237" s="138"/>
      <c r="B237" s="139"/>
      <c r="C237" s="161" t="s">
        <v>18</v>
      </c>
      <c r="D237" s="1391" t="s">
        <v>38</v>
      </c>
      <c r="E237" s="141"/>
      <c r="F237" s="141"/>
      <c r="G237" s="142"/>
      <c r="H237" s="143"/>
      <c r="I237" s="135"/>
      <c r="J237" s="44"/>
      <c r="K237" s="45"/>
      <c r="L237" s="1359"/>
      <c r="M237" s="45"/>
      <c r="N237" s="45"/>
      <c r="O237" s="136"/>
      <c r="P237" s="136"/>
      <c r="Q237" s="45"/>
      <c r="R237" s="45"/>
      <c r="S237" s="45"/>
      <c r="T237" s="136"/>
      <c r="U237" s="136"/>
    </row>
    <row r="238" spans="1:21" ht="18.75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84">
        <f ca="1">I249+I260</f>
        <v>0</v>
      </c>
      <c r="J238" s="184">
        <f>J249+J260</f>
        <v>0</v>
      </c>
      <c r="K238" s="224">
        <f ca="1">IF(I238&gt;0,J238*100/I238,0)</f>
        <v>0</v>
      </c>
      <c r="L238" s="1359"/>
      <c r="M238" s="45"/>
      <c r="N238" s="45"/>
      <c r="O238" s="45"/>
      <c r="P238" s="45"/>
      <c r="Q238" s="45"/>
      <c r="R238" s="45"/>
      <c r="S238" s="45"/>
      <c r="T238" s="45"/>
      <c r="U238" s="45"/>
    </row>
    <row r="239" spans="1:21" ht="18.75" x14ac:dyDescent="0.25">
      <c r="A239" s="138"/>
      <c r="B239" s="139"/>
      <c r="C239" s="139"/>
      <c r="D239" s="234" t="s">
        <v>43</v>
      </c>
      <c r="E239" s="145"/>
      <c r="F239" s="145"/>
      <c r="G239" s="143"/>
      <c r="H239" s="143"/>
      <c r="I239" s="44"/>
      <c r="J239" s="44"/>
      <c r="K239" s="45"/>
      <c r="L239" s="1359"/>
      <c r="M239" s="45"/>
      <c r="N239" s="45"/>
      <c r="O239" s="136"/>
      <c r="P239" s="136"/>
      <c r="Q239" s="45"/>
      <c r="R239" s="45"/>
      <c r="S239" s="45"/>
      <c r="T239" s="136"/>
      <c r="U239" s="136"/>
    </row>
    <row r="240" spans="1:21" ht="18.75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84">
        <f>I251+I262</f>
        <v>0</v>
      </c>
      <c r="J240" s="184">
        <f>J251+J262</f>
        <v>0</v>
      </c>
      <c r="K240" s="224">
        <f>IF(I240&gt;0,J240*100/I240,0)</f>
        <v>0</v>
      </c>
      <c r="L240" s="1359"/>
      <c r="M240" s="45"/>
      <c r="N240" s="45"/>
      <c r="O240" s="45"/>
      <c r="P240" s="45"/>
      <c r="Q240" s="45"/>
      <c r="R240" s="45"/>
      <c r="S240" s="45"/>
      <c r="T240" s="45"/>
      <c r="U240" s="45"/>
    </row>
    <row r="241" spans="1:21" ht="18.75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84">
        <f>I252+I263</f>
        <v>0</v>
      </c>
      <c r="J241" s="184">
        <f>J252+J263</f>
        <v>0</v>
      </c>
      <c r="K241" s="224">
        <f>IF(I241&gt;0,J241*100/I241,0)</f>
        <v>0</v>
      </c>
      <c r="L241" s="1359"/>
      <c r="M241" s="45"/>
      <c r="N241" s="45"/>
      <c r="O241" s="45"/>
      <c r="P241" s="45"/>
      <c r="Q241" s="45"/>
      <c r="R241" s="45"/>
      <c r="S241" s="45"/>
      <c r="T241" s="45"/>
      <c r="U241" s="45"/>
    </row>
    <row r="242" spans="1:21" ht="19.5" x14ac:dyDescent="0.3">
      <c r="A242" s="211"/>
      <c r="B242" s="212"/>
      <c r="C242" s="1429" t="s">
        <v>111</v>
      </c>
      <c r="D242" s="214"/>
      <c r="E242" s="214"/>
      <c r="F242" s="214"/>
      <c r="G242" s="215"/>
      <c r="H242" s="1430" t="s">
        <v>35</v>
      </c>
      <c r="I242" s="1431">
        <f ca="1">I249</f>
        <v>0</v>
      </c>
      <c r="J242" s="1431">
        <f>J249</f>
        <v>0</v>
      </c>
      <c r="K242" s="1432">
        <f ca="1">IF(I242&gt;0,J242*100/I242,0)</f>
        <v>0</v>
      </c>
      <c r="L242" s="1416"/>
      <c r="M242" s="219"/>
      <c r="N242" s="219"/>
      <c r="O242" s="219"/>
      <c r="P242" s="219"/>
      <c r="Q242" s="219"/>
      <c r="R242" s="219"/>
      <c r="S242" s="219"/>
      <c r="T242" s="219"/>
      <c r="U242" s="219"/>
    </row>
    <row r="243" spans="1:21" ht="19.5" x14ac:dyDescent="0.3">
      <c r="A243" s="128"/>
      <c r="B243" s="40"/>
      <c r="C243" s="1433" t="s">
        <v>18</v>
      </c>
      <c r="D243" s="1434" t="s">
        <v>19</v>
      </c>
      <c r="E243" s="40"/>
      <c r="F243" s="40"/>
      <c r="G243" s="42"/>
      <c r="H243" s="375" t="s">
        <v>14</v>
      </c>
      <c r="I243" s="135"/>
      <c r="J243" s="135"/>
      <c r="K243" s="136"/>
      <c r="L243" s="1389">
        <f ca="1">L244+L245+L246+L247</f>
        <v>0</v>
      </c>
      <c r="M243" s="45"/>
      <c r="N243" s="1390">
        <f>N244+N245+N246+N247</f>
        <v>0</v>
      </c>
      <c r="O243" s="1390">
        <f ca="1">IF(L243&gt;0,N243*100/L243,0)</f>
        <v>0</v>
      </c>
      <c r="P243" s="1390">
        <f>IF(M243&gt;0,N243*100/M243,0)</f>
        <v>0</v>
      </c>
      <c r="Q243" s="45"/>
      <c r="R243" s="45"/>
      <c r="S243" s="45"/>
      <c r="T243" s="45"/>
      <c r="U243" s="45"/>
    </row>
    <row r="244" spans="1:21" ht="18.75" x14ac:dyDescent="0.25">
      <c r="A244" s="128"/>
      <c r="B244" s="158"/>
      <c r="C244" s="40"/>
      <c r="D244" s="156" t="s">
        <v>86</v>
      </c>
      <c r="E244" s="40"/>
      <c r="F244" s="40"/>
      <c r="G244" s="42"/>
      <c r="H244" s="159" t="s">
        <v>14</v>
      </c>
      <c r="I244" s="135"/>
      <c r="J244" s="135"/>
      <c r="K244" s="136"/>
      <c r="L244" s="1356">
        <f ca="1">IFERROR(__xludf.DUMMYFUNCTION("IMPORTRANGE(""https://docs.google.com/spreadsheets/d/1eHaY18a8A9IcSdp1K8H6x8fbOy06t2VsZHhMHf-1x7Y/edit?usp=sharing"",""แผน!AX29"")"),0)</f>
        <v>0</v>
      </c>
      <c r="M244" s="45"/>
      <c r="N244" s="1422">
        <v>0</v>
      </c>
      <c r="O244" s="45"/>
      <c r="P244" s="45"/>
      <c r="Q244" s="45"/>
      <c r="R244" s="45"/>
      <c r="S244" s="45"/>
      <c r="T244" s="45"/>
      <c r="U244" s="45"/>
    </row>
    <row r="245" spans="1:21" ht="18.75" x14ac:dyDescent="0.25">
      <c r="A245" s="208"/>
      <c r="B245" s="158"/>
      <c r="C245" s="158"/>
      <c r="D245" s="156" t="s">
        <v>88</v>
      </c>
      <c r="E245" s="40"/>
      <c r="F245" s="40"/>
      <c r="G245" s="42"/>
      <c r="H245" s="159" t="s">
        <v>14</v>
      </c>
      <c r="I245" s="44"/>
      <c r="J245" s="44"/>
      <c r="K245" s="45"/>
      <c r="L245" s="1356">
        <f ca="1">IFERROR(__xludf.DUMMYFUNCTION("IMPORTRANGE(""https://docs.google.com/spreadsheets/d/1eHaY18a8A9IcSdp1K8H6x8fbOy06t2VsZHhMHf-1x7Y/edit?usp=sharing"",""แผน!AY29"")"),0)</f>
        <v>0</v>
      </c>
      <c r="M245" s="45"/>
      <c r="N245" s="1422">
        <v>0</v>
      </c>
      <c r="O245" s="45"/>
      <c r="P245" s="45"/>
      <c r="Q245" s="45"/>
      <c r="R245" s="45"/>
      <c r="S245" s="45"/>
      <c r="T245" s="45"/>
      <c r="U245" s="45"/>
    </row>
    <row r="246" spans="1:21" ht="18.75" x14ac:dyDescent="0.25">
      <c r="A246" s="208"/>
      <c r="B246" s="158"/>
      <c r="C246" s="158"/>
      <c r="D246" s="156" t="s">
        <v>106</v>
      </c>
      <c r="E246" s="40"/>
      <c r="F246" s="40"/>
      <c r="G246" s="42"/>
      <c r="H246" s="159" t="s">
        <v>14</v>
      </c>
      <c r="I246" s="44"/>
      <c r="J246" s="44"/>
      <c r="K246" s="45"/>
      <c r="L246" s="1356">
        <f ca="1">IFERROR(__xludf.DUMMYFUNCTION("IMPORTRANGE(""https://docs.google.com/spreadsheets/d/1eHaY18a8A9IcSdp1K8H6x8fbOy06t2VsZHhMHf-1x7Y/edit?usp=sharing"",""แผน!AZ29"")"),0)</f>
        <v>0</v>
      </c>
      <c r="M246" s="45"/>
      <c r="N246" s="1422">
        <v>0</v>
      </c>
      <c r="O246" s="45"/>
      <c r="P246" s="45"/>
      <c r="Q246" s="45"/>
      <c r="R246" s="45"/>
      <c r="S246" s="45"/>
      <c r="T246" s="45"/>
      <c r="U246" s="45"/>
    </row>
    <row r="247" spans="1:21" ht="18.75" x14ac:dyDescent="0.25">
      <c r="A247" s="208"/>
      <c r="B247" s="158"/>
      <c r="C247" s="158"/>
      <c r="D247" s="156" t="s">
        <v>107</v>
      </c>
      <c r="E247" s="40"/>
      <c r="F247" s="40"/>
      <c r="G247" s="42"/>
      <c r="H247" s="159" t="s">
        <v>14</v>
      </c>
      <c r="I247" s="44"/>
      <c r="J247" s="44"/>
      <c r="K247" s="45"/>
      <c r="L247" s="1356">
        <f ca="1">IFERROR(__xludf.DUMMYFUNCTION("IMPORTRANGE(""https://docs.google.com/spreadsheets/d/1eHaY18a8A9IcSdp1K8H6x8fbOy06t2VsZHhMHf-1x7Y/edit?usp=sharing"",""แผน!BA29"")"),0)</f>
        <v>0</v>
      </c>
      <c r="M247" s="45"/>
      <c r="N247" s="1422">
        <v>0</v>
      </c>
      <c r="O247" s="45"/>
      <c r="P247" s="45"/>
      <c r="Q247" s="45"/>
      <c r="R247" s="45"/>
      <c r="S247" s="45"/>
      <c r="T247" s="45"/>
      <c r="U247" s="45"/>
    </row>
    <row r="248" spans="1:21" ht="19.5" x14ac:dyDescent="0.3">
      <c r="A248" s="138"/>
      <c r="B248" s="139"/>
      <c r="C248" s="1435" t="s">
        <v>18</v>
      </c>
      <c r="D248" s="1436" t="s">
        <v>38</v>
      </c>
      <c r="E248" s="141"/>
      <c r="F248" s="141"/>
      <c r="G248" s="142"/>
      <c r="H248" s="143"/>
      <c r="I248" s="135"/>
      <c r="J248" s="44"/>
      <c r="K248" s="45"/>
      <c r="L248" s="1359"/>
      <c r="M248" s="45"/>
      <c r="N248" s="45"/>
      <c r="O248" s="136"/>
      <c r="P248" s="136"/>
      <c r="Q248" s="45"/>
      <c r="R248" s="45"/>
      <c r="S248" s="45"/>
      <c r="T248" s="136"/>
      <c r="U248" s="136"/>
    </row>
    <row r="249" spans="1:21" ht="18.75" x14ac:dyDescent="0.25">
      <c r="A249" s="138"/>
      <c r="B249" s="139"/>
      <c r="C249" s="139"/>
      <c r="D249" s="179" t="s">
        <v>108</v>
      </c>
      <c r="E249" s="145"/>
      <c r="F249" s="145"/>
      <c r="G249" s="143"/>
      <c r="H249" s="1437" t="s">
        <v>35</v>
      </c>
      <c r="I249" s="423">
        <f ca="1">IFERROR(__xludf.DUMMYFUNCTION("IMPORTRANGE(""https://docs.google.com/spreadsheets/d/1eHaY18a8A9IcSdp1K8H6x8fbOy06t2VsZHhMHf-1x7Y/edit?usp=sharing"",""แผน!BG29"")"),0)</f>
        <v>0</v>
      </c>
      <c r="J249" s="1407">
        <v>0</v>
      </c>
      <c r="K249" s="83">
        <f ca="1">IF(I249&gt;0,J249*100/I249,0)</f>
        <v>0</v>
      </c>
      <c r="L249" s="1359"/>
      <c r="M249" s="45"/>
      <c r="N249" s="45"/>
      <c r="O249" s="45"/>
      <c r="P249" s="45"/>
      <c r="Q249" s="45"/>
      <c r="R249" s="45"/>
      <c r="S249" s="45"/>
      <c r="T249" s="45"/>
      <c r="U249" s="45"/>
    </row>
    <row r="250" spans="1:21" ht="18.75" x14ac:dyDescent="0.25">
      <c r="A250" s="138"/>
      <c r="B250" s="139"/>
      <c r="C250" s="139"/>
      <c r="D250" s="1438" t="s">
        <v>43</v>
      </c>
      <c r="E250" s="145"/>
      <c r="F250" s="145"/>
      <c r="G250" s="143"/>
      <c r="H250" s="143"/>
      <c r="I250" s="44"/>
      <c r="J250" s="44"/>
      <c r="K250" s="45"/>
      <c r="L250" s="1359"/>
      <c r="M250" s="45"/>
      <c r="N250" s="45"/>
      <c r="O250" s="136"/>
      <c r="P250" s="136"/>
      <c r="Q250" s="45"/>
      <c r="R250" s="45"/>
      <c r="S250" s="45"/>
      <c r="T250" s="136"/>
      <c r="U250" s="136"/>
    </row>
    <row r="251" spans="1:21" ht="18.75" x14ac:dyDescent="0.25">
      <c r="A251" s="138"/>
      <c r="B251" s="139"/>
      <c r="C251" s="139"/>
      <c r="D251" s="139"/>
      <c r="E251" s="1439" t="s">
        <v>109</v>
      </c>
      <c r="F251" s="145"/>
      <c r="G251" s="143"/>
      <c r="H251" s="1437" t="s">
        <v>35</v>
      </c>
      <c r="I251" s="423">
        <v>0</v>
      </c>
      <c r="J251" s="1407">
        <v>0</v>
      </c>
      <c r="K251" s="83">
        <f>IF(I251&gt;0,J251*100/I251,0)</f>
        <v>0</v>
      </c>
      <c r="L251" s="1359"/>
      <c r="M251" s="45"/>
      <c r="N251" s="45"/>
      <c r="O251" s="45"/>
      <c r="P251" s="45"/>
      <c r="Q251" s="45"/>
      <c r="R251" s="45"/>
      <c r="S251" s="45"/>
      <c r="T251" s="45"/>
      <c r="U251" s="45"/>
    </row>
    <row r="252" spans="1:21" ht="18.75" x14ac:dyDescent="0.25">
      <c r="A252" s="138"/>
      <c r="B252" s="139"/>
      <c r="C252" s="139"/>
      <c r="D252" s="139"/>
      <c r="E252" s="1439" t="s">
        <v>110</v>
      </c>
      <c r="F252" s="145"/>
      <c r="G252" s="143"/>
      <c r="H252" s="1437" t="s">
        <v>61</v>
      </c>
      <c r="I252" s="423">
        <v>0</v>
      </c>
      <c r="J252" s="1407">
        <v>0</v>
      </c>
      <c r="K252" s="83">
        <f>IF(I252&gt;0,J252*100/I252,0)</f>
        <v>0</v>
      </c>
      <c r="L252" s="1359"/>
      <c r="M252" s="45"/>
      <c r="N252" s="45"/>
      <c r="O252" s="45"/>
      <c r="P252" s="45"/>
      <c r="Q252" s="45"/>
      <c r="R252" s="45"/>
      <c r="S252" s="45"/>
      <c r="T252" s="45"/>
      <c r="U252" s="45"/>
    </row>
    <row r="253" spans="1:21" ht="19.5" x14ac:dyDescent="0.3">
      <c r="A253" s="211"/>
      <c r="B253" s="212"/>
      <c r="C253" s="1429" t="s">
        <v>112</v>
      </c>
      <c r="D253" s="214"/>
      <c r="E253" s="214"/>
      <c r="F253" s="214"/>
      <c r="G253" s="215"/>
      <c r="H253" s="1430" t="s">
        <v>35</v>
      </c>
      <c r="I253" s="1431">
        <f ca="1">I260</f>
        <v>0</v>
      </c>
      <c r="J253" s="1431">
        <f>J260</f>
        <v>0</v>
      </c>
      <c r="K253" s="1432">
        <f ca="1">IF(I253&gt;0,J253*100/I253,0)</f>
        <v>0</v>
      </c>
      <c r="L253" s="1416"/>
      <c r="M253" s="219"/>
      <c r="N253" s="219"/>
      <c r="O253" s="219"/>
      <c r="P253" s="219"/>
      <c r="Q253" s="219"/>
      <c r="R253" s="219"/>
      <c r="S253" s="219"/>
      <c r="T253" s="219"/>
      <c r="U253" s="219"/>
    </row>
    <row r="254" spans="1:21" ht="19.5" x14ac:dyDescent="0.3">
      <c r="A254" s="128"/>
      <c r="B254" s="40"/>
      <c r="C254" s="1433" t="s">
        <v>18</v>
      </c>
      <c r="D254" s="1440" t="s">
        <v>19</v>
      </c>
      <c r="E254" s="40"/>
      <c r="F254" s="40"/>
      <c r="G254" s="42"/>
      <c r="H254" s="375" t="s">
        <v>14</v>
      </c>
      <c r="I254" s="135"/>
      <c r="J254" s="135"/>
      <c r="K254" s="136"/>
      <c r="L254" s="1389">
        <f ca="1">L255+L256+L257+L258</f>
        <v>0</v>
      </c>
      <c r="M254" s="45"/>
      <c r="N254" s="1390">
        <f>N255+N256+N257+N258</f>
        <v>0</v>
      </c>
      <c r="O254" s="1390">
        <f ca="1">IF(L254&gt;0,N254*100/L254,0)</f>
        <v>0</v>
      </c>
      <c r="P254" s="1390">
        <f>IF(M254&gt;0,N254*100/M254,0)</f>
        <v>0</v>
      </c>
      <c r="Q254" s="45"/>
      <c r="R254" s="45"/>
      <c r="S254" s="45"/>
      <c r="T254" s="45"/>
      <c r="U254" s="45"/>
    </row>
    <row r="255" spans="1:21" ht="18.75" x14ac:dyDescent="0.25">
      <c r="A255" s="128"/>
      <c r="B255" s="158"/>
      <c r="C255" s="40"/>
      <c r="D255" s="156" t="s">
        <v>86</v>
      </c>
      <c r="E255" s="40"/>
      <c r="F255" s="40"/>
      <c r="G255" s="42"/>
      <c r="H255" s="159" t="s">
        <v>14</v>
      </c>
      <c r="I255" s="135"/>
      <c r="J255" s="135"/>
      <c r="K255" s="136"/>
      <c r="L255" s="1356">
        <f ca="1">IFERROR(__xludf.DUMMYFUNCTION("IMPORTRANGE(""https://docs.google.com/spreadsheets/d/1eHaY18a8A9IcSdp1K8H6x8fbOy06t2VsZHhMHf-1x7Y/edit?usp=sharing"",""แผน!BB29"")"),0)</f>
        <v>0</v>
      </c>
      <c r="M255" s="45"/>
      <c r="N255" s="1422">
        <v>0</v>
      </c>
      <c r="O255" s="45"/>
      <c r="P255" s="45"/>
      <c r="Q255" s="45"/>
      <c r="R255" s="45"/>
      <c r="S255" s="45"/>
      <c r="T255" s="45"/>
      <c r="U255" s="45"/>
    </row>
    <row r="256" spans="1:21" ht="18.75" x14ac:dyDescent="0.25">
      <c r="A256" s="208"/>
      <c r="B256" s="158"/>
      <c r="C256" s="158"/>
      <c r="D256" s="156" t="s">
        <v>88</v>
      </c>
      <c r="E256" s="40"/>
      <c r="F256" s="40"/>
      <c r="G256" s="42"/>
      <c r="H256" s="159" t="s">
        <v>14</v>
      </c>
      <c r="I256" s="44"/>
      <c r="J256" s="44"/>
      <c r="K256" s="45"/>
      <c r="L256" s="1356">
        <f ca="1">IFERROR(__xludf.DUMMYFUNCTION("IMPORTRANGE(""https://docs.google.com/spreadsheets/d/1eHaY18a8A9IcSdp1K8H6x8fbOy06t2VsZHhMHf-1x7Y/edit?usp=sharing"",""แผน!BC29"")"),0)</f>
        <v>0</v>
      </c>
      <c r="M256" s="45"/>
      <c r="N256" s="1422">
        <v>0</v>
      </c>
      <c r="O256" s="45"/>
      <c r="P256" s="45"/>
      <c r="Q256" s="45"/>
      <c r="R256" s="45"/>
      <c r="S256" s="45"/>
      <c r="T256" s="45"/>
      <c r="U256" s="45"/>
    </row>
    <row r="257" spans="1:21" ht="18.75" x14ac:dyDescent="0.25">
      <c r="A257" s="208"/>
      <c r="B257" s="158"/>
      <c r="C257" s="158"/>
      <c r="D257" s="156" t="s">
        <v>106</v>
      </c>
      <c r="E257" s="40"/>
      <c r="F257" s="40"/>
      <c r="G257" s="42"/>
      <c r="H257" s="159" t="s">
        <v>14</v>
      </c>
      <c r="I257" s="44"/>
      <c r="J257" s="44"/>
      <c r="K257" s="45"/>
      <c r="L257" s="1356">
        <f ca="1">IFERROR(__xludf.DUMMYFUNCTION("IMPORTRANGE(""https://docs.google.com/spreadsheets/d/1eHaY18a8A9IcSdp1K8H6x8fbOy06t2VsZHhMHf-1x7Y/edit?usp=sharing"",""แผน!BD29"")"),0)</f>
        <v>0</v>
      </c>
      <c r="M257" s="45"/>
      <c r="N257" s="1422">
        <v>0</v>
      </c>
      <c r="O257" s="45"/>
      <c r="P257" s="45"/>
      <c r="Q257" s="45"/>
      <c r="R257" s="45"/>
      <c r="S257" s="45"/>
      <c r="T257" s="45"/>
      <c r="U257" s="45"/>
    </row>
    <row r="258" spans="1:21" ht="18.75" x14ac:dyDescent="0.25">
      <c r="A258" s="208"/>
      <c r="B258" s="158"/>
      <c r="C258" s="158"/>
      <c r="D258" s="156" t="s">
        <v>107</v>
      </c>
      <c r="E258" s="40"/>
      <c r="F258" s="40"/>
      <c r="G258" s="42"/>
      <c r="H258" s="159" t="s">
        <v>14</v>
      </c>
      <c r="I258" s="44"/>
      <c r="J258" s="44"/>
      <c r="K258" s="45"/>
      <c r="L258" s="1356">
        <f ca="1">IFERROR(__xludf.DUMMYFUNCTION("IMPORTRANGE(""https://docs.google.com/spreadsheets/d/1eHaY18a8A9IcSdp1K8H6x8fbOy06t2VsZHhMHf-1x7Y/edit?usp=sharing"",""แผน!BE29"")"),0)</f>
        <v>0</v>
      </c>
      <c r="M258" s="45"/>
      <c r="N258" s="1422">
        <v>0</v>
      </c>
      <c r="O258" s="45"/>
      <c r="P258" s="45"/>
      <c r="Q258" s="45"/>
      <c r="R258" s="45"/>
      <c r="S258" s="45"/>
      <c r="T258" s="45"/>
      <c r="U258" s="45"/>
    </row>
    <row r="259" spans="1:21" ht="19.5" x14ac:dyDescent="0.3">
      <c r="A259" s="138"/>
      <c r="B259" s="139"/>
      <c r="C259" s="1435" t="s">
        <v>18</v>
      </c>
      <c r="D259" s="1436" t="s">
        <v>38</v>
      </c>
      <c r="E259" s="141"/>
      <c r="F259" s="141"/>
      <c r="G259" s="142"/>
      <c r="H259" s="143"/>
      <c r="I259" s="135"/>
      <c r="J259" s="44"/>
      <c r="K259" s="45"/>
      <c r="L259" s="1359"/>
      <c r="M259" s="45"/>
      <c r="N259" s="45"/>
      <c r="O259" s="136"/>
      <c r="P259" s="136"/>
      <c r="Q259" s="45"/>
      <c r="R259" s="45"/>
      <c r="S259" s="45"/>
      <c r="T259" s="136"/>
      <c r="U259" s="136"/>
    </row>
    <row r="260" spans="1:21" ht="18.75" x14ac:dyDescent="0.25">
      <c r="A260" s="138"/>
      <c r="B260" s="139"/>
      <c r="C260" s="139"/>
      <c r="D260" s="179" t="s">
        <v>108</v>
      </c>
      <c r="E260" s="145"/>
      <c r="F260" s="145"/>
      <c r="G260" s="143"/>
      <c r="H260" s="1437" t="s">
        <v>35</v>
      </c>
      <c r="I260" s="423">
        <f ca="1">IFERROR(__xludf.DUMMYFUNCTION("IMPORTRANGE(""https://docs.google.com/spreadsheets/d/1eHaY18a8A9IcSdp1K8H6x8fbOy06t2VsZHhMHf-1x7Y/edit?usp=sharing"",""แผน!BH29"")"),0)</f>
        <v>0</v>
      </c>
      <c r="J260" s="1407">
        <v>0</v>
      </c>
      <c r="K260" s="83">
        <f ca="1">IF(I260&gt;0,J260*100/I260,0)</f>
        <v>0</v>
      </c>
      <c r="L260" s="1359"/>
      <c r="M260" s="45"/>
      <c r="N260" s="45"/>
      <c r="O260" s="45"/>
      <c r="P260" s="45"/>
      <c r="Q260" s="45"/>
      <c r="R260" s="45"/>
      <c r="S260" s="45"/>
      <c r="T260" s="45"/>
      <c r="U260" s="45"/>
    </row>
    <row r="261" spans="1:21" ht="18.75" x14ac:dyDescent="0.25">
      <c r="A261" s="138"/>
      <c r="B261" s="139"/>
      <c r="C261" s="139"/>
      <c r="D261" s="1438" t="s">
        <v>43</v>
      </c>
      <c r="E261" s="145"/>
      <c r="F261" s="145"/>
      <c r="G261" s="143"/>
      <c r="H261" s="143"/>
      <c r="I261" s="44"/>
      <c r="J261" s="44"/>
      <c r="K261" s="45"/>
      <c r="L261" s="1359"/>
      <c r="M261" s="45"/>
      <c r="N261" s="45"/>
      <c r="O261" s="136"/>
      <c r="P261" s="136"/>
      <c r="Q261" s="45"/>
      <c r="R261" s="45"/>
      <c r="S261" s="45"/>
      <c r="T261" s="136"/>
      <c r="U261" s="136"/>
    </row>
    <row r="262" spans="1:21" ht="18.75" x14ac:dyDescent="0.25">
      <c r="A262" s="138"/>
      <c r="B262" s="139"/>
      <c r="C262" s="139"/>
      <c r="D262" s="139"/>
      <c r="E262" s="1439" t="s">
        <v>109</v>
      </c>
      <c r="F262" s="145"/>
      <c r="G262" s="143"/>
      <c r="H262" s="1437" t="s">
        <v>35</v>
      </c>
      <c r="I262" s="44"/>
      <c r="J262" s="1407">
        <v>0</v>
      </c>
      <c r="K262" s="83">
        <f>IF(I262&gt;0,J262*100/I262,0)</f>
        <v>0</v>
      </c>
      <c r="L262" s="1359"/>
      <c r="M262" s="45"/>
      <c r="N262" s="45"/>
      <c r="O262" s="45"/>
      <c r="P262" s="45"/>
      <c r="Q262" s="45"/>
      <c r="R262" s="45"/>
      <c r="S262" s="45"/>
      <c r="T262" s="45"/>
      <c r="U262" s="45"/>
    </row>
    <row r="263" spans="1:21" ht="18.75" x14ac:dyDescent="0.25">
      <c r="A263" s="138"/>
      <c r="B263" s="139"/>
      <c r="C263" s="139"/>
      <c r="D263" s="139"/>
      <c r="E263" s="1439" t="s">
        <v>110</v>
      </c>
      <c r="F263" s="145"/>
      <c r="G263" s="143"/>
      <c r="H263" s="1437" t="s">
        <v>61</v>
      </c>
      <c r="I263" s="44"/>
      <c r="J263" s="1407">
        <v>0</v>
      </c>
      <c r="K263" s="83">
        <f>IF(I263&gt;0,J263*100/I263,0)</f>
        <v>0</v>
      </c>
      <c r="L263" s="1359"/>
      <c r="M263" s="45"/>
      <c r="N263" s="45"/>
      <c r="O263" s="45"/>
      <c r="P263" s="45"/>
      <c r="Q263" s="45"/>
      <c r="R263" s="45"/>
      <c r="S263" s="45"/>
      <c r="T263" s="45"/>
      <c r="U263" s="45"/>
    </row>
    <row r="264" spans="1:21" ht="19.5" x14ac:dyDescent="0.3">
      <c r="A264" s="1441" t="s">
        <v>113</v>
      </c>
      <c r="B264" s="1442"/>
      <c r="C264" s="1442"/>
      <c r="D264" s="1443"/>
      <c r="E264" s="1443"/>
      <c r="F264" s="1443"/>
      <c r="G264" s="1444"/>
      <c r="H264" s="1444"/>
      <c r="I264" s="1445"/>
      <c r="J264" s="1445"/>
      <c r="K264" s="1446"/>
      <c r="L264" s="1447"/>
      <c r="M264" s="1446"/>
      <c r="N264" s="1446"/>
      <c r="O264" s="1446"/>
      <c r="P264" s="1446"/>
      <c r="Q264" s="1446"/>
      <c r="R264" s="1446"/>
      <c r="S264" s="1446"/>
      <c r="T264" s="1446"/>
      <c r="U264" s="1446"/>
    </row>
    <row r="265" spans="1:21" ht="19.5" x14ac:dyDescent="0.3">
      <c r="A265" s="1448"/>
      <c r="B265" s="1449" t="s">
        <v>114</v>
      </c>
      <c r="C265" s="1450"/>
      <c r="D265" s="1451"/>
      <c r="E265" s="1451"/>
      <c r="F265" s="1451"/>
      <c r="G265" s="1452"/>
      <c r="H265" s="1453" t="s">
        <v>35</v>
      </c>
      <c r="I265" s="1454">
        <f ca="1">I276</f>
        <v>22</v>
      </c>
      <c r="J265" s="1454">
        <f>J276</f>
        <v>0</v>
      </c>
      <c r="K265" s="1455">
        <f ca="1">IF(I265&gt;0,J265*100/I265,0)</f>
        <v>0</v>
      </c>
      <c r="L265" s="1456"/>
      <c r="M265" s="1457"/>
      <c r="N265" s="1457"/>
      <c r="O265" s="1457"/>
      <c r="P265" s="1457"/>
      <c r="Q265" s="1457"/>
      <c r="R265" s="1457"/>
      <c r="S265" s="1457"/>
      <c r="T265" s="1457"/>
      <c r="U265" s="1457"/>
    </row>
    <row r="266" spans="1:21" ht="19.5" x14ac:dyDescent="0.3">
      <c r="A266" s="1458"/>
      <c r="B266" s="1459"/>
      <c r="C266" s="1460" t="s">
        <v>18</v>
      </c>
      <c r="D266" s="1461" t="s">
        <v>19</v>
      </c>
      <c r="E266" s="1459"/>
      <c r="F266" s="1459"/>
      <c r="G266" s="1462"/>
      <c r="H266" s="1463" t="s">
        <v>14</v>
      </c>
      <c r="I266" s="1464"/>
      <c r="J266" s="1464"/>
      <c r="K266" s="1465"/>
      <c r="L266" s="1466">
        <f ca="1">L267+L268</f>
        <v>5000</v>
      </c>
      <c r="M266" s="1467">
        <f ca="1">M267+M268</f>
        <v>5000</v>
      </c>
      <c r="N266" s="1467">
        <f ca="1">N267+N268</f>
        <v>0</v>
      </c>
      <c r="O266" s="1467">
        <f ca="1">IF(L266&gt;0,N266*100/L266,0)</f>
        <v>0</v>
      </c>
      <c r="P266" s="1467">
        <f ca="1">IF(M266&gt;0,N266*100/M266,0)</f>
        <v>0</v>
      </c>
      <c r="Q266" s="1467">
        <f ca="1">Q267+Q268</f>
        <v>50660</v>
      </c>
      <c r="R266" s="1467">
        <f ca="1">R267+R268</f>
        <v>50660</v>
      </c>
      <c r="S266" s="1467">
        <f ca="1">S267+S268</f>
        <v>0</v>
      </c>
      <c r="T266" s="1467">
        <f ca="1">IF(Q266&gt;0,S266*100/Q266,0)</f>
        <v>0</v>
      </c>
      <c r="U266" s="1467">
        <f ca="1">IF(R266&gt;0,S266*100/R266,0)</f>
        <v>0</v>
      </c>
    </row>
    <row r="267" spans="1:21" ht="18.75" x14ac:dyDescent="0.25">
      <c r="A267" s="1468"/>
      <c r="B267" s="1469"/>
      <c r="C267" s="1469"/>
      <c r="D267" s="1469"/>
      <c r="E267" s="156" t="s">
        <v>20</v>
      </c>
      <c r="F267" s="1469"/>
      <c r="G267" s="1470"/>
      <c r="H267" s="157" t="s">
        <v>14</v>
      </c>
      <c r="I267" s="1471"/>
      <c r="J267" s="1471"/>
      <c r="K267" s="1472"/>
      <c r="L267" s="1358">
        <f>L270+L273</f>
        <v>0</v>
      </c>
      <c r="M267" s="83">
        <f>M270+M273</f>
        <v>0</v>
      </c>
      <c r="N267" s="83">
        <f>N270+N273</f>
        <v>0</v>
      </c>
      <c r="O267" s="83">
        <f>IF(L267&gt;0,N267*100/L267,0)</f>
        <v>0</v>
      </c>
      <c r="P267" s="83">
        <f>IF(M267&gt;0,N267*100/M267,0)</f>
        <v>0</v>
      </c>
      <c r="Q267" s="83">
        <f>Q270+Q273</f>
        <v>0</v>
      </c>
      <c r="R267" s="83">
        <f>R270+R273</f>
        <v>0</v>
      </c>
      <c r="S267" s="83">
        <f>S270+S273</f>
        <v>0</v>
      </c>
      <c r="T267" s="83">
        <f>IF(Q267&gt;0,S267*100/Q267,0)</f>
        <v>0</v>
      </c>
      <c r="U267" s="83">
        <f>IF(R267&gt;0,S267*100/R267,0)</f>
        <v>0</v>
      </c>
    </row>
    <row r="268" spans="1:21" ht="18.75" x14ac:dyDescent="0.25">
      <c r="A268" s="1458"/>
      <c r="B268" s="1459"/>
      <c r="C268" s="1459"/>
      <c r="D268" s="1459"/>
      <c r="E268" s="1473" t="s">
        <v>21</v>
      </c>
      <c r="F268" s="1459"/>
      <c r="G268" s="1462"/>
      <c r="H268" s="1474" t="s">
        <v>14</v>
      </c>
      <c r="I268" s="1464"/>
      <c r="J268" s="1464"/>
      <c r="K268" s="1465"/>
      <c r="L268" s="1475">
        <f ca="1">L271+L274</f>
        <v>5000</v>
      </c>
      <c r="M268" s="1476">
        <f ca="1">M271+M274</f>
        <v>5000</v>
      </c>
      <c r="N268" s="1476">
        <f ca="1">N271+N274</f>
        <v>0</v>
      </c>
      <c r="O268" s="1476">
        <f ca="1">IF(L268&gt;0,N268*100/L268,0)</f>
        <v>0</v>
      </c>
      <c r="P268" s="1476">
        <f ca="1">IF(M268&gt;0,N268*100/M268,0)</f>
        <v>0</v>
      </c>
      <c r="Q268" s="1476">
        <f ca="1">Q271+Q274</f>
        <v>50660</v>
      </c>
      <c r="R268" s="1476">
        <f ca="1">R271+R274</f>
        <v>50660</v>
      </c>
      <c r="S268" s="1476">
        <f ca="1">S271+S274</f>
        <v>0</v>
      </c>
      <c r="T268" s="1476">
        <f ca="1">IF(Q268&gt;0,S268*100/Q268,0)</f>
        <v>0</v>
      </c>
      <c r="U268" s="1476">
        <f ca="1">IF(R268&gt;0,S268*100/R268,0)</f>
        <v>0</v>
      </c>
    </row>
    <row r="269" spans="1:21" ht="18.75" x14ac:dyDescent="0.25">
      <c r="A269" s="1458"/>
      <c r="B269" s="1459"/>
      <c r="C269" s="1459"/>
      <c r="D269" s="1477" t="s">
        <v>22</v>
      </c>
      <c r="E269" s="1459"/>
      <c r="F269" s="1459"/>
      <c r="G269" s="1462"/>
      <c r="H269" s="1478" t="s">
        <v>14</v>
      </c>
      <c r="I269" s="1479"/>
      <c r="J269" s="1479"/>
      <c r="K269" s="1480"/>
      <c r="L269" s="1475">
        <f ca="1">L270+L271</f>
        <v>5000</v>
      </c>
      <c r="M269" s="1476">
        <f ca="1">M270+M271</f>
        <v>5000</v>
      </c>
      <c r="N269" s="1476">
        <f ca="1">N270+N271</f>
        <v>0</v>
      </c>
      <c r="O269" s="1476">
        <f ca="1">IF(L269&gt;0,N269*100/L269,0)</f>
        <v>0</v>
      </c>
      <c r="P269" s="1476">
        <f ca="1">IF(M269&gt;0,N269*100/M269,0)</f>
        <v>0</v>
      </c>
      <c r="Q269" s="1476">
        <f ca="1">Q270+Q271</f>
        <v>50660</v>
      </c>
      <c r="R269" s="1476">
        <f ca="1">R270+R271</f>
        <v>50660</v>
      </c>
      <c r="S269" s="1476">
        <f ca="1">S270+S271</f>
        <v>0</v>
      </c>
      <c r="T269" s="1476">
        <f ca="1">IF(Q269&gt;0,S269*100/Q269,0)</f>
        <v>0</v>
      </c>
      <c r="U269" s="1476">
        <f ca="1">IF(R269&gt;0,S269*100/R269,0)</f>
        <v>0</v>
      </c>
    </row>
    <row r="270" spans="1:21" ht="18.75" x14ac:dyDescent="0.25">
      <c r="A270" s="1468"/>
      <c r="B270" s="1469"/>
      <c r="C270" s="1469"/>
      <c r="D270" s="1469"/>
      <c r="E270" s="156" t="s">
        <v>36</v>
      </c>
      <c r="F270" s="1469"/>
      <c r="G270" s="1470"/>
      <c r="H270" s="159" t="s">
        <v>14</v>
      </c>
      <c r="I270" s="1481"/>
      <c r="J270" s="1481"/>
      <c r="K270" s="1482"/>
      <c r="L270" s="1358">
        <v>0</v>
      </c>
      <c r="M270" s="83">
        <v>0</v>
      </c>
      <c r="N270" s="83">
        <v>0</v>
      </c>
      <c r="O270" s="83">
        <f>IF(L270&gt;0,N270*100/L270,0)</f>
        <v>0</v>
      </c>
      <c r="P270" s="83">
        <f>IF(M270&gt;0,N270*100/M270,0)</f>
        <v>0</v>
      </c>
      <c r="Q270" s="83">
        <v>0</v>
      </c>
      <c r="R270" s="83">
        <v>0</v>
      </c>
      <c r="S270" s="83">
        <v>0</v>
      </c>
      <c r="T270" s="83">
        <f>IF(Q270&gt;0,S270*100/Q270,0)</f>
        <v>0</v>
      </c>
      <c r="U270" s="83">
        <f>IF(R270&gt;0,S270*100/R270,0)</f>
        <v>0</v>
      </c>
    </row>
    <row r="271" spans="1:21" ht="18.75" x14ac:dyDescent="0.25">
      <c r="A271" s="1458"/>
      <c r="B271" s="1459"/>
      <c r="C271" s="1459"/>
      <c r="D271" s="1459"/>
      <c r="E271" s="1473" t="s">
        <v>37</v>
      </c>
      <c r="F271" s="1459"/>
      <c r="G271" s="1462"/>
      <c r="H271" s="1478" t="s">
        <v>14</v>
      </c>
      <c r="I271" s="1479"/>
      <c r="J271" s="1479"/>
      <c r="K271" s="1480"/>
      <c r="L271" s="1475">
        <f ca="1">IFERROR(__xludf.DUMMYFUNCTION("IMPORTRANGE(""https://docs.google.com/spreadsheets/d/1-uDff_7J0KD5mKrp0Vvzr7lt3OU09vwQwhkpOPPYv2Y/edit?usp=sharing"",""งบพรบ!DE29"")"),5000)</f>
        <v>5000</v>
      </c>
      <c r="M271" s="1476">
        <f ca="1">IFERROR(__xludf.DUMMYFUNCTION("IMPORTRANGE(""https://docs.google.com/spreadsheets/d/1-uDff_7J0KD5mKrp0Vvzr7lt3OU09vwQwhkpOPPYv2Y/edit?usp=sharing"",""งบพรบ!DJ29"")"),5000)</f>
        <v>5000</v>
      </c>
      <c r="N271" s="1476">
        <f ca="1">IFERROR(__xludf.DUMMYFUNCTION("IMPORTRANGE(""https://docs.google.com/spreadsheets/d/1-uDff_7J0KD5mKrp0Vvzr7lt3OU09vwQwhkpOPPYv2Y/edit?usp=sharing"",""งบพรบ!DL29"")"),0)</f>
        <v>0</v>
      </c>
      <c r="O271" s="1476">
        <f ca="1">IF(L271&gt;0,N271*100/L271,0)</f>
        <v>0</v>
      </c>
      <c r="P271" s="1476">
        <f ca="1">IF(M271&gt;0,N271*100/M271,0)</f>
        <v>0</v>
      </c>
      <c r="Q271" s="1476">
        <f ca="1">IFERROR(__xludf.DUMMYFUNCTION("IMPORTRANGE(""https://docs.google.com/spreadsheets/d/1ItG2mGa2ceCfYo0BwxsXqNm01IGEUdYcSSLTEv9YCik/edit?usp=sharing"",""เบิกจ่ายกองทุน!AP29"")"),50660)</f>
        <v>50660</v>
      </c>
      <c r="R271" s="1476">
        <f ca="1">IFERROR(__xludf.DUMMYFUNCTION("IMPORTRANGE(""https://docs.google.com/spreadsheets/d/1ItG2mGa2ceCfYo0BwxsXqNm01IGEUdYcSSLTEv9YCik/edit?usp=sharing"",""เบิกจ่ายกองทุน!AQ29"")"),50660)</f>
        <v>50660</v>
      </c>
      <c r="S271" s="1476">
        <f ca="1">IFERROR(__xludf.DUMMYFUNCTION("IMPORTRANGE(""https://docs.google.com/spreadsheets/d/1ItG2mGa2ceCfYo0BwxsXqNm01IGEUdYcSSLTEv9YCik/edit?usp=sharing"",""เบิกจ่ายกองทุน!AR29"")"),0)</f>
        <v>0</v>
      </c>
      <c r="T271" s="1476">
        <f ca="1">IF(Q271&gt;0,S271*100/Q271,0)</f>
        <v>0</v>
      </c>
      <c r="U271" s="1476">
        <f ca="1">IF(R271&gt;0,S271*100/R271,0)</f>
        <v>0</v>
      </c>
    </row>
    <row r="272" spans="1:21" ht="18.75" x14ac:dyDescent="0.25">
      <c r="A272" s="1458"/>
      <c r="B272" s="1459"/>
      <c r="C272" s="1459"/>
      <c r="D272" s="1477" t="s">
        <v>23</v>
      </c>
      <c r="E272" s="1459"/>
      <c r="F272" s="1459"/>
      <c r="G272" s="1462"/>
      <c r="H272" s="1483" t="s">
        <v>14</v>
      </c>
      <c r="I272" s="1479"/>
      <c r="J272" s="1479"/>
      <c r="K272" s="1480"/>
      <c r="L272" s="1475">
        <f ca="1">L273+L274</f>
        <v>0</v>
      </c>
      <c r="M272" s="1476">
        <f ca="1">M273+M274</f>
        <v>0</v>
      </c>
      <c r="N272" s="1476">
        <f ca="1">N273+N274</f>
        <v>0</v>
      </c>
      <c r="O272" s="1476">
        <f ca="1">IF(L272&gt;0,N272*100/L272,0)</f>
        <v>0</v>
      </c>
      <c r="P272" s="1476">
        <f ca="1">IF(M272&gt;0,N272*100/M272,0)</f>
        <v>0</v>
      </c>
      <c r="Q272" s="1476">
        <f>Q273+Q274</f>
        <v>0</v>
      </c>
      <c r="R272" s="1476">
        <f>R273+R274</f>
        <v>0</v>
      </c>
      <c r="S272" s="1476">
        <f>S273+S274</f>
        <v>0</v>
      </c>
      <c r="T272" s="1476">
        <f>IF(Q272&gt;0,S272*100/Q272,0)</f>
        <v>0</v>
      </c>
      <c r="U272" s="1476">
        <f>IF(R272&gt;0,S272*100/R272,0)</f>
        <v>0</v>
      </c>
    </row>
    <row r="273" spans="1:21" ht="18.75" x14ac:dyDescent="0.25">
      <c r="A273" s="1468"/>
      <c r="B273" s="1469"/>
      <c r="C273" s="1469"/>
      <c r="D273" s="1469"/>
      <c r="E273" s="156" t="s">
        <v>20</v>
      </c>
      <c r="F273" s="1469"/>
      <c r="G273" s="1470"/>
      <c r="H273" s="159" t="s">
        <v>14</v>
      </c>
      <c r="I273" s="1481"/>
      <c r="J273" s="1481"/>
      <c r="K273" s="1482"/>
      <c r="L273" s="1358">
        <v>0</v>
      </c>
      <c r="M273" s="83">
        <v>0</v>
      </c>
      <c r="N273" s="83">
        <v>0</v>
      </c>
      <c r="O273" s="83">
        <f>IF(L273&gt;0,N273*100/L273,0)</f>
        <v>0</v>
      </c>
      <c r="P273" s="83">
        <f>IF(M273&gt;0,N273*100/M273,0)</f>
        <v>0</v>
      </c>
      <c r="Q273" s="83">
        <v>0</v>
      </c>
      <c r="R273" s="83">
        <v>0</v>
      </c>
      <c r="S273" s="83">
        <v>0</v>
      </c>
      <c r="T273" s="83">
        <f>IF(Q273&gt;0,S273*100/Q273,0)</f>
        <v>0</v>
      </c>
      <c r="U273" s="83">
        <f>IF(R273&gt;0,S273*100/R273,0)</f>
        <v>0</v>
      </c>
    </row>
    <row r="274" spans="1:21" ht="18.75" x14ac:dyDescent="0.25">
      <c r="A274" s="1458"/>
      <c r="B274" s="1459"/>
      <c r="C274" s="1459"/>
      <c r="D274" s="1459"/>
      <c r="E274" s="1473" t="s">
        <v>21</v>
      </c>
      <c r="F274" s="1459"/>
      <c r="G274" s="1462"/>
      <c r="H274" s="1483" t="s">
        <v>14</v>
      </c>
      <c r="I274" s="1479"/>
      <c r="J274" s="1479"/>
      <c r="K274" s="1480"/>
      <c r="L274" s="1475">
        <f ca="1">IFERROR(__xludf.DUMMYFUNCTION("IMPORTRANGE(""https://docs.google.com/spreadsheets/d/1-uDff_7J0KD5mKrp0Vvzr7lt3OU09vwQwhkpOPPYv2Y/edit?usp=sharing"",""งบพรบ!DH29"")"),0)</f>
        <v>0</v>
      </c>
      <c r="M274" s="1476">
        <f ca="1">IFERROR(__xludf.DUMMYFUNCTION("IMPORTRANGE(""https://docs.google.com/spreadsheets/d/1-uDff_7J0KD5mKrp0Vvzr7lt3OU09vwQwhkpOPPYv2Y/edit?usp=sharing"",""งบพรบ!DK29"")"),0)</f>
        <v>0</v>
      </c>
      <c r="N274" s="1476">
        <f ca="1">IFERROR(__xludf.DUMMYFUNCTION("IMPORTRANGE(""https://docs.google.com/spreadsheets/d/1-uDff_7J0KD5mKrp0Vvzr7lt3OU09vwQwhkpOPPYv2Y/edit?usp=sharing"",""งบพรบ!DM29"")"),0)</f>
        <v>0</v>
      </c>
      <c r="O274" s="1476">
        <f ca="1">IF(L274&gt;0,N274*100/L274,0)</f>
        <v>0</v>
      </c>
      <c r="P274" s="1476">
        <f ca="1">IF(M274&gt;0,N274*100/M274,0)</f>
        <v>0</v>
      </c>
      <c r="Q274" s="1476">
        <v>0</v>
      </c>
      <c r="R274" s="1476">
        <v>0</v>
      </c>
      <c r="S274" s="1476">
        <v>0</v>
      </c>
      <c r="T274" s="1476">
        <f>IF(Q274&gt;0,S274*100/Q274,0)</f>
        <v>0</v>
      </c>
      <c r="U274" s="1476">
        <f>IF(R274&gt;0,S274*100/R274,0)</f>
        <v>0</v>
      </c>
    </row>
    <row r="275" spans="1:21" ht="19.5" x14ac:dyDescent="0.3">
      <c r="A275" s="1484"/>
      <c r="B275" s="1485"/>
      <c r="C275" s="1473" t="s">
        <v>18</v>
      </c>
      <c r="D275" s="1486" t="s">
        <v>38</v>
      </c>
      <c r="E275" s="1451"/>
      <c r="F275" s="1451"/>
      <c r="G275" s="1452"/>
      <c r="H275" s="1487"/>
      <c r="I275" s="1479"/>
      <c r="J275" s="1479"/>
      <c r="K275" s="1480"/>
      <c r="L275" s="1488"/>
      <c r="M275" s="1480"/>
      <c r="N275" s="1480"/>
      <c r="O275" s="1480"/>
      <c r="P275" s="1480"/>
      <c r="Q275" s="1480"/>
      <c r="R275" s="1480"/>
      <c r="S275" s="1480"/>
      <c r="T275" s="1480"/>
      <c r="U275" s="1480"/>
    </row>
    <row r="276" spans="1:21" ht="18.75" x14ac:dyDescent="0.25">
      <c r="A276" s="1489"/>
      <c r="B276" s="367"/>
      <c r="C276" s="367"/>
      <c r="D276" s="1490" t="s">
        <v>115</v>
      </c>
      <c r="E276" s="366"/>
      <c r="F276" s="366"/>
      <c r="G276" s="369"/>
      <c r="H276" s="1491" t="s">
        <v>35</v>
      </c>
      <c r="I276" s="371">
        <f ca="1">IFERROR(__xludf.DUMMYFUNCTION("IMPORTRANGE(""https://docs.google.com/spreadsheets/d/1eHaY18a8A9IcSdp1K8H6x8fbOy06t2VsZHhMHf-1x7Y/edit?usp=sharing"",""แผน!EC29"")"),22)</f>
        <v>22</v>
      </c>
      <c r="J276" s="437">
        <v>0</v>
      </c>
      <c r="K276" s="372">
        <f ca="1">IF(I276&gt;0,J276*100/I276,0)</f>
        <v>0</v>
      </c>
      <c r="L276" s="1359"/>
      <c r="M276" s="45"/>
      <c r="N276" s="45"/>
      <c r="O276" s="45"/>
      <c r="P276" s="45"/>
      <c r="Q276" s="45"/>
      <c r="R276" s="45"/>
      <c r="S276" s="45"/>
      <c r="T276" s="45"/>
      <c r="U276" s="45"/>
    </row>
    <row r="277" spans="1:21" ht="18.75" x14ac:dyDescent="0.25">
      <c r="A277" s="249"/>
      <c r="B277" s="250"/>
      <c r="C277" s="250"/>
      <c r="D277" s="1492" t="s">
        <v>116</v>
      </c>
      <c r="E277" s="252"/>
      <c r="F277" s="252"/>
      <c r="G277" s="253"/>
      <c r="H277" s="1493" t="s">
        <v>35</v>
      </c>
      <c r="I277" s="426">
        <v>0</v>
      </c>
      <c r="J277" s="426">
        <v>0</v>
      </c>
      <c r="K277" s="1494">
        <v>0</v>
      </c>
      <c r="L277" s="1495"/>
      <c r="M277" s="255"/>
      <c r="N277" s="255"/>
      <c r="O277" s="255"/>
      <c r="P277" s="255"/>
      <c r="Q277" s="255"/>
      <c r="R277" s="255"/>
      <c r="S277" s="255"/>
      <c r="T277" s="255"/>
      <c r="U277" s="255"/>
    </row>
    <row r="278" spans="1:21" ht="19.5" x14ac:dyDescent="0.3">
      <c r="A278" s="256" t="s">
        <v>117</v>
      </c>
      <c r="B278" s="257"/>
      <c r="C278" s="257"/>
      <c r="D278" s="257"/>
      <c r="E278" s="258"/>
      <c r="F278" s="258"/>
      <c r="G278" s="258"/>
      <c r="H278" s="258"/>
      <c r="I278" s="259"/>
      <c r="J278" s="259"/>
      <c r="K278" s="260"/>
      <c r="L278" s="260"/>
      <c r="M278" s="260"/>
      <c r="N278" s="260"/>
      <c r="O278" s="260"/>
      <c r="P278" s="261"/>
      <c r="Q278" s="260"/>
      <c r="R278" s="260"/>
      <c r="S278" s="260"/>
      <c r="T278" s="260"/>
      <c r="U278" s="261"/>
    </row>
    <row r="279" spans="1:21" ht="19.5" x14ac:dyDescent="0.3">
      <c r="A279" s="262" t="s">
        <v>118</v>
      </c>
      <c r="B279" s="263"/>
      <c r="C279" s="264"/>
      <c r="D279" s="263"/>
      <c r="E279" s="263"/>
      <c r="F279" s="263"/>
      <c r="G279" s="263"/>
      <c r="H279" s="263"/>
      <c r="I279" s="265"/>
      <c r="J279" s="266"/>
      <c r="K279" s="267"/>
      <c r="L279" s="1496"/>
      <c r="M279" s="267"/>
      <c r="N279" s="267"/>
      <c r="O279" s="267"/>
      <c r="P279" s="267"/>
      <c r="Q279" s="267"/>
      <c r="R279" s="267"/>
      <c r="S279" s="267"/>
      <c r="T279" s="267"/>
      <c r="U279" s="267"/>
    </row>
    <row r="280" spans="1:21" ht="19.5" x14ac:dyDescent="0.3">
      <c r="A280" s="268"/>
      <c r="B280" s="269" t="s">
        <v>119</v>
      </c>
      <c r="C280" s="270"/>
      <c r="D280" s="271"/>
      <c r="E280" s="270"/>
      <c r="F280" s="270"/>
      <c r="G280" s="272"/>
      <c r="H280" s="273" t="s">
        <v>35</v>
      </c>
      <c r="I280" s="1497">
        <f ca="1">I293</f>
        <v>20</v>
      </c>
      <c r="J280" s="1497">
        <f>J293</f>
        <v>20</v>
      </c>
      <c r="K280" s="1498">
        <f ca="1">IF(I280&gt;0,J280*100/I280,0)</f>
        <v>100</v>
      </c>
      <c r="L280" s="1499"/>
      <c r="M280" s="276"/>
      <c r="N280" s="276"/>
      <c r="O280" s="276"/>
      <c r="P280" s="276"/>
      <c r="Q280" s="276"/>
      <c r="R280" s="276"/>
      <c r="S280" s="276"/>
      <c r="T280" s="276"/>
      <c r="U280" s="276"/>
    </row>
    <row r="281" spans="1:21" ht="19.5" x14ac:dyDescent="0.3">
      <c r="A281" s="268"/>
      <c r="B281" s="270"/>
      <c r="C281" s="270"/>
      <c r="D281" s="271"/>
      <c r="E281" s="270"/>
      <c r="F281" s="270"/>
      <c r="G281" s="272"/>
      <c r="H281" s="273" t="s">
        <v>46</v>
      </c>
      <c r="I281" s="1497">
        <f ca="1">I292</f>
        <v>200</v>
      </c>
      <c r="J281" s="1497">
        <f>J292</f>
        <v>200</v>
      </c>
      <c r="K281" s="1498">
        <f ca="1">IF(I281&gt;0,J281*100/I281,0)</f>
        <v>100</v>
      </c>
      <c r="L281" s="1499"/>
      <c r="M281" s="276"/>
      <c r="N281" s="276"/>
      <c r="O281" s="276"/>
      <c r="P281" s="276"/>
      <c r="Q281" s="276"/>
      <c r="R281" s="276"/>
      <c r="S281" s="276"/>
      <c r="T281" s="276"/>
      <c r="U281" s="276"/>
    </row>
    <row r="282" spans="1:21" ht="19.5" x14ac:dyDescent="0.3">
      <c r="A282" s="128"/>
      <c r="B282" s="40"/>
      <c r="C282" s="129" t="s">
        <v>18</v>
      </c>
      <c r="D282" s="1388" t="s">
        <v>19</v>
      </c>
      <c r="E282" s="40"/>
      <c r="F282" s="40"/>
      <c r="G282" s="42"/>
      <c r="H282" s="131" t="s">
        <v>14</v>
      </c>
      <c r="I282" s="44"/>
      <c r="J282" s="44"/>
      <c r="K282" s="45"/>
      <c r="L282" s="1389">
        <f ca="1">L283+L284</f>
        <v>71120</v>
      </c>
      <c r="M282" s="1390">
        <f ca="1">M283+M284</f>
        <v>71120</v>
      </c>
      <c r="N282" s="1390">
        <f ca="1">N283+N284</f>
        <v>63825</v>
      </c>
      <c r="O282" s="1390">
        <f ca="1">IF(L282&gt;0,N282*100/L282,0)</f>
        <v>89.742688413948258</v>
      </c>
      <c r="P282" s="1390">
        <f ca="1">IF(M282&gt;0,N282*100/M282,0)</f>
        <v>89.742688413948258</v>
      </c>
      <c r="Q282" s="1390">
        <f>Q283+Q284</f>
        <v>0</v>
      </c>
      <c r="R282" s="1390">
        <f>R283+R284</f>
        <v>0</v>
      </c>
      <c r="S282" s="1390">
        <f>S283+S284</f>
        <v>0</v>
      </c>
      <c r="T282" s="1390">
        <f>IF(Q282&gt;0,S282*100/Q282,0)</f>
        <v>0</v>
      </c>
      <c r="U282" s="1390">
        <f>IF(R282&gt;0,S282*100/R282,0)</f>
        <v>0</v>
      </c>
    </row>
    <row r="283" spans="1:21" ht="18.75" x14ac:dyDescent="0.25">
      <c r="A283" s="128"/>
      <c r="B283" s="40"/>
      <c r="C283" s="40"/>
      <c r="D283" s="40"/>
      <c r="E283" s="156" t="s">
        <v>20</v>
      </c>
      <c r="F283" s="40"/>
      <c r="G283" s="42"/>
      <c r="H283" s="157" t="s">
        <v>14</v>
      </c>
      <c r="I283" s="44"/>
      <c r="J283" s="44"/>
      <c r="K283" s="45"/>
      <c r="L283" s="1358">
        <f>L286+L289</f>
        <v>0</v>
      </c>
      <c r="M283" s="83">
        <f>M286+M289</f>
        <v>0</v>
      </c>
      <c r="N283" s="83">
        <f>N286+N289</f>
        <v>0</v>
      </c>
      <c r="O283" s="83">
        <f>IF(L283&gt;0,N283*100/L283,0)</f>
        <v>0</v>
      </c>
      <c r="P283" s="83">
        <f>IF(M283&gt;0,N283*100/M283,0)</f>
        <v>0</v>
      </c>
      <c r="Q283" s="83">
        <f>Q286+Q289</f>
        <v>0</v>
      </c>
      <c r="R283" s="83">
        <f>R286+R289</f>
        <v>0</v>
      </c>
      <c r="S283" s="83">
        <f>S286+S289</f>
        <v>0</v>
      </c>
      <c r="T283" s="83">
        <f>IF(Q283&gt;0,S283*100/Q283,0)</f>
        <v>0</v>
      </c>
      <c r="U283" s="83">
        <f>IF(R283&gt;0,S283*100/R283,0)</f>
        <v>0</v>
      </c>
    </row>
    <row r="284" spans="1:21" ht="18.75" x14ac:dyDescent="0.25">
      <c r="A284" s="128"/>
      <c r="B284" s="40"/>
      <c r="C284" s="40"/>
      <c r="D284" s="40"/>
      <c r="E284" s="47" t="s">
        <v>21</v>
      </c>
      <c r="F284" s="40"/>
      <c r="G284" s="42"/>
      <c r="H284" s="133" t="s">
        <v>14</v>
      </c>
      <c r="I284" s="44"/>
      <c r="J284" s="44"/>
      <c r="K284" s="45"/>
      <c r="L284" s="1356">
        <f ca="1">L287+L290</f>
        <v>71120</v>
      </c>
      <c r="M284" s="224">
        <f ca="1">M287+M290</f>
        <v>71120</v>
      </c>
      <c r="N284" s="224">
        <f ca="1">N287+N290</f>
        <v>63825</v>
      </c>
      <c r="O284" s="224">
        <f ca="1">IF(L284&gt;0,N284*100/L284,0)</f>
        <v>89.742688413948258</v>
      </c>
      <c r="P284" s="224">
        <f ca="1">IF(M284&gt;0,N284*100/M284,0)</f>
        <v>89.742688413948258</v>
      </c>
      <c r="Q284" s="224">
        <f>Q287+Q290</f>
        <v>0</v>
      </c>
      <c r="R284" s="224">
        <f>R287+R290</f>
        <v>0</v>
      </c>
      <c r="S284" s="224">
        <f>S287+S290</f>
        <v>0</v>
      </c>
      <c r="T284" s="224">
        <f>IF(Q284&gt;0,S284*100/Q284,0)</f>
        <v>0</v>
      </c>
      <c r="U284" s="224">
        <f>IF(R284&gt;0,S284*100/R284,0)</f>
        <v>0</v>
      </c>
    </row>
    <row r="285" spans="1:21" ht="18.75" x14ac:dyDescent="0.25">
      <c r="A285" s="128"/>
      <c r="B285" s="40"/>
      <c r="C285" s="40"/>
      <c r="D285" s="41" t="s">
        <v>22</v>
      </c>
      <c r="E285" s="40"/>
      <c r="F285" s="40"/>
      <c r="G285" s="42"/>
      <c r="H285" s="134" t="s">
        <v>14</v>
      </c>
      <c r="I285" s="135"/>
      <c r="J285" s="135"/>
      <c r="K285" s="136"/>
      <c r="L285" s="1356">
        <f ca="1">L286+L287</f>
        <v>71120</v>
      </c>
      <c r="M285" s="224">
        <f ca="1">M286+M287</f>
        <v>71120</v>
      </c>
      <c r="N285" s="224">
        <f ca="1">N286+N287</f>
        <v>63825</v>
      </c>
      <c r="O285" s="224">
        <f ca="1">IF(L285&gt;0,N285*100/L285,0)</f>
        <v>89.742688413948258</v>
      </c>
      <c r="P285" s="224">
        <f ca="1">IF(M285&gt;0,N285*100/M285,0)</f>
        <v>89.742688413948258</v>
      </c>
      <c r="Q285" s="224">
        <f>Q286+Q287</f>
        <v>0</v>
      </c>
      <c r="R285" s="224">
        <f>R286+R287</f>
        <v>0</v>
      </c>
      <c r="S285" s="224">
        <f>S286+S287</f>
        <v>0</v>
      </c>
      <c r="T285" s="224">
        <f>IF(Q285&gt;0,S285*100/Q285,0)</f>
        <v>0</v>
      </c>
      <c r="U285" s="224">
        <f>IF(R285&gt;0,S285*100/R285,0)</f>
        <v>0</v>
      </c>
    </row>
    <row r="286" spans="1:21" ht="18.75" x14ac:dyDescent="0.25">
      <c r="A286" s="128"/>
      <c r="B286" s="40"/>
      <c r="C286" s="40"/>
      <c r="D286" s="40"/>
      <c r="E286" s="156" t="s">
        <v>36</v>
      </c>
      <c r="F286" s="40"/>
      <c r="G286" s="42"/>
      <c r="H286" s="159" t="s">
        <v>14</v>
      </c>
      <c r="I286" s="135"/>
      <c r="J286" s="135"/>
      <c r="K286" s="136"/>
      <c r="L286" s="1358">
        <v>0</v>
      </c>
      <c r="M286" s="83">
        <v>0</v>
      </c>
      <c r="N286" s="83">
        <v>0</v>
      </c>
      <c r="O286" s="83">
        <f>IF(L286&gt;0,N286*100/L286,0)</f>
        <v>0</v>
      </c>
      <c r="P286" s="83">
        <f>IF(M286&gt;0,N286*100/M286,0)</f>
        <v>0</v>
      </c>
      <c r="Q286" s="83">
        <v>0</v>
      </c>
      <c r="R286" s="83">
        <v>0</v>
      </c>
      <c r="S286" s="83">
        <v>0</v>
      </c>
      <c r="T286" s="83">
        <f>IF(Q286&gt;0,S286*100/Q286,0)</f>
        <v>0</v>
      </c>
      <c r="U286" s="83">
        <f>IF(R286&gt;0,S286*100/R286,0)</f>
        <v>0</v>
      </c>
    </row>
    <row r="287" spans="1:21" ht="18.75" x14ac:dyDescent="0.25">
      <c r="A287" s="128"/>
      <c r="B287" s="40"/>
      <c r="C287" s="40"/>
      <c r="D287" s="40"/>
      <c r="E287" s="47" t="s">
        <v>37</v>
      </c>
      <c r="F287" s="40"/>
      <c r="G287" s="42"/>
      <c r="H287" s="134" t="s">
        <v>14</v>
      </c>
      <c r="I287" s="135"/>
      <c r="J287" s="135"/>
      <c r="K287" s="136"/>
      <c r="L287" s="1356">
        <f ca="1">IFERROR(__xludf.DUMMYFUNCTION("IMPORTRANGE(""https://docs.google.com/spreadsheets/d/1-uDff_7J0KD5mKrp0Vvzr7lt3OU09vwQwhkpOPPYv2Y/edit?usp=sharing"",""งบพรบ!DO29"")"),71120)</f>
        <v>71120</v>
      </c>
      <c r="M287" s="224">
        <f ca="1">IFERROR(__xludf.DUMMYFUNCTION("IMPORTRANGE(""https://docs.google.com/spreadsheets/d/1-uDff_7J0KD5mKrp0Vvzr7lt3OU09vwQwhkpOPPYv2Y/edit?usp=sharing"",""งบพรบ!DT29"")"),71120)</f>
        <v>71120</v>
      </c>
      <c r="N287" s="224">
        <f ca="1">IFERROR(__xludf.DUMMYFUNCTION("IMPORTRANGE(""https://docs.google.com/spreadsheets/d/1-uDff_7J0KD5mKrp0Vvzr7lt3OU09vwQwhkpOPPYv2Y/edit?usp=sharing"",""งบพรบ!DV29"")"),63825)</f>
        <v>63825</v>
      </c>
      <c r="O287" s="224">
        <f ca="1">IF(L287&gt;0,N287*100/L287,0)</f>
        <v>89.742688413948258</v>
      </c>
      <c r="P287" s="224">
        <f ca="1">IF(M287&gt;0,N287*100/M287,0)</f>
        <v>89.742688413948258</v>
      </c>
      <c r="Q287" s="224">
        <v>0</v>
      </c>
      <c r="R287" s="224">
        <v>0</v>
      </c>
      <c r="S287" s="224">
        <v>0</v>
      </c>
      <c r="T287" s="83">
        <f>IF(Q287&gt;0,S287*100/Q287,0)</f>
        <v>0</v>
      </c>
      <c r="U287" s="83">
        <f>IF(R287&gt;0,S287*100/R287,0)</f>
        <v>0</v>
      </c>
    </row>
    <row r="288" spans="1:21" ht="18.75" x14ac:dyDescent="0.25">
      <c r="A288" s="128"/>
      <c r="B288" s="40"/>
      <c r="C288" s="40"/>
      <c r="D288" s="41" t="s">
        <v>23</v>
      </c>
      <c r="E288" s="40"/>
      <c r="F288" s="40"/>
      <c r="G288" s="42"/>
      <c r="H288" s="137" t="s">
        <v>14</v>
      </c>
      <c r="I288" s="135"/>
      <c r="J288" s="135"/>
      <c r="K288" s="136"/>
      <c r="L288" s="1356">
        <f ca="1">L289+L290</f>
        <v>0</v>
      </c>
      <c r="M288" s="224">
        <f ca="1">M289+M290</f>
        <v>0</v>
      </c>
      <c r="N288" s="224">
        <f ca="1">N289+N290</f>
        <v>0</v>
      </c>
      <c r="O288" s="224">
        <f ca="1">IF(L288&gt;0,N288*100/L288,0)</f>
        <v>0</v>
      </c>
      <c r="P288" s="224">
        <f ca="1">IF(M288&gt;0,N288*100/M288,0)</f>
        <v>0</v>
      </c>
      <c r="Q288" s="224">
        <f>Q289+Q290</f>
        <v>0</v>
      </c>
      <c r="R288" s="224">
        <f>R289+R290</f>
        <v>0</v>
      </c>
      <c r="S288" s="224">
        <f>S289+S290</f>
        <v>0</v>
      </c>
      <c r="T288" s="224">
        <f>IF(Q288&gt;0,S288*100/Q288,0)</f>
        <v>0</v>
      </c>
      <c r="U288" s="224">
        <f>IF(R288&gt;0,S288*100/R288,0)</f>
        <v>0</v>
      </c>
    </row>
    <row r="289" spans="1:21" ht="18.75" x14ac:dyDescent="0.25">
      <c r="A289" s="128"/>
      <c r="B289" s="40"/>
      <c r="C289" s="40"/>
      <c r="D289" s="40"/>
      <c r="E289" s="156" t="s">
        <v>20</v>
      </c>
      <c r="F289" s="40"/>
      <c r="G289" s="42"/>
      <c r="H289" s="159" t="s">
        <v>14</v>
      </c>
      <c r="I289" s="135"/>
      <c r="J289" s="135"/>
      <c r="K289" s="136"/>
      <c r="L289" s="1358">
        <v>0</v>
      </c>
      <c r="M289" s="83">
        <v>0</v>
      </c>
      <c r="N289" s="83">
        <v>0</v>
      </c>
      <c r="O289" s="83">
        <f>IF(L289&gt;0,N289*100/L289,0)</f>
        <v>0</v>
      </c>
      <c r="P289" s="83">
        <f>IF(M289&gt;0,N289*100/M289,0)</f>
        <v>0</v>
      </c>
      <c r="Q289" s="83">
        <v>0</v>
      </c>
      <c r="R289" s="83">
        <v>0</v>
      </c>
      <c r="S289" s="83">
        <v>0</v>
      </c>
      <c r="T289" s="83">
        <f>IF(Q289&gt;0,S289*100/Q289,0)</f>
        <v>0</v>
      </c>
      <c r="U289" s="83">
        <f>IF(R289&gt;0,S289*100/R289,0)</f>
        <v>0</v>
      </c>
    </row>
    <row r="290" spans="1:21" ht="18.75" x14ac:dyDescent="0.25">
      <c r="A290" s="128"/>
      <c r="B290" s="40"/>
      <c r="C290" s="40"/>
      <c r="D290" s="40"/>
      <c r="E290" s="47" t="s">
        <v>21</v>
      </c>
      <c r="F290" s="40"/>
      <c r="G290" s="42"/>
      <c r="H290" s="137" t="s">
        <v>14</v>
      </c>
      <c r="I290" s="135"/>
      <c r="J290" s="135"/>
      <c r="K290" s="136"/>
      <c r="L290" s="1356">
        <f ca="1">IFERROR(__xludf.DUMMYFUNCTION("IMPORTRANGE(""https://docs.google.com/spreadsheets/d/1-uDff_7J0KD5mKrp0Vvzr7lt3OU09vwQwhkpOPPYv2Y/edit?usp=sharing"",""งบพรบ!DR29"")"),0)</f>
        <v>0</v>
      </c>
      <c r="M290" s="224">
        <f ca="1">IFERROR(__xludf.DUMMYFUNCTION("IMPORTRANGE(""https://docs.google.com/spreadsheets/d/1-uDff_7J0KD5mKrp0Vvzr7lt3OU09vwQwhkpOPPYv2Y/edit?usp=sharing"",""งบพรบ!DU29"")"),0)</f>
        <v>0</v>
      </c>
      <c r="N290" s="224">
        <f ca="1">IFERROR(__xludf.DUMMYFUNCTION("IMPORTRANGE(""https://docs.google.com/spreadsheets/d/1-uDff_7J0KD5mKrp0Vvzr7lt3OU09vwQwhkpOPPYv2Y/edit?usp=sharing"",""งบพรบ!DW29"")"),0)</f>
        <v>0</v>
      </c>
      <c r="O290" s="224">
        <f ca="1">IF(L290&gt;0,N290*100/L290,0)</f>
        <v>0</v>
      </c>
      <c r="P290" s="224">
        <f ca="1">IF(M290&gt;0,N290*100/M290,0)</f>
        <v>0</v>
      </c>
      <c r="Q290" s="224">
        <v>0</v>
      </c>
      <c r="R290" s="224">
        <v>0</v>
      </c>
      <c r="S290" s="224">
        <v>0</v>
      </c>
      <c r="T290" s="224">
        <f>IF(Q290&gt;0,S290*100/Q290,0)</f>
        <v>0</v>
      </c>
      <c r="U290" s="224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1391" t="s">
        <v>38</v>
      </c>
      <c r="E291" s="141"/>
      <c r="F291" s="141"/>
      <c r="G291" s="142"/>
      <c r="H291" s="143"/>
      <c r="I291" s="135"/>
      <c r="J291" s="135"/>
      <c r="K291" s="136"/>
      <c r="L291" s="1392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3" t="s">
        <v>46</v>
      </c>
      <c r="I292" s="184">
        <f ca="1">IFERROR(__xludf.DUMMYFUNCTION("IMPORTRANGE(""https://docs.google.com/spreadsheets/d/1eHaY18a8A9IcSdp1K8H6x8fbOy06t2VsZHhMHf-1x7Y/edit?usp=sharing"",""แผน!EE29"")"),200)</f>
        <v>200</v>
      </c>
      <c r="J292" s="1395">
        <v>200</v>
      </c>
      <c r="K292" s="1396">
        <f ca="1">IF(I292&gt;0,J292*100/I292,0)</f>
        <v>100</v>
      </c>
      <c r="L292" s="1392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328">
        <f ca="1">IFERROR(__xludf.DUMMYFUNCTION("IMPORTRANGE(""https://docs.google.com/spreadsheets/d/1eHaY18a8A9IcSdp1K8H6x8fbOy06t2VsZHhMHf-1x7Y/edit?usp=sharing"",""แผน!ED29"")"),20)</f>
        <v>20</v>
      </c>
      <c r="J293" s="328">
        <f>J296</f>
        <v>20</v>
      </c>
      <c r="K293" s="1393">
        <f ca="1">IF(I293&gt;0,J293*100/I293,0)</f>
        <v>100</v>
      </c>
      <c r="L293" s="1392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4" t="s">
        <v>122</v>
      </c>
      <c r="F294" s="145"/>
      <c r="G294" s="143"/>
      <c r="H294" s="143"/>
      <c r="I294" s="135"/>
      <c r="J294" s="44"/>
      <c r="K294" s="136"/>
      <c r="L294" s="1392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394">
        <f ca="1">IFERROR(__xludf.DUMMYFUNCTION("IMPORTRANGE(""https://docs.google.com/spreadsheets/d/1eHaY18a8A9IcSdp1K8H6x8fbOy06t2VsZHhMHf-1x7Y/edit?usp=sharing"",""แผน!ED29"")"),20)</f>
        <v>20</v>
      </c>
      <c r="J295" s="1395">
        <v>20</v>
      </c>
      <c r="K295" s="1396">
        <f ca="1">IF(I295&gt;0,J295*100/I295,0)</f>
        <v>100</v>
      </c>
      <c r="L295" s="1392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394">
        <f ca="1">IFERROR(__xludf.DUMMYFUNCTION("IMPORTRANGE(""https://docs.google.com/spreadsheets/d/1eHaY18a8A9IcSdp1K8H6x8fbOy06t2VsZHhMHf-1x7Y/edit?usp=sharing"",""แผน!ED29"")"),20)</f>
        <v>20</v>
      </c>
      <c r="J296" s="1395">
        <v>20</v>
      </c>
      <c r="K296" s="1396">
        <f ca="1">IF(I296&gt;0,J296*100/I296,0)</f>
        <v>100</v>
      </c>
      <c r="L296" s="1392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2"/>
      <c r="B297" s="163"/>
      <c r="C297" s="163"/>
      <c r="D297" s="18"/>
      <c r="E297" s="18"/>
      <c r="F297" s="18"/>
      <c r="G297" s="19"/>
      <c r="H297" s="19"/>
      <c r="I297" s="20"/>
      <c r="J297" s="20"/>
      <c r="K297" s="21"/>
      <c r="L297" s="1346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12.75" x14ac:dyDescent="0.2">
      <c r="A298" s="162"/>
      <c r="B298" s="163"/>
      <c r="C298" s="163"/>
      <c r="D298" s="18"/>
      <c r="E298" s="18"/>
      <c r="F298" s="18"/>
      <c r="G298" s="19"/>
      <c r="H298" s="19"/>
      <c r="I298" s="20"/>
      <c r="J298" s="20"/>
      <c r="K298" s="21"/>
      <c r="L298" s="1346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1:21" ht="12.75" x14ac:dyDescent="0.2">
      <c r="A299" s="277"/>
      <c r="B299" s="278"/>
      <c r="C299" s="278"/>
      <c r="D299" s="22"/>
      <c r="E299" s="22"/>
      <c r="F299" s="22"/>
      <c r="G299" s="14"/>
      <c r="H299" s="14"/>
      <c r="I299" s="15"/>
      <c r="J299" s="15"/>
      <c r="K299" s="16"/>
      <c r="L299" s="1345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 ht="19.5" x14ac:dyDescent="0.3">
      <c r="A300" s="279" t="s">
        <v>125</v>
      </c>
      <c r="B300" s="280"/>
      <c r="C300" s="280"/>
      <c r="D300" s="280"/>
      <c r="E300" s="281"/>
      <c r="F300" s="281"/>
      <c r="G300" s="281"/>
      <c r="H300" s="281"/>
      <c r="I300" s="282"/>
      <c r="J300" s="282"/>
      <c r="K300" s="283"/>
      <c r="L300" s="283"/>
      <c r="M300" s="283"/>
      <c r="N300" s="283"/>
      <c r="O300" s="283"/>
      <c r="P300" s="284"/>
      <c r="Q300" s="283"/>
      <c r="R300" s="283"/>
      <c r="S300" s="283"/>
      <c r="T300" s="283"/>
      <c r="U300" s="284"/>
    </row>
    <row r="301" spans="1:21" ht="19.5" x14ac:dyDescent="0.3">
      <c r="A301" s="285" t="s">
        <v>126</v>
      </c>
      <c r="B301" s="286"/>
      <c r="C301" s="286"/>
      <c r="D301" s="287"/>
      <c r="E301" s="287"/>
      <c r="F301" s="287"/>
      <c r="G301" s="288"/>
      <c r="H301" s="288"/>
      <c r="I301" s="289"/>
      <c r="J301" s="289"/>
      <c r="K301" s="290"/>
      <c r="L301" s="1500"/>
      <c r="M301" s="290"/>
      <c r="N301" s="290"/>
      <c r="O301" s="290"/>
      <c r="P301" s="290"/>
      <c r="Q301" s="290"/>
      <c r="R301" s="290"/>
      <c r="S301" s="290"/>
      <c r="T301" s="290"/>
      <c r="U301" s="290"/>
    </row>
    <row r="302" spans="1:21" ht="19.5" x14ac:dyDescent="0.3">
      <c r="A302" s="291"/>
      <c r="B302" s="292" t="s">
        <v>127</v>
      </c>
      <c r="C302" s="293"/>
      <c r="D302" s="293"/>
      <c r="E302" s="293"/>
      <c r="F302" s="293"/>
      <c r="G302" s="294"/>
      <c r="H302" s="295" t="s">
        <v>35</v>
      </c>
      <c r="I302" s="1501">
        <f ca="1">I314</f>
        <v>20</v>
      </c>
      <c r="J302" s="1501">
        <f>J314</f>
        <v>20</v>
      </c>
      <c r="K302" s="1502">
        <f ca="1">IF(I302&gt;0,J302*100/I302,0)</f>
        <v>100</v>
      </c>
      <c r="L302" s="1503"/>
      <c r="M302" s="298"/>
      <c r="N302" s="298"/>
      <c r="O302" s="298"/>
      <c r="P302" s="298"/>
      <c r="Q302" s="298"/>
      <c r="R302" s="298"/>
      <c r="S302" s="298"/>
      <c r="T302" s="298"/>
      <c r="U302" s="298"/>
    </row>
    <row r="303" spans="1:21" ht="19.5" x14ac:dyDescent="0.3">
      <c r="A303" s="128"/>
      <c r="B303" s="40"/>
      <c r="C303" s="129" t="s">
        <v>18</v>
      </c>
      <c r="D303" s="1388" t="s">
        <v>19</v>
      </c>
      <c r="E303" s="40"/>
      <c r="F303" s="40"/>
      <c r="G303" s="42"/>
      <c r="H303" s="131" t="s">
        <v>14</v>
      </c>
      <c r="I303" s="44"/>
      <c r="J303" s="44"/>
      <c r="K303" s="45"/>
      <c r="L303" s="1389">
        <f ca="1">L304+L305</f>
        <v>264500</v>
      </c>
      <c r="M303" s="1390">
        <f ca="1">M304+M305</f>
        <v>243000</v>
      </c>
      <c r="N303" s="1390">
        <f ca="1">N304+N305</f>
        <v>139562</v>
      </c>
      <c r="O303" s="1390">
        <f ca="1">IF(L303&gt;0,N303*100/L303,0)</f>
        <v>52.764461247637051</v>
      </c>
      <c r="P303" s="1390">
        <f ca="1">IF(M303&gt;0,N303*100/M303,0)</f>
        <v>57.43292181069959</v>
      </c>
      <c r="Q303" s="1390">
        <f ca="1">Q304+Q305</f>
        <v>144609.24</v>
      </c>
      <c r="R303" s="1390">
        <f ca="1">R304+R305</f>
        <v>144609</v>
      </c>
      <c r="S303" s="1390">
        <f ca="1">S304+S305</f>
        <v>0</v>
      </c>
      <c r="T303" s="1390">
        <f ca="1">IF(Q303&gt;0,S303*100/Q303,0)</f>
        <v>0</v>
      </c>
      <c r="U303" s="1390">
        <f ca="1">IF(R303&gt;0,S303*100/R303,0)</f>
        <v>0</v>
      </c>
    </row>
    <row r="304" spans="1:21" ht="18.75" x14ac:dyDescent="0.25">
      <c r="A304" s="128"/>
      <c r="B304" s="40"/>
      <c r="C304" s="40"/>
      <c r="D304" s="40"/>
      <c r="E304" s="156" t="s">
        <v>20</v>
      </c>
      <c r="F304" s="40"/>
      <c r="G304" s="42"/>
      <c r="H304" s="157" t="s">
        <v>14</v>
      </c>
      <c r="I304" s="44"/>
      <c r="J304" s="44"/>
      <c r="K304" s="45"/>
      <c r="L304" s="1358">
        <f>L307+L310</f>
        <v>0</v>
      </c>
      <c r="M304" s="83">
        <f>M307+M310</f>
        <v>0</v>
      </c>
      <c r="N304" s="83">
        <f>N307+N310</f>
        <v>0</v>
      </c>
      <c r="O304" s="83">
        <f>IF(L304&gt;0,N304*100/L304,0)</f>
        <v>0</v>
      </c>
      <c r="P304" s="83">
        <f>IF(M304&gt;0,N304*100/M304,0)</f>
        <v>0</v>
      </c>
      <c r="Q304" s="83">
        <f>Q307+Q310</f>
        <v>0</v>
      </c>
      <c r="R304" s="83">
        <f>R307+R310</f>
        <v>0</v>
      </c>
      <c r="S304" s="83">
        <f>S307+S310</f>
        <v>0</v>
      </c>
      <c r="T304" s="83">
        <f>IF(Q304&gt;0,S304*100/Q304,0)</f>
        <v>0</v>
      </c>
      <c r="U304" s="83">
        <f>IF(R304&gt;0,S304*100/R304,0)</f>
        <v>0</v>
      </c>
    </row>
    <row r="305" spans="1:21" ht="18.75" x14ac:dyDescent="0.25">
      <c r="A305" s="128"/>
      <c r="B305" s="40"/>
      <c r="C305" s="40"/>
      <c r="D305" s="40"/>
      <c r="E305" s="47" t="s">
        <v>21</v>
      </c>
      <c r="F305" s="40"/>
      <c r="G305" s="42"/>
      <c r="H305" s="133" t="s">
        <v>14</v>
      </c>
      <c r="I305" s="44"/>
      <c r="J305" s="44"/>
      <c r="K305" s="45"/>
      <c r="L305" s="1356">
        <f ca="1">L308+L311</f>
        <v>264500</v>
      </c>
      <c r="M305" s="224">
        <f ca="1">M308+M311</f>
        <v>243000</v>
      </c>
      <c r="N305" s="224">
        <f ca="1">N308+N311</f>
        <v>139562</v>
      </c>
      <c r="O305" s="224">
        <f ca="1">IF(L305&gt;0,N305*100/L305,0)</f>
        <v>52.764461247637051</v>
      </c>
      <c r="P305" s="224">
        <f ca="1">IF(M305&gt;0,N305*100/M305,0)</f>
        <v>57.43292181069959</v>
      </c>
      <c r="Q305" s="224">
        <f ca="1">Q308+Q311</f>
        <v>144609.24</v>
      </c>
      <c r="R305" s="224">
        <f ca="1">R308+R311</f>
        <v>144609</v>
      </c>
      <c r="S305" s="224">
        <f ca="1">S308+S311</f>
        <v>0</v>
      </c>
      <c r="T305" s="224">
        <f ca="1">IF(Q305&gt;0,S305*100/Q305,0)</f>
        <v>0</v>
      </c>
      <c r="U305" s="224">
        <f ca="1">IF(R305&gt;0,S305*100/R305,0)</f>
        <v>0</v>
      </c>
    </row>
    <row r="306" spans="1:21" ht="18.75" x14ac:dyDescent="0.25">
      <c r="A306" s="128"/>
      <c r="B306" s="40"/>
      <c r="C306" s="40"/>
      <c r="D306" s="41" t="s">
        <v>22</v>
      </c>
      <c r="E306" s="40"/>
      <c r="F306" s="40"/>
      <c r="G306" s="42"/>
      <c r="H306" s="134" t="s">
        <v>14</v>
      </c>
      <c r="I306" s="135"/>
      <c r="J306" s="135"/>
      <c r="K306" s="136"/>
      <c r="L306" s="1356">
        <f ca="1">L307+L308</f>
        <v>264500</v>
      </c>
      <c r="M306" s="224">
        <f ca="1">M307+M308</f>
        <v>243000</v>
      </c>
      <c r="N306" s="224">
        <f ca="1">N307+N308</f>
        <v>139562</v>
      </c>
      <c r="O306" s="224">
        <f ca="1">IF(L306&gt;0,N306*100/L306,0)</f>
        <v>52.764461247637051</v>
      </c>
      <c r="P306" s="224">
        <f ca="1">IF(M306&gt;0,N306*100/M306,0)</f>
        <v>57.43292181069959</v>
      </c>
      <c r="Q306" s="224">
        <f ca="1">Q307+Q308</f>
        <v>144609.24</v>
      </c>
      <c r="R306" s="224">
        <f ca="1">R307+R308</f>
        <v>144609</v>
      </c>
      <c r="S306" s="224">
        <f ca="1">S307+S308</f>
        <v>0</v>
      </c>
      <c r="T306" s="224">
        <f ca="1">IF(Q306&gt;0,S306*100/Q306,0)</f>
        <v>0</v>
      </c>
      <c r="U306" s="224">
        <f ca="1">IF(R306&gt;0,S306*100/R306,0)</f>
        <v>0</v>
      </c>
    </row>
    <row r="307" spans="1:21" ht="18.75" x14ac:dyDescent="0.25">
      <c r="A307" s="128"/>
      <c r="B307" s="40"/>
      <c r="C307" s="40"/>
      <c r="D307" s="40"/>
      <c r="E307" s="156" t="s">
        <v>36</v>
      </c>
      <c r="F307" s="40"/>
      <c r="G307" s="42"/>
      <c r="H307" s="159" t="s">
        <v>14</v>
      </c>
      <c r="I307" s="135"/>
      <c r="J307" s="135"/>
      <c r="K307" s="136"/>
      <c r="L307" s="1358">
        <v>0</v>
      </c>
      <c r="M307" s="83">
        <v>0</v>
      </c>
      <c r="N307" s="83">
        <v>0</v>
      </c>
      <c r="O307" s="83">
        <f>IF(L307&gt;0,N307*100/L307,0)</f>
        <v>0</v>
      </c>
      <c r="P307" s="83">
        <f>IF(M307&gt;0,N307*100/M307,0)</f>
        <v>0</v>
      </c>
      <c r="Q307" s="83">
        <v>0</v>
      </c>
      <c r="R307" s="83">
        <v>0</v>
      </c>
      <c r="S307" s="83">
        <v>0</v>
      </c>
      <c r="T307" s="83">
        <f>IF(Q307&gt;0,S307*100/Q307,0)</f>
        <v>0</v>
      </c>
      <c r="U307" s="83">
        <f>IF(R307&gt;0,S307*100/R307,0)</f>
        <v>0</v>
      </c>
    </row>
    <row r="308" spans="1:21" ht="18.75" x14ac:dyDescent="0.25">
      <c r="A308" s="128"/>
      <c r="B308" s="40"/>
      <c r="C308" s="40"/>
      <c r="D308" s="40"/>
      <c r="E308" s="47" t="s">
        <v>37</v>
      </c>
      <c r="F308" s="40"/>
      <c r="G308" s="42"/>
      <c r="H308" s="134" t="s">
        <v>14</v>
      </c>
      <c r="I308" s="135"/>
      <c r="J308" s="135"/>
      <c r="K308" s="136"/>
      <c r="L308" s="1356">
        <f ca="1">IFERROR(__xludf.DUMMYFUNCTION("IMPORTRANGE(""https://docs.google.com/spreadsheets/d/1-uDff_7J0KD5mKrp0Vvzr7lt3OU09vwQwhkpOPPYv2Y/edit?usp=sharing"",""งบพรบ!DY29"")"),264500)</f>
        <v>264500</v>
      </c>
      <c r="M308" s="224">
        <f ca="1">IFERROR(__xludf.DUMMYFUNCTION("IMPORTRANGE(""https://docs.google.com/spreadsheets/d/1-uDff_7J0KD5mKrp0Vvzr7lt3OU09vwQwhkpOPPYv2Y/edit?usp=sharing"",""งบพรบ!ED29"")"),243000)</f>
        <v>243000</v>
      </c>
      <c r="N308" s="224">
        <f ca="1">IFERROR(__xludf.DUMMYFUNCTION("IMPORTRANGE(""https://docs.google.com/spreadsheets/d/1-uDff_7J0KD5mKrp0Vvzr7lt3OU09vwQwhkpOPPYv2Y/edit?usp=sharing"",""งบพรบ!EF29"")"),139562)</f>
        <v>139562</v>
      </c>
      <c r="O308" s="224">
        <f ca="1">IF(L308&gt;0,N308*100/L308,0)</f>
        <v>52.764461247637051</v>
      </c>
      <c r="P308" s="224">
        <f ca="1">IF(M308&gt;0,N308*100/M308,0)</f>
        <v>57.43292181069959</v>
      </c>
      <c r="Q308" s="224">
        <f ca="1">IFERROR(__xludf.DUMMYFUNCTION("IMPORTRANGE(""https://docs.google.com/spreadsheets/d/1ItG2mGa2ceCfYo0BwxsXqNm01IGEUdYcSSLTEv9YCik/edit?usp=sharing"",""เบิกจ่ายกองทุน!BB29"")"),144609.24)</f>
        <v>144609.24</v>
      </c>
      <c r="R308" s="224">
        <f ca="1">IFERROR(__xludf.DUMMYFUNCTION("IMPORTRANGE(""https://docs.google.com/spreadsheets/d/1ItG2mGa2ceCfYo0BwxsXqNm01IGEUdYcSSLTEv9YCik/edit?usp=sharing"",""เบิกจ่ายกองทุน!BC29"")"),144609)</f>
        <v>144609</v>
      </c>
      <c r="S308" s="224">
        <f ca="1">IFERROR(__xludf.DUMMYFUNCTION("IMPORTRANGE(""https://docs.google.com/spreadsheets/d/1ItG2mGa2ceCfYo0BwxsXqNm01IGEUdYcSSLTEv9YCik/edit?usp=sharing"",""เบิกจ่ายกองทุน!BD29"")"),0)</f>
        <v>0</v>
      </c>
      <c r="T308" s="224">
        <f ca="1">IF(Q308&gt;0,S308*100/Q308,0)</f>
        <v>0</v>
      </c>
      <c r="U308" s="224">
        <f ca="1">IF(R308&gt;0,S308*100/R308,0)</f>
        <v>0</v>
      </c>
    </row>
    <row r="309" spans="1:21" ht="18.75" x14ac:dyDescent="0.25">
      <c r="A309" s="128"/>
      <c r="B309" s="40"/>
      <c r="C309" s="40"/>
      <c r="D309" s="41" t="s">
        <v>23</v>
      </c>
      <c r="E309" s="40"/>
      <c r="F309" s="40"/>
      <c r="G309" s="42"/>
      <c r="H309" s="137" t="s">
        <v>14</v>
      </c>
      <c r="I309" s="135"/>
      <c r="J309" s="135"/>
      <c r="K309" s="136"/>
      <c r="L309" s="1356">
        <f ca="1">L310+L311</f>
        <v>0</v>
      </c>
      <c r="M309" s="224">
        <f ca="1">M310+M311</f>
        <v>0</v>
      </c>
      <c r="N309" s="224">
        <f ca="1">N310+N311</f>
        <v>0</v>
      </c>
      <c r="O309" s="224">
        <f ca="1">IF(L309&gt;0,N309*100/L309,0)</f>
        <v>0</v>
      </c>
      <c r="P309" s="224">
        <f ca="1">IF(M309&gt;0,N309*100/M309,0)</f>
        <v>0</v>
      </c>
      <c r="Q309" s="224">
        <f>Q310+Q311</f>
        <v>0</v>
      </c>
      <c r="R309" s="224">
        <f>R310+R311</f>
        <v>0</v>
      </c>
      <c r="S309" s="224">
        <f>S310+S311</f>
        <v>0</v>
      </c>
      <c r="T309" s="224">
        <f>IF(Q309&gt;0,S309*100/Q309,0)</f>
        <v>0</v>
      </c>
      <c r="U309" s="224">
        <f>IF(R309&gt;0,S309*100/R309,0)</f>
        <v>0</v>
      </c>
    </row>
    <row r="310" spans="1:21" ht="18.75" x14ac:dyDescent="0.25">
      <c r="A310" s="128"/>
      <c r="B310" s="40"/>
      <c r="C310" s="40"/>
      <c r="D310" s="40"/>
      <c r="E310" s="156" t="s">
        <v>20</v>
      </c>
      <c r="F310" s="40"/>
      <c r="G310" s="42"/>
      <c r="H310" s="159" t="s">
        <v>14</v>
      </c>
      <c r="I310" s="135"/>
      <c r="J310" s="135"/>
      <c r="K310" s="136"/>
      <c r="L310" s="1358">
        <v>0</v>
      </c>
      <c r="M310" s="83">
        <v>0</v>
      </c>
      <c r="N310" s="83">
        <v>0</v>
      </c>
      <c r="O310" s="83">
        <f>IF(L310&gt;0,N310*100/L310,0)</f>
        <v>0</v>
      </c>
      <c r="P310" s="83">
        <f>IF(M310&gt;0,N310*100/M310,0)</f>
        <v>0</v>
      </c>
      <c r="Q310" s="83">
        <v>0</v>
      </c>
      <c r="R310" s="83">
        <v>0</v>
      </c>
      <c r="S310" s="83">
        <v>0</v>
      </c>
      <c r="T310" s="83">
        <f>IF(Q310&gt;0,S310*100/Q310,0)</f>
        <v>0</v>
      </c>
      <c r="U310" s="83">
        <f>IF(R310&gt;0,S310*100/R310,0)</f>
        <v>0</v>
      </c>
    </row>
    <row r="311" spans="1:21" ht="18.75" x14ac:dyDescent="0.25">
      <c r="A311" s="128"/>
      <c r="B311" s="40"/>
      <c r="C311" s="40"/>
      <c r="D311" s="40"/>
      <c r="E311" s="47" t="s">
        <v>21</v>
      </c>
      <c r="F311" s="40"/>
      <c r="G311" s="42"/>
      <c r="H311" s="137" t="s">
        <v>14</v>
      </c>
      <c r="I311" s="135"/>
      <c r="J311" s="135"/>
      <c r="K311" s="136"/>
      <c r="L311" s="1356">
        <f ca="1">IFERROR(__xludf.DUMMYFUNCTION("IMPORTRANGE(""https://docs.google.com/spreadsheets/d/1-uDff_7J0KD5mKrp0Vvzr7lt3OU09vwQwhkpOPPYv2Y/edit?usp=sharing"",""งบพรบ!EB29"")"),0)</f>
        <v>0</v>
      </c>
      <c r="M311" s="224">
        <f ca="1">IFERROR(__xludf.DUMMYFUNCTION("IMPORTRANGE(""https://docs.google.com/spreadsheets/d/1-uDff_7J0KD5mKrp0Vvzr7lt3OU09vwQwhkpOPPYv2Y/edit?usp=sharing"",""งบพรบ!EE29"")"),0)</f>
        <v>0</v>
      </c>
      <c r="N311" s="224">
        <f ca="1">IFERROR(__xludf.DUMMYFUNCTION("IMPORTRANGE(""https://docs.google.com/spreadsheets/d/1-uDff_7J0KD5mKrp0Vvzr7lt3OU09vwQwhkpOPPYv2Y/edit?usp=sharing"",""งบพรบ!EG29"")"),0)</f>
        <v>0</v>
      </c>
      <c r="O311" s="224">
        <f ca="1">IF(L311&gt;0,N311*100/L311,0)</f>
        <v>0</v>
      </c>
      <c r="P311" s="224">
        <f ca="1">IF(M311&gt;0,N311*100/M311,0)</f>
        <v>0</v>
      </c>
      <c r="Q311" s="224">
        <v>0</v>
      </c>
      <c r="R311" s="224">
        <v>0</v>
      </c>
      <c r="S311" s="224">
        <v>0</v>
      </c>
      <c r="T311" s="224">
        <f>IF(Q311&gt;0,S311*100/Q311,0)</f>
        <v>0</v>
      </c>
      <c r="U311" s="224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1391" t="s">
        <v>38</v>
      </c>
      <c r="E312" s="141"/>
      <c r="F312" s="141"/>
      <c r="G312" s="142"/>
      <c r="H312" s="143"/>
      <c r="I312" s="44"/>
      <c r="J312" s="44"/>
      <c r="K312" s="45"/>
      <c r="L312" s="1359"/>
      <c r="M312" s="45"/>
      <c r="N312" s="45"/>
      <c r="O312" s="45"/>
      <c r="P312" s="45"/>
      <c r="Q312" s="45"/>
      <c r="R312" s="45"/>
      <c r="S312" s="45"/>
      <c r="T312" s="45"/>
      <c r="U312" s="45"/>
    </row>
    <row r="313" spans="1:21" ht="18.75" x14ac:dyDescent="0.25">
      <c r="A313" s="162"/>
      <c r="B313" s="163"/>
      <c r="C313" s="163"/>
      <c r="D313" s="1504"/>
      <c r="E313" s="18"/>
      <c r="F313" s="18"/>
      <c r="G313" s="19"/>
      <c r="H313" s="19"/>
      <c r="I313" s="20"/>
      <c r="J313" s="1505"/>
      <c r="K313" s="21"/>
      <c r="L313" s="1346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84">
        <f ca="1">IFERROR(__xludf.DUMMYFUNCTION("IMPORTRANGE(""https://docs.google.com/spreadsheets/d/1eHaY18a8A9IcSdp1K8H6x8fbOy06t2VsZHhMHf-1x7Y/edit?usp=sharing"",""แผน!EF29"")"),20)</f>
        <v>20</v>
      </c>
      <c r="J314" s="1395">
        <v>20</v>
      </c>
      <c r="K314" s="224">
        <f ca="1">IF(I314&gt;0,J314*100/I314,0)</f>
        <v>100</v>
      </c>
      <c r="L314" s="1359"/>
      <c r="M314" s="45"/>
      <c r="N314" s="45"/>
      <c r="O314" s="45"/>
      <c r="P314" s="45"/>
      <c r="Q314" s="45"/>
      <c r="R314" s="45"/>
      <c r="S314" s="45"/>
      <c r="T314" s="45"/>
      <c r="U314" s="45"/>
    </row>
    <row r="315" spans="1:21" ht="18.75" x14ac:dyDescent="0.25">
      <c r="A315" s="162"/>
      <c r="B315" s="163"/>
      <c r="C315" s="163"/>
      <c r="D315" s="1504"/>
      <c r="E315" s="18"/>
      <c r="F315" s="18"/>
      <c r="G315" s="19"/>
      <c r="H315" s="1506"/>
      <c r="I315" s="1505"/>
      <c r="J315" s="1505"/>
      <c r="K315" s="1507"/>
      <c r="L315" s="1346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1:21" ht="18.75" x14ac:dyDescent="0.25">
      <c r="A316" s="162"/>
      <c r="B316" s="163"/>
      <c r="C316" s="163"/>
      <c r="D316" s="1504"/>
      <c r="E316" s="18"/>
      <c r="F316" s="18"/>
      <c r="G316" s="19"/>
      <c r="H316" s="1506"/>
      <c r="I316" s="1505"/>
      <c r="J316" s="1505"/>
      <c r="K316" s="1507"/>
      <c r="L316" s="1346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1:21" ht="18.75" x14ac:dyDescent="0.25">
      <c r="A317" s="162"/>
      <c r="B317" s="163"/>
      <c r="C317" s="163"/>
      <c r="D317" s="1508"/>
      <c r="E317" s="18"/>
      <c r="F317" s="18"/>
      <c r="G317" s="19"/>
      <c r="H317" s="1509"/>
      <c r="I317" s="1510"/>
      <c r="J317" s="1510"/>
      <c r="K317" s="1511"/>
      <c r="L317" s="1346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1:21" ht="19.5" x14ac:dyDescent="0.3">
      <c r="A318" s="285" t="s">
        <v>131</v>
      </c>
      <c r="B318" s="286"/>
      <c r="C318" s="286"/>
      <c r="D318" s="287"/>
      <c r="E318" s="286"/>
      <c r="F318" s="286"/>
      <c r="G318" s="286"/>
      <c r="H318" s="287"/>
      <c r="I318" s="289"/>
      <c r="J318" s="289"/>
      <c r="K318" s="290"/>
      <c r="L318" s="1500"/>
      <c r="M318" s="290"/>
      <c r="N318" s="290"/>
      <c r="O318" s="290"/>
      <c r="P318" s="290"/>
      <c r="Q318" s="290"/>
      <c r="R318" s="290"/>
      <c r="S318" s="290"/>
      <c r="T318" s="290"/>
      <c r="U318" s="290"/>
    </row>
    <row r="319" spans="1:21" ht="19.5" x14ac:dyDescent="0.3">
      <c r="A319" s="299"/>
      <c r="B319" s="292" t="s">
        <v>132</v>
      </c>
      <c r="C319" s="300"/>
      <c r="D319" s="301"/>
      <c r="E319" s="293"/>
      <c r="F319" s="293"/>
      <c r="G319" s="294"/>
      <c r="H319" s="295" t="s">
        <v>133</v>
      </c>
      <c r="I319" s="1501">
        <f ca="1">I330</f>
        <v>0</v>
      </c>
      <c r="J319" s="1501">
        <f>J330</f>
        <v>0</v>
      </c>
      <c r="K319" s="1502">
        <f ca="1">IF(I319&gt;0,J319*100/I319,0)</f>
        <v>0</v>
      </c>
      <c r="L319" s="1503"/>
      <c r="M319" s="298"/>
      <c r="N319" s="298"/>
      <c r="O319" s="298"/>
      <c r="P319" s="298"/>
      <c r="Q319" s="298"/>
      <c r="R319" s="298"/>
      <c r="S319" s="298"/>
      <c r="T319" s="298"/>
      <c r="U319" s="298"/>
    </row>
    <row r="320" spans="1:21" ht="19.5" x14ac:dyDescent="0.3">
      <c r="A320" s="128"/>
      <c r="B320" s="40"/>
      <c r="C320" s="129" t="s">
        <v>18</v>
      </c>
      <c r="D320" s="1388" t="s">
        <v>19</v>
      </c>
      <c r="E320" s="40"/>
      <c r="F320" s="40"/>
      <c r="G320" s="42"/>
      <c r="H320" s="131" t="s">
        <v>14</v>
      </c>
      <c r="I320" s="44"/>
      <c r="J320" s="44"/>
      <c r="K320" s="45"/>
      <c r="L320" s="1389">
        <f ca="1">L321+L322</f>
        <v>0</v>
      </c>
      <c r="M320" s="1390">
        <f ca="1">M321+M322</f>
        <v>0</v>
      </c>
      <c r="N320" s="1390">
        <f ca="1">N321+N322</f>
        <v>0</v>
      </c>
      <c r="O320" s="1390">
        <f ca="1">IF(L320&gt;0,N320*100/L320,0)</f>
        <v>0</v>
      </c>
      <c r="P320" s="1390">
        <f ca="1">IF(M320&gt;0,N320*100/M320,0)</f>
        <v>0</v>
      </c>
      <c r="Q320" s="1390">
        <f>Q321+Q322</f>
        <v>0</v>
      </c>
      <c r="R320" s="1390">
        <f>R321+R322</f>
        <v>0</v>
      </c>
      <c r="S320" s="1390">
        <f>S321+S322</f>
        <v>0</v>
      </c>
      <c r="T320" s="1390">
        <f>IF(Q320&gt;0,S320*100/Q320,0)</f>
        <v>0</v>
      </c>
      <c r="U320" s="1390">
        <f>IF(R320&gt;0,S320*100/R320,0)</f>
        <v>0</v>
      </c>
    </row>
    <row r="321" spans="1:21" ht="18.75" x14ac:dyDescent="0.25">
      <c r="A321" s="128"/>
      <c r="B321" s="40"/>
      <c r="C321" s="40"/>
      <c r="D321" s="40"/>
      <c r="E321" s="156" t="s">
        <v>20</v>
      </c>
      <c r="F321" s="40"/>
      <c r="G321" s="42"/>
      <c r="H321" s="157" t="s">
        <v>14</v>
      </c>
      <c r="I321" s="44"/>
      <c r="J321" s="44"/>
      <c r="K321" s="45"/>
      <c r="L321" s="1358">
        <f>L324+L327</f>
        <v>0</v>
      </c>
      <c r="M321" s="83">
        <f>M324+M327</f>
        <v>0</v>
      </c>
      <c r="N321" s="83">
        <f>N324+N327</f>
        <v>0</v>
      </c>
      <c r="O321" s="83">
        <f>IF(L321&gt;0,N321*100/L321,0)</f>
        <v>0</v>
      </c>
      <c r="P321" s="83">
        <f>IF(M321&gt;0,N321*100/M321,0)</f>
        <v>0</v>
      </c>
      <c r="Q321" s="83">
        <f>Q324+Q327</f>
        <v>0</v>
      </c>
      <c r="R321" s="83">
        <f>R324+R327</f>
        <v>0</v>
      </c>
      <c r="S321" s="83">
        <f>S324+S327</f>
        <v>0</v>
      </c>
      <c r="T321" s="83">
        <f>IF(Q321&gt;0,S321*100/Q321,0)</f>
        <v>0</v>
      </c>
      <c r="U321" s="83">
        <f>IF(R321&gt;0,S321*100/R321,0)</f>
        <v>0</v>
      </c>
    </row>
    <row r="322" spans="1:21" ht="18.75" x14ac:dyDescent="0.25">
      <c r="A322" s="128"/>
      <c r="B322" s="40"/>
      <c r="C322" s="40"/>
      <c r="D322" s="40"/>
      <c r="E322" s="47" t="s">
        <v>21</v>
      </c>
      <c r="F322" s="40"/>
      <c r="G322" s="42"/>
      <c r="H322" s="133" t="s">
        <v>14</v>
      </c>
      <c r="I322" s="44"/>
      <c r="J322" s="44"/>
      <c r="K322" s="45"/>
      <c r="L322" s="1356">
        <f ca="1">L325+L328</f>
        <v>0</v>
      </c>
      <c r="M322" s="224">
        <f ca="1">M325+M328</f>
        <v>0</v>
      </c>
      <c r="N322" s="224">
        <f ca="1">N325+N328</f>
        <v>0</v>
      </c>
      <c r="O322" s="224">
        <f ca="1">IF(L322&gt;0,N322*100/L322,0)</f>
        <v>0</v>
      </c>
      <c r="P322" s="224">
        <f ca="1">IF(M322&gt;0,N322*100/M322,0)</f>
        <v>0</v>
      </c>
      <c r="Q322" s="224">
        <f>Q325+Q328</f>
        <v>0</v>
      </c>
      <c r="R322" s="224">
        <f>R325+R328</f>
        <v>0</v>
      </c>
      <c r="S322" s="224">
        <f>S325+S328</f>
        <v>0</v>
      </c>
      <c r="T322" s="224">
        <f>IF(Q322&gt;0,S322*100/Q322,0)</f>
        <v>0</v>
      </c>
      <c r="U322" s="224">
        <f>IF(R322&gt;0,S322*100/R322,0)</f>
        <v>0</v>
      </c>
    </row>
    <row r="323" spans="1:21" ht="18.75" x14ac:dyDescent="0.25">
      <c r="A323" s="128"/>
      <c r="B323" s="40"/>
      <c r="C323" s="40"/>
      <c r="D323" s="41" t="s">
        <v>22</v>
      </c>
      <c r="E323" s="40"/>
      <c r="F323" s="40"/>
      <c r="G323" s="42"/>
      <c r="H323" s="134" t="s">
        <v>14</v>
      </c>
      <c r="I323" s="135"/>
      <c r="J323" s="135"/>
      <c r="K323" s="136"/>
      <c r="L323" s="1356">
        <f ca="1">L324+L325</f>
        <v>0</v>
      </c>
      <c r="M323" s="224">
        <f ca="1">M324+M325</f>
        <v>0</v>
      </c>
      <c r="N323" s="224">
        <f ca="1">N324+N325</f>
        <v>0</v>
      </c>
      <c r="O323" s="224">
        <f ca="1">IF(L323&gt;0,N323*100/L323,0)</f>
        <v>0</v>
      </c>
      <c r="P323" s="224">
        <f ca="1">IF(M323&gt;0,N323*100/M323,0)</f>
        <v>0</v>
      </c>
      <c r="Q323" s="224">
        <f>Q324+Q325</f>
        <v>0</v>
      </c>
      <c r="R323" s="224">
        <f>R324+R325</f>
        <v>0</v>
      </c>
      <c r="S323" s="224">
        <f>S324+S325</f>
        <v>0</v>
      </c>
      <c r="T323" s="224">
        <f>IF(Q323&gt;0,S323*100/Q323,0)</f>
        <v>0</v>
      </c>
      <c r="U323" s="224">
        <f>IF(R323&gt;0,S323*100/R323,0)</f>
        <v>0</v>
      </c>
    </row>
    <row r="324" spans="1:21" ht="18.75" x14ac:dyDescent="0.25">
      <c r="A324" s="128"/>
      <c r="B324" s="40"/>
      <c r="C324" s="40"/>
      <c r="D324" s="40"/>
      <c r="E324" s="156" t="s">
        <v>36</v>
      </c>
      <c r="F324" s="40"/>
      <c r="G324" s="42"/>
      <c r="H324" s="159" t="s">
        <v>14</v>
      </c>
      <c r="I324" s="135"/>
      <c r="J324" s="135"/>
      <c r="K324" s="136"/>
      <c r="L324" s="1358">
        <v>0</v>
      </c>
      <c r="M324" s="83">
        <v>0</v>
      </c>
      <c r="N324" s="83">
        <v>0</v>
      </c>
      <c r="O324" s="83">
        <f>IF(L324&gt;0,N324*100/L324,0)</f>
        <v>0</v>
      </c>
      <c r="P324" s="83">
        <f>IF(M324&gt;0,N324*100/M324,0)</f>
        <v>0</v>
      </c>
      <c r="Q324" s="83">
        <v>0</v>
      </c>
      <c r="R324" s="83">
        <v>0</v>
      </c>
      <c r="S324" s="83">
        <v>0</v>
      </c>
      <c r="T324" s="83">
        <f>IF(Q324&gt;0,S324*100/Q324,0)</f>
        <v>0</v>
      </c>
      <c r="U324" s="83">
        <f>IF(R324&gt;0,S324*100/R324,0)</f>
        <v>0</v>
      </c>
    </row>
    <row r="325" spans="1:21" ht="18.75" x14ac:dyDescent="0.25">
      <c r="A325" s="128"/>
      <c r="B325" s="40"/>
      <c r="C325" s="40"/>
      <c r="D325" s="40"/>
      <c r="E325" s="47" t="s">
        <v>37</v>
      </c>
      <c r="F325" s="40"/>
      <c r="G325" s="42"/>
      <c r="H325" s="134" t="s">
        <v>14</v>
      </c>
      <c r="I325" s="135"/>
      <c r="J325" s="135"/>
      <c r="K325" s="136"/>
      <c r="L325" s="1356">
        <f ca="1">IFERROR(__xludf.DUMMYFUNCTION("IMPORTRANGE(""https://docs.google.com/spreadsheets/d/1-uDff_7J0KD5mKrp0Vvzr7lt3OU09vwQwhkpOPPYv2Y/edit?usp=sharing"",""งบพรบ!EI29"")"),0)</f>
        <v>0</v>
      </c>
      <c r="M325" s="224">
        <f ca="1">IFERROR(__xludf.DUMMYFUNCTION("IMPORTRANGE(""https://docs.google.com/spreadsheets/d/1-uDff_7J0KD5mKrp0Vvzr7lt3OU09vwQwhkpOPPYv2Y/edit?usp=sharing"",""งบพรบ!EN29"")"),0)</f>
        <v>0</v>
      </c>
      <c r="N325" s="224">
        <f ca="1">IFERROR(__xludf.DUMMYFUNCTION("IMPORTRANGE(""https://docs.google.com/spreadsheets/d/1-uDff_7J0KD5mKrp0Vvzr7lt3OU09vwQwhkpOPPYv2Y/edit?usp=sharing"",""งบพรบ!EP29"")"),0)</f>
        <v>0</v>
      </c>
      <c r="O325" s="224">
        <f ca="1">IF(L325&gt;0,N325*100/L325,0)</f>
        <v>0</v>
      </c>
      <c r="P325" s="224">
        <f ca="1">IF(M325&gt;0,N325*100/M325,0)</f>
        <v>0</v>
      </c>
      <c r="Q325" s="224">
        <v>0</v>
      </c>
      <c r="R325" s="224">
        <v>0</v>
      </c>
      <c r="S325" s="224">
        <v>0</v>
      </c>
      <c r="T325" s="224">
        <f>IF(Q325&gt;0,S325*100/Q325,0)</f>
        <v>0</v>
      </c>
      <c r="U325" s="224">
        <f>IF(R325&gt;0,S325*100/R325,0)</f>
        <v>0</v>
      </c>
    </row>
    <row r="326" spans="1:21" ht="18.75" x14ac:dyDescent="0.25">
      <c r="A326" s="128"/>
      <c r="B326" s="40"/>
      <c r="C326" s="40"/>
      <c r="D326" s="41" t="s">
        <v>23</v>
      </c>
      <c r="E326" s="40"/>
      <c r="F326" s="40"/>
      <c r="G326" s="42"/>
      <c r="H326" s="137" t="s">
        <v>14</v>
      </c>
      <c r="I326" s="135"/>
      <c r="J326" s="135"/>
      <c r="K326" s="136"/>
      <c r="L326" s="1356">
        <f ca="1">L327+L328</f>
        <v>0</v>
      </c>
      <c r="M326" s="224">
        <f ca="1">M327+M328</f>
        <v>0</v>
      </c>
      <c r="N326" s="224">
        <f ca="1">N327+N328</f>
        <v>0</v>
      </c>
      <c r="O326" s="224">
        <f ca="1">IF(L326&gt;0,N326*100/L326,0)</f>
        <v>0</v>
      </c>
      <c r="P326" s="224">
        <f ca="1">IF(M326&gt;0,N326*100/M326,0)</f>
        <v>0</v>
      </c>
      <c r="Q326" s="224">
        <f>Q327+Q328</f>
        <v>0</v>
      </c>
      <c r="R326" s="224">
        <f>R327+R328</f>
        <v>0</v>
      </c>
      <c r="S326" s="224">
        <f>S327+S328</f>
        <v>0</v>
      </c>
      <c r="T326" s="224">
        <f>IF(Q326&gt;0,S326*100/Q326,0)</f>
        <v>0</v>
      </c>
      <c r="U326" s="224">
        <f>IF(R326&gt;0,S326*100/R326,0)</f>
        <v>0</v>
      </c>
    </row>
    <row r="327" spans="1:21" ht="18.75" x14ac:dyDescent="0.25">
      <c r="A327" s="128"/>
      <c r="B327" s="40"/>
      <c r="C327" s="40"/>
      <c r="D327" s="40"/>
      <c r="E327" s="156" t="s">
        <v>20</v>
      </c>
      <c r="F327" s="40"/>
      <c r="G327" s="42"/>
      <c r="H327" s="159" t="s">
        <v>14</v>
      </c>
      <c r="I327" s="135"/>
      <c r="J327" s="135"/>
      <c r="K327" s="136"/>
      <c r="L327" s="1358">
        <v>0</v>
      </c>
      <c r="M327" s="83">
        <v>0</v>
      </c>
      <c r="N327" s="83">
        <v>0</v>
      </c>
      <c r="O327" s="83">
        <f>IF(L327&gt;0,N327*100/L327,0)</f>
        <v>0</v>
      </c>
      <c r="P327" s="83">
        <f>IF(M327&gt;0,N327*100/M327,0)</f>
        <v>0</v>
      </c>
      <c r="Q327" s="83">
        <v>0</v>
      </c>
      <c r="R327" s="83">
        <v>0</v>
      </c>
      <c r="S327" s="83">
        <v>0</v>
      </c>
      <c r="T327" s="83">
        <f>IF(Q327&gt;0,S327*100/Q327,0)</f>
        <v>0</v>
      </c>
      <c r="U327" s="83">
        <f>IF(R327&gt;0,S327*100/R327,0)</f>
        <v>0</v>
      </c>
    </row>
    <row r="328" spans="1:21" ht="18.75" x14ac:dyDescent="0.25">
      <c r="A328" s="128"/>
      <c r="B328" s="40"/>
      <c r="C328" s="40"/>
      <c r="D328" s="40"/>
      <c r="E328" s="47" t="s">
        <v>21</v>
      </c>
      <c r="F328" s="40"/>
      <c r="G328" s="42"/>
      <c r="H328" s="137" t="s">
        <v>14</v>
      </c>
      <c r="I328" s="135"/>
      <c r="J328" s="135"/>
      <c r="K328" s="136"/>
      <c r="L328" s="1356">
        <f ca="1">IFERROR(__xludf.DUMMYFUNCTION("IMPORTRANGE(""https://docs.google.com/spreadsheets/d/1-uDff_7J0KD5mKrp0Vvzr7lt3OU09vwQwhkpOPPYv2Y/edit?usp=sharing"",""งบพรบ!EL29"")"),0)</f>
        <v>0</v>
      </c>
      <c r="M328" s="224">
        <f ca="1">IFERROR(__xludf.DUMMYFUNCTION("IMPORTRANGE(""https://docs.google.com/spreadsheets/d/1-uDff_7J0KD5mKrp0Vvzr7lt3OU09vwQwhkpOPPYv2Y/edit?usp=sharing"",""งบพรบ!EO29"")"),0)</f>
        <v>0</v>
      </c>
      <c r="N328" s="224">
        <f ca="1">IFERROR(__xludf.DUMMYFUNCTION("IMPORTRANGE(""https://docs.google.com/spreadsheets/d/1-uDff_7J0KD5mKrp0Vvzr7lt3OU09vwQwhkpOPPYv2Y/edit?usp=sharing"",""งบพรบ!EQ29"")"),0)</f>
        <v>0</v>
      </c>
      <c r="O328" s="224">
        <f ca="1">IF(L328&gt;0,N328*100/L328,0)</f>
        <v>0</v>
      </c>
      <c r="P328" s="224">
        <f ca="1">IF(M328&gt;0,N328*100/M328,0)</f>
        <v>0</v>
      </c>
      <c r="Q328" s="224">
        <v>0</v>
      </c>
      <c r="R328" s="224">
        <v>0</v>
      </c>
      <c r="S328" s="224">
        <v>0</v>
      </c>
      <c r="T328" s="224">
        <f>IF(Q328&gt;0,S328*100/Q328,0)</f>
        <v>0</v>
      </c>
      <c r="U328" s="224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1391" t="s">
        <v>38</v>
      </c>
      <c r="E329" s="141"/>
      <c r="F329" s="141"/>
      <c r="G329" s="142"/>
      <c r="H329" s="143"/>
      <c r="I329" s="135"/>
      <c r="J329" s="44"/>
      <c r="K329" s="45"/>
      <c r="L329" s="1359"/>
      <c r="M329" s="45"/>
      <c r="N329" s="45"/>
      <c r="O329" s="136"/>
      <c r="P329" s="136"/>
      <c r="Q329" s="45"/>
      <c r="R329" s="45"/>
      <c r="S329" s="45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3" t="s">
        <v>133</v>
      </c>
      <c r="I330" s="184">
        <f ca="1">IFERROR(__xludf.DUMMYFUNCTION("IMPORTRANGE(""https://docs.google.com/spreadsheets/d/1eHaY18a8A9IcSdp1K8H6x8fbOy06t2VsZHhMHf-1x7Y/edit?usp=sharing"",""แผน!EJ29"")"),0)</f>
        <v>0</v>
      </c>
      <c r="J330" s="1395">
        <v>0</v>
      </c>
      <c r="K330" s="224">
        <f ca="1">IF(I330&gt;0,J330*100/I330,0)</f>
        <v>0</v>
      </c>
      <c r="L330" s="1359"/>
      <c r="M330" s="45"/>
      <c r="N330" s="45"/>
      <c r="O330" s="136"/>
      <c r="P330" s="136"/>
      <c r="Q330" s="45"/>
      <c r="R330" s="45"/>
      <c r="S330" s="45"/>
      <c r="T330" s="136"/>
      <c r="U330" s="136"/>
    </row>
    <row r="331" spans="1:21" ht="19.5" x14ac:dyDescent="0.3">
      <c r="A331" s="285" t="s">
        <v>135</v>
      </c>
      <c r="B331" s="286"/>
      <c r="C331" s="286"/>
      <c r="D331" s="287"/>
      <c r="E331" s="286"/>
      <c r="F331" s="286"/>
      <c r="G331" s="286"/>
      <c r="H331" s="287"/>
      <c r="I331" s="289"/>
      <c r="J331" s="289"/>
      <c r="K331" s="290"/>
      <c r="L331" s="1500"/>
      <c r="M331" s="290"/>
      <c r="N331" s="290"/>
      <c r="O331" s="290"/>
      <c r="P331" s="290"/>
      <c r="Q331" s="290"/>
      <c r="R331" s="290"/>
      <c r="S331" s="290"/>
      <c r="T331" s="290"/>
      <c r="U331" s="290"/>
    </row>
    <row r="332" spans="1:21" ht="19.5" x14ac:dyDescent="0.3">
      <c r="A332" s="291"/>
      <c r="B332" s="292" t="s">
        <v>136</v>
      </c>
      <c r="C332" s="301"/>
      <c r="D332" s="293"/>
      <c r="E332" s="293"/>
      <c r="F332" s="293"/>
      <c r="G332" s="294"/>
      <c r="H332" s="295" t="s">
        <v>35</v>
      </c>
      <c r="I332" s="1512">
        <f ca="1">I344</f>
        <v>1200</v>
      </c>
      <c r="J332" s="1513">
        <f ca="1">J344+J347+J348+J349+J353</f>
        <v>4410</v>
      </c>
      <c r="K332" s="1514">
        <f ca="1">IF(I332&gt;0,J332*100/I332,0)</f>
        <v>367.5</v>
      </c>
      <c r="L332" s="1503"/>
      <c r="M332" s="298"/>
      <c r="N332" s="298"/>
      <c r="O332" s="298"/>
      <c r="P332" s="298"/>
      <c r="Q332" s="298"/>
      <c r="R332" s="298"/>
      <c r="S332" s="298"/>
      <c r="T332" s="298"/>
      <c r="U332" s="298"/>
    </row>
    <row r="333" spans="1:21" ht="19.5" x14ac:dyDescent="0.3">
      <c r="A333" s="128"/>
      <c r="B333" s="40"/>
      <c r="C333" s="129" t="s">
        <v>18</v>
      </c>
      <c r="D333" s="1388" t="s">
        <v>19</v>
      </c>
      <c r="E333" s="40"/>
      <c r="F333" s="40"/>
      <c r="G333" s="42"/>
      <c r="H333" s="131" t="s">
        <v>14</v>
      </c>
      <c r="I333" s="44"/>
      <c r="J333" s="44"/>
      <c r="K333" s="45"/>
      <c r="L333" s="1389">
        <f ca="1">L334+L335</f>
        <v>190000</v>
      </c>
      <c r="M333" s="1390">
        <f ca="1">M334+M335</f>
        <v>116000</v>
      </c>
      <c r="N333" s="1390">
        <f ca="1">N334+N335</f>
        <v>100915</v>
      </c>
      <c r="O333" s="1390">
        <f ca="1">IF(L333&gt;0,N333*100/L333,0)</f>
        <v>53.113157894736844</v>
      </c>
      <c r="P333" s="1390">
        <f ca="1">IF(M333&gt;0,N333*100/M333,0)</f>
        <v>86.995689655172413</v>
      </c>
      <c r="Q333" s="1390">
        <f>Q334+Q335</f>
        <v>0</v>
      </c>
      <c r="R333" s="1390">
        <f>R334+R335</f>
        <v>0</v>
      </c>
      <c r="S333" s="1390">
        <f>S334+S335</f>
        <v>0</v>
      </c>
      <c r="T333" s="1390">
        <f>IF(Q333&gt;0,S333*100/Q333,0)</f>
        <v>0</v>
      </c>
      <c r="U333" s="1390">
        <f>IF(R333&gt;0,S333*100/R333,0)</f>
        <v>0</v>
      </c>
    </row>
    <row r="334" spans="1:21" ht="18.75" x14ac:dyDescent="0.25">
      <c r="A334" s="128"/>
      <c r="B334" s="40"/>
      <c r="C334" s="40"/>
      <c r="D334" s="40"/>
      <c r="E334" s="156" t="s">
        <v>20</v>
      </c>
      <c r="F334" s="40"/>
      <c r="G334" s="42"/>
      <c r="H334" s="157" t="s">
        <v>14</v>
      </c>
      <c r="I334" s="44"/>
      <c r="J334" s="44"/>
      <c r="K334" s="45"/>
      <c r="L334" s="1358">
        <f>L337+L340</f>
        <v>0</v>
      </c>
      <c r="M334" s="83">
        <f>M337+M340</f>
        <v>0</v>
      </c>
      <c r="N334" s="83">
        <f>N337+N340</f>
        <v>0</v>
      </c>
      <c r="O334" s="83">
        <f>IF(L334&gt;0,N334*100/L334,0)</f>
        <v>0</v>
      </c>
      <c r="P334" s="83">
        <f>IF(M334&gt;0,N334*100/M334,0)</f>
        <v>0</v>
      </c>
      <c r="Q334" s="83">
        <f>Q337+Q340</f>
        <v>0</v>
      </c>
      <c r="R334" s="83">
        <f>R337+R340</f>
        <v>0</v>
      </c>
      <c r="S334" s="83">
        <f>S337+S340</f>
        <v>0</v>
      </c>
      <c r="T334" s="83">
        <f>IF(Q334&gt;0,S334*100/Q334,0)</f>
        <v>0</v>
      </c>
      <c r="U334" s="83">
        <f>IF(R334&gt;0,S334*100/R334,0)</f>
        <v>0</v>
      </c>
    </row>
    <row r="335" spans="1:21" ht="18.75" x14ac:dyDescent="0.25">
      <c r="A335" s="128"/>
      <c r="B335" s="40"/>
      <c r="C335" s="40"/>
      <c r="D335" s="40"/>
      <c r="E335" s="47" t="s">
        <v>21</v>
      </c>
      <c r="F335" s="40"/>
      <c r="G335" s="42"/>
      <c r="H335" s="133" t="s">
        <v>14</v>
      </c>
      <c r="I335" s="44"/>
      <c r="J335" s="44"/>
      <c r="K335" s="45"/>
      <c r="L335" s="1356">
        <f ca="1">L338+L341</f>
        <v>190000</v>
      </c>
      <c r="M335" s="224">
        <f ca="1">M338+M341</f>
        <v>116000</v>
      </c>
      <c r="N335" s="224">
        <f ca="1">N338+N341</f>
        <v>100915</v>
      </c>
      <c r="O335" s="224">
        <f ca="1">IF(L335&gt;0,N335*100/L335,0)</f>
        <v>53.113157894736844</v>
      </c>
      <c r="P335" s="224">
        <f ca="1">IF(M335&gt;0,N335*100/M335,0)</f>
        <v>86.995689655172413</v>
      </c>
      <c r="Q335" s="224">
        <f>Q338+Q341</f>
        <v>0</v>
      </c>
      <c r="R335" s="224">
        <f>R338+R341</f>
        <v>0</v>
      </c>
      <c r="S335" s="224">
        <f>S338+S341</f>
        <v>0</v>
      </c>
      <c r="T335" s="224">
        <f>IF(Q335&gt;0,S335*100/Q335,0)</f>
        <v>0</v>
      </c>
      <c r="U335" s="224">
        <f>IF(R335&gt;0,S335*100/R335,0)</f>
        <v>0</v>
      </c>
    </row>
    <row r="336" spans="1:21" ht="18.75" x14ac:dyDescent="0.25">
      <c r="A336" s="128"/>
      <c r="B336" s="40"/>
      <c r="C336" s="40"/>
      <c r="D336" s="41" t="s">
        <v>22</v>
      </c>
      <c r="E336" s="40"/>
      <c r="F336" s="40"/>
      <c r="G336" s="42"/>
      <c r="H336" s="134" t="s">
        <v>14</v>
      </c>
      <c r="I336" s="135"/>
      <c r="J336" s="135"/>
      <c r="K336" s="136"/>
      <c r="L336" s="1356">
        <f ca="1">L337+L338</f>
        <v>190000</v>
      </c>
      <c r="M336" s="224">
        <f ca="1">M337+M338</f>
        <v>116000</v>
      </c>
      <c r="N336" s="224">
        <f ca="1">N337+N338</f>
        <v>100915</v>
      </c>
      <c r="O336" s="224">
        <f ca="1">IF(L336&gt;0,N336*100/L336,0)</f>
        <v>53.113157894736844</v>
      </c>
      <c r="P336" s="224">
        <f ca="1">IF(M336&gt;0,N336*100/M336,0)</f>
        <v>86.995689655172413</v>
      </c>
      <c r="Q336" s="224">
        <f>Q337+Q338</f>
        <v>0</v>
      </c>
      <c r="R336" s="224">
        <f>R337+R338</f>
        <v>0</v>
      </c>
      <c r="S336" s="224">
        <f>S337+S338</f>
        <v>0</v>
      </c>
      <c r="T336" s="224">
        <f>IF(Q336&gt;0,S336*100/Q336,0)</f>
        <v>0</v>
      </c>
      <c r="U336" s="224">
        <f>IF(R336&gt;0,S336*100/R336,0)</f>
        <v>0</v>
      </c>
    </row>
    <row r="337" spans="1:21" ht="18.75" x14ac:dyDescent="0.25">
      <c r="A337" s="128"/>
      <c r="B337" s="40"/>
      <c r="C337" s="40"/>
      <c r="D337" s="40"/>
      <c r="E337" s="156" t="s">
        <v>36</v>
      </c>
      <c r="F337" s="40"/>
      <c r="G337" s="42"/>
      <c r="H337" s="159" t="s">
        <v>14</v>
      </c>
      <c r="I337" s="135"/>
      <c r="J337" s="135"/>
      <c r="K337" s="136"/>
      <c r="L337" s="1358">
        <v>0</v>
      </c>
      <c r="M337" s="83">
        <v>0</v>
      </c>
      <c r="N337" s="83">
        <v>0</v>
      </c>
      <c r="O337" s="83">
        <f>IF(L337&gt;0,N337*100/L337,0)</f>
        <v>0</v>
      </c>
      <c r="P337" s="83">
        <f>IF(M337&gt;0,N337*100/M337,0)</f>
        <v>0</v>
      </c>
      <c r="Q337" s="83">
        <v>0</v>
      </c>
      <c r="R337" s="83">
        <v>0</v>
      </c>
      <c r="S337" s="83">
        <v>0</v>
      </c>
      <c r="T337" s="83">
        <f>IF(Q337&gt;0,S337*100/Q337,0)</f>
        <v>0</v>
      </c>
      <c r="U337" s="83">
        <f>IF(R337&gt;0,S337*100/R337,0)</f>
        <v>0</v>
      </c>
    </row>
    <row r="338" spans="1:21" ht="18.75" x14ac:dyDescent="0.25">
      <c r="A338" s="128"/>
      <c r="B338" s="40"/>
      <c r="C338" s="40"/>
      <c r="D338" s="40"/>
      <c r="E338" s="47" t="s">
        <v>37</v>
      </c>
      <c r="F338" s="40"/>
      <c r="G338" s="42"/>
      <c r="H338" s="134" t="s">
        <v>14</v>
      </c>
      <c r="I338" s="135"/>
      <c r="J338" s="135"/>
      <c r="K338" s="136"/>
      <c r="L338" s="1356">
        <f ca="1">IFERROR(__xludf.DUMMYFUNCTION("IMPORTRANGE(""https://docs.google.com/spreadsheets/d/1-uDff_7J0KD5mKrp0Vvzr7lt3OU09vwQwhkpOPPYv2Y/edit?usp=sharing"",""งบพรบ!ES29"")"),190000)</f>
        <v>190000</v>
      </c>
      <c r="M338" s="224">
        <f ca="1">IFERROR(__xludf.DUMMYFUNCTION("IMPORTRANGE(""https://docs.google.com/spreadsheets/d/1-uDff_7J0KD5mKrp0Vvzr7lt3OU09vwQwhkpOPPYv2Y/edit?usp=sharing"",""งบพรบ!EX29"")"),116000)</f>
        <v>116000</v>
      </c>
      <c r="N338" s="224">
        <f ca="1">IFERROR(__xludf.DUMMYFUNCTION("IMPORTRANGE(""https://docs.google.com/spreadsheets/d/1-uDff_7J0KD5mKrp0Vvzr7lt3OU09vwQwhkpOPPYv2Y/edit?usp=sharing"",""งบพรบ!EZ29"")"),100915)</f>
        <v>100915</v>
      </c>
      <c r="O338" s="224">
        <f ca="1">IF(L338&gt;0,N338*100/L338,0)</f>
        <v>53.113157894736844</v>
      </c>
      <c r="P338" s="224">
        <f ca="1">IF(M338&gt;0,N338*100/M338,0)</f>
        <v>86.995689655172413</v>
      </c>
      <c r="Q338" s="224">
        <v>0</v>
      </c>
      <c r="R338" s="224">
        <v>0</v>
      </c>
      <c r="S338" s="224">
        <v>0</v>
      </c>
      <c r="T338" s="224">
        <f>IF(Q338&gt;0,S338*100/Q338,0)</f>
        <v>0</v>
      </c>
      <c r="U338" s="224">
        <f>IF(R338&gt;0,S338*100/R338,0)</f>
        <v>0</v>
      </c>
    </row>
    <row r="339" spans="1:21" ht="18.75" x14ac:dyDescent="0.25">
      <c r="A339" s="128"/>
      <c r="B339" s="40"/>
      <c r="C339" s="40"/>
      <c r="D339" s="41" t="s">
        <v>23</v>
      </c>
      <c r="E339" s="40"/>
      <c r="F339" s="40"/>
      <c r="G339" s="42"/>
      <c r="H339" s="137" t="s">
        <v>14</v>
      </c>
      <c r="I339" s="135"/>
      <c r="J339" s="135"/>
      <c r="K339" s="136"/>
      <c r="L339" s="1356">
        <f ca="1">L340+L341</f>
        <v>0</v>
      </c>
      <c r="M339" s="224">
        <f ca="1">M340+M341</f>
        <v>0</v>
      </c>
      <c r="N339" s="224">
        <f ca="1">N340+N341</f>
        <v>0</v>
      </c>
      <c r="O339" s="224">
        <f ca="1">IF(L339&gt;0,N339*100/L339,0)</f>
        <v>0</v>
      </c>
      <c r="P339" s="224">
        <f ca="1">IF(M339&gt;0,N339*100/M339,0)</f>
        <v>0</v>
      </c>
      <c r="Q339" s="224">
        <f>Q340+Q341</f>
        <v>0</v>
      </c>
      <c r="R339" s="224">
        <f>R340+R341</f>
        <v>0</v>
      </c>
      <c r="S339" s="224">
        <f>S340+S341</f>
        <v>0</v>
      </c>
      <c r="T339" s="224">
        <f>IF(Q339&gt;0,S339*100/Q339,0)</f>
        <v>0</v>
      </c>
      <c r="U339" s="224">
        <f>IF(R339&gt;0,S339*100/R339,0)</f>
        <v>0</v>
      </c>
    </row>
    <row r="340" spans="1:21" ht="18.75" x14ac:dyDescent="0.25">
      <c r="A340" s="128"/>
      <c r="B340" s="40"/>
      <c r="C340" s="40"/>
      <c r="D340" s="40"/>
      <c r="E340" s="156" t="s">
        <v>20</v>
      </c>
      <c r="F340" s="40"/>
      <c r="G340" s="42"/>
      <c r="H340" s="159" t="s">
        <v>14</v>
      </c>
      <c r="I340" s="135"/>
      <c r="J340" s="135"/>
      <c r="K340" s="136"/>
      <c r="L340" s="1358">
        <v>0</v>
      </c>
      <c r="M340" s="83">
        <v>0</v>
      </c>
      <c r="N340" s="83">
        <v>0</v>
      </c>
      <c r="O340" s="83">
        <f>IF(L340&gt;0,N340*100/L340,0)</f>
        <v>0</v>
      </c>
      <c r="P340" s="83">
        <f>IF(M340&gt;0,N340*100/M340,0)</f>
        <v>0</v>
      </c>
      <c r="Q340" s="83">
        <v>0</v>
      </c>
      <c r="R340" s="83">
        <v>0</v>
      </c>
      <c r="S340" s="83">
        <v>0</v>
      </c>
      <c r="T340" s="83">
        <f>IF(Q340&gt;0,S340*100/Q340,0)</f>
        <v>0</v>
      </c>
      <c r="U340" s="83">
        <f>IF(R340&gt;0,S340*100/R340,0)</f>
        <v>0</v>
      </c>
    </row>
    <row r="341" spans="1:21" ht="18.75" x14ac:dyDescent="0.25">
      <c r="A341" s="128"/>
      <c r="B341" s="40"/>
      <c r="C341" s="40"/>
      <c r="D341" s="40"/>
      <c r="E341" s="47" t="s">
        <v>21</v>
      </c>
      <c r="F341" s="40"/>
      <c r="G341" s="42"/>
      <c r="H341" s="137" t="s">
        <v>14</v>
      </c>
      <c r="I341" s="135"/>
      <c r="J341" s="135"/>
      <c r="K341" s="136"/>
      <c r="L341" s="1356">
        <f ca="1">IFERROR(__xludf.DUMMYFUNCTION("IMPORTRANGE(""https://docs.google.com/spreadsheets/d/1-uDff_7J0KD5mKrp0Vvzr7lt3OU09vwQwhkpOPPYv2Y/edit?usp=sharing"",""งบพรบ!EV29"")"),0)</f>
        <v>0</v>
      </c>
      <c r="M341" s="224">
        <f ca="1">IFERROR(__xludf.DUMMYFUNCTION("IMPORTRANGE(""https://docs.google.com/spreadsheets/d/1-uDff_7J0KD5mKrp0Vvzr7lt3OU09vwQwhkpOPPYv2Y/edit?usp=sharing"",""งบพรบ!EY29"")"),0)</f>
        <v>0</v>
      </c>
      <c r="N341" s="224">
        <f ca="1">IFERROR(__xludf.DUMMYFUNCTION("IMPORTRANGE(""https://docs.google.com/spreadsheets/d/1-uDff_7J0KD5mKrp0Vvzr7lt3OU09vwQwhkpOPPYv2Y/edit?usp=sharing"",""งบพรบ!FA29"")"),0)</f>
        <v>0</v>
      </c>
      <c r="O341" s="224">
        <f ca="1">IF(L341&gt;0,N341*100/L341,0)</f>
        <v>0</v>
      </c>
      <c r="P341" s="224">
        <f ca="1">IF(M341&gt;0,N341*100/M341,0)</f>
        <v>0</v>
      </c>
      <c r="Q341" s="224">
        <v>0</v>
      </c>
      <c r="R341" s="224">
        <v>0</v>
      </c>
      <c r="S341" s="224">
        <v>0</v>
      </c>
      <c r="T341" s="224">
        <f>IF(Q341&gt;0,S341*100/Q341,0)</f>
        <v>0</v>
      </c>
      <c r="U341" s="224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02" t="s">
        <v>38</v>
      </c>
      <c r="E342" s="141"/>
      <c r="F342" s="141"/>
      <c r="G342" s="142"/>
      <c r="H342" s="42"/>
      <c r="I342" s="44"/>
      <c r="J342" s="44"/>
      <c r="K342" s="45"/>
      <c r="L342" s="1359"/>
      <c r="M342" s="45"/>
      <c r="N342" s="45"/>
      <c r="O342" s="136"/>
      <c r="P342" s="136"/>
      <c r="Q342" s="45"/>
      <c r="R342" s="45"/>
      <c r="S342" s="45"/>
      <c r="T342" s="136"/>
      <c r="U342" s="136"/>
    </row>
    <row r="343" spans="1:21" ht="19.5" x14ac:dyDescent="0.3">
      <c r="A343" s="1515"/>
      <c r="B343" s="1516"/>
      <c r="C343" s="1517"/>
      <c r="D343" s="1516"/>
      <c r="E343" s="1518" t="s">
        <v>137</v>
      </c>
      <c r="F343" s="1516"/>
      <c r="G343" s="1519"/>
      <c r="H343" s="1520" t="s">
        <v>35</v>
      </c>
      <c r="I343" s="1521">
        <v>0</v>
      </c>
      <c r="J343" s="1521">
        <f ca="1">J344+J347+J348+J349</f>
        <v>1000</v>
      </c>
      <c r="K343" s="1522">
        <v>0</v>
      </c>
      <c r="L343" s="1416"/>
      <c r="M343" s="219"/>
      <c r="N343" s="219"/>
      <c r="O343" s="219"/>
      <c r="P343" s="219"/>
      <c r="Q343" s="219"/>
      <c r="R343" s="219"/>
      <c r="S343" s="219"/>
      <c r="T343" s="219"/>
      <c r="U343" s="219"/>
    </row>
    <row r="344" spans="1:21" ht="18.75" x14ac:dyDescent="0.25">
      <c r="A344" s="208"/>
      <c r="B344" s="40"/>
      <c r="C344" s="158"/>
      <c r="D344" s="145"/>
      <c r="E344" s="149" t="s">
        <v>138</v>
      </c>
      <c r="F344" s="40"/>
      <c r="G344" s="42"/>
      <c r="H344" s="210" t="s">
        <v>35</v>
      </c>
      <c r="I344" s="184">
        <f ca="1">IFERROR(__xludf.DUMMYFUNCTION("IMPORTRANGE(""https://docs.google.com/spreadsheets/d/1eHaY18a8A9IcSdp1K8H6x8fbOy06t2VsZHhMHf-1x7Y/edit?usp=sharing"",""แผน!EK29"")"),1200)</f>
        <v>1200</v>
      </c>
      <c r="J344" s="184">
        <f ca="1">IFERROR(__xludf.DUMMYFUNCTION("IMPORTRANGE(""https://docs.google.com/spreadsheets/d/1awYsYK3VOup2i3Pq_Yjnu8DRu_mYwSBnCR2QPthd0rU/edit?usp=sharing"",""ศูนย์ยกเว้นโฉนด!D29"")"),948)</f>
        <v>948</v>
      </c>
      <c r="K344" s="224">
        <f ca="1">IF(I344&gt;0,J344*100/I344,0)</f>
        <v>79</v>
      </c>
      <c r="L344" s="1359"/>
      <c r="M344" s="45"/>
      <c r="N344" s="45"/>
      <c r="O344" s="45"/>
      <c r="P344" s="45"/>
      <c r="Q344" s="45"/>
      <c r="R344" s="45"/>
      <c r="S344" s="45"/>
      <c r="T344" s="45"/>
      <c r="U344" s="45"/>
    </row>
    <row r="345" spans="1:21" ht="18.75" x14ac:dyDescent="0.25">
      <c r="A345" s="208"/>
      <c r="B345" s="40"/>
      <c r="C345" s="158"/>
      <c r="D345" s="145"/>
      <c r="E345" s="149" t="s">
        <v>139</v>
      </c>
      <c r="F345" s="40"/>
      <c r="G345" s="42"/>
      <c r="H345" s="180"/>
      <c r="I345" s="44"/>
      <c r="J345" s="44"/>
      <c r="K345" s="45"/>
      <c r="L345" s="1359"/>
      <c r="M345" s="45"/>
      <c r="N345" s="45"/>
      <c r="O345" s="45"/>
      <c r="P345" s="45"/>
      <c r="Q345" s="45"/>
      <c r="R345" s="45"/>
      <c r="S345" s="45"/>
      <c r="T345" s="45"/>
      <c r="U345" s="45"/>
    </row>
    <row r="346" spans="1:21" ht="18.75" x14ac:dyDescent="0.25">
      <c r="A346" s="208"/>
      <c r="B346" s="40"/>
      <c r="C346" s="158"/>
      <c r="D346" s="145"/>
      <c r="E346" s="145"/>
      <c r="F346" s="149" t="s">
        <v>140</v>
      </c>
      <c r="G346" s="42"/>
      <c r="H346" s="175" t="s">
        <v>141</v>
      </c>
      <c r="I346" s="184">
        <f ca="1">IFERROR(__xludf.DUMMYFUNCTION("IMPORTRANGE(""https://docs.google.com/spreadsheets/d/1eHaY18a8A9IcSdp1K8H6x8fbOy06t2VsZHhMHf-1x7Y/edit?usp=sharing"",""แผน!EL29"")"),4)</f>
        <v>4</v>
      </c>
      <c r="J346" s="184">
        <f ca="1">IFERROR(__xludf.DUMMYFUNCTION("IMPORTRANGE(""https://docs.google.com/spreadsheets/d/1awYsYK3VOup2i3Pq_Yjnu8DRu_mYwSBnCR2QPthd0rU/edit?usp=sharing"",""ศูนย์รวม!E29"")"),4)</f>
        <v>4</v>
      </c>
      <c r="K346" s="224">
        <f ca="1">IF(I346&gt;0,J346*100/I346,0)</f>
        <v>100</v>
      </c>
      <c r="L346" s="1359"/>
      <c r="M346" s="45"/>
      <c r="N346" s="45"/>
      <c r="O346" s="45"/>
      <c r="P346" s="45"/>
      <c r="Q346" s="45"/>
      <c r="R346" s="45"/>
      <c r="S346" s="45"/>
      <c r="T346" s="45"/>
      <c r="U346" s="45"/>
    </row>
    <row r="347" spans="1:21" ht="18.75" x14ac:dyDescent="0.25">
      <c r="A347" s="208"/>
      <c r="B347" s="40"/>
      <c r="C347" s="158"/>
      <c r="D347" s="145"/>
      <c r="E347" s="145"/>
      <c r="F347" s="149" t="s">
        <v>142</v>
      </c>
      <c r="G347" s="42"/>
      <c r="H347" s="175" t="s">
        <v>35</v>
      </c>
      <c r="I347" s="44"/>
      <c r="J347" s="184">
        <f ca="1">IFERROR(__xludf.DUMMYFUNCTION("IMPORTRANGE(""https://docs.google.com/spreadsheets/d/1awYsYK3VOup2i3Pq_Yjnu8DRu_mYwSBnCR2QPthd0rU/edit?usp=sharing"",""ศูนย์ยกเว้นโฉนด!F29"")"),52)</f>
        <v>52</v>
      </c>
      <c r="K347" s="45"/>
      <c r="L347" s="1359"/>
      <c r="M347" s="45"/>
      <c r="N347" s="45"/>
      <c r="O347" s="45"/>
      <c r="P347" s="45"/>
      <c r="Q347" s="45"/>
      <c r="R347" s="45"/>
      <c r="S347" s="45"/>
      <c r="T347" s="45"/>
      <c r="U347" s="45"/>
    </row>
    <row r="348" spans="1:21" ht="18.75" x14ac:dyDescent="0.25">
      <c r="A348" s="208"/>
      <c r="B348" s="40"/>
      <c r="C348" s="158"/>
      <c r="D348" s="145"/>
      <c r="E348" s="149" t="s">
        <v>143</v>
      </c>
      <c r="F348" s="145"/>
      <c r="G348" s="42"/>
      <c r="H348" s="175" t="s">
        <v>35</v>
      </c>
      <c r="I348" s="44"/>
      <c r="J348" s="184">
        <f ca="1">IFERROR(__xludf.DUMMYFUNCTION("IMPORTRANGE(""https://docs.google.com/spreadsheets/d/1awYsYK3VOup2i3Pq_Yjnu8DRu_mYwSBnCR2QPthd0rU/edit?usp=sharing"",""ศูนย์ยกเว้นโฉนด!G29"")"),0)</f>
        <v>0</v>
      </c>
      <c r="K348" s="45"/>
      <c r="L348" s="1359"/>
      <c r="M348" s="45"/>
      <c r="N348" s="45"/>
      <c r="O348" s="45"/>
      <c r="P348" s="45"/>
      <c r="Q348" s="45"/>
      <c r="R348" s="45"/>
      <c r="S348" s="45"/>
      <c r="T348" s="45"/>
      <c r="U348" s="45"/>
    </row>
    <row r="349" spans="1:21" ht="18.75" x14ac:dyDescent="0.25">
      <c r="A349" s="208"/>
      <c r="B349" s="40"/>
      <c r="C349" s="158"/>
      <c r="D349" s="139"/>
      <c r="E349" s="149" t="s">
        <v>144</v>
      </c>
      <c r="F349" s="145"/>
      <c r="G349" s="42"/>
      <c r="H349" s="175" t="s">
        <v>35</v>
      </c>
      <c r="I349" s="44"/>
      <c r="J349" s="184">
        <f ca="1">IFERROR(__xludf.DUMMYFUNCTION("IMPORTRANGE(""https://docs.google.com/spreadsheets/d/1awYsYK3VOup2i3Pq_Yjnu8DRu_mYwSBnCR2QPthd0rU/edit?usp=sharing"",""ศูนย์ยกเว้นโฉนด!H29"")"),0)</f>
        <v>0</v>
      </c>
      <c r="K349" s="45"/>
      <c r="L349" s="1359"/>
      <c r="M349" s="45"/>
      <c r="N349" s="45"/>
      <c r="O349" s="45"/>
      <c r="P349" s="45"/>
      <c r="Q349" s="45"/>
      <c r="R349" s="45"/>
      <c r="S349" s="45"/>
      <c r="T349" s="45"/>
      <c r="U349" s="45"/>
    </row>
    <row r="350" spans="1:21" ht="16.5" x14ac:dyDescent="0.25">
      <c r="A350" s="158"/>
      <c r="B350" s="40"/>
      <c r="C350" s="158"/>
      <c r="D350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0"/>
      <c r="F350" s="40"/>
      <c r="G350" s="42"/>
      <c r="H350" s="180"/>
      <c r="I350" s="44"/>
      <c r="J350" s="44"/>
      <c r="K350" s="45"/>
      <c r="L350" s="1359"/>
      <c r="M350" s="45"/>
      <c r="N350" s="45"/>
      <c r="O350" s="45"/>
      <c r="P350" s="45"/>
      <c r="Q350" s="45"/>
      <c r="R350" s="45"/>
      <c r="S350" s="45"/>
      <c r="T350" s="45"/>
      <c r="U350" s="45"/>
    </row>
    <row r="351" spans="1:21" ht="19.5" x14ac:dyDescent="0.3">
      <c r="A351" s="211"/>
      <c r="B351" s="214"/>
      <c r="C351" s="212"/>
      <c r="D351" s="214"/>
      <c r="E351" s="1523" t="s">
        <v>145</v>
      </c>
      <c r="F351" s="214"/>
      <c r="G351" s="215"/>
      <c r="H351" s="216" t="s">
        <v>35</v>
      </c>
      <c r="I351" s="303">
        <v>0</v>
      </c>
      <c r="J351" s="303">
        <f ca="1">J352+J353</f>
        <v>4292</v>
      </c>
      <c r="K351" s="304">
        <v>0</v>
      </c>
      <c r="L351" s="1416"/>
      <c r="M351" s="219"/>
      <c r="N351" s="219"/>
      <c r="O351" s="219"/>
      <c r="P351" s="219"/>
      <c r="Q351" s="219"/>
      <c r="R351" s="219"/>
      <c r="S351" s="219"/>
      <c r="T351" s="219"/>
      <c r="U351" s="219"/>
    </row>
    <row r="352" spans="1:21" ht="18.75" x14ac:dyDescent="0.25">
      <c r="A352" s="158"/>
      <c r="B352" s="40"/>
      <c r="C352" s="158"/>
      <c r="D352" s="145"/>
      <c r="E352" s="149" t="s">
        <v>146</v>
      </c>
      <c r="F352" s="40"/>
      <c r="G352" s="42"/>
      <c r="H352" s="133" t="s">
        <v>35</v>
      </c>
      <c r="I352" s="44"/>
      <c r="J352" s="184">
        <f ca="1">IFERROR(__xludf.DUMMYFUNCTION("IMPORTRANGE(""https://docs.google.com/spreadsheets/d/1awYsYK3VOup2i3Pq_Yjnu8DRu_mYwSBnCR2QPthd0rU/edit?usp=sharing"",""โฉนดM3!G29"")"),882)</f>
        <v>882</v>
      </c>
      <c r="K352" s="45"/>
      <c r="L352" s="1359"/>
      <c r="M352" s="45"/>
      <c r="N352" s="45"/>
      <c r="O352" s="45"/>
      <c r="P352" s="45"/>
      <c r="Q352" s="45"/>
      <c r="R352" s="45"/>
      <c r="S352" s="45"/>
      <c r="T352" s="45"/>
      <c r="U352" s="45"/>
    </row>
    <row r="353" spans="1:21" ht="18.75" x14ac:dyDescent="0.25">
      <c r="A353" s="158"/>
      <c r="B353" s="40"/>
      <c r="C353" s="158"/>
      <c r="D353" s="145"/>
      <c r="E353" s="149" t="s">
        <v>147</v>
      </c>
      <c r="F353" s="40"/>
      <c r="G353" s="42"/>
      <c r="H353" s="133" t="s">
        <v>35</v>
      </c>
      <c r="I353" s="44"/>
      <c r="J353" s="184">
        <f ca="1">IFERROR(__xludf.DUMMYFUNCTION("IMPORTRANGE(""https://docs.google.com/spreadsheets/d/1awYsYK3VOup2i3Pq_Yjnu8DRu_mYwSBnCR2QPthd0rU/edit?usp=sharing"",""โฉนดM3!H29"")"),3410)</f>
        <v>3410</v>
      </c>
      <c r="K353" s="45"/>
      <c r="L353" s="1359"/>
      <c r="M353" s="45"/>
      <c r="N353" s="45"/>
      <c r="O353" s="45"/>
      <c r="P353" s="45"/>
      <c r="Q353" s="45"/>
      <c r="R353" s="45"/>
      <c r="S353" s="45"/>
      <c r="T353" s="45"/>
      <c r="U353" s="45"/>
    </row>
    <row r="354" spans="1:21" ht="16.5" x14ac:dyDescent="0.25">
      <c r="A354" s="158"/>
      <c r="B354" s="40"/>
      <c r="C354" s="158"/>
      <c r="D354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0"/>
      <c r="F354" s="40"/>
      <c r="G354" s="42"/>
      <c r="H354" s="180"/>
      <c r="I354" s="44"/>
      <c r="J354" s="44"/>
      <c r="K354" s="45"/>
      <c r="L354" s="1359"/>
      <c r="M354" s="45"/>
      <c r="N354" s="45"/>
      <c r="O354" s="45"/>
      <c r="P354" s="45"/>
      <c r="Q354" s="45"/>
      <c r="R354" s="45"/>
      <c r="S354" s="45"/>
      <c r="T354" s="45"/>
      <c r="U354" s="45"/>
    </row>
    <row r="355" spans="1:21" ht="19.5" x14ac:dyDescent="0.3">
      <c r="A355" s="291"/>
      <c r="B355" s="292" t="s">
        <v>148</v>
      </c>
      <c r="C355" s="301"/>
      <c r="D355" s="293"/>
      <c r="E355" s="293"/>
      <c r="F355" s="293"/>
      <c r="G355" s="294"/>
      <c r="H355" s="294"/>
      <c r="I355" s="307"/>
      <c r="J355" s="307"/>
      <c r="K355" s="298"/>
      <c r="L355" s="1503"/>
      <c r="M355" s="298"/>
      <c r="N355" s="298"/>
      <c r="O355" s="298"/>
      <c r="P355" s="298"/>
      <c r="Q355" s="298"/>
      <c r="R355" s="298"/>
      <c r="S355" s="298"/>
      <c r="T355" s="298"/>
      <c r="U355" s="298"/>
    </row>
    <row r="356" spans="1:21" ht="19.5" x14ac:dyDescent="0.3">
      <c r="A356" s="128"/>
      <c r="B356" s="40"/>
      <c r="C356" s="129" t="s">
        <v>18</v>
      </c>
      <c r="D356" s="1388" t="s">
        <v>19</v>
      </c>
      <c r="E356" s="40"/>
      <c r="F356" s="40"/>
      <c r="G356" s="42"/>
      <c r="H356" s="131" t="s">
        <v>14</v>
      </c>
      <c r="I356" s="44"/>
      <c r="J356" s="44"/>
      <c r="K356" s="45"/>
      <c r="L356" s="1389">
        <f ca="1">L357+L358</f>
        <v>751200</v>
      </c>
      <c r="M356" s="1390">
        <f ca="1">M357+M358</f>
        <v>621760</v>
      </c>
      <c r="N356" s="1390">
        <f ca="1">N357+N358</f>
        <v>408029</v>
      </c>
      <c r="O356" s="1390">
        <f ca="1">IF(L356&gt;0,N356*100/L356,0)</f>
        <v>54.316959531416401</v>
      </c>
      <c r="P356" s="1390">
        <f ca="1">IF(M356&gt;0,N356*100/M356,0)</f>
        <v>65.624839166237777</v>
      </c>
      <c r="Q356" s="1390">
        <f>Q357+Q358</f>
        <v>0</v>
      </c>
      <c r="R356" s="1390">
        <f>R357+R358</f>
        <v>0</v>
      </c>
      <c r="S356" s="1390">
        <f>S357+S358</f>
        <v>0</v>
      </c>
      <c r="T356" s="1390">
        <f>IF(Q356&gt;0,S356*100/Q356,0)</f>
        <v>0</v>
      </c>
      <c r="U356" s="1390">
        <f>IF(R356&gt;0,S356*100/R356,0)</f>
        <v>0</v>
      </c>
    </row>
    <row r="357" spans="1:21" ht="18.75" x14ac:dyDescent="0.25">
      <c r="A357" s="128"/>
      <c r="B357" s="40"/>
      <c r="C357" s="40"/>
      <c r="D357" s="40"/>
      <c r="E357" s="156" t="s">
        <v>20</v>
      </c>
      <c r="F357" s="40"/>
      <c r="G357" s="42"/>
      <c r="H357" s="157" t="s">
        <v>14</v>
      </c>
      <c r="I357" s="44"/>
      <c r="J357" s="44"/>
      <c r="K357" s="45"/>
      <c r="L357" s="1358">
        <f>L360+L363</f>
        <v>0</v>
      </c>
      <c r="M357" s="83">
        <f>M360+M363</f>
        <v>0</v>
      </c>
      <c r="N357" s="83">
        <f>N360+N363</f>
        <v>0</v>
      </c>
      <c r="O357" s="83">
        <f>IF(L357&gt;0,N357*100/L357,0)</f>
        <v>0</v>
      </c>
      <c r="P357" s="83">
        <f>IF(M357&gt;0,N357*100/M357,0)</f>
        <v>0</v>
      </c>
      <c r="Q357" s="83">
        <f>Q360+Q363</f>
        <v>0</v>
      </c>
      <c r="R357" s="83">
        <f>R360+R363</f>
        <v>0</v>
      </c>
      <c r="S357" s="83">
        <f>S360+S363</f>
        <v>0</v>
      </c>
      <c r="T357" s="83">
        <f>IF(Q357&gt;0,S357*100/Q357,0)</f>
        <v>0</v>
      </c>
      <c r="U357" s="83">
        <f>IF(R357&gt;0,S357*100/R357,0)</f>
        <v>0</v>
      </c>
    </row>
    <row r="358" spans="1:21" ht="18.75" x14ac:dyDescent="0.25">
      <c r="A358" s="128"/>
      <c r="B358" s="40"/>
      <c r="C358" s="40"/>
      <c r="D358" s="40"/>
      <c r="E358" s="47" t="s">
        <v>21</v>
      </c>
      <c r="F358" s="40"/>
      <c r="G358" s="42"/>
      <c r="H358" s="133" t="s">
        <v>14</v>
      </c>
      <c r="I358" s="44"/>
      <c r="J358" s="44"/>
      <c r="K358" s="45"/>
      <c r="L358" s="1356">
        <f ca="1">L361+L364</f>
        <v>751200</v>
      </c>
      <c r="M358" s="224">
        <f ca="1">M361+M364</f>
        <v>621760</v>
      </c>
      <c r="N358" s="224">
        <f ca="1">N361+N364</f>
        <v>408029</v>
      </c>
      <c r="O358" s="224">
        <f ca="1">IF(L358&gt;0,N358*100/L358,0)</f>
        <v>54.316959531416401</v>
      </c>
      <c r="P358" s="224">
        <f ca="1">IF(M358&gt;0,N358*100/M358,0)</f>
        <v>65.624839166237777</v>
      </c>
      <c r="Q358" s="224">
        <f>Q361+Q364</f>
        <v>0</v>
      </c>
      <c r="R358" s="224">
        <f>R361+R364</f>
        <v>0</v>
      </c>
      <c r="S358" s="224">
        <f>S361+S364</f>
        <v>0</v>
      </c>
      <c r="T358" s="224">
        <f>IF(Q358&gt;0,S358*100/Q358,0)</f>
        <v>0</v>
      </c>
      <c r="U358" s="224">
        <f>IF(R358&gt;0,S358*100/R358,0)</f>
        <v>0</v>
      </c>
    </row>
    <row r="359" spans="1:21" ht="18.75" x14ac:dyDescent="0.25">
      <c r="A359" s="128"/>
      <c r="B359" s="40"/>
      <c r="C359" s="40"/>
      <c r="D359" s="41" t="s">
        <v>22</v>
      </c>
      <c r="E359" s="40"/>
      <c r="F359" s="40"/>
      <c r="G359" s="42"/>
      <c r="H359" s="134" t="s">
        <v>14</v>
      </c>
      <c r="I359" s="135"/>
      <c r="J359" s="135"/>
      <c r="K359" s="136"/>
      <c r="L359" s="1356">
        <f ca="1">L360+L361</f>
        <v>751200</v>
      </c>
      <c r="M359" s="224">
        <f ca="1">M360+M361</f>
        <v>621760</v>
      </c>
      <c r="N359" s="224">
        <f ca="1">N360+N361</f>
        <v>408029</v>
      </c>
      <c r="O359" s="224">
        <f ca="1">IF(L359&gt;0,N359*100/L359,0)</f>
        <v>54.316959531416401</v>
      </c>
      <c r="P359" s="224">
        <f ca="1">IF(M359&gt;0,N359*100/M359,0)</f>
        <v>65.624839166237777</v>
      </c>
      <c r="Q359" s="224">
        <f>Q360+Q361</f>
        <v>0</v>
      </c>
      <c r="R359" s="224">
        <f>R360+R361</f>
        <v>0</v>
      </c>
      <c r="S359" s="224">
        <f>S360+S361</f>
        <v>0</v>
      </c>
      <c r="T359" s="224">
        <f>IF(Q359&gt;0,S359*100/Q359,0)</f>
        <v>0</v>
      </c>
      <c r="U359" s="224">
        <f>IF(R359&gt;0,S359*100/R359,0)</f>
        <v>0</v>
      </c>
    </row>
    <row r="360" spans="1:21" ht="18.75" x14ac:dyDescent="0.25">
      <c r="A360" s="128"/>
      <c r="B360" s="40"/>
      <c r="C360" s="40"/>
      <c r="D360" s="40"/>
      <c r="E360" s="156" t="s">
        <v>36</v>
      </c>
      <c r="F360" s="40"/>
      <c r="G360" s="42"/>
      <c r="H360" s="159" t="s">
        <v>14</v>
      </c>
      <c r="I360" s="135"/>
      <c r="J360" s="135"/>
      <c r="K360" s="136"/>
      <c r="L360" s="1358">
        <v>0</v>
      </c>
      <c r="M360" s="83">
        <v>0</v>
      </c>
      <c r="N360" s="83">
        <v>0</v>
      </c>
      <c r="O360" s="83">
        <f>IF(L360&gt;0,N360*100/L360,0)</f>
        <v>0</v>
      </c>
      <c r="P360" s="83">
        <f>IF(M360&gt;0,N360*100/M360,0)</f>
        <v>0</v>
      </c>
      <c r="Q360" s="83">
        <v>0</v>
      </c>
      <c r="R360" s="83">
        <v>0</v>
      </c>
      <c r="S360" s="83">
        <v>0</v>
      </c>
      <c r="T360" s="83">
        <f>IF(Q360&gt;0,S360*100/Q360,0)</f>
        <v>0</v>
      </c>
      <c r="U360" s="83">
        <f>IF(R360&gt;0,S360*100/R360,0)</f>
        <v>0</v>
      </c>
    </row>
    <row r="361" spans="1:21" ht="18.75" x14ac:dyDescent="0.25">
      <c r="A361" s="128"/>
      <c r="B361" s="40"/>
      <c r="C361" s="40"/>
      <c r="D361" s="40"/>
      <c r="E361" s="47" t="s">
        <v>37</v>
      </c>
      <c r="F361" s="40"/>
      <c r="G361" s="42"/>
      <c r="H361" s="134" t="s">
        <v>14</v>
      </c>
      <c r="I361" s="135"/>
      <c r="J361" s="135"/>
      <c r="K361" s="136"/>
      <c r="L361" s="1356">
        <f ca="1">IFERROR(__xludf.DUMMYFUNCTION("IMPORTRANGE(""https://docs.google.com/spreadsheets/d/1-uDff_7J0KD5mKrp0Vvzr7lt3OU09vwQwhkpOPPYv2Y/edit?usp=sharing"",""งบพรบ!FC29"")"),751200)</f>
        <v>751200</v>
      </c>
      <c r="M361" s="224">
        <f ca="1">IFERROR(__xludf.DUMMYFUNCTION("IMPORTRANGE(""https://docs.google.com/spreadsheets/d/1-uDff_7J0KD5mKrp0Vvzr7lt3OU09vwQwhkpOPPYv2Y/edit?usp=sharing"",""งบพรบ!FH29"")"),621760)</f>
        <v>621760</v>
      </c>
      <c r="N361" s="224">
        <f ca="1">IFERROR(__xludf.DUMMYFUNCTION("IMPORTRANGE(""https://docs.google.com/spreadsheets/d/1-uDff_7J0KD5mKrp0Vvzr7lt3OU09vwQwhkpOPPYv2Y/edit?usp=sharing"",""งบพรบ!FJ29"")"),408029)</f>
        <v>408029</v>
      </c>
      <c r="O361" s="224">
        <f ca="1">IF(L361&gt;0,N361*100/L361,0)</f>
        <v>54.316959531416401</v>
      </c>
      <c r="P361" s="224">
        <f ca="1">IF(M361&gt;0,N361*100/M361,0)</f>
        <v>65.624839166237777</v>
      </c>
      <c r="Q361" s="224">
        <v>0</v>
      </c>
      <c r="R361" s="224">
        <v>0</v>
      </c>
      <c r="S361" s="224">
        <v>0</v>
      </c>
      <c r="T361" s="224">
        <f>IF(Q361&gt;0,S361*100/Q361,0)</f>
        <v>0</v>
      </c>
      <c r="U361" s="224">
        <f>IF(R361&gt;0,S361*100/R361,0)</f>
        <v>0</v>
      </c>
    </row>
    <row r="362" spans="1:21" ht="18.75" x14ac:dyDescent="0.25">
      <c r="A362" s="128"/>
      <c r="B362" s="40"/>
      <c r="C362" s="40"/>
      <c r="D362" s="41" t="s">
        <v>23</v>
      </c>
      <c r="E362" s="40"/>
      <c r="F362" s="40"/>
      <c r="G362" s="42"/>
      <c r="H362" s="137" t="s">
        <v>14</v>
      </c>
      <c r="I362" s="135"/>
      <c r="J362" s="135"/>
      <c r="K362" s="136"/>
      <c r="L362" s="1356">
        <f ca="1">L363+L364</f>
        <v>0</v>
      </c>
      <c r="M362" s="224">
        <f ca="1">M363+M364</f>
        <v>0</v>
      </c>
      <c r="N362" s="224">
        <f ca="1">N363+N364</f>
        <v>0</v>
      </c>
      <c r="O362" s="224">
        <f ca="1">IF(L362&gt;0,N362*100/L362,0)</f>
        <v>0</v>
      </c>
      <c r="P362" s="224">
        <f ca="1">IF(M362&gt;0,N362*100/M362,0)</f>
        <v>0</v>
      </c>
      <c r="Q362" s="224">
        <f>Q363+Q364</f>
        <v>0</v>
      </c>
      <c r="R362" s="224">
        <f>R363+R364</f>
        <v>0</v>
      </c>
      <c r="S362" s="224">
        <f>S363+S364</f>
        <v>0</v>
      </c>
      <c r="T362" s="224">
        <f>IF(Q362&gt;0,S362*100/Q362,0)</f>
        <v>0</v>
      </c>
      <c r="U362" s="224">
        <f>IF(R362&gt;0,S362*100/R362,0)</f>
        <v>0</v>
      </c>
    </row>
    <row r="363" spans="1:21" ht="18.75" x14ac:dyDescent="0.25">
      <c r="A363" s="128"/>
      <c r="B363" s="40"/>
      <c r="C363" s="40"/>
      <c r="D363" s="40"/>
      <c r="E363" s="156" t="s">
        <v>20</v>
      </c>
      <c r="F363" s="40"/>
      <c r="G363" s="42"/>
      <c r="H363" s="159" t="s">
        <v>14</v>
      </c>
      <c r="I363" s="135"/>
      <c r="J363" s="135"/>
      <c r="K363" s="136"/>
      <c r="L363" s="1358">
        <v>0</v>
      </c>
      <c r="M363" s="83">
        <v>0</v>
      </c>
      <c r="N363" s="83">
        <v>0</v>
      </c>
      <c r="O363" s="83">
        <f>IF(L363&gt;0,N363*100/L363,0)</f>
        <v>0</v>
      </c>
      <c r="P363" s="83">
        <f>IF(M363&gt;0,N363*100/M363,0)</f>
        <v>0</v>
      </c>
      <c r="Q363" s="83">
        <v>0</v>
      </c>
      <c r="R363" s="83">
        <v>0</v>
      </c>
      <c r="S363" s="83">
        <v>0</v>
      </c>
      <c r="T363" s="83">
        <f>IF(Q363&gt;0,S363*100/Q363,0)</f>
        <v>0</v>
      </c>
      <c r="U363" s="83">
        <f>IF(R363&gt;0,S363*100/R363,0)</f>
        <v>0</v>
      </c>
    </row>
    <row r="364" spans="1:21" ht="18.75" x14ac:dyDescent="0.25">
      <c r="A364" s="128"/>
      <c r="B364" s="40"/>
      <c r="C364" s="40"/>
      <c r="D364" s="40"/>
      <c r="E364" s="47" t="s">
        <v>21</v>
      </c>
      <c r="F364" s="40"/>
      <c r="G364" s="42"/>
      <c r="H364" s="137" t="s">
        <v>14</v>
      </c>
      <c r="I364" s="135"/>
      <c r="J364" s="135"/>
      <c r="K364" s="136"/>
      <c r="L364" s="1356">
        <f ca="1">IFERROR(__xludf.DUMMYFUNCTION("IMPORTRANGE(""https://docs.google.com/spreadsheets/d/1-uDff_7J0KD5mKrp0Vvzr7lt3OU09vwQwhkpOPPYv2Y/edit?usp=sharing"",""งบพรบ!FF29"")"),0)</f>
        <v>0</v>
      </c>
      <c r="M364" s="224">
        <f ca="1">IFERROR(__xludf.DUMMYFUNCTION("IMPORTRANGE(""https://docs.google.com/spreadsheets/d/1-uDff_7J0KD5mKrp0Vvzr7lt3OU09vwQwhkpOPPYv2Y/edit?usp=sharing"",""งบพรบ!FI29"")"),0)</f>
        <v>0</v>
      </c>
      <c r="N364" s="224">
        <f ca="1">IFERROR(__xludf.DUMMYFUNCTION("IMPORTRANGE(""https://docs.google.com/spreadsheets/d/1-uDff_7J0KD5mKrp0Vvzr7lt3OU09vwQwhkpOPPYv2Y/edit?usp=sharing"",""งบพรบ!FK29"")"),0)</f>
        <v>0</v>
      </c>
      <c r="O364" s="224">
        <f ca="1">IF(L364&gt;0,N364*100/L364,0)</f>
        <v>0</v>
      </c>
      <c r="P364" s="224">
        <f ca="1">IF(M364&gt;0,N364*100/M364,0)</f>
        <v>0</v>
      </c>
      <c r="Q364" s="224">
        <v>0</v>
      </c>
      <c r="R364" s="224">
        <v>0</v>
      </c>
      <c r="S364" s="224">
        <v>0</v>
      </c>
      <c r="T364" s="224">
        <f>IF(Q364&gt;0,S364*100/Q364,0)</f>
        <v>0</v>
      </c>
      <c r="U364" s="224">
        <f>IF(R364&gt;0,S364*100/R364,0)</f>
        <v>0</v>
      </c>
    </row>
    <row r="365" spans="1:21" ht="19.5" x14ac:dyDescent="0.3">
      <c r="A365" s="211"/>
      <c r="B365" s="212"/>
      <c r="C365" s="214"/>
      <c r="D365" s="1523" t="s">
        <v>149</v>
      </c>
      <c r="E365" s="214"/>
      <c r="F365" s="214"/>
      <c r="G365" s="215"/>
      <c r="H365" s="223" t="s">
        <v>35</v>
      </c>
      <c r="I365" s="303">
        <f ca="1">I371</f>
        <v>223</v>
      </c>
      <c r="J365" s="303">
        <f ca="1">J371</f>
        <v>258</v>
      </c>
      <c r="K365" s="304">
        <f ca="1">IF(I365&gt;0,J365*100/I365,0)</f>
        <v>115.69506726457399</v>
      </c>
      <c r="L365" s="1416"/>
      <c r="M365" s="219"/>
      <c r="N365" s="219"/>
      <c r="O365" s="219"/>
      <c r="P365" s="219"/>
      <c r="Q365" s="219"/>
      <c r="R365" s="219"/>
      <c r="S365" s="219"/>
      <c r="T365" s="219"/>
      <c r="U365" s="219"/>
    </row>
    <row r="366" spans="1:21" ht="19.5" x14ac:dyDescent="0.3">
      <c r="A366" s="138"/>
      <c r="B366" s="139"/>
      <c r="C366" s="129" t="s">
        <v>18</v>
      </c>
      <c r="D366" s="1391" t="s">
        <v>38</v>
      </c>
      <c r="E366" s="141"/>
      <c r="F366" s="141"/>
      <c r="G366" s="142"/>
      <c r="H366" s="143"/>
      <c r="I366" s="44"/>
      <c r="J366" s="44"/>
      <c r="K366" s="45"/>
      <c r="L366" s="1392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3" t="s">
        <v>35</v>
      </c>
      <c r="I367" s="184">
        <v>0</v>
      </c>
      <c r="J367" s="184">
        <f ca="1">IFERROR(__xludf.DUMMYFUNCTION("IMPORTRANGE(""https://docs.google.com/spreadsheets/d/1tdoBKaGub7dwA3U6UFTqxio9LNnvDCQjHKmttSEBsFQ/edit?usp=sharing"",""จัดที่ดิน!AB29"")"),191)</f>
        <v>191</v>
      </c>
      <c r="K367" s="224">
        <f>IF(I367&gt;0,J367*100/I367,0)</f>
        <v>0</v>
      </c>
      <c r="L367" s="1392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3" t="s">
        <v>46</v>
      </c>
      <c r="I368" s="184">
        <f ca="1">IFERROR(__xludf.DUMMYFUNCTION("IMPORTRANGE(""https://docs.google.com/spreadsheets/d/1eHaY18a8A9IcSdp1K8H6x8fbOy06t2VsZHhMHf-1x7Y/edit?usp=sharing"",""แผน!EW29"")"),440)</f>
        <v>440</v>
      </c>
      <c r="J368" s="1524">
        <f ca="1">IFERROR(__xludf.DUMMYFUNCTION("IMPORTRANGE(""https://docs.google.com/spreadsheets/d/1tdoBKaGub7dwA3U6UFTqxio9LNnvDCQjHKmttSEBsFQ/edit?usp=sharing"",""จัดที่ดิน!AC29"")"),1052.49)</f>
        <v>1052.49</v>
      </c>
      <c r="K368" s="224">
        <f ca="1">IF(I368&gt;0,J368*100/I368,0)</f>
        <v>239.20227272727271</v>
      </c>
      <c r="L368" s="1392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84">
        <f ca="1">IFERROR(__xludf.DUMMYFUNCTION("IMPORTRANGE(""https://docs.google.com/spreadsheets/d/1eHaY18a8A9IcSdp1K8H6x8fbOy06t2VsZHhMHf-1x7Y/edit?usp=sharing"",""แผน!EX29"")"),223)</f>
        <v>223</v>
      </c>
      <c r="J369" s="184">
        <f ca="1">IFERROR(__xludf.DUMMYFUNCTION("IMPORTRANGE(""https://docs.google.com/spreadsheets/d/1tdoBKaGub7dwA3U6UFTqxio9LNnvDCQjHKmttSEBsFQ/edit?usp=sharing"",""จัดที่ดิน!AD29"")"),343)</f>
        <v>343</v>
      </c>
      <c r="K369" s="224">
        <f ca="1">IF(I369&gt;0,J369*100/I369,0)</f>
        <v>153.81165919282512</v>
      </c>
      <c r="L369" s="1392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84">
        <v>0</v>
      </c>
      <c r="J370" s="1524">
        <f ca="1">IFERROR(__xludf.DUMMYFUNCTION("IMPORTRANGE(""https://docs.google.com/spreadsheets/d/1tdoBKaGub7dwA3U6UFTqxio9LNnvDCQjHKmttSEBsFQ/edit?usp=sharing"",""จัดที่ดิน!AE29"")"),3313.95)</f>
        <v>3313.95</v>
      </c>
      <c r="K370" s="224">
        <f>IF(I370&gt;0,J370*100/I370,0)</f>
        <v>0</v>
      </c>
      <c r="L370" s="1392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08" t="s">
        <v>152</v>
      </c>
      <c r="F371" s="145"/>
      <c r="G371" s="143"/>
      <c r="H371" s="150" t="s">
        <v>35</v>
      </c>
      <c r="I371" s="184">
        <f ca="1">IFERROR(__xludf.DUMMYFUNCTION("IMPORTRANGE(""https://docs.google.com/spreadsheets/d/1eHaY18a8A9IcSdp1K8H6x8fbOy06t2VsZHhMHf-1x7Y/edit?usp=sharing"",""แผน!EY29"")"),223)</f>
        <v>223</v>
      </c>
      <c r="J371" s="184">
        <f ca="1">IFERROR(__xludf.DUMMYFUNCTION("IMPORTRANGE(""https://docs.google.com/spreadsheets/d/1tdoBKaGub7dwA3U6UFTqxio9LNnvDCQjHKmttSEBsFQ/edit?usp=sharing"",""จัดที่ดิน!AF29"")"),258)</f>
        <v>258</v>
      </c>
      <c r="K371" s="224">
        <f ca="1">IF(I371&gt;0,J371*100/I371,0)</f>
        <v>115.69506726457399</v>
      </c>
      <c r="L371" s="1392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84">
        <v>0</v>
      </c>
      <c r="J372" s="1524">
        <f ca="1">IFERROR(__xludf.DUMMYFUNCTION("IMPORTRANGE(""https://docs.google.com/spreadsheets/d/1tdoBKaGub7dwA3U6UFTqxio9LNnvDCQjHKmttSEBsFQ/edit?usp=sharing"",""จัดที่ดิน!AG29"")"),2971.2)</f>
        <v>2971.2</v>
      </c>
      <c r="K372" s="224">
        <f>IF(I372&gt;0,J372*100/I372,0)</f>
        <v>0</v>
      </c>
      <c r="L372" s="1392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2"/>
      <c r="B373" s="1"/>
      <c r="C373" s="2"/>
      <c r="D373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2"/>
      <c r="H373" s="52"/>
      <c r="I373" s="54"/>
      <c r="J373" s="54"/>
      <c r="K373" s="3"/>
      <c r="L373" s="1360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9.5" x14ac:dyDescent="0.3">
      <c r="A374" s="1525"/>
      <c r="B374" s="1526" t="s">
        <v>153</v>
      </c>
      <c r="C374" s="1527"/>
      <c r="D374" s="1528"/>
      <c r="E374" s="1529"/>
      <c r="F374" s="1529"/>
      <c r="G374" s="1530"/>
      <c r="H374" s="1531" t="s">
        <v>46</v>
      </c>
      <c r="I374" s="1532">
        <f ca="1">I386+I388</f>
        <v>5000</v>
      </c>
      <c r="J374" s="1532">
        <f ca="1">J386+J388</f>
        <v>0</v>
      </c>
      <c r="K374" s="1533">
        <f ca="1">IF(I374&gt;0,J374*100/I374,0)</f>
        <v>0</v>
      </c>
      <c r="L374" s="1503"/>
      <c r="M374" s="298"/>
      <c r="N374" s="298"/>
      <c r="O374" s="298"/>
      <c r="P374" s="298"/>
      <c r="Q374" s="298"/>
      <c r="R374" s="298"/>
      <c r="S374" s="298"/>
      <c r="T374" s="298"/>
      <c r="U374" s="298"/>
    </row>
    <row r="375" spans="1:21" ht="19.5" x14ac:dyDescent="0.3">
      <c r="A375" s="128"/>
      <c r="B375" s="158"/>
      <c r="C375" s="161" t="s">
        <v>18</v>
      </c>
      <c r="D375" s="1534" t="s">
        <v>19</v>
      </c>
      <c r="E375" s="40"/>
      <c r="F375" s="40"/>
      <c r="G375" s="42"/>
      <c r="H375" s="131" t="s">
        <v>14</v>
      </c>
      <c r="I375" s="44"/>
      <c r="J375" s="44"/>
      <c r="K375" s="45"/>
      <c r="L375" s="1389">
        <f ca="1">L376+L377</f>
        <v>47700</v>
      </c>
      <c r="M375" s="1390">
        <f ca="1">M376+M377</f>
        <v>47700</v>
      </c>
      <c r="N375" s="1390">
        <f ca="1">N376+N377</f>
        <v>0</v>
      </c>
      <c r="O375" s="1390">
        <f ca="1">IF(L375&gt;0,N375*100/L375,0)</f>
        <v>0</v>
      </c>
      <c r="P375" s="1390">
        <f ca="1">IF(M375&gt;0,N375*100/M375,0)</f>
        <v>0</v>
      </c>
      <c r="Q375" s="1390">
        <f ca="1">Q376+Q377</f>
        <v>312500</v>
      </c>
      <c r="R375" s="1390">
        <f ca="1">R376+R377</f>
        <v>312500</v>
      </c>
      <c r="S375" s="1390">
        <f ca="1">S376+S377</f>
        <v>14640</v>
      </c>
      <c r="T375" s="1390">
        <f ca="1">IF(Q375&gt;0,S375*100/Q375,0)</f>
        <v>4.6848000000000001</v>
      </c>
      <c r="U375" s="1390">
        <f ca="1">IF(R375&gt;0,S375*100/R375,0)</f>
        <v>4.6848000000000001</v>
      </c>
    </row>
    <row r="376" spans="1:21" ht="18.75" x14ac:dyDescent="0.25">
      <c r="A376" s="128"/>
      <c r="B376" s="158"/>
      <c r="C376" s="158"/>
      <c r="D376" s="158"/>
      <c r="E376" s="156" t="s">
        <v>20</v>
      </c>
      <c r="F376" s="40"/>
      <c r="G376" s="42"/>
      <c r="H376" s="157" t="s">
        <v>14</v>
      </c>
      <c r="I376" s="44"/>
      <c r="J376" s="44"/>
      <c r="K376" s="45"/>
      <c r="L376" s="1358">
        <f>L379+L382</f>
        <v>0</v>
      </c>
      <c r="M376" s="83">
        <f>M379+M382</f>
        <v>0</v>
      </c>
      <c r="N376" s="83">
        <f>N379+N382</f>
        <v>0</v>
      </c>
      <c r="O376" s="83">
        <f>IF(L376&gt;0,N376*100/L376,0)</f>
        <v>0</v>
      </c>
      <c r="P376" s="83">
        <f>IF(M376&gt;0,N376*100/M376,0)</f>
        <v>0</v>
      </c>
      <c r="Q376" s="83">
        <f>Q379+Q382</f>
        <v>0</v>
      </c>
      <c r="R376" s="83">
        <f>R379+R382</f>
        <v>0</v>
      </c>
      <c r="S376" s="83">
        <f>S379+S382</f>
        <v>0</v>
      </c>
      <c r="T376" s="83">
        <f>IF(Q376&gt;0,S376*100/Q376,0)</f>
        <v>0</v>
      </c>
      <c r="U376" s="83">
        <f>IF(R376&gt;0,S376*100/R376,0)</f>
        <v>0</v>
      </c>
    </row>
    <row r="377" spans="1:21" ht="18.75" x14ac:dyDescent="0.25">
      <c r="A377" s="128"/>
      <c r="B377" s="158"/>
      <c r="C377" s="158"/>
      <c r="D377" s="158"/>
      <c r="E377" s="47" t="s">
        <v>21</v>
      </c>
      <c r="F377" s="40"/>
      <c r="G377" s="42"/>
      <c r="H377" s="133" t="s">
        <v>14</v>
      </c>
      <c r="I377" s="44"/>
      <c r="J377" s="44"/>
      <c r="K377" s="45"/>
      <c r="L377" s="1356">
        <f ca="1">L380+L383</f>
        <v>47700</v>
      </c>
      <c r="M377" s="224">
        <f ca="1">M380+M383</f>
        <v>47700</v>
      </c>
      <c r="N377" s="224">
        <f ca="1">N380+N383</f>
        <v>0</v>
      </c>
      <c r="O377" s="224">
        <f ca="1">IF(L377&gt;0,N377*100/L377,0)</f>
        <v>0</v>
      </c>
      <c r="P377" s="224">
        <f ca="1">IF(M377&gt;0,N377*100/M377,0)</f>
        <v>0</v>
      </c>
      <c r="Q377" s="224">
        <f ca="1">Q380+Q383</f>
        <v>312500</v>
      </c>
      <c r="R377" s="224">
        <f ca="1">R380+R383</f>
        <v>312500</v>
      </c>
      <c r="S377" s="224">
        <f ca="1">S380+S383</f>
        <v>14640</v>
      </c>
      <c r="T377" s="224">
        <f ca="1">IF(Q377&gt;0,S377*100/Q377,0)</f>
        <v>4.6848000000000001</v>
      </c>
      <c r="U377" s="224">
        <f ca="1">IF(R377&gt;0,S377*100/R377,0)</f>
        <v>4.6848000000000001</v>
      </c>
    </row>
    <row r="378" spans="1:21" ht="18.75" x14ac:dyDescent="0.25">
      <c r="A378" s="128"/>
      <c r="B378" s="158"/>
      <c r="C378" s="158"/>
      <c r="D378" s="1406" t="s">
        <v>22</v>
      </c>
      <c r="E378" s="40"/>
      <c r="F378" s="40"/>
      <c r="G378" s="42"/>
      <c r="H378" s="134" t="s">
        <v>14</v>
      </c>
      <c r="I378" s="135"/>
      <c r="J378" s="135"/>
      <c r="K378" s="136"/>
      <c r="L378" s="1356">
        <f ca="1">L379+L380</f>
        <v>47700</v>
      </c>
      <c r="M378" s="224">
        <f ca="1">M379+M380</f>
        <v>47700</v>
      </c>
      <c r="N378" s="224">
        <f ca="1">N379+N380</f>
        <v>0</v>
      </c>
      <c r="O378" s="224">
        <f ca="1">IF(L378&gt;0,N378*100/L378,0)</f>
        <v>0</v>
      </c>
      <c r="P378" s="224">
        <f ca="1">IF(M378&gt;0,N378*100/M378,0)</f>
        <v>0</v>
      </c>
      <c r="Q378" s="224">
        <f ca="1">Q379+Q380</f>
        <v>312500</v>
      </c>
      <c r="R378" s="224">
        <f ca="1">R379+R380</f>
        <v>312500</v>
      </c>
      <c r="S378" s="224">
        <f ca="1">S379+S380</f>
        <v>14640</v>
      </c>
      <c r="T378" s="224">
        <f ca="1">IF(Q378&gt;0,S378*100/Q378,0)</f>
        <v>4.6848000000000001</v>
      </c>
      <c r="U378" s="224">
        <f ca="1">IF(R378&gt;0,S378*100/R378,0)</f>
        <v>4.6848000000000001</v>
      </c>
    </row>
    <row r="379" spans="1:21" ht="18.75" x14ac:dyDescent="0.25">
      <c r="A379" s="128"/>
      <c r="B379" s="158"/>
      <c r="C379" s="158"/>
      <c r="D379" s="158"/>
      <c r="E379" s="156" t="s">
        <v>36</v>
      </c>
      <c r="F379" s="40"/>
      <c r="G379" s="42"/>
      <c r="H379" s="159" t="s">
        <v>14</v>
      </c>
      <c r="I379" s="135"/>
      <c r="J379" s="135"/>
      <c r="K379" s="136"/>
      <c r="L379" s="1358">
        <v>0</v>
      </c>
      <c r="M379" s="83">
        <v>0</v>
      </c>
      <c r="N379" s="83">
        <v>0</v>
      </c>
      <c r="O379" s="83">
        <f>IF(L379&gt;0,N379*100/L379,0)</f>
        <v>0</v>
      </c>
      <c r="P379" s="83">
        <f>IF(M379&gt;0,N379*100/M379,0)</f>
        <v>0</v>
      </c>
      <c r="Q379" s="83">
        <v>0</v>
      </c>
      <c r="R379" s="83">
        <v>0</v>
      </c>
      <c r="S379" s="83">
        <v>0</v>
      </c>
      <c r="T379" s="83">
        <f>IF(Q379&gt;0,S379*100/Q379,0)</f>
        <v>0</v>
      </c>
      <c r="U379" s="83">
        <f>IF(R379&gt;0,S379*100/R379,0)</f>
        <v>0</v>
      </c>
    </row>
    <row r="380" spans="1:21" ht="18.75" x14ac:dyDescent="0.25">
      <c r="A380" s="128"/>
      <c r="B380" s="158"/>
      <c r="C380" s="158"/>
      <c r="D380" s="158"/>
      <c r="E380" s="209" t="s">
        <v>37</v>
      </c>
      <c r="F380" s="158"/>
      <c r="G380" s="180"/>
      <c r="H380" s="134" t="s">
        <v>14</v>
      </c>
      <c r="I380" s="135"/>
      <c r="J380" s="135"/>
      <c r="K380" s="136"/>
      <c r="L380" s="1356">
        <f ca="1">IFERROR(__xludf.DUMMYFUNCTION("IMPORTRANGE(""https://docs.google.com/spreadsheets/d/1-uDff_7J0KD5mKrp0Vvzr7lt3OU09vwQwhkpOPPYv2Y/edit?usp=sharing"",""งบพรบ!IE29"")"),47700)</f>
        <v>47700</v>
      </c>
      <c r="M380" s="224">
        <f ca="1">IFERROR(__xludf.DUMMYFUNCTION("IMPORTRANGE(""https://docs.google.com/spreadsheets/d/1-uDff_7J0KD5mKrp0Vvzr7lt3OU09vwQwhkpOPPYv2Y/edit?usp=sharing"",""งบพรบ!IJ29"")"),47700)</f>
        <v>47700</v>
      </c>
      <c r="N380" s="224">
        <f ca="1">IFERROR(__xludf.DUMMYFUNCTION("IMPORTRANGE(""https://docs.google.com/spreadsheets/d/1-uDff_7J0KD5mKrp0Vvzr7lt3OU09vwQwhkpOPPYv2Y/edit?usp=sharing"",""งบพรบ!IL29"")"),0)</f>
        <v>0</v>
      </c>
      <c r="O380" s="224">
        <f ca="1">IF(L380&gt;0,N380*100/L380,0)</f>
        <v>0</v>
      </c>
      <c r="P380" s="224">
        <f ca="1">IF(M380&gt;0,N380*100/M380,0)</f>
        <v>0</v>
      </c>
      <c r="Q380" s="224">
        <f ca="1">IFERROR(__xludf.DUMMYFUNCTION("IMPORTRANGE(""https://docs.google.com/spreadsheets/d/1ItG2mGa2ceCfYo0BwxsXqNm01IGEUdYcSSLTEv9YCik/edit?usp=sharing"",""เบิกจ่ายกองทุน!BW29"")"),312500)</f>
        <v>312500</v>
      </c>
      <c r="R380" s="224">
        <f ca="1">IFERROR(__xludf.DUMMYFUNCTION("IMPORTRANGE(""https://docs.google.com/spreadsheets/d/1ItG2mGa2ceCfYo0BwxsXqNm01IGEUdYcSSLTEv9YCik/edit?usp=sharing"",""เบิกจ่ายกองทุน!BX29"")"),312500)</f>
        <v>312500</v>
      </c>
      <c r="S380" s="224">
        <f ca="1">IFERROR(__xludf.DUMMYFUNCTION("IMPORTRANGE(""https://docs.google.com/spreadsheets/d/1ItG2mGa2ceCfYo0BwxsXqNm01IGEUdYcSSLTEv9YCik/edit?usp=sharing"",""เบิกจ่ายกองทุน!BY29"")"),14640)</f>
        <v>14640</v>
      </c>
      <c r="T380" s="224">
        <f ca="1">IF(Q380&gt;0,S380*100/Q380,0)</f>
        <v>4.6848000000000001</v>
      </c>
      <c r="U380" s="224">
        <f ca="1">IF(R380&gt;0,S380*100/R380,0)</f>
        <v>4.6848000000000001</v>
      </c>
    </row>
    <row r="381" spans="1:21" ht="18.75" x14ac:dyDescent="0.25">
      <c r="A381" s="128"/>
      <c r="B381" s="158"/>
      <c r="C381" s="158"/>
      <c r="D381" s="1406" t="s">
        <v>23</v>
      </c>
      <c r="E381" s="40"/>
      <c r="F381" s="40"/>
      <c r="G381" s="42"/>
      <c r="H381" s="137" t="s">
        <v>14</v>
      </c>
      <c r="I381" s="135"/>
      <c r="J381" s="135"/>
      <c r="K381" s="136"/>
      <c r="L381" s="1356">
        <f ca="1">L382+L383</f>
        <v>0</v>
      </c>
      <c r="M381" s="224">
        <f ca="1">M382+M383</f>
        <v>0</v>
      </c>
      <c r="N381" s="224">
        <f ca="1">N382+N383</f>
        <v>0</v>
      </c>
      <c r="O381" s="224">
        <f ca="1">IF(L381&gt;0,N381*100/L381,0)</f>
        <v>0</v>
      </c>
      <c r="P381" s="224">
        <f ca="1">IF(M381&gt;0,N381*100/M381,0)</f>
        <v>0</v>
      </c>
      <c r="Q381" s="224">
        <f>Q382+Q383</f>
        <v>0</v>
      </c>
      <c r="R381" s="224">
        <f>R382+R383</f>
        <v>0</v>
      </c>
      <c r="S381" s="224">
        <f>S382+S383</f>
        <v>0</v>
      </c>
      <c r="T381" s="224">
        <f>IF(Q381&gt;0,S381*100/Q381,0)</f>
        <v>0</v>
      </c>
      <c r="U381" s="224">
        <f>IF(R381&gt;0,S381*100/R381,0)</f>
        <v>0</v>
      </c>
    </row>
    <row r="382" spans="1:21" ht="18.75" x14ac:dyDescent="0.25">
      <c r="A382" s="128"/>
      <c r="B382" s="158"/>
      <c r="C382" s="158"/>
      <c r="D382" s="158"/>
      <c r="E382" s="156" t="s">
        <v>20</v>
      </c>
      <c r="F382" s="40"/>
      <c r="G382" s="42"/>
      <c r="H382" s="159" t="s">
        <v>14</v>
      </c>
      <c r="I382" s="135"/>
      <c r="J382" s="135"/>
      <c r="K382" s="136"/>
      <c r="L382" s="1358">
        <v>0</v>
      </c>
      <c r="M382" s="83">
        <v>0</v>
      </c>
      <c r="N382" s="83">
        <v>0</v>
      </c>
      <c r="O382" s="83">
        <f>IF(L382&gt;0,N382*100/L382,0)</f>
        <v>0</v>
      </c>
      <c r="P382" s="83">
        <f>IF(M382&gt;0,N382*100/M382,0)</f>
        <v>0</v>
      </c>
      <c r="Q382" s="83">
        <v>0</v>
      </c>
      <c r="R382" s="83">
        <v>0</v>
      </c>
      <c r="S382" s="83">
        <v>0</v>
      </c>
      <c r="T382" s="83">
        <f>IF(Q382&gt;0,S382*100/Q382,0)</f>
        <v>0</v>
      </c>
      <c r="U382" s="83">
        <f>IF(R382&gt;0,S382*100/R382,0)</f>
        <v>0</v>
      </c>
    </row>
    <row r="383" spans="1:21" ht="18.75" x14ac:dyDescent="0.25">
      <c r="A383" s="128"/>
      <c r="B383" s="158"/>
      <c r="C383" s="158"/>
      <c r="D383" s="158"/>
      <c r="E383" s="47" t="s">
        <v>21</v>
      </c>
      <c r="F383" s="40"/>
      <c r="G383" s="42"/>
      <c r="H383" s="137" t="s">
        <v>14</v>
      </c>
      <c r="I383" s="135"/>
      <c r="J383" s="135"/>
      <c r="K383" s="136"/>
      <c r="L383" s="1356">
        <f ca="1">IFERROR(__xludf.DUMMYFUNCTION("IMPORTRANGE(""https://docs.google.com/spreadsheets/d/1-uDff_7J0KD5mKrp0Vvzr7lt3OU09vwQwhkpOPPYv2Y/edit?usp=sharing"",""งบพรบ!IH29"")"),0)</f>
        <v>0</v>
      </c>
      <c r="M383" s="224">
        <f ca="1">IFERROR(__xludf.DUMMYFUNCTION("IMPORTRANGE(""https://docs.google.com/spreadsheets/d/1-uDff_7J0KD5mKrp0Vvzr7lt3OU09vwQwhkpOPPYv2Y/edit?usp=sharing"",""งบพรบ!IK29"")"),0)</f>
        <v>0</v>
      </c>
      <c r="N383" s="224">
        <f ca="1">IFERROR(__xludf.DUMMYFUNCTION("IMPORTRANGE(""https://docs.google.com/spreadsheets/d/1-uDff_7J0KD5mKrp0Vvzr7lt3OU09vwQwhkpOPPYv2Y/edit?usp=sharing"",""งบพรบ!IM29"")"),0)</f>
        <v>0</v>
      </c>
      <c r="O383" s="224">
        <f ca="1">IF(L383&gt;0,N383*100/L383,0)</f>
        <v>0</v>
      </c>
      <c r="P383" s="224">
        <f ca="1">IF(M383&gt;0,N383*100/M383,0)</f>
        <v>0</v>
      </c>
      <c r="Q383" s="224">
        <v>0</v>
      </c>
      <c r="R383" s="224">
        <v>0</v>
      </c>
      <c r="S383" s="224">
        <v>0</v>
      </c>
      <c r="T383" s="224">
        <f>IF(Q383&gt;0,S383*100/Q383,0)</f>
        <v>0</v>
      </c>
      <c r="U383" s="224">
        <f>IF(R383&gt;0,S383*100/R383,0)</f>
        <v>0</v>
      </c>
    </row>
    <row r="384" spans="1:21" ht="19.5" x14ac:dyDescent="0.3">
      <c r="A384" s="138"/>
      <c r="B384" s="139"/>
      <c r="C384" s="161" t="s">
        <v>18</v>
      </c>
      <c r="D384" s="1535" t="s">
        <v>38</v>
      </c>
      <c r="E384" s="141"/>
      <c r="F384" s="141"/>
      <c r="G384" s="142"/>
      <c r="H384" s="178"/>
      <c r="I384" s="135"/>
      <c r="J384" s="44"/>
      <c r="K384" s="45"/>
      <c r="L384" s="1359"/>
      <c r="M384" s="45"/>
      <c r="N384" s="45"/>
      <c r="O384" s="136"/>
      <c r="P384" s="136"/>
      <c r="Q384" s="45"/>
      <c r="R384" s="45"/>
      <c r="S384" s="45"/>
      <c r="T384" s="136"/>
      <c r="U384" s="136"/>
    </row>
    <row r="385" spans="1:21" ht="18.75" x14ac:dyDescent="0.25">
      <c r="A385" s="208"/>
      <c r="B385" s="158"/>
      <c r="C385" s="158"/>
      <c r="D385" s="158"/>
      <c r="E385" s="47" t="s">
        <v>154</v>
      </c>
      <c r="F385" s="40"/>
      <c r="G385" s="42"/>
      <c r="H385" s="133" t="s">
        <v>34</v>
      </c>
      <c r="I385" s="184">
        <v>0</v>
      </c>
      <c r="J385" s="184">
        <f ca="1">IFERROR(__xludf.DUMMYFUNCTION("IMPORTRANGE(""https://docs.google.com/spreadsheets/d/1w5rwWK1o49a35cNtocGL0gxDwhFSTZUQu90BiH9_zqM/edit?usp=sharing"",""RTK!H29"")"),0)</f>
        <v>0</v>
      </c>
      <c r="K385" s="224">
        <f>IF(I385&gt;0,J385*100/I385,0)</f>
        <v>0</v>
      </c>
      <c r="L385" s="1359"/>
      <c r="M385" s="45"/>
      <c r="N385" s="45"/>
      <c r="O385" s="45"/>
      <c r="P385" s="45"/>
      <c r="Q385" s="45"/>
      <c r="R385" s="45"/>
      <c r="S385" s="45"/>
      <c r="T385" s="45"/>
      <c r="U385" s="45"/>
    </row>
    <row r="386" spans="1:21" ht="18.75" x14ac:dyDescent="0.25">
      <c r="A386" s="158"/>
      <c r="B386" s="158"/>
      <c r="C386" s="158"/>
      <c r="D386" s="158"/>
      <c r="E386" s="158"/>
      <c r="F386" s="158"/>
      <c r="G386" s="180"/>
      <c r="H386" s="133" t="s">
        <v>46</v>
      </c>
      <c r="I386" s="184">
        <f ca="1">IFERROR(__xludf.DUMMYFUNCTION("IMPORTRANGE(""https://docs.google.com/spreadsheets/d/1w5rwWK1o49a35cNtocGL0gxDwhFSTZUQu90BiH9_zqM/edit?usp=sharing"",""RTK!G29"")"),5000)</f>
        <v>5000</v>
      </c>
      <c r="J386" s="184">
        <f ca="1">IFERROR(__xludf.DUMMYFUNCTION("IMPORTRANGE(""https://docs.google.com/spreadsheets/d/1w5rwWK1o49a35cNtocGL0gxDwhFSTZUQu90BiH9_zqM/edit?usp=sharing"",""RTK!I29"")"),0)</f>
        <v>0</v>
      </c>
      <c r="K386" s="224">
        <f ca="1">IF(I386&gt;0,J386*100/I386,0)</f>
        <v>0</v>
      </c>
      <c r="L386" s="1359"/>
      <c r="M386" s="45"/>
      <c r="N386" s="45"/>
      <c r="O386" s="45"/>
      <c r="P386" s="45"/>
      <c r="Q386" s="45"/>
      <c r="R386" s="45"/>
      <c r="S386" s="45"/>
      <c r="T386" s="45"/>
      <c r="U386" s="45"/>
    </row>
    <row r="387" spans="1:21" ht="18.75" x14ac:dyDescent="0.25">
      <c r="A387" s="1608"/>
      <c r="B387" s="1608"/>
      <c r="C387" s="1608"/>
      <c r="D387" s="1608"/>
      <c r="E387" s="1609" t="s">
        <v>155</v>
      </c>
      <c r="F387" s="1608"/>
      <c r="G387" s="1601"/>
      <c r="H387" s="1474" t="s">
        <v>34</v>
      </c>
      <c r="I387" s="1598">
        <v>0</v>
      </c>
      <c r="J387" s="1598">
        <f ca="1">IFERROR(__xludf.DUMMYFUNCTION("IMPORTRANGE(""https://docs.google.com/spreadsheets/d/1w5rwWK1o49a35cNtocGL0gxDwhFSTZUQu90BiH9_zqM/edit?usp=sharing"",""RTK!L29"")"),0)</f>
        <v>0</v>
      </c>
      <c r="K387" s="1476">
        <f>IF(I387&gt;0,J387*100/I387,0)</f>
        <v>0</v>
      </c>
      <c r="L387" s="1600"/>
      <c r="M387" s="1465"/>
      <c r="N387" s="1465"/>
      <c r="O387" s="1465"/>
      <c r="P387" s="1465"/>
      <c r="Q387" s="1465"/>
      <c r="R387" s="1465"/>
      <c r="S387" s="1465"/>
      <c r="T387" s="1465"/>
      <c r="U387" s="1465"/>
    </row>
    <row r="388" spans="1:21" ht="18.75" x14ac:dyDescent="0.25">
      <c r="A388" s="1608"/>
      <c r="B388" s="1608"/>
      <c r="C388" s="1608"/>
      <c r="D388" s="1608"/>
      <c r="E388" s="1608"/>
      <c r="F388" s="1608"/>
      <c r="G388" s="1601"/>
      <c r="H388" s="1474" t="s">
        <v>46</v>
      </c>
      <c r="I388" s="1598">
        <f ca="1">IFERROR(__xludf.DUMMYFUNCTION("IMPORTRANGE(""https://docs.google.com/spreadsheets/d/1w5rwWK1o49a35cNtocGL0gxDwhFSTZUQu90BiH9_zqM/edit?usp=sharing"",""RTK!K29"")"),0)</f>
        <v>0</v>
      </c>
      <c r="J388" s="1598">
        <f ca="1">IFERROR(__xludf.DUMMYFUNCTION("IMPORTRANGE(""https://docs.google.com/spreadsheets/d/1w5rwWK1o49a35cNtocGL0gxDwhFSTZUQu90BiH9_zqM/edit?usp=sharing"",""RTK!M29"")"),0)</f>
        <v>0</v>
      </c>
      <c r="K388" s="1476">
        <f ca="1">IF(I388&gt;0,J388*100/I388,0)</f>
        <v>0</v>
      </c>
      <c r="L388" s="1600"/>
      <c r="M388" s="1465"/>
      <c r="N388" s="1465"/>
      <c r="O388" s="1465"/>
      <c r="P388" s="1465"/>
      <c r="Q388" s="1465"/>
      <c r="R388" s="1465"/>
      <c r="S388" s="1465"/>
      <c r="T388" s="1465"/>
      <c r="U388" s="1465"/>
    </row>
    <row r="389" spans="1:21" ht="12.75" x14ac:dyDescent="0.2">
      <c r="A389" s="228"/>
      <c r="B389" s="228"/>
      <c r="C389" s="228"/>
      <c r="D389" s="228"/>
      <c r="E389" s="228"/>
      <c r="F389" s="228"/>
      <c r="G389" s="231"/>
      <c r="H389" s="231"/>
      <c r="I389" s="232"/>
      <c r="J389" s="232"/>
      <c r="K389" s="233"/>
      <c r="L389" s="1536"/>
      <c r="M389" s="233"/>
      <c r="N389" s="233"/>
      <c r="O389" s="233"/>
      <c r="P389" s="233"/>
      <c r="Q389" s="233"/>
      <c r="R389" s="233"/>
      <c r="S389" s="233"/>
      <c r="T389" s="233"/>
      <c r="U389" s="233"/>
    </row>
    <row r="390" spans="1:21" ht="12.75" x14ac:dyDescent="0.2">
      <c r="A390" s="316"/>
      <c r="B390" s="316"/>
      <c r="C390" s="316"/>
      <c r="D390" s="316"/>
      <c r="E390" s="316"/>
      <c r="F390" s="316"/>
      <c r="G390" s="317"/>
      <c r="H390" s="317"/>
      <c r="I390" s="318"/>
      <c r="J390" s="318"/>
      <c r="K390" s="319"/>
      <c r="L390" s="1537"/>
      <c r="M390" s="319"/>
      <c r="N390" s="319"/>
      <c r="O390" s="319"/>
      <c r="P390" s="319"/>
      <c r="Q390" s="319"/>
      <c r="R390" s="319"/>
      <c r="S390" s="319"/>
      <c r="T390" s="319"/>
      <c r="U390" s="319"/>
    </row>
    <row r="391" spans="1:21" ht="19.5" x14ac:dyDescent="0.3">
      <c r="A391" s="299"/>
      <c r="B391" s="310" t="s">
        <v>156</v>
      </c>
      <c r="C391" s="300"/>
      <c r="D391" s="301"/>
      <c r="E391" s="293"/>
      <c r="F391" s="293"/>
      <c r="G391" s="294"/>
      <c r="H391" s="311" t="s">
        <v>61</v>
      </c>
      <c r="I391" s="307">
        <f>I402</f>
        <v>0</v>
      </c>
      <c r="J391" s="307">
        <f>J402</f>
        <v>0</v>
      </c>
      <c r="K391" s="1502">
        <f>IF(I391&gt;0,J391*100/I391,0)</f>
        <v>0</v>
      </c>
      <c r="L391" s="1503"/>
      <c r="M391" s="298"/>
      <c r="N391" s="298"/>
      <c r="O391" s="298"/>
      <c r="P391" s="298"/>
      <c r="Q391" s="298"/>
      <c r="R391" s="298"/>
      <c r="S391" s="298"/>
      <c r="T391" s="298"/>
      <c r="U391" s="298"/>
    </row>
    <row r="392" spans="1:21" ht="19.5" x14ac:dyDescent="0.3">
      <c r="A392" s="128"/>
      <c r="B392" s="158"/>
      <c r="C392" s="161" t="s">
        <v>18</v>
      </c>
      <c r="D392" s="1534" t="s">
        <v>19</v>
      </c>
      <c r="E392" s="40"/>
      <c r="F392" s="40"/>
      <c r="G392" s="42"/>
      <c r="H392" s="131" t="s">
        <v>14</v>
      </c>
      <c r="I392" s="44"/>
      <c r="J392" s="44"/>
      <c r="K392" s="45"/>
      <c r="L392" s="1389">
        <f>L393+L394</f>
        <v>0</v>
      </c>
      <c r="M392" s="1390">
        <f>M393+M394</f>
        <v>0</v>
      </c>
      <c r="N392" s="1390">
        <f>N393+N394</f>
        <v>0</v>
      </c>
      <c r="O392" s="1390">
        <f>IF(L392&gt;0,N392*100/L392,0)</f>
        <v>0</v>
      </c>
      <c r="P392" s="1390">
        <f>IF(M392&gt;0,N392*100/M392,0)</f>
        <v>0</v>
      </c>
      <c r="Q392" s="1390">
        <f ca="1">Q393+Q394</f>
        <v>0</v>
      </c>
      <c r="R392" s="1390">
        <f ca="1">R393+R394</f>
        <v>0</v>
      </c>
      <c r="S392" s="1390">
        <f ca="1">S393+S394</f>
        <v>0</v>
      </c>
      <c r="T392" s="1390">
        <f ca="1">IF(Q392&gt;0,S392*100/Q392,0)</f>
        <v>0</v>
      </c>
      <c r="U392" s="1390">
        <f ca="1">IF(R392&gt;0,S392*100/R392,0)</f>
        <v>0</v>
      </c>
    </row>
    <row r="393" spans="1:21" ht="18.75" x14ac:dyDescent="0.25">
      <c r="A393" s="128"/>
      <c r="B393" s="158"/>
      <c r="C393" s="158"/>
      <c r="D393" s="158"/>
      <c r="E393" s="156" t="s">
        <v>20</v>
      </c>
      <c r="F393" s="40"/>
      <c r="G393" s="42"/>
      <c r="H393" s="157" t="s">
        <v>14</v>
      </c>
      <c r="I393" s="44"/>
      <c r="J393" s="44"/>
      <c r="K393" s="45"/>
      <c r="L393" s="1358">
        <f>L396+L399</f>
        <v>0</v>
      </c>
      <c r="M393" s="83">
        <f>M396+M399</f>
        <v>0</v>
      </c>
      <c r="N393" s="83">
        <f>N396+N399</f>
        <v>0</v>
      </c>
      <c r="O393" s="83">
        <f>IF(L393&gt;0,N393*100/L393,0)</f>
        <v>0</v>
      </c>
      <c r="P393" s="83">
        <f>IF(M393&gt;0,N393*100/M393,0)</f>
        <v>0</v>
      </c>
      <c r="Q393" s="83">
        <f>Q396+Q399</f>
        <v>0</v>
      </c>
      <c r="R393" s="83">
        <f>R396+R399</f>
        <v>0</v>
      </c>
      <c r="S393" s="83">
        <f>S396+S399</f>
        <v>0</v>
      </c>
      <c r="T393" s="83">
        <f>IF(Q393&gt;0,S393*100/Q393,0)</f>
        <v>0</v>
      </c>
      <c r="U393" s="83">
        <f>IF(R393&gt;0,S393*100/R393,0)</f>
        <v>0</v>
      </c>
    </row>
    <row r="394" spans="1:21" ht="18.75" x14ac:dyDescent="0.25">
      <c r="A394" s="128"/>
      <c r="B394" s="158"/>
      <c r="C394" s="158"/>
      <c r="D394" s="158"/>
      <c r="E394" s="47" t="s">
        <v>21</v>
      </c>
      <c r="F394" s="40"/>
      <c r="G394" s="42"/>
      <c r="H394" s="133" t="s">
        <v>14</v>
      </c>
      <c r="I394" s="44"/>
      <c r="J394" s="44"/>
      <c r="K394" s="45"/>
      <c r="L394" s="1356">
        <f>L397+L400</f>
        <v>0</v>
      </c>
      <c r="M394" s="224">
        <f>M397+M400</f>
        <v>0</v>
      </c>
      <c r="N394" s="224">
        <f>N397+N400</f>
        <v>0</v>
      </c>
      <c r="O394" s="224">
        <f>IF(L394&gt;0,N394*100/L394,0)</f>
        <v>0</v>
      </c>
      <c r="P394" s="224">
        <f>IF(M394&gt;0,N394*100/M394,0)</f>
        <v>0</v>
      </c>
      <c r="Q394" s="224">
        <f ca="1">Q397+Q400</f>
        <v>0</v>
      </c>
      <c r="R394" s="224">
        <f ca="1">R397+R400</f>
        <v>0</v>
      </c>
      <c r="S394" s="224">
        <f ca="1">S397+S400</f>
        <v>0</v>
      </c>
      <c r="T394" s="224">
        <f ca="1">IF(Q394&gt;0,S394*100/Q394,0)</f>
        <v>0</v>
      </c>
      <c r="U394" s="224">
        <f ca="1">IF(R394&gt;0,S394*100/R394,0)</f>
        <v>0</v>
      </c>
    </row>
    <row r="395" spans="1:21" ht="18.75" x14ac:dyDescent="0.25">
      <c r="A395" s="128"/>
      <c r="B395" s="158"/>
      <c r="C395" s="158"/>
      <c r="D395" s="1406" t="s">
        <v>22</v>
      </c>
      <c r="E395" s="40"/>
      <c r="F395" s="40"/>
      <c r="G395" s="42"/>
      <c r="H395" s="134" t="s">
        <v>14</v>
      </c>
      <c r="I395" s="135"/>
      <c r="J395" s="135"/>
      <c r="K395" s="136"/>
      <c r="L395" s="1356">
        <f>L396+L397</f>
        <v>0</v>
      </c>
      <c r="M395" s="224">
        <f>M396+M397</f>
        <v>0</v>
      </c>
      <c r="N395" s="224">
        <f>N396+N397</f>
        <v>0</v>
      </c>
      <c r="O395" s="224">
        <f>IF(L395&gt;0,N395*100/L395,0)</f>
        <v>0</v>
      </c>
      <c r="P395" s="224">
        <f>IF(M395&gt;0,N395*100/M395,0)</f>
        <v>0</v>
      </c>
      <c r="Q395" s="224">
        <f ca="1">Q396+Q397</f>
        <v>0</v>
      </c>
      <c r="R395" s="224">
        <f ca="1">R396+R397</f>
        <v>0</v>
      </c>
      <c r="S395" s="224">
        <f ca="1">S396+S397</f>
        <v>0</v>
      </c>
      <c r="T395" s="224">
        <f ca="1">IF(Q395&gt;0,S395*100/Q395,0)</f>
        <v>0</v>
      </c>
      <c r="U395" s="224">
        <f ca="1">IF(R395&gt;0,S395*100/R395,0)</f>
        <v>0</v>
      </c>
    </row>
    <row r="396" spans="1:21" ht="18.75" x14ac:dyDescent="0.25">
      <c r="A396" s="128"/>
      <c r="B396" s="158"/>
      <c r="C396" s="158"/>
      <c r="D396" s="158"/>
      <c r="E396" s="156" t="s">
        <v>36</v>
      </c>
      <c r="F396" s="40"/>
      <c r="G396" s="42"/>
      <c r="H396" s="159" t="s">
        <v>14</v>
      </c>
      <c r="I396" s="135"/>
      <c r="J396" s="135"/>
      <c r="K396" s="136"/>
      <c r="L396" s="1358">
        <v>0</v>
      </c>
      <c r="M396" s="83">
        <v>0</v>
      </c>
      <c r="N396" s="83">
        <v>0</v>
      </c>
      <c r="O396" s="83">
        <f>IF(L396&gt;0,N396*100/L396,0)</f>
        <v>0</v>
      </c>
      <c r="P396" s="83">
        <f>IF(M396&gt;0,N396*100/M396,0)</f>
        <v>0</v>
      </c>
      <c r="Q396" s="83">
        <v>0</v>
      </c>
      <c r="R396" s="83">
        <v>0</v>
      </c>
      <c r="S396" s="83">
        <v>0</v>
      </c>
      <c r="T396" s="83">
        <f>IF(Q396&gt;0,S396*100/Q396,0)</f>
        <v>0</v>
      </c>
      <c r="U396" s="83">
        <f>IF(R396&gt;0,S396*100/R396,0)</f>
        <v>0</v>
      </c>
    </row>
    <row r="397" spans="1:21" ht="18.75" x14ac:dyDescent="0.25">
      <c r="A397" s="128"/>
      <c r="B397" s="158"/>
      <c r="C397" s="158"/>
      <c r="D397" s="158"/>
      <c r="E397" s="209" t="s">
        <v>37</v>
      </c>
      <c r="F397" s="158"/>
      <c r="G397" s="180"/>
      <c r="H397" s="134" t="s">
        <v>14</v>
      </c>
      <c r="I397" s="135"/>
      <c r="J397" s="135"/>
      <c r="K397" s="136"/>
      <c r="L397" s="1356">
        <v>0</v>
      </c>
      <c r="M397" s="224">
        <v>0</v>
      </c>
      <c r="N397" s="224">
        <v>0</v>
      </c>
      <c r="O397" s="224">
        <f>IF(L397&gt;0,N397*100/L397,0)</f>
        <v>0</v>
      </c>
      <c r="P397" s="224">
        <f>IF(M397&gt;0,N397*100/M397,0)</f>
        <v>0</v>
      </c>
      <c r="Q397" s="224">
        <f ca="1">IFERROR(__xludf.DUMMYFUNCTION("IMPORTRANGE(""https://docs.google.com/spreadsheets/d/1ItG2mGa2ceCfYo0BwxsXqNm01IGEUdYcSSLTEv9YCik/edit?usp=sharing"",""เบิกจ่ายกองทุน!CL29"")"),0)</f>
        <v>0</v>
      </c>
      <c r="R397" s="224">
        <f ca="1">IFERROR(__xludf.DUMMYFUNCTION("IMPORTRANGE(""https://docs.google.com/spreadsheets/d/1ItG2mGa2ceCfYo0BwxsXqNm01IGEUdYcSSLTEv9YCik/edit?usp=sharing"",""เบิกจ่ายกองทุน!CM29"")"),0)</f>
        <v>0</v>
      </c>
      <c r="S397" s="224">
        <f ca="1">IFERROR(__xludf.DUMMYFUNCTION("IMPORTRANGE(""https://docs.google.com/spreadsheets/d/1ItG2mGa2ceCfYo0BwxsXqNm01IGEUdYcSSLTEv9YCik/edit?usp=sharing"",""เบิกจ่ายกองทุน!CN29"")"),0)</f>
        <v>0</v>
      </c>
      <c r="T397" s="224">
        <f ca="1">IF(Q397&gt;0,S397*100/Q397,0)</f>
        <v>0</v>
      </c>
      <c r="U397" s="224">
        <f ca="1">IF(R397&gt;0,S397*100/R397,0)</f>
        <v>0</v>
      </c>
    </row>
    <row r="398" spans="1:21" ht="18.75" x14ac:dyDescent="0.25">
      <c r="A398" s="128"/>
      <c r="B398" s="158"/>
      <c r="C398" s="158"/>
      <c r="D398" s="1406" t="s">
        <v>23</v>
      </c>
      <c r="E398" s="40"/>
      <c r="F398" s="40"/>
      <c r="G398" s="42"/>
      <c r="H398" s="137" t="s">
        <v>14</v>
      </c>
      <c r="I398" s="135"/>
      <c r="J398" s="135"/>
      <c r="K398" s="136"/>
      <c r="L398" s="1356">
        <f>L399+L400</f>
        <v>0</v>
      </c>
      <c r="M398" s="224">
        <f>M399+M400</f>
        <v>0</v>
      </c>
      <c r="N398" s="224">
        <f>N399+N400</f>
        <v>0</v>
      </c>
      <c r="O398" s="224">
        <f>IF(L398&gt;0,N398*100/L398,0)</f>
        <v>0</v>
      </c>
      <c r="P398" s="224">
        <f>IF(M398&gt;0,N398*100/M398,0)</f>
        <v>0</v>
      </c>
      <c r="Q398" s="224">
        <f>Q399+Q400</f>
        <v>0</v>
      </c>
      <c r="R398" s="224">
        <f>R399+R400</f>
        <v>0</v>
      </c>
      <c r="S398" s="224">
        <f>S399+S400</f>
        <v>0</v>
      </c>
      <c r="T398" s="224">
        <f>IF(Q398&gt;0,S398*100/Q398,0)</f>
        <v>0</v>
      </c>
      <c r="U398" s="224">
        <f>IF(R398&gt;0,S398*100/R398,0)</f>
        <v>0</v>
      </c>
    </row>
    <row r="399" spans="1:21" ht="18.75" x14ac:dyDescent="0.25">
      <c r="A399" s="128"/>
      <c r="B399" s="158"/>
      <c r="C399" s="158"/>
      <c r="D399" s="158"/>
      <c r="E399" s="156" t="s">
        <v>20</v>
      </c>
      <c r="F399" s="40"/>
      <c r="G399" s="42"/>
      <c r="H399" s="159" t="s">
        <v>14</v>
      </c>
      <c r="I399" s="135"/>
      <c r="J399" s="135"/>
      <c r="K399" s="136"/>
      <c r="L399" s="1358">
        <v>0</v>
      </c>
      <c r="M399" s="83">
        <v>0</v>
      </c>
      <c r="N399" s="83">
        <v>0</v>
      </c>
      <c r="O399" s="83">
        <f>IF(L399&gt;0,N399*100/L399,0)</f>
        <v>0</v>
      </c>
      <c r="P399" s="83">
        <f>IF(M399&gt;0,N399*100/M399,0)</f>
        <v>0</v>
      </c>
      <c r="Q399" s="83">
        <v>0</v>
      </c>
      <c r="R399" s="83">
        <v>0</v>
      </c>
      <c r="S399" s="83">
        <v>0</v>
      </c>
      <c r="T399" s="83">
        <f>IF(Q399&gt;0,S399*100/Q399,0)</f>
        <v>0</v>
      </c>
      <c r="U399" s="83">
        <f>IF(R399&gt;0,S399*100/R399,0)</f>
        <v>0</v>
      </c>
    </row>
    <row r="400" spans="1:21" ht="18.75" x14ac:dyDescent="0.25">
      <c r="A400" s="128"/>
      <c r="B400" s="158"/>
      <c r="C400" s="158"/>
      <c r="D400" s="158"/>
      <c r="E400" s="47" t="s">
        <v>21</v>
      </c>
      <c r="F400" s="40"/>
      <c r="G400" s="42"/>
      <c r="H400" s="137" t="s">
        <v>14</v>
      </c>
      <c r="I400" s="135"/>
      <c r="J400" s="135"/>
      <c r="K400" s="136"/>
      <c r="L400" s="1356">
        <v>0</v>
      </c>
      <c r="M400" s="224">
        <v>0</v>
      </c>
      <c r="N400" s="224">
        <v>0</v>
      </c>
      <c r="O400" s="224">
        <f>IF(L400&gt;0,N400*100/L400,0)</f>
        <v>0</v>
      </c>
      <c r="P400" s="224">
        <f>IF(M400&gt;0,N400*100/M400,0)</f>
        <v>0</v>
      </c>
      <c r="Q400" s="224">
        <v>0</v>
      </c>
      <c r="R400" s="224">
        <v>0</v>
      </c>
      <c r="S400" s="224">
        <v>0</v>
      </c>
      <c r="T400" s="224">
        <f>IF(Q400&gt;0,S400*100/Q400,0)</f>
        <v>0</v>
      </c>
      <c r="U400" s="224">
        <f>IF(R400&gt;0,S400*100/R400,0)</f>
        <v>0</v>
      </c>
    </row>
    <row r="401" spans="1:21" ht="19.5" x14ac:dyDescent="0.3">
      <c r="A401" s="138"/>
      <c r="B401" s="139"/>
      <c r="C401" s="161" t="s">
        <v>18</v>
      </c>
      <c r="D401" s="1535" t="s">
        <v>38</v>
      </c>
      <c r="E401" s="141"/>
      <c r="F401" s="141"/>
      <c r="G401" s="142"/>
      <c r="H401" s="178"/>
      <c r="I401" s="135"/>
      <c r="J401" s="44"/>
      <c r="K401" s="45"/>
      <c r="L401" s="1359"/>
      <c r="M401" s="45"/>
      <c r="N401" s="45"/>
      <c r="O401" s="136"/>
      <c r="P401" s="136"/>
      <c r="Q401" s="45"/>
      <c r="R401" s="45"/>
      <c r="S401" s="45"/>
      <c r="T401" s="136"/>
      <c r="U401" s="136"/>
    </row>
    <row r="402" spans="1:21" ht="12.75" x14ac:dyDescent="0.2">
      <c r="A402" s="227"/>
      <c r="B402" s="228"/>
      <c r="C402" s="228"/>
      <c r="D402" s="228"/>
      <c r="E402" s="229"/>
      <c r="F402" s="229"/>
      <c r="G402" s="230"/>
      <c r="H402" s="231"/>
      <c r="I402" s="232"/>
      <c r="J402" s="232"/>
      <c r="K402" s="233"/>
      <c r="L402" s="1536"/>
      <c r="M402" s="233"/>
      <c r="N402" s="233"/>
      <c r="O402" s="233"/>
      <c r="P402" s="233"/>
      <c r="Q402" s="233"/>
      <c r="R402" s="233"/>
      <c r="S402" s="233"/>
      <c r="T402" s="233"/>
      <c r="U402" s="233"/>
    </row>
    <row r="403" spans="1:21" ht="12.75" x14ac:dyDescent="0.2">
      <c r="A403" s="228"/>
      <c r="B403" s="228"/>
      <c r="C403" s="228"/>
      <c r="D403" s="228"/>
      <c r="E403" s="228"/>
      <c r="F403" s="228"/>
      <c r="G403" s="231"/>
      <c r="H403" s="231"/>
      <c r="I403" s="232"/>
      <c r="J403" s="232"/>
      <c r="K403" s="233"/>
      <c r="L403" s="1536"/>
      <c r="M403" s="233"/>
      <c r="N403" s="233"/>
      <c r="O403" s="233"/>
      <c r="P403" s="233"/>
      <c r="Q403" s="233"/>
      <c r="R403" s="233"/>
      <c r="S403" s="233"/>
      <c r="T403" s="233"/>
      <c r="U403" s="233"/>
    </row>
    <row r="404" spans="1:21" ht="12.75" x14ac:dyDescent="0.2">
      <c r="A404" s="228"/>
      <c r="B404" s="228"/>
      <c r="C404" s="228"/>
      <c r="D404" s="228"/>
      <c r="E404" s="228"/>
      <c r="F404" s="228"/>
      <c r="G404" s="231"/>
      <c r="H404" s="231"/>
      <c r="I404" s="232"/>
      <c r="J404" s="232"/>
      <c r="K404" s="233"/>
      <c r="L404" s="1536"/>
      <c r="M404" s="233"/>
      <c r="N404" s="233"/>
      <c r="O404" s="233"/>
      <c r="P404" s="233"/>
      <c r="Q404" s="233"/>
      <c r="R404" s="233"/>
      <c r="S404" s="233"/>
      <c r="T404" s="233"/>
      <c r="U404" s="233"/>
    </row>
    <row r="405" spans="1:21" ht="12.75" x14ac:dyDescent="0.2">
      <c r="A405" s="228"/>
      <c r="B405" s="228"/>
      <c r="C405" s="228"/>
      <c r="D405" s="228"/>
      <c r="E405" s="228"/>
      <c r="F405" s="228"/>
      <c r="G405" s="231"/>
      <c r="H405" s="231"/>
      <c r="I405" s="232"/>
      <c r="J405" s="232"/>
      <c r="K405" s="233"/>
      <c r="L405" s="1536"/>
      <c r="M405" s="233"/>
      <c r="N405" s="233"/>
      <c r="O405" s="233"/>
      <c r="P405" s="233"/>
      <c r="Q405" s="233"/>
      <c r="R405" s="233"/>
      <c r="S405" s="233"/>
      <c r="T405" s="233"/>
      <c r="U405" s="233"/>
    </row>
    <row r="406" spans="1:21" ht="12.75" x14ac:dyDescent="0.2">
      <c r="A406" s="228"/>
      <c r="B406" s="228"/>
      <c r="C406" s="228"/>
      <c r="D406" s="228"/>
      <c r="E406" s="228"/>
      <c r="F406" s="228"/>
      <c r="G406" s="231"/>
      <c r="H406" s="231"/>
      <c r="I406" s="232"/>
      <c r="J406" s="232"/>
      <c r="K406" s="233"/>
      <c r="L406" s="1536"/>
      <c r="M406" s="233"/>
      <c r="N406" s="233"/>
      <c r="O406" s="233"/>
      <c r="P406" s="233"/>
      <c r="Q406" s="233"/>
      <c r="R406" s="233"/>
      <c r="S406" s="233"/>
      <c r="T406" s="233"/>
      <c r="U406" s="233"/>
    </row>
    <row r="407" spans="1:21" ht="12.75" x14ac:dyDescent="0.2">
      <c r="A407" s="228"/>
      <c r="B407" s="228"/>
      <c r="C407" s="228"/>
      <c r="D407" s="228"/>
      <c r="E407" s="228"/>
      <c r="F407" s="228"/>
      <c r="G407" s="231"/>
      <c r="H407" s="231"/>
      <c r="I407" s="232"/>
      <c r="J407" s="232"/>
      <c r="K407" s="233"/>
      <c r="L407" s="1536"/>
      <c r="M407" s="233"/>
      <c r="N407" s="233"/>
      <c r="O407" s="233"/>
      <c r="P407" s="233"/>
      <c r="Q407" s="233"/>
      <c r="R407" s="233"/>
      <c r="S407" s="233"/>
      <c r="T407" s="233"/>
      <c r="U407" s="233"/>
    </row>
    <row r="408" spans="1:21" ht="12.75" x14ac:dyDescent="0.2">
      <c r="A408" s="228"/>
      <c r="B408" s="228"/>
      <c r="C408" s="228"/>
      <c r="D408" s="228"/>
      <c r="E408" s="228"/>
      <c r="F408" s="228"/>
      <c r="G408" s="231"/>
      <c r="H408" s="231"/>
      <c r="I408" s="232"/>
      <c r="J408" s="232"/>
      <c r="K408" s="233"/>
      <c r="L408" s="1536"/>
      <c r="M408" s="233"/>
      <c r="N408" s="233"/>
      <c r="O408" s="233"/>
      <c r="P408" s="233"/>
      <c r="Q408" s="233"/>
      <c r="R408" s="233"/>
      <c r="S408" s="233"/>
      <c r="T408" s="233"/>
      <c r="U408" s="233"/>
    </row>
    <row r="409" spans="1:21" ht="12.75" x14ac:dyDescent="0.2">
      <c r="A409" s="228"/>
      <c r="B409" s="228"/>
      <c r="C409" s="228"/>
      <c r="D409" s="228"/>
      <c r="E409" s="228"/>
      <c r="F409" s="228"/>
      <c r="G409" s="231"/>
      <c r="H409" s="231"/>
      <c r="I409" s="232"/>
      <c r="J409" s="232"/>
      <c r="K409" s="233"/>
      <c r="L409" s="1536"/>
      <c r="M409" s="233"/>
      <c r="N409" s="233"/>
      <c r="O409" s="233"/>
      <c r="P409" s="233"/>
      <c r="Q409" s="233"/>
      <c r="R409" s="233"/>
      <c r="S409" s="233"/>
      <c r="T409" s="233"/>
      <c r="U409" s="233"/>
    </row>
    <row r="410" spans="1:21" ht="12.75" x14ac:dyDescent="0.2">
      <c r="A410" s="228"/>
      <c r="B410" s="228"/>
      <c r="C410" s="228"/>
      <c r="D410" s="228"/>
      <c r="E410" s="228"/>
      <c r="F410" s="228"/>
      <c r="G410" s="231"/>
      <c r="H410" s="231"/>
      <c r="I410" s="232"/>
      <c r="J410" s="232"/>
      <c r="K410" s="233"/>
      <c r="L410" s="1536"/>
      <c r="M410" s="233"/>
      <c r="N410" s="233"/>
      <c r="O410" s="233"/>
      <c r="P410" s="233"/>
      <c r="Q410" s="233"/>
      <c r="R410" s="233"/>
      <c r="S410" s="233"/>
      <c r="T410" s="233"/>
      <c r="U410" s="233"/>
    </row>
    <row r="411" spans="1:21" ht="12.75" x14ac:dyDescent="0.2">
      <c r="A411" s="316"/>
      <c r="B411" s="316"/>
      <c r="C411" s="316"/>
      <c r="D411" s="316"/>
      <c r="E411" s="316"/>
      <c r="F411" s="316"/>
      <c r="G411" s="317"/>
      <c r="H411" s="317"/>
      <c r="I411" s="318"/>
      <c r="J411" s="318"/>
      <c r="K411" s="319"/>
      <c r="L411" s="1537"/>
      <c r="M411" s="319"/>
      <c r="N411" s="319"/>
      <c r="O411" s="319"/>
      <c r="P411" s="319"/>
      <c r="Q411" s="319"/>
      <c r="R411" s="319"/>
      <c r="S411" s="319"/>
      <c r="T411" s="319"/>
      <c r="U411" s="319"/>
    </row>
    <row r="412" spans="1:21" ht="19.5" x14ac:dyDescent="0.3">
      <c r="A412" s="301"/>
      <c r="B412" s="310" t="s">
        <v>157</v>
      </c>
      <c r="C412" s="301"/>
      <c r="D412" s="301"/>
      <c r="E412" s="301"/>
      <c r="F412" s="301"/>
      <c r="G412" s="320"/>
      <c r="H412" s="321" t="s">
        <v>46</v>
      </c>
      <c r="I412" s="1501">
        <f ca="1">I423</f>
        <v>0</v>
      </c>
      <c r="J412" s="1501">
        <f>J423</f>
        <v>0</v>
      </c>
      <c r="K412" s="1502">
        <f ca="1">IF(I412&gt;0,J412*100/I412,0)</f>
        <v>0</v>
      </c>
      <c r="L412" s="1503"/>
      <c r="M412" s="298"/>
      <c r="N412" s="298"/>
      <c r="O412" s="298"/>
      <c r="P412" s="298"/>
      <c r="Q412" s="298"/>
      <c r="R412" s="298"/>
      <c r="S412" s="298"/>
      <c r="T412" s="298"/>
      <c r="U412" s="298"/>
    </row>
    <row r="413" spans="1:21" ht="19.5" x14ac:dyDescent="0.3">
      <c r="A413" s="128"/>
      <c r="B413" s="158"/>
      <c r="C413" s="322" t="s">
        <v>18</v>
      </c>
      <c r="D413" s="1538" t="s">
        <v>19</v>
      </c>
      <c r="E413" s="1292"/>
      <c r="F413" s="1292"/>
      <c r="G413" s="1293"/>
      <c r="H413" s="323" t="s">
        <v>14</v>
      </c>
      <c r="I413" s="44"/>
      <c r="J413" s="44"/>
      <c r="K413" s="45"/>
      <c r="L413" s="1389">
        <f ca="1">L414+L415</f>
        <v>20710</v>
      </c>
      <c r="M413" s="1390">
        <f ca="1">M414+M415</f>
        <v>0</v>
      </c>
      <c r="N413" s="1390">
        <f ca="1">N414+N415</f>
        <v>0</v>
      </c>
      <c r="O413" s="1390">
        <f ca="1">IF(L413&gt;0,N413*100/L413,0)</f>
        <v>0</v>
      </c>
      <c r="P413" s="1390">
        <f ca="1">IF(M413&gt;0,N413*100/M413,0)</f>
        <v>0</v>
      </c>
      <c r="Q413" s="1390">
        <f ca="1">Q414+Q415</f>
        <v>19350</v>
      </c>
      <c r="R413" s="1390">
        <f ca="1">R414+R415</f>
        <v>19350</v>
      </c>
      <c r="S413" s="1390">
        <f ca="1">S414+S415</f>
        <v>0</v>
      </c>
      <c r="T413" s="1390">
        <f ca="1">IF(Q413&gt;0,S413*100/Q413,0)</f>
        <v>0</v>
      </c>
      <c r="U413" s="1390">
        <f ca="1">IF(R413&gt;0,S413*100/R413,0)</f>
        <v>0</v>
      </c>
    </row>
    <row r="414" spans="1:21" ht="18.75" x14ac:dyDescent="0.25">
      <c r="A414" s="128"/>
      <c r="B414" s="158"/>
      <c r="C414" s="158"/>
      <c r="D414" s="158"/>
      <c r="E414" s="314" t="s">
        <v>158</v>
      </c>
      <c r="F414" s="158"/>
      <c r="G414" s="180"/>
      <c r="H414" s="176" t="s">
        <v>14</v>
      </c>
      <c r="I414" s="44"/>
      <c r="J414" s="44"/>
      <c r="K414" s="45"/>
      <c r="L414" s="1358">
        <f>L417+L420</f>
        <v>0</v>
      </c>
      <c r="M414" s="83">
        <f>M417+M420</f>
        <v>0</v>
      </c>
      <c r="N414" s="83">
        <f>N417+N420</f>
        <v>0</v>
      </c>
      <c r="O414" s="83">
        <f>IF(L414&gt;0,N414*100/L414,0)</f>
        <v>0</v>
      </c>
      <c r="P414" s="83">
        <f>IF(M414&gt;0,N414*100/M414,0)</f>
        <v>0</v>
      </c>
      <c r="Q414" s="83">
        <f>Q417+Q420</f>
        <v>0</v>
      </c>
      <c r="R414" s="83">
        <f>R417+R420</f>
        <v>0</v>
      </c>
      <c r="S414" s="83">
        <f>S417+S420</f>
        <v>0</v>
      </c>
      <c r="T414" s="83">
        <f>IF(Q414&gt;0,S414*100/Q414,0)</f>
        <v>0</v>
      </c>
      <c r="U414" s="83">
        <f>IF(R414&gt;0,S414*100/R414,0)</f>
        <v>0</v>
      </c>
    </row>
    <row r="415" spans="1:21" ht="18.75" x14ac:dyDescent="0.25">
      <c r="A415" s="128"/>
      <c r="B415" s="158"/>
      <c r="C415" s="158"/>
      <c r="D415" s="158"/>
      <c r="E415" s="209" t="s">
        <v>159</v>
      </c>
      <c r="F415" s="158"/>
      <c r="G415" s="180"/>
      <c r="H415" s="175" t="s">
        <v>14</v>
      </c>
      <c r="I415" s="44"/>
      <c r="J415" s="44"/>
      <c r="K415" s="45"/>
      <c r="L415" s="1356">
        <f ca="1">L418+L421</f>
        <v>20710</v>
      </c>
      <c r="M415" s="224">
        <f ca="1">M418+M421</f>
        <v>0</v>
      </c>
      <c r="N415" s="224">
        <f ca="1">N418+N421</f>
        <v>0</v>
      </c>
      <c r="O415" s="224">
        <f ca="1">IF(L415&gt;0,N415*100/L415,0)</f>
        <v>0</v>
      </c>
      <c r="P415" s="224">
        <f ca="1">IF(M415&gt;0,N415*100/M415,0)</f>
        <v>0</v>
      </c>
      <c r="Q415" s="224">
        <f ca="1">Q418+Q421</f>
        <v>19350</v>
      </c>
      <c r="R415" s="224">
        <f ca="1">R418+R421</f>
        <v>19350</v>
      </c>
      <c r="S415" s="224">
        <f ca="1">S418+S421</f>
        <v>0</v>
      </c>
      <c r="T415" s="224">
        <f ca="1">IF(Q415&gt;0,S415*100/Q415,0)</f>
        <v>0</v>
      </c>
      <c r="U415" s="224">
        <f ca="1">IF(R415&gt;0,S415*100/R415,0)</f>
        <v>0</v>
      </c>
    </row>
    <row r="416" spans="1:21" ht="19.5" x14ac:dyDescent="0.3">
      <c r="A416" s="128"/>
      <c r="B416" s="158"/>
      <c r="C416" s="158"/>
      <c r="D416" s="1534" t="s">
        <v>22</v>
      </c>
      <c r="E416" s="158"/>
      <c r="F416" s="158"/>
      <c r="G416" s="180"/>
      <c r="H416" s="323" t="s">
        <v>14</v>
      </c>
      <c r="I416" s="44"/>
      <c r="J416" s="44"/>
      <c r="K416" s="45"/>
      <c r="L416" s="1356">
        <f ca="1">L417+L418</f>
        <v>20710</v>
      </c>
      <c r="M416" s="224">
        <f ca="1">M417+M418</f>
        <v>0</v>
      </c>
      <c r="N416" s="224">
        <f ca="1">N417+N418</f>
        <v>0</v>
      </c>
      <c r="O416" s="224">
        <f ca="1">IF(L416&gt;0,N416*100/L416,0)</f>
        <v>0</v>
      </c>
      <c r="P416" s="224">
        <f ca="1">IF(M416&gt;0,N416*100/M416,0)</f>
        <v>0</v>
      </c>
      <c r="Q416" s="224">
        <f ca="1">Q417+Q418</f>
        <v>19350</v>
      </c>
      <c r="R416" s="224">
        <f ca="1">R417+R418</f>
        <v>19350</v>
      </c>
      <c r="S416" s="224">
        <f ca="1">S417+S418</f>
        <v>0</v>
      </c>
      <c r="T416" s="224">
        <f ca="1">IF(Q416&gt;0,S416*100/Q416,0)</f>
        <v>0</v>
      </c>
      <c r="U416" s="224">
        <f ca="1">IF(R416&gt;0,S416*100/R416,0)</f>
        <v>0</v>
      </c>
    </row>
    <row r="417" spans="1:21" ht="18.75" x14ac:dyDescent="0.25">
      <c r="A417" s="128"/>
      <c r="B417" s="158"/>
      <c r="C417" s="158"/>
      <c r="D417" s="158"/>
      <c r="E417" s="314" t="s">
        <v>158</v>
      </c>
      <c r="F417" s="158"/>
      <c r="G417" s="180"/>
      <c r="H417" s="176" t="s">
        <v>14</v>
      </c>
      <c r="I417" s="44"/>
      <c r="J417" s="44"/>
      <c r="K417" s="45"/>
      <c r="L417" s="1358">
        <v>0</v>
      </c>
      <c r="M417" s="83">
        <v>0</v>
      </c>
      <c r="N417" s="83">
        <v>0</v>
      </c>
      <c r="O417" s="83">
        <f>IF(L417&gt;0,N417*100/L417,0)</f>
        <v>0</v>
      </c>
      <c r="P417" s="83">
        <f>IF(M417&gt;0,N417*100/M417,0)</f>
        <v>0</v>
      </c>
      <c r="Q417" s="83">
        <v>0</v>
      </c>
      <c r="R417" s="83">
        <v>0</v>
      </c>
      <c r="S417" s="83">
        <v>0</v>
      </c>
      <c r="T417" s="83">
        <f>IF(Q417&gt;0,S417*100/Q417,0)</f>
        <v>0</v>
      </c>
      <c r="U417" s="83">
        <f>IF(R417&gt;0,S417*100/R417,0)</f>
        <v>0</v>
      </c>
    </row>
    <row r="418" spans="1:21" ht="18.75" x14ac:dyDescent="0.25">
      <c r="A418" s="128"/>
      <c r="B418" s="158"/>
      <c r="C418" s="158"/>
      <c r="D418" s="158"/>
      <c r="E418" s="209" t="s">
        <v>159</v>
      </c>
      <c r="F418" s="158"/>
      <c r="G418" s="180"/>
      <c r="H418" s="175" t="s">
        <v>14</v>
      </c>
      <c r="I418" s="44"/>
      <c r="J418" s="44"/>
      <c r="K418" s="45"/>
      <c r="L418" s="1356">
        <f ca="1">IFERROR(__xludf.DUMMYFUNCTION("IMPORTRANGE(""https://docs.google.com/spreadsheets/d/1-uDff_7J0KD5mKrp0Vvzr7lt3OU09vwQwhkpOPPYv2Y/edit?usp=sharing"",""งบพรบ!IO29"")"),20710)</f>
        <v>20710</v>
      </c>
      <c r="M418" s="224">
        <f ca="1">IFERROR(__xludf.DUMMYFUNCTION("IMPORTRANGE(""https://docs.google.com/spreadsheets/d/1-uDff_7J0KD5mKrp0Vvzr7lt3OU09vwQwhkpOPPYv2Y/edit?usp=sharing"",""งบพรบ!IT29"")"),0)</f>
        <v>0</v>
      </c>
      <c r="N418" s="224">
        <f ca="1">IFERROR(__xludf.DUMMYFUNCTION("IMPORTRANGE(""https://docs.google.com/spreadsheets/d/1-uDff_7J0KD5mKrp0Vvzr7lt3OU09vwQwhkpOPPYv2Y/edit?usp=sharing"",""งบพรบ!IV29"")"),0)</f>
        <v>0</v>
      </c>
      <c r="O418" s="224">
        <f ca="1">IF(L418&gt;0,N418*100/L418,0)</f>
        <v>0</v>
      </c>
      <c r="P418" s="224">
        <f ca="1">IF(M418&gt;0,N418*100/M418,0)</f>
        <v>0</v>
      </c>
      <c r="Q418" s="224">
        <f ca="1">IFERROR(__xludf.DUMMYFUNCTION("IMPORTRANGE(""https://docs.google.com/spreadsheets/d/1ItG2mGa2ceCfYo0BwxsXqNm01IGEUdYcSSLTEv9YCik/edit?usp=sharing"",""เบิกจ่ายกองทุน!BZ29"")"),19350)</f>
        <v>19350</v>
      </c>
      <c r="R418" s="224">
        <f ca="1">IFERROR(__xludf.DUMMYFUNCTION("IMPORTRANGE(""https://docs.google.com/spreadsheets/d/1ItG2mGa2ceCfYo0BwxsXqNm01IGEUdYcSSLTEv9YCik/edit?usp=sharing"",""เบิกจ่ายกองทุน!CA29"")"),19350)</f>
        <v>19350</v>
      </c>
      <c r="S418" s="224">
        <f ca="1">IFERROR(__xludf.DUMMYFUNCTION("IMPORTRANGE(""https://docs.google.com/spreadsheets/d/1ItG2mGa2ceCfYo0BwxsXqNm01IGEUdYcSSLTEv9YCik/edit?usp=sharing"",""เบิกจ่ายกองทุน!CB29"")"),0)</f>
        <v>0</v>
      </c>
      <c r="T418" s="224">
        <f ca="1">IF(Q418&gt;0,S418*100/Q418,0)</f>
        <v>0</v>
      </c>
      <c r="U418" s="224">
        <f ca="1">IF(R418&gt;0,S418*100/R418,0)</f>
        <v>0</v>
      </c>
    </row>
    <row r="419" spans="1:21" ht="19.5" x14ac:dyDescent="0.3">
      <c r="A419" s="128"/>
      <c r="B419" s="158"/>
      <c r="C419" s="158"/>
      <c r="D419" s="1534" t="s">
        <v>23</v>
      </c>
      <c r="E419" s="158"/>
      <c r="F419" s="158"/>
      <c r="G419" s="180"/>
      <c r="H419" s="131" t="s">
        <v>14</v>
      </c>
      <c r="I419" s="44"/>
      <c r="J419" s="44"/>
      <c r="K419" s="45"/>
      <c r="L419" s="1356">
        <f ca="1">L420+L421</f>
        <v>0</v>
      </c>
      <c r="M419" s="224">
        <f ca="1">M420+M421</f>
        <v>0</v>
      </c>
      <c r="N419" s="224">
        <f ca="1">N420+N421</f>
        <v>0</v>
      </c>
      <c r="O419" s="224">
        <f ca="1">IF(L419&gt;0,N419*100/L419,0)</f>
        <v>0</v>
      </c>
      <c r="P419" s="224">
        <f ca="1">IF(M419&gt;0,N419*100/M419,0)</f>
        <v>0</v>
      </c>
      <c r="Q419" s="224">
        <f>Q420+Q421</f>
        <v>0</v>
      </c>
      <c r="R419" s="224">
        <f>R420+R421</f>
        <v>0</v>
      </c>
      <c r="S419" s="224">
        <f>S420+S421</f>
        <v>0</v>
      </c>
      <c r="T419" s="224">
        <f>IF(Q419&gt;0,S419*100/Q419,0)</f>
        <v>0</v>
      </c>
      <c r="U419" s="224">
        <f>IF(R419&gt;0,S419*100/R419,0)</f>
        <v>0</v>
      </c>
    </row>
    <row r="420" spans="1:21" ht="18.75" x14ac:dyDescent="0.25">
      <c r="A420" s="128"/>
      <c r="B420" s="158"/>
      <c r="C420" s="158"/>
      <c r="D420" s="158"/>
      <c r="E420" s="314" t="s">
        <v>20</v>
      </c>
      <c r="F420" s="158"/>
      <c r="G420" s="180"/>
      <c r="H420" s="176" t="s">
        <v>14</v>
      </c>
      <c r="I420" s="44"/>
      <c r="J420" s="44"/>
      <c r="K420" s="45"/>
      <c r="L420" s="1358">
        <v>0</v>
      </c>
      <c r="M420" s="83">
        <v>0</v>
      </c>
      <c r="N420" s="83">
        <v>0</v>
      </c>
      <c r="O420" s="83">
        <f>IF(L420&gt;0,N420*100/L420,0)</f>
        <v>0</v>
      </c>
      <c r="P420" s="83">
        <f>IF(M420&gt;0,N420*100/M420,0)</f>
        <v>0</v>
      </c>
      <c r="Q420" s="83">
        <v>0</v>
      </c>
      <c r="R420" s="83">
        <v>0</v>
      </c>
      <c r="S420" s="83">
        <v>0</v>
      </c>
      <c r="T420" s="83">
        <f>IF(Q420&gt;0,S420*100/Q420,0)</f>
        <v>0</v>
      </c>
      <c r="U420" s="83">
        <f>IF(R420&gt;0,S420*100/R420,0)</f>
        <v>0</v>
      </c>
    </row>
    <row r="421" spans="1:21" ht="18.75" x14ac:dyDescent="0.25">
      <c r="A421" s="128"/>
      <c r="B421" s="158"/>
      <c r="C421" s="158"/>
      <c r="D421" s="158"/>
      <c r="E421" s="209" t="s">
        <v>21</v>
      </c>
      <c r="F421" s="158"/>
      <c r="G421" s="180"/>
      <c r="H421" s="133" t="s">
        <v>14</v>
      </c>
      <c r="I421" s="44"/>
      <c r="J421" s="44"/>
      <c r="K421" s="45"/>
      <c r="L421" s="1356">
        <f ca="1">IFERROR(__xludf.DUMMYFUNCTION("IMPORTRANGE(""https://docs.google.com/spreadsheets/d/1-uDff_7J0KD5mKrp0Vvzr7lt3OU09vwQwhkpOPPYv2Y/edit?usp=sharing"",""งบพรบ!IR29"")"),0)</f>
        <v>0</v>
      </c>
      <c r="M421" s="224">
        <f ca="1">IFERROR(__xludf.DUMMYFUNCTION("IMPORTRANGE(""https://docs.google.com/spreadsheets/d/1-uDff_7J0KD5mKrp0Vvzr7lt3OU09vwQwhkpOPPYv2Y/edit?usp=sharing"",""งบพรบ!IU29"")"),0)</f>
        <v>0</v>
      </c>
      <c r="N421" s="224">
        <f ca="1">IFERROR(__xludf.DUMMYFUNCTION("IMPORTRANGE(""https://docs.google.com/spreadsheets/d/1-uDff_7J0KD5mKrp0Vvzr7lt3OU09vwQwhkpOPPYv2Y/edit?usp=sharing"",""งบพรบ!IW29"")"),0)</f>
        <v>0</v>
      </c>
      <c r="O421" s="224">
        <f ca="1">IF(L421&gt;0,N421*100/L421,0)</f>
        <v>0</v>
      </c>
      <c r="P421" s="224">
        <f ca="1">IF(M421&gt;0,N421*100/M421,0)</f>
        <v>0</v>
      </c>
      <c r="Q421" s="224">
        <v>0</v>
      </c>
      <c r="R421" s="224">
        <v>0</v>
      </c>
      <c r="S421" s="224">
        <v>0</v>
      </c>
      <c r="T421" s="224">
        <f>IF(Q421&gt;0,S421*100/Q421,0)</f>
        <v>0</v>
      </c>
      <c r="U421" s="224">
        <f>IF(R421&gt;0,S421*100/R421,0)</f>
        <v>0</v>
      </c>
    </row>
    <row r="422" spans="1:21" ht="19.5" x14ac:dyDescent="0.3">
      <c r="A422" s="208"/>
      <c r="B422" s="158"/>
      <c r="C422" s="322" t="s">
        <v>18</v>
      </c>
      <c r="D422" s="1539" t="s">
        <v>38</v>
      </c>
      <c r="E422" s="158"/>
      <c r="F422" s="158"/>
      <c r="G422" s="180"/>
      <c r="H422" s="180"/>
      <c r="I422" s="44"/>
      <c r="J422" s="44"/>
      <c r="K422" s="45"/>
      <c r="L422" s="1359"/>
      <c r="M422" s="45"/>
      <c r="N422" s="45"/>
      <c r="O422" s="45"/>
      <c r="P422" s="45"/>
      <c r="Q422" s="45"/>
      <c r="R422" s="45"/>
      <c r="S422" s="45"/>
      <c r="T422" s="45"/>
      <c r="U422" s="45"/>
    </row>
    <row r="423" spans="1:21" ht="19.5" x14ac:dyDescent="0.3">
      <c r="A423" s="208"/>
      <c r="B423" s="161" t="s">
        <v>160</v>
      </c>
      <c r="C423" s="158"/>
      <c r="D423" s="158"/>
      <c r="E423" s="158"/>
      <c r="F423" s="158"/>
      <c r="G423" s="180"/>
      <c r="H423" s="323" t="s">
        <v>46</v>
      </c>
      <c r="I423" s="328">
        <f ca="1">I440</f>
        <v>0</v>
      </c>
      <c r="J423" s="328">
        <f>J440</f>
        <v>0</v>
      </c>
      <c r="K423" s="1390">
        <f ca="1">IF(I423&gt;0,J423*100/I423,0)</f>
        <v>0</v>
      </c>
      <c r="L423" s="1359"/>
      <c r="M423" s="45"/>
      <c r="N423" s="45"/>
      <c r="O423" s="45"/>
      <c r="P423" s="45"/>
      <c r="Q423" s="45"/>
      <c r="R423" s="45"/>
      <c r="S423" s="45"/>
      <c r="T423" s="45"/>
      <c r="U423" s="45"/>
    </row>
    <row r="424" spans="1:21" ht="19.5" x14ac:dyDescent="0.3">
      <c r="A424" s="208"/>
      <c r="B424" s="158"/>
      <c r="C424" s="161" t="s">
        <v>161</v>
      </c>
      <c r="D424" s="158"/>
      <c r="E424" s="158"/>
      <c r="F424" s="158"/>
      <c r="G424" s="180"/>
      <c r="H424" s="131" t="s">
        <v>46</v>
      </c>
      <c r="I424" s="328">
        <f ca="1">IFERROR(__xludf.DUMMYFUNCTION("IMPORTRANGE(""https://docs.google.com/spreadsheets/d/1eHaY18a8A9IcSdp1K8H6x8fbOy06t2VsZHhMHf-1x7Y/edit?usp=sharing"",""แผน!HJ29"")"),0)</f>
        <v>0</v>
      </c>
      <c r="J424" s="328">
        <f>J426+J428+J430</f>
        <v>0</v>
      </c>
      <c r="K424" s="1390">
        <f ca="1">IF(I424&gt;0,J424*100/I424,0)</f>
        <v>0</v>
      </c>
      <c r="L424" s="1359"/>
      <c r="M424" s="45"/>
      <c r="N424" s="45"/>
      <c r="O424" s="45"/>
      <c r="P424" s="45"/>
      <c r="Q424" s="45"/>
      <c r="R424" s="45"/>
      <c r="S424" s="45"/>
      <c r="T424" s="45"/>
      <c r="U424" s="45"/>
    </row>
    <row r="425" spans="1:21" ht="19.5" x14ac:dyDescent="0.3">
      <c r="A425" s="208"/>
      <c r="B425" s="158"/>
      <c r="C425" s="158"/>
      <c r="D425" s="158"/>
      <c r="E425" s="158"/>
      <c r="F425" s="158"/>
      <c r="G425" s="180"/>
      <c r="H425" s="131" t="s">
        <v>34</v>
      </c>
      <c r="I425" s="328">
        <f ca="1">IFERROR(__xludf.DUMMYFUNCTION("IMPORTRANGE(""https://docs.google.com/spreadsheets/d/1eHaY18a8A9IcSdp1K8H6x8fbOy06t2VsZHhMHf-1x7Y/edit?usp=sharing"",""แผน!HK29"")"),0)</f>
        <v>0</v>
      </c>
      <c r="J425" s="328">
        <f>J427+J429+J431</f>
        <v>0</v>
      </c>
      <c r="K425" s="1390">
        <f ca="1">IF(I425&gt;0,J425*100/I425,0)</f>
        <v>0</v>
      </c>
      <c r="L425" s="1359"/>
      <c r="M425" s="45"/>
      <c r="N425" s="45"/>
      <c r="O425" s="45"/>
      <c r="P425" s="45"/>
      <c r="Q425" s="45"/>
      <c r="R425" s="45"/>
      <c r="S425" s="45"/>
      <c r="T425" s="45"/>
      <c r="U425" s="45"/>
    </row>
    <row r="426" spans="1:21" ht="18.75" x14ac:dyDescent="0.25">
      <c r="A426" s="208"/>
      <c r="B426" s="158"/>
      <c r="C426" s="158"/>
      <c r="D426" s="209" t="s">
        <v>162</v>
      </c>
      <c r="E426" s="158"/>
      <c r="F426" s="158"/>
      <c r="G426" s="180"/>
      <c r="H426" s="133" t="s">
        <v>46</v>
      </c>
      <c r="I426" s="44"/>
      <c r="J426" s="44"/>
      <c r="K426" s="45"/>
      <c r="L426" s="1359"/>
      <c r="M426" s="45"/>
      <c r="N426" s="45"/>
      <c r="O426" s="45"/>
      <c r="P426" s="45"/>
      <c r="Q426" s="45"/>
      <c r="R426" s="45"/>
      <c r="S426" s="45"/>
      <c r="T426" s="45"/>
      <c r="U426" s="45"/>
    </row>
    <row r="427" spans="1:21" ht="18.75" x14ac:dyDescent="0.25">
      <c r="A427" s="208"/>
      <c r="B427" s="158"/>
      <c r="C427" s="158"/>
      <c r="D427" s="158"/>
      <c r="E427" s="158"/>
      <c r="F427" s="158"/>
      <c r="G427" s="180"/>
      <c r="H427" s="133" t="s">
        <v>34</v>
      </c>
      <c r="I427" s="44"/>
      <c r="J427" s="44"/>
      <c r="K427" s="45"/>
      <c r="L427" s="1359"/>
      <c r="M427" s="45"/>
      <c r="N427" s="45"/>
      <c r="O427" s="45"/>
      <c r="P427" s="45"/>
      <c r="Q427" s="45"/>
      <c r="R427" s="45"/>
      <c r="S427" s="45"/>
      <c r="T427" s="45"/>
      <c r="U427" s="45"/>
    </row>
    <row r="428" spans="1:21" ht="18.75" x14ac:dyDescent="0.25">
      <c r="A428" s="208"/>
      <c r="B428" s="158"/>
      <c r="C428" s="158"/>
      <c r="D428" s="209" t="s">
        <v>163</v>
      </c>
      <c r="E428" s="158"/>
      <c r="F428" s="158"/>
      <c r="G428" s="180"/>
      <c r="H428" s="133" t="s">
        <v>46</v>
      </c>
      <c r="I428" s="44"/>
      <c r="J428" s="44"/>
      <c r="K428" s="45"/>
      <c r="L428" s="1359"/>
      <c r="M428" s="45"/>
      <c r="N428" s="45"/>
      <c r="O428" s="45"/>
      <c r="P428" s="45"/>
      <c r="Q428" s="45"/>
      <c r="R428" s="45"/>
      <c r="S428" s="45"/>
      <c r="T428" s="45"/>
      <c r="U428" s="45"/>
    </row>
    <row r="429" spans="1:21" ht="18.75" x14ac:dyDescent="0.25">
      <c r="A429" s="208"/>
      <c r="B429" s="158"/>
      <c r="C429" s="158"/>
      <c r="D429" s="158"/>
      <c r="E429" s="158"/>
      <c r="F429" s="158"/>
      <c r="G429" s="180"/>
      <c r="H429" s="133" t="s">
        <v>34</v>
      </c>
      <c r="I429" s="44"/>
      <c r="J429" s="44"/>
      <c r="K429" s="45"/>
      <c r="L429" s="1359"/>
      <c r="M429" s="45"/>
      <c r="N429" s="45"/>
      <c r="O429" s="45"/>
      <c r="P429" s="45"/>
      <c r="Q429" s="45"/>
      <c r="R429" s="45"/>
      <c r="S429" s="45"/>
      <c r="T429" s="45"/>
      <c r="U429" s="45"/>
    </row>
    <row r="430" spans="1:21" ht="18.75" x14ac:dyDescent="0.25">
      <c r="A430" s="208"/>
      <c r="B430" s="158"/>
      <c r="C430" s="158"/>
      <c r="D430" s="209" t="s">
        <v>164</v>
      </c>
      <c r="E430" s="158"/>
      <c r="F430" s="158"/>
      <c r="G430" s="180"/>
      <c r="H430" s="133" t="s">
        <v>46</v>
      </c>
      <c r="I430" s="44"/>
      <c r="J430" s="44"/>
      <c r="K430" s="45"/>
      <c r="L430" s="1359"/>
      <c r="M430" s="45"/>
      <c r="N430" s="45"/>
      <c r="O430" s="45"/>
      <c r="P430" s="45"/>
      <c r="Q430" s="45"/>
      <c r="R430" s="45"/>
      <c r="S430" s="45"/>
      <c r="T430" s="45"/>
      <c r="U430" s="45"/>
    </row>
    <row r="431" spans="1:21" ht="18.75" x14ac:dyDescent="0.25">
      <c r="A431" s="208"/>
      <c r="B431" s="158"/>
      <c r="C431" s="158"/>
      <c r="D431" s="158"/>
      <c r="E431" s="158"/>
      <c r="F431" s="158"/>
      <c r="G431" s="180"/>
      <c r="H431" s="133" t="s">
        <v>34</v>
      </c>
      <c r="I431" s="44"/>
      <c r="J431" s="44"/>
      <c r="K431" s="45"/>
      <c r="L431" s="1359"/>
      <c r="M431" s="45"/>
      <c r="N431" s="45"/>
      <c r="O431" s="45"/>
      <c r="P431" s="45"/>
      <c r="Q431" s="45"/>
      <c r="R431" s="45"/>
      <c r="S431" s="45"/>
      <c r="T431" s="45"/>
      <c r="U431" s="45"/>
    </row>
    <row r="432" spans="1:21" ht="19.5" x14ac:dyDescent="0.3">
      <c r="A432" s="208"/>
      <c r="B432" s="158"/>
      <c r="C432" s="161" t="s">
        <v>165</v>
      </c>
      <c r="D432" s="158"/>
      <c r="E432" s="158"/>
      <c r="F432" s="158"/>
      <c r="G432" s="180"/>
      <c r="H432" s="131" t="s">
        <v>46</v>
      </c>
      <c r="I432" s="328">
        <f ca="1">IFERROR(__xludf.DUMMYFUNCTION("IMPORTRANGE(""https://docs.google.com/spreadsheets/d/1eHaY18a8A9IcSdp1K8H6x8fbOy06t2VsZHhMHf-1x7Y/edit?usp=sharing"",""แผน!HJ29"")"),0)</f>
        <v>0</v>
      </c>
      <c r="J432" s="328">
        <f>J434+J436+J438</f>
        <v>0</v>
      </c>
      <c r="K432" s="1390">
        <f ca="1">IF(I432&gt;0,J432*100/I432,0)</f>
        <v>0</v>
      </c>
      <c r="L432" s="1359"/>
      <c r="M432" s="45"/>
      <c r="N432" s="45"/>
      <c r="O432" s="45"/>
      <c r="P432" s="45"/>
      <c r="Q432" s="45"/>
      <c r="R432" s="45"/>
      <c r="S432" s="45"/>
      <c r="T432" s="45"/>
      <c r="U432" s="45"/>
    </row>
    <row r="433" spans="1:21" ht="19.5" x14ac:dyDescent="0.3">
      <c r="A433" s="208"/>
      <c r="B433" s="158"/>
      <c r="C433" s="158"/>
      <c r="D433" s="158"/>
      <c r="E433" s="158"/>
      <c r="F433" s="158"/>
      <c r="G433" s="180"/>
      <c r="H433" s="131" t="s">
        <v>34</v>
      </c>
      <c r="I433" s="328">
        <f ca="1">IFERROR(__xludf.DUMMYFUNCTION("IMPORTRANGE(""https://docs.google.com/spreadsheets/d/1eHaY18a8A9IcSdp1K8H6x8fbOy06t2VsZHhMHf-1x7Y/edit?usp=sharing"",""แผน!HK29"")"),0)</f>
        <v>0</v>
      </c>
      <c r="J433" s="328">
        <f>J435+J437+J439</f>
        <v>0</v>
      </c>
      <c r="K433" s="1390">
        <f ca="1">IF(I433&gt;0,J433*100/I433,0)</f>
        <v>0</v>
      </c>
      <c r="L433" s="1359"/>
      <c r="M433" s="45"/>
      <c r="N433" s="45"/>
      <c r="O433" s="45"/>
      <c r="P433" s="45"/>
      <c r="Q433" s="45"/>
      <c r="R433" s="45"/>
      <c r="S433" s="45"/>
      <c r="T433" s="45"/>
      <c r="U433" s="45"/>
    </row>
    <row r="434" spans="1:21" ht="18.75" x14ac:dyDescent="0.25">
      <c r="A434" s="208"/>
      <c r="B434" s="158"/>
      <c r="C434" s="158"/>
      <c r="D434" s="209" t="s">
        <v>166</v>
      </c>
      <c r="E434" s="158"/>
      <c r="F434" s="158"/>
      <c r="G434" s="180"/>
      <c r="H434" s="133" t="s">
        <v>46</v>
      </c>
      <c r="I434" s="44"/>
      <c r="J434" s="44"/>
      <c r="K434" s="45"/>
      <c r="L434" s="1359"/>
      <c r="M434" s="45"/>
      <c r="N434" s="45"/>
      <c r="O434" s="45"/>
      <c r="P434" s="45"/>
      <c r="Q434" s="45"/>
      <c r="R434" s="45"/>
      <c r="S434" s="45"/>
      <c r="T434" s="45"/>
      <c r="U434" s="45"/>
    </row>
    <row r="435" spans="1:21" ht="18.75" x14ac:dyDescent="0.25">
      <c r="A435" s="208"/>
      <c r="B435" s="158"/>
      <c r="C435" s="158"/>
      <c r="D435" s="158"/>
      <c r="E435" s="158"/>
      <c r="F435" s="158"/>
      <c r="G435" s="180"/>
      <c r="H435" s="133" t="s">
        <v>34</v>
      </c>
      <c r="I435" s="44"/>
      <c r="J435" s="44"/>
      <c r="K435" s="45"/>
      <c r="L435" s="1359"/>
      <c r="M435" s="45"/>
      <c r="N435" s="45"/>
      <c r="O435" s="45"/>
      <c r="P435" s="45"/>
      <c r="Q435" s="45"/>
      <c r="R435" s="45"/>
      <c r="S435" s="45"/>
      <c r="T435" s="45"/>
      <c r="U435" s="45"/>
    </row>
    <row r="436" spans="1:21" ht="18.75" x14ac:dyDescent="0.25">
      <c r="A436" s="208"/>
      <c r="B436" s="158"/>
      <c r="C436" s="158"/>
      <c r="D436" s="209" t="s">
        <v>167</v>
      </c>
      <c r="E436" s="158"/>
      <c r="F436" s="158"/>
      <c r="G436" s="180"/>
      <c r="H436" s="133" t="s">
        <v>46</v>
      </c>
      <c r="I436" s="44"/>
      <c r="J436" s="44"/>
      <c r="K436" s="45"/>
      <c r="L436" s="1359"/>
      <c r="M436" s="45"/>
      <c r="N436" s="45"/>
      <c r="O436" s="45"/>
      <c r="P436" s="45"/>
      <c r="Q436" s="45"/>
      <c r="R436" s="45"/>
      <c r="S436" s="45"/>
      <c r="T436" s="45"/>
      <c r="U436" s="45"/>
    </row>
    <row r="437" spans="1:21" ht="18.75" x14ac:dyDescent="0.25">
      <c r="A437" s="208"/>
      <c r="B437" s="158"/>
      <c r="C437" s="158"/>
      <c r="D437" s="158"/>
      <c r="E437" s="158"/>
      <c r="F437" s="158"/>
      <c r="G437" s="180"/>
      <c r="H437" s="133" t="s">
        <v>34</v>
      </c>
      <c r="I437" s="44"/>
      <c r="J437" s="44"/>
      <c r="K437" s="45"/>
      <c r="L437" s="1359"/>
      <c r="M437" s="45"/>
      <c r="N437" s="45"/>
      <c r="O437" s="45"/>
      <c r="P437" s="45"/>
      <c r="Q437" s="45"/>
      <c r="R437" s="45"/>
      <c r="S437" s="45"/>
      <c r="T437" s="45"/>
      <c r="U437" s="45"/>
    </row>
    <row r="438" spans="1:21" ht="18.75" x14ac:dyDescent="0.25">
      <c r="A438" s="208"/>
      <c r="B438" s="158"/>
      <c r="C438" s="158"/>
      <c r="D438" s="209" t="s">
        <v>168</v>
      </c>
      <c r="E438" s="158"/>
      <c r="F438" s="158"/>
      <c r="G438" s="180"/>
      <c r="H438" s="133" t="s">
        <v>46</v>
      </c>
      <c r="I438" s="44"/>
      <c r="J438" s="44"/>
      <c r="K438" s="45"/>
      <c r="L438" s="1359"/>
      <c r="M438" s="45"/>
      <c r="N438" s="45"/>
      <c r="O438" s="45"/>
      <c r="P438" s="45"/>
      <c r="Q438" s="45"/>
      <c r="R438" s="45"/>
      <c r="S438" s="45"/>
      <c r="T438" s="45"/>
      <c r="U438" s="45"/>
    </row>
    <row r="439" spans="1:21" ht="18.75" x14ac:dyDescent="0.25">
      <c r="A439" s="208"/>
      <c r="B439" s="158"/>
      <c r="C439" s="158"/>
      <c r="D439" s="158"/>
      <c r="E439" s="158"/>
      <c r="F439" s="158"/>
      <c r="G439" s="180"/>
      <c r="H439" s="133" t="s">
        <v>34</v>
      </c>
      <c r="I439" s="44"/>
      <c r="J439" s="44"/>
      <c r="K439" s="45"/>
      <c r="L439" s="1359"/>
      <c r="M439" s="45"/>
      <c r="N439" s="45"/>
      <c r="O439" s="45"/>
      <c r="P439" s="45"/>
      <c r="Q439" s="45"/>
      <c r="R439" s="45"/>
      <c r="S439" s="45"/>
      <c r="T439" s="45"/>
      <c r="U439" s="45"/>
    </row>
    <row r="440" spans="1:21" ht="19.5" x14ac:dyDescent="0.3">
      <c r="A440" s="208"/>
      <c r="B440" s="158"/>
      <c r="C440" s="161" t="s">
        <v>169</v>
      </c>
      <c r="D440" s="158"/>
      <c r="E440" s="158"/>
      <c r="F440" s="158"/>
      <c r="G440" s="180"/>
      <c r="H440" s="131" t="s">
        <v>46</v>
      </c>
      <c r="I440" s="328">
        <f ca="1">IFERROR(__xludf.DUMMYFUNCTION("IMPORTRANGE(""https://docs.google.com/spreadsheets/d/1eHaY18a8A9IcSdp1K8H6x8fbOy06t2VsZHhMHf-1x7Y/edit?usp=sharing"",""แผน!HJ29"")"),0)</f>
        <v>0</v>
      </c>
      <c r="J440" s="328">
        <f>J442+J444+J446+J452+J454</f>
        <v>0</v>
      </c>
      <c r="K440" s="1390">
        <f ca="1">IF(I440&gt;0,J440*100/I440,0)</f>
        <v>0</v>
      </c>
      <c r="L440" s="1359"/>
      <c r="M440" s="45"/>
      <c r="N440" s="45"/>
      <c r="O440" s="45"/>
      <c r="P440" s="45"/>
      <c r="Q440" s="45"/>
      <c r="R440" s="45"/>
      <c r="S440" s="45"/>
      <c r="T440" s="45"/>
      <c r="U440" s="45"/>
    </row>
    <row r="441" spans="1:21" ht="19.5" x14ac:dyDescent="0.3">
      <c r="A441" s="208"/>
      <c r="B441" s="158"/>
      <c r="C441" s="158"/>
      <c r="D441" s="158"/>
      <c r="E441" s="158"/>
      <c r="F441" s="158"/>
      <c r="G441" s="180"/>
      <c r="H441" s="131" t="s">
        <v>34</v>
      </c>
      <c r="I441" s="328">
        <f ca="1">IFERROR(__xludf.DUMMYFUNCTION("IMPORTRANGE(""https://docs.google.com/spreadsheets/d/1eHaY18a8A9IcSdp1K8H6x8fbOy06t2VsZHhMHf-1x7Y/edit?usp=sharing"",""แผน!HK29"")"),0)</f>
        <v>0</v>
      </c>
      <c r="J441" s="328">
        <f>J443+J445+J447+J453+J455</f>
        <v>0</v>
      </c>
      <c r="K441" s="1390">
        <f ca="1">IF(I441&gt;0,J441*100/I441,0)</f>
        <v>0</v>
      </c>
      <c r="L441" s="1359"/>
      <c r="M441" s="45"/>
      <c r="N441" s="45"/>
      <c r="O441" s="45"/>
      <c r="P441" s="45"/>
      <c r="Q441" s="45"/>
      <c r="R441" s="45"/>
      <c r="S441" s="45"/>
      <c r="T441" s="45"/>
      <c r="U441" s="45"/>
    </row>
    <row r="442" spans="1:21" ht="18.75" x14ac:dyDescent="0.25">
      <c r="A442" s="208"/>
      <c r="B442" s="158"/>
      <c r="C442" s="158"/>
      <c r="D442" s="209" t="s">
        <v>170</v>
      </c>
      <c r="E442" s="158"/>
      <c r="F442" s="158"/>
      <c r="G442" s="180"/>
      <c r="H442" s="133" t="s">
        <v>46</v>
      </c>
      <c r="I442" s="44"/>
      <c r="J442" s="44"/>
      <c r="K442" s="45"/>
      <c r="L442" s="1359"/>
      <c r="M442" s="45"/>
      <c r="N442" s="45"/>
      <c r="O442" s="45"/>
      <c r="P442" s="45"/>
      <c r="Q442" s="45"/>
      <c r="R442" s="45"/>
      <c r="S442" s="45"/>
      <c r="T442" s="45"/>
      <c r="U442" s="45"/>
    </row>
    <row r="443" spans="1:21" ht="18.75" x14ac:dyDescent="0.25">
      <c r="A443" s="208"/>
      <c r="B443" s="158"/>
      <c r="C443" s="158"/>
      <c r="D443" s="158"/>
      <c r="E443" s="158"/>
      <c r="F443" s="158"/>
      <c r="G443" s="180"/>
      <c r="H443" s="133" t="s">
        <v>34</v>
      </c>
      <c r="I443" s="44"/>
      <c r="J443" s="44"/>
      <c r="K443" s="45"/>
      <c r="L443" s="1359"/>
      <c r="M443" s="45"/>
      <c r="N443" s="45"/>
      <c r="O443" s="45"/>
      <c r="P443" s="45"/>
      <c r="Q443" s="45"/>
      <c r="R443" s="45"/>
      <c r="S443" s="45"/>
      <c r="T443" s="45"/>
      <c r="U443" s="45"/>
    </row>
    <row r="444" spans="1:21" ht="18.75" x14ac:dyDescent="0.25">
      <c r="A444" s="208"/>
      <c r="B444" s="158"/>
      <c r="C444" s="158"/>
      <c r="D444" s="209" t="s">
        <v>171</v>
      </c>
      <c r="E444" s="158"/>
      <c r="F444" s="158"/>
      <c r="G444" s="180"/>
      <c r="H444" s="133" t="s">
        <v>46</v>
      </c>
      <c r="I444" s="44"/>
      <c r="J444" s="44"/>
      <c r="K444" s="45"/>
      <c r="L444" s="1359"/>
      <c r="M444" s="45"/>
      <c r="N444" s="45"/>
      <c r="O444" s="45"/>
      <c r="P444" s="45"/>
      <c r="Q444" s="45"/>
      <c r="R444" s="45"/>
      <c r="S444" s="45"/>
      <c r="T444" s="45"/>
      <c r="U444" s="45"/>
    </row>
    <row r="445" spans="1:21" ht="18.75" x14ac:dyDescent="0.25">
      <c r="A445" s="208"/>
      <c r="B445" s="158"/>
      <c r="C445" s="158"/>
      <c r="D445" s="158"/>
      <c r="E445" s="158"/>
      <c r="F445" s="158"/>
      <c r="G445" s="180"/>
      <c r="H445" s="133" t="s">
        <v>34</v>
      </c>
      <c r="I445" s="44"/>
      <c r="J445" s="44"/>
      <c r="K445" s="45"/>
      <c r="L445" s="1359"/>
      <c r="M445" s="45"/>
      <c r="N445" s="45"/>
      <c r="O445" s="45"/>
      <c r="P445" s="45"/>
      <c r="Q445" s="45"/>
      <c r="R445" s="45"/>
      <c r="S445" s="45"/>
      <c r="T445" s="45"/>
      <c r="U445" s="45"/>
    </row>
    <row r="446" spans="1:21" ht="19.5" x14ac:dyDescent="0.3">
      <c r="A446" s="208"/>
      <c r="B446" s="158"/>
      <c r="C446" s="158"/>
      <c r="D446" s="209" t="s">
        <v>172</v>
      </c>
      <c r="E446" s="158"/>
      <c r="F446" s="158"/>
      <c r="G446" s="180"/>
      <c r="H446" s="133" t="s">
        <v>46</v>
      </c>
      <c r="I446" s="44"/>
      <c r="J446" s="328">
        <f>J448+J450</f>
        <v>0</v>
      </c>
      <c r="K446" s="45"/>
      <c r="L446" s="1359"/>
      <c r="M446" s="45"/>
      <c r="N446" s="45"/>
      <c r="O446" s="45"/>
      <c r="P446" s="45"/>
      <c r="Q446" s="45"/>
      <c r="R446" s="45"/>
      <c r="S446" s="45"/>
      <c r="T446" s="45"/>
      <c r="U446" s="45"/>
    </row>
    <row r="447" spans="1:21" ht="19.5" x14ac:dyDescent="0.3">
      <c r="A447" s="208"/>
      <c r="B447" s="158"/>
      <c r="C447" s="158"/>
      <c r="D447" s="158"/>
      <c r="E447" s="158"/>
      <c r="F447" s="158"/>
      <c r="G447" s="180"/>
      <c r="H447" s="133" t="s">
        <v>34</v>
      </c>
      <c r="I447" s="44"/>
      <c r="J447" s="328">
        <f>J449+J451</f>
        <v>0</v>
      </c>
      <c r="K447" s="45"/>
      <c r="L447" s="1359"/>
      <c r="M447" s="45"/>
      <c r="N447" s="45"/>
      <c r="O447" s="45"/>
      <c r="P447" s="45"/>
      <c r="Q447" s="45"/>
      <c r="R447" s="45"/>
      <c r="S447" s="45"/>
      <c r="T447" s="45"/>
      <c r="U447" s="45"/>
    </row>
    <row r="448" spans="1:21" ht="18.75" x14ac:dyDescent="0.25">
      <c r="A448" s="208"/>
      <c r="B448" s="158"/>
      <c r="C448" s="158"/>
      <c r="D448" s="158"/>
      <c r="E448" s="209" t="s">
        <v>173</v>
      </c>
      <c r="F448" s="158"/>
      <c r="G448" s="180"/>
      <c r="H448" s="133" t="s">
        <v>46</v>
      </c>
      <c r="I448" s="44"/>
      <c r="J448" s="44"/>
      <c r="K448" s="45"/>
      <c r="L448" s="1359"/>
      <c r="M448" s="45"/>
      <c r="N448" s="45"/>
      <c r="O448" s="45"/>
      <c r="P448" s="45"/>
      <c r="Q448" s="45"/>
      <c r="R448" s="45"/>
      <c r="S448" s="45"/>
      <c r="T448" s="45"/>
      <c r="U448" s="45"/>
    </row>
    <row r="449" spans="1:21" ht="18.75" x14ac:dyDescent="0.25">
      <c r="A449" s="208"/>
      <c r="B449" s="158"/>
      <c r="C449" s="158"/>
      <c r="D449" s="158"/>
      <c r="E449" s="158"/>
      <c r="F449" s="158"/>
      <c r="G449" s="180"/>
      <c r="H449" s="133" t="s">
        <v>34</v>
      </c>
      <c r="I449" s="44"/>
      <c r="J449" s="44"/>
      <c r="K449" s="45"/>
      <c r="L449" s="1359"/>
      <c r="M449" s="45"/>
      <c r="N449" s="45"/>
      <c r="O449" s="45"/>
      <c r="P449" s="45"/>
      <c r="Q449" s="45"/>
      <c r="R449" s="45"/>
      <c r="S449" s="45"/>
      <c r="T449" s="45"/>
      <c r="U449" s="45"/>
    </row>
    <row r="450" spans="1:21" ht="18.75" x14ac:dyDescent="0.25">
      <c r="A450" s="208"/>
      <c r="B450" s="158"/>
      <c r="C450" s="158"/>
      <c r="D450" s="158"/>
      <c r="E450" s="209" t="s">
        <v>174</v>
      </c>
      <c r="F450" s="158"/>
      <c r="G450" s="180"/>
      <c r="H450" s="133" t="s">
        <v>46</v>
      </c>
      <c r="I450" s="44"/>
      <c r="J450" s="44"/>
      <c r="K450" s="45"/>
      <c r="L450" s="1359"/>
      <c r="M450" s="45"/>
      <c r="N450" s="45"/>
      <c r="O450" s="45"/>
      <c r="P450" s="45"/>
      <c r="Q450" s="45"/>
      <c r="R450" s="45"/>
      <c r="S450" s="45"/>
      <c r="T450" s="45"/>
      <c r="U450" s="45"/>
    </row>
    <row r="451" spans="1:21" ht="18.75" x14ac:dyDescent="0.25">
      <c r="A451" s="208"/>
      <c r="B451" s="158"/>
      <c r="C451" s="158"/>
      <c r="D451" s="158"/>
      <c r="E451" s="158"/>
      <c r="F451" s="158"/>
      <c r="G451" s="180"/>
      <c r="H451" s="133" t="s">
        <v>34</v>
      </c>
      <c r="I451" s="44"/>
      <c r="J451" s="44"/>
      <c r="K451" s="45"/>
      <c r="L451" s="1359"/>
      <c r="M451" s="45"/>
      <c r="N451" s="45"/>
      <c r="O451" s="45"/>
      <c r="P451" s="45"/>
      <c r="Q451" s="45"/>
      <c r="R451" s="45"/>
      <c r="S451" s="45"/>
      <c r="T451" s="45"/>
      <c r="U451" s="45"/>
    </row>
    <row r="452" spans="1:21" ht="18.75" x14ac:dyDescent="0.25">
      <c r="A452" s="208"/>
      <c r="B452" s="158"/>
      <c r="C452" s="158"/>
      <c r="D452" s="209" t="s">
        <v>175</v>
      </c>
      <c r="E452" s="158"/>
      <c r="F452" s="158"/>
      <c r="G452" s="180"/>
      <c r="H452" s="133" t="s">
        <v>46</v>
      </c>
      <c r="I452" s="44"/>
      <c r="J452" s="44"/>
      <c r="K452" s="45"/>
      <c r="L452" s="1359"/>
      <c r="M452" s="45"/>
      <c r="N452" s="45"/>
      <c r="O452" s="45"/>
      <c r="P452" s="45"/>
      <c r="Q452" s="45"/>
      <c r="R452" s="45"/>
      <c r="S452" s="45"/>
      <c r="T452" s="45"/>
      <c r="U452" s="45"/>
    </row>
    <row r="453" spans="1:21" ht="18.75" x14ac:dyDescent="0.25">
      <c r="A453" s="208"/>
      <c r="B453" s="158"/>
      <c r="C453" s="158"/>
      <c r="D453" s="158"/>
      <c r="E453" s="158"/>
      <c r="F453" s="158"/>
      <c r="G453" s="180"/>
      <c r="H453" s="133" t="s">
        <v>34</v>
      </c>
      <c r="I453" s="44"/>
      <c r="J453" s="44"/>
      <c r="K453" s="45"/>
      <c r="L453" s="1359"/>
      <c r="M453" s="45"/>
      <c r="N453" s="45"/>
      <c r="O453" s="45"/>
      <c r="P453" s="45"/>
      <c r="Q453" s="45"/>
      <c r="R453" s="45"/>
      <c r="S453" s="45"/>
      <c r="T453" s="45"/>
      <c r="U453" s="45"/>
    </row>
    <row r="454" spans="1:21" ht="18.75" x14ac:dyDescent="0.25">
      <c r="A454" s="208"/>
      <c r="B454" s="158"/>
      <c r="C454" s="158"/>
      <c r="D454" s="209" t="s">
        <v>176</v>
      </c>
      <c r="E454" s="158"/>
      <c r="F454" s="158"/>
      <c r="G454" s="180"/>
      <c r="H454" s="133" t="s">
        <v>46</v>
      </c>
      <c r="I454" s="44"/>
      <c r="J454" s="1540"/>
      <c r="K454" s="45"/>
      <c r="L454" s="1359"/>
      <c r="M454" s="45"/>
      <c r="N454" s="45"/>
      <c r="O454" s="45"/>
      <c r="P454" s="45"/>
      <c r="Q454" s="45"/>
      <c r="R454" s="45"/>
      <c r="S454" s="45"/>
      <c r="T454" s="45"/>
      <c r="U454" s="45"/>
    </row>
    <row r="455" spans="1:21" ht="18.75" x14ac:dyDescent="0.25">
      <c r="A455" s="208"/>
      <c r="B455" s="158"/>
      <c r="C455" s="158"/>
      <c r="D455" s="158"/>
      <c r="E455" s="158"/>
      <c r="F455" s="158"/>
      <c r="G455" s="180"/>
      <c r="H455" s="133" t="s">
        <v>34</v>
      </c>
      <c r="I455" s="44"/>
      <c r="J455" s="44"/>
      <c r="K455" s="45"/>
      <c r="L455" s="1359"/>
      <c r="M455" s="45"/>
      <c r="N455" s="45"/>
      <c r="O455" s="45"/>
      <c r="P455" s="45"/>
      <c r="Q455" s="45"/>
      <c r="R455" s="45"/>
      <c r="S455" s="45"/>
      <c r="T455" s="45"/>
      <c r="U455" s="45"/>
    </row>
    <row r="456" spans="1:21" ht="19.5" x14ac:dyDescent="0.3">
      <c r="A456" s="208"/>
      <c r="B456" s="161" t="s">
        <v>177</v>
      </c>
      <c r="C456" s="158"/>
      <c r="D456" s="158"/>
      <c r="E456" s="158"/>
      <c r="F456" s="158"/>
      <c r="G456" s="180"/>
      <c r="H456" s="323" t="s">
        <v>46</v>
      </c>
      <c r="I456" s="328">
        <f ca="1">I457</f>
        <v>21</v>
      </c>
      <c r="J456" s="328">
        <f>J457</f>
        <v>0</v>
      </c>
      <c r="K456" s="1390">
        <f ca="1">IF(I456&gt;0,J456*100/I456,0)</f>
        <v>0</v>
      </c>
      <c r="L456" s="1359"/>
      <c r="M456" s="45"/>
      <c r="N456" s="45"/>
      <c r="O456" s="45"/>
      <c r="P456" s="45"/>
      <c r="Q456" s="45"/>
      <c r="R456" s="45"/>
      <c r="S456" s="45"/>
      <c r="T456" s="45"/>
      <c r="U456" s="45"/>
    </row>
    <row r="457" spans="1:21" ht="19.5" x14ac:dyDescent="0.3">
      <c r="A457" s="208"/>
      <c r="B457" s="158"/>
      <c r="C457" s="161" t="s">
        <v>178</v>
      </c>
      <c r="D457" s="158"/>
      <c r="E457" s="158"/>
      <c r="F457" s="158"/>
      <c r="G457" s="180"/>
      <c r="H457" s="131" t="s">
        <v>46</v>
      </c>
      <c r="I457" s="328">
        <f ca="1">IFERROR(__xludf.DUMMYFUNCTION("IMPORTRANGE(""https://docs.google.com/spreadsheets/d/1eHaY18a8A9IcSdp1K8H6x8fbOy06t2VsZHhMHf-1x7Y/edit?usp=sharing"",""แผน!HL29"")"),21)</f>
        <v>21</v>
      </c>
      <c r="J457" s="328">
        <f>J459+J467+J473</f>
        <v>0</v>
      </c>
      <c r="K457" s="1390">
        <f ca="1">IF(I457&gt;0,J457*100/I457,0)</f>
        <v>0</v>
      </c>
      <c r="L457" s="1359"/>
      <c r="M457" s="45"/>
      <c r="N457" s="45"/>
      <c r="O457" s="45"/>
      <c r="P457" s="45"/>
      <c r="Q457" s="45"/>
      <c r="R457" s="45"/>
      <c r="S457" s="45"/>
      <c r="T457" s="45"/>
      <c r="U457" s="45"/>
    </row>
    <row r="458" spans="1:21" ht="19.5" x14ac:dyDescent="0.3">
      <c r="A458" s="208"/>
      <c r="B458" s="158"/>
      <c r="C458" s="158"/>
      <c r="D458" s="158"/>
      <c r="E458" s="158"/>
      <c r="F458" s="158"/>
      <c r="G458" s="180"/>
      <c r="H458" s="131" t="s">
        <v>34</v>
      </c>
      <c r="I458" s="328">
        <f ca="1">IFERROR(__xludf.DUMMYFUNCTION("IMPORTRANGE(""https://docs.google.com/spreadsheets/d/1eHaY18a8A9IcSdp1K8H6x8fbOy06t2VsZHhMHf-1x7Y/edit?usp=sharing"",""แผน!HM29"")"),0)</f>
        <v>0</v>
      </c>
      <c r="J458" s="328">
        <f>J460+J468+J474</f>
        <v>0</v>
      </c>
      <c r="K458" s="1390">
        <f ca="1">IF(I458&gt;0,J458*100/I458,0)</f>
        <v>0</v>
      </c>
      <c r="L458" s="1359"/>
      <c r="M458" s="45"/>
      <c r="N458" s="45"/>
      <c r="O458" s="45"/>
      <c r="P458" s="45"/>
      <c r="Q458" s="45"/>
      <c r="R458" s="45"/>
      <c r="S458" s="45"/>
      <c r="T458" s="45"/>
      <c r="U458" s="45"/>
    </row>
    <row r="459" spans="1:21" ht="18.75" x14ac:dyDescent="0.25">
      <c r="A459" s="208"/>
      <c r="B459" s="158"/>
      <c r="C459" s="209" t="s">
        <v>179</v>
      </c>
      <c r="D459" s="158"/>
      <c r="E459" s="158"/>
      <c r="F459" s="158"/>
      <c r="G459" s="180"/>
      <c r="H459" s="133" t="s">
        <v>46</v>
      </c>
      <c r="I459" s="44"/>
      <c r="J459" s="184">
        <f>J461+J463</f>
        <v>0</v>
      </c>
      <c r="K459" s="45"/>
      <c r="L459" s="1359"/>
      <c r="M459" s="45"/>
      <c r="N459" s="45"/>
      <c r="O459" s="45"/>
      <c r="P459" s="45"/>
      <c r="Q459" s="45"/>
      <c r="R459" s="45"/>
      <c r="S459" s="45"/>
      <c r="T459" s="45"/>
      <c r="U459" s="45"/>
    </row>
    <row r="460" spans="1:21" ht="18.75" x14ac:dyDescent="0.25">
      <c r="A460" s="208"/>
      <c r="B460" s="158"/>
      <c r="C460" s="158"/>
      <c r="D460" s="158"/>
      <c r="E460" s="158"/>
      <c r="F460" s="158"/>
      <c r="G460" s="180"/>
      <c r="H460" s="133" t="s">
        <v>34</v>
      </c>
      <c r="I460" s="44"/>
      <c r="J460" s="184">
        <f>J462+J464</f>
        <v>0</v>
      </c>
      <c r="K460" s="45"/>
      <c r="L460" s="1359"/>
      <c r="M460" s="45"/>
      <c r="N460" s="45"/>
      <c r="O460" s="45"/>
      <c r="P460" s="45"/>
      <c r="Q460" s="45"/>
      <c r="R460" s="45"/>
      <c r="S460" s="45"/>
      <c r="T460" s="45"/>
      <c r="U460" s="45"/>
    </row>
    <row r="461" spans="1:21" ht="18.75" x14ac:dyDescent="0.25">
      <c r="A461" s="208"/>
      <c r="B461" s="158"/>
      <c r="C461" s="158"/>
      <c r="D461" s="326" t="s">
        <v>180</v>
      </c>
      <c r="E461" s="158"/>
      <c r="F461" s="158"/>
      <c r="G461" s="180"/>
      <c r="H461" s="133" t="s">
        <v>46</v>
      </c>
      <c r="I461" s="44"/>
      <c r="J461" s="44"/>
      <c r="K461" s="45"/>
      <c r="L461" s="1359"/>
      <c r="M461" s="45"/>
      <c r="N461" s="45"/>
      <c r="O461" s="45"/>
      <c r="P461" s="45"/>
      <c r="Q461" s="45"/>
      <c r="R461" s="45"/>
      <c r="S461" s="45"/>
      <c r="T461" s="45"/>
      <c r="U461" s="45"/>
    </row>
    <row r="462" spans="1:21" ht="18.75" x14ac:dyDescent="0.25">
      <c r="A462" s="208"/>
      <c r="B462" s="158"/>
      <c r="C462" s="158"/>
      <c r="D462" s="158"/>
      <c r="E462" s="158"/>
      <c r="F462" s="158"/>
      <c r="G462" s="180"/>
      <c r="H462" s="133" t="s">
        <v>34</v>
      </c>
      <c r="I462" s="44"/>
      <c r="J462" s="44"/>
      <c r="K462" s="45"/>
      <c r="L462" s="1359"/>
      <c r="M462" s="45"/>
      <c r="N462" s="45"/>
      <c r="O462" s="45"/>
      <c r="P462" s="45"/>
      <c r="Q462" s="45"/>
      <c r="R462" s="45"/>
      <c r="S462" s="45"/>
      <c r="T462" s="45"/>
      <c r="U462" s="45"/>
    </row>
    <row r="463" spans="1:21" ht="18.75" x14ac:dyDescent="0.25">
      <c r="A463" s="208"/>
      <c r="B463" s="158"/>
      <c r="C463" s="158"/>
      <c r="D463" s="326" t="s">
        <v>181</v>
      </c>
      <c r="E463" s="158"/>
      <c r="F463" s="158"/>
      <c r="G463" s="180"/>
      <c r="H463" s="133" t="s">
        <v>46</v>
      </c>
      <c r="I463" s="44"/>
      <c r="J463" s="44"/>
      <c r="K463" s="45"/>
      <c r="L463" s="1359"/>
      <c r="M463" s="45"/>
      <c r="N463" s="45"/>
      <c r="O463" s="45"/>
      <c r="P463" s="45"/>
      <c r="Q463" s="45"/>
      <c r="R463" s="45"/>
      <c r="S463" s="45"/>
      <c r="T463" s="45"/>
      <c r="U463" s="45"/>
    </row>
    <row r="464" spans="1:21" ht="18.75" x14ac:dyDescent="0.25">
      <c r="A464" s="208"/>
      <c r="B464" s="158"/>
      <c r="C464" s="158"/>
      <c r="D464" s="158"/>
      <c r="E464" s="158"/>
      <c r="F464" s="158"/>
      <c r="G464" s="180"/>
      <c r="H464" s="133" t="s">
        <v>34</v>
      </c>
      <c r="I464" s="44"/>
      <c r="J464" s="44"/>
      <c r="K464" s="45"/>
      <c r="L464" s="1359"/>
      <c r="M464" s="45"/>
      <c r="N464" s="45"/>
      <c r="O464" s="45"/>
      <c r="P464" s="45"/>
      <c r="Q464" s="45"/>
      <c r="R464" s="45"/>
      <c r="S464" s="45"/>
      <c r="T464" s="45"/>
      <c r="U464" s="45"/>
    </row>
    <row r="465" spans="1:21" ht="18.75" x14ac:dyDescent="0.25">
      <c r="A465" s="208"/>
      <c r="B465" s="158"/>
      <c r="C465" s="158"/>
      <c r="D465" s="326" t="s">
        <v>182</v>
      </c>
      <c r="E465" s="158"/>
      <c r="F465" s="158"/>
      <c r="G465" s="180"/>
      <c r="H465" s="133" t="s">
        <v>46</v>
      </c>
      <c r="I465" s="44"/>
      <c r="J465" s="44"/>
      <c r="K465" s="45"/>
      <c r="L465" s="1359"/>
      <c r="M465" s="45"/>
      <c r="N465" s="45"/>
      <c r="O465" s="45"/>
      <c r="P465" s="45"/>
      <c r="Q465" s="45"/>
      <c r="R465" s="45"/>
      <c r="S465" s="45"/>
      <c r="T465" s="45"/>
      <c r="U465" s="45"/>
    </row>
    <row r="466" spans="1:21" ht="18.75" x14ac:dyDescent="0.25">
      <c r="A466" s="208"/>
      <c r="B466" s="158"/>
      <c r="C466" s="158"/>
      <c r="D466" s="158"/>
      <c r="E466" s="158"/>
      <c r="F466" s="158"/>
      <c r="G466" s="180"/>
      <c r="H466" s="133" t="s">
        <v>34</v>
      </c>
      <c r="I466" s="44"/>
      <c r="J466" s="44"/>
      <c r="K466" s="45"/>
      <c r="L466" s="1359"/>
      <c r="M466" s="45"/>
      <c r="N466" s="45"/>
      <c r="O466" s="45"/>
      <c r="P466" s="45"/>
      <c r="Q466" s="45"/>
      <c r="R466" s="45"/>
      <c r="S466" s="45"/>
      <c r="T466" s="45"/>
      <c r="U466" s="45"/>
    </row>
    <row r="467" spans="1:21" ht="18.75" x14ac:dyDescent="0.25">
      <c r="A467" s="208"/>
      <c r="B467" s="158"/>
      <c r="C467" s="326" t="s">
        <v>183</v>
      </c>
      <c r="D467" s="158"/>
      <c r="E467" s="158"/>
      <c r="F467" s="158"/>
      <c r="G467" s="180"/>
      <c r="H467" s="133" t="s">
        <v>46</v>
      </c>
      <c r="I467" s="44"/>
      <c r="J467" s="184">
        <f>J469+J471</f>
        <v>0</v>
      </c>
      <c r="K467" s="45"/>
      <c r="L467" s="1359"/>
      <c r="M467" s="45"/>
      <c r="N467" s="45"/>
      <c r="O467" s="45"/>
      <c r="P467" s="45"/>
      <c r="Q467" s="45"/>
      <c r="R467" s="45"/>
      <c r="S467" s="45"/>
      <c r="T467" s="45"/>
      <c r="U467" s="45"/>
    </row>
    <row r="468" spans="1:21" ht="18.75" x14ac:dyDescent="0.25">
      <c r="A468" s="208"/>
      <c r="B468" s="158"/>
      <c r="C468" s="158"/>
      <c r="D468" s="158"/>
      <c r="E468" s="158"/>
      <c r="F468" s="158"/>
      <c r="G468" s="180"/>
      <c r="H468" s="133" t="s">
        <v>34</v>
      </c>
      <c r="I468" s="44"/>
      <c r="J468" s="184">
        <f>J470+J472</f>
        <v>0</v>
      </c>
      <c r="K468" s="45"/>
      <c r="L468" s="1359"/>
      <c r="M468" s="45"/>
      <c r="N468" s="45"/>
      <c r="O468" s="45"/>
      <c r="P468" s="45"/>
      <c r="Q468" s="45"/>
      <c r="R468" s="45"/>
      <c r="S468" s="45"/>
      <c r="T468" s="45"/>
      <c r="U468" s="45"/>
    </row>
    <row r="469" spans="1:21" ht="18.75" x14ac:dyDescent="0.25">
      <c r="A469" s="208"/>
      <c r="B469" s="158"/>
      <c r="C469" s="158"/>
      <c r="D469" s="326" t="s">
        <v>184</v>
      </c>
      <c r="E469" s="158"/>
      <c r="F469" s="158"/>
      <c r="G469" s="180"/>
      <c r="H469" s="133" t="s">
        <v>46</v>
      </c>
      <c r="I469" s="44"/>
      <c r="J469" s="44"/>
      <c r="K469" s="45"/>
      <c r="L469" s="1359"/>
      <c r="M469" s="45"/>
      <c r="N469" s="45"/>
      <c r="O469" s="45"/>
      <c r="P469" s="45"/>
      <c r="Q469" s="45"/>
      <c r="R469" s="45"/>
      <c r="S469" s="45"/>
      <c r="T469" s="45"/>
      <c r="U469" s="45"/>
    </row>
    <row r="470" spans="1:21" ht="18.75" x14ac:dyDescent="0.25">
      <c r="A470" s="208"/>
      <c r="B470" s="158"/>
      <c r="C470" s="158"/>
      <c r="D470" s="158"/>
      <c r="E470" s="158"/>
      <c r="F470" s="158"/>
      <c r="G470" s="180"/>
      <c r="H470" s="133" t="s">
        <v>34</v>
      </c>
      <c r="I470" s="44"/>
      <c r="J470" s="44"/>
      <c r="K470" s="45"/>
      <c r="L470" s="1359"/>
      <c r="M470" s="45"/>
      <c r="N470" s="45"/>
      <c r="O470" s="45"/>
      <c r="P470" s="45"/>
      <c r="Q470" s="45"/>
      <c r="R470" s="45"/>
      <c r="S470" s="45"/>
      <c r="T470" s="45"/>
      <c r="U470" s="45"/>
    </row>
    <row r="471" spans="1:21" ht="18.75" x14ac:dyDescent="0.25">
      <c r="A471" s="208"/>
      <c r="B471" s="158"/>
      <c r="C471" s="158"/>
      <c r="D471" s="326" t="s">
        <v>185</v>
      </c>
      <c r="E471" s="158"/>
      <c r="F471" s="158"/>
      <c r="G471" s="180"/>
      <c r="H471" s="133" t="s">
        <v>46</v>
      </c>
      <c r="I471" s="44"/>
      <c r="J471" s="44"/>
      <c r="K471" s="45"/>
      <c r="L471" s="1359"/>
      <c r="M471" s="45"/>
      <c r="N471" s="45"/>
      <c r="O471" s="45"/>
      <c r="P471" s="45"/>
      <c r="Q471" s="45"/>
      <c r="R471" s="45"/>
      <c r="S471" s="45"/>
      <c r="T471" s="45"/>
      <c r="U471" s="45"/>
    </row>
    <row r="472" spans="1:21" ht="18.75" x14ac:dyDescent="0.25">
      <c r="A472" s="208"/>
      <c r="B472" s="158"/>
      <c r="C472" s="158"/>
      <c r="D472" s="158"/>
      <c r="E472" s="158"/>
      <c r="F472" s="158"/>
      <c r="G472" s="180"/>
      <c r="H472" s="133" t="s">
        <v>34</v>
      </c>
      <c r="I472" s="44"/>
      <c r="J472" s="44"/>
      <c r="K472" s="45"/>
      <c r="L472" s="1359"/>
      <c r="M472" s="45"/>
      <c r="N472" s="45"/>
      <c r="O472" s="45"/>
      <c r="P472" s="45"/>
      <c r="Q472" s="45"/>
      <c r="R472" s="45"/>
      <c r="S472" s="45"/>
      <c r="T472" s="45"/>
      <c r="U472" s="45"/>
    </row>
    <row r="473" spans="1:21" ht="18.75" x14ac:dyDescent="0.25">
      <c r="A473" s="208"/>
      <c r="B473" s="158"/>
      <c r="C473" s="209" t="s">
        <v>186</v>
      </c>
      <c r="D473" s="158"/>
      <c r="E473" s="158"/>
      <c r="F473" s="158"/>
      <c r="G473" s="180"/>
      <c r="H473" s="133" t="s">
        <v>46</v>
      </c>
      <c r="I473" s="44"/>
      <c r="J473" s="44"/>
      <c r="K473" s="45"/>
      <c r="L473" s="1359"/>
      <c r="M473" s="45"/>
      <c r="N473" s="45"/>
      <c r="O473" s="45"/>
      <c r="P473" s="45"/>
      <c r="Q473" s="45"/>
      <c r="R473" s="45"/>
      <c r="S473" s="45"/>
      <c r="T473" s="45"/>
      <c r="U473" s="45"/>
    </row>
    <row r="474" spans="1:21" ht="18.75" x14ac:dyDescent="0.25">
      <c r="A474" s="208"/>
      <c r="B474" s="158"/>
      <c r="C474" s="158"/>
      <c r="D474" s="158"/>
      <c r="E474" s="158"/>
      <c r="F474" s="158"/>
      <c r="G474" s="180"/>
      <c r="H474" s="133" t="s">
        <v>34</v>
      </c>
      <c r="I474" s="44"/>
      <c r="J474" s="44"/>
      <c r="K474" s="45"/>
      <c r="L474" s="1359"/>
      <c r="M474" s="45"/>
      <c r="N474" s="45"/>
      <c r="O474" s="45"/>
      <c r="P474" s="45"/>
      <c r="Q474" s="45"/>
      <c r="R474" s="45"/>
      <c r="S474" s="45"/>
      <c r="T474" s="45"/>
      <c r="U474" s="45"/>
    </row>
    <row r="475" spans="1:21" ht="19.5" x14ac:dyDescent="0.3">
      <c r="A475" s="208"/>
      <c r="B475" s="327" t="s">
        <v>187</v>
      </c>
      <c r="C475" s="158"/>
      <c r="D475" s="158"/>
      <c r="E475" s="158"/>
      <c r="F475" s="158"/>
      <c r="G475" s="180"/>
      <c r="H475" s="131" t="s">
        <v>46</v>
      </c>
      <c r="I475" s="328">
        <v>0</v>
      </c>
      <c r="J475" s="328">
        <f>J478+J480</f>
        <v>0</v>
      </c>
      <c r="K475" s="1390">
        <f>IF(I475&gt;0,J475*100/I475,0)</f>
        <v>0</v>
      </c>
      <c r="L475" s="1359"/>
      <c r="M475" s="45"/>
      <c r="N475" s="45"/>
      <c r="O475" s="45"/>
      <c r="P475" s="45"/>
      <c r="Q475" s="45"/>
      <c r="R475" s="45"/>
      <c r="S475" s="45"/>
      <c r="T475" s="45"/>
      <c r="U475" s="45"/>
    </row>
    <row r="476" spans="1:21" ht="19.5" x14ac:dyDescent="0.3">
      <c r="A476" s="208"/>
      <c r="B476" s="158"/>
      <c r="C476" s="161" t="s">
        <v>188</v>
      </c>
      <c r="D476" s="158"/>
      <c r="E476" s="158"/>
      <c r="F476" s="158"/>
      <c r="G476" s="180"/>
      <c r="H476" s="131" t="s">
        <v>46</v>
      </c>
      <c r="I476" s="328">
        <v>0</v>
      </c>
      <c r="J476" s="328">
        <f>J478+J480</f>
        <v>0</v>
      </c>
      <c r="K476" s="1390">
        <f>IF(I476&gt;0,J476*100/I476,0)</f>
        <v>0</v>
      </c>
      <c r="L476" s="1359"/>
      <c r="M476" s="45"/>
      <c r="N476" s="45"/>
      <c r="O476" s="45"/>
      <c r="P476" s="45"/>
      <c r="Q476" s="45"/>
      <c r="R476" s="45"/>
      <c r="S476" s="45"/>
      <c r="T476" s="45"/>
      <c r="U476" s="45"/>
    </row>
    <row r="477" spans="1:21" ht="19.5" x14ac:dyDescent="0.3">
      <c r="A477" s="208"/>
      <c r="B477" s="158"/>
      <c r="C477" s="209" t="s">
        <v>189</v>
      </c>
      <c r="D477" s="158"/>
      <c r="E477" s="158"/>
      <c r="F477" s="158"/>
      <c r="G477" s="180"/>
      <c r="H477" s="131" t="s">
        <v>34</v>
      </c>
      <c r="I477" s="328">
        <v>0</v>
      </c>
      <c r="J477" s="328">
        <f>J479+J481</f>
        <v>0</v>
      </c>
      <c r="K477" s="1390">
        <f>IF(I477&gt;0,J477*100/I477,0)</f>
        <v>0</v>
      </c>
      <c r="L477" s="1359"/>
      <c r="M477" s="45"/>
      <c r="N477" s="45"/>
      <c r="O477" s="45"/>
      <c r="P477" s="45"/>
      <c r="Q477" s="45"/>
      <c r="R477" s="45"/>
      <c r="S477" s="45"/>
      <c r="T477" s="45"/>
      <c r="U477" s="45"/>
    </row>
    <row r="478" spans="1:21" ht="18.75" x14ac:dyDescent="0.25">
      <c r="A478" s="208"/>
      <c r="B478" s="158"/>
      <c r="C478" s="158"/>
      <c r="D478" s="209" t="s">
        <v>190</v>
      </c>
      <c r="E478" s="158"/>
      <c r="F478" s="158"/>
      <c r="G478" s="180"/>
      <c r="H478" s="133" t="s">
        <v>46</v>
      </c>
      <c r="I478" s="44"/>
      <c r="J478" s="44"/>
      <c r="K478" s="45"/>
      <c r="L478" s="1359"/>
      <c r="M478" s="45"/>
      <c r="N478" s="45"/>
      <c r="O478" s="45"/>
      <c r="P478" s="45"/>
      <c r="Q478" s="45"/>
      <c r="R478" s="45"/>
      <c r="S478" s="45"/>
      <c r="T478" s="45"/>
      <c r="U478" s="45"/>
    </row>
    <row r="479" spans="1:21" ht="18.75" x14ac:dyDescent="0.25">
      <c r="A479" s="208"/>
      <c r="B479" s="158"/>
      <c r="C479" s="158"/>
      <c r="D479" s="158"/>
      <c r="E479" s="158"/>
      <c r="F479" s="158"/>
      <c r="G479" s="180"/>
      <c r="H479" s="133" t="s">
        <v>34</v>
      </c>
      <c r="I479" s="44"/>
      <c r="J479" s="44"/>
      <c r="K479" s="45"/>
      <c r="L479" s="1359"/>
      <c r="M479" s="45"/>
      <c r="N479" s="45"/>
      <c r="O479" s="45"/>
      <c r="P479" s="45"/>
      <c r="Q479" s="45"/>
      <c r="R479" s="45"/>
      <c r="S479" s="45"/>
      <c r="T479" s="45"/>
      <c r="U479" s="45"/>
    </row>
    <row r="480" spans="1:21" ht="18.75" x14ac:dyDescent="0.25">
      <c r="A480" s="208"/>
      <c r="B480" s="158"/>
      <c r="C480" s="158"/>
      <c r="D480" s="326" t="s">
        <v>191</v>
      </c>
      <c r="E480" s="158"/>
      <c r="F480" s="158"/>
      <c r="G480" s="180"/>
      <c r="H480" s="133" t="s">
        <v>46</v>
      </c>
      <c r="I480" s="44"/>
      <c r="J480" s="44"/>
      <c r="K480" s="45"/>
      <c r="L480" s="1359"/>
      <c r="M480" s="45"/>
      <c r="N480" s="45"/>
      <c r="O480" s="45"/>
      <c r="P480" s="45"/>
      <c r="Q480" s="45"/>
      <c r="R480" s="45"/>
      <c r="S480" s="45"/>
      <c r="T480" s="45"/>
      <c r="U480" s="45"/>
    </row>
    <row r="481" spans="1:21" ht="18.75" x14ac:dyDescent="0.25">
      <c r="A481" s="208"/>
      <c r="B481" s="158"/>
      <c r="C481" s="158"/>
      <c r="D481" s="158"/>
      <c r="E481" s="158"/>
      <c r="F481" s="158"/>
      <c r="G481" s="180"/>
      <c r="H481" s="133" t="s">
        <v>34</v>
      </c>
      <c r="I481" s="44"/>
      <c r="J481" s="44"/>
      <c r="K481" s="45"/>
      <c r="L481" s="1359"/>
      <c r="M481" s="45"/>
      <c r="N481" s="45"/>
      <c r="O481" s="45"/>
      <c r="P481" s="45"/>
      <c r="Q481" s="45"/>
      <c r="R481" s="45"/>
      <c r="S481" s="45"/>
      <c r="T481" s="45"/>
      <c r="U481" s="45"/>
    </row>
    <row r="482" spans="1:21" ht="18.75" x14ac:dyDescent="0.25">
      <c r="A482" s="208"/>
      <c r="B482" s="158"/>
      <c r="C482" s="158"/>
      <c r="D482" s="326" t="s">
        <v>192</v>
      </c>
      <c r="E482" s="158"/>
      <c r="F482" s="158"/>
      <c r="G482" s="180"/>
      <c r="H482" s="133" t="s">
        <v>46</v>
      </c>
      <c r="I482" s="44"/>
      <c r="J482" s="184">
        <f ca="1">IFERROR(__xludf.DUMMYFUNCTION("IMPORTRANGE(""https://docs.google.com/spreadsheets/d/1eHaY18a8A9IcSdp1K8H6x8fbOy06t2VsZHhMHf-1x7Y/edit?usp=sharing"",""แผน!HN29"")"),0)</f>
        <v>0</v>
      </c>
      <c r="K482" s="45"/>
      <c r="L482" s="1359"/>
      <c r="M482" s="45"/>
      <c r="N482" s="45"/>
      <c r="O482" s="45"/>
      <c r="P482" s="45"/>
      <c r="Q482" s="45"/>
      <c r="R482" s="45"/>
      <c r="S482" s="45"/>
      <c r="T482" s="45"/>
      <c r="U482" s="45"/>
    </row>
    <row r="483" spans="1:21" ht="18.75" x14ac:dyDescent="0.25">
      <c r="A483" s="208"/>
      <c r="B483" s="158"/>
      <c r="C483" s="158"/>
      <c r="D483" s="158"/>
      <c r="E483" s="158"/>
      <c r="F483" s="158"/>
      <c r="G483" s="180"/>
      <c r="H483" s="133" t="s">
        <v>34</v>
      </c>
      <c r="I483" s="44"/>
      <c r="J483" s="184">
        <f ca="1">IFERROR(__xludf.DUMMYFUNCTION("IMPORTRANGE(""https://docs.google.com/spreadsheets/d/1eHaY18a8A9IcSdp1K8H6x8fbOy06t2VsZHhMHf-1x7Y/edit?usp=sharing"",""แผน!HO29"")"),0)</f>
        <v>0</v>
      </c>
      <c r="K483" s="45"/>
      <c r="L483" s="1359"/>
      <c r="M483" s="45"/>
      <c r="N483" s="45"/>
      <c r="O483" s="45"/>
      <c r="P483" s="45"/>
      <c r="Q483" s="45"/>
      <c r="R483" s="45"/>
      <c r="S483" s="45"/>
      <c r="T483" s="45"/>
      <c r="U483" s="45"/>
    </row>
    <row r="484" spans="1:21" ht="19.5" x14ac:dyDescent="0.3">
      <c r="A484" s="208"/>
      <c r="B484" s="158"/>
      <c r="C484" s="161" t="s">
        <v>193</v>
      </c>
      <c r="D484" s="158"/>
      <c r="E484" s="158"/>
      <c r="F484" s="158"/>
      <c r="G484" s="180"/>
      <c r="H484" s="131" t="s">
        <v>46</v>
      </c>
      <c r="I484" s="44">
        <f>J480</f>
        <v>0</v>
      </c>
      <c r="J484" s="328">
        <f>J486+J488+J490</f>
        <v>0</v>
      </c>
      <c r="K484" s="1390">
        <f>IF(I484&gt;0,J484*100/I484,0)</f>
        <v>0</v>
      </c>
      <c r="L484" s="1359"/>
      <c r="M484" s="45"/>
      <c r="N484" s="45"/>
      <c r="O484" s="45"/>
      <c r="P484" s="45"/>
      <c r="Q484" s="45"/>
      <c r="R484" s="45"/>
      <c r="S484" s="45"/>
      <c r="T484" s="45"/>
      <c r="U484" s="45"/>
    </row>
    <row r="485" spans="1:21" ht="19.5" x14ac:dyDescent="0.3">
      <c r="A485" s="208"/>
      <c r="B485" s="158"/>
      <c r="C485" s="209" t="s">
        <v>194</v>
      </c>
      <c r="D485" s="158"/>
      <c r="E485" s="158"/>
      <c r="F485" s="158"/>
      <c r="G485" s="180"/>
      <c r="H485" s="131" t="s">
        <v>34</v>
      </c>
      <c r="I485" s="44">
        <f>J481</f>
        <v>0</v>
      </c>
      <c r="J485" s="328">
        <f>J487+J489+J491</f>
        <v>0</v>
      </c>
      <c r="K485" s="1390">
        <f>IF(I485&gt;0,J485*100/I485,0)</f>
        <v>0</v>
      </c>
      <c r="L485" s="1359"/>
      <c r="M485" s="45"/>
      <c r="N485" s="45"/>
      <c r="O485" s="45"/>
      <c r="P485" s="45"/>
      <c r="Q485" s="45"/>
      <c r="R485" s="45"/>
      <c r="S485" s="45"/>
      <c r="T485" s="45"/>
      <c r="U485" s="45"/>
    </row>
    <row r="486" spans="1:21" ht="18.75" x14ac:dyDescent="0.25">
      <c r="A486" s="208"/>
      <c r="B486" s="158"/>
      <c r="C486" s="158"/>
      <c r="D486" s="326" t="s">
        <v>195</v>
      </c>
      <c r="E486" s="158"/>
      <c r="F486" s="158"/>
      <c r="G486" s="180"/>
      <c r="H486" s="133" t="s">
        <v>46</v>
      </c>
      <c r="I486" s="44"/>
      <c r="J486" s="44"/>
      <c r="K486" s="45"/>
      <c r="L486" s="1359"/>
      <c r="M486" s="45"/>
      <c r="N486" s="45"/>
      <c r="O486" s="45"/>
      <c r="P486" s="45"/>
      <c r="Q486" s="45"/>
      <c r="R486" s="45"/>
      <c r="S486" s="45"/>
      <c r="T486" s="45"/>
      <c r="U486" s="45"/>
    </row>
    <row r="487" spans="1:21" ht="18.75" x14ac:dyDescent="0.25">
      <c r="A487" s="208"/>
      <c r="B487" s="158"/>
      <c r="C487" s="158"/>
      <c r="D487" s="158"/>
      <c r="E487" s="158"/>
      <c r="F487" s="158"/>
      <c r="G487" s="180"/>
      <c r="H487" s="133" t="s">
        <v>34</v>
      </c>
      <c r="I487" s="44"/>
      <c r="J487" s="44"/>
      <c r="K487" s="45"/>
      <c r="L487" s="1359"/>
      <c r="M487" s="45"/>
      <c r="N487" s="45"/>
      <c r="O487" s="45"/>
      <c r="P487" s="45"/>
      <c r="Q487" s="45"/>
      <c r="R487" s="45"/>
      <c r="S487" s="45"/>
      <c r="T487" s="45"/>
      <c r="U487" s="45"/>
    </row>
    <row r="488" spans="1:21" ht="18.75" x14ac:dyDescent="0.25">
      <c r="A488" s="208"/>
      <c r="B488" s="158"/>
      <c r="C488" s="158"/>
      <c r="D488" s="326" t="s">
        <v>196</v>
      </c>
      <c r="E488" s="158"/>
      <c r="F488" s="158"/>
      <c r="G488" s="180"/>
      <c r="H488" s="133" t="s">
        <v>46</v>
      </c>
      <c r="I488" s="44"/>
      <c r="J488" s="44"/>
      <c r="K488" s="45"/>
      <c r="L488" s="1359"/>
      <c r="M488" s="45"/>
      <c r="N488" s="45"/>
      <c r="O488" s="45"/>
      <c r="P488" s="45"/>
      <c r="Q488" s="45"/>
      <c r="R488" s="45"/>
      <c r="S488" s="45"/>
      <c r="T488" s="45"/>
      <c r="U488" s="45"/>
    </row>
    <row r="489" spans="1:21" ht="18.75" x14ac:dyDescent="0.25">
      <c r="A489" s="208"/>
      <c r="B489" s="158"/>
      <c r="C489" s="158"/>
      <c r="D489" s="158"/>
      <c r="E489" s="158"/>
      <c r="F489" s="158"/>
      <c r="G489" s="180"/>
      <c r="H489" s="133" t="s">
        <v>34</v>
      </c>
      <c r="I489" s="44"/>
      <c r="J489" s="44"/>
      <c r="K489" s="45"/>
      <c r="L489" s="1359"/>
      <c r="M489" s="45"/>
      <c r="N489" s="45"/>
      <c r="O489" s="45"/>
      <c r="P489" s="45"/>
      <c r="Q489" s="45"/>
      <c r="R489" s="45"/>
      <c r="S489" s="45"/>
      <c r="T489" s="45"/>
      <c r="U489" s="45"/>
    </row>
    <row r="490" spans="1:21" ht="18.75" x14ac:dyDescent="0.25">
      <c r="A490" s="208"/>
      <c r="B490" s="158"/>
      <c r="C490" s="158"/>
      <c r="D490" s="326" t="s">
        <v>197</v>
      </c>
      <c r="E490" s="158"/>
      <c r="F490" s="158"/>
      <c r="G490" s="180"/>
      <c r="H490" s="133" t="s">
        <v>46</v>
      </c>
      <c r="I490" s="44"/>
      <c r="J490" s="44"/>
      <c r="K490" s="45"/>
      <c r="L490" s="1359"/>
      <c r="M490" s="45"/>
      <c r="N490" s="45"/>
      <c r="O490" s="45"/>
      <c r="P490" s="45"/>
      <c r="Q490" s="45"/>
      <c r="R490" s="45"/>
      <c r="S490" s="45"/>
      <c r="T490" s="45"/>
      <c r="U490" s="45"/>
    </row>
    <row r="491" spans="1:21" ht="18.75" x14ac:dyDescent="0.25">
      <c r="A491" s="329"/>
      <c r="B491" s="2"/>
      <c r="C491" s="2"/>
      <c r="D491" s="2"/>
      <c r="E491" s="2"/>
      <c r="F491" s="2"/>
      <c r="G491" s="330"/>
      <c r="H491" s="331" t="s">
        <v>34</v>
      </c>
      <c r="I491" s="54"/>
      <c r="J491" s="54"/>
      <c r="K491" s="3"/>
      <c r="L491" s="1360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9.5" x14ac:dyDescent="0.3">
      <c r="A492" s="299"/>
      <c r="B492" s="310" t="s">
        <v>198</v>
      </c>
      <c r="C492" s="301"/>
      <c r="D492" s="301"/>
      <c r="E492" s="293"/>
      <c r="F492" s="293"/>
      <c r="G492" s="294"/>
      <c r="H492" s="321" t="s">
        <v>35</v>
      </c>
      <c r="I492" s="1501">
        <f ca="1">I503</f>
        <v>0</v>
      </c>
      <c r="J492" s="1501">
        <f ca="1">J503</f>
        <v>0</v>
      </c>
      <c r="K492" s="1502">
        <f ca="1">IF(I492&gt;0,J492*100/I492,0)</f>
        <v>0</v>
      </c>
      <c r="L492" s="1503"/>
      <c r="M492" s="298"/>
      <c r="N492" s="298"/>
      <c r="O492" s="298"/>
      <c r="P492" s="298"/>
      <c r="Q492" s="298"/>
      <c r="R492" s="298"/>
      <c r="S492" s="298"/>
      <c r="T492" s="298"/>
      <c r="U492" s="298"/>
    </row>
    <row r="493" spans="1:21" ht="19.5" x14ac:dyDescent="0.3">
      <c r="A493" s="128"/>
      <c r="B493" s="158"/>
      <c r="C493" s="177" t="s">
        <v>18</v>
      </c>
      <c r="D493" s="1538" t="s">
        <v>19</v>
      </c>
      <c r="E493" s="1292"/>
      <c r="F493" s="1292"/>
      <c r="G493" s="42"/>
      <c r="H493" s="221" t="s">
        <v>14</v>
      </c>
      <c r="I493" s="44"/>
      <c r="J493" s="44"/>
      <c r="K493" s="45"/>
      <c r="L493" s="1389">
        <f ca="1">L494+L495</f>
        <v>0</v>
      </c>
      <c r="M493" s="1390">
        <f ca="1">M494+M495</f>
        <v>0</v>
      </c>
      <c r="N493" s="1390">
        <f ca="1">N494+N495</f>
        <v>0</v>
      </c>
      <c r="O493" s="1390">
        <f ca="1">IF(L493&gt;0,N493*100/L493,0)</f>
        <v>0</v>
      </c>
      <c r="P493" s="1390">
        <f ca="1">IF(M493&gt;0,N493*100/M493,0)</f>
        <v>0</v>
      </c>
      <c r="Q493" s="1390">
        <f ca="1">Q494+Q495</f>
        <v>0</v>
      </c>
      <c r="R493" s="1390">
        <f ca="1">R494+R495</f>
        <v>0</v>
      </c>
      <c r="S493" s="1390">
        <f ca="1">S494+S495</f>
        <v>0</v>
      </c>
      <c r="T493" s="1390">
        <f ca="1">IF(Q493&gt;0,S493*100/Q493,0)</f>
        <v>0</v>
      </c>
      <c r="U493" s="1390">
        <f ca="1">IF(R493&gt;0,S493*100/R493,0)</f>
        <v>0</v>
      </c>
    </row>
    <row r="494" spans="1:21" ht="18.75" x14ac:dyDescent="0.25">
      <c r="A494" s="128"/>
      <c r="B494" s="158"/>
      <c r="C494" s="158"/>
      <c r="D494" s="139"/>
      <c r="E494" s="156" t="s">
        <v>158</v>
      </c>
      <c r="F494" s="40"/>
      <c r="G494" s="42"/>
      <c r="H494" s="159" t="s">
        <v>14</v>
      </c>
      <c r="I494" s="44"/>
      <c r="J494" s="44"/>
      <c r="K494" s="45"/>
      <c r="L494" s="1358">
        <f>L497+L500</f>
        <v>0</v>
      </c>
      <c r="M494" s="83">
        <f>M497+M500</f>
        <v>0</v>
      </c>
      <c r="N494" s="83">
        <f>N497+N500</f>
        <v>0</v>
      </c>
      <c r="O494" s="83">
        <f>IF(L494&gt;0,N494*100/L494,0)</f>
        <v>0</v>
      </c>
      <c r="P494" s="83">
        <f>IF(M494&gt;0,N494*100/M494,0)</f>
        <v>0</v>
      </c>
      <c r="Q494" s="83">
        <f>Q497+Q500</f>
        <v>0</v>
      </c>
      <c r="R494" s="83">
        <f>R497+R500</f>
        <v>0</v>
      </c>
      <c r="S494" s="83">
        <f>S497+S500</f>
        <v>0</v>
      </c>
      <c r="T494" s="83">
        <f>IF(Q494&gt;0,S494*100/Q494,0)</f>
        <v>0</v>
      </c>
      <c r="U494" s="83">
        <f>IF(R494&gt;0,S494*100/R494,0)</f>
        <v>0</v>
      </c>
    </row>
    <row r="495" spans="1:21" ht="18.75" x14ac:dyDescent="0.25">
      <c r="A495" s="128"/>
      <c r="B495" s="158"/>
      <c r="C495" s="158"/>
      <c r="D495" s="139"/>
      <c r="E495" s="47" t="s">
        <v>159</v>
      </c>
      <c r="F495" s="40"/>
      <c r="G495" s="42"/>
      <c r="H495" s="134" t="s">
        <v>14</v>
      </c>
      <c r="I495" s="44"/>
      <c r="J495" s="44"/>
      <c r="K495" s="45"/>
      <c r="L495" s="1356">
        <f ca="1">L498+L501</f>
        <v>0</v>
      </c>
      <c r="M495" s="224">
        <f ca="1">M498+M501</f>
        <v>0</v>
      </c>
      <c r="N495" s="224">
        <f ca="1">N498+N501</f>
        <v>0</v>
      </c>
      <c r="O495" s="224">
        <f ca="1">IF(L495&gt;0,N495*100/L495,0)</f>
        <v>0</v>
      </c>
      <c r="P495" s="224">
        <f ca="1">IF(M495&gt;0,N495*100/M495,0)</f>
        <v>0</v>
      </c>
      <c r="Q495" s="224">
        <f ca="1">Q498+Q501</f>
        <v>0</v>
      </c>
      <c r="R495" s="224">
        <f ca="1">R498+R501</f>
        <v>0</v>
      </c>
      <c r="S495" s="224">
        <f ca="1">S498+S501</f>
        <v>0</v>
      </c>
      <c r="T495" s="224">
        <f ca="1">IF(Q495&gt;0,S495*100/Q495,0)</f>
        <v>0</v>
      </c>
      <c r="U495" s="224">
        <f ca="1">IF(R495&gt;0,S495*100/R495,0)</f>
        <v>0</v>
      </c>
    </row>
    <row r="496" spans="1:21" ht="18.75" x14ac:dyDescent="0.25">
      <c r="A496" s="128"/>
      <c r="B496" s="158"/>
      <c r="C496" s="158"/>
      <c r="D496" s="1406" t="s">
        <v>22</v>
      </c>
      <c r="E496" s="40"/>
      <c r="F496" s="40"/>
      <c r="G496" s="42"/>
      <c r="H496" s="134" t="s">
        <v>14</v>
      </c>
      <c r="I496" s="135"/>
      <c r="J496" s="135"/>
      <c r="K496" s="136"/>
      <c r="L496" s="1356">
        <f ca="1">L497+L498</f>
        <v>0</v>
      </c>
      <c r="M496" s="224">
        <f ca="1">M497+M498</f>
        <v>0</v>
      </c>
      <c r="N496" s="224">
        <f ca="1">N497+N498</f>
        <v>0</v>
      </c>
      <c r="O496" s="224">
        <f ca="1">IF(L496&gt;0,N496*100/L496,0)</f>
        <v>0</v>
      </c>
      <c r="P496" s="224">
        <f ca="1">IF(M496&gt;0,N496*100/M496,0)</f>
        <v>0</v>
      </c>
      <c r="Q496" s="224">
        <f ca="1">Q497+Q498</f>
        <v>0</v>
      </c>
      <c r="R496" s="224">
        <f ca="1">R497+R498</f>
        <v>0</v>
      </c>
      <c r="S496" s="224">
        <f ca="1">S497+S498</f>
        <v>0</v>
      </c>
      <c r="T496" s="224">
        <f ca="1">IF(Q496&gt;0,S496*100/Q496,0)</f>
        <v>0</v>
      </c>
      <c r="U496" s="224">
        <f ca="1">IF(R496&gt;0,S496*100/R496,0)</f>
        <v>0</v>
      </c>
    </row>
    <row r="497" spans="1:21" ht="18.75" x14ac:dyDescent="0.25">
      <c r="A497" s="128"/>
      <c r="B497" s="158"/>
      <c r="C497" s="158"/>
      <c r="D497" s="139"/>
      <c r="E497" s="156" t="s">
        <v>158</v>
      </c>
      <c r="F497" s="40"/>
      <c r="G497" s="42"/>
      <c r="H497" s="159" t="s">
        <v>14</v>
      </c>
      <c r="I497" s="44"/>
      <c r="J497" s="44"/>
      <c r="K497" s="45"/>
      <c r="L497" s="1358">
        <v>0</v>
      </c>
      <c r="M497" s="83">
        <v>0</v>
      </c>
      <c r="N497" s="83">
        <v>0</v>
      </c>
      <c r="O497" s="83">
        <f>IF(L497&gt;0,N497*100/L497,0)</f>
        <v>0</v>
      </c>
      <c r="P497" s="83">
        <f>IF(M497&gt;0,N497*100/M497,0)</f>
        <v>0</v>
      </c>
      <c r="Q497" s="83">
        <v>0</v>
      </c>
      <c r="R497" s="83">
        <v>0</v>
      </c>
      <c r="S497" s="83">
        <v>0</v>
      </c>
      <c r="T497" s="83">
        <f>IF(Q497&gt;0,S497*100/Q497,0)</f>
        <v>0</v>
      </c>
      <c r="U497" s="83">
        <f>IF(R497&gt;0,S497*100/R497,0)</f>
        <v>0</v>
      </c>
    </row>
    <row r="498" spans="1:21" ht="18.75" x14ac:dyDescent="0.25">
      <c r="A498" s="128"/>
      <c r="B498" s="158"/>
      <c r="C498" s="158"/>
      <c r="D498" s="139"/>
      <c r="E498" s="47" t="s">
        <v>159</v>
      </c>
      <c r="F498" s="40"/>
      <c r="G498" s="42"/>
      <c r="H498" s="134" t="s">
        <v>14</v>
      </c>
      <c r="I498" s="44"/>
      <c r="J498" s="44"/>
      <c r="K498" s="45"/>
      <c r="L498" s="1356">
        <f ca="1">IFERROR(__xludf.DUMMYFUNCTION("IMPORTRANGE(""https://docs.google.com/spreadsheets/d/1-uDff_7J0KD5mKrp0Vvzr7lt3OU09vwQwhkpOPPYv2Y/edit?usp=sharing"",""งบพรบ!HU29"")"),0)</f>
        <v>0</v>
      </c>
      <c r="M498" s="224">
        <f ca="1">IFERROR(__xludf.DUMMYFUNCTION("IMPORTRANGE(""https://docs.google.com/spreadsheets/d/1-uDff_7J0KD5mKrp0Vvzr7lt3OU09vwQwhkpOPPYv2Y/edit?usp=sharing"",""งบพรบ!HZ29"")"),0)</f>
        <v>0</v>
      </c>
      <c r="N498" s="224">
        <f ca="1">IFERROR(__xludf.DUMMYFUNCTION("IMPORTRANGE(""https://docs.google.com/spreadsheets/d/1-uDff_7J0KD5mKrp0Vvzr7lt3OU09vwQwhkpOPPYv2Y/edit?usp=sharing"",""งบพรบ!IB29"")"),0)</f>
        <v>0</v>
      </c>
      <c r="O498" s="224">
        <f ca="1">IF(L498&gt;0,N498*100/L498,0)</f>
        <v>0</v>
      </c>
      <c r="P498" s="224">
        <f ca="1">IF(M498&gt;0,N498*100/M498,0)</f>
        <v>0</v>
      </c>
      <c r="Q498" s="224">
        <f ca="1">IFERROR(__xludf.DUMMYFUNCTION("IMPORTRANGE(""https://docs.google.com/spreadsheets/d/1ItG2mGa2ceCfYo0BwxsXqNm01IGEUdYcSSLTEv9YCik/edit?usp=sharing"",""เบิกจ่ายกองทุน!AD29"")"),0)</f>
        <v>0</v>
      </c>
      <c r="R498" s="224">
        <f ca="1">IFERROR(__xludf.DUMMYFUNCTION("IMPORTRANGE(""https://docs.google.com/spreadsheets/d/1ItG2mGa2ceCfYo0BwxsXqNm01IGEUdYcSSLTEv9YCik/edit?usp=sharing"",""เบิกจ่ายกองทุน!AE29"")"),0)</f>
        <v>0</v>
      </c>
      <c r="S498" s="224">
        <f ca="1">IFERROR(__xludf.DUMMYFUNCTION("IMPORTRANGE(""https://docs.google.com/spreadsheets/d/1ItG2mGa2ceCfYo0BwxsXqNm01IGEUdYcSSLTEv9YCik/edit?usp=sharing"",""เบิกจ่ายกองทุน!AF29"")"),0)</f>
        <v>0</v>
      </c>
      <c r="T498" s="224">
        <f ca="1">IF(Q498&gt;0,S498*100/Q498,0)</f>
        <v>0</v>
      </c>
      <c r="U498" s="224">
        <f ca="1">IF(R498&gt;0,S498*100/R498,0)</f>
        <v>0</v>
      </c>
    </row>
    <row r="499" spans="1:21" ht="18.75" x14ac:dyDescent="0.25">
      <c r="A499" s="128"/>
      <c r="B499" s="158"/>
      <c r="C499" s="158"/>
      <c r="D499" s="1406" t="s">
        <v>23</v>
      </c>
      <c r="E499" s="40"/>
      <c r="F499" s="40"/>
      <c r="G499" s="42"/>
      <c r="H499" s="137" t="s">
        <v>14</v>
      </c>
      <c r="I499" s="135"/>
      <c r="J499" s="135"/>
      <c r="K499" s="136"/>
      <c r="L499" s="1356">
        <f ca="1">L500+L501</f>
        <v>0</v>
      </c>
      <c r="M499" s="224">
        <f ca="1">M500+M501</f>
        <v>0</v>
      </c>
      <c r="N499" s="224">
        <f ca="1">N500+N501</f>
        <v>0</v>
      </c>
      <c r="O499" s="224">
        <f ca="1">IF(L499&gt;0,N499*100/L499,0)</f>
        <v>0</v>
      </c>
      <c r="P499" s="224">
        <f ca="1">IF(M499&gt;0,N499*100/M499,0)</f>
        <v>0</v>
      </c>
      <c r="Q499" s="224">
        <f>Q500+Q501</f>
        <v>0</v>
      </c>
      <c r="R499" s="224">
        <f>R500+R501</f>
        <v>0</v>
      </c>
      <c r="S499" s="224">
        <f>S500+S501</f>
        <v>0</v>
      </c>
      <c r="T499" s="224">
        <f>IF(Q499&gt;0,S499*100/Q499,0)</f>
        <v>0</v>
      </c>
      <c r="U499" s="224">
        <f>IF(R499&gt;0,S499*100/R499,0)</f>
        <v>0</v>
      </c>
    </row>
    <row r="500" spans="1:21" ht="18.75" x14ac:dyDescent="0.25">
      <c r="A500" s="128"/>
      <c r="B500" s="158"/>
      <c r="C500" s="158"/>
      <c r="D500" s="158"/>
      <c r="E500" s="156" t="s">
        <v>20</v>
      </c>
      <c r="F500" s="40"/>
      <c r="G500" s="42"/>
      <c r="H500" s="159" t="s">
        <v>14</v>
      </c>
      <c r="I500" s="135"/>
      <c r="J500" s="135"/>
      <c r="K500" s="136"/>
      <c r="L500" s="1358">
        <v>0</v>
      </c>
      <c r="M500" s="83">
        <v>0</v>
      </c>
      <c r="N500" s="83">
        <v>0</v>
      </c>
      <c r="O500" s="83">
        <f>IF(L500&gt;0,N500*100/L500,0)</f>
        <v>0</v>
      </c>
      <c r="P500" s="83">
        <f>IF(M500&gt;0,N500*100/M500,0)</f>
        <v>0</v>
      </c>
      <c r="Q500" s="83">
        <v>0</v>
      </c>
      <c r="R500" s="83">
        <v>0</v>
      </c>
      <c r="S500" s="83">
        <v>0</v>
      </c>
      <c r="T500" s="83">
        <f>IF(Q500&gt;0,S500*100/Q500,0)</f>
        <v>0</v>
      </c>
      <c r="U500" s="83">
        <f>IF(R500&gt;0,S500*100/R500,0)</f>
        <v>0</v>
      </c>
    </row>
    <row r="501" spans="1:21" ht="18.75" x14ac:dyDescent="0.25">
      <c r="A501" s="128"/>
      <c r="B501" s="158"/>
      <c r="C501" s="158"/>
      <c r="D501" s="158"/>
      <c r="E501" s="47" t="s">
        <v>21</v>
      </c>
      <c r="F501" s="40"/>
      <c r="G501" s="42"/>
      <c r="H501" s="137" t="s">
        <v>14</v>
      </c>
      <c r="I501" s="135"/>
      <c r="J501" s="135"/>
      <c r="K501" s="136"/>
      <c r="L501" s="1356">
        <f ca="1">IFERROR(__xludf.DUMMYFUNCTION("IMPORTRANGE(""https://docs.google.com/spreadsheets/d/1-uDff_7J0KD5mKrp0Vvzr7lt3OU09vwQwhkpOPPYv2Y/edit?usp=sharing"",""งบพรบ!HX29"")"),0)</f>
        <v>0</v>
      </c>
      <c r="M501" s="224">
        <f ca="1">IFERROR(__xludf.DUMMYFUNCTION("IMPORTRANGE(""https://docs.google.com/spreadsheets/d/1-uDff_7J0KD5mKrp0Vvzr7lt3OU09vwQwhkpOPPYv2Y/edit?usp=sharing"",""งบพรบ!IA29"")"),0)</f>
        <v>0</v>
      </c>
      <c r="N501" s="224">
        <f ca="1">IFERROR(__xludf.DUMMYFUNCTION("IMPORTRANGE(""https://docs.google.com/spreadsheets/d/1-uDff_7J0KD5mKrp0Vvzr7lt3OU09vwQwhkpOPPYv2Y/edit?usp=sharing"",""งบพรบ!IC29"")"),0)</f>
        <v>0</v>
      </c>
      <c r="O501" s="224">
        <f ca="1">IF(L501&gt;0,N501*100/L501,0)</f>
        <v>0</v>
      </c>
      <c r="P501" s="224">
        <f ca="1">IF(M501&gt;0,N501*100/M501,0)</f>
        <v>0</v>
      </c>
      <c r="Q501" s="224">
        <v>0</v>
      </c>
      <c r="R501" s="224">
        <v>0</v>
      </c>
      <c r="S501" s="224">
        <v>0</v>
      </c>
      <c r="T501" s="224">
        <f>IF(Q501&gt;0,S501*100/Q501,0)</f>
        <v>0</v>
      </c>
      <c r="U501" s="224">
        <f>IF(R501&gt;0,S501*100/R501,0)</f>
        <v>0</v>
      </c>
    </row>
    <row r="502" spans="1:21" ht="19.5" x14ac:dyDescent="0.3">
      <c r="A502" s="138"/>
      <c r="B502" s="139"/>
      <c r="C502" s="177" t="s">
        <v>18</v>
      </c>
      <c r="D502" s="1535" t="s">
        <v>38</v>
      </c>
      <c r="E502" s="141"/>
      <c r="F502" s="141"/>
      <c r="G502" s="142"/>
      <c r="H502" s="178"/>
      <c r="I502" s="135"/>
      <c r="J502" s="135"/>
      <c r="K502" s="136"/>
      <c r="L502" s="1392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08"/>
      <c r="B503" s="158"/>
      <c r="C503" s="158"/>
      <c r="D503" s="161" t="s">
        <v>199</v>
      </c>
      <c r="E503" s="40"/>
      <c r="F503" s="40"/>
      <c r="G503" s="42"/>
      <c r="H503" s="133" t="s">
        <v>35</v>
      </c>
      <c r="I503" s="328">
        <f ca="1">IFERROR(__xludf.DUMMYFUNCTION("IMPORTRANGE(""https://docs.google.com/spreadsheets/d/1eHaY18a8A9IcSdp1K8H6x8fbOy06t2VsZHhMHf-1x7Y/edit?usp=sharing"",""แผน!GX29"")"),0)</f>
        <v>0</v>
      </c>
      <c r="J503" s="328">
        <f ca="1">IF(AND(J504=I504,J505=I505,J506=I506,J507=I507),I503,0)</f>
        <v>0</v>
      </c>
      <c r="K503" s="1390">
        <f ca="1">IF(I503&gt;0,J503*100/I503,0)</f>
        <v>0</v>
      </c>
      <c r="L503" s="1359"/>
      <c r="M503" s="45"/>
      <c r="N503" s="45"/>
      <c r="O503" s="45"/>
      <c r="P503" s="45"/>
      <c r="Q503" s="45"/>
      <c r="R503" s="45"/>
      <c r="S503" s="45"/>
      <c r="T503" s="45"/>
      <c r="U503" s="45"/>
    </row>
    <row r="504" spans="1:21" ht="18.75" x14ac:dyDescent="0.25">
      <c r="A504" s="208"/>
      <c r="B504" s="158"/>
      <c r="C504" s="158"/>
      <c r="D504" s="158"/>
      <c r="E504" s="47" t="s">
        <v>200</v>
      </c>
      <c r="F504" s="40"/>
      <c r="G504" s="42"/>
      <c r="H504" s="133" t="s">
        <v>35</v>
      </c>
      <c r="I504" s="184">
        <f ca="1">IFERROR(__xludf.DUMMYFUNCTION("IMPORTRANGE(""https://docs.google.com/spreadsheets/d/1eHaY18a8A9IcSdp1K8H6x8fbOy06t2VsZHhMHf-1x7Y/edit?usp=sharing"",""แผน!GY29"")"),0)</f>
        <v>0</v>
      </c>
      <c r="J504" s="1395">
        <v>0</v>
      </c>
      <c r="K504" s="224">
        <f ca="1">IF(I504&gt;0,J504*100/I504,0)</f>
        <v>0</v>
      </c>
      <c r="L504" s="1359"/>
      <c r="M504" s="45"/>
      <c r="N504" s="45"/>
      <c r="O504" s="45"/>
      <c r="P504" s="45"/>
      <c r="Q504" s="45"/>
      <c r="R504" s="45"/>
      <c r="S504" s="45"/>
      <c r="T504" s="45"/>
      <c r="U504" s="45"/>
    </row>
    <row r="505" spans="1:21" ht="18.75" x14ac:dyDescent="0.25">
      <c r="A505" s="208"/>
      <c r="B505" s="158"/>
      <c r="C505" s="158"/>
      <c r="D505" s="158"/>
      <c r="E505" s="47" t="s">
        <v>201</v>
      </c>
      <c r="F505" s="40"/>
      <c r="G505" s="42"/>
      <c r="H505" s="133" t="s">
        <v>35</v>
      </c>
      <c r="I505" s="184">
        <f ca="1">IFERROR(__xludf.DUMMYFUNCTION("IMPORTRANGE(""https://docs.google.com/spreadsheets/d/1eHaY18a8A9IcSdp1K8H6x8fbOy06t2VsZHhMHf-1x7Y/edit?usp=sharing"",""แผน!GZ29"")"),0)</f>
        <v>0</v>
      </c>
      <c r="J505" s="1395">
        <v>0</v>
      </c>
      <c r="K505" s="224">
        <f ca="1">IF(I505&gt;0,J505*100/I505,0)</f>
        <v>0</v>
      </c>
      <c r="L505" s="1359"/>
      <c r="M505" s="45"/>
      <c r="N505" s="45"/>
      <c r="O505" s="45"/>
      <c r="P505" s="45"/>
      <c r="Q505" s="45"/>
      <c r="R505" s="45"/>
      <c r="S505" s="45"/>
      <c r="T505" s="45"/>
      <c r="U505" s="45"/>
    </row>
    <row r="506" spans="1:21" ht="18.75" x14ac:dyDescent="0.25">
      <c r="A506" s="208"/>
      <c r="B506" s="158"/>
      <c r="C506" s="158"/>
      <c r="D506" s="158"/>
      <c r="E506" s="47" t="s">
        <v>202</v>
      </c>
      <c r="F506" s="40"/>
      <c r="G506" s="42"/>
      <c r="H506" s="133" t="s">
        <v>35</v>
      </c>
      <c r="I506" s="184">
        <f ca="1">IFERROR(__xludf.DUMMYFUNCTION("IMPORTRANGE(""https://docs.google.com/spreadsheets/d/1eHaY18a8A9IcSdp1K8H6x8fbOy06t2VsZHhMHf-1x7Y/edit?usp=sharing"",""แผน!HA29"")"),0)</f>
        <v>0</v>
      </c>
      <c r="J506" s="1395">
        <v>0</v>
      </c>
      <c r="K506" s="224">
        <f ca="1">IF(I506&gt;0,J506*100/I506,0)</f>
        <v>0</v>
      </c>
      <c r="L506" s="1359"/>
      <c r="M506" s="45"/>
      <c r="N506" s="45"/>
      <c r="O506" s="45"/>
      <c r="P506" s="45"/>
      <c r="Q506" s="45"/>
      <c r="R506" s="45"/>
      <c r="S506" s="45"/>
      <c r="T506" s="45"/>
      <c r="U506" s="45"/>
    </row>
    <row r="507" spans="1:21" ht="18.75" x14ac:dyDescent="0.25">
      <c r="A507" s="208"/>
      <c r="B507" s="158"/>
      <c r="C507" s="158"/>
      <c r="D507" s="158"/>
      <c r="E507" s="332" t="s">
        <v>203</v>
      </c>
      <c r="F507" s="40"/>
      <c r="G507" s="42"/>
      <c r="H507" s="133" t="s">
        <v>35</v>
      </c>
      <c r="I507" s="184">
        <f ca="1">IFERROR(__xludf.DUMMYFUNCTION("IMPORTRANGE(""https://docs.google.com/spreadsheets/d/1eHaY18a8A9IcSdp1K8H6x8fbOy06t2VsZHhMHf-1x7Y/edit?usp=sharing"",""แผน!HB29"")"),0)</f>
        <v>0</v>
      </c>
      <c r="J507" s="1395">
        <v>0</v>
      </c>
      <c r="K507" s="224">
        <f ca="1">IF(I507&gt;0,J507*100/I507,0)</f>
        <v>0</v>
      </c>
      <c r="L507" s="1359"/>
      <c r="M507" s="45"/>
      <c r="N507" s="45"/>
      <c r="O507" s="45"/>
      <c r="P507" s="45"/>
      <c r="Q507" s="45"/>
      <c r="R507" s="45"/>
      <c r="S507" s="45"/>
      <c r="T507" s="45"/>
      <c r="U507" s="45"/>
    </row>
    <row r="508" spans="1:21" ht="18.75" x14ac:dyDescent="0.25">
      <c r="A508" s="208"/>
      <c r="B508" s="158"/>
      <c r="C508" s="158"/>
      <c r="D508" s="158"/>
      <c r="E508" s="47" t="s">
        <v>204</v>
      </c>
      <c r="F508" s="40"/>
      <c r="G508" s="42"/>
      <c r="H508" s="133" t="s">
        <v>35</v>
      </c>
      <c r="I508" s="184">
        <v>0</v>
      </c>
      <c r="J508" s="184">
        <v>0</v>
      </c>
      <c r="K508" s="224">
        <f>IF(I508&gt;0,J508*100/I508,0)</f>
        <v>0</v>
      </c>
      <c r="L508" s="1359"/>
      <c r="M508" s="45"/>
      <c r="N508" s="45"/>
      <c r="O508" s="45"/>
      <c r="P508" s="45"/>
      <c r="Q508" s="45"/>
      <c r="R508" s="45"/>
      <c r="S508" s="45"/>
      <c r="T508" s="45"/>
      <c r="U508" s="45"/>
    </row>
    <row r="509" spans="1:21" ht="19.5" x14ac:dyDescent="0.3">
      <c r="A509" s="329"/>
      <c r="B509" s="2"/>
      <c r="C509" s="2"/>
      <c r="D509" s="333" t="s">
        <v>50</v>
      </c>
      <c r="E509" s="1"/>
      <c r="F509" s="1"/>
      <c r="G509" s="52"/>
      <c r="H509" s="331" t="s">
        <v>35</v>
      </c>
      <c r="I509" s="188">
        <f ca="1">IFERROR(__xludf.DUMMYFUNCTION("IMPORTRANGE(""https://docs.google.com/spreadsheets/d/1eHaY18a8A9IcSdp1K8H6x8fbOy06t2VsZHhMHf-1x7Y/edit?usp=sharing"",""แผน!HC29"")"),0)</f>
        <v>0</v>
      </c>
      <c r="J509" s="1541">
        <v>0</v>
      </c>
      <c r="K509" s="448">
        <f ca="1">IF(I509&gt;0,J509*100/I509,0)</f>
        <v>0</v>
      </c>
      <c r="L509" s="1360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9.5" x14ac:dyDescent="0.3">
      <c r="A510" s="1542" t="s">
        <v>205</v>
      </c>
      <c r="B510" s="336"/>
      <c r="C510" s="336"/>
      <c r="D510" s="336"/>
      <c r="E510" s="337"/>
      <c r="F510" s="337"/>
      <c r="G510" s="337"/>
      <c r="H510" s="337"/>
      <c r="I510" s="338"/>
      <c r="J510" s="338"/>
      <c r="K510" s="339"/>
      <c r="L510" s="1543"/>
      <c r="M510" s="341"/>
      <c r="N510" s="341"/>
      <c r="O510" s="341"/>
      <c r="P510" s="341"/>
      <c r="Q510" s="341"/>
      <c r="R510" s="341"/>
      <c r="S510" s="341"/>
      <c r="T510" s="341"/>
      <c r="U510" s="341"/>
    </row>
    <row r="511" spans="1:21" ht="19.5" x14ac:dyDescent="0.3">
      <c r="A511" s="1544" t="s">
        <v>206</v>
      </c>
      <c r="B511" s="343"/>
      <c r="C511" s="343"/>
      <c r="D511" s="344"/>
      <c r="E511" s="343"/>
      <c r="F511" s="343"/>
      <c r="G511" s="343"/>
      <c r="H511" s="345"/>
      <c r="I511" s="346"/>
      <c r="J511" s="346"/>
      <c r="K511" s="347"/>
      <c r="L511" s="1545"/>
      <c r="M511" s="348"/>
      <c r="N511" s="348"/>
      <c r="O511" s="348"/>
      <c r="P511" s="348"/>
      <c r="Q511" s="348"/>
      <c r="R511" s="348"/>
      <c r="S511" s="348"/>
      <c r="T511" s="348"/>
      <c r="U511" s="348"/>
    </row>
    <row r="512" spans="1:21" ht="19.5" x14ac:dyDescent="0.3">
      <c r="A512" s="349"/>
      <c r="B512" s="1546" t="s">
        <v>207</v>
      </c>
      <c r="C512" s="351"/>
      <c r="D512" s="352"/>
      <c r="E512" s="352"/>
      <c r="F512" s="352"/>
      <c r="G512" s="353"/>
      <c r="H512" s="1547" t="s">
        <v>61</v>
      </c>
      <c r="I512" s="1548">
        <f>I524</f>
        <v>0</v>
      </c>
      <c r="J512" s="1548">
        <f>J524</f>
        <v>0</v>
      </c>
      <c r="K512" s="1549">
        <f>IF(I512&gt;0,J512*100/I512,0)</f>
        <v>0</v>
      </c>
      <c r="L512" s="1550"/>
      <c r="M512" s="357"/>
      <c r="N512" s="357"/>
      <c r="O512" s="357"/>
      <c r="P512" s="357"/>
      <c r="Q512" s="357"/>
      <c r="R512" s="357"/>
      <c r="S512" s="357"/>
      <c r="T512" s="357"/>
      <c r="U512" s="357"/>
    </row>
    <row r="513" spans="1:21" ht="19.5" x14ac:dyDescent="0.3">
      <c r="A513" s="128"/>
      <c r="B513" s="40"/>
      <c r="C513" s="1433" t="s">
        <v>18</v>
      </c>
      <c r="D513" s="1434" t="s">
        <v>19</v>
      </c>
      <c r="E513" s="40"/>
      <c r="F513" s="40"/>
      <c r="G513" s="42"/>
      <c r="H513" s="1551" t="s">
        <v>14</v>
      </c>
      <c r="I513" s="44"/>
      <c r="J513" s="44"/>
      <c r="K513" s="45"/>
      <c r="L513" s="1389">
        <f ca="1">L514+L515</f>
        <v>0</v>
      </c>
      <c r="M513" s="1390">
        <f ca="1">M514+M515</f>
        <v>0</v>
      </c>
      <c r="N513" s="1390">
        <f ca="1">N514+N515</f>
        <v>0</v>
      </c>
      <c r="O513" s="1390">
        <f ca="1">IF(L513&gt;0,N513*100/L513,0)</f>
        <v>0</v>
      </c>
      <c r="P513" s="1390">
        <f ca="1">IF(M513&gt;0,N513*100/M513,0)</f>
        <v>0</v>
      </c>
      <c r="Q513" s="1390">
        <f>Q514+Q515</f>
        <v>0</v>
      </c>
      <c r="R513" s="1390">
        <f>R514+R515</f>
        <v>0</v>
      </c>
      <c r="S513" s="1390">
        <f>S514+S515</f>
        <v>0</v>
      </c>
      <c r="T513" s="1390">
        <f>IF(Q513&gt;0,S513*100/Q513,0)</f>
        <v>0</v>
      </c>
      <c r="U513" s="1390">
        <f>IF(R513&gt;0,S513*100/R513,0)</f>
        <v>0</v>
      </c>
    </row>
    <row r="514" spans="1:21" ht="18.75" x14ac:dyDescent="0.25">
      <c r="A514" s="128"/>
      <c r="B514" s="40"/>
      <c r="C514" s="40"/>
      <c r="D514" s="40"/>
      <c r="E514" s="156" t="s">
        <v>20</v>
      </c>
      <c r="F514" s="40"/>
      <c r="G514" s="42"/>
      <c r="H514" s="157" t="s">
        <v>14</v>
      </c>
      <c r="I514" s="44"/>
      <c r="J514" s="44"/>
      <c r="K514" s="45"/>
      <c r="L514" s="1358">
        <f>L517+L520</f>
        <v>0</v>
      </c>
      <c r="M514" s="83">
        <f>M517+M520</f>
        <v>0</v>
      </c>
      <c r="N514" s="83">
        <f>N517+N520</f>
        <v>0</v>
      </c>
      <c r="O514" s="83">
        <f>IF(L514&gt;0,N514*100/L514,0)</f>
        <v>0</v>
      </c>
      <c r="P514" s="83">
        <f>IF(M514&gt;0,N514*100/M514,0)</f>
        <v>0</v>
      </c>
      <c r="Q514" s="83">
        <f>Q517+Q520</f>
        <v>0</v>
      </c>
      <c r="R514" s="83">
        <f>R517+R520</f>
        <v>0</v>
      </c>
      <c r="S514" s="83">
        <f>S517+S520</f>
        <v>0</v>
      </c>
      <c r="T514" s="83">
        <f>IF(Q514&gt;0,S514*100/Q514,0)</f>
        <v>0</v>
      </c>
      <c r="U514" s="83">
        <f>IF(R514&gt;0,S514*100/R514,0)</f>
        <v>0</v>
      </c>
    </row>
    <row r="515" spans="1:21" ht="18.75" x14ac:dyDescent="0.25">
      <c r="A515" s="128"/>
      <c r="B515" s="40"/>
      <c r="C515" s="40"/>
      <c r="D515" s="40"/>
      <c r="E515" s="156" t="s">
        <v>21</v>
      </c>
      <c r="F515" s="40"/>
      <c r="G515" s="42"/>
      <c r="H515" s="157" t="s">
        <v>14</v>
      </c>
      <c r="I515" s="44"/>
      <c r="J515" s="44"/>
      <c r="K515" s="45"/>
      <c r="L515" s="1356">
        <f ca="1">L518+L521</f>
        <v>0</v>
      </c>
      <c r="M515" s="224">
        <f ca="1">M518+M521</f>
        <v>0</v>
      </c>
      <c r="N515" s="224">
        <f ca="1">N518+N521</f>
        <v>0</v>
      </c>
      <c r="O515" s="224">
        <f ca="1">IF(L515&gt;0,N515*100/L515,0)</f>
        <v>0</v>
      </c>
      <c r="P515" s="224">
        <f ca="1">IF(M515&gt;0,N515*100/M515,0)</f>
        <v>0</v>
      </c>
      <c r="Q515" s="224">
        <f>Q518+Q521</f>
        <v>0</v>
      </c>
      <c r="R515" s="224">
        <f>R518+R521</f>
        <v>0</v>
      </c>
      <c r="S515" s="224">
        <f>S518+S521</f>
        <v>0</v>
      </c>
      <c r="T515" s="224">
        <f>IF(Q515&gt;0,S515*100/Q515,0)</f>
        <v>0</v>
      </c>
      <c r="U515" s="224">
        <f>IF(R515&gt;0,S515*100/R515,0)</f>
        <v>0</v>
      </c>
    </row>
    <row r="516" spans="1:21" ht="18.75" x14ac:dyDescent="0.25">
      <c r="A516" s="128"/>
      <c r="B516" s="40"/>
      <c r="C516" s="40"/>
      <c r="D516" s="1552" t="s">
        <v>22</v>
      </c>
      <c r="E516" s="40"/>
      <c r="F516" s="40"/>
      <c r="G516" s="42"/>
      <c r="H516" s="159" t="s">
        <v>14</v>
      </c>
      <c r="I516" s="135"/>
      <c r="J516" s="135"/>
      <c r="K516" s="136"/>
      <c r="L516" s="1356">
        <f ca="1">L517+L518</f>
        <v>0</v>
      </c>
      <c r="M516" s="224">
        <f ca="1">M517+M518</f>
        <v>0</v>
      </c>
      <c r="N516" s="224">
        <f ca="1">N517+N518</f>
        <v>0</v>
      </c>
      <c r="O516" s="224">
        <f ca="1">IF(L516&gt;0,N516*100/L516,0)</f>
        <v>0</v>
      </c>
      <c r="P516" s="224">
        <f ca="1">IF(M516&gt;0,N516*100/M516,0)</f>
        <v>0</v>
      </c>
      <c r="Q516" s="224">
        <f>Q517+Q518</f>
        <v>0</v>
      </c>
      <c r="R516" s="224">
        <f>R517+R518</f>
        <v>0</v>
      </c>
      <c r="S516" s="224">
        <f>S517+S518</f>
        <v>0</v>
      </c>
      <c r="T516" s="224">
        <f>IF(Q516&gt;0,S516*100/Q516,0)</f>
        <v>0</v>
      </c>
      <c r="U516" s="224">
        <f>IF(R516&gt;0,S516*100/R516,0)</f>
        <v>0</v>
      </c>
    </row>
    <row r="517" spans="1:21" ht="18.75" x14ac:dyDescent="0.25">
      <c r="A517" s="128"/>
      <c r="B517" s="40"/>
      <c r="C517" s="40"/>
      <c r="D517" s="40"/>
      <c r="E517" s="156" t="s">
        <v>36</v>
      </c>
      <c r="F517" s="40"/>
      <c r="G517" s="42"/>
      <c r="H517" s="159" t="s">
        <v>14</v>
      </c>
      <c r="I517" s="135"/>
      <c r="J517" s="135"/>
      <c r="K517" s="136"/>
      <c r="L517" s="1358">
        <v>0</v>
      </c>
      <c r="M517" s="83">
        <v>0</v>
      </c>
      <c r="N517" s="83">
        <v>0</v>
      </c>
      <c r="O517" s="83">
        <f>IF(L517&gt;0,N517*100/L517,0)</f>
        <v>0</v>
      </c>
      <c r="P517" s="83">
        <f>IF(M517&gt;0,N517*100/M517,0)</f>
        <v>0</v>
      </c>
      <c r="Q517" s="83">
        <v>0</v>
      </c>
      <c r="R517" s="83">
        <v>0</v>
      </c>
      <c r="S517" s="83">
        <v>0</v>
      </c>
      <c r="T517" s="83">
        <f>IF(Q517&gt;0,S517*100/Q517,0)</f>
        <v>0</v>
      </c>
      <c r="U517" s="83">
        <f>IF(R517&gt;0,S517*100/R517,0)</f>
        <v>0</v>
      </c>
    </row>
    <row r="518" spans="1:21" ht="18.75" x14ac:dyDescent="0.25">
      <c r="A518" s="128"/>
      <c r="B518" s="40"/>
      <c r="C518" s="40"/>
      <c r="D518" s="40"/>
      <c r="E518" s="156" t="s">
        <v>37</v>
      </c>
      <c r="F518" s="40"/>
      <c r="G518" s="42"/>
      <c r="H518" s="159" t="s">
        <v>14</v>
      </c>
      <c r="I518" s="135"/>
      <c r="J518" s="135"/>
      <c r="K518" s="136"/>
      <c r="L518" s="1356">
        <f ca="1">IFERROR(__xludf.DUMMYFUNCTION("IMPORTRANGE(""https://docs.google.com/spreadsheets/d/1-uDff_7J0KD5mKrp0Vvzr7lt3OU09vwQwhkpOPPYv2Y/edit?usp=sharing"",""งบพรบ!FM29"")"),0)</f>
        <v>0</v>
      </c>
      <c r="M518" s="224">
        <f ca="1">IFERROR(__xludf.DUMMYFUNCTION("IMPORTRANGE(""https://docs.google.com/spreadsheets/d/1-uDff_7J0KD5mKrp0Vvzr7lt3OU09vwQwhkpOPPYv2Y/edit?usp=sharing"",""งบพรบ!FR29"")"),0)</f>
        <v>0</v>
      </c>
      <c r="N518" s="224">
        <f ca="1">IFERROR(__xludf.DUMMYFUNCTION("IMPORTRANGE(""https://docs.google.com/spreadsheets/d/1-uDff_7J0KD5mKrp0Vvzr7lt3OU09vwQwhkpOPPYv2Y/edit?usp=sharing"",""งบพรบ!FT29"")"),0)</f>
        <v>0</v>
      </c>
      <c r="O518" s="224">
        <f ca="1">IF(L518&gt;0,N518*100/L518,0)</f>
        <v>0</v>
      </c>
      <c r="P518" s="224">
        <f ca="1">IF(M518&gt;0,N518*100/M518,0)</f>
        <v>0</v>
      </c>
      <c r="Q518" s="224">
        <v>0</v>
      </c>
      <c r="R518" s="224">
        <v>0</v>
      </c>
      <c r="S518" s="224">
        <v>0</v>
      </c>
      <c r="T518" s="224">
        <f>IF(Q518&gt;0,S518*100/Q518,0)</f>
        <v>0</v>
      </c>
      <c r="U518" s="224">
        <f>IF(R518&gt;0,S518*100/R518,0)</f>
        <v>0</v>
      </c>
    </row>
    <row r="519" spans="1:21" ht="18.75" x14ac:dyDescent="0.25">
      <c r="A519" s="128"/>
      <c r="B519" s="40"/>
      <c r="C519" s="40"/>
      <c r="D519" s="1552" t="s">
        <v>23</v>
      </c>
      <c r="E519" s="40"/>
      <c r="F519" s="40"/>
      <c r="G519" s="42"/>
      <c r="H519" s="378" t="s">
        <v>14</v>
      </c>
      <c r="I519" s="135"/>
      <c r="J519" s="135"/>
      <c r="K519" s="136"/>
      <c r="L519" s="1356">
        <f ca="1">L520+L521</f>
        <v>0</v>
      </c>
      <c r="M519" s="224">
        <f ca="1">M520+M521</f>
        <v>0</v>
      </c>
      <c r="N519" s="224">
        <f ca="1">N520+N521</f>
        <v>0</v>
      </c>
      <c r="O519" s="224">
        <f ca="1">IF(L519&gt;0,N519*100/L519,0)</f>
        <v>0</v>
      </c>
      <c r="P519" s="224">
        <f ca="1">IF(M519&gt;0,N519*100/M519,0)</f>
        <v>0</v>
      </c>
      <c r="Q519" s="224">
        <f>Q520+Q521</f>
        <v>0</v>
      </c>
      <c r="R519" s="224">
        <f>R520+R521</f>
        <v>0</v>
      </c>
      <c r="S519" s="224">
        <f>S520+S521</f>
        <v>0</v>
      </c>
      <c r="T519" s="224">
        <f>IF(Q519&gt;0,S519*100/Q519,0)</f>
        <v>0</v>
      </c>
      <c r="U519" s="224">
        <f>IF(R519&gt;0,S519*100/R519,0)</f>
        <v>0</v>
      </c>
    </row>
    <row r="520" spans="1:21" ht="18.75" x14ac:dyDescent="0.25">
      <c r="A520" s="128"/>
      <c r="B520" s="40"/>
      <c r="C520" s="40"/>
      <c r="D520" s="40"/>
      <c r="E520" s="156" t="s">
        <v>20</v>
      </c>
      <c r="F520" s="40"/>
      <c r="G520" s="42"/>
      <c r="H520" s="159" t="s">
        <v>14</v>
      </c>
      <c r="I520" s="135"/>
      <c r="J520" s="135"/>
      <c r="K520" s="136"/>
      <c r="L520" s="1358">
        <v>0</v>
      </c>
      <c r="M520" s="83">
        <v>0</v>
      </c>
      <c r="N520" s="83">
        <v>0</v>
      </c>
      <c r="O520" s="83">
        <f>IF(L520&gt;0,N520*100/L520,0)</f>
        <v>0</v>
      </c>
      <c r="P520" s="83">
        <f>IF(M520&gt;0,N520*100/M520,0)</f>
        <v>0</v>
      </c>
      <c r="Q520" s="83">
        <v>0</v>
      </c>
      <c r="R520" s="83">
        <v>0</v>
      </c>
      <c r="S520" s="83">
        <v>0</v>
      </c>
      <c r="T520" s="83">
        <f>IF(Q520&gt;0,S520*100/Q520,0)</f>
        <v>0</v>
      </c>
      <c r="U520" s="83">
        <f>IF(R520&gt;0,S520*100/R520,0)</f>
        <v>0</v>
      </c>
    </row>
    <row r="521" spans="1:21" ht="18.75" x14ac:dyDescent="0.25">
      <c r="A521" s="128"/>
      <c r="B521" s="40"/>
      <c r="C521" s="40"/>
      <c r="D521" s="40"/>
      <c r="E521" s="156" t="s">
        <v>21</v>
      </c>
      <c r="F521" s="40"/>
      <c r="G521" s="42"/>
      <c r="H521" s="378" t="s">
        <v>14</v>
      </c>
      <c r="I521" s="135"/>
      <c r="J521" s="135"/>
      <c r="K521" s="136"/>
      <c r="L521" s="1356">
        <f ca="1">IFERROR(__xludf.DUMMYFUNCTION("IMPORTRANGE(""https://docs.google.com/spreadsheets/d/1-uDff_7J0KD5mKrp0Vvzr7lt3OU09vwQwhkpOPPYv2Y/edit?usp=sharing"",""งบพรบ!FP29"")"),0)</f>
        <v>0</v>
      </c>
      <c r="M521" s="224">
        <f ca="1">IFERROR(__xludf.DUMMYFUNCTION("IMPORTRANGE(""https://docs.google.com/spreadsheets/d/1-uDff_7J0KD5mKrp0Vvzr7lt3OU09vwQwhkpOPPYv2Y/edit?usp=sharing"",""งบพรบ!FS29"")"),0)</f>
        <v>0</v>
      </c>
      <c r="N521" s="224">
        <f ca="1">IFERROR(__xludf.DUMMYFUNCTION("IMPORTRANGE(""https://docs.google.com/spreadsheets/d/1-uDff_7J0KD5mKrp0Vvzr7lt3OU09vwQwhkpOPPYv2Y/edit?usp=sharing"",""งบพรบ!FU29"")"),0)</f>
        <v>0</v>
      </c>
      <c r="O521" s="224">
        <f ca="1">IF(L521&gt;0,N521*100/L521,0)</f>
        <v>0</v>
      </c>
      <c r="P521" s="224">
        <f ca="1">IF(M521&gt;0,N521*100/M521,0)</f>
        <v>0</v>
      </c>
      <c r="Q521" s="224">
        <v>0</v>
      </c>
      <c r="R521" s="224">
        <v>0</v>
      </c>
      <c r="S521" s="224">
        <v>0</v>
      </c>
      <c r="T521" s="224">
        <f>IF(Q521&gt;0,S521*100/Q521,0)</f>
        <v>0</v>
      </c>
      <c r="U521" s="224">
        <f>IF(R521&gt;0,S521*100/R521,0)</f>
        <v>0</v>
      </c>
    </row>
    <row r="522" spans="1:21" ht="19.5" x14ac:dyDescent="0.3">
      <c r="A522" s="138"/>
      <c r="B522" s="139"/>
      <c r="C522" s="1433" t="s">
        <v>18</v>
      </c>
      <c r="D522" s="1436" t="s">
        <v>38</v>
      </c>
      <c r="E522" s="141"/>
      <c r="F522" s="141"/>
      <c r="G522" s="142"/>
      <c r="H522" s="143"/>
      <c r="I522" s="135"/>
      <c r="J522" s="44"/>
      <c r="K522" s="45"/>
      <c r="L522" s="1359"/>
      <c r="M522" s="45"/>
      <c r="N522" s="45"/>
      <c r="O522" s="136"/>
      <c r="P522" s="136"/>
      <c r="Q522" s="45"/>
      <c r="R522" s="45"/>
      <c r="S522" s="45"/>
      <c r="T522" s="136"/>
      <c r="U522" s="136"/>
    </row>
    <row r="523" spans="1:21" ht="18.75" x14ac:dyDescent="0.25">
      <c r="A523" s="208"/>
      <c r="B523" s="40"/>
      <c r="C523" s="158"/>
      <c r="D523" s="179" t="s">
        <v>208</v>
      </c>
      <c r="E523" s="139"/>
      <c r="F523" s="40"/>
      <c r="G523" s="42"/>
      <c r="H523" s="1415" t="s">
        <v>11</v>
      </c>
      <c r="I523" s="423">
        <v>0</v>
      </c>
      <c r="J523" s="1407">
        <v>0</v>
      </c>
      <c r="K523" s="83">
        <f>IF(I523&gt;0,J523*100/I523,0)</f>
        <v>0</v>
      </c>
      <c r="L523" s="1359"/>
      <c r="M523" s="45"/>
      <c r="N523" s="45"/>
      <c r="O523" s="45"/>
      <c r="P523" s="45"/>
      <c r="Q523" s="45"/>
      <c r="R523" s="45"/>
      <c r="S523" s="45"/>
      <c r="T523" s="45"/>
      <c r="U523" s="45"/>
    </row>
    <row r="524" spans="1:21" ht="18.75" x14ac:dyDescent="0.25">
      <c r="A524" s="329"/>
      <c r="B524" s="1"/>
      <c r="C524" s="2"/>
      <c r="D524" s="1553" t="s">
        <v>209</v>
      </c>
      <c r="E524" s="250"/>
      <c r="F524" s="1"/>
      <c r="G524" s="52"/>
      <c r="H524" s="1554" t="s">
        <v>61</v>
      </c>
      <c r="I524" s="426">
        <v>0</v>
      </c>
      <c r="J524" s="1409">
        <v>0</v>
      </c>
      <c r="K524" s="1410">
        <f>IF(I524&gt;0,J524*100/I524,0)</f>
        <v>0</v>
      </c>
      <c r="L524" s="1359"/>
      <c r="M524" s="45"/>
      <c r="N524" s="45"/>
      <c r="O524" s="45"/>
      <c r="P524" s="45"/>
      <c r="Q524" s="45"/>
      <c r="R524" s="45"/>
      <c r="S524" s="45"/>
      <c r="T524" s="45"/>
      <c r="U524" s="45"/>
    </row>
    <row r="525" spans="1:21" ht="12.75" x14ac:dyDescent="0.2">
      <c r="A525" s="1555"/>
      <c r="B525" s="1556"/>
      <c r="C525" s="1556"/>
      <c r="D525" s="1557"/>
      <c r="E525" s="1557"/>
      <c r="F525" s="1557"/>
      <c r="G525" s="1558"/>
      <c r="H525" s="1559"/>
      <c r="I525" s="1560"/>
      <c r="J525" s="1560"/>
      <c r="K525" s="1561"/>
      <c r="L525" s="1536"/>
      <c r="M525" s="233"/>
      <c r="N525" s="233"/>
      <c r="O525" s="233"/>
      <c r="P525" s="233"/>
      <c r="Q525" s="233"/>
      <c r="R525" s="233"/>
      <c r="S525" s="233"/>
      <c r="T525" s="233"/>
      <c r="U525" s="233"/>
    </row>
    <row r="526" spans="1:21" ht="12.75" x14ac:dyDescent="0.2">
      <c r="A526" s="227"/>
      <c r="B526" s="228"/>
      <c r="C526" s="228"/>
      <c r="D526" s="229"/>
      <c r="E526" s="229"/>
      <c r="F526" s="229"/>
      <c r="G526" s="230"/>
      <c r="H526" s="231"/>
      <c r="I526" s="232"/>
      <c r="J526" s="232"/>
      <c r="K526" s="233"/>
      <c r="L526" s="1536"/>
      <c r="M526" s="233"/>
      <c r="N526" s="233"/>
      <c r="O526" s="233"/>
      <c r="P526" s="233"/>
      <c r="Q526" s="233"/>
      <c r="R526" s="233"/>
      <c r="S526" s="233"/>
      <c r="T526" s="233"/>
      <c r="U526" s="233"/>
    </row>
    <row r="527" spans="1:21" ht="12.75" x14ac:dyDescent="0.2">
      <c r="A527" s="227"/>
      <c r="B527" s="228"/>
      <c r="C527" s="228"/>
      <c r="D527" s="229"/>
      <c r="E527" s="229"/>
      <c r="F527" s="229"/>
      <c r="G527" s="230"/>
      <c r="H527" s="231"/>
      <c r="I527" s="232"/>
      <c r="J527" s="232"/>
      <c r="K527" s="233"/>
      <c r="L527" s="1536"/>
      <c r="M527" s="233"/>
      <c r="N527" s="233"/>
      <c r="O527" s="233"/>
      <c r="P527" s="233"/>
      <c r="Q527" s="233"/>
      <c r="R527" s="233"/>
      <c r="S527" s="233"/>
      <c r="T527" s="233"/>
      <c r="U527" s="233"/>
    </row>
    <row r="528" spans="1:21" ht="12.75" x14ac:dyDescent="0.2">
      <c r="A528" s="227"/>
      <c r="B528" s="228"/>
      <c r="C528" s="228"/>
      <c r="D528" s="229"/>
      <c r="E528" s="229"/>
      <c r="F528" s="229"/>
      <c r="G528" s="230"/>
      <c r="H528" s="231"/>
      <c r="I528" s="232"/>
      <c r="J528" s="232"/>
      <c r="K528" s="233"/>
      <c r="L528" s="1536"/>
      <c r="M528" s="233"/>
      <c r="N528" s="233"/>
      <c r="O528" s="233"/>
      <c r="P528" s="233"/>
      <c r="Q528" s="233"/>
      <c r="R528" s="233"/>
      <c r="S528" s="233"/>
      <c r="T528" s="233"/>
      <c r="U528" s="233"/>
    </row>
    <row r="529" spans="1:21" ht="12.75" x14ac:dyDescent="0.2">
      <c r="A529" s="227"/>
      <c r="B529" s="228"/>
      <c r="C529" s="228"/>
      <c r="D529" s="229"/>
      <c r="E529" s="229"/>
      <c r="F529" s="229"/>
      <c r="G529" s="230"/>
      <c r="H529" s="231"/>
      <c r="I529" s="232"/>
      <c r="J529" s="232"/>
      <c r="K529" s="233"/>
      <c r="L529" s="1536"/>
      <c r="M529" s="233"/>
      <c r="N529" s="233"/>
      <c r="O529" s="233"/>
      <c r="P529" s="233"/>
      <c r="Q529" s="233"/>
      <c r="R529" s="233"/>
      <c r="S529" s="233"/>
      <c r="T529" s="233"/>
      <c r="U529" s="233"/>
    </row>
    <row r="530" spans="1:21" ht="12.75" x14ac:dyDescent="0.2">
      <c r="A530" s="227"/>
      <c r="B530" s="228"/>
      <c r="C530" s="228"/>
      <c r="D530" s="229"/>
      <c r="E530" s="229"/>
      <c r="F530" s="229"/>
      <c r="G530" s="230"/>
      <c r="H530" s="231"/>
      <c r="I530" s="232"/>
      <c r="J530" s="232"/>
      <c r="K530" s="233"/>
      <c r="L530" s="1536"/>
      <c r="M530" s="233"/>
      <c r="N530" s="233"/>
      <c r="O530" s="233"/>
      <c r="P530" s="233"/>
      <c r="Q530" s="233"/>
      <c r="R530" s="233"/>
      <c r="S530" s="233"/>
      <c r="T530" s="233"/>
      <c r="U530" s="233"/>
    </row>
    <row r="531" spans="1:21" ht="12.75" x14ac:dyDescent="0.2">
      <c r="A531" s="227"/>
      <c r="B531" s="228"/>
      <c r="C531" s="228"/>
      <c r="D531" s="229"/>
      <c r="E531" s="229"/>
      <c r="F531" s="229"/>
      <c r="G531" s="230"/>
      <c r="H531" s="231"/>
      <c r="I531" s="232"/>
      <c r="J531" s="232"/>
      <c r="K531" s="233"/>
      <c r="L531" s="1536"/>
      <c r="M531" s="233"/>
      <c r="N531" s="233"/>
      <c r="O531" s="233"/>
      <c r="P531" s="233"/>
      <c r="Q531" s="233"/>
      <c r="R531" s="233"/>
      <c r="S531" s="233"/>
      <c r="T531" s="233"/>
      <c r="U531" s="233"/>
    </row>
    <row r="532" spans="1:21" ht="12.75" x14ac:dyDescent="0.2">
      <c r="A532" s="360"/>
      <c r="B532" s="316"/>
      <c r="C532" s="316"/>
      <c r="D532" s="361"/>
      <c r="E532" s="361"/>
      <c r="F532" s="361"/>
      <c r="G532" s="362"/>
      <c r="H532" s="317"/>
      <c r="I532" s="318"/>
      <c r="J532" s="318"/>
      <c r="K532" s="319"/>
      <c r="L532" s="1537"/>
      <c r="M532" s="319"/>
      <c r="N532" s="319"/>
      <c r="O532" s="319"/>
      <c r="P532" s="319"/>
      <c r="Q532" s="319"/>
      <c r="R532" s="319"/>
      <c r="S532" s="319"/>
      <c r="T532" s="319"/>
      <c r="U532" s="319"/>
    </row>
    <row r="533" spans="1:21" ht="19.5" x14ac:dyDescent="0.3">
      <c r="A533" s="349"/>
      <c r="B533" s="350" t="s">
        <v>210</v>
      </c>
      <c r="C533" s="351"/>
      <c r="D533" s="352"/>
      <c r="E533" s="352"/>
      <c r="F533" s="352"/>
      <c r="G533" s="353"/>
      <c r="H533" s="363" t="s">
        <v>61</v>
      </c>
      <c r="I533" s="374">
        <f>I545</f>
        <v>0</v>
      </c>
      <c r="J533" s="374">
        <f>J545</f>
        <v>0</v>
      </c>
      <c r="K533" s="1562">
        <f>IF(I533&gt;0,J533*100/I533,0)</f>
        <v>0</v>
      </c>
      <c r="L533" s="1550"/>
      <c r="M533" s="357"/>
      <c r="N533" s="357"/>
      <c r="O533" s="357"/>
      <c r="P533" s="357"/>
      <c r="Q533" s="357"/>
      <c r="R533" s="357"/>
      <c r="S533" s="357"/>
      <c r="T533" s="357"/>
      <c r="U533" s="357"/>
    </row>
    <row r="534" spans="1:21" ht="19.5" x14ac:dyDescent="0.3">
      <c r="A534" s="128"/>
      <c r="B534" s="40"/>
      <c r="C534" s="129" t="s">
        <v>18</v>
      </c>
      <c r="D534" s="1388" t="s">
        <v>19</v>
      </c>
      <c r="E534" s="40"/>
      <c r="F534" s="40"/>
      <c r="G534" s="42"/>
      <c r="H534" s="131" t="s">
        <v>14</v>
      </c>
      <c r="I534" s="44"/>
      <c r="J534" s="44"/>
      <c r="K534" s="45"/>
      <c r="L534" s="1389">
        <f ca="1">L535+L536</f>
        <v>0</v>
      </c>
      <c r="M534" s="1390">
        <f ca="1">M535+M536</f>
        <v>0</v>
      </c>
      <c r="N534" s="1390">
        <f ca="1">N535+N536</f>
        <v>0</v>
      </c>
      <c r="O534" s="1390">
        <f ca="1">IF(L534&gt;0,N534*100/L534,0)</f>
        <v>0</v>
      </c>
      <c r="P534" s="1390">
        <f ca="1">IF(M534&gt;0,N534*100/M534,0)</f>
        <v>0</v>
      </c>
      <c r="Q534" s="1390">
        <f>Q535+Q536</f>
        <v>0</v>
      </c>
      <c r="R534" s="1390">
        <f>R535+R536</f>
        <v>0</v>
      </c>
      <c r="S534" s="1390">
        <f>S535+S536</f>
        <v>0</v>
      </c>
      <c r="T534" s="1390">
        <f>IF(Q534&gt;0,S534*100/Q534,0)</f>
        <v>0</v>
      </c>
      <c r="U534" s="1390">
        <f>IF(R534&gt;0,S534*100/R534,0)</f>
        <v>0</v>
      </c>
    </row>
    <row r="535" spans="1:21" ht="18.75" x14ac:dyDescent="0.25">
      <c r="A535" s="128"/>
      <c r="B535" s="158"/>
      <c r="C535" s="40"/>
      <c r="D535" s="40"/>
      <c r="E535" s="156" t="s">
        <v>20</v>
      </c>
      <c r="F535" s="40"/>
      <c r="G535" s="42"/>
      <c r="H535" s="157" t="s">
        <v>14</v>
      </c>
      <c r="I535" s="44"/>
      <c r="J535" s="44"/>
      <c r="K535" s="45"/>
      <c r="L535" s="1358">
        <f>L538+L541</f>
        <v>0</v>
      </c>
      <c r="M535" s="83">
        <f>M538+M541</f>
        <v>0</v>
      </c>
      <c r="N535" s="83">
        <f>N538+N541</f>
        <v>0</v>
      </c>
      <c r="O535" s="83">
        <f>IF(L535&gt;0,N535*100/L535,0)</f>
        <v>0</v>
      </c>
      <c r="P535" s="83">
        <f>IF(M535&gt;0,N535*100/M535,0)</f>
        <v>0</v>
      </c>
      <c r="Q535" s="83">
        <f>Q538+Q541</f>
        <v>0</v>
      </c>
      <c r="R535" s="83">
        <f>R538+R541</f>
        <v>0</v>
      </c>
      <c r="S535" s="83">
        <f>S538+S541</f>
        <v>0</v>
      </c>
      <c r="T535" s="83">
        <f>IF(Q535&gt;0,S535*100/Q535,0)</f>
        <v>0</v>
      </c>
      <c r="U535" s="83">
        <f>IF(R535&gt;0,S535*100/R535,0)</f>
        <v>0</v>
      </c>
    </row>
    <row r="536" spans="1:21" ht="18.75" x14ac:dyDescent="0.25">
      <c r="A536" s="128"/>
      <c r="B536" s="40"/>
      <c r="C536" s="158"/>
      <c r="D536" s="40"/>
      <c r="E536" s="209" t="s">
        <v>21</v>
      </c>
      <c r="F536" s="40"/>
      <c r="G536" s="42"/>
      <c r="H536" s="133" t="s">
        <v>14</v>
      </c>
      <c r="I536" s="44"/>
      <c r="J536" s="44"/>
      <c r="K536" s="45"/>
      <c r="L536" s="1356">
        <f ca="1">L539+L542</f>
        <v>0</v>
      </c>
      <c r="M536" s="224">
        <f ca="1">M539+M542</f>
        <v>0</v>
      </c>
      <c r="N536" s="224">
        <f ca="1">N539+N542</f>
        <v>0</v>
      </c>
      <c r="O536" s="224">
        <f ca="1">IF(L536&gt;0,N536*100/L536,0)</f>
        <v>0</v>
      </c>
      <c r="P536" s="224">
        <f ca="1">IF(M536&gt;0,N536*100/M536,0)</f>
        <v>0</v>
      </c>
      <c r="Q536" s="224">
        <f>Q539+Q542</f>
        <v>0</v>
      </c>
      <c r="R536" s="224">
        <f>R539+R542</f>
        <v>0</v>
      </c>
      <c r="S536" s="224">
        <f>S539+S542</f>
        <v>0</v>
      </c>
      <c r="T536" s="224">
        <f>IF(Q536&gt;0,S536*100/Q536,0)</f>
        <v>0</v>
      </c>
      <c r="U536" s="224">
        <f>IF(R536&gt;0,S536*100/R536,0)</f>
        <v>0</v>
      </c>
    </row>
    <row r="537" spans="1:21" ht="18.75" x14ac:dyDescent="0.25">
      <c r="A537" s="128"/>
      <c r="B537" s="40"/>
      <c r="C537" s="158"/>
      <c r="D537" s="41" t="s">
        <v>22</v>
      </c>
      <c r="E537" s="158"/>
      <c r="F537" s="40"/>
      <c r="G537" s="42"/>
      <c r="H537" s="134" t="s">
        <v>14</v>
      </c>
      <c r="I537" s="135"/>
      <c r="J537" s="135"/>
      <c r="K537" s="136"/>
      <c r="L537" s="1356">
        <f ca="1">L538+L539</f>
        <v>0</v>
      </c>
      <c r="M537" s="224">
        <f ca="1">M538+M539</f>
        <v>0</v>
      </c>
      <c r="N537" s="224">
        <f ca="1">N538+N539</f>
        <v>0</v>
      </c>
      <c r="O537" s="224">
        <f ca="1">IF(L537&gt;0,N537*100/L537,0)</f>
        <v>0</v>
      </c>
      <c r="P537" s="224">
        <f ca="1">IF(M537&gt;0,N537*100/M537,0)</f>
        <v>0</v>
      </c>
      <c r="Q537" s="224">
        <f>Q538+Q539</f>
        <v>0</v>
      </c>
      <c r="R537" s="224">
        <f>R538+R539</f>
        <v>0</v>
      </c>
      <c r="S537" s="224">
        <f>S538+S539</f>
        <v>0</v>
      </c>
      <c r="T537" s="224">
        <f>IF(Q537&gt;0,S537*100/Q537,0)</f>
        <v>0</v>
      </c>
      <c r="U537" s="224">
        <f>IF(R537&gt;0,S537*100/R537,0)</f>
        <v>0</v>
      </c>
    </row>
    <row r="538" spans="1:21" ht="18.75" x14ac:dyDescent="0.25">
      <c r="A538" s="128"/>
      <c r="B538" s="40"/>
      <c r="C538" s="40"/>
      <c r="D538" s="40"/>
      <c r="E538" s="156" t="s">
        <v>36</v>
      </c>
      <c r="F538" s="40"/>
      <c r="G538" s="42"/>
      <c r="H538" s="159" t="s">
        <v>14</v>
      </c>
      <c r="I538" s="135"/>
      <c r="J538" s="135"/>
      <c r="K538" s="136"/>
      <c r="L538" s="1358">
        <v>0</v>
      </c>
      <c r="M538" s="83">
        <v>0</v>
      </c>
      <c r="N538" s="83">
        <v>0</v>
      </c>
      <c r="O538" s="83">
        <f>IF(L538&gt;0,N538*100/L538,0)</f>
        <v>0</v>
      </c>
      <c r="P538" s="83">
        <f>IF(M538&gt;0,N538*100/M538,0)</f>
        <v>0</v>
      </c>
      <c r="Q538" s="83">
        <v>0</v>
      </c>
      <c r="R538" s="83">
        <v>0</v>
      </c>
      <c r="S538" s="83">
        <v>0</v>
      </c>
      <c r="T538" s="83">
        <f>IF(Q538&gt;0,S538*100/Q538,0)</f>
        <v>0</v>
      </c>
      <c r="U538" s="83">
        <f>IF(R538&gt;0,S538*100/R538,0)</f>
        <v>0</v>
      </c>
    </row>
    <row r="539" spans="1:21" ht="18.75" x14ac:dyDescent="0.25">
      <c r="A539" s="128"/>
      <c r="B539" s="40"/>
      <c r="C539" s="40"/>
      <c r="D539" s="40"/>
      <c r="E539" s="47" t="s">
        <v>37</v>
      </c>
      <c r="F539" s="40"/>
      <c r="G539" s="42"/>
      <c r="H539" s="134" t="s">
        <v>14</v>
      </c>
      <c r="I539" s="135"/>
      <c r="J539" s="135"/>
      <c r="K539" s="136"/>
      <c r="L539" s="1356">
        <f ca="1">IFERROR(__xludf.DUMMYFUNCTION("IMPORTRANGE(""https://docs.google.com/spreadsheets/d/1-uDff_7J0KD5mKrp0Vvzr7lt3OU09vwQwhkpOPPYv2Y/edit?usp=sharing"",""งบพรบ!FW29"")"),0)</f>
        <v>0</v>
      </c>
      <c r="M539" s="224">
        <f ca="1">IFERROR(__xludf.DUMMYFUNCTION("IMPORTRANGE(""https://docs.google.com/spreadsheets/d/1-uDff_7J0KD5mKrp0Vvzr7lt3OU09vwQwhkpOPPYv2Y/edit?usp=sharing"",""งบพรบ!GB29"")"),0)</f>
        <v>0</v>
      </c>
      <c r="N539" s="224">
        <f ca="1">IFERROR(__xludf.DUMMYFUNCTION("IMPORTRANGE(""https://docs.google.com/spreadsheets/d/1-uDff_7J0KD5mKrp0Vvzr7lt3OU09vwQwhkpOPPYv2Y/edit?usp=sharing"",""งบพรบ!GD29"")"),0)</f>
        <v>0</v>
      </c>
      <c r="O539" s="224">
        <f ca="1">IF(L539&gt;0,N539*100/L539,0)</f>
        <v>0</v>
      </c>
      <c r="P539" s="224">
        <f ca="1">IF(M539&gt;0,N539*100/M539,0)</f>
        <v>0</v>
      </c>
      <c r="Q539" s="224">
        <v>0</v>
      </c>
      <c r="R539" s="224">
        <v>0</v>
      </c>
      <c r="S539" s="224">
        <v>0</v>
      </c>
      <c r="T539" s="224">
        <f>IF(Q539&gt;0,S539*100/Q539,0)</f>
        <v>0</v>
      </c>
      <c r="U539" s="224">
        <f>IF(R539&gt;0,S539*100/R539,0)</f>
        <v>0</v>
      </c>
    </row>
    <row r="540" spans="1:21" ht="18.75" x14ac:dyDescent="0.25">
      <c r="A540" s="128"/>
      <c r="B540" s="40"/>
      <c r="C540" s="40"/>
      <c r="D540" s="41" t="s">
        <v>23</v>
      </c>
      <c r="E540" s="40"/>
      <c r="F540" s="40"/>
      <c r="G540" s="42"/>
      <c r="H540" s="137" t="s">
        <v>14</v>
      </c>
      <c r="I540" s="135"/>
      <c r="J540" s="135"/>
      <c r="K540" s="136"/>
      <c r="L540" s="1356">
        <f ca="1">L541+L542</f>
        <v>0</v>
      </c>
      <c r="M540" s="224">
        <f ca="1">M541+M542</f>
        <v>0</v>
      </c>
      <c r="N540" s="224">
        <f ca="1">N541+N542</f>
        <v>0</v>
      </c>
      <c r="O540" s="224">
        <f ca="1">IF(L540&gt;0,N540*100/L540,0)</f>
        <v>0</v>
      </c>
      <c r="P540" s="224">
        <f ca="1">IF(M540&gt;0,N540*100/M540,0)</f>
        <v>0</v>
      </c>
      <c r="Q540" s="224">
        <f>Q541+Q542</f>
        <v>0</v>
      </c>
      <c r="R540" s="224">
        <f>R541+R542</f>
        <v>0</v>
      </c>
      <c r="S540" s="224">
        <f>S541+S542</f>
        <v>0</v>
      </c>
      <c r="T540" s="224">
        <f>IF(Q540&gt;0,S540*100/Q540,0)</f>
        <v>0</v>
      </c>
      <c r="U540" s="224">
        <f>IF(R540&gt;0,S540*100/R540,0)</f>
        <v>0</v>
      </c>
    </row>
    <row r="541" spans="1:21" ht="18.75" x14ac:dyDescent="0.25">
      <c r="A541" s="128"/>
      <c r="B541" s="40"/>
      <c r="C541" s="40"/>
      <c r="D541" s="40"/>
      <c r="E541" s="156" t="s">
        <v>20</v>
      </c>
      <c r="F541" s="40"/>
      <c r="G541" s="42"/>
      <c r="H541" s="159" t="s">
        <v>14</v>
      </c>
      <c r="I541" s="135"/>
      <c r="J541" s="135"/>
      <c r="K541" s="136"/>
      <c r="L541" s="1358">
        <v>0</v>
      </c>
      <c r="M541" s="83">
        <v>0</v>
      </c>
      <c r="N541" s="83">
        <v>0</v>
      </c>
      <c r="O541" s="83">
        <f>IF(L541&gt;0,N541*100/L541,0)</f>
        <v>0</v>
      </c>
      <c r="P541" s="83">
        <f>IF(M541&gt;0,N541*100/M541,0)</f>
        <v>0</v>
      </c>
      <c r="Q541" s="83">
        <v>0</v>
      </c>
      <c r="R541" s="83">
        <v>0</v>
      </c>
      <c r="S541" s="83">
        <v>0</v>
      </c>
      <c r="T541" s="83">
        <f>IF(Q541&gt;0,S541*100/Q541,0)</f>
        <v>0</v>
      </c>
      <c r="U541" s="83">
        <f>IF(R541&gt;0,S541*100/R541,0)</f>
        <v>0</v>
      </c>
    </row>
    <row r="542" spans="1:21" ht="18.75" x14ac:dyDescent="0.25">
      <c r="A542" s="128"/>
      <c r="B542" s="40"/>
      <c r="C542" s="40"/>
      <c r="D542" s="40"/>
      <c r="E542" s="47" t="s">
        <v>21</v>
      </c>
      <c r="F542" s="40"/>
      <c r="G542" s="42"/>
      <c r="H542" s="137" t="s">
        <v>14</v>
      </c>
      <c r="I542" s="135"/>
      <c r="J542" s="135"/>
      <c r="K542" s="136"/>
      <c r="L542" s="1356">
        <f ca="1">IFERROR(__xludf.DUMMYFUNCTION("IMPORTRANGE(""https://docs.google.com/spreadsheets/d/1-uDff_7J0KD5mKrp0Vvzr7lt3OU09vwQwhkpOPPYv2Y/edit?usp=sharing"",""งบพรบ!FZ29"")"),0)</f>
        <v>0</v>
      </c>
      <c r="M542" s="224">
        <f ca="1">IFERROR(__xludf.DUMMYFUNCTION("IMPORTRANGE(""https://docs.google.com/spreadsheets/d/1-uDff_7J0KD5mKrp0Vvzr7lt3OU09vwQwhkpOPPYv2Y/edit?usp=sharing"",""งบพรบ!GC29"")"),0)</f>
        <v>0</v>
      </c>
      <c r="N542" s="224">
        <f ca="1">IFERROR(__xludf.DUMMYFUNCTION("IMPORTRANGE(""https://docs.google.com/spreadsheets/d/1-uDff_7J0KD5mKrp0Vvzr7lt3OU09vwQwhkpOPPYv2Y/edit?usp=sharing"",""งบพรบ!GE29"")"),0)</f>
        <v>0</v>
      </c>
      <c r="O542" s="224">
        <f ca="1">IF(L542&gt;0,N542*100/L542,0)</f>
        <v>0</v>
      </c>
      <c r="P542" s="224">
        <f ca="1">IF(M542&gt;0,N542*100/M542,0)</f>
        <v>0</v>
      </c>
      <c r="Q542" s="224">
        <v>0</v>
      </c>
      <c r="R542" s="224">
        <v>0</v>
      </c>
      <c r="S542" s="224">
        <v>0</v>
      </c>
      <c r="T542" s="224">
        <f>IF(Q542&gt;0,S542*100/Q542,0)</f>
        <v>0</v>
      </c>
      <c r="U542" s="224">
        <f>IF(R542&gt;0,S542*100/R542,0)</f>
        <v>0</v>
      </c>
    </row>
    <row r="543" spans="1:21" ht="19.5" x14ac:dyDescent="0.3">
      <c r="A543" s="138"/>
      <c r="B543" s="139"/>
      <c r="C543" s="364" t="s">
        <v>18</v>
      </c>
      <c r="D543" s="1391" t="s">
        <v>38</v>
      </c>
      <c r="E543" s="141"/>
      <c r="F543" s="141"/>
      <c r="G543" s="142"/>
      <c r="H543" s="143"/>
      <c r="I543" s="135"/>
      <c r="J543" s="44"/>
      <c r="K543" s="45"/>
      <c r="L543" s="1359"/>
      <c r="M543" s="45"/>
      <c r="N543" s="45"/>
      <c r="O543" s="136"/>
      <c r="P543" s="136"/>
      <c r="Q543" s="45"/>
      <c r="R543" s="45"/>
      <c r="S543" s="45"/>
      <c r="T543" s="136"/>
      <c r="U543" s="136"/>
    </row>
    <row r="544" spans="1:21" ht="12.75" x14ac:dyDescent="0.2">
      <c r="A544" s="227"/>
      <c r="B544" s="229"/>
      <c r="C544" s="228"/>
      <c r="D544" s="229"/>
      <c r="E544" s="228"/>
      <c r="F544" s="229"/>
      <c r="G544" s="230"/>
      <c r="H544" s="230"/>
      <c r="I544" s="232"/>
      <c r="J544" s="232"/>
      <c r="K544" s="233"/>
      <c r="L544" s="1536"/>
      <c r="M544" s="233"/>
      <c r="N544" s="233"/>
      <c r="O544" s="233"/>
      <c r="P544" s="233"/>
      <c r="Q544" s="233"/>
      <c r="R544" s="233"/>
      <c r="S544" s="233"/>
      <c r="T544" s="233"/>
      <c r="U544" s="233"/>
    </row>
    <row r="545" spans="1:21" ht="12.75" x14ac:dyDescent="0.2">
      <c r="A545" s="227"/>
      <c r="B545" s="229"/>
      <c r="C545" s="228"/>
      <c r="D545" s="229"/>
      <c r="E545" s="228"/>
      <c r="F545" s="229"/>
      <c r="G545" s="230"/>
      <c r="H545" s="230"/>
      <c r="I545" s="232"/>
      <c r="J545" s="232"/>
      <c r="K545" s="233"/>
      <c r="L545" s="1536"/>
      <c r="M545" s="233"/>
      <c r="N545" s="233"/>
      <c r="O545" s="233"/>
      <c r="P545" s="233"/>
      <c r="Q545" s="233"/>
      <c r="R545" s="233"/>
      <c r="S545" s="233"/>
      <c r="T545" s="233"/>
      <c r="U545" s="233"/>
    </row>
    <row r="546" spans="1:21" ht="12.75" x14ac:dyDescent="0.2">
      <c r="A546" s="227"/>
      <c r="B546" s="228"/>
      <c r="C546" s="228"/>
      <c r="D546" s="229"/>
      <c r="E546" s="229"/>
      <c r="F546" s="229"/>
      <c r="G546" s="230"/>
      <c r="H546" s="231"/>
      <c r="I546" s="232"/>
      <c r="J546" s="232"/>
      <c r="K546" s="233"/>
      <c r="L546" s="1536"/>
      <c r="M546" s="233"/>
      <c r="N546" s="233"/>
      <c r="O546" s="233"/>
      <c r="P546" s="233"/>
      <c r="Q546" s="233"/>
      <c r="R546" s="233"/>
      <c r="S546" s="233"/>
      <c r="T546" s="233"/>
      <c r="U546" s="233"/>
    </row>
    <row r="547" spans="1:21" ht="12.75" x14ac:dyDescent="0.2">
      <c r="A547" s="227"/>
      <c r="B547" s="228"/>
      <c r="C547" s="228"/>
      <c r="D547" s="229"/>
      <c r="E547" s="229"/>
      <c r="F547" s="229"/>
      <c r="G547" s="230"/>
      <c r="H547" s="231"/>
      <c r="I547" s="232"/>
      <c r="J547" s="232"/>
      <c r="K547" s="233"/>
      <c r="L547" s="1536"/>
      <c r="M547" s="233"/>
      <c r="N547" s="233"/>
      <c r="O547" s="233"/>
      <c r="P547" s="233"/>
      <c r="Q547" s="233"/>
      <c r="R547" s="233"/>
      <c r="S547" s="233"/>
      <c r="T547" s="233"/>
      <c r="U547" s="233"/>
    </row>
    <row r="548" spans="1:21" ht="12.75" x14ac:dyDescent="0.2">
      <c r="A548" s="227"/>
      <c r="B548" s="228"/>
      <c r="C548" s="228"/>
      <c r="D548" s="229"/>
      <c r="E548" s="229"/>
      <c r="F548" s="229"/>
      <c r="G548" s="230"/>
      <c r="H548" s="231"/>
      <c r="I548" s="232"/>
      <c r="J548" s="232"/>
      <c r="K548" s="233"/>
      <c r="L548" s="1536"/>
      <c r="M548" s="233"/>
      <c r="N548" s="233"/>
      <c r="O548" s="233"/>
      <c r="P548" s="233"/>
      <c r="Q548" s="233"/>
      <c r="R548" s="233"/>
      <c r="S548" s="233"/>
      <c r="T548" s="233"/>
      <c r="U548" s="233"/>
    </row>
    <row r="549" spans="1:21" ht="12.75" x14ac:dyDescent="0.2">
      <c r="A549" s="227"/>
      <c r="B549" s="228"/>
      <c r="C549" s="228"/>
      <c r="D549" s="229"/>
      <c r="E549" s="229"/>
      <c r="F549" s="229"/>
      <c r="G549" s="230"/>
      <c r="H549" s="231"/>
      <c r="I549" s="232"/>
      <c r="J549" s="232"/>
      <c r="K549" s="233"/>
      <c r="L549" s="1536"/>
      <c r="M549" s="233"/>
      <c r="N549" s="233"/>
      <c r="O549" s="233"/>
      <c r="P549" s="233"/>
      <c r="Q549" s="233"/>
      <c r="R549" s="233"/>
      <c r="S549" s="233"/>
      <c r="T549" s="233"/>
      <c r="U549" s="233"/>
    </row>
    <row r="550" spans="1:21" ht="12.75" x14ac:dyDescent="0.2">
      <c r="A550" s="227"/>
      <c r="B550" s="228"/>
      <c r="C550" s="228"/>
      <c r="D550" s="229"/>
      <c r="E550" s="229"/>
      <c r="F550" s="229"/>
      <c r="G550" s="230"/>
      <c r="H550" s="231"/>
      <c r="I550" s="232"/>
      <c r="J550" s="232"/>
      <c r="K550" s="233"/>
      <c r="L550" s="1536"/>
      <c r="M550" s="233"/>
      <c r="N550" s="233"/>
      <c r="O550" s="233"/>
      <c r="P550" s="233"/>
      <c r="Q550" s="233"/>
      <c r="R550" s="233"/>
      <c r="S550" s="233"/>
      <c r="T550" s="233"/>
      <c r="U550" s="233"/>
    </row>
    <row r="551" spans="1:21" ht="12.75" x14ac:dyDescent="0.2">
      <c r="A551" s="227"/>
      <c r="B551" s="228"/>
      <c r="C551" s="228"/>
      <c r="D551" s="229"/>
      <c r="E551" s="229"/>
      <c r="F551" s="229"/>
      <c r="G551" s="230"/>
      <c r="H551" s="231"/>
      <c r="I551" s="232"/>
      <c r="J551" s="232"/>
      <c r="K551" s="233"/>
      <c r="L551" s="1536"/>
      <c r="M551" s="233"/>
      <c r="N551" s="233"/>
      <c r="O551" s="233"/>
      <c r="P551" s="233"/>
      <c r="Q551" s="233"/>
      <c r="R551" s="233"/>
      <c r="S551" s="233"/>
      <c r="T551" s="233"/>
      <c r="U551" s="233"/>
    </row>
    <row r="552" spans="1:21" ht="12.75" x14ac:dyDescent="0.2">
      <c r="A552" s="227"/>
      <c r="B552" s="228"/>
      <c r="C552" s="228"/>
      <c r="D552" s="229"/>
      <c r="E552" s="229"/>
      <c r="F552" s="229"/>
      <c r="G552" s="230"/>
      <c r="H552" s="231"/>
      <c r="I552" s="232"/>
      <c r="J552" s="232"/>
      <c r="K552" s="233"/>
      <c r="L552" s="1536"/>
      <c r="M552" s="233"/>
      <c r="N552" s="233"/>
      <c r="O552" s="233"/>
      <c r="P552" s="233"/>
      <c r="Q552" s="233"/>
      <c r="R552" s="233"/>
      <c r="S552" s="233"/>
      <c r="T552" s="233"/>
      <c r="U552" s="233"/>
    </row>
    <row r="553" spans="1:21" ht="12.75" x14ac:dyDescent="0.2">
      <c r="A553" s="360"/>
      <c r="B553" s="316"/>
      <c r="C553" s="316"/>
      <c r="D553" s="361"/>
      <c r="E553" s="361"/>
      <c r="F553" s="361"/>
      <c r="G553" s="362"/>
      <c r="H553" s="317"/>
      <c r="I553" s="318"/>
      <c r="J553" s="318"/>
      <c r="K553" s="319"/>
      <c r="L553" s="1537"/>
      <c r="M553" s="319"/>
      <c r="N553" s="319"/>
      <c r="O553" s="319"/>
      <c r="P553" s="319"/>
      <c r="Q553" s="319"/>
      <c r="R553" s="319"/>
      <c r="S553" s="319"/>
      <c r="T553" s="319"/>
      <c r="U553" s="319"/>
    </row>
    <row r="554" spans="1:21" ht="19.5" x14ac:dyDescent="0.3">
      <c r="A554" s="349"/>
      <c r="B554" s="350" t="s">
        <v>211</v>
      </c>
      <c r="C554" s="351"/>
      <c r="D554" s="352"/>
      <c r="E554" s="352"/>
      <c r="F554" s="352"/>
      <c r="G554" s="353"/>
      <c r="H554" s="363" t="s">
        <v>61</v>
      </c>
      <c r="I554" s="374">
        <f>I566</f>
        <v>0</v>
      </c>
      <c r="J554" s="374">
        <f>J566</f>
        <v>0</v>
      </c>
      <c r="K554" s="1562">
        <f>IF(I554&gt;0,J554*100/I554,0)</f>
        <v>0</v>
      </c>
      <c r="L554" s="1550"/>
      <c r="M554" s="357"/>
      <c r="N554" s="357"/>
      <c r="O554" s="357"/>
      <c r="P554" s="357"/>
      <c r="Q554" s="357"/>
      <c r="R554" s="357"/>
      <c r="S554" s="357"/>
      <c r="T554" s="357"/>
      <c r="U554" s="357"/>
    </row>
    <row r="555" spans="1:21" ht="19.5" x14ac:dyDescent="0.3">
      <c r="A555" s="128"/>
      <c r="B555" s="40"/>
      <c r="C555" s="129" t="s">
        <v>18</v>
      </c>
      <c r="D555" s="1388" t="s">
        <v>19</v>
      </c>
      <c r="E555" s="40"/>
      <c r="F555" s="40"/>
      <c r="G555" s="42"/>
      <c r="H555" s="131" t="s">
        <v>14</v>
      </c>
      <c r="I555" s="44"/>
      <c r="J555" s="44"/>
      <c r="K555" s="45"/>
      <c r="L555" s="1389">
        <f ca="1">L556+L557</f>
        <v>0</v>
      </c>
      <c r="M555" s="1390">
        <f ca="1">M556+M557</f>
        <v>0</v>
      </c>
      <c r="N555" s="1390">
        <f ca="1">N556+N557</f>
        <v>0</v>
      </c>
      <c r="O555" s="1390">
        <f ca="1">IF(L555&gt;0,N555*100/L555,0)</f>
        <v>0</v>
      </c>
      <c r="P555" s="1390">
        <f ca="1">IF(M555&gt;0,N555*100/M555,0)</f>
        <v>0</v>
      </c>
      <c r="Q555" s="1390">
        <f>Q556+Q557</f>
        <v>0</v>
      </c>
      <c r="R555" s="1390">
        <f>R556+R557</f>
        <v>0</v>
      </c>
      <c r="S555" s="1390">
        <f>S556+S557</f>
        <v>0</v>
      </c>
      <c r="T555" s="1390">
        <f>IF(Q555&gt;0,S555*100/Q555,0)</f>
        <v>0</v>
      </c>
      <c r="U555" s="1390">
        <f>IF(R555&gt;0,S555*100/R555,0)</f>
        <v>0</v>
      </c>
    </row>
    <row r="556" spans="1:21" ht="18.75" x14ac:dyDescent="0.25">
      <c r="A556" s="128"/>
      <c r="B556" s="158"/>
      <c r="C556" s="40"/>
      <c r="D556" s="40"/>
      <c r="E556" s="156" t="s">
        <v>20</v>
      </c>
      <c r="F556" s="40"/>
      <c r="G556" s="42"/>
      <c r="H556" s="157" t="s">
        <v>14</v>
      </c>
      <c r="I556" s="44"/>
      <c r="J556" s="44"/>
      <c r="K556" s="45"/>
      <c r="L556" s="1358">
        <f>L559+L562</f>
        <v>0</v>
      </c>
      <c r="M556" s="83">
        <f>M559+M562</f>
        <v>0</v>
      </c>
      <c r="N556" s="83">
        <f>N559+N562</f>
        <v>0</v>
      </c>
      <c r="O556" s="83">
        <f>IF(L556&gt;0,N556*100/L556,0)</f>
        <v>0</v>
      </c>
      <c r="P556" s="83">
        <f>IF(M556&gt;0,N556*100/M556,0)</f>
        <v>0</v>
      </c>
      <c r="Q556" s="83">
        <f>Q559+Q562</f>
        <v>0</v>
      </c>
      <c r="R556" s="83">
        <f>R559+R562</f>
        <v>0</v>
      </c>
      <c r="S556" s="83">
        <f>S559+S562</f>
        <v>0</v>
      </c>
      <c r="T556" s="83">
        <f>IF(Q556&gt;0,S556*100/Q556,0)</f>
        <v>0</v>
      </c>
      <c r="U556" s="83">
        <f>IF(R556&gt;0,S556*100/R556,0)</f>
        <v>0</v>
      </c>
    </row>
    <row r="557" spans="1:21" ht="18.75" x14ac:dyDescent="0.25">
      <c r="A557" s="128"/>
      <c r="B557" s="40"/>
      <c r="C557" s="158"/>
      <c r="D557" s="40"/>
      <c r="E557" s="209" t="s">
        <v>21</v>
      </c>
      <c r="F557" s="40"/>
      <c r="G557" s="42"/>
      <c r="H557" s="133" t="s">
        <v>14</v>
      </c>
      <c r="I557" s="44"/>
      <c r="J557" s="44"/>
      <c r="K557" s="45"/>
      <c r="L557" s="1356">
        <f ca="1">L560+L563</f>
        <v>0</v>
      </c>
      <c r="M557" s="224">
        <f ca="1">M560+M563</f>
        <v>0</v>
      </c>
      <c r="N557" s="224">
        <f ca="1">N560+N563</f>
        <v>0</v>
      </c>
      <c r="O557" s="224">
        <f ca="1">IF(L557&gt;0,N557*100/L557,0)</f>
        <v>0</v>
      </c>
      <c r="P557" s="224">
        <f ca="1">IF(M557&gt;0,N557*100/M557,0)</f>
        <v>0</v>
      </c>
      <c r="Q557" s="224">
        <f>Q560+Q563</f>
        <v>0</v>
      </c>
      <c r="R557" s="224">
        <f>R560+R563</f>
        <v>0</v>
      </c>
      <c r="S557" s="224">
        <f>S560+S563</f>
        <v>0</v>
      </c>
      <c r="T557" s="224">
        <f>IF(Q557&gt;0,S557*100/Q557,0)</f>
        <v>0</v>
      </c>
      <c r="U557" s="224">
        <f>IF(R557&gt;0,S557*100/R557,0)</f>
        <v>0</v>
      </c>
    </row>
    <row r="558" spans="1:21" ht="18.75" x14ac:dyDescent="0.25">
      <c r="A558" s="128"/>
      <c r="B558" s="40"/>
      <c r="C558" s="158"/>
      <c r="D558" s="41" t="s">
        <v>22</v>
      </c>
      <c r="E558" s="158"/>
      <c r="F558" s="40"/>
      <c r="G558" s="42"/>
      <c r="H558" s="134" t="s">
        <v>14</v>
      </c>
      <c r="I558" s="135"/>
      <c r="J558" s="135"/>
      <c r="K558" s="136"/>
      <c r="L558" s="1356">
        <f ca="1">L559+L560</f>
        <v>0</v>
      </c>
      <c r="M558" s="224">
        <f ca="1">M559+M560</f>
        <v>0</v>
      </c>
      <c r="N558" s="224">
        <f ca="1">N559+N560</f>
        <v>0</v>
      </c>
      <c r="O558" s="224">
        <f ca="1">IF(L558&gt;0,N558*100/L558,0)</f>
        <v>0</v>
      </c>
      <c r="P558" s="224">
        <f ca="1">IF(M558&gt;0,N558*100/M558,0)</f>
        <v>0</v>
      </c>
      <c r="Q558" s="224">
        <f>Q559+Q560</f>
        <v>0</v>
      </c>
      <c r="R558" s="224">
        <f>R559+R560</f>
        <v>0</v>
      </c>
      <c r="S558" s="224">
        <f>S559+S560</f>
        <v>0</v>
      </c>
      <c r="T558" s="224">
        <f>IF(Q558&gt;0,S558*100/Q558,0)</f>
        <v>0</v>
      </c>
      <c r="U558" s="224">
        <f>IF(R558&gt;0,S558*100/R558,0)</f>
        <v>0</v>
      </c>
    </row>
    <row r="559" spans="1:21" ht="18.75" x14ac:dyDescent="0.25">
      <c r="A559" s="128"/>
      <c r="B559" s="40"/>
      <c r="C559" s="40"/>
      <c r="D559" s="40"/>
      <c r="E559" s="156" t="s">
        <v>36</v>
      </c>
      <c r="F559" s="40"/>
      <c r="G559" s="42"/>
      <c r="H559" s="159" t="s">
        <v>14</v>
      </c>
      <c r="I559" s="135"/>
      <c r="J559" s="135"/>
      <c r="K559" s="136"/>
      <c r="L559" s="1358">
        <v>0</v>
      </c>
      <c r="M559" s="83">
        <v>0</v>
      </c>
      <c r="N559" s="83">
        <v>0</v>
      </c>
      <c r="O559" s="83">
        <f>IF(L559&gt;0,N559*100/L559,0)</f>
        <v>0</v>
      </c>
      <c r="P559" s="83">
        <f>IF(M559&gt;0,N559*100/M559,0)</f>
        <v>0</v>
      </c>
      <c r="Q559" s="83">
        <v>0</v>
      </c>
      <c r="R559" s="83">
        <v>0</v>
      </c>
      <c r="S559" s="83">
        <v>0</v>
      </c>
      <c r="T559" s="83">
        <f>IF(Q559&gt;0,S559*100/Q559,0)</f>
        <v>0</v>
      </c>
      <c r="U559" s="83">
        <f>IF(R559&gt;0,S559*100/R559,0)</f>
        <v>0</v>
      </c>
    </row>
    <row r="560" spans="1:21" ht="18.75" x14ac:dyDescent="0.25">
      <c r="A560" s="128"/>
      <c r="B560" s="40"/>
      <c r="C560" s="40"/>
      <c r="D560" s="40"/>
      <c r="E560" s="47" t="s">
        <v>37</v>
      </c>
      <c r="F560" s="40"/>
      <c r="G560" s="42"/>
      <c r="H560" s="134" t="s">
        <v>14</v>
      </c>
      <c r="I560" s="135"/>
      <c r="J560" s="135"/>
      <c r="K560" s="136"/>
      <c r="L560" s="1356">
        <f ca="1">IFERROR(__xludf.DUMMYFUNCTION("IMPORTRANGE(""https://docs.google.com/spreadsheets/d/1-uDff_7J0KD5mKrp0Vvzr7lt3OU09vwQwhkpOPPYv2Y/edit?usp=sharing"",""งบพรบ!GG29"")"),0)</f>
        <v>0</v>
      </c>
      <c r="M560" s="224">
        <f ca="1">IFERROR(__xludf.DUMMYFUNCTION("IMPORTRANGE(""https://docs.google.com/spreadsheets/d/1-uDff_7J0KD5mKrp0Vvzr7lt3OU09vwQwhkpOPPYv2Y/edit?usp=sharing"",""งบพรบ!GL29"")"),0)</f>
        <v>0</v>
      </c>
      <c r="N560" s="224">
        <f ca="1">IFERROR(__xludf.DUMMYFUNCTION("IMPORTRANGE(""https://docs.google.com/spreadsheets/d/1-uDff_7J0KD5mKrp0Vvzr7lt3OU09vwQwhkpOPPYv2Y/edit?usp=sharing"",""งบพรบ!GN29"")"),0)</f>
        <v>0</v>
      </c>
      <c r="O560" s="224">
        <f ca="1">IF(L560&gt;0,N560*100/L560,0)</f>
        <v>0</v>
      </c>
      <c r="P560" s="224">
        <f ca="1">IF(M560&gt;0,N560*100/M560,0)</f>
        <v>0</v>
      </c>
      <c r="Q560" s="224">
        <v>0</v>
      </c>
      <c r="R560" s="224">
        <v>0</v>
      </c>
      <c r="S560" s="224">
        <v>0</v>
      </c>
      <c r="T560" s="224">
        <f>IF(Q560&gt;0,S560*100/Q560,0)</f>
        <v>0</v>
      </c>
      <c r="U560" s="224">
        <f>IF(R560&gt;0,S560*100/R560,0)</f>
        <v>0</v>
      </c>
    </row>
    <row r="561" spans="1:21" ht="18.75" x14ac:dyDescent="0.25">
      <c r="A561" s="128"/>
      <c r="B561" s="40"/>
      <c r="C561" s="40"/>
      <c r="D561" s="41" t="s">
        <v>23</v>
      </c>
      <c r="E561" s="40"/>
      <c r="F561" s="40"/>
      <c r="G561" s="42"/>
      <c r="H561" s="137" t="s">
        <v>14</v>
      </c>
      <c r="I561" s="135"/>
      <c r="J561" s="135"/>
      <c r="K561" s="136"/>
      <c r="L561" s="1356">
        <f ca="1">L562+L563</f>
        <v>0</v>
      </c>
      <c r="M561" s="224">
        <f ca="1">M562+M563</f>
        <v>0</v>
      </c>
      <c r="N561" s="224">
        <f ca="1">N562+N563</f>
        <v>0</v>
      </c>
      <c r="O561" s="224">
        <f ca="1">IF(L561&gt;0,N561*100/L561,0)</f>
        <v>0</v>
      </c>
      <c r="P561" s="224">
        <f ca="1">IF(M561&gt;0,N561*100/M561,0)</f>
        <v>0</v>
      </c>
      <c r="Q561" s="224">
        <f>Q562+Q563</f>
        <v>0</v>
      </c>
      <c r="R561" s="224">
        <f>R562+R563</f>
        <v>0</v>
      </c>
      <c r="S561" s="224">
        <f>S562+S563</f>
        <v>0</v>
      </c>
      <c r="T561" s="224">
        <f>IF(Q561&gt;0,S561*100/Q561,0)</f>
        <v>0</v>
      </c>
      <c r="U561" s="224">
        <f>IF(R561&gt;0,S561*100/R561,0)</f>
        <v>0</v>
      </c>
    </row>
    <row r="562" spans="1:21" ht="18.75" x14ac:dyDescent="0.25">
      <c r="A562" s="128"/>
      <c r="B562" s="40"/>
      <c r="C562" s="40"/>
      <c r="D562" s="40"/>
      <c r="E562" s="156" t="s">
        <v>20</v>
      </c>
      <c r="F562" s="40"/>
      <c r="G562" s="42"/>
      <c r="H562" s="159" t="s">
        <v>14</v>
      </c>
      <c r="I562" s="135"/>
      <c r="J562" s="135"/>
      <c r="K562" s="136"/>
      <c r="L562" s="1358">
        <v>0</v>
      </c>
      <c r="M562" s="83">
        <v>0</v>
      </c>
      <c r="N562" s="83">
        <v>0</v>
      </c>
      <c r="O562" s="83">
        <f>IF(L562&gt;0,N562*100/L562,0)</f>
        <v>0</v>
      </c>
      <c r="P562" s="83">
        <f>IF(M562&gt;0,N562*100/M562,0)</f>
        <v>0</v>
      </c>
      <c r="Q562" s="83">
        <v>0</v>
      </c>
      <c r="R562" s="83">
        <v>0</v>
      </c>
      <c r="S562" s="83">
        <v>0</v>
      </c>
      <c r="T562" s="83">
        <f>IF(Q562&gt;0,S562*100/Q562,0)</f>
        <v>0</v>
      </c>
      <c r="U562" s="83">
        <f>IF(R562&gt;0,S562*100/R562,0)</f>
        <v>0</v>
      </c>
    </row>
    <row r="563" spans="1:21" ht="18.75" x14ac:dyDescent="0.25">
      <c r="A563" s="128"/>
      <c r="B563" s="40"/>
      <c r="C563" s="40"/>
      <c r="D563" s="40"/>
      <c r="E563" s="47" t="s">
        <v>21</v>
      </c>
      <c r="F563" s="40"/>
      <c r="G563" s="42"/>
      <c r="H563" s="137" t="s">
        <v>14</v>
      </c>
      <c r="I563" s="135"/>
      <c r="J563" s="135"/>
      <c r="K563" s="136"/>
      <c r="L563" s="1356">
        <f ca="1">IFERROR(__xludf.DUMMYFUNCTION("IMPORTRANGE(""https://docs.google.com/spreadsheets/d/1-uDff_7J0KD5mKrp0Vvzr7lt3OU09vwQwhkpOPPYv2Y/edit?usp=sharing"",""งบพรบ!GJ29"")"),0)</f>
        <v>0</v>
      </c>
      <c r="M563" s="224">
        <f ca="1">IFERROR(__xludf.DUMMYFUNCTION("IMPORTRANGE(""https://docs.google.com/spreadsheets/d/1-uDff_7J0KD5mKrp0Vvzr7lt3OU09vwQwhkpOPPYv2Y/edit?usp=sharing"",""งบพรบ!GM29"")"),0)</f>
        <v>0</v>
      </c>
      <c r="N563" s="224">
        <f ca="1">IFERROR(__xludf.DUMMYFUNCTION("IMPORTRANGE(""https://docs.google.com/spreadsheets/d/1-uDff_7J0KD5mKrp0Vvzr7lt3OU09vwQwhkpOPPYv2Y/edit?usp=sharing"",""งบพรบ!GO29"")"),0)</f>
        <v>0</v>
      </c>
      <c r="O563" s="224">
        <f ca="1">IF(L563&gt;0,N563*100/L563,0)</f>
        <v>0</v>
      </c>
      <c r="P563" s="224">
        <f ca="1">IF(M563&gt;0,N563*100/M563,0)</f>
        <v>0</v>
      </c>
      <c r="Q563" s="224">
        <v>0</v>
      </c>
      <c r="R563" s="224">
        <v>0</v>
      </c>
      <c r="S563" s="224">
        <v>0</v>
      </c>
      <c r="T563" s="224">
        <f>IF(Q563&gt;0,S563*100/Q563,0)</f>
        <v>0</v>
      </c>
      <c r="U563" s="224">
        <f>IF(R563&gt;0,S563*100/R563,0)</f>
        <v>0</v>
      </c>
    </row>
    <row r="564" spans="1:21" ht="19.5" x14ac:dyDescent="0.3">
      <c r="A564" s="138"/>
      <c r="B564" s="139"/>
      <c r="C564" s="364" t="s">
        <v>18</v>
      </c>
      <c r="D564" s="1391" t="s">
        <v>38</v>
      </c>
      <c r="E564" s="141"/>
      <c r="F564" s="141"/>
      <c r="G564" s="142"/>
      <c r="H564" s="143"/>
      <c r="I564" s="135"/>
      <c r="J564" s="44"/>
      <c r="K564" s="45"/>
      <c r="L564" s="1359"/>
      <c r="M564" s="45"/>
      <c r="N564" s="45"/>
      <c r="O564" s="136"/>
      <c r="P564" s="136"/>
      <c r="Q564" s="45"/>
      <c r="R564" s="45"/>
      <c r="S564" s="45"/>
      <c r="T564" s="136"/>
      <c r="U564" s="136"/>
    </row>
    <row r="565" spans="1:21" ht="12.75" x14ac:dyDescent="0.2">
      <c r="A565" s="227"/>
      <c r="B565" s="229"/>
      <c r="C565" s="228"/>
      <c r="D565" s="229"/>
      <c r="E565" s="228"/>
      <c r="F565" s="229"/>
      <c r="G565" s="230"/>
      <c r="H565" s="230"/>
      <c r="I565" s="232"/>
      <c r="J565" s="232"/>
      <c r="K565" s="233"/>
      <c r="L565" s="1536"/>
      <c r="M565" s="233"/>
      <c r="N565" s="233"/>
      <c r="O565" s="233"/>
      <c r="P565" s="233"/>
      <c r="Q565" s="233"/>
      <c r="R565" s="233"/>
      <c r="S565" s="233"/>
      <c r="T565" s="233"/>
      <c r="U565" s="233"/>
    </row>
    <row r="566" spans="1:21" ht="12.75" x14ac:dyDescent="0.2">
      <c r="A566" s="227"/>
      <c r="B566" s="229"/>
      <c r="C566" s="228"/>
      <c r="D566" s="229"/>
      <c r="E566" s="228"/>
      <c r="F566" s="229"/>
      <c r="G566" s="230"/>
      <c r="H566" s="230"/>
      <c r="I566" s="232"/>
      <c r="J566" s="232"/>
      <c r="K566" s="233"/>
      <c r="L566" s="1536"/>
      <c r="M566" s="233"/>
      <c r="N566" s="233"/>
      <c r="O566" s="233"/>
      <c r="P566" s="233"/>
      <c r="Q566" s="233"/>
      <c r="R566" s="233"/>
      <c r="S566" s="233"/>
      <c r="T566" s="233"/>
      <c r="U566" s="233"/>
    </row>
    <row r="567" spans="1:21" ht="12.75" x14ac:dyDescent="0.2">
      <c r="A567" s="227"/>
      <c r="B567" s="228"/>
      <c r="C567" s="228"/>
      <c r="D567" s="229"/>
      <c r="E567" s="229"/>
      <c r="F567" s="229"/>
      <c r="G567" s="230"/>
      <c r="H567" s="231"/>
      <c r="I567" s="232"/>
      <c r="J567" s="232"/>
      <c r="K567" s="233"/>
      <c r="L567" s="1536"/>
      <c r="M567" s="233"/>
      <c r="N567" s="233"/>
      <c r="O567" s="233"/>
      <c r="P567" s="233"/>
      <c r="Q567" s="233"/>
      <c r="R567" s="233"/>
      <c r="S567" s="233"/>
      <c r="T567" s="233"/>
      <c r="U567" s="233"/>
    </row>
    <row r="568" spans="1:21" ht="12.75" x14ac:dyDescent="0.2">
      <c r="A568" s="227"/>
      <c r="B568" s="228"/>
      <c r="C568" s="228"/>
      <c r="D568" s="229"/>
      <c r="E568" s="229"/>
      <c r="F568" s="229"/>
      <c r="G568" s="230"/>
      <c r="H568" s="231"/>
      <c r="I568" s="232"/>
      <c r="J568" s="232"/>
      <c r="K568" s="233"/>
      <c r="L568" s="1536"/>
      <c r="M568" s="233"/>
      <c r="N568" s="233"/>
      <c r="O568" s="233"/>
      <c r="P568" s="233"/>
      <c r="Q568" s="233"/>
      <c r="R568" s="233"/>
      <c r="S568" s="233"/>
      <c r="T568" s="233"/>
      <c r="U568" s="233"/>
    </row>
    <row r="569" spans="1:21" ht="12.75" x14ac:dyDescent="0.2">
      <c r="A569" s="227"/>
      <c r="B569" s="228"/>
      <c r="C569" s="228"/>
      <c r="D569" s="229"/>
      <c r="E569" s="229"/>
      <c r="F569" s="229"/>
      <c r="G569" s="230"/>
      <c r="H569" s="231"/>
      <c r="I569" s="232"/>
      <c r="J569" s="232"/>
      <c r="K569" s="233"/>
      <c r="L569" s="1536"/>
      <c r="M569" s="233"/>
      <c r="N569" s="233"/>
      <c r="O569" s="233"/>
      <c r="P569" s="233"/>
      <c r="Q569" s="233"/>
      <c r="R569" s="233"/>
      <c r="S569" s="233"/>
      <c r="T569" s="233"/>
      <c r="U569" s="233"/>
    </row>
    <row r="570" spans="1:21" ht="12.75" x14ac:dyDescent="0.2">
      <c r="A570" s="227"/>
      <c r="B570" s="228"/>
      <c r="C570" s="228"/>
      <c r="D570" s="229"/>
      <c r="E570" s="229"/>
      <c r="F570" s="229"/>
      <c r="G570" s="230"/>
      <c r="H570" s="231"/>
      <c r="I570" s="232"/>
      <c r="J570" s="232"/>
      <c r="K570" s="233"/>
      <c r="L570" s="1536"/>
      <c r="M570" s="233"/>
      <c r="N570" s="233"/>
      <c r="O570" s="233"/>
      <c r="P570" s="233"/>
      <c r="Q570" s="233"/>
      <c r="R570" s="233"/>
      <c r="S570" s="233"/>
      <c r="T570" s="233"/>
      <c r="U570" s="233"/>
    </row>
    <row r="571" spans="1:21" ht="12.75" x14ac:dyDescent="0.2">
      <c r="A571" s="227"/>
      <c r="B571" s="228"/>
      <c r="C571" s="228"/>
      <c r="D571" s="229"/>
      <c r="E571" s="229"/>
      <c r="F571" s="229"/>
      <c r="G571" s="230"/>
      <c r="H571" s="231"/>
      <c r="I571" s="232"/>
      <c r="J571" s="232"/>
      <c r="K571" s="233"/>
      <c r="L571" s="1536"/>
      <c r="M571" s="233"/>
      <c r="N571" s="233"/>
      <c r="O571" s="233"/>
      <c r="P571" s="233"/>
      <c r="Q571" s="233"/>
      <c r="R571" s="233"/>
      <c r="S571" s="233"/>
      <c r="T571" s="233"/>
      <c r="U571" s="233"/>
    </row>
    <row r="572" spans="1:21" ht="12.75" x14ac:dyDescent="0.2">
      <c r="A572" s="227"/>
      <c r="B572" s="228"/>
      <c r="C572" s="228"/>
      <c r="D572" s="229"/>
      <c r="E572" s="229"/>
      <c r="F572" s="229"/>
      <c r="G572" s="230"/>
      <c r="H572" s="231"/>
      <c r="I572" s="232"/>
      <c r="J572" s="232"/>
      <c r="K572" s="233"/>
      <c r="L572" s="1536"/>
      <c r="M572" s="233"/>
      <c r="N572" s="233"/>
      <c r="O572" s="233"/>
      <c r="P572" s="233"/>
      <c r="Q572" s="233"/>
      <c r="R572" s="233"/>
      <c r="S572" s="233"/>
      <c r="T572" s="233"/>
      <c r="U572" s="233"/>
    </row>
    <row r="573" spans="1:21" ht="12.75" x14ac:dyDescent="0.2">
      <c r="A573" s="227"/>
      <c r="B573" s="228"/>
      <c r="C573" s="228"/>
      <c r="D573" s="229"/>
      <c r="E573" s="229"/>
      <c r="F573" s="229"/>
      <c r="G573" s="230"/>
      <c r="H573" s="231"/>
      <c r="I573" s="232"/>
      <c r="J573" s="232"/>
      <c r="K573" s="233"/>
      <c r="L573" s="1536"/>
      <c r="M573" s="233"/>
      <c r="N573" s="233"/>
      <c r="O573" s="233"/>
      <c r="P573" s="233"/>
      <c r="Q573" s="233"/>
      <c r="R573" s="233"/>
      <c r="S573" s="233"/>
      <c r="T573" s="233"/>
      <c r="U573" s="233"/>
    </row>
    <row r="574" spans="1:21" ht="12.75" x14ac:dyDescent="0.2">
      <c r="A574" s="360"/>
      <c r="B574" s="316"/>
      <c r="C574" s="316"/>
      <c r="D574" s="361"/>
      <c r="E574" s="361"/>
      <c r="F574" s="361"/>
      <c r="G574" s="362"/>
      <c r="H574" s="317"/>
      <c r="I574" s="318"/>
      <c r="J574" s="318"/>
      <c r="K574" s="319"/>
      <c r="L574" s="1537"/>
      <c r="M574" s="319"/>
      <c r="N574" s="319"/>
      <c r="O574" s="319"/>
      <c r="P574" s="319"/>
      <c r="Q574" s="319"/>
      <c r="R574" s="319"/>
      <c r="S574" s="319"/>
      <c r="T574" s="319"/>
      <c r="U574" s="319"/>
    </row>
    <row r="575" spans="1:21" ht="19.5" x14ac:dyDescent="0.3">
      <c r="A575" s="349"/>
      <c r="B575" s="350" t="s">
        <v>212</v>
      </c>
      <c r="C575" s="351"/>
      <c r="D575" s="352"/>
      <c r="E575" s="352"/>
      <c r="F575" s="352"/>
      <c r="G575" s="353"/>
      <c r="H575" s="363" t="s">
        <v>61</v>
      </c>
      <c r="I575" s="374">
        <f>I587</f>
        <v>0</v>
      </c>
      <c r="J575" s="374">
        <f>J587</f>
        <v>0</v>
      </c>
      <c r="K575" s="1562">
        <f>IF(I575&gt;0,J575*100/I575,0)</f>
        <v>0</v>
      </c>
      <c r="L575" s="1550"/>
      <c r="M575" s="357"/>
      <c r="N575" s="357"/>
      <c r="O575" s="357"/>
      <c r="P575" s="357"/>
      <c r="Q575" s="357"/>
      <c r="R575" s="357"/>
      <c r="S575" s="357"/>
      <c r="T575" s="357"/>
      <c r="U575" s="357"/>
    </row>
    <row r="576" spans="1:21" ht="19.5" x14ac:dyDescent="0.3">
      <c r="A576" s="128"/>
      <c r="B576" s="40"/>
      <c r="C576" s="129" t="s">
        <v>18</v>
      </c>
      <c r="D576" s="1388" t="s">
        <v>19</v>
      </c>
      <c r="E576" s="40"/>
      <c r="F576" s="40"/>
      <c r="G576" s="42"/>
      <c r="H576" s="131" t="s">
        <v>14</v>
      </c>
      <c r="I576" s="44"/>
      <c r="J576" s="44"/>
      <c r="K576" s="45"/>
      <c r="L576" s="1389">
        <f ca="1">L577+L578</f>
        <v>0</v>
      </c>
      <c r="M576" s="1390">
        <f ca="1">M577+M578</f>
        <v>0</v>
      </c>
      <c r="N576" s="1390">
        <f ca="1">N577+N578</f>
        <v>0</v>
      </c>
      <c r="O576" s="1390">
        <f ca="1">IF(L576&gt;0,N576*100/L576,0)</f>
        <v>0</v>
      </c>
      <c r="P576" s="1390">
        <f ca="1">IF(M576&gt;0,N576*100/M576,0)</f>
        <v>0</v>
      </c>
      <c r="Q576" s="1390">
        <f>Q577+Q578</f>
        <v>0</v>
      </c>
      <c r="R576" s="1390">
        <f>R577+R578</f>
        <v>0</v>
      </c>
      <c r="S576" s="1390">
        <f>S577+S578</f>
        <v>0</v>
      </c>
      <c r="T576" s="1390">
        <f>IF(Q576&gt;0,S576*100/Q576,0)</f>
        <v>0</v>
      </c>
      <c r="U576" s="1390">
        <f>IF(R576&gt;0,S576*100/R576,0)</f>
        <v>0</v>
      </c>
    </row>
    <row r="577" spans="1:21" ht="18.75" x14ac:dyDescent="0.25">
      <c r="A577" s="128"/>
      <c r="B577" s="158"/>
      <c r="C577" s="40"/>
      <c r="D577" s="40"/>
      <c r="E577" s="156" t="s">
        <v>20</v>
      </c>
      <c r="F577" s="40"/>
      <c r="G577" s="42"/>
      <c r="H577" s="157" t="s">
        <v>14</v>
      </c>
      <c r="I577" s="44"/>
      <c r="J577" s="44"/>
      <c r="K577" s="45"/>
      <c r="L577" s="1358">
        <f>L580+L583</f>
        <v>0</v>
      </c>
      <c r="M577" s="83">
        <f>M580+M583</f>
        <v>0</v>
      </c>
      <c r="N577" s="83">
        <f>N580+N583</f>
        <v>0</v>
      </c>
      <c r="O577" s="83">
        <f>IF(L577&gt;0,N577*100/L577,0)</f>
        <v>0</v>
      </c>
      <c r="P577" s="83">
        <f>IF(M577&gt;0,N577*100/M577,0)</f>
        <v>0</v>
      </c>
      <c r="Q577" s="83">
        <f>Q580+Q583</f>
        <v>0</v>
      </c>
      <c r="R577" s="83">
        <f>R580+R583</f>
        <v>0</v>
      </c>
      <c r="S577" s="83">
        <f>S580+S583</f>
        <v>0</v>
      </c>
      <c r="T577" s="83">
        <f>IF(Q577&gt;0,S577*100/Q577,0)</f>
        <v>0</v>
      </c>
      <c r="U577" s="83">
        <f>IF(R577&gt;0,S577*100/R577,0)</f>
        <v>0</v>
      </c>
    </row>
    <row r="578" spans="1:21" ht="18.75" x14ac:dyDescent="0.25">
      <c r="A578" s="128"/>
      <c r="B578" s="40"/>
      <c r="C578" s="158"/>
      <c r="D578" s="40"/>
      <c r="E578" s="209" t="s">
        <v>21</v>
      </c>
      <c r="F578" s="40"/>
      <c r="G578" s="42"/>
      <c r="H578" s="133" t="s">
        <v>14</v>
      </c>
      <c r="I578" s="44"/>
      <c r="J578" s="44"/>
      <c r="K578" s="45"/>
      <c r="L578" s="1356">
        <f ca="1">L581+L584</f>
        <v>0</v>
      </c>
      <c r="M578" s="224">
        <f ca="1">M581+M584</f>
        <v>0</v>
      </c>
      <c r="N578" s="224">
        <f ca="1">N581+N584</f>
        <v>0</v>
      </c>
      <c r="O578" s="224">
        <f ca="1">IF(L578&gt;0,N578*100/L578,0)</f>
        <v>0</v>
      </c>
      <c r="P578" s="224">
        <f ca="1">IF(M578&gt;0,N578*100/M578,0)</f>
        <v>0</v>
      </c>
      <c r="Q578" s="224">
        <f>Q581+Q584</f>
        <v>0</v>
      </c>
      <c r="R578" s="224">
        <f>R581+R584</f>
        <v>0</v>
      </c>
      <c r="S578" s="224">
        <f>S581+S584</f>
        <v>0</v>
      </c>
      <c r="T578" s="224">
        <f>IF(Q578&gt;0,S578*100/Q578,0)</f>
        <v>0</v>
      </c>
      <c r="U578" s="224">
        <f>IF(R578&gt;0,S578*100/R578,0)</f>
        <v>0</v>
      </c>
    </row>
    <row r="579" spans="1:21" ht="18.75" x14ac:dyDescent="0.25">
      <c r="A579" s="128"/>
      <c r="B579" s="40"/>
      <c r="C579" s="158"/>
      <c r="D579" s="41" t="s">
        <v>22</v>
      </c>
      <c r="E579" s="158"/>
      <c r="F579" s="40"/>
      <c r="G579" s="42"/>
      <c r="H579" s="134" t="s">
        <v>14</v>
      </c>
      <c r="I579" s="135"/>
      <c r="J579" s="135"/>
      <c r="K579" s="136"/>
      <c r="L579" s="1356">
        <f ca="1">L580+L581</f>
        <v>0</v>
      </c>
      <c r="M579" s="224">
        <f ca="1">M580+M581</f>
        <v>0</v>
      </c>
      <c r="N579" s="224">
        <f ca="1">N580+N581</f>
        <v>0</v>
      </c>
      <c r="O579" s="224">
        <f ca="1">IF(L579&gt;0,N579*100/L579,0)</f>
        <v>0</v>
      </c>
      <c r="P579" s="224">
        <f ca="1">IF(M579&gt;0,N579*100/M579,0)</f>
        <v>0</v>
      </c>
      <c r="Q579" s="224">
        <f>Q580+Q581</f>
        <v>0</v>
      </c>
      <c r="R579" s="224">
        <f>R580+R581</f>
        <v>0</v>
      </c>
      <c r="S579" s="224">
        <f>S580+S581</f>
        <v>0</v>
      </c>
      <c r="T579" s="224">
        <f>IF(Q579&gt;0,S579*100/Q579,0)</f>
        <v>0</v>
      </c>
      <c r="U579" s="224">
        <f>IF(R579&gt;0,S579*100/R579,0)</f>
        <v>0</v>
      </c>
    </row>
    <row r="580" spans="1:21" ht="18.75" x14ac:dyDescent="0.25">
      <c r="A580" s="128"/>
      <c r="B580" s="40"/>
      <c r="C580" s="40"/>
      <c r="D580" s="40"/>
      <c r="E580" s="156" t="s">
        <v>36</v>
      </c>
      <c r="F580" s="40"/>
      <c r="G580" s="42"/>
      <c r="H580" s="159" t="s">
        <v>14</v>
      </c>
      <c r="I580" s="135"/>
      <c r="J580" s="135"/>
      <c r="K580" s="136"/>
      <c r="L580" s="1358">
        <v>0</v>
      </c>
      <c r="M580" s="83">
        <v>0</v>
      </c>
      <c r="N580" s="83">
        <v>0</v>
      </c>
      <c r="O580" s="83">
        <f>IF(L580&gt;0,N580*100/L580,0)</f>
        <v>0</v>
      </c>
      <c r="P580" s="83">
        <f>IF(M580&gt;0,N580*100/M580,0)</f>
        <v>0</v>
      </c>
      <c r="Q580" s="83">
        <v>0</v>
      </c>
      <c r="R580" s="83">
        <v>0</v>
      </c>
      <c r="S580" s="83">
        <v>0</v>
      </c>
      <c r="T580" s="83">
        <f>IF(Q580&gt;0,S580*100/Q580,0)</f>
        <v>0</v>
      </c>
      <c r="U580" s="83">
        <f>IF(R580&gt;0,S580*100/R580,0)</f>
        <v>0</v>
      </c>
    </row>
    <row r="581" spans="1:21" ht="18.75" x14ac:dyDescent="0.25">
      <c r="A581" s="128"/>
      <c r="B581" s="40"/>
      <c r="C581" s="40"/>
      <c r="D581" s="40"/>
      <c r="E581" s="47" t="s">
        <v>37</v>
      </c>
      <c r="F581" s="40"/>
      <c r="G581" s="42"/>
      <c r="H581" s="134" t="s">
        <v>14</v>
      </c>
      <c r="I581" s="135"/>
      <c r="J581" s="135"/>
      <c r="K581" s="136"/>
      <c r="L581" s="1356">
        <f ca="1">IFERROR(__xludf.DUMMYFUNCTION("IMPORTRANGE(""https://docs.google.com/spreadsheets/d/1-uDff_7J0KD5mKrp0Vvzr7lt3OU09vwQwhkpOPPYv2Y/edit?usp=sharing"",""งบพรบ!GQ29"")"),0)</f>
        <v>0</v>
      </c>
      <c r="M581" s="224">
        <f ca="1">IFERROR(__xludf.DUMMYFUNCTION("IMPORTRANGE(""https://docs.google.com/spreadsheets/d/1-uDff_7J0KD5mKrp0Vvzr7lt3OU09vwQwhkpOPPYv2Y/edit?usp=sharing"",""งบพรบ!GV29"")"),0)</f>
        <v>0</v>
      </c>
      <c r="N581" s="224">
        <f ca="1">IFERROR(__xludf.DUMMYFUNCTION("IMPORTRANGE(""https://docs.google.com/spreadsheets/d/1-uDff_7J0KD5mKrp0Vvzr7lt3OU09vwQwhkpOPPYv2Y/edit?usp=sharing"",""งบพรบ!GX29"")"),0)</f>
        <v>0</v>
      </c>
      <c r="O581" s="224">
        <f ca="1">IF(L581&gt;0,N581*100/L581,0)</f>
        <v>0</v>
      </c>
      <c r="P581" s="224">
        <f ca="1">IF(M581&gt;0,N581*100/M581,0)</f>
        <v>0</v>
      </c>
      <c r="Q581" s="224">
        <v>0</v>
      </c>
      <c r="R581" s="224">
        <v>0</v>
      </c>
      <c r="S581" s="224">
        <v>0</v>
      </c>
      <c r="T581" s="224">
        <f>IF(Q581&gt;0,S581*100/Q581,0)</f>
        <v>0</v>
      </c>
      <c r="U581" s="224">
        <f>IF(R581&gt;0,S581*100/R581,0)</f>
        <v>0</v>
      </c>
    </row>
    <row r="582" spans="1:21" ht="18.75" x14ac:dyDescent="0.25">
      <c r="A582" s="128"/>
      <c r="B582" s="40"/>
      <c r="C582" s="40"/>
      <c r="D582" s="41" t="s">
        <v>23</v>
      </c>
      <c r="E582" s="40"/>
      <c r="F582" s="40"/>
      <c r="G582" s="42"/>
      <c r="H582" s="137" t="s">
        <v>14</v>
      </c>
      <c r="I582" s="135"/>
      <c r="J582" s="135"/>
      <c r="K582" s="136"/>
      <c r="L582" s="1356">
        <f ca="1">L583+L584</f>
        <v>0</v>
      </c>
      <c r="M582" s="224">
        <f ca="1">M583+M584</f>
        <v>0</v>
      </c>
      <c r="N582" s="224">
        <f ca="1">N583+N584</f>
        <v>0</v>
      </c>
      <c r="O582" s="224">
        <f ca="1">IF(L582&gt;0,N582*100/L582,0)</f>
        <v>0</v>
      </c>
      <c r="P582" s="224">
        <f ca="1">IF(M582&gt;0,N582*100/M582,0)</f>
        <v>0</v>
      </c>
      <c r="Q582" s="224">
        <f>Q583+Q584</f>
        <v>0</v>
      </c>
      <c r="R582" s="224">
        <f>R583+R584</f>
        <v>0</v>
      </c>
      <c r="S582" s="224">
        <f>S583+S584</f>
        <v>0</v>
      </c>
      <c r="T582" s="224">
        <f>IF(Q582&gt;0,S582*100/Q582,0)</f>
        <v>0</v>
      </c>
      <c r="U582" s="224">
        <f>IF(R582&gt;0,S582*100/R582,0)</f>
        <v>0</v>
      </c>
    </row>
    <row r="583" spans="1:21" ht="18.75" x14ac:dyDescent="0.25">
      <c r="A583" s="128"/>
      <c r="B583" s="40"/>
      <c r="C583" s="40"/>
      <c r="D583" s="40"/>
      <c r="E583" s="156" t="s">
        <v>20</v>
      </c>
      <c r="F583" s="40"/>
      <c r="G583" s="42"/>
      <c r="H583" s="159" t="s">
        <v>14</v>
      </c>
      <c r="I583" s="135"/>
      <c r="J583" s="135"/>
      <c r="K583" s="136"/>
      <c r="L583" s="1358">
        <v>0</v>
      </c>
      <c r="M583" s="83">
        <v>0</v>
      </c>
      <c r="N583" s="83">
        <v>0</v>
      </c>
      <c r="O583" s="83">
        <f>IF(L583&gt;0,N583*100/L583,0)</f>
        <v>0</v>
      </c>
      <c r="P583" s="83">
        <f>IF(M583&gt;0,N583*100/M583,0)</f>
        <v>0</v>
      </c>
      <c r="Q583" s="83">
        <v>0</v>
      </c>
      <c r="R583" s="83">
        <v>0</v>
      </c>
      <c r="S583" s="83">
        <v>0</v>
      </c>
      <c r="T583" s="83">
        <f>IF(Q583&gt;0,S583*100/Q583,0)</f>
        <v>0</v>
      </c>
      <c r="U583" s="83">
        <f>IF(R583&gt;0,S583*100/R583,0)</f>
        <v>0</v>
      </c>
    </row>
    <row r="584" spans="1:21" ht="18.75" x14ac:dyDescent="0.25">
      <c r="A584" s="128"/>
      <c r="B584" s="40"/>
      <c r="C584" s="40"/>
      <c r="D584" s="40"/>
      <c r="E584" s="47" t="s">
        <v>21</v>
      </c>
      <c r="F584" s="40"/>
      <c r="G584" s="42"/>
      <c r="H584" s="137" t="s">
        <v>14</v>
      </c>
      <c r="I584" s="135"/>
      <c r="J584" s="135"/>
      <c r="K584" s="136"/>
      <c r="L584" s="1356">
        <f ca="1">IFERROR(__xludf.DUMMYFUNCTION("IMPORTRANGE(""https://docs.google.com/spreadsheets/d/1-uDff_7J0KD5mKrp0Vvzr7lt3OU09vwQwhkpOPPYv2Y/edit?usp=sharing"",""งบพรบ!GT29"")"),0)</f>
        <v>0</v>
      </c>
      <c r="M584" s="224">
        <f ca="1">IFERROR(__xludf.DUMMYFUNCTION("IMPORTRANGE(""https://docs.google.com/spreadsheets/d/1-uDff_7J0KD5mKrp0Vvzr7lt3OU09vwQwhkpOPPYv2Y/edit?usp=sharing"",""งบพรบ!GW29"")"),0)</f>
        <v>0</v>
      </c>
      <c r="N584" s="224">
        <f ca="1">IFERROR(__xludf.DUMMYFUNCTION("IMPORTRANGE(""https://docs.google.com/spreadsheets/d/1-uDff_7J0KD5mKrp0Vvzr7lt3OU09vwQwhkpOPPYv2Y/edit?usp=sharing"",""งบพรบ!GY29"")"),0)</f>
        <v>0</v>
      </c>
      <c r="O584" s="224">
        <f ca="1">IF(L584&gt;0,N584*100/L584,0)</f>
        <v>0</v>
      </c>
      <c r="P584" s="224">
        <f ca="1">IF(M584&gt;0,N584*100/M584,0)</f>
        <v>0</v>
      </c>
      <c r="Q584" s="224">
        <v>0</v>
      </c>
      <c r="R584" s="224">
        <v>0</v>
      </c>
      <c r="S584" s="224">
        <v>0</v>
      </c>
      <c r="T584" s="224">
        <f>IF(Q584&gt;0,S584*100/Q584,0)</f>
        <v>0</v>
      </c>
      <c r="U584" s="224">
        <f>IF(R584&gt;0,S584*100/R584,0)</f>
        <v>0</v>
      </c>
    </row>
    <row r="585" spans="1:21" ht="19.5" x14ac:dyDescent="0.3">
      <c r="A585" s="138"/>
      <c r="B585" s="139"/>
      <c r="C585" s="364" t="s">
        <v>18</v>
      </c>
      <c r="D585" s="1391" t="s">
        <v>38</v>
      </c>
      <c r="E585" s="141"/>
      <c r="F585" s="141"/>
      <c r="G585" s="142"/>
      <c r="H585" s="143"/>
      <c r="I585" s="135"/>
      <c r="J585" s="44"/>
      <c r="K585" s="45"/>
      <c r="L585" s="1359"/>
      <c r="M585" s="45"/>
      <c r="N585" s="45"/>
      <c r="O585" s="136"/>
      <c r="P585" s="136"/>
      <c r="Q585" s="45"/>
      <c r="R585" s="45"/>
      <c r="S585" s="45"/>
      <c r="T585" s="136"/>
      <c r="U585" s="136"/>
    </row>
    <row r="586" spans="1:21" ht="12.75" x14ac:dyDescent="0.2">
      <c r="A586" s="227"/>
      <c r="B586" s="229"/>
      <c r="C586" s="228"/>
      <c r="D586" s="229"/>
      <c r="E586" s="228"/>
      <c r="F586" s="229"/>
      <c r="G586" s="230"/>
      <c r="H586" s="230"/>
      <c r="I586" s="232"/>
      <c r="J586" s="232"/>
      <c r="K586" s="233"/>
      <c r="L586" s="1536"/>
      <c r="M586" s="233"/>
      <c r="N586" s="233"/>
      <c r="O586" s="233"/>
      <c r="P586" s="233"/>
      <c r="Q586" s="233"/>
      <c r="R586" s="233"/>
      <c r="S586" s="233"/>
      <c r="T586" s="233"/>
      <c r="U586" s="233"/>
    </row>
    <row r="587" spans="1:21" ht="12.75" x14ac:dyDescent="0.2">
      <c r="A587" s="227"/>
      <c r="B587" s="229"/>
      <c r="C587" s="228"/>
      <c r="D587" s="229"/>
      <c r="E587" s="228"/>
      <c r="F587" s="229"/>
      <c r="G587" s="230"/>
      <c r="H587" s="230"/>
      <c r="I587" s="232"/>
      <c r="J587" s="232"/>
      <c r="K587" s="233"/>
      <c r="L587" s="1536"/>
      <c r="M587" s="233"/>
      <c r="N587" s="233"/>
      <c r="O587" s="233"/>
      <c r="P587" s="233"/>
      <c r="Q587" s="233"/>
      <c r="R587" s="233"/>
      <c r="S587" s="233"/>
      <c r="T587" s="233"/>
      <c r="U587" s="233"/>
    </row>
    <row r="588" spans="1:21" ht="12.75" x14ac:dyDescent="0.2">
      <c r="A588" s="227"/>
      <c r="B588" s="228"/>
      <c r="C588" s="228"/>
      <c r="D588" s="229"/>
      <c r="E588" s="229"/>
      <c r="F588" s="229"/>
      <c r="G588" s="230"/>
      <c r="H588" s="231"/>
      <c r="I588" s="232"/>
      <c r="J588" s="232"/>
      <c r="K588" s="233"/>
      <c r="L588" s="1536"/>
      <c r="M588" s="233"/>
      <c r="N588" s="233"/>
      <c r="O588" s="233"/>
      <c r="P588" s="233"/>
      <c r="Q588" s="233"/>
      <c r="R588" s="233"/>
      <c r="S588" s="233"/>
      <c r="T588" s="233"/>
      <c r="U588" s="233"/>
    </row>
    <row r="589" spans="1:21" ht="12.75" x14ac:dyDescent="0.2">
      <c r="A589" s="227"/>
      <c r="B589" s="228"/>
      <c r="C589" s="228"/>
      <c r="D589" s="229"/>
      <c r="E589" s="229"/>
      <c r="F589" s="229"/>
      <c r="G589" s="230"/>
      <c r="H589" s="231"/>
      <c r="I589" s="232"/>
      <c r="J589" s="232"/>
      <c r="K589" s="233"/>
      <c r="L589" s="1536"/>
      <c r="M589" s="233"/>
      <c r="N589" s="233"/>
      <c r="O589" s="233"/>
      <c r="P589" s="233"/>
      <c r="Q589" s="233"/>
      <c r="R589" s="233"/>
      <c r="S589" s="233"/>
      <c r="T589" s="233"/>
      <c r="U589" s="233"/>
    </row>
    <row r="590" spans="1:21" ht="12.75" x14ac:dyDescent="0.2">
      <c r="A590" s="227"/>
      <c r="B590" s="228"/>
      <c r="C590" s="228"/>
      <c r="D590" s="229"/>
      <c r="E590" s="229"/>
      <c r="F590" s="229"/>
      <c r="G590" s="230"/>
      <c r="H590" s="231"/>
      <c r="I590" s="232"/>
      <c r="J590" s="232"/>
      <c r="K590" s="233"/>
      <c r="L590" s="1536"/>
      <c r="M590" s="233"/>
      <c r="N590" s="233"/>
      <c r="O590" s="233"/>
      <c r="P590" s="233"/>
      <c r="Q590" s="233"/>
      <c r="R590" s="233"/>
      <c r="S590" s="233"/>
      <c r="T590" s="233"/>
      <c r="U590" s="233"/>
    </row>
    <row r="591" spans="1:21" ht="12.75" x14ac:dyDescent="0.2">
      <c r="A591" s="227"/>
      <c r="B591" s="228"/>
      <c r="C591" s="228"/>
      <c r="D591" s="229"/>
      <c r="E591" s="229"/>
      <c r="F591" s="229"/>
      <c r="G591" s="230"/>
      <c r="H591" s="231"/>
      <c r="I591" s="232"/>
      <c r="J591" s="232"/>
      <c r="K591" s="233"/>
      <c r="L591" s="1536"/>
      <c r="M591" s="233"/>
      <c r="N591" s="233"/>
      <c r="O591" s="233"/>
      <c r="P591" s="233"/>
      <c r="Q591" s="233"/>
      <c r="R591" s="233"/>
      <c r="S591" s="233"/>
      <c r="T591" s="233"/>
      <c r="U591" s="233"/>
    </row>
    <row r="592" spans="1:21" ht="12.75" x14ac:dyDescent="0.2">
      <c r="A592" s="227"/>
      <c r="B592" s="228"/>
      <c r="C592" s="228"/>
      <c r="D592" s="229"/>
      <c r="E592" s="229"/>
      <c r="F592" s="229"/>
      <c r="G592" s="230"/>
      <c r="H592" s="231"/>
      <c r="I592" s="232"/>
      <c r="J592" s="232"/>
      <c r="K592" s="233"/>
      <c r="L592" s="1536"/>
      <c r="M592" s="233"/>
      <c r="N592" s="233"/>
      <c r="O592" s="233"/>
      <c r="P592" s="233"/>
      <c r="Q592" s="233"/>
      <c r="R592" s="233"/>
      <c r="S592" s="233"/>
      <c r="T592" s="233"/>
      <c r="U592" s="233"/>
    </row>
    <row r="593" spans="1:21" ht="12.75" x14ac:dyDescent="0.2">
      <c r="A593" s="227"/>
      <c r="B593" s="228"/>
      <c r="C593" s="228"/>
      <c r="D593" s="229"/>
      <c r="E593" s="229"/>
      <c r="F593" s="229"/>
      <c r="G593" s="230"/>
      <c r="H593" s="231"/>
      <c r="I593" s="232"/>
      <c r="J593" s="232"/>
      <c r="K593" s="233"/>
      <c r="L593" s="1536"/>
      <c r="M593" s="233"/>
      <c r="N593" s="233"/>
      <c r="O593" s="233"/>
      <c r="P593" s="233"/>
      <c r="Q593" s="233"/>
      <c r="R593" s="233"/>
      <c r="S593" s="233"/>
      <c r="T593" s="233"/>
      <c r="U593" s="233"/>
    </row>
    <row r="594" spans="1:21" ht="12.75" x14ac:dyDescent="0.2">
      <c r="A594" s="227"/>
      <c r="B594" s="228"/>
      <c r="C594" s="228"/>
      <c r="D594" s="229"/>
      <c r="E594" s="229"/>
      <c r="F594" s="229"/>
      <c r="G594" s="230"/>
      <c r="H594" s="231"/>
      <c r="I594" s="232"/>
      <c r="J594" s="232"/>
      <c r="K594" s="233"/>
      <c r="L594" s="1536"/>
      <c r="M594" s="233"/>
      <c r="N594" s="233"/>
      <c r="O594" s="233"/>
      <c r="P594" s="233"/>
      <c r="Q594" s="233"/>
      <c r="R594" s="233"/>
      <c r="S594" s="233"/>
      <c r="T594" s="233"/>
      <c r="U594" s="233"/>
    </row>
    <row r="595" spans="1:21" ht="12.75" x14ac:dyDescent="0.2">
      <c r="A595" s="360"/>
      <c r="B595" s="316"/>
      <c r="C595" s="316"/>
      <c r="D595" s="361"/>
      <c r="E595" s="361"/>
      <c r="F595" s="361"/>
      <c r="G595" s="362"/>
      <c r="H595" s="317"/>
      <c r="I595" s="318"/>
      <c r="J595" s="318"/>
      <c r="K595" s="319"/>
      <c r="L595" s="1537"/>
      <c r="M595" s="319"/>
      <c r="N595" s="319"/>
      <c r="O595" s="319"/>
      <c r="P595" s="319"/>
      <c r="Q595" s="319"/>
      <c r="R595" s="319"/>
      <c r="S595" s="319"/>
      <c r="T595" s="319"/>
      <c r="U595" s="319"/>
    </row>
    <row r="596" spans="1:21" ht="19.5" x14ac:dyDescent="0.3">
      <c r="A596" s="1563" t="s">
        <v>213</v>
      </c>
      <c r="B596" s="119"/>
      <c r="C596" s="168"/>
      <c r="D596" s="119"/>
      <c r="E596" s="119"/>
      <c r="F596" s="119"/>
      <c r="G596" s="119"/>
      <c r="H596" s="120"/>
      <c r="I596" s="169"/>
      <c r="J596" s="169"/>
      <c r="K596" s="170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1564" t="s">
        <v>214</v>
      </c>
      <c r="C597" s="172"/>
      <c r="D597" s="125"/>
      <c r="E597" s="27"/>
      <c r="F597" s="27"/>
      <c r="G597" s="27"/>
      <c r="H597" s="1565" t="s">
        <v>99</v>
      </c>
      <c r="I597" s="182"/>
      <c r="J597" s="32"/>
      <c r="K597" s="33"/>
      <c r="L597" s="1387"/>
      <c r="M597" s="33"/>
      <c r="N597" s="33"/>
      <c r="O597" s="33"/>
      <c r="P597" s="33"/>
      <c r="Q597" s="33"/>
      <c r="R597" s="33"/>
      <c r="S597" s="33"/>
      <c r="T597" s="33"/>
      <c r="U597" s="33"/>
    </row>
    <row r="598" spans="1:21" ht="19.5" x14ac:dyDescent="0.3">
      <c r="A598" s="1566"/>
      <c r="B598" s="1567" t="s">
        <v>215</v>
      </c>
      <c r="C598" s="125"/>
      <c r="D598" s="27"/>
      <c r="E598" s="27"/>
      <c r="F598" s="27"/>
      <c r="G598" s="30"/>
      <c r="H598" s="1568" t="s">
        <v>35</v>
      </c>
      <c r="I598" s="32"/>
      <c r="J598" s="32"/>
      <c r="K598" s="33"/>
      <c r="L598" s="1387"/>
      <c r="M598" s="33"/>
      <c r="N598" s="33"/>
      <c r="O598" s="33"/>
      <c r="P598" s="33"/>
      <c r="Q598" s="33"/>
      <c r="R598" s="33"/>
      <c r="S598" s="33"/>
      <c r="T598" s="33"/>
      <c r="U598" s="33"/>
    </row>
    <row r="599" spans="1:21" ht="19.5" x14ac:dyDescent="0.3">
      <c r="A599" s="128"/>
      <c r="B599" s="158"/>
      <c r="C599" s="177" t="s">
        <v>18</v>
      </c>
      <c r="D599" s="1569" t="s">
        <v>19</v>
      </c>
      <c r="E599" s="1285"/>
      <c r="F599" s="1285"/>
      <c r="G599" s="1286"/>
      <c r="H599" s="375" t="s">
        <v>14</v>
      </c>
      <c r="I599" s="44"/>
      <c r="J599" s="44"/>
      <c r="K599" s="45"/>
      <c r="L599" s="1389">
        <f ca="1">L600+L601</f>
        <v>8892</v>
      </c>
      <c r="M599" s="1390">
        <f ca="1">M600+M601</f>
        <v>0</v>
      </c>
      <c r="N599" s="1390">
        <f ca="1">N600+N601</f>
        <v>0</v>
      </c>
      <c r="O599" s="1390">
        <f ca="1">IF(L599&gt;0,N599*100/L599,0)</f>
        <v>0</v>
      </c>
      <c r="P599" s="1390">
        <f ca="1">IF(M599&gt;0,N599*100/M599,0)</f>
        <v>0</v>
      </c>
      <c r="Q599" s="1390">
        <f ca="1">Q600+Q601</f>
        <v>0</v>
      </c>
      <c r="R599" s="1390">
        <f ca="1">R600+R601</f>
        <v>0</v>
      </c>
      <c r="S599" s="1390">
        <f ca="1">S600+S601</f>
        <v>0</v>
      </c>
      <c r="T599" s="1390">
        <f ca="1">IF(Q599&gt;0,S599*100/Q599,0)</f>
        <v>0</v>
      </c>
      <c r="U599" s="1390">
        <f ca="1">IF(R599&gt;0,S599*100/R599,0)</f>
        <v>0</v>
      </c>
    </row>
    <row r="600" spans="1:21" ht="18.75" x14ac:dyDescent="0.25">
      <c r="A600" s="128"/>
      <c r="B600" s="158"/>
      <c r="C600" s="158"/>
      <c r="D600" s="145"/>
      <c r="E600" s="156" t="s">
        <v>158</v>
      </c>
      <c r="F600" s="40"/>
      <c r="G600" s="42"/>
      <c r="H600" s="159" t="s">
        <v>14</v>
      </c>
      <c r="I600" s="44"/>
      <c r="J600" s="44"/>
      <c r="K600" s="45"/>
      <c r="L600" s="1358">
        <f>L603+L606</f>
        <v>0</v>
      </c>
      <c r="M600" s="83">
        <f>M603+M606</f>
        <v>0</v>
      </c>
      <c r="N600" s="83">
        <f>N603+N606</f>
        <v>0</v>
      </c>
      <c r="O600" s="83">
        <f>IF(L600&gt;0,N600*100/L600,0)</f>
        <v>0</v>
      </c>
      <c r="P600" s="83">
        <f>IF(M600&gt;0,N600*100/M600,0)</f>
        <v>0</v>
      </c>
      <c r="Q600" s="83">
        <f>Q603+Q606</f>
        <v>0</v>
      </c>
      <c r="R600" s="83">
        <f>R603+R606</f>
        <v>0</v>
      </c>
      <c r="S600" s="83">
        <f>S603+S606</f>
        <v>0</v>
      </c>
      <c r="T600" s="83">
        <f>IF(Q600&gt;0,S600*100/Q600,0)</f>
        <v>0</v>
      </c>
      <c r="U600" s="83">
        <f>IF(R600&gt;0,S600*100/R600,0)</f>
        <v>0</v>
      </c>
    </row>
    <row r="601" spans="1:21" ht="18.75" x14ac:dyDescent="0.25">
      <c r="A601" s="128"/>
      <c r="B601" s="158"/>
      <c r="C601" s="158"/>
      <c r="D601" s="145"/>
      <c r="E601" s="156" t="s">
        <v>159</v>
      </c>
      <c r="F601" s="40"/>
      <c r="G601" s="42"/>
      <c r="H601" s="159" t="s">
        <v>14</v>
      </c>
      <c r="I601" s="44"/>
      <c r="J601" s="44"/>
      <c r="K601" s="45"/>
      <c r="L601" s="1356">
        <f ca="1">L604+L607</f>
        <v>8892</v>
      </c>
      <c r="M601" s="224">
        <f ca="1">M604+M607</f>
        <v>0</v>
      </c>
      <c r="N601" s="224">
        <f ca="1">N604+N607</f>
        <v>0</v>
      </c>
      <c r="O601" s="224">
        <f ca="1">IF(L601&gt;0,N601*100/L601,0)</f>
        <v>0</v>
      </c>
      <c r="P601" s="224">
        <f ca="1">IF(M601&gt;0,N601*100/M601,0)</f>
        <v>0</v>
      </c>
      <c r="Q601" s="224">
        <f ca="1">Q604+Q607</f>
        <v>0</v>
      </c>
      <c r="R601" s="224">
        <f ca="1">R604+R607</f>
        <v>0</v>
      </c>
      <c r="S601" s="224">
        <f ca="1">S604+S607</f>
        <v>0</v>
      </c>
      <c r="T601" s="224">
        <f ca="1">IF(Q601&gt;0,S601*100/Q601,0)</f>
        <v>0</v>
      </c>
      <c r="U601" s="224">
        <f ca="1">IF(R601&gt;0,S601*100/R601,0)</f>
        <v>0</v>
      </c>
    </row>
    <row r="602" spans="1:21" ht="19.5" x14ac:dyDescent="0.3">
      <c r="A602" s="128"/>
      <c r="B602" s="158"/>
      <c r="C602" s="158"/>
      <c r="D602" s="1434" t="s">
        <v>22</v>
      </c>
      <c r="E602" s="40"/>
      <c r="F602" s="40"/>
      <c r="G602" s="42"/>
      <c r="H602" s="375" t="s">
        <v>14</v>
      </c>
      <c r="I602" s="135"/>
      <c r="J602" s="135"/>
      <c r="K602" s="136"/>
      <c r="L602" s="1356">
        <f ca="1">L603+L604</f>
        <v>8892</v>
      </c>
      <c r="M602" s="224">
        <f ca="1">M603+M604</f>
        <v>0</v>
      </c>
      <c r="N602" s="224">
        <f ca="1">N603+N604</f>
        <v>0</v>
      </c>
      <c r="O602" s="224">
        <f ca="1">IF(L602&gt;0,N602*100/L602,0)</f>
        <v>0</v>
      </c>
      <c r="P602" s="224">
        <f ca="1">IF(M602&gt;0,N602*100/M602,0)</f>
        <v>0</v>
      </c>
      <c r="Q602" s="224">
        <f ca="1">Q603+Q604</f>
        <v>0</v>
      </c>
      <c r="R602" s="224">
        <f ca="1">R603+R604</f>
        <v>0</v>
      </c>
      <c r="S602" s="224">
        <f ca="1">S603+S604</f>
        <v>0</v>
      </c>
      <c r="T602" s="224">
        <f ca="1">IF(Q602&gt;0,S602*100/Q602,0)</f>
        <v>0</v>
      </c>
      <c r="U602" s="224">
        <f ca="1">IF(R602&gt;0,S602*100/R602,0)</f>
        <v>0</v>
      </c>
    </row>
    <row r="603" spans="1:21" ht="18.75" x14ac:dyDescent="0.25">
      <c r="A603" s="128"/>
      <c r="B603" s="158"/>
      <c r="C603" s="158"/>
      <c r="D603" s="145"/>
      <c r="E603" s="156" t="s">
        <v>158</v>
      </c>
      <c r="F603" s="40"/>
      <c r="G603" s="42"/>
      <c r="H603" s="159" t="s">
        <v>14</v>
      </c>
      <c r="I603" s="44"/>
      <c r="J603" s="44"/>
      <c r="K603" s="45"/>
      <c r="L603" s="1358">
        <v>0</v>
      </c>
      <c r="M603" s="83">
        <v>0</v>
      </c>
      <c r="N603" s="83">
        <v>0</v>
      </c>
      <c r="O603" s="83">
        <f>IF(L603&gt;0,N603*100/L603,0)</f>
        <v>0</v>
      </c>
      <c r="P603" s="83">
        <f>IF(M603&gt;0,N603*100/M603,0)</f>
        <v>0</v>
      </c>
      <c r="Q603" s="83">
        <v>0</v>
      </c>
      <c r="R603" s="83">
        <v>0</v>
      </c>
      <c r="S603" s="83">
        <v>0</v>
      </c>
      <c r="T603" s="83">
        <f>IF(Q603&gt;0,S603*100/Q603,0)</f>
        <v>0</v>
      </c>
      <c r="U603" s="83">
        <f>IF(R603&gt;0,S603*100/R603,0)</f>
        <v>0</v>
      </c>
    </row>
    <row r="604" spans="1:21" ht="18.75" x14ac:dyDescent="0.25">
      <c r="A604" s="128"/>
      <c r="B604" s="158"/>
      <c r="C604" s="158"/>
      <c r="D604" s="145"/>
      <c r="E604" s="156" t="s">
        <v>159</v>
      </c>
      <c r="F604" s="40"/>
      <c r="G604" s="42"/>
      <c r="H604" s="159" t="s">
        <v>14</v>
      </c>
      <c r="I604" s="44"/>
      <c r="J604" s="44"/>
      <c r="K604" s="45"/>
      <c r="L604" s="1356">
        <f ca="1">IFERROR(__xludf.DUMMYFUNCTION("IMPORTRANGE(""https://docs.google.com/spreadsheets/d/1-uDff_7J0KD5mKrp0Vvzr7lt3OU09vwQwhkpOPPYv2Y/edit?usp=sharing"",""งบพรบ!HK29"")"),8892)</f>
        <v>8892</v>
      </c>
      <c r="M604" s="224">
        <f ca="1">IFERROR(__xludf.DUMMYFUNCTION("IMPORTRANGE(""https://docs.google.com/spreadsheets/d/1-uDff_7J0KD5mKrp0Vvzr7lt3OU09vwQwhkpOPPYv2Y/edit?usp=sharing"",""งบพรบ!HP29"")"),0)</f>
        <v>0</v>
      </c>
      <c r="N604" s="224">
        <f ca="1">IFERROR(__xludf.DUMMYFUNCTION("IMPORTRANGE(""https://docs.google.com/spreadsheets/d/1-uDff_7J0KD5mKrp0Vvzr7lt3OU09vwQwhkpOPPYv2Y/edit?usp=sharing"",""งบพรบ!HR29"")"),0)</f>
        <v>0</v>
      </c>
      <c r="O604" s="224">
        <f ca="1">IF(L604&gt;0,N604*100/L604,0)</f>
        <v>0</v>
      </c>
      <c r="P604" s="224">
        <f ca="1">IF(M604&gt;0,N604*100/M604,0)</f>
        <v>0</v>
      </c>
      <c r="Q604" s="224">
        <f ca="1">IFERROR(__xludf.DUMMYFUNCTION("IMPORTRANGE(""https://docs.google.com/spreadsheets/d/1ItG2mGa2ceCfYo0BwxsXqNm01IGEUdYcSSLTEv9YCik/edit?usp=sharing"",""เบิกจ่ายกองทุน!AV29"")"),0)</f>
        <v>0</v>
      </c>
      <c r="R604" s="224">
        <f ca="1">IFERROR(__xludf.DUMMYFUNCTION("IMPORTRANGE(""https://docs.google.com/spreadsheets/d/1ItG2mGa2ceCfYo0BwxsXqNm01IGEUdYcSSLTEv9YCik/edit?usp=sharing"",""เบิกจ่ายกองทุน!AW29"")"),0)</f>
        <v>0</v>
      </c>
      <c r="S604" s="224">
        <f ca="1">IFERROR(__xludf.DUMMYFUNCTION("IMPORTRANGE(""https://docs.google.com/spreadsheets/d/1ItG2mGa2ceCfYo0BwxsXqNm01IGEUdYcSSLTEv9YCik/edit?usp=sharing"",""เบิกจ่ายกองทุน!AX29"")"),0)</f>
        <v>0</v>
      </c>
      <c r="T604" s="224">
        <f ca="1">IF(Q604&gt;0,S604*100/Q604,0)</f>
        <v>0</v>
      </c>
      <c r="U604" s="224">
        <f ca="1">IF(R604&gt;0,S604*100/R604,0)</f>
        <v>0</v>
      </c>
    </row>
    <row r="605" spans="1:21" ht="19.5" x14ac:dyDescent="0.3">
      <c r="A605" s="128"/>
      <c r="B605" s="158"/>
      <c r="C605" s="158"/>
      <c r="D605" s="1434" t="s">
        <v>23</v>
      </c>
      <c r="E605" s="158"/>
      <c r="F605" s="40"/>
      <c r="G605" s="42"/>
      <c r="H605" s="377" t="s">
        <v>14</v>
      </c>
      <c r="I605" s="135"/>
      <c r="J605" s="135"/>
      <c r="K605" s="136"/>
      <c r="L605" s="1356">
        <f ca="1">L606+L607</f>
        <v>0</v>
      </c>
      <c r="M605" s="224">
        <f ca="1">M606+M607</f>
        <v>0</v>
      </c>
      <c r="N605" s="224">
        <f ca="1">N606+N607</f>
        <v>0</v>
      </c>
      <c r="O605" s="224">
        <f ca="1">IF(L605&gt;0,N605*100/L605,0)</f>
        <v>0</v>
      </c>
      <c r="P605" s="224">
        <f ca="1">IF(M605&gt;0,N605*100/M605,0)</f>
        <v>0</v>
      </c>
      <c r="Q605" s="224">
        <f ca="1">Q606+Q607</f>
        <v>0</v>
      </c>
      <c r="R605" s="224">
        <f ca="1">R606+R607</f>
        <v>0</v>
      </c>
      <c r="S605" s="224">
        <f ca="1">S606+S607</f>
        <v>0</v>
      </c>
      <c r="T605" s="224">
        <f ca="1">IF(Q605&gt;0,S605*100/Q605,0)</f>
        <v>0</v>
      </c>
      <c r="U605" s="224">
        <f ca="1">IF(R605&gt;0,S605*100/R605,0)</f>
        <v>0</v>
      </c>
    </row>
    <row r="606" spans="1:21" ht="18.75" x14ac:dyDescent="0.25">
      <c r="A606" s="128"/>
      <c r="B606" s="158"/>
      <c r="C606" s="158"/>
      <c r="D606" s="158"/>
      <c r="E606" s="314" t="s">
        <v>20</v>
      </c>
      <c r="F606" s="40"/>
      <c r="G606" s="42"/>
      <c r="H606" s="159" t="s">
        <v>14</v>
      </c>
      <c r="I606" s="135"/>
      <c r="J606" s="135"/>
      <c r="K606" s="136"/>
      <c r="L606" s="1358">
        <v>0</v>
      </c>
      <c r="M606" s="83">
        <v>0</v>
      </c>
      <c r="N606" s="83">
        <v>0</v>
      </c>
      <c r="O606" s="83">
        <f>IF(L606&gt;0,N606*100/L606,0)</f>
        <v>0</v>
      </c>
      <c r="P606" s="83">
        <f>IF(M606&gt;0,N606*100/M606,0)</f>
        <v>0</v>
      </c>
      <c r="Q606" s="83">
        <v>0</v>
      </c>
      <c r="R606" s="83">
        <v>0</v>
      </c>
      <c r="S606" s="83">
        <v>0</v>
      </c>
      <c r="T606" s="83">
        <f>IF(Q606&gt;0,S606*100/Q606,0)</f>
        <v>0</v>
      </c>
      <c r="U606" s="83">
        <f>IF(R606&gt;0,S606*100/R606,0)</f>
        <v>0</v>
      </c>
    </row>
    <row r="607" spans="1:21" ht="18.75" x14ac:dyDescent="0.25">
      <c r="A607" s="128"/>
      <c r="B607" s="158"/>
      <c r="C607" s="158"/>
      <c r="D607" s="40"/>
      <c r="E607" s="314" t="s">
        <v>21</v>
      </c>
      <c r="F607" s="40"/>
      <c r="G607" s="42"/>
      <c r="H607" s="378" t="s">
        <v>14</v>
      </c>
      <c r="I607" s="135"/>
      <c r="J607" s="135"/>
      <c r="K607" s="136"/>
      <c r="L607" s="1356">
        <f ca="1">IFERROR(__xludf.DUMMYFUNCTION("IMPORTRANGE(""https://docs.google.com/spreadsheets/d/1-uDff_7J0KD5mKrp0Vvzr7lt3OU09vwQwhkpOPPYv2Y/edit?usp=sharing"",""งบพรบ!HN29"")"),0)</f>
        <v>0</v>
      </c>
      <c r="M607" s="224">
        <f ca="1">IFERROR(__xludf.DUMMYFUNCTION("IMPORTRANGE(""https://docs.google.com/spreadsheets/d/1-uDff_7J0KD5mKrp0Vvzr7lt3OU09vwQwhkpOPPYv2Y/edit?usp=sharing"",""งบพรบ!HQ29"")"),0)</f>
        <v>0</v>
      </c>
      <c r="N607" s="224">
        <f ca="1">IFERROR(__xludf.DUMMYFUNCTION("IMPORTRANGE(""https://docs.google.com/spreadsheets/d/1-uDff_7J0KD5mKrp0Vvzr7lt3OU09vwQwhkpOPPYv2Y/edit?usp=sharing"",""งบพรบ!HS29"")"),0)</f>
        <v>0</v>
      </c>
      <c r="O607" s="224">
        <f ca="1">IF(L607&gt;0,N607*100/L607,0)</f>
        <v>0</v>
      </c>
      <c r="P607" s="224">
        <f ca="1">IF(M607&gt;0,N607*100/M607,0)</f>
        <v>0</v>
      </c>
      <c r="Q607" s="224">
        <f ca="1">IFERROR(__xludf.DUMMYFUNCTION("IMPORTRANGE(""https://docs.google.com/spreadsheets/d/1ItG2mGa2ceCfYo0BwxsXqNm01IGEUdYcSSLTEv9YCik/edit?usp=sharing"",""เบิกจ่ายกองทุน!AY29"")"),0)</f>
        <v>0</v>
      </c>
      <c r="R607" s="224">
        <f ca="1">IFERROR(__xludf.DUMMYFUNCTION("IMPORTRANGE(""https://docs.google.com/spreadsheets/d/1ItG2mGa2ceCfYo0BwxsXqNm01IGEUdYcSSLTEv9YCik/edit?usp=sharing"",""เบิกจ่ายกองทุน!AZ29"")"),0)</f>
        <v>0</v>
      </c>
      <c r="S607" s="224">
        <f ca="1">IFERROR(__xludf.DUMMYFUNCTION("IMPORTRANGE(""https://docs.google.com/spreadsheets/d/1ItG2mGa2ceCfYo0BwxsXqNm01IGEUdYcSSLTEv9YCik/edit?usp=sharing"",""เบิกจ่ายกองทุน!BA29"")"),0)</f>
        <v>0</v>
      </c>
      <c r="T607" s="224">
        <f ca="1">IF(Q607&gt;0,S607*100/Q607,0)</f>
        <v>0</v>
      </c>
      <c r="U607" s="224">
        <f ca="1">IF(R607&gt;0,S607*100/R607,0)</f>
        <v>0</v>
      </c>
    </row>
    <row r="608" spans="1:21" ht="19.5" x14ac:dyDescent="0.3">
      <c r="A608" s="138"/>
      <c r="B608" s="139"/>
      <c r="C608" s="177" t="s">
        <v>18</v>
      </c>
      <c r="D608" s="1436" t="s">
        <v>38</v>
      </c>
      <c r="E608" s="141"/>
      <c r="F608" s="141"/>
      <c r="G608" s="142"/>
      <c r="H608" s="178"/>
      <c r="I608" s="135"/>
      <c r="J608" s="135"/>
      <c r="K608" s="136"/>
      <c r="L608" s="1359"/>
      <c r="M608" s="45"/>
      <c r="N608" s="45"/>
      <c r="O608" s="45"/>
      <c r="P608" s="45"/>
      <c r="Q608" s="45"/>
      <c r="R608" s="45"/>
      <c r="S608" s="45"/>
      <c r="T608" s="45"/>
      <c r="U608" s="45"/>
    </row>
    <row r="609" spans="1:21" ht="18.75" x14ac:dyDescent="0.25">
      <c r="A609" s="138"/>
      <c r="B609" s="139"/>
      <c r="C609" s="139"/>
      <c r="D609" s="379" t="s">
        <v>216</v>
      </c>
      <c r="E609" s="145"/>
      <c r="F609" s="145"/>
      <c r="G609" s="143"/>
      <c r="H609" s="159" t="s">
        <v>99</v>
      </c>
      <c r="I609" s="44"/>
      <c r="J609" s="44"/>
      <c r="K609" s="136"/>
      <c r="L609" s="1359"/>
      <c r="M609" s="45"/>
      <c r="N609" s="45"/>
      <c r="O609" s="45"/>
      <c r="P609" s="45"/>
      <c r="Q609" s="45"/>
      <c r="R609" s="45"/>
      <c r="S609" s="45"/>
      <c r="T609" s="45"/>
      <c r="U609" s="45"/>
    </row>
    <row r="610" spans="1:21" ht="19.5" x14ac:dyDescent="0.3">
      <c r="A610" s="138"/>
      <c r="B610" s="139"/>
      <c r="C610" s="139"/>
      <c r="D610" s="379" t="s">
        <v>217</v>
      </c>
      <c r="E610" s="145"/>
      <c r="F610" s="145"/>
      <c r="G610" s="143"/>
      <c r="H610" s="375" t="s">
        <v>35</v>
      </c>
      <c r="I610" s="44"/>
      <c r="J610" s="44"/>
      <c r="K610" s="136"/>
      <c r="L610" s="1359"/>
      <c r="M610" s="45"/>
      <c r="N610" s="45"/>
      <c r="O610" s="45"/>
      <c r="P610" s="45"/>
      <c r="Q610" s="45"/>
      <c r="R610" s="45"/>
      <c r="S610" s="45"/>
      <c r="T610" s="45"/>
      <c r="U610" s="45"/>
    </row>
    <row r="611" spans="1:21" ht="18.75" x14ac:dyDescent="0.25">
      <c r="A611" s="138"/>
      <c r="B611" s="139"/>
      <c r="C611" s="139"/>
      <c r="D611" s="139"/>
      <c r="E611" s="379" t="s">
        <v>218</v>
      </c>
      <c r="F611" s="145"/>
      <c r="G611" s="143"/>
      <c r="H611" s="378" t="s">
        <v>35</v>
      </c>
      <c r="I611" s="44"/>
      <c r="J611" s="44"/>
      <c r="K611" s="136"/>
      <c r="L611" s="1359"/>
      <c r="M611" s="45"/>
      <c r="N611" s="45"/>
      <c r="O611" s="45"/>
      <c r="P611" s="45"/>
      <c r="Q611" s="45"/>
      <c r="R611" s="45"/>
      <c r="S611" s="45"/>
      <c r="T611" s="45"/>
      <c r="U611" s="45"/>
    </row>
    <row r="612" spans="1:21" ht="19.5" thickBot="1" x14ac:dyDescent="0.3">
      <c r="A612" s="1570"/>
      <c r="B612" s="1571"/>
      <c r="C612" s="1571"/>
      <c r="D612" s="1571"/>
      <c r="E612" s="1572" t="s">
        <v>219</v>
      </c>
      <c r="F612" s="1573"/>
      <c r="G612" s="1574"/>
      <c r="H612" s="1575" t="s">
        <v>35</v>
      </c>
      <c r="I612" s="1576"/>
      <c r="J612" s="1576"/>
      <c r="K612" s="1577"/>
      <c r="L612" s="1578"/>
      <c r="M612" s="1579"/>
      <c r="N612" s="1579"/>
      <c r="O612" s="1579"/>
      <c r="P612" s="1579"/>
      <c r="Q612" s="1579"/>
      <c r="R612" s="1579"/>
      <c r="S612" s="1579"/>
      <c r="T612" s="1579"/>
      <c r="U612" s="1579"/>
    </row>
    <row r="613" spans="1:21" ht="19.5" x14ac:dyDescent="0.3">
      <c r="A613" s="380" t="s">
        <v>220</v>
      </c>
      <c r="B613" s="381"/>
      <c r="C613" s="381"/>
      <c r="D613" s="382"/>
      <c r="E613" s="382"/>
      <c r="F613" s="382"/>
      <c r="G613" s="383"/>
      <c r="H613" s="384"/>
      <c r="I613" s="385"/>
      <c r="J613" s="385"/>
      <c r="K613" s="386"/>
      <c r="L613" s="1580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x14ac:dyDescent="0.3">
      <c r="A614" s="387"/>
      <c r="B614" s="388" t="s">
        <v>221</v>
      </c>
      <c r="C614" s="387"/>
      <c r="D614" s="389"/>
      <c r="E614" s="389"/>
      <c r="F614" s="389"/>
      <c r="G614" s="390"/>
      <c r="H614" s="391"/>
      <c r="I614" s="392"/>
      <c r="J614" s="392"/>
      <c r="K614" s="393"/>
      <c r="L614" s="158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222</v>
      </c>
      <c r="C615" s="394"/>
      <c r="D615" s="396"/>
      <c r="E615" s="396"/>
      <c r="F615" s="396"/>
      <c r="G615" s="397"/>
      <c r="H615" s="398" t="s">
        <v>46</v>
      </c>
      <c r="I615" s="1582">
        <f ca="1">I626</f>
        <v>50</v>
      </c>
      <c r="J615" s="1582">
        <f>J626</f>
        <v>0</v>
      </c>
      <c r="K615" s="1583">
        <f ca="1">IF(I615&gt;0,J615*100/I615,0)</f>
        <v>0</v>
      </c>
      <c r="L615" s="1584"/>
      <c r="M615" s="401"/>
      <c r="N615" s="401"/>
      <c r="O615" s="401"/>
      <c r="P615" s="401"/>
      <c r="Q615" s="401"/>
      <c r="R615" s="401"/>
      <c r="S615" s="401"/>
      <c r="T615" s="401"/>
      <c r="U615" s="401"/>
    </row>
    <row r="616" spans="1:21" ht="19.5" x14ac:dyDescent="0.3">
      <c r="A616" s="128"/>
      <c r="B616" s="158"/>
      <c r="C616" s="177" t="s">
        <v>18</v>
      </c>
      <c r="D616" s="1585" t="s">
        <v>19</v>
      </c>
      <c r="E616" s="1285"/>
      <c r="F616" s="1285"/>
      <c r="G616" s="1286"/>
      <c r="H616" s="221" t="s">
        <v>14</v>
      </c>
      <c r="I616" s="44"/>
      <c r="J616" s="44"/>
      <c r="K616" s="45"/>
      <c r="L616" s="1389">
        <f>L617+L618</f>
        <v>0</v>
      </c>
      <c r="M616" s="1390">
        <f>M617+M618</f>
        <v>0</v>
      </c>
      <c r="N616" s="1390">
        <f>N617+N618</f>
        <v>0</v>
      </c>
      <c r="O616" s="1390">
        <f>IF(L616&gt;0,N616*100/L616,0)</f>
        <v>0</v>
      </c>
      <c r="P616" s="1390">
        <f>IF(M616&gt;0,N616*100/M616,0)</f>
        <v>0</v>
      </c>
      <c r="Q616" s="1390">
        <f ca="1">Q617+Q618</f>
        <v>6725</v>
      </c>
      <c r="R616" s="1390">
        <f ca="1">R617+R618</f>
        <v>6725</v>
      </c>
      <c r="S616" s="1390">
        <f ca="1">S617+S618</f>
        <v>1210</v>
      </c>
      <c r="T616" s="1390">
        <f ca="1">IF(Q616&gt;0,S616*100/Q616,0)</f>
        <v>17.992565055762082</v>
      </c>
      <c r="U616" s="1390">
        <f ca="1">IF(R616&gt;0,S616*100/R616,0)</f>
        <v>17.992565055762082</v>
      </c>
    </row>
    <row r="617" spans="1:21" ht="18.75" x14ac:dyDescent="0.25">
      <c r="A617" s="128"/>
      <c r="B617" s="158"/>
      <c r="C617" s="158"/>
      <c r="D617" s="145"/>
      <c r="E617" s="156" t="s">
        <v>158</v>
      </c>
      <c r="F617" s="40"/>
      <c r="G617" s="42"/>
      <c r="H617" s="159" t="s">
        <v>14</v>
      </c>
      <c r="I617" s="44"/>
      <c r="J617" s="44"/>
      <c r="K617" s="45"/>
      <c r="L617" s="1358">
        <f>L620+L623</f>
        <v>0</v>
      </c>
      <c r="M617" s="83">
        <f>M620+M623</f>
        <v>0</v>
      </c>
      <c r="N617" s="83">
        <f>N620+N623</f>
        <v>0</v>
      </c>
      <c r="O617" s="83">
        <f>IF(L617&gt;0,N617*100/L617,0)</f>
        <v>0</v>
      </c>
      <c r="P617" s="83">
        <f>IF(M617&gt;0,N617*100/M617,0)</f>
        <v>0</v>
      </c>
      <c r="Q617" s="83">
        <f>Q620+Q623</f>
        <v>0</v>
      </c>
      <c r="R617" s="83">
        <f>R620+R623</f>
        <v>0</v>
      </c>
      <c r="S617" s="83">
        <f>S620+S623</f>
        <v>0</v>
      </c>
      <c r="T617" s="83">
        <f>IF(Q617&gt;0,S617*100/Q617,0)</f>
        <v>0</v>
      </c>
      <c r="U617" s="83">
        <f>IF(R617&gt;0,S617*100/R617,0)</f>
        <v>0</v>
      </c>
    </row>
    <row r="618" spans="1:21" ht="18.75" x14ac:dyDescent="0.25">
      <c r="A618" s="128"/>
      <c r="B618" s="158"/>
      <c r="C618" s="158"/>
      <c r="D618" s="145"/>
      <c r="E618" s="47" t="s">
        <v>159</v>
      </c>
      <c r="F618" s="40"/>
      <c r="G618" s="42"/>
      <c r="H618" s="134" t="s">
        <v>14</v>
      </c>
      <c r="I618" s="44"/>
      <c r="J618" s="44"/>
      <c r="K618" s="45"/>
      <c r="L618" s="1356">
        <f>L621+L624</f>
        <v>0</v>
      </c>
      <c r="M618" s="224">
        <f>M621+M624</f>
        <v>0</v>
      </c>
      <c r="N618" s="224">
        <f>N621+N624</f>
        <v>0</v>
      </c>
      <c r="O618" s="224">
        <f>IF(L618&gt;0,N618*100/L618,0)</f>
        <v>0</v>
      </c>
      <c r="P618" s="224">
        <f>IF(M618&gt;0,N618*100/M618,0)</f>
        <v>0</v>
      </c>
      <c r="Q618" s="224">
        <f ca="1">Q621+Q624</f>
        <v>6725</v>
      </c>
      <c r="R618" s="224">
        <f ca="1">R621+R624</f>
        <v>6725</v>
      </c>
      <c r="S618" s="224">
        <f ca="1">S621+S624</f>
        <v>1210</v>
      </c>
      <c r="T618" s="224">
        <f ca="1">IF(Q618&gt;0,S618*100/Q618,0)</f>
        <v>17.992565055762082</v>
      </c>
      <c r="U618" s="224">
        <f ca="1">IF(R618&gt;0,S618*100/R618,0)</f>
        <v>17.992565055762082</v>
      </c>
    </row>
    <row r="619" spans="1:21" ht="18.75" x14ac:dyDescent="0.25">
      <c r="A619" s="128"/>
      <c r="B619" s="158"/>
      <c r="C619" s="158"/>
      <c r="D619" s="41" t="s">
        <v>22</v>
      </c>
      <c r="E619" s="40"/>
      <c r="F619" s="40"/>
      <c r="G619" s="42"/>
      <c r="H619" s="134" t="s">
        <v>14</v>
      </c>
      <c r="I619" s="135"/>
      <c r="J619" s="135"/>
      <c r="K619" s="136"/>
      <c r="L619" s="1356">
        <f>L620+L621</f>
        <v>0</v>
      </c>
      <c r="M619" s="224">
        <f>M620+M621</f>
        <v>0</v>
      </c>
      <c r="N619" s="224">
        <f>N620+N621</f>
        <v>0</v>
      </c>
      <c r="O619" s="224">
        <f>IF(L619&gt;0,N619*100/L619,0)</f>
        <v>0</v>
      </c>
      <c r="P619" s="224">
        <f>IF(M619&gt;0,N619*100/M619,0)</f>
        <v>0</v>
      </c>
      <c r="Q619" s="224">
        <f ca="1">Q620+Q621</f>
        <v>6725</v>
      </c>
      <c r="R619" s="224">
        <f ca="1">R620+R621</f>
        <v>6725</v>
      </c>
      <c r="S619" s="224">
        <f ca="1">S620+S621</f>
        <v>1210</v>
      </c>
      <c r="T619" s="224">
        <f ca="1">IF(Q619&gt;0,S619*100/Q619,0)</f>
        <v>17.992565055762082</v>
      </c>
      <c r="U619" s="224">
        <f ca="1">IF(R619&gt;0,S619*100/R619,0)</f>
        <v>17.992565055762082</v>
      </c>
    </row>
    <row r="620" spans="1:21" ht="18.75" x14ac:dyDescent="0.25">
      <c r="A620" s="128"/>
      <c r="B620" s="158"/>
      <c r="C620" s="158"/>
      <c r="D620" s="145"/>
      <c r="E620" s="156" t="s">
        <v>158</v>
      </c>
      <c r="F620" s="40"/>
      <c r="G620" s="42"/>
      <c r="H620" s="159" t="s">
        <v>14</v>
      </c>
      <c r="I620" s="44"/>
      <c r="J620" s="44"/>
      <c r="K620" s="45"/>
      <c r="L620" s="1358">
        <v>0</v>
      </c>
      <c r="M620" s="83">
        <v>0</v>
      </c>
      <c r="N620" s="83">
        <v>0</v>
      </c>
      <c r="O620" s="83">
        <f>IF(L620&gt;0,N620*100/L620,0)</f>
        <v>0</v>
      </c>
      <c r="P620" s="83">
        <f>IF(M620&gt;0,N620*100/M620,0)</f>
        <v>0</v>
      </c>
      <c r="Q620" s="83">
        <v>0</v>
      </c>
      <c r="R620" s="83">
        <v>0</v>
      </c>
      <c r="S620" s="83">
        <v>0</v>
      </c>
      <c r="T620" s="83">
        <f>IF(Q620&gt;0,S620*100/Q620,0)</f>
        <v>0</v>
      </c>
      <c r="U620" s="83">
        <f>IF(R620&gt;0,S620*100/R620,0)</f>
        <v>0</v>
      </c>
    </row>
    <row r="621" spans="1:21" ht="18.75" x14ac:dyDescent="0.25">
      <c r="A621" s="128"/>
      <c r="B621" s="158"/>
      <c r="C621" s="158"/>
      <c r="D621" s="145"/>
      <c r="E621" s="47" t="s">
        <v>159</v>
      </c>
      <c r="F621" s="40"/>
      <c r="G621" s="42"/>
      <c r="H621" s="134" t="s">
        <v>14</v>
      </c>
      <c r="I621" s="44"/>
      <c r="J621" s="44"/>
      <c r="K621" s="45"/>
      <c r="L621" s="1356">
        <v>0</v>
      </c>
      <c r="M621" s="224">
        <v>0</v>
      </c>
      <c r="N621" s="224">
        <v>0</v>
      </c>
      <c r="O621" s="224">
        <f>IF(L621&gt;0,N621*100/L621,0)</f>
        <v>0</v>
      </c>
      <c r="P621" s="224">
        <f>IF(M621&gt;0,N621*100/M621,0)</f>
        <v>0</v>
      </c>
      <c r="Q621" s="224">
        <f ca="1">IFERROR(__xludf.DUMMYFUNCTION("IMPORTRANGE(""https://docs.google.com/spreadsheets/d/1ItG2mGa2ceCfYo0BwxsXqNm01IGEUdYcSSLTEv9YCik/edit?usp=sharing"",""เบิกจ่ายกองทุน!F29"")"),6725)</f>
        <v>6725</v>
      </c>
      <c r="R621" s="224">
        <f ca="1">IFERROR(__xludf.DUMMYFUNCTION("IMPORTRANGE(""https://docs.google.com/spreadsheets/d/1ItG2mGa2ceCfYo0BwxsXqNm01IGEUdYcSSLTEv9YCik/edit?usp=sharing"",""เบิกจ่ายกองทุน!G29"")"),6725)</f>
        <v>6725</v>
      </c>
      <c r="S621" s="224">
        <f ca="1">IFERROR(__xludf.DUMMYFUNCTION("IMPORTRANGE(""https://docs.google.com/spreadsheets/d/1ItG2mGa2ceCfYo0BwxsXqNm01IGEUdYcSSLTEv9YCik/edit?usp=sharing"",""เบิกจ่ายกองทุน!H29"")"),1210)</f>
        <v>1210</v>
      </c>
      <c r="T621" s="224">
        <f ca="1">IF(Q621&gt;0,S621*100/Q621,0)</f>
        <v>17.992565055762082</v>
      </c>
      <c r="U621" s="224">
        <f ca="1">IF(R621&gt;0,S621*100/R621,0)</f>
        <v>17.992565055762082</v>
      </c>
    </row>
    <row r="622" spans="1:21" ht="18.75" x14ac:dyDescent="0.25">
      <c r="A622" s="128"/>
      <c r="B622" s="158"/>
      <c r="C622" s="158"/>
      <c r="D622" s="41" t="s">
        <v>23</v>
      </c>
      <c r="E622" s="40"/>
      <c r="F622" s="40"/>
      <c r="G622" s="42"/>
      <c r="H622" s="137" t="s">
        <v>14</v>
      </c>
      <c r="I622" s="135"/>
      <c r="J622" s="135"/>
      <c r="K622" s="136"/>
      <c r="L622" s="1356">
        <f>L623+L624</f>
        <v>0</v>
      </c>
      <c r="M622" s="224">
        <f>M623+M624</f>
        <v>0</v>
      </c>
      <c r="N622" s="224">
        <f>N623+N624</f>
        <v>0</v>
      </c>
      <c r="O622" s="224">
        <f>IF(L622&gt;0,N622*100/L622,0)</f>
        <v>0</v>
      </c>
      <c r="P622" s="224">
        <f>IF(M622&gt;0,N622*100/M622,0)</f>
        <v>0</v>
      </c>
      <c r="Q622" s="224">
        <f>Q623+Q624</f>
        <v>0</v>
      </c>
      <c r="R622" s="224">
        <f>R623+R624</f>
        <v>0</v>
      </c>
      <c r="S622" s="224">
        <f>S623+S624</f>
        <v>0</v>
      </c>
      <c r="T622" s="224">
        <f>IF(Q622&gt;0,S622*100/Q622,0)</f>
        <v>0</v>
      </c>
      <c r="U622" s="224">
        <f>IF(R622&gt;0,S622*100/R622,0)</f>
        <v>0</v>
      </c>
    </row>
    <row r="623" spans="1:21" ht="18.75" x14ac:dyDescent="0.25">
      <c r="A623" s="128"/>
      <c r="B623" s="158"/>
      <c r="C623" s="158"/>
      <c r="D623" s="158"/>
      <c r="E623" s="156" t="s">
        <v>20</v>
      </c>
      <c r="F623" s="40"/>
      <c r="G623" s="42"/>
      <c r="H623" s="159" t="s">
        <v>14</v>
      </c>
      <c r="I623" s="135"/>
      <c r="J623" s="135"/>
      <c r="K623" s="136"/>
      <c r="L623" s="1358">
        <v>0</v>
      </c>
      <c r="M623" s="83">
        <v>0</v>
      </c>
      <c r="N623" s="83">
        <v>0</v>
      </c>
      <c r="O623" s="83">
        <f>IF(L623&gt;0,N623*100/L623,0)</f>
        <v>0</v>
      </c>
      <c r="P623" s="83">
        <f>IF(M623&gt;0,N623*100/M623,0)</f>
        <v>0</v>
      </c>
      <c r="Q623" s="83">
        <v>0</v>
      </c>
      <c r="R623" s="83">
        <v>0</v>
      </c>
      <c r="S623" s="83">
        <v>0</v>
      </c>
      <c r="T623" s="83">
        <f>IF(Q623&gt;0,S623*100/Q623,0)</f>
        <v>0</v>
      </c>
      <c r="U623" s="83">
        <f>IF(R623&gt;0,S623*100/R623,0)</f>
        <v>0</v>
      </c>
    </row>
    <row r="624" spans="1:21" ht="18.75" x14ac:dyDescent="0.25">
      <c r="A624" s="128"/>
      <c r="B624" s="158"/>
      <c r="C624" s="158"/>
      <c r="D624" s="158"/>
      <c r="E624" s="47" t="s">
        <v>21</v>
      </c>
      <c r="F624" s="40"/>
      <c r="G624" s="42"/>
      <c r="H624" s="137" t="s">
        <v>14</v>
      </c>
      <c r="I624" s="135"/>
      <c r="J624" s="135"/>
      <c r="K624" s="136"/>
      <c r="L624" s="1356">
        <v>0</v>
      </c>
      <c r="M624" s="224">
        <v>0</v>
      </c>
      <c r="N624" s="224">
        <v>0</v>
      </c>
      <c r="O624" s="224">
        <f>IF(L624&gt;0,N624*100/L624,0)</f>
        <v>0</v>
      </c>
      <c r="P624" s="224">
        <f>IF(M624&gt;0,N624*100/M624,0)</f>
        <v>0</v>
      </c>
      <c r="Q624" s="224">
        <v>0</v>
      </c>
      <c r="R624" s="224">
        <v>0</v>
      </c>
      <c r="S624" s="224">
        <v>0</v>
      </c>
      <c r="T624" s="224">
        <f>IF(Q624&gt;0,S624*100/Q624,0)</f>
        <v>0</v>
      </c>
      <c r="U624" s="224">
        <f>IF(R624&gt;0,S624*100/R624,0)</f>
        <v>0</v>
      </c>
    </row>
    <row r="625" spans="1:21" ht="19.5" x14ac:dyDescent="0.3">
      <c r="A625" s="138"/>
      <c r="B625" s="139"/>
      <c r="C625" s="177" t="s">
        <v>18</v>
      </c>
      <c r="D625" s="1586" t="s">
        <v>38</v>
      </c>
      <c r="E625" s="141"/>
      <c r="F625" s="141"/>
      <c r="G625" s="142"/>
      <c r="H625" s="178"/>
      <c r="I625" s="135"/>
      <c r="J625" s="135"/>
      <c r="K625" s="136"/>
      <c r="L625" s="1392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03" t="s">
        <v>223</v>
      </c>
      <c r="E626" s="145"/>
      <c r="F626" s="145"/>
      <c r="G626" s="143"/>
      <c r="H626" s="404" t="s">
        <v>46</v>
      </c>
      <c r="I626" s="328">
        <f ca="1">IFERROR(__xludf.DUMMYFUNCTION("IMPORTRANGE(""https://docs.google.com/spreadsheets/d/1eHaY18a8A9IcSdp1K8H6x8fbOy06t2VsZHhMHf-1x7Y/edit?usp=sharing"",""แผน!ID29"")"),50)</f>
        <v>50</v>
      </c>
      <c r="J626" s="328">
        <f>J632</f>
        <v>0</v>
      </c>
      <c r="K626" s="1390">
        <f ca="1">IF(I626&gt;0,J626*100/I626,0)</f>
        <v>0</v>
      </c>
      <c r="L626" s="1392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84">
        <f ca="1">IFERROR(__xludf.DUMMYFUNCTION("IMPORTRANGE(""https://docs.google.com/spreadsheets/d/1eHaY18a8A9IcSdp1K8H6x8fbOy06t2VsZHhMHf-1x7Y/edit?usp=sharing"",""แผน!IC29"")"),0)</f>
        <v>0</v>
      </c>
      <c r="J627" s="1395">
        <v>0</v>
      </c>
      <c r="K627" s="224">
        <f ca="1">IF(I627&gt;0,(J627*100)/I627,0)</f>
        <v>0</v>
      </c>
      <c r="L627" s="1392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84">
        <f ca="1">IFERROR(__xludf.DUMMYFUNCTION("IMPORTRANGE(""https://docs.google.com/spreadsheets/d/1eHaY18a8A9IcSdp1K8H6x8fbOy06t2VsZHhMHf-1x7Y/edit?usp=sharing"",""แผน!IC29"")"),0)</f>
        <v>0</v>
      </c>
      <c r="J628" s="1395">
        <v>0</v>
      </c>
      <c r="K628" s="224">
        <f ca="1">IF(I628&gt;0,(J628*100)/I628,0)</f>
        <v>0</v>
      </c>
      <c r="L628" s="1392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4"/>
      <c r="J629" s="1395">
        <v>0</v>
      </c>
      <c r="K629" s="224">
        <f ca="1">IF(I$626&gt;0,J629*100/I$626,0)</f>
        <v>0</v>
      </c>
      <c r="L629" s="1392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4"/>
      <c r="J630" s="1395">
        <v>0</v>
      </c>
      <c r="K630" s="224">
        <f ca="1">IF(I$626&gt;0,J630*100/I$626,0)</f>
        <v>0</v>
      </c>
      <c r="L630" s="1392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4"/>
      <c r="J631" s="1395">
        <v>0</v>
      </c>
      <c r="K631" s="224">
        <f ca="1">IF(I$626&gt;0,J631*100/I$626,0)</f>
        <v>0</v>
      </c>
      <c r="L631" s="1392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4"/>
      <c r="J632" s="328">
        <f>J633+J634</f>
        <v>0</v>
      </c>
      <c r="K632" s="1390">
        <f ca="1">IF(I626&gt;0,J632*100/I626,0)</f>
        <v>0</v>
      </c>
      <c r="L632" s="1392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4"/>
      <c r="J633" s="1395">
        <v>0</v>
      </c>
      <c r="K633" s="45"/>
      <c r="L633" s="1392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4"/>
      <c r="J634" s="1395">
        <v>0</v>
      </c>
      <c r="K634" s="45"/>
      <c r="L634" s="1392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03" t="s">
        <v>232</v>
      </c>
      <c r="E635" s="145"/>
      <c r="F635" s="145"/>
      <c r="G635" s="143"/>
      <c r="H635" s="137" t="s">
        <v>46</v>
      </c>
      <c r="I635" s="328">
        <f ca="1">IFERROR(__xludf.DUMMYFUNCTION("IMPORTRANGE(""https://docs.google.com/spreadsheets/d/1eHaY18a8A9IcSdp1K8H6x8fbOy06t2VsZHhMHf-1x7Y/edit?usp=sharing"",""แผน!IE29"")"),0)</f>
        <v>0</v>
      </c>
      <c r="J635" s="328">
        <f>J636</f>
        <v>0</v>
      </c>
      <c r="K635" s="1390">
        <f ca="1">IF(I635&gt;0,J635*100/I635,0)</f>
        <v>0</v>
      </c>
      <c r="L635" s="1392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4"/>
      <c r="J636" s="184">
        <f>J637+J638</f>
        <v>0</v>
      </c>
      <c r="K636" s="45"/>
      <c r="L636" s="1392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4"/>
      <c r="J637" s="1395">
        <v>0</v>
      </c>
      <c r="K637" s="45"/>
      <c r="L637" s="1392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4"/>
      <c r="J638" s="1395">
        <v>0</v>
      </c>
      <c r="K638" s="45"/>
      <c r="L638" s="1392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4"/>
      <c r="J639" s="1395">
        <v>0</v>
      </c>
      <c r="K639" s="45"/>
      <c r="L639" s="1392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4"/>
      <c r="J640" s="1395">
        <v>0</v>
      </c>
      <c r="K640" s="45"/>
      <c r="L640" s="1392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394"/>
      <c r="B641" s="395" t="s">
        <v>236</v>
      </c>
      <c r="C641" s="394"/>
      <c r="D641" s="396"/>
      <c r="E641" s="396"/>
      <c r="F641" s="396"/>
      <c r="G641" s="397"/>
      <c r="H641" s="405"/>
      <c r="I641" s="406"/>
      <c r="J641" s="406"/>
      <c r="K641" s="401"/>
      <c r="L641" s="1584"/>
      <c r="M641" s="401"/>
      <c r="N641" s="401"/>
      <c r="O641" s="401"/>
      <c r="P641" s="401"/>
      <c r="Q641" s="401"/>
      <c r="R641" s="401"/>
      <c r="S641" s="401"/>
      <c r="T641" s="401"/>
      <c r="U641" s="401"/>
    </row>
    <row r="642" spans="1:21" ht="19.5" x14ac:dyDescent="0.3">
      <c r="A642" s="128"/>
      <c r="B642" s="158"/>
      <c r="C642" s="209" t="s">
        <v>18</v>
      </c>
      <c r="D642" s="1585" t="s">
        <v>19</v>
      </c>
      <c r="E642" s="1285"/>
      <c r="F642" s="1285"/>
      <c r="G642" s="1286"/>
      <c r="H642" s="221" t="s">
        <v>14</v>
      </c>
      <c r="I642" s="44"/>
      <c r="J642" s="44"/>
      <c r="K642" s="45"/>
      <c r="L642" s="1389">
        <f>L643+L644</f>
        <v>0</v>
      </c>
      <c r="M642" s="1390">
        <f>M643+M644</f>
        <v>0</v>
      </c>
      <c r="N642" s="1390">
        <f>N643+N644</f>
        <v>0</v>
      </c>
      <c r="O642" s="1390">
        <f>IF(L642&gt;0,N642*100/L642,0)</f>
        <v>0</v>
      </c>
      <c r="P642" s="1390">
        <f>IF(M642&gt;0,N642*100/M642,0)</f>
        <v>0</v>
      </c>
      <c r="Q642" s="1390">
        <f ca="1">Q643+Q644</f>
        <v>5600</v>
      </c>
      <c r="R642" s="1390">
        <f ca="1">R643+R644</f>
        <v>5600</v>
      </c>
      <c r="S642" s="1390">
        <f ca="1">S643+S644</f>
        <v>0</v>
      </c>
      <c r="T642" s="1390">
        <f ca="1">IF(Q642&gt;0,S642*100/Q642,0)</f>
        <v>0</v>
      </c>
      <c r="U642" s="1390">
        <f ca="1">IF(R642&gt;0,S642*100/R642,0)</f>
        <v>0</v>
      </c>
    </row>
    <row r="643" spans="1:21" ht="18.75" x14ac:dyDescent="0.25">
      <c r="A643" s="128"/>
      <c r="B643" s="158"/>
      <c r="C643" s="158"/>
      <c r="D643" s="145"/>
      <c r="E643" s="156" t="s">
        <v>158</v>
      </c>
      <c r="F643" s="40"/>
      <c r="G643" s="42"/>
      <c r="H643" s="159" t="s">
        <v>14</v>
      </c>
      <c r="I643" s="44"/>
      <c r="J643" s="44"/>
      <c r="K643" s="45"/>
      <c r="L643" s="1358">
        <f>L646+L649</f>
        <v>0</v>
      </c>
      <c r="M643" s="83">
        <f>M646+M649</f>
        <v>0</v>
      </c>
      <c r="N643" s="83">
        <f>N646+N649</f>
        <v>0</v>
      </c>
      <c r="O643" s="83">
        <f>IF(L643&gt;0,N643*100/L643,0)</f>
        <v>0</v>
      </c>
      <c r="P643" s="83">
        <f>IF(M643&gt;0,N643*100/M643,0)</f>
        <v>0</v>
      </c>
      <c r="Q643" s="83">
        <f>Q646+Q649</f>
        <v>0</v>
      </c>
      <c r="R643" s="83">
        <f>R646+R649</f>
        <v>0</v>
      </c>
      <c r="S643" s="83">
        <f>S646+S649</f>
        <v>0</v>
      </c>
      <c r="T643" s="83">
        <f>IF(Q643&gt;0,S643*100/Q643,0)</f>
        <v>0</v>
      </c>
      <c r="U643" s="83">
        <f>IF(R643&gt;0,S643*100/R643,0)</f>
        <v>0</v>
      </c>
    </row>
    <row r="644" spans="1:21" ht="18.75" x14ac:dyDescent="0.25">
      <c r="A644" s="128"/>
      <c r="B644" s="158"/>
      <c r="C644" s="158"/>
      <c r="D644" s="145"/>
      <c r="E644" s="47" t="s">
        <v>159</v>
      </c>
      <c r="F644" s="40"/>
      <c r="G644" s="42"/>
      <c r="H644" s="134" t="s">
        <v>14</v>
      </c>
      <c r="I644" s="44"/>
      <c r="J644" s="44"/>
      <c r="K644" s="45"/>
      <c r="L644" s="1356">
        <f>L647+L650</f>
        <v>0</v>
      </c>
      <c r="M644" s="224">
        <f>M647+M650</f>
        <v>0</v>
      </c>
      <c r="N644" s="224">
        <f>N647+N650</f>
        <v>0</v>
      </c>
      <c r="O644" s="224">
        <f>IF(L644&gt;0,N644*100/L644,0)</f>
        <v>0</v>
      </c>
      <c r="P644" s="224">
        <f>IF(M644&gt;0,N644*100/M644,0)</f>
        <v>0</v>
      </c>
      <c r="Q644" s="224">
        <f ca="1">Q647+Q650</f>
        <v>5600</v>
      </c>
      <c r="R644" s="224">
        <f ca="1">R647+R650</f>
        <v>5600</v>
      </c>
      <c r="S644" s="224">
        <f ca="1">S647+S650</f>
        <v>0</v>
      </c>
      <c r="T644" s="224">
        <f ca="1">IF(Q644&gt;0,S644*100/Q644,0)</f>
        <v>0</v>
      </c>
      <c r="U644" s="224">
        <f ca="1">IF(R644&gt;0,S644*100/R644,0)</f>
        <v>0</v>
      </c>
    </row>
    <row r="645" spans="1:21" ht="18.75" x14ac:dyDescent="0.25">
      <c r="A645" s="128"/>
      <c r="B645" s="158"/>
      <c r="C645" s="158"/>
      <c r="D645" s="41" t="s">
        <v>22</v>
      </c>
      <c r="E645" s="40"/>
      <c r="F645" s="40"/>
      <c r="G645" s="42"/>
      <c r="H645" s="134" t="s">
        <v>14</v>
      </c>
      <c r="I645" s="135"/>
      <c r="J645" s="135"/>
      <c r="K645" s="136"/>
      <c r="L645" s="1356">
        <f>L646+L647</f>
        <v>0</v>
      </c>
      <c r="M645" s="224">
        <f>M646+M647</f>
        <v>0</v>
      </c>
      <c r="N645" s="224">
        <f>N646+N647</f>
        <v>0</v>
      </c>
      <c r="O645" s="224">
        <f>IF(L645&gt;0,N645*100/L645,0)</f>
        <v>0</v>
      </c>
      <c r="P645" s="224">
        <f>IF(M645&gt;0,N645*100/M645,0)</f>
        <v>0</v>
      </c>
      <c r="Q645" s="224">
        <f ca="1">Q646+Q647</f>
        <v>5600</v>
      </c>
      <c r="R645" s="224">
        <f ca="1">R646+R647</f>
        <v>5600</v>
      </c>
      <c r="S645" s="224">
        <f ca="1">S646+S647</f>
        <v>0</v>
      </c>
      <c r="T645" s="224">
        <f ca="1">IF(Q645&gt;0,S645*100/Q645,0)</f>
        <v>0</v>
      </c>
      <c r="U645" s="224">
        <f ca="1">IF(R645&gt;0,S645*100/R645,0)</f>
        <v>0</v>
      </c>
    </row>
    <row r="646" spans="1:21" ht="18.75" x14ac:dyDescent="0.25">
      <c r="A646" s="128"/>
      <c r="B646" s="158"/>
      <c r="C646" s="158"/>
      <c r="D646" s="145"/>
      <c r="E646" s="156" t="s">
        <v>158</v>
      </c>
      <c r="F646" s="40"/>
      <c r="G646" s="42"/>
      <c r="H646" s="159" t="s">
        <v>14</v>
      </c>
      <c r="I646" s="44"/>
      <c r="J646" s="44"/>
      <c r="K646" s="45"/>
      <c r="L646" s="1358">
        <v>0</v>
      </c>
      <c r="M646" s="83">
        <v>0</v>
      </c>
      <c r="N646" s="83">
        <v>0</v>
      </c>
      <c r="O646" s="83">
        <f>IF(L646&gt;0,N646*100/L646,0)</f>
        <v>0</v>
      </c>
      <c r="P646" s="83">
        <f>IF(M646&gt;0,N646*100/M646,0)</f>
        <v>0</v>
      </c>
      <c r="Q646" s="83">
        <v>0</v>
      </c>
      <c r="R646" s="83">
        <v>0</v>
      </c>
      <c r="S646" s="83">
        <v>0</v>
      </c>
      <c r="T646" s="83">
        <f>IF(Q646&gt;0,S646*100/Q646,0)</f>
        <v>0</v>
      </c>
      <c r="U646" s="83">
        <f>IF(R646&gt;0,S646*100/R646,0)</f>
        <v>0</v>
      </c>
    </row>
    <row r="647" spans="1:21" ht="18.75" x14ac:dyDescent="0.25">
      <c r="A647" s="128"/>
      <c r="B647" s="158"/>
      <c r="C647" s="158"/>
      <c r="D647" s="145"/>
      <c r="E647" s="47" t="s">
        <v>159</v>
      </c>
      <c r="F647" s="40"/>
      <c r="G647" s="42"/>
      <c r="H647" s="134" t="s">
        <v>14</v>
      </c>
      <c r="I647" s="44"/>
      <c r="J647" s="44"/>
      <c r="K647" s="45"/>
      <c r="L647" s="1356">
        <v>0</v>
      </c>
      <c r="M647" s="224">
        <v>0</v>
      </c>
      <c r="N647" s="224">
        <v>0</v>
      </c>
      <c r="O647" s="224">
        <f>IF(L647&gt;0,N647*100/L647,0)</f>
        <v>0</v>
      </c>
      <c r="P647" s="224">
        <f>IF(M647&gt;0,N647*100/M647,0)</f>
        <v>0</v>
      </c>
      <c r="Q647" s="224">
        <f ca="1">IFERROR(__xludf.DUMMYFUNCTION("IMPORTRANGE(""https://docs.google.com/spreadsheets/d/1ItG2mGa2ceCfYo0BwxsXqNm01IGEUdYcSSLTEv9YCik/edit?usp=sharing"",""เบิกจ่ายกองทุน!I29"")"),5600)</f>
        <v>5600</v>
      </c>
      <c r="R647" s="224">
        <f ca="1">IFERROR(__xludf.DUMMYFUNCTION("IMPORTRANGE(""https://docs.google.com/spreadsheets/d/1ItG2mGa2ceCfYo0BwxsXqNm01IGEUdYcSSLTEv9YCik/edit?usp=sharing"",""เบิกจ่ายกองทุน!J29"")"),5600)</f>
        <v>5600</v>
      </c>
      <c r="S647" s="224">
        <f ca="1">IFERROR(__xludf.DUMMYFUNCTION("IMPORTRANGE(""https://docs.google.com/spreadsheets/d/1ItG2mGa2ceCfYo0BwxsXqNm01IGEUdYcSSLTEv9YCik/edit?usp=sharing"",""เบิกจ่ายกองทุน!K29"")"),0)</f>
        <v>0</v>
      </c>
      <c r="T647" s="224">
        <f ca="1">IF(Q647&gt;0,S647*100/Q647,0)</f>
        <v>0</v>
      </c>
      <c r="U647" s="224">
        <f ca="1">IF(R647&gt;0,S647*100/R647,0)</f>
        <v>0</v>
      </c>
    </row>
    <row r="648" spans="1:21" ht="18.75" x14ac:dyDescent="0.25">
      <c r="A648" s="128"/>
      <c r="B648" s="158"/>
      <c r="C648" s="158"/>
      <c r="D648" s="41" t="s">
        <v>23</v>
      </c>
      <c r="E648" s="40"/>
      <c r="F648" s="40"/>
      <c r="G648" s="42"/>
      <c r="H648" s="137" t="s">
        <v>14</v>
      </c>
      <c r="I648" s="135"/>
      <c r="J648" s="135"/>
      <c r="K648" s="136"/>
      <c r="L648" s="1356">
        <f>L649+L650</f>
        <v>0</v>
      </c>
      <c r="M648" s="224">
        <f>M649+M650</f>
        <v>0</v>
      </c>
      <c r="N648" s="224">
        <f>N649+N650</f>
        <v>0</v>
      </c>
      <c r="O648" s="224">
        <f>IF(L648&gt;0,N648*100/L648,0)</f>
        <v>0</v>
      </c>
      <c r="P648" s="224">
        <f>IF(M648&gt;0,N648*100/M648,0)</f>
        <v>0</v>
      </c>
      <c r="Q648" s="224">
        <f>Q649+Q650</f>
        <v>0</v>
      </c>
      <c r="R648" s="224">
        <f>R649+R650</f>
        <v>0</v>
      </c>
      <c r="S648" s="224">
        <f>S649+S650</f>
        <v>0</v>
      </c>
      <c r="T648" s="224">
        <f>IF(Q648&gt;0,S648*100/Q648,0)</f>
        <v>0</v>
      </c>
      <c r="U648" s="224">
        <f>IF(R648&gt;0,S648*100/R648,0)</f>
        <v>0</v>
      </c>
    </row>
    <row r="649" spans="1:21" ht="18.75" x14ac:dyDescent="0.25">
      <c r="A649" s="128"/>
      <c r="B649" s="158"/>
      <c r="C649" s="158"/>
      <c r="D649" s="40"/>
      <c r="E649" s="156" t="s">
        <v>20</v>
      </c>
      <c r="F649" s="40"/>
      <c r="G649" s="42"/>
      <c r="H649" s="159" t="s">
        <v>14</v>
      </c>
      <c r="I649" s="135"/>
      <c r="J649" s="135"/>
      <c r="K649" s="136"/>
      <c r="L649" s="1358">
        <v>0</v>
      </c>
      <c r="M649" s="83">
        <v>0</v>
      </c>
      <c r="N649" s="83">
        <v>0</v>
      </c>
      <c r="O649" s="83">
        <f>IF(L649&gt;0,N649*100/L649,0)</f>
        <v>0</v>
      </c>
      <c r="P649" s="83">
        <f>IF(M649&gt;0,N649*100/M649,0)</f>
        <v>0</v>
      </c>
      <c r="Q649" s="83">
        <v>0</v>
      </c>
      <c r="R649" s="83">
        <v>0</v>
      </c>
      <c r="S649" s="83">
        <v>0</v>
      </c>
      <c r="T649" s="83">
        <f>IF(Q649&gt;0,S649*100/Q649,0)</f>
        <v>0</v>
      </c>
      <c r="U649" s="83">
        <f>IF(R649&gt;0,S649*100/R649,0)</f>
        <v>0</v>
      </c>
    </row>
    <row r="650" spans="1:21" ht="18.75" x14ac:dyDescent="0.25">
      <c r="A650" s="128"/>
      <c r="B650" s="158"/>
      <c r="C650" s="158"/>
      <c r="D650" s="40"/>
      <c r="E650" s="47" t="s">
        <v>21</v>
      </c>
      <c r="F650" s="40"/>
      <c r="G650" s="42"/>
      <c r="H650" s="137" t="s">
        <v>14</v>
      </c>
      <c r="I650" s="135"/>
      <c r="J650" s="135"/>
      <c r="K650" s="136"/>
      <c r="L650" s="1356">
        <v>0</v>
      </c>
      <c r="M650" s="224">
        <v>0</v>
      </c>
      <c r="N650" s="224">
        <v>0</v>
      </c>
      <c r="O650" s="224">
        <f>IF(L650&gt;0,N650*100/L650,0)</f>
        <v>0</v>
      </c>
      <c r="P650" s="224">
        <f>IF(M650&gt;0,N650*100/M650,0)</f>
        <v>0</v>
      </c>
      <c r="Q650" s="224">
        <v>0</v>
      </c>
      <c r="R650" s="224">
        <v>0</v>
      </c>
      <c r="S650" s="224">
        <v>0</v>
      </c>
      <c r="T650" s="224">
        <f>IF(Q650&gt;0,S650*100/Q650,0)</f>
        <v>0</v>
      </c>
      <c r="U650" s="224">
        <f>IF(R650&gt;0,S650*100/R650,0)</f>
        <v>0</v>
      </c>
    </row>
    <row r="651" spans="1:21" ht="19.5" x14ac:dyDescent="0.3">
      <c r="A651" s="138"/>
      <c r="B651" s="139"/>
      <c r="C651" s="209" t="s">
        <v>18</v>
      </c>
      <c r="D651" s="1587" t="s">
        <v>38</v>
      </c>
      <c r="E651" s="141"/>
      <c r="F651" s="141"/>
      <c r="G651" s="142"/>
      <c r="H651" s="178"/>
      <c r="I651" s="135"/>
      <c r="J651" s="135"/>
      <c r="K651" s="136"/>
      <c r="L651" s="1392"/>
      <c r="M651" s="136"/>
      <c r="N651" s="136"/>
      <c r="O651" s="136"/>
      <c r="P651" s="136"/>
      <c r="Q651" s="45"/>
      <c r="R651" s="45"/>
      <c r="S651" s="45"/>
      <c r="T651" s="136"/>
      <c r="U651" s="136"/>
    </row>
    <row r="652" spans="1:21" ht="18.75" x14ac:dyDescent="0.25">
      <c r="A652" s="208"/>
      <c r="B652" s="158"/>
      <c r="C652" s="158"/>
      <c r="D652" s="47" t="s">
        <v>237</v>
      </c>
      <c r="E652" s="40"/>
      <c r="F652" s="40"/>
      <c r="G652" s="42"/>
      <c r="H652" s="137" t="s">
        <v>46</v>
      </c>
      <c r="I652" s="1588">
        <f ca="1">IFERROR(__xludf.DUMMYFUNCTION("IMPORTRANGE(""https://docs.google.com/spreadsheets/d/1eHaY18a8A9IcSdp1K8H6x8fbOy06t2VsZHhMHf-1x7Y/edit?usp=sharing"",""แผน!IF29"")"),0)</f>
        <v>0</v>
      </c>
      <c r="J652" s="184">
        <f ca="1">IFERROR(__xludf.DUMMYFUNCTION("IMPORTRANGE(""https://docs.google.com/spreadsheets/d/1tdoBKaGub7dwA3U6UFTqxio9LNnvDCQjHKmttSEBsFQ/edit?usp=sharing"",""จัดที่ดิน!AU29"")"),0)</f>
        <v>0</v>
      </c>
      <c r="K652" s="224">
        <f ca="1">IF(I652&gt;0,J652*100/I652,0)</f>
        <v>0</v>
      </c>
      <c r="L652" s="1359"/>
      <c r="M652" s="45"/>
      <c r="N652" s="409"/>
      <c r="O652" s="45"/>
      <c r="P652" s="45"/>
      <c r="Q652" s="45"/>
      <c r="R652" s="45"/>
      <c r="S652" s="409"/>
      <c r="T652" s="45"/>
      <c r="U652" s="45"/>
    </row>
    <row r="653" spans="1:21" ht="18.75" x14ac:dyDescent="0.25">
      <c r="A653" s="208"/>
      <c r="B653" s="158"/>
      <c r="C653" s="158"/>
      <c r="D653" s="47" t="s">
        <v>238</v>
      </c>
      <c r="E653" s="40"/>
      <c r="F653" s="40"/>
      <c r="G653" s="42"/>
      <c r="H653" s="137" t="s">
        <v>35</v>
      </c>
      <c r="I653" s="1588">
        <f ca="1">IFERROR(__xludf.DUMMYFUNCTION("IMPORTRANGE(""https://docs.google.com/spreadsheets/d/1eHaY18a8A9IcSdp1K8H6x8fbOy06t2VsZHhMHf-1x7Y/edit?usp=sharing"",""แผน!IG29"")"),0)</f>
        <v>0</v>
      </c>
      <c r="J653" s="184">
        <f ca="1">IFERROR(__xludf.DUMMYFUNCTION("IMPORTRANGE(""https://docs.google.com/spreadsheets/d/1tdoBKaGub7dwA3U6UFTqxio9LNnvDCQjHKmttSEBsFQ/edit?usp=sharing"",""จัดที่ดิน!AW29"")"),0)</f>
        <v>0</v>
      </c>
      <c r="K653" s="224">
        <f ca="1">IF(I653&gt;0,J653*100/I653,0)</f>
        <v>0</v>
      </c>
      <c r="L653" s="1359"/>
      <c r="M653" s="45"/>
      <c r="N653" s="409"/>
      <c r="O653" s="45"/>
      <c r="P653" s="45"/>
      <c r="Q653" s="45"/>
      <c r="R653" s="45"/>
      <c r="S653" s="409"/>
      <c r="T653" s="45"/>
      <c r="U653" s="45"/>
    </row>
    <row r="654" spans="1:21" ht="19.5" x14ac:dyDescent="0.3">
      <c r="A654" s="208"/>
      <c r="B654" s="158"/>
      <c r="C654" s="158"/>
      <c r="D654" s="47" t="s">
        <v>239</v>
      </c>
      <c r="E654" s="40"/>
      <c r="F654" s="40"/>
      <c r="G654" s="42"/>
      <c r="H654" s="404" t="s">
        <v>46</v>
      </c>
      <c r="I654" s="1589">
        <f ca="1">IFERROR(__xludf.DUMMYFUNCTION("IMPORTRANGE(""https://docs.google.com/spreadsheets/d/1eHaY18a8A9IcSdp1K8H6x8fbOy06t2VsZHhMHf-1x7Y/edit?usp=sharing"",""แผน!IH29"")"),8)</f>
        <v>8</v>
      </c>
      <c r="J654" s="328">
        <f>J657+J660</f>
        <v>0</v>
      </c>
      <c r="K654" s="1390">
        <f ca="1">IF(I654&gt;0,J654*100/I654,0)</f>
        <v>0</v>
      </c>
      <c r="L654" s="1359"/>
      <c r="M654" s="45"/>
      <c r="N654" s="409"/>
      <c r="O654" s="45"/>
      <c r="P654" s="45"/>
      <c r="Q654" s="45"/>
      <c r="R654" s="45"/>
      <c r="S654" s="409"/>
      <c r="T654" s="45"/>
      <c r="U654" s="45"/>
    </row>
    <row r="655" spans="1:21" ht="18.75" x14ac:dyDescent="0.25">
      <c r="A655" s="208"/>
      <c r="B655" s="158"/>
      <c r="C655" s="158"/>
      <c r="D655" s="40"/>
      <c r="E655" s="47" t="s">
        <v>240</v>
      </c>
      <c r="F655" s="40"/>
      <c r="G655" s="42"/>
      <c r="H655" s="137" t="s">
        <v>35</v>
      </c>
      <c r="I655" s="180"/>
      <c r="J655" s="1395">
        <v>0</v>
      </c>
      <c r="K655" s="45"/>
      <c r="L655" s="1359"/>
      <c r="M655" s="45"/>
      <c r="N655" s="409"/>
      <c r="O655" s="45"/>
      <c r="P655" s="45"/>
      <c r="Q655" s="45"/>
      <c r="R655" s="45"/>
      <c r="S655" s="409"/>
      <c r="T655" s="45"/>
      <c r="U655" s="45"/>
    </row>
    <row r="656" spans="1:21" ht="18.75" x14ac:dyDescent="0.25">
      <c r="A656" s="208"/>
      <c r="B656" s="158"/>
      <c r="C656" s="158"/>
      <c r="D656" s="40"/>
      <c r="E656" s="40"/>
      <c r="F656" s="40"/>
      <c r="G656" s="42"/>
      <c r="H656" s="137" t="s">
        <v>34</v>
      </c>
      <c r="I656" s="180"/>
      <c r="J656" s="1395">
        <v>0</v>
      </c>
      <c r="K656" s="45"/>
      <c r="L656" s="1359"/>
      <c r="M656" s="45"/>
      <c r="N656" s="409"/>
      <c r="O656" s="45"/>
      <c r="P656" s="45"/>
      <c r="Q656" s="45"/>
      <c r="R656" s="45"/>
      <c r="S656" s="409"/>
      <c r="T656" s="45"/>
      <c r="U656" s="45"/>
    </row>
    <row r="657" spans="1:21" ht="18.75" x14ac:dyDescent="0.25">
      <c r="A657" s="208"/>
      <c r="B657" s="158"/>
      <c r="C657" s="158"/>
      <c r="D657" s="40"/>
      <c r="E657" s="40"/>
      <c r="F657" s="40"/>
      <c r="G657" s="42"/>
      <c r="H657" s="137" t="s">
        <v>46</v>
      </c>
      <c r="I657" s="1588">
        <f ca="1">IFERROR(__xludf.DUMMYFUNCTION("IMPORTRANGE(""https://docs.google.com/spreadsheets/d/1eHaY18a8A9IcSdp1K8H6x8fbOy06t2VsZHhMHf-1x7Y/edit?usp=sharing"",""แผน!II29"")"),4)</f>
        <v>4</v>
      </c>
      <c r="J657" s="1395">
        <v>0</v>
      </c>
      <c r="K657" s="45"/>
      <c r="L657" s="1359"/>
      <c r="M657" s="45"/>
      <c r="N657" s="409"/>
      <c r="O657" s="45"/>
      <c r="P657" s="45"/>
      <c r="Q657" s="45"/>
      <c r="R657" s="45"/>
      <c r="S657" s="409"/>
      <c r="T657" s="45"/>
      <c r="U657" s="45"/>
    </row>
    <row r="658" spans="1:21" ht="18.75" x14ac:dyDescent="0.25">
      <c r="A658" s="208"/>
      <c r="B658" s="158"/>
      <c r="C658" s="158"/>
      <c r="D658" s="40"/>
      <c r="E658" s="47" t="s">
        <v>241</v>
      </c>
      <c r="F658" s="40"/>
      <c r="G658" s="42"/>
      <c r="H658" s="137" t="s">
        <v>35</v>
      </c>
      <c r="I658" s="180"/>
      <c r="J658" s="1395">
        <v>0</v>
      </c>
      <c r="K658" s="45"/>
      <c r="L658" s="1359"/>
      <c r="M658" s="45"/>
      <c r="N658" s="409"/>
      <c r="O658" s="45"/>
      <c r="P658" s="45"/>
      <c r="Q658" s="45"/>
      <c r="R658" s="45"/>
      <c r="S658" s="409"/>
      <c r="T658" s="45"/>
      <c r="U658" s="45"/>
    </row>
    <row r="659" spans="1:21" ht="18.75" x14ac:dyDescent="0.25">
      <c r="A659" s="208"/>
      <c r="B659" s="158"/>
      <c r="C659" s="158"/>
      <c r="D659" s="40"/>
      <c r="E659" s="40"/>
      <c r="F659" s="40"/>
      <c r="G659" s="42"/>
      <c r="H659" s="137" t="s">
        <v>34</v>
      </c>
      <c r="I659" s="180"/>
      <c r="J659" s="1395"/>
      <c r="K659" s="45"/>
      <c r="L659" s="1359"/>
      <c r="M659" s="45"/>
      <c r="N659" s="409"/>
      <c r="O659" s="45"/>
      <c r="P659" s="45"/>
      <c r="Q659" s="45"/>
      <c r="R659" s="45"/>
      <c r="S659" s="409"/>
      <c r="T659" s="45"/>
      <c r="U659" s="45"/>
    </row>
    <row r="660" spans="1:21" ht="18.75" x14ac:dyDescent="0.25">
      <c r="A660" s="208"/>
      <c r="B660" s="158"/>
      <c r="C660" s="158"/>
      <c r="D660" s="40"/>
      <c r="E660" s="40"/>
      <c r="F660" s="40"/>
      <c r="G660" s="42"/>
      <c r="H660" s="137" t="s">
        <v>46</v>
      </c>
      <c r="I660" s="1588">
        <f ca="1">IFERROR(__xludf.DUMMYFUNCTION("IMPORTRANGE(""https://docs.google.com/spreadsheets/d/1eHaY18a8A9IcSdp1K8H6x8fbOy06t2VsZHhMHf-1x7Y/edit?usp=sharing"",""แผน!IJ29"")"),4)</f>
        <v>4</v>
      </c>
      <c r="J660" s="1395">
        <v>0</v>
      </c>
      <c r="K660" s="45"/>
      <c r="L660" s="1359"/>
      <c r="M660" s="45"/>
      <c r="N660" s="409"/>
      <c r="O660" s="45"/>
      <c r="P660" s="45"/>
      <c r="Q660" s="45"/>
      <c r="R660" s="45"/>
      <c r="S660" s="409"/>
      <c r="T660" s="45"/>
      <c r="U660" s="45"/>
    </row>
    <row r="661" spans="1:21" ht="19.5" x14ac:dyDescent="0.3">
      <c r="A661" s="208"/>
      <c r="B661" s="158"/>
      <c r="C661" s="158"/>
      <c r="D661" s="332" t="s">
        <v>242</v>
      </c>
      <c r="E661" s="40"/>
      <c r="F661" s="40"/>
      <c r="G661" s="42"/>
      <c r="H661" s="404" t="s">
        <v>46</v>
      </c>
      <c r="I661" s="1589">
        <f ca="1">IFERROR(__xludf.DUMMYFUNCTION("IMPORTRANGE(""https://docs.google.com/spreadsheets/d/1eHaY18a8A9IcSdp1K8H6x8fbOy06t2VsZHhMHf-1x7Y/edit?usp=sharing"",""แผน!IK29"")"),0)</f>
        <v>0</v>
      </c>
      <c r="J661" s="328">
        <f>J667+J670</f>
        <v>0</v>
      </c>
      <c r="K661" s="1390">
        <f ca="1">IF(I661&gt;0,J661*100/I661,0)</f>
        <v>0</v>
      </c>
      <c r="L661" s="1359"/>
      <c r="M661" s="45"/>
      <c r="N661" s="409"/>
      <c r="O661" s="45"/>
      <c r="P661" s="45"/>
      <c r="Q661" s="45"/>
      <c r="R661" s="45"/>
      <c r="S661" s="409"/>
      <c r="T661" s="45"/>
      <c r="U661" s="45"/>
    </row>
    <row r="662" spans="1:21" ht="18.75" x14ac:dyDescent="0.25">
      <c r="A662" s="208"/>
      <c r="B662" s="158"/>
      <c r="C662" s="158"/>
      <c r="D662" s="40"/>
      <c r="E662" s="47" t="s">
        <v>243</v>
      </c>
      <c r="F662" s="40"/>
      <c r="G662" s="42"/>
      <c r="H662" s="137" t="s">
        <v>34</v>
      </c>
      <c r="I662" s="180"/>
      <c r="J662" s="1395">
        <v>0</v>
      </c>
      <c r="K662" s="45"/>
      <c r="L662" s="1590"/>
      <c r="M662" s="45"/>
      <c r="N662" s="409"/>
      <c r="O662" s="45"/>
      <c r="P662" s="45"/>
      <c r="Q662" s="409"/>
      <c r="R662" s="45"/>
      <c r="S662" s="409"/>
      <c r="T662" s="45"/>
      <c r="U662" s="45"/>
    </row>
    <row r="663" spans="1:21" ht="18.75" x14ac:dyDescent="0.25">
      <c r="A663" s="208"/>
      <c r="B663" s="158"/>
      <c r="C663" s="158"/>
      <c r="D663" s="40"/>
      <c r="E663" s="40"/>
      <c r="F663" s="40"/>
      <c r="G663" s="42"/>
      <c r="H663" s="137" t="s">
        <v>46</v>
      </c>
      <c r="I663" s="180"/>
      <c r="J663" s="1395">
        <v>0</v>
      </c>
      <c r="K663" s="45"/>
      <c r="L663" s="1590"/>
      <c r="M663" s="45"/>
      <c r="N663" s="409"/>
      <c r="O663" s="45"/>
      <c r="P663" s="45"/>
      <c r="Q663" s="409"/>
      <c r="R663" s="45"/>
      <c r="S663" s="409"/>
      <c r="T663" s="45"/>
      <c r="U663" s="45"/>
    </row>
    <row r="664" spans="1:21" ht="18.75" x14ac:dyDescent="0.25">
      <c r="A664" s="208"/>
      <c r="B664" s="158"/>
      <c r="C664" s="158"/>
      <c r="D664" s="40"/>
      <c r="E664" s="47" t="s">
        <v>244</v>
      </c>
      <c r="F664" s="40"/>
      <c r="G664" s="42"/>
      <c r="H664" s="178"/>
      <c r="I664" s="180"/>
      <c r="J664" s="44"/>
      <c r="K664" s="45"/>
      <c r="L664" s="1590"/>
      <c r="M664" s="45"/>
      <c r="N664" s="409"/>
      <c r="O664" s="45"/>
      <c r="P664" s="45"/>
      <c r="Q664" s="409"/>
      <c r="R664" s="45"/>
      <c r="S664" s="409"/>
      <c r="T664" s="45"/>
      <c r="U664" s="45"/>
    </row>
    <row r="665" spans="1:21" ht="18.75" x14ac:dyDescent="0.25">
      <c r="A665" s="208"/>
      <c r="B665" s="158"/>
      <c r="C665" s="158"/>
      <c r="D665" s="40"/>
      <c r="E665" s="40"/>
      <c r="F665" s="47" t="s">
        <v>245</v>
      </c>
      <c r="G665" s="42"/>
      <c r="H665" s="137" t="s">
        <v>35</v>
      </c>
      <c r="I665" s="180"/>
      <c r="J665" s="1395">
        <v>0</v>
      </c>
      <c r="K665" s="45"/>
      <c r="L665" s="1590"/>
      <c r="M665" s="45"/>
      <c r="N665" s="409"/>
      <c r="O665" s="45"/>
      <c r="P665" s="45"/>
      <c r="Q665" s="409"/>
      <c r="R665" s="45"/>
      <c r="S665" s="409"/>
      <c r="T665" s="45"/>
      <c r="U665" s="45"/>
    </row>
    <row r="666" spans="1:21" ht="18.75" x14ac:dyDescent="0.25">
      <c r="A666" s="208"/>
      <c r="B666" s="158"/>
      <c r="C666" s="158"/>
      <c r="D666" s="40"/>
      <c r="E666" s="40"/>
      <c r="F666" s="40"/>
      <c r="G666" s="42"/>
      <c r="H666" s="137" t="s">
        <v>34</v>
      </c>
      <c r="I666" s="180"/>
      <c r="J666" s="1395">
        <v>0</v>
      </c>
      <c r="K666" s="45"/>
      <c r="L666" s="1590"/>
      <c r="M666" s="45"/>
      <c r="N666" s="409"/>
      <c r="O666" s="45"/>
      <c r="P666" s="45"/>
      <c r="Q666" s="409"/>
      <c r="R666" s="45"/>
      <c r="S666" s="409"/>
      <c r="T666" s="45"/>
      <c r="U666" s="45"/>
    </row>
    <row r="667" spans="1:21" ht="18.75" x14ac:dyDescent="0.25">
      <c r="A667" s="208"/>
      <c r="B667" s="158"/>
      <c r="C667" s="158"/>
      <c r="D667" s="40"/>
      <c r="E667" s="40"/>
      <c r="F667" s="40"/>
      <c r="G667" s="42"/>
      <c r="H667" s="137" t="s">
        <v>46</v>
      </c>
      <c r="I667" s="180"/>
      <c r="J667" s="1395">
        <v>0</v>
      </c>
      <c r="K667" s="45"/>
      <c r="L667" s="1590"/>
      <c r="M667" s="45"/>
      <c r="N667" s="409"/>
      <c r="O667" s="45"/>
      <c r="P667" s="45"/>
      <c r="Q667" s="409"/>
      <c r="R667" s="45"/>
      <c r="S667" s="409"/>
      <c r="T667" s="45"/>
      <c r="U667" s="45"/>
    </row>
    <row r="668" spans="1:21" ht="18.75" x14ac:dyDescent="0.25">
      <c r="A668" s="208"/>
      <c r="B668" s="158"/>
      <c r="C668" s="158"/>
      <c r="D668" s="40"/>
      <c r="E668" s="40"/>
      <c r="F668" s="47" t="s">
        <v>246</v>
      </c>
      <c r="G668" s="42"/>
      <c r="H668" s="137" t="s">
        <v>35</v>
      </c>
      <c r="I668" s="180"/>
      <c r="J668" s="1395">
        <v>0</v>
      </c>
      <c r="K668" s="45"/>
      <c r="L668" s="1590"/>
      <c r="M668" s="45"/>
      <c r="N668" s="409"/>
      <c r="O668" s="45"/>
      <c r="P668" s="45"/>
      <c r="Q668" s="409"/>
      <c r="R668" s="45"/>
      <c r="S668" s="409"/>
      <c r="T668" s="45"/>
      <c r="U668" s="45"/>
    </row>
    <row r="669" spans="1:21" ht="18.75" x14ac:dyDescent="0.25">
      <c r="A669" s="208"/>
      <c r="B669" s="158"/>
      <c r="C669" s="158"/>
      <c r="D669" s="40"/>
      <c r="E669" s="40"/>
      <c r="F669" s="40"/>
      <c r="G669" s="42"/>
      <c r="H669" s="137" t="s">
        <v>34</v>
      </c>
      <c r="I669" s="180"/>
      <c r="J669" s="1395">
        <v>0</v>
      </c>
      <c r="K669" s="45"/>
      <c r="L669" s="1590"/>
      <c r="M669" s="45"/>
      <c r="N669" s="409"/>
      <c r="O669" s="45"/>
      <c r="P669" s="45"/>
      <c r="Q669" s="409"/>
      <c r="R669" s="45"/>
      <c r="S669" s="409"/>
      <c r="T669" s="45"/>
      <c r="U669" s="45"/>
    </row>
    <row r="670" spans="1:21" ht="18.75" x14ac:dyDescent="0.25">
      <c r="A670" s="208"/>
      <c r="B670" s="158"/>
      <c r="C670" s="158"/>
      <c r="D670" s="40"/>
      <c r="E670" s="40"/>
      <c r="F670" s="40"/>
      <c r="G670" s="42"/>
      <c r="H670" s="137" t="s">
        <v>46</v>
      </c>
      <c r="I670" s="180"/>
      <c r="J670" s="1395">
        <v>0</v>
      </c>
      <c r="K670" s="45"/>
      <c r="L670" s="1590"/>
      <c r="M670" s="45"/>
      <c r="N670" s="409"/>
      <c r="O670" s="45"/>
      <c r="P670" s="45"/>
      <c r="Q670" s="409"/>
      <c r="R670" s="45"/>
      <c r="S670" s="409"/>
      <c r="T670" s="45"/>
      <c r="U670" s="45"/>
    </row>
    <row r="671" spans="1:21" ht="18.75" x14ac:dyDescent="0.25">
      <c r="A671" s="208"/>
      <c r="B671" s="158"/>
      <c r="C671" s="158"/>
      <c r="D671" s="47" t="s">
        <v>247</v>
      </c>
      <c r="E671" s="40"/>
      <c r="F671" s="40"/>
      <c r="G671" s="42"/>
      <c r="H671" s="137" t="s">
        <v>35</v>
      </c>
      <c r="I671" s="180"/>
      <c r="J671" s="184">
        <f ca="1">IFERROR(__xludf.DUMMYFUNCTION("IMPORTRANGE(""https://docs.google.com/spreadsheets/d/1tdoBKaGub7dwA3U6UFTqxio9LNnvDCQjHKmttSEBsFQ/edit?usp=sharing"",""จัดที่ดิน!AY29"")"),0)</f>
        <v>0</v>
      </c>
      <c r="K671" s="45"/>
      <c r="L671" s="1359"/>
      <c r="M671" s="45"/>
      <c r="N671" s="409"/>
      <c r="O671" s="45"/>
      <c r="P671" s="45"/>
      <c r="Q671" s="45"/>
      <c r="R671" s="45"/>
      <c r="S671" s="409"/>
      <c r="T671" s="45"/>
      <c r="U671" s="45"/>
    </row>
    <row r="672" spans="1:21" ht="18.75" x14ac:dyDescent="0.25">
      <c r="A672" s="208"/>
      <c r="B672" s="158"/>
      <c r="C672" s="158"/>
      <c r="D672" s="40"/>
      <c r="E672" s="40"/>
      <c r="F672" s="40"/>
      <c r="G672" s="42"/>
      <c r="H672" s="137" t="s">
        <v>34</v>
      </c>
      <c r="I672" s="180"/>
      <c r="J672" s="184">
        <f ca="1">IFERROR(__xludf.DUMMYFUNCTION("IMPORTRANGE(""https://docs.google.com/spreadsheets/d/1tdoBKaGub7dwA3U6UFTqxio9LNnvDCQjHKmttSEBsFQ/edit?usp=sharing"",""จัดที่ดิน!AZ29"")"),0)</f>
        <v>0</v>
      </c>
      <c r="K672" s="45"/>
      <c r="L672" s="1590"/>
      <c r="M672" s="45"/>
      <c r="N672" s="409"/>
      <c r="O672" s="45"/>
      <c r="P672" s="45"/>
      <c r="Q672" s="409"/>
      <c r="R672" s="45"/>
      <c r="S672" s="409"/>
      <c r="T672" s="45"/>
      <c r="U672" s="45"/>
    </row>
    <row r="673" spans="1:21" ht="18.75" x14ac:dyDescent="0.25">
      <c r="A673" s="208"/>
      <c r="B673" s="158"/>
      <c r="C673" s="158"/>
      <c r="D673" s="40"/>
      <c r="E673" s="40"/>
      <c r="F673" s="40"/>
      <c r="G673" s="42"/>
      <c r="H673" s="137" t="s">
        <v>46</v>
      </c>
      <c r="I673" s="1588">
        <f ca="1">IFERROR(__xludf.DUMMYFUNCTION("IMPORTRANGE(""https://docs.google.com/spreadsheets/d/1eHaY18a8A9IcSdp1K8H6x8fbOy06t2VsZHhMHf-1x7Y/edit?usp=sharing"",""แผน!IL29"")"),72)</f>
        <v>72</v>
      </c>
      <c r="J673" s="184">
        <f ca="1">IFERROR(__xludf.DUMMYFUNCTION("IMPORTRANGE(""https://docs.google.com/spreadsheets/d/1tdoBKaGub7dwA3U6UFTqxio9LNnvDCQjHKmttSEBsFQ/edit?usp=sharing"",""จัดที่ดิน!BA29"")"),0)</f>
        <v>0</v>
      </c>
      <c r="K673" s="224">
        <f ca="1">IF(I673&gt;0,J673*100/I673,0)</f>
        <v>0</v>
      </c>
      <c r="L673" s="1590"/>
      <c r="M673" s="45"/>
      <c r="N673" s="409"/>
      <c r="O673" s="45"/>
      <c r="P673" s="45"/>
      <c r="Q673" s="409"/>
      <c r="R673" s="45"/>
      <c r="S673" s="409"/>
      <c r="T673" s="45"/>
      <c r="U673" s="45"/>
    </row>
    <row r="674" spans="1:21" ht="19.5" x14ac:dyDescent="0.3">
      <c r="A674" s="208"/>
      <c r="B674" s="158"/>
      <c r="C674" s="158"/>
      <c r="D674" s="47" t="s">
        <v>248</v>
      </c>
      <c r="E674" s="40"/>
      <c r="F674" s="40"/>
      <c r="G674" s="42"/>
      <c r="H674" s="404" t="s">
        <v>35</v>
      </c>
      <c r="I674" s="1589">
        <f ca="1">IFERROR(__xludf.DUMMYFUNCTION("IMPORTRANGE(""https://docs.google.com/spreadsheets/d/1eHaY18a8A9IcSdp1K8H6x8fbOy06t2VsZHhMHf-1x7Y/edit?usp=sharing"",""แผน!IM29"")"),1)</f>
        <v>1</v>
      </c>
      <c r="J674" s="328">
        <f ca="1">J676+J679</f>
        <v>0</v>
      </c>
      <c r="K674" s="1390">
        <f ca="1">IF(I674&gt;0,J674*100/I674,0)</f>
        <v>0</v>
      </c>
      <c r="L674" s="1590"/>
      <c r="M674" s="45"/>
      <c r="N674" s="409"/>
      <c r="O674" s="45"/>
      <c r="P674" s="45"/>
      <c r="Q674" s="409"/>
      <c r="R674" s="45"/>
      <c r="S674" s="409"/>
      <c r="T674" s="45"/>
      <c r="U674" s="45"/>
    </row>
    <row r="675" spans="1:21" ht="19.5" x14ac:dyDescent="0.3">
      <c r="A675" s="208"/>
      <c r="B675" s="158"/>
      <c r="C675" s="158"/>
      <c r="D675" s="40"/>
      <c r="E675" s="40"/>
      <c r="F675" s="40"/>
      <c r="G675" s="42"/>
      <c r="H675" s="404" t="s">
        <v>46</v>
      </c>
      <c r="I675" s="1589">
        <f ca="1">IFERROR(__xludf.DUMMYFUNCTION("IMPORTRANGE(""https://docs.google.com/spreadsheets/d/1eHaY18a8A9IcSdp1K8H6x8fbOy06t2VsZHhMHf-1x7Y/edit?usp=sharing"",""แผน!IN29"")"),5)</f>
        <v>5</v>
      </c>
      <c r="J675" s="328">
        <f ca="1">J678+J681</f>
        <v>0</v>
      </c>
      <c r="K675" s="1390">
        <f ca="1">IF(I675&gt;0,J675*100/I675,0)</f>
        <v>0</v>
      </c>
      <c r="L675" s="1359"/>
      <c r="M675" s="45"/>
      <c r="N675" s="409"/>
      <c r="O675" s="45"/>
      <c r="P675" s="45"/>
      <c r="Q675" s="45"/>
      <c r="R675" s="45"/>
      <c r="S675" s="409"/>
      <c r="T675" s="45"/>
      <c r="U675" s="45"/>
    </row>
    <row r="676" spans="1:21" ht="18.75" x14ac:dyDescent="0.25">
      <c r="A676" s="208"/>
      <c r="B676" s="158"/>
      <c r="C676" s="158"/>
      <c r="D676" s="40"/>
      <c r="E676" s="47" t="s">
        <v>249</v>
      </c>
      <c r="F676" s="40"/>
      <c r="G676" s="42"/>
      <c r="H676" s="137" t="s">
        <v>35</v>
      </c>
      <c r="I676" s="1588">
        <f ca="1">IFERROR(__xludf.DUMMYFUNCTION("IMPORTRANGE(""https://docs.google.com/spreadsheets/d/1eHaY18a8A9IcSdp1K8H6x8fbOy06t2VsZHhMHf-1x7Y/edit?usp=sharing"",""แผน!IO29"")"),1)</f>
        <v>1</v>
      </c>
      <c r="J676" s="184">
        <f ca="1">IFERROR(__xludf.DUMMYFUNCTION("IMPORTRANGE(""https://docs.google.com/spreadsheets/d/1tdoBKaGub7dwA3U6UFTqxio9LNnvDCQjHKmttSEBsFQ/edit?usp=sharing"",""จัดที่ดิน!BF29"")"),0)</f>
        <v>0</v>
      </c>
      <c r="K676" s="224">
        <f ca="1">IF(I676&gt;0,J676*100/I676,0)</f>
        <v>0</v>
      </c>
      <c r="L676" s="1359"/>
      <c r="M676" s="45"/>
      <c r="N676" s="409"/>
      <c r="O676" s="45"/>
      <c r="P676" s="45"/>
      <c r="Q676" s="45"/>
      <c r="R676" s="45"/>
      <c r="S676" s="409"/>
      <c r="T676" s="45"/>
      <c r="U676" s="45"/>
    </row>
    <row r="677" spans="1:21" ht="18.75" x14ac:dyDescent="0.25">
      <c r="A677" s="208"/>
      <c r="B677" s="158"/>
      <c r="C677" s="158"/>
      <c r="D677" s="40"/>
      <c r="E677" s="40"/>
      <c r="F677" s="40"/>
      <c r="G677" s="42"/>
      <c r="H677" s="137" t="s">
        <v>34</v>
      </c>
      <c r="I677" s="180"/>
      <c r="J677" s="184">
        <f ca="1">IFERROR(__xludf.DUMMYFUNCTION("IMPORTRANGE(""https://docs.google.com/spreadsheets/d/1tdoBKaGub7dwA3U6UFTqxio9LNnvDCQjHKmttSEBsFQ/edit?usp=sharing"",""จัดที่ดิน!BG29"")"),0)</f>
        <v>0</v>
      </c>
      <c r="K677" s="45"/>
      <c r="L677" s="1590"/>
      <c r="M677" s="45"/>
      <c r="N677" s="409"/>
      <c r="O677" s="45"/>
      <c r="P677" s="45"/>
      <c r="Q677" s="409"/>
      <c r="R677" s="45"/>
      <c r="S677" s="409"/>
      <c r="T677" s="45"/>
      <c r="U677" s="45"/>
    </row>
    <row r="678" spans="1:21" ht="18.75" x14ac:dyDescent="0.25">
      <c r="A678" s="208"/>
      <c r="B678" s="158"/>
      <c r="C678" s="158"/>
      <c r="D678" s="40"/>
      <c r="E678" s="40"/>
      <c r="F678" s="40"/>
      <c r="G678" s="42"/>
      <c r="H678" s="137" t="s">
        <v>46</v>
      </c>
      <c r="I678" s="1588">
        <f ca="1">IFERROR(__xludf.DUMMYFUNCTION("IMPORTRANGE(""https://docs.google.com/spreadsheets/d/1eHaY18a8A9IcSdp1K8H6x8fbOy06t2VsZHhMHf-1x7Y/edit?usp=sharing"",""แผน!IP29"")"),5)</f>
        <v>5</v>
      </c>
      <c r="J678" s="184">
        <f ca="1">IFERROR(__xludf.DUMMYFUNCTION("IMPORTRANGE(""https://docs.google.com/spreadsheets/d/1tdoBKaGub7dwA3U6UFTqxio9LNnvDCQjHKmttSEBsFQ/edit?usp=sharing"",""จัดที่ดิน!BH29"")"),0)</f>
        <v>0</v>
      </c>
      <c r="K678" s="224">
        <f ca="1">IF(I678&gt;0,J678*100/I678,0)</f>
        <v>0</v>
      </c>
      <c r="L678" s="1590"/>
      <c r="M678" s="45"/>
      <c r="N678" s="409"/>
      <c r="O678" s="45"/>
      <c r="P678" s="45"/>
      <c r="Q678" s="409"/>
      <c r="R678" s="45"/>
      <c r="S678" s="409"/>
      <c r="T678" s="45"/>
      <c r="U678" s="45"/>
    </row>
    <row r="679" spans="1:21" ht="18.75" x14ac:dyDescent="0.25">
      <c r="A679" s="208"/>
      <c r="B679" s="158"/>
      <c r="C679" s="158"/>
      <c r="D679" s="40"/>
      <c r="E679" s="47" t="s">
        <v>250</v>
      </c>
      <c r="F679" s="40"/>
      <c r="G679" s="42"/>
      <c r="H679" s="137" t="s">
        <v>35</v>
      </c>
      <c r="I679" s="1588">
        <f ca="1">IFERROR(__xludf.DUMMYFUNCTION("IMPORTRANGE(""https://docs.google.com/spreadsheets/d/1eHaY18a8A9IcSdp1K8H6x8fbOy06t2VsZHhMHf-1x7Y/edit?usp=sharing"",""แผน!IQ29"")"),0)</f>
        <v>0</v>
      </c>
      <c r="J679" s="184">
        <f ca="1">IFERROR(__xludf.DUMMYFUNCTION("IMPORTRANGE(""https://docs.google.com/spreadsheets/d/1tdoBKaGub7dwA3U6UFTqxio9LNnvDCQjHKmttSEBsFQ/edit?usp=sharing"",""จัดที่ดิน!BK29"")"),0)</f>
        <v>0</v>
      </c>
      <c r="K679" s="224">
        <f ca="1">IF(I679&gt;0,J679*100/I679,0)</f>
        <v>0</v>
      </c>
      <c r="L679" s="1359"/>
      <c r="M679" s="45"/>
      <c r="N679" s="409"/>
      <c r="O679" s="45"/>
      <c r="P679" s="45"/>
      <c r="Q679" s="45"/>
      <c r="R679" s="45"/>
      <c r="S679" s="409"/>
      <c r="T679" s="45"/>
      <c r="U679" s="45"/>
    </row>
    <row r="680" spans="1:21" ht="18.75" x14ac:dyDescent="0.25">
      <c r="A680" s="208"/>
      <c r="B680" s="158"/>
      <c r="C680" s="158"/>
      <c r="D680" s="40"/>
      <c r="E680" s="40"/>
      <c r="F680" s="40"/>
      <c r="G680" s="42"/>
      <c r="H680" s="137" t="s">
        <v>34</v>
      </c>
      <c r="I680" s="180"/>
      <c r="J680" s="184">
        <f ca="1">IFERROR(__xludf.DUMMYFUNCTION("IMPORTRANGE(""https://docs.google.com/spreadsheets/d/1tdoBKaGub7dwA3U6UFTqxio9LNnvDCQjHKmttSEBsFQ/edit?usp=sharing"",""จัดที่ดิน!BL29"")"),0)</f>
        <v>0</v>
      </c>
      <c r="K680" s="45"/>
      <c r="L680" s="1590"/>
      <c r="M680" s="45"/>
      <c r="N680" s="409"/>
      <c r="O680" s="45"/>
      <c r="P680" s="45"/>
      <c r="Q680" s="409"/>
      <c r="R680" s="45"/>
      <c r="S680" s="409"/>
      <c r="T680" s="45"/>
      <c r="U680" s="45"/>
    </row>
    <row r="681" spans="1:21" ht="18.75" x14ac:dyDescent="0.25">
      <c r="A681" s="208"/>
      <c r="B681" s="158"/>
      <c r="C681" s="158"/>
      <c r="D681" s="40"/>
      <c r="E681" s="40"/>
      <c r="F681" s="40"/>
      <c r="G681" s="42"/>
      <c r="H681" s="137" t="s">
        <v>46</v>
      </c>
      <c r="I681" s="1588">
        <f ca="1">IFERROR(__xludf.DUMMYFUNCTION("IMPORTRANGE(""https://docs.google.com/spreadsheets/d/1eHaY18a8A9IcSdp1K8H6x8fbOy06t2VsZHhMHf-1x7Y/edit?usp=sharing"",""แผน!IR29"")"),0)</f>
        <v>0</v>
      </c>
      <c r="J681" s="184">
        <f ca="1">IFERROR(__xludf.DUMMYFUNCTION("IMPORTRANGE(""https://docs.google.com/spreadsheets/d/1tdoBKaGub7dwA3U6UFTqxio9LNnvDCQjHKmttSEBsFQ/edit?usp=sharing"",""จัดที่ดิน!BM29"")"),0)</f>
        <v>0</v>
      </c>
      <c r="K681" s="224">
        <f ca="1">IF(I681&gt;0,J681*100/I681,0)</f>
        <v>0</v>
      </c>
      <c r="L681" s="1590"/>
      <c r="M681" s="45"/>
      <c r="N681" s="409"/>
      <c r="O681" s="45"/>
      <c r="P681" s="45"/>
      <c r="Q681" s="409"/>
      <c r="R681" s="45"/>
      <c r="S681" s="409"/>
      <c r="T681" s="45"/>
      <c r="U681" s="45"/>
    </row>
    <row r="682" spans="1:21" ht="19.5" x14ac:dyDescent="0.3">
      <c r="A682" s="208"/>
      <c r="B682" s="158"/>
      <c r="C682" s="158"/>
      <c r="D682" s="47" t="s">
        <v>251</v>
      </c>
      <c r="E682" s="40"/>
      <c r="F682" s="40"/>
      <c r="G682" s="42"/>
      <c r="H682" s="404" t="s">
        <v>46</v>
      </c>
      <c r="I682" s="1589">
        <f ca="1">IFERROR(__xludf.DUMMYFUNCTION("IMPORTRANGE(""https://docs.google.com/spreadsheets/d/1eHaY18a8A9IcSdp1K8H6x8fbOy06t2VsZHhMHf-1x7Y/edit?usp=sharing"",""แผน!IS29"")"),0)</f>
        <v>0</v>
      </c>
      <c r="J682" s="328">
        <f>J685+J688</f>
        <v>0</v>
      </c>
      <c r="K682" s="1390">
        <f ca="1">IF(I682&gt;0,J682*100/I682,0)</f>
        <v>0</v>
      </c>
      <c r="L682" s="1359"/>
      <c r="M682" s="45"/>
      <c r="N682" s="409"/>
      <c r="O682" s="45"/>
      <c r="P682" s="45"/>
      <c r="Q682" s="45"/>
      <c r="R682" s="45"/>
      <c r="S682" s="409"/>
      <c r="T682" s="45"/>
      <c r="U682" s="45"/>
    </row>
    <row r="683" spans="1:21" ht="18.75" x14ac:dyDescent="0.25">
      <c r="A683" s="208"/>
      <c r="B683" s="158"/>
      <c r="C683" s="158"/>
      <c r="D683" s="40"/>
      <c r="E683" s="47" t="s">
        <v>252</v>
      </c>
      <c r="F683" s="40"/>
      <c r="G683" s="42"/>
      <c r="H683" s="137" t="s">
        <v>35</v>
      </c>
      <c r="I683" s="180"/>
      <c r="J683" s="1395">
        <v>0</v>
      </c>
      <c r="K683" s="45"/>
      <c r="L683" s="1590"/>
      <c r="M683" s="45"/>
      <c r="N683" s="409"/>
      <c r="O683" s="45"/>
      <c r="P683" s="45"/>
      <c r="Q683" s="409"/>
      <c r="R683" s="45"/>
      <c r="S683" s="409"/>
      <c r="T683" s="45"/>
      <c r="U683" s="45"/>
    </row>
    <row r="684" spans="1:21" ht="18.75" x14ac:dyDescent="0.25">
      <c r="A684" s="208"/>
      <c r="B684" s="158"/>
      <c r="C684" s="158"/>
      <c r="D684" s="40"/>
      <c r="E684" s="40"/>
      <c r="F684" s="40"/>
      <c r="G684" s="42"/>
      <c r="H684" s="137" t="s">
        <v>34</v>
      </c>
      <c r="I684" s="180"/>
      <c r="J684" s="1395">
        <v>0</v>
      </c>
      <c r="K684" s="45"/>
      <c r="L684" s="1590"/>
      <c r="M684" s="45"/>
      <c r="N684" s="409"/>
      <c r="O684" s="45"/>
      <c r="P684" s="45"/>
      <c r="Q684" s="409"/>
      <c r="R684" s="45"/>
      <c r="S684" s="409"/>
      <c r="T684" s="45"/>
      <c r="U684" s="45"/>
    </row>
    <row r="685" spans="1:21" ht="18.75" x14ac:dyDescent="0.25">
      <c r="A685" s="208"/>
      <c r="B685" s="158"/>
      <c r="C685" s="158"/>
      <c r="D685" s="40"/>
      <c r="E685" s="40"/>
      <c r="F685" s="40"/>
      <c r="G685" s="42"/>
      <c r="H685" s="137" t="s">
        <v>46</v>
      </c>
      <c r="I685" s="180"/>
      <c r="J685" s="1395">
        <v>0</v>
      </c>
      <c r="K685" s="45"/>
      <c r="L685" s="1590"/>
      <c r="M685" s="45"/>
      <c r="N685" s="409"/>
      <c r="O685" s="45"/>
      <c r="P685" s="45"/>
      <c r="Q685" s="409"/>
      <c r="R685" s="45"/>
      <c r="S685" s="409"/>
      <c r="T685" s="45"/>
      <c r="U685" s="45"/>
    </row>
    <row r="686" spans="1:21" ht="18.75" x14ac:dyDescent="0.25">
      <c r="A686" s="208"/>
      <c r="B686" s="158"/>
      <c r="C686" s="158"/>
      <c r="D686" s="40"/>
      <c r="E686" s="47" t="s">
        <v>253</v>
      </c>
      <c r="F686" s="40"/>
      <c r="G686" s="42"/>
      <c r="H686" s="137" t="s">
        <v>35</v>
      </c>
      <c r="I686" s="180"/>
      <c r="J686" s="1395">
        <v>0</v>
      </c>
      <c r="K686" s="45"/>
      <c r="L686" s="1590"/>
      <c r="M686" s="45"/>
      <c r="N686" s="409"/>
      <c r="O686" s="45"/>
      <c r="P686" s="45"/>
      <c r="Q686" s="409"/>
      <c r="R686" s="45"/>
      <c r="S686" s="409"/>
      <c r="T686" s="45"/>
      <c r="U686" s="45"/>
    </row>
    <row r="687" spans="1:21" ht="18.75" x14ac:dyDescent="0.25">
      <c r="A687" s="208"/>
      <c r="B687" s="158"/>
      <c r="C687" s="158"/>
      <c r="D687" s="40"/>
      <c r="E687" s="40"/>
      <c r="F687" s="40"/>
      <c r="G687" s="42"/>
      <c r="H687" s="137" t="s">
        <v>34</v>
      </c>
      <c r="I687" s="180"/>
      <c r="J687" s="1395">
        <v>0</v>
      </c>
      <c r="K687" s="45"/>
      <c r="L687" s="1590"/>
      <c r="M687" s="45"/>
      <c r="N687" s="409"/>
      <c r="O687" s="45"/>
      <c r="P687" s="45"/>
      <c r="Q687" s="409"/>
      <c r="R687" s="45"/>
      <c r="S687" s="409"/>
      <c r="T687" s="45"/>
      <c r="U687" s="45"/>
    </row>
    <row r="688" spans="1:21" ht="19.5" x14ac:dyDescent="0.3">
      <c r="A688" s="249"/>
      <c r="B688" s="412" t="s">
        <v>254</v>
      </c>
      <c r="C688" s="250"/>
      <c r="D688" s="252"/>
      <c r="E688" s="252"/>
      <c r="F688" s="252"/>
      <c r="G688" s="253"/>
      <c r="H688" s="186" t="s">
        <v>46</v>
      </c>
      <c r="I688" s="330"/>
      <c r="J688" s="1541">
        <v>0</v>
      </c>
      <c r="K688" s="3"/>
      <c r="L688" s="1591"/>
      <c r="M688" s="3"/>
      <c r="N688" s="413"/>
      <c r="O688" s="3"/>
      <c r="P688" s="3"/>
      <c r="Q688" s="413"/>
      <c r="R688" s="3"/>
      <c r="S688" s="413"/>
      <c r="T688" s="3"/>
      <c r="U688" s="3"/>
    </row>
    <row r="689" spans="1:21" ht="19.5" x14ac:dyDescent="0.3">
      <c r="A689" s="387"/>
      <c r="B689" s="388" t="s">
        <v>255</v>
      </c>
      <c r="C689" s="387"/>
      <c r="D689" s="389"/>
      <c r="E689" s="389"/>
      <c r="F689" s="389"/>
      <c r="G689" s="390"/>
      <c r="H689" s="414" t="s">
        <v>35</v>
      </c>
      <c r="I689" s="1592">
        <f ca="1">I707</f>
        <v>0</v>
      </c>
      <c r="J689" s="1592">
        <f ca="1">J707</f>
        <v>0</v>
      </c>
      <c r="K689" s="1593">
        <f ca="1">IF(I689&gt;0,J689*100/I689,0)</f>
        <v>0</v>
      </c>
      <c r="L689" s="1581"/>
      <c r="M689" s="393"/>
      <c r="N689" s="393"/>
      <c r="O689" s="393"/>
      <c r="P689" s="393"/>
      <c r="Q689" s="393"/>
      <c r="R689" s="393"/>
      <c r="S689" s="393"/>
      <c r="T689" s="393"/>
      <c r="U689" s="393"/>
    </row>
    <row r="690" spans="1:21" ht="19.5" x14ac:dyDescent="0.3">
      <c r="A690" s="128"/>
      <c r="B690" s="158"/>
      <c r="C690" s="177" t="s">
        <v>18</v>
      </c>
      <c r="D690" s="1585" t="s">
        <v>19</v>
      </c>
      <c r="E690" s="1285"/>
      <c r="F690" s="1285"/>
      <c r="G690" s="1286"/>
      <c r="H690" s="221" t="s">
        <v>14</v>
      </c>
      <c r="I690" s="44"/>
      <c r="J690" s="44"/>
      <c r="K690" s="45"/>
      <c r="L690" s="1389">
        <f>L691+L692</f>
        <v>0</v>
      </c>
      <c r="M690" s="1390">
        <f>M691+M692</f>
        <v>0</v>
      </c>
      <c r="N690" s="1390">
        <f>N691+N692</f>
        <v>0</v>
      </c>
      <c r="O690" s="1390">
        <f>IF(L690&gt;0,N690*100/L690,0)</f>
        <v>0</v>
      </c>
      <c r="P690" s="1390">
        <f>IF(M690&gt;0,N690*100/M690,0)</f>
        <v>0</v>
      </c>
      <c r="Q690" s="1390">
        <f ca="1">Q691+Q692</f>
        <v>66220</v>
      </c>
      <c r="R690" s="1390">
        <f ca="1">R691+R692</f>
        <v>66220</v>
      </c>
      <c r="S690" s="1390">
        <f ca="1">S691+S692</f>
        <v>0</v>
      </c>
      <c r="T690" s="1390">
        <f ca="1">IF(Q690&gt;0,S690*100/Q690,0)</f>
        <v>0</v>
      </c>
      <c r="U690" s="1390">
        <f ca="1">IF(R690&gt;0,S690*100/R690,0)</f>
        <v>0</v>
      </c>
    </row>
    <row r="691" spans="1:21" ht="18.75" x14ac:dyDescent="0.25">
      <c r="A691" s="128"/>
      <c r="B691" s="158"/>
      <c r="C691" s="158"/>
      <c r="D691" s="145"/>
      <c r="E691" s="156" t="s">
        <v>158</v>
      </c>
      <c r="F691" s="40"/>
      <c r="G691" s="42"/>
      <c r="H691" s="159" t="s">
        <v>14</v>
      </c>
      <c r="I691" s="44"/>
      <c r="J691" s="44"/>
      <c r="K691" s="45"/>
      <c r="L691" s="1358">
        <f>L694+L697</f>
        <v>0</v>
      </c>
      <c r="M691" s="83">
        <f>M694+M697</f>
        <v>0</v>
      </c>
      <c r="N691" s="83">
        <f>N694+N697</f>
        <v>0</v>
      </c>
      <c r="O691" s="83">
        <f>IF(L691&gt;0,N691*100/L691,0)</f>
        <v>0</v>
      </c>
      <c r="P691" s="83">
        <f>IF(M691&gt;0,N691*100/M691,0)</f>
        <v>0</v>
      </c>
      <c r="Q691" s="83">
        <f>Q694+Q697</f>
        <v>0</v>
      </c>
      <c r="R691" s="83">
        <f>R694+R697</f>
        <v>0</v>
      </c>
      <c r="S691" s="83">
        <f>S694+S697</f>
        <v>0</v>
      </c>
      <c r="T691" s="83">
        <f>IF(Q691&gt;0,S691*100/Q691,0)</f>
        <v>0</v>
      </c>
      <c r="U691" s="83">
        <f>IF(R691&gt;0,S691*100/R691,0)</f>
        <v>0</v>
      </c>
    </row>
    <row r="692" spans="1:21" ht="18.75" x14ac:dyDescent="0.25">
      <c r="A692" s="128"/>
      <c r="B692" s="158"/>
      <c r="C692" s="158"/>
      <c r="D692" s="145"/>
      <c r="E692" s="47" t="s">
        <v>159</v>
      </c>
      <c r="F692" s="40"/>
      <c r="G692" s="42"/>
      <c r="H692" s="134" t="s">
        <v>14</v>
      </c>
      <c r="I692" s="44"/>
      <c r="J692" s="44"/>
      <c r="K692" s="45"/>
      <c r="L692" s="1356">
        <f>L695+L698</f>
        <v>0</v>
      </c>
      <c r="M692" s="224">
        <f>M695+M698</f>
        <v>0</v>
      </c>
      <c r="N692" s="224">
        <f>N695+N698</f>
        <v>0</v>
      </c>
      <c r="O692" s="224">
        <f>IF(L692&gt;0,N692*100/L692,0)</f>
        <v>0</v>
      </c>
      <c r="P692" s="224">
        <f>IF(M692&gt;0,N692*100/M692,0)</f>
        <v>0</v>
      </c>
      <c r="Q692" s="224">
        <f ca="1">Q695+Q698</f>
        <v>66220</v>
      </c>
      <c r="R692" s="224">
        <f ca="1">R695+R698</f>
        <v>66220</v>
      </c>
      <c r="S692" s="224">
        <f ca="1">S695+S698</f>
        <v>0</v>
      </c>
      <c r="T692" s="224">
        <f ca="1">IF(Q692&gt;0,S692*100/Q692,0)</f>
        <v>0</v>
      </c>
      <c r="U692" s="224">
        <f ca="1">IF(R692&gt;0,S692*100/R692,0)</f>
        <v>0</v>
      </c>
    </row>
    <row r="693" spans="1:21" ht="18.75" x14ac:dyDescent="0.25">
      <c r="A693" s="128"/>
      <c r="B693" s="158"/>
      <c r="C693" s="158"/>
      <c r="D693" s="41" t="s">
        <v>22</v>
      </c>
      <c r="E693" s="40"/>
      <c r="F693" s="40"/>
      <c r="G693" s="42"/>
      <c r="H693" s="134" t="s">
        <v>14</v>
      </c>
      <c r="I693" s="135"/>
      <c r="J693" s="135"/>
      <c r="K693" s="136"/>
      <c r="L693" s="1356">
        <f>L694+L695</f>
        <v>0</v>
      </c>
      <c r="M693" s="224">
        <f>M694+M695</f>
        <v>0</v>
      </c>
      <c r="N693" s="224">
        <f>N694+N695</f>
        <v>0</v>
      </c>
      <c r="O693" s="224">
        <f>IF(L693&gt;0,N693*100/L693,0)</f>
        <v>0</v>
      </c>
      <c r="P693" s="224">
        <f>IF(M693&gt;0,N693*100/M693,0)</f>
        <v>0</v>
      </c>
      <c r="Q693" s="224">
        <f ca="1">Q694+Q695</f>
        <v>66220</v>
      </c>
      <c r="R693" s="224">
        <f ca="1">R694+R695</f>
        <v>66220</v>
      </c>
      <c r="S693" s="224">
        <f ca="1">S694+S695</f>
        <v>0</v>
      </c>
      <c r="T693" s="224">
        <f ca="1">IF(Q693&gt;0,S693*100/Q693,0)</f>
        <v>0</v>
      </c>
      <c r="U693" s="224">
        <f ca="1">IF(R693&gt;0,S693*100/R693,0)</f>
        <v>0</v>
      </c>
    </row>
    <row r="694" spans="1:21" ht="18.75" x14ac:dyDescent="0.25">
      <c r="A694" s="128"/>
      <c r="B694" s="158"/>
      <c r="C694" s="158"/>
      <c r="D694" s="145"/>
      <c r="E694" s="156" t="s">
        <v>158</v>
      </c>
      <c r="F694" s="40"/>
      <c r="G694" s="42"/>
      <c r="H694" s="159" t="s">
        <v>14</v>
      </c>
      <c r="I694" s="44"/>
      <c r="J694" s="44"/>
      <c r="K694" s="45"/>
      <c r="L694" s="1358">
        <v>0</v>
      </c>
      <c r="M694" s="83">
        <v>0</v>
      </c>
      <c r="N694" s="83">
        <v>0</v>
      </c>
      <c r="O694" s="83">
        <f>IF(L694&gt;0,N694*100/L694,0)</f>
        <v>0</v>
      </c>
      <c r="P694" s="83">
        <f>IF(M694&gt;0,N694*100/M694,0)</f>
        <v>0</v>
      </c>
      <c r="Q694" s="83">
        <v>0</v>
      </c>
      <c r="R694" s="83">
        <v>0</v>
      </c>
      <c r="S694" s="83">
        <v>0</v>
      </c>
      <c r="T694" s="83">
        <f>IF(Q694&gt;0,S694*100/Q694,0)</f>
        <v>0</v>
      </c>
      <c r="U694" s="83">
        <f>IF(R694&gt;0,S694*100/R694,0)</f>
        <v>0</v>
      </c>
    </row>
    <row r="695" spans="1:21" ht="18.75" x14ac:dyDescent="0.25">
      <c r="A695" s="128"/>
      <c r="B695" s="158"/>
      <c r="C695" s="158"/>
      <c r="D695" s="145"/>
      <c r="E695" s="47" t="s">
        <v>159</v>
      </c>
      <c r="F695" s="40"/>
      <c r="G695" s="42"/>
      <c r="H695" s="134" t="s">
        <v>14</v>
      </c>
      <c r="I695" s="44"/>
      <c r="J695" s="44"/>
      <c r="K695" s="45"/>
      <c r="L695" s="1356">
        <v>0</v>
      </c>
      <c r="M695" s="224">
        <v>0</v>
      </c>
      <c r="N695" s="224">
        <v>0</v>
      </c>
      <c r="O695" s="224">
        <f>IF(L695&gt;0,N695*100/L695,0)</f>
        <v>0</v>
      </c>
      <c r="P695" s="224">
        <f>IF(M695&gt;0,N695*100/M695,0)</f>
        <v>0</v>
      </c>
      <c r="Q695" s="224">
        <f ca="1">IFERROR(__xludf.DUMMYFUNCTION("IMPORTRANGE(""https://docs.google.com/spreadsheets/d/1ItG2mGa2ceCfYo0BwxsXqNm01IGEUdYcSSLTEv9YCik/edit?usp=sharing"",""เบิกจ่ายกองทุน!L29"")"),66220)</f>
        <v>66220</v>
      </c>
      <c r="R695" s="224">
        <f ca="1">IFERROR(__xludf.DUMMYFUNCTION("IMPORTRANGE(""https://docs.google.com/spreadsheets/d/1ItG2mGa2ceCfYo0BwxsXqNm01IGEUdYcSSLTEv9YCik/edit?usp=sharing"",""เบิกจ่ายกองทุน!M29"")"),66220)</f>
        <v>66220</v>
      </c>
      <c r="S695" s="224">
        <f ca="1">IFERROR(__xludf.DUMMYFUNCTION("IMPORTRANGE(""https://docs.google.com/spreadsheets/d/1ItG2mGa2ceCfYo0BwxsXqNm01IGEUdYcSSLTEv9YCik/edit?usp=sharing"",""เบิกจ่ายกองทุน!N29"")"),0)</f>
        <v>0</v>
      </c>
      <c r="T695" s="224">
        <f ca="1">IF(Q695&gt;0,S695*100/Q695,0)</f>
        <v>0</v>
      </c>
      <c r="U695" s="224">
        <f ca="1">IF(R695&gt;0,S695*100/R695,0)</f>
        <v>0</v>
      </c>
    </row>
    <row r="696" spans="1:21" ht="18.75" x14ac:dyDescent="0.25">
      <c r="A696" s="128"/>
      <c r="B696" s="158"/>
      <c r="C696" s="158"/>
      <c r="D696" s="41" t="s">
        <v>23</v>
      </c>
      <c r="E696" s="40"/>
      <c r="F696" s="40"/>
      <c r="G696" s="42"/>
      <c r="H696" s="137" t="s">
        <v>14</v>
      </c>
      <c r="I696" s="135"/>
      <c r="J696" s="135"/>
      <c r="K696" s="136"/>
      <c r="L696" s="1356">
        <f>L697+L698</f>
        <v>0</v>
      </c>
      <c r="M696" s="224">
        <f>M697+M698</f>
        <v>0</v>
      </c>
      <c r="N696" s="224">
        <f>N697+N698</f>
        <v>0</v>
      </c>
      <c r="O696" s="224">
        <f>IF(L696&gt;0,N696*100/L696,0)</f>
        <v>0</v>
      </c>
      <c r="P696" s="224">
        <f>IF(M696&gt;0,N696*100/M696,0)</f>
        <v>0</v>
      </c>
      <c r="Q696" s="224">
        <f>Q697+Q698</f>
        <v>0</v>
      </c>
      <c r="R696" s="224">
        <f>R697+R698</f>
        <v>0</v>
      </c>
      <c r="S696" s="224">
        <f>S697+S698</f>
        <v>0</v>
      </c>
      <c r="T696" s="224">
        <f>IF(Q696&gt;0,S696*100/Q696,0)</f>
        <v>0</v>
      </c>
      <c r="U696" s="224">
        <f>IF(R696&gt;0,S696*100/R696,0)</f>
        <v>0</v>
      </c>
    </row>
    <row r="697" spans="1:21" ht="18.75" x14ac:dyDescent="0.25">
      <c r="A697" s="128"/>
      <c r="B697" s="158"/>
      <c r="C697" s="158"/>
      <c r="D697" s="40"/>
      <c r="E697" s="156" t="s">
        <v>20</v>
      </c>
      <c r="F697" s="40"/>
      <c r="G697" s="42"/>
      <c r="H697" s="159" t="s">
        <v>14</v>
      </c>
      <c r="I697" s="135"/>
      <c r="J697" s="135"/>
      <c r="K697" s="136"/>
      <c r="L697" s="1358">
        <v>0</v>
      </c>
      <c r="M697" s="83">
        <v>0</v>
      </c>
      <c r="N697" s="83">
        <v>0</v>
      </c>
      <c r="O697" s="83">
        <f>IF(L697&gt;0,N697*100/L697,0)</f>
        <v>0</v>
      </c>
      <c r="P697" s="83">
        <f>IF(M697&gt;0,N697*100/M697,0)</f>
        <v>0</v>
      </c>
      <c r="Q697" s="83">
        <v>0</v>
      </c>
      <c r="R697" s="83">
        <v>0</v>
      </c>
      <c r="S697" s="83">
        <v>0</v>
      </c>
      <c r="T697" s="83">
        <f>IF(Q697&gt;0,S697*100/Q697,0)</f>
        <v>0</v>
      </c>
      <c r="U697" s="83">
        <f>IF(R697&gt;0,S697*100/R697,0)</f>
        <v>0</v>
      </c>
    </row>
    <row r="698" spans="1:21" ht="18.75" x14ac:dyDescent="0.25">
      <c r="A698" s="128"/>
      <c r="B698" s="158"/>
      <c r="C698" s="158"/>
      <c r="D698" s="40"/>
      <c r="E698" s="47" t="s">
        <v>21</v>
      </c>
      <c r="F698" s="40"/>
      <c r="G698" s="42"/>
      <c r="H698" s="137" t="s">
        <v>14</v>
      </c>
      <c r="I698" s="135"/>
      <c r="J698" s="135"/>
      <c r="K698" s="136"/>
      <c r="L698" s="1356">
        <v>0</v>
      </c>
      <c r="M698" s="224">
        <v>0</v>
      </c>
      <c r="N698" s="224">
        <v>0</v>
      </c>
      <c r="O698" s="224">
        <f>IF(L698&gt;0,N698*100/L698,0)</f>
        <v>0</v>
      </c>
      <c r="P698" s="224">
        <f>IF(M698&gt;0,N698*100/M698,0)</f>
        <v>0</v>
      </c>
      <c r="Q698" s="224">
        <v>0</v>
      </c>
      <c r="R698" s="224">
        <v>0</v>
      </c>
      <c r="S698" s="224">
        <v>0</v>
      </c>
      <c r="T698" s="224">
        <f>IF(Q698&gt;0,S698*100/Q698,0)</f>
        <v>0</v>
      </c>
      <c r="U698" s="224">
        <f>IF(R698&gt;0,S698*100/R698,0)</f>
        <v>0</v>
      </c>
    </row>
    <row r="699" spans="1:21" ht="19.5" x14ac:dyDescent="0.3">
      <c r="A699" s="138"/>
      <c r="B699" s="139"/>
      <c r="C699" s="177" t="s">
        <v>18</v>
      </c>
      <c r="D699" s="1391" t="s">
        <v>38</v>
      </c>
      <c r="E699" s="141"/>
      <c r="F699" s="141"/>
      <c r="G699" s="141"/>
      <c r="H699" s="178"/>
      <c r="I699" s="135"/>
      <c r="J699" s="135"/>
      <c r="K699" s="136"/>
      <c r="L699" s="1359"/>
      <c r="M699" s="45"/>
      <c r="N699" s="45"/>
      <c r="O699" s="45"/>
      <c r="P699" s="45"/>
      <c r="Q699" s="45"/>
      <c r="R699" s="45"/>
      <c r="S699" s="45"/>
      <c r="T699" s="45"/>
      <c r="U699" s="45"/>
    </row>
    <row r="700" spans="1:21" ht="18.75" x14ac:dyDescent="0.25">
      <c r="A700" s="208"/>
      <c r="B700" s="158"/>
      <c r="C700" s="158"/>
      <c r="D700" s="145"/>
      <c r="E700" s="144" t="s">
        <v>256</v>
      </c>
      <c r="F700" s="145"/>
      <c r="G700" s="143"/>
      <c r="H700" s="137" t="s">
        <v>257</v>
      </c>
      <c r="I700" s="184">
        <f ca="1">IFERROR(__xludf.DUMMYFUNCTION("IMPORTRANGE(""https://docs.google.com/spreadsheets/d/1eHaY18a8A9IcSdp1K8H6x8fbOy06t2VsZHhMHf-1x7Y/edit?usp=sharing"",""แผน!LC29"")"),0)</f>
        <v>0</v>
      </c>
      <c r="J700" s="1395">
        <v>0</v>
      </c>
      <c r="K700" s="1396">
        <f ca="1">IF(I700&gt;0,J700*100/I700,0)</f>
        <v>0</v>
      </c>
      <c r="L700" s="1392"/>
      <c r="M700" s="136"/>
      <c r="N700" s="45"/>
      <c r="O700" s="136"/>
      <c r="P700" s="136"/>
      <c r="Q700" s="136"/>
      <c r="R700" s="136"/>
      <c r="S700" s="45"/>
      <c r="T700" s="136"/>
      <c r="U700" s="136"/>
    </row>
    <row r="701" spans="1:21" ht="19.5" x14ac:dyDescent="0.3">
      <c r="A701" s="208"/>
      <c r="B701" s="158"/>
      <c r="C701" s="158"/>
      <c r="D701" s="145"/>
      <c r="E701" s="417" t="s">
        <v>258</v>
      </c>
      <c r="F701" s="145"/>
      <c r="G701" s="143"/>
      <c r="H701" s="131" t="s">
        <v>35</v>
      </c>
      <c r="I701" s="328">
        <f ca="1">I703+I705</f>
        <v>3</v>
      </c>
      <c r="J701" s="328">
        <f ca="1">J703+J705</f>
        <v>0</v>
      </c>
      <c r="K701" s="1390">
        <f ca="1">IF(I701&gt;0,J701*100/I701,0)</f>
        <v>0</v>
      </c>
      <c r="L701" s="1392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08"/>
      <c r="B702" s="158"/>
      <c r="C702" s="158"/>
      <c r="D702" s="145"/>
      <c r="E702" s="145"/>
      <c r="F702" s="145"/>
      <c r="G702" s="143"/>
      <c r="H702" s="131" t="s">
        <v>46</v>
      </c>
      <c r="I702" s="328">
        <v>0</v>
      </c>
      <c r="J702" s="328">
        <f ca="1">J704+J706</f>
        <v>0</v>
      </c>
      <c r="K702" s="1390">
        <f>IF(I702&gt;0,J702*100/I702,0)</f>
        <v>0</v>
      </c>
      <c r="L702" s="1392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08"/>
      <c r="B703" s="158"/>
      <c r="C703" s="158"/>
      <c r="D703" s="145"/>
      <c r="E703" s="145"/>
      <c r="F703" s="144" t="s">
        <v>259</v>
      </c>
      <c r="G703" s="143"/>
      <c r="H703" s="137" t="s">
        <v>35</v>
      </c>
      <c r="I703" s="184">
        <f ca="1">IFERROR(__xludf.DUMMYFUNCTION("IMPORTRANGE(""https://docs.google.com/spreadsheets/d/1eHaY18a8A9IcSdp1K8H6x8fbOy06t2VsZHhMHf-1x7Y/edit?usp=sharing"",""แผน!LJ29"")"),0)</f>
        <v>0</v>
      </c>
      <c r="J703" s="184">
        <f ca="1">IFERROR(__xludf.DUMMYFUNCTION("IMPORTRANGE(""https://docs.google.com/spreadsheets/d/1tdoBKaGub7dwA3U6UFTqxio9LNnvDCQjHKmttSEBsFQ/edit?usp=sharing"",""จัดที่ดิน!AP29"")"),0)</f>
        <v>0</v>
      </c>
      <c r="K703" s="224">
        <f ca="1">IF(I703&gt;0,J703*100/I703,0)</f>
        <v>0</v>
      </c>
      <c r="L703" s="1392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8"/>
      <c r="B704" s="158"/>
      <c r="C704" s="158"/>
      <c r="D704" s="145"/>
      <c r="E704" s="145"/>
      <c r="F704" s="145"/>
      <c r="G704" s="143"/>
      <c r="H704" s="137" t="s">
        <v>46</v>
      </c>
      <c r="I704" s="184">
        <v>0</v>
      </c>
      <c r="J704" s="184">
        <f ca="1">IFERROR(__xludf.DUMMYFUNCTION("IMPORTRANGE(""https://docs.google.com/spreadsheets/d/1tdoBKaGub7dwA3U6UFTqxio9LNnvDCQjHKmttSEBsFQ/edit?usp=sharing"",""จัดที่ดิน!AQ29"")"),0)</f>
        <v>0</v>
      </c>
      <c r="K704" s="224">
        <f>IF(I704&gt;0,J704*100/I704,0)</f>
        <v>0</v>
      </c>
      <c r="L704" s="1392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8"/>
      <c r="B705" s="158"/>
      <c r="C705" s="158"/>
      <c r="D705" s="145"/>
      <c r="E705" s="145"/>
      <c r="F705" s="144" t="s">
        <v>260</v>
      </c>
      <c r="G705" s="143"/>
      <c r="H705" s="137" t="s">
        <v>35</v>
      </c>
      <c r="I705" s="184">
        <f ca="1">IFERROR(__xludf.DUMMYFUNCTION("IMPORTRANGE(""https://docs.google.com/spreadsheets/d/1eHaY18a8A9IcSdp1K8H6x8fbOy06t2VsZHhMHf-1x7Y/edit?usp=sharing"",""แผน!LK29"")"),3)</f>
        <v>3</v>
      </c>
      <c r="J705" s="184">
        <f ca="1">IFERROR(__xludf.DUMMYFUNCTION("IMPORTRANGE(""https://docs.google.com/spreadsheets/d/1tdoBKaGub7dwA3U6UFTqxio9LNnvDCQjHKmttSEBsFQ/edit?usp=sharing"",""จัดที่ดิน!AR29"")"),0)</f>
        <v>0</v>
      </c>
      <c r="K705" s="1396">
        <f ca="1">IF(I705&gt;0,J705*100/I705,0)</f>
        <v>0</v>
      </c>
      <c r="L705" s="1392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8"/>
      <c r="B706" s="158"/>
      <c r="C706" s="158"/>
      <c r="D706" s="145"/>
      <c r="E706" s="145"/>
      <c r="F706" s="145"/>
      <c r="G706" s="143"/>
      <c r="H706" s="137" t="s">
        <v>46</v>
      </c>
      <c r="I706" s="184">
        <v>0</v>
      </c>
      <c r="J706" s="184">
        <f ca="1">IFERROR(__xludf.DUMMYFUNCTION("IMPORTRANGE(""https://docs.google.com/spreadsheets/d/1tdoBKaGub7dwA3U6UFTqxio9LNnvDCQjHKmttSEBsFQ/edit?usp=sharing"",""จัดที่ดิน!AS29"")"),0)</f>
        <v>0</v>
      </c>
      <c r="K706" s="224">
        <f>IF(I706&gt;0,J706*100/I706,0)</f>
        <v>0</v>
      </c>
      <c r="L706" s="1392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8"/>
      <c r="B707" s="158"/>
      <c r="C707" s="158"/>
      <c r="D707" s="145"/>
      <c r="E707" s="144" t="s">
        <v>261</v>
      </c>
      <c r="F707" s="145"/>
      <c r="G707" s="143"/>
      <c r="H707" s="134" t="s">
        <v>35</v>
      </c>
      <c r="I707" s="184">
        <f ca="1">IFERROR(__xludf.DUMMYFUNCTION("IMPORTRANGE(""https://docs.google.com/spreadsheets/d/1eHaY18a8A9IcSdp1K8H6x8fbOy06t2VsZHhMHf-1x7Y/edit?usp=sharing"",""แผน!LJ29"")"),0)</f>
        <v>0</v>
      </c>
      <c r="J707" s="184">
        <f ca="1">IFERROR(__xludf.DUMMYFUNCTION("IMPORTRANGE(""https://docs.google.com/spreadsheets/d/1tdoBKaGub7dwA3U6UFTqxio9LNnvDCQjHKmttSEBsFQ/edit?usp=sharing"",""จัดที่ดิน!BN29"")"),0)</f>
        <v>0</v>
      </c>
      <c r="K707" s="224">
        <f ca="1">IF(I707&gt;0,J707*100/I707,0)</f>
        <v>0</v>
      </c>
      <c r="L707" s="1392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8"/>
      <c r="B708" s="158"/>
      <c r="C708" s="158"/>
      <c r="D708" s="145"/>
      <c r="E708" s="418" t="s">
        <v>262</v>
      </c>
      <c r="F708" s="145"/>
      <c r="G708" s="143"/>
      <c r="H708" s="134" t="s">
        <v>46</v>
      </c>
      <c r="I708" s="184">
        <v>0</v>
      </c>
      <c r="J708" s="184">
        <f ca="1">IFERROR(__xludf.DUMMYFUNCTION("IMPORTRANGE(""https://docs.google.com/spreadsheets/d/1tdoBKaGub7dwA3U6UFTqxio9LNnvDCQjHKmttSEBsFQ/edit?usp=sharing"",""จัดที่ดิน!BO29"")"),0)</f>
        <v>0</v>
      </c>
      <c r="K708" s="224">
        <f>IF(I708&gt;0,J708*100/I708,0)</f>
        <v>0</v>
      </c>
      <c r="L708" s="1392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8"/>
      <c r="B709" s="158"/>
      <c r="C709" s="158"/>
      <c r="D709" s="40"/>
      <c r="E709" s="47" t="s">
        <v>263</v>
      </c>
      <c r="F709" s="40"/>
      <c r="G709" s="42"/>
      <c r="H709" s="175" t="s">
        <v>35</v>
      </c>
      <c r="I709" s="184">
        <f ca="1">IFERROR(__xludf.DUMMYFUNCTION("IMPORTRANGE(""https://docs.google.com/spreadsheets/d/1eHaY18a8A9IcSdp1K8H6x8fbOy06t2VsZHhMHf-1x7Y/edit?usp=sharing"",""แผน!LK29"")"),3)</f>
        <v>3</v>
      </c>
      <c r="J709" s="184">
        <f ca="1">IFERROR(__xludf.DUMMYFUNCTION("IMPORTRANGE(""https://docs.google.com/spreadsheets/d/1tdoBKaGub7dwA3U6UFTqxio9LNnvDCQjHKmttSEBsFQ/edit?usp=sharing"",""จัดที่ดิน!BP29"")"),2)</f>
        <v>2</v>
      </c>
      <c r="K709" s="224">
        <f ca="1">IF(I709&gt;0,J709*100/I709,0)</f>
        <v>66.666666666666671</v>
      </c>
      <c r="L709" s="1359"/>
      <c r="M709" s="45"/>
      <c r="N709" s="45"/>
      <c r="O709" s="45"/>
      <c r="P709" s="45"/>
      <c r="Q709" s="45"/>
      <c r="R709" s="45"/>
      <c r="S709" s="45"/>
      <c r="T709" s="45"/>
      <c r="U709" s="45"/>
    </row>
    <row r="710" spans="1:21" ht="18.75" x14ac:dyDescent="0.25">
      <c r="A710" s="208"/>
      <c r="B710" s="158"/>
      <c r="C710" s="158"/>
      <c r="D710" s="40"/>
      <c r="E710" s="418" t="s">
        <v>264</v>
      </c>
      <c r="F710" s="40"/>
      <c r="G710" s="42"/>
      <c r="H710" s="175" t="s">
        <v>46</v>
      </c>
      <c r="I710" s="184">
        <v>0</v>
      </c>
      <c r="J710" s="184">
        <f ca="1">IFERROR(__xludf.DUMMYFUNCTION("IMPORTRANGE(""https://docs.google.com/spreadsheets/d/1tdoBKaGub7dwA3U6UFTqxio9LNnvDCQjHKmttSEBsFQ/edit?usp=sharing"",""จัดที่ดิน!BQ29"")"),0)</f>
        <v>0</v>
      </c>
      <c r="K710" s="224">
        <f>IF(I710&gt;0,J710*100/I710,0)</f>
        <v>0</v>
      </c>
      <c r="L710" s="1359"/>
      <c r="M710" s="45"/>
      <c r="N710" s="45"/>
      <c r="O710" s="45"/>
      <c r="P710" s="45"/>
      <c r="Q710" s="45"/>
      <c r="R710" s="45"/>
      <c r="S710" s="45"/>
      <c r="T710" s="45"/>
      <c r="U710" s="45"/>
    </row>
    <row r="711" spans="1:21" ht="12.75" x14ac:dyDescent="0.2">
      <c r="A711" s="360"/>
      <c r="B711" s="316"/>
      <c r="C711" s="316"/>
      <c r="D711" s="361"/>
      <c r="E711" s="361"/>
      <c r="F711" s="361"/>
      <c r="G711" s="362"/>
      <c r="H711" s="317"/>
      <c r="I711" s="318"/>
      <c r="J711" s="318"/>
      <c r="K711" s="319"/>
      <c r="L711" s="1537"/>
      <c r="M711" s="319"/>
      <c r="N711" s="319"/>
      <c r="O711" s="319"/>
      <c r="P711" s="319"/>
      <c r="Q711" s="319"/>
      <c r="R711" s="319"/>
      <c r="S711" s="319"/>
      <c r="T711" s="319"/>
      <c r="U711" s="319"/>
    </row>
    <row r="712" spans="1:21" ht="19.5" x14ac:dyDescent="0.3">
      <c r="A712" s="387"/>
      <c r="B712" s="419" t="s">
        <v>265</v>
      </c>
      <c r="C712" s="387"/>
      <c r="D712" s="389"/>
      <c r="E712" s="389"/>
      <c r="F712" s="389"/>
      <c r="G712" s="390"/>
      <c r="H712" s="420" t="s">
        <v>46</v>
      </c>
      <c r="I712" s="392"/>
      <c r="J712" s="392">
        <f>J724</f>
        <v>0</v>
      </c>
      <c r="K712" s="1594">
        <f>IF(I712&gt;0,J712*100/I712,0)</f>
        <v>0</v>
      </c>
      <c r="L712" s="1581"/>
      <c r="M712" s="393"/>
      <c r="N712" s="393"/>
      <c r="O712" s="393"/>
      <c r="P712" s="393"/>
      <c r="Q712" s="393"/>
      <c r="R712" s="393"/>
      <c r="S712" s="393"/>
      <c r="T712" s="393"/>
      <c r="U712" s="393"/>
    </row>
    <row r="713" spans="1:21" ht="19.5" x14ac:dyDescent="0.3">
      <c r="A713" s="387"/>
      <c r="B713" s="419" t="s">
        <v>266</v>
      </c>
      <c r="C713" s="387"/>
      <c r="D713" s="389"/>
      <c r="E713" s="389"/>
      <c r="F713" s="389"/>
      <c r="G713" s="390"/>
      <c r="H713" s="391"/>
      <c r="I713" s="392"/>
      <c r="J713" s="392"/>
      <c r="K713" s="393"/>
      <c r="L713" s="1581"/>
      <c r="M713" s="393"/>
      <c r="N713" s="393"/>
      <c r="O713" s="393"/>
      <c r="P713" s="393"/>
      <c r="Q713" s="393"/>
      <c r="R713" s="393"/>
      <c r="S713" s="393"/>
      <c r="T713" s="393"/>
      <c r="U713" s="393"/>
    </row>
    <row r="714" spans="1:21" ht="19.5" x14ac:dyDescent="0.3">
      <c r="A714" s="128"/>
      <c r="B714" s="158"/>
      <c r="C714" s="314" t="s">
        <v>18</v>
      </c>
      <c r="D714" s="1569" t="s">
        <v>19</v>
      </c>
      <c r="E714" s="1285"/>
      <c r="F714" s="1285"/>
      <c r="G714" s="1286"/>
      <c r="H714" s="375" t="s">
        <v>14</v>
      </c>
      <c r="I714" s="44"/>
      <c r="J714" s="44"/>
      <c r="K714" s="45"/>
      <c r="L714" s="1389">
        <f>L715+L716</f>
        <v>0</v>
      </c>
      <c r="M714" s="1390">
        <f>M715+M716</f>
        <v>0</v>
      </c>
      <c r="N714" s="1390">
        <f>N715+N716</f>
        <v>0</v>
      </c>
      <c r="O714" s="1390">
        <f>IF(L714&gt;0,N714*100/L714,0)</f>
        <v>0</v>
      </c>
      <c r="P714" s="1390">
        <f>IF(M714&gt;0,N714*100/M714,0)</f>
        <v>0</v>
      </c>
      <c r="Q714" s="1390">
        <f>Q715+Q716</f>
        <v>0</v>
      </c>
      <c r="R714" s="1390">
        <f>R715+R716</f>
        <v>0</v>
      </c>
      <c r="S714" s="1390">
        <f>S715+S716</f>
        <v>0</v>
      </c>
      <c r="T714" s="1390">
        <f>IF(Q714&gt;0,S714*100/Q714,0)</f>
        <v>0</v>
      </c>
      <c r="U714" s="1390">
        <f>IF(R714&gt;0,S714*100/R714,0)</f>
        <v>0</v>
      </c>
    </row>
    <row r="715" spans="1:21" ht="18.75" x14ac:dyDescent="0.25">
      <c r="A715" s="128"/>
      <c r="B715" s="158"/>
      <c r="C715" s="158"/>
      <c r="D715" s="145"/>
      <c r="E715" s="156" t="s">
        <v>158</v>
      </c>
      <c r="F715" s="40"/>
      <c r="G715" s="42"/>
      <c r="H715" s="159" t="s">
        <v>14</v>
      </c>
      <c r="I715" s="44"/>
      <c r="J715" s="44"/>
      <c r="K715" s="45"/>
      <c r="L715" s="1358">
        <f>L718+L721</f>
        <v>0</v>
      </c>
      <c r="M715" s="83">
        <f>M718+M721</f>
        <v>0</v>
      </c>
      <c r="N715" s="83">
        <f>N718+N721</f>
        <v>0</v>
      </c>
      <c r="O715" s="83">
        <f>IF(L715&gt;0,N715*100/L715,0)</f>
        <v>0</v>
      </c>
      <c r="P715" s="83">
        <f>IF(M715&gt;0,N715*100/M715,0)</f>
        <v>0</v>
      </c>
      <c r="Q715" s="83">
        <f>Q718+Q721</f>
        <v>0</v>
      </c>
      <c r="R715" s="83">
        <f>R718+R721</f>
        <v>0</v>
      </c>
      <c r="S715" s="83">
        <f>S718+S721</f>
        <v>0</v>
      </c>
      <c r="T715" s="83">
        <f>IF(Q715&gt;0,S715*100/Q715,0)</f>
        <v>0</v>
      </c>
      <c r="U715" s="83">
        <f>IF(R715&gt;0,S715*100/R715,0)</f>
        <v>0</v>
      </c>
    </row>
    <row r="716" spans="1:21" ht="18.75" x14ac:dyDescent="0.25">
      <c r="A716" s="128"/>
      <c r="B716" s="158"/>
      <c r="C716" s="158"/>
      <c r="D716" s="145"/>
      <c r="E716" s="156" t="s">
        <v>159</v>
      </c>
      <c r="F716" s="40"/>
      <c r="G716" s="42"/>
      <c r="H716" s="159" t="s">
        <v>14</v>
      </c>
      <c r="I716" s="44"/>
      <c r="J716" s="44"/>
      <c r="K716" s="45"/>
      <c r="L716" s="1356">
        <f>L719+L722</f>
        <v>0</v>
      </c>
      <c r="M716" s="224">
        <f>M719+M722</f>
        <v>0</v>
      </c>
      <c r="N716" s="224">
        <f>N719+N722</f>
        <v>0</v>
      </c>
      <c r="O716" s="224">
        <f>IF(L716&gt;0,N716*100/L716,0)</f>
        <v>0</v>
      </c>
      <c r="P716" s="224">
        <f>IF(M716&gt;0,N716*100/M716,0)</f>
        <v>0</v>
      </c>
      <c r="Q716" s="224">
        <f>Q719+Q722</f>
        <v>0</v>
      </c>
      <c r="R716" s="224">
        <f>R719+R722</f>
        <v>0</v>
      </c>
      <c r="S716" s="224">
        <f>S719+S722</f>
        <v>0</v>
      </c>
      <c r="T716" s="224">
        <f>IF(Q716&gt;0,S716*100/Q716,0)</f>
        <v>0</v>
      </c>
      <c r="U716" s="224">
        <f>IF(R716&gt;0,S716*100/R716,0)</f>
        <v>0</v>
      </c>
    </row>
    <row r="717" spans="1:21" ht="19.5" x14ac:dyDescent="0.3">
      <c r="A717" s="128"/>
      <c r="B717" s="158"/>
      <c r="C717" s="158"/>
      <c r="D717" s="1434" t="s">
        <v>22</v>
      </c>
      <c r="E717" s="40"/>
      <c r="F717" s="40"/>
      <c r="G717" s="42"/>
      <c r="H717" s="375" t="s">
        <v>14</v>
      </c>
      <c r="I717" s="135"/>
      <c r="J717" s="135"/>
      <c r="K717" s="136"/>
      <c r="L717" s="1356">
        <f>L718+L719</f>
        <v>0</v>
      </c>
      <c r="M717" s="224">
        <f>M718+M719</f>
        <v>0</v>
      </c>
      <c r="N717" s="224">
        <f>N718+N719</f>
        <v>0</v>
      </c>
      <c r="O717" s="224">
        <f>IF(L717&gt;0,N717*100/L717,0)</f>
        <v>0</v>
      </c>
      <c r="P717" s="224">
        <f>IF(M717&gt;0,N717*100/M717,0)</f>
        <v>0</v>
      </c>
      <c r="Q717" s="224">
        <f>Q718+Q719</f>
        <v>0</v>
      </c>
      <c r="R717" s="224">
        <f>R718+R719</f>
        <v>0</v>
      </c>
      <c r="S717" s="224">
        <f>S718+S719</f>
        <v>0</v>
      </c>
      <c r="T717" s="224">
        <f>IF(Q717&gt;0,S717*100/Q717,0)</f>
        <v>0</v>
      </c>
      <c r="U717" s="224">
        <f>IF(R717&gt;0,S717*100/R717,0)</f>
        <v>0</v>
      </c>
    </row>
    <row r="718" spans="1:21" ht="18.75" x14ac:dyDescent="0.25">
      <c r="A718" s="128"/>
      <c r="B718" s="158"/>
      <c r="C718" s="158"/>
      <c r="D718" s="145"/>
      <c r="E718" s="156" t="s">
        <v>158</v>
      </c>
      <c r="F718" s="40"/>
      <c r="G718" s="42"/>
      <c r="H718" s="159" t="s">
        <v>14</v>
      </c>
      <c r="I718" s="44"/>
      <c r="J718" s="44"/>
      <c r="K718" s="45"/>
      <c r="L718" s="1358">
        <v>0</v>
      </c>
      <c r="M718" s="83">
        <v>0</v>
      </c>
      <c r="N718" s="83">
        <v>0</v>
      </c>
      <c r="O718" s="83">
        <f>IF(L718&gt;0,N718*100/L718,0)</f>
        <v>0</v>
      </c>
      <c r="P718" s="83">
        <f>IF(M718&gt;0,N718*100/M718,0)</f>
        <v>0</v>
      </c>
      <c r="Q718" s="83">
        <v>0</v>
      </c>
      <c r="R718" s="83">
        <v>0</v>
      </c>
      <c r="S718" s="83">
        <v>0</v>
      </c>
      <c r="T718" s="83">
        <f>IF(Q718&gt;0,S718*100/Q718,0)</f>
        <v>0</v>
      </c>
      <c r="U718" s="83">
        <f>IF(R718&gt;0,S718*100/R718,0)</f>
        <v>0</v>
      </c>
    </row>
    <row r="719" spans="1:21" ht="18.75" x14ac:dyDescent="0.25">
      <c r="A719" s="128"/>
      <c r="B719" s="158"/>
      <c r="C719" s="158"/>
      <c r="D719" s="145"/>
      <c r="E719" s="156" t="s">
        <v>159</v>
      </c>
      <c r="F719" s="40"/>
      <c r="G719" s="42"/>
      <c r="H719" s="159" t="s">
        <v>14</v>
      </c>
      <c r="I719" s="44"/>
      <c r="J719" s="44"/>
      <c r="K719" s="45"/>
      <c r="L719" s="1356">
        <v>0</v>
      </c>
      <c r="M719" s="224">
        <v>0</v>
      </c>
      <c r="N719" s="224">
        <v>0</v>
      </c>
      <c r="O719" s="224">
        <f>IF(L719&gt;0,N719*100/L719,0)</f>
        <v>0</v>
      </c>
      <c r="P719" s="224">
        <f>IF(M719&gt;0,N719*100/M719,0)</f>
        <v>0</v>
      </c>
      <c r="Q719" s="224">
        <v>0</v>
      </c>
      <c r="R719" s="224">
        <v>0</v>
      </c>
      <c r="S719" s="224">
        <v>0</v>
      </c>
      <c r="T719" s="224">
        <f>IF(Q719&gt;0,S719*100/Q719,0)</f>
        <v>0</v>
      </c>
      <c r="U719" s="224">
        <f>IF(R719&gt;0,S719*100/R719,0)</f>
        <v>0</v>
      </c>
    </row>
    <row r="720" spans="1:21" ht="19.5" x14ac:dyDescent="0.3">
      <c r="A720" s="128"/>
      <c r="B720" s="158"/>
      <c r="C720" s="158"/>
      <c r="D720" s="1434" t="s">
        <v>23</v>
      </c>
      <c r="E720" s="40"/>
      <c r="F720" s="40"/>
      <c r="G720" s="42"/>
      <c r="H720" s="377" t="s">
        <v>14</v>
      </c>
      <c r="I720" s="135"/>
      <c r="J720" s="135"/>
      <c r="K720" s="136"/>
      <c r="L720" s="1356">
        <f>L721+L722</f>
        <v>0</v>
      </c>
      <c r="M720" s="224">
        <f>M721+M722</f>
        <v>0</v>
      </c>
      <c r="N720" s="224">
        <f>N721+N722</f>
        <v>0</v>
      </c>
      <c r="O720" s="224">
        <f>IF(L720&gt;0,N720*100/L720,0)</f>
        <v>0</v>
      </c>
      <c r="P720" s="224">
        <f>IF(M720&gt;0,N720*100/M720,0)</f>
        <v>0</v>
      </c>
      <c r="Q720" s="224">
        <f>Q721+Q722</f>
        <v>0</v>
      </c>
      <c r="R720" s="224">
        <f>R721+R722</f>
        <v>0</v>
      </c>
      <c r="S720" s="224">
        <f>S721+S722</f>
        <v>0</v>
      </c>
      <c r="T720" s="224">
        <f>IF(Q720&gt;0,S720*100/Q720,0)</f>
        <v>0</v>
      </c>
      <c r="U720" s="224">
        <f>IF(R720&gt;0,S720*100/R720,0)</f>
        <v>0</v>
      </c>
    </row>
    <row r="721" spans="1:21" ht="18.75" x14ac:dyDescent="0.25">
      <c r="A721" s="128"/>
      <c r="B721" s="158"/>
      <c r="C721" s="158"/>
      <c r="D721" s="40"/>
      <c r="E721" s="156" t="s">
        <v>20</v>
      </c>
      <c r="F721" s="40"/>
      <c r="G721" s="42"/>
      <c r="H721" s="159" t="s">
        <v>14</v>
      </c>
      <c r="I721" s="135"/>
      <c r="J721" s="135"/>
      <c r="K721" s="136"/>
      <c r="L721" s="1358">
        <v>0</v>
      </c>
      <c r="M721" s="83">
        <v>0</v>
      </c>
      <c r="N721" s="83">
        <v>0</v>
      </c>
      <c r="O721" s="83">
        <f>IF(L721&gt;0,N721*100/L721,0)</f>
        <v>0</v>
      </c>
      <c r="P721" s="83">
        <f>IF(M721&gt;0,N721*100/M721,0)</f>
        <v>0</v>
      </c>
      <c r="Q721" s="83">
        <v>0</v>
      </c>
      <c r="R721" s="83">
        <v>0</v>
      </c>
      <c r="S721" s="83">
        <v>0</v>
      </c>
      <c r="T721" s="83">
        <f>IF(Q721&gt;0,S721*100/Q721,0)</f>
        <v>0</v>
      </c>
      <c r="U721" s="83">
        <f>IF(R721&gt;0,S721*100/R721,0)</f>
        <v>0</v>
      </c>
    </row>
    <row r="722" spans="1:21" ht="18.75" x14ac:dyDescent="0.25">
      <c r="A722" s="128"/>
      <c r="B722" s="158"/>
      <c r="C722" s="158"/>
      <c r="D722" s="40"/>
      <c r="E722" s="156" t="s">
        <v>21</v>
      </c>
      <c r="F722" s="40"/>
      <c r="G722" s="42"/>
      <c r="H722" s="378" t="s">
        <v>14</v>
      </c>
      <c r="I722" s="135"/>
      <c r="J722" s="135"/>
      <c r="K722" s="136"/>
      <c r="L722" s="1356">
        <v>0</v>
      </c>
      <c r="M722" s="224">
        <v>0</v>
      </c>
      <c r="N722" s="224">
        <v>0</v>
      </c>
      <c r="O722" s="224">
        <f>IF(L722&gt;0,N722*100/L722,0)</f>
        <v>0</v>
      </c>
      <c r="P722" s="224">
        <f>IF(M722&gt;0,N722*100/M722,0)</f>
        <v>0</v>
      </c>
      <c r="Q722" s="224">
        <v>0</v>
      </c>
      <c r="R722" s="224">
        <v>0</v>
      </c>
      <c r="S722" s="224">
        <v>0</v>
      </c>
      <c r="T722" s="224">
        <f>IF(Q722&gt;0,S722*100/Q722,0)</f>
        <v>0</v>
      </c>
      <c r="U722" s="224">
        <f>IF(R722&gt;0,S722*100/R722,0)</f>
        <v>0</v>
      </c>
    </row>
    <row r="723" spans="1:21" ht="19.5" x14ac:dyDescent="0.3">
      <c r="A723" s="138"/>
      <c r="B723" s="139"/>
      <c r="C723" s="314" t="s">
        <v>18</v>
      </c>
      <c r="D723" s="1595" t="s">
        <v>38</v>
      </c>
      <c r="E723" s="141"/>
      <c r="F723" s="141"/>
      <c r="G723" s="142"/>
      <c r="H723" s="178"/>
      <c r="I723" s="135"/>
      <c r="J723" s="135"/>
      <c r="K723" s="136"/>
      <c r="L723" s="1392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08"/>
      <c r="B724" s="158"/>
      <c r="C724" s="158"/>
      <c r="D724" s="40"/>
      <c r="E724" s="156" t="s">
        <v>267</v>
      </c>
      <c r="F724" s="40"/>
      <c r="G724" s="42"/>
      <c r="H724" s="159" t="s">
        <v>46</v>
      </c>
      <c r="I724" s="423">
        <v>0</v>
      </c>
      <c r="J724" s="44"/>
      <c r="K724" s="45"/>
      <c r="L724" s="1359"/>
      <c r="M724" s="45"/>
      <c r="N724" s="45"/>
      <c r="O724" s="45"/>
      <c r="P724" s="45"/>
      <c r="Q724" s="45"/>
      <c r="R724" s="45"/>
      <c r="S724" s="45"/>
      <c r="T724" s="45"/>
      <c r="U724" s="45"/>
    </row>
    <row r="725" spans="1:21" ht="18.75" x14ac:dyDescent="0.25">
      <c r="A725" s="329"/>
      <c r="B725" s="2"/>
      <c r="C725" s="2"/>
      <c r="D725" s="1"/>
      <c r="E725" s="424" t="s">
        <v>268</v>
      </c>
      <c r="F725" s="1"/>
      <c r="G725" s="52"/>
      <c r="H725" s="425" t="s">
        <v>46</v>
      </c>
      <c r="I725" s="426">
        <v>0</v>
      </c>
      <c r="J725" s="54"/>
      <c r="K725" s="3"/>
      <c r="L725" s="1360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9.5" x14ac:dyDescent="0.3">
      <c r="A726" s="387"/>
      <c r="B726" s="388" t="s">
        <v>269</v>
      </c>
      <c r="C726" s="387"/>
      <c r="D726" s="389"/>
      <c r="E726" s="389"/>
      <c r="F726" s="389"/>
      <c r="G726" s="390"/>
      <c r="H726" s="427" t="s">
        <v>35</v>
      </c>
      <c r="I726" s="1596">
        <f ca="1">IFERROR(__xludf.DUMMYFUNCTION("IMPORTRANGE(""https://docs.google.com/spreadsheets/d/1eHaY18a8A9IcSdp1K8H6x8fbOy06t2VsZHhMHf-1x7Y/edit?usp=sharing"",""แผน!GA29"")"),128)</f>
        <v>128</v>
      </c>
      <c r="J726" s="1596">
        <f>J742+J746+J749</f>
        <v>133</v>
      </c>
      <c r="K726" s="1593">
        <f ca="1">IF(I726&gt;0,J726*100/I726,0)</f>
        <v>103.90625</v>
      </c>
      <c r="L726" s="1581"/>
      <c r="M726" s="393"/>
      <c r="N726" s="393"/>
      <c r="O726" s="393"/>
      <c r="P726" s="393"/>
      <c r="Q726" s="393"/>
      <c r="R726" s="393"/>
      <c r="S726" s="393"/>
      <c r="T726" s="393"/>
      <c r="U726" s="393"/>
    </row>
    <row r="727" spans="1:21" ht="19.5" x14ac:dyDescent="0.3">
      <c r="A727" s="429"/>
      <c r="B727" s="387"/>
      <c r="C727" s="387"/>
      <c r="D727" s="389"/>
      <c r="E727" s="389"/>
      <c r="F727" s="389"/>
      <c r="G727" s="390"/>
      <c r="H727" s="427" t="s">
        <v>46</v>
      </c>
      <c r="I727" s="1596">
        <f ca="1">IFERROR(__xludf.DUMMYFUNCTION("IMPORTRANGE(""https://docs.google.com/spreadsheets/d/1eHaY18a8A9IcSdp1K8H6x8fbOy06t2VsZHhMHf-1x7Y/edit?usp=sharing"",""แผน!FZ29"")"),1250)</f>
        <v>1250</v>
      </c>
      <c r="J727" s="1596">
        <f>J752+J755</f>
        <v>0</v>
      </c>
      <c r="K727" s="1593">
        <f ca="1">IF(I727&gt;0,J727*100/I727,0)</f>
        <v>0</v>
      </c>
      <c r="L727" s="1581"/>
      <c r="M727" s="393"/>
      <c r="N727" s="393"/>
      <c r="O727" s="393"/>
      <c r="P727" s="393"/>
      <c r="Q727" s="393"/>
      <c r="R727" s="393"/>
      <c r="S727" s="393"/>
      <c r="T727" s="393"/>
      <c r="U727" s="393"/>
    </row>
    <row r="728" spans="1:21" ht="19.5" x14ac:dyDescent="0.3">
      <c r="A728" s="128"/>
      <c r="B728" s="158"/>
      <c r="C728" s="177" t="s">
        <v>18</v>
      </c>
      <c r="D728" s="1585" t="s">
        <v>19</v>
      </c>
      <c r="E728" s="1285"/>
      <c r="F728" s="1285"/>
      <c r="G728" s="1286"/>
      <c r="H728" s="221" t="s">
        <v>14</v>
      </c>
      <c r="I728" s="44"/>
      <c r="J728" s="44"/>
      <c r="K728" s="45"/>
      <c r="L728" s="1389">
        <f>L729+L730</f>
        <v>0</v>
      </c>
      <c r="M728" s="1390">
        <f>M729+M730</f>
        <v>0</v>
      </c>
      <c r="N728" s="1390">
        <f>N729+N730</f>
        <v>0</v>
      </c>
      <c r="O728" s="1390">
        <f>IF(L728&gt;0,N728*100/L728,0)</f>
        <v>0</v>
      </c>
      <c r="P728" s="1390">
        <f>IF(M728&gt;0,N728*100/M728,0)</f>
        <v>0</v>
      </c>
      <c r="Q728" s="1390">
        <f ca="1">Q729+Q730</f>
        <v>1008470</v>
      </c>
      <c r="R728" s="1390">
        <f ca="1">R729+R730</f>
        <v>1008470</v>
      </c>
      <c r="S728" s="1390">
        <f ca="1">S729+S730</f>
        <v>112385</v>
      </c>
      <c r="T728" s="1390">
        <f ca="1">IF(Q728&gt;0,S728*100/Q728,0)</f>
        <v>11.144109393437583</v>
      </c>
      <c r="U728" s="1390">
        <f ca="1">IF(R728&gt;0,S728*100/R728,0)</f>
        <v>11.144109393437583</v>
      </c>
    </row>
    <row r="729" spans="1:21" ht="18.75" x14ac:dyDescent="0.25">
      <c r="A729" s="128"/>
      <c r="B729" s="158"/>
      <c r="C729" s="158"/>
      <c r="D729" s="145"/>
      <c r="E729" s="156" t="s">
        <v>158</v>
      </c>
      <c r="F729" s="40"/>
      <c r="G729" s="42"/>
      <c r="H729" s="159" t="s">
        <v>14</v>
      </c>
      <c r="I729" s="44"/>
      <c r="J729" s="44"/>
      <c r="K729" s="45"/>
      <c r="L729" s="1358">
        <f>L732+L735</f>
        <v>0</v>
      </c>
      <c r="M729" s="83">
        <f>M732+M735</f>
        <v>0</v>
      </c>
      <c r="N729" s="83">
        <f>N732+N735</f>
        <v>0</v>
      </c>
      <c r="O729" s="83">
        <f>IF(L729&gt;0,N729*100/L729,0)</f>
        <v>0</v>
      </c>
      <c r="P729" s="83">
        <f>IF(M729&gt;0,N729*100/M729,0)</f>
        <v>0</v>
      </c>
      <c r="Q729" s="83">
        <f>Q732+Q735</f>
        <v>0</v>
      </c>
      <c r="R729" s="83">
        <f>R732+R735</f>
        <v>0</v>
      </c>
      <c r="S729" s="83">
        <f>S732+S735</f>
        <v>0</v>
      </c>
      <c r="T729" s="83">
        <f>IF(Q729&gt;0,S729*100/Q729,0)</f>
        <v>0</v>
      </c>
      <c r="U729" s="83">
        <f>IF(R729&gt;0,S729*100/R729,0)</f>
        <v>0</v>
      </c>
    </row>
    <row r="730" spans="1:21" ht="18.75" x14ac:dyDescent="0.25">
      <c r="A730" s="128"/>
      <c r="B730" s="158"/>
      <c r="C730" s="158"/>
      <c r="D730" s="145"/>
      <c r="E730" s="47" t="s">
        <v>159</v>
      </c>
      <c r="F730" s="40"/>
      <c r="G730" s="42"/>
      <c r="H730" s="134" t="s">
        <v>14</v>
      </c>
      <c r="I730" s="44"/>
      <c r="J730" s="44"/>
      <c r="K730" s="45"/>
      <c r="L730" s="1356">
        <f>L733+L736</f>
        <v>0</v>
      </c>
      <c r="M730" s="224">
        <f>M733+M736</f>
        <v>0</v>
      </c>
      <c r="N730" s="224">
        <f>N733+N736</f>
        <v>0</v>
      </c>
      <c r="O730" s="224">
        <f>IF(L730&gt;0,N730*100/L730,0)</f>
        <v>0</v>
      </c>
      <c r="P730" s="224">
        <f>IF(M730&gt;0,N730*100/M730,0)</f>
        <v>0</v>
      </c>
      <c r="Q730" s="224">
        <f ca="1">Q733+Q736</f>
        <v>1008470</v>
      </c>
      <c r="R730" s="224">
        <f ca="1">R733+R736</f>
        <v>1008470</v>
      </c>
      <c r="S730" s="224">
        <f ca="1">S733+S736</f>
        <v>112385</v>
      </c>
      <c r="T730" s="224">
        <f ca="1">IF(Q730&gt;0,S730*100/Q730,0)</f>
        <v>11.144109393437583</v>
      </c>
      <c r="U730" s="224">
        <f ca="1">IF(R730&gt;0,S730*100/R730,0)</f>
        <v>11.144109393437583</v>
      </c>
    </row>
    <row r="731" spans="1:21" ht="18.75" x14ac:dyDescent="0.25">
      <c r="A731" s="128"/>
      <c r="B731" s="158"/>
      <c r="C731" s="158"/>
      <c r="D731" s="41" t="s">
        <v>22</v>
      </c>
      <c r="E731" s="40"/>
      <c r="F731" s="40"/>
      <c r="G731" s="42"/>
      <c r="H731" s="134" t="s">
        <v>14</v>
      </c>
      <c r="I731" s="135"/>
      <c r="J731" s="135"/>
      <c r="K731" s="136"/>
      <c r="L731" s="1356">
        <f>L732+L733</f>
        <v>0</v>
      </c>
      <c r="M731" s="224">
        <f>M732+M733</f>
        <v>0</v>
      </c>
      <c r="N731" s="224">
        <f>N732+N733</f>
        <v>0</v>
      </c>
      <c r="O731" s="224">
        <f>IF(L731&gt;0,N731*100/L731,0)</f>
        <v>0</v>
      </c>
      <c r="P731" s="224">
        <f>IF(M731&gt;0,N731*100/M731,0)</f>
        <v>0</v>
      </c>
      <c r="Q731" s="224">
        <f ca="1">Q732+Q733</f>
        <v>1008470</v>
      </c>
      <c r="R731" s="224">
        <f ca="1">R732+R733</f>
        <v>1008470</v>
      </c>
      <c r="S731" s="224">
        <f ca="1">S732+S733</f>
        <v>112385</v>
      </c>
      <c r="T731" s="224">
        <f ca="1">IF(Q731&gt;0,S731*100/Q731,0)</f>
        <v>11.144109393437583</v>
      </c>
      <c r="U731" s="224">
        <f ca="1">IF(R731&gt;0,S731*100/R731,0)</f>
        <v>11.144109393437583</v>
      </c>
    </row>
    <row r="732" spans="1:21" ht="18.75" x14ac:dyDescent="0.25">
      <c r="A732" s="128"/>
      <c r="B732" s="158"/>
      <c r="C732" s="158"/>
      <c r="D732" s="145"/>
      <c r="E732" s="156" t="s">
        <v>158</v>
      </c>
      <c r="F732" s="40"/>
      <c r="G732" s="42"/>
      <c r="H732" s="159" t="s">
        <v>14</v>
      </c>
      <c r="I732" s="44"/>
      <c r="J732" s="44"/>
      <c r="K732" s="45"/>
      <c r="L732" s="1358">
        <v>0</v>
      </c>
      <c r="M732" s="83">
        <v>0</v>
      </c>
      <c r="N732" s="83">
        <v>0</v>
      </c>
      <c r="O732" s="83">
        <f>IF(L732&gt;0,N732*100/L732,0)</f>
        <v>0</v>
      </c>
      <c r="P732" s="83">
        <f>IF(M732&gt;0,N732*100/M732,0)</f>
        <v>0</v>
      </c>
      <c r="Q732" s="83">
        <v>0</v>
      </c>
      <c r="R732" s="83">
        <v>0</v>
      </c>
      <c r="S732" s="83">
        <v>0</v>
      </c>
      <c r="T732" s="83">
        <f>IF(Q732&gt;0,S732*100/Q732,0)</f>
        <v>0</v>
      </c>
      <c r="U732" s="83">
        <f>IF(R732&gt;0,S732*100/R732,0)</f>
        <v>0</v>
      </c>
    </row>
    <row r="733" spans="1:21" ht="18.75" x14ac:dyDescent="0.25">
      <c r="A733" s="128"/>
      <c r="B733" s="158"/>
      <c r="C733" s="158"/>
      <c r="D733" s="145"/>
      <c r="E733" s="47" t="s">
        <v>159</v>
      </c>
      <c r="F733" s="40"/>
      <c r="G733" s="42"/>
      <c r="H733" s="134" t="s">
        <v>14</v>
      </c>
      <c r="I733" s="44"/>
      <c r="J733" s="44"/>
      <c r="K733" s="45"/>
      <c r="L733" s="1356">
        <v>0</v>
      </c>
      <c r="M733" s="224">
        <v>0</v>
      </c>
      <c r="N733" s="224">
        <v>0</v>
      </c>
      <c r="O733" s="224">
        <f>IF(L733&gt;0,N733*100/L733,0)</f>
        <v>0</v>
      </c>
      <c r="P733" s="224">
        <f>IF(M733&gt;0,N733*100/M733,0)</f>
        <v>0</v>
      </c>
      <c r="Q733" s="224">
        <f ca="1">IFERROR(__xludf.DUMMYFUNCTION("IMPORTRANGE(""https://docs.google.com/spreadsheets/d/1ItG2mGa2ceCfYo0BwxsXqNm01IGEUdYcSSLTEv9YCik/edit?usp=sharing"",""เบิกจ่ายกองทุน!O29"")"),1008470)</f>
        <v>1008470</v>
      </c>
      <c r="R733" s="224">
        <f ca="1">IFERROR(__xludf.DUMMYFUNCTION("IMPORTRANGE(""https://docs.google.com/spreadsheets/d/1ItG2mGa2ceCfYo0BwxsXqNm01IGEUdYcSSLTEv9YCik/edit?usp=sharing"",""เบิกจ่ายกองทุน!P29"")"),1008470)</f>
        <v>1008470</v>
      </c>
      <c r="S733" s="224">
        <f ca="1">IFERROR(__xludf.DUMMYFUNCTION("IMPORTRANGE(""https://docs.google.com/spreadsheets/d/1ItG2mGa2ceCfYo0BwxsXqNm01IGEUdYcSSLTEv9YCik/edit?usp=sharing"",""เบิกจ่ายกองทุน!Q29"")"),112385)</f>
        <v>112385</v>
      </c>
      <c r="T733" s="224">
        <f ca="1">IF(Q733&gt;0,S733*100/Q733,0)</f>
        <v>11.144109393437583</v>
      </c>
      <c r="U733" s="224">
        <f ca="1">IF(R733&gt;0,S733*100/R733,0)</f>
        <v>11.144109393437583</v>
      </c>
    </row>
    <row r="734" spans="1:21" ht="18.75" x14ac:dyDescent="0.25">
      <c r="A734" s="128"/>
      <c r="B734" s="158"/>
      <c r="C734" s="158"/>
      <c r="D734" s="41" t="s">
        <v>23</v>
      </c>
      <c r="E734" s="158"/>
      <c r="F734" s="158"/>
      <c r="G734" s="42"/>
      <c r="H734" s="137" t="s">
        <v>14</v>
      </c>
      <c r="I734" s="135"/>
      <c r="J734" s="135"/>
      <c r="K734" s="136"/>
      <c r="L734" s="1356">
        <f>L735+L736</f>
        <v>0</v>
      </c>
      <c r="M734" s="224">
        <f>M735+M736</f>
        <v>0</v>
      </c>
      <c r="N734" s="224">
        <f>N735+N736</f>
        <v>0</v>
      </c>
      <c r="O734" s="224">
        <f>IF(L734&gt;0,N734*100/L734,0)</f>
        <v>0</v>
      </c>
      <c r="P734" s="224">
        <f>IF(M734&gt;0,N734*100/M734,0)</f>
        <v>0</v>
      </c>
      <c r="Q734" s="224">
        <f>Q735+Q736</f>
        <v>0</v>
      </c>
      <c r="R734" s="224">
        <f>R735+R736</f>
        <v>0</v>
      </c>
      <c r="S734" s="224">
        <f>S735+S736</f>
        <v>0</v>
      </c>
      <c r="T734" s="224">
        <f>IF(Q734&gt;0,S734*100/Q734,0)</f>
        <v>0</v>
      </c>
      <c r="U734" s="224">
        <f>IF(R734&gt;0,S734*100/R734,0)</f>
        <v>0</v>
      </c>
    </row>
    <row r="735" spans="1:21" ht="18.75" x14ac:dyDescent="0.25">
      <c r="A735" s="128"/>
      <c r="B735" s="158"/>
      <c r="C735" s="158"/>
      <c r="D735" s="158"/>
      <c r="E735" s="314" t="s">
        <v>20</v>
      </c>
      <c r="F735" s="158"/>
      <c r="G735" s="42"/>
      <c r="H735" s="159" t="s">
        <v>14</v>
      </c>
      <c r="I735" s="135"/>
      <c r="J735" s="135"/>
      <c r="K735" s="136"/>
      <c r="L735" s="1358">
        <v>0</v>
      </c>
      <c r="M735" s="83">
        <v>0</v>
      </c>
      <c r="N735" s="83">
        <v>0</v>
      </c>
      <c r="O735" s="83">
        <f>IF(L735&gt;0,N735*100/L735,0)</f>
        <v>0</v>
      </c>
      <c r="P735" s="83">
        <f>IF(M735&gt;0,N735*100/M735,0)</f>
        <v>0</v>
      </c>
      <c r="Q735" s="83">
        <v>0</v>
      </c>
      <c r="R735" s="83">
        <v>0</v>
      </c>
      <c r="S735" s="83">
        <v>0</v>
      </c>
      <c r="T735" s="83">
        <f>IF(Q735&gt;0,S735*100/Q735,0)</f>
        <v>0</v>
      </c>
      <c r="U735" s="83">
        <f>IF(R735&gt;0,S735*100/R735,0)</f>
        <v>0</v>
      </c>
    </row>
    <row r="736" spans="1:21" ht="18.75" x14ac:dyDescent="0.25">
      <c r="A736" s="128"/>
      <c r="B736" s="158"/>
      <c r="C736" s="158"/>
      <c r="D736" s="158"/>
      <c r="E736" s="209" t="s">
        <v>21</v>
      </c>
      <c r="F736" s="158"/>
      <c r="G736" s="42"/>
      <c r="H736" s="137" t="s">
        <v>14</v>
      </c>
      <c r="I736" s="135"/>
      <c r="J736" s="135"/>
      <c r="K736" s="136"/>
      <c r="L736" s="1356">
        <v>0</v>
      </c>
      <c r="M736" s="224">
        <v>0</v>
      </c>
      <c r="N736" s="224">
        <v>0</v>
      </c>
      <c r="O736" s="224">
        <f>IF(L736&gt;0,N736*100/L736,0)</f>
        <v>0</v>
      </c>
      <c r="P736" s="224">
        <f>IF(M736&gt;0,N736*100/M736,0)</f>
        <v>0</v>
      </c>
      <c r="Q736" s="224">
        <v>0</v>
      </c>
      <c r="R736" s="224">
        <v>0</v>
      </c>
      <c r="S736" s="224">
        <v>0</v>
      </c>
      <c r="T736" s="224">
        <f>IF(Q736&gt;0,S736*100/Q736,0)</f>
        <v>0</v>
      </c>
      <c r="U736" s="224">
        <f>IF(R736&gt;0,S736*100/R736,0)</f>
        <v>0</v>
      </c>
    </row>
    <row r="737" spans="1:21" ht="19.5" x14ac:dyDescent="0.3">
      <c r="A737" s="138"/>
      <c r="B737" s="139"/>
      <c r="C737" s="177" t="s">
        <v>18</v>
      </c>
      <c r="D737" s="1535" t="s">
        <v>38</v>
      </c>
      <c r="E737" s="203"/>
      <c r="F737" s="141"/>
      <c r="G737" s="142"/>
      <c r="H737" s="178"/>
      <c r="I737" s="44"/>
      <c r="J737" s="44"/>
      <c r="K737" s="45"/>
      <c r="L737" s="1359"/>
      <c r="M737" s="45"/>
      <c r="N737" s="45"/>
      <c r="O737" s="45"/>
      <c r="P737" s="45"/>
      <c r="Q737" s="45"/>
      <c r="R737" s="45"/>
      <c r="S737" s="45"/>
      <c r="T737" s="45"/>
      <c r="U737" s="45"/>
    </row>
    <row r="738" spans="1:21" ht="19.5" x14ac:dyDescent="0.3">
      <c r="A738" s="138"/>
      <c r="B738" s="139"/>
      <c r="C738" s="139"/>
      <c r="D738" s="430" t="s">
        <v>121</v>
      </c>
      <c r="E738" s="139"/>
      <c r="F738" s="139"/>
      <c r="G738" s="143"/>
      <c r="H738" s="180"/>
      <c r="I738" s="44"/>
      <c r="J738" s="44"/>
      <c r="K738" s="45"/>
      <c r="L738" s="1359"/>
      <c r="M738" s="45"/>
      <c r="N738" s="45"/>
      <c r="O738" s="45"/>
      <c r="P738" s="45"/>
      <c r="Q738" s="45"/>
      <c r="R738" s="45"/>
      <c r="S738" s="45"/>
      <c r="T738" s="45"/>
      <c r="U738" s="45"/>
    </row>
    <row r="739" spans="1:21" ht="18.75" x14ac:dyDescent="0.25">
      <c r="A739" s="138"/>
      <c r="B739" s="139"/>
      <c r="C739" s="139"/>
      <c r="D739" s="139"/>
      <c r="E739" s="403" t="s">
        <v>270</v>
      </c>
      <c r="F739" s="139"/>
      <c r="G739" s="143"/>
      <c r="H739" s="180"/>
      <c r="I739" s="44"/>
      <c r="J739" s="44"/>
      <c r="K739" s="45"/>
      <c r="L739" s="1359"/>
      <c r="M739" s="45"/>
      <c r="N739" s="45"/>
      <c r="O739" s="45"/>
      <c r="P739" s="45"/>
      <c r="Q739" s="45"/>
      <c r="R739" s="45"/>
      <c r="S739" s="45"/>
      <c r="T739" s="45"/>
      <c r="U739" s="45"/>
    </row>
    <row r="740" spans="1:21" ht="18.75" x14ac:dyDescent="0.25">
      <c r="A740" s="138"/>
      <c r="B740" s="139"/>
      <c r="C740" s="139"/>
      <c r="D740" s="139"/>
      <c r="E740" s="139"/>
      <c r="F740" s="403" t="s">
        <v>271</v>
      </c>
      <c r="G740" s="143"/>
      <c r="H740" s="133" t="s">
        <v>46</v>
      </c>
      <c r="I740" s="184">
        <f ca="1">IFERROR(__xludf.DUMMYFUNCTION("IMPORTRANGE(""https://docs.google.com/spreadsheets/d/1eHaY18a8A9IcSdp1K8H6x8fbOy06t2VsZHhMHf-1x7Y/edit?usp=sharing"",""แผน!GB29"")"),1000)</f>
        <v>1000</v>
      </c>
      <c r="J740" s="1395">
        <v>1000</v>
      </c>
      <c r="K740" s="224">
        <f ca="1">IF(I740&gt;0,J740*100/I740,0)</f>
        <v>100</v>
      </c>
      <c r="L740" s="1359"/>
      <c r="M740" s="45"/>
      <c r="N740" s="45"/>
      <c r="O740" s="45"/>
      <c r="P740" s="45"/>
      <c r="Q740" s="45"/>
      <c r="R740" s="45"/>
      <c r="S740" s="45"/>
      <c r="T740" s="45"/>
      <c r="U740" s="45"/>
    </row>
    <row r="741" spans="1:21" ht="18.75" x14ac:dyDescent="0.25">
      <c r="A741" s="1484"/>
      <c r="B741" s="1485"/>
      <c r="C741" s="1485"/>
      <c r="D741" s="1485"/>
      <c r="E741" s="1485"/>
      <c r="F741" s="1597" t="s">
        <v>334</v>
      </c>
      <c r="G741" s="1487"/>
      <c r="H741" s="1474" t="s">
        <v>35</v>
      </c>
      <c r="I741" s="1464"/>
      <c r="J741" s="1599">
        <v>107</v>
      </c>
      <c r="K741" s="1465"/>
      <c r="L741" s="1600"/>
      <c r="M741" s="1465"/>
      <c r="N741" s="1465"/>
      <c r="O741" s="1465"/>
      <c r="P741" s="1465"/>
      <c r="Q741" s="1465"/>
      <c r="R741" s="1465"/>
      <c r="S741" s="1465"/>
      <c r="T741" s="1465"/>
      <c r="U741" s="1465"/>
    </row>
    <row r="742" spans="1:21" ht="18.75" x14ac:dyDescent="0.25">
      <c r="A742" s="1484"/>
      <c r="B742" s="1485"/>
      <c r="C742" s="1485"/>
      <c r="D742" s="1485"/>
      <c r="E742" s="1485"/>
      <c r="F742" s="1597" t="s">
        <v>335</v>
      </c>
      <c r="G742" s="1487"/>
      <c r="H742" s="1474" t="s">
        <v>35</v>
      </c>
      <c r="I742" s="1598">
        <f ca="1">IFERROR(__xludf.DUMMYFUNCTION("IMPORTRANGE(""https://docs.google.com/spreadsheets/d/1eHaY18a8A9IcSdp1K8H6x8fbOy06t2VsZHhMHf-1x7Y/edit?usp=sharing"",""แผน!GC29"")"),100)</f>
        <v>100</v>
      </c>
      <c r="J742" s="1599">
        <v>106</v>
      </c>
      <c r="K742" s="1476">
        <f ca="1">IF(I742&gt;0,J742*100/I742,0)</f>
        <v>106</v>
      </c>
      <c r="L742" s="1600"/>
      <c r="M742" s="1465"/>
      <c r="N742" s="1465"/>
      <c r="O742" s="1465"/>
      <c r="P742" s="1465"/>
      <c r="Q742" s="1465"/>
      <c r="R742" s="1465"/>
      <c r="S742" s="1465"/>
      <c r="T742" s="1465"/>
      <c r="U742" s="1465"/>
    </row>
    <row r="743" spans="1:21" ht="18.75" x14ac:dyDescent="0.25">
      <c r="A743" s="1484"/>
      <c r="B743" s="1485"/>
      <c r="C743" s="1485"/>
      <c r="D743" s="1485"/>
      <c r="E743" s="1597" t="s">
        <v>274</v>
      </c>
      <c r="F743" s="1485"/>
      <c r="G743" s="1487"/>
      <c r="H743" s="1601"/>
      <c r="I743" s="1464"/>
      <c r="J743" s="1464"/>
      <c r="K743" s="1465"/>
      <c r="L743" s="1600"/>
      <c r="M743" s="1465"/>
      <c r="N743" s="1465"/>
      <c r="O743" s="1465"/>
      <c r="P743" s="1465"/>
      <c r="Q743" s="1465"/>
      <c r="R743" s="1465"/>
      <c r="S743" s="1465"/>
      <c r="T743" s="1465"/>
      <c r="U743" s="1465"/>
    </row>
    <row r="744" spans="1:21" ht="18.75" x14ac:dyDescent="0.25">
      <c r="A744" s="1484"/>
      <c r="B744" s="1485"/>
      <c r="C744" s="1485"/>
      <c r="D744" s="1485"/>
      <c r="E744" s="1485"/>
      <c r="F744" s="1597" t="s">
        <v>271</v>
      </c>
      <c r="G744" s="1487"/>
      <c r="H744" s="1474" t="s">
        <v>46</v>
      </c>
      <c r="I744" s="1598">
        <f ca="1">IFERROR(__xludf.DUMMYFUNCTION("IMPORTRANGE(""https://docs.google.com/spreadsheets/d/1eHaY18a8A9IcSdp1K8H6x8fbOy06t2VsZHhMHf-1x7Y/edit?usp=sharing"",""แผน!GD29"")"),250)</f>
        <v>250</v>
      </c>
      <c r="J744" s="1599">
        <v>250</v>
      </c>
      <c r="K744" s="1476">
        <f ca="1">IF(I744&gt;0,J744*100/I744,0)</f>
        <v>100</v>
      </c>
      <c r="L744" s="1600"/>
      <c r="M744" s="1465"/>
      <c r="N744" s="1465"/>
      <c r="O744" s="1465"/>
      <c r="P744" s="1465"/>
      <c r="Q744" s="1465"/>
      <c r="R744" s="1465"/>
      <c r="S744" s="1465"/>
      <c r="T744" s="1465"/>
      <c r="U744" s="1465"/>
    </row>
    <row r="745" spans="1:21" ht="18.75" x14ac:dyDescent="0.25">
      <c r="A745" s="1484"/>
      <c r="B745" s="1485"/>
      <c r="C745" s="1485"/>
      <c r="D745" s="1485"/>
      <c r="E745" s="1485"/>
      <c r="F745" s="1597" t="s">
        <v>336</v>
      </c>
      <c r="G745" s="1487"/>
      <c r="H745" s="1474" t="s">
        <v>35</v>
      </c>
      <c r="I745" s="1464"/>
      <c r="J745" s="1599">
        <v>27</v>
      </c>
      <c r="K745" s="1465"/>
      <c r="L745" s="1600"/>
      <c r="M745" s="1465"/>
      <c r="N745" s="1465"/>
      <c r="O745" s="1465"/>
      <c r="P745" s="1465"/>
      <c r="Q745" s="1465"/>
      <c r="R745" s="1465"/>
      <c r="S745" s="1465"/>
      <c r="T745" s="1465"/>
      <c r="U745" s="1465"/>
    </row>
    <row r="746" spans="1:21" ht="18.75" x14ac:dyDescent="0.25">
      <c r="A746" s="1484"/>
      <c r="B746" s="1485"/>
      <c r="C746" s="1485"/>
      <c r="D746" s="1485"/>
      <c r="E746" s="1485"/>
      <c r="F746" s="1597" t="s">
        <v>337</v>
      </c>
      <c r="G746" s="1487"/>
      <c r="H746" s="1474" t="s">
        <v>35</v>
      </c>
      <c r="I746" s="1598">
        <f ca="1">IFERROR(__xludf.DUMMYFUNCTION("IMPORTRANGE(""https://docs.google.com/spreadsheets/d/1eHaY18a8A9IcSdp1K8H6x8fbOy06t2VsZHhMHf-1x7Y/edit?usp=sharing"",""แผน!GE29"")"),25)</f>
        <v>25</v>
      </c>
      <c r="J746" s="1599">
        <v>27</v>
      </c>
      <c r="K746" s="1476">
        <f ca="1">IF(I746&gt;0,J746*100/I746,0)</f>
        <v>108</v>
      </c>
      <c r="L746" s="1600"/>
      <c r="M746" s="1465"/>
      <c r="N746" s="1465"/>
      <c r="O746" s="1465"/>
      <c r="P746" s="1465"/>
      <c r="Q746" s="1465"/>
      <c r="R746" s="1465"/>
      <c r="S746" s="1465"/>
      <c r="T746" s="1465"/>
      <c r="U746" s="1465"/>
    </row>
    <row r="747" spans="1:21" ht="18.75" x14ac:dyDescent="0.25">
      <c r="A747" s="1484"/>
      <c r="B747" s="1485"/>
      <c r="C747" s="1485"/>
      <c r="D747" s="1485"/>
      <c r="E747" s="1597" t="s">
        <v>277</v>
      </c>
      <c r="F747" s="1602"/>
      <c r="G747" s="1487"/>
      <c r="H747" s="1601"/>
      <c r="I747" s="1464"/>
      <c r="J747" s="1464"/>
      <c r="K747" s="1465"/>
      <c r="L747" s="1600"/>
      <c r="M747" s="1465"/>
      <c r="N747" s="1465"/>
      <c r="O747" s="1465"/>
      <c r="P747" s="1465"/>
      <c r="Q747" s="1465"/>
      <c r="R747" s="1465"/>
      <c r="S747" s="1465"/>
      <c r="T747" s="1465"/>
      <c r="U747" s="1465"/>
    </row>
    <row r="748" spans="1:21" ht="18.75" x14ac:dyDescent="0.25">
      <c r="A748" s="1484"/>
      <c r="B748" s="1485"/>
      <c r="C748" s="1485"/>
      <c r="D748" s="1485"/>
      <c r="E748" s="1485"/>
      <c r="F748" s="1597" t="s">
        <v>338</v>
      </c>
      <c r="G748" s="1487"/>
      <c r="H748" s="1474" t="s">
        <v>35</v>
      </c>
      <c r="I748" s="1464"/>
      <c r="J748" s="1599">
        <v>0</v>
      </c>
      <c r="K748" s="1465"/>
      <c r="L748" s="1600"/>
      <c r="M748" s="1465"/>
      <c r="N748" s="1465"/>
      <c r="O748" s="1465"/>
      <c r="P748" s="1465"/>
      <c r="Q748" s="1465"/>
      <c r="R748" s="1465"/>
      <c r="S748" s="1465"/>
      <c r="T748" s="1465"/>
      <c r="U748" s="1465"/>
    </row>
    <row r="749" spans="1:21" ht="18.75" x14ac:dyDescent="0.25">
      <c r="A749" s="1484"/>
      <c r="B749" s="1485"/>
      <c r="C749" s="1485"/>
      <c r="D749" s="1485"/>
      <c r="E749" s="1485"/>
      <c r="F749" s="1597" t="s">
        <v>339</v>
      </c>
      <c r="G749" s="1487"/>
      <c r="H749" s="1474" t="s">
        <v>35</v>
      </c>
      <c r="I749" s="1598">
        <f ca="1">IFERROR(__xludf.DUMMYFUNCTION("IMPORTRANGE(""https://docs.google.com/spreadsheets/d/1eHaY18a8A9IcSdp1K8H6x8fbOy06t2VsZHhMHf-1x7Y/edit?usp=sharing"",""แผน!GF29"")"),3)</f>
        <v>3</v>
      </c>
      <c r="J749" s="1599">
        <v>0</v>
      </c>
      <c r="K749" s="1476">
        <f ca="1">IF(I749&gt;0,J749*100/I749,0)</f>
        <v>0</v>
      </c>
      <c r="L749" s="1600"/>
      <c r="M749" s="1465"/>
      <c r="N749" s="1465"/>
      <c r="O749" s="1465"/>
      <c r="P749" s="1465"/>
      <c r="Q749" s="1465"/>
      <c r="R749" s="1465"/>
      <c r="S749" s="1465"/>
      <c r="T749" s="1465"/>
      <c r="U749" s="1465"/>
    </row>
    <row r="750" spans="1:21" ht="19.5" x14ac:dyDescent="0.3">
      <c r="A750" s="1484"/>
      <c r="B750" s="1485"/>
      <c r="C750" s="1485"/>
      <c r="D750" s="1603" t="s">
        <v>50</v>
      </c>
      <c r="E750" s="1485"/>
      <c r="F750" s="1602"/>
      <c r="G750" s="1487"/>
      <c r="H750" s="1601"/>
      <c r="I750" s="1464"/>
      <c r="J750" s="1464"/>
      <c r="K750" s="1465"/>
      <c r="L750" s="1600"/>
      <c r="M750" s="1465"/>
      <c r="N750" s="1465"/>
      <c r="O750" s="1465"/>
      <c r="P750" s="1465"/>
      <c r="Q750" s="1465"/>
      <c r="R750" s="1465"/>
      <c r="S750" s="1465"/>
      <c r="T750" s="1465"/>
      <c r="U750" s="1465"/>
    </row>
    <row r="751" spans="1:21" ht="18.75" x14ac:dyDescent="0.25">
      <c r="A751" s="1484"/>
      <c r="B751" s="1485"/>
      <c r="C751" s="1485"/>
      <c r="D751" s="1485"/>
      <c r="E751" s="1597" t="s">
        <v>270</v>
      </c>
      <c r="F751" s="1602"/>
      <c r="G751" s="1487"/>
      <c r="H751" s="1601"/>
      <c r="I751" s="1464"/>
      <c r="J751" s="1464"/>
      <c r="K751" s="1465"/>
      <c r="L751" s="1600"/>
      <c r="M751" s="1465"/>
      <c r="N751" s="1465"/>
      <c r="O751" s="1465"/>
      <c r="P751" s="1465"/>
      <c r="Q751" s="1465"/>
      <c r="R751" s="1465"/>
      <c r="S751" s="1465"/>
      <c r="T751" s="1465"/>
      <c r="U751" s="1465"/>
    </row>
    <row r="752" spans="1:21" ht="18.75" x14ac:dyDescent="0.25">
      <c r="A752" s="1484"/>
      <c r="B752" s="1485"/>
      <c r="C752" s="1485"/>
      <c r="D752" s="1485"/>
      <c r="E752" s="1485"/>
      <c r="F752" s="1604" t="s">
        <v>340</v>
      </c>
      <c r="G752" s="1487"/>
      <c r="H752" s="1474" t="s">
        <v>46</v>
      </c>
      <c r="I752" s="1598">
        <f ca="1">IFERROR(__xludf.DUMMYFUNCTION("IMPORTRANGE(""https://docs.google.com/spreadsheets/d/1eHaY18a8A9IcSdp1K8H6x8fbOy06t2VsZHhMHf-1x7Y/edit?usp=sharing"",""แผน!GB29"")"),1000)</f>
        <v>1000</v>
      </c>
      <c r="J752" s="1599">
        <v>0</v>
      </c>
      <c r="K752" s="1476">
        <f ca="1">IF(I752&gt;0,J752*100/I752,0)</f>
        <v>0</v>
      </c>
      <c r="L752" s="1600"/>
      <c r="M752" s="1465"/>
      <c r="N752" s="1465"/>
      <c r="O752" s="1465"/>
      <c r="P752" s="1465"/>
      <c r="Q752" s="1465"/>
      <c r="R752" s="1465"/>
      <c r="S752" s="1465"/>
      <c r="T752" s="1465"/>
      <c r="U752" s="1465"/>
    </row>
    <row r="753" spans="1:21" ht="18.75" x14ac:dyDescent="0.25">
      <c r="A753" s="1484"/>
      <c r="B753" s="1485"/>
      <c r="C753" s="1485"/>
      <c r="D753" s="1485"/>
      <c r="E753" s="1485"/>
      <c r="F753" s="1604" t="s">
        <v>341</v>
      </c>
      <c r="G753" s="1487"/>
      <c r="H753" s="1474" t="s">
        <v>46</v>
      </c>
      <c r="I753" s="1464"/>
      <c r="J753" s="1599">
        <v>0</v>
      </c>
      <c r="K753" s="1465"/>
      <c r="L753" s="1600"/>
      <c r="M753" s="1465"/>
      <c r="N753" s="1465"/>
      <c r="O753" s="1465"/>
      <c r="P753" s="1465"/>
      <c r="Q753" s="1465"/>
      <c r="R753" s="1465"/>
      <c r="S753" s="1465"/>
      <c r="T753" s="1465"/>
      <c r="U753" s="1465"/>
    </row>
    <row r="754" spans="1:21" ht="18.75" x14ac:dyDescent="0.25">
      <c r="A754" s="1484"/>
      <c r="B754" s="1485"/>
      <c r="C754" s="1485"/>
      <c r="D754" s="1485"/>
      <c r="E754" s="1597" t="s">
        <v>274</v>
      </c>
      <c r="F754" s="1602"/>
      <c r="G754" s="1487"/>
      <c r="H754" s="1601"/>
      <c r="I754" s="1464"/>
      <c r="J754" s="1464"/>
      <c r="K754" s="1465"/>
      <c r="L754" s="1600"/>
      <c r="M754" s="1465"/>
      <c r="N754" s="1465"/>
      <c r="O754" s="1465"/>
      <c r="P754" s="1465"/>
      <c r="Q754" s="1465"/>
      <c r="R754" s="1465"/>
      <c r="S754" s="1465"/>
      <c r="T754" s="1465"/>
      <c r="U754" s="1465"/>
    </row>
    <row r="755" spans="1:21" ht="18.75" x14ac:dyDescent="0.25">
      <c r="A755" s="1484"/>
      <c r="B755" s="1485"/>
      <c r="C755" s="1485"/>
      <c r="D755" s="1485"/>
      <c r="E755" s="1602"/>
      <c r="F755" s="1604" t="s">
        <v>342</v>
      </c>
      <c r="G755" s="1487"/>
      <c r="H755" s="1474" t="s">
        <v>46</v>
      </c>
      <c r="I755" s="1598">
        <f ca="1">IFERROR(__xludf.DUMMYFUNCTION("IMPORTRANGE(""https://docs.google.com/spreadsheets/d/1eHaY18a8A9IcSdp1K8H6x8fbOy06t2VsZHhMHf-1x7Y/edit?usp=sharing"",""แผน!GD29"")"),250)</f>
        <v>250</v>
      </c>
      <c r="J755" s="1599">
        <v>0</v>
      </c>
      <c r="K755" s="1476">
        <f ca="1">IF(I755&gt;0,J755*100/I755,0)</f>
        <v>0</v>
      </c>
      <c r="L755" s="1600"/>
      <c r="M755" s="1465"/>
      <c r="N755" s="1465"/>
      <c r="O755" s="1465"/>
      <c r="P755" s="1465"/>
      <c r="Q755" s="1465"/>
      <c r="R755" s="1465"/>
      <c r="S755" s="1465"/>
      <c r="T755" s="1465"/>
      <c r="U755" s="1465"/>
    </row>
    <row r="756" spans="1:21" ht="18.75" x14ac:dyDescent="0.25">
      <c r="A756" s="1484"/>
      <c r="B756" s="1485"/>
      <c r="C756" s="1485"/>
      <c r="D756" s="1485"/>
      <c r="E756" s="1602"/>
      <c r="F756" s="1604" t="s">
        <v>343</v>
      </c>
      <c r="G756" s="1487"/>
      <c r="H756" s="1474" t="s">
        <v>46</v>
      </c>
      <c r="I756" s="1464"/>
      <c r="J756" s="1599">
        <v>0</v>
      </c>
      <c r="K756" s="1465"/>
      <c r="L756" s="1600"/>
      <c r="M756" s="1465"/>
      <c r="N756" s="1465"/>
      <c r="O756" s="1465"/>
      <c r="P756" s="1465"/>
      <c r="Q756" s="1465"/>
      <c r="R756" s="1465"/>
      <c r="S756" s="1465"/>
      <c r="T756" s="1465"/>
      <c r="U756" s="1465"/>
    </row>
    <row r="757" spans="1:21" ht="18.75" x14ac:dyDescent="0.25">
      <c r="A757" s="431"/>
      <c r="B757" s="431"/>
      <c r="C757" s="431"/>
      <c r="D757" s="431"/>
      <c r="E757" s="432" t="s">
        <v>284</v>
      </c>
      <c r="F757" s="433"/>
      <c r="G757" s="434"/>
      <c r="H757" s="435" t="s">
        <v>35</v>
      </c>
      <c r="I757" s="436"/>
      <c r="J757" s="437">
        <v>0</v>
      </c>
      <c r="K757" s="438"/>
      <c r="L757" s="438"/>
      <c r="M757" s="438"/>
      <c r="N757" s="438"/>
      <c r="O757" s="438"/>
      <c r="P757" s="438"/>
      <c r="Q757" s="438"/>
      <c r="R757" s="438"/>
      <c r="S757" s="438"/>
      <c r="T757" s="438"/>
      <c r="U757" s="438"/>
    </row>
    <row r="758" spans="1:21" ht="19.5" x14ac:dyDescent="0.3">
      <c r="A758" s="387"/>
      <c r="B758" s="388" t="s">
        <v>285</v>
      </c>
      <c r="C758" s="387"/>
      <c r="D758" s="389"/>
      <c r="E758" s="389"/>
      <c r="F758" s="389"/>
      <c r="G758" s="390"/>
      <c r="H758" s="427" t="s">
        <v>35</v>
      </c>
      <c r="I758" s="1596">
        <f ca="1">I772</f>
        <v>50</v>
      </c>
      <c r="J758" s="1596">
        <f>J772</f>
        <v>50</v>
      </c>
      <c r="K758" s="1593">
        <f ca="1">IF(I758&gt;0,J758*100/I758,0)</f>
        <v>100</v>
      </c>
      <c r="L758" s="1581"/>
      <c r="M758" s="393"/>
      <c r="N758" s="393"/>
      <c r="O758" s="393"/>
      <c r="P758" s="393"/>
      <c r="Q758" s="393"/>
      <c r="R758" s="393"/>
      <c r="S758" s="393"/>
      <c r="T758" s="393"/>
      <c r="U758" s="393"/>
    </row>
    <row r="759" spans="1:21" ht="19.5" x14ac:dyDescent="0.3">
      <c r="A759" s="429"/>
      <c r="B759" s="387"/>
      <c r="C759" s="387"/>
      <c r="D759" s="389"/>
      <c r="E759" s="389"/>
      <c r="F759" s="389"/>
      <c r="G759" s="390"/>
      <c r="H759" s="427" t="s">
        <v>46</v>
      </c>
      <c r="I759" s="1596">
        <f ca="1">I774</f>
        <v>100</v>
      </c>
      <c r="J759" s="1596">
        <f>J774</f>
        <v>100</v>
      </c>
      <c r="K759" s="1593">
        <f ca="1">IF(I759&gt;0,J759*100/I759,0)</f>
        <v>100</v>
      </c>
      <c r="L759" s="1581"/>
      <c r="M759" s="393"/>
      <c r="N759" s="393"/>
      <c r="O759" s="393"/>
      <c r="P759" s="393"/>
      <c r="Q759" s="393"/>
      <c r="R759" s="393"/>
      <c r="S759" s="393"/>
      <c r="T759" s="393"/>
      <c r="U759" s="393"/>
    </row>
    <row r="760" spans="1:21" ht="19.5" x14ac:dyDescent="0.3">
      <c r="A760" s="128"/>
      <c r="B760" s="158"/>
      <c r="C760" s="177" t="s">
        <v>18</v>
      </c>
      <c r="D760" s="1585" t="s">
        <v>19</v>
      </c>
      <c r="E760" s="1285"/>
      <c r="F760" s="1285"/>
      <c r="G760" s="1286"/>
      <c r="H760" s="221" t="s">
        <v>14</v>
      </c>
      <c r="I760" s="44"/>
      <c r="J760" s="44"/>
      <c r="K760" s="45"/>
      <c r="L760" s="1389">
        <f>L761+L762</f>
        <v>0</v>
      </c>
      <c r="M760" s="1390">
        <f>M761+M762</f>
        <v>0</v>
      </c>
      <c r="N760" s="1390">
        <f>N761+N762</f>
        <v>0</v>
      </c>
      <c r="O760" s="1390">
        <f>IF(L760&gt;0,N760*100/L760,0)</f>
        <v>0</v>
      </c>
      <c r="P760" s="1390">
        <f>IF(M760&gt;0,N760*100/M760,0)</f>
        <v>0</v>
      </c>
      <c r="Q760" s="1390">
        <f ca="1">Q761+Q762</f>
        <v>398800</v>
      </c>
      <c r="R760" s="1390">
        <f ca="1">R761+R762</f>
        <v>398800</v>
      </c>
      <c r="S760" s="1390">
        <f ca="1">S761+S762</f>
        <v>107920.5</v>
      </c>
      <c r="T760" s="1390">
        <f ca="1">IF(Q760&gt;0,S760*100/Q760,0)</f>
        <v>27.061308926780342</v>
      </c>
      <c r="U760" s="1390">
        <f ca="1">IF(R760&gt;0,S760*100/R760,0)</f>
        <v>27.061308926780342</v>
      </c>
    </row>
    <row r="761" spans="1:21" ht="18.75" x14ac:dyDescent="0.25">
      <c r="A761" s="128"/>
      <c r="B761" s="158"/>
      <c r="C761" s="158"/>
      <c r="D761" s="145"/>
      <c r="E761" s="156" t="s">
        <v>158</v>
      </c>
      <c r="F761" s="40"/>
      <c r="G761" s="42"/>
      <c r="H761" s="159" t="s">
        <v>14</v>
      </c>
      <c r="I761" s="44"/>
      <c r="J761" s="44"/>
      <c r="K761" s="45"/>
      <c r="L761" s="1358">
        <f>L764+L767</f>
        <v>0</v>
      </c>
      <c r="M761" s="83">
        <f>M764+M767</f>
        <v>0</v>
      </c>
      <c r="N761" s="83">
        <f>N764+N767</f>
        <v>0</v>
      </c>
      <c r="O761" s="83">
        <f>IF(L761&gt;0,N761*100/L761,0)</f>
        <v>0</v>
      </c>
      <c r="P761" s="83">
        <f>IF(M761&gt;0,N761*100/M761,0)</f>
        <v>0</v>
      </c>
      <c r="Q761" s="83">
        <f>Q764+Q767</f>
        <v>0</v>
      </c>
      <c r="R761" s="83">
        <f>R764+R767</f>
        <v>0</v>
      </c>
      <c r="S761" s="83">
        <f>S764+S767</f>
        <v>0</v>
      </c>
      <c r="T761" s="83">
        <f>IF(Q761&gt;0,S761*100/Q761,0)</f>
        <v>0</v>
      </c>
      <c r="U761" s="83">
        <f>IF(R761&gt;0,S761*100/R761,0)</f>
        <v>0</v>
      </c>
    </row>
    <row r="762" spans="1:21" ht="18.75" x14ac:dyDescent="0.25">
      <c r="A762" s="128"/>
      <c r="B762" s="158"/>
      <c r="C762" s="174"/>
      <c r="D762" s="145"/>
      <c r="E762" s="47" t="s">
        <v>159</v>
      </c>
      <c r="F762" s="40"/>
      <c r="G762" s="42"/>
      <c r="H762" s="134" t="s">
        <v>14</v>
      </c>
      <c r="I762" s="44"/>
      <c r="J762" s="44"/>
      <c r="K762" s="45"/>
      <c r="L762" s="1356">
        <f>L765+L768</f>
        <v>0</v>
      </c>
      <c r="M762" s="224">
        <f>M765+M768</f>
        <v>0</v>
      </c>
      <c r="N762" s="224">
        <f>N765+N768</f>
        <v>0</v>
      </c>
      <c r="O762" s="224">
        <f>IF(L762&gt;0,N762*100/L762,0)</f>
        <v>0</v>
      </c>
      <c r="P762" s="224">
        <f>IF(M762&gt;0,N762*100/M762,0)</f>
        <v>0</v>
      </c>
      <c r="Q762" s="224">
        <f ca="1">Q765+Q768</f>
        <v>398800</v>
      </c>
      <c r="R762" s="224">
        <f ca="1">R765+R768</f>
        <v>398800</v>
      </c>
      <c r="S762" s="224">
        <f ca="1">S765+S768</f>
        <v>107920.5</v>
      </c>
      <c r="T762" s="224">
        <f ca="1">IF(Q762&gt;0,S762*100/Q762,0)</f>
        <v>27.061308926780342</v>
      </c>
      <c r="U762" s="224">
        <f ca="1">IF(R762&gt;0,S762*100/R762,0)</f>
        <v>27.061308926780342</v>
      </c>
    </row>
    <row r="763" spans="1:21" ht="18.75" x14ac:dyDescent="0.25">
      <c r="A763" s="128"/>
      <c r="B763" s="158"/>
      <c r="C763" s="174"/>
      <c r="D763" s="41" t="s">
        <v>22</v>
      </c>
      <c r="E763" s="40"/>
      <c r="F763" s="40"/>
      <c r="G763" s="42"/>
      <c r="H763" s="134" t="s">
        <v>14</v>
      </c>
      <c r="I763" s="135"/>
      <c r="J763" s="135"/>
      <c r="K763" s="136"/>
      <c r="L763" s="1356">
        <f>L764+L765</f>
        <v>0</v>
      </c>
      <c r="M763" s="224">
        <f>M764+M765</f>
        <v>0</v>
      </c>
      <c r="N763" s="224">
        <f>N764+N765</f>
        <v>0</v>
      </c>
      <c r="O763" s="224">
        <f>IF(L763&gt;0,N763*100/L763,0)</f>
        <v>0</v>
      </c>
      <c r="P763" s="224">
        <f>IF(M763&gt;0,N763*100/M763,0)</f>
        <v>0</v>
      </c>
      <c r="Q763" s="224">
        <f ca="1">Q764+Q765</f>
        <v>398800</v>
      </c>
      <c r="R763" s="224">
        <f ca="1">R764+R765</f>
        <v>398800</v>
      </c>
      <c r="S763" s="224">
        <f ca="1">S764+S765</f>
        <v>107920.5</v>
      </c>
      <c r="T763" s="224">
        <f ca="1">IF(Q763&gt;0,S763*100/Q763,0)</f>
        <v>27.061308926780342</v>
      </c>
      <c r="U763" s="224">
        <f ca="1">IF(R763&gt;0,S763*100/R763,0)</f>
        <v>27.061308926780342</v>
      </c>
    </row>
    <row r="764" spans="1:21" ht="18.75" x14ac:dyDescent="0.25">
      <c r="A764" s="128"/>
      <c r="B764" s="158"/>
      <c r="C764" s="174"/>
      <c r="D764" s="145"/>
      <c r="E764" s="156" t="s">
        <v>158</v>
      </c>
      <c r="F764" s="40"/>
      <c r="G764" s="42"/>
      <c r="H764" s="159" t="s">
        <v>14</v>
      </c>
      <c r="I764" s="44"/>
      <c r="J764" s="44"/>
      <c r="K764" s="45"/>
      <c r="L764" s="1358">
        <v>0</v>
      </c>
      <c r="M764" s="83">
        <v>0</v>
      </c>
      <c r="N764" s="83">
        <v>0</v>
      </c>
      <c r="O764" s="83">
        <f>IF(L764&gt;0,N764*100/L764,0)</f>
        <v>0</v>
      </c>
      <c r="P764" s="83">
        <f>IF(M764&gt;0,N764*100/M764,0)</f>
        <v>0</v>
      </c>
      <c r="Q764" s="83">
        <v>0</v>
      </c>
      <c r="R764" s="83">
        <v>0</v>
      </c>
      <c r="S764" s="83">
        <v>0</v>
      </c>
      <c r="T764" s="83">
        <f>IF(Q764&gt;0,S764*100/Q764,0)</f>
        <v>0</v>
      </c>
      <c r="U764" s="83">
        <f>IF(R764&gt;0,S764*100/R764,0)</f>
        <v>0</v>
      </c>
    </row>
    <row r="765" spans="1:21" ht="18.75" x14ac:dyDescent="0.25">
      <c r="A765" s="128"/>
      <c r="B765" s="158"/>
      <c r="C765" s="174"/>
      <c r="D765" s="145"/>
      <c r="E765" s="47" t="s">
        <v>159</v>
      </c>
      <c r="F765" s="40"/>
      <c r="G765" s="42"/>
      <c r="H765" s="134" t="s">
        <v>14</v>
      </c>
      <c r="I765" s="44"/>
      <c r="J765" s="44"/>
      <c r="K765" s="45"/>
      <c r="L765" s="1356">
        <v>0</v>
      </c>
      <c r="M765" s="224">
        <v>0</v>
      </c>
      <c r="N765" s="224">
        <v>0</v>
      </c>
      <c r="O765" s="224">
        <f>IF(L765&gt;0,N765*100/L765,0)</f>
        <v>0</v>
      </c>
      <c r="P765" s="224">
        <f>IF(M765&gt;0,N765*100/M765,0)</f>
        <v>0</v>
      </c>
      <c r="Q765" s="224">
        <f ca="1">IFERROR(__xludf.DUMMYFUNCTION("IMPORTRANGE(""https://docs.google.com/spreadsheets/d/1ItG2mGa2ceCfYo0BwxsXqNm01IGEUdYcSSLTEv9YCik/edit?usp=sharing"",""เบิกจ่ายกองทุน!AA29"")"),398800)</f>
        <v>398800</v>
      </c>
      <c r="R765" s="224">
        <f ca="1">IFERROR(__xludf.DUMMYFUNCTION("IMPORTRANGE(""https://docs.google.com/spreadsheets/d/1ItG2mGa2ceCfYo0BwxsXqNm01IGEUdYcSSLTEv9YCik/edit?usp=sharing"",""เบิกจ่ายกองทุน!AB29"")"),398800)</f>
        <v>398800</v>
      </c>
      <c r="S765" s="224">
        <f ca="1">IFERROR(__xludf.DUMMYFUNCTION("IMPORTRANGE(""https://docs.google.com/spreadsheets/d/1ItG2mGa2ceCfYo0BwxsXqNm01IGEUdYcSSLTEv9YCik/edit?usp=sharing"",""เบิกจ่ายกองทุน!AC29"")"),107920.5)</f>
        <v>107920.5</v>
      </c>
      <c r="T765" s="224">
        <f ca="1">IF(Q765&gt;0,S765*100/Q765,0)</f>
        <v>27.061308926780342</v>
      </c>
      <c r="U765" s="224">
        <f ca="1">IF(R765&gt;0,S765*100/R765,0)</f>
        <v>27.061308926780342</v>
      </c>
    </row>
    <row r="766" spans="1:21" ht="18.75" x14ac:dyDescent="0.25">
      <c r="A766" s="128"/>
      <c r="B766" s="158"/>
      <c r="C766" s="158"/>
      <c r="D766" s="41" t="s">
        <v>23</v>
      </c>
      <c r="E766" s="158"/>
      <c r="F766" s="40"/>
      <c r="G766" s="42"/>
      <c r="H766" s="137" t="s">
        <v>14</v>
      </c>
      <c r="I766" s="135"/>
      <c r="J766" s="135"/>
      <c r="K766" s="136"/>
      <c r="L766" s="1356">
        <f>L767+L768</f>
        <v>0</v>
      </c>
      <c r="M766" s="224">
        <f>M767+M768</f>
        <v>0</v>
      </c>
      <c r="N766" s="224">
        <f>N767+N768</f>
        <v>0</v>
      </c>
      <c r="O766" s="224">
        <f>IF(L766&gt;0,N766*100/L766,0)</f>
        <v>0</v>
      </c>
      <c r="P766" s="224">
        <f>IF(M766&gt;0,N766*100/M766,0)</f>
        <v>0</v>
      </c>
      <c r="Q766" s="224">
        <f>Q767+Q768</f>
        <v>0</v>
      </c>
      <c r="R766" s="224">
        <f>R767+R768</f>
        <v>0</v>
      </c>
      <c r="S766" s="224">
        <f>S767+S768</f>
        <v>0</v>
      </c>
      <c r="T766" s="224">
        <f>IF(Q766&gt;0,S766*100/Q766,0)</f>
        <v>0</v>
      </c>
      <c r="U766" s="224">
        <f>IF(R766&gt;0,S766*100/R766,0)</f>
        <v>0</v>
      </c>
    </row>
    <row r="767" spans="1:21" ht="18.75" x14ac:dyDescent="0.25">
      <c r="A767" s="128"/>
      <c r="B767" s="158"/>
      <c r="C767" s="158"/>
      <c r="D767" s="158"/>
      <c r="E767" s="314" t="s">
        <v>20</v>
      </c>
      <c r="F767" s="40"/>
      <c r="G767" s="42"/>
      <c r="H767" s="159" t="s">
        <v>14</v>
      </c>
      <c r="I767" s="135"/>
      <c r="J767" s="135"/>
      <c r="K767" s="136"/>
      <c r="L767" s="1358">
        <v>0</v>
      </c>
      <c r="M767" s="83">
        <v>0</v>
      </c>
      <c r="N767" s="83">
        <v>0</v>
      </c>
      <c r="O767" s="83">
        <f>IF(L767&gt;0,N767*100/L767,0)</f>
        <v>0</v>
      </c>
      <c r="P767" s="83">
        <f>IF(M767&gt;0,N767*100/M767,0)</f>
        <v>0</v>
      </c>
      <c r="Q767" s="83">
        <v>0</v>
      </c>
      <c r="R767" s="83">
        <v>0</v>
      </c>
      <c r="S767" s="83">
        <v>0</v>
      </c>
      <c r="T767" s="83">
        <f>IF(Q767&gt;0,S767*100/Q767,0)</f>
        <v>0</v>
      </c>
      <c r="U767" s="83">
        <f>IF(R767&gt;0,S767*100/R767,0)</f>
        <v>0</v>
      </c>
    </row>
    <row r="768" spans="1:21" ht="18.75" x14ac:dyDescent="0.25">
      <c r="A768" s="128"/>
      <c r="B768" s="158"/>
      <c r="C768" s="158"/>
      <c r="D768" s="158"/>
      <c r="E768" s="209" t="s">
        <v>21</v>
      </c>
      <c r="F768" s="40"/>
      <c r="G768" s="42"/>
      <c r="H768" s="137" t="s">
        <v>14</v>
      </c>
      <c r="I768" s="135"/>
      <c r="J768" s="135"/>
      <c r="K768" s="136"/>
      <c r="L768" s="1356">
        <v>0</v>
      </c>
      <c r="M768" s="224">
        <v>0</v>
      </c>
      <c r="N768" s="224">
        <v>0</v>
      </c>
      <c r="O768" s="224">
        <f>IF(L768&gt;0,N768*100/L768,0)</f>
        <v>0</v>
      </c>
      <c r="P768" s="224">
        <f>IF(M768&gt;0,N768*100/M768,0)</f>
        <v>0</v>
      </c>
      <c r="Q768" s="224">
        <v>0</v>
      </c>
      <c r="R768" s="224">
        <v>0</v>
      </c>
      <c r="S768" s="224">
        <v>0</v>
      </c>
      <c r="T768" s="224">
        <f>IF(Q768&gt;0,S768*100/Q768,0)</f>
        <v>0</v>
      </c>
      <c r="U768" s="224">
        <f>IF(R768&gt;0,S768*100/R768,0)</f>
        <v>0</v>
      </c>
    </row>
    <row r="769" spans="1:21" ht="19.5" x14ac:dyDescent="0.3">
      <c r="A769" s="138"/>
      <c r="B769" s="139"/>
      <c r="C769" s="439" t="s">
        <v>18</v>
      </c>
      <c r="D769" s="1586" t="s">
        <v>38</v>
      </c>
      <c r="E769" s="203"/>
      <c r="F769" s="141"/>
      <c r="G769" s="142"/>
      <c r="H769" s="178"/>
      <c r="I769" s="44"/>
      <c r="J769" s="44"/>
      <c r="K769" s="45"/>
      <c r="L769" s="1359"/>
      <c r="M769" s="45"/>
      <c r="N769" s="45"/>
      <c r="O769" s="45"/>
      <c r="P769" s="45"/>
      <c r="Q769" s="45"/>
      <c r="R769" s="45"/>
      <c r="S769" s="45"/>
      <c r="T769" s="45"/>
      <c r="U769" s="45"/>
    </row>
    <row r="770" spans="1:21" ht="18.75" x14ac:dyDescent="0.25">
      <c r="A770" s="138"/>
      <c r="B770" s="139"/>
      <c r="C770" s="139"/>
      <c r="D770" s="379" t="s">
        <v>286</v>
      </c>
      <c r="E770" s="139"/>
      <c r="F770" s="145"/>
      <c r="G770" s="143"/>
      <c r="H770" s="378" t="s">
        <v>35</v>
      </c>
      <c r="I770" s="423">
        <f ca="1">IFERROR(__xludf.DUMMYFUNCTION("IMPORTRANGE(""https://docs.google.com/spreadsheets/d/1eHaY18a8A9IcSdp1K8H6x8fbOy06t2VsZHhMHf-1x7Y/edit?usp=sharing"",""แผน!FI29"")"),0)</f>
        <v>0</v>
      </c>
      <c r="J770" s="423">
        <v>0</v>
      </c>
      <c r="K770" s="83">
        <f ca="1">IF(I770&gt;0,J770*100/I770,0)</f>
        <v>0</v>
      </c>
      <c r="L770" s="1359"/>
      <c r="M770" s="45"/>
      <c r="N770" s="45"/>
      <c r="O770" s="45"/>
      <c r="P770" s="45"/>
      <c r="Q770" s="45"/>
      <c r="R770" s="45"/>
      <c r="S770" s="45"/>
      <c r="T770" s="45"/>
      <c r="U770" s="45"/>
    </row>
    <row r="771" spans="1:21" ht="18.75" x14ac:dyDescent="0.25">
      <c r="A771" s="138"/>
      <c r="B771" s="139"/>
      <c r="C771" s="139"/>
      <c r="D771" s="379" t="s">
        <v>287</v>
      </c>
      <c r="E771" s="139"/>
      <c r="F771" s="145"/>
      <c r="G771" s="143"/>
      <c r="H771" s="178"/>
      <c r="I771" s="44"/>
      <c r="J771" s="44"/>
      <c r="K771" s="45"/>
      <c r="L771" s="1359"/>
      <c r="M771" s="45"/>
      <c r="N771" s="45"/>
      <c r="O771" s="45"/>
      <c r="P771" s="45"/>
      <c r="Q771" s="45"/>
      <c r="R771" s="45"/>
      <c r="S771" s="45"/>
      <c r="T771" s="45"/>
      <c r="U771" s="45"/>
    </row>
    <row r="772" spans="1:21" ht="18.75" x14ac:dyDescent="0.25">
      <c r="A772" s="138"/>
      <c r="B772" s="139"/>
      <c r="C772" s="139"/>
      <c r="D772" s="403" t="s">
        <v>288</v>
      </c>
      <c r="E772" s="139"/>
      <c r="F772" s="145"/>
      <c r="G772" s="143"/>
      <c r="H772" s="137" t="s">
        <v>35</v>
      </c>
      <c r="I772" s="184">
        <f ca="1">IFERROR(__xludf.DUMMYFUNCTION("IMPORTRANGE(""https://docs.google.com/spreadsheets/d/1eHaY18a8A9IcSdp1K8H6x8fbOy06t2VsZHhMHf-1x7Y/edit?usp=sharing"",""แผน!FQ29"")"),50)</f>
        <v>50</v>
      </c>
      <c r="J772" s="1395">
        <v>50</v>
      </c>
      <c r="K772" s="224">
        <f ca="1">IF(I772&gt;0,J772*100/I772,0)</f>
        <v>100</v>
      </c>
      <c r="L772" s="1359"/>
      <c r="M772" s="45"/>
      <c r="N772" s="45"/>
      <c r="O772" s="45"/>
      <c r="P772" s="45"/>
      <c r="Q772" s="45"/>
      <c r="R772" s="45"/>
      <c r="S772" s="45"/>
      <c r="T772" s="45"/>
      <c r="U772" s="45"/>
    </row>
    <row r="773" spans="1:21" ht="18.75" x14ac:dyDescent="0.25">
      <c r="A773" s="138"/>
      <c r="B773" s="139"/>
      <c r="C773" s="139"/>
      <c r="D773" s="403" t="s">
        <v>289</v>
      </c>
      <c r="E773" s="139"/>
      <c r="F773" s="145"/>
      <c r="G773" s="143"/>
      <c r="H773" s="178"/>
      <c r="I773" s="44"/>
      <c r="J773" s="44"/>
      <c r="K773" s="45"/>
      <c r="L773" s="1359"/>
      <c r="M773" s="45"/>
      <c r="N773" s="45"/>
      <c r="O773" s="45"/>
      <c r="P773" s="45"/>
      <c r="Q773" s="45"/>
      <c r="R773" s="45"/>
      <c r="S773" s="45"/>
      <c r="T773" s="45"/>
      <c r="U773" s="45"/>
    </row>
    <row r="774" spans="1:21" ht="18.75" x14ac:dyDescent="0.25">
      <c r="A774" s="138"/>
      <c r="B774" s="139"/>
      <c r="C774" s="139"/>
      <c r="D774" s="403" t="s">
        <v>290</v>
      </c>
      <c r="E774" s="139"/>
      <c r="F774" s="145"/>
      <c r="G774" s="143"/>
      <c r="H774" s="137" t="s">
        <v>46</v>
      </c>
      <c r="I774" s="184">
        <f ca="1">IFERROR(__xludf.DUMMYFUNCTION("IMPORTRANGE(""https://docs.google.com/spreadsheets/d/1eHaY18a8A9IcSdp1K8H6x8fbOy06t2VsZHhMHf-1x7Y/edit?usp=sharing"",""แผน!FR29"")"),100)</f>
        <v>100</v>
      </c>
      <c r="J774" s="1395">
        <v>100</v>
      </c>
      <c r="K774" s="224">
        <f ca="1">IF(I774&gt;0,J774*100/I774,0)</f>
        <v>100</v>
      </c>
      <c r="L774" s="1359"/>
      <c r="M774" s="45"/>
      <c r="N774" s="45"/>
      <c r="O774" s="45"/>
      <c r="P774" s="45"/>
      <c r="Q774" s="45"/>
      <c r="R774" s="45"/>
      <c r="S774" s="45"/>
      <c r="T774" s="45"/>
      <c r="U774" s="45"/>
    </row>
    <row r="775" spans="1:21" ht="18.75" x14ac:dyDescent="0.25">
      <c r="A775" s="138"/>
      <c r="B775" s="139"/>
      <c r="C775" s="139"/>
      <c r="D775" s="403" t="s">
        <v>50</v>
      </c>
      <c r="E775" s="145"/>
      <c r="F775" s="40"/>
      <c r="G775" s="42"/>
      <c r="H775" s="137" t="s">
        <v>46</v>
      </c>
      <c r="I775" s="184">
        <f ca="1">IFERROR(__xludf.DUMMYFUNCTION("IMPORTRANGE(""https://docs.google.com/spreadsheets/d/1eHaY18a8A9IcSdp1K8H6x8fbOy06t2VsZHhMHf-1x7Y/edit?usp=sharing"",""แผน!FS29"")"),100)</f>
        <v>100</v>
      </c>
      <c r="J775" s="1395">
        <v>0</v>
      </c>
      <c r="K775" s="45"/>
      <c r="L775" s="1359"/>
      <c r="M775" s="45"/>
      <c r="N775" s="45"/>
      <c r="O775" s="45"/>
      <c r="P775" s="45"/>
      <c r="Q775" s="45"/>
      <c r="R775" s="45"/>
      <c r="S775" s="45"/>
      <c r="T775" s="45"/>
      <c r="U775" s="45"/>
    </row>
    <row r="776" spans="1:21" ht="18.75" x14ac:dyDescent="0.25">
      <c r="A776" s="249"/>
      <c r="B776" s="250"/>
      <c r="C776" s="250"/>
      <c r="D776" s="250"/>
      <c r="E776" s="252"/>
      <c r="F776" s="252"/>
      <c r="G776" s="52"/>
      <c r="H776" s="186" t="s">
        <v>35</v>
      </c>
      <c r="I776" s="188">
        <f ca="1">IFERROR(__xludf.DUMMYFUNCTION("IMPORTRANGE(""https://docs.google.com/spreadsheets/d/1eHaY18a8A9IcSdp1K8H6x8fbOy06t2VsZHhMHf-1x7Y/edit?usp=sharing"",""แผน!FT29"")"),50)</f>
        <v>50</v>
      </c>
      <c r="J776" s="1541">
        <v>0</v>
      </c>
      <c r="K776" s="3"/>
      <c r="L776" s="1360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9.5" x14ac:dyDescent="0.3">
      <c r="A777" s="1605" t="s">
        <v>291</v>
      </c>
      <c r="B777" s="442"/>
      <c r="C777" s="442"/>
      <c r="D777" s="441"/>
      <c r="E777" s="442"/>
      <c r="F777" s="442"/>
      <c r="G777" s="443"/>
      <c r="H777" s="1606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45"/>
      <c r="J777" s="446"/>
      <c r="K777" s="447"/>
      <c r="L777" s="447"/>
      <c r="M777" s="447"/>
      <c r="N777" s="447"/>
      <c r="O777" s="447"/>
      <c r="P777" s="447"/>
      <c r="Q777" s="447"/>
      <c r="R777" s="447"/>
      <c r="S777" s="447"/>
      <c r="T777" s="447"/>
      <c r="U777" s="447"/>
    </row>
    <row r="778" spans="1:21" ht="18.75" x14ac:dyDescent="0.25">
      <c r="A778" s="39"/>
      <c r="B778" s="47" t="s">
        <v>292</v>
      </c>
      <c r="C778" s="40"/>
      <c r="D778" s="158"/>
      <c r="E778" s="40"/>
      <c r="F778" s="40"/>
      <c r="G778" s="42"/>
      <c r="H778" s="43" t="s">
        <v>14</v>
      </c>
      <c r="I778" s="184">
        <f ca="1">IFERROR(__xludf.DUMMYFUNCTION("IMPORTRANGE(""https://docs.google.com/spreadsheets/d/10OvvATaaLtwErnr3qtWFcTmtbfpFEt5Bsqel9sXx0uE/edit?usp=sharing"",""งานกองทุน!D29"")"),3157209.19)</f>
        <v>3157209.19</v>
      </c>
      <c r="J778" s="184">
        <f ca="1">IFERROR(__xludf.DUMMYFUNCTION("IMPORTRANGE(""https://docs.google.com/spreadsheets/d/10OvvATaaLtwErnr3qtWFcTmtbfpFEt5Bsqel9sXx0uE/edit?usp=sharing"",""งานกองทุน!F29"")"),1408416.58)</f>
        <v>1408416.58</v>
      </c>
      <c r="K778" s="224">
        <f ca="1">IF(I778&gt;0,J778*100/I778,0)</f>
        <v>44.60954264484451</v>
      </c>
      <c r="L778" s="45"/>
      <c r="M778" s="45"/>
      <c r="N778" s="45"/>
      <c r="O778" s="45"/>
      <c r="P778" s="45"/>
      <c r="Q778" s="45"/>
      <c r="R778" s="45"/>
      <c r="S778" s="45"/>
      <c r="T778" s="45"/>
      <c r="U778" s="45"/>
    </row>
    <row r="779" spans="1:21" ht="18.75" x14ac:dyDescent="0.25">
      <c r="A779" s="39"/>
      <c r="B779" s="40"/>
      <c r="C779" s="40"/>
      <c r="D779" s="158"/>
      <c r="E779" s="40"/>
      <c r="F779" s="40"/>
      <c r="G779" s="42"/>
      <c r="H779" s="43" t="s">
        <v>35</v>
      </c>
      <c r="I779" s="184">
        <f ca="1">IFERROR(__xludf.DUMMYFUNCTION("IMPORTRANGE(""https://docs.google.com/spreadsheets/d/10OvvATaaLtwErnr3qtWFcTmtbfpFEt5Bsqel9sXx0uE/edit?usp=sharing"",""งานกองทุน!C29"")"),136)</f>
        <v>136</v>
      </c>
      <c r="J779" s="184">
        <f ca="1">IFERROR(__xludf.DUMMYFUNCTION("IMPORTRANGE(""https://docs.google.com/spreadsheets/d/10OvvATaaLtwErnr3qtWFcTmtbfpFEt5Bsqel9sXx0uE/edit?usp=sharing"",""งานกองทุน!E29"")"),99)</f>
        <v>99</v>
      </c>
      <c r="K779" s="224">
        <f ca="1">IF(I779&gt;0,J779*100/I779,0)</f>
        <v>72.794117647058826</v>
      </c>
      <c r="L779" s="45"/>
      <c r="M779" s="45"/>
      <c r="N779" s="45"/>
      <c r="O779" s="45"/>
      <c r="P779" s="45"/>
      <c r="Q779" s="45"/>
      <c r="R779" s="45"/>
      <c r="S779" s="45"/>
      <c r="T779" s="45"/>
      <c r="U779" s="45"/>
    </row>
    <row r="780" spans="1:21" ht="18.75" x14ac:dyDescent="0.25">
      <c r="A780" s="39"/>
      <c r="B780" s="47" t="s">
        <v>293</v>
      </c>
      <c r="C780" s="40"/>
      <c r="D780" s="158"/>
      <c r="E780" s="40"/>
      <c r="F780" s="40"/>
      <c r="G780" s="42"/>
      <c r="H780" s="43" t="s">
        <v>14</v>
      </c>
      <c r="I780" s="184">
        <f ca="1">IFERROR(__xludf.DUMMYFUNCTION("IMPORTRANGE(""https://docs.google.com/spreadsheets/d/10OvvATaaLtwErnr3qtWFcTmtbfpFEt5Bsqel9sXx0uE/edit?usp=sharing"",""งานกองทุน!I29"")"),19061839.05)</f>
        <v>19061839.050000001</v>
      </c>
      <c r="J780" s="184">
        <f ca="1">IFERROR(__xludf.DUMMYFUNCTION("IMPORTRANGE(""https://docs.google.com/spreadsheets/d/10OvvATaaLtwErnr3qtWFcTmtbfpFEt5Bsqel9sXx0uE/edit?usp=sharing"",""งานกองทุน!K29"")"),886484.09)</f>
        <v>886484.09</v>
      </c>
      <c r="K780" s="224">
        <f ca="1">IF(I780&gt;0,J780*100/I780,0)</f>
        <v>4.6505695891918677</v>
      </c>
      <c r="L780" s="45"/>
      <c r="M780" s="45"/>
      <c r="N780" s="45"/>
      <c r="O780" s="45"/>
      <c r="P780" s="45"/>
      <c r="Q780" s="45"/>
      <c r="R780" s="45"/>
      <c r="S780" s="45"/>
      <c r="T780" s="45"/>
      <c r="U780" s="45"/>
    </row>
    <row r="781" spans="1:21" ht="18.75" x14ac:dyDescent="0.25">
      <c r="A781" s="39"/>
      <c r="B781" s="40"/>
      <c r="C781" s="40"/>
      <c r="D781" s="158"/>
      <c r="E781" s="40"/>
      <c r="F781" s="40"/>
      <c r="G781" s="42"/>
      <c r="H781" s="43" t="s">
        <v>35</v>
      </c>
      <c r="I781" s="184">
        <f ca="1">IFERROR(__xludf.DUMMYFUNCTION("IMPORTRANGE(""https://docs.google.com/spreadsheets/d/10OvvATaaLtwErnr3qtWFcTmtbfpFEt5Bsqel9sXx0uE/edit?usp=sharing"",""งานกองทุน!H29"")"),683)</f>
        <v>683</v>
      </c>
      <c r="J781" s="184">
        <f ca="1">IFERROR(__xludf.DUMMYFUNCTION("IMPORTRANGE(""https://docs.google.com/spreadsheets/d/10OvvATaaLtwErnr3qtWFcTmtbfpFEt5Bsqel9sXx0uE/edit?usp=sharing"",""งานกองทุน!J29"")"),179)</f>
        <v>179</v>
      </c>
      <c r="K781" s="224">
        <f ca="1">IF(I781&gt;0,J781*100/I781,0)</f>
        <v>26.207906295754025</v>
      </c>
      <c r="L781" s="45"/>
      <c r="M781" s="45"/>
      <c r="N781" s="45"/>
      <c r="O781" s="45"/>
      <c r="P781" s="45"/>
      <c r="Q781" s="45"/>
      <c r="R781" s="45"/>
      <c r="S781" s="45"/>
      <c r="T781" s="45"/>
      <c r="U781" s="45"/>
    </row>
    <row r="782" spans="1:21" ht="18.75" x14ac:dyDescent="0.25">
      <c r="A782" s="39"/>
      <c r="B782" s="47" t="s">
        <v>294</v>
      </c>
      <c r="C782" s="40"/>
      <c r="D782" s="158"/>
      <c r="E782" s="40"/>
      <c r="F782" s="40"/>
      <c r="G782" s="42"/>
      <c r="H782" s="43" t="s">
        <v>14</v>
      </c>
      <c r="I782" s="184">
        <f ca="1">IFERROR(__xludf.DUMMYFUNCTION("IMPORTRANGE(""https://docs.google.com/spreadsheets/d/10OvvATaaLtwErnr3qtWFcTmtbfpFEt5Bsqel9sXx0uE/edit?usp=sharing"",""งานกองทุน!N29"")"),1073177.07)</f>
        <v>1073177.07</v>
      </c>
      <c r="J782" s="184">
        <f ca="1">IFERROR(__xludf.DUMMYFUNCTION("IMPORTRANGE(""https://docs.google.com/spreadsheets/d/10OvvATaaLtwErnr3qtWFcTmtbfpFEt5Bsqel9sXx0uE/edit?usp=sharing"",""งานกองทุน!P29"")"),66085.45)</f>
        <v>66085.45</v>
      </c>
      <c r="K782" s="224">
        <f ca="1">IF(I782&gt;0,J782*100/I782,0)</f>
        <v>6.1579260168128638</v>
      </c>
      <c r="L782" s="45"/>
      <c r="M782" s="45"/>
      <c r="N782" s="45"/>
      <c r="O782" s="45"/>
      <c r="P782" s="45"/>
      <c r="Q782" s="45"/>
      <c r="R782" s="45"/>
      <c r="S782" s="45"/>
      <c r="T782" s="45"/>
      <c r="U782" s="45"/>
    </row>
    <row r="783" spans="1:21" ht="18.75" x14ac:dyDescent="0.25">
      <c r="A783" s="39"/>
      <c r="B783" s="40"/>
      <c r="C783" s="40"/>
      <c r="D783" s="158"/>
      <c r="E783" s="40"/>
      <c r="F783" s="40"/>
      <c r="G783" s="42"/>
      <c r="H783" s="43" t="s">
        <v>35</v>
      </c>
      <c r="I783" s="184">
        <f ca="1">IFERROR(__xludf.DUMMYFUNCTION("IMPORTRANGE(""https://docs.google.com/spreadsheets/d/10OvvATaaLtwErnr3qtWFcTmtbfpFEt5Bsqel9sXx0uE/edit?usp=sharing"",""งานกองทุน!M29"")"),63)</f>
        <v>63</v>
      </c>
      <c r="J783" s="184">
        <f ca="1">IFERROR(__xludf.DUMMYFUNCTION("IMPORTRANGE(""https://docs.google.com/spreadsheets/d/10OvvATaaLtwErnr3qtWFcTmtbfpFEt5Bsqel9sXx0uE/edit?usp=sharing"",""งานกองทุน!O29"")"),17)</f>
        <v>17</v>
      </c>
      <c r="K783" s="224">
        <f ca="1">IF(I783&gt;0,J783*100/I783,0)</f>
        <v>26.984126984126984</v>
      </c>
      <c r="L783" s="45"/>
      <c r="M783" s="45"/>
      <c r="N783" s="45"/>
      <c r="O783" s="45"/>
      <c r="P783" s="45"/>
      <c r="Q783" s="45"/>
      <c r="R783" s="45"/>
      <c r="S783" s="45"/>
      <c r="T783" s="45"/>
      <c r="U783" s="45"/>
    </row>
    <row r="784" spans="1:21" ht="18.75" x14ac:dyDescent="0.25">
      <c r="A784" s="39"/>
      <c r="B784" s="47" t="s">
        <v>295</v>
      </c>
      <c r="C784" s="40"/>
      <c r="D784" s="158"/>
      <c r="E784" s="40"/>
      <c r="F784" s="40"/>
      <c r="G784" s="42"/>
      <c r="H784" s="43" t="s">
        <v>14</v>
      </c>
      <c r="I784" s="184">
        <f ca="1">IFERROR(__xludf.DUMMYFUNCTION("IMPORTRANGE(""https://docs.google.com/spreadsheets/d/10OvvATaaLtwErnr3qtWFcTmtbfpFEt5Bsqel9sXx0uE/edit?usp=sharing"",""งานกองทุน!S29"")"),14980000)</f>
        <v>14980000</v>
      </c>
      <c r="J784" s="184">
        <f ca="1">IFERROR(__xludf.DUMMYFUNCTION("IMPORTRANGE(""https://docs.google.com/spreadsheets/d/10OvvATaaLtwErnr3qtWFcTmtbfpFEt5Bsqel9sXx0uE/edit?usp=sharing"",""งานกองทุน!U29"")"),4030000)</f>
        <v>4030000</v>
      </c>
      <c r="K784" s="224">
        <f ca="1">IF(I784&gt;0,J784*100/I784,0)</f>
        <v>26.902536715620826</v>
      </c>
      <c r="L784" s="45"/>
      <c r="M784" s="45"/>
      <c r="N784" s="45"/>
      <c r="O784" s="45"/>
      <c r="P784" s="45"/>
      <c r="Q784" s="45"/>
      <c r="R784" s="45"/>
      <c r="S784" s="45"/>
      <c r="T784" s="45"/>
      <c r="U784" s="45"/>
    </row>
    <row r="785" spans="1:21" ht="18.75" x14ac:dyDescent="0.25">
      <c r="A785" s="50"/>
      <c r="B785" s="1"/>
      <c r="C785" s="1"/>
      <c r="D785" s="2"/>
      <c r="E785" s="1"/>
      <c r="F785" s="1"/>
      <c r="G785" s="52"/>
      <c r="H785" s="53" t="s">
        <v>35</v>
      </c>
      <c r="I785" s="188">
        <f ca="1">IFERROR(__xludf.DUMMYFUNCTION("IMPORTRANGE(""https://docs.google.com/spreadsheets/d/10OvvATaaLtwErnr3qtWFcTmtbfpFEt5Bsqel9sXx0uE/edit?usp=sharing"",""งานกองทุน!R29"")"),535)</f>
        <v>535</v>
      </c>
      <c r="J785" s="188">
        <f ca="1">IFERROR(__xludf.DUMMYFUNCTION("IMPORTRANGE(""https://docs.google.com/spreadsheets/d/10OvvATaaLtwErnr3qtWFcTmtbfpFEt5Bsqel9sXx0uE/edit?usp=sharing"",""งานกองทุน!T29"")"),98)</f>
        <v>98</v>
      </c>
      <c r="K785" s="448">
        <f ca="1">IF(I785&gt;0,J785*100/I785,0)</f>
        <v>18.317757009345794</v>
      </c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2.75" x14ac:dyDescent="0.2">
      <c r="A786" s="165"/>
      <c r="B786" s="165"/>
      <c r="C786" s="165"/>
      <c r="D786" s="165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</row>
    <row r="787" spans="1:21" ht="16.5" x14ac:dyDescent="0.25">
      <c r="A787" s="1607" t="s">
        <v>296</v>
      </c>
      <c r="B787" s="165"/>
      <c r="C787" s="165"/>
      <c r="D787" s="165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</row>
    <row r="788" spans="1:21" ht="16.5" x14ac:dyDescent="0.25">
      <c r="A788" s="160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5"/>
      <c r="C788" s="165"/>
      <c r="D788" s="165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</row>
    <row r="789" spans="1:21" ht="16.5" x14ac:dyDescent="0.25">
      <c r="A789" s="1607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5"/>
      <c r="C789" s="165"/>
      <c r="D789" s="165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2AF2-EB38-46E8-8DA7-AC002D36087E}">
  <sheetPr>
    <outlinePr summaryBelow="0" summaryRight="0"/>
  </sheetPr>
  <dimension ref="A1:U789"/>
  <sheetViews>
    <sheetView tabSelected="1" view="pageBreakPreview" zoomScale="60" zoomScaleNormal="80" workbookViewId="0">
      <pane xSplit="8" ySplit="6" topLeftCell="I7" activePane="bottomRight" state="frozen"/>
      <selection activeCell="X30" sqref="X30"/>
      <selection pane="topRight" activeCell="X30" sqref="X30"/>
      <selection pane="bottomLeft" activeCell="X30" sqref="X30"/>
      <selection pane="bottomRight" activeCell="W19" sqref="W19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0.28515625" bestFit="1" customWidth="1"/>
    <col min="15" max="15" width="19.28515625" bestFit="1" customWidth="1"/>
    <col min="16" max="16" width="20.7109375" bestFit="1" customWidth="1"/>
    <col min="17" max="18" width="20.28515625" bestFit="1" customWidth="1"/>
    <col min="19" max="19" width="17.85546875" bestFit="1" customWidth="1"/>
    <col min="20" max="20" width="19.28515625" bestFit="1" customWidth="1"/>
    <col min="21" max="21" width="20.7109375" bestFit="1" customWidth="1"/>
  </cols>
  <sheetData>
    <row r="1" spans="1:21" ht="15.75" customHeight="1" x14ac:dyDescent="0.3">
      <c r="A1" s="1335" t="s">
        <v>0</v>
      </c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5"/>
      <c r="N1" s="1335"/>
      <c r="O1" s="1335"/>
      <c r="P1" s="1335"/>
      <c r="Q1" s="1335"/>
      <c r="R1" s="1335"/>
      <c r="S1" s="1335"/>
      <c r="T1" s="1335"/>
      <c r="U1" s="1335"/>
    </row>
    <row r="2" spans="1:21" ht="15.75" customHeight="1" x14ac:dyDescent="0.3">
      <c r="A2" s="1335" t="s">
        <v>349</v>
      </c>
      <c r="B2" s="1335"/>
      <c r="C2" s="1335"/>
      <c r="D2" s="1335"/>
      <c r="E2" s="1335"/>
      <c r="F2" s="1335"/>
      <c r="G2" s="1335"/>
      <c r="H2" s="1335"/>
      <c r="I2" s="1335"/>
      <c r="J2" s="1335"/>
      <c r="K2" s="1335"/>
      <c r="L2" s="1335"/>
      <c r="M2" s="1335"/>
      <c r="N2" s="1335"/>
      <c r="O2" s="1335"/>
      <c r="P2" s="1335"/>
      <c r="Q2" s="1335"/>
      <c r="R2" s="1335"/>
      <c r="S2" s="1335"/>
      <c r="T2" s="1335"/>
      <c r="U2" s="1335"/>
    </row>
    <row r="3" spans="1:21" ht="15.75" customHeight="1" x14ac:dyDescent="0.3">
      <c r="A3" s="1335" t="s">
        <v>350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  <c r="L3" s="1335"/>
      <c r="M3" s="1335"/>
      <c r="N3" s="1335"/>
      <c r="O3" s="1335"/>
      <c r="P3" s="1335"/>
      <c r="Q3" s="1335"/>
      <c r="R3" s="1335"/>
      <c r="S3" s="1335"/>
      <c r="T3" s="1335"/>
      <c r="U3" s="1335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1336"/>
      <c r="L4" s="1337" t="s">
        <v>2</v>
      </c>
      <c r="M4" s="1292"/>
      <c r="N4" s="1292"/>
      <c r="O4" s="1292"/>
      <c r="P4" s="1293"/>
      <c r="Q4" s="1338" t="s">
        <v>3</v>
      </c>
      <c r="R4" s="1292"/>
      <c r="S4" s="1292"/>
      <c r="T4" s="1292"/>
      <c r="U4" s="1293"/>
    </row>
    <row r="5" spans="1:21" ht="15.75" customHeight="1" x14ac:dyDescent="0.3">
      <c r="A5" s="1339" t="s">
        <v>4</v>
      </c>
      <c r="B5" s="1289"/>
      <c r="C5" s="1289"/>
      <c r="D5" s="1289"/>
      <c r="E5" s="1289"/>
      <c r="F5" s="1289"/>
      <c r="G5" s="1290"/>
      <c r="H5" s="1340" t="s">
        <v>5</v>
      </c>
      <c r="I5" s="1309" t="s">
        <v>6</v>
      </c>
      <c r="J5" s="1292"/>
      <c r="K5" s="1293"/>
      <c r="L5" s="1341" t="s">
        <v>7</v>
      </c>
      <c r="M5" s="1293"/>
      <c r="N5" s="1302" t="s">
        <v>8</v>
      </c>
      <c r="O5" s="1292"/>
      <c r="P5" s="1293"/>
      <c r="Q5" s="1303" t="s">
        <v>7</v>
      </c>
      <c r="R5" s="1293"/>
      <c r="S5" s="1302" t="s">
        <v>8</v>
      </c>
      <c r="T5" s="1292"/>
      <c r="U5" s="1293"/>
    </row>
    <row r="6" spans="1:21" ht="15.75" customHeight="1" x14ac:dyDescent="0.3">
      <c r="A6" s="1291"/>
      <c r="B6" s="1292"/>
      <c r="C6" s="1292"/>
      <c r="D6" s="1292"/>
      <c r="E6" s="1292"/>
      <c r="F6" s="1292"/>
      <c r="G6" s="1293"/>
      <c r="H6" s="1342"/>
      <c r="I6" s="6" t="s">
        <v>9</v>
      </c>
      <c r="J6" s="7" t="s">
        <v>10</v>
      </c>
      <c r="K6" s="6" t="s">
        <v>11</v>
      </c>
      <c r="L6" s="1343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x14ac:dyDescent="0.2">
      <c r="A7" s="1344"/>
      <c r="B7" s="1292"/>
      <c r="C7" s="1292"/>
      <c r="D7" s="1292"/>
      <c r="E7" s="1292"/>
      <c r="F7" s="1292"/>
      <c r="G7" s="1293"/>
      <c r="H7" s="14"/>
      <c r="I7" s="15"/>
      <c r="J7" s="15"/>
      <c r="K7" s="16"/>
      <c r="L7" s="1345"/>
      <c r="M7" s="16"/>
      <c r="N7" s="16"/>
      <c r="O7" s="16"/>
      <c r="P7" s="16"/>
      <c r="Q7" s="16"/>
      <c r="R7" s="16"/>
      <c r="S7" s="16"/>
      <c r="T7" s="16"/>
      <c r="U7" s="16"/>
    </row>
    <row r="8" spans="1:21" ht="12.75" x14ac:dyDescent="0.2">
      <c r="A8" s="17"/>
      <c r="B8" s="18"/>
      <c r="C8" s="18"/>
      <c r="D8" s="18"/>
      <c r="E8" s="18"/>
      <c r="F8" s="18"/>
      <c r="G8" s="19"/>
      <c r="H8" s="19"/>
      <c r="I8" s="20"/>
      <c r="J8" s="20"/>
      <c r="K8" s="21"/>
      <c r="L8" s="1346"/>
      <c r="M8" s="21"/>
      <c r="N8" s="21"/>
      <c r="O8" s="21"/>
      <c r="P8" s="21"/>
      <c r="Q8" s="21"/>
      <c r="R8" s="21"/>
      <c r="S8" s="21"/>
      <c r="T8" s="21"/>
      <c r="U8" s="21"/>
    </row>
    <row r="9" spans="1:21" ht="12.75" x14ac:dyDescent="0.2">
      <c r="A9" s="17"/>
      <c r="B9" s="18"/>
      <c r="C9" s="18"/>
      <c r="D9" s="18"/>
      <c r="E9" s="18"/>
      <c r="F9" s="18"/>
      <c r="G9" s="19"/>
      <c r="H9" s="19"/>
      <c r="I9" s="20"/>
      <c r="J9" s="20"/>
      <c r="K9" s="21"/>
      <c r="L9" s="1346"/>
      <c r="M9" s="21"/>
      <c r="N9" s="21"/>
      <c r="O9" s="21"/>
      <c r="P9" s="21"/>
      <c r="Q9" s="21"/>
      <c r="R9" s="21"/>
      <c r="S9" s="21"/>
      <c r="T9" s="21"/>
      <c r="U9" s="21"/>
    </row>
    <row r="10" spans="1:21" ht="12.75" x14ac:dyDescent="0.2">
      <c r="A10" s="17"/>
      <c r="B10" s="18"/>
      <c r="C10" s="18"/>
      <c r="D10" s="18"/>
      <c r="E10" s="18"/>
      <c r="F10" s="18"/>
      <c r="G10" s="19"/>
      <c r="H10" s="19"/>
      <c r="I10" s="20"/>
      <c r="J10" s="20"/>
      <c r="K10" s="21"/>
      <c r="L10" s="1346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2.75" x14ac:dyDescent="0.2">
      <c r="A11" s="17"/>
      <c r="B11" s="18"/>
      <c r="C11" s="18"/>
      <c r="D11" s="18"/>
      <c r="E11" s="18"/>
      <c r="F11" s="18"/>
      <c r="G11" s="19"/>
      <c r="H11" s="19"/>
      <c r="I11" s="20"/>
      <c r="J11" s="20"/>
      <c r="K11" s="21"/>
      <c r="L11" s="1346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2.75" x14ac:dyDescent="0.2">
      <c r="A12" s="17"/>
      <c r="B12" s="18"/>
      <c r="C12" s="18"/>
      <c r="D12" s="18"/>
      <c r="E12" s="18"/>
      <c r="F12" s="18"/>
      <c r="G12" s="19"/>
      <c r="H12" s="19"/>
      <c r="I12" s="20"/>
      <c r="J12" s="20"/>
      <c r="K12" s="21"/>
      <c r="L12" s="1346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12.75" x14ac:dyDescent="0.2">
      <c r="A13" s="17"/>
      <c r="B13" s="18"/>
      <c r="C13" s="18"/>
      <c r="D13" s="18"/>
      <c r="E13" s="18"/>
      <c r="F13" s="18"/>
      <c r="G13" s="19"/>
      <c r="H13" s="19"/>
      <c r="I13" s="20"/>
      <c r="J13" s="20"/>
      <c r="K13" s="21"/>
      <c r="L13" s="1346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2.75" x14ac:dyDescent="0.2">
      <c r="A14" s="17"/>
      <c r="B14" s="18"/>
      <c r="C14" s="18"/>
      <c r="D14" s="18"/>
      <c r="E14" s="18"/>
      <c r="F14" s="18"/>
      <c r="G14" s="19"/>
      <c r="H14" s="19"/>
      <c r="I14" s="20"/>
      <c r="J14" s="20"/>
      <c r="K14" s="21"/>
      <c r="L14" s="1346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2.75" x14ac:dyDescent="0.2">
      <c r="A15" s="17"/>
      <c r="B15" s="18"/>
      <c r="C15" s="18"/>
      <c r="D15" s="18"/>
      <c r="E15" s="18"/>
      <c r="F15" s="18"/>
      <c r="G15" s="19"/>
      <c r="H15" s="19"/>
      <c r="I15" s="20"/>
      <c r="J15" s="20"/>
      <c r="K15" s="21"/>
      <c r="L15" s="1346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2.75" x14ac:dyDescent="0.2">
      <c r="A16" s="13"/>
      <c r="B16" s="22"/>
      <c r="C16" s="22"/>
      <c r="D16" s="22"/>
      <c r="E16" s="22"/>
      <c r="F16" s="22"/>
      <c r="G16" s="14"/>
      <c r="H16" s="14"/>
      <c r="I16" s="15"/>
      <c r="J16" s="15"/>
      <c r="K16" s="16"/>
      <c r="L16" s="1345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15.75" customHeight="1" x14ac:dyDescent="0.3">
      <c r="A17" s="1295" t="s">
        <v>298</v>
      </c>
      <c r="B17" s="1292"/>
      <c r="C17" s="1292"/>
      <c r="D17" s="1292"/>
      <c r="E17" s="1292"/>
      <c r="F17" s="1292"/>
      <c r="G17" s="1293"/>
      <c r="H17" s="23"/>
      <c r="I17" s="24"/>
      <c r="J17" s="24"/>
      <c r="K17" s="25"/>
      <c r="L17" s="1347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5.75" customHeight="1" x14ac:dyDescent="0.3">
      <c r="A18" s="26"/>
      <c r="B18" s="27"/>
      <c r="C18" s="28" t="s">
        <v>18</v>
      </c>
      <c r="D18" s="29" t="s">
        <v>19</v>
      </c>
      <c r="E18" s="27"/>
      <c r="F18" s="27"/>
      <c r="G18" s="30"/>
      <c r="H18" s="31" t="s">
        <v>14</v>
      </c>
      <c r="I18" s="32"/>
      <c r="J18" s="32"/>
      <c r="K18" s="33"/>
      <c r="L18" s="1348">
        <f ca="1">L19+L20</f>
        <v>3865686</v>
      </c>
      <c r="M18" s="1349">
        <f ca="1">M19+M20</f>
        <v>3575339</v>
      </c>
      <c r="N18" s="1349">
        <f ca="1">N19+N20</f>
        <v>2128117.65</v>
      </c>
      <c r="O18" s="1349">
        <f ca="1">IF(L18&gt;0,N18*100/L18,0)</f>
        <v>55.051487627293064</v>
      </c>
      <c r="P18" s="1349">
        <f ca="1">IF(M18&gt;0,N18*100/M18,0)</f>
        <v>59.522122237919255</v>
      </c>
      <c r="Q18" s="1349">
        <f ca="1">Q19+Q20</f>
        <v>4834234.24</v>
      </c>
      <c r="R18" s="1349">
        <f ca="1">R19+R20</f>
        <v>4524374</v>
      </c>
      <c r="S18" s="1349">
        <f ca="1">S19+S20</f>
        <v>804081.2</v>
      </c>
      <c r="T18" s="1349">
        <f ca="1">IF(Q18&gt;0,S18*100/Q18,0)</f>
        <v>16.633062447549086</v>
      </c>
      <c r="U18" s="1349">
        <f ca="1">IF(R18&gt;0,S18*100/R18,0)</f>
        <v>17.772208928793244</v>
      </c>
    </row>
    <row r="19" spans="1:21" ht="15.75" customHeight="1" x14ac:dyDescent="0.25">
      <c r="A19" s="26"/>
      <c r="B19" s="27"/>
      <c r="C19" s="27"/>
      <c r="D19" s="27"/>
      <c r="E19" s="1350" t="s">
        <v>20</v>
      </c>
      <c r="F19" s="27"/>
      <c r="G19" s="30"/>
      <c r="H19" s="1351" t="s">
        <v>14</v>
      </c>
      <c r="I19" s="32"/>
      <c r="J19" s="32"/>
      <c r="K19" s="33"/>
      <c r="L19" s="1352">
        <f>L22+L25</f>
        <v>0</v>
      </c>
      <c r="M19" s="1353">
        <f>M22+M25</f>
        <v>0</v>
      </c>
      <c r="N19" s="1353">
        <f>N22+N25</f>
        <v>0</v>
      </c>
      <c r="O19" s="1353">
        <f>IF(L19&gt;0,N19*100/L19,0)</f>
        <v>0</v>
      </c>
      <c r="P19" s="1353">
        <f>IF(M19&gt;0,N19*100/M19,0)</f>
        <v>0</v>
      </c>
      <c r="Q19" s="1353">
        <f>Q22+Q25</f>
        <v>0</v>
      </c>
      <c r="R19" s="1353">
        <f>R22+R25</f>
        <v>0</v>
      </c>
      <c r="S19" s="1353">
        <f>S22+S25</f>
        <v>0</v>
      </c>
      <c r="T19" s="1353">
        <f>IF(Q19&gt;0,S19*100/Q19,0)</f>
        <v>0</v>
      </c>
      <c r="U19" s="1353">
        <f>IF(R19&gt;0,S19*100/R19,0)</f>
        <v>0</v>
      </c>
    </row>
    <row r="20" spans="1:21" ht="15.75" customHeight="1" x14ac:dyDescent="0.25">
      <c r="A20" s="26"/>
      <c r="B20" s="27"/>
      <c r="C20" s="27"/>
      <c r="D20" s="27"/>
      <c r="E20" s="35" t="s">
        <v>21</v>
      </c>
      <c r="F20" s="27"/>
      <c r="G20" s="30"/>
      <c r="H20" s="36" t="s">
        <v>14</v>
      </c>
      <c r="I20" s="32"/>
      <c r="J20" s="32"/>
      <c r="K20" s="33"/>
      <c r="L20" s="1354">
        <f ca="1">L23+L26</f>
        <v>3865686</v>
      </c>
      <c r="M20" s="1355">
        <f ca="1">M23+M26</f>
        <v>3575339</v>
      </c>
      <c r="N20" s="1355">
        <f ca="1">N23+N26</f>
        <v>2128117.65</v>
      </c>
      <c r="O20" s="1355">
        <f ca="1">IF(L20&gt;0,N20*100/L20,0)</f>
        <v>55.051487627293064</v>
      </c>
      <c r="P20" s="1355">
        <f ca="1">IF(M20&gt;0,N20*100/M20,0)</f>
        <v>59.522122237919255</v>
      </c>
      <c r="Q20" s="1355">
        <f ca="1">Q23+Q26</f>
        <v>4834234.24</v>
      </c>
      <c r="R20" s="1355">
        <f ca="1">R23+R26</f>
        <v>4524374</v>
      </c>
      <c r="S20" s="1355">
        <f ca="1">S23+S26</f>
        <v>804081.2</v>
      </c>
      <c r="T20" s="1355">
        <f ca="1">IF(Q20&gt;0,S20*100/Q20,0)</f>
        <v>16.633062447549086</v>
      </c>
      <c r="U20" s="1355">
        <f ca="1">IF(R20&gt;0,S20*100/R20,0)</f>
        <v>17.772208928793244</v>
      </c>
    </row>
    <row r="21" spans="1:21" ht="15.75" customHeight="1" x14ac:dyDescent="0.25">
      <c r="A21" s="39"/>
      <c r="B21" s="40"/>
      <c r="C21" s="40"/>
      <c r="D21" s="41" t="s">
        <v>22</v>
      </c>
      <c r="E21" s="40"/>
      <c r="F21" s="40"/>
      <c r="G21" s="42"/>
      <c r="H21" s="43" t="s">
        <v>14</v>
      </c>
      <c r="I21" s="44"/>
      <c r="J21" s="44"/>
      <c r="K21" s="45"/>
      <c r="L21" s="1356">
        <f ca="1">L22+L23</f>
        <v>3385686</v>
      </c>
      <c r="M21" s="224">
        <f ca="1">M22+M23</f>
        <v>3095339</v>
      </c>
      <c r="N21" s="224">
        <f ca="1">N22+N23</f>
        <v>2128117.65</v>
      </c>
      <c r="O21" s="224">
        <f ca="1">IF(L21&gt;0,N21*100/L21,0)</f>
        <v>62.856320698375455</v>
      </c>
      <c r="P21" s="224">
        <f ca="1">IF(M21&gt;0,N21*100/M21,0)</f>
        <v>68.752328904846934</v>
      </c>
      <c r="Q21" s="224">
        <f ca="1">Q22+Q23</f>
        <v>4834234.24</v>
      </c>
      <c r="R21" s="224">
        <f ca="1">R22+R23</f>
        <v>4524374</v>
      </c>
      <c r="S21" s="224">
        <f ca="1">S22+S23</f>
        <v>804081.2</v>
      </c>
      <c r="T21" s="224">
        <f ca="1">IF(Q21&gt;0,S21*100/Q21,0)</f>
        <v>16.633062447549086</v>
      </c>
      <c r="U21" s="224">
        <f ca="1">IF(R21&gt;0,S21*100/R21,0)</f>
        <v>17.772208928793244</v>
      </c>
    </row>
    <row r="22" spans="1:21" ht="15.75" customHeight="1" x14ac:dyDescent="0.25">
      <c r="A22" s="39"/>
      <c r="B22" s="40"/>
      <c r="C22" s="40"/>
      <c r="D22" s="40"/>
      <c r="E22" s="156" t="s">
        <v>20</v>
      </c>
      <c r="F22" s="40"/>
      <c r="G22" s="42"/>
      <c r="H22" s="1357" t="s">
        <v>14</v>
      </c>
      <c r="I22" s="44"/>
      <c r="J22" s="44"/>
      <c r="K22" s="45"/>
      <c r="L22" s="1358">
        <f>L48+L63+L76+L98+L129+L143+L161+L190+L177+L270+L286+L307+L324+L337+L360+L517</f>
        <v>0</v>
      </c>
      <c r="M22" s="83">
        <f>M48+M63+M76+M98+M129+M143+M161+M190+M177+M270+M286+M307+M324+M337+M360+M517</f>
        <v>0</v>
      </c>
      <c r="N22" s="83">
        <f>N48+N63+N76+N98+N129+N143+N161+N190+N177+N270+N286+N307+N324+N337+N360+N517</f>
        <v>0</v>
      </c>
      <c r="O22" s="83">
        <f>IF(L22&gt;0,N22*100/L22,0)</f>
        <v>0</v>
      </c>
      <c r="P22" s="83">
        <f>IF(M22&gt;0,N22*100/M22,0)</f>
        <v>0</v>
      </c>
      <c r="Q22" s="83">
        <f>Q76+Q98+Q121+Q143+Q161+Q177+Q190+Q270+Q286+Q307+Q337+Q379+Q396+Q417+Q497+Q603+Q620+Q646+Q694+Q718+Q732+Q764</f>
        <v>0</v>
      </c>
      <c r="R22" s="83">
        <f>R76+R98+R121+R143+R161+R177+R190+R270+R286+R307+R337+R379+R396+R417+R497+R603+R620+R646+R694+R718+R732+R764</f>
        <v>0</v>
      </c>
      <c r="S22" s="83">
        <f>S76+S98+S121+S143+S161+S177+S190+S270+S286+S307+S337+S379+S396+S417+S497+S603+S620+S646+S694+S718+S732+S764</f>
        <v>0</v>
      </c>
      <c r="T22" s="83">
        <f>IF(Q22&gt;0,S22*100/Q22,0)</f>
        <v>0</v>
      </c>
      <c r="U22" s="83">
        <f>IF(R22&gt;0,S22*100/R22,0)</f>
        <v>0</v>
      </c>
    </row>
    <row r="23" spans="1:21" ht="15.75" customHeight="1" x14ac:dyDescent="0.25">
      <c r="A23" s="39"/>
      <c r="B23" s="40"/>
      <c r="C23" s="40"/>
      <c r="D23" s="40"/>
      <c r="E23" s="47" t="s">
        <v>21</v>
      </c>
      <c r="F23" s="40"/>
      <c r="G23" s="42"/>
      <c r="H23" s="43" t="s">
        <v>14</v>
      </c>
      <c r="I23" s="44"/>
      <c r="J23" s="44"/>
      <c r="K23" s="45"/>
      <c r="L23" s="1356">
        <f ca="1">L49+L64+L77+L99+L130+L144+L162+L191+L178+L271+L287+L308+L325+L338+L361+L518</f>
        <v>3385686</v>
      </c>
      <c r="M23" s="224">
        <f ca="1">M49+M64+M77+M99+M130+M144+M162+M191+M178+M271+M287+M308+M325+M338+M361+M518</f>
        <v>3095339</v>
      </c>
      <c r="N23" s="224">
        <f ca="1">N49+N64+N77+N99+N130+N144+N162+N191+N178+N271+N287+N308+N325+N338+N361+N518</f>
        <v>2128117.65</v>
      </c>
      <c r="O23" s="224">
        <f ca="1">IF(L23&gt;0,N23*100/L23,0)</f>
        <v>62.856320698375455</v>
      </c>
      <c r="P23" s="224">
        <f ca="1">IF(M23&gt;0,N23*100/M23,0)</f>
        <v>68.752328904846934</v>
      </c>
      <c r="Q23" s="224">
        <f ca="1">Q77+Q99+Q122+Q144+Q162+Q178+Q191+Q271+Q287+Q308+Q338+Q380+Q397+Q418+Q498+Q604+Q621+Q647+Q695+Q719+Q733+Q765</f>
        <v>4834234.24</v>
      </c>
      <c r="R23" s="224">
        <f ca="1">R77+R99+R122+R144+R162+R178+R191+R271+R287+R308+R338+R380+R397+R418+R498+R604+R621+R647+R695+R719+R733+R765</f>
        <v>4524374</v>
      </c>
      <c r="S23" s="224">
        <f ca="1">S77+S99+S122+S144+S162+S178+S191+S271+S287+S308+S338+S380+S397+S418+S498+S604+S621+S647+S695+S719+S733+S765</f>
        <v>804081.2</v>
      </c>
      <c r="T23" s="224">
        <f ca="1">IF(Q23&gt;0,S23*100/Q23,0)</f>
        <v>16.633062447549086</v>
      </c>
      <c r="U23" s="224">
        <f ca="1">IF(R23&gt;0,S23*100/R23,0)</f>
        <v>17.772208928793244</v>
      </c>
    </row>
    <row r="24" spans="1:21" ht="15.75" customHeight="1" x14ac:dyDescent="0.25">
      <c r="A24" s="39"/>
      <c r="B24" s="40"/>
      <c r="C24" s="40"/>
      <c r="D24" s="41" t="s">
        <v>23</v>
      </c>
      <c r="E24" s="40"/>
      <c r="F24" s="40"/>
      <c r="G24" s="42"/>
      <c r="H24" s="43" t="s">
        <v>14</v>
      </c>
      <c r="I24" s="44"/>
      <c r="J24" s="44"/>
      <c r="K24" s="45"/>
      <c r="L24" s="1356">
        <f ca="1">L25+L26</f>
        <v>480000</v>
      </c>
      <c r="M24" s="224">
        <f ca="1">M25+M26</f>
        <v>480000</v>
      </c>
      <c r="N24" s="224">
        <f ca="1">N25+N26</f>
        <v>0</v>
      </c>
      <c r="O24" s="224">
        <f ca="1">IF(L24&gt;0,N24*100/L24,0)</f>
        <v>0</v>
      </c>
      <c r="P24" s="224">
        <f ca="1">IF(M24&gt;0,N24*100/M24,0)</f>
        <v>0</v>
      </c>
      <c r="Q24" s="224">
        <f ca="1">Q25+Q26</f>
        <v>0</v>
      </c>
      <c r="R24" s="224">
        <f ca="1">R25+R26</f>
        <v>0</v>
      </c>
      <c r="S24" s="224">
        <f ca="1">S25+S26</f>
        <v>0</v>
      </c>
      <c r="T24" s="224">
        <f ca="1">IF(Q24&gt;0,S24*100/Q24,0)</f>
        <v>0</v>
      </c>
      <c r="U24" s="224">
        <f ca="1">IF(R24&gt;0,S24*100/R24,0)</f>
        <v>0</v>
      </c>
    </row>
    <row r="25" spans="1:21" ht="15.75" customHeight="1" x14ac:dyDescent="0.25">
      <c r="A25" s="39"/>
      <c r="B25" s="40"/>
      <c r="C25" s="40"/>
      <c r="D25" s="40"/>
      <c r="E25" s="156" t="s">
        <v>20</v>
      </c>
      <c r="F25" s="40"/>
      <c r="G25" s="42"/>
      <c r="H25" s="1357" t="s">
        <v>14</v>
      </c>
      <c r="I25" s="44"/>
      <c r="J25" s="44"/>
      <c r="K25" s="45"/>
      <c r="L25" s="1358">
        <f>L51+L66+L79+L101+L132+L146+L164+L193+L180+L273+L289+L310+L327+L340+L363+L520</f>
        <v>0</v>
      </c>
      <c r="M25" s="83">
        <f>M51+M66+M79+M101+M132+M146+M164+M193+M180+M273+M289+M310+M327+M340+M363+M520</f>
        <v>0</v>
      </c>
      <c r="N25" s="83">
        <f>N51+N66+N79+N101+N132+N146+N164+N193+N180+N273+N289+N310+N327+N340+N363+N520</f>
        <v>0</v>
      </c>
      <c r="O25" s="83">
        <f>IF(L25&gt;0,N25*100/L25,0)</f>
        <v>0</v>
      </c>
      <c r="P25" s="83">
        <f>IF(M25&gt;0,N25*100/M25,0)</f>
        <v>0</v>
      </c>
      <c r="Q25" s="83">
        <f>Q79+Q101+Q124+Q146+Q164+Q180+Q193+Q273+Q289+Q310+Q340+Q382+Q399+Q420+Q500+Q606+Q623+Q649+Q697+Q721+Q735+Q767</f>
        <v>0</v>
      </c>
      <c r="R25" s="83">
        <f>R79+R101+R124+R146+R164+R180+R193+R273+R289+R310+R340+R382+R399+R420+R500+R606+R623+R649+R697+R721+R735+R767</f>
        <v>0</v>
      </c>
      <c r="S25" s="83">
        <f>S79+S101+S124+S146+S164+S180+S193+S273+S289+S310+S340+S382+S399+S420+S500+S606+S623+S649+S697+S721+S735+S767</f>
        <v>0</v>
      </c>
      <c r="T25" s="83">
        <f>IF(Q25&gt;0,S25*100/Q25,0)</f>
        <v>0</v>
      </c>
      <c r="U25" s="83">
        <f>IF(R25&gt;0,S25*100/R25,0)</f>
        <v>0</v>
      </c>
    </row>
    <row r="26" spans="1:21" ht="15.75" customHeight="1" x14ac:dyDescent="0.25">
      <c r="A26" s="39"/>
      <c r="B26" s="40"/>
      <c r="C26" s="40"/>
      <c r="D26" s="40"/>
      <c r="E26" s="47" t="s">
        <v>21</v>
      </c>
      <c r="F26" s="40"/>
      <c r="G26" s="42"/>
      <c r="H26" s="43" t="s">
        <v>14</v>
      </c>
      <c r="I26" s="44"/>
      <c r="J26" s="44"/>
      <c r="K26" s="45"/>
      <c r="L26" s="1356">
        <f ca="1">L52+L67+L80+L102+L133+L147+L165+L194+L181+L274+L290+L311+L328+L341+L364+L521</f>
        <v>480000</v>
      </c>
      <c r="M26" s="224">
        <f ca="1">M52+M67+M80+M102+M133+M147+M165+M194+M181+M274+M290+M311+M328+M341+M364+M521</f>
        <v>480000</v>
      </c>
      <c r="N26" s="224">
        <f ca="1">N52+N67+N80+N102+N133+N147+N165+N194+N181+N274+N290+N311+N328+N341+N364+N521</f>
        <v>0</v>
      </c>
      <c r="O26" s="224">
        <f ca="1">IF(L26&gt;0,N26*100/L26,0)</f>
        <v>0</v>
      </c>
      <c r="P26" s="224">
        <f ca="1">IF(M26&gt;0,N26*100/M26,0)</f>
        <v>0</v>
      </c>
      <c r="Q26" s="83">
        <f ca="1">Q80+Q102+Q125+Q147+Q165+Q181+Q194+Q274+Q290+Q311+Q341+Q383+Q400+Q421+Q501+Q607+Q624+Q650+Q698+Q722+Q736+Q768</f>
        <v>0</v>
      </c>
      <c r="R26" s="83">
        <f ca="1">R80+R102+R125+R147+R165+R181+R194+R274+R290+R311+R341+R383+R400+R421+R501+R607+R624+R650+R698+R722+R736+R768</f>
        <v>0</v>
      </c>
      <c r="S26" s="83">
        <f ca="1">S80+S102+S125+S147+S165+S181+S194+S274+S290+S311+S341+S383+S400+S421+S501+S607+S624+S650+S698+S722+S736+S768</f>
        <v>0</v>
      </c>
      <c r="T26" s="224">
        <f ca="1">IF(Q26&gt;0,S26*100/Q26,0)</f>
        <v>0</v>
      </c>
      <c r="U26" s="224">
        <f ca="1">IF(R26&gt;0,S26*100/R26,0)</f>
        <v>0</v>
      </c>
    </row>
    <row r="27" spans="1:21" ht="15.75" customHeight="1" x14ac:dyDescent="0.25">
      <c r="A27" s="39"/>
      <c r="B27" s="40"/>
      <c r="C27" s="40"/>
      <c r="D27" s="41" t="s">
        <v>24</v>
      </c>
      <c r="E27" s="40"/>
      <c r="F27" s="40"/>
      <c r="G27" s="42"/>
      <c r="H27" s="43" t="s">
        <v>14</v>
      </c>
      <c r="I27" s="44"/>
      <c r="J27" s="44"/>
      <c r="K27" s="45"/>
      <c r="L27" s="1359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15.75" customHeight="1" x14ac:dyDescent="0.25">
      <c r="A28" s="39"/>
      <c r="B28" s="40"/>
      <c r="C28" s="40"/>
      <c r="D28" s="40"/>
      <c r="E28" s="156" t="s">
        <v>20</v>
      </c>
      <c r="F28" s="40"/>
      <c r="G28" s="42"/>
      <c r="H28" s="1357" t="s">
        <v>14</v>
      </c>
      <c r="I28" s="44"/>
      <c r="J28" s="44"/>
      <c r="K28" s="45"/>
      <c r="L28" s="1359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15.75" customHeight="1" x14ac:dyDescent="0.25">
      <c r="A29" s="50"/>
      <c r="B29" s="1"/>
      <c r="C29" s="1"/>
      <c r="D29" s="1"/>
      <c r="E29" s="51" t="s">
        <v>21</v>
      </c>
      <c r="F29" s="1"/>
      <c r="G29" s="52"/>
      <c r="H29" s="53" t="s">
        <v>14</v>
      </c>
      <c r="I29" s="54"/>
      <c r="J29" s="54"/>
      <c r="K29" s="3"/>
      <c r="L29" s="1360"/>
      <c r="M29" s="3"/>
      <c r="N29" s="3"/>
      <c r="O29" s="3"/>
      <c r="P29" s="3"/>
      <c r="Q29" s="3"/>
      <c r="R29" s="3"/>
      <c r="S29" s="3"/>
      <c r="T29" s="3"/>
      <c r="U29" s="3"/>
    </row>
    <row r="30" spans="1:21" ht="12.75" x14ac:dyDescent="0.2">
      <c r="A30" s="1344"/>
      <c r="B30" s="1292"/>
      <c r="C30" s="1292"/>
      <c r="D30" s="1292"/>
      <c r="E30" s="1292"/>
      <c r="F30" s="1292"/>
      <c r="G30" s="1293"/>
      <c r="H30" s="14"/>
      <c r="I30" s="15"/>
      <c r="J30" s="15"/>
      <c r="K30" s="16"/>
      <c r="L30" s="1345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2.75" x14ac:dyDescent="0.2">
      <c r="A31" s="17"/>
      <c r="B31" s="18"/>
      <c r="C31" s="18"/>
      <c r="D31" s="18"/>
      <c r="E31" s="18"/>
      <c r="F31" s="18"/>
      <c r="G31" s="19"/>
      <c r="H31" s="19"/>
      <c r="I31" s="20"/>
      <c r="J31" s="20"/>
      <c r="K31" s="21"/>
      <c r="L31" s="1346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2.75" x14ac:dyDescent="0.2">
      <c r="A32" s="17"/>
      <c r="B32" s="18"/>
      <c r="C32" s="18"/>
      <c r="D32" s="18"/>
      <c r="E32" s="18"/>
      <c r="F32" s="18"/>
      <c r="G32" s="19"/>
      <c r="H32" s="19"/>
      <c r="I32" s="20"/>
      <c r="J32" s="20"/>
      <c r="K32" s="21"/>
      <c r="L32" s="1346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2.75" x14ac:dyDescent="0.2">
      <c r="A33" s="17"/>
      <c r="B33" s="18"/>
      <c r="C33" s="18"/>
      <c r="D33" s="18"/>
      <c r="E33" s="18"/>
      <c r="F33" s="18"/>
      <c r="G33" s="19"/>
      <c r="H33" s="19"/>
      <c r="I33" s="20"/>
      <c r="J33" s="20"/>
      <c r="K33" s="21"/>
      <c r="L33" s="1346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2.75" x14ac:dyDescent="0.2">
      <c r="A34" s="17"/>
      <c r="B34" s="18"/>
      <c r="C34" s="18"/>
      <c r="D34" s="18"/>
      <c r="E34" s="18"/>
      <c r="F34" s="18"/>
      <c r="G34" s="19"/>
      <c r="H34" s="19"/>
      <c r="I34" s="20"/>
      <c r="J34" s="20"/>
      <c r="K34" s="21"/>
      <c r="L34" s="1346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2.75" x14ac:dyDescent="0.2">
      <c r="A35" s="17"/>
      <c r="B35" s="18"/>
      <c r="C35" s="18"/>
      <c r="D35" s="18"/>
      <c r="E35" s="18"/>
      <c r="F35" s="18"/>
      <c r="G35" s="19"/>
      <c r="H35" s="19"/>
      <c r="I35" s="20"/>
      <c r="J35" s="20"/>
      <c r="K35" s="21"/>
      <c r="L35" s="1346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2.75" x14ac:dyDescent="0.2">
      <c r="A36" s="17"/>
      <c r="B36" s="18"/>
      <c r="C36" s="18"/>
      <c r="D36" s="18"/>
      <c r="E36" s="18"/>
      <c r="F36" s="18"/>
      <c r="G36" s="19"/>
      <c r="H36" s="19"/>
      <c r="I36" s="20"/>
      <c r="J36" s="20"/>
      <c r="K36" s="21"/>
      <c r="L36" s="1346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2.75" x14ac:dyDescent="0.2">
      <c r="A37" s="17"/>
      <c r="B37" s="18"/>
      <c r="C37" s="18"/>
      <c r="D37" s="18"/>
      <c r="E37" s="18"/>
      <c r="F37" s="18"/>
      <c r="G37" s="19"/>
      <c r="H37" s="19"/>
      <c r="I37" s="20"/>
      <c r="J37" s="20"/>
      <c r="K37" s="21"/>
      <c r="L37" s="1346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2.75" x14ac:dyDescent="0.2">
      <c r="A38" s="17"/>
      <c r="B38" s="18"/>
      <c r="C38" s="18"/>
      <c r="D38" s="18"/>
      <c r="E38" s="18"/>
      <c r="F38" s="18"/>
      <c r="G38" s="19"/>
      <c r="H38" s="19"/>
      <c r="I38" s="20"/>
      <c r="J38" s="20"/>
      <c r="K38" s="21"/>
      <c r="L38" s="1346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2.75" x14ac:dyDescent="0.2">
      <c r="A39" s="13"/>
      <c r="B39" s="22"/>
      <c r="C39" s="22"/>
      <c r="D39" s="22"/>
      <c r="E39" s="22"/>
      <c r="F39" s="22"/>
      <c r="G39" s="14"/>
      <c r="H39" s="14"/>
      <c r="I39" s="15"/>
      <c r="J39" s="15"/>
      <c r="K39" s="16"/>
      <c r="L39" s="1345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9.5" x14ac:dyDescent="0.3">
      <c r="A40" s="55" t="s">
        <v>25</v>
      </c>
      <c r="B40" s="56"/>
      <c r="C40" s="56"/>
      <c r="D40" s="56"/>
      <c r="E40" s="56"/>
      <c r="F40" s="56"/>
      <c r="G40" s="57"/>
      <c r="H40" s="57"/>
      <c r="I40" s="58"/>
      <c r="J40" s="58"/>
      <c r="K40" s="59"/>
      <c r="L40" s="1361">
        <f ca="1">L44+L59+L72+L94+L125+L139+L157+L173+L186+L266+L282+L303+L320+L333+L356</f>
        <v>3865686</v>
      </c>
      <c r="M40" s="1362">
        <f ca="1">M44+M59+M72+M94+M125+M139+M157+M173+M186+M266+M282+M303+M320+M333+M356</f>
        <v>3575339</v>
      </c>
      <c r="N40" s="1362">
        <f ca="1">N44+N59+N72+N94+N125+N139+N157+N173+N186+N266+N282+N303+N320+N333+N356</f>
        <v>2128117.65</v>
      </c>
      <c r="O40" s="1362">
        <f ca="1">IF(L40&gt;0,N40*100/L40,0)</f>
        <v>55.051487627293064</v>
      </c>
      <c r="P40" s="1362">
        <f ca="1">IF(M40&gt;0,N40*100/M40,0)</f>
        <v>59.522122237919255</v>
      </c>
      <c r="Q40" s="59"/>
      <c r="R40" s="59"/>
      <c r="S40" s="59"/>
      <c r="T40" s="59"/>
      <c r="U40" s="59"/>
    </row>
    <row r="41" spans="1:21" ht="19.5" x14ac:dyDescent="0.3">
      <c r="A41" s="60" t="s">
        <v>26</v>
      </c>
      <c r="B41" s="61"/>
      <c r="C41" s="61"/>
      <c r="D41" s="61"/>
      <c r="E41" s="61"/>
      <c r="F41" s="61"/>
      <c r="G41" s="61"/>
      <c r="H41" s="61"/>
      <c r="I41" s="62"/>
      <c r="J41" s="62"/>
      <c r="K41" s="63"/>
      <c r="L41" s="63"/>
      <c r="M41" s="63"/>
      <c r="N41" s="63"/>
      <c r="O41" s="63"/>
      <c r="P41" s="64"/>
      <c r="Q41" s="63"/>
      <c r="R41" s="63"/>
      <c r="S41" s="63"/>
      <c r="T41" s="63"/>
      <c r="U41" s="64"/>
    </row>
    <row r="42" spans="1:21" ht="19.5" x14ac:dyDescent="0.3">
      <c r="A42" s="65"/>
      <c r="B42" s="66" t="s">
        <v>27</v>
      </c>
      <c r="C42" s="65"/>
      <c r="D42" s="65"/>
      <c r="E42" s="65"/>
      <c r="F42" s="65"/>
      <c r="G42" s="67"/>
      <c r="H42" s="67"/>
      <c r="I42" s="68"/>
      <c r="J42" s="68"/>
      <c r="K42" s="69"/>
      <c r="L42" s="1363"/>
      <c r="M42" s="69"/>
      <c r="N42" s="69"/>
      <c r="O42" s="69"/>
      <c r="P42" s="69"/>
      <c r="Q42" s="69"/>
      <c r="R42" s="69"/>
      <c r="S42" s="69"/>
      <c r="T42" s="69"/>
      <c r="U42" s="69"/>
    </row>
    <row r="43" spans="1:21" ht="12.75" x14ac:dyDescent="0.2">
      <c r="A43" s="17"/>
      <c r="B43" s="18"/>
      <c r="C43" s="18"/>
      <c r="D43" s="18"/>
      <c r="E43" s="18"/>
      <c r="F43" s="18"/>
      <c r="G43" s="19"/>
      <c r="H43" s="19"/>
      <c r="I43" s="20"/>
      <c r="J43" s="20"/>
      <c r="K43" s="21"/>
      <c r="L43" s="1346"/>
      <c r="M43" s="21"/>
      <c r="N43" s="21"/>
      <c r="O43" s="21"/>
      <c r="P43" s="21"/>
      <c r="Q43" s="21"/>
      <c r="R43" s="21"/>
      <c r="S43" s="21"/>
      <c r="T43" s="21"/>
      <c r="U43" s="21"/>
    </row>
    <row r="44" spans="1:21" ht="19.5" x14ac:dyDescent="0.3">
      <c r="A44" s="70"/>
      <c r="B44" s="71"/>
      <c r="C44" s="72" t="s">
        <v>18</v>
      </c>
      <c r="D44" s="1364" t="s">
        <v>19</v>
      </c>
      <c r="E44" s="71"/>
      <c r="F44" s="71"/>
      <c r="G44" s="74"/>
      <c r="H44" s="75" t="s">
        <v>14</v>
      </c>
      <c r="I44" s="76"/>
      <c r="J44" s="76"/>
      <c r="K44" s="77"/>
      <c r="L44" s="1365">
        <f ca="1">L45+L46</f>
        <v>817176</v>
      </c>
      <c r="M44" s="1366">
        <f ca="1">M45+M46</f>
        <v>819429</v>
      </c>
      <c r="N44" s="1366">
        <f ca="1">N45+N46</f>
        <v>535002</v>
      </c>
      <c r="O44" s="1366">
        <f ca="1">IF(L44&gt;0,N44*100/L44,0)</f>
        <v>65.469617316220734</v>
      </c>
      <c r="P44" s="1366">
        <f ca="1">IF(M44&gt;0,N44*100/M44,0)</f>
        <v>65.289610204178757</v>
      </c>
      <c r="Q44" s="1366">
        <f>Q45+Q46</f>
        <v>0</v>
      </c>
      <c r="R44" s="1366">
        <f>R45+R46</f>
        <v>0</v>
      </c>
      <c r="S44" s="1366">
        <f>S45+S46</f>
        <v>0</v>
      </c>
      <c r="T44" s="1366">
        <f>IF(Q44&gt;0,S44*100/Q44,0)</f>
        <v>0</v>
      </c>
      <c r="U44" s="1366">
        <f>IF(R44&gt;0,S44*100/R44,0)</f>
        <v>0</v>
      </c>
    </row>
    <row r="45" spans="1:21" ht="18.75" x14ac:dyDescent="0.25">
      <c r="A45" s="70"/>
      <c r="B45" s="71"/>
      <c r="C45" s="71"/>
      <c r="D45" s="71"/>
      <c r="E45" s="1367" t="s">
        <v>20</v>
      </c>
      <c r="F45" s="71"/>
      <c r="G45" s="74"/>
      <c r="H45" s="1368" t="s">
        <v>14</v>
      </c>
      <c r="I45" s="76"/>
      <c r="J45" s="76"/>
      <c r="K45" s="77"/>
      <c r="L45" s="1369">
        <f>L48+L51</f>
        <v>0</v>
      </c>
      <c r="M45" s="1370">
        <f>M48+M51</f>
        <v>0</v>
      </c>
      <c r="N45" s="1370">
        <f>N48+N51</f>
        <v>0</v>
      </c>
      <c r="O45" s="1370">
        <f>IF(L45&gt;0,N45*100/L45,0)</f>
        <v>0</v>
      </c>
      <c r="P45" s="1370">
        <f>IF(M45&gt;0,N45*100/M45,0)</f>
        <v>0</v>
      </c>
      <c r="Q45" s="1370">
        <f>Q48+Q51</f>
        <v>0</v>
      </c>
      <c r="R45" s="1370">
        <f>R48+R51</f>
        <v>0</v>
      </c>
      <c r="S45" s="1370">
        <f>S48+S51</f>
        <v>0</v>
      </c>
      <c r="T45" s="1370">
        <f>IF(Q45&gt;0,S45*100/Q45,0)</f>
        <v>0</v>
      </c>
      <c r="U45" s="1370">
        <f>IF(R45&gt;0,S45*100/R45,0)</f>
        <v>0</v>
      </c>
    </row>
    <row r="46" spans="1:21" ht="18.75" x14ac:dyDescent="0.25">
      <c r="A46" s="70"/>
      <c r="B46" s="71"/>
      <c r="C46" s="71"/>
      <c r="D46" s="71"/>
      <c r="E46" s="79" t="s">
        <v>21</v>
      </c>
      <c r="F46" s="71"/>
      <c r="G46" s="74"/>
      <c r="H46" s="80" t="s">
        <v>14</v>
      </c>
      <c r="I46" s="76"/>
      <c r="J46" s="76"/>
      <c r="K46" s="77"/>
      <c r="L46" s="1371">
        <f ca="1">L49+L52</f>
        <v>817176</v>
      </c>
      <c r="M46" s="1372">
        <f ca="1">M49+M52</f>
        <v>819429</v>
      </c>
      <c r="N46" s="1372">
        <f ca="1">N49+N52</f>
        <v>535002</v>
      </c>
      <c r="O46" s="1372">
        <f ca="1">IF(L46&gt;0,N46*100/L46,0)</f>
        <v>65.469617316220734</v>
      </c>
      <c r="P46" s="1372">
        <f ca="1">IF(M46&gt;0,N46*100/M46,0)</f>
        <v>65.289610204178757</v>
      </c>
      <c r="Q46" s="1372">
        <f>Q49+Q52</f>
        <v>0</v>
      </c>
      <c r="R46" s="1372">
        <f>R49+R52</f>
        <v>0</v>
      </c>
      <c r="S46" s="1372">
        <f>S49+S52</f>
        <v>0</v>
      </c>
      <c r="T46" s="1372">
        <f>IF(Q46&gt;0,S46*100/Q46,0)</f>
        <v>0</v>
      </c>
      <c r="U46" s="1372">
        <f>IF(R46&gt;0,S46*100/R46,0)</f>
        <v>0</v>
      </c>
    </row>
    <row r="47" spans="1:21" ht="18.75" x14ac:dyDescent="0.25">
      <c r="A47" s="39"/>
      <c r="B47" s="40"/>
      <c r="C47" s="40"/>
      <c r="D47" s="41" t="s">
        <v>22</v>
      </c>
      <c r="E47" s="40"/>
      <c r="F47" s="40"/>
      <c r="G47" s="42"/>
      <c r="H47" s="43" t="s">
        <v>14</v>
      </c>
      <c r="I47" s="44"/>
      <c r="J47" s="44"/>
      <c r="K47" s="45"/>
      <c r="L47" s="1356">
        <f ca="1">L48+L49</f>
        <v>817176</v>
      </c>
      <c r="M47" s="224">
        <f ca="1">M48+M49</f>
        <v>819429</v>
      </c>
      <c r="N47" s="224">
        <f ca="1">N48+N49</f>
        <v>535002</v>
      </c>
      <c r="O47" s="224">
        <f ca="1">IF(L47&gt;0,N47*100/L47,0)</f>
        <v>65.469617316220734</v>
      </c>
      <c r="P47" s="224">
        <f ca="1">IF(M47&gt;0,N47*100/M47,0)</f>
        <v>65.289610204178757</v>
      </c>
      <c r="Q47" s="224">
        <f>Q48+Q49</f>
        <v>0</v>
      </c>
      <c r="R47" s="224">
        <f>R48+R49</f>
        <v>0</v>
      </c>
      <c r="S47" s="224">
        <f>S48+S49</f>
        <v>0</v>
      </c>
      <c r="T47" s="224">
        <f>IF(Q47&gt;0,S47*100/Q47,0)</f>
        <v>0</v>
      </c>
      <c r="U47" s="224">
        <f>IF(R47&gt;0,S47*100/R47,0)</f>
        <v>0</v>
      </c>
    </row>
    <row r="48" spans="1:21" ht="18.75" x14ac:dyDescent="0.25">
      <c r="A48" s="39"/>
      <c r="B48" s="40"/>
      <c r="C48" s="40"/>
      <c r="D48" s="40"/>
      <c r="E48" s="156" t="s">
        <v>20</v>
      </c>
      <c r="F48" s="40"/>
      <c r="G48" s="42"/>
      <c r="H48" s="1357" t="s">
        <v>14</v>
      </c>
      <c r="I48" s="44"/>
      <c r="J48" s="44"/>
      <c r="K48" s="45"/>
      <c r="L48" s="1358">
        <v>0</v>
      </c>
      <c r="M48" s="83">
        <v>0</v>
      </c>
      <c r="N48" s="83">
        <v>0</v>
      </c>
      <c r="O48" s="83">
        <f>IF(L48&gt;0,N48*100/L48,0)</f>
        <v>0</v>
      </c>
      <c r="P48" s="83">
        <f>IF(M48&gt;0,N48*100/M48,0)</f>
        <v>0</v>
      </c>
      <c r="Q48" s="83">
        <v>0</v>
      </c>
      <c r="R48" s="83">
        <v>0</v>
      </c>
      <c r="S48" s="83">
        <v>0</v>
      </c>
      <c r="T48" s="83">
        <f>IF(Q48&gt;0,S48*100/Q48,0)</f>
        <v>0</v>
      </c>
      <c r="U48" s="83">
        <f>IF(R48&gt;0,S48*100/R48,0)</f>
        <v>0</v>
      </c>
    </row>
    <row r="49" spans="1:21" ht="18.75" x14ac:dyDescent="0.25">
      <c r="A49" s="39"/>
      <c r="B49" s="40"/>
      <c r="C49" s="40"/>
      <c r="D49" s="40"/>
      <c r="E49" s="47" t="s">
        <v>21</v>
      </c>
      <c r="F49" s="40"/>
      <c r="G49" s="42"/>
      <c r="H49" s="43" t="s">
        <v>14</v>
      </c>
      <c r="I49" s="44"/>
      <c r="J49" s="44"/>
      <c r="K49" s="45"/>
      <c r="L49" s="1356">
        <f ca="1">IFERROR(__xludf.DUMMYFUNCTION("IMPORTRANGE(""https://docs.google.com/spreadsheets/d/1-uDff_7J0KD5mKrp0Vvzr7lt3OU09vwQwhkpOPPYv2Y/edit?usp=sharing"",""งบพรบ!P30"")"),817176)</f>
        <v>817176</v>
      </c>
      <c r="M49" s="224">
        <f ca="1">IFERROR(__xludf.DUMMYFUNCTION("IMPORTRANGE(""https://docs.google.com/spreadsheets/d/1-uDff_7J0KD5mKrp0Vvzr7lt3OU09vwQwhkpOPPYv2Y/edit?usp=sharing"",""งบพรบ!V30"")"),819429)</f>
        <v>819429</v>
      </c>
      <c r="N49" s="224">
        <f ca="1">IFERROR(__xludf.DUMMYFUNCTION("IMPORTRANGE(""https://docs.google.com/spreadsheets/d/1-uDff_7J0KD5mKrp0Vvzr7lt3OU09vwQwhkpOPPYv2Y/edit?usp=sharing"",""งบพรบ!Y30"")"),535002)</f>
        <v>535002</v>
      </c>
      <c r="O49" s="224">
        <f ca="1">IF(L49&gt;0,N49*100/L49,0)</f>
        <v>65.469617316220734</v>
      </c>
      <c r="P49" s="224">
        <f ca="1">IF(M49&gt;0,N49*100/M49,0)</f>
        <v>65.289610204178757</v>
      </c>
      <c r="Q49" s="224">
        <v>0</v>
      </c>
      <c r="R49" s="224">
        <v>0</v>
      </c>
      <c r="S49" s="224">
        <v>0</v>
      </c>
      <c r="T49" s="224">
        <f>IF(Q49&gt;0,S49*100/Q49,0)</f>
        <v>0</v>
      </c>
      <c r="U49" s="224">
        <f>IF(R49&gt;0,S49*100/R49,0)</f>
        <v>0</v>
      </c>
    </row>
    <row r="50" spans="1:21" ht="18.75" x14ac:dyDescent="0.25">
      <c r="A50" s="39"/>
      <c r="B50" s="40"/>
      <c r="C50" s="40"/>
      <c r="D50" s="41" t="s">
        <v>23</v>
      </c>
      <c r="E50" s="40"/>
      <c r="F50" s="40"/>
      <c r="G50" s="42"/>
      <c r="H50" s="43" t="s">
        <v>14</v>
      </c>
      <c r="I50" s="44"/>
      <c r="J50" s="44"/>
      <c r="K50" s="45"/>
      <c r="L50" s="1356">
        <f ca="1">L51+L52</f>
        <v>0</v>
      </c>
      <c r="M50" s="224">
        <f ca="1">M51+M52</f>
        <v>0</v>
      </c>
      <c r="N50" s="224">
        <f ca="1">N51+N52</f>
        <v>0</v>
      </c>
      <c r="O50" s="224">
        <f ca="1">IF(L50&gt;0,N50*100/L50,0)</f>
        <v>0</v>
      </c>
      <c r="P50" s="224">
        <f ca="1">IF(M50&gt;0,N50*100/M50,0)</f>
        <v>0</v>
      </c>
      <c r="Q50" s="224">
        <f>Q51+Q52</f>
        <v>0</v>
      </c>
      <c r="R50" s="224">
        <f>R51+R52</f>
        <v>0</v>
      </c>
      <c r="S50" s="224">
        <f>S51+S52</f>
        <v>0</v>
      </c>
      <c r="T50" s="224">
        <f>IF(Q50&gt;0,S50*100/Q50,0)</f>
        <v>0</v>
      </c>
      <c r="U50" s="224">
        <f>IF(R50&gt;0,S50*100/R50,0)</f>
        <v>0</v>
      </c>
    </row>
    <row r="51" spans="1:21" ht="18.75" x14ac:dyDescent="0.25">
      <c r="A51" s="39"/>
      <c r="B51" s="40"/>
      <c r="C51" s="40"/>
      <c r="D51" s="40"/>
      <c r="E51" s="156" t="s">
        <v>20</v>
      </c>
      <c r="F51" s="40"/>
      <c r="G51" s="42"/>
      <c r="H51" s="1357" t="s">
        <v>14</v>
      </c>
      <c r="I51" s="44"/>
      <c r="J51" s="44"/>
      <c r="K51" s="45"/>
      <c r="L51" s="1358">
        <v>0</v>
      </c>
      <c r="M51" s="83">
        <v>0</v>
      </c>
      <c r="N51" s="83">
        <v>0</v>
      </c>
      <c r="O51" s="83">
        <f>IF(L51&gt;0,N51*100/L51,0)</f>
        <v>0</v>
      </c>
      <c r="P51" s="83">
        <f>IF(M51&gt;0,N51*100/M51,0)</f>
        <v>0</v>
      </c>
      <c r="Q51" s="83">
        <v>0</v>
      </c>
      <c r="R51" s="83">
        <v>0</v>
      </c>
      <c r="S51" s="83">
        <v>0</v>
      </c>
      <c r="T51" s="83">
        <f>IF(Q51&gt;0,S51*100/Q51,0)</f>
        <v>0</v>
      </c>
      <c r="U51" s="83">
        <f>IF(R51&gt;0,S51*100/R51,0)</f>
        <v>0</v>
      </c>
    </row>
    <row r="52" spans="1:21" ht="18.75" x14ac:dyDescent="0.25">
      <c r="A52" s="39"/>
      <c r="B52" s="40"/>
      <c r="C52" s="40"/>
      <c r="D52" s="40"/>
      <c r="E52" s="47" t="s">
        <v>21</v>
      </c>
      <c r="F52" s="40"/>
      <c r="G52" s="42"/>
      <c r="H52" s="43" t="s">
        <v>14</v>
      </c>
      <c r="I52" s="44"/>
      <c r="J52" s="44"/>
      <c r="K52" s="45"/>
      <c r="L52" s="1356">
        <f ca="1">IFERROR(__xludf.DUMMYFUNCTION("IMPORTRANGE(""https://docs.google.com/spreadsheets/d/1-uDff_7J0KD5mKrp0Vvzr7lt3OU09vwQwhkpOPPYv2Y/edit?usp=sharing"",""งบพรบ!S30"")"),0)</f>
        <v>0</v>
      </c>
      <c r="M52" s="224">
        <f ca="1">IFERROR(__xludf.DUMMYFUNCTION("IMPORTRANGE(""https://docs.google.com/spreadsheets/d/1-uDff_7J0KD5mKrp0Vvzr7lt3OU09vwQwhkpOPPYv2Y/edit?usp=sharing"",""งบพรบ!W30"")"),0)</f>
        <v>0</v>
      </c>
      <c r="N52" s="224">
        <f ca="1">IFERROR(__xludf.DUMMYFUNCTION("IMPORTRANGE(""https://docs.google.com/spreadsheets/d/1-uDff_7J0KD5mKrp0Vvzr7lt3OU09vwQwhkpOPPYv2Y/edit?usp=sharing"",""งบพรบ!Z30"")"),0)</f>
        <v>0</v>
      </c>
      <c r="O52" s="224">
        <f ca="1">IF(L52&gt;0,N52*100/L52,0)</f>
        <v>0</v>
      </c>
      <c r="P52" s="224">
        <f ca="1">IF(M52&gt;0,N52*100/M52,0)</f>
        <v>0</v>
      </c>
      <c r="Q52" s="224">
        <v>0</v>
      </c>
      <c r="R52" s="224">
        <v>0</v>
      </c>
      <c r="S52" s="224">
        <v>0</v>
      </c>
      <c r="T52" s="224">
        <f>IF(Q52&gt;0,S52*100/Q52,0)</f>
        <v>0</v>
      </c>
      <c r="U52" s="224">
        <f>IF(R52&gt;0,S52*100/R52,0)</f>
        <v>0</v>
      </c>
    </row>
    <row r="53" spans="1:21" ht="18.75" x14ac:dyDescent="0.25">
      <c r="A53" s="39"/>
      <c r="B53" s="40"/>
      <c r="C53" s="40"/>
      <c r="D53" s="41" t="s">
        <v>24</v>
      </c>
      <c r="E53" s="40"/>
      <c r="F53" s="40"/>
      <c r="G53" s="42"/>
      <c r="H53" s="43" t="s">
        <v>14</v>
      </c>
      <c r="I53" s="44"/>
      <c r="J53" s="44"/>
      <c r="K53" s="45"/>
      <c r="L53" s="1359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18.75" x14ac:dyDescent="0.25">
      <c r="A54" s="39"/>
      <c r="B54" s="40"/>
      <c r="C54" s="40"/>
      <c r="D54" s="40"/>
      <c r="E54" s="156" t="s">
        <v>20</v>
      </c>
      <c r="F54" s="40"/>
      <c r="G54" s="42"/>
      <c r="H54" s="1357" t="s">
        <v>14</v>
      </c>
      <c r="I54" s="44"/>
      <c r="J54" s="44"/>
      <c r="K54" s="45"/>
      <c r="L54" s="1359"/>
      <c r="M54" s="45"/>
      <c r="N54" s="45"/>
      <c r="O54" s="45"/>
      <c r="P54" s="45"/>
      <c r="Q54" s="45"/>
      <c r="R54" s="45"/>
      <c r="S54" s="45"/>
      <c r="T54" s="45"/>
      <c r="U54" s="45"/>
    </row>
    <row r="55" spans="1:21" ht="18.75" x14ac:dyDescent="0.25">
      <c r="A55" s="50"/>
      <c r="B55" s="1"/>
      <c r="C55" s="1"/>
      <c r="D55" s="1"/>
      <c r="E55" s="51" t="s">
        <v>21</v>
      </c>
      <c r="F55" s="1"/>
      <c r="G55" s="52"/>
      <c r="H55" s="53" t="s">
        <v>14</v>
      </c>
      <c r="I55" s="54"/>
      <c r="J55" s="54"/>
      <c r="K55" s="3"/>
      <c r="L55" s="1360"/>
      <c r="M55" s="3"/>
      <c r="N55" s="3"/>
      <c r="O55" s="3"/>
      <c r="P55" s="3"/>
      <c r="Q55" s="3"/>
      <c r="R55" s="3"/>
      <c r="S55" s="3"/>
      <c r="T55" s="3"/>
      <c r="U55" s="3"/>
    </row>
    <row r="56" spans="1:21" ht="19.5" x14ac:dyDescent="0.3">
      <c r="A56" s="1296" t="s">
        <v>28</v>
      </c>
      <c r="B56" s="1292"/>
      <c r="C56" s="1292"/>
      <c r="D56" s="1292"/>
      <c r="E56" s="1292"/>
      <c r="F56" s="1292"/>
      <c r="G56" s="1293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1297" t="s">
        <v>29</v>
      </c>
      <c r="C57" s="1285"/>
      <c r="D57" s="1285"/>
      <c r="E57" s="1285"/>
      <c r="F57" s="1285"/>
      <c r="G57" s="1286"/>
      <c r="H57" s="89"/>
      <c r="I57" s="90"/>
      <c r="J57" s="90"/>
      <c r="K57" s="91"/>
      <c r="L57" s="137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1374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1375" t="s">
        <v>19</v>
      </c>
      <c r="E59" s="99"/>
      <c r="F59" s="99"/>
      <c r="G59" s="102"/>
      <c r="H59" s="103" t="s">
        <v>14</v>
      </c>
      <c r="I59" s="104"/>
      <c r="J59" s="104"/>
      <c r="K59" s="105"/>
      <c r="L59" s="1376">
        <f ca="1">L60+L61</f>
        <v>1273900</v>
      </c>
      <c r="M59" s="1377">
        <f ca="1">M60+M61</f>
        <v>1273900</v>
      </c>
      <c r="N59" s="1377">
        <f ca="1">N60+N61</f>
        <v>583185.32999999996</v>
      </c>
      <c r="O59" s="1377">
        <f ca="1">IF(L59&gt;0,N59*100/L59,0)</f>
        <v>45.779521940497681</v>
      </c>
      <c r="P59" s="1377">
        <f ca="1">IF(M59&gt;0,N59*100/M59,0)</f>
        <v>45.779521940497681</v>
      </c>
      <c r="Q59" s="1377">
        <f>Q60+Q61</f>
        <v>0</v>
      </c>
      <c r="R59" s="1377">
        <f>R60+R61</f>
        <v>0</v>
      </c>
      <c r="S59" s="1377">
        <f>S60+S61</f>
        <v>0</v>
      </c>
      <c r="T59" s="1377">
        <f>IF(Q59&gt;0,S59*100/Q59,0)</f>
        <v>0</v>
      </c>
      <c r="U59" s="1377">
        <f>IF(R59&gt;0,S59*100/R59,0)</f>
        <v>0</v>
      </c>
    </row>
    <row r="60" spans="1:21" ht="18.75" x14ac:dyDescent="0.25">
      <c r="A60" s="98"/>
      <c r="B60" s="99"/>
      <c r="C60" s="99"/>
      <c r="D60" s="99"/>
      <c r="E60" s="1378" t="s">
        <v>20</v>
      </c>
      <c r="F60" s="99"/>
      <c r="G60" s="102"/>
      <c r="H60" s="1379" t="s">
        <v>14</v>
      </c>
      <c r="I60" s="104"/>
      <c r="J60" s="104"/>
      <c r="K60" s="105"/>
      <c r="L60" s="1380">
        <f>L63+L66</f>
        <v>0</v>
      </c>
      <c r="M60" s="1381">
        <f>M63+M66</f>
        <v>0</v>
      </c>
      <c r="N60" s="1381">
        <f>N63+N66</f>
        <v>0</v>
      </c>
      <c r="O60" s="1381">
        <f>IF(L60&gt;0,N60*100/L60,0)</f>
        <v>0</v>
      </c>
      <c r="P60" s="1381">
        <f>IF(M60&gt;0,N60*100/M60,0)</f>
        <v>0</v>
      </c>
      <c r="Q60" s="1381">
        <f>Q63+Q66</f>
        <v>0</v>
      </c>
      <c r="R60" s="1381">
        <f>R63+R66</f>
        <v>0</v>
      </c>
      <c r="S60" s="1381">
        <f>S63+S66</f>
        <v>0</v>
      </c>
      <c r="T60" s="1381">
        <f>IF(Q60&gt;0,S60*100/Q60,0)</f>
        <v>0</v>
      </c>
      <c r="U60" s="1381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1382">
        <f ca="1">L64+L67</f>
        <v>1273900</v>
      </c>
      <c r="M61" s="1383">
        <f ca="1">M64+M67</f>
        <v>1273900</v>
      </c>
      <c r="N61" s="1383">
        <f ca="1">N64+N67</f>
        <v>583185.32999999996</v>
      </c>
      <c r="O61" s="1383">
        <f ca="1">IF(L61&gt;0,N61*100/L61,0)</f>
        <v>45.779521940497681</v>
      </c>
      <c r="P61" s="1383">
        <f ca="1">IF(M61&gt;0,N61*100/M61,0)</f>
        <v>45.779521940497681</v>
      </c>
      <c r="Q61" s="1383">
        <f>Q64+Q67</f>
        <v>0</v>
      </c>
      <c r="R61" s="1383">
        <f>R64+R67</f>
        <v>0</v>
      </c>
      <c r="S61" s="1383">
        <f>S64+S67</f>
        <v>0</v>
      </c>
      <c r="T61" s="1383">
        <f>IF(Q61&gt;0,S61*100/Q61,0)</f>
        <v>0</v>
      </c>
      <c r="U61" s="1383">
        <f>IF(R61&gt;0,S61*100/R61,0)</f>
        <v>0</v>
      </c>
    </row>
    <row r="62" spans="1:21" ht="18.75" x14ac:dyDescent="0.25">
      <c r="A62" s="39"/>
      <c r="B62" s="40"/>
      <c r="C62" s="40"/>
      <c r="D62" s="41" t="s">
        <v>22</v>
      </c>
      <c r="E62" s="40"/>
      <c r="F62" s="40"/>
      <c r="G62" s="42"/>
      <c r="H62" s="43" t="s">
        <v>14</v>
      </c>
      <c r="I62" s="44"/>
      <c r="J62" s="44"/>
      <c r="K62" s="45"/>
      <c r="L62" s="1356">
        <f ca="1">L63+L64</f>
        <v>793900</v>
      </c>
      <c r="M62" s="224">
        <f ca="1">M63+M64</f>
        <v>793900</v>
      </c>
      <c r="N62" s="224">
        <f ca="1">N63+N64</f>
        <v>583185.32999999996</v>
      </c>
      <c r="O62" s="224">
        <f ca="1">IF(L62&gt;0,N62*100/L62,0)</f>
        <v>73.458285678297003</v>
      </c>
      <c r="P62" s="224">
        <f ca="1">IF(M62&gt;0,N62*100/M62,0)</f>
        <v>73.458285678297003</v>
      </c>
      <c r="Q62" s="224">
        <f>Q63+Q64</f>
        <v>0</v>
      </c>
      <c r="R62" s="224">
        <f>R63+R64</f>
        <v>0</v>
      </c>
      <c r="S62" s="224">
        <f>S63+S64</f>
        <v>0</v>
      </c>
      <c r="T62" s="224">
        <f>IF(Q62&gt;0,S62*100/Q62,0)</f>
        <v>0</v>
      </c>
      <c r="U62" s="224">
        <f>IF(R62&gt;0,S62*100/R62,0)</f>
        <v>0</v>
      </c>
    </row>
    <row r="63" spans="1:21" ht="18.75" x14ac:dyDescent="0.25">
      <c r="A63" s="39"/>
      <c r="B63" s="40"/>
      <c r="C63" s="40"/>
      <c r="D63" s="40"/>
      <c r="E63" s="156" t="s">
        <v>20</v>
      </c>
      <c r="F63" s="40"/>
      <c r="G63" s="42"/>
      <c r="H63" s="1357" t="s">
        <v>14</v>
      </c>
      <c r="I63" s="44"/>
      <c r="J63" s="44"/>
      <c r="K63" s="45"/>
      <c r="L63" s="1358">
        <v>0</v>
      </c>
      <c r="M63" s="83">
        <v>0</v>
      </c>
      <c r="N63" s="83">
        <v>0</v>
      </c>
      <c r="O63" s="83">
        <f>IF(L63&gt;0,N63*100/L63,0)</f>
        <v>0</v>
      </c>
      <c r="P63" s="83">
        <f>IF(M63&gt;0,N63*100/M63,0)</f>
        <v>0</v>
      </c>
      <c r="Q63" s="83">
        <v>0</v>
      </c>
      <c r="R63" s="83">
        <v>0</v>
      </c>
      <c r="S63" s="83">
        <v>0</v>
      </c>
      <c r="T63" s="83">
        <f>IF(Q63&gt;0,S63*100/Q63,0)</f>
        <v>0</v>
      </c>
      <c r="U63" s="83">
        <f>IF(R63&gt;0,S63*100/R63,0)</f>
        <v>0</v>
      </c>
    </row>
    <row r="64" spans="1:21" ht="18.75" x14ac:dyDescent="0.25">
      <c r="A64" s="39"/>
      <c r="B64" s="40"/>
      <c r="C64" s="40"/>
      <c r="D64" s="40"/>
      <c r="E64" s="47" t="s">
        <v>21</v>
      </c>
      <c r="F64" s="40"/>
      <c r="G64" s="42"/>
      <c r="H64" s="43" t="s">
        <v>14</v>
      </c>
      <c r="I64" s="44"/>
      <c r="J64" s="44"/>
      <c r="K64" s="45"/>
      <c r="L64" s="1356">
        <f ca="1">IFERROR(__xludf.DUMMYFUNCTION("IMPORTRANGE(""https://docs.google.com/spreadsheets/d/1-uDff_7J0KD5mKrp0Vvzr7lt3OU09vwQwhkpOPPYv2Y/edit?usp=sharing"",""งบพรบ!AC30"")"),793900)</f>
        <v>793900</v>
      </c>
      <c r="M64" s="224">
        <f ca="1">IFERROR(__xludf.DUMMYFUNCTION("IMPORTRANGE(""https://docs.google.com/spreadsheets/d/1-uDff_7J0KD5mKrp0Vvzr7lt3OU09vwQwhkpOPPYv2Y/edit?usp=sharing"",""งบพรบ!AH30"")"),793900)</f>
        <v>793900</v>
      </c>
      <c r="N64" s="224">
        <f ca="1">IFERROR(__xludf.DUMMYFUNCTION("IMPORTRANGE(""https://docs.google.com/spreadsheets/d/1-uDff_7J0KD5mKrp0Vvzr7lt3OU09vwQwhkpOPPYv2Y/edit?usp=sharing"",""งบพรบ!AJ30"")"),583185.33)</f>
        <v>583185.32999999996</v>
      </c>
      <c r="O64" s="224">
        <f ca="1">IF(L64&gt;0,N64*100/L64,0)</f>
        <v>73.458285678297003</v>
      </c>
      <c r="P64" s="224">
        <f ca="1">IF(M64&gt;0,N64*100/M64,0)</f>
        <v>73.458285678297003</v>
      </c>
      <c r="Q64" s="224">
        <v>0</v>
      </c>
      <c r="R64" s="224">
        <v>0</v>
      </c>
      <c r="S64" s="224">
        <v>0</v>
      </c>
      <c r="T64" s="224">
        <f>IF(Q64&gt;0,S64*100/Q64,0)</f>
        <v>0</v>
      </c>
      <c r="U64" s="224">
        <f>IF(R64&gt;0,S64*100/R64,0)</f>
        <v>0</v>
      </c>
    </row>
    <row r="65" spans="1:21" ht="18.75" x14ac:dyDescent="0.25">
      <c r="A65" s="39"/>
      <c r="B65" s="40"/>
      <c r="C65" s="40"/>
      <c r="D65" s="41" t="s">
        <v>23</v>
      </c>
      <c r="E65" s="40"/>
      <c r="F65" s="40"/>
      <c r="G65" s="42"/>
      <c r="H65" s="43" t="s">
        <v>14</v>
      </c>
      <c r="I65" s="44"/>
      <c r="J65" s="44"/>
      <c r="K65" s="45"/>
      <c r="L65" s="1356">
        <f ca="1">L66+L67</f>
        <v>480000</v>
      </c>
      <c r="M65" s="224">
        <f ca="1">M66+M67</f>
        <v>480000</v>
      </c>
      <c r="N65" s="224">
        <f ca="1">N66+N67</f>
        <v>0</v>
      </c>
      <c r="O65" s="224">
        <f ca="1">IF(L65&gt;0,N65*100/L65,0)</f>
        <v>0</v>
      </c>
      <c r="P65" s="224">
        <f ca="1">IF(M65&gt;0,N65*100/M65,0)</f>
        <v>0</v>
      </c>
      <c r="Q65" s="224">
        <f>Q66+Q67</f>
        <v>0</v>
      </c>
      <c r="R65" s="224">
        <f>R66+R67</f>
        <v>0</v>
      </c>
      <c r="S65" s="224">
        <f>S66+S67</f>
        <v>0</v>
      </c>
      <c r="T65" s="224">
        <f>IF(Q65&gt;0,S65*100/Q65,0)</f>
        <v>0</v>
      </c>
      <c r="U65" s="224">
        <f>IF(R65&gt;0,S65*100/R65,0)</f>
        <v>0</v>
      </c>
    </row>
    <row r="66" spans="1:21" ht="18.75" x14ac:dyDescent="0.25">
      <c r="A66" s="39"/>
      <c r="B66" s="40"/>
      <c r="C66" s="40"/>
      <c r="D66" s="40"/>
      <c r="E66" s="156" t="s">
        <v>20</v>
      </c>
      <c r="F66" s="40"/>
      <c r="G66" s="42"/>
      <c r="H66" s="1357" t="s">
        <v>14</v>
      </c>
      <c r="I66" s="44"/>
      <c r="J66" s="44"/>
      <c r="K66" s="45"/>
      <c r="L66" s="1358">
        <v>0</v>
      </c>
      <c r="M66" s="83">
        <v>0</v>
      </c>
      <c r="N66" s="83">
        <v>0</v>
      </c>
      <c r="O66" s="83">
        <f>IF(L66&gt;0,N66*100/L66,0)</f>
        <v>0</v>
      </c>
      <c r="P66" s="83">
        <f>IF(M66&gt;0,N66*100/M66,0)</f>
        <v>0</v>
      </c>
      <c r="Q66" s="83">
        <v>0</v>
      </c>
      <c r="R66" s="83">
        <v>0</v>
      </c>
      <c r="S66" s="83">
        <v>0</v>
      </c>
      <c r="T66" s="83">
        <f>IF(Q66&gt;0,S66*100/Q66,0)</f>
        <v>0</v>
      </c>
      <c r="U66" s="83">
        <f>IF(R66&gt;0,S66*100/R66,0)</f>
        <v>0</v>
      </c>
    </row>
    <row r="67" spans="1:21" ht="18.75" x14ac:dyDescent="0.25">
      <c r="A67" s="50"/>
      <c r="B67" s="1"/>
      <c r="C67" s="1"/>
      <c r="D67" s="1"/>
      <c r="E67" s="51" t="s">
        <v>21</v>
      </c>
      <c r="F67" s="1"/>
      <c r="G67" s="52"/>
      <c r="H67" s="53" t="s">
        <v>14</v>
      </c>
      <c r="I67" s="54"/>
      <c r="J67" s="54"/>
      <c r="K67" s="3"/>
      <c r="L67" s="1384">
        <f ca="1">IFERROR(__xludf.DUMMYFUNCTION("IMPORTRANGE(""https://docs.google.com/spreadsheets/d/1-uDff_7J0KD5mKrp0Vvzr7lt3OU09vwQwhkpOPPYv2Y/edit?usp=sharing"",""งบพรบ!AF30"")"),480000)</f>
        <v>480000</v>
      </c>
      <c r="M67" s="448">
        <f ca="1">IFERROR(__xludf.DUMMYFUNCTION("IMPORTRANGE(""https://docs.google.com/spreadsheets/d/1-uDff_7J0KD5mKrp0Vvzr7lt3OU09vwQwhkpOPPYv2Y/edit?usp=sharing"",""งบพรบ!AI30"")"),480000)</f>
        <v>480000</v>
      </c>
      <c r="N67" s="448">
        <f ca="1">IFERROR(__xludf.DUMMYFUNCTION("IMPORTRANGE(""https://docs.google.com/spreadsheets/d/1-uDff_7J0KD5mKrp0Vvzr7lt3OU09vwQwhkpOPPYv2Y/edit?usp=sharing"",""งบพรบ!AK30"")"),0)</f>
        <v>0</v>
      </c>
      <c r="O67" s="448">
        <f ca="1">IF(L67&gt;0,N67*100/L67,0)</f>
        <v>0</v>
      </c>
      <c r="P67" s="448">
        <f ca="1">IF(M67&gt;0,N67*100/M67,0)</f>
        <v>0</v>
      </c>
      <c r="Q67" s="448">
        <v>0</v>
      </c>
      <c r="R67" s="448">
        <v>0</v>
      </c>
      <c r="S67" s="448">
        <v>0</v>
      </c>
      <c r="T67" s="448">
        <f>IF(Q67&gt;0,S67*100/Q67,0)</f>
        <v>0</v>
      </c>
      <c r="U67" s="448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1385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8" t="s">
        <v>33</v>
      </c>
      <c r="C70" s="27"/>
      <c r="D70" s="125"/>
      <c r="E70" s="27"/>
      <c r="F70" s="27"/>
      <c r="G70" s="30"/>
      <c r="H70" s="126" t="s">
        <v>34</v>
      </c>
      <c r="I70" s="1386">
        <f ca="1">I82</f>
        <v>2</v>
      </c>
      <c r="J70" s="1386">
        <f>J82</f>
        <v>2</v>
      </c>
      <c r="K70" s="1349">
        <f ca="1">IF(I70&gt;0,J70*100/I70,0)</f>
        <v>100</v>
      </c>
      <c r="L70" s="1387"/>
      <c r="M70" s="33"/>
      <c r="N70" s="33"/>
      <c r="O70" s="33"/>
      <c r="P70" s="33"/>
      <c r="Q70" s="33"/>
      <c r="R70" s="33"/>
      <c r="S70" s="33"/>
      <c r="T70" s="33"/>
      <c r="U70" s="33"/>
    </row>
    <row r="71" spans="1:21" ht="19.5" x14ac:dyDescent="0.3">
      <c r="A71" s="124"/>
      <c r="B71" s="27"/>
      <c r="C71" s="27"/>
      <c r="D71" s="125"/>
      <c r="E71" s="27"/>
      <c r="F71" s="27"/>
      <c r="G71" s="30"/>
      <c r="H71" s="126" t="s">
        <v>35</v>
      </c>
      <c r="I71" s="1386">
        <f ca="1">I83</f>
        <v>149</v>
      </c>
      <c r="J71" s="1386">
        <f>J83</f>
        <v>149</v>
      </c>
      <c r="K71" s="1349">
        <f ca="1">IF(I71&gt;0,J71*100/I71,0)</f>
        <v>100</v>
      </c>
      <c r="L71" s="1387"/>
      <c r="M71" s="33"/>
      <c r="N71" s="33"/>
      <c r="O71" s="33"/>
      <c r="P71" s="33"/>
      <c r="Q71" s="33"/>
      <c r="R71" s="33"/>
      <c r="S71" s="33"/>
      <c r="T71" s="33"/>
      <c r="U71" s="33"/>
    </row>
    <row r="72" spans="1:21" ht="19.5" x14ac:dyDescent="0.3">
      <c r="A72" s="128"/>
      <c r="B72" s="40"/>
      <c r="C72" s="129" t="s">
        <v>18</v>
      </c>
      <c r="D72" s="1388" t="s">
        <v>19</v>
      </c>
      <c r="E72" s="40"/>
      <c r="F72" s="40"/>
      <c r="G72" s="42"/>
      <c r="H72" s="131" t="s">
        <v>14</v>
      </c>
      <c r="I72" s="44"/>
      <c r="J72" s="44"/>
      <c r="K72" s="45"/>
      <c r="L72" s="1389">
        <f ca="1">L73+L74</f>
        <v>202000</v>
      </c>
      <c r="M72" s="1390">
        <f ca="1">M73+M74</f>
        <v>202000</v>
      </c>
      <c r="N72" s="1390">
        <f ca="1">N73+N74</f>
        <v>144439</v>
      </c>
      <c r="O72" s="1390">
        <f ca="1">IF(L72&gt;0,N72*100/L72,0)</f>
        <v>71.504455445544551</v>
      </c>
      <c r="P72" s="1390">
        <f ca="1">IF(M72&gt;0,N72*100/M72,0)</f>
        <v>71.504455445544551</v>
      </c>
      <c r="Q72" s="1390">
        <f ca="1">Q73+Q74</f>
        <v>1340480</v>
      </c>
      <c r="R72" s="1390">
        <f ca="1">R73+R74</f>
        <v>1340480</v>
      </c>
      <c r="S72" s="1390">
        <f ca="1">S73+S74</f>
        <v>108890</v>
      </c>
      <c r="T72" s="1390">
        <f ca="1">IF(Q72&gt;0,S72*100/Q72,0)</f>
        <v>8.1232095965624254</v>
      </c>
      <c r="U72" s="1390">
        <f ca="1">IF(R72&gt;0,S72*100/R72,0)</f>
        <v>8.1232095965624254</v>
      </c>
    </row>
    <row r="73" spans="1:21" ht="18.75" x14ac:dyDescent="0.25">
      <c r="A73" s="128"/>
      <c r="B73" s="40"/>
      <c r="C73" s="40"/>
      <c r="D73" s="40"/>
      <c r="E73" s="156" t="s">
        <v>20</v>
      </c>
      <c r="F73" s="40"/>
      <c r="G73" s="42"/>
      <c r="H73" s="157" t="s">
        <v>14</v>
      </c>
      <c r="I73" s="44"/>
      <c r="J73" s="44"/>
      <c r="K73" s="45"/>
      <c r="L73" s="1358">
        <f>L76+L79</f>
        <v>0</v>
      </c>
      <c r="M73" s="83">
        <f>M76+M79</f>
        <v>0</v>
      </c>
      <c r="N73" s="83">
        <f>N76+N79</f>
        <v>0</v>
      </c>
      <c r="O73" s="83">
        <f>IF(L73&gt;0,N73*100/L73,0)</f>
        <v>0</v>
      </c>
      <c r="P73" s="83">
        <f>IF(M73&gt;0,N73*100/M73,0)</f>
        <v>0</v>
      </c>
      <c r="Q73" s="83">
        <f>Q76+Q79</f>
        <v>0</v>
      </c>
      <c r="R73" s="83">
        <f>R76+R79</f>
        <v>0</v>
      </c>
      <c r="S73" s="83">
        <f>S76+S79</f>
        <v>0</v>
      </c>
      <c r="T73" s="83">
        <f>IF(Q73&gt;0,S73*100/Q73,0)</f>
        <v>0</v>
      </c>
      <c r="U73" s="83">
        <f>IF(R73&gt;0,S73*100/R73,0)</f>
        <v>0</v>
      </c>
    </row>
    <row r="74" spans="1:21" ht="18.75" x14ac:dyDescent="0.25">
      <c r="A74" s="128"/>
      <c r="B74" s="40"/>
      <c r="C74" s="40"/>
      <c r="D74" s="40"/>
      <c r="E74" s="47" t="s">
        <v>21</v>
      </c>
      <c r="F74" s="40"/>
      <c r="G74" s="42"/>
      <c r="H74" s="133" t="s">
        <v>14</v>
      </c>
      <c r="I74" s="44"/>
      <c r="J74" s="44"/>
      <c r="K74" s="45"/>
      <c r="L74" s="1356">
        <f ca="1">L77+L80</f>
        <v>202000</v>
      </c>
      <c r="M74" s="224">
        <f ca="1">M77+M80</f>
        <v>202000</v>
      </c>
      <c r="N74" s="224">
        <f ca="1">N77+N80</f>
        <v>144439</v>
      </c>
      <c r="O74" s="224">
        <f ca="1">IF(L74&gt;0,N74*100/L74,0)</f>
        <v>71.504455445544551</v>
      </c>
      <c r="P74" s="224">
        <f ca="1">IF(M74&gt;0,N74*100/M74,0)</f>
        <v>71.504455445544551</v>
      </c>
      <c r="Q74" s="224">
        <f ca="1">Q77+Q80</f>
        <v>1340480</v>
      </c>
      <c r="R74" s="224">
        <f ca="1">R77+R80</f>
        <v>1340480</v>
      </c>
      <c r="S74" s="224">
        <f ca="1">S77+S80</f>
        <v>108890</v>
      </c>
      <c r="T74" s="224">
        <f ca="1">IF(Q74&gt;0,S74*100/Q74,0)</f>
        <v>8.1232095965624254</v>
      </c>
      <c r="U74" s="224">
        <f ca="1">IF(R74&gt;0,S74*100/R74,0)</f>
        <v>8.1232095965624254</v>
      </c>
    </row>
    <row r="75" spans="1:21" ht="18.75" x14ac:dyDescent="0.25">
      <c r="A75" s="128"/>
      <c r="B75" s="40"/>
      <c r="C75" s="40"/>
      <c r="D75" s="41" t="s">
        <v>22</v>
      </c>
      <c r="E75" s="40"/>
      <c r="F75" s="40"/>
      <c r="G75" s="42"/>
      <c r="H75" s="134" t="s">
        <v>14</v>
      </c>
      <c r="I75" s="135"/>
      <c r="J75" s="135"/>
      <c r="K75" s="136"/>
      <c r="L75" s="1356">
        <f ca="1">L76+L77</f>
        <v>202000</v>
      </c>
      <c r="M75" s="224">
        <f ca="1">M76+M77</f>
        <v>202000</v>
      </c>
      <c r="N75" s="224">
        <f ca="1">N76+N77</f>
        <v>144439</v>
      </c>
      <c r="O75" s="224">
        <f ca="1">IF(L75&gt;0,N75*100/L75,0)</f>
        <v>71.504455445544551</v>
      </c>
      <c r="P75" s="224">
        <f ca="1">IF(M75&gt;0,N75*100/M75,0)</f>
        <v>71.504455445544551</v>
      </c>
      <c r="Q75" s="224">
        <f ca="1">Q76+Q77</f>
        <v>1340480</v>
      </c>
      <c r="R75" s="224">
        <f ca="1">R76+R77</f>
        <v>1340480</v>
      </c>
      <c r="S75" s="224">
        <f ca="1">S76+S77</f>
        <v>108890</v>
      </c>
      <c r="T75" s="224">
        <f ca="1">IF(Q75&gt;0,S75*100/Q75,0)</f>
        <v>8.1232095965624254</v>
      </c>
      <c r="U75" s="224">
        <f ca="1">IF(R75&gt;0,S75*100/R75,0)</f>
        <v>8.1232095965624254</v>
      </c>
    </row>
    <row r="76" spans="1:21" ht="18.75" x14ac:dyDescent="0.25">
      <c r="A76" s="128"/>
      <c r="B76" s="40"/>
      <c r="C76" s="40"/>
      <c r="D76" s="40"/>
      <c r="E76" s="156" t="s">
        <v>36</v>
      </c>
      <c r="F76" s="40"/>
      <c r="G76" s="42"/>
      <c r="H76" s="159" t="s">
        <v>14</v>
      </c>
      <c r="I76" s="135"/>
      <c r="J76" s="135"/>
      <c r="K76" s="136"/>
      <c r="L76" s="1358">
        <v>0</v>
      </c>
      <c r="M76" s="83">
        <v>0</v>
      </c>
      <c r="N76" s="83">
        <v>0</v>
      </c>
      <c r="O76" s="83">
        <f>IF(L76&gt;0,N76*100/L76,0)</f>
        <v>0</v>
      </c>
      <c r="P76" s="83">
        <f>IF(M76&gt;0,N76*100/M76,0)</f>
        <v>0</v>
      </c>
      <c r="Q76" s="83">
        <v>0</v>
      </c>
      <c r="R76" s="83">
        <v>0</v>
      </c>
      <c r="S76" s="83">
        <v>0</v>
      </c>
      <c r="T76" s="83">
        <f>IF(Q76&gt;0,S76*100/Q76,0)</f>
        <v>0</v>
      </c>
      <c r="U76" s="83">
        <f>IF(R76&gt;0,S76*100/R76,0)</f>
        <v>0</v>
      </c>
    </row>
    <row r="77" spans="1:21" ht="18.75" x14ac:dyDescent="0.25">
      <c r="A77" s="128"/>
      <c r="B77" s="40"/>
      <c r="C77" s="40"/>
      <c r="D77" s="40"/>
      <c r="E77" s="47" t="s">
        <v>37</v>
      </c>
      <c r="F77" s="40"/>
      <c r="G77" s="42"/>
      <c r="H77" s="134" t="s">
        <v>14</v>
      </c>
      <c r="I77" s="135"/>
      <c r="J77" s="135"/>
      <c r="K77" s="136"/>
      <c r="L77" s="1356">
        <f ca="1">IFERROR(__xludf.DUMMYFUNCTION("IMPORTRANGE(""https://docs.google.com/spreadsheets/d/1-uDff_7J0KD5mKrp0Vvzr7lt3OU09vwQwhkpOPPYv2Y/edit?usp=sharing"",""งบพรบ!AM30"")"),202000)</f>
        <v>202000</v>
      </c>
      <c r="M77" s="224">
        <f ca="1">IFERROR(__xludf.DUMMYFUNCTION("IMPORTRANGE(""https://docs.google.com/spreadsheets/d/1-uDff_7J0KD5mKrp0Vvzr7lt3OU09vwQwhkpOPPYv2Y/edit?usp=sharing"",""งบพรบ!AR30"")"),202000)</f>
        <v>202000</v>
      </c>
      <c r="N77" s="224">
        <f ca="1">IFERROR(__xludf.DUMMYFUNCTION("IMPORTRANGE(""https://docs.google.com/spreadsheets/d/1-uDff_7J0KD5mKrp0Vvzr7lt3OU09vwQwhkpOPPYv2Y/edit?usp=sharing"",""งบพรบ!AT30"")"),144439)</f>
        <v>144439</v>
      </c>
      <c r="O77" s="224">
        <f ca="1">IF(L77&gt;0,N77*100/L77,0)</f>
        <v>71.504455445544551</v>
      </c>
      <c r="P77" s="224">
        <f ca="1">IF(M77&gt;0,N77*100/M77,0)</f>
        <v>71.504455445544551</v>
      </c>
      <c r="Q77" s="224">
        <f ca="1">IFERROR(__xludf.DUMMYFUNCTION("IMPORTRANGE(""https://docs.google.com/spreadsheets/d/1ItG2mGa2ceCfYo0BwxsXqNm01IGEUdYcSSLTEv9YCik/edit?usp=sharing"",""เบิกจ่ายกองทุน!BH30"")"),1340480)</f>
        <v>1340480</v>
      </c>
      <c r="R77" s="224">
        <f ca="1">IFERROR(__xludf.DUMMYFUNCTION("IMPORTRANGE(""https://docs.google.com/spreadsheets/d/1ItG2mGa2ceCfYo0BwxsXqNm01IGEUdYcSSLTEv9YCik/edit?usp=sharing"",""เบิกจ่ายกองทุน!BI30"")"),1340480)</f>
        <v>1340480</v>
      </c>
      <c r="S77" s="224">
        <f ca="1">IFERROR(__xludf.DUMMYFUNCTION("IMPORTRANGE(""https://docs.google.com/spreadsheets/d/1ItG2mGa2ceCfYo0BwxsXqNm01IGEUdYcSSLTEv9YCik/edit?usp=sharing"",""เบิกจ่ายกองทุน!BJ30"")"),108890)</f>
        <v>108890</v>
      </c>
      <c r="T77" s="224">
        <f ca="1">IF(Q77&gt;0,S77*100/Q77,0)</f>
        <v>8.1232095965624254</v>
      </c>
      <c r="U77" s="224">
        <f ca="1">IF(R77&gt;0,S77*100/R77,0)</f>
        <v>8.1232095965624254</v>
      </c>
    </row>
    <row r="78" spans="1:21" ht="18.75" x14ac:dyDescent="0.25">
      <c r="A78" s="128"/>
      <c r="B78" s="40"/>
      <c r="C78" s="40"/>
      <c r="D78" s="41" t="s">
        <v>23</v>
      </c>
      <c r="E78" s="40"/>
      <c r="F78" s="40"/>
      <c r="G78" s="42"/>
      <c r="H78" s="137" t="s">
        <v>14</v>
      </c>
      <c r="I78" s="135"/>
      <c r="J78" s="135"/>
      <c r="K78" s="136"/>
      <c r="L78" s="1356">
        <f ca="1">L79+L80</f>
        <v>0</v>
      </c>
      <c r="M78" s="224">
        <f ca="1">M79+M80</f>
        <v>0</v>
      </c>
      <c r="N78" s="224">
        <f ca="1">N79+N80</f>
        <v>0</v>
      </c>
      <c r="O78" s="224">
        <f ca="1">IF(L78&gt;0,N78*100/L78,0)</f>
        <v>0</v>
      </c>
      <c r="P78" s="224">
        <f ca="1">IF(M78&gt;0,N78*100/M78,0)</f>
        <v>0</v>
      </c>
      <c r="Q78" s="224">
        <f ca="1">Q79+Q80</f>
        <v>0</v>
      </c>
      <c r="R78" s="224">
        <f ca="1">R79+R80</f>
        <v>0</v>
      </c>
      <c r="S78" s="224">
        <f ca="1">S79+S80</f>
        <v>0</v>
      </c>
      <c r="T78" s="224">
        <f ca="1">IF(Q78&gt;0,S78*100/Q78,0)</f>
        <v>0</v>
      </c>
      <c r="U78" s="224">
        <f ca="1">IF(R78&gt;0,S78*100/R78,0)</f>
        <v>0</v>
      </c>
    </row>
    <row r="79" spans="1:21" ht="18.75" x14ac:dyDescent="0.25">
      <c r="A79" s="128"/>
      <c r="B79" s="40"/>
      <c r="C79" s="40"/>
      <c r="D79" s="40"/>
      <c r="E79" s="156" t="s">
        <v>20</v>
      </c>
      <c r="F79" s="40"/>
      <c r="G79" s="42"/>
      <c r="H79" s="159" t="s">
        <v>14</v>
      </c>
      <c r="I79" s="135"/>
      <c r="J79" s="135"/>
      <c r="K79" s="136"/>
      <c r="L79" s="1358">
        <v>0</v>
      </c>
      <c r="M79" s="224">
        <v>0</v>
      </c>
      <c r="N79" s="224">
        <v>0</v>
      </c>
      <c r="O79" s="83">
        <f>IF(L79&gt;0,N79*100/L79,0)</f>
        <v>0</v>
      </c>
      <c r="P79" s="83">
        <f>IF(M79&gt;0,N79*100/M79,0)</f>
        <v>0</v>
      </c>
      <c r="Q79" s="83">
        <v>0</v>
      </c>
      <c r="R79" s="224">
        <v>0</v>
      </c>
      <c r="S79" s="224">
        <v>0</v>
      </c>
      <c r="T79" s="83">
        <f>IF(Q79&gt;0,S79*100/Q79,0)</f>
        <v>0</v>
      </c>
      <c r="U79" s="83">
        <f>IF(R79&gt;0,S79*100/R79,0)</f>
        <v>0</v>
      </c>
    </row>
    <row r="80" spans="1:21" ht="18.75" x14ac:dyDescent="0.25">
      <c r="A80" s="128"/>
      <c r="B80" s="40"/>
      <c r="C80" s="40"/>
      <c r="D80" s="40"/>
      <c r="E80" s="47" t="s">
        <v>21</v>
      </c>
      <c r="F80" s="40"/>
      <c r="G80" s="42"/>
      <c r="H80" s="137" t="s">
        <v>14</v>
      </c>
      <c r="I80" s="135"/>
      <c r="J80" s="135"/>
      <c r="K80" s="136"/>
      <c r="L80" s="1356">
        <f ca="1">IFERROR(__xludf.DUMMYFUNCTION("IMPORTRANGE(""https://docs.google.com/spreadsheets/d/1-uDff_7J0KD5mKrp0Vvzr7lt3OU09vwQwhkpOPPYv2Y/edit?usp=sharing"",""งบพรบ!AP30"")"),0)</f>
        <v>0</v>
      </c>
      <c r="M80" s="224">
        <f ca="1">IFERROR(__xludf.DUMMYFUNCTION("IMPORTRANGE(""https://docs.google.com/spreadsheets/d/1-uDff_7J0KD5mKrp0Vvzr7lt3OU09vwQwhkpOPPYv2Y/edit?usp=sharing"",""งบพรบ!AS30"")"),0)</f>
        <v>0</v>
      </c>
      <c r="N80" s="224">
        <f ca="1">IFERROR(__xludf.DUMMYFUNCTION("IMPORTRANGE(""https://docs.google.com/spreadsheets/d/1-uDff_7J0KD5mKrp0Vvzr7lt3OU09vwQwhkpOPPYv2Y/edit?usp=sharing"",""งบพรบ!AU30"")"),0)</f>
        <v>0</v>
      </c>
      <c r="O80" s="224">
        <f ca="1">IF(L80&gt;0,N80*100/L80,0)</f>
        <v>0</v>
      </c>
      <c r="P80" s="224">
        <f ca="1">IF(M80&gt;0,N80*100/M80,0)</f>
        <v>0</v>
      </c>
      <c r="Q80" s="224">
        <f ca="1">IFERROR(__xludf.DUMMYFUNCTION("IMPORTRANGE(""https://docs.google.com/spreadsheets/d/1ItG2mGa2ceCfYo0BwxsXqNm01IGEUdYcSSLTEv9YCik/edit?usp=sharing"",""เบิกจ่ายกองทุน!BK30"")"),0)</f>
        <v>0</v>
      </c>
      <c r="R80" s="224">
        <f ca="1">IFERROR(__xludf.DUMMYFUNCTION("IMPORTRANGE(""https://docs.google.com/spreadsheets/d/1ItG2mGa2ceCfYo0BwxsXqNm01IGEUdYcSSLTEv9YCik/edit?usp=sharing"",""เบิกจ่ายกองทุน!BL30"")"),0)</f>
        <v>0</v>
      </c>
      <c r="S80" s="224">
        <f ca="1">IFERROR(__xludf.DUMMYFUNCTION("IMPORTRANGE(""https://docs.google.com/spreadsheets/d/1ItG2mGa2ceCfYo0BwxsXqNm01IGEUdYcSSLTEv9YCik/edit?usp=sharing"",""เบิกจ่ายกองทุน!BM30"")"),0)</f>
        <v>0</v>
      </c>
      <c r="T80" s="224">
        <f ca="1">IF(Q80&gt;0,S80*100/Q80,0)</f>
        <v>0</v>
      </c>
      <c r="U80" s="224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1391" t="s">
        <v>38</v>
      </c>
      <c r="E81" s="141"/>
      <c r="F81" s="141"/>
      <c r="G81" s="142"/>
      <c r="H81" s="143"/>
      <c r="I81" s="135"/>
      <c r="J81" s="135"/>
      <c r="K81" s="136"/>
      <c r="L81" s="1392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328">
        <f ca="1">I84+I86+I88</f>
        <v>2</v>
      </c>
      <c r="J82" s="328">
        <f>J84+J86+J88</f>
        <v>2</v>
      </c>
      <c r="K82" s="1393">
        <f ca="1">IF(I82&gt;0,J82*100/I82,0)</f>
        <v>100</v>
      </c>
      <c r="L82" s="1392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328">
        <f ca="1">I85+I87+I89</f>
        <v>149</v>
      </c>
      <c r="J83" s="328">
        <f>J85+J87+J89</f>
        <v>149</v>
      </c>
      <c r="K83" s="1393">
        <f ca="1">IF(I83&gt;0,J83*100/I83,0)</f>
        <v>100</v>
      </c>
      <c r="L83" s="1392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394">
        <f ca="1">IFERROR(__xludf.DUMMYFUNCTION("IMPORTRANGE(""https://docs.google.com/spreadsheets/d/1eHaY18a8A9IcSdp1K8H6x8fbOy06t2VsZHhMHf-1x7Y/edit?usp=sharing"",""แผน!H30"")"),1)</f>
        <v>1</v>
      </c>
      <c r="J84" s="1395">
        <v>1</v>
      </c>
      <c r="K84" s="1396">
        <f ca="1">IF(I84&gt;0,J84*100/I84,0)</f>
        <v>100</v>
      </c>
      <c r="L84" s="1392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394">
        <f ca="1">IFERROR(__xludf.DUMMYFUNCTION("IMPORTRANGE(""https://docs.google.com/spreadsheets/d/1eHaY18a8A9IcSdp1K8H6x8fbOy06t2VsZHhMHf-1x7Y/edit?usp=sharing"",""แผน!I30"")"),117)</f>
        <v>117</v>
      </c>
      <c r="J85" s="1395">
        <v>117</v>
      </c>
      <c r="K85" s="1396">
        <f ca="1">IF(I85&gt;0,J85*100/I85,0)</f>
        <v>100</v>
      </c>
      <c r="L85" s="1392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394">
        <f ca="1">IFERROR(__xludf.DUMMYFUNCTION("IMPORTRANGE(""https://docs.google.com/spreadsheets/d/1eHaY18a8A9IcSdp1K8H6x8fbOy06t2VsZHhMHf-1x7Y/edit?usp=sharing"",""แผน!F30"")"),0)</f>
        <v>0</v>
      </c>
      <c r="J86" s="1395">
        <v>0</v>
      </c>
      <c r="K86" s="1396">
        <f ca="1">IF(I86&gt;0,J86*100/I86,0)</f>
        <v>0</v>
      </c>
      <c r="L86" s="1392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394">
        <f ca="1">IFERROR(__xludf.DUMMYFUNCTION("IMPORTRANGE(""https://docs.google.com/spreadsheets/d/1eHaY18a8A9IcSdp1K8H6x8fbOy06t2VsZHhMHf-1x7Y/edit?usp=sharing"",""แผน!G30"")"),0)</f>
        <v>0</v>
      </c>
      <c r="J87" s="1395">
        <v>0</v>
      </c>
      <c r="K87" s="1396">
        <f ca="1">IF(I87&gt;0,J87*100/I87,0)</f>
        <v>0</v>
      </c>
      <c r="L87" s="1392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394">
        <f ca="1">IFERROR(__xludf.DUMMYFUNCTION("IMPORTRANGE(""https://docs.google.com/spreadsheets/d/1eHaY18a8A9IcSdp1K8H6x8fbOy06t2VsZHhMHf-1x7Y/edit?usp=sharing"",""แผน!D30"")"),1)</f>
        <v>1</v>
      </c>
      <c r="J88" s="1395">
        <v>1</v>
      </c>
      <c r="K88" s="1396">
        <f ca="1">IF(I88&gt;0,J88*100/I88,0)</f>
        <v>100</v>
      </c>
      <c r="L88" s="1392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394">
        <f ca="1">IFERROR(__xludf.DUMMYFUNCTION("IMPORTRANGE(""https://docs.google.com/spreadsheets/d/1eHaY18a8A9IcSdp1K8H6x8fbOy06t2VsZHhMHf-1x7Y/edit?usp=sharing"",""แผน!E30"")"),32)</f>
        <v>32</v>
      </c>
      <c r="J89" s="1395">
        <v>32</v>
      </c>
      <c r="K89" s="1396">
        <f ca="1">IF(I89&gt;0,J89*100/I89,0)</f>
        <v>100</v>
      </c>
      <c r="L89" s="1392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3" t="s">
        <v>34</v>
      </c>
      <c r="I90" s="1394">
        <f ca="1">IFERROR(__xludf.DUMMYFUNCTION("IMPORTRANGE(""https://docs.google.com/spreadsheets/d/1eHaY18a8A9IcSdp1K8H6x8fbOy06t2VsZHhMHf-1x7Y/edit?usp=sharing"",""แผน!J30"")"),2)</f>
        <v>2</v>
      </c>
      <c r="J90" s="1395">
        <v>2</v>
      </c>
      <c r="K90" s="1396">
        <f ca="1">IF(I90&gt;0,J90*100/I90,0)</f>
        <v>100</v>
      </c>
      <c r="L90" s="1392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1385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8" t="s">
        <v>45</v>
      </c>
      <c r="C92" s="27"/>
      <c r="D92" s="125"/>
      <c r="E92" s="27"/>
      <c r="F92" s="27"/>
      <c r="G92" s="30"/>
      <c r="H92" s="126" t="s">
        <v>46</v>
      </c>
      <c r="I92" s="1386">
        <f ca="1">I108</f>
        <v>0</v>
      </c>
      <c r="J92" s="1386">
        <f>J108</f>
        <v>0</v>
      </c>
      <c r="K92" s="1349">
        <f ca="1">IF(I92&gt;0,J92*100/I92,0)</f>
        <v>0</v>
      </c>
      <c r="L92" s="1387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19.5" x14ac:dyDescent="0.3">
      <c r="A93" s="124"/>
      <c r="B93" s="27"/>
      <c r="C93" s="27"/>
      <c r="D93" s="125"/>
      <c r="E93" s="27"/>
      <c r="F93" s="27"/>
      <c r="G93" s="30"/>
      <c r="H93" s="126" t="s">
        <v>35</v>
      </c>
      <c r="I93" s="1386">
        <f ca="1">I109</f>
        <v>0</v>
      </c>
      <c r="J93" s="1386">
        <f>J109</f>
        <v>0</v>
      </c>
      <c r="K93" s="1349">
        <f ca="1">IF(I93&gt;0,J93*100/I93,0)</f>
        <v>0</v>
      </c>
      <c r="L93" s="1387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19.5" x14ac:dyDescent="0.3">
      <c r="A94" s="128"/>
      <c r="B94" s="40"/>
      <c r="C94" s="129" t="s">
        <v>18</v>
      </c>
      <c r="D94" s="1388" t="s">
        <v>19</v>
      </c>
      <c r="E94" s="40"/>
      <c r="F94" s="40"/>
      <c r="G94" s="42"/>
      <c r="H94" s="131" t="s">
        <v>14</v>
      </c>
      <c r="I94" s="44"/>
      <c r="J94" s="44"/>
      <c r="K94" s="45"/>
      <c r="L94" s="1389">
        <f ca="1">L95+L96</f>
        <v>0</v>
      </c>
      <c r="M94" s="1390">
        <f ca="1">M95+M96</f>
        <v>0</v>
      </c>
      <c r="N94" s="1390">
        <f ca="1">N95+N96</f>
        <v>0</v>
      </c>
      <c r="O94" s="1390">
        <f ca="1">IF(L94&gt;0,N94*100/L94,0)</f>
        <v>0</v>
      </c>
      <c r="P94" s="1390">
        <f ca="1">IF(M94&gt;0,N94*100/M94,0)</f>
        <v>0</v>
      </c>
      <c r="Q94" s="1390">
        <f ca="1">Q95+Q96</f>
        <v>0</v>
      </c>
      <c r="R94" s="1390">
        <f ca="1">R95+R96</f>
        <v>0</v>
      </c>
      <c r="S94" s="1390">
        <f ca="1">S95+S96</f>
        <v>0</v>
      </c>
      <c r="T94" s="1390">
        <f ca="1">IF(Q94&gt;0,S94*100/Q94,0)</f>
        <v>0</v>
      </c>
      <c r="U94" s="1390">
        <f ca="1">IF(R94&gt;0,S94*100/R94,0)</f>
        <v>0</v>
      </c>
    </row>
    <row r="95" spans="1:21" ht="18.75" x14ac:dyDescent="0.25">
      <c r="A95" s="128"/>
      <c r="B95" s="40"/>
      <c r="C95" s="40"/>
      <c r="D95" s="40"/>
      <c r="E95" s="156" t="s">
        <v>20</v>
      </c>
      <c r="F95" s="40"/>
      <c r="G95" s="42"/>
      <c r="H95" s="157" t="s">
        <v>14</v>
      </c>
      <c r="I95" s="44"/>
      <c r="J95" s="44"/>
      <c r="K95" s="45"/>
      <c r="L95" s="1358">
        <f>L98+L101</f>
        <v>0</v>
      </c>
      <c r="M95" s="83">
        <f>M98+M101</f>
        <v>0</v>
      </c>
      <c r="N95" s="83">
        <f>N98+N101</f>
        <v>0</v>
      </c>
      <c r="O95" s="83">
        <f>IF(L95&gt;0,N95*100/L95,0)</f>
        <v>0</v>
      </c>
      <c r="P95" s="83">
        <f>IF(M95&gt;0,N95*100/M95,0)</f>
        <v>0</v>
      </c>
      <c r="Q95" s="83">
        <f>Q98+Q101</f>
        <v>0</v>
      </c>
      <c r="R95" s="83">
        <f>R98+R101</f>
        <v>0</v>
      </c>
      <c r="S95" s="83">
        <f>S98+S101</f>
        <v>0</v>
      </c>
      <c r="T95" s="83">
        <f>IF(Q95&gt;0,S95*100/Q95,0)</f>
        <v>0</v>
      </c>
      <c r="U95" s="83">
        <f>IF(R95&gt;0,S95*100/R95,0)</f>
        <v>0</v>
      </c>
    </row>
    <row r="96" spans="1:21" ht="18.75" x14ac:dyDescent="0.25">
      <c r="A96" s="128"/>
      <c r="B96" s="40"/>
      <c r="C96" s="40"/>
      <c r="D96" s="40"/>
      <c r="E96" s="47" t="s">
        <v>21</v>
      </c>
      <c r="F96" s="40"/>
      <c r="G96" s="42"/>
      <c r="H96" s="133" t="s">
        <v>14</v>
      </c>
      <c r="I96" s="44"/>
      <c r="J96" s="44"/>
      <c r="K96" s="45"/>
      <c r="L96" s="1356">
        <f ca="1">L99+L102</f>
        <v>0</v>
      </c>
      <c r="M96" s="224">
        <f ca="1">M99+M102</f>
        <v>0</v>
      </c>
      <c r="N96" s="224">
        <f ca="1">N99+N102</f>
        <v>0</v>
      </c>
      <c r="O96" s="224">
        <f ca="1">IF(L96&gt;0,N96*100/L96,0)</f>
        <v>0</v>
      </c>
      <c r="P96" s="224">
        <f ca="1">IF(M96&gt;0,N96*100/M96,0)</f>
        <v>0</v>
      </c>
      <c r="Q96" s="224">
        <f ca="1">Q99+Q102</f>
        <v>0</v>
      </c>
      <c r="R96" s="224">
        <f ca="1">R99+R102</f>
        <v>0</v>
      </c>
      <c r="S96" s="224">
        <f ca="1">S99+S102</f>
        <v>0</v>
      </c>
      <c r="T96" s="224">
        <f ca="1">IF(Q96&gt;0,S96*100/Q96,0)</f>
        <v>0</v>
      </c>
      <c r="U96" s="224">
        <f ca="1">IF(R96&gt;0,S96*100/R96,0)</f>
        <v>0</v>
      </c>
    </row>
    <row r="97" spans="1:21" ht="18.75" x14ac:dyDescent="0.25">
      <c r="A97" s="128"/>
      <c r="B97" s="40"/>
      <c r="C97" s="40"/>
      <c r="D97" s="41" t="s">
        <v>22</v>
      </c>
      <c r="E97" s="40"/>
      <c r="F97" s="40"/>
      <c r="G97" s="42"/>
      <c r="H97" s="134" t="s">
        <v>14</v>
      </c>
      <c r="I97" s="135"/>
      <c r="J97" s="135"/>
      <c r="K97" s="136"/>
      <c r="L97" s="1356">
        <f ca="1">L98+L99</f>
        <v>0</v>
      </c>
      <c r="M97" s="224">
        <f ca="1">M98+M99</f>
        <v>0</v>
      </c>
      <c r="N97" s="224">
        <f ca="1">N98+N99</f>
        <v>0</v>
      </c>
      <c r="O97" s="224">
        <f ca="1">IF(L97&gt;0,N97*100/L97,0)</f>
        <v>0</v>
      </c>
      <c r="P97" s="224">
        <f ca="1">IF(M97&gt;0,N97*100/M97,0)</f>
        <v>0</v>
      </c>
      <c r="Q97" s="224">
        <f ca="1">Q98+Q99</f>
        <v>0</v>
      </c>
      <c r="R97" s="224">
        <f ca="1">R98+R99</f>
        <v>0</v>
      </c>
      <c r="S97" s="224">
        <f ca="1">S98+S99</f>
        <v>0</v>
      </c>
      <c r="T97" s="224">
        <f ca="1">IF(Q97&gt;0,S97*100/Q97,0)</f>
        <v>0</v>
      </c>
      <c r="U97" s="224">
        <f ca="1">IF(R97&gt;0,S97*100/R97,0)</f>
        <v>0</v>
      </c>
    </row>
    <row r="98" spans="1:21" ht="18.75" x14ac:dyDescent="0.25">
      <c r="A98" s="128"/>
      <c r="B98" s="40"/>
      <c r="C98" s="40"/>
      <c r="D98" s="40"/>
      <c r="E98" s="156" t="s">
        <v>36</v>
      </c>
      <c r="F98" s="40"/>
      <c r="G98" s="42"/>
      <c r="H98" s="159" t="s">
        <v>14</v>
      </c>
      <c r="I98" s="135"/>
      <c r="J98" s="135"/>
      <c r="K98" s="136"/>
      <c r="L98" s="1358">
        <v>0</v>
      </c>
      <c r="M98" s="83">
        <v>0</v>
      </c>
      <c r="N98" s="83">
        <v>0</v>
      </c>
      <c r="O98" s="83">
        <f>IF(L98&gt;0,N98*100/L98,0)</f>
        <v>0</v>
      </c>
      <c r="P98" s="83">
        <f>IF(M98&gt;0,N98*100/M98,0)</f>
        <v>0</v>
      </c>
      <c r="Q98" s="83">
        <v>0</v>
      </c>
      <c r="R98" s="83">
        <v>0</v>
      </c>
      <c r="S98" s="83">
        <v>0</v>
      </c>
      <c r="T98" s="83">
        <f>IF(Q98&gt;0,S98*100/Q98,0)</f>
        <v>0</v>
      </c>
      <c r="U98" s="83">
        <f>IF(R98&gt;0,S98*100/R98,0)</f>
        <v>0</v>
      </c>
    </row>
    <row r="99" spans="1:21" ht="18.75" x14ac:dyDescent="0.25">
      <c r="A99" s="128"/>
      <c r="B99" s="40"/>
      <c r="C99" s="40"/>
      <c r="D99" s="40"/>
      <c r="E99" s="47" t="s">
        <v>37</v>
      </c>
      <c r="F99" s="40"/>
      <c r="G99" s="42"/>
      <c r="H99" s="134" t="s">
        <v>14</v>
      </c>
      <c r="I99" s="135"/>
      <c r="J99" s="135"/>
      <c r="K99" s="136"/>
      <c r="L99" s="1356">
        <f ca="1">IFERROR(__xludf.DUMMYFUNCTION("IMPORTRANGE(""https://docs.google.com/spreadsheets/d/1-uDff_7J0KD5mKrp0Vvzr7lt3OU09vwQwhkpOPPYv2Y/edit?usp=sharing"",""งบพรบ!AW30"")"),0)</f>
        <v>0</v>
      </c>
      <c r="M99" s="224">
        <f ca="1">IFERROR(__xludf.DUMMYFUNCTION("IMPORTRANGE(""https://docs.google.com/spreadsheets/d/1-uDff_7J0KD5mKrp0Vvzr7lt3OU09vwQwhkpOPPYv2Y/edit?usp=sharing"",""งบพรบ!BB30"")"),0)</f>
        <v>0</v>
      </c>
      <c r="N99" s="224">
        <f ca="1">IFERROR(__xludf.DUMMYFUNCTION("IMPORTRANGE(""https://docs.google.com/spreadsheets/d/1-uDff_7J0KD5mKrp0Vvzr7lt3OU09vwQwhkpOPPYv2Y/edit?usp=sharing"",""งบพรบ!BD30"")"),0)</f>
        <v>0</v>
      </c>
      <c r="O99" s="224">
        <f ca="1">IF(L99&gt;0,N99*100/L99,0)</f>
        <v>0</v>
      </c>
      <c r="P99" s="224">
        <f ca="1">IF(M99&gt;0,N99*100/M99,0)</f>
        <v>0</v>
      </c>
      <c r="Q99" s="224">
        <f ca="1">IFERROR(__xludf.DUMMYFUNCTION("IMPORTRANGE(""https://docs.google.com/spreadsheets/d/1ItG2mGa2ceCfYo0BwxsXqNm01IGEUdYcSSLTEv9YCik/edit?usp=sharing"",""เบิกจ่ายกองทุน!AJ30"")"),0)</f>
        <v>0</v>
      </c>
      <c r="R99" s="224">
        <f ca="1">IFERROR(__xludf.DUMMYFUNCTION("IMPORTRANGE(""https://docs.google.com/spreadsheets/d/1ItG2mGa2ceCfYo0BwxsXqNm01IGEUdYcSSLTEv9YCik/edit?usp=sharing"",""เบิกจ่ายกองทุน!AK30"")"),0)</f>
        <v>0</v>
      </c>
      <c r="S99" s="224">
        <f ca="1">IFERROR(__xludf.DUMMYFUNCTION("IMPORTRANGE(""https://docs.google.com/spreadsheets/d/1ItG2mGa2ceCfYo0BwxsXqNm01IGEUdYcSSLTEv9YCik/edit?usp=sharing"",""เบิกจ่ายกองทุน!AL30"")"),0)</f>
        <v>0</v>
      </c>
      <c r="T99" s="224">
        <f ca="1">IF(Q99&gt;0,S99*100/Q99,0)</f>
        <v>0</v>
      </c>
      <c r="U99" s="224">
        <f ca="1">IF(R99&gt;0,S99*100/R99,0)</f>
        <v>0</v>
      </c>
    </row>
    <row r="100" spans="1:21" ht="18.75" x14ac:dyDescent="0.25">
      <c r="A100" s="128"/>
      <c r="B100" s="40"/>
      <c r="C100" s="40"/>
      <c r="D100" s="41" t="s">
        <v>23</v>
      </c>
      <c r="E100" s="40"/>
      <c r="F100" s="40"/>
      <c r="G100" s="42"/>
      <c r="H100" s="137" t="s">
        <v>14</v>
      </c>
      <c r="I100" s="135"/>
      <c r="J100" s="135"/>
      <c r="K100" s="136"/>
      <c r="L100" s="1356">
        <f ca="1">L101+L102</f>
        <v>0</v>
      </c>
      <c r="M100" s="224">
        <f ca="1">M101+M102</f>
        <v>0</v>
      </c>
      <c r="N100" s="224">
        <f ca="1">N101+N102</f>
        <v>0</v>
      </c>
      <c r="O100" s="224">
        <f ca="1">IF(L100&gt;0,N100*100/L100,0)</f>
        <v>0</v>
      </c>
      <c r="P100" s="224">
        <f ca="1">IF(M100&gt;0,N100*100/M100,0)</f>
        <v>0</v>
      </c>
      <c r="Q100" s="224">
        <f>Q101+Q102</f>
        <v>0</v>
      </c>
      <c r="R100" s="224">
        <f>R101+R102</f>
        <v>0</v>
      </c>
      <c r="S100" s="224">
        <f>S101+S102</f>
        <v>0</v>
      </c>
      <c r="T100" s="224">
        <f>IF(Q100&gt;0,S100*100/Q100,0)</f>
        <v>0</v>
      </c>
      <c r="U100" s="224">
        <f>IF(R100&gt;0,S100*100/R100,0)</f>
        <v>0</v>
      </c>
    </row>
    <row r="101" spans="1:21" ht="18.75" x14ac:dyDescent="0.25">
      <c r="A101" s="128"/>
      <c r="B101" s="40"/>
      <c r="C101" s="40"/>
      <c r="D101" s="40"/>
      <c r="E101" s="156" t="s">
        <v>20</v>
      </c>
      <c r="F101" s="40"/>
      <c r="G101" s="42"/>
      <c r="H101" s="159" t="s">
        <v>14</v>
      </c>
      <c r="I101" s="135"/>
      <c r="J101" s="135"/>
      <c r="K101" s="136"/>
      <c r="L101" s="1358">
        <v>0</v>
      </c>
      <c r="M101" s="83">
        <v>0</v>
      </c>
      <c r="N101" s="83">
        <v>0</v>
      </c>
      <c r="O101" s="83">
        <f>IF(L101&gt;0,N101*100/L101,0)</f>
        <v>0</v>
      </c>
      <c r="P101" s="83">
        <f>IF(M101&gt;0,N101*100/M101,0)</f>
        <v>0</v>
      </c>
      <c r="Q101" s="83">
        <v>0</v>
      </c>
      <c r="R101" s="83">
        <v>0</v>
      </c>
      <c r="S101" s="83">
        <v>0</v>
      </c>
      <c r="T101" s="83">
        <f>IF(Q101&gt;0,S101*100/Q101,0)</f>
        <v>0</v>
      </c>
      <c r="U101" s="83">
        <f>IF(R101&gt;0,S101*100/R101,0)</f>
        <v>0</v>
      </c>
    </row>
    <row r="102" spans="1:21" ht="18.75" x14ac:dyDescent="0.25">
      <c r="A102" s="128"/>
      <c r="B102" s="40"/>
      <c r="C102" s="40"/>
      <c r="D102" s="40"/>
      <c r="E102" s="47" t="s">
        <v>21</v>
      </c>
      <c r="F102" s="40"/>
      <c r="G102" s="42"/>
      <c r="H102" s="137" t="s">
        <v>14</v>
      </c>
      <c r="I102" s="135"/>
      <c r="J102" s="135"/>
      <c r="K102" s="136"/>
      <c r="L102" s="1356">
        <f ca="1">IFERROR(__xludf.DUMMYFUNCTION("IMPORTRANGE(""https://docs.google.com/spreadsheets/d/1-uDff_7J0KD5mKrp0Vvzr7lt3OU09vwQwhkpOPPYv2Y/edit?usp=sharing"",""งบพรบ!AZ30"")"),0)</f>
        <v>0</v>
      </c>
      <c r="M102" s="224">
        <f ca="1">IFERROR(__xludf.DUMMYFUNCTION("IMPORTRANGE(""https://docs.google.com/spreadsheets/d/1-uDff_7J0KD5mKrp0Vvzr7lt3OU09vwQwhkpOPPYv2Y/edit?usp=sharing"",""งบพรบ!BC30"")"),0)</f>
        <v>0</v>
      </c>
      <c r="N102" s="224">
        <f ca="1">IFERROR(__xludf.DUMMYFUNCTION("IMPORTRANGE(""https://docs.google.com/spreadsheets/d/1-uDff_7J0KD5mKrp0Vvzr7lt3OU09vwQwhkpOPPYv2Y/edit?usp=sharing"",""งบพรบ!BE30"")"),0)</f>
        <v>0</v>
      </c>
      <c r="O102" s="224">
        <f ca="1">IF(L102&gt;0,N102*100/L102,0)</f>
        <v>0</v>
      </c>
      <c r="P102" s="224">
        <f ca="1">IF(M102&gt;0,N102*100/M102,0)</f>
        <v>0</v>
      </c>
      <c r="Q102" s="224">
        <v>0</v>
      </c>
      <c r="R102" s="224">
        <v>0</v>
      </c>
      <c r="S102" s="224">
        <v>0</v>
      </c>
      <c r="T102" s="224">
        <f>IF(Q102&gt;0,S102*100/Q102,0)</f>
        <v>0</v>
      </c>
      <c r="U102" s="224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1391" t="s">
        <v>38</v>
      </c>
      <c r="E103" s="141"/>
      <c r="F103" s="141"/>
      <c r="G103" s="142"/>
      <c r="H103" s="143"/>
      <c r="I103" s="135"/>
      <c r="J103" s="44"/>
      <c r="K103" s="45"/>
      <c r="L103" s="1359"/>
      <c r="M103" s="45"/>
      <c r="N103" s="45"/>
      <c r="O103" s="136"/>
      <c r="P103" s="136"/>
      <c r="Q103" s="45"/>
      <c r="R103" s="45"/>
      <c r="S103" s="45"/>
      <c r="T103" s="136"/>
      <c r="U103" s="136"/>
    </row>
    <row r="104" spans="1:21" ht="12.75" x14ac:dyDescent="0.2">
      <c r="A104" s="162"/>
      <c r="B104" s="163"/>
      <c r="C104" s="163"/>
      <c r="D104" s="18"/>
      <c r="E104" s="18"/>
      <c r="F104" s="18"/>
      <c r="G104" s="19"/>
      <c r="H104" s="19"/>
      <c r="I104" s="20"/>
      <c r="J104" s="20"/>
      <c r="K104" s="21"/>
      <c r="L104" s="1346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12.75" x14ac:dyDescent="0.2">
      <c r="A105" s="162"/>
      <c r="B105" s="163"/>
      <c r="C105" s="163"/>
      <c r="D105" s="18"/>
      <c r="E105" s="18"/>
      <c r="F105" s="18"/>
      <c r="G105" s="19"/>
      <c r="H105" s="19"/>
      <c r="I105" s="20"/>
      <c r="J105" s="20"/>
      <c r="K105" s="21"/>
      <c r="L105" s="1346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12.75" x14ac:dyDescent="0.2">
      <c r="A106" s="162"/>
      <c r="B106" s="163"/>
      <c r="C106" s="163"/>
      <c r="D106" s="163"/>
      <c r="E106" s="18"/>
      <c r="F106" s="18"/>
      <c r="G106" s="19"/>
      <c r="H106" s="19"/>
      <c r="I106" s="20"/>
      <c r="J106" s="20"/>
      <c r="K106" s="21"/>
      <c r="L106" s="1346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19.5" x14ac:dyDescent="0.3">
      <c r="A107" s="138"/>
      <c r="B107" s="139"/>
      <c r="C107" s="139"/>
      <c r="D107" s="164" t="s">
        <v>47</v>
      </c>
      <c r="E107" s="165"/>
      <c r="F107" s="145"/>
      <c r="G107" s="143"/>
      <c r="H107" s="42"/>
      <c r="I107" s="44"/>
      <c r="J107" s="44"/>
      <c r="K107" s="45"/>
      <c r="L107" s="1359"/>
      <c r="M107" s="45"/>
      <c r="N107" s="45"/>
      <c r="O107" s="136"/>
      <c r="P107" s="136"/>
      <c r="Q107" s="45"/>
      <c r="R107" s="45"/>
      <c r="S107" s="45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3" t="s">
        <v>46</v>
      </c>
      <c r="I108" s="184">
        <f ca="1">IFERROR(__xludf.DUMMYFUNCTION("IMPORTRANGE(""https://docs.google.com/spreadsheets/d/1eHaY18a8A9IcSdp1K8H6x8fbOy06t2VsZHhMHf-1x7Y/edit?usp=sharing"",""แผน!N30"")"),0)</f>
        <v>0</v>
      </c>
      <c r="J108" s="1395">
        <v>0</v>
      </c>
      <c r="K108" s="224">
        <f ca="1">IF(I108&gt;0,J108*100/I108,0)</f>
        <v>0</v>
      </c>
      <c r="L108" s="1359"/>
      <c r="M108" s="45"/>
      <c r="N108" s="45"/>
      <c r="O108" s="136"/>
      <c r="P108" s="136"/>
      <c r="Q108" s="45"/>
      <c r="R108" s="45"/>
      <c r="S108" s="45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3" t="s">
        <v>35</v>
      </c>
      <c r="I109" s="184">
        <f ca="1">IFERROR(__xludf.DUMMYFUNCTION("IMPORTRANGE(""https://docs.google.com/spreadsheets/d/1eHaY18a8A9IcSdp1K8H6x8fbOy06t2VsZHhMHf-1x7Y/edit?usp=sharing"",""แผน!O30"")"),0)</f>
        <v>0</v>
      </c>
      <c r="J109" s="1395">
        <v>0</v>
      </c>
      <c r="K109" s="224">
        <f ca="1">IF(I109&gt;0,J109*100/I109,0)</f>
        <v>0</v>
      </c>
      <c r="L109" s="1359"/>
      <c r="M109" s="45"/>
      <c r="N109" s="45"/>
      <c r="O109" s="136"/>
      <c r="P109" s="136"/>
      <c r="Q109" s="45"/>
      <c r="R109" s="45"/>
      <c r="S109" s="45"/>
      <c r="T109" s="136"/>
      <c r="U109" s="136"/>
    </row>
    <row r="110" spans="1:21" ht="12.75" x14ac:dyDescent="0.2">
      <c r="A110" s="162"/>
      <c r="B110" s="163"/>
      <c r="C110" s="163"/>
      <c r="D110" s="18"/>
      <c r="E110" s="18"/>
      <c r="F110" s="18"/>
      <c r="G110" s="19"/>
      <c r="H110" s="19"/>
      <c r="I110" s="20"/>
      <c r="J110" s="20"/>
      <c r="K110" s="21"/>
      <c r="L110" s="1346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2.75" x14ac:dyDescent="0.2">
      <c r="A111" s="162"/>
      <c r="B111" s="163"/>
      <c r="C111" s="163"/>
      <c r="D111" s="18"/>
      <c r="E111" s="18"/>
      <c r="F111" s="18"/>
      <c r="G111" s="19"/>
      <c r="H111" s="19"/>
      <c r="I111" s="20"/>
      <c r="J111" s="20"/>
      <c r="K111" s="21"/>
      <c r="L111" s="1346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12.75" x14ac:dyDescent="0.2">
      <c r="A112" s="162"/>
      <c r="B112" s="163"/>
      <c r="C112" s="163"/>
      <c r="D112" s="18"/>
      <c r="E112" s="18"/>
      <c r="F112" s="18"/>
      <c r="G112" s="19"/>
      <c r="H112" s="19"/>
      <c r="I112" s="20"/>
      <c r="J112" s="20"/>
      <c r="K112" s="21"/>
      <c r="L112" s="1346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2.75" x14ac:dyDescent="0.2">
      <c r="A113" s="162"/>
      <c r="B113" s="163"/>
      <c r="C113" s="163"/>
      <c r="D113" s="18"/>
      <c r="E113" s="18"/>
      <c r="F113" s="18"/>
      <c r="G113" s="19"/>
      <c r="H113" s="19"/>
      <c r="I113" s="20">
        <v>0</v>
      </c>
      <c r="J113" s="20">
        <v>0</v>
      </c>
      <c r="K113" s="21"/>
      <c r="L113" s="1346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1:21" ht="18.75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394">
        <f ca="1">IFERROR(__xludf.DUMMYFUNCTION("IMPORTRANGE(""https://docs.google.com/spreadsheets/d/1eHaY18a8A9IcSdp1K8H6x8fbOy06t2VsZHhMHf-1x7Y/edit?usp=sharing"",""แผน!R30"")"),0)</f>
        <v>0</v>
      </c>
      <c r="J114" s="1395">
        <v>0</v>
      </c>
      <c r="K114" s="224">
        <f ca="1">IF(I114&gt;0,J114*100/I114,0)</f>
        <v>0</v>
      </c>
      <c r="L114" s="1359"/>
      <c r="M114" s="45"/>
      <c r="N114" s="45"/>
      <c r="O114" s="136"/>
      <c r="P114" s="136"/>
      <c r="Q114" s="45"/>
      <c r="R114" s="45"/>
      <c r="S114" s="45"/>
      <c r="T114" s="136"/>
      <c r="U114" s="136"/>
    </row>
    <row r="115" spans="1:21" ht="19.5" x14ac:dyDescent="0.3">
      <c r="A115" s="1400" t="s">
        <v>51</v>
      </c>
      <c r="B115" s="1401"/>
      <c r="C115" s="1402"/>
      <c r="D115" s="1403"/>
      <c r="E115" s="1403"/>
      <c r="F115" s="1403"/>
      <c r="G115" s="1403"/>
      <c r="H115" s="1401"/>
      <c r="I115" s="1404"/>
      <c r="J115" s="1404"/>
      <c r="K115" s="1405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71" t="s">
        <v>52</v>
      </c>
      <c r="C116" s="172"/>
      <c r="D116" s="125"/>
      <c r="E116" s="27"/>
      <c r="F116" s="27"/>
      <c r="G116" s="30"/>
      <c r="H116" s="173" t="s">
        <v>35</v>
      </c>
      <c r="I116" s="1386">
        <f ca="1">I127</f>
        <v>20</v>
      </c>
      <c r="J116" s="1386">
        <f>J127</f>
        <v>20</v>
      </c>
      <c r="K116" s="1349">
        <f ca="1">IF(I116&gt;0,J116*100/I116,0)</f>
        <v>100</v>
      </c>
      <c r="L116" s="1387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ht="19.5" x14ac:dyDescent="0.3">
      <c r="A117" s="128"/>
      <c r="B117" s="158"/>
      <c r="C117" s="161" t="s">
        <v>18</v>
      </c>
      <c r="D117" s="1388" t="s">
        <v>19</v>
      </c>
      <c r="E117" s="40"/>
      <c r="F117" s="40"/>
      <c r="G117" s="42"/>
      <c r="H117" s="131" t="s">
        <v>14</v>
      </c>
      <c r="I117" s="44"/>
      <c r="J117" s="44"/>
      <c r="K117" s="45"/>
      <c r="L117" s="1389">
        <f ca="1">L118+L119</f>
        <v>0</v>
      </c>
      <c r="M117" s="1390">
        <f ca="1">M118+M119</f>
        <v>0</v>
      </c>
      <c r="N117" s="1390">
        <f ca="1">N118+N119</f>
        <v>0</v>
      </c>
      <c r="O117" s="1390">
        <f ca="1">IF(L117&gt;0,N117*100/L117,0)</f>
        <v>0</v>
      </c>
      <c r="P117" s="1390">
        <f ca="1">IF(M117&gt;0,N117*100/M117,0)</f>
        <v>0</v>
      </c>
      <c r="Q117" s="1390">
        <f ca="1">Q118+Q119</f>
        <v>209360</v>
      </c>
      <c r="R117" s="1390">
        <f ca="1">R118+R119</f>
        <v>209360</v>
      </c>
      <c r="S117" s="1390">
        <f ca="1">S118+S119</f>
        <v>122200</v>
      </c>
      <c r="T117" s="1390">
        <f ca="1">IF(Q117&gt;0,S117*100/Q117,0)</f>
        <v>58.368360718379826</v>
      </c>
      <c r="U117" s="1390">
        <f ca="1">IF(R117&gt;0,S117*100/R117,0)</f>
        <v>58.368360718379826</v>
      </c>
    </row>
    <row r="118" spans="1:21" ht="18.75" x14ac:dyDescent="0.25">
      <c r="A118" s="128"/>
      <c r="B118" s="158"/>
      <c r="C118" s="158"/>
      <c r="D118" s="158"/>
      <c r="E118" s="156" t="s">
        <v>20</v>
      </c>
      <c r="F118" s="40"/>
      <c r="G118" s="42"/>
      <c r="H118" s="157" t="s">
        <v>14</v>
      </c>
      <c r="I118" s="44"/>
      <c r="J118" s="44"/>
      <c r="K118" s="45"/>
      <c r="L118" s="1358">
        <f>L121+L124</f>
        <v>0</v>
      </c>
      <c r="M118" s="83">
        <f>M121+M124</f>
        <v>0</v>
      </c>
      <c r="N118" s="83">
        <f>N121+N124</f>
        <v>0</v>
      </c>
      <c r="O118" s="83">
        <f>IF(L118&gt;0,N118*100/L118,0)</f>
        <v>0</v>
      </c>
      <c r="P118" s="83">
        <f>IF(M118&gt;0,N118*100/M118,0)</f>
        <v>0</v>
      </c>
      <c r="Q118" s="83">
        <f>Q121+Q124</f>
        <v>0</v>
      </c>
      <c r="R118" s="83">
        <f>R121+R124</f>
        <v>0</v>
      </c>
      <c r="S118" s="83">
        <f>S121+S124</f>
        <v>0</v>
      </c>
      <c r="T118" s="83">
        <f>IF(Q118&gt;0,S118*100/Q118,0)</f>
        <v>0</v>
      </c>
      <c r="U118" s="83">
        <f>IF(R118&gt;0,S118*100/R118,0)</f>
        <v>0</v>
      </c>
    </row>
    <row r="119" spans="1:21" ht="18.75" x14ac:dyDescent="0.25">
      <c r="A119" s="128"/>
      <c r="B119" s="158"/>
      <c r="C119" s="158"/>
      <c r="D119" s="158"/>
      <c r="E119" s="47" t="s">
        <v>21</v>
      </c>
      <c r="F119" s="40"/>
      <c r="G119" s="42"/>
      <c r="H119" s="133" t="s">
        <v>14</v>
      </c>
      <c r="I119" s="44"/>
      <c r="J119" s="44"/>
      <c r="K119" s="45"/>
      <c r="L119" s="1356">
        <f ca="1">L122+L125</f>
        <v>0</v>
      </c>
      <c r="M119" s="224">
        <f ca="1">M122+M125</f>
        <v>0</v>
      </c>
      <c r="N119" s="224">
        <f ca="1">N122+N125</f>
        <v>0</v>
      </c>
      <c r="O119" s="224">
        <f ca="1">IF(L119&gt;0,N119*100/L119,0)</f>
        <v>0</v>
      </c>
      <c r="P119" s="224">
        <f ca="1">IF(M119&gt;0,N119*100/M119,0)</f>
        <v>0</v>
      </c>
      <c r="Q119" s="224">
        <f ca="1">Q122+Q125</f>
        <v>209360</v>
      </c>
      <c r="R119" s="224">
        <f ca="1">R122+R125</f>
        <v>209360</v>
      </c>
      <c r="S119" s="224">
        <f ca="1">S122+S125</f>
        <v>122200</v>
      </c>
      <c r="T119" s="224">
        <f ca="1">IF(Q119&gt;0,S119*100/Q119,0)</f>
        <v>58.368360718379826</v>
      </c>
      <c r="U119" s="224">
        <f ca="1">IF(R119&gt;0,S119*100/R119,0)</f>
        <v>58.368360718379826</v>
      </c>
    </row>
    <row r="120" spans="1:21" ht="18.75" x14ac:dyDescent="0.25">
      <c r="A120" s="128"/>
      <c r="B120" s="158"/>
      <c r="C120" s="174"/>
      <c r="D120" s="1406" t="s">
        <v>22</v>
      </c>
      <c r="E120" s="40"/>
      <c r="F120" s="40"/>
      <c r="G120" s="42"/>
      <c r="H120" s="175" t="s">
        <v>14</v>
      </c>
      <c r="I120" s="44"/>
      <c r="J120" s="44"/>
      <c r="K120" s="45"/>
      <c r="L120" s="1356">
        <f ca="1">L121+L122</f>
        <v>0</v>
      </c>
      <c r="M120" s="224">
        <f ca="1">M121+M122</f>
        <v>0</v>
      </c>
      <c r="N120" s="224">
        <f ca="1">N121+N122</f>
        <v>0</v>
      </c>
      <c r="O120" s="224">
        <f ca="1">IF(L120&gt;0,N120*100/L120,0)</f>
        <v>0</v>
      </c>
      <c r="P120" s="224">
        <f ca="1">IF(M120&gt;0,N120*100/M120,0)</f>
        <v>0</v>
      </c>
      <c r="Q120" s="224">
        <f ca="1">Q121+Q122</f>
        <v>209360</v>
      </c>
      <c r="R120" s="224">
        <f ca="1">R121+R122</f>
        <v>209360</v>
      </c>
      <c r="S120" s="224">
        <f ca="1">S121+S122</f>
        <v>122200</v>
      </c>
      <c r="T120" s="224">
        <f ca="1">IF(Q120&gt;0,S120*100/Q120,0)</f>
        <v>58.368360718379826</v>
      </c>
      <c r="U120" s="224">
        <f ca="1">IF(R120&gt;0,S120*100/R120,0)</f>
        <v>58.368360718379826</v>
      </c>
    </row>
    <row r="121" spans="1:21" ht="18.75" x14ac:dyDescent="0.25">
      <c r="A121" s="128"/>
      <c r="B121" s="158"/>
      <c r="C121" s="174"/>
      <c r="D121" s="158"/>
      <c r="E121" s="156" t="s">
        <v>36</v>
      </c>
      <c r="F121" s="40"/>
      <c r="G121" s="42"/>
      <c r="H121" s="176" t="s">
        <v>14</v>
      </c>
      <c r="I121" s="44"/>
      <c r="J121" s="44"/>
      <c r="K121" s="45"/>
      <c r="L121" s="1358">
        <v>0</v>
      </c>
      <c r="M121" s="83">
        <v>0</v>
      </c>
      <c r="N121" s="83">
        <v>0</v>
      </c>
      <c r="O121" s="83">
        <f>IF(L121&gt;0,N121*100/L121,0)</f>
        <v>0</v>
      </c>
      <c r="P121" s="83">
        <f>IF(M121&gt;0,N121*100/M121,0)</f>
        <v>0</v>
      </c>
      <c r="Q121" s="83">
        <v>0</v>
      </c>
      <c r="R121" s="83">
        <v>0</v>
      </c>
      <c r="S121" s="83">
        <v>0</v>
      </c>
      <c r="T121" s="83">
        <f>IF(Q121&gt;0,S121*100/Q121,0)</f>
        <v>0</v>
      </c>
      <c r="U121" s="83">
        <f>IF(R121&gt;0,S121*100/R121,0)</f>
        <v>0</v>
      </c>
    </row>
    <row r="122" spans="1:21" ht="18.75" x14ac:dyDescent="0.25">
      <c r="A122" s="128"/>
      <c r="B122" s="158"/>
      <c r="C122" s="174"/>
      <c r="D122" s="158"/>
      <c r="E122" s="47" t="s">
        <v>37</v>
      </c>
      <c r="F122" s="40"/>
      <c r="G122" s="42"/>
      <c r="H122" s="175" t="s">
        <v>14</v>
      </c>
      <c r="I122" s="44"/>
      <c r="J122" s="44"/>
      <c r="K122" s="45"/>
      <c r="L122" s="1356">
        <f ca="1">IFERROR(__xludf.DUMMYFUNCTION("IMPORTRANGE(""https://docs.google.com/spreadsheets/d/1-uDff_7J0KD5mKrp0Vvzr7lt3OU09vwQwhkpOPPYv2Y/edit?usp=sharing"",""งบพรบ!BG30"")"),0)</f>
        <v>0</v>
      </c>
      <c r="M122" s="224">
        <f ca="1">IFERROR(__xludf.DUMMYFUNCTION("IMPORTRANGE(""https://docs.google.com/spreadsheets/d/1-uDff_7J0KD5mKrp0Vvzr7lt3OU09vwQwhkpOPPYv2Y/edit?usp=sharing"",""งบพรบ!BL30"")"),0)</f>
        <v>0</v>
      </c>
      <c r="N122" s="224">
        <f ca="1">IFERROR(__xludf.DUMMYFUNCTION("IMPORTRANGE(""https://docs.google.com/spreadsheets/d/1-uDff_7J0KD5mKrp0Vvzr7lt3OU09vwQwhkpOPPYv2Y/edit?usp=sharing"",""งบพรบ!BN30"")"),0)</f>
        <v>0</v>
      </c>
      <c r="O122" s="224">
        <f ca="1">IF(L122&gt;0,N122*100/L122,0)</f>
        <v>0</v>
      </c>
      <c r="P122" s="224">
        <f ca="1">IF(M122&gt;0,N122*100/M122,0)</f>
        <v>0</v>
      </c>
      <c r="Q122" s="224">
        <f ca="1">IFERROR(__xludf.DUMMYFUNCTION("IMPORTRANGE(""https://docs.google.com/spreadsheets/d/1ItG2mGa2ceCfYo0BwxsXqNm01IGEUdYcSSLTEv9YCik/edit?usp=sharing"",""เบิกจ่ายกองทุน!U30"")"),209360)</f>
        <v>209360</v>
      </c>
      <c r="R122" s="224">
        <f ca="1">IFERROR(__xludf.DUMMYFUNCTION("IMPORTRANGE(""https://docs.google.com/spreadsheets/d/1ItG2mGa2ceCfYo0BwxsXqNm01IGEUdYcSSLTEv9YCik/edit?usp=sharing"",""เบิกจ่ายกองทุน!V30"")"),209360)</f>
        <v>209360</v>
      </c>
      <c r="S122" s="224">
        <f ca="1">IFERROR(__xludf.DUMMYFUNCTION("IMPORTRANGE(""https://docs.google.com/spreadsheets/d/1ItG2mGa2ceCfYo0BwxsXqNm01IGEUdYcSSLTEv9YCik/edit?usp=sharing"",""เบิกจ่ายกองทุน!W30"")"),122200)</f>
        <v>122200</v>
      </c>
      <c r="T122" s="224">
        <f ca="1">IF(Q122&gt;0,S122*100/Q122,0)</f>
        <v>58.368360718379826</v>
      </c>
      <c r="U122" s="224">
        <f ca="1">IF(R122&gt;0,S122*100/R122,0)</f>
        <v>58.368360718379826</v>
      </c>
    </row>
    <row r="123" spans="1:21" ht="18.75" x14ac:dyDescent="0.25">
      <c r="A123" s="128"/>
      <c r="B123" s="40"/>
      <c r="C123" s="174"/>
      <c r="D123" s="1406" t="s">
        <v>23</v>
      </c>
      <c r="E123" s="40"/>
      <c r="F123" s="40"/>
      <c r="G123" s="42"/>
      <c r="H123" s="133" t="s">
        <v>14</v>
      </c>
      <c r="I123" s="44"/>
      <c r="J123" s="44"/>
      <c r="K123" s="45"/>
      <c r="L123" s="1356">
        <f ca="1">L124+L125</f>
        <v>0</v>
      </c>
      <c r="M123" s="224">
        <f ca="1">M124+M125</f>
        <v>0</v>
      </c>
      <c r="N123" s="224">
        <f ca="1">N124+N125</f>
        <v>0</v>
      </c>
      <c r="O123" s="224">
        <f ca="1">IF(L123&gt;0,N123*100/L123,0)</f>
        <v>0</v>
      </c>
      <c r="P123" s="224">
        <f ca="1">IF(M123&gt;0,N123*100/M123,0)</f>
        <v>0</v>
      </c>
      <c r="Q123" s="224">
        <f ca="1">Q124+Q125</f>
        <v>0</v>
      </c>
      <c r="R123" s="224">
        <f ca="1">R124+R125</f>
        <v>0</v>
      </c>
      <c r="S123" s="224">
        <f ca="1">S124+S125</f>
        <v>0</v>
      </c>
      <c r="T123" s="224">
        <f ca="1">IF(Q123&gt;0,S123*100/Q123,0)</f>
        <v>0</v>
      </c>
      <c r="U123" s="224">
        <f ca="1">IF(R123&gt;0,S123*100/R123,0)</f>
        <v>0</v>
      </c>
    </row>
    <row r="124" spans="1:21" ht="18.75" x14ac:dyDescent="0.25">
      <c r="A124" s="128"/>
      <c r="B124" s="40"/>
      <c r="C124" s="174"/>
      <c r="D124" s="158"/>
      <c r="E124" s="156" t="s">
        <v>20</v>
      </c>
      <c r="F124" s="40"/>
      <c r="G124" s="42"/>
      <c r="H124" s="176" t="s">
        <v>14</v>
      </c>
      <c r="I124" s="44"/>
      <c r="J124" s="44"/>
      <c r="K124" s="45"/>
      <c r="L124" s="1358">
        <v>0</v>
      </c>
      <c r="M124" s="83">
        <v>0</v>
      </c>
      <c r="N124" s="83">
        <v>0</v>
      </c>
      <c r="O124" s="83">
        <f>IF(L124&gt;0,N124*100/L124,0)</f>
        <v>0</v>
      </c>
      <c r="P124" s="83">
        <f>IF(M124&gt;0,N124*100/M124,0)</f>
        <v>0</v>
      </c>
      <c r="Q124" s="83">
        <v>0</v>
      </c>
      <c r="R124" s="83">
        <v>0</v>
      </c>
      <c r="S124" s="83">
        <v>0</v>
      </c>
      <c r="T124" s="83">
        <f>IF(Q124&gt;0,S124*100/Q124,0)</f>
        <v>0</v>
      </c>
      <c r="U124" s="83">
        <f>IF(R124&gt;0,S124*100/R124,0)</f>
        <v>0</v>
      </c>
    </row>
    <row r="125" spans="1:21" ht="18.75" x14ac:dyDescent="0.25">
      <c r="A125" s="128"/>
      <c r="B125" s="40"/>
      <c r="C125" s="40"/>
      <c r="D125" s="40"/>
      <c r="E125" s="47" t="s">
        <v>21</v>
      </c>
      <c r="F125" s="40"/>
      <c r="G125" s="42"/>
      <c r="H125" s="133" t="s">
        <v>14</v>
      </c>
      <c r="I125" s="44"/>
      <c r="J125" s="44"/>
      <c r="K125" s="45"/>
      <c r="L125" s="1356">
        <f ca="1">IFERROR(__xludf.DUMMYFUNCTION("IMPORTRANGE(""https://docs.google.com/spreadsheets/d/1-uDff_7J0KD5mKrp0Vvzr7lt3OU09vwQwhkpOPPYv2Y/edit?usp=sharing"",""งบพรบ!BJ30"")"),0)</f>
        <v>0</v>
      </c>
      <c r="M125" s="224">
        <f ca="1">IFERROR(__xludf.DUMMYFUNCTION("IMPORTRANGE(""https://docs.google.com/spreadsheets/d/1-uDff_7J0KD5mKrp0Vvzr7lt3OU09vwQwhkpOPPYv2Y/edit?usp=sharing"",""งบพรบ!BM30"")"),0)</f>
        <v>0</v>
      </c>
      <c r="N125" s="224">
        <f ca="1">IFERROR(__xludf.DUMMYFUNCTION("IMPORTRANGE(""https://docs.google.com/spreadsheets/d/1-uDff_7J0KD5mKrp0Vvzr7lt3OU09vwQwhkpOPPYv2Y/edit?usp=sharing"",""งบพรบ!BO30"")"),0)</f>
        <v>0</v>
      </c>
      <c r="O125" s="224">
        <f ca="1">IF(L125&gt;0,N125*100/L125,0)</f>
        <v>0</v>
      </c>
      <c r="P125" s="224">
        <f ca="1">IF(M125&gt;0,N125*100/M125,0)</f>
        <v>0</v>
      </c>
      <c r="Q125" s="224">
        <f ca="1">IFERROR(__xludf.DUMMYFUNCTION("IMPORTRANGE(""https://docs.google.com/spreadsheets/d/1ItG2mGa2ceCfYo0BwxsXqNm01IGEUdYcSSLTEv9YCik/edit?usp=sharing"",""เบิกจ่ายกองทุน!X30"")"),0)</f>
        <v>0</v>
      </c>
      <c r="R125" s="224">
        <f ca="1">IFERROR(__xludf.DUMMYFUNCTION("IMPORTRANGE(""https://docs.google.com/spreadsheets/d/1ItG2mGa2ceCfYo0BwxsXqNm01IGEUdYcSSLTEv9YCik/edit?usp=sharing"",""เบิกจ่ายกองทุน!Y30"")"),0)</f>
        <v>0</v>
      </c>
      <c r="S125" s="224">
        <f ca="1">IFERROR(__xludf.DUMMYFUNCTION("IMPORTRANGE(""https://docs.google.com/spreadsheets/d/1ItG2mGa2ceCfYo0BwxsXqNm01IGEUdYcSSLTEv9YCik/edit?usp=sharing"",""เบิกจ่ายกองทุน!Z30"")"),0)</f>
        <v>0</v>
      </c>
      <c r="T125" s="224">
        <f ca="1">IF(Q125&gt;0,S125*100/Q125,0)</f>
        <v>0</v>
      </c>
      <c r="U125" s="224">
        <f ca="1">IF(R125&gt;0,S125*100/R125,0)</f>
        <v>0</v>
      </c>
    </row>
    <row r="126" spans="1:21" ht="19.5" x14ac:dyDescent="0.3">
      <c r="A126" s="138"/>
      <c r="B126" s="139"/>
      <c r="C126" s="177" t="s">
        <v>18</v>
      </c>
      <c r="D126" s="1391" t="s">
        <v>38</v>
      </c>
      <c r="E126" s="141"/>
      <c r="F126" s="141"/>
      <c r="G126" s="142"/>
      <c r="H126" s="178"/>
      <c r="I126" s="44"/>
      <c r="J126" s="44"/>
      <c r="K126" s="45"/>
      <c r="L126" s="1359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84">
        <f ca="1">IFERROR(__xludf.DUMMYFUNCTION("IMPORTRANGE(""https://docs.google.com/spreadsheets/d/1eHaY18a8A9IcSdp1K8H6x8fbOy06t2VsZHhMHf-1x7Y/edit?usp=sharing"",""แผน!FF30"")"),20)</f>
        <v>20</v>
      </c>
      <c r="J127" s="1395">
        <v>20</v>
      </c>
      <c r="K127" s="224">
        <f ca="1">IF(I127&gt;0,J127*100/I127,0)</f>
        <v>100</v>
      </c>
      <c r="L127" s="1359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84">
        <f ca="1">IFERROR(__xludf.DUMMYFUNCTION("IMPORTRANGE(""https://docs.google.com/spreadsheets/d/1eHaY18a8A9IcSdp1K8H6x8fbOy06t2VsZHhMHf-1x7Y/edit?usp=sharing"",""แผน!FG30"")"),0)</f>
        <v>0</v>
      </c>
      <c r="J128" s="1395">
        <v>0</v>
      </c>
      <c r="K128" s="224">
        <f ca="1">IF(I128&gt;0,J128*100/I128,0)</f>
        <v>0</v>
      </c>
      <c r="L128" s="1359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84">
        <f ca="1">IFERROR(__xludf.DUMMYFUNCTION("IMPORTRANGE(""https://docs.google.com/spreadsheets/d/1eHaY18a8A9IcSdp1K8H6x8fbOy06t2VsZHhMHf-1x7Y/edit?usp=sharing"",""แผน!FH30"")"),20)</f>
        <v>20</v>
      </c>
      <c r="J129" s="1395">
        <v>20</v>
      </c>
      <c r="K129" s="224">
        <f ca="1">IF(I129&gt;0,J129*100/I129,0)</f>
        <v>100</v>
      </c>
      <c r="L129" s="1359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84">
        <f ca="1">IFERROR(__xludf.DUMMYFUNCTION("IMPORTRANGE(""https://docs.google.com/spreadsheets/d/1eHaY18a8A9IcSdp1K8H6x8fbOy06t2VsZHhMHf-1x7Y/edit?usp=sharing"",""แผน!FI30"")"),0)</f>
        <v>0</v>
      </c>
      <c r="J130" s="1395">
        <v>0</v>
      </c>
      <c r="K130" s="224">
        <f ca="1">IF(I130&gt;0,J130*100/I130,0)</f>
        <v>0</v>
      </c>
      <c r="L130" s="1359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ht="18.75" x14ac:dyDescent="0.25">
      <c r="A131" s="138"/>
      <c r="B131" s="139"/>
      <c r="C131" s="139"/>
      <c r="D131" s="179" t="s">
        <v>56</v>
      </c>
      <c r="E131" s="145"/>
      <c r="F131" s="145"/>
      <c r="G131" s="143"/>
      <c r="H131" s="157" t="s">
        <v>35</v>
      </c>
      <c r="I131" s="44"/>
      <c r="J131" s="44"/>
      <c r="K131" s="45"/>
      <c r="L131" s="1359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ht="18.75" x14ac:dyDescent="0.25">
      <c r="A132" s="138"/>
      <c r="B132" s="139"/>
      <c r="C132" s="139"/>
      <c r="D132" s="179" t="s">
        <v>57</v>
      </c>
      <c r="E132" s="145"/>
      <c r="F132" s="145"/>
      <c r="G132" s="143"/>
      <c r="H132" s="180"/>
      <c r="I132" s="44"/>
      <c r="J132" s="44"/>
      <c r="K132" s="45"/>
      <c r="L132" s="1359"/>
      <c r="M132" s="45"/>
      <c r="N132" s="45"/>
      <c r="O132" s="45"/>
      <c r="P132" s="45"/>
      <c r="Q132" s="45"/>
      <c r="R132" s="45"/>
      <c r="S132" s="45"/>
      <c r="T132" s="45"/>
      <c r="U132" s="45"/>
    </row>
    <row r="133" spans="1:21" ht="12.75" x14ac:dyDescent="0.2">
      <c r="A133" s="162"/>
      <c r="B133" s="163"/>
      <c r="C133" s="163"/>
      <c r="D133" s="18"/>
      <c r="E133" s="18"/>
      <c r="F133" s="18"/>
      <c r="G133" s="19"/>
      <c r="H133" s="181"/>
      <c r="I133" s="20"/>
      <c r="J133" s="20"/>
      <c r="K133" s="21"/>
      <c r="L133" s="1346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ht="19.5" x14ac:dyDescent="0.3">
      <c r="A134" s="118" t="s">
        <v>58</v>
      </c>
      <c r="B134" s="119"/>
      <c r="C134" s="168"/>
      <c r="D134" s="119"/>
      <c r="E134" s="119"/>
      <c r="F134" s="119"/>
      <c r="G134" s="119"/>
      <c r="H134" s="119"/>
      <c r="I134" s="169"/>
      <c r="J134" s="169"/>
      <c r="K134" s="170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8" t="s">
        <v>59</v>
      </c>
      <c r="C135" s="172"/>
      <c r="D135" s="125"/>
      <c r="E135" s="27"/>
      <c r="F135" s="27"/>
      <c r="G135" s="27"/>
      <c r="H135" s="27"/>
      <c r="I135" s="182"/>
      <c r="J135" s="32"/>
      <c r="K135" s="33"/>
      <c r="L135" s="1387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1:21" ht="19.5" x14ac:dyDescent="0.3">
      <c r="A136" s="124"/>
      <c r="B136" s="27"/>
      <c r="C136" s="183" t="s">
        <v>60</v>
      </c>
      <c r="D136" s="125"/>
      <c r="E136" s="27"/>
      <c r="F136" s="27"/>
      <c r="G136" s="30"/>
      <c r="H136" s="126" t="s">
        <v>61</v>
      </c>
      <c r="I136" s="1386">
        <f ca="1">I154</f>
        <v>2</v>
      </c>
      <c r="J136" s="1386">
        <f>J154</f>
        <v>0</v>
      </c>
      <c r="K136" s="1349">
        <f ca="1">IF(I136&gt;0,J136*100/I136,0)</f>
        <v>0</v>
      </c>
      <c r="L136" s="1387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1:21" ht="19.5" x14ac:dyDescent="0.3">
      <c r="A137" s="124"/>
      <c r="B137" s="27"/>
      <c r="C137" s="183" t="s">
        <v>62</v>
      </c>
      <c r="D137" s="125"/>
      <c r="E137" s="27"/>
      <c r="F137" s="27"/>
      <c r="G137" s="30"/>
      <c r="H137" s="126" t="s">
        <v>35</v>
      </c>
      <c r="I137" s="1386">
        <f ca="1">I152</f>
        <v>40</v>
      </c>
      <c r="J137" s="1386">
        <f>J152</f>
        <v>40</v>
      </c>
      <c r="K137" s="1349">
        <f ca="1">IF(I137&gt;0,J137*100/I137,0)</f>
        <v>100</v>
      </c>
      <c r="L137" s="1387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:21" ht="19.5" x14ac:dyDescent="0.3">
      <c r="A138" s="124"/>
      <c r="B138" s="27"/>
      <c r="C138" s="172"/>
      <c r="D138" s="125"/>
      <c r="E138" s="27"/>
      <c r="F138" s="27"/>
      <c r="G138" s="30"/>
      <c r="H138" s="126" t="s">
        <v>54</v>
      </c>
      <c r="I138" s="1386">
        <f ca="1">I153</f>
        <v>4</v>
      </c>
      <c r="J138" s="1386">
        <f>J153</f>
        <v>0</v>
      </c>
      <c r="K138" s="1349">
        <f ca="1">IF(I138&gt;0,J138*100/I138,0)</f>
        <v>0</v>
      </c>
      <c r="L138" s="1387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1:21" ht="19.5" x14ac:dyDescent="0.3">
      <c r="A139" s="128"/>
      <c r="B139" s="40"/>
      <c r="C139" s="129" t="s">
        <v>18</v>
      </c>
      <c r="D139" s="1388" t="s">
        <v>19</v>
      </c>
      <c r="E139" s="40"/>
      <c r="F139" s="40"/>
      <c r="G139" s="42"/>
      <c r="H139" s="131" t="s">
        <v>14</v>
      </c>
      <c r="I139" s="44"/>
      <c r="J139" s="44"/>
      <c r="K139" s="45"/>
      <c r="L139" s="1389">
        <f ca="1">L140+L141</f>
        <v>153900</v>
      </c>
      <c r="M139" s="1390">
        <f ca="1">M140+M141</f>
        <v>148900</v>
      </c>
      <c r="N139" s="1390">
        <f ca="1">N140+N141</f>
        <v>96427.9</v>
      </c>
      <c r="O139" s="1390">
        <f ca="1">IF(L139&gt;0,N139*100/L139,0)</f>
        <v>62.656205328135151</v>
      </c>
      <c r="P139" s="1390">
        <f ca="1">IF(M139&gt;0,N139*100/M139,0)</f>
        <v>64.760174613834792</v>
      </c>
      <c r="Q139" s="1390">
        <f ca="1">Q140+Q141</f>
        <v>309860</v>
      </c>
      <c r="R139" s="1390">
        <f ca="1">R140+R141</f>
        <v>0</v>
      </c>
      <c r="S139" s="1390">
        <f ca="1">S140+S141</f>
        <v>0</v>
      </c>
      <c r="T139" s="1390">
        <f ca="1">IF(Q139&gt;0,S139*100/Q139,0)</f>
        <v>0</v>
      </c>
      <c r="U139" s="1390">
        <f ca="1">IF(R139&gt;0,S139*100/R139,0)</f>
        <v>0</v>
      </c>
    </row>
    <row r="140" spans="1:21" ht="18.75" x14ac:dyDescent="0.25">
      <c r="A140" s="128"/>
      <c r="B140" s="40"/>
      <c r="C140" s="40"/>
      <c r="D140" s="40"/>
      <c r="E140" s="156" t="s">
        <v>20</v>
      </c>
      <c r="F140" s="40"/>
      <c r="G140" s="42"/>
      <c r="H140" s="157" t="s">
        <v>14</v>
      </c>
      <c r="I140" s="44"/>
      <c r="J140" s="44"/>
      <c r="K140" s="45"/>
      <c r="L140" s="1358">
        <f>L143+L146</f>
        <v>0</v>
      </c>
      <c r="M140" s="83">
        <f>M143+M146</f>
        <v>0</v>
      </c>
      <c r="N140" s="83">
        <f>N143+N146</f>
        <v>0</v>
      </c>
      <c r="O140" s="83">
        <f>IF(L140&gt;0,N140*100/L140,0)</f>
        <v>0</v>
      </c>
      <c r="P140" s="83">
        <f>IF(M140&gt;0,N140*100/M140,0)</f>
        <v>0</v>
      </c>
      <c r="Q140" s="83">
        <f>Q143+Q146</f>
        <v>0</v>
      </c>
      <c r="R140" s="83">
        <f>R143+R146</f>
        <v>0</v>
      </c>
      <c r="S140" s="83">
        <f>S143+S146</f>
        <v>0</v>
      </c>
      <c r="T140" s="83">
        <f>IF(Q140&gt;0,S140*100/Q140,0)</f>
        <v>0</v>
      </c>
      <c r="U140" s="83">
        <f>IF(R140&gt;0,S140*100/R140,0)</f>
        <v>0</v>
      </c>
    </row>
    <row r="141" spans="1:21" ht="18.75" x14ac:dyDescent="0.25">
      <c r="A141" s="128"/>
      <c r="B141" s="40"/>
      <c r="C141" s="40"/>
      <c r="D141" s="40"/>
      <c r="E141" s="47" t="s">
        <v>21</v>
      </c>
      <c r="F141" s="40"/>
      <c r="G141" s="42"/>
      <c r="H141" s="133" t="s">
        <v>14</v>
      </c>
      <c r="I141" s="44"/>
      <c r="J141" s="44"/>
      <c r="K141" s="45"/>
      <c r="L141" s="1356">
        <f ca="1">L144+L147</f>
        <v>153900</v>
      </c>
      <c r="M141" s="224">
        <f ca="1">M144+M147</f>
        <v>148900</v>
      </c>
      <c r="N141" s="224">
        <f ca="1">N144+N147</f>
        <v>96427.9</v>
      </c>
      <c r="O141" s="224">
        <f ca="1">IF(L141&gt;0,N141*100/L141,0)</f>
        <v>62.656205328135151</v>
      </c>
      <c r="P141" s="224">
        <f ca="1">IF(M141&gt;0,N141*100/M141,0)</f>
        <v>64.760174613834792</v>
      </c>
      <c r="Q141" s="224">
        <f ca="1">Q144+Q147</f>
        <v>309860</v>
      </c>
      <c r="R141" s="224">
        <f ca="1">R144+R147</f>
        <v>0</v>
      </c>
      <c r="S141" s="224">
        <f ca="1">S144+S147</f>
        <v>0</v>
      </c>
      <c r="T141" s="224">
        <f ca="1">IF(Q141&gt;0,S141*100/Q141,0)</f>
        <v>0</v>
      </c>
      <c r="U141" s="224">
        <f ca="1">IF(R141&gt;0,S141*100/R141,0)</f>
        <v>0</v>
      </c>
    </row>
    <row r="142" spans="1:21" ht="18.75" x14ac:dyDescent="0.25">
      <c r="A142" s="128"/>
      <c r="B142" s="40"/>
      <c r="C142" s="40"/>
      <c r="D142" s="41" t="s">
        <v>22</v>
      </c>
      <c r="E142" s="40"/>
      <c r="F142" s="40"/>
      <c r="G142" s="42"/>
      <c r="H142" s="134" t="s">
        <v>14</v>
      </c>
      <c r="I142" s="135"/>
      <c r="J142" s="135"/>
      <c r="K142" s="136"/>
      <c r="L142" s="1356">
        <f ca="1">L143+L144</f>
        <v>153900</v>
      </c>
      <c r="M142" s="224">
        <f ca="1">M143+M144</f>
        <v>148900</v>
      </c>
      <c r="N142" s="224">
        <f ca="1">N143+N144</f>
        <v>96427.9</v>
      </c>
      <c r="O142" s="224">
        <f ca="1">IF(L142&gt;0,N142*100/L142,0)</f>
        <v>62.656205328135151</v>
      </c>
      <c r="P142" s="224">
        <f ca="1">IF(M142&gt;0,N142*100/M142,0)</f>
        <v>64.760174613834792</v>
      </c>
      <c r="Q142" s="224">
        <f ca="1">Q143+Q144</f>
        <v>309860</v>
      </c>
      <c r="R142" s="224">
        <f ca="1">R143+R144</f>
        <v>0</v>
      </c>
      <c r="S142" s="224">
        <f ca="1">S143+S144</f>
        <v>0</v>
      </c>
      <c r="T142" s="224">
        <f ca="1">IF(Q142&gt;0,S142*100/Q142,0)</f>
        <v>0</v>
      </c>
      <c r="U142" s="224">
        <f ca="1">IF(R142&gt;0,S142*100/R142,0)</f>
        <v>0</v>
      </c>
    </row>
    <row r="143" spans="1:21" ht="18.75" x14ac:dyDescent="0.25">
      <c r="A143" s="128"/>
      <c r="B143" s="40"/>
      <c r="C143" s="40"/>
      <c r="D143" s="40"/>
      <c r="E143" s="156" t="s">
        <v>36</v>
      </c>
      <c r="F143" s="40"/>
      <c r="G143" s="42"/>
      <c r="H143" s="159" t="s">
        <v>14</v>
      </c>
      <c r="I143" s="135"/>
      <c r="J143" s="135"/>
      <c r="K143" s="136"/>
      <c r="L143" s="1358">
        <v>0</v>
      </c>
      <c r="M143" s="83">
        <v>0</v>
      </c>
      <c r="N143" s="83">
        <v>0</v>
      </c>
      <c r="O143" s="83">
        <f>IF(L143&gt;0,N143*100/L143,0)</f>
        <v>0</v>
      </c>
      <c r="P143" s="83">
        <f>IF(M143&gt;0,N143*100/M143,0)</f>
        <v>0</v>
      </c>
      <c r="Q143" s="83">
        <v>0</v>
      </c>
      <c r="R143" s="83">
        <v>0</v>
      </c>
      <c r="S143" s="83">
        <v>0</v>
      </c>
      <c r="T143" s="83">
        <f>IF(Q143&gt;0,S143*100/Q143,0)</f>
        <v>0</v>
      </c>
      <c r="U143" s="83">
        <f>IF(R143&gt;0,S143*100/R143,0)</f>
        <v>0</v>
      </c>
    </row>
    <row r="144" spans="1:21" ht="18.75" x14ac:dyDescent="0.25">
      <c r="A144" s="128"/>
      <c r="B144" s="40"/>
      <c r="C144" s="40"/>
      <c r="D144" s="40"/>
      <c r="E144" s="47" t="s">
        <v>37</v>
      </c>
      <c r="F144" s="40"/>
      <c r="G144" s="42"/>
      <c r="H144" s="134" t="s">
        <v>14</v>
      </c>
      <c r="I144" s="135"/>
      <c r="J144" s="135"/>
      <c r="K144" s="136"/>
      <c r="L144" s="1356">
        <f ca="1">IFERROR(__xludf.DUMMYFUNCTION("IMPORTRANGE(""https://docs.google.com/spreadsheets/d/1-uDff_7J0KD5mKrp0Vvzr7lt3OU09vwQwhkpOPPYv2Y/edit?usp=sharing"",""งบพรบ!BQ30"")"),153900)</f>
        <v>153900</v>
      </c>
      <c r="M144" s="224">
        <f ca="1">IFERROR(__xludf.DUMMYFUNCTION("IMPORTRANGE(""https://docs.google.com/spreadsheets/d/1-uDff_7J0KD5mKrp0Vvzr7lt3OU09vwQwhkpOPPYv2Y/edit?usp=sharing"",""งบพรบ!BV30"")"),148900)</f>
        <v>148900</v>
      </c>
      <c r="N144" s="224">
        <f ca="1">IFERROR(__xludf.DUMMYFUNCTION("IMPORTRANGE(""https://docs.google.com/spreadsheets/d/1-uDff_7J0KD5mKrp0Vvzr7lt3OU09vwQwhkpOPPYv2Y/edit?usp=sharing"",""งบพรบ!BX30"")"),96427.9)</f>
        <v>96427.9</v>
      </c>
      <c r="O144" s="224">
        <f ca="1">IF(L144&gt;0,N144*100/L144,0)</f>
        <v>62.656205328135151</v>
      </c>
      <c r="P144" s="224">
        <f ca="1">IF(M144&gt;0,N144*100/M144,0)</f>
        <v>64.760174613834792</v>
      </c>
      <c r="Q144" s="224">
        <f ca="1">IFERROR(__xludf.DUMMYFUNCTION("IMPORTRANGE(""https://docs.google.com/spreadsheets/d/1ItG2mGa2ceCfYo0BwxsXqNm01IGEUdYcSSLTEv9YCik/edit?usp=sharing"",""เบิกจ่ายกองทุน!CF30"")"),309860)</f>
        <v>309860</v>
      </c>
      <c r="R144" s="224">
        <f ca="1">IFERROR(__xludf.DUMMYFUNCTION("IMPORTRANGE(""https://docs.google.com/spreadsheets/d/1ItG2mGa2ceCfYo0BwxsXqNm01IGEUdYcSSLTEv9YCik/edit?usp=sharing"",""เบิกจ่ายกองทุน!CG30"")"),0)</f>
        <v>0</v>
      </c>
      <c r="S144" s="224">
        <f ca="1">IFERROR(__xludf.DUMMYFUNCTION("IMPORTRANGE(""https://docs.google.com/spreadsheets/d/1ItG2mGa2ceCfYo0BwxsXqNm01IGEUdYcSSLTEv9YCik/edit?usp=sharing"",""เบิกจ่ายกองทุน!CH30"")"),0)</f>
        <v>0</v>
      </c>
      <c r="T144" s="224">
        <f ca="1">IF(Q144&gt;0,S144*100/Q144,0)</f>
        <v>0</v>
      </c>
      <c r="U144" s="224">
        <f ca="1">IF(R144&gt;0,S144*100/R144,0)</f>
        <v>0</v>
      </c>
    </row>
    <row r="145" spans="1:21" ht="18.75" x14ac:dyDescent="0.25">
      <c r="A145" s="128"/>
      <c r="B145" s="40"/>
      <c r="C145" s="40"/>
      <c r="D145" s="41" t="s">
        <v>23</v>
      </c>
      <c r="E145" s="40"/>
      <c r="F145" s="40"/>
      <c r="G145" s="42"/>
      <c r="H145" s="137" t="s">
        <v>14</v>
      </c>
      <c r="I145" s="135"/>
      <c r="J145" s="135"/>
      <c r="K145" s="136"/>
      <c r="L145" s="1356">
        <f ca="1">L146+L147</f>
        <v>0</v>
      </c>
      <c r="M145" s="224">
        <f ca="1">M146+M147</f>
        <v>0</v>
      </c>
      <c r="N145" s="224">
        <f ca="1">N146+N147</f>
        <v>0</v>
      </c>
      <c r="O145" s="224">
        <f ca="1">IF(L145&gt;0,N145*100/L145,0)</f>
        <v>0</v>
      </c>
      <c r="P145" s="224">
        <f ca="1">IF(M145&gt;0,N145*100/M145,0)</f>
        <v>0</v>
      </c>
      <c r="Q145" s="224">
        <f ca="1">Q146+Q147</f>
        <v>0</v>
      </c>
      <c r="R145" s="224">
        <f ca="1">R146+R147</f>
        <v>0</v>
      </c>
      <c r="S145" s="224">
        <f ca="1">S146+S147</f>
        <v>0</v>
      </c>
      <c r="T145" s="224">
        <f ca="1">IF(Q145&gt;0,S145*100/Q145,0)</f>
        <v>0</v>
      </c>
      <c r="U145" s="224">
        <f ca="1">IF(R145&gt;0,S145*100/R145,0)</f>
        <v>0</v>
      </c>
    </row>
    <row r="146" spans="1:21" ht="18.75" x14ac:dyDescent="0.25">
      <c r="A146" s="128"/>
      <c r="B146" s="40"/>
      <c r="C146" s="40"/>
      <c r="D146" s="40"/>
      <c r="E146" s="156" t="s">
        <v>20</v>
      </c>
      <c r="F146" s="40"/>
      <c r="G146" s="42"/>
      <c r="H146" s="159" t="s">
        <v>14</v>
      </c>
      <c r="I146" s="135"/>
      <c r="J146" s="135"/>
      <c r="K146" s="136"/>
      <c r="L146" s="1358">
        <v>0</v>
      </c>
      <c r="M146" s="83">
        <v>0</v>
      </c>
      <c r="N146" s="83">
        <v>0</v>
      </c>
      <c r="O146" s="83">
        <f>IF(L146&gt;0,N146*100/L146,0)</f>
        <v>0</v>
      </c>
      <c r="P146" s="83">
        <f>IF(M146&gt;0,N146*100/M146,0)</f>
        <v>0</v>
      </c>
      <c r="Q146" s="83">
        <v>0</v>
      </c>
      <c r="R146" s="83">
        <v>0</v>
      </c>
      <c r="S146" s="83">
        <v>0</v>
      </c>
      <c r="T146" s="83">
        <f>IF(Q146&gt;0,S146*100/Q146,0)</f>
        <v>0</v>
      </c>
      <c r="U146" s="83">
        <f>IF(R146&gt;0,S146*100/R146,0)</f>
        <v>0</v>
      </c>
    </row>
    <row r="147" spans="1:21" ht="18.75" x14ac:dyDescent="0.25">
      <c r="A147" s="128"/>
      <c r="B147" s="40"/>
      <c r="C147" s="40"/>
      <c r="D147" s="40"/>
      <c r="E147" s="47" t="s">
        <v>21</v>
      </c>
      <c r="F147" s="40"/>
      <c r="G147" s="42"/>
      <c r="H147" s="137" t="s">
        <v>14</v>
      </c>
      <c r="I147" s="135"/>
      <c r="J147" s="135"/>
      <c r="K147" s="136"/>
      <c r="L147" s="1356">
        <f ca="1">IFERROR(__xludf.DUMMYFUNCTION("IMPORTRANGE(""https://docs.google.com/spreadsheets/d/1-uDff_7J0KD5mKrp0Vvzr7lt3OU09vwQwhkpOPPYv2Y/edit?usp=sharing"",""งบพรบ!BT30"")"),0)</f>
        <v>0</v>
      </c>
      <c r="M147" s="224">
        <f ca="1">IFERROR(__xludf.DUMMYFUNCTION("IMPORTRANGE(""https://docs.google.com/spreadsheets/d/1-uDff_7J0KD5mKrp0Vvzr7lt3OU09vwQwhkpOPPYv2Y/edit?usp=sharing"",""งบพรบ!BW30"")"),0)</f>
        <v>0</v>
      </c>
      <c r="N147" s="224">
        <f ca="1">IFERROR(__xludf.DUMMYFUNCTION("IMPORTRANGE(""https://docs.google.com/spreadsheets/d/1-uDff_7J0KD5mKrp0Vvzr7lt3OU09vwQwhkpOPPYv2Y/edit?usp=sharing"",""งบพรบ!BY30"")"),0)</f>
        <v>0</v>
      </c>
      <c r="O147" s="224">
        <f ca="1">IF(L147&gt;0,N147*100/L147,0)</f>
        <v>0</v>
      </c>
      <c r="P147" s="224">
        <f ca="1">IF(M147&gt;0,N147*100/M147,0)</f>
        <v>0</v>
      </c>
      <c r="Q147" s="224">
        <f ca="1">IFERROR(__xludf.DUMMYFUNCTION("IMPORTRANGE(""https://docs.google.com/spreadsheets/d/1ItG2mGa2ceCfYo0BwxsXqNm01IGEUdYcSSLTEv9YCik/edit?usp=sharing"",""เบิกจ่ายกองทุน!CI30"")"),0)</f>
        <v>0</v>
      </c>
      <c r="R147" s="224">
        <f ca="1">IFERROR(__xludf.DUMMYFUNCTION("IMPORTRANGE(""https://docs.google.com/spreadsheets/d/1ItG2mGa2ceCfYo0BwxsXqNm01IGEUdYcSSLTEv9YCik/edit?usp=sharing"",""เบิกจ่ายกองทุน!CJ30"")"),0)</f>
        <v>0</v>
      </c>
      <c r="S147" s="224">
        <f ca="1">IFERROR(__xludf.DUMMYFUNCTION("IMPORTRANGE(""https://docs.google.com/spreadsheets/d/1ItG2mGa2ceCfYo0BwxsXqNm01IGEUdYcSSLTEv9YCik/edit?usp=sharing"",""เบิกจ่ายกองทุน!CK30"")"),0)</f>
        <v>0</v>
      </c>
      <c r="T147" s="224">
        <f ca="1">IF(Q147&gt;0,S147*100/Q147,0)</f>
        <v>0</v>
      </c>
      <c r="U147" s="224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1391" t="s">
        <v>38</v>
      </c>
      <c r="E148" s="141"/>
      <c r="F148" s="141"/>
      <c r="G148" s="142"/>
      <c r="H148" s="178"/>
      <c r="I148" s="44"/>
      <c r="J148" s="44"/>
      <c r="K148" s="45"/>
      <c r="L148" s="1359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1:21" ht="18.75" x14ac:dyDescent="0.25">
      <c r="A149" s="128"/>
      <c r="B149" s="40"/>
      <c r="C149" s="40"/>
      <c r="D149" s="47" t="s">
        <v>63</v>
      </c>
      <c r="E149" s="40"/>
      <c r="F149" s="40"/>
      <c r="G149" s="42"/>
      <c r="H149" s="178"/>
      <c r="I149" s="44"/>
      <c r="J149" s="1395">
        <v>0</v>
      </c>
      <c r="K149" s="45"/>
      <c r="L149" s="1359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1:21" ht="19.5" x14ac:dyDescent="0.3">
      <c r="A150" s="128"/>
      <c r="B150" s="40"/>
      <c r="C150" s="40"/>
      <c r="D150" s="145"/>
      <c r="E150" s="129" t="s">
        <v>64</v>
      </c>
      <c r="F150" s="40"/>
      <c r="G150" s="42"/>
      <c r="H150" s="137" t="s">
        <v>35</v>
      </c>
      <c r="I150" s="184">
        <f ca="1">IFERROR(__xludf.DUMMYFUNCTION("IMPORTRANGE(""https://docs.google.com/spreadsheets/d/1eHaY18a8A9IcSdp1K8H6x8fbOy06t2VsZHhMHf-1x7Y/edit?usp=sharing"",""แผน!U30"")"),20)</f>
        <v>20</v>
      </c>
      <c r="J150" s="1395">
        <v>0</v>
      </c>
      <c r="K150" s="224">
        <f ca="1">IF(I150&gt;0,J150*100/I150,0)</f>
        <v>0</v>
      </c>
      <c r="L150" s="1359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1:21" ht="18.75" x14ac:dyDescent="0.25">
      <c r="A151" s="128"/>
      <c r="B151" s="40"/>
      <c r="C151" s="40"/>
      <c r="D151" s="145"/>
      <c r="E151" s="40"/>
      <c r="F151" s="40"/>
      <c r="G151" s="42"/>
      <c r="H151" s="137" t="s">
        <v>54</v>
      </c>
      <c r="I151" s="184">
        <f ca="1">IFERROR(__xludf.DUMMYFUNCTION("IMPORTRANGE(""https://docs.google.com/spreadsheets/d/1eHaY18a8A9IcSdp1K8H6x8fbOy06t2VsZHhMHf-1x7Y/edit?usp=sharing"",""แผน!V30"")"),2)</f>
        <v>2</v>
      </c>
      <c r="J151" s="1395">
        <v>0</v>
      </c>
      <c r="K151" s="224">
        <f ca="1">IF(I151&gt;0,J151*100/I151,0)</f>
        <v>0</v>
      </c>
      <c r="L151" s="1359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1:21" ht="19.5" x14ac:dyDescent="0.3">
      <c r="A152" s="128"/>
      <c r="B152" s="40"/>
      <c r="C152" s="40"/>
      <c r="D152" s="145"/>
      <c r="E152" s="129" t="s">
        <v>65</v>
      </c>
      <c r="F152" s="40"/>
      <c r="G152" s="42"/>
      <c r="H152" s="137" t="s">
        <v>35</v>
      </c>
      <c r="I152" s="184">
        <f ca="1">IFERROR(__xludf.DUMMYFUNCTION("IMPORTRANGE(""https://docs.google.com/spreadsheets/d/1eHaY18a8A9IcSdp1K8H6x8fbOy06t2VsZHhMHf-1x7Y/edit?usp=sharing"",""แผน!W30"")"),40)</f>
        <v>40</v>
      </c>
      <c r="J152" s="1395">
        <v>40</v>
      </c>
      <c r="K152" s="224">
        <f ca="1">IF(I152&gt;0,J152*100/I152,0)</f>
        <v>100</v>
      </c>
      <c r="L152" s="1359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1:21" ht="18.75" x14ac:dyDescent="0.25">
      <c r="A153" s="128"/>
      <c r="B153" s="40"/>
      <c r="C153" s="40"/>
      <c r="D153" s="40"/>
      <c r="E153" s="40"/>
      <c r="F153" s="40"/>
      <c r="G153" s="42"/>
      <c r="H153" s="137" t="s">
        <v>54</v>
      </c>
      <c r="I153" s="184">
        <f ca="1">IFERROR(__xludf.DUMMYFUNCTION("IMPORTRANGE(""https://docs.google.com/spreadsheets/d/1eHaY18a8A9IcSdp1K8H6x8fbOy06t2VsZHhMHf-1x7Y/edit?usp=sharing"",""แผน!X30"")"),4)</f>
        <v>4</v>
      </c>
      <c r="J153" s="1395">
        <v>0</v>
      </c>
      <c r="K153" s="224">
        <f ca="1">IF(I153&gt;0,J153*100/I153,0)</f>
        <v>0</v>
      </c>
      <c r="L153" s="1359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1:21" ht="18.75" x14ac:dyDescent="0.25">
      <c r="A154" s="128"/>
      <c r="B154" s="40"/>
      <c r="C154" s="40"/>
      <c r="D154" s="47" t="s">
        <v>66</v>
      </c>
      <c r="E154" s="40"/>
      <c r="F154" s="40"/>
      <c r="G154" s="42"/>
      <c r="H154" s="137" t="s">
        <v>61</v>
      </c>
      <c r="I154" s="184">
        <f ca="1">IFERROR(__xludf.DUMMYFUNCTION("IMPORTRANGE(""https://docs.google.com/spreadsheets/d/1eHaY18a8A9IcSdp1K8H6x8fbOy06t2VsZHhMHf-1x7Y/edit?usp=sharing"",""แผน!Y30"")"),2)</f>
        <v>2</v>
      </c>
      <c r="J154" s="1395">
        <v>0</v>
      </c>
      <c r="K154" s="224">
        <f ca="1">IF(I154&gt;0,J154*100/I154,0)</f>
        <v>0</v>
      </c>
      <c r="L154" s="1359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1:21" ht="19.5" x14ac:dyDescent="0.3">
      <c r="A155" s="118" t="s">
        <v>67</v>
      </c>
      <c r="B155" s="119"/>
      <c r="C155" s="168"/>
      <c r="D155" s="119"/>
      <c r="E155" s="119"/>
      <c r="F155" s="119"/>
      <c r="G155" s="119"/>
      <c r="H155" s="119"/>
      <c r="I155" s="169"/>
      <c r="J155" s="169"/>
      <c r="K155" s="170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8" t="s">
        <v>68</v>
      </c>
      <c r="C156" s="27"/>
      <c r="D156" s="27"/>
      <c r="E156" s="27"/>
      <c r="F156" s="27"/>
      <c r="G156" s="30"/>
      <c r="H156" s="173" t="s">
        <v>35</v>
      </c>
      <c r="I156" s="1386">
        <f ca="1">I167</f>
        <v>15</v>
      </c>
      <c r="J156" s="1386">
        <f>J167</f>
        <v>15</v>
      </c>
      <c r="K156" s="1349">
        <f ca="1">IF(I156&gt;0,J156*100/I156,0)</f>
        <v>100</v>
      </c>
      <c r="L156" s="1387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1:21" ht="19.5" x14ac:dyDescent="0.3">
      <c r="A157" s="128"/>
      <c r="B157" s="40"/>
      <c r="C157" s="129" t="s">
        <v>18</v>
      </c>
      <c r="D157" s="1388" t="s">
        <v>19</v>
      </c>
      <c r="E157" s="40"/>
      <c r="F157" s="40"/>
      <c r="G157" s="42"/>
      <c r="H157" s="131" t="s">
        <v>14</v>
      </c>
      <c r="I157" s="44"/>
      <c r="J157" s="44"/>
      <c r="K157" s="45"/>
      <c r="L157" s="1389">
        <f ca="1">L158+L159</f>
        <v>4500</v>
      </c>
      <c r="M157" s="1390">
        <f ca="1">M158+M159</f>
        <v>4410</v>
      </c>
      <c r="N157" s="1390">
        <f ca="1">N158+N159</f>
        <v>1400</v>
      </c>
      <c r="O157" s="1390">
        <f ca="1">IF(L157&gt;0,N157*100/L157,0)</f>
        <v>31.111111111111111</v>
      </c>
      <c r="P157" s="1390">
        <f ca="1">IF(M157&gt;0,N157*100/M157,0)</f>
        <v>31.746031746031747</v>
      </c>
      <c r="Q157" s="1390">
        <f ca="1">Q158+Q159</f>
        <v>0</v>
      </c>
      <c r="R157" s="1390">
        <f ca="1">R158+R159</f>
        <v>0</v>
      </c>
      <c r="S157" s="1390">
        <f ca="1">S158+S159</f>
        <v>0</v>
      </c>
      <c r="T157" s="1390">
        <f ca="1">IF(Q157&gt;0,S157*100/Q157,0)</f>
        <v>0</v>
      </c>
      <c r="U157" s="1390">
        <f ca="1">IF(R157&gt;0,S157*100/R157,0)</f>
        <v>0</v>
      </c>
    </row>
    <row r="158" spans="1:21" ht="18.75" x14ac:dyDescent="0.25">
      <c r="A158" s="128"/>
      <c r="B158" s="40"/>
      <c r="C158" s="40"/>
      <c r="D158" s="40"/>
      <c r="E158" s="156" t="s">
        <v>20</v>
      </c>
      <c r="F158" s="40"/>
      <c r="G158" s="42"/>
      <c r="H158" s="157" t="s">
        <v>14</v>
      </c>
      <c r="I158" s="44"/>
      <c r="J158" s="44"/>
      <c r="K158" s="45"/>
      <c r="L158" s="1358">
        <f>L161+L164</f>
        <v>0</v>
      </c>
      <c r="M158" s="83">
        <f>M161+M164</f>
        <v>0</v>
      </c>
      <c r="N158" s="83">
        <f>N161+N164</f>
        <v>0</v>
      </c>
      <c r="O158" s="83">
        <f>IF(L158&gt;0,N158*100/L158,0)</f>
        <v>0</v>
      </c>
      <c r="P158" s="83">
        <f>IF(M158&gt;0,N158*100/M158,0)</f>
        <v>0</v>
      </c>
      <c r="Q158" s="83">
        <f>Q161+Q164</f>
        <v>0</v>
      </c>
      <c r="R158" s="83">
        <f>R161+R164</f>
        <v>0</v>
      </c>
      <c r="S158" s="83">
        <f>S161+S164</f>
        <v>0</v>
      </c>
      <c r="T158" s="83">
        <f>IF(Q158&gt;0,S158*100/Q158,0)</f>
        <v>0</v>
      </c>
      <c r="U158" s="83">
        <f>IF(R158&gt;0,S158*100/R158,0)</f>
        <v>0</v>
      </c>
    </row>
    <row r="159" spans="1:21" ht="18.75" x14ac:dyDescent="0.25">
      <c r="A159" s="128"/>
      <c r="B159" s="40"/>
      <c r="C159" s="40"/>
      <c r="D159" s="40"/>
      <c r="E159" s="47" t="s">
        <v>21</v>
      </c>
      <c r="F159" s="40"/>
      <c r="G159" s="42"/>
      <c r="H159" s="133" t="s">
        <v>14</v>
      </c>
      <c r="I159" s="44"/>
      <c r="J159" s="44"/>
      <c r="K159" s="45"/>
      <c r="L159" s="1356">
        <f ca="1">L162+L165</f>
        <v>4500</v>
      </c>
      <c r="M159" s="224">
        <f ca="1">M162+M165</f>
        <v>4410</v>
      </c>
      <c r="N159" s="224">
        <f ca="1">N162+N165</f>
        <v>1400</v>
      </c>
      <c r="O159" s="224">
        <f ca="1">IF(L159&gt;0,N159*100/L159,0)</f>
        <v>31.111111111111111</v>
      </c>
      <c r="P159" s="224">
        <f ca="1">IF(M159&gt;0,N159*100/M159,0)</f>
        <v>31.746031746031747</v>
      </c>
      <c r="Q159" s="224">
        <f ca="1">Q162+Q165</f>
        <v>0</v>
      </c>
      <c r="R159" s="224">
        <f ca="1">R162+R165</f>
        <v>0</v>
      </c>
      <c r="S159" s="224">
        <f ca="1">S162+S165</f>
        <v>0</v>
      </c>
      <c r="T159" s="224">
        <f ca="1">IF(Q159&gt;0,S159*100/Q159,0)</f>
        <v>0</v>
      </c>
      <c r="U159" s="224">
        <f ca="1">IF(R159&gt;0,S159*100/R159,0)</f>
        <v>0</v>
      </c>
    </row>
    <row r="160" spans="1:21" ht="18.75" x14ac:dyDescent="0.25">
      <c r="A160" s="128"/>
      <c r="B160" s="40"/>
      <c r="C160" s="40"/>
      <c r="D160" s="41" t="s">
        <v>22</v>
      </c>
      <c r="E160" s="40"/>
      <c r="F160" s="40"/>
      <c r="G160" s="42"/>
      <c r="H160" s="134" t="s">
        <v>14</v>
      </c>
      <c r="I160" s="135"/>
      <c r="J160" s="135"/>
      <c r="K160" s="136"/>
      <c r="L160" s="1356">
        <f ca="1">L161+L162</f>
        <v>4500</v>
      </c>
      <c r="M160" s="224">
        <f ca="1">M161+M162</f>
        <v>4410</v>
      </c>
      <c r="N160" s="224">
        <f ca="1">N161+N162</f>
        <v>1400</v>
      </c>
      <c r="O160" s="224">
        <f ca="1">IF(L160&gt;0,N160*100/L160,0)</f>
        <v>31.111111111111111</v>
      </c>
      <c r="P160" s="224">
        <f ca="1">IF(M160&gt;0,N160*100/M160,0)</f>
        <v>31.746031746031747</v>
      </c>
      <c r="Q160" s="224">
        <f ca="1">Q161+Q162</f>
        <v>0</v>
      </c>
      <c r="R160" s="224">
        <f ca="1">R161+R162</f>
        <v>0</v>
      </c>
      <c r="S160" s="224">
        <f ca="1">S161+S162</f>
        <v>0</v>
      </c>
      <c r="T160" s="224">
        <f ca="1">IF(Q160&gt;0,S160*100/Q160,0)</f>
        <v>0</v>
      </c>
      <c r="U160" s="224">
        <f ca="1">IF(R160&gt;0,S160*100/R160,0)</f>
        <v>0</v>
      </c>
    </row>
    <row r="161" spans="1:21" ht="18.75" x14ac:dyDescent="0.25">
      <c r="A161" s="128"/>
      <c r="B161" s="40"/>
      <c r="C161" s="40"/>
      <c r="D161" s="40"/>
      <c r="E161" s="156" t="s">
        <v>36</v>
      </c>
      <c r="F161" s="40"/>
      <c r="G161" s="42"/>
      <c r="H161" s="159" t="s">
        <v>14</v>
      </c>
      <c r="I161" s="135"/>
      <c r="J161" s="135"/>
      <c r="K161" s="136"/>
      <c r="L161" s="1358">
        <v>0</v>
      </c>
      <c r="M161" s="83">
        <v>0</v>
      </c>
      <c r="N161" s="83">
        <v>0</v>
      </c>
      <c r="O161" s="83">
        <f>IF(L161&gt;0,N161*100/L161,0)</f>
        <v>0</v>
      </c>
      <c r="P161" s="83">
        <f>IF(M161&gt;0,N161*100/M161,0)</f>
        <v>0</v>
      </c>
      <c r="Q161" s="83">
        <v>0</v>
      </c>
      <c r="R161" s="83">
        <v>0</v>
      </c>
      <c r="S161" s="83">
        <v>0</v>
      </c>
      <c r="T161" s="83">
        <f>IF(Q161&gt;0,S161*100/Q161,0)</f>
        <v>0</v>
      </c>
      <c r="U161" s="83">
        <f>IF(R161&gt;0,S161*100/R161,0)</f>
        <v>0</v>
      </c>
    </row>
    <row r="162" spans="1:21" ht="18.75" x14ac:dyDescent="0.25">
      <c r="A162" s="128"/>
      <c r="B162" s="40"/>
      <c r="C162" s="40"/>
      <c r="D162" s="40"/>
      <c r="E162" s="47" t="s">
        <v>37</v>
      </c>
      <c r="F162" s="40"/>
      <c r="G162" s="42"/>
      <c r="H162" s="134" t="s">
        <v>14</v>
      </c>
      <c r="I162" s="135"/>
      <c r="J162" s="135"/>
      <c r="K162" s="136"/>
      <c r="L162" s="1356">
        <f ca="1">IFERROR(__xludf.DUMMYFUNCTION("IMPORTRANGE(""https://docs.google.com/spreadsheets/d/1-uDff_7J0KD5mKrp0Vvzr7lt3OU09vwQwhkpOPPYv2Y/edit?usp=sharing"",""งบพรบ!CA30"")"),4500)</f>
        <v>4500</v>
      </c>
      <c r="M162" s="224">
        <f ca="1">IFERROR(__xludf.DUMMYFUNCTION("IMPORTRANGE(""https://docs.google.com/spreadsheets/d/1-uDff_7J0KD5mKrp0Vvzr7lt3OU09vwQwhkpOPPYv2Y/edit?usp=sharing"",""งบพรบ!CF30"")"),4410)</f>
        <v>4410</v>
      </c>
      <c r="N162" s="224">
        <f ca="1">IFERROR(__xludf.DUMMYFUNCTION("IMPORTRANGE(""https://docs.google.com/spreadsheets/d/1-uDff_7J0KD5mKrp0Vvzr7lt3OU09vwQwhkpOPPYv2Y/edit?usp=sharing"",""งบพรบ!CH30"")"),1400)</f>
        <v>1400</v>
      </c>
      <c r="O162" s="224">
        <f ca="1">IF(L162&gt;0,N162*100/L162,0)</f>
        <v>31.111111111111111</v>
      </c>
      <c r="P162" s="224">
        <f ca="1">IF(M162&gt;0,N162*100/M162,0)</f>
        <v>31.746031746031747</v>
      </c>
      <c r="Q162" s="224">
        <f ca="1">IFERROR(__xludf.DUMMYFUNCTION("IMPORTRANGE(""https://docs.google.com/spreadsheets/d/1ItG2mGa2ceCfYo0BwxsXqNm01IGEUdYcSSLTEv9YCik/edit?usp=sharing"",""เบิกจ่ายกองทุน!AM30"")"),0)</f>
        <v>0</v>
      </c>
      <c r="R162" s="224">
        <f ca="1">IFERROR(__xludf.DUMMYFUNCTION("IMPORTRANGE(""https://docs.google.com/spreadsheets/d/1ItG2mGa2ceCfYo0BwxsXqNm01IGEUdYcSSLTEv9YCik/edit?usp=sharing"",""เบิกจ่ายกองทุน!AN30"")"),0)</f>
        <v>0</v>
      </c>
      <c r="S162" s="224">
        <f ca="1">IFERROR(__xludf.DUMMYFUNCTION("IMPORTRANGE(""https://docs.google.com/spreadsheets/d/1ItG2mGa2ceCfYo0BwxsXqNm01IGEUdYcSSLTEv9YCik/edit?usp=sharing"",""เบิกจ่ายกองทุน!AO30"")"),0)</f>
        <v>0</v>
      </c>
      <c r="T162" s="224">
        <f ca="1">IF(Q162&gt;0,S162*100/Q162,0)</f>
        <v>0</v>
      </c>
      <c r="U162" s="224">
        <f ca="1">IF(R162&gt;0,S162*100/R162,0)</f>
        <v>0</v>
      </c>
    </row>
    <row r="163" spans="1:21" ht="18.75" x14ac:dyDescent="0.25">
      <c r="A163" s="128"/>
      <c r="B163" s="40"/>
      <c r="C163" s="40"/>
      <c r="D163" s="41" t="s">
        <v>23</v>
      </c>
      <c r="E163" s="40"/>
      <c r="F163" s="40"/>
      <c r="G163" s="42"/>
      <c r="H163" s="137" t="s">
        <v>14</v>
      </c>
      <c r="I163" s="135"/>
      <c r="J163" s="135"/>
      <c r="K163" s="136"/>
      <c r="L163" s="1356">
        <f ca="1">L164+L165</f>
        <v>0</v>
      </c>
      <c r="M163" s="224">
        <f ca="1">M164+M165</f>
        <v>0</v>
      </c>
      <c r="N163" s="224">
        <f ca="1">N164+N165</f>
        <v>0</v>
      </c>
      <c r="O163" s="224">
        <f ca="1">IF(L163&gt;0,N163*100/L163,0)</f>
        <v>0</v>
      </c>
      <c r="P163" s="224">
        <f ca="1">IF(M163&gt;0,N163*100/M163,0)</f>
        <v>0</v>
      </c>
      <c r="Q163" s="224">
        <f>Q164+Q165</f>
        <v>0</v>
      </c>
      <c r="R163" s="224">
        <f>R164+R165</f>
        <v>0</v>
      </c>
      <c r="S163" s="224">
        <f>S164+S165</f>
        <v>0</v>
      </c>
      <c r="T163" s="224">
        <f>IF(Q163&gt;0,S163*100/Q163,0)</f>
        <v>0</v>
      </c>
      <c r="U163" s="224">
        <f>IF(R163&gt;0,S163*100/R163,0)</f>
        <v>0</v>
      </c>
    </row>
    <row r="164" spans="1:21" ht="18.75" x14ac:dyDescent="0.25">
      <c r="A164" s="128"/>
      <c r="B164" s="40"/>
      <c r="C164" s="40"/>
      <c r="D164" s="40"/>
      <c r="E164" s="156" t="s">
        <v>20</v>
      </c>
      <c r="F164" s="40"/>
      <c r="G164" s="42"/>
      <c r="H164" s="159" t="s">
        <v>14</v>
      </c>
      <c r="I164" s="135"/>
      <c r="J164" s="135"/>
      <c r="K164" s="136"/>
      <c r="L164" s="1358">
        <v>0</v>
      </c>
      <c r="M164" s="83">
        <v>0</v>
      </c>
      <c r="N164" s="83">
        <v>0</v>
      </c>
      <c r="O164" s="83">
        <f>IF(L164&gt;0,N164*100/L164,0)</f>
        <v>0</v>
      </c>
      <c r="P164" s="83">
        <f>IF(M164&gt;0,N164*100/M164,0)</f>
        <v>0</v>
      </c>
      <c r="Q164" s="83">
        <v>0</v>
      </c>
      <c r="R164" s="83">
        <v>0</v>
      </c>
      <c r="S164" s="83">
        <v>0</v>
      </c>
      <c r="T164" s="83">
        <f>IF(Q164&gt;0,S164*100/Q164,0)</f>
        <v>0</v>
      </c>
      <c r="U164" s="83">
        <f>IF(R164&gt;0,S164*100/R164,0)</f>
        <v>0</v>
      </c>
    </row>
    <row r="165" spans="1:21" ht="18.75" x14ac:dyDescent="0.25">
      <c r="A165" s="128"/>
      <c r="B165" s="40"/>
      <c r="C165" s="40"/>
      <c r="D165" s="40"/>
      <c r="E165" s="47" t="s">
        <v>21</v>
      </c>
      <c r="F165" s="40"/>
      <c r="G165" s="42"/>
      <c r="H165" s="137" t="s">
        <v>14</v>
      </c>
      <c r="I165" s="135"/>
      <c r="J165" s="135"/>
      <c r="K165" s="136"/>
      <c r="L165" s="1356">
        <f ca="1">IFERROR(__xludf.DUMMYFUNCTION("IMPORTRANGE(""https://docs.google.com/spreadsheets/d/1-uDff_7J0KD5mKrp0Vvzr7lt3OU09vwQwhkpOPPYv2Y/edit?usp=sharing"",""งบพรบ!CD30"")"),0)</f>
        <v>0</v>
      </c>
      <c r="M165" s="224">
        <f ca="1">IFERROR(__xludf.DUMMYFUNCTION("IMPORTRANGE(""https://docs.google.com/spreadsheets/d/1-uDff_7J0KD5mKrp0Vvzr7lt3OU09vwQwhkpOPPYv2Y/edit?usp=sharing"",""งบพรบ!CG30"")"),0)</f>
        <v>0</v>
      </c>
      <c r="N165" s="224">
        <f ca="1">IFERROR(__xludf.DUMMYFUNCTION("IMPORTRANGE(""https://docs.google.com/spreadsheets/d/1-uDff_7J0KD5mKrp0Vvzr7lt3OU09vwQwhkpOPPYv2Y/edit?usp=sharing"",""งบพรบ!CI30"")"),0)</f>
        <v>0</v>
      </c>
      <c r="O165" s="224">
        <f ca="1">IF(L165&gt;0,N165*100/L165,0)</f>
        <v>0</v>
      </c>
      <c r="P165" s="224">
        <f ca="1">IF(M165&gt;0,N165*100/M165,0)</f>
        <v>0</v>
      </c>
      <c r="Q165" s="224">
        <v>0</v>
      </c>
      <c r="R165" s="224">
        <v>0</v>
      </c>
      <c r="S165" s="224">
        <v>0</v>
      </c>
      <c r="T165" s="224">
        <f>IF(Q165&gt;0,S165*100/Q165,0)</f>
        <v>0</v>
      </c>
      <c r="U165" s="224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1391" t="s">
        <v>38</v>
      </c>
      <c r="E166" s="141"/>
      <c r="F166" s="141"/>
      <c r="G166" s="142"/>
      <c r="H166" s="178"/>
      <c r="I166" s="44"/>
      <c r="J166" s="44"/>
      <c r="K166" s="45"/>
      <c r="L166" s="1359"/>
      <c r="M166" s="45"/>
      <c r="N166" s="45"/>
      <c r="O166" s="45"/>
      <c r="P166" s="45"/>
      <c r="Q166" s="45"/>
      <c r="R166" s="45"/>
      <c r="S166" s="45"/>
      <c r="T166" s="45"/>
      <c r="U166" s="45"/>
    </row>
    <row r="167" spans="1:21" ht="18.75" x14ac:dyDescent="0.25">
      <c r="A167" s="128"/>
      <c r="B167" s="40"/>
      <c r="C167" s="40"/>
      <c r="D167" s="47" t="s">
        <v>69</v>
      </c>
      <c r="E167" s="40"/>
      <c r="F167" s="40"/>
      <c r="G167" s="42"/>
      <c r="H167" s="137" t="s">
        <v>35</v>
      </c>
      <c r="I167" s="184">
        <f ca="1">IFERROR(__xludf.DUMMYFUNCTION("IMPORTRANGE(""https://docs.google.com/spreadsheets/d/1eHaY18a8A9IcSdp1K8H6x8fbOy06t2VsZHhMHf-1x7Y/edit?usp=sharing"",""แผน!Z30"")"),15)</f>
        <v>15</v>
      </c>
      <c r="J167" s="1395">
        <v>15</v>
      </c>
      <c r="K167" s="224">
        <f ca="1">IF(I167&gt;0,J167*100/I167,0)</f>
        <v>100</v>
      </c>
      <c r="L167" s="1359"/>
      <c r="M167" s="45"/>
      <c r="N167" s="45"/>
      <c r="O167" s="45"/>
      <c r="P167" s="45"/>
      <c r="Q167" s="45"/>
      <c r="R167" s="45"/>
      <c r="S167" s="45"/>
      <c r="T167" s="45"/>
      <c r="U167" s="45"/>
    </row>
    <row r="168" spans="1:21" ht="18.75" x14ac:dyDescent="0.25">
      <c r="A168" s="128"/>
      <c r="B168" s="40"/>
      <c r="C168" s="40"/>
      <c r="D168" s="156" t="s">
        <v>70</v>
      </c>
      <c r="E168" s="40"/>
      <c r="F168" s="40"/>
      <c r="G168" s="42"/>
      <c r="H168" s="378" t="s">
        <v>35</v>
      </c>
      <c r="I168" s="423">
        <f ca="1">I167</f>
        <v>15</v>
      </c>
      <c r="J168" s="1407">
        <v>0</v>
      </c>
      <c r="K168" s="83">
        <f ca="1">IF(I168&gt;0,J168*100/I168,0)</f>
        <v>0</v>
      </c>
      <c r="L168" s="1359"/>
      <c r="M168" s="45"/>
      <c r="N168" s="45"/>
      <c r="O168" s="45"/>
      <c r="P168" s="45"/>
      <c r="Q168" s="45"/>
      <c r="R168" s="45"/>
      <c r="S168" s="45"/>
      <c r="T168" s="45"/>
      <c r="U168" s="45"/>
    </row>
    <row r="169" spans="1:21" ht="18.75" x14ac:dyDescent="0.25">
      <c r="A169" s="185"/>
      <c r="B169" s="1"/>
      <c r="C169" s="1"/>
      <c r="D169" s="424" t="s">
        <v>71</v>
      </c>
      <c r="E169" s="1"/>
      <c r="F169" s="1"/>
      <c r="G169" s="52"/>
      <c r="H169" s="1408" t="s">
        <v>35</v>
      </c>
      <c r="I169" s="426">
        <f ca="1">I167</f>
        <v>15</v>
      </c>
      <c r="J169" s="1409">
        <v>0</v>
      </c>
      <c r="K169" s="1410">
        <f ca="1">IF(I169&gt;0,J169*100/I169,0)</f>
        <v>0</v>
      </c>
      <c r="L169" s="1360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9.5" x14ac:dyDescent="0.3">
      <c r="A170" s="189" t="s">
        <v>72</v>
      </c>
      <c r="B170" s="190"/>
      <c r="C170" s="190"/>
      <c r="D170" s="190"/>
      <c r="E170" s="191"/>
      <c r="F170" s="191"/>
      <c r="G170" s="191"/>
      <c r="H170" s="191"/>
      <c r="I170" s="192"/>
      <c r="J170" s="192"/>
      <c r="K170" s="193"/>
      <c r="L170" s="193"/>
      <c r="M170" s="193"/>
      <c r="N170" s="193"/>
      <c r="O170" s="193"/>
      <c r="P170" s="194"/>
      <c r="Q170" s="193"/>
      <c r="R170" s="193"/>
      <c r="S170" s="193"/>
      <c r="T170" s="193"/>
      <c r="U170" s="194"/>
    </row>
    <row r="171" spans="1:21" ht="19.5" x14ac:dyDescent="0.3">
      <c r="A171" s="195" t="s">
        <v>73</v>
      </c>
      <c r="B171" s="196"/>
      <c r="C171" s="196"/>
      <c r="D171" s="197"/>
      <c r="E171" s="197"/>
      <c r="F171" s="197"/>
      <c r="G171" s="197"/>
      <c r="H171" s="198"/>
      <c r="I171" s="199"/>
      <c r="J171" s="199"/>
      <c r="K171" s="200"/>
      <c r="L171" s="1411"/>
      <c r="M171" s="200"/>
      <c r="N171" s="200"/>
      <c r="O171" s="200"/>
      <c r="P171" s="200"/>
      <c r="Q171" s="200"/>
      <c r="R171" s="200"/>
      <c r="S171" s="200"/>
      <c r="T171" s="200"/>
      <c r="U171" s="200"/>
    </row>
    <row r="172" spans="1:21" ht="19.5" x14ac:dyDescent="0.3">
      <c r="A172" s="201"/>
      <c r="B172" s="202" t="s">
        <v>74</v>
      </c>
      <c r="C172" s="203"/>
      <c r="D172" s="141"/>
      <c r="E172" s="141"/>
      <c r="F172" s="141"/>
      <c r="G172" s="142"/>
      <c r="H172" s="204" t="s">
        <v>35</v>
      </c>
      <c r="I172" s="1412">
        <f ca="1">I183+I184</f>
        <v>7</v>
      </c>
      <c r="J172" s="1412">
        <f>J183+J184</f>
        <v>7</v>
      </c>
      <c r="K172" s="1413">
        <f ca="1">IF(I172&gt;0,J172*100/I172,0)</f>
        <v>100</v>
      </c>
      <c r="L172" s="1414"/>
      <c r="M172" s="207"/>
      <c r="N172" s="207"/>
      <c r="O172" s="207"/>
      <c r="P172" s="207"/>
      <c r="Q172" s="207"/>
      <c r="R172" s="207"/>
      <c r="S172" s="207"/>
      <c r="T172" s="207"/>
      <c r="U172" s="207"/>
    </row>
    <row r="173" spans="1:21" ht="19.5" x14ac:dyDescent="0.3">
      <c r="A173" s="128"/>
      <c r="B173" s="40"/>
      <c r="C173" s="129" t="s">
        <v>18</v>
      </c>
      <c r="D173" s="1388" t="s">
        <v>19</v>
      </c>
      <c r="E173" s="40"/>
      <c r="F173" s="40"/>
      <c r="G173" s="42"/>
      <c r="H173" s="131" t="s">
        <v>14</v>
      </c>
      <c r="I173" s="44"/>
      <c r="J173" s="44"/>
      <c r="K173" s="45"/>
      <c r="L173" s="1389">
        <f ca="1">L174+L175</f>
        <v>19590</v>
      </c>
      <c r="M173" s="1390">
        <f ca="1">M174+M175</f>
        <v>33520</v>
      </c>
      <c r="N173" s="1390">
        <f ca="1">N174+N175</f>
        <v>31535</v>
      </c>
      <c r="O173" s="1390">
        <f ca="1">IF(L173&gt;0,N173*100/L173,0)</f>
        <v>160.97498723838694</v>
      </c>
      <c r="P173" s="1390">
        <f ca="1">IF(M173&gt;0,N173*100/M173,0)</f>
        <v>94.078162291169448</v>
      </c>
      <c r="Q173" s="1390">
        <f ca="1">Q174+Q175</f>
        <v>0</v>
      </c>
      <c r="R173" s="1390">
        <f ca="1">R174+R175</f>
        <v>0</v>
      </c>
      <c r="S173" s="1390">
        <f ca="1">S174+S175</f>
        <v>0</v>
      </c>
      <c r="T173" s="1390">
        <f ca="1">IF(Q173&gt;0,S173*100/Q173,0)</f>
        <v>0</v>
      </c>
      <c r="U173" s="1390">
        <f ca="1">IF(R173&gt;0,S173*100/R173,0)</f>
        <v>0</v>
      </c>
    </row>
    <row r="174" spans="1:21" ht="18.75" x14ac:dyDescent="0.25">
      <c r="A174" s="128"/>
      <c r="B174" s="40"/>
      <c r="C174" s="40"/>
      <c r="D174" s="40"/>
      <c r="E174" s="156" t="s">
        <v>20</v>
      </c>
      <c r="F174" s="40"/>
      <c r="G174" s="42"/>
      <c r="H174" s="157" t="s">
        <v>14</v>
      </c>
      <c r="I174" s="44"/>
      <c r="J174" s="44"/>
      <c r="K174" s="45"/>
      <c r="L174" s="1358">
        <f>L177+L180</f>
        <v>0</v>
      </c>
      <c r="M174" s="83">
        <f>M177+M180</f>
        <v>0</v>
      </c>
      <c r="N174" s="83">
        <f>N177+N180</f>
        <v>0</v>
      </c>
      <c r="O174" s="83">
        <f>IF(L174&gt;0,N174*100/L174,0)</f>
        <v>0</v>
      </c>
      <c r="P174" s="83">
        <f>IF(M174&gt;0,N174*100/M174,0)</f>
        <v>0</v>
      </c>
      <c r="Q174" s="83">
        <f>Q177+Q180</f>
        <v>0</v>
      </c>
      <c r="R174" s="83">
        <f>R177+R180</f>
        <v>0</v>
      </c>
      <c r="S174" s="83">
        <f>S177+S180</f>
        <v>0</v>
      </c>
      <c r="T174" s="83">
        <f>IF(Q174&gt;0,S174*100/Q174,0)</f>
        <v>0</v>
      </c>
      <c r="U174" s="83">
        <f>IF(R174&gt;0,S174*100/R174,0)</f>
        <v>0</v>
      </c>
    </row>
    <row r="175" spans="1:21" ht="18.75" x14ac:dyDescent="0.25">
      <c r="A175" s="128"/>
      <c r="B175" s="40"/>
      <c r="C175" s="40"/>
      <c r="D175" s="40"/>
      <c r="E175" s="47" t="s">
        <v>21</v>
      </c>
      <c r="F175" s="40"/>
      <c r="G175" s="42"/>
      <c r="H175" s="133" t="s">
        <v>14</v>
      </c>
      <c r="I175" s="44"/>
      <c r="J175" s="44"/>
      <c r="K175" s="45"/>
      <c r="L175" s="1356">
        <f ca="1">L178+L181</f>
        <v>19590</v>
      </c>
      <c r="M175" s="224">
        <f ca="1">M178+M181</f>
        <v>33520</v>
      </c>
      <c r="N175" s="224">
        <f ca="1">N178+N181</f>
        <v>31535</v>
      </c>
      <c r="O175" s="224">
        <f ca="1">IF(L175&gt;0,N175*100/L175,0)</f>
        <v>160.97498723838694</v>
      </c>
      <c r="P175" s="224">
        <f ca="1">IF(M175&gt;0,N175*100/M175,0)</f>
        <v>94.078162291169448</v>
      </c>
      <c r="Q175" s="224">
        <f ca="1">Q178+Q181</f>
        <v>0</v>
      </c>
      <c r="R175" s="224">
        <f ca="1">R178+R181</f>
        <v>0</v>
      </c>
      <c r="S175" s="224">
        <f ca="1">S178+S181</f>
        <v>0</v>
      </c>
      <c r="T175" s="224">
        <f ca="1">IF(Q175&gt;0,S175*100/Q175,0)</f>
        <v>0</v>
      </c>
      <c r="U175" s="224">
        <f ca="1">IF(R175&gt;0,S175*100/R175,0)</f>
        <v>0</v>
      </c>
    </row>
    <row r="176" spans="1:21" ht="18.75" x14ac:dyDescent="0.25">
      <c r="A176" s="128"/>
      <c r="B176" s="40"/>
      <c r="C176" s="40"/>
      <c r="D176" s="41" t="s">
        <v>22</v>
      </c>
      <c r="E176" s="40"/>
      <c r="F176" s="40"/>
      <c r="G176" s="42"/>
      <c r="H176" s="134" t="s">
        <v>14</v>
      </c>
      <c r="I176" s="135"/>
      <c r="J176" s="135"/>
      <c r="K176" s="136"/>
      <c r="L176" s="1356">
        <f ca="1">L177+L178</f>
        <v>19590</v>
      </c>
      <c r="M176" s="224">
        <f ca="1">M177+M178</f>
        <v>33520</v>
      </c>
      <c r="N176" s="224">
        <f ca="1">N177+N178</f>
        <v>31535</v>
      </c>
      <c r="O176" s="224">
        <f ca="1">IF(L176&gt;0,N176*100/L176,0)</f>
        <v>160.97498723838694</v>
      </c>
      <c r="P176" s="224">
        <f ca="1">IF(M176&gt;0,N176*100/M176,0)</f>
        <v>94.078162291169448</v>
      </c>
      <c r="Q176" s="224">
        <f ca="1">Q177+Q178</f>
        <v>0</v>
      </c>
      <c r="R176" s="224">
        <f ca="1">R177+R178</f>
        <v>0</v>
      </c>
      <c r="S176" s="224">
        <f ca="1">S177+S178</f>
        <v>0</v>
      </c>
      <c r="T176" s="224">
        <f ca="1">IF(Q176&gt;0,S176*100/Q176,0)</f>
        <v>0</v>
      </c>
      <c r="U176" s="224">
        <f ca="1">IF(R176&gt;0,S176*100/R176,0)</f>
        <v>0</v>
      </c>
    </row>
    <row r="177" spans="1:21" ht="18.75" x14ac:dyDescent="0.25">
      <c r="A177" s="128"/>
      <c r="B177" s="40"/>
      <c r="C177" s="40"/>
      <c r="D177" s="40"/>
      <c r="E177" s="156" t="s">
        <v>36</v>
      </c>
      <c r="F177" s="40"/>
      <c r="G177" s="42"/>
      <c r="H177" s="159" t="s">
        <v>14</v>
      </c>
      <c r="I177" s="135"/>
      <c r="J177" s="135"/>
      <c r="K177" s="136"/>
      <c r="L177" s="1358">
        <v>0</v>
      </c>
      <c r="M177" s="83">
        <v>0</v>
      </c>
      <c r="N177" s="83">
        <v>0</v>
      </c>
      <c r="O177" s="83">
        <f>IF(L177&gt;0,N177*100/L177,0)</f>
        <v>0</v>
      </c>
      <c r="P177" s="83">
        <f>IF(M177&gt;0,N177*100/M177,0)</f>
        <v>0</v>
      </c>
      <c r="Q177" s="83">
        <v>0</v>
      </c>
      <c r="R177" s="83">
        <v>0</v>
      </c>
      <c r="S177" s="83">
        <v>0</v>
      </c>
      <c r="T177" s="83">
        <f>IF(Q177&gt;0,S177*100/Q177,0)</f>
        <v>0</v>
      </c>
      <c r="U177" s="83">
        <f>IF(R177&gt;0,S177*100/R177,0)</f>
        <v>0</v>
      </c>
    </row>
    <row r="178" spans="1:21" ht="18.75" x14ac:dyDescent="0.25">
      <c r="A178" s="128"/>
      <c r="B178" s="40"/>
      <c r="C178" s="40"/>
      <c r="D178" s="40"/>
      <c r="E178" s="47" t="s">
        <v>37</v>
      </c>
      <c r="F178" s="40"/>
      <c r="G178" s="42"/>
      <c r="H178" s="134" t="s">
        <v>14</v>
      </c>
      <c r="I178" s="135"/>
      <c r="J178" s="135"/>
      <c r="K178" s="136"/>
      <c r="L178" s="1356">
        <f ca="1">IFERROR(__xludf.DUMMYFUNCTION("IMPORTRANGE(""https://docs.google.com/spreadsheets/d/1-uDff_7J0KD5mKrp0Vvzr7lt3OU09vwQwhkpOPPYv2Y/edit?usp=sharing"",""งบพรบ!CK30"")"),19590)</f>
        <v>19590</v>
      </c>
      <c r="M178" s="224">
        <f ca="1">IFERROR(__xludf.DUMMYFUNCTION("IMPORTRANGE(""https://docs.google.com/spreadsheets/d/1-uDff_7J0KD5mKrp0Vvzr7lt3OU09vwQwhkpOPPYv2Y/edit?usp=sharing"",""งบพรบ!CP30"")"),33520)</f>
        <v>33520</v>
      </c>
      <c r="N178" s="224">
        <f ca="1">IFERROR(__xludf.DUMMYFUNCTION("IMPORTRANGE(""https://docs.google.com/spreadsheets/d/1-uDff_7J0KD5mKrp0Vvzr7lt3OU09vwQwhkpOPPYv2Y/edit?usp=sharing"",""งบพรบ!CR30"")"),31535)</f>
        <v>31535</v>
      </c>
      <c r="O178" s="224">
        <f ca="1">IF(L178&gt;0,N178*100/L178,0)</f>
        <v>160.97498723838694</v>
      </c>
      <c r="P178" s="224">
        <f ca="1">IF(M178&gt;0,N178*100/M178,0)</f>
        <v>94.078162291169448</v>
      </c>
      <c r="Q178" s="224">
        <f ca="1">IFERROR(__xludf.DUMMYFUNCTION("IMPORTRANGE(""https://docs.google.com/spreadsheets/d/1ItG2mGa2ceCfYo0BwxsXqNm01IGEUdYcSSLTEv9YCik/edit?usp=sharing"",""เบิกจ่ายกองทุน!DG30"")"),0)</f>
        <v>0</v>
      </c>
      <c r="R178" s="224">
        <f ca="1">IFERROR(__xludf.DUMMYFUNCTION("IMPORTRANGE(""https://docs.google.com/spreadsheets/d/1ItG2mGa2ceCfYo0BwxsXqNm01IGEUdYcSSLTEv9YCik/edit?usp=sharing"",""เบิกจ่ายกองทุน!DH30"")"),0)</f>
        <v>0</v>
      </c>
      <c r="S178" s="224">
        <f ca="1">IFERROR(__xludf.DUMMYFUNCTION("IMPORTRANGE(""https://docs.google.com/spreadsheets/d/1ItG2mGa2ceCfYo0BwxsXqNm01IGEUdYcSSLTEv9YCik/edit?usp=sharing"",""เบิกจ่ายกองทุน!DI30"")"),0)</f>
        <v>0</v>
      </c>
      <c r="T178" s="224">
        <f ca="1">IF(Q178&gt;0,S178*100/Q178,0)</f>
        <v>0</v>
      </c>
      <c r="U178" s="224">
        <f ca="1">IF(R178&gt;0,S178*100/R178,0)</f>
        <v>0</v>
      </c>
    </row>
    <row r="179" spans="1:21" ht="18.75" x14ac:dyDescent="0.25">
      <c r="A179" s="128"/>
      <c r="B179" s="40"/>
      <c r="C179" s="40"/>
      <c r="D179" s="41" t="s">
        <v>23</v>
      </c>
      <c r="E179" s="40"/>
      <c r="F179" s="40"/>
      <c r="G179" s="42"/>
      <c r="H179" s="137" t="s">
        <v>14</v>
      </c>
      <c r="I179" s="135"/>
      <c r="J179" s="135"/>
      <c r="K179" s="136"/>
      <c r="L179" s="1356">
        <f ca="1">L180+L181</f>
        <v>0</v>
      </c>
      <c r="M179" s="224">
        <f ca="1">M180+M181</f>
        <v>0</v>
      </c>
      <c r="N179" s="224">
        <f ca="1">N180+N181</f>
        <v>0</v>
      </c>
      <c r="O179" s="224">
        <f ca="1">IF(L179&gt;0,N179*100/L179,0)</f>
        <v>0</v>
      </c>
      <c r="P179" s="224">
        <f ca="1">IF(M179&gt;0,N179*100/M179,0)</f>
        <v>0</v>
      </c>
      <c r="Q179" s="224">
        <f>Q180+Q181</f>
        <v>0</v>
      </c>
      <c r="R179" s="224">
        <f>R180+R181</f>
        <v>0</v>
      </c>
      <c r="S179" s="224">
        <f>S180+S181</f>
        <v>0</v>
      </c>
      <c r="T179" s="224">
        <f>IF(Q179&gt;0,S179*100/Q179,0)</f>
        <v>0</v>
      </c>
      <c r="U179" s="224">
        <f>IF(R179&gt;0,S179*100/R179,0)</f>
        <v>0</v>
      </c>
    </row>
    <row r="180" spans="1:21" ht="18.75" x14ac:dyDescent="0.25">
      <c r="A180" s="128"/>
      <c r="B180" s="40"/>
      <c r="C180" s="40"/>
      <c r="D180" s="40"/>
      <c r="E180" s="156" t="s">
        <v>20</v>
      </c>
      <c r="F180" s="40"/>
      <c r="G180" s="42"/>
      <c r="H180" s="159" t="s">
        <v>14</v>
      </c>
      <c r="I180" s="135"/>
      <c r="J180" s="135"/>
      <c r="K180" s="136"/>
      <c r="L180" s="1358">
        <v>0</v>
      </c>
      <c r="M180" s="83">
        <v>0</v>
      </c>
      <c r="N180" s="83">
        <v>0</v>
      </c>
      <c r="O180" s="83">
        <f>IF(L180&gt;0,N180*100/L180,0)</f>
        <v>0</v>
      </c>
      <c r="P180" s="83">
        <f>IF(M180&gt;0,N180*100/M180,0)</f>
        <v>0</v>
      </c>
      <c r="Q180" s="83">
        <v>0</v>
      </c>
      <c r="R180" s="83">
        <v>0</v>
      </c>
      <c r="S180" s="83">
        <v>0</v>
      </c>
      <c r="T180" s="83">
        <f>IF(Q180&gt;0,S180*100/Q180,0)</f>
        <v>0</v>
      </c>
      <c r="U180" s="83">
        <f>IF(R180&gt;0,S180*100/R180,0)</f>
        <v>0</v>
      </c>
    </row>
    <row r="181" spans="1:21" ht="18.75" x14ac:dyDescent="0.25">
      <c r="A181" s="128"/>
      <c r="B181" s="40"/>
      <c r="C181" s="40"/>
      <c r="D181" s="40"/>
      <c r="E181" s="47" t="s">
        <v>21</v>
      </c>
      <c r="F181" s="40"/>
      <c r="G181" s="42"/>
      <c r="H181" s="137" t="s">
        <v>14</v>
      </c>
      <c r="I181" s="135"/>
      <c r="J181" s="135"/>
      <c r="K181" s="136"/>
      <c r="L181" s="1356">
        <f ca="1">IFERROR(__xludf.DUMMYFUNCTION("IMPORTRANGE(""https://docs.google.com/spreadsheets/d/1-uDff_7J0KD5mKrp0Vvzr7lt3OU09vwQwhkpOPPYv2Y/edit?usp=sharing"",""งบพรบ!CN30"")"),0)</f>
        <v>0</v>
      </c>
      <c r="M181" s="224">
        <f ca="1">IFERROR(__xludf.DUMMYFUNCTION("IMPORTRANGE(""https://docs.google.com/spreadsheets/d/1-uDff_7J0KD5mKrp0Vvzr7lt3OU09vwQwhkpOPPYv2Y/edit?usp=sharing"",""งบพรบ!CQ30"")"),0)</f>
        <v>0</v>
      </c>
      <c r="N181" s="224">
        <f ca="1">IFERROR(__xludf.DUMMYFUNCTION("IMPORTRANGE(""https://docs.google.com/spreadsheets/d/1-uDff_7J0KD5mKrp0Vvzr7lt3OU09vwQwhkpOPPYv2Y/edit?usp=sharing"",""งบพรบ!CS30"")"),0)</f>
        <v>0</v>
      </c>
      <c r="O181" s="224">
        <f ca="1">IF(L181&gt;0,N181*100/L181,0)</f>
        <v>0</v>
      </c>
      <c r="P181" s="224">
        <f ca="1">IF(M181&gt;0,N181*100/M181,0)</f>
        <v>0</v>
      </c>
      <c r="Q181" s="224">
        <v>0</v>
      </c>
      <c r="R181" s="224">
        <v>0</v>
      </c>
      <c r="S181" s="224">
        <v>0</v>
      </c>
      <c r="T181" s="224">
        <f>IF(Q181&gt;0,S181*100/Q181,0)</f>
        <v>0</v>
      </c>
      <c r="U181" s="224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1391" t="s">
        <v>38</v>
      </c>
      <c r="E182" s="141"/>
      <c r="F182" s="141"/>
      <c r="G182" s="142"/>
      <c r="H182" s="178"/>
      <c r="I182" s="44"/>
      <c r="J182" s="44"/>
      <c r="K182" s="45"/>
      <c r="L182" s="1359"/>
      <c r="M182" s="45"/>
      <c r="N182" s="45"/>
      <c r="O182" s="45"/>
      <c r="P182" s="45"/>
      <c r="Q182" s="45"/>
      <c r="R182" s="45"/>
      <c r="S182" s="45"/>
      <c r="T182" s="45"/>
      <c r="U182" s="45"/>
    </row>
    <row r="183" spans="1:21" ht="18.75" x14ac:dyDescent="0.25">
      <c r="A183" s="208"/>
      <c r="B183" s="40"/>
      <c r="C183" s="158"/>
      <c r="D183" s="209" t="s">
        <v>75</v>
      </c>
      <c r="E183" s="40"/>
      <c r="F183" s="40"/>
      <c r="G183" s="42"/>
      <c r="H183" s="210" t="s">
        <v>35</v>
      </c>
      <c r="I183" s="184">
        <f ca="1">IFERROR(__xludf.DUMMYFUNCTION("IMPORTRANGE(""https://docs.google.com/spreadsheets/d/1eHaY18a8A9IcSdp1K8H6x8fbOy06t2VsZHhMHf-1x7Y/edit?usp=sharing"",""แผน!AA30"")"),7)</f>
        <v>7</v>
      </c>
      <c r="J183" s="1395">
        <v>7</v>
      </c>
      <c r="K183" s="224">
        <f ca="1">IF(I183&gt;0,J183*100/I183,0)</f>
        <v>100</v>
      </c>
      <c r="L183" s="1359"/>
      <c r="M183" s="45"/>
      <c r="N183" s="45"/>
      <c r="O183" s="45"/>
      <c r="P183" s="45"/>
      <c r="Q183" s="45"/>
      <c r="R183" s="45"/>
      <c r="S183" s="45"/>
      <c r="T183" s="45"/>
      <c r="U183" s="45"/>
    </row>
    <row r="184" spans="1:21" ht="18.75" x14ac:dyDescent="0.25">
      <c r="A184" s="208"/>
      <c r="B184" s="158"/>
      <c r="C184" s="158"/>
      <c r="D184" s="314" t="s">
        <v>76</v>
      </c>
      <c r="E184" s="40"/>
      <c r="F184" s="40"/>
      <c r="G184" s="42"/>
      <c r="H184" s="1415" t="s">
        <v>35</v>
      </c>
      <c r="I184" s="423">
        <v>0</v>
      </c>
      <c r="J184" s="423">
        <v>0</v>
      </c>
      <c r="K184" s="83">
        <f>IF(I184&gt;0,J184*100/I184,0)</f>
        <v>0</v>
      </c>
      <c r="L184" s="1359"/>
      <c r="M184" s="45"/>
      <c r="N184" s="45"/>
      <c r="O184" s="45"/>
      <c r="P184" s="45"/>
      <c r="Q184" s="45"/>
      <c r="R184" s="45"/>
      <c r="S184" s="45"/>
      <c r="T184" s="45"/>
      <c r="U184" s="45"/>
    </row>
    <row r="185" spans="1:21" ht="19.5" x14ac:dyDescent="0.3">
      <c r="A185" s="201"/>
      <c r="B185" s="202" t="s">
        <v>77</v>
      </c>
      <c r="C185" s="203"/>
      <c r="D185" s="141"/>
      <c r="E185" s="141"/>
      <c r="F185" s="141"/>
      <c r="G185" s="142"/>
      <c r="H185" s="204" t="s">
        <v>35</v>
      </c>
      <c r="I185" s="1412">
        <f ca="1">I230+I231</f>
        <v>0</v>
      </c>
      <c r="J185" s="1412">
        <f>J230+J231</f>
        <v>0</v>
      </c>
      <c r="K185" s="1413">
        <f ca="1">IF(I185&gt;0,J185*100/I185,0)</f>
        <v>0</v>
      </c>
      <c r="L185" s="1414"/>
      <c r="M185" s="207"/>
      <c r="N185" s="207"/>
      <c r="O185" s="207"/>
      <c r="P185" s="207"/>
      <c r="Q185" s="207"/>
      <c r="R185" s="207"/>
      <c r="S185" s="207"/>
      <c r="T185" s="207"/>
      <c r="U185" s="207"/>
    </row>
    <row r="186" spans="1:21" ht="19.5" x14ac:dyDescent="0.3">
      <c r="A186" s="128"/>
      <c r="B186" s="40"/>
      <c r="C186" s="129" t="s">
        <v>18</v>
      </c>
      <c r="D186" s="1388" t="s">
        <v>19</v>
      </c>
      <c r="E186" s="40"/>
      <c r="F186" s="40"/>
      <c r="G186" s="42"/>
      <c r="H186" s="131" t="s">
        <v>14</v>
      </c>
      <c r="I186" s="44"/>
      <c r="J186" s="44"/>
      <c r="K186" s="45"/>
      <c r="L186" s="1389">
        <f ca="1">L187+L188</f>
        <v>34500</v>
      </c>
      <c r="M186" s="1390">
        <f ca="1">M187+M188</f>
        <v>38160</v>
      </c>
      <c r="N186" s="1390">
        <f ca="1">N187+N188</f>
        <v>6579.88</v>
      </c>
      <c r="O186" s="1390">
        <f ca="1">IF(L186&gt;0,N186*100/L186,0)</f>
        <v>19.072115942028987</v>
      </c>
      <c r="P186" s="1390">
        <f ca="1">IF(M186&gt;0,N186*100/M186,0)</f>
        <v>17.24287211740042</v>
      </c>
      <c r="Q186" s="1390">
        <f ca="1">Q187+Q188</f>
        <v>56000</v>
      </c>
      <c r="R186" s="1390">
        <f ca="1">R187+R188</f>
        <v>56000</v>
      </c>
      <c r="S186" s="1390">
        <f ca="1">S187+S188</f>
        <v>0</v>
      </c>
      <c r="T186" s="1390">
        <f ca="1">IF(Q186&gt;0,S186*100/Q186,0)</f>
        <v>0</v>
      </c>
      <c r="U186" s="1390">
        <f ca="1">IF(R186&gt;0,S186*100/R186,0)</f>
        <v>0</v>
      </c>
    </row>
    <row r="187" spans="1:21" ht="18.75" x14ac:dyDescent="0.25">
      <c r="A187" s="128"/>
      <c r="B187" s="40"/>
      <c r="C187" s="40"/>
      <c r="D187" s="40"/>
      <c r="E187" s="156" t="s">
        <v>20</v>
      </c>
      <c r="F187" s="40"/>
      <c r="G187" s="42"/>
      <c r="H187" s="157" t="s">
        <v>14</v>
      </c>
      <c r="I187" s="44"/>
      <c r="J187" s="44"/>
      <c r="K187" s="45"/>
      <c r="L187" s="1358">
        <f>L190+L193</f>
        <v>0</v>
      </c>
      <c r="M187" s="83">
        <f>M190+M193</f>
        <v>0</v>
      </c>
      <c r="N187" s="83">
        <f>N190+N193</f>
        <v>0</v>
      </c>
      <c r="O187" s="83">
        <f>IF(L187&gt;0,N187*100/L187,0)</f>
        <v>0</v>
      </c>
      <c r="P187" s="83">
        <f>IF(M187&gt;0,N187*100/M187,0)</f>
        <v>0</v>
      </c>
      <c r="Q187" s="83">
        <f>Q190+Q193</f>
        <v>0</v>
      </c>
      <c r="R187" s="83">
        <f>R190+R193</f>
        <v>0</v>
      </c>
      <c r="S187" s="83">
        <f>S190+S193</f>
        <v>0</v>
      </c>
      <c r="T187" s="83">
        <f>IF(Q187&gt;0,S187*100/Q187,0)</f>
        <v>0</v>
      </c>
      <c r="U187" s="83">
        <f>IF(R187&gt;0,S187*100/R187,0)</f>
        <v>0</v>
      </c>
    </row>
    <row r="188" spans="1:21" ht="18.75" x14ac:dyDescent="0.25">
      <c r="A188" s="128"/>
      <c r="B188" s="40"/>
      <c r="C188" s="40"/>
      <c r="D188" s="40"/>
      <c r="E188" s="47" t="s">
        <v>21</v>
      </c>
      <c r="F188" s="40"/>
      <c r="G188" s="42"/>
      <c r="H188" s="133" t="s">
        <v>14</v>
      </c>
      <c r="I188" s="44"/>
      <c r="J188" s="44"/>
      <c r="K188" s="45"/>
      <c r="L188" s="1356">
        <f ca="1">L191+L194</f>
        <v>34500</v>
      </c>
      <c r="M188" s="224">
        <f ca="1">M191+M194</f>
        <v>38160</v>
      </c>
      <c r="N188" s="224">
        <f ca="1">N191+N194</f>
        <v>6579.88</v>
      </c>
      <c r="O188" s="224">
        <f ca="1">IF(L188&gt;0,N188*100/L188,0)</f>
        <v>19.072115942028987</v>
      </c>
      <c r="P188" s="224">
        <f ca="1">IF(M188&gt;0,N188*100/M188,0)</f>
        <v>17.24287211740042</v>
      </c>
      <c r="Q188" s="224">
        <f ca="1">Q191+Q194</f>
        <v>56000</v>
      </c>
      <c r="R188" s="224">
        <f ca="1">R191+R194</f>
        <v>56000</v>
      </c>
      <c r="S188" s="224">
        <f ca="1">S191+S194</f>
        <v>0</v>
      </c>
      <c r="T188" s="224">
        <f ca="1">IF(Q188&gt;0,S188*100/Q188,0)</f>
        <v>0</v>
      </c>
      <c r="U188" s="224">
        <f ca="1">IF(R188&gt;0,S188*100/R188,0)</f>
        <v>0</v>
      </c>
    </row>
    <row r="189" spans="1:21" ht="18.75" x14ac:dyDescent="0.25">
      <c r="A189" s="128"/>
      <c r="B189" s="40"/>
      <c r="C189" s="40"/>
      <c r="D189" s="41" t="s">
        <v>22</v>
      </c>
      <c r="E189" s="40"/>
      <c r="F189" s="40"/>
      <c r="G189" s="42"/>
      <c r="H189" s="134" t="s">
        <v>14</v>
      </c>
      <c r="I189" s="135"/>
      <c r="J189" s="135"/>
      <c r="K189" s="136"/>
      <c r="L189" s="1356">
        <f ca="1">L190+L191</f>
        <v>34500</v>
      </c>
      <c r="M189" s="224">
        <f ca="1">M190+M191</f>
        <v>38160</v>
      </c>
      <c r="N189" s="224">
        <f ca="1">N190+N191</f>
        <v>6579.88</v>
      </c>
      <c r="O189" s="224">
        <f ca="1">IF(L189&gt;0,N189*100/L189,0)</f>
        <v>19.072115942028987</v>
      </c>
      <c r="P189" s="224">
        <f ca="1">IF(M189&gt;0,N189*100/M189,0)</f>
        <v>17.24287211740042</v>
      </c>
      <c r="Q189" s="224">
        <f ca="1">Q190+Q191</f>
        <v>56000</v>
      </c>
      <c r="R189" s="224">
        <f ca="1">R190+R191</f>
        <v>56000</v>
      </c>
      <c r="S189" s="224">
        <f ca="1">S190+S191</f>
        <v>0</v>
      </c>
      <c r="T189" s="224">
        <f ca="1">IF(Q189&gt;0,S189*100/Q189,0)</f>
        <v>0</v>
      </c>
      <c r="U189" s="224">
        <f ca="1">IF(R189&gt;0,S189*100/R189,0)</f>
        <v>0</v>
      </c>
    </row>
    <row r="190" spans="1:21" ht="18.75" x14ac:dyDescent="0.25">
      <c r="A190" s="128"/>
      <c r="B190" s="40"/>
      <c r="C190" s="40"/>
      <c r="D190" s="40"/>
      <c r="E190" s="156" t="s">
        <v>36</v>
      </c>
      <c r="F190" s="40"/>
      <c r="G190" s="42"/>
      <c r="H190" s="159" t="s">
        <v>14</v>
      </c>
      <c r="I190" s="135"/>
      <c r="J190" s="135"/>
      <c r="K190" s="136"/>
      <c r="L190" s="1358">
        <v>0</v>
      </c>
      <c r="M190" s="83">
        <v>0</v>
      </c>
      <c r="N190" s="83">
        <v>0</v>
      </c>
      <c r="O190" s="83">
        <f>IF(L190&gt;0,N190*100/L190,0)</f>
        <v>0</v>
      </c>
      <c r="P190" s="83">
        <f>IF(M190&gt;0,N190*100/M190,0)</f>
        <v>0</v>
      </c>
      <c r="Q190" s="83">
        <v>0</v>
      </c>
      <c r="R190" s="83">
        <v>0</v>
      </c>
      <c r="S190" s="83">
        <v>0</v>
      </c>
      <c r="T190" s="83">
        <f>IF(Q190&gt;0,S190*100/Q190,0)</f>
        <v>0</v>
      </c>
      <c r="U190" s="83">
        <f>IF(R190&gt;0,S190*100/R190,0)</f>
        <v>0</v>
      </c>
    </row>
    <row r="191" spans="1:21" ht="18.75" x14ac:dyDescent="0.25">
      <c r="A191" s="128"/>
      <c r="B191" s="40"/>
      <c r="C191" s="40"/>
      <c r="D191" s="40"/>
      <c r="E191" s="47" t="s">
        <v>37</v>
      </c>
      <c r="F191" s="40"/>
      <c r="G191" s="42"/>
      <c r="H191" s="134" t="s">
        <v>14</v>
      </c>
      <c r="I191" s="135"/>
      <c r="J191" s="135"/>
      <c r="K191" s="136"/>
      <c r="L191" s="1356">
        <f ca="1">IFERROR(__xludf.DUMMYFUNCTION("IMPORTRANGE(""https://docs.google.com/spreadsheets/d/1-uDff_7J0KD5mKrp0Vvzr7lt3OU09vwQwhkpOPPYv2Y/edit?usp=sharing"",""งบพรบ!CU30"")"),34500)</f>
        <v>34500</v>
      </c>
      <c r="M191" s="224">
        <f ca="1">IFERROR(__xludf.DUMMYFUNCTION("IMPORTRANGE(""https://docs.google.com/spreadsheets/d/1-uDff_7J0KD5mKrp0Vvzr7lt3OU09vwQwhkpOPPYv2Y/edit?usp=sharing"",""งบพรบ!CZ30"")"),38160)</f>
        <v>38160</v>
      </c>
      <c r="N191" s="224">
        <f ca="1">IFERROR(__xludf.DUMMYFUNCTION("IMPORTRANGE(""https://docs.google.com/spreadsheets/d/1-uDff_7J0KD5mKrp0Vvzr7lt3OU09vwQwhkpOPPYv2Y/edit?usp=sharing"",""งบพรบ!DB30"")"),6579.88)</f>
        <v>6579.88</v>
      </c>
      <c r="O191" s="224">
        <f ca="1">IF(L191&gt;0,N191*100/L191,0)</f>
        <v>19.072115942028987</v>
      </c>
      <c r="P191" s="224">
        <f ca="1">IF(M191&gt;0,N191*100/M191,0)</f>
        <v>17.24287211740042</v>
      </c>
      <c r="Q191" s="224">
        <f ca="1">IFERROR(__xludf.DUMMYFUNCTION("IMPORTRANGE(""https://docs.google.com/spreadsheets/d/1ItG2mGa2ceCfYo0BwxsXqNm01IGEUdYcSSLTEv9YCik/edit?usp=sharing"",""เบิกจ่ายกองทุน!BQ30"")"),56000)</f>
        <v>56000</v>
      </c>
      <c r="R191" s="224">
        <f ca="1">IFERROR(__xludf.DUMMYFUNCTION("IMPORTRANGE(""https://docs.google.com/spreadsheets/d/1ItG2mGa2ceCfYo0BwxsXqNm01IGEUdYcSSLTEv9YCik/edit?usp=sharing"",""เบิกจ่ายกองทุน!BR30"")"),56000)</f>
        <v>56000</v>
      </c>
      <c r="S191" s="224">
        <f ca="1">IFERROR(__xludf.DUMMYFUNCTION("IMPORTRANGE(""https://docs.google.com/spreadsheets/d/1ItG2mGa2ceCfYo0BwxsXqNm01IGEUdYcSSLTEv9YCik/edit?usp=sharing"",""เบิกจ่ายกองทุน!BS30"")"),0)</f>
        <v>0</v>
      </c>
      <c r="T191" s="224">
        <f ca="1">IF(Q191&gt;0,S191*100/Q191,0)</f>
        <v>0</v>
      </c>
      <c r="U191" s="224">
        <f ca="1">IF(R191&gt;0,S191*100/R191,0)</f>
        <v>0</v>
      </c>
    </row>
    <row r="192" spans="1:21" ht="18.75" x14ac:dyDescent="0.25">
      <c r="A192" s="128"/>
      <c r="B192" s="40"/>
      <c r="C192" s="40"/>
      <c r="D192" s="41" t="s">
        <v>23</v>
      </c>
      <c r="E192" s="40"/>
      <c r="F192" s="40"/>
      <c r="G192" s="42"/>
      <c r="H192" s="137" t="s">
        <v>14</v>
      </c>
      <c r="I192" s="135"/>
      <c r="J192" s="135"/>
      <c r="K192" s="136"/>
      <c r="L192" s="1356">
        <f ca="1">L193+L194</f>
        <v>0</v>
      </c>
      <c r="M192" s="224">
        <f ca="1">M193+M194</f>
        <v>0</v>
      </c>
      <c r="N192" s="224">
        <f ca="1">N193+N194</f>
        <v>0</v>
      </c>
      <c r="O192" s="224">
        <f ca="1">IF(L192&gt;0,N192*100/L192,0)</f>
        <v>0</v>
      </c>
      <c r="P192" s="224">
        <f ca="1">IF(M192&gt;0,N192*100/M192,0)</f>
        <v>0</v>
      </c>
      <c r="Q192" s="224">
        <f ca="1">Q193+Q194</f>
        <v>0</v>
      </c>
      <c r="R192" s="224">
        <f ca="1">R193+R194</f>
        <v>0</v>
      </c>
      <c r="S192" s="224">
        <f ca="1">S193+S194</f>
        <v>0</v>
      </c>
      <c r="T192" s="224">
        <f ca="1">IF(Q192&gt;0,S192*100/Q192,0)</f>
        <v>0</v>
      </c>
      <c r="U192" s="224">
        <f ca="1">IF(R192&gt;0,S192*100/R192,0)</f>
        <v>0</v>
      </c>
    </row>
    <row r="193" spans="1:21" ht="18.75" x14ac:dyDescent="0.25">
      <c r="A193" s="128"/>
      <c r="B193" s="40"/>
      <c r="C193" s="40"/>
      <c r="D193" s="40"/>
      <c r="E193" s="156" t="s">
        <v>20</v>
      </c>
      <c r="F193" s="40"/>
      <c r="G193" s="42"/>
      <c r="H193" s="159" t="s">
        <v>14</v>
      </c>
      <c r="I193" s="135"/>
      <c r="J193" s="135"/>
      <c r="K193" s="136"/>
      <c r="L193" s="1358">
        <v>0</v>
      </c>
      <c r="M193" s="83">
        <v>0</v>
      </c>
      <c r="N193" s="83">
        <v>0</v>
      </c>
      <c r="O193" s="83">
        <f>IF(L193&gt;0,N193*100/L193,0)</f>
        <v>0</v>
      </c>
      <c r="P193" s="83">
        <f>IF(M193&gt;0,N193*100/M193,0)</f>
        <v>0</v>
      </c>
      <c r="Q193" s="83">
        <v>0</v>
      </c>
      <c r="R193" s="83">
        <v>0</v>
      </c>
      <c r="S193" s="83">
        <v>0</v>
      </c>
      <c r="T193" s="83">
        <f>IF(Q193&gt;0,S193*100/Q193,0)</f>
        <v>0</v>
      </c>
      <c r="U193" s="83">
        <f>IF(R193&gt;0,S193*100/R193,0)</f>
        <v>0</v>
      </c>
    </row>
    <row r="194" spans="1:21" ht="18.75" x14ac:dyDescent="0.25">
      <c r="A194" s="128"/>
      <c r="B194" s="40"/>
      <c r="C194" s="40"/>
      <c r="D194" s="40"/>
      <c r="E194" s="47" t="s">
        <v>21</v>
      </c>
      <c r="F194" s="40"/>
      <c r="G194" s="42"/>
      <c r="H194" s="137" t="s">
        <v>14</v>
      </c>
      <c r="I194" s="135"/>
      <c r="J194" s="135"/>
      <c r="K194" s="136"/>
      <c r="L194" s="1356">
        <f ca="1">IFERROR(__xludf.DUMMYFUNCTION("IMPORTRANGE(""https://docs.google.com/spreadsheets/d/1-uDff_7J0KD5mKrp0Vvzr7lt3OU09vwQwhkpOPPYv2Y/edit?usp=sharing"",""งบพรบ!CX30"")"),0)</f>
        <v>0</v>
      </c>
      <c r="M194" s="224">
        <f ca="1">IFERROR(__xludf.DUMMYFUNCTION("IMPORTRANGE(""https://docs.google.com/spreadsheets/d/1-uDff_7J0KD5mKrp0Vvzr7lt3OU09vwQwhkpOPPYv2Y/edit?usp=sharing"",""งบพรบ!DA30"")"),0)</f>
        <v>0</v>
      </c>
      <c r="N194" s="224">
        <f ca="1">IFERROR(__xludf.DUMMYFUNCTION("IMPORTRANGE(""https://docs.google.com/spreadsheets/d/1-uDff_7J0KD5mKrp0Vvzr7lt3OU09vwQwhkpOPPYv2Y/edit?usp=sharing"",""งบพรบ!DC30"")"),0)</f>
        <v>0</v>
      </c>
      <c r="O194" s="224">
        <f ca="1">IF(L194&gt;0,N194*100/L194,0)</f>
        <v>0</v>
      </c>
      <c r="P194" s="224">
        <f ca="1">IF(M194&gt;0,N194*100/M194,0)</f>
        <v>0</v>
      </c>
      <c r="Q194" s="224">
        <f ca="1">IFERROR(__xludf.DUMMYFUNCTION("IMPORTRANGE(""https://docs.google.com/spreadsheets/d/1ItG2mGa2ceCfYo0BwxsXqNm01IGEUdYcSSLTEv9YCik/edit?usp=sharing"",""เบิกจ่ายกองทุน!BT30"")"),0)</f>
        <v>0</v>
      </c>
      <c r="R194" s="224">
        <f ca="1">IFERROR(__xludf.DUMMYFUNCTION("IMPORTRANGE(""https://docs.google.com/spreadsheets/d/1ItG2mGa2ceCfYo0BwxsXqNm01IGEUdYcSSLTEv9YCik/edit?usp=sharing"",""เบิกจ่ายกองทุน!BU30"")"),0)</f>
        <v>0</v>
      </c>
      <c r="S194" s="224">
        <f ca="1">IFERROR(__xludf.DUMMYFUNCTION("IMPORTRANGE(""https://docs.google.com/spreadsheets/d/1ItG2mGa2ceCfYo0BwxsXqNm01IGEUdYcSSLTEv9YCik/edit?usp=sharing"",""เบิกจ่ายกองทุน!BV30"")"),0)</f>
        <v>0</v>
      </c>
      <c r="T194" s="224">
        <f ca="1">IF(Q194&gt;0,S194*100/Q194,0)</f>
        <v>0</v>
      </c>
      <c r="U194" s="224">
        <f ca="1">IF(R194&gt;0,S194*100/R194,0)</f>
        <v>0</v>
      </c>
    </row>
    <row r="195" spans="1:21" ht="19.5" x14ac:dyDescent="0.3">
      <c r="A195" s="211"/>
      <c r="B195" s="212"/>
      <c r="C195" s="213" t="s">
        <v>78</v>
      </c>
      <c r="D195" s="214"/>
      <c r="E195" s="214"/>
      <c r="F195" s="214"/>
      <c r="G195" s="215"/>
      <c r="H195" s="216" t="s">
        <v>79</v>
      </c>
      <c r="I195" s="303">
        <f ca="1">I198</f>
        <v>4</v>
      </c>
      <c r="J195" s="303">
        <f>J198</f>
        <v>2</v>
      </c>
      <c r="K195" s="304">
        <f ca="1">IF(I195&gt;0,J195*100/I195,0)</f>
        <v>50</v>
      </c>
      <c r="L195" s="1416"/>
      <c r="M195" s="219"/>
      <c r="N195" s="219"/>
      <c r="O195" s="219"/>
      <c r="P195" s="219"/>
      <c r="Q195" s="219"/>
      <c r="R195" s="219"/>
      <c r="S195" s="219"/>
      <c r="T195" s="219"/>
      <c r="U195" s="219"/>
    </row>
    <row r="196" spans="1:21" ht="19.5" x14ac:dyDescent="0.3">
      <c r="A196" s="128"/>
      <c r="B196" s="40"/>
      <c r="C196" s="129" t="s">
        <v>18</v>
      </c>
      <c r="D196" s="1417" t="s">
        <v>19</v>
      </c>
      <c r="E196" s="40"/>
      <c r="F196" s="40"/>
      <c r="G196" s="42"/>
      <c r="H196" s="221" t="s">
        <v>14</v>
      </c>
      <c r="I196" s="44"/>
      <c r="J196" s="44"/>
      <c r="K196" s="45"/>
      <c r="L196" s="1389">
        <f ca="1">IFERROR(__xludf.DUMMYFUNCTION("IMPORTRANGE(""https://docs.google.com/spreadsheets/d/1eHaY18a8A9IcSdp1K8H6x8fbOy06t2VsZHhMHf-1x7Y/edit?usp=sharing"",""แผน!AB30"")"),6000)</f>
        <v>6000</v>
      </c>
      <c r="M196" s="45"/>
      <c r="N196" s="1418">
        <v>1600</v>
      </c>
      <c r="O196" s="1390">
        <f ca="1">IF(L196&gt;0,N196*100/L196,0)</f>
        <v>26.666666666666668</v>
      </c>
      <c r="P196" s="1390">
        <f>IF(M196&gt;0,N196*100/M196,0)</f>
        <v>0</v>
      </c>
      <c r="Q196" s="45"/>
      <c r="R196" s="45"/>
      <c r="S196" s="45"/>
      <c r="T196" s="45"/>
      <c r="U196" s="45"/>
    </row>
    <row r="197" spans="1:21" ht="19.5" x14ac:dyDescent="0.3">
      <c r="A197" s="138"/>
      <c r="B197" s="139"/>
      <c r="C197" s="129" t="s">
        <v>18</v>
      </c>
      <c r="D197" s="1391" t="s">
        <v>38</v>
      </c>
      <c r="E197" s="141"/>
      <c r="F197" s="141"/>
      <c r="G197" s="142"/>
      <c r="H197" s="143"/>
      <c r="I197" s="44"/>
      <c r="J197" s="44"/>
      <c r="K197" s="45"/>
      <c r="L197" s="1359"/>
      <c r="M197" s="45"/>
      <c r="N197" s="45"/>
      <c r="O197" s="45"/>
      <c r="P197" s="45"/>
      <c r="Q197" s="45"/>
      <c r="R197" s="45"/>
      <c r="S197" s="45"/>
      <c r="T197" s="45"/>
      <c r="U197" s="45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84">
        <f ca="1">IFERROR(__xludf.DUMMYFUNCTION("IMPORTRANGE(""https://docs.google.com/spreadsheets/d/1eHaY18a8A9IcSdp1K8H6x8fbOy06t2VsZHhMHf-1x7Y/edit?usp=sharing"",""แผน!AE30"")"),4)</f>
        <v>4</v>
      </c>
      <c r="J198" s="1395">
        <v>2</v>
      </c>
      <c r="K198" s="224">
        <f ca="1">IF(I198&gt;0,J198*100/I198,0)</f>
        <v>50</v>
      </c>
      <c r="L198" s="1359"/>
      <c r="M198" s="45"/>
      <c r="N198" s="45"/>
      <c r="O198" s="45"/>
      <c r="P198" s="45"/>
      <c r="Q198" s="45"/>
      <c r="R198" s="45"/>
      <c r="S198" s="45"/>
      <c r="T198" s="45"/>
      <c r="U198" s="45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0" t="s">
        <v>35</v>
      </c>
      <c r="I199" s="44"/>
      <c r="J199" s="184">
        <f>J200+J201</f>
        <v>0</v>
      </c>
      <c r="K199" s="45"/>
      <c r="L199" s="1359"/>
      <c r="M199" s="45"/>
      <c r="N199" s="45"/>
      <c r="O199" s="45"/>
      <c r="P199" s="45"/>
      <c r="Q199" s="45"/>
      <c r="R199" s="45"/>
      <c r="S199" s="45"/>
      <c r="T199" s="45"/>
      <c r="U199" s="45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0" t="s">
        <v>35</v>
      </c>
      <c r="I200" s="44"/>
      <c r="J200" s="1395">
        <v>0</v>
      </c>
      <c r="K200" s="45"/>
      <c r="L200" s="1359"/>
      <c r="M200" s="45"/>
      <c r="N200" s="45"/>
      <c r="O200" s="45"/>
      <c r="P200" s="45"/>
      <c r="Q200" s="45"/>
      <c r="R200" s="45"/>
      <c r="S200" s="45"/>
      <c r="T200" s="45"/>
      <c r="U200" s="45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0" t="s">
        <v>35</v>
      </c>
      <c r="I201" s="44"/>
      <c r="J201" s="1395">
        <v>0</v>
      </c>
      <c r="K201" s="45"/>
      <c r="L201" s="1359"/>
      <c r="M201" s="45"/>
      <c r="N201" s="45"/>
      <c r="O201" s="45"/>
      <c r="P201" s="45"/>
      <c r="Q201" s="45"/>
      <c r="R201" s="45"/>
      <c r="S201" s="45"/>
      <c r="T201" s="45"/>
      <c r="U201" s="45"/>
    </row>
    <row r="202" spans="1:21" ht="19.5" x14ac:dyDescent="0.3">
      <c r="A202" s="211"/>
      <c r="B202" s="212"/>
      <c r="C202" s="213" t="s">
        <v>84</v>
      </c>
      <c r="D202" s="214"/>
      <c r="E202" s="214"/>
      <c r="F202" s="214"/>
      <c r="G202" s="215"/>
      <c r="H202" s="223" t="s">
        <v>85</v>
      </c>
      <c r="I202" s="303">
        <f ca="1">I209</f>
        <v>4</v>
      </c>
      <c r="J202" s="303">
        <f>J209</f>
        <v>0</v>
      </c>
      <c r="K202" s="304">
        <f ca="1">IF(I202&gt;0,J202*100/I202,0)</f>
        <v>0</v>
      </c>
      <c r="L202" s="1416"/>
      <c r="M202" s="219"/>
      <c r="N202" s="219"/>
      <c r="O202" s="219"/>
      <c r="P202" s="219"/>
      <c r="Q202" s="219"/>
      <c r="R202" s="219"/>
      <c r="S202" s="219"/>
      <c r="T202" s="219"/>
      <c r="U202" s="219"/>
    </row>
    <row r="203" spans="1:21" ht="19.5" x14ac:dyDescent="0.3">
      <c r="A203" s="128"/>
      <c r="B203" s="40"/>
      <c r="C203" s="129" t="s">
        <v>18</v>
      </c>
      <c r="D203" s="1417" t="s">
        <v>19</v>
      </c>
      <c r="E203" s="40"/>
      <c r="F203" s="40"/>
      <c r="G203" s="42"/>
      <c r="H203" s="221" t="s">
        <v>14</v>
      </c>
      <c r="I203" s="135"/>
      <c r="J203" s="135"/>
      <c r="K203" s="136"/>
      <c r="L203" s="1389">
        <f ca="1">L204+L205+L206+L207</f>
        <v>10000</v>
      </c>
      <c r="M203" s="45"/>
      <c r="N203" s="1390">
        <f>N204+N205+N206+N207</f>
        <v>4674.88</v>
      </c>
      <c r="O203" s="1390">
        <f ca="1">IF(L203&gt;0,N203*100/L203,0)</f>
        <v>46.748800000000003</v>
      </c>
      <c r="P203" s="1390">
        <f>IF(M203&gt;0,N203*100/M203,0)</f>
        <v>0</v>
      </c>
      <c r="Q203" s="1419">
        <f ca="1">Q204+Q205+Q206+Q207</f>
        <v>56000</v>
      </c>
      <c r="R203" s="373"/>
      <c r="S203" s="1420">
        <f>S204+S205+S206+S207</f>
        <v>0</v>
      </c>
      <c r="T203" s="1420">
        <f ca="1">IF(Q203&gt;0,S203*100/Q203,0)</f>
        <v>0</v>
      </c>
      <c r="U203" s="1420">
        <f>IF(R203&gt;0,S203*100/R203,0)</f>
        <v>0</v>
      </c>
    </row>
    <row r="204" spans="1:21" ht="18.75" x14ac:dyDescent="0.25">
      <c r="A204" s="128"/>
      <c r="B204" s="158"/>
      <c r="C204" s="40"/>
      <c r="D204" s="1421" t="s">
        <v>317</v>
      </c>
      <c r="E204" s="40"/>
      <c r="F204" s="40"/>
      <c r="G204" s="42"/>
      <c r="H204" s="134" t="s">
        <v>14</v>
      </c>
      <c r="I204" s="135"/>
      <c r="J204" s="135"/>
      <c r="K204" s="136"/>
      <c r="L204" s="1356">
        <f ca="1">IFERROR(__xludf.DUMMYFUNCTION("IMPORTRANGE(""https://docs.google.com/spreadsheets/d/1eHaY18a8A9IcSdp1K8H6x8fbOy06t2VsZHhMHf-1x7Y/edit?usp=sharing"",""แผน!AG30"")"),2000)</f>
        <v>2000</v>
      </c>
      <c r="M204" s="45"/>
      <c r="N204" s="1422">
        <v>4674.88</v>
      </c>
      <c r="O204" s="136"/>
      <c r="P204" s="45"/>
      <c r="Q204" s="1356">
        <v>0</v>
      </c>
      <c r="R204" s="45"/>
      <c r="S204" s="224">
        <v>0</v>
      </c>
      <c r="T204" s="136"/>
      <c r="U204" s="45"/>
    </row>
    <row r="205" spans="1:21" ht="18.75" x14ac:dyDescent="0.25">
      <c r="A205" s="208"/>
      <c r="B205" s="158"/>
      <c r="C205" s="40"/>
      <c r="D205" s="47" t="s">
        <v>301</v>
      </c>
      <c r="E205" s="40"/>
      <c r="F205" s="40"/>
      <c r="G205" s="42"/>
      <c r="H205" s="43" t="s">
        <v>14</v>
      </c>
      <c r="I205" s="44"/>
      <c r="J205" s="44"/>
      <c r="K205" s="45"/>
      <c r="L205" s="1356">
        <f ca="1">IFERROR(__xludf.DUMMYFUNCTION("IMPORTRANGE(""https://docs.google.com/spreadsheets/d/1eHaY18a8A9IcSdp1K8H6x8fbOy06t2VsZHhMHf-1x7Y/edit?usp=sharing"",""แผน!AH30"")"),0)</f>
        <v>0</v>
      </c>
      <c r="M205" s="45"/>
      <c r="N205" s="1422">
        <v>0</v>
      </c>
      <c r="O205" s="136"/>
      <c r="P205" s="45"/>
      <c r="Q205" s="1356">
        <v>0</v>
      </c>
      <c r="R205" s="45"/>
      <c r="S205" s="224">
        <v>0</v>
      </c>
      <c r="T205" s="136"/>
      <c r="U205" s="45"/>
    </row>
    <row r="206" spans="1:21" ht="18.75" x14ac:dyDescent="0.25">
      <c r="A206" s="208"/>
      <c r="B206" s="158"/>
      <c r="C206" s="40"/>
      <c r="D206" s="47" t="s">
        <v>88</v>
      </c>
      <c r="E206" s="40"/>
      <c r="F206" s="40"/>
      <c r="G206" s="42"/>
      <c r="H206" s="43" t="s">
        <v>14</v>
      </c>
      <c r="I206" s="44"/>
      <c r="J206" s="44"/>
      <c r="K206" s="45"/>
      <c r="L206" s="1356">
        <f ca="1">IFERROR(__xludf.DUMMYFUNCTION("IMPORTRANGE(""https://docs.google.com/spreadsheets/d/1eHaY18a8A9IcSdp1K8H6x8fbOy06t2VsZHhMHf-1x7Y/edit?usp=sharing"",""แผน!AI30"")"),0)</f>
        <v>0</v>
      </c>
      <c r="M206" s="45"/>
      <c r="N206" s="1422">
        <v>0</v>
      </c>
      <c r="O206" s="136"/>
      <c r="P206" s="45"/>
      <c r="Q206" s="1356">
        <f ca="1">IFERROR(__xludf.DUMMYFUNCTION("IMPORTRANGE(""https://docs.google.com/spreadsheets/d/1eHaY18a8A9IcSdp1K8H6x8fbOy06t2VsZHhMHf-1x7Y/edit?usp=sharing"",""แผน!LV30"")"),56000)</f>
        <v>56000</v>
      </c>
      <c r="R206" s="45"/>
      <c r="S206" s="1422">
        <v>0</v>
      </c>
      <c r="T206" s="136"/>
      <c r="U206" s="45"/>
    </row>
    <row r="207" spans="1:21" ht="18.75" x14ac:dyDescent="0.25">
      <c r="A207" s="208"/>
      <c r="B207" s="158"/>
      <c r="C207" s="40"/>
      <c r="D207" s="47" t="s">
        <v>89</v>
      </c>
      <c r="E207" s="40"/>
      <c r="F207" s="40"/>
      <c r="G207" s="42"/>
      <c r="H207" s="43" t="s">
        <v>14</v>
      </c>
      <c r="I207" s="44"/>
      <c r="J207" s="44"/>
      <c r="K207" s="45"/>
      <c r="L207" s="1356">
        <f ca="1">IFERROR(__xludf.DUMMYFUNCTION("IMPORTRANGE(""https://docs.google.com/spreadsheets/d/1eHaY18a8A9IcSdp1K8H6x8fbOy06t2VsZHhMHf-1x7Y/edit?usp=sharing"",""แผน!AJ30"")"),8000)</f>
        <v>8000</v>
      </c>
      <c r="M207" s="45"/>
      <c r="N207" s="1422">
        <v>0</v>
      </c>
      <c r="O207" s="136"/>
      <c r="P207" s="45"/>
      <c r="Q207" s="1356">
        <v>0</v>
      </c>
      <c r="R207" s="45"/>
      <c r="S207" s="224">
        <v>0</v>
      </c>
      <c r="T207" s="136"/>
      <c r="U207" s="45"/>
    </row>
    <row r="208" spans="1:21" ht="19.5" x14ac:dyDescent="0.3">
      <c r="A208" s="138"/>
      <c r="B208" s="139"/>
      <c r="C208" s="129" t="s">
        <v>18</v>
      </c>
      <c r="D208" s="1391" t="s">
        <v>38</v>
      </c>
      <c r="E208" s="141"/>
      <c r="F208" s="141"/>
      <c r="G208" s="142"/>
      <c r="H208" s="143"/>
      <c r="I208" s="135"/>
      <c r="J208" s="135"/>
      <c r="K208" s="136"/>
      <c r="L208" s="1392"/>
      <c r="M208" s="136"/>
      <c r="N208" s="136"/>
      <c r="O208" s="136"/>
      <c r="P208" s="136"/>
      <c r="Q208" s="1392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25" t="s">
        <v>85</v>
      </c>
      <c r="I209" s="184">
        <f ca="1">IFERROR(__xludf.DUMMYFUNCTION("IMPORTRANGE(""https://docs.google.com/spreadsheets/d/1eHaY18a8A9IcSdp1K8H6x8fbOy06t2VsZHhMHf-1x7Y/edit?usp=sharing"",""แผน!AK30"")"),4)</f>
        <v>4</v>
      </c>
      <c r="J209" s="1395">
        <v>0</v>
      </c>
      <c r="K209" s="1396">
        <f ca="1">IF(I209&gt;0,J209*100/I209,0)</f>
        <v>0</v>
      </c>
      <c r="L209" s="1359"/>
      <c r="M209" s="45"/>
      <c r="N209" s="45"/>
      <c r="O209" s="45"/>
      <c r="P209" s="45"/>
      <c r="Q209" s="1359"/>
      <c r="R209" s="45"/>
      <c r="S209" s="45"/>
      <c r="T209" s="45"/>
      <c r="U209" s="45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4"/>
      <c r="J210" s="44"/>
      <c r="K210" s="136"/>
      <c r="L210" s="1359"/>
      <c r="M210" s="45"/>
      <c r="N210" s="45"/>
      <c r="O210" s="45"/>
      <c r="P210" s="45"/>
      <c r="Q210" s="1359"/>
      <c r="R210" s="45"/>
      <c r="S210" s="45"/>
      <c r="T210" s="45"/>
      <c r="U210" s="45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25" t="s">
        <v>85</v>
      </c>
      <c r="I211" s="184">
        <f ca="1">IFERROR(__xludf.DUMMYFUNCTION("IMPORTRANGE(""https://docs.google.com/spreadsheets/d/1eHaY18a8A9IcSdp1K8H6x8fbOy06t2VsZHhMHf-1x7Y/edit?usp=sharing"",""แผน!JX30"")"),2)</f>
        <v>2</v>
      </c>
      <c r="J211" s="1395">
        <v>0</v>
      </c>
      <c r="K211" s="1396">
        <f ca="1">IF(I211&gt;0,J211*100/I211,0)</f>
        <v>0</v>
      </c>
      <c r="L211" s="1359"/>
      <c r="M211" s="45"/>
      <c r="N211" s="45"/>
      <c r="O211" s="45"/>
      <c r="P211" s="45"/>
      <c r="Q211" s="1359"/>
      <c r="R211" s="45"/>
      <c r="S211" s="45"/>
      <c r="T211" s="45"/>
      <c r="U211" s="45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84">
        <f ca="1">IFERROR(__xludf.DUMMYFUNCTION("IMPORTRANGE(""https://docs.google.com/spreadsheets/d/1eHaY18a8A9IcSdp1K8H6x8fbOy06t2VsZHhMHf-1x7Y/edit?usp=sharing"",""แผน!JY30"")"),0)</f>
        <v>0</v>
      </c>
      <c r="J212" s="1395">
        <v>0</v>
      </c>
      <c r="K212" s="1396">
        <f ca="1">IF(I212&gt;0,J212*100/I212,0)</f>
        <v>0</v>
      </c>
      <c r="L212" s="1359"/>
      <c r="M212" s="45"/>
      <c r="N212" s="45"/>
      <c r="O212" s="45"/>
      <c r="P212" s="45"/>
      <c r="Q212" s="1359"/>
      <c r="R212" s="45"/>
      <c r="S212" s="45"/>
      <c r="T212" s="45"/>
      <c r="U212" s="45"/>
    </row>
    <row r="213" spans="1:21" ht="19.5" x14ac:dyDescent="0.3">
      <c r="A213" s="211"/>
      <c r="B213" s="212"/>
      <c r="C213" s="213" t="s">
        <v>94</v>
      </c>
      <c r="D213" s="214"/>
      <c r="E213" s="214"/>
      <c r="F213" s="214"/>
      <c r="G213" s="215"/>
      <c r="H213" s="223" t="s">
        <v>85</v>
      </c>
      <c r="I213" s="303">
        <f ca="1">I220</f>
        <v>0</v>
      </c>
      <c r="J213" s="303">
        <f>J220</f>
        <v>0</v>
      </c>
      <c r="K213" s="304">
        <f ca="1">IF(I213&gt;0,J213*100/I213,0)</f>
        <v>0</v>
      </c>
      <c r="L213" s="1416"/>
      <c r="M213" s="219"/>
      <c r="N213" s="219"/>
      <c r="O213" s="219"/>
      <c r="P213" s="219"/>
      <c r="Q213" s="1416"/>
      <c r="R213" s="219"/>
      <c r="S213" s="219"/>
      <c r="T213" s="219"/>
      <c r="U213" s="219"/>
    </row>
    <row r="214" spans="1:21" ht="19.5" x14ac:dyDescent="0.3">
      <c r="A214" s="128"/>
      <c r="B214" s="40"/>
      <c r="C214" s="129" t="s">
        <v>18</v>
      </c>
      <c r="D214" s="1417" t="s">
        <v>19</v>
      </c>
      <c r="E214" s="40"/>
      <c r="F214" s="40"/>
      <c r="G214" s="42"/>
      <c r="H214" s="221" t="s">
        <v>14</v>
      </c>
      <c r="I214" s="135"/>
      <c r="J214" s="135"/>
      <c r="K214" s="136"/>
      <c r="L214" s="1389">
        <f ca="1">L215+L216+L217</f>
        <v>0</v>
      </c>
      <c r="M214" s="45"/>
      <c r="N214" s="1390">
        <f>N215+N216+N217</f>
        <v>0</v>
      </c>
      <c r="O214" s="1390">
        <f ca="1">IF(L214&gt;0,N214*100/L214,0)</f>
        <v>0</v>
      </c>
      <c r="P214" s="1390">
        <f>IF(M214&gt;0,N214*100/M214,0)</f>
        <v>0</v>
      </c>
      <c r="Q214" s="1389">
        <f ca="1">Q215+Q216+Q217</f>
        <v>0</v>
      </c>
      <c r="R214" s="45"/>
      <c r="S214" s="1390">
        <f>S215+S216+S217</f>
        <v>229220</v>
      </c>
      <c r="T214" s="1390">
        <f ca="1">IF(Q214&gt;0,S214*100/Q214,0)</f>
        <v>0</v>
      </c>
      <c r="U214" s="1390">
        <f>IF(R214&gt;0,S214*100/R214,0)</f>
        <v>0</v>
      </c>
    </row>
    <row r="215" spans="1:21" ht="18.75" x14ac:dyDescent="0.25">
      <c r="A215" s="128"/>
      <c r="B215" s="158"/>
      <c r="C215" s="40"/>
      <c r="D215" s="47" t="s">
        <v>86</v>
      </c>
      <c r="E215" s="40"/>
      <c r="F215" s="40"/>
      <c r="G215" s="42"/>
      <c r="H215" s="134" t="s">
        <v>14</v>
      </c>
      <c r="I215" s="135"/>
      <c r="J215" s="135"/>
      <c r="K215" s="136"/>
      <c r="L215" s="1356">
        <f ca="1">IFERROR(__xludf.DUMMYFUNCTION("IMPORTRANGE(""https://docs.google.com/spreadsheets/d/1eHaY18a8A9IcSdp1K8H6x8fbOy06t2VsZHhMHf-1x7Y/edit?usp=sharing"",""แผน!AM30"")"),0)</f>
        <v>0</v>
      </c>
      <c r="M215" s="45"/>
      <c r="N215" s="1422">
        <v>0</v>
      </c>
      <c r="O215" s="136"/>
      <c r="P215" s="45"/>
      <c r="Q215" s="1356">
        <v>0</v>
      </c>
      <c r="R215" s="45"/>
      <c r="S215" s="224">
        <v>0</v>
      </c>
      <c r="T215" s="136"/>
      <c r="U215" s="45"/>
    </row>
    <row r="216" spans="1:21" ht="18.75" x14ac:dyDescent="0.25">
      <c r="A216" s="208"/>
      <c r="B216" s="158"/>
      <c r="C216" s="158"/>
      <c r="D216" s="47" t="s">
        <v>95</v>
      </c>
      <c r="E216" s="40"/>
      <c r="F216" s="40"/>
      <c r="G216" s="42"/>
      <c r="H216" s="134" t="s">
        <v>14</v>
      </c>
      <c r="I216" s="44"/>
      <c r="J216" s="44"/>
      <c r="K216" s="45"/>
      <c r="L216" s="1356">
        <f ca="1">IFERROR(__xludf.DUMMYFUNCTION("IMPORTRANGE(""https://docs.google.com/spreadsheets/d/1eHaY18a8A9IcSdp1K8H6x8fbOy06t2VsZHhMHf-1x7Y/edit?usp=sharing"",""แผน!AN30"")"),0)</f>
        <v>0</v>
      </c>
      <c r="M216" s="45"/>
      <c r="N216" s="1422">
        <v>0</v>
      </c>
      <c r="O216" s="136"/>
      <c r="P216" s="45"/>
      <c r="Q216" s="1356">
        <v>0</v>
      </c>
      <c r="R216" s="45"/>
      <c r="S216" s="224">
        <v>0</v>
      </c>
      <c r="T216" s="136"/>
      <c r="U216" s="45"/>
    </row>
    <row r="217" spans="1:21" ht="18.75" x14ac:dyDescent="0.25">
      <c r="A217" s="208"/>
      <c r="B217" s="158"/>
      <c r="C217" s="158"/>
      <c r="D217" s="47" t="s">
        <v>88</v>
      </c>
      <c r="E217" s="40"/>
      <c r="F217" s="40"/>
      <c r="G217" s="42"/>
      <c r="H217" s="134" t="s">
        <v>14</v>
      </c>
      <c r="I217" s="44"/>
      <c r="J217" s="44"/>
      <c r="K217" s="45"/>
      <c r="L217" s="1356">
        <f ca="1">IFERROR(__xludf.DUMMYFUNCTION("IMPORTRANGE(""https://docs.google.com/spreadsheets/d/1eHaY18a8A9IcSdp1K8H6x8fbOy06t2VsZHhMHf-1x7Y/edit?usp=sharing"",""แผน!AO30"")"),0)</f>
        <v>0</v>
      </c>
      <c r="M217" s="45"/>
      <c r="N217" s="1422">
        <v>0</v>
      </c>
      <c r="O217" s="136"/>
      <c r="P217" s="45"/>
      <c r="Q217" s="1356">
        <f ca="1">IFERROR(__xludf.DUMMYFUNCTION("IMPORTRANGE(""https://docs.google.com/spreadsheets/d/1eHaY18a8A9IcSdp1K8H6x8fbOy06t2VsZHhMHf-1x7Y/edit?usp=sharing"",""แผน!LY30"")"),0)</f>
        <v>0</v>
      </c>
      <c r="R217" s="45"/>
      <c r="S217" s="1422">
        <v>229220</v>
      </c>
      <c r="T217" s="136"/>
      <c r="U217" s="45"/>
    </row>
    <row r="218" spans="1:21" ht="19.5" x14ac:dyDescent="0.3">
      <c r="A218" s="138"/>
      <c r="B218" s="139"/>
      <c r="C218" s="161" t="s">
        <v>18</v>
      </c>
      <c r="D218" s="1391" t="s">
        <v>38</v>
      </c>
      <c r="E218" s="141"/>
      <c r="F218" s="141"/>
      <c r="G218" s="142"/>
      <c r="H218" s="143"/>
      <c r="I218" s="135"/>
      <c r="J218" s="44"/>
      <c r="K218" s="45"/>
      <c r="L218" s="1359"/>
      <c r="M218" s="45"/>
      <c r="N218" s="45"/>
      <c r="O218" s="136"/>
      <c r="P218" s="136"/>
      <c r="Q218" s="1359"/>
      <c r="R218" s="45"/>
      <c r="S218" s="45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25" t="s">
        <v>85</v>
      </c>
      <c r="I219" s="184">
        <f ca="1">IFERROR(__xludf.DUMMYFUNCTION("IMPORTRANGE(""https://docs.google.com/spreadsheets/d/1eHaY18a8A9IcSdp1K8H6x8fbOy06t2VsZHhMHf-1x7Y/edit?usp=sharing"",""แผน!AP30"")"),0)</f>
        <v>0</v>
      </c>
      <c r="J219" s="1395">
        <v>0</v>
      </c>
      <c r="K219" s="224">
        <f ca="1">IF(I219&gt;0,J219*100/I219,0)</f>
        <v>0</v>
      </c>
      <c r="L219" s="1359"/>
      <c r="M219" s="45"/>
      <c r="N219" s="45"/>
      <c r="O219" s="45"/>
      <c r="P219" s="45"/>
      <c r="Q219" s="1359"/>
      <c r="R219" s="45"/>
      <c r="S219" s="45"/>
      <c r="T219" s="45"/>
      <c r="U219" s="45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25" t="s">
        <v>85</v>
      </c>
      <c r="I220" s="184">
        <f ca="1">IFERROR(__xludf.DUMMYFUNCTION("IMPORTRANGE(""https://docs.google.com/spreadsheets/d/1eHaY18a8A9IcSdp1K8H6x8fbOy06t2VsZHhMHf-1x7Y/edit?usp=sharing"",""แผน!AP30"")"),0)</f>
        <v>0</v>
      </c>
      <c r="J220" s="1395">
        <v>0</v>
      </c>
      <c r="K220" s="224">
        <f ca="1">IF(I220&gt;0,J220*100/I220,0)</f>
        <v>0</v>
      </c>
      <c r="L220" s="1359"/>
      <c r="M220" s="45"/>
      <c r="N220" s="45"/>
      <c r="O220" s="45"/>
      <c r="P220" s="45"/>
      <c r="Q220" s="1359"/>
      <c r="R220" s="45"/>
      <c r="S220" s="45"/>
      <c r="T220" s="45"/>
      <c r="U220" s="45"/>
    </row>
    <row r="221" spans="1:21" ht="19.5" x14ac:dyDescent="0.3">
      <c r="A221" s="211"/>
      <c r="B221" s="212"/>
      <c r="C221" s="213" t="s">
        <v>98</v>
      </c>
      <c r="D221" s="214"/>
      <c r="E221" s="214"/>
      <c r="F221" s="214"/>
      <c r="G221" s="215"/>
      <c r="H221" s="216" t="s">
        <v>99</v>
      </c>
      <c r="I221" s="303">
        <f ca="1">I229</f>
        <v>50000</v>
      </c>
      <c r="J221" s="303">
        <f>J229</f>
        <v>0</v>
      </c>
      <c r="K221" s="304">
        <f ca="1">IF(I221&gt;0,J221*100/I221,0)</f>
        <v>0</v>
      </c>
      <c r="L221" s="1416"/>
      <c r="M221" s="219"/>
      <c r="N221" s="219"/>
      <c r="O221" s="219"/>
      <c r="P221" s="219"/>
      <c r="Q221" s="219"/>
      <c r="R221" s="219"/>
      <c r="S221" s="219"/>
      <c r="T221" s="219"/>
      <c r="U221" s="219"/>
    </row>
    <row r="222" spans="1:21" ht="19.5" x14ac:dyDescent="0.3">
      <c r="A222" s="128"/>
      <c r="B222" s="40"/>
      <c r="C222" s="129" t="s">
        <v>18</v>
      </c>
      <c r="D222" s="1417" t="s">
        <v>19</v>
      </c>
      <c r="E222" s="40"/>
      <c r="F222" s="40"/>
      <c r="G222" s="42"/>
      <c r="H222" s="221" t="s">
        <v>14</v>
      </c>
      <c r="I222" s="135"/>
      <c r="J222" s="135"/>
      <c r="K222" s="136"/>
      <c r="L222" s="1389">
        <f ca="1">L223+L224+L225</f>
        <v>8500</v>
      </c>
      <c r="M222" s="45"/>
      <c r="N222" s="1390">
        <f>N223+N224+N225</f>
        <v>0</v>
      </c>
      <c r="O222" s="1390">
        <f ca="1">IF(L222&gt;0,N222*100/L222,0)</f>
        <v>0</v>
      </c>
      <c r="P222" s="1390">
        <f>IF(M222&gt;0,N222*100/M222,0)</f>
        <v>0</v>
      </c>
      <c r="Q222" s="45"/>
      <c r="R222" s="45"/>
      <c r="S222" s="45"/>
      <c r="T222" s="45"/>
      <c r="U222" s="45"/>
    </row>
    <row r="223" spans="1:21" ht="18.75" x14ac:dyDescent="0.25">
      <c r="A223" s="128"/>
      <c r="B223" s="158"/>
      <c r="C223" s="40"/>
      <c r="D223" s="1421" t="s">
        <v>302</v>
      </c>
      <c r="E223" s="40"/>
      <c r="F223" s="40"/>
      <c r="G223" s="42"/>
      <c r="H223" s="134" t="s">
        <v>14</v>
      </c>
      <c r="I223" s="135"/>
      <c r="J223" s="135"/>
      <c r="K223" s="136"/>
      <c r="L223" s="1356">
        <f ca="1">IFERROR(__xludf.DUMMYFUNCTION("IMPORTRANGE(""https://docs.google.com/spreadsheets/d/1eHaY18a8A9IcSdp1K8H6x8fbOy06t2VsZHhMHf-1x7Y/edit?usp=sharing"",""แผน!AR30"")"),2500)</f>
        <v>2500</v>
      </c>
      <c r="M223" s="45"/>
      <c r="N223" s="1422">
        <v>0</v>
      </c>
      <c r="O223" s="136"/>
      <c r="P223" s="45"/>
      <c r="Q223" s="45"/>
      <c r="R223" s="45"/>
      <c r="S223" s="45"/>
      <c r="T223" s="136"/>
      <c r="U223" s="45"/>
    </row>
    <row r="224" spans="1:21" ht="18.75" x14ac:dyDescent="0.25">
      <c r="A224" s="208"/>
      <c r="B224" s="158"/>
      <c r="C224" s="158"/>
      <c r="D224" s="47" t="s">
        <v>301</v>
      </c>
      <c r="E224" s="40"/>
      <c r="F224" s="40"/>
      <c r="G224" s="42"/>
      <c r="H224" s="134" t="s">
        <v>14</v>
      </c>
      <c r="I224" s="44"/>
      <c r="J224" s="44"/>
      <c r="K224" s="45"/>
      <c r="L224" s="1356">
        <f ca="1">IFERROR(__xludf.DUMMYFUNCTION("IMPORTRANGE(""https://docs.google.com/spreadsheets/d/1eHaY18a8A9IcSdp1K8H6x8fbOy06t2VsZHhMHf-1x7Y/edit?usp=sharing"",""แผน!AS30"")"),6000)</f>
        <v>6000</v>
      </c>
      <c r="M224" s="45"/>
      <c r="N224" s="1422">
        <v>0</v>
      </c>
      <c r="O224" s="136"/>
      <c r="P224" s="45"/>
      <c r="Q224" s="45"/>
      <c r="R224" s="45"/>
      <c r="S224" s="45"/>
      <c r="T224" s="136"/>
      <c r="U224" s="45"/>
    </row>
    <row r="225" spans="1:21" ht="18.75" x14ac:dyDescent="0.25">
      <c r="A225" s="208"/>
      <c r="B225" s="158"/>
      <c r="C225" s="158"/>
      <c r="D225" s="47" t="s">
        <v>88</v>
      </c>
      <c r="E225" s="40"/>
      <c r="F225" s="40"/>
      <c r="G225" s="42"/>
      <c r="H225" s="134" t="s">
        <v>14</v>
      </c>
      <c r="I225" s="44"/>
      <c r="J225" s="44"/>
      <c r="K225" s="45"/>
      <c r="L225" s="1356">
        <f ca="1">IFERROR(__xludf.DUMMYFUNCTION("IMPORTRANGE(""https://docs.google.com/spreadsheets/d/1eHaY18a8A9IcSdp1K8H6x8fbOy06t2VsZHhMHf-1x7Y/edit?usp=sharing"",""แผน!AT30"")"),0)</f>
        <v>0</v>
      </c>
      <c r="M225" s="45"/>
      <c r="N225" s="1422">
        <v>0</v>
      </c>
      <c r="O225" s="136"/>
      <c r="P225" s="45"/>
      <c r="Q225" s="45"/>
      <c r="R225" s="45"/>
      <c r="S225" s="45"/>
      <c r="T225" s="136"/>
      <c r="U225" s="45"/>
    </row>
    <row r="226" spans="1:21" ht="19.5" x14ac:dyDescent="0.3">
      <c r="A226" s="138"/>
      <c r="B226" s="139"/>
      <c r="C226" s="161" t="s">
        <v>18</v>
      </c>
      <c r="D226" s="1391" t="s">
        <v>38</v>
      </c>
      <c r="E226" s="141"/>
      <c r="F226" s="141"/>
      <c r="G226" s="142"/>
      <c r="H226" s="143"/>
      <c r="I226" s="135"/>
      <c r="J226" s="135"/>
      <c r="K226" s="136"/>
      <c r="L226" s="1392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7" t="s">
        <v>101</v>
      </c>
      <c r="E227" s="145"/>
      <c r="F227" s="145"/>
      <c r="G227" s="143"/>
      <c r="H227" s="143"/>
      <c r="I227" s="44"/>
      <c r="J227" s="44"/>
      <c r="K227" s="136"/>
      <c r="L227" s="1392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84">
        <f ca="1">IFERROR(__xludf.DUMMYFUNCTION("IMPORTRANGE(""https://docs.google.com/spreadsheets/d/1eHaY18a8A9IcSdp1K8H6x8fbOy06t2VsZHhMHf-1x7Y/edit?usp=sharing"",""แผน!AV30"")"),50000)</f>
        <v>50000</v>
      </c>
      <c r="J228" s="1395">
        <v>0</v>
      </c>
      <c r="K228" s="1396">
        <f ca="1">IF(I228&gt;0,J228*100/I228,0)</f>
        <v>0</v>
      </c>
      <c r="L228" s="1392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84">
        <f ca="1">IFERROR(__xludf.DUMMYFUNCTION("IMPORTRANGE(""https://docs.google.com/spreadsheets/d/1eHaY18a8A9IcSdp1K8H6x8fbOy06t2VsZHhMHf-1x7Y/edit?usp=sharing"",""แผน!AV30"")"),50000)</f>
        <v>50000</v>
      </c>
      <c r="J229" s="1395">
        <v>0</v>
      </c>
      <c r="K229" s="1396">
        <f ca="1">IF(I229&gt;0,J229*100/I229,0)</f>
        <v>0</v>
      </c>
      <c r="L229" s="1359"/>
      <c r="M229" s="45"/>
      <c r="N229" s="45"/>
      <c r="O229" s="45"/>
      <c r="P229" s="45"/>
      <c r="Q229" s="45"/>
      <c r="R229" s="45"/>
      <c r="S229" s="45"/>
      <c r="T229" s="45"/>
      <c r="U229" s="45"/>
    </row>
    <row r="230" spans="1:21" ht="18.75" x14ac:dyDescent="0.25">
      <c r="A230" s="138"/>
      <c r="B230" s="139"/>
      <c r="C230" s="139"/>
      <c r="D230" s="47" t="s">
        <v>104</v>
      </c>
      <c r="E230" s="145"/>
      <c r="F230" s="145"/>
      <c r="G230" s="143"/>
      <c r="H230" s="150" t="s">
        <v>35</v>
      </c>
      <c r="I230" s="184">
        <f ca="1">IFERROR(__xludf.DUMMYFUNCTION("IMPORTRANGE(""https://docs.google.com/spreadsheets/d/1eHaY18a8A9IcSdp1K8H6x8fbOy06t2VsZHhMHf-1x7Y/edit?usp=sharing"",""แผน!AU30"")"),0)</f>
        <v>0</v>
      </c>
      <c r="J230" s="1395">
        <v>0</v>
      </c>
      <c r="K230" s="1396">
        <f ca="1">IF(I230&gt;0,J230*100/I230,0)</f>
        <v>0</v>
      </c>
      <c r="L230" s="1359"/>
      <c r="M230" s="45"/>
      <c r="N230" s="45"/>
      <c r="O230" s="45"/>
      <c r="P230" s="45"/>
      <c r="Q230" s="45"/>
      <c r="R230" s="45"/>
      <c r="S230" s="45"/>
      <c r="T230" s="45"/>
      <c r="U230" s="45"/>
    </row>
    <row r="231" spans="1:21" ht="19.5" x14ac:dyDescent="0.3">
      <c r="A231" s="211"/>
      <c r="B231" s="212"/>
      <c r="C231" s="213" t="s">
        <v>105</v>
      </c>
      <c r="D231" s="214"/>
      <c r="E231" s="214"/>
      <c r="F231" s="214"/>
      <c r="G231" s="215"/>
      <c r="H231" s="216" t="s">
        <v>35</v>
      </c>
      <c r="I231" s="303">
        <f ca="1">I242+I253</f>
        <v>0</v>
      </c>
      <c r="J231" s="303">
        <f>J242+J253</f>
        <v>0</v>
      </c>
      <c r="K231" s="304">
        <f ca="1">IF(I231&gt;0,J231*100/I231,0)</f>
        <v>0</v>
      </c>
      <c r="L231" s="1416"/>
      <c r="M231" s="219"/>
      <c r="N231" s="219"/>
      <c r="O231" s="219"/>
      <c r="P231" s="219"/>
      <c r="Q231" s="219"/>
      <c r="R231" s="219"/>
      <c r="S231" s="219"/>
      <c r="T231" s="219"/>
      <c r="U231" s="219"/>
    </row>
    <row r="232" spans="1:21" ht="19.5" x14ac:dyDescent="0.3">
      <c r="A232" s="128"/>
      <c r="B232" s="40"/>
      <c r="C232" s="129" t="s">
        <v>18</v>
      </c>
      <c r="D232" s="1388" t="s">
        <v>19</v>
      </c>
      <c r="E232" s="40"/>
      <c r="F232" s="40"/>
      <c r="G232" s="42"/>
      <c r="H232" s="221" t="s">
        <v>14</v>
      </c>
      <c r="I232" s="135"/>
      <c r="J232" s="135"/>
      <c r="K232" s="136"/>
      <c r="L232" s="1423">
        <f ca="1">L243+L254</f>
        <v>0</v>
      </c>
      <c r="M232" s="45"/>
      <c r="N232" s="1424">
        <f>N243+N254</f>
        <v>0</v>
      </c>
      <c r="O232" s="45"/>
      <c r="P232" s="45"/>
      <c r="Q232" s="45"/>
      <c r="R232" s="45"/>
      <c r="S232" s="45"/>
      <c r="T232" s="45"/>
      <c r="U232" s="45"/>
    </row>
    <row r="233" spans="1:21" ht="18.75" x14ac:dyDescent="0.25">
      <c r="A233" s="128"/>
      <c r="B233" s="158"/>
      <c r="C233" s="40"/>
      <c r="D233" s="47" t="s">
        <v>86</v>
      </c>
      <c r="E233" s="40"/>
      <c r="F233" s="40"/>
      <c r="G233" s="42"/>
      <c r="H233" s="134" t="s">
        <v>14</v>
      </c>
      <c r="I233" s="135"/>
      <c r="J233" s="135"/>
      <c r="K233" s="136"/>
      <c r="L233" s="1358">
        <f ca="1">L244+L255</f>
        <v>0</v>
      </c>
      <c r="M233" s="45"/>
      <c r="N233" s="83">
        <f>N244+N255</f>
        <v>0</v>
      </c>
      <c r="O233" s="45"/>
      <c r="P233" s="45"/>
      <c r="Q233" s="1636">
        <v>0</v>
      </c>
      <c r="R233" s="372">
        <v>0</v>
      </c>
      <c r="S233" s="372">
        <v>0</v>
      </c>
      <c r="T233" s="45"/>
      <c r="U233" s="45"/>
    </row>
    <row r="234" spans="1:21" ht="18.75" x14ac:dyDescent="0.25">
      <c r="A234" s="208"/>
      <c r="B234" s="158"/>
      <c r="C234" s="158"/>
      <c r="D234" s="47" t="s">
        <v>88</v>
      </c>
      <c r="E234" s="40"/>
      <c r="F234" s="40"/>
      <c r="G234" s="42"/>
      <c r="H234" s="134" t="s">
        <v>14</v>
      </c>
      <c r="I234" s="44"/>
      <c r="J234" s="44"/>
      <c r="K234" s="45"/>
      <c r="L234" s="1358">
        <f ca="1">L245+L256</f>
        <v>0</v>
      </c>
      <c r="M234" s="45"/>
      <c r="N234" s="83">
        <f>N245+N256</f>
        <v>0</v>
      </c>
      <c r="O234" s="45"/>
      <c r="P234" s="45"/>
      <c r="Q234" s="1356">
        <v>0</v>
      </c>
      <c r="R234" s="224">
        <v>0</v>
      </c>
      <c r="S234" s="224">
        <v>0</v>
      </c>
      <c r="T234" s="45"/>
      <c r="U234" s="45"/>
    </row>
    <row r="235" spans="1:21" ht="18.75" x14ac:dyDescent="0.25">
      <c r="A235" s="208"/>
      <c r="B235" s="158"/>
      <c r="C235" s="158"/>
      <c r="D235" s="47" t="s">
        <v>106</v>
      </c>
      <c r="E235" s="40"/>
      <c r="F235" s="40"/>
      <c r="G235" s="42"/>
      <c r="H235" s="134" t="s">
        <v>14</v>
      </c>
      <c r="I235" s="44"/>
      <c r="J235" s="44"/>
      <c r="K235" s="45"/>
      <c r="L235" s="1358">
        <f ca="1">L246+L257</f>
        <v>0</v>
      </c>
      <c r="M235" s="45"/>
      <c r="N235" s="83">
        <f>N246+N257</f>
        <v>0</v>
      </c>
      <c r="O235" s="45"/>
      <c r="P235" s="45"/>
      <c r="Q235" s="1356">
        <v>0</v>
      </c>
      <c r="R235" s="224">
        <v>0</v>
      </c>
      <c r="S235" s="224">
        <v>0</v>
      </c>
      <c r="T235" s="45"/>
      <c r="U235" s="45"/>
    </row>
    <row r="236" spans="1:21" ht="18.75" x14ac:dyDescent="0.25">
      <c r="A236" s="208"/>
      <c r="B236" s="158"/>
      <c r="C236" s="158"/>
      <c r="D236" s="47" t="s">
        <v>107</v>
      </c>
      <c r="E236" s="40"/>
      <c r="F236" s="40"/>
      <c r="G236" s="42"/>
      <c r="H236" s="134" t="s">
        <v>14</v>
      </c>
      <c r="I236" s="44"/>
      <c r="J236" s="44"/>
      <c r="K236" s="45"/>
      <c r="L236" s="1358">
        <f ca="1">L247+L258</f>
        <v>0</v>
      </c>
      <c r="M236" s="45"/>
      <c r="N236" s="83">
        <f>N247+N258</f>
        <v>0</v>
      </c>
      <c r="O236" s="45"/>
      <c r="P236" s="45"/>
      <c r="Q236" s="1356">
        <v>0</v>
      </c>
      <c r="R236" s="224">
        <v>0</v>
      </c>
      <c r="S236" s="224">
        <v>0</v>
      </c>
      <c r="T236" s="45"/>
      <c r="U236" s="45"/>
    </row>
    <row r="237" spans="1:21" ht="19.5" x14ac:dyDescent="0.3">
      <c r="A237" s="138"/>
      <c r="B237" s="139"/>
      <c r="C237" s="161" t="s">
        <v>18</v>
      </c>
      <c r="D237" s="1391" t="s">
        <v>38</v>
      </c>
      <c r="E237" s="141"/>
      <c r="F237" s="141"/>
      <c r="G237" s="142"/>
      <c r="H237" s="143"/>
      <c r="I237" s="135"/>
      <c r="J237" s="44"/>
      <c r="K237" s="45"/>
      <c r="L237" s="1359"/>
      <c r="M237" s="45"/>
      <c r="N237" s="45"/>
      <c r="O237" s="136"/>
      <c r="P237" s="136"/>
      <c r="Q237" s="45"/>
      <c r="R237" s="45"/>
      <c r="S237" s="45"/>
      <c r="T237" s="136"/>
      <c r="U237" s="136"/>
    </row>
    <row r="238" spans="1:21" ht="18.75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84">
        <f ca="1">I249+I260</f>
        <v>0</v>
      </c>
      <c r="J238" s="184">
        <f>J249+J260</f>
        <v>0</v>
      </c>
      <c r="K238" s="224">
        <f ca="1">IF(I238&gt;0,J238*100/I238,0)</f>
        <v>0</v>
      </c>
      <c r="L238" s="1359"/>
      <c r="M238" s="45"/>
      <c r="N238" s="45"/>
      <c r="O238" s="45"/>
      <c r="P238" s="45"/>
      <c r="Q238" s="45"/>
      <c r="R238" s="45"/>
      <c r="S238" s="45"/>
      <c r="T238" s="45"/>
      <c r="U238" s="45"/>
    </row>
    <row r="239" spans="1:21" ht="18.75" x14ac:dyDescent="0.25">
      <c r="A239" s="138"/>
      <c r="B239" s="139"/>
      <c r="C239" s="139"/>
      <c r="D239" s="234" t="s">
        <v>43</v>
      </c>
      <c r="E239" s="145"/>
      <c r="F239" s="145"/>
      <c r="G239" s="143"/>
      <c r="H239" s="143"/>
      <c r="I239" s="44"/>
      <c r="J239" s="44"/>
      <c r="K239" s="45"/>
      <c r="L239" s="1359"/>
      <c r="M239" s="45"/>
      <c r="N239" s="45"/>
      <c r="O239" s="136"/>
      <c r="P239" s="136"/>
      <c r="Q239" s="45"/>
      <c r="R239" s="45"/>
      <c r="S239" s="45"/>
      <c r="T239" s="136"/>
      <c r="U239" s="136"/>
    </row>
    <row r="240" spans="1:21" ht="18.75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84">
        <f>I251+I262</f>
        <v>0</v>
      </c>
      <c r="J240" s="184">
        <f>J251+J262</f>
        <v>0</v>
      </c>
      <c r="K240" s="224">
        <f>IF(I240&gt;0,J240*100/I240,0)</f>
        <v>0</v>
      </c>
      <c r="L240" s="1359"/>
      <c r="M240" s="45"/>
      <c r="N240" s="45"/>
      <c r="O240" s="45"/>
      <c r="P240" s="45"/>
      <c r="Q240" s="45"/>
      <c r="R240" s="45"/>
      <c r="S240" s="45"/>
      <c r="T240" s="45"/>
      <c r="U240" s="45"/>
    </row>
    <row r="241" spans="1:21" ht="18.75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84">
        <f>I252+I263</f>
        <v>0</v>
      </c>
      <c r="J241" s="184">
        <f>J252+J263</f>
        <v>0</v>
      </c>
      <c r="K241" s="224">
        <f>IF(I241&gt;0,J241*100/I241,0)</f>
        <v>0</v>
      </c>
      <c r="L241" s="1359"/>
      <c r="M241" s="45"/>
      <c r="N241" s="45"/>
      <c r="O241" s="45"/>
      <c r="P241" s="45"/>
      <c r="Q241" s="45"/>
      <c r="R241" s="45"/>
      <c r="S241" s="45"/>
      <c r="T241" s="45"/>
      <c r="U241" s="45"/>
    </row>
    <row r="242" spans="1:21" ht="19.5" x14ac:dyDescent="0.3">
      <c r="A242" s="211"/>
      <c r="B242" s="212"/>
      <c r="C242" s="1429" t="s">
        <v>111</v>
      </c>
      <c r="D242" s="214"/>
      <c r="E242" s="214"/>
      <c r="F242" s="214"/>
      <c r="G242" s="215"/>
      <c r="H242" s="1430" t="s">
        <v>35</v>
      </c>
      <c r="I242" s="1431">
        <f ca="1">I249</f>
        <v>0</v>
      </c>
      <c r="J242" s="1431">
        <f>J249</f>
        <v>0</v>
      </c>
      <c r="K242" s="1432">
        <f ca="1">IF(I242&gt;0,J242*100/I242,0)</f>
        <v>0</v>
      </c>
      <c r="L242" s="1416"/>
      <c r="M242" s="219"/>
      <c r="N242" s="219"/>
      <c r="O242" s="219"/>
      <c r="P242" s="219"/>
      <c r="Q242" s="219"/>
      <c r="R242" s="219"/>
      <c r="S242" s="219"/>
      <c r="T242" s="219"/>
      <c r="U242" s="219"/>
    </row>
    <row r="243" spans="1:21" ht="19.5" x14ac:dyDescent="0.3">
      <c r="A243" s="128"/>
      <c r="B243" s="40"/>
      <c r="C243" s="1433" t="s">
        <v>18</v>
      </c>
      <c r="D243" s="1434" t="s">
        <v>19</v>
      </c>
      <c r="E243" s="40"/>
      <c r="F243" s="40"/>
      <c r="G243" s="42"/>
      <c r="H243" s="375" t="s">
        <v>14</v>
      </c>
      <c r="I243" s="135"/>
      <c r="J243" s="135"/>
      <c r="K243" s="136"/>
      <c r="L243" s="1389">
        <f ca="1">L244+L245+L246+L247</f>
        <v>0</v>
      </c>
      <c r="M243" s="45"/>
      <c r="N243" s="1390">
        <f>N244+N245+N246+N247</f>
        <v>0</v>
      </c>
      <c r="O243" s="1390">
        <f ca="1">IF(L243&gt;0,N243*100/L243,0)</f>
        <v>0</v>
      </c>
      <c r="P243" s="1390">
        <f>IF(M243&gt;0,N243*100/M243,0)</f>
        <v>0</v>
      </c>
      <c r="Q243" s="45"/>
      <c r="R243" s="45"/>
      <c r="S243" s="45"/>
      <c r="T243" s="45"/>
      <c r="U243" s="45"/>
    </row>
    <row r="244" spans="1:21" ht="18.75" x14ac:dyDescent="0.25">
      <c r="A244" s="128"/>
      <c r="B244" s="158"/>
      <c r="C244" s="40"/>
      <c r="D244" s="156" t="s">
        <v>86</v>
      </c>
      <c r="E244" s="40"/>
      <c r="F244" s="40"/>
      <c r="G244" s="42"/>
      <c r="H244" s="159" t="s">
        <v>14</v>
      </c>
      <c r="I244" s="135"/>
      <c r="J244" s="135"/>
      <c r="K244" s="136"/>
      <c r="L244" s="1356">
        <f ca="1">IFERROR(__xludf.DUMMYFUNCTION("IMPORTRANGE(""https://docs.google.com/spreadsheets/d/1eHaY18a8A9IcSdp1K8H6x8fbOy06t2VsZHhMHf-1x7Y/edit?usp=sharing"",""แผน!AX30"")"),0)</f>
        <v>0</v>
      </c>
      <c r="M244" s="45"/>
      <c r="N244" s="1422">
        <v>0</v>
      </c>
      <c r="O244" s="45"/>
      <c r="P244" s="45"/>
      <c r="Q244" s="45"/>
      <c r="R244" s="45"/>
      <c r="S244" s="45"/>
      <c r="T244" s="45"/>
      <c r="U244" s="45"/>
    </row>
    <row r="245" spans="1:21" ht="18.75" x14ac:dyDescent="0.25">
      <c r="A245" s="208"/>
      <c r="B245" s="158"/>
      <c r="C245" s="158"/>
      <c r="D245" s="156" t="s">
        <v>88</v>
      </c>
      <c r="E245" s="40"/>
      <c r="F245" s="40"/>
      <c r="G245" s="42"/>
      <c r="H245" s="159" t="s">
        <v>14</v>
      </c>
      <c r="I245" s="44"/>
      <c r="J245" s="44"/>
      <c r="K245" s="45"/>
      <c r="L245" s="1356">
        <f ca="1">IFERROR(__xludf.DUMMYFUNCTION("IMPORTRANGE(""https://docs.google.com/spreadsheets/d/1eHaY18a8A9IcSdp1K8H6x8fbOy06t2VsZHhMHf-1x7Y/edit?usp=sharing"",""แผน!AY30"")"),0)</f>
        <v>0</v>
      </c>
      <c r="M245" s="45"/>
      <c r="N245" s="1422">
        <v>0</v>
      </c>
      <c r="O245" s="45"/>
      <c r="P245" s="45"/>
      <c r="Q245" s="45"/>
      <c r="R245" s="45"/>
      <c r="S245" s="45"/>
      <c r="T245" s="45"/>
      <c r="U245" s="45"/>
    </row>
    <row r="246" spans="1:21" ht="18.75" x14ac:dyDescent="0.25">
      <c r="A246" s="208"/>
      <c r="B246" s="158"/>
      <c r="C246" s="158"/>
      <c r="D246" s="156" t="s">
        <v>106</v>
      </c>
      <c r="E246" s="40"/>
      <c r="F246" s="40"/>
      <c r="G246" s="42"/>
      <c r="H246" s="159" t="s">
        <v>14</v>
      </c>
      <c r="I246" s="44"/>
      <c r="J246" s="44"/>
      <c r="K246" s="45"/>
      <c r="L246" s="1356">
        <f ca="1">IFERROR(__xludf.DUMMYFUNCTION("IMPORTRANGE(""https://docs.google.com/spreadsheets/d/1eHaY18a8A9IcSdp1K8H6x8fbOy06t2VsZHhMHf-1x7Y/edit?usp=sharing"",""แผน!AZ30"")"),0)</f>
        <v>0</v>
      </c>
      <c r="M246" s="45"/>
      <c r="N246" s="1422">
        <v>0</v>
      </c>
      <c r="O246" s="45"/>
      <c r="P246" s="45"/>
      <c r="Q246" s="45"/>
      <c r="R246" s="45"/>
      <c r="S246" s="45"/>
      <c r="T246" s="45"/>
      <c r="U246" s="45"/>
    </row>
    <row r="247" spans="1:21" ht="18.75" x14ac:dyDescent="0.25">
      <c r="A247" s="208"/>
      <c r="B247" s="158"/>
      <c r="C247" s="158"/>
      <c r="D247" s="156" t="s">
        <v>107</v>
      </c>
      <c r="E247" s="40"/>
      <c r="F247" s="40"/>
      <c r="G247" s="42"/>
      <c r="H247" s="159" t="s">
        <v>14</v>
      </c>
      <c r="I247" s="44"/>
      <c r="J247" s="44"/>
      <c r="K247" s="45"/>
      <c r="L247" s="1356">
        <f ca="1">IFERROR(__xludf.DUMMYFUNCTION("IMPORTRANGE(""https://docs.google.com/spreadsheets/d/1eHaY18a8A9IcSdp1K8H6x8fbOy06t2VsZHhMHf-1x7Y/edit?usp=sharing"",""แผน!BA30"")"),0)</f>
        <v>0</v>
      </c>
      <c r="M247" s="45"/>
      <c r="N247" s="1422">
        <v>0</v>
      </c>
      <c r="O247" s="45"/>
      <c r="P247" s="45"/>
      <c r="Q247" s="45"/>
      <c r="R247" s="45"/>
      <c r="S247" s="45"/>
      <c r="T247" s="45"/>
      <c r="U247" s="45"/>
    </row>
    <row r="248" spans="1:21" ht="19.5" x14ac:dyDescent="0.3">
      <c r="A248" s="138"/>
      <c r="B248" s="139"/>
      <c r="C248" s="1435" t="s">
        <v>18</v>
      </c>
      <c r="D248" s="1436" t="s">
        <v>38</v>
      </c>
      <c r="E248" s="141"/>
      <c r="F248" s="141"/>
      <c r="G248" s="142"/>
      <c r="H248" s="143"/>
      <c r="I248" s="135"/>
      <c r="J248" s="44"/>
      <c r="K248" s="45"/>
      <c r="L248" s="1359"/>
      <c r="M248" s="45"/>
      <c r="N248" s="45"/>
      <c r="O248" s="136"/>
      <c r="P248" s="136"/>
      <c r="Q248" s="45"/>
      <c r="R248" s="45"/>
      <c r="S248" s="45"/>
      <c r="T248" s="136"/>
      <c r="U248" s="136"/>
    </row>
    <row r="249" spans="1:21" ht="18.75" x14ac:dyDescent="0.25">
      <c r="A249" s="138"/>
      <c r="B249" s="139"/>
      <c r="C249" s="139"/>
      <c r="D249" s="179" t="s">
        <v>108</v>
      </c>
      <c r="E249" s="145"/>
      <c r="F249" s="145"/>
      <c r="G249" s="143"/>
      <c r="H249" s="1437" t="s">
        <v>35</v>
      </c>
      <c r="I249" s="423">
        <f ca="1">IFERROR(__xludf.DUMMYFUNCTION("IMPORTRANGE(""https://docs.google.com/spreadsheets/d/1eHaY18a8A9IcSdp1K8H6x8fbOy06t2VsZHhMHf-1x7Y/edit?usp=sharing"",""แผน!BG30"")"),0)</f>
        <v>0</v>
      </c>
      <c r="J249" s="1407">
        <v>0</v>
      </c>
      <c r="K249" s="83">
        <f ca="1">IF(I249&gt;0,J249*100/I249,0)</f>
        <v>0</v>
      </c>
      <c r="L249" s="1359"/>
      <c r="M249" s="45"/>
      <c r="N249" s="45"/>
      <c r="O249" s="45"/>
      <c r="P249" s="45"/>
      <c r="Q249" s="45"/>
      <c r="R249" s="45"/>
      <c r="S249" s="45"/>
      <c r="T249" s="45"/>
      <c r="U249" s="45"/>
    </row>
    <row r="250" spans="1:21" ht="18.75" x14ac:dyDescent="0.25">
      <c r="A250" s="138"/>
      <c r="B250" s="139"/>
      <c r="C250" s="139"/>
      <c r="D250" s="1438" t="s">
        <v>43</v>
      </c>
      <c r="E250" s="145"/>
      <c r="F250" s="145"/>
      <c r="G250" s="143"/>
      <c r="H250" s="143"/>
      <c r="I250" s="44"/>
      <c r="J250" s="44"/>
      <c r="K250" s="45"/>
      <c r="L250" s="1359"/>
      <c r="M250" s="45"/>
      <c r="N250" s="45"/>
      <c r="O250" s="136"/>
      <c r="P250" s="136"/>
      <c r="Q250" s="45"/>
      <c r="R250" s="45"/>
      <c r="S250" s="45"/>
      <c r="T250" s="136"/>
      <c r="U250" s="136"/>
    </row>
    <row r="251" spans="1:21" ht="18.75" x14ac:dyDescent="0.25">
      <c r="A251" s="138"/>
      <c r="B251" s="139"/>
      <c r="C251" s="139"/>
      <c r="D251" s="139"/>
      <c r="E251" s="1439" t="s">
        <v>109</v>
      </c>
      <c r="F251" s="145"/>
      <c r="G251" s="143"/>
      <c r="H251" s="1437" t="s">
        <v>35</v>
      </c>
      <c r="I251" s="423">
        <v>0</v>
      </c>
      <c r="J251" s="1407">
        <v>0</v>
      </c>
      <c r="K251" s="83">
        <f>IF(I251&gt;0,J251*100/I251,0)</f>
        <v>0</v>
      </c>
      <c r="L251" s="1359"/>
      <c r="M251" s="45"/>
      <c r="N251" s="45"/>
      <c r="O251" s="45"/>
      <c r="P251" s="45"/>
      <c r="Q251" s="45"/>
      <c r="R251" s="45"/>
      <c r="S251" s="45"/>
      <c r="T251" s="45"/>
      <c r="U251" s="45"/>
    </row>
    <row r="252" spans="1:21" ht="18.75" x14ac:dyDescent="0.25">
      <c r="A252" s="138"/>
      <c r="B252" s="139"/>
      <c r="C252" s="139"/>
      <c r="D252" s="139"/>
      <c r="E252" s="1439" t="s">
        <v>110</v>
      </c>
      <c r="F252" s="145"/>
      <c r="G252" s="143"/>
      <c r="H252" s="1437" t="s">
        <v>61</v>
      </c>
      <c r="I252" s="423">
        <v>0</v>
      </c>
      <c r="J252" s="1407">
        <v>0</v>
      </c>
      <c r="K252" s="83">
        <f>IF(I252&gt;0,J252*100/I252,0)</f>
        <v>0</v>
      </c>
      <c r="L252" s="1359"/>
      <c r="M252" s="45"/>
      <c r="N252" s="45"/>
      <c r="O252" s="45"/>
      <c r="P252" s="45"/>
      <c r="Q252" s="45"/>
      <c r="R252" s="45"/>
      <c r="S252" s="45"/>
      <c r="T252" s="45"/>
      <c r="U252" s="45"/>
    </row>
    <row r="253" spans="1:21" ht="19.5" x14ac:dyDescent="0.3">
      <c r="A253" s="211"/>
      <c r="B253" s="212"/>
      <c r="C253" s="1429" t="s">
        <v>112</v>
      </c>
      <c r="D253" s="214"/>
      <c r="E253" s="214"/>
      <c r="F253" s="214"/>
      <c r="G253" s="215"/>
      <c r="H253" s="1430" t="s">
        <v>35</v>
      </c>
      <c r="I253" s="1431">
        <f ca="1">I260</f>
        <v>0</v>
      </c>
      <c r="J253" s="1431">
        <f>J260</f>
        <v>0</v>
      </c>
      <c r="K253" s="1432">
        <f ca="1">IF(I253&gt;0,J253*100/I253,0)</f>
        <v>0</v>
      </c>
      <c r="L253" s="1416"/>
      <c r="M253" s="219"/>
      <c r="N253" s="219"/>
      <c r="O253" s="219"/>
      <c r="P253" s="219"/>
      <c r="Q253" s="219"/>
      <c r="R253" s="219"/>
      <c r="S253" s="219"/>
      <c r="T253" s="219"/>
      <c r="U253" s="219"/>
    </row>
    <row r="254" spans="1:21" ht="19.5" x14ac:dyDescent="0.3">
      <c r="A254" s="128"/>
      <c r="B254" s="40"/>
      <c r="C254" s="1433" t="s">
        <v>18</v>
      </c>
      <c r="D254" s="1440" t="s">
        <v>19</v>
      </c>
      <c r="E254" s="40"/>
      <c r="F254" s="40"/>
      <c r="G254" s="42"/>
      <c r="H254" s="375" t="s">
        <v>14</v>
      </c>
      <c r="I254" s="135"/>
      <c r="J254" s="135"/>
      <c r="K254" s="136"/>
      <c r="L254" s="1389">
        <f ca="1">L255+L256+L257+L258</f>
        <v>0</v>
      </c>
      <c r="M254" s="45"/>
      <c r="N254" s="1390">
        <f>N255+N256+N257+N258</f>
        <v>0</v>
      </c>
      <c r="O254" s="1390">
        <f ca="1">IF(L254&gt;0,N254*100/L254,0)</f>
        <v>0</v>
      </c>
      <c r="P254" s="1390">
        <f>IF(M254&gt;0,N254*100/M254,0)</f>
        <v>0</v>
      </c>
      <c r="Q254" s="45"/>
      <c r="R254" s="45"/>
      <c r="S254" s="45"/>
      <c r="T254" s="45"/>
      <c r="U254" s="45"/>
    </row>
    <row r="255" spans="1:21" ht="18.75" x14ac:dyDescent="0.25">
      <c r="A255" s="128"/>
      <c r="B255" s="158"/>
      <c r="C255" s="40"/>
      <c r="D255" s="156" t="s">
        <v>86</v>
      </c>
      <c r="E255" s="40"/>
      <c r="F255" s="40"/>
      <c r="G255" s="42"/>
      <c r="H255" s="159" t="s">
        <v>14</v>
      </c>
      <c r="I255" s="135"/>
      <c r="J255" s="135"/>
      <c r="K255" s="136"/>
      <c r="L255" s="1356">
        <f ca="1">IFERROR(__xludf.DUMMYFUNCTION("IMPORTRANGE(""https://docs.google.com/spreadsheets/d/1eHaY18a8A9IcSdp1K8H6x8fbOy06t2VsZHhMHf-1x7Y/edit?usp=sharing"",""แผน!BB30"")"),0)</f>
        <v>0</v>
      </c>
      <c r="M255" s="45"/>
      <c r="N255" s="1422">
        <v>0</v>
      </c>
      <c r="O255" s="45"/>
      <c r="P255" s="45"/>
      <c r="Q255" s="45"/>
      <c r="R255" s="45"/>
      <c r="S255" s="45"/>
      <c r="T255" s="45"/>
      <c r="U255" s="45"/>
    </row>
    <row r="256" spans="1:21" ht="18.75" x14ac:dyDescent="0.25">
      <c r="A256" s="208"/>
      <c r="B256" s="158"/>
      <c r="C256" s="158"/>
      <c r="D256" s="156" t="s">
        <v>88</v>
      </c>
      <c r="E256" s="40"/>
      <c r="F256" s="40"/>
      <c r="G256" s="42"/>
      <c r="H256" s="159" t="s">
        <v>14</v>
      </c>
      <c r="I256" s="44"/>
      <c r="J256" s="44"/>
      <c r="K256" s="45"/>
      <c r="L256" s="1356">
        <f ca="1">IFERROR(__xludf.DUMMYFUNCTION("IMPORTRANGE(""https://docs.google.com/spreadsheets/d/1eHaY18a8A9IcSdp1K8H6x8fbOy06t2VsZHhMHf-1x7Y/edit?usp=sharing"",""แผน!BC30"")"),0)</f>
        <v>0</v>
      </c>
      <c r="M256" s="45"/>
      <c r="N256" s="1422">
        <v>0</v>
      </c>
      <c r="O256" s="45"/>
      <c r="P256" s="45"/>
      <c r="Q256" s="45"/>
      <c r="R256" s="45"/>
      <c r="S256" s="45"/>
      <c r="T256" s="45"/>
      <c r="U256" s="45"/>
    </row>
    <row r="257" spans="1:21" ht="18.75" x14ac:dyDescent="0.25">
      <c r="A257" s="208"/>
      <c r="B257" s="158"/>
      <c r="C257" s="158"/>
      <c r="D257" s="156" t="s">
        <v>106</v>
      </c>
      <c r="E257" s="40"/>
      <c r="F257" s="40"/>
      <c r="G257" s="42"/>
      <c r="H257" s="159" t="s">
        <v>14</v>
      </c>
      <c r="I257" s="44"/>
      <c r="J257" s="44"/>
      <c r="K257" s="45"/>
      <c r="L257" s="1356">
        <f ca="1">IFERROR(__xludf.DUMMYFUNCTION("IMPORTRANGE(""https://docs.google.com/spreadsheets/d/1eHaY18a8A9IcSdp1K8H6x8fbOy06t2VsZHhMHf-1x7Y/edit?usp=sharing"",""แผน!BD30"")"),0)</f>
        <v>0</v>
      </c>
      <c r="M257" s="45"/>
      <c r="N257" s="1422">
        <v>0</v>
      </c>
      <c r="O257" s="45"/>
      <c r="P257" s="45"/>
      <c r="Q257" s="45"/>
      <c r="R257" s="45"/>
      <c r="S257" s="45"/>
      <c r="T257" s="45"/>
      <c r="U257" s="45"/>
    </row>
    <row r="258" spans="1:21" ht="18.75" x14ac:dyDescent="0.25">
      <c r="A258" s="208"/>
      <c r="B258" s="158"/>
      <c r="C258" s="158"/>
      <c r="D258" s="156" t="s">
        <v>107</v>
      </c>
      <c r="E258" s="40"/>
      <c r="F258" s="40"/>
      <c r="G258" s="42"/>
      <c r="H258" s="159" t="s">
        <v>14</v>
      </c>
      <c r="I258" s="44"/>
      <c r="J258" s="44"/>
      <c r="K258" s="45"/>
      <c r="L258" s="1356">
        <f ca="1">IFERROR(__xludf.DUMMYFUNCTION("IMPORTRANGE(""https://docs.google.com/spreadsheets/d/1eHaY18a8A9IcSdp1K8H6x8fbOy06t2VsZHhMHf-1x7Y/edit?usp=sharing"",""แผน!BE30"")"),0)</f>
        <v>0</v>
      </c>
      <c r="M258" s="45"/>
      <c r="N258" s="1422">
        <v>0</v>
      </c>
      <c r="O258" s="45"/>
      <c r="P258" s="45"/>
      <c r="Q258" s="45"/>
      <c r="R258" s="45"/>
      <c r="S258" s="45"/>
      <c r="T258" s="45"/>
      <c r="U258" s="45"/>
    </row>
    <row r="259" spans="1:21" ht="19.5" x14ac:dyDescent="0.3">
      <c r="A259" s="138"/>
      <c r="B259" s="139"/>
      <c r="C259" s="1435" t="s">
        <v>18</v>
      </c>
      <c r="D259" s="1436" t="s">
        <v>38</v>
      </c>
      <c r="E259" s="141"/>
      <c r="F259" s="141"/>
      <c r="G259" s="142"/>
      <c r="H259" s="143"/>
      <c r="I259" s="135"/>
      <c r="J259" s="44"/>
      <c r="K259" s="45"/>
      <c r="L259" s="1359"/>
      <c r="M259" s="45"/>
      <c r="N259" s="45"/>
      <c r="O259" s="136"/>
      <c r="P259" s="136"/>
      <c r="Q259" s="45"/>
      <c r="R259" s="45"/>
      <c r="S259" s="45"/>
      <c r="T259" s="136"/>
      <c r="U259" s="136"/>
    </row>
    <row r="260" spans="1:21" ht="18.75" x14ac:dyDescent="0.25">
      <c r="A260" s="138"/>
      <c r="B260" s="139"/>
      <c r="C260" s="139"/>
      <c r="D260" s="179" t="s">
        <v>108</v>
      </c>
      <c r="E260" s="145"/>
      <c r="F260" s="145"/>
      <c r="G260" s="143"/>
      <c r="H260" s="1437" t="s">
        <v>35</v>
      </c>
      <c r="I260" s="423">
        <f ca="1">IFERROR(__xludf.DUMMYFUNCTION("IMPORTRANGE(""https://docs.google.com/spreadsheets/d/1eHaY18a8A9IcSdp1K8H6x8fbOy06t2VsZHhMHf-1x7Y/edit?usp=sharing"",""แผน!BH30"")"),0)</f>
        <v>0</v>
      </c>
      <c r="J260" s="1407">
        <v>0</v>
      </c>
      <c r="K260" s="83">
        <f ca="1">IF(I260&gt;0,J260*100/I260,0)</f>
        <v>0</v>
      </c>
      <c r="L260" s="1359"/>
      <c r="M260" s="45"/>
      <c r="N260" s="45"/>
      <c r="O260" s="45"/>
      <c r="P260" s="45"/>
      <c r="Q260" s="45"/>
      <c r="R260" s="45"/>
      <c r="S260" s="45"/>
      <c r="T260" s="45"/>
      <c r="U260" s="45"/>
    </row>
    <row r="261" spans="1:21" ht="18.75" x14ac:dyDescent="0.25">
      <c r="A261" s="138"/>
      <c r="B261" s="139"/>
      <c r="C261" s="139"/>
      <c r="D261" s="1438" t="s">
        <v>43</v>
      </c>
      <c r="E261" s="145"/>
      <c r="F261" s="145"/>
      <c r="G261" s="143"/>
      <c r="H261" s="143"/>
      <c r="I261" s="44"/>
      <c r="J261" s="44"/>
      <c r="K261" s="45"/>
      <c r="L261" s="1359"/>
      <c r="M261" s="45"/>
      <c r="N261" s="45"/>
      <c r="O261" s="136"/>
      <c r="P261" s="136"/>
      <c r="Q261" s="45"/>
      <c r="R261" s="45"/>
      <c r="S261" s="45"/>
      <c r="T261" s="136"/>
      <c r="U261" s="136"/>
    </row>
    <row r="262" spans="1:21" ht="18.75" x14ac:dyDescent="0.25">
      <c r="A262" s="138"/>
      <c r="B262" s="139"/>
      <c r="C262" s="139"/>
      <c r="D262" s="139"/>
      <c r="E262" s="1439" t="s">
        <v>109</v>
      </c>
      <c r="F262" s="145"/>
      <c r="G262" s="143"/>
      <c r="H262" s="1437" t="s">
        <v>35</v>
      </c>
      <c r="I262" s="44"/>
      <c r="J262" s="1407">
        <v>0</v>
      </c>
      <c r="K262" s="83">
        <f>IF(I262&gt;0,J262*100/I262,0)</f>
        <v>0</v>
      </c>
      <c r="L262" s="1359"/>
      <c r="M262" s="45"/>
      <c r="N262" s="45"/>
      <c r="O262" s="45"/>
      <c r="P262" s="45"/>
      <c r="Q262" s="45"/>
      <c r="R262" s="45"/>
      <c r="S262" s="45"/>
      <c r="T262" s="45"/>
      <c r="U262" s="45"/>
    </row>
    <row r="263" spans="1:21" ht="18.75" x14ac:dyDescent="0.25">
      <c r="A263" s="138"/>
      <c r="B263" s="139"/>
      <c r="C263" s="139"/>
      <c r="D263" s="139"/>
      <c r="E263" s="1439" t="s">
        <v>110</v>
      </c>
      <c r="F263" s="145"/>
      <c r="G263" s="143"/>
      <c r="H263" s="1437" t="s">
        <v>61</v>
      </c>
      <c r="I263" s="44"/>
      <c r="J263" s="1407">
        <v>0</v>
      </c>
      <c r="K263" s="83">
        <f>IF(I263&gt;0,J263*100/I263,0)</f>
        <v>0</v>
      </c>
      <c r="L263" s="1359"/>
      <c r="M263" s="45"/>
      <c r="N263" s="45"/>
      <c r="O263" s="45"/>
      <c r="P263" s="45"/>
      <c r="Q263" s="45"/>
      <c r="R263" s="45"/>
      <c r="S263" s="45"/>
      <c r="T263" s="45"/>
      <c r="U263" s="45"/>
    </row>
    <row r="264" spans="1:21" ht="19.5" x14ac:dyDescent="0.3">
      <c r="A264" s="1441" t="s">
        <v>113</v>
      </c>
      <c r="B264" s="1442"/>
      <c r="C264" s="1442"/>
      <c r="D264" s="1443"/>
      <c r="E264" s="1443"/>
      <c r="F264" s="1443"/>
      <c r="G264" s="1444"/>
      <c r="H264" s="1444"/>
      <c r="I264" s="1445"/>
      <c r="J264" s="1445"/>
      <c r="K264" s="1446"/>
      <c r="L264" s="1447"/>
      <c r="M264" s="1446"/>
      <c r="N264" s="1446"/>
      <c r="O264" s="1446"/>
      <c r="P264" s="1446"/>
      <c r="Q264" s="1446"/>
      <c r="R264" s="1446"/>
      <c r="S264" s="1446"/>
      <c r="T264" s="1446"/>
      <c r="U264" s="1446"/>
    </row>
    <row r="265" spans="1:21" ht="19.5" x14ac:dyDescent="0.3">
      <c r="A265" s="1448"/>
      <c r="B265" s="1449" t="s">
        <v>114</v>
      </c>
      <c r="C265" s="1450"/>
      <c r="D265" s="1451"/>
      <c r="E265" s="1451"/>
      <c r="F265" s="1451"/>
      <c r="G265" s="1452"/>
      <c r="H265" s="1453" t="s">
        <v>35</v>
      </c>
      <c r="I265" s="1454">
        <f ca="1">I276</f>
        <v>22</v>
      </c>
      <c r="J265" s="1454">
        <f>J276</f>
        <v>22</v>
      </c>
      <c r="K265" s="1455">
        <f ca="1">IF(I265&gt;0,J265*100/I265,0)</f>
        <v>100</v>
      </c>
      <c r="L265" s="1456"/>
      <c r="M265" s="1457"/>
      <c r="N265" s="1457"/>
      <c r="O265" s="1457"/>
      <c r="P265" s="1457"/>
      <c r="Q265" s="1457"/>
      <c r="R265" s="1457"/>
      <c r="S265" s="1457"/>
      <c r="T265" s="1457"/>
      <c r="U265" s="1457"/>
    </row>
    <row r="266" spans="1:21" ht="19.5" x14ac:dyDescent="0.3">
      <c r="A266" s="1458"/>
      <c r="B266" s="1459"/>
      <c r="C266" s="1460" t="s">
        <v>18</v>
      </c>
      <c r="D266" s="1461" t="s">
        <v>19</v>
      </c>
      <c r="E266" s="1459"/>
      <c r="F266" s="1459"/>
      <c r="G266" s="1462"/>
      <c r="H266" s="1463" t="s">
        <v>14</v>
      </c>
      <c r="I266" s="1464"/>
      <c r="J266" s="1464"/>
      <c r="K266" s="1465"/>
      <c r="L266" s="1466">
        <f ca="1">L267+L268</f>
        <v>5000</v>
      </c>
      <c r="M266" s="1467">
        <f ca="1">M267+M268</f>
        <v>5000</v>
      </c>
      <c r="N266" s="1467">
        <f ca="1">N267+N268</f>
        <v>5000</v>
      </c>
      <c r="O266" s="1467">
        <f ca="1">IF(L266&gt;0,N266*100/L266,0)</f>
        <v>100</v>
      </c>
      <c r="P266" s="1467">
        <f ca="1">IF(M266&gt;0,N266*100/M266,0)</f>
        <v>100</v>
      </c>
      <c r="Q266" s="1467">
        <f ca="1">Q267+Q268</f>
        <v>50660</v>
      </c>
      <c r="R266" s="1467">
        <f ca="1">R267+R268</f>
        <v>50660</v>
      </c>
      <c r="S266" s="1467">
        <f ca="1">S267+S268</f>
        <v>47630</v>
      </c>
      <c r="T266" s="1467">
        <f ca="1">IF(Q266&gt;0,S266*100/Q266,0)</f>
        <v>94.018949861823927</v>
      </c>
      <c r="U266" s="1467">
        <f ca="1">IF(R266&gt;0,S266*100/R266,0)</f>
        <v>94.018949861823927</v>
      </c>
    </row>
    <row r="267" spans="1:21" ht="18.75" x14ac:dyDescent="0.25">
      <c r="A267" s="1468"/>
      <c r="B267" s="1469"/>
      <c r="C267" s="1469"/>
      <c r="D267" s="1469"/>
      <c r="E267" s="156" t="s">
        <v>20</v>
      </c>
      <c r="F267" s="1469"/>
      <c r="G267" s="1470"/>
      <c r="H267" s="157" t="s">
        <v>14</v>
      </c>
      <c r="I267" s="1471"/>
      <c r="J267" s="1471"/>
      <c r="K267" s="1472"/>
      <c r="L267" s="1358">
        <f>L270+L273</f>
        <v>0</v>
      </c>
      <c r="M267" s="83">
        <f>M270+M273</f>
        <v>0</v>
      </c>
      <c r="N267" s="83">
        <f>N270+N273</f>
        <v>0</v>
      </c>
      <c r="O267" s="83">
        <f>IF(L267&gt;0,N267*100/L267,0)</f>
        <v>0</v>
      </c>
      <c r="P267" s="83">
        <f>IF(M267&gt;0,N267*100/M267,0)</f>
        <v>0</v>
      </c>
      <c r="Q267" s="83">
        <f>Q270+Q273</f>
        <v>0</v>
      </c>
      <c r="R267" s="83">
        <f>R270+R273</f>
        <v>0</v>
      </c>
      <c r="S267" s="83">
        <f>S270+S273</f>
        <v>0</v>
      </c>
      <c r="T267" s="83">
        <f>IF(Q267&gt;0,S267*100/Q267,0)</f>
        <v>0</v>
      </c>
      <c r="U267" s="83">
        <f>IF(R267&gt;0,S267*100/R267,0)</f>
        <v>0</v>
      </c>
    </row>
    <row r="268" spans="1:21" ht="18.75" x14ac:dyDescent="0.25">
      <c r="A268" s="1458"/>
      <c r="B268" s="1459"/>
      <c r="C268" s="1459"/>
      <c r="D268" s="1459"/>
      <c r="E268" s="1473" t="s">
        <v>21</v>
      </c>
      <c r="F268" s="1459"/>
      <c r="G268" s="1462"/>
      <c r="H268" s="1474" t="s">
        <v>14</v>
      </c>
      <c r="I268" s="1464"/>
      <c r="J268" s="1464"/>
      <c r="K268" s="1465"/>
      <c r="L268" s="1475">
        <f ca="1">L271+L274</f>
        <v>5000</v>
      </c>
      <c r="M268" s="1476">
        <f ca="1">M271+M274</f>
        <v>5000</v>
      </c>
      <c r="N268" s="1476">
        <f ca="1">N271+N274</f>
        <v>5000</v>
      </c>
      <c r="O268" s="1476">
        <f ca="1">IF(L268&gt;0,N268*100/L268,0)</f>
        <v>100</v>
      </c>
      <c r="P268" s="1476">
        <f ca="1">IF(M268&gt;0,N268*100/M268,0)</f>
        <v>100</v>
      </c>
      <c r="Q268" s="1476">
        <f ca="1">Q271+Q274</f>
        <v>50660</v>
      </c>
      <c r="R268" s="1476">
        <f ca="1">R271+R274</f>
        <v>50660</v>
      </c>
      <c r="S268" s="1476">
        <f ca="1">S271+S274</f>
        <v>47630</v>
      </c>
      <c r="T268" s="1476">
        <f ca="1">IF(Q268&gt;0,S268*100/Q268,0)</f>
        <v>94.018949861823927</v>
      </c>
      <c r="U268" s="1476">
        <f ca="1">IF(R268&gt;0,S268*100/R268,0)</f>
        <v>94.018949861823927</v>
      </c>
    </row>
    <row r="269" spans="1:21" ht="18.75" x14ac:dyDescent="0.25">
      <c r="A269" s="1458"/>
      <c r="B269" s="1459"/>
      <c r="C269" s="1459"/>
      <c r="D269" s="1477" t="s">
        <v>22</v>
      </c>
      <c r="E269" s="1459"/>
      <c r="F269" s="1459"/>
      <c r="G269" s="1462"/>
      <c r="H269" s="1478" t="s">
        <v>14</v>
      </c>
      <c r="I269" s="1479"/>
      <c r="J269" s="1479"/>
      <c r="K269" s="1480"/>
      <c r="L269" s="1475">
        <f ca="1">L270+L271</f>
        <v>5000</v>
      </c>
      <c r="M269" s="1476">
        <f ca="1">M270+M271</f>
        <v>5000</v>
      </c>
      <c r="N269" s="1476">
        <f ca="1">N270+N271</f>
        <v>5000</v>
      </c>
      <c r="O269" s="1476">
        <f ca="1">IF(L269&gt;0,N269*100/L269,0)</f>
        <v>100</v>
      </c>
      <c r="P269" s="1476">
        <f ca="1">IF(M269&gt;0,N269*100/M269,0)</f>
        <v>100</v>
      </c>
      <c r="Q269" s="1476">
        <f ca="1">Q270+Q271</f>
        <v>50660</v>
      </c>
      <c r="R269" s="1476">
        <f ca="1">R270+R271</f>
        <v>50660</v>
      </c>
      <c r="S269" s="1476">
        <f ca="1">S270+S271</f>
        <v>47630</v>
      </c>
      <c r="T269" s="1476">
        <f ca="1">IF(Q269&gt;0,S269*100/Q269,0)</f>
        <v>94.018949861823927</v>
      </c>
      <c r="U269" s="1476">
        <f ca="1">IF(R269&gt;0,S269*100/R269,0)</f>
        <v>94.018949861823927</v>
      </c>
    </row>
    <row r="270" spans="1:21" ht="18.75" x14ac:dyDescent="0.25">
      <c r="A270" s="1468"/>
      <c r="B270" s="1469"/>
      <c r="C270" s="1469"/>
      <c r="D270" s="1469"/>
      <c r="E270" s="156" t="s">
        <v>36</v>
      </c>
      <c r="F270" s="1469"/>
      <c r="G270" s="1470"/>
      <c r="H270" s="159" t="s">
        <v>14</v>
      </c>
      <c r="I270" s="1481"/>
      <c r="J270" s="1481"/>
      <c r="K270" s="1482"/>
      <c r="L270" s="1358">
        <v>0</v>
      </c>
      <c r="M270" s="83">
        <v>0</v>
      </c>
      <c r="N270" s="83">
        <v>0</v>
      </c>
      <c r="O270" s="83">
        <f>IF(L270&gt;0,N270*100/L270,0)</f>
        <v>0</v>
      </c>
      <c r="P270" s="83">
        <f>IF(M270&gt;0,N270*100/M270,0)</f>
        <v>0</v>
      </c>
      <c r="Q270" s="83">
        <v>0</v>
      </c>
      <c r="R270" s="83">
        <v>0</v>
      </c>
      <c r="S270" s="83">
        <v>0</v>
      </c>
      <c r="T270" s="83">
        <f>IF(Q270&gt;0,S270*100/Q270,0)</f>
        <v>0</v>
      </c>
      <c r="U270" s="83">
        <f>IF(R270&gt;0,S270*100/R270,0)</f>
        <v>0</v>
      </c>
    </row>
    <row r="271" spans="1:21" ht="18.75" x14ac:dyDescent="0.25">
      <c r="A271" s="1458"/>
      <c r="B271" s="1459"/>
      <c r="C271" s="1459"/>
      <c r="D271" s="1459"/>
      <c r="E271" s="1473" t="s">
        <v>37</v>
      </c>
      <c r="F271" s="1459"/>
      <c r="G271" s="1462"/>
      <c r="H271" s="1478" t="s">
        <v>14</v>
      </c>
      <c r="I271" s="1479"/>
      <c r="J271" s="1479"/>
      <c r="K271" s="1480"/>
      <c r="L271" s="1475">
        <f ca="1">IFERROR(__xludf.DUMMYFUNCTION("IMPORTRANGE(""https://docs.google.com/spreadsheets/d/1-uDff_7J0KD5mKrp0Vvzr7lt3OU09vwQwhkpOPPYv2Y/edit?usp=sharing"",""งบพรบ!DE30"")"),5000)</f>
        <v>5000</v>
      </c>
      <c r="M271" s="1476">
        <f ca="1">IFERROR(__xludf.DUMMYFUNCTION("IMPORTRANGE(""https://docs.google.com/spreadsheets/d/1-uDff_7J0KD5mKrp0Vvzr7lt3OU09vwQwhkpOPPYv2Y/edit?usp=sharing"",""งบพรบ!DJ30"")"),5000)</f>
        <v>5000</v>
      </c>
      <c r="N271" s="1476">
        <f ca="1">IFERROR(__xludf.DUMMYFUNCTION("IMPORTRANGE(""https://docs.google.com/spreadsheets/d/1-uDff_7J0KD5mKrp0Vvzr7lt3OU09vwQwhkpOPPYv2Y/edit?usp=sharing"",""งบพรบ!DL30"")"),5000)</f>
        <v>5000</v>
      </c>
      <c r="O271" s="1476">
        <f ca="1">IF(L271&gt;0,N271*100/L271,0)</f>
        <v>100</v>
      </c>
      <c r="P271" s="1476">
        <f ca="1">IF(M271&gt;0,N271*100/M271,0)</f>
        <v>100</v>
      </c>
      <c r="Q271" s="1476">
        <f ca="1">IFERROR(__xludf.DUMMYFUNCTION("IMPORTRANGE(""https://docs.google.com/spreadsheets/d/1ItG2mGa2ceCfYo0BwxsXqNm01IGEUdYcSSLTEv9YCik/edit?usp=sharing"",""เบิกจ่ายกองทุน!AP30"")"),50660)</f>
        <v>50660</v>
      </c>
      <c r="R271" s="1476">
        <f ca="1">IFERROR(__xludf.DUMMYFUNCTION("IMPORTRANGE(""https://docs.google.com/spreadsheets/d/1ItG2mGa2ceCfYo0BwxsXqNm01IGEUdYcSSLTEv9YCik/edit?usp=sharing"",""เบิกจ่ายกองทุน!AQ30"")"),50660)</f>
        <v>50660</v>
      </c>
      <c r="S271" s="1476">
        <f ca="1">IFERROR(__xludf.DUMMYFUNCTION("IMPORTRANGE(""https://docs.google.com/spreadsheets/d/1ItG2mGa2ceCfYo0BwxsXqNm01IGEUdYcSSLTEv9YCik/edit?usp=sharing"",""เบิกจ่ายกองทุน!AR30"")"),47630)</f>
        <v>47630</v>
      </c>
      <c r="T271" s="1476">
        <f ca="1">IF(Q271&gt;0,S271*100/Q271,0)</f>
        <v>94.018949861823927</v>
      </c>
      <c r="U271" s="1476">
        <f ca="1">IF(R271&gt;0,S271*100/R271,0)</f>
        <v>94.018949861823927</v>
      </c>
    </row>
    <row r="272" spans="1:21" ht="18.75" x14ac:dyDescent="0.25">
      <c r="A272" s="1458"/>
      <c r="B272" s="1459"/>
      <c r="C272" s="1459"/>
      <c r="D272" s="1477" t="s">
        <v>23</v>
      </c>
      <c r="E272" s="1459"/>
      <c r="F272" s="1459"/>
      <c r="G272" s="1462"/>
      <c r="H272" s="1483" t="s">
        <v>14</v>
      </c>
      <c r="I272" s="1479"/>
      <c r="J272" s="1479"/>
      <c r="K272" s="1480"/>
      <c r="L272" s="1475">
        <f ca="1">L273+L274</f>
        <v>0</v>
      </c>
      <c r="M272" s="1476">
        <f ca="1">M273+M274</f>
        <v>0</v>
      </c>
      <c r="N272" s="1476">
        <f ca="1">N273+N274</f>
        <v>0</v>
      </c>
      <c r="O272" s="1476">
        <f ca="1">IF(L272&gt;0,N272*100/L272,0)</f>
        <v>0</v>
      </c>
      <c r="P272" s="1476">
        <f ca="1">IF(M272&gt;0,N272*100/M272,0)</f>
        <v>0</v>
      </c>
      <c r="Q272" s="1476">
        <f>Q273+Q274</f>
        <v>0</v>
      </c>
      <c r="R272" s="1476">
        <f>R273+R274</f>
        <v>0</v>
      </c>
      <c r="S272" s="1476">
        <f>S273+S274</f>
        <v>0</v>
      </c>
      <c r="T272" s="1476">
        <f>IF(Q272&gt;0,S272*100/Q272,0)</f>
        <v>0</v>
      </c>
      <c r="U272" s="1476">
        <f>IF(R272&gt;0,S272*100/R272,0)</f>
        <v>0</v>
      </c>
    </row>
    <row r="273" spans="1:21" ht="18.75" x14ac:dyDescent="0.25">
      <c r="A273" s="1468"/>
      <c r="B273" s="1469"/>
      <c r="C273" s="1469"/>
      <c r="D273" s="1469"/>
      <c r="E273" s="156" t="s">
        <v>20</v>
      </c>
      <c r="F273" s="1469"/>
      <c r="G273" s="1470"/>
      <c r="H273" s="159" t="s">
        <v>14</v>
      </c>
      <c r="I273" s="1481"/>
      <c r="J273" s="1481"/>
      <c r="K273" s="1482"/>
      <c r="L273" s="1358">
        <v>0</v>
      </c>
      <c r="M273" s="83">
        <v>0</v>
      </c>
      <c r="N273" s="83">
        <v>0</v>
      </c>
      <c r="O273" s="83">
        <f>IF(L273&gt;0,N273*100/L273,0)</f>
        <v>0</v>
      </c>
      <c r="P273" s="83">
        <f>IF(M273&gt;0,N273*100/M273,0)</f>
        <v>0</v>
      </c>
      <c r="Q273" s="83">
        <v>0</v>
      </c>
      <c r="R273" s="83">
        <v>0</v>
      </c>
      <c r="S273" s="83">
        <v>0</v>
      </c>
      <c r="T273" s="83">
        <f>IF(Q273&gt;0,S273*100/Q273,0)</f>
        <v>0</v>
      </c>
      <c r="U273" s="83">
        <f>IF(R273&gt;0,S273*100/R273,0)</f>
        <v>0</v>
      </c>
    </row>
    <row r="274" spans="1:21" ht="18.75" x14ac:dyDescent="0.25">
      <c r="A274" s="1458"/>
      <c r="B274" s="1459"/>
      <c r="C274" s="1459"/>
      <c r="D274" s="1459"/>
      <c r="E274" s="1473" t="s">
        <v>21</v>
      </c>
      <c r="F274" s="1459"/>
      <c r="G274" s="1462"/>
      <c r="H274" s="1483" t="s">
        <v>14</v>
      </c>
      <c r="I274" s="1479"/>
      <c r="J274" s="1479"/>
      <c r="K274" s="1480"/>
      <c r="L274" s="1475">
        <f ca="1">IFERROR(__xludf.DUMMYFUNCTION("IMPORTRANGE(""https://docs.google.com/spreadsheets/d/1-uDff_7J0KD5mKrp0Vvzr7lt3OU09vwQwhkpOPPYv2Y/edit?usp=sharing"",""งบพรบ!DH30"")"),0)</f>
        <v>0</v>
      </c>
      <c r="M274" s="1476">
        <f ca="1">IFERROR(__xludf.DUMMYFUNCTION("IMPORTRANGE(""https://docs.google.com/spreadsheets/d/1-uDff_7J0KD5mKrp0Vvzr7lt3OU09vwQwhkpOPPYv2Y/edit?usp=sharing"",""งบพรบ!DK30"")"),0)</f>
        <v>0</v>
      </c>
      <c r="N274" s="1476">
        <f ca="1">IFERROR(__xludf.DUMMYFUNCTION("IMPORTRANGE(""https://docs.google.com/spreadsheets/d/1-uDff_7J0KD5mKrp0Vvzr7lt3OU09vwQwhkpOPPYv2Y/edit?usp=sharing"",""งบพรบ!DM30"")"),0)</f>
        <v>0</v>
      </c>
      <c r="O274" s="1476">
        <f ca="1">IF(L274&gt;0,N274*100/L274,0)</f>
        <v>0</v>
      </c>
      <c r="P274" s="1476">
        <f ca="1">IF(M274&gt;0,N274*100/M274,0)</f>
        <v>0</v>
      </c>
      <c r="Q274" s="1476">
        <v>0</v>
      </c>
      <c r="R274" s="1476">
        <v>0</v>
      </c>
      <c r="S274" s="1476">
        <v>0</v>
      </c>
      <c r="T274" s="1476">
        <f>IF(Q274&gt;0,S274*100/Q274,0)</f>
        <v>0</v>
      </c>
      <c r="U274" s="1476">
        <f>IF(R274&gt;0,S274*100/R274,0)</f>
        <v>0</v>
      </c>
    </row>
    <row r="275" spans="1:21" ht="19.5" x14ac:dyDescent="0.3">
      <c r="A275" s="1484"/>
      <c r="B275" s="1485"/>
      <c r="C275" s="1473" t="s">
        <v>18</v>
      </c>
      <c r="D275" s="1486" t="s">
        <v>38</v>
      </c>
      <c r="E275" s="1451"/>
      <c r="F275" s="1451"/>
      <c r="G275" s="1452"/>
      <c r="H275" s="1487"/>
      <c r="I275" s="1479"/>
      <c r="J275" s="1479"/>
      <c r="K275" s="1480"/>
      <c r="L275" s="1488"/>
      <c r="M275" s="1480"/>
      <c r="N275" s="1480"/>
      <c r="O275" s="1480"/>
      <c r="P275" s="1480"/>
      <c r="Q275" s="1480"/>
      <c r="R275" s="1480"/>
      <c r="S275" s="1480"/>
      <c r="T275" s="1480"/>
      <c r="U275" s="1480"/>
    </row>
    <row r="276" spans="1:21" ht="18.75" x14ac:dyDescent="0.25">
      <c r="A276" s="1489"/>
      <c r="B276" s="367"/>
      <c r="C276" s="367"/>
      <c r="D276" s="1490" t="s">
        <v>115</v>
      </c>
      <c r="E276" s="366"/>
      <c r="F276" s="366"/>
      <c r="G276" s="369"/>
      <c r="H276" s="1491" t="s">
        <v>35</v>
      </c>
      <c r="I276" s="371">
        <f ca="1">IFERROR(__xludf.DUMMYFUNCTION("IMPORTRANGE(""https://docs.google.com/spreadsheets/d/1eHaY18a8A9IcSdp1K8H6x8fbOy06t2VsZHhMHf-1x7Y/edit?usp=sharing"",""แผน!EC30"")"),22)</f>
        <v>22</v>
      </c>
      <c r="J276" s="437">
        <v>22</v>
      </c>
      <c r="K276" s="372">
        <f ca="1">IF(I276&gt;0,J276*100/I276,0)</f>
        <v>100</v>
      </c>
      <c r="L276" s="1359"/>
      <c r="M276" s="45"/>
      <c r="N276" s="45"/>
      <c r="O276" s="45"/>
      <c r="P276" s="45"/>
      <c r="Q276" s="45"/>
      <c r="R276" s="45"/>
      <c r="S276" s="45"/>
      <c r="T276" s="45"/>
      <c r="U276" s="45"/>
    </row>
    <row r="277" spans="1:21" ht="18.75" x14ac:dyDescent="0.25">
      <c r="A277" s="249"/>
      <c r="B277" s="250"/>
      <c r="C277" s="250"/>
      <c r="D277" s="1492" t="s">
        <v>116</v>
      </c>
      <c r="E277" s="252"/>
      <c r="F277" s="252"/>
      <c r="G277" s="253"/>
      <c r="H277" s="1493" t="s">
        <v>35</v>
      </c>
      <c r="I277" s="426">
        <v>0</v>
      </c>
      <c r="J277" s="426">
        <v>0</v>
      </c>
      <c r="K277" s="1494">
        <v>0</v>
      </c>
      <c r="L277" s="1495"/>
      <c r="M277" s="255"/>
      <c r="N277" s="255"/>
      <c r="O277" s="255"/>
      <c r="P277" s="255"/>
      <c r="Q277" s="255"/>
      <c r="R277" s="255"/>
      <c r="S277" s="255"/>
      <c r="T277" s="255"/>
      <c r="U277" s="255"/>
    </row>
    <row r="278" spans="1:21" ht="19.5" x14ac:dyDescent="0.3">
      <c r="A278" s="256" t="s">
        <v>117</v>
      </c>
      <c r="B278" s="257"/>
      <c r="C278" s="257"/>
      <c r="D278" s="257"/>
      <c r="E278" s="258"/>
      <c r="F278" s="258"/>
      <c r="G278" s="258"/>
      <c r="H278" s="258"/>
      <c r="I278" s="259"/>
      <c r="J278" s="259"/>
      <c r="K278" s="260"/>
      <c r="L278" s="260"/>
      <c r="M278" s="260"/>
      <c r="N278" s="260"/>
      <c r="O278" s="260"/>
      <c r="P278" s="261"/>
      <c r="Q278" s="260"/>
      <c r="R278" s="260"/>
      <c r="S278" s="260"/>
      <c r="T278" s="260"/>
      <c r="U278" s="261"/>
    </row>
    <row r="279" spans="1:21" ht="19.5" x14ac:dyDescent="0.3">
      <c r="A279" s="262" t="s">
        <v>118</v>
      </c>
      <c r="B279" s="263"/>
      <c r="C279" s="264"/>
      <c r="D279" s="263"/>
      <c r="E279" s="263"/>
      <c r="F279" s="263"/>
      <c r="G279" s="263"/>
      <c r="H279" s="263"/>
      <c r="I279" s="265"/>
      <c r="J279" s="266"/>
      <c r="K279" s="267"/>
      <c r="L279" s="1496"/>
      <c r="M279" s="267"/>
      <c r="N279" s="267"/>
      <c r="O279" s="267"/>
      <c r="P279" s="267"/>
      <c r="Q279" s="267"/>
      <c r="R279" s="267"/>
      <c r="S279" s="267"/>
      <c r="T279" s="267"/>
      <c r="U279" s="267"/>
    </row>
    <row r="280" spans="1:21" ht="19.5" x14ac:dyDescent="0.3">
      <c r="A280" s="268"/>
      <c r="B280" s="269" t="s">
        <v>119</v>
      </c>
      <c r="C280" s="270"/>
      <c r="D280" s="271"/>
      <c r="E280" s="270"/>
      <c r="F280" s="270"/>
      <c r="G280" s="272"/>
      <c r="H280" s="273" t="s">
        <v>35</v>
      </c>
      <c r="I280" s="1497">
        <f ca="1">I293</f>
        <v>30</v>
      </c>
      <c r="J280" s="1497">
        <f>J293</f>
        <v>30</v>
      </c>
      <c r="K280" s="1498">
        <f ca="1">IF(I280&gt;0,J280*100/I280,0)</f>
        <v>100</v>
      </c>
      <c r="L280" s="1499"/>
      <c r="M280" s="276"/>
      <c r="N280" s="276"/>
      <c r="O280" s="276"/>
      <c r="P280" s="276"/>
      <c r="Q280" s="276"/>
      <c r="R280" s="276"/>
      <c r="S280" s="276"/>
      <c r="T280" s="276"/>
      <c r="U280" s="276"/>
    </row>
    <row r="281" spans="1:21" ht="19.5" x14ac:dyDescent="0.3">
      <c r="A281" s="268"/>
      <c r="B281" s="270"/>
      <c r="C281" s="270"/>
      <c r="D281" s="271"/>
      <c r="E281" s="270"/>
      <c r="F281" s="270"/>
      <c r="G281" s="272"/>
      <c r="H281" s="273" t="s">
        <v>46</v>
      </c>
      <c r="I281" s="1497">
        <f ca="1">I292</f>
        <v>300</v>
      </c>
      <c r="J281" s="1497">
        <f>J292</f>
        <v>300</v>
      </c>
      <c r="K281" s="1498">
        <f ca="1">IF(I281&gt;0,J281*100/I281,0)</f>
        <v>100</v>
      </c>
      <c r="L281" s="1499"/>
      <c r="M281" s="276"/>
      <c r="N281" s="276"/>
      <c r="O281" s="276"/>
      <c r="P281" s="276"/>
      <c r="Q281" s="276"/>
      <c r="R281" s="276"/>
      <c r="S281" s="276"/>
      <c r="T281" s="276"/>
      <c r="U281" s="276"/>
    </row>
    <row r="282" spans="1:21" ht="19.5" x14ac:dyDescent="0.3">
      <c r="A282" s="128"/>
      <c r="B282" s="40"/>
      <c r="C282" s="129" t="s">
        <v>18</v>
      </c>
      <c r="D282" s="1388" t="s">
        <v>19</v>
      </c>
      <c r="E282" s="40"/>
      <c r="F282" s="40"/>
      <c r="G282" s="42"/>
      <c r="H282" s="131" t="s">
        <v>14</v>
      </c>
      <c r="I282" s="44"/>
      <c r="J282" s="44"/>
      <c r="K282" s="45"/>
      <c r="L282" s="1389">
        <f ca="1">L283+L284</f>
        <v>100120</v>
      </c>
      <c r="M282" s="1390">
        <f ca="1">M283+M284</f>
        <v>100120</v>
      </c>
      <c r="N282" s="1390">
        <f ca="1">N283+N284</f>
        <v>27198.5</v>
      </c>
      <c r="O282" s="1390">
        <f ca="1">IF(L282&gt;0,N282*100/L282,0)</f>
        <v>27.165900918897322</v>
      </c>
      <c r="P282" s="1390">
        <f ca="1">IF(M282&gt;0,N282*100/M282,0)</f>
        <v>27.165900918897322</v>
      </c>
      <c r="Q282" s="1390">
        <f>Q283+Q284</f>
        <v>0</v>
      </c>
      <c r="R282" s="1390">
        <f>R283+R284</f>
        <v>0</v>
      </c>
      <c r="S282" s="1390">
        <f>S283+S284</f>
        <v>0</v>
      </c>
      <c r="T282" s="1390">
        <f>IF(Q282&gt;0,S282*100/Q282,0)</f>
        <v>0</v>
      </c>
      <c r="U282" s="1390">
        <f>IF(R282&gt;0,S282*100/R282,0)</f>
        <v>0</v>
      </c>
    </row>
    <row r="283" spans="1:21" ht="18.75" x14ac:dyDescent="0.25">
      <c r="A283" s="128"/>
      <c r="B283" s="40"/>
      <c r="C283" s="40"/>
      <c r="D283" s="40"/>
      <c r="E283" s="156" t="s">
        <v>20</v>
      </c>
      <c r="F283" s="40"/>
      <c r="G283" s="42"/>
      <c r="H283" s="157" t="s">
        <v>14</v>
      </c>
      <c r="I283" s="44"/>
      <c r="J283" s="44"/>
      <c r="K283" s="45"/>
      <c r="L283" s="1358">
        <f>L286+L289</f>
        <v>0</v>
      </c>
      <c r="M283" s="83">
        <f>M286+M289</f>
        <v>0</v>
      </c>
      <c r="N283" s="83">
        <f>N286+N289</f>
        <v>0</v>
      </c>
      <c r="O283" s="83">
        <f>IF(L283&gt;0,N283*100/L283,0)</f>
        <v>0</v>
      </c>
      <c r="P283" s="83">
        <f>IF(M283&gt;0,N283*100/M283,0)</f>
        <v>0</v>
      </c>
      <c r="Q283" s="83">
        <f>Q286+Q289</f>
        <v>0</v>
      </c>
      <c r="R283" s="83">
        <f>R286+R289</f>
        <v>0</v>
      </c>
      <c r="S283" s="83">
        <f>S286+S289</f>
        <v>0</v>
      </c>
      <c r="T283" s="83">
        <f>IF(Q283&gt;0,S283*100/Q283,0)</f>
        <v>0</v>
      </c>
      <c r="U283" s="83">
        <f>IF(R283&gt;0,S283*100/R283,0)</f>
        <v>0</v>
      </c>
    </row>
    <row r="284" spans="1:21" ht="18.75" x14ac:dyDescent="0.25">
      <c r="A284" s="128"/>
      <c r="B284" s="40"/>
      <c r="C284" s="40"/>
      <c r="D284" s="40"/>
      <c r="E284" s="47" t="s">
        <v>21</v>
      </c>
      <c r="F284" s="40"/>
      <c r="G284" s="42"/>
      <c r="H284" s="133" t="s">
        <v>14</v>
      </c>
      <c r="I284" s="44"/>
      <c r="J284" s="44"/>
      <c r="K284" s="45"/>
      <c r="L284" s="1356">
        <f ca="1">L287+L290</f>
        <v>100120</v>
      </c>
      <c r="M284" s="224">
        <f ca="1">M287+M290</f>
        <v>100120</v>
      </c>
      <c r="N284" s="224">
        <f ca="1">N287+N290</f>
        <v>27198.5</v>
      </c>
      <c r="O284" s="224">
        <f ca="1">IF(L284&gt;0,N284*100/L284,0)</f>
        <v>27.165900918897322</v>
      </c>
      <c r="P284" s="224">
        <f ca="1">IF(M284&gt;0,N284*100/M284,0)</f>
        <v>27.165900918897322</v>
      </c>
      <c r="Q284" s="224">
        <f>Q287+Q290</f>
        <v>0</v>
      </c>
      <c r="R284" s="224">
        <f>R287+R290</f>
        <v>0</v>
      </c>
      <c r="S284" s="224">
        <f>S287+S290</f>
        <v>0</v>
      </c>
      <c r="T284" s="224">
        <f>IF(Q284&gt;0,S284*100/Q284,0)</f>
        <v>0</v>
      </c>
      <c r="U284" s="224">
        <f>IF(R284&gt;0,S284*100/R284,0)</f>
        <v>0</v>
      </c>
    </row>
    <row r="285" spans="1:21" ht="18.75" x14ac:dyDescent="0.25">
      <c r="A285" s="128"/>
      <c r="B285" s="40"/>
      <c r="C285" s="40"/>
      <c r="D285" s="41" t="s">
        <v>22</v>
      </c>
      <c r="E285" s="40"/>
      <c r="F285" s="40"/>
      <c r="G285" s="42"/>
      <c r="H285" s="134" t="s">
        <v>14</v>
      </c>
      <c r="I285" s="135"/>
      <c r="J285" s="135"/>
      <c r="K285" s="136"/>
      <c r="L285" s="1356">
        <f ca="1">L286+L287</f>
        <v>100120</v>
      </c>
      <c r="M285" s="224">
        <f ca="1">M286+M287</f>
        <v>100120</v>
      </c>
      <c r="N285" s="224">
        <f ca="1">N286+N287</f>
        <v>27198.5</v>
      </c>
      <c r="O285" s="224">
        <f ca="1">IF(L285&gt;0,N285*100/L285,0)</f>
        <v>27.165900918897322</v>
      </c>
      <c r="P285" s="224">
        <f ca="1">IF(M285&gt;0,N285*100/M285,0)</f>
        <v>27.165900918897322</v>
      </c>
      <c r="Q285" s="224">
        <f>Q286+Q287</f>
        <v>0</v>
      </c>
      <c r="R285" s="224">
        <f>R286+R287</f>
        <v>0</v>
      </c>
      <c r="S285" s="224">
        <f>S286+S287</f>
        <v>0</v>
      </c>
      <c r="T285" s="224">
        <f>IF(Q285&gt;0,S285*100/Q285,0)</f>
        <v>0</v>
      </c>
      <c r="U285" s="224">
        <f>IF(R285&gt;0,S285*100/R285,0)</f>
        <v>0</v>
      </c>
    </row>
    <row r="286" spans="1:21" ht="18.75" x14ac:dyDescent="0.25">
      <c r="A286" s="128"/>
      <c r="B286" s="40"/>
      <c r="C286" s="40"/>
      <c r="D286" s="40"/>
      <c r="E286" s="156" t="s">
        <v>36</v>
      </c>
      <c r="F286" s="40"/>
      <c r="G286" s="42"/>
      <c r="H286" s="159" t="s">
        <v>14</v>
      </c>
      <c r="I286" s="135"/>
      <c r="J286" s="135"/>
      <c r="K286" s="136"/>
      <c r="L286" s="1358">
        <v>0</v>
      </c>
      <c r="M286" s="83">
        <v>0</v>
      </c>
      <c r="N286" s="83">
        <v>0</v>
      </c>
      <c r="O286" s="83">
        <f>IF(L286&gt;0,N286*100/L286,0)</f>
        <v>0</v>
      </c>
      <c r="P286" s="83">
        <f>IF(M286&gt;0,N286*100/M286,0)</f>
        <v>0</v>
      </c>
      <c r="Q286" s="83">
        <v>0</v>
      </c>
      <c r="R286" s="83">
        <v>0</v>
      </c>
      <c r="S286" s="83">
        <v>0</v>
      </c>
      <c r="T286" s="83">
        <f>IF(Q286&gt;0,S286*100/Q286,0)</f>
        <v>0</v>
      </c>
      <c r="U286" s="83">
        <f>IF(R286&gt;0,S286*100/R286,0)</f>
        <v>0</v>
      </c>
    </row>
    <row r="287" spans="1:21" ht="18.75" x14ac:dyDescent="0.25">
      <c r="A287" s="128"/>
      <c r="B287" s="40"/>
      <c r="C287" s="40"/>
      <c r="D287" s="40"/>
      <c r="E287" s="47" t="s">
        <v>37</v>
      </c>
      <c r="F287" s="40"/>
      <c r="G287" s="42"/>
      <c r="H287" s="134" t="s">
        <v>14</v>
      </c>
      <c r="I287" s="135"/>
      <c r="J287" s="135"/>
      <c r="K287" s="136"/>
      <c r="L287" s="1356">
        <f ca="1">IFERROR(__xludf.DUMMYFUNCTION("IMPORTRANGE(""https://docs.google.com/spreadsheets/d/1-uDff_7J0KD5mKrp0Vvzr7lt3OU09vwQwhkpOPPYv2Y/edit?usp=sharing"",""งบพรบ!DO30"")"),100120)</f>
        <v>100120</v>
      </c>
      <c r="M287" s="224">
        <f ca="1">IFERROR(__xludf.DUMMYFUNCTION("IMPORTRANGE(""https://docs.google.com/spreadsheets/d/1-uDff_7J0KD5mKrp0Vvzr7lt3OU09vwQwhkpOPPYv2Y/edit?usp=sharing"",""งบพรบ!DT30"")"),100120)</f>
        <v>100120</v>
      </c>
      <c r="N287" s="224">
        <f ca="1">IFERROR(__xludf.DUMMYFUNCTION("IMPORTRANGE(""https://docs.google.com/spreadsheets/d/1-uDff_7J0KD5mKrp0Vvzr7lt3OU09vwQwhkpOPPYv2Y/edit?usp=sharing"",""งบพรบ!DV30"")"),27198.5)</f>
        <v>27198.5</v>
      </c>
      <c r="O287" s="224">
        <f ca="1">IF(L287&gt;0,N287*100/L287,0)</f>
        <v>27.165900918897322</v>
      </c>
      <c r="P287" s="224">
        <f ca="1">IF(M287&gt;0,N287*100/M287,0)</f>
        <v>27.165900918897322</v>
      </c>
      <c r="Q287" s="224">
        <v>0</v>
      </c>
      <c r="R287" s="224">
        <v>0</v>
      </c>
      <c r="S287" s="224">
        <v>0</v>
      </c>
      <c r="T287" s="83">
        <f>IF(Q287&gt;0,S287*100/Q287,0)</f>
        <v>0</v>
      </c>
      <c r="U287" s="83">
        <f>IF(R287&gt;0,S287*100/R287,0)</f>
        <v>0</v>
      </c>
    </row>
    <row r="288" spans="1:21" ht="18.75" x14ac:dyDescent="0.25">
      <c r="A288" s="128"/>
      <c r="B288" s="40"/>
      <c r="C288" s="40"/>
      <c r="D288" s="41" t="s">
        <v>23</v>
      </c>
      <c r="E288" s="40"/>
      <c r="F288" s="40"/>
      <c r="G288" s="42"/>
      <c r="H288" s="137" t="s">
        <v>14</v>
      </c>
      <c r="I288" s="135"/>
      <c r="J288" s="135"/>
      <c r="K288" s="136"/>
      <c r="L288" s="1356">
        <f ca="1">L289+L290</f>
        <v>0</v>
      </c>
      <c r="M288" s="224">
        <f ca="1">M289+M290</f>
        <v>0</v>
      </c>
      <c r="N288" s="224">
        <f ca="1">N289+N290</f>
        <v>0</v>
      </c>
      <c r="O288" s="224">
        <f ca="1">IF(L288&gt;0,N288*100/L288,0)</f>
        <v>0</v>
      </c>
      <c r="P288" s="224">
        <f ca="1">IF(M288&gt;0,N288*100/M288,0)</f>
        <v>0</v>
      </c>
      <c r="Q288" s="224">
        <f>Q289+Q290</f>
        <v>0</v>
      </c>
      <c r="R288" s="224">
        <f>R289+R290</f>
        <v>0</v>
      </c>
      <c r="S288" s="224">
        <f>S289+S290</f>
        <v>0</v>
      </c>
      <c r="T288" s="224">
        <f>IF(Q288&gt;0,S288*100/Q288,0)</f>
        <v>0</v>
      </c>
      <c r="U288" s="224">
        <f>IF(R288&gt;0,S288*100/R288,0)</f>
        <v>0</v>
      </c>
    </row>
    <row r="289" spans="1:21" ht="18.75" x14ac:dyDescent="0.25">
      <c r="A289" s="128"/>
      <c r="B289" s="40"/>
      <c r="C289" s="40"/>
      <c r="D289" s="40"/>
      <c r="E289" s="156" t="s">
        <v>20</v>
      </c>
      <c r="F289" s="40"/>
      <c r="G289" s="42"/>
      <c r="H289" s="159" t="s">
        <v>14</v>
      </c>
      <c r="I289" s="135"/>
      <c r="J289" s="135"/>
      <c r="K289" s="136"/>
      <c r="L289" s="1358">
        <v>0</v>
      </c>
      <c r="M289" s="83">
        <v>0</v>
      </c>
      <c r="N289" s="83">
        <v>0</v>
      </c>
      <c r="O289" s="83">
        <f>IF(L289&gt;0,N289*100/L289,0)</f>
        <v>0</v>
      </c>
      <c r="P289" s="83">
        <f>IF(M289&gt;0,N289*100/M289,0)</f>
        <v>0</v>
      </c>
      <c r="Q289" s="83">
        <v>0</v>
      </c>
      <c r="R289" s="83">
        <v>0</v>
      </c>
      <c r="S289" s="83">
        <v>0</v>
      </c>
      <c r="T289" s="83">
        <f>IF(Q289&gt;0,S289*100/Q289,0)</f>
        <v>0</v>
      </c>
      <c r="U289" s="83">
        <f>IF(R289&gt;0,S289*100/R289,0)</f>
        <v>0</v>
      </c>
    </row>
    <row r="290" spans="1:21" ht="18.75" x14ac:dyDescent="0.25">
      <c r="A290" s="128"/>
      <c r="B290" s="40"/>
      <c r="C290" s="40"/>
      <c r="D290" s="40"/>
      <c r="E290" s="47" t="s">
        <v>21</v>
      </c>
      <c r="F290" s="40"/>
      <c r="G290" s="42"/>
      <c r="H290" s="137" t="s">
        <v>14</v>
      </c>
      <c r="I290" s="135"/>
      <c r="J290" s="135"/>
      <c r="K290" s="136"/>
      <c r="L290" s="1356">
        <f ca="1">IFERROR(__xludf.DUMMYFUNCTION("IMPORTRANGE(""https://docs.google.com/spreadsheets/d/1-uDff_7J0KD5mKrp0Vvzr7lt3OU09vwQwhkpOPPYv2Y/edit?usp=sharing"",""งบพรบ!DR30"")"),0)</f>
        <v>0</v>
      </c>
      <c r="M290" s="224">
        <f ca="1">IFERROR(__xludf.DUMMYFUNCTION("IMPORTRANGE(""https://docs.google.com/spreadsheets/d/1-uDff_7J0KD5mKrp0Vvzr7lt3OU09vwQwhkpOPPYv2Y/edit?usp=sharing"",""งบพรบ!DU30"")"),0)</f>
        <v>0</v>
      </c>
      <c r="N290" s="224">
        <f ca="1">IFERROR(__xludf.DUMMYFUNCTION("IMPORTRANGE(""https://docs.google.com/spreadsheets/d/1-uDff_7J0KD5mKrp0Vvzr7lt3OU09vwQwhkpOPPYv2Y/edit?usp=sharing"",""งบพรบ!DW30"")"),0)</f>
        <v>0</v>
      </c>
      <c r="O290" s="224">
        <f ca="1">IF(L290&gt;0,N290*100/L290,0)</f>
        <v>0</v>
      </c>
      <c r="P290" s="224">
        <f ca="1">IF(M290&gt;0,N290*100/M290,0)</f>
        <v>0</v>
      </c>
      <c r="Q290" s="224">
        <v>0</v>
      </c>
      <c r="R290" s="224">
        <v>0</v>
      </c>
      <c r="S290" s="224">
        <v>0</v>
      </c>
      <c r="T290" s="224">
        <f>IF(Q290&gt;0,S290*100/Q290,0)</f>
        <v>0</v>
      </c>
      <c r="U290" s="224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1391" t="s">
        <v>38</v>
      </c>
      <c r="E291" s="141"/>
      <c r="F291" s="141"/>
      <c r="G291" s="142"/>
      <c r="H291" s="143"/>
      <c r="I291" s="135"/>
      <c r="J291" s="135"/>
      <c r="K291" s="136"/>
      <c r="L291" s="1392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3" t="s">
        <v>46</v>
      </c>
      <c r="I292" s="184">
        <f ca="1">IFERROR(__xludf.DUMMYFUNCTION("IMPORTRANGE(""https://docs.google.com/spreadsheets/d/1eHaY18a8A9IcSdp1K8H6x8fbOy06t2VsZHhMHf-1x7Y/edit?usp=sharing"",""แผน!EE30"")"),300)</f>
        <v>300</v>
      </c>
      <c r="J292" s="1395">
        <v>300</v>
      </c>
      <c r="K292" s="1396">
        <f ca="1">IF(I292&gt;0,J292*100/I292,0)</f>
        <v>100</v>
      </c>
      <c r="L292" s="1392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328">
        <f ca="1">IFERROR(__xludf.DUMMYFUNCTION("IMPORTRANGE(""https://docs.google.com/spreadsheets/d/1eHaY18a8A9IcSdp1K8H6x8fbOy06t2VsZHhMHf-1x7Y/edit?usp=sharing"",""แผน!ED30"")"),30)</f>
        <v>30</v>
      </c>
      <c r="J293" s="328">
        <f>J296</f>
        <v>30</v>
      </c>
      <c r="K293" s="1393">
        <f ca="1">IF(I293&gt;0,J293*100/I293,0)</f>
        <v>100</v>
      </c>
      <c r="L293" s="1392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4" t="s">
        <v>122</v>
      </c>
      <c r="F294" s="145"/>
      <c r="G294" s="143"/>
      <c r="H294" s="143"/>
      <c r="I294" s="135"/>
      <c r="J294" s="44"/>
      <c r="K294" s="136"/>
      <c r="L294" s="1392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394">
        <f ca="1">IFERROR(__xludf.DUMMYFUNCTION("IMPORTRANGE(""https://docs.google.com/spreadsheets/d/1eHaY18a8A9IcSdp1K8H6x8fbOy06t2VsZHhMHf-1x7Y/edit?usp=sharing"",""แผน!ED30"")"),30)</f>
        <v>30</v>
      </c>
      <c r="J295" s="1395">
        <v>30</v>
      </c>
      <c r="K295" s="1396">
        <f ca="1">IF(I295&gt;0,J295*100/I295,0)</f>
        <v>100</v>
      </c>
      <c r="L295" s="1392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394">
        <f ca="1">IFERROR(__xludf.DUMMYFUNCTION("IMPORTRANGE(""https://docs.google.com/spreadsheets/d/1eHaY18a8A9IcSdp1K8H6x8fbOy06t2VsZHhMHf-1x7Y/edit?usp=sharing"",""แผน!ED30"")"),30)</f>
        <v>30</v>
      </c>
      <c r="J296" s="1395">
        <v>30</v>
      </c>
      <c r="K296" s="1396">
        <f ca="1">IF(I296&gt;0,J296*100/I296,0)</f>
        <v>100</v>
      </c>
      <c r="L296" s="1392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2"/>
      <c r="B297" s="163"/>
      <c r="C297" s="163"/>
      <c r="D297" s="18"/>
      <c r="E297" s="18"/>
      <c r="F297" s="18"/>
      <c r="G297" s="19"/>
      <c r="H297" s="19"/>
      <c r="I297" s="20"/>
      <c r="J297" s="20"/>
      <c r="K297" s="21"/>
      <c r="L297" s="1346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12.75" x14ac:dyDescent="0.2">
      <c r="A298" s="162"/>
      <c r="B298" s="163"/>
      <c r="C298" s="163"/>
      <c r="D298" s="18"/>
      <c r="E298" s="18"/>
      <c r="F298" s="18"/>
      <c r="G298" s="19"/>
      <c r="H298" s="19"/>
      <c r="I298" s="20"/>
      <c r="J298" s="20"/>
      <c r="K298" s="21"/>
      <c r="L298" s="1346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1:21" ht="12.75" x14ac:dyDescent="0.2">
      <c r="A299" s="277"/>
      <c r="B299" s="278"/>
      <c r="C299" s="278"/>
      <c r="D299" s="22"/>
      <c r="E299" s="22"/>
      <c r="F299" s="22"/>
      <c r="G299" s="14"/>
      <c r="H299" s="14"/>
      <c r="I299" s="15"/>
      <c r="J299" s="15"/>
      <c r="K299" s="16"/>
      <c r="L299" s="1345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 ht="19.5" x14ac:dyDescent="0.3">
      <c r="A300" s="279" t="s">
        <v>125</v>
      </c>
      <c r="B300" s="280"/>
      <c r="C300" s="280"/>
      <c r="D300" s="280"/>
      <c r="E300" s="281"/>
      <c r="F300" s="281"/>
      <c r="G300" s="281"/>
      <c r="H300" s="281"/>
      <c r="I300" s="282"/>
      <c r="J300" s="282"/>
      <c r="K300" s="283"/>
      <c r="L300" s="283"/>
      <c r="M300" s="283"/>
      <c r="N300" s="283"/>
      <c r="O300" s="283"/>
      <c r="P300" s="284"/>
      <c r="Q300" s="283"/>
      <c r="R300" s="283"/>
      <c r="S300" s="283"/>
      <c r="T300" s="283"/>
      <c r="U300" s="284"/>
    </row>
    <row r="301" spans="1:21" ht="19.5" x14ac:dyDescent="0.3">
      <c r="A301" s="285" t="s">
        <v>126</v>
      </c>
      <c r="B301" s="286"/>
      <c r="C301" s="286"/>
      <c r="D301" s="287"/>
      <c r="E301" s="287"/>
      <c r="F301" s="287"/>
      <c r="G301" s="288"/>
      <c r="H301" s="288"/>
      <c r="I301" s="289"/>
      <c r="J301" s="289"/>
      <c r="K301" s="290"/>
      <c r="L301" s="1500"/>
      <c r="M301" s="290"/>
      <c r="N301" s="290"/>
      <c r="O301" s="290"/>
      <c r="P301" s="290"/>
      <c r="Q301" s="290"/>
      <c r="R301" s="290"/>
      <c r="S301" s="290"/>
      <c r="T301" s="290"/>
      <c r="U301" s="290"/>
    </row>
    <row r="302" spans="1:21" ht="19.5" x14ac:dyDescent="0.3">
      <c r="A302" s="291"/>
      <c r="B302" s="292" t="s">
        <v>127</v>
      </c>
      <c r="C302" s="293"/>
      <c r="D302" s="293"/>
      <c r="E302" s="293"/>
      <c r="F302" s="293"/>
      <c r="G302" s="294"/>
      <c r="H302" s="295" t="s">
        <v>35</v>
      </c>
      <c r="I302" s="1501">
        <f ca="1">I314</f>
        <v>20</v>
      </c>
      <c r="J302" s="1501">
        <f>J314</f>
        <v>20</v>
      </c>
      <c r="K302" s="1502">
        <f ca="1">IF(I302&gt;0,J302*100/I302,0)</f>
        <v>100</v>
      </c>
      <c r="L302" s="1503"/>
      <c r="M302" s="298"/>
      <c r="N302" s="298"/>
      <c r="O302" s="298"/>
      <c r="P302" s="298"/>
      <c r="Q302" s="298"/>
      <c r="R302" s="298"/>
      <c r="S302" s="298"/>
      <c r="T302" s="298"/>
      <c r="U302" s="298"/>
    </row>
    <row r="303" spans="1:21" ht="19.5" x14ac:dyDescent="0.3">
      <c r="A303" s="128"/>
      <c r="B303" s="40"/>
      <c r="C303" s="129" t="s">
        <v>18</v>
      </c>
      <c r="D303" s="1388" t="s">
        <v>19</v>
      </c>
      <c r="E303" s="40"/>
      <c r="F303" s="40"/>
      <c r="G303" s="42"/>
      <c r="H303" s="131" t="s">
        <v>14</v>
      </c>
      <c r="I303" s="44"/>
      <c r="J303" s="44"/>
      <c r="K303" s="45"/>
      <c r="L303" s="1389">
        <f ca="1">L304+L305</f>
        <v>264500</v>
      </c>
      <c r="M303" s="1390">
        <f ca="1">M304+M305</f>
        <v>243000</v>
      </c>
      <c r="N303" s="1390">
        <f ca="1">N304+N305</f>
        <v>122047.03999999999</v>
      </c>
      <c r="O303" s="1390">
        <f ca="1">IF(L303&gt;0,N303*100/L303,0)</f>
        <v>46.142548204158793</v>
      </c>
      <c r="P303" s="1390">
        <f ca="1">IF(M303&gt;0,N303*100/M303,0)</f>
        <v>50.225119341563783</v>
      </c>
      <c r="Q303" s="1390">
        <f ca="1">Q304+Q305</f>
        <v>144609.24</v>
      </c>
      <c r="R303" s="1390">
        <f ca="1">R304+R305</f>
        <v>144609</v>
      </c>
      <c r="S303" s="1390">
        <f ca="1">S304+S305</f>
        <v>55990</v>
      </c>
      <c r="T303" s="1390">
        <f ca="1">IF(Q303&gt;0,S303*100/Q303,0)</f>
        <v>38.718134470522081</v>
      </c>
      <c r="U303" s="1390">
        <f ca="1">IF(R303&gt;0,S303*100/R303,0)</f>
        <v>38.718198728986437</v>
      </c>
    </row>
    <row r="304" spans="1:21" ht="18.75" x14ac:dyDescent="0.25">
      <c r="A304" s="128"/>
      <c r="B304" s="40"/>
      <c r="C304" s="40"/>
      <c r="D304" s="40"/>
      <c r="E304" s="156" t="s">
        <v>20</v>
      </c>
      <c r="F304" s="40"/>
      <c r="G304" s="42"/>
      <c r="H304" s="157" t="s">
        <v>14</v>
      </c>
      <c r="I304" s="44"/>
      <c r="J304" s="44"/>
      <c r="K304" s="45"/>
      <c r="L304" s="1358">
        <f>L307+L310</f>
        <v>0</v>
      </c>
      <c r="M304" s="83">
        <f>M307+M310</f>
        <v>0</v>
      </c>
      <c r="N304" s="83">
        <f>N307+N310</f>
        <v>0</v>
      </c>
      <c r="O304" s="83">
        <f>IF(L304&gt;0,N304*100/L304,0)</f>
        <v>0</v>
      </c>
      <c r="P304" s="83">
        <f>IF(M304&gt;0,N304*100/M304,0)</f>
        <v>0</v>
      </c>
      <c r="Q304" s="83">
        <f>Q307+Q310</f>
        <v>0</v>
      </c>
      <c r="R304" s="83">
        <f>R307+R310</f>
        <v>0</v>
      </c>
      <c r="S304" s="83">
        <f>S307+S310</f>
        <v>0</v>
      </c>
      <c r="T304" s="83">
        <f>IF(Q304&gt;0,S304*100/Q304,0)</f>
        <v>0</v>
      </c>
      <c r="U304" s="83">
        <f>IF(R304&gt;0,S304*100/R304,0)</f>
        <v>0</v>
      </c>
    </row>
    <row r="305" spans="1:21" ht="18.75" x14ac:dyDescent="0.25">
      <c r="A305" s="128"/>
      <c r="B305" s="40"/>
      <c r="C305" s="40"/>
      <c r="D305" s="40"/>
      <c r="E305" s="47" t="s">
        <v>21</v>
      </c>
      <c r="F305" s="40"/>
      <c r="G305" s="42"/>
      <c r="H305" s="133" t="s">
        <v>14</v>
      </c>
      <c r="I305" s="44"/>
      <c r="J305" s="44"/>
      <c r="K305" s="45"/>
      <c r="L305" s="1356">
        <f ca="1">L308+L311</f>
        <v>264500</v>
      </c>
      <c r="M305" s="224">
        <f ca="1">M308+M311</f>
        <v>243000</v>
      </c>
      <c r="N305" s="224">
        <f ca="1">N308+N311</f>
        <v>122047.03999999999</v>
      </c>
      <c r="O305" s="224">
        <f ca="1">IF(L305&gt;0,N305*100/L305,0)</f>
        <v>46.142548204158793</v>
      </c>
      <c r="P305" s="224">
        <f ca="1">IF(M305&gt;0,N305*100/M305,0)</f>
        <v>50.225119341563783</v>
      </c>
      <c r="Q305" s="224">
        <f ca="1">Q308+Q311</f>
        <v>144609.24</v>
      </c>
      <c r="R305" s="224">
        <f ca="1">R308+R311</f>
        <v>144609</v>
      </c>
      <c r="S305" s="224">
        <f ca="1">S308+S311</f>
        <v>55990</v>
      </c>
      <c r="T305" s="224">
        <f ca="1">IF(Q305&gt;0,S305*100/Q305,0)</f>
        <v>38.718134470522081</v>
      </c>
      <c r="U305" s="224">
        <f ca="1">IF(R305&gt;0,S305*100/R305,0)</f>
        <v>38.718198728986437</v>
      </c>
    </row>
    <row r="306" spans="1:21" ht="18.75" x14ac:dyDescent="0.25">
      <c r="A306" s="128"/>
      <c r="B306" s="40"/>
      <c r="C306" s="40"/>
      <c r="D306" s="41" t="s">
        <v>22</v>
      </c>
      <c r="E306" s="40"/>
      <c r="F306" s="40"/>
      <c r="G306" s="42"/>
      <c r="H306" s="134" t="s">
        <v>14</v>
      </c>
      <c r="I306" s="135"/>
      <c r="J306" s="135"/>
      <c r="K306" s="136"/>
      <c r="L306" s="1356">
        <f ca="1">L307+L308</f>
        <v>264500</v>
      </c>
      <c r="M306" s="224">
        <f ca="1">M307+M308</f>
        <v>243000</v>
      </c>
      <c r="N306" s="224">
        <f ca="1">N307+N308</f>
        <v>122047.03999999999</v>
      </c>
      <c r="O306" s="224">
        <f ca="1">IF(L306&gt;0,N306*100/L306,0)</f>
        <v>46.142548204158793</v>
      </c>
      <c r="P306" s="224">
        <f ca="1">IF(M306&gt;0,N306*100/M306,0)</f>
        <v>50.225119341563783</v>
      </c>
      <c r="Q306" s="224">
        <f ca="1">Q307+Q308</f>
        <v>144609.24</v>
      </c>
      <c r="R306" s="224">
        <f ca="1">R307+R308</f>
        <v>144609</v>
      </c>
      <c r="S306" s="224">
        <f ca="1">S307+S308</f>
        <v>55990</v>
      </c>
      <c r="T306" s="224">
        <f ca="1">IF(Q306&gt;0,S306*100/Q306,0)</f>
        <v>38.718134470522081</v>
      </c>
      <c r="U306" s="224">
        <f ca="1">IF(R306&gt;0,S306*100/R306,0)</f>
        <v>38.718198728986437</v>
      </c>
    </row>
    <row r="307" spans="1:21" ht="18.75" x14ac:dyDescent="0.25">
      <c r="A307" s="128"/>
      <c r="B307" s="40"/>
      <c r="C307" s="40"/>
      <c r="D307" s="40"/>
      <c r="E307" s="156" t="s">
        <v>36</v>
      </c>
      <c r="F307" s="40"/>
      <c r="G307" s="42"/>
      <c r="H307" s="159" t="s">
        <v>14</v>
      </c>
      <c r="I307" s="135"/>
      <c r="J307" s="135"/>
      <c r="K307" s="136"/>
      <c r="L307" s="1358">
        <v>0</v>
      </c>
      <c r="M307" s="83">
        <v>0</v>
      </c>
      <c r="N307" s="83">
        <v>0</v>
      </c>
      <c r="O307" s="83">
        <f>IF(L307&gt;0,N307*100/L307,0)</f>
        <v>0</v>
      </c>
      <c r="P307" s="83">
        <f>IF(M307&gt;0,N307*100/M307,0)</f>
        <v>0</v>
      </c>
      <c r="Q307" s="83">
        <v>0</v>
      </c>
      <c r="R307" s="83">
        <v>0</v>
      </c>
      <c r="S307" s="83">
        <v>0</v>
      </c>
      <c r="T307" s="83">
        <f>IF(Q307&gt;0,S307*100/Q307,0)</f>
        <v>0</v>
      </c>
      <c r="U307" s="83">
        <f>IF(R307&gt;0,S307*100/R307,0)</f>
        <v>0</v>
      </c>
    </row>
    <row r="308" spans="1:21" ht="18.75" x14ac:dyDescent="0.25">
      <c r="A308" s="128"/>
      <c r="B308" s="40"/>
      <c r="C308" s="40"/>
      <c r="D308" s="40"/>
      <c r="E308" s="47" t="s">
        <v>37</v>
      </c>
      <c r="F308" s="40"/>
      <c r="G308" s="42"/>
      <c r="H308" s="134" t="s">
        <v>14</v>
      </c>
      <c r="I308" s="135"/>
      <c r="J308" s="135"/>
      <c r="K308" s="136"/>
      <c r="L308" s="1356">
        <f ca="1">IFERROR(__xludf.DUMMYFUNCTION("IMPORTRANGE(""https://docs.google.com/spreadsheets/d/1-uDff_7J0KD5mKrp0Vvzr7lt3OU09vwQwhkpOPPYv2Y/edit?usp=sharing"",""งบพรบ!DY30"")"),264500)</f>
        <v>264500</v>
      </c>
      <c r="M308" s="224">
        <f ca="1">IFERROR(__xludf.DUMMYFUNCTION("IMPORTRANGE(""https://docs.google.com/spreadsheets/d/1-uDff_7J0KD5mKrp0Vvzr7lt3OU09vwQwhkpOPPYv2Y/edit?usp=sharing"",""งบพรบ!ED30"")"),243000)</f>
        <v>243000</v>
      </c>
      <c r="N308" s="224">
        <f ca="1">IFERROR(__xludf.DUMMYFUNCTION("IMPORTRANGE(""https://docs.google.com/spreadsheets/d/1-uDff_7J0KD5mKrp0Vvzr7lt3OU09vwQwhkpOPPYv2Y/edit?usp=sharing"",""งบพรบ!EF30"")"),122047.04)</f>
        <v>122047.03999999999</v>
      </c>
      <c r="O308" s="224">
        <f ca="1">IF(L308&gt;0,N308*100/L308,0)</f>
        <v>46.142548204158793</v>
      </c>
      <c r="P308" s="224">
        <f ca="1">IF(M308&gt;0,N308*100/M308,0)</f>
        <v>50.225119341563783</v>
      </c>
      <c r="Q308" s="224">
        <f ca="1">IFERROR(__xludf.DUMMYFUNCTION("IMPORTRANGE(""https://docs.google.com/spreadsheets/d/1ItG2mGa2ceCfYo0BwxsXqNm01IGEUdYcSSLTEv9YCik/edit?usp=sharing"",""เบิกจ่ายกองทุน!BB30"")"),144609.24)</f>
        <v>144609.24</v>
      </c>
      <c r="R308" s="224">
        <f ca="1">IFERROR(__xludf.DUMMYFUNCTION("IMPORTRANGE(""https://docs.google.com/spreadsheets/d/1ItG2mGa2ceCfYo0BwxsXqNm01IGEUdYcSSLTEv9YCik/edit?usp=sharing"",""เบิกจ่ายกองทุน!BC30"")"),144609)</f>
        <v>144609</v>
      </c>
      <c r="S308" s="224">
        <f ca="1">IFERROR(__xludf.DUMMYFUNCTION("IMPORTRANGE(""https://docs.google.com/spreadsheets/d/1ItG2mGa2ceCfYo0BwxsXqNm01IGEUdYcSSLTEv9YCik/edit?usp=sharing"",""เบิกจ่ายกองทุน!BD30"")"),55990)</f>
        <v>55990</v>
      </c>
      <c r="T308" s="224">
        <f ca="1">IF(Q308&gt;0,S308*100/Q308,0)</f>
        <v>38.718134470522081</v>
      </c>
      <c r="U308" s="224">
        <f ca="1">IF(R308&gt;0,S308*100/R308,0)</f>
        <v>38.718198728986437</v>
      </c>
    </row>
    <row r="309" spans="1:21" ht="18.75" x14ac:dyDescent="0.25">
      <c r="A309" s="128"/>
      <c r="B309" s="40"/>
      <c r="C309" s="40"/>
      <c r="D309" s="41" t="s">
        <v>23</v>
      </c>
      <c r="E309" s="40"/>
      <c r="F309" s="40"/>
      <c r="G309" s="42"/>
      <c r="H309" s="137" t="s">
        <v>14</v>
      </c>
      <c r="I309" s="135"/>
      <c r="J309" s="135"/>
      <c r="K309" s="136"/>
      <c r="L309" s="1356">
        <f ca="1">L310+L311</f>
        <v>0</v>
      </c>
      <c r="M309" s="224">
        <f ca="1">M310+M311</f>
        <v>0</v>
      </c>
      <c r="N309" s="224">
        <f ca="1">N310+N311</f>
        <v>0</v>
      </c>
      <c r="O309" s="224">
        <f ca="1">IF(L309&gt;0,N309*100/L309,0)</f>
        <v>0</v>
      </c>
      <c r="P309" s="224">
        <f ca="1">IF(M309&gt;0,N309*100/M309,0)</f>
        <v>0</v>
      </c>
      <c r="Q309" s="224">
        <f>Q310+Q311</f>
        <v>0</v>
      </c>
      <c r="R309" s="224">
        <f>R310+R311</f>
        <v>0</v>
      </c>
      <c r="S309" s="224">
        <f>S310+S311</f>
        <v>0</v>
      </c>
      <c r="T309" s="224">
        <f>IF(Q309&gt;0,S309*100/Q309,0)</f>
        <v>0</v>
      </c>
      <c r="U309" s="224">
        <f>IF(R309&gt;0,S309*100/R309,0)</f>
        <v>0</v>
      </c>
    </row>
    <row r="310" spans="1:21" ht="18.75" x14ac:dyDescent="0.25">
      <c r="A310" s="128"/>
      <c r="B310" s="40"/>
      <c r="C310" s="40"/>
      <c r="D310" s="40"/>
      <c r="E310" s="156" t="s">
        <v>20</v>
      </c>
      <c r="F310" s="40"/>
      <c r="G310" s="42"/>
      <c r="H310" s="159" t="s">
        <v>14</v>
      </c>
      <c r="I310" s="135"/>
      <c r="J310" s="135"/>
      <c r="K310" s="136"/>
      <c r="L310" s="1358">
        <v>0</v>
      </c>
      <c r="M310" s="83">
        <v>0</v>
      </c>
      <c r="N310" s="83">
        <v>0</v>
      </c>
      <c r="O310" s="83">
        <f>IF(L310&gt;0,N310*100/L310,0)</f>
        <v>0</v>
      </c>
      <c r="P310" s="83">
        <f>IF(M310&gt;0,N310*100/M310,0)</f>
        <v>0</v>
      </c>
      <c r="Q310" s="83">
        <v>0</v>
      </c>
      <c r="R310" s="83">
        <v>0</v>
      </c>
      <c r="S310" s="83">
        <v>0</v>
      </c>
      <c r="T310" s="83">
        <f>IF(Q310&gt;0,S310*100/Q310,0)</f>
        <v>0</v>
      </c>
      <c r="U310" s="83">
        <f>IF(R310&gt;0,S310*100/R310,0)</f>
        <v>0</v>
      </c>
    </row>
    <row r="311" spans="1:21" ht="18.75" x14ac:dyDescent="0.25">
      <c r="A311" s="128"/>
      <c r="B311" s="40"/>
      <c r="C311" s="40"/>
      <c r="D311" s="40"/>
      <c r="E311" s="47" t="s">
        <v>21</v>
      </c>
      <c r="F311" s="40"/>
      <c r="G311" s="42"/>
      <c r="H311" s="137" t="s">
        <v>14</v>
      </c>
      <c r="I311" s="135"/>
      <c r="J311" s="135"/>
      <c r="K311" s="136"/>
      <c r="L311" s="1356">
        <f ca="1">IFERROR(__xludf.DUMMYFUNCTION("IMPORTRANGE(""https://docs.google.com/spreadsheets/d/1-uDff_7J0KD5mKrp0Vvzr7lt3OU09vwQwhkpOPPYv2Y/edit?usp=sharing"",""งบพรบ!EB30"")"),0)</f>
        <v>0</v>
      </c>
      <c r="M311" s="224">
        <f ca="1">IFERROR(__xludf.DUMMYFUNCTION("IMPORTRANGE(""https://docs.google.com/spreadsheets/d/1-uDff_7J0KD5mKrp0Vvzr7lt3OU09vwQwhkpOPPYv2Y/edit?usp=sharing"",""งบพรบ!EE30"")"),0)</f>
        <v>0</v>
      </c>
      <c r="N311" s="224">
        <f ca="1">IFERROR(__xludf.DUMMYFUNCTION("IMPORTRANGE(""https://docs.google.com/spreadsheets/d/1-uDff_7J0KD5mKrp0Vvzr7lt3OU09vwQwhkpOPPYv2Y/edit?usp=sharing"",""งบพรบ!EG30"")"),0)</f>
        <v>0</v>
      </c>
      <c r="O311" s="224">
        <f ca="1">IF(L311&gt;0,N311*100/L311,0)</f>
        <v>0</v>
      </c>
      <c r="P311" s="224">
        <f ca="1">IF(M311&gt;0,N311*100/M311,0)</f>
        <v>0</v>
      </c>
      <c r="Q311" s="224">
        <v>0</v>
      </c>
      <c r="R311" s="224">
        <v>0</v>
      </c>
      <c r="S311" s="224">
        <v>0</v>
      </c>
      <c r="T311" s="224">
        <f>IF(Q311&gt;0,S311*100/Q311,0)</f>
        <v>0</v>
      </c>
      <c r="U311" s="224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1391" t="s">
        <v>38</v>
      </c>
      <c r="E312" s="141"/>
      <c r="F312" s="141"/>
      <c r="G312" s="142"/>
      <c r="H312" s="143"/>
      <c r="I312" s="44"/>
      <c r="J312" s="44"/>
      <c r="K312" s="45"/>
      <c r="L312" s="1359"/>
      <c r="M312" s="45"/>
      <c r="N312" s="45"/>
      <c r="O312" s="45"/>
      <c r="P312" s="45"/>
      <c r="Q312" s="45"/>
      <c r="R312" s="45"/>
      <c r="S312" s="45"/>
      <c r="T312" s="45"/>
      <c r="U312" s="45"/>
    </row>
    <row r="313" spans="1:21" ht="18.75" x14ac:dyDescent="0.25">
      <c r="A313" s="162"/>
      <c r="B313" s="163"/>
      <c r="C313" s="163"/>
      <c r="D313" s="1504"/>
      <c r="E313" s="18"/>
      <c r="F313" s="18"/>
      <c r="G313" s="19"/>
      <c r="H313" s="19"/>
      <c r="I313" s="20"/>
      <c r="J313" s="1505"/>
      <c r="K313" s="21"/>
      <c r="L313" s="1346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84">
        <f ca="1">IFERROR(__xludf.DUMMYFUNCTION("IMPORTRANGE(""https://docs.google.com/spreadsheets/d/1eHaY18a8A9IcSdp1K8H6x8fbOy06t2VsZHhMHf-1x7Y/edit?usp=sharing"",""แผน!EF30"")"),20)</f>
        <v>20</v>
      </c>
      <c r="J314" s="1395">
        <v>20</v>
      </c>
      <c r="K314" s="224">
        <f ca="1">IF(I314&gt;0,J314*100/I314,0)</f>
        <v>100</v>
      </c>
      <c r="L314" s="1359"/>
      <c r="M314" s="45"/>
      <c r="N314" s="45"/>
      <c r="O314" s="45"/>
      <c r="P314" s="45"/>
      <c r="Q314" s="45"/>
      <c r="R314" s="45"/>
      <c r="S314" s="45"/>
      <c r="T314" s="45"/>
      <c r="U314" s="45"/>
    </row>
    <row r="315" spans="1:21" ht="18.75" x14ac:dyDescent="0.25">
      <c r="A315" s="162"/>
      <c r="B315" s="163"/>
      <c r="C315" s="163"/>
      <c r="D315" s="1504"/>
      <c r="E315" s="18"/>
      <c r="F315" s="18"/>
      <c r="G315" s="19"/>
      <c r="H315" s="1506"/>
      <c r="I315" s="1505"/>
      <c r="J315" s="1505"/>
      <c r="K315" s="1507"/>
      <c r="L315" s="1346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1:21" ht="18.75" x14ac:dyDescent="0.25">
      <c r="A316" s="162"/>
      <c r="B316" s="163"/>
      <c r="C316" s="163"/>
      <c r="D316" s="1504"/>
      <c r="E316" s="18"/>
      <c r="F316" s="18"/>
      <c r="G316" s="19"/>
      <c r="H316" s="1506"/>
      <c r="I316" s="1505"/>
      <c r="J316" s="1505"/>
      <c r="K316" s="1507"/>
      <c r="L316" s="1346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1:21" ht="18.75" x14ac:dyDescent="0.25">
      <c r="A317" s="162"/>
      <c r="B317" s="163"/>
      <c r="C317" s="163"/>
      <c r="D317" s="1508"/>
      <c r="E317" s="18"/>
      <c r="F317" s="18"/>
      <c r="G317" s="19"/>
      <c r="H317" s="1509"/>
      <c r="I317" s="1510"/>
      <c r="J317" s="1510"/>
      <c r="K317" s="1511"/>
      <c r="L317" s="1346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1:21" ht="19.5" x14ac:dyDescent="0.3">
      <c r="A318" s="285" t="s">
        <v>131</v>
      </c>
      <c r="B318" s="286"/>
      <c r="C318" s="286"/>
      <c r="D318" s="287"/>
      <c r="E318" s="286"/>
      <c r="F318" s="286"/>
      <c r="G318" s="286"/>
      <c r="H318" s="287"/>
      <c r="I318" s="289"/>
      <c r="J318" s="289"/>
      <c r="K318" s="290"/>
      <c r="L318" s="1500"/>
      <c r="M318" s="290"/>
      <c r="N318" s="290"/>
      <c r="O318" s="290"/>
      <c r="P318" s="290"/>
      <c r="Q318" s="290"/>
      <c r="R318" s="290"/>
      <c r="S318" s="290"/>
      <c r="T318" s="290"/>
      <c r="U318" s="290"/>
    </row>
    <row r="319" spans="1:21" ht="19.5" x14ac:dyDescent="0.3">
      <c r="A319" s="299"/>
      <c r="B319" s="292" t="s">
        <v>132</v>
      </c>
      <c r="C319" s="300"/>
      <c r="D319" s="301"/>
      <c r="E319" s="293"/>
      <c r="F319" s="293"/>
      <c r="G319" s="294"/>
      <c r="H319" s="295" t="s">
        <v>133</v>
      </c>
      <c r="I319" s="1501">
        <f ca="1">I330</f>
        <v>1</v>
      </c>
      <c r="J319" s="1501">
        <f>J330</f>
        <v>1</v>
      </c>
      <c r="K319" s="1502">
        <f ca="1">IF(I319&gt;0,J319*100/I319,0)</f>
        <v>100</v>
      </c>
      <c r="L319" s="1503"/>
      <c r="M319" s="298"/>
      <c r="N319" s="298"/>
      <c r="O319" s="298"/>
      <c r="P319" s="298"/>
      <c r="Q319" s="298"/>
      <c r="R319" s="298"/>
      <c r="S319" s="298"/>
      <c r="T319" s="298"/>
      <c r="U319" s="298"/>
    </row>
    <row r="320" spans="1:21" ht="19.5" x14ac:dyDescent="0.3">
      <c r="A320" s="128"/>
      <c r="B320" s="40"/>
      <c r="C320" s="129" t="s">
        <v>18</v>
      </c>
      <c r="D320" s="1388" t="s">
        <v>19</v>
      </c>
      <c r="E320" s="40"/>
      <c r="F320" s="40"/>
      <c r="G320" s="42"/>
      <c r="H320" s="131" t="s">
        <v>14</v>
      </c>
      <c r="I320" s="44"/>
      <c r="J320" s="44"/>
      <c r="K320" s="45"/>
      <c r="L320" s="1389">
        <f ca="1">L321+L322</f>
        <v>125000</v>
      </c>
      <c r="M320" s="1390">
        <f ca="1">M321+M322</f>
        <v>20000</v>
      </c>
      <c r="N320" s="1390">
        <f ca="1">N321+N322</f>
        <v>20000</v>
      </c>
      <c r="O320" s="1390">
        <f ca="1">IF(L320&gt;0,N320*100/L320,0)</f>
        <v>16</v>
      </c>
      <c r="P320" s="1390">
        <f ca="1">IF(M320&gt;0,N320*100/M320,0)</f>
        <v>100</v>
      </c>
      <c r="Q320" s="1390">
        <f>Q321+Q322</f>
        <v>0</v>
      </c>
      <c r="R320" s="1390">
        <f>R321+R322</f>
        <v>0</v>
      </c>
      <c r="S320" s="1390">
        <f>S321+S322</f>
        <v>0</v>
      </c>
      <c r="T320" s="1390">
        <f>IF(Q320&gt;0,S320*100/Q320,0)</f>
        <v>0</v>
      </c>
      <c r="U320" s="1390">
        <f>IF(R320&gt;0,S320*100/R320,0)</f>
        <v>0</v>
      </c>
    </row>
    <row r="321" spans="1:21" ht="18.75" x14ac:dyDescent="0.25">
      <c r="A321" s="128"/>
      <c r="B321" s="40"/>
      <c r="C321" s="40"/>
      <c r="D321" s="40"/>
      <c r="E321" s="156" t="s">
        <v>20</v>
      </c>
      <c r="F321" s="40"/>
      <c r="G321" s="42"/>
      <c r="H321" s="157" t="s">
        <v>14</v>
      </c>
      <c r="I321" s="44"/>
      <c r="J321" s="44"/>
      <c r="K321" s="45"/>
      <c r="L321" s="1358">
        <f>L324+L327</f>
        <v>0</v>
      </c>
      <c r="M321" s="83">
        <f>M324+M327</f>
        <v>0</v>
      </c>
      <c r="N321" s="83">
        <f>N324+N327</f>
        <v>0</v>
      </c>
      <c r="O321" s="83">
        <f>IF(L321&gt;0,N321*100/L321,0)</f>
        <v>0</v>
      </c>
      <c r="P321" s="83">
        <f>IF(M321&gt;0,N321*100/M321,0)</f>
        <v>0</v>
      </c>
      <c r="Q321" s="83">
        <f>Q324+Q327</f>
        <v>0</v>
      </c>
      <c r="R321" s="83">
        <f>R324+R327</f>
        <v>0</v>
      </c>
      <c r="S321" s="83">
        <f>S324+S327</f>
        <v>0</v>
      </c>
      <c r="T321" s="83">
        <f>IF(Q321&gt;0,S321*100/Q321,0)</f>
        <v>0</v>
      </c>
      <c r="U321" s="83">
        <f>IF(R321&gt;0,S321*100/R321,0)</f>
        <v>0</v>
      </c>
    </row>
    <row r="322" spans="1:21" ht="18.75" x14ac:dyDescent="0.25">
      <c r="A322" s="128"/>
      <c r="B322" s="40"/>
      <c r="C322" s="40"/>
      <c r="D322" s="40"/>
      <c r="E322" s="47" t="s">
        <v>21</v>
      </c>
      <c r="F322" s="40"/>
      <c r="G322" s="42"/>
      <c r="H322" s="133" t="s">
        <v>14</v>
      </c>
      <c r="I322" s="44"/>
      <c r="J322" s="44"/>
      <c r="K322" s="45"/>
      <c r="L322" s="1356">
        <f ca="1">L325+L328</f>
        <v>125000</v>
      </c>
      <c r="M322" s="224">
        <f ca="1">M325+M328</f>
        <v>20000</v>
      </c>
      <c r="N322" s="224">
        <f ca="1">N325+N328</f>
        <v>20000</v>
      </c>
      <c r="O322" s="224">
        <f ca="1">IF(L322&gt;0,N322*100/L322,0)</f>
        <v>16</v>
      </c>
      <c r="P322" s="224">
        <f ca="1">IF(M322&gt;0,N322*100/M322,0)</f>
        <v>100</v>
      </c>
      <c r="Q322" s="224">
        <f>Q325+Q328</f>
        <v>0</v>
      </c>
      <c r="R322" s="224">
        <f>R325+R328</f>
        <v>0</v>
      </c>
      <c r="S322" s="224">
        <f>S325+S328</f>
        <v>0</v>
      </c>
      <c r="T322" s="224">
        <f>IF(Q322&gt;0,S322*100/Q322,0)</f>
        <v>0</v>
      </c>
      <c r="U322" s="224">
        <f>IF(R322&gt;0,S322*100/R322,0)</f>
        <v>0</v>
      </c>
    </row>
    <row r="323" spans="1:21" ht="18.75" x14ac:dyDescent="0.25">
      <c r="A323" s="128"/>
      <c r="B323" s="40"/>
      <c r="C323" s="40"/>
      <c r="D323" s="41" t="s">
        <v>22</v>
      </c>
      <c r="E323" s="40"/>
      <c r="F323" s="40"/>
      <c r="G323" s="42"/>
      <c r="H323" s="134" t="s">
        <v>14</v>
      </c>
      <c r="I323" s="135"/>
      <c r="J323" s="135"/>
      <c r="K323" s="136"/>
      <c r="L323" s="1356">
        <f ca="1">L324+L325</f>
        <v>125000</v>
      </c>
      <c r="M323" s="224">
        <f ca="1">M324+M325</f>
        <v>20000</v>
      </c>
      <c r="N323" s="224">
        <f ca="1">N324+N325</f>
        <v>20000</v>
      </c>
      <c r="O323" s="224">
        <f ca="1">IF(L323&gt;0,N323*100/L323,0)</f>
        <v>16</v>
      </c>
      <c r="P323" s="224">
        <f ca="1">IF(M323&gt;0,N323*100/M323,0)</f>
        <v>100</v>
      </c>
      <c r="Q323" s="224">
        <f>Q324+Q325</f>
        <v>0</v>
      </c>
      <c r="R323" s="224">
        <f>R324+R325</f>
        <v>0</v>
      </c>
      <c r="S323" s="224">
        <f>S324+S325</f>
        <v>0</v>
      </c>
      <c r="T323" s="224">
        <f>IF(Q323&gt;0,S323*100/Q323,0)</f>
        <v>0</v>
      </c>
      <c r="U323" s="224">
        <f>IF(R323&gt;0,S323*100/R323,0)</f>
        <v>0</v>
      </c>
    </row>
    <row r="324" spans="1:21" ht="18.75" x14ac:dyDescent="0.25">
      <c r="A324" s="128"/>
      <c r="B324" s="40"/>
      <c r="C324" s="40"/>
      <c r="D324" s="40"/>
      <c r="E324" s="156" t="s">
        <v>36</v>
      </c>
      <c r="F324" s="40"/>
      <c r="G324" s="42"/>
      <c r="H324" s="159" t="s">
        <v>14</v>
      </c>
      <c r="I324" s="135"/>
      <c r="J324" s="135"/>
      <c r="K324" s="136"/>
      <c r="L324" s="1358">
        <v>0</v>
      </c>
      <c r="M324" s="83">
        <v>0</v>
      </c>
      <c r="N324" s="83">
        <v>0</v>
      </c>
      <c r="O324" s="83">
        <f>IF(L324&gt;0,N324*100/L324,0)</f>
        <v>0</v>
      </c>
      <c r="P324" s="83">
        <f>IF(M324&gt;0,N324*100/M324,0)</f>
        <v>0</v>
      </c>
      <c r="Q324" s="83">
        <v>0</v>
      </c>
      <c r="R324" s="83">
        <v>0</v>
      </c>
      <c r="S324" s="83">
        <v>0</v>
      </c>
      <c r="T324" s="83">
        <f>IF(Q324&gt;0,S324*100/Q324,0)</f>
        <v>0</v>
      </c>
      <c r="U324" s="83">
        <f>IF(R324&gt;0,S324*100/R324,0)</f>
        <v>0</v>
      </c>
    </row>
    <row r="325" spans="1:21" ht="18.75" x14ac:dyDescent="0.25">
      <c r="A325" s="128"/>
      <c r="B325" s="40"/>
      <c r="C325" s="40"/>
      <c r="D325" s="40"/>
      <c r="E325" s="47" t="s">
        <v>37</v>
      </c>
      <c r="F325" s="40"/>
      <c r="G325" s="42"/>
      <c r="H325" s="134" t="s">
        <v>14</v>
      </c>
      <c r="I325" s="135"/>
      <c r="J325" s="135"/>
      <c r="K325" s="136"/>
      <c r="L325" s="1356">
        <f ca="1">IFERROR(__xludf.DUMMYFUNCTION("IMPORTRANGE(""https://docs.google.com/spreadsheets/d/1-uDff_7J0KD5mKrp0Vvzr7lt3OU09vwQwhkpOPPYv2Y/edit?usp=sharing"",""งบพรบ!EI30"")"),125000)</f>
        <v>125000</v>
      </c>
      <c r="M325" s="224">
        <f ca="1">IFERROR(__xludf.DUMMYFUNCTION("IMPORTRANGE(""https://docs.google.com/spreadsheets/d/1-uDff_7J0KD5mKrp0Vvzr7lt3OU09vwQwhkpOPPYv2Y/edit?usp=sharing"",""งบพรบ!EN30"")"),20000)</f>
        <v>20000</v>
      </c>
      <c r="N325" s="224">
        <f ca="1">IFERROR(__xludf.DUMMYFUNCTION("IMPORTRANGE(""https://docs.google.com/spreadsheets/d/1-uDff_7J0KD5mKrp0Vvzr7lt3OU09vwQwhkpOPPYv2Y/edit?usp=sharing"",""งบพรบ!EP30"")"),20000)</f>
        <v>20000</v>
      </c>
      <c r="O325" s="224">
        <f ca="1">IF(L325&gt;0,N325*100/L325,0)</f>
        <v>16</v>
      </c>
      <c r="P325" s="224">
        <f ca="1">IF(M325&gt;0,N325*100/M325,0)</f>
        <v>100</v>
      </c>
      <c r="Q325" s="224">
        <v>0</v>
      </c>
      <c r="R325" s="224">
        <v>0</v>
      </c>
      <c r="S325" s="224">
        <v>0</v>
      </c>
      <c r="T325" s="224">
        <f>IF(Q325&gt;0,S325*100/Q325,0)</f>
        <v>0</v>
      </c>
      <c r="U325" s="224">
        <f>IF(R325&gt;0,S325*100/R325,0)</f>
        <v>0</v>
      </c>
    </row>
    <row r="326" spans="1:21" ht="18.75" x14ac:dyDescent="0.25">
      <c r="A326" s="128"/>
      <c r="B326" s="40"/>
      <c r="C326" s="40"/>
      <c r="D326" s="41" t="s">
        <v>23</v>
      </c>
      <c r="E326" s="40"/>
      <c r="F326" s="40"/>
      <c r="G326" s="42"/>
      <c r="H326" s="137" t="s">
        <v>14</v>
      </c>
      <c r="I326" s="135"/>
      <c r="J326" s="135"/>
      <c r="K326" s="136"/>
      <c r="L326" s="1356">
        <f ca="1">L327+L328</f>
        <v>0</v>
      </c>
      <c r="M326" s="224">
        <f ca="1">M327+M328</f>
        <v>0</v>
      </c>
      <c r="N326" s="224">
        <f ca="1">N327+N328</f>
        <v>0</v>
      </c>
      <c r="O326" s="224">
        <f ca="1">IF(L326&gt;0,N326*100/L326,0)</f>
        <v>0</v>
      </c>
      <c r="P326" s="224">
        <f ca="1">IF(M326&gt;0,N326*100/M326,0)</f>
        <v>0</v>
      </c>
      <c r="Q326" s="224">
        <f>Q327+Q328</f>
        <v>0</v>
      </c>
      <c r="R326" s="224">
        <f>R327+R328</f>
        <v>0</v>
      </c>
      <c r="S326" s="224">
        <f>S327+S328</f>
        <v>0</v>
      </c>
      <c r="T326" s="224">
        <f>IF(Q326&gt;0,S326*100/Q326,0)</f>
        <v>0</v>
      </c>
      <c r="U326" s="224">
        <f>IF(R326&gt;0,S326*100/R326,0)</f>
        <v>0</v>
      </c>
    </row>
    <row r="327" spans="1:21" ht="18.75" x14ac:dyDescent="0.25">
      <c r="A327" s="128"/>
      <c r="B327" s="40"/>
      <c r="C327" s="40"/>
      <c r="D327" s="40"/>
      <c r="E327" s="156" t="s">
        <v>20</v>
      </c>
      <c r="F327" s="40"/>
      <c r="G327" s="42"/>
      <c r="H327" s="159" t="s">
        <v>14</v>
      </c>
      <c r="I327" s="135"/>
      <c r="J327" s="135"/>
      <c r="K327" s="136"/>
      <c r="L327" s="1358">
        <v>0</v>
      </c>
      <c r="M327" s="83">
        <v>0</v>
      </c>
      <c r="N327" s="83">
        <v>0</v>
      </c>
      <c r="O327" s="83">
        <f>IF(L327&gt;0,N327*100/L327,0)</f>
        <v>0</v>
      </c>
      <c r="P327" s="83">
        <f>IF(M327&gt;0,N327*100/M327,0)</f>
        <v>0</v>
      </c>
      <c r="Q327" s="83">
        <v>0</v>
      </c>
      <c r="R327" s="83">
        <v>0</v>
      </c>
      <c r="S327" s="83">
        <v>0</v>
      </c>
      <c r="T327" s="83">
        <f>IF(Q327&gt;0,S327*100/Q327,0)</f>
        <v>0</v>
      </c>
      <c r="U327" s="83">
        <f>IF(R327&gt;0,S327*100/R327,0)</f>
        <v>0</v>
      </c>
    </row>
    <row r="328" spans="1:21" ht="18.75" x14ac:dyDescent="0.25">
      <c r="A328" s="128"/>
      <c r="B328" s="40"/>
      <c r="C328" s="40"/>
      <c r="D328" s="40"/>
      <c r="E328" s="47" t="s">
        <v>21</v>
      </c>
      <c r="F328" s="40"/>
      <c r="G328" s="42"/>
      <c r="H328" s="137" t="s">
        <v>14</v>
      </c>
      <c r="I328" s="135"/>
      <c r="J328" s="135"/>
      <c r="K328" s="136"/>
      <c r="L328" s="1356">
        <f ca="1">IFERROR(__xludf.DUMMYFUNCTION("IMPORTRANGE(""https://docs.google.com/spreadsheets/d/1-uDff_7J0KD5mKrp0Vvzr7lt3OU09vwQwhkpOPPYv2Y/edit?usp=sharing"",""งบพรบ!EL30"")"),0)</f>
        <v>0</v>
      </c>
      <c r="M328" s="224">
        <f ca="1">IFERROR(__xludf.DUMMYFUNCTION("IMPORTRANGE(""https://docs.google.com/spreadsheets/d/1-uDff_7J0KD5mKrp0Vvzr7lt3OU09vwQwhkpOPPYv2Y/edit?usp=sharing"",""งบพรบ!EO30"")"),0)</f>
        <v>0</v>
      </c>
      <c r="N328" s="224">
        <f ca="1">IFERROR(__xludf.DUMMYFUNCTION("IMPORTRANGE(""https://docs.google.com/spreadsheets/d/1-uDff_7J0KD5mKrp0Vvzr7lt3OU09vwQwhkpOPPYv2Y/edit?usp=sharing"",""งบพรบ!EQ30"")"),0)</f>
        <v>0</v>
      </c>
      <c r="O328" s="224">
        <f ca="1">IF(L328&gt;0,N328*100/L328,0)</f>
        <v>0</v>
      </c>
      <c r="P328" s="224">
        <f ca="1">IF(M328&gt;0,N328*100/M328,0)</f>
        <v>0</v>
      </c>
      <c r="Q328" s="224">
        <v>0</v>
      </c>
      <c r="R328" s="224">
        <v>0</v>
      </c>
      <c r="S328" s="224">
        <v>0</v>
      </c>
      <c r="T328" s="224">
        <f>IF(Q328&gt;0,S328*100/Q328,0)</f>
        <v>0</v>
      </c>
      <c r="U328" s="224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1391" t="s">
        <v>38</v>
      </c>
      <c r="E329" s="141"/>
      <c r="F329" s="141"/>
      <c r="G329" s="142"/>
      <c r="H329" s="143"/>
      <c r="I329" s="135"/>
      <c r="J329" s="44"/>
      <c r="K329" s="45"/>
      <c r="L329" s="1359"/>
      <c r="M329" s="45"/>
      <c r="N329" s="45"/>
      <c r="O329" s="136"/>
      <c r="P329" s="136"/>
      <c r="Q329" s="45"/>
      <c r="R329" s="45"/>
      <c r="S329" s="45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3" t="s">
        <v>133</v>
      </c>
      <c r="I330" s="184">
        <f ca="1">IFERROR(__xludf.DUMMYFUNCTION("IMPORTRANGE(""https://docs.google.com/spreadsheets/d/1eHaY18a8A9IcSdp1K8H6x8fbOy06t2VsZHhMHf-1x7Y/edit?usp=sharing"",""แผน!EJ30"")"),1)</f>
        <v>1</v>
      </c>
      <c r="J330" s="1395">
        <v>1</v>
      </c>
      <c r="K330" s="224">
        <f ca="1">IF(I330&gt;0,J330*100/I330,0)</f>
        <v>100</v>
      </c>
      <c r="L330" s="1359"/>
      <c r="M330" s="45"/>
      <c r="N330" s="45"/>
      <c r="O330" s="136"/>
      <c r="P330" s="136"/>
      <c r="Q330" s="45"/>
      <c r="R330" s="45"/>
      <c r="S330" s="45"/>
      <c r="T330" s="136"/>
      <c r="U330" s="136"/>
    </row>
    <row r="331" spans="1:21" ht="19.5" x14ac:dyDescent="0.3">
      <c r="A331" s="285" t="s">
        <v>135</v>
      </c>
      <c r="B331" s="286"/>
      <c r="C331" s="286"/>
      <c r="D331" s="287"/>
      <c r="E331" s="286"/>
      <c r="F331" s="286"/>
      <c r="G331" s="286"/>
      <c r="H331" s="287"/>
      <c r="I331" s="289"/>
      <c r="J331" s="289"/>
      <c r="K331" s="290"/>
      <c r="L331" s="1500"/>
      <c r="M331" s="290"/>
      <c r="N331" s="290"/>
      <c r="O331" s="290"/>
      <c r="P331" s="290"/>
      <c r="Q331" s="290"/>
      <c r="R331" s="290"/>
      <c r="S331" s="290"/>
      <c r="T331" s="290"/>
      <c r="U331" s="290"/>
    </row>
    <row r="332" spans="1:21" ht="19.5" x14ac:dyDescent="0.3">
      <c r="A332" s="291"/>
      <c r="B332" s="292" t="s">
        <v>136</v>
      </c>
      <c r="C332" s="301"/>
      <c r="D332" s="293"/>
      <c r="E332" s="293"/>
      <c r="F332" s="293"/>
      <c r="G332" s="294"/>
      <c r="H332" s="295" t="s">
        <v>35</v>
      </c>
      <c r="I332" s="1512">
        <f ca="1">I344</f>
        <v>1660</v>
      </c>
      <c r="J332" s="1513">
        <f ca="1">J344+J347+J348+J349+J353</f>
        <v>2267</v>
      </c>
      <c r="K332" s="1514">
        <f ca="1">IF(I332&gt;0,J332*100/I332,0)</f>
        <v>136.56626506024097</v>
      </c>
      <c r="L332" s="1503"/>
      <c r="M332" s="298"/>
      <c r="N332" s="298"/>
      <c r="O332" s="298"/>
      <c r="P332" s="298"/>
      <c r="Q332" s="298"/>
      <c r="R332" s="298"/>
      <c r="S332" s="298"/>
      <c r="T332" s="298"/>
      <c r="U332" s="298"/>
    </row>
    <row r="333" spans="1:21" ht="19.5" x14ac:dyDescent="0.3">
      <c r="A333" s="128"/>
      <c r="B333" s="40"/>
      <c r="C333" s="129" t="s">
        <v>18</v>
      </c>
      <c r="D333" s="1388" t="s">
        <v>19</v>
      </c>
      <c r="E333" s="40"/>
      <c r="F333" s="40"/>
      <c r="G333" s="42"/>
      <c r="H333" s="131" t="s">
        <v>14</v>
      </c>
      <c r="I333" s="44"/>
      <c r="J333" s="44"/>
      <c r="K333" s="45"/>
      <c r="L333" s="1389">
        <f ca="1">L334+L335</f>
        <v>185000</v>
      </c>
      <c r="M333" s="1390">
        <f ca="1">M334+M335</f>
        <v>113000</v>
      </c>
      <c r="N333" s="1390">
        <f ca="1">N334+N335</f>
        <v>87717</v>
      </c>
      <c r="O333" s="1390">
        <f ca="1">IF(L333&gt;0,N333*100/L333,0)</f>
        <v>47.414594594594597</v>
      </c>
      <c r="P333" s="1390">
        <f ca="1">IF(M333&gt;0,N333*100/M333,0)</f>
        <v>77.625663716814159</v>
      </c>
      <c r="Q333" s="1390">
        <f>Q334+Q335</f>
        <v>0</v>
      </c>
      <c r="R333" s="1390">
        <f>R334+R335</f>
        <v>0</v>
      </c>
      <c r="S333" s="1390">
        <f>S334+S335</f>
        <v>0</v>
      </c>
      <c r="T333" s="1390">
        <f>IF(Q333&gt;0,S333*100/Q333,0)</f>
        <v>0</v>
      </c>
      <c r="U333" s="1390">
        <f>IF(R333&gt;0,S333*100/R333,0)</f>
        <v>0</v>
      </c>
    </row>
    <row r="334" spans="1:21" ht="18.75" x14ac:dyDescent="0.25">
      <c r="A334" s="128"/>
      <c r="B334" s="40"/>
      <c r="C334" s="40"/>
      <c r="D334" s="40"/>
      <c r="E334" s="156" t="s">
        <v>20</v>
      </c>
      <c r="F334" s="40"/>
      <c r="G334" s="42"/>
      <c r="H334" s="157" t="s">
        <v>14</v>
      </c>
      <c r="I334" s="44"/>
      <c r="J334" s="44"/>
      <c r="K334" s="45"/>
      <c r="L334" s="1358">
        <f>L337+L340</f>
        <v>0</v>
      </c>
      <c r="M334" s="83">
        <f>M337+M340</f>
        <v>0</v>
      </c>
      <c r="N334" s="83">
        <f>N337+N340</f>
        <v>0</v>
      </c>
      <c r="O334" s="83">
        <f>IF(L334&gt;0,N334*100/L334,0)</f>
        <v>0</v>
      </c>
      <c r="P334" s="83">
        <f>IF(M334&gt;0,N334*100/M334,0)</f>
        <v>0</v>
      </c>
      <c r="Q334" s="83">
        <f>Q337+Q340</f>
        <v>0</v>
      </c>
      <c r="R334" s="83">
        <f>R337+R340</f>
        <v>0</v>
      </c>
      <c r="S334" s="83">
        <f>S337+S340</f>
        <v>0</v>
      </c>
      <c r="T334" s="83">
        <f>IF(Q334&gt;0,S334*100/Q334,0)</f>
        <v>0</v>
      </c>
      <c r="U334" s="83">
        <f>IF(R334&gt;0,S334*100/R334,0)</f>
        <v>0</v>
      </c>
    </row>
    <row r="335" spans="1:21" ht="18.75" x14ac:dyDescent="0.25">
      <c r="A335" s="128"/>
      <c r="B335" s="40"/>
      <c r="C335" s="40"/>
      <c r="D335" s="40"/>
      <c r="E335" s="47" t="s">
        <v>21</v>
      </c>
      <c r="F335" s="40"/>
      <c r="G335" s="42"/>
      <c r="H335" s="133" t="s">
        <v>14</v>
      </c>
      <c r="I335" s="44"/>
      <c r="J335" s="44"/>
      <c r="K335" s="45"/>
      <c r="L335" s="1356">
        <f ca="1">L338+L341</f>
        <v>185000</v>
      </c>
      <c r="M335" s="224">
        <f ca="1">M338+M341</f>
        <v>113000</v>
      </c>
      <c r="N335" s="224">
        <f ca="1">N338+N341</f>
        <v>87717</v>
      </c>
      <c r="O335" s="224">
        <f ca="1">IF(L335&gt;0,N335*100/L335,0)</f>
        <v>47.414594594594597</v>
      </c>
      <c r="P335" s="224">
        <f ca="1">IF(M335&gt;0,N335*100/M335,0)</f>
        <v>77.625663716814159</v>
      </c>
      <c r="Q335" s="224">
        <f>Q338+Q341</f>
        <v>0</v>
      </c>
      <c r="R335" s="224">
        <f>R338+R341</f>
        <v>0</v>
      </c>
      <c r="S335" s="224">
        <f>S338+S341</f>
        <v>0</v>
      </c>
      <c r="T335" s="224">
        <f>IF(Q335&gt;0,S335*100/Q335,0)</f>
        <v>0</v>
      </c>
      <c r="U335" s="224">
        <f>IF(R335&gt;0,S335*100/R335,0)</f>
        <v>0</v>
      </c>
    </row>
    <row r="336" spans="1:21" ht="18.75" x14ac:dyDescent="0.25">
      <c r="A336" s="128"/>
      <c r="B336" s="40"/>
      <c r="C336" s="40"/>
      <c r="D336" s="41" t="s">
        <v>22</v>
      </c>
      <c r="E336" s="40"/>
      <c r="F336" s="40"/>
      <c r="G336" s="42"/>
      <c r="H336" s="134" t="s">
        <v>14</v>
      </c>
      <c r="I336" s="135"/>
      <c r="J336" s="135"/>
      <c r="K336" s="136"/>
      <c r="L336" s="1356">
        <f ca="1">L337+L338</f>
        <v>185000</v>
      </c>
      <c r="M336" s="224">
        <f ca="1">M337+M338</f>
        <v>113000</v>
      </c>
      <c r="N336" s="224">
        <f ca="1">N337+N338</f>
        <v>87717</v>
      </c>
      <c r="O336" s="224">
        <f ca="1">IF(L336&gt;0,N336*100/L336,0)</f>
        <v>47.414594594594597</v>
      </c>
      <c r="P336" s="224">
        <f ca="1">IF(M336&gt;0,N336*100/M336,0)</f>
        <v>77.625663716814159</v>
      </c>
      <c r="Q336" s="224">
        <f>Q337+Q338</f>
        <v>0</v>
      </c>
      <c r="R336" s="224">
        <f>R337+R338</f>
        <v>0</v>
      </c>
      <c r="S336" s="224">
        <f>S337+S338</f>
        <v>0</v>
      </c>
      <c r="T336" s="224">
        <f>IF(Q336&gt;0,S336*100/Q336,0)</f>
        <v>0</v>
      </c>
      <c r="U336" s="224">
        <f>IF(R336&gt;0,S336*100/R336,0)</f>
        <v>0</v>
      </c>
    </row>
    <row r="337" spans="1:21" ht="18.75" x14ac:dyDescent="0.25">
      <c r="A337" s="128"/>
      <c r="B337" s="40"/>
      <c r="C337" s="40"/>
      <c r="D337" s="40"/>
      <c r="E337" s="156" t="s">
        <v>36</v>
      </c>
      <c r="F337" s="40"/>
      <c r="G337" s="42"/>
      <c r="H337" s="159" t="s">
        <v>14</v>
      </c>
      <c r="I337" s="135"/>
      <c r="J337" s="135"/>
      <c r="K337" s="136"/>
      <c r="L337" s="1358">
        <v>0</v>
      </c>
      <c r="M337" s="83">
        <v>0</v>
      </c>
      <c r="N337" s="83">
        <v>0</v>
      </c>
      <c r="O337" s="83">
        <f>IF(L337&gt;0,N337*100/L337,0)</f>
        <v>0</v>
      </c>
      <c r="P337" s="83">
        <f>IF(M337&gt;0,N337*100/M337,0)</f>
        <v>0</v>
      </c>
      <c r="Q337" s="83">
        <v>0</v>
      </c>
      <c r="R337" s="83">
        <v>0</v>
      </c>
      <c r="S337" s="83">
        <v>0</v>
      </c>
      <c r="T337" s="83">
        <f>IF(Q337&gt;0,S337*100/Q337,0)</f>
        <v>0</v>
      </c>
      <c r="U337" s="83">
        <f>IF(R337&gt;0,S337*100/R337,0)</f>
        <v>0</v>
      </c>
    </row>
    <row r="338" spans="1:21" ht="18.75" x14ac:dyDescent="0.25">
      <c r="A338" s="128"/>
      <c r="B338" s="40"/>
      <c r="C338" s="40"/>
      <c r="D338" s="40"/>
      <c r="E338" s="47" t="s">
        <v>37</v>
      </c>
      <c r="F338" s="40"/>
      <c r="G338" s="42"/>
      <c r="H338" s="134" t="s">
        <v>14</v>
      </c>
      <c r="I338" s="135"/>
      <c r="J338" s="135"/>
      <c r="K338" s="136"/>
      <c r="L338" s="1356">
        <f ca="1">IFERROR(__xludf.DUMMYFUNCTION("IMPORTRANGE(""https://docs.google.com/spreadsheets/d/1-uDff_7J0KD5mKrp0Vvzr7lt3OU09vwQwhkpOPPYv2Y/edit?usp=sharing"",""งบพรบ!ES30"")"),185000)</f>
        <v>185000</v>
      </c>
      <c r="M338" s="224">
        <f ca="1">IFERROR(__xludf.DUMMYFUNCTION("IMPORTRANGE(""https://docs.google.com/spreadsheets/d/1-uDff_7J0KD5mKrp0Vvzr7lt3OU09vwQwhkpOPPYv2Y/edit?usp=sharing"",""งบพรบ!EX30"")"),113000)</f>
        <v>113000</v>
      </c>
      <c r="N338" s="224">
        <f ca="1">IFERROR(__xludf.DUMMYFUNCTION("IMPORTRANGE(""https://docs.google.com/spreadsheets/d/1-uDff_7J0KD5mKrp0Vvzr7lt3OU09vwQwhkpOPPYv2Y/edit?usp=sharing"",""งบพรบ!EZ30"")"),87717)</f>
        <v>87717</v>
      </c>
      <c r="O338" s="224">
        <f ca="1">IF(L338&gt;0,N338*100/L338,0)</f>
        <v>47.414594594594597</v>
      </c>
      <c r="P338" s="224">
        <f ca="1">IF(M338&gt;0,N338*100/M338,0)</f>
        <v>77.625663716814159</v>
      </c>
      <c r="Q338" s="224">
        <v>0</v>
      </c>
      <c r="R338" s="224">
        <v>0</v>
      </c>
      <c r="S338" s="224">
        <v>0</v>
      </c>
      <c r="T338" s="224">
        <f>IF(Q338&gt;0,S338*100/Q338,0)</f>
        <v>0</v>
      </c>
      <c r="U338" s="224">
        <f>IF(R338&gt;0,S338*100/R338,0)</f>
        <v>0</v>
      </c>
    </row>
    <row r="339" spans="1:21" ht="18.75" x14ac:dyDescent="0.25">
      <c r="A339" s="128"/>
      <c r="B339" s="40"/>
      <c r="C339" s="40"/>
      <c r="D339" s="41" t="s">
        <v>23</v>
      </c>
      <c r="E339" s="40"/>
      <c r="F339" s="40"/>
      <c r="G339" s="42"/>
      <c r="H339" s="137" t="s">
        <v>14</v>
      </c>
      <c r="I339" s="135"/>
      <c r="J339" s="135"/>
      <c r="K339" s="136"/>
      <c r="L339" s="1356">
        <f ca="1">L340+L341</f>
        <v>0</v>
      </c>
      <c r="M339" s="224">
        <f ca="1">M340+M341</f>
        <v>0</v>
      </c>
      <c r="N339" s="224">
        <f ca="1">N340+N341</f>
        <v>0</v>
      </c>
      <c r="O339" s="224">
        <f ca="1">IF(L339&gt;0,N339*100/L339,0)</f>
        <v>0</v>
      </c>
      <c r="P339" s="224">
        <f ca="1">IF(M339&gt;0,N339*100/M339,0)</f>
        <v>0</v>
      </c>
      <c r="Q339" s="224">
        <f>Q340+Q341</f>
        <v>0</v>
      </c>
      <c r="R339" s="224">
        <f>R340+R341</f>
        <v>0</v>
      </c>
      <c r="S339" s="224">
        <f>S340+S341</f>
        <v>0</v>
      </c>
      <c r="T339" s="224">
        <f>IF(Q339&gt;0,S339*100/Q339,0)</f>
        <v>0</v>
      </c>
      <c r="U339" s="224">
        <f>IF(R339&gt;0,S339*100/R339,0)</f>
        <v>0</v>
      </c>
    </row>
    <row r="340" spans="1:21" ht="18.75" x14ac:dyDescent="0.25">
      <c r="A340" s="128"/>
      <c r="B340" s="40"/>
      <c r="C340" s="40"/>
      <c r="D340" s="40"/>
      <c r="E340" s="156" t="s">
        <v>20</v>
      </c>
      <c r="F340" s="40"/>
      <c r="G340" s="42"/>
      <c r="H340" s="159" t="s">
        <v>14</v>
      </c>
      <c r="I340" s="135"/>
      <c r="J340" s="135"/>
      <c r="K340" s="136"/>
      <c r="L340" s="1358">
        <v>0</v>
      </c>
      <c r="M340" s="83">
        <v>0</v>
      </c>
      <c r="N340" s="83">
        <v>0</v>
      </c>
      <c r="O340" s="83">
        <f>IF(L340&gt;0,N340*100/L340,0)</f>
        <v>0</v>
      </c>
      <c r="P340" s="83">
        <f>IF(M340&gt;0,N340*100/M340,0)</f>
        <v>0</v>
      </c>
      <c r="Q340" s="83">
        <v>0</v>
      </c>
      <c r="R340" s="83">
        <v>0</v>
      </c>
      <c r="S340" s="83">
        <v>0</v>
      </c>
      <c r="T340" s="83">
        <f>IF(Q340&gt;0,S340*100/Q340,0)</f>
        <v>0</v>
      </c>
      <c r="U340" s="83">
        <f>IF(R340&gt;0,S340*100/R340,0)</f>
        <v>0</v>
      </c>
    </row>
    <row r="341" spans="1:21" ht="18.75" x14ac:dyDescent="0.25">
      <c r="A341" s="128"/>
      <c r="B341" s="40"/>
      <c r="C341" s="40"/>
      <c r="D341" s="40"/>
      <c r="E341" s="47" t="s">
        <v>21</v>
      </c>
      <c r="F341" s="40"/>
      <c r="G341" s="42"/>
      <c r="H341" s="137" t="s">
        <v>14</v>
      </c>
      <c r="I341" s="135"/>
      <c r="J341" s="135"/>
      <c r="K341" s="136"/>
      <c r="L341" s="1356">
        <f ca="1">IFERROR(__xludf.DUMMYFUNCTION("IMPORTRANGE(""https://docs.google.com/spreadsheets/d/1-uDff_7J0KD5mKrp0Vvzr7lt3OU09vwQwhkpOPPYv2Y/edit?usp=sharing"",""งบพรบ!EV30"")"),0)</f>
        <v>0</v>
      </c>
      <c r="M341" s="224">
        <f ca="1">IFERROR(__xludf.DUMMYFUNCTION("IMPORTRANGE(""https://docs.google.com/spreadsheets/d/1-uDff_7J0KD5mKrp0Vvzr7lt3OU09vwQwhkpOPPYv2Y/edit?usp=sharing"",""งบพรบ!EY30"")"),0)</f>
        <v>0</v>
      </c>
      <c r="N341" s="224">
        <f ca="1">IFERROR(__xludf.DUMMYFUNCTION("IMPORTRANGE(""https://docs.google.com/spreadsheets/d/1-uDff_7J0KD5mKrp0Vvzr7lt3OU09vwQwhkpOPPYv2Y/edit?usp=sharing"",""งบพรบ!FA30"")"),0)</f>
        <v>0</v>
      </c>
      <c r="O341" s="224">
        <f ca="1">IF(L341&gt;0,N341*100/L341,0)</f>
        <v>0</v>
      </c>
      <c r="P341" s="224">
        <f ca="1">IF(M341&gt;0,N341*100/M341,0)</f>
        <v>0</v>
      </c>
      <c r="Q341" s="224">
        <v>0</v>
      </c>
      <c r="R341" s="224">
        <v>0</v>
      </c>
      <c r="S341" s="224">
        <v>0</v>
      </c>
      <c r="T341" s="224">
        <f>IF(Q341&gt;0,S341*100/Q341,0)</f>
        <v>0</v>
      </c>
      <c r="U341" s="224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02" t="s">
        <v>38</v>
      </c>
      <c r="E342" s="141"/>
      <c r="F342" s="141"/>
      <c r="G342" s="142"/>
      <c r="H342" s="42"/>
      <c r="I342" s="44"/>
      <c r="J342" s="44"/>
      <c r="K342" s="45"/>
      <c r="L342" s="1359"/>
      <c r="M342" s="45"/>
      <c r="N342" s="45"/>
      <c r="O342" s="136"/>
      <c r="P342" s="136"/>
      <c r="Q342" s="45"/>
      <c r="R342" s="45"/>
      <c r="S342" s="45"/>
      <c r="T342" s="136"/>
      <c r="U342" s="136"/>
    </row>
    <row r="343" spans="1:21" ht="19.5" x14ac:dyDescent="0.3">
      <c r="A343" s="1515"/>
      <c r="B343" s="1516"/>
      <c r="C343" s="1517"/>
      <c r="D343" s="1516"/>
      <c r="E343" s="1518" t="s">
        <v>137</v>
      </c>
      <c r="F343" s="1516"/>
      <c r="G343" s="1519"/>
      <c r="H343" s="1520" t="s">
        <v>35</v>
      </c>
      <c r="I343" s="1521">
        <v>0</v>
      </c>
      <c r="J343" s="1521">
        <f ca="1">J344+J347+J348+J349</f>
        <v>1347</v>
      </c>
      <c r="K343" s="1522">
        <v>0</v>
      </c>
      <c r="L343" s="1416"/>
      <c r="M343" s="219"/>
      <c r="N343" s="219"/>
      <c r="O343" s="219"/>
      <c r="P343" s="219"/>
      <c r="Q343" s="219"/>
      <c r="R343" s="219"/>
      <c r="S343" s="219"/>
      <c r="T343" s="219"/>
      <c r="U343" s="219"/>
    </row>
    <row r="344" spans="1:21" ht="18.75" x14ac:dyDescent="0.25">
      <c r="A344" s="208"/>
      <c r="B344" s="40"/>
      <c r="C344" s="158"/>
      <c r="D344" s="145"/>
      <c r="E344" s="149" t="s">
        <v>138</v>
      </c>
      <c r="F344" s="40"/>
      <c r="G344" s="42"/>
      <c r="H344" s="210" t="s">
        <v>35</v>
      </c>
      <c r="I344" s="184">
        <f ca="1">IFERROR(__xludf.DUMMYFUNCTION("IMPORTRANGE(""https://docs.google.com/spreadsheets/d/1eHaY18a8A9IcSdp1K8H6x8fbOy06t2VsZHhMHf-1x7Y/edit?usp=sharing"",""แผน!EK30"")"),1660)</f>
        <v>1660</v>
      </c>
      <c r="J344" s="184">
        <f ca="1">IFERROR(__xludf.DUMMYFUNCTION("IMPORTRANGE(""https://docs.google.com/spreadsheets/d/1awYsYK3VOup2i3Pq_Yjnu8DRu_mYwSBnCR2QPthd0rU/edit?usp=sharing"",""ศูนย์ยกเว้นโฉนด!D30"")"),1302)</f>
        <v>1302</v>
      </c>
      <c r="K344" s="224">
        <f ca="1">IF(I344&gt;0,J344*100/I344,0)</f>
        <v>78.433734939759034</v>
      </c>
      <c r="L344" s="1359"/>
      <c r="M344" s="45"/>
      <c r="N344" s="45"/>
      <c r="O344" s="45"/>
      <c r="P344" s="45"/>
      <c r="Q344" s="45"/>
      <c r="R344" s="45"/>
      <c r="S344" s="45"/>
      <c r="T344" s="45"/>
      <c r="U344" s="45"/>
    </row>
    <row r="345" spans="1:21" ht="18.75" x14ac:dyDescent="0.25">
      <c r="A345" s="208"/>
      <c r="B345" s="40"/>
      <c r="C345" s="158"/>
      <c r="D345" s="145"/>
      <c r="E345" s="149" t="s">
        <v>139</v>
      </c>
      <c r="F345" s="40"/>
      <c r="G345" s="42"/>
      <c r="H345" s="180"/>
      <c r="I345" s="44"/>
      <c r="J345" s="44"/>
      <c r="K345" s="45"/>
      <c r="L345" s="1359"/>
      <c r="M345" s="45"/>
      <c r="N345" s="45"/>
      <c r="O345" s="45"/>
      <c r="P345" s="45"/>
      <c r="Q345" s="45"/>
      <c r="R345" s="45"/>
      <c r="S345" s="45"/>
      <c r="T345" s="45"/>
      <c r="U345" s="45"/>
    </row>
    <row r="346" spans="1:21" ht="18.75" x14ac:dyDescent="0.25">
      <c r="A346" s="208"/>
      <c r="B346" s="40"/>
      <c r="C346" s="158"/>
      <c r="D346" s="145"/>
      <c r="E346" s="145"/>
      <c r="F346" s="149" t="s">
        <v>140</v>
      </c>
      <c r="G346" s="42"/>
      <c r="H346" s="175" t="s">
        <v>141</v>
      </c>
      <c r="I346" s="184">
        <f ca="1">IFERROR(__xludf.DUMMYFUNCTION("IMPORTRANGE(""https://docs.google.com/spreadsheets/d/1eHaY18a8A9IcSdp1K8H6x8fbOy06t2VsZHhMHf-1x7Y/edit?usp=sharing"",""แผน!EL30"")"),4)</f>
        <v>4</v>
      </c>
      <c r="J346" s="184">
        <f ca="1">IFERROR(__xludf.DUMMYFUNCTION("IMPORTRANGE(""https://docs.google.com/spreadsheets/d/1awYsYK3VOup2i3Pq_Yjnu8DRu_mYwSBnCR2QPthd0rU/edit?usp=sharing"",""ศูนย์รวม!E30"")"),4)</f>
        <v>4</v>
      </c>
      <c r="K346" s="224">
        <f ca="1">IF(I346&gt;0,J346*100/I346,0)</f>
        <v>100</v>
      </c>
      <c r="L346" s="1359"/>
      <c r="M346" s="45"/>
      <c r="N346" s="45"/>
      <c r="O346" s="45"/>
      <c r="P346" s="45"/>
      <c r="Q346" s="45"/>
      <c r="R346" s="45"/>
      <c r="S346" s="45"/>
      <c r="T346" s="45"/>
      <c r="U346" s="45"/>
    </row>
    <row r="347" spans="1:21" ht="18.75" x14ac:dyDescent="0.25">
      <c r="A347" s="208"/>
      <c r="B347" s="40"/>
      <c r="C347" s="158"/>
      <c r="D347" s="145"/>
      <c r="E347" s="145"/>
      <c r="F347" s="149" t="s">
        <v>142</v>
      </c>
      <c r="G347" s="42"/>
      <c r="H347" s="175" t="s">
        <v>35</v>
      </c>
      <c r="I347" s="44"/>
      <c r="J347" s="184">
        <f ca="1">IFERROR(__xludf.DUMMYFUNCTION("IMPORTRANGE(""https://docs.google.com/spreadsheets/d/1awYsYK3VOup2i3Pq_Yjnu8DRu_mYwSBnCR2QPthd0rU/edit?usp=sharing"",""ศูนย์ยกเว้นโฉนด!F30"")"),45)</f>
        <v>45</v>
      </c>
      <c r="K347" s="45"/>
      <c r="L347" s="1359"/>
      <c r="M347" s="45"/>
      <c r="N347" s="45"/>
      <c r="O347" s="45"/>
      <c r="P347" s="45"/>
      <c r="Q347" s="45"/>
      <c r="R347" s="45"/>
      <c r="S347" s="45"/>
      <c r="T347" s="45"/>
      <c r="U347" s="45"/>
    </row>
    <row r="348" spans="1:21" ht="18.75" x14ac:dyDescent="0.25">
      <c r="A348" s="208"/>
      <c r="B348" s="40"/>
      <c r="C348" s="158"/>
      <c r="D348" s="145"/>
      <c r="E348" s="149" t="s">
        <v>143</v>
      </c>
      <c r="F348" s="145"/>
      <c r="G348" s="42"/>
      <c r="H348" s="175" t="s">
        <v>35</v>
      </c>
      <c r="I348" s="44"/>
      <c r="J348" s="184">
        <f ca="1">IFERROR(__xludf.DUMMYFUNCTION("IMPORTRANGE(""https://docs.google.com/spreadsheets/d/1awYsYK3VOup2i3Pq_Yjnu8DRu_mYwSBnCR2QPthd0rU/edit?usp=sharing"",""ศูนย์ยกเว้นโฉนด!G30"")"),0)</f>
        <v>0</v>
      </c>
      <c r="K348" s="45"/>
      <c r="L348" s="1359"/>
      <c r="M348" s="45"/>
      <c r="N348" s="45"/>
      <c r="O348" s="45"/>
      <c r="P348" s="45"/>
      <c r="Q348" s="45"/>
      <c r="R348" s="45"/>
      <c r="S348" s="45"/>
      <c r="T348" s="45"/>
      <c r="U348" s="45"/>
    </row>
    <row r="349" spans="1:21" ht="18.75" x14ac:dyDescent="0.25">
      <c r="A349" s="208"/>
      <c r="B349" s="40"/>
      <c r="C349" s="158"/>
      <c r="D349" s="139"/>
      <c r="E349" s="149" t="s">
        <v>144</v>
      </c>
      <c r="F349" s="145"/>
      <c r="G349" s="42"/>
      <c r="H349" s="175" t="s">
        <v>35</v>
      </c>
      <c r="I349" s="44"/>
      <c r="J349" s="184">
        <f ca="1">IFERROR(__xludf.DUMMYFUNCTION("IMPORTRANGE(""https://docs.google.com/spreadsheets/d/1awYsYK3VOup2i3Pq_Yjnu8DRu_mYwSBnCR2QPthd0rU/edit?usp=sharing"",""ศูนย์ยกเว้นโฉนด!H30"")"),0)</f>
        <v>0</v>
      </c>
      <c r="K349" s="45"/>
      <c r="L349" s="1359"/>
      <c r="M349" s="45"/>
      <c r="N349" s="45"/>
      <c r="O349" s="45"/>
      <c r="P349" s="45"/>
      <c r="Q349" s="45"/>
      <c r="R349" s="45"/>
      <c r="S349" s="45"/>
      <c r="T349" s="45"/>
      <c r="U349" s="45"/>
    </row>
    <row r="350" spans="1:21" ht="16.5" x14ac:dyDescent="0.25">
      <c r="A350" s="158"/>
      <c r="B350" s="40"/>
      <c r="C350" s="158"/>
      <c r="D350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0"/>
      <c r="F350" s="40"/>
      <c r="G350" s="42"/>
      <c r="H350" s="180"/>
      <c r="I350" s="44"/>
      <c r="J350" s="44"/>
      <c r="K350" s="45"/>
      <c r="L350" s="1359"/>
      <c r="M350" s="45"/>
      <c r="N350" s="45"/>
      <c r="O350" s="45"/>
      <c r="P350" s="45"/>
      <c r="Q350" s="45"/>
      <c r="R350" s="45"/>
      <c r="S350" s="45"/>
      <c r="T350" s="45"/>
      <c r="U350" s="45"/>
    </row>
    <row r="351" spans="1:21" ht="19.5" x14ac:dyDescent="0.3">
      <c r="A351" s="211"/>
      <c r="B351" s="214"/>
      <c r="C351" s="212"/>
      <c r="D351" s="214"/>
      <c r="E351" s="1523" t="s">
        <v>145</v>
      </c>
      <c r="F351" s="214"/>
      <c r="G351" s="215"/>
      <c r="H351" s="216" t="s">
        <v>35</v>
      </c>
      <c r="I351" s="303">
        <v>0</v>
      </c>
      <c r="J351" s="303">
        <f ca="1">J352+J353</f>
        <v>2146</v>
      </c>
      <c r="K351" s="304">
        <v>0</v>
      </c>
      <c r="L351" s="1416"/>
      <c r="M351" s="219"/>
      <c r="N351" s="219"/>
      <c r="O351" s="219"/>
      <c r="P351" s="219"/>
      <c r="Q351" s="219"/>
      <c r="R351" s="219"/>
      <c r="S351" s="219"/>
      <c r="T351" s="219"/>
      <c r="U351" s="219"/>
    </row>
    <row r="352" spans="1:21" ht="18.75" x14ac:dyDescent="0.25">
      <c r="A352" s="158"/>
      <c r="B352" s="40"/>
      <c r="C352" s="158"/>
      <c r="D352" s="145"/>
      <c r="E352" s="149" t="s">
        <v>146</v>
      </c>
      <c r="F352" s="40"/>
      <c r="G352" s="42"/>
      <c r="H352" s="133" t="s">
        <v>35</v>
      </c>
      <c r="I352" s="44"/>
      <c r="J352" s="184">
        <f ca="1">IFERROR(__xludf.DUMMYFUNCTION("IMPORTRANGE(""https://docs.google.com/spreadsheets/d/1awYsYK3VOup2i3Pq_Yjnu8DRu_mYwSBnCR2QPthd0rU/edit?usp=sharing"",""โฉนดM3!G30"")"),1226)</f>
        <v>1226</v>
      </c>
      <c r="K352" s="45"/>
      <c r="L352" s="1359"/>
      <c r="M352" s="45"/>
      <c r="N352" s="45"/>
      <c r="O352" s="45"/>
      <c r="P352" s="45"/>
      <c r="Q352" s="45"/>
      <c r="R352" s="45"/>
      <c r="S352" s="45"/>
      <c r="T352" s="45"/>
      <c r="U352" s="45"/>
    </row>
    <row r="353" spans="1:21" ht="18.75" x14ac:dyDescent="0.25">
      <c r="A353" s="158"/>
      <c r="B353" s="40"/>
      <c r="C353" s="158"/>
      <c r="D353" s="145"/>
      <c r="E353" s="149" t="s">
        <v>147</v>
      </c>
      <c r="F353" s="40"/>
      <c r="G353" s="42"/>
      <c r="H353" s="133" t="s">
        <v>35</v>
      </c>
      <c r="I353" s="44"/>
      <c r="J353" s="184">
        <f ca="1">IFERROR(__xludf.DUMMYFUNCTION("IMPORTRANGE(""https://docs.google.com/spreadsheets/d/1awYsYK3VOup2i3Pq_Yjnu8DRu_mYwSBnCR2QPthd0rU/edit?usp=sharing"",""โฉนดM3!H30"")"),920)</f>
        <v>920</v>
      </c>
      <c r="K353" s="45"/>
      <c r="L353" s="1359"/>
      <c r="M353" s="45"/>
      <c r="N353" s="45"/>
      <c r="O353" s="45"/>
      <c r="P353" s="45"/>
      <c r="Q353" s="45"/>
      <c r="R353" s="45"/>
      <c r="S353" s="45"/>
      <c r="T353" s="45"/>
      <c r="U353" s="45"/>
    </row>
    <row r="354" spans="1:21" ht="16.5" x14ac:dyDescent="0.25">
      <c r="A354" s="158"/>
      <c r="B354" s="40"/>
      <c r="C354" s="158"/>
      <c r="D354" s="30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0"/>
      <c r="F354" s="40"/>
      <c r="G354" s="42"/>
      <c r="H354" s="180"/>
      <c r="I354" s="44"/>
      <c r="J354" s="44"/>
      <c r="K354" s="45"/>
      <c r="L354" s="1359"/>
      <c r="M354" s="45"/>
      <c r="N354" s="45"/>
      <c r="O354" s="45"/>
      <c r="P354" s="45"/>
      <c r="Q354" s="45"/>
      <c r="R354" s="45"/>
      <c r="S354" s="45"/>
      <c r="T354" s="45"/>
      <c r="U354" s="45"/>
    </row>
    <row r="355" spans="1:21" ht="19.5" x14ac:dyDescent="0.3">
      <c r="A355" s="291"/>
      <c r="B355" s="292" t="s">
        <v>148</v>
      </c>
      <c r="C355" s="301"/>
      <c r="D355" s="293"/>
      <c r="E355" s="293"/>
      <c r="F355" s="293"/>
      <c r="G355" s="294"/>
      <c r="H355" s="294"/>
      <c r="I355" s="307"/>
      <c r="J355" s="307"/>
      <c r="K355" s="298"/>
      <c r="L355" s="1503"/>
      <c r="M355" s="298"/>
      <c r="N355" s="298"/>
      <c r="O355" s="298"/>
      <c r="P355" s="298"/>
      <c r="Q355" s="298"/>
      <c r="R355" s="298"/>
      <c r="S355" s="298"/>
      <c r="T355" s="298"/>
      <c r="U355" s="298"/>
    </row>
    <row r="356" spans="1:21" ht="19.5" x14ac:dyDescent="0.3">
      <c r="A356" s="128"/>
      <c r="B356" s="40"/>
      <c r="C356" s="129" t="s">
        <v>18</v>
      </c>
      <c r="D356" s="1388" t="s">
        <v>19</v>
      </c>
      <c r="E356" s="40"/>
      <c r="F356" s="40"/>
      <c r="G356" s="42"/>
      <c r="H356" s="131" t="s">
        <v>14</v>
      </c>
      <c r="I356" s="44"/>
      <c r="J356" s="44"/>
      <c r="K356" s="45"/>
      <c r="L356" s="1389">
        <f ca="1">L357+L358</f>
        <v>680500</v>
      </c>
      <c r="M356" s="1390">
        <f ca="1">M357+M358</f>
        <v>573900</v>
      </c>
      <c r="N356" s="1390">
        <f ca="1">N357+N358</f>
        <v>467586</v>
      </c>
      <c r="O356" s="1390">
        <f ca="1">IF(L356&gt;0,N356*100/L356,0)</f>
        <v>68.71212343864805</v>
      </c>
      <c r="P356" s="1390">
        <f ca="1">IF(M356&gt;0,N356*100/M356,0)</f>
        <v>81.475169890224777</v>
      </c>
      <c r="Q356" s="1390">
        <f>Q357+Q358</f>
        <v>0</v>
      </c>
      <c r="R356" s="1390">
        <f>R357+R358</f>
        <v>0</v>
      </c>
      <c r="S356" s="1390">
        <f>S357+S358</f>
        <v>0</v>
      </c>
      <c r="T356" s="1390">
        <f>IF(Q356&gt;0,S356*100/Q356,0)</f>
        <v>0</v>
      </c>
      <c r="U356" s="1390">
        <f>IF(R356&gt;0,S356*100/R356,0)</f>
        <v>0</v>
      </c>
    </row>
    <row r="357" spans="1:21" ht="18.75" x14ac:dyDescent="0.25">
      <c r="A357" s="128"/>
      <c r="B357" s="40"/>
      <c r="C357" s="40"/>
      <c r="D357" s="40"/>
      <c r="E357" s="156" t="s">
        <v>20</v>
      </c>
      <c r="F357" s="40"/>
      <c r="G357" s="42"/>
      <c r="H357" s="157" t="s">
        <v>14</v>
      </c>
      <c r="I357" s="44"/>
      <c r="J357" s="44"/>
      <c r="K357" s="45"/>
      <c r="L357" s="1358">
        <f>L360+L363</f>
        <v>0</v>
      </c>
      <c r="M357" s="83">
        <f>M360+M363</f>
        <v>0</v>
      </c>
      <c r="N357" s="83">
        <f>N360+N363</f>
        <v>0</v>
      </c>
      <c r="O357" s="83">
        <f>IF(L357&gt;0,N357*100/L357,0)</f>
        <v>0</v>
      </c>
      <c r="P357" s="83">
        <f>IF(M357&gt;0,N357*100/M357,0)</f>
        <v>0</v>
      </c>
      <c r="Q357" s="83">
        <f>Q360+Q363</f>
        <v>0</v>
      </c>
      <c r="R357" s="83">
        <f>R360+R363</f>
        <v>0</v>
      </c>
      <c r="S357" s="83">
        <f>S360+S363</f>
        <v>0</v>
      </c>
      <c r="T357" s="83">
        <f>IF(Q357&gt;0,S357*100/Q357,0)</f>
        <v>0</v>
      </c>
      <c r="U357" s="83">
        <f>IF(R357&gt;0,S357*100/R357,0)</f>
        <v>0</v>
      </c>
    </row>
    <row r="358" spans="1:21" ht="18.75" x14ac:dyDescent="0.25">
      <c r="A358" s="128"/>
      <c r="B358" s="40"/>
      <c r="C358" s="40"/>
      <c r="D358" s="40"/>
      <c r="E358" s="47" t="s">
        <v>21</v>
      </c>
      <c r="F358" s="40"/>
      <c r="G358" s="42"/>
      <c r="H358" s="133" t="s">
        <v>14</v>
      </c>
      <c r="I358" s="44"/>
      <c r="J358" s="44"/>
      <c r="K358" s="45"/>
      <c r="L358" s="1356">
        <f ca="1">L361+L364</f>
        <v>680500</v>
      </c>
      <c r="M358" s="224">
        <f ca="1">M361+M364</f>
        <v>573900</v>
      </c>
      <c r="N358" s="224">
        <f ca="1">N361+N364</f>
        <v>467586</v>
      </c>
      <c r="O358" s="224">
        <f ca="1">IF(L358&gt;0,N358*100/L358,0)</f>
        <v>68.71212343864805</v>
      </c>
      <c r="P358" s="224">
        <f ca="1">IF(M358&gt;0,N358*100/M358,0)</f>
        <v>81.475169890224777</v>
      </c>
      <c r="Q358" s="224">
        <f>Q361+Q364</f>
        <v>0</v>
      </c>
      <c r="R358" s="224">
        <f>R361+R364</f>
        <v>0</v>
      </c>
      <c r="S358" s="224">
        <f>S361+S364</f>
        <v>0</v>
      </c>
      <c r="T358" s="224">
        <f>IF(Q358&gt;0,S358*100/Q358,0)</f>
        <v>0</v>
      </c>
      <c r="U358" s="224">
        <f>IF(R358&gt;0,S358*100/R358,0)</f>
        <v>0</v>
      </c>
    </row>
    <row r="359" spans="1:21" ht="18.75" x14ac:dyDescent="0.25">
      <c r="A359" s="128"/>
      <c r="B359" s="40"/>
      <c r="C359" s="40"/>
      <c r="D359" s="41" t="s">
        <v>22</v>
      </c>
      <c r="E359" s="40"/>
      <c r="F359" s="40"/>
      <c r="G359" s="42"/>
      <c r="H359" s="134" t="s">
        <v>14</v>
      </c>
      <c r="I359" s="135"/>
      <c r="J359" s="135"/>
      <c r="K359" s="136"/>
      <c r="L359" s="1356">
        <f ca="1">L360+L361</f>
        <v>680500</v>
      </c>
      <c r="M359" s="224">
        <f ca="1">M360+M361</f>
        <v>573900</v>
      </c>
      <c r="N359" s="224">
        <f ca="1">N360+N361</f>
        <v>467586</v>
      </c>
      <c r="O359" s="224">
        <f ca="1">IF(L359&gt;0,N359*100/L359,0)</f>
        <v>68.71212343864805</v>
      </c>
      <c r="P359" s="224">
        <f ca="1">IF(M359&gt;0,N359*100/M359,0)</f>
        <v>81.475169890224777</v>
      </c>
      <c r="Q359" s="224">
        <f>Q360+Q361</f>
        <v>0</v>
      </c>
      <c r="R359" s="224">
        <f>R360+R361</f>
        <v>0</v>
      </c>
      <c r="S359" s="224">
        <f>S360+S361</f>
        <v>0</v>
      </c>
      <c r="T359" s="224">
        <f>IF(Q359&gt;0,S359*100/Q359,0)</f>
        <v>0</v>
      </c>
      <c r="U359" s="224">
        <f>IF(R359&gt;0,S359*100/R359,0)</f>
        <v>0</v>
      </c>
    </row>
    <row r="360" spans="1:21" ht="18.75" x14ac:dyDescent="0.25">
      <c r="A360" s="128"/>
      <c r="B360" s="40"/>
      <c r="C360" s="40"/>
      <c r="D360" s="40"/>
      <c r="E360" s="156" t="s">
        <v>36</v>
      </c>
      <c r="F360" s="40"/>
      <c r="G360" s="42"/>
      <c r="H360" s="159" t="s">
        <v>14</v>
      </c>
      <c r="I360" s="135"/>
      <c r="J360" s="135"/>
      <c r="K360" s="136"/>
      <c r="L360" s="1358">
        <v>0</v>
      </c>
      <c r="M360" s="83">
        <v>0</v>
      </c>
      <c r="N360" s="83">
        <v>0</v>
      </c>
      <c r="O360" s="83">
        <f>IF(L360&gt;0,N360*100/L360,0)</f>
        <v>0</v>
      </c>
      <c r="P360" s="83">
        <f>IF(M360&gt;0,N360*100/M360,0)</f>
        <v>0</v>
      </c>
      <c r="Q360" s="83">
        <v>0</v>
      </c>
      <c r="R360" s="83">
        <v>0</v>
      </c>
      <c r="S360" s="83">
        <v>0</v>
      </c>
      <c r="T360" s="83">
        <f>IF(Q360&gt;0,S360*100/Q360,0)</f>
        <v>0</v>
      </c>
      <c r="U360" s="83">
        <f>IF(R360&gt;0,S360*100/R360,0)</f>
        <v>0</v>
      </c>
    </row>
    <row r="361" spans="1:21" ht="18.75" x14ac:dyDescent="0.25">
      <c r="A361" s="128"/>
      <c r="B361" s="40"/>
      <c r="C361" s="40"/>
      <c r="D361" s="40"/>
      <c r="E361" s="47" t="s">
        <v>37</v>
      </c>
      <c r="F361" s="40"/>
      <c r="G361" s="42"/>
      <c r="H361" s="134" t="s">
        <v>14</v>
      </c>
      <c r="I361" s="135"/>
      <c r="J361" s="135"/>
      <c r="K361" s="136"/>
      <c r="L361" s="1356">
        <f ca="1">IFERROR(__xludf.DUMMYFUNCTION("IMPORTRANGE(""https://docs.google.com/spreadsheets/d/1-uDff_7J0KD5mKrp0Vvzr7lt3OU09vwQwhkpOPPYv2Y/edit?usp=sharing"",""งบพรบ!FC30"")"),680500)</f>
        <v>680500</v>
      </c>
      <c r="M361" s="224">
        <f ca="1">IFERROR(__xludf.DUMMYFUNCTION("IMPORTRANGE(""https://docs.google.com/spreadsheets/d/1-uDff_7J0KD5mKrp0Vvzr7lt3OU09vwQwhkpOPPYv2Y/edit?usp=sharing"",""งบพรบ!FH30"")"),573900)</f>
        <v>573900</v>
      </c>
      <c r="N361" s="224">
        <f ca="1">IFERROR(__xludf.DUMMYFUNCTION("IMPORTRANGE(""https://docs.google.com/spreadsheets/d/1-uDff_7J0KD5mKrp0Vvzr7lt3OU09vwQwhkpOPPYv2Y/edit?usp=sharing"",""งบพรบ!FJ30"")"),467586)</f>
        <v>467586</v>
      </c>
      <c r="O361" s="224">
        <f ca="1">IF(L361&gt;0,N361*100/L361,0)</f>
        <v>68.71212343864805</v>
      </c>
      <c r="P361" s="224">
        <f ca="1">IF(M361&gt;0,N361*100/M361,0)</f>
        <v>81.475169890224777</v>
      </c>
      <c r="Q361" s="224">
        <v>0</v>
      </c>
      <c r="R361" s="224">
        <v>0</v>
      </c>
      <c r="S361" s="224">
        <v>0</v>
      </c>
      <c r="T361" s="224">
        <f>IF(Q361&gt;0,S361*100/Q361,0)</f>
        <v>0</v>
      </c>
      <c r="U361" s="224">
        <f>IF(R361&gt;0,S361*100/R361,0)</f>
        <v>0</v>
      </c>
    </row>
    <row r="362" spans="1:21" ht="18.75" x14ac:dyDescent="0.25">
      <c r="A362" s="128"/>
      <c r="B362" s="40"/>
      <c r="C362" s="40"/>
      <c r="D362" s="41" t="s">
        <v>23</v>
      </c>
      <c r="E362" s="40"/>
      <c r="F362" s="40"/>
      <c r="G362" s="42"/>
      <c r="H362" s="137" t="s">
        <v>14</v>
      </c>
      <c r="I362" s="135"/>
      <c r="J362" s="135"/>
      <c r="K362" s="136"/>
      <c r="L362" s="1356">
        <f ca="1">L363+L364</f>
        <v>0</v>
      </c>
      <c r="M362" s="224">
        <f ca="1">M363+M364</f>
        <v>0</v>
      </c>
      <c r="N362" s="224">
        <f ca="1">N363+N364</f>
        <v>0</v>
      </c>
      <c r="O362" s="224">
        <f ca="1">IF(L362&gt;0,N362*100/L362,0)</f>
        <v>0</v>
      </c>
      <c r="P362" s="224">
        <f ca="1">IF(M362&gt;0,N362*100/M362,0)</f>
        <v>0</v>
      </c>
      <c r="Q362" s="224">
        <f>Q363+Q364</f>
        <v>0</v>
      </c>
      <c r="R362" s="224">
        <f>R363+R364</f>
        <v>0</v>
      </c>
      <c r="S362" s="224">
        <f>S363+S364</f>
        <v>0</v>
      </c>
      <c r="T362" s="224">
        <f>IF(Q362&gt;0,S362*100/Q362,0)</f>
        <v>0</v>
      </c>
      <c r="U362" s="224">
        <f>IF(R362&gt;0,S362*100/R362,0)</f>
        <v>0</v>
      </c>
    </row>
    <row r="363" spans="1:21" ht="18.75" x14ac:dyDescent="0.25">
      <c r="A363" s="128"/>
      <c r="B363" s="40"/>
      <c r="C363" s="40"/>
      <c r="D363" s="40"/>
      <c r="E363" s="156" t="s">
        <v>20</v>
      </c>
      <c r="F363" s="40"/>
      <c r="G363" s="42"/>
      <c r="H363" s="159" t="s">
        <v>14</v>
      </c>
      <c r="I363" s="135"/>
      <c r="J363" s="135"/>
      <c r="K363" s="136"/>
      <c r="L363" s="1358">
        <v>0</v>
      </c>
      <c r="M363" s="83">
        <v>0</v>
      </c>
      <c r="N363" s="83">
        <v>0</v>
      </c>
      <c r="O363" s="83">
        <f>IF(L363&gt;0,N363*100/L363,0)</f>
        <v>0</v>
      </c>
      <c r="P363" s="83">
        <f>IF(M363&gt;0,N363*100/M363,0)</f>
        <v>0</v>
      </c>
      <c r="Q363" s="83">
        <v>0</v>
      </c>
      <c r="R363" s="83">
        <v>0</v>
      </c>
      <c r="S363" s="83">
        <v>0</v>
      </c>
      <c r="T363" s="83">
        <f>IF(Q363&gt;0,S363*100/Q363,0)</f>
        <v>0</v>
      </c>
      <c r="U363" s="83">
        <f>IF(R363&gt;0,S363*100/R363,0)</f>
        <v>0</v>
      </c>
    </row>
    <row r="364" spans="1:21" ht="18.75" x14ac:dyDescent="0.25">
      <c r="A364" s="128"/>
      <c r="B364" s="40"/>
      <c r="C364" s="40"/>
      <c r="D364" s="40"/>
      <c r="E364" s="47" t="s">
        <v>21</v>
      </c>
      <c r="F364" s="40"/>
      <c r="G364" s="42"/>
      <c r="H364" s="137" t="s">
        <v>14</v>
      </c>
      <c r="I364" s="135"/>
      <c r="J364" s="135"/>
      <c r="K364" s="136"/>
      <c r="L364" s="1356">
        <f ca="1">IFERROR(__xludf.DUMMYFUNCTION("IMPORTRANGE(""https://docs.google.com/spreadsheets/d/1-uDff_7J0KD5mKrp0Vvzr7lt3OU09vwQwhkpOPPYv2Y/edit?usp=sharing"",""งบพรบ!FF30"")"),0)</f>
        <v>0</v>
      </c>
      <c r="M364" s="224">
        <f ca="1">IFERROR(__xludf.DUMMYFUNCTION("IMPORTRANGE(""https://docs.google.com/spreadsheets/d/1-uDff_7J0KD5mKrp0Vvzr7lt3OU09vwQwhkpOPPYv2Y/edit?usp=sharing"",""งบพรบ!FI30"")"),0)</f>
        <v>0</v>
      </c>
      <c r="N364" s="224">
        <f ca="1">IFERROR(__xludf.DUMMYFUNCTION("IMPORTRANGE(""https://docs.google.com/spreadsheets/d/1-uDff_7J0KD5mKrp0Vvzr7lt3OU09vwQwhkpOPPYv2Y/edit?usp=sharing"",""งบพรบ!FK30"")"),0)</f>
        <v>0</v>
      </c>
      <c r="O364" s="224">
        <f ca="1">IF(L364&gt;0,N364*100/L364,0)</f>
        <v>0</v>
      </c>
      <c r="P364" s="224">
        <f ca="1">IF(M364&gt;0,N364*100/M364,0)</f>
        <v>0</v>
      </c>
      <c r="Q364" s="224">
        <v>0</v>
      </c>
      <c r="R364" s="224">
        <v>0</v>
      </c>
      <c r="S364" s="224">
        <v>0</v>
      </c>
      <c r="T364" s="224">
        <f>IF(Q364&gt;0,S364*100/Q364,0)</f>
        <v>0</v>
      </c>
      <c r="U364" s="224">
        <f>IF(R364&gt;0,S364*100/R364,0)</f>
        <v>0</v>
      </c>
    </row>
    <row r="365" spans="1:21" ht="19.5" x14ac:dyDescent="0.3">
      <c r="A365" s="211"/>
      <c r="B365" s="212"/>
      <c r="C365" s="214"/>
      <c r="D365" s="1523" t="s">
        <v>149</v>
      </c>
      <c r="E365" s="214"/>
      <c r="F365" s="214"/>
      <c r="G365" s="215"/>
      <c r="H365" s="223" t="s">
        <v>35</v>
      </c>
      <c r="I365" s="303">
        <f ca="1">I371</f>
        <v>297</v>
      </c>
      <c r="J365" s="303">
        <f ca="1">J371</f>
        <v>138</v>
      </c>
      <c r="K365" s="304">
        <f ca="1">IF(I365&gt;0,J365*100/I365,0)</f>
        <v>46.464646464646464</v>
      </c>
      <c r="L365" s="1416"/>
      <c r="M365" s="219"/>
      <c r="N365" s="219"/>
      <c r="O365" s="219"/>
      <c r="P365" s="219"/>
      <c r="Q365" s="219"/>
      <c r="R365" s="219"/>
      <c r="S365" s="219"/>
      <c r="T365" s="219"/>
      <c r="U365" s="219"/>
    </row>
    <row r="366" spans="1:21" ht="19.5" x14ac:dyDescent="0.3">
      <c r="A366" s="138"/>
      <c r="B366" s="139"/>
      <c r="C366" s="129" t="s">
        <v>18</v>
      </c>
      <c r="D366" s="1391" t="s">
        <v>38</v>
      </c>
      <c r="E366" s="141"/>
      <c r="F366" s="141"/>
      <c r="G366" s="142"/>
      <c r="H366" s="143"/>
      <c r="I366" s="44"/>
      <c r="J366" s="44"/>
      <c r="K366" s="45"/>
      <c r="L366" s="1392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3" t="s">
        <v>35</v>
      </c>
      <c r="I367" s="184">
        <v>0</v>
      </c>
      <c r="J367" s="184">
        <f ca="1">IFERROR(__xludf.DUMMYFUNCTION("IMPORTRANGE(""https://docs.google.com/spreadsheets/d/1tdoBKaGub7dwA3U6UFTqxio9LNnvDCQjHKmttSEBsFQ/edit?usp=sharing"",""จัดที่ดิน!AB30"")"),144)</f>
        <v>144</v>
      </c>
      <c r="K367" s="224">
        <f>IF(I367&gt;0,J367*100/I367,0)</f>
        <v>0</v>
      </c>
      <c r="L367" s="1392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3" t="s">
        <v>46</v>
      </c>
      <c r="I368" s="184">
        <f ca="1">IFERROR(__xludf.DUMMYFUNCTION("IMPORTRANGE(""https://docs.google.com/spreadsheets/d/1eHaY18a8A9IcSdp1K8H6x8fbOy06t2VsZHhMHf-1x7Y/edit?usp=sharing"",""แผน!EW30"")"),810)</f>
        <v>810</v>
      </c>
      <c r="J368" s="1524">
        <f ca="1">IFERROR(__xludf.DUMMYFUNCTION("IMPORTRANGE(""https://docs.google.com/spreadsheets/d/1tdoBKaGub7dwA3U6UFTqxio9LNnvDCQjHKmttSEBsFQ/edit?usp=sharing"",""จัดที่ดิน!AC30"")"),1481.22)</f>
        <v>1481.22</v>
      </c>
      <c r="K368" s="224">
        <f ca="1">IF(I368&gt;0,J368*100/I368,0)</f>
        <v>182.86666666666667</v>
      </c>
      <c r="L368" s="1392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84">
        <f ca="1">IFERROR(__xludf.DUMMYFUNCTION("IMPORTRANGE(""https://docs.google.com/spreadsheets/d/1eHaY18a8A9IcSdp1K8H6x8fbOy06t2VsZHhMHf-1x7Y/edit?usp=sharing"",""แผน!EX30"")"),297)</f>
        <v>297</v>
      </c>
      <c r="J369" s="184">
        <f ca="1">IFERROR(__xludf.DUMMYFUNCTION("IMPORTRANGE(""https://docs.google.com/spreadsheets/d/1tdoBKaGub7dwA3U6UFTqxio9LNnvDCQjHKmttSEBsFQ/edit?usp=sharing"",""จัดที่ดิน!AD30"")"),205)</f>
        <v>205</v>
      </c>
      <c r="K369" s="224">
        <f ca="1">IF(I369&gt;0,J369*100/I369,0)</f>
        <v>69.023569023569024</v>
      </c>
      <c r="L369" s="1392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84">
        <v>0</v>
      </c>
      <c r="J370" s="1524">
        <f ca="1">IFERROR(__xludf.DUMMYFUNCTION("IMPORTRANGE(""https://docs.google.com/spreadsheets/d/1tdoBKaGub7dwA3U6UFTqxio9LNnvDCQjHKmttSEBsFQ/edit?usp=sharing"",""จัดที่ดิน!AE30"")"),3413.75)</f>
        <v>3413.75</v>
      </c>
      <c r="K370" s="224">
        <f>IF(I370&gt;0,J370*100/I370,0)</f>
        <v>0</v>
      </c>
      <c r="L370" s="1392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08" t="s">
        <v>152</v>
      </c>
      <c r="F371" s="145"/>
      <c r="G371" s="143"/>
      <c r="H371" s="150" t="s">
        <v>35</v>
      </c>
      <c r="I371" s="184">
        <f ca="1">IFERROR(__xludf.DUMMYFUNCTION("IMPORTRANGE(""https://docs.google.com/spreadsheets/d/1eHaY18a8A9IcSdp1K8H6x8fbOy06t2VsZHhMHf-1x7Y/edit?usp=sharing"",""แผน!EY30"")"),297)</f>
        <v>297</v>
      </c>
      <c r="J371" s="184">
        <f ca="1">IFERROR(__xludf.DUMMYFUNCTION("IMPORTRANGE(""https://docs.google.com/spreadsheets/d/1tdoBKaGub7dwA3U6UFTqxio9LNnvDCQjHKmttSEBsFQ/edit?usp=sharing"",""จัดที่ดิน!AF30"")"),138)</f>
        <v>138</v>
      </c>
      <c r="K371" s="224">
        <f ca="1">IF(I371&gt;0,J371*100/I371,0)</f>
        <v>46.464646464646464</v>
      </c>
      <c r="L371" s="1392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84">
        <v>0</v>
      </c>
      <c r="J372" s="1524">
        <f ca="1">IFERROR(__xludf.DUMMYFUNCTION("IMPORTRANGE(""https://docs.google.com/spreadsheets/d/1tdoBKaGub7dwA3U6UFTqxio9LNnvDCQjHKmttSEBsFQ/edit?usp=sharing"",""จัดที่ดิน!AG30"")"),2667.02)</f>
        <v>2667.02</v>
      </c>
      <c r="K372" s="224">
        <f>IF(I372&gt;0,J372*100/I372,0)</f>
        <v>0</v>
      </c>
      <c r="L372" s="1392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2"/>
      <c r="B373" s="1"/>
      <c r="C373" s="2"/>
      <c r="D373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2"/>
      <c r="H373" s="52"/>
      <c r="I373" s="54"/>
      <c r="J373" s="54"/>
      <c r="K373" s="3"/>
      <c r="L373" s="1360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9.5" x14ac:dyDescent="0.3">
      <c r="A374" s="1525"/>
      <c r="B374" s="1526" t="s">
        <v>153</v>
      </c>
      <c r="C374" s="1527"/>
      <c r="D374" s="1528"/>
      <c r="E374" s="1529"/>
      <c r="F374" s="1529"/>
      <c r="G374" s="1530"/>
      <c r="H374" s="1531" t="s">
        <v>46</v>
      </c>
      <c r="I374" s="1532">
        <f ca="1">I386+I388</f>
        <v>4000</v>
      </c>
      <c r="J374" s="1532">
        <f ca="1">J386+J388</f>
        <v>1159</v>
      </c>
      <c r="K374" s="1533">
        <f ca="1">IF(I374&gt;0,J374*100/I374,0)</f>
        <v>28.975000000000001</v>
      </c>
      <c r="L374" s="1503"/>
      <c r="M374" s="298"/>
      <c r="N374" s="298"/>
      <c r="O374" s="298"/>
      <c r="P374" s="298"/>
      <c r="Q374" s="298"/>
      <c r="R374" s="298"/>
      <c r="S374" s="298"/>
      <c r="T374" s="298"/>
      <c r="U374" s="298"/>
    </row>
    <row r="375" spans="1:21" ht="19.5" x14ac:dyDescent="0.3">
      <c r="A375" s="128"/>
      <c r="B375" s="158"/>
      <c r="C375" s="161" t="s">
        <v>18</v>
      </c>
      <c r="D375" s="1534" t="s">
        <v>19</v>
      </c>
      <c r="E375" s="40"/>
      <c r="F375" s="40"/>
      <c r="G375" s="42"/>
      <c r="H375" s="131" t="s">
        <v>14</v>
      </c>
      <c r="I375" s="44"/>
      <c r="J375" s="44"/>
      <c r="K375" s="45"/>
      <c r="L375" s="1389">
        <f ca="1">L376+L377</f>
        <v>0</v>
      </c>
      <c r="M375" s="1390">
        <f ca="1">M376+M377</f>
        <v>0</v>
      </c>
      <c r="N375" s="1390">
        <f ca="1">N376+N377</f>
        <v>0</v>
      </c>
      <c r="O375" s="1390">
        <f ca="1">IF(L375&gt;0,N375*100/L375,0)</f>
        <v>0</v>
      </c>
      <c r="P375" s="1390">
        <f ca="1">IF(M375&gt;0,N375*100/M375,0)</f>
        <v>0</v>
      </c>
      <c r="Q375" s="1390">
        <f ca="1">Q376+Q377</f>
        <v>250000</v>
      </c>
      <c r="R375" s="1390">
        <f ca="1">R376+R377</f>
        <v>250000</v>
      </c>
      <c r="S375" s="1390">
        <f ca="1">S376+S377</f>
        <v>0</v>
      </c>
      <c r="T375" s="1390">
        <f ca="1">IF(Q375&gt;0,S375*100/Q375,0)</f>
        <v>0</v>
      </c>
      <c r="U375" s="1390">
        <f ca="1">IF(R375&gt;0,S375*100/R375,0)</f>
        <v>0</v>
      </c>
    </row>
    <row r="376" spans="1:21" ht="18.75" x14ac:dyDescent="0.25">
      <c r="A376" s="128"/>
      <c r="B376" s="158"/>
      <c r="C376" s="158"/>
      <c r="D376" s="158"/>
      <c r="E376" s="156" t="s">
        <v>20</v>
      </c>
      <c r="F376" s="40"/>
      <c r="G376" s="42"/>
      <c r="H376" s="157" t="s">
        <v>14</v>
      </c>
      <c r="I376" s="44"/>
      <c r="J376" s="44"/>
      <c r="K376" s="45"/>
      <c r="L376" s="1358">
        <f>L379+L382</f>
        <v>0</v>
      </c>
      <c r="M376" s="83">
        <f>M379+M382</f>
        <v>0</v>
      </c>
      <c r="N376" s="83">
        <f>N379+N382</f>
        <v>0</v>
      </c>
      <c r="O376" s="83">
        <f>IF(L376&gt;0,N376*100/L376,0)</f>
        <v>0</v>
      </c>
      <c r="P376" s="83">
        <f>IF(M376&gt;0,N376*100/M376,0)</f>
        <v>0</v>
      </c>
      <c r="Q376" s="83">
        <f>Q379+Q382</f>
        <v>0</v>
      </c>
      <c r="R376" s="83">
        <f>R379+R382</f>
        <v>0</v>
      </c>
      <c r="S376" s="83">
        <f>S379+S382</f>
        <v>0</v>
      </c>
      <c r="T376" s="83">
        <f>IF(Q376&gt;0,S376*100/Q376,0)</f>
        <v>0</v>
      </c>
      <c r="U376" s="83">
        <f>IF(R376&gt;0,S376*100/R376,0)</f>
        <v>0</v>
      </c>
    </row>
    <row r="377" spans="1:21" ht="18.75" x14ac:dyDescent="0.25">
      <c r="A377" s="128"/>
      <c r="B377" s="158"/>
      <c r="C377" s="158"/>
      <c r="D377" s="158"/>
      <c r="E377" s="47" t="s">
        <v>21</v>
      </c>
      <c r="F377" s="40"/>
      <c r="G377" s="42"/>
      <c r="H377" s="133" t="s">
        <v>14</v>
      </c>
      <c r="I377" s="44"/>
      <c r="J377" s="44"/>
      <c r="K377" s="45"/>
      <c r="L377" s="1356">
        <f ca="1">L380+L383</f>
        <v>0</v>
      </c>
      <c r="M377" s="224">
        <f ca="1">M380+M383</f>
        <v>0</v>
      </c>
      <c r="N377" s="224">
        <f ca="1">N380+N383</f>
        <v>0</v>
      </c>
      <c r="O377" s="224">
        <f ca="1">IF(L377&gt;0,N377*100/L377,0)</f>
        <v>0</v>
      </c>
      <c r="P377" s="224">
        <f ca="1">IF(M377&gt;0,N377*100/M377,0)</f>
        <v>0</v>
      </c>
      <c r="Q377" s="224">
        <f ca="1">Q380+Q383</f>
        <v>250000</v>
      </c>
      <c r="R377" s="224">
        <f ca="1">R380+R383</f>
        <v>250000</v>
      </c>
      <c r="S377" s="224">
        <f ca="1">S380+S383</f>
        <v>0</v>
      </c>
      <c r="T377" s="224">
        <f ca="1">IF(Q377&gt;0,S377*100/Q377,0)</f>
        <v>0</v>
      </c>
      <c r="U377" s="224">
        <f ca="1">IF(R377&gt;0,S377*100/R377,0)</f>
        <v>0</v>
      </c>
    </row>
    <row r="378" spans="1:21" ht="18.75" x14ac:dyDescent="0.25">
      <c r="A378" s="128"/>
      <c r="B378" s="158"/>
      <c r="C378" s="158"/>
      <c r="D378" s="1406" t="s">
        <v>22</v>
      </c>
      <c r="E378" s="40"/>
      <c r="F378" s="40"/>
      <c r="G378" s="42"/>
      <c r="H378" s="134" t="s">
        <v>14</v>
      </c>
      <c r="I378" s="135"/>
      <c r="J378" s="135"/>
      <c r="K378" s="136"/>
      <c r="L378" s="1356">
        <f ca="1">L379+L380</f>
        <v>0</v>
      </c>
      <c r="M378" s="224">
        <f ca="1">M379+M380</f>
        <v>0</v>
      </c>
      <c r="N378" s="224">
        <f ca="1">N379+N380</f>
        <v>0</v>
      </c>
      <c r="O378" s="224">
        <f ca="1">IF(L378&gt;0,N378*100/L378,0)</f>
        <v>0</v>
      </c>
      <c r="P378" s="224">
        <f ca="1">IF(M378&gt;0,N378*100/M378,0)</f>
        <v>0</v>
      </c>
      <c r="Q378" s="224">
        <f ca="1">Q379+Q380</f>
        <v>250000</v>
      </c>
      <c r="R378" s="224">
        <f ca="1">R379+R380</f>
        <v>250000</v>
      </c>
      <c r="S378" s="224">
        <f ca="1">S379+S380</f>
        <v>0</v>
      </c>
      <c r="T378" s="224">
        <f ca="1">IF(Q378&gt;0,S378*100/Q378,0)</f>
        <v>0</v>
      </c>
      <c r="U378" s="224">
        <f ca="1">IF(R378&gt;0,S378*100/R378,0)</f>
        <v>0</v>
      </c>
    </row>
    <row r="379" spans="1:21" ht="18.75" x14ac:dyDescent="0.25">
      <c r="A379" s="128"/>
      <c r="B379" s="158"/>
      <c r="C379" s="158"/>
      <c r="D379" s="158"/>
      <c r="E379" s="156" t="s">
        <v>36</v>
      </c>
      <c r="F379" s="40"/>
      <c r="G379" s="42"/>
      <c r="H379" s="159" t="s">
        <v>14</v>
      </c>
      <c r="I379" s="135"/>
      <c r="J379" s="135"/>
      <c r="K379" s="136"/>
      <c r="L379" s="1358">
        <v>0</v>
      </c>
      <c r="M379" s="83">
        <v>0</v>
      </c>
      <c r="N379" s="83">
        <v>0</v>
      </c>
      <c r="O379" s="83">
        <f>IF(L379&gt;0,N379*100/L379,0)</f>
        <v>0</v>
      </c>
      <c r="P379" s="83">
        <f>IF(M379&gt;0,N379*100/M379,0)</f>
        <v>0</v>
      </c>
      <c r="Q379" s="83">
        <v>0</v>
      </c>
      <c r="R379" s="83">
        <v>0</v>
      </c>
      <c r="S379" s="83">
        <v>0</v>
      </c>
      <c r="T379" s="83">
        <f>IF(Q379&gt;0,S379*100/Q379,0)</f>
        <v>0</v>
      </c>
      <c r="U379" s="83">
        <f>IF(R379&gt;0,S379*100/R379,0)</f>
        <v>0</v>
      </c>
    </row>
    <row r="380" spans="1:21" ht="18.75" x14ac:dyDescent="0.25">
      <c r="A380" s="128"/>
      <c r="B380" s="158"/>
      <c r="C380" s="158"/>
      <c r="D380" s="158"/>
      <c r="E380" s="209" t="s">
        <v>37</v>
      </c>
      <c r="F380" s="158"/>
      <c r="G380" s="180"/>
      <c r="H380" s="134" t="s">
        <v>14</v>
      </c>
      <c r="I380" s="135"/>
      <c r="J380" s="135"/>
      <c r="K380" s="136"/>
      <c r="L380" s="1356">
        <f ca="1">IFERROR(__xludf.DUMMYFUNCTION("IMPORTRANGE(""https://docs.google.com/spreadsheets/d/1-uDff_7J0KD5mKrp0Vvzr7lt3OU09vwQwhkpOPPYv2Y/edit?usp=sharing"",""งบพรบ!IE30"")"),0)</f>
        <v>0</v>
      </c>
      <c r="M380" s="224">
        <f ca="1">IFERROR(__xludf.DUMMYFUNCTION("IMPORTRANGE(""https://docs.google.com/spreadsheets/d/1-uDff_7J0KD5mKrp0Vvzr7lt3OU09vwQwhkpOPPYv2Y/edit?usp=sharing"",""งบพรบ!IJ30"")"),0)</f>
        <v>0</v>
      </c>
      <c r="N380" s="224">
        <f ca="1">IFERROR(__xludf.DUMMYFUNCTION("IMPORTRANGE(""https://docs.google.com/spreadsheets/d/1-uDff_7J0KD5mKrp0Vvzr7lt3OU09vwQwhkpOPPYv2Y/edit?usp=sharing"",""งบพรบ!IL30"")"),0)</f>
        <v>0</v>
      </c>
      <c r="O380" s="224">
        <f ca="1">IF(L380&gt;0,N380*100/L380,0)</f>
        <v>0</v>
      </c>
      <c r="P380" s="224">
        <f ca="1">IF(M380&gt;0,N380*100/M380,0)</f>
        <v>0</v>
      </c>
      <c r="Q380" s="224">
        <f ca="1">IFERROR(__xludf.DUMMYFUNCTION("IMPORTRANGE(""https://docs.google.com/spreadsheets/d/1ItG2mGa2ceCfYo0BwxsXqNm01IGEUdYcSSLTEv9YCik/edit?usp=sharing"",""เบิกจ่ายกองทุน!BW30"")"),250000)</f>
        <v>250000</v>
      </c>
      <c r="R380" s="224">
        <f ca="1">IFERROR(__xludf.DUMMYFUNCTION("IMPORTRANGE(""https://docs.google.com/spreadsheets/d/1ItG2mGa2ceCfYo0BwxsXqNm01IGEUdYcSSLTEv9YCik/edit?usp=sharing"",""เบิกจ่ายกองทุน!BX30"")"),250000)</f>
        <v>250000</v>
      </c>
      <c r="S380" s="224">
        <f ca="1">IFERROR(__xludf.DUMMYFUNCTION("IMPORTRANGE(""https://docs.google.com/spreadsheets/d/1ItG2mGa2ceCfYo0BwxsXqNm01IGEUdYcSSLTEv9YCik/edit?usp=sharing"",""เบิกจ่ายกองทุน!BY30"")"),0)</f>
        <v>0</v>
      </c>
      <c r="T380" s="224">
        <f ca="1">IF(Q380&gt;0,S380*100/Q380,0)</f>
        <v>0</v>
      </c>
      <c r="U380" s="224">
        <f ca="1">IF(R380&gt;0,S380*100/R380,0)</f>
        <v>0</v>
      </c>
    </row>
    <row r="381" spans="1:21" ht="18.75" x14ac:dyDescent="0.25">
      <c r="A381" s="128"/>
      <c r="B381" s="158"/>
      <c r="C381" s="158"/>
      <c r="D381" s="1406" t="s">
        <v>23</v>
      </c>
      <c r="E381" s="40"/>
      <c r="F381" s="40"/>
      <c r="G381" s="42"/>
      <c r="H381" s="137" t="s">
        <v>14</v>
      </c>
      <c r="I381" s="135"/>
      <c r="J381" s="135"/>
      <c r="K381" s="136"/>
      <c r="L381" s="1356">
        <f ca="1">L382+L383</f>
        <v>0</v>
      </c>
      <c r="M381" s="224">
        <f ca="1">M382+M383</f>
        <v>0</v>
      </c>
      <c r="N381" s="224">
        <f ca="1">N382+N383</f>
        <v>0</v>
      </c>
      <c r="O381" s="224">
        <f ca="1">IF(L381&gt;0,N381*100/L381,0)</f>
        <v>0</v>
      </c>
      <c r="P381" s="224">
        <f ca="1">IF(M381&gt;0,N381*100/M381,0)</f>
        <v>0</v>
      </c>
      <c r="Q381" s="224">
        <f>Q382+Q383</f>
        <v>0</v>
      </c>
      <c r="R381" s="224">
        <f>R382+R383</f>
        <v>0</v>
      </c>
      <c r="S381" s="224">
        <f>S382+S383</f>
        <v>0</v>
      </c>
      <c r="T381" s="224">
        <f>IF(Q381&gt;0,S381*100/Q381,0)</f>
        <v>0</v>
      </c>
      <c r="U381" s="224">
        <f>IF(R381&gt;0,S381*100/R381,0)</f>
        <v>0</v>
      </c>
    </row>
    <row r="382" spans="1:21" ht="18.75" x14ac:dyDescent="0.25">
      <c r="A382" s="128"/>
      <c r="B382" s="158"/>
      <c r="C382" s="158"/>
      <c r="D382" s="158"/>
      <c r="E382" s="156" t="s">
        <v>20</v>
      </c>
      <c r="F382" s="40"/>
      <c r="G382" s="42"/>
      <c r="H382" s="159" t="s">
        <v>14</v>
      </c>
      <c r="I382" s="135"/>
      <c r="J382" s="135"/>
      <c r="K382" s="136"/>
      <c r="L382" s="1358">
        <v>0</v>
      </c>
      <c r="M382" s="83">
        <v>0</v>
      </c>
      <c r="N382" s="83">
        <v>0</v>
      </c>
      <c r="O382" s="83">
        <f>IF(L382&gt;0,N382*100/L382,0)</f>
        <v>0</v>
      </c>
      <c r="P382" s="83">
        <f>IF(M382&gt;0,N382*100/M382,0)</f>
        <v>0</v>
      </c>
      <c r="Q382" s="83">
        <v>0</v>
      </c>
      <c r="R382" s="83">
        <v>0</v>
      </c>
      <c r="S382" s="83">
        <v>0</v>
      </c>
      <c r="T382" s="83">
        <f>IF(Q382&gt;0,S382*100/Q382,0)</f>
        <v>0</v>
      </c>
      <c r="U382" s="83">
        <f>IF(R382&gt;0,S382*100/R382,0)</f>
        <v>0</v>
      </c>
    </row>
    <row r="383" spans="1:21" ht="18.75" x14ac:dyDescent="0.25">
      <c r="A383" s="128"/>
      <c r="B383" s="158"/>
      <c r="C383" s="158"/>
      <c r="D383" s="158"/>
      <c r="E383" s="47" t="s">
        <v>21</v>
      </c>
      <c r="F383" s="40"/>
      <c r="G383" s="42"/>
      <c r="H383" s="137" t="s">
        <v>14</v>
      </c>
      <c r="I383" s="135"/>
      <c r="J383" s="135"/>
      <c r="K383" s="136"/>
      <c r="L383" s="1356">
        <f ca="1">IFERROR(__xludf.DUMMYFUNCTION("IMPORTRANGE(""https://docs.google.com/spreadsheets/d/1-uDff_7J0KD5mKrp0Vvzr7lt3OU09vwQwhkpOPPYv2Y/edit?usp=sharing"",""งบพรบ!IH30"")"),0)</f>
        <v>0</v>
      </c>
      <c r="M383" s="224">
        <f ca="1">IFERROR(__xludf.DUMMYFUNCTION("IMPORTRANGE(""https://docs.google.com/spreadsheets/d/1-uDff_7J0KD5mKrp0Vvzr7lt3OU09vwQwhkpOPPYv2Y/edit?usp=sharing"",""งบพรบ!IK30"")"),0)</f>
        <v>0</v>
      </c>
      <c r="N383" s="224">
        <f ca="1">IFERROR(__xludf.DUMMYFUNCTION("IMPORTRANGE(""https://docs.google.com/spreadsheets/d/1-uDff_7J0KD5mKrp0Vvzr7lt3OU09vwQwhkpOPPYv2Y/edit?usp=sharing"",""งบพรบ!IM30"")"),0)</f>
        <v>0</v>
      </c>
      <c r="O383" s="224">
        <f ca="1">IF(L383&gt;0,N383*100/L383,0)</f>
        <v>0</v>
      </c>
      <c r="P383" s="224">
        <f ca="1">IF(M383&gt;0,N383*100/M383,0)</f>
        <v>0</v>
      </c>
      <c r="Q383" s="224">
        <v>0</v>
      </c>
      <c r="R383" s="224">
        <v>0</v>
      </c>
      <c r="S383" s="224">
        <v>0</v>
      </c>
      <c r="T383" s="224">
        <f>IF(Q383&gt;0,S383*100/Q383,0)</f>
        <v>0</v>
      </c>
      <c r="U383" s="224">
        <f>IF(R383&gt;0,S383*100/R383,0)</f>
        <v>0</v>
      </c>
    </row>
    <row r="384" spans="1:21" ht="19.5" x14ac:dyDescent="0.3">
      <c r="A384" s="138"/>
      <c r="B384" s="139"/>
      <c r="C384" s="161" t="s">
        <v>18</v>
      </c>
      <c r="D384" s="1535" t="s">
        <v>38</v>
      </c>
      <c r="E384" s="141"/>
      <c r="F384" s="141"/>
      <c r="G384" s="142"/>
      <c r="H384" s="178"/>
      <c r="I384" s="135"/>
      <c r="J384" s="44"/>
      <c r="K384" s="45"/>
      <c r="L384" s="1359"/>
      <c r="M384" s="45"/>
      <c r="N384" s="45"/>
      <c r="O384" s="136"/>
      <c r="P384" s="136"/>
      <c r="Q384" s="45"/>
      <c r="R384" s="45"/>
      <c r="S384" s="45"/>
      <c r="T384" s="136"/>
      <c r="U384" s="136"/>
    </row>
    <row r="385" spans="1:21" ht="18.75" x14ac:dyDescent="0.25">
      <c r="A385" s="208"/>
      <c r="B385" s="158"/>
      <c r="C385" s="158"/>
      <c r="D385" s="158"/>
      <c r="E385" s="47" t="s">
        <v>154</v>
      </c>
      <c r="F385" s="40"/>
      <c r="G385" s="42"/>
      <c r="H385" s="133" t="s">
        <v>34</v>
      </c>
      <c r="I385" s="184">
        <v>0</v>
      </c>
      <c r="J385" s="184">
        <f ca="1">IFERROR(__xludf.DUMMYFUNCTION("IMPORTRANGE(""https://docs.google.com/spreadsheets/d/1w5rwWK1o49a35cNtocGL0gxDwhFSTZUQu90BiH9_zqM/edit?usp=sharing"",""RTK!H30"")"),66)</f>
        <v>66</v>
      </c>
      <c r="K385" s="224">
        <f>IF(I385&gt;0,J385*100/I385,0)</f>
        <v>0</v>
      </c>
      <c r="L385" s="1359"/>
      <c r="M385" s="45"/>
      <c r="N385" s="45"/>
      <c r="O385" s="45"/>
      <c r="P385" s="45"/>
      <c r="Q385" s="45"/>
      <c r="R385" s="45"/>
      <c r="S385" s="45"/>
      <c r="T385" s="45"/>
      <c r="U385" s="45"/>
    </row>
    <row r="386" spans="1:21" ht="18.75" x14ac:dyDescent="0.25">
      <c r="A386" s="158"/>
      <c r="B386" s="158"/>
      <c r="C386" s="158"/>
      <c r="D386" s="158"/>
      <c r="E386" s="158"/>
      <c r="F386" s="158"/>
      <c r="G386" s="180"/>
      <c r="H386" s="133" t="s">
        <v>46</v>
      </c>
      <c r="I386" s="184">
        <f ca="1">IFERROR(__xludf.DUMMYFUNCTION("IMPORTRANGE(""https://docs.google.com/spreadsheets/d/1w5rwWK1o49a35cNtocGL0gxDwhFSTZUQu90BiH9_zqM/edit?usp=sharing"",""RTK!G30"")"),4000)</f>
        <v>4000</v>
      </c>
      <c r="J386" s="184">
        <f ca="1">IFERROR(__xludf.DUMMYFUNCTION("IMPORTRANGE(""https://docs.google.com/spreadsheets/d/1w5rwWK1o49a35cNtocGL0gxDwhFSTZUQu90BiH9_zqM/edit?usp=sharing"",""RTK!I30"")"),1159)</f>
        <v>1159</v>
      </c>
      <c r="K386" s="224">
        <f ca="1">IF(I386&gt;0,J386*100/I386,0)</f>
        <v>28.975000000000001</v>
      </c>
      <c r="L386" s="1359"/>
      <c r="M386" s="45"/>
      <c r="N386" s="45"/>
      <c r="O386" s="45"/>
      <c r="P386" s="45"/>
      <c r="Q386" s="45"/>
      <c r="R386" s="45"/>
      <c r="S386" s="45"/>
      <c r="T386" s="45"/>
      <c r="U386" s="45"/>
    </row>
    <row r="387" spans="1:21" ht="18.75" x14ac:dyDescent="0.25">
      <c r="A387" s="1608"/>
      <c r="B387" s="1608"/>
      <c r="C387" s="1608"/>
      <c r="D387" s="1608"/>
      <c r="E387" s="1609" t="s">
        <v>155</v>
      </c>
      <c r="F387" s="1608"/>
      <c r="G387" s="1601"/>
      <c r="H387" s="1474" t="s">
        <v>34</v>
      </c>
      <c r="I387" s="1598">
        <v>0</v>
      </c>
      <c r="J387" s="1598">
        <f ca="1">IFERROR(__xludf.DUMMYFUNCTION("IMPORTRANGE(""https://docs.google.com/spreadsheets/d/1w5rwWK1o49a35cNtocGL0gxDwhFSTZUQu90BiH9_zqM/edit?usp=sharing"",""RTK!L30"")"),0)</f>
        <v>0</v>
      </c>
      <c r="K387" s="1476">
        <f>IF(I387&gt;0,J387*100/I387,0)</f>
        <v>0</v>
      </c>
      <c r="L387" s="1600"/>
      <c r="M387" s="1465"/>
      <c r="N387" s="1465"/>
      <c r="O387" s="1465"/>
      <c r="P387" s="1465"/>
      <c r="Q387" s="1465"/>
      <c r="R387" s="1465"/>
      <c r="S387" s="1465"/>
      <c r="T387" s="1465"/>
      <c r="U387" s="1465"/>
    </row>
    <row r="388" spans="1:21" ht="18.75" x14ac:dyDescent="0.25">
      <c r="A388" s="1608"/>
      <c r="B388" s="1608"/>
      <c r="C388" s="1608"/>
      <c r="D388" s="1608"/>
      <c r="E388" s="1608"/>
      <c r="F388" s="1608"/>
      <c r="G388" s="1601"/>
      <c r="H388" s="1474" t="s">
        <v>46</v>
      </c>
      <c r="I388" s="1598">
        <f ca="1">IFERROR(__xludf.DUMMYFUNCTION("IMPORTRANGE(""https://docs.google.com/spreadsheets/d/1w5rwWK1o49a35cNtocGL0gxDwhFSTZUQu90BiH9_zqM/edit?usp=sharing"",""RTK!K30"")"),0)</f>
        <v>0</v>
      </c>
      <c r="J388" s="1598">
        <f ca="1">IFERROR(__xludf.DUMMYFUNCTION("IMPORTRANGE(""https://docs.google.com/spreadsheets/d/1w5rwWK1o49a35cNtocGL0gxDwhFSTZUQu90BiH9_zqM/edit?usp=sharing"",""RTK!M30"")"),0)</f>
        <v>0</v>
      </c>
      <c r="K388" s="1476">
        <f ca="1">IF(I388&gt;0,J388*100/I388,0)</f>
        <v>0</v>
      </c>
      <c r="L388" s="1600"/>
      <c r="M388" s="1465"/>
      <c r="N388" s="1465"/>
      <c r="O388" s="1465"/>
      <c r="P388" s="1465"/>
      <c r="Q388" s="1465"/>
      <c r="R388" s="1465"/>
      <c r="S388" s="1465"/>
      <c r="T388" s="1465"/>
      <c r="U388" s="1465"/>
    </row>
    <row r="389" spans="1:21" ht="12.75" x14ac:dyDescent="0.2">
      <c r="A389" s="228"/>
      <c r="B389" s="228"/>
      <c r="C389" s="228"/>
      <c r="D389" s="228"/>
      <c r="E389" s="228"/>
      <c r="F389" s="228"/>
      <c r="G389" s="231"/>
      <c r="H389" s="231"/>
      <c r="I389" s="232"/>
      <c r="J389" s="232"/>
      <c r="K389" s="233"/>
      <c r="L389" s="1536"/>
      <c r="M389" s="233"/>
      <c r="N389" s="233"/>
      <c r="O389" s="233"/>
      <c r="P389" s="233"/>
      <c r="Q389" s="233"/>
      <c r="R389" s="233"/>
      <c r="S389" s="233"/>
      <c r="T389" s="233"/>
      <c r="U389" s="233"/>
    </row>
    <row r="390" spans="1:21" ht="12.75" x14ac:dyDescent="0.2">
      <c r="A390" s="316"/>
      <c r="B390" s="316"/>
      <c r="C390" s="316"/>
      <c r="D390" s="316"/>
      <c r="E390" s="316"/>
      <c r="F390" s="316"/>
      <c r="G390" s="317"/>
      <c r="H390" s="317"/>
      <c r="I390" s="318"/>
      <c r="J390" s="318"/>
      <c r="K390" s="319"/>
      <c r="L390" s="1537"/>
      <c r="M390" s="319"/>
      <c r="N390" s="319"/>
      <c r="O390" s="319"/>
      <c r="P390" s="319"/>
      <c r="Q390" s="319"/>
      <c r="R390" s="319"/>
      <c r="S390" s="319"/>
      <c r="T390" s="319"/>
      <c r="U390" s="319"/>
    </row>
    <row r="391" spans="1:21" ht="19.5" x14ac:dyDescent="0.3">
      <c r="A391" s="299"/>
      <c r="B391" s="310" t="s">
        <v>156</v>
      </c>
      <c r="C391" s="300"/>
      <c r="D391" s="301"/>
      <c r="E391" s="293"/>
      <c r="F391" s="293"/>
      <c r="G391" s="294"/>
      <c r="H391" s="311" t="s">
        <v>61</v>
      </c>
      <c r="I391" s="307">
        <f>I402</f>
        <v>0</v>
      </c>
      <c r="J391" s="307">
        <f>J402</f>
        <v>0</v>
      </c>
      <c r="K391" s="1502">
        <f>IF(I391&gt;0,J391*100/I391,0)</f>
        <v>0</v>
      </c>
      <c r="L391" s="1503"/>
      <c r="M391" s="298"/>
      <c r="N391" s="298"/>
      <c r="O391" s="298"/>
      <c r="P391" s="298"/>
      <c r="Q391" s="298"/>
      <c r="R391" s="298"/>
      <c r="S391" s="298"/>
      <c r="T391" s="298"/>
      <c r="U391" s="298"/>
    </row>
    <row r="392" spans="1:21" ht="19.5" x14ac:dyDescent="0.3">
      <c r="A392" s="128"/>
      <c r="B392" s="158"/>
      <c r="C392" s="161" t="s">
        <v>18</v>
      </c>
      <c r="D392" s="1534" t="s">
        <v>19</v>
      </c>
      <c r="E392" s="40"/>
      <c r="F392" s="40"/>
      <c r="G392" s="42"/>
      <c r="H392" s="131" t="s">
        <v>14</v>
      </c>
      <c r="I392" s="44"/>
      <c r="J392" s="44"/>
      <c r="K392" s="45"/>
      <c r="L392" s="1389">
        <f>L393+L394</f>
        <v>0</v>
      </c>
      <c r="M392" s="1390">
        <f>M393+M394</f>
        <v>0</v>
      </c>
      <c r="N392" s="1390">
        <f>N393+N394</f>
        <v>0</v>
      </c>
      <c r="O392" s="1390">
        <f>IF(L392&gt;0,N392*100/L392,0)</f>
        <v>0</v>
      </c>
      <c r="P392" s="1390">
        <f>IF(M392&gt;0,N392*100/M392,0)</f>
        <v>0</v>
      </c>
      <c r="Q392" s="1390">
        <f ca="1">Q393+Q394</f>
        <v>0</v>
      </c>
      <c r="R392" s="1390">
        <f ca="1">R393+R394</f>
        <v>0</v>
      </c>
      <c r="S392" s="1390">
        <f ca="1">S393+S394</f>
        <v>0</v>
      </c>
      <c r="T392" s="1390">
        <f ca="1">IF(Q392&gt;0,S392*100/Q392,0)</f>
        <v>0</v>
      </c>
      <c r="U392" s="1390">
        <f ca="1">IF(R392&gt;0,S392*100/R392,0)</f>
        <v>0</v>
      </c>
    </row>
    <row r="393" spans="1:21" ht="18.75" x14ac:dyDescent="0.25">
      <c r="A393" s="128"/>
      <c r="B393" s="158"/>
      <c r="C393" s="158"/>
      <c r="D393" s="158"/>
      <c r="E393" s="156" t="s">
        <v>20</v>
      </c>
      <c r="F393" s="40"/>
      <c r="G393" s="42"/>
      <c r="H393" s="157" t="s">
        <v>14</v>
      </c>
      <c r="I393" s="44"/>
      <c r="J393" s="44"/>
      <c r="K393" s="45"/>
      <c r="L393" s="1358">
        <f>L396+L399</f>
        <v>0</v>
      </c>
      <c r="M393" s="83">
        <f>M396+M399</f>
        <v>0</v>
      </c>
      <c r="N393" s="83">
        <f>N396+N399</f>
        <v>0</v>
      </c>
      <c r="O393" s="83">
        <f>IF(L393&gt;0,N393*100/L393,0)</f>
        <v>0</v>
      </c>
      <c r="P393" s="83">
        <f>IF(M393&gt;0,N393*100/M393,0)</f>
        <v>0</v>
      </c>
      <c r="Q393" s="83">
        <f>Q396+Q399</f>
        <v>0</v>
      </c>
      <c r="R393" s="83">
        <f>R396+R399</f>
        <v>0</v>
      </c>
      <c r="S393" s="83">
        <f>S396+S399</f>
        <v>0</v>
      </c>
      <c r="T393" s="83">
        <f>IF(Q393&gt;0,S393*100/Q393,0)</f>
        <v>0</v>
      </c>
      <c r="U393" s="83">
        <f>IF(R393&gt;0,S393*100/R393,0)</f>
        <v>0</v>
      </c>
    </row>
    <row r="394" spans="1:21" ht="18.75" x14ac:dyDescent="0.25">
      <c r="A394" s="128"/>
      <c r="B394" s="158"/>
      <c r="C394" s="158"/>
      <c r="D394" s="158"/>
      <c r="E394" s="47" t="s">
        <v>21</v>
      </c>
      <c r="F394" s="40"/>
      <c r="G394" s="42"/>
      <c r="H394" s="133" t="s">
        <v>14</v>
      </c>
      <c r="I394" s="44"/>
      <c r="J394" s="44"/>
      <c r="K394" s="45"/>
      <c r="L394" s="1356">
        <f>L397+L400</f>
        <v>0</v>
      </c>
      <c r="M394" s="224">
        <f>M397+M400</f>
        <v>0</v>
      </c>
      <c r="N394" s="224">
        <f>N397+N400</f>
        <v>0</v>
      </c>
      <c r="O394" s="224">
        <f>IF(L394&gt;0,N394*100/L394,0)</f>
        <v>0</v>
      </c>
      <c r="P394" s="224">
        <f>IF(M394&gt;0,N394*100/M394,0)</f>
        <v>0</v>
      </c>
      <c r="Q394" s="224">
        <f ca="1">Q397+Q400</f>
        <v>0</v>
      </c>
      <c r="R394" s="224">
        <f ca="1">R397+R400</f>
        <v>0</v>
      </c>
      <c r="S394" s="224">
        <f ca="1">S397+S400</f>
        <v>0</v>
      </c>
      <c r="T394" s="224">
        <f ca="1">IF(Q394&gt;0,S394*100/Q394,0)</f>
        <v>0</v>
      </c>
      <c r="U394" s="224">
        <f ca="1">IF(R394&gt;0,S394*100/R394,0)</f>
        <v>0</v>
      </c>
    </row>
    <row r="395" spans="1:21" ht="18.75" x14ac:dyDescent="0.25">
      <c r="A395" s="128"/>
      <c r="B395" s="158"/>
      <c r="C395" s="158"/>
      <c r="D395" s="1406" t="s">
        <v>22</v>
      </c>
      <c r="E395" s="40"/>
      <c r="F395" s="40"/>
      <c r="G395" s="42"/>
      <c r="H395" s="134" t="s">
        <v>14</v>
      </c>
      <c r="I395" s="135"/>
      <c r="J395" s="135"/>
      <c r="K395" s="136"/>
      <c r="L395" s="1356">
        <f>L396+L397</f>
        <v>0</v>
      </c>
      <c r="M395" s="224">
        <f>M396+M397</f>
        <v>0</v>
      </c>
      <c r="N395" s="224">
        <f>N396+N397</f>
        <v>0</v>
      </c>
      <c r="O395" s="224">
        <f>IF(L395&gt;0,N395*100/L395,0)</f>
        <v>0</v>
      </c>
      <c r="P395" s="224">
        <f>IF(M395&gt;0,N395*100/M395,0)</f>
        <v>0</v>
      </c>
      <c r="Q395" s="224">
        <f ca="1">Q396+Q397</f>
        <v>0</v>
      </c>
      <c r="R395" s="224">
        <f ca="1">R396+R397</f>
        <v>0</v>
      </c>
      <c r="S395" s="224">
        <f ca="1">S396+S397</f>
        <v>0</v>
      </c>
      <c r="T395" s="224">
        <f ca="1">IF(Q395&gt;0,S395*100/Q395,0)</f>
        <v>0</v>
      </c>
      <c r="U395" s="224">
        <f ca="1">IF(R395&gt;0,S395*100/R395,0)</f>
        <v>0</v>
      </c>
    </row>
    <row r="396" spans="1:21" ht="18.75" x14ac:dyDescent="0.25">
      <c r="A396" s="128"/>
      <c r="B396" s="158"/>
      <c r="C396" s="158"/>
      <c r="D396" s="158"/>
      <c r="E396" s="156" t="s">
        <v>36</v>
      </c>
      <c r="F396" s="40"/>
      <c r="G396" s="42"/>
      <c r="H396" s="159" t="s">
        <v>14</v>
      </c>
      <c r="I396" s="135"/>
      <c r="J396" s="135"/>
      <c r="K396" s="136"/>
      <c r="L396" s="1358">
        <v>0</v>
      </c>
      <c r="M396" s="83">
        <v>0</v>
      </c>
      <c r="N396" s="83">
        <v>0</v>
      </c>
      <c r="O396" s="83">
        <f>IF(L396&gt;0,N396*100/L396,0)</f>
        <v>0</v>
      </c>
      <c r="P396" s="83">
        <f>IF(M396&gt;0,N396*100/M396,0)</f>
        <v>0</v>
      </c>
      <c r="Q396" s="83">
        <v>0</v>
      </c>
      <c r="R396" s="83">
        <v>0</v>
      </c>
      <c r="S396" s="83">
        <v>0</v>
      </c>
      <c r="T396" s="83">
        <f>IF(Q396&gt;0,S396*100/Q396,0)</f>
        <v>0</v>
      </c>
      <c r="U396" s="83">
        <f>IF(R396&gt;0,S396*100/R396,0)</f>
        <v>0</v>
      </c>
    </row>
    <row r="397" spans="1:21" ht="18.75" x14ac:dyDescent="0.25">
      <c r="A397" s="128"/>
      <c r="B397" s="158"/>
      <c r="C397" s="158"/>
      <c r="D397" s="158"/>
      <c r="E397" s="209" t="s">
        <v>37</v>
      </c>
      <c r="F397" s="158"/>
      <c r="G397" s="180"/>
      <c r="H397" s="134" t="s">
        <v>14</v>
      </c>
      <c r="I397" s="135"/>
      <c r="J397" s="135"/>
      <c r="K397" s="136"/>
      <c r="L397" s="1356">
        <v>0</v>
      </c>
      <c r="M397" s="224">
        <v>0</v>
      </c>
      <c r="N397" s="224">
        <v>0</v>
      </c>
      <c r="O397" s="224">
        <f>IF(L397&gt;0,N397*100/L397,0)</f>
        <v>0</v>
      </c>
      <c r="P397" s="224">
        <f>IF(M397&gt;0,N397*100/M397,0)</f>
        <v>0</v>
      </c>
      <c r="Q397" s="224">
        <f ca="1">IFERROR(__xludf.DUMMYFUNCTION("IMPORTRANGE(""https://docs.google.com/spreadsheets/d/1ItG2mGa2ceCfYo0BwxsXqNm01IGEUdYcSSLTEv9YCik/edit?usp=sharing"",""เบิกจ่ายกองทุน!CL30"")"),0)</f>
        <v>0</v>
      </c>
      <c r="R397" s="224">
        <f ca="1">IFERROR(__xludf.DUMMYFUNCTION("IMPORTRANGE(""https://docs.google.com/spreadsheets/d/1ItG2mGa2ceCfYo0BwxsXqNm01IGEUdYcSSLTEv9YCik/edit?usp=sharing"",""เบิกจ่ายกองทุน!CM30"")"),0)</f>
        <v>0</v>
      </c>
      <c r="S397" s="224">
        <f ca="1">IFERROR(__xludf.DUMMYFUNCTION("IMPORTRANGE(""https://docs.google.com/spreadsheets/d/1ItG2mGa2ceCfYo0BwxsXqNm01IGEUdYcSSLTEv9YCik/edit?usp=sharing"",""เบิกจ่ายกองทุน!CN30"")"),0)</f>
        <v>0</v>
      </c>
      <c r="T397" s="224">
        <f ca="1">IF(Q397&gt;0,S397*100/Q397,0)</f>
        <v>0</v>
      </c>
      <c r="U397" s="224">
        <f ca="1">IF(R397&gt;0,S397*100/R397,0)</f>
        <v>0</v>
      </c>
    </row>
    <row r="398" spans="1:21" ht="18.75" x14ac:dyDescent="0.25">
      <c r="A398" s="128"/>
      <c r="B398" s="158"/>
      <c r="C398" s="158"/>
      <c r="D398" s="1406" t="s">
        <v>23</v>
      </c>
      <c r="E398" s="40"/>
      <c r="F398" s="40"/>
      <c r="G398" s="42"/>
      <c r="H398" s="137" t="s">
        <v>14</v>
      </c>
      <c r="I398" s="135"/>
      <c r="J398" s="135"/>
      <c r="K398" s="136"/>
      <c r="L398" s="1356">
        <f>L399+L400</f>
        <v>0</v>
      </c>
      <c r="M398" s="224">
        <f>M399+M400</f>
        <v>0</v>
      </c>
      <c r="N398" s="224">
        <f>N399+N400</f>
        <v>0</v>
      </c>
      <c r="O398" s="224">
        <f>IF(L398&gt;0,N398*100/L398,0)</f>
        <v>0</v>
      </c>
      <c r="P398" s="224">
        <f>IF(M398&gt;0,N398*100/M398,0)</f>
        <v>0</v>
      </c>
      <c r="Q398" s="224">
        <f>Q399+Q400</f>
        <v>0</v>
      </c>
      <c r="R398" s="224">
        <f>R399+R400</f>
        <v>0</v>
      </c>
      <c r="S398" s="224">
        <f>S399+S400</f>
        <v>0</v>
      </c>
      <c r="T398" s="224">
        <f>IF(Q398&gt;0,S398*100/Q398,0)</f>
        <v>0</v>
      </c>
      <c r="U398" s="224">
        <f>IF(R398&gt;0,S398*100/R398,0)</f>
        <v>0</v>
      </c>
    </row>
    <row r="399" spans="1:21" ht="18.75" x14ac:dyDescent="0.25">
      <c r="A399" s="128"/>
      <c r="B399" s="158"/>
      <c r="C399" s="158"/>
      <c r="D399" s="158"/>
      <c r="E399" s="156" t="s">
        <v>20</v>
      </c>
      <c r="F399" s="40"/>
      <c r="G399" s="42"/>
      <c r="H399" s="159" t="s">
        <v>14</v>
      </c>
      <c r="I399" s="135"/>
      <c r="J399" s="135"/>
      <c r="K399" s="136"/>
      <c r="L399" s="1358">
        <v>0</v>
      </c>
      <c r="M399" s="83">
        <v>0</v>
      </c>
      <c r="N399" s="83">
        <v>0</v>
      </c>
      <c r="O399" s="83">
        <f>IF(L399&gt;0,N399*100/L399,0)</f>
        <v>0</v>
      </c>
      <c r="P399" s="83">
        <f>IF(M399&gt;0,N399*100/M399,0)</f>
        <v>0</v>
      </c>
      <c r="Q399" s="83">
        <v>0</v>
      </c>
      <c r="R399" s="83">
        <v>0</v>
      </c>
      <c r="S399" s="83">
        <v>0</v>
      </c>
      <c r="T399" s="83">
        <f>IF(Q399&gt;0,S399*100/Q399,0)</f>
        <v>0</v>
      </c>
      <c r="U399" s="83">
        <f>IF(R399&gt;0,S399*100/R399,0)</f>
        <v>0</v>
      </c>
    </row>
    <row r="400" spans="1:21" ht="18.75" x14ac:dyDescent="0.25">
      <c r="A400" s="128"/>
      <c r="B400" s="158"/>
      <c r="C400" s="158"/>
      <c r="D400" s="158"/>
      <c r="E400" s="47" t="s">
        <v>21</v>
      </c>
      <c r="F400" s="40"/>
      <c r="G400" s="42"/>
      <c r="H400" s="137" t="s">
        <v>14</v>
      </c>
      <c r="I400" s="135"/>
      <c r="J400" s="135"/>
      <c r="K400" s="136"/>
      <c r="L400" s="1356">
        <v>0</v>
      </c>
      <c r="M400" s="224">
        <v>0</v>
      </c>
      <c r="N400" s="224">
        <v>0</v>
      </c>
      <c r="O400" s="224">
        <f>IF(L400&gt;0,N400*100/L400,0)</f>
        <v>0</v>
      </c>
      <c r="P400" s="224">
        <f>IF(M400&gt;0,N400*100/M400,0)</f>
        <v>0</v>
      </c>
      <c r="Q400" s="224">
        <v>0</v>
      </c>
      <c r="R400" s="224">
        <v>0</v>
      </c>
      <c r="S400" s="224">
        <v>0</v>
      </c>
      <c r="T400" s="224">
        <f>IF(Q400&gt;0,S400*100/Q400,0)</f>
        <v>0</v>
      </c>
      <c r="U400" s="224">
        <f>IF(R400&gt;0,S400*100/R400,0)</f>
        <v>0</v>
      </c>
    </row>
    <row r="401" spans="1:21" ht="19.5" x14ac:dyDescent="0.3">
      <c r="A401" s="138"/>
      <c r="B401" s="139"/>
      <c r="C401" s="161" t="s">
        <v>18</v>
      </c>
      <c r="D401" s="1535" t="s">
        <v>38</v>
      </c>
      <c r="E401" s="141"/>
      <c r="F401" s="141"/>
      <c r="G401" s="142"/>
      <c r="H401" s="178"/>
      <c r="I401" s="135"/>
      <c r="J401" s="44"/>
      <c r="K401" s="45"/>
      <c r="L401" s="1359"/>
      <c r="M401" s="45"/>
      <c r="N401" s="45"/>
      <c r="O401" s="136"/>
      <c r="P401" s="136"/>
      <c r="Q401" s="45"/>
      <c r="R401" s="45"/>
      <c r="S401" s="45"/>
      <c r="T401" s="136"/>
      <c r="U401" s="136"/>
    </row>
    <row r="402" spans="1:21" ht="12.75" x14ac:dyDescent="0.2">
      <c r="A402" s="227"/>
      <c r="B402" s="228"/>
      <c r="C402" s="228"/>
      <c r="D402" s="228"/>
      <c r="E402" s="229"/>
      <c r="F402" s="229"/>
      <c r="G402" s="230"/>
      <c r="H402" s="231"/>
      <c r="I402" s="232"/>
      <c r="J402" s="232"/>
      <c r="K402" s="233"/>
      <c r="L402" s="1536"/>
      <c r="M402" s="233"/>
      <c r="N402" s="233"/>
      <c r="O402" s="233"/>
      <c r="P402" s="233"/>
      <c r="Q402" s="233"/>
      <c r="R402" s="233"/>
      <c r="S402" s="233"/>
      <c r="T402" s="233"/>
      <c r="U402" s="233"/>
    </row>
    <row r="403" spans="1:21" ht="12.75" x14ac:dyDescent="0.2">
      <c r="A403" s="228"/>
      <c r="B403" s="228"/>
      <c r="C403" s="228"/>
      <c r="D403" s="228"/>
      <c r="E403" s="228"/>
      <c r="F403" s="228"/>
      <c r="G403" s="231"/>
      <c r="H403" s="231"/>
      <c r="I403" s="232"/>
      <c r="J403" s="232"/>
      <c r="K403" s="233"/>
      <c r="L403" s="1536"/>
      <c r="M403" s="233"/>
      <c r="N403" s="233"/>
      <c r="O403" s="233"/>
      <c r="P403" s="233"/>
      <c r="Q403" s="233"/>
      <c r="R403" s="233"/>
      <c r="S403" s="233"/>
      <c r="T403" s="233"/>
      <c r="U403" s="233"/>
    </row>
    <row r="404" spans="1:21" ht="12.75" x14ac:dyDescent="0.2">
      <c r="A404" s="228"/>
      <c r="B404" s="228"/>
      <c r="C404" s="228"/>
      <c r="D404" s="228"/>
      <c r="E404" s="228"/>
      <c r="F404" s="228"/>
      <c r="G404" s="231"/>
      <c r="H404" s="231"/>
      <c r="I404" s="232"/>
      <c r="J404" s="232"/>
      <c r="K404" s="233"/>
      <c r="L404" s="1536"/>
      <c r="M404" s="233"/>
      <c r="N404" s="233"/>
      <c r="O404" s="233"/>
      <c r="P404" s="233"/>
      <c r="Q404" s="233"/>
      <c r="R404" s="233"/>
      <c r="S404" s="233"/>
      <c r="T404" s="233"/>
      <c r="U404" s="233"/>
    </row>
    <row r="405" spans="1:21" ht="12.75" x14ac:dyDescent="0.2">
      <c r="A405" s="228"/>
      <c r="B405" s="228"/>
      <c r="C405" s="228"/>
      <c r="D405" s="228"/>
      <c r="E405" s="228"/>
      <c r="F405" s="228"/>
      <c r="G405" s="231"/>
      <c r="H405" s="231"/>
      <c r="I405" s="232"/>
      <c r="J405" s="232"/>
      <c r="K405" s="233"/>
      <c r="L405" s="1536"/>
      <c r="M405" s="233"/>
      <c r="N405" s="233"/>
      <c r="O405" s="233"/>
      <c r="P405" s="233"/>
      <c r="Q405" s="233"/>
      <c r="R405" s="233"/>
      <c r="S405" s="233"/>
      <c r="T405" s="233"/>
      <c r="U405" s="233"/>
    </row>
    <row r="406" spans="1:21" ht="12.75" x14ac:dyDescent="0.2">
      <c r="A406" s="228"/>
      <c r="B406" s="228"/>
      <c r="C406" s="228"/>
      <c r="D406" s="228"/>
      <c r="E406" s="228"/>
      <c r="F406" s="228"/>
      <c r="G406" s="231"/>
      <c r="H406" s="231"/>
      <c r="I406" s="232"/>
      <c r="J406" s="232"/>
      <c r="K406" s="233"/>
      <c r="L406" s="1536"/>
      <c r="M406" s="233"/>
      <c r="N406" s="233"/>
      <c r="O406" s="233"/>
      <c r="P406" s="233"/>
      <c r="Q406" s="233"/>
      <c r="R406" s="233"/>
      <c r="S406" s="233"/>
      <c r="T406" s="233"/>
      <c r="U406" s="233"/>
    </row>
    <row r="407" spans="1:21" ht="12.75" x14ac:dyDescent="0.2">
      <c r="A407" s="228"/>
      <c r="B407" s="228"/>
      <c r="C407" s="228"/>
      <c r="D407" s="228"/>
      <c r="E407" s="228"/>
      <c r="F407" s="228"/>
      <c r="G407" s="231"/>
      <c r="H407" s="231"/>
      <c r="I407" s="232"/>
      <c r="J407" s="232"/>
      <c r="K407" s="233"/>
      <c r="L407" s="1536"/>
      <c r="M407" s="233"/>
      <c r="N407" s="233"/>
      <c r="O407" s="233"/>
      <c r="P407" s="233"/>
      <c r="Q407" s="233"/>
      <c r="R407" s="233"/>
      <c r="S407" s="233"/>
      <c r="T407" s="233"/>
      <c r="U407" s="233"/>
    </row>
    <row r="408" spans="1:21" ht="12.75" x14ac:dyDescent="0.2">
      <c r="A408" s="228"/>
      <c r="B408" s="228"/>
      <c r="C408" s="228"/>
      <c r="D408" s="228"/>
      <c r="E408" s="228"/>
      <c r="F408" s="228"/>
      <c r="G408" s="231"/>
      <c r="H408" s="231"/>
      <c r="I408" s="232"/>
      <c r="J408" s="232"/>
      <c r="K408" s="233"/>
      <c r="L408" s="1536"/>
      <c r="M408" s="233"/>
      <c r="N408" s="233"/>
      <c r="O408" s="233"/>
      <c r="P408" s="233"/>
      <c r="Q408" s="233"/>
      <c r="R408" s="233"/>
      <c r="S408" s="233"/>
      <c r="T408" s="233"/>
      <c r="U408" s="233"/>
    </row>
    <row r="409" spans="1:21" ht="12.75" x14ac:dyDescent="0.2">
      <c r="A409" s="228"/>
      <c r="B409" s="228"/>
      <c r="C409" s="228"/>
      <c r="D409" s="228"/>
      <c r="E409" s="228"/>
      <c r="F409" s="228"/>
      <c r="G409" s="231"/>
      <c r="H409" s="231"/>
      <c r="I409" s="232"/>
      <c r="J409" s="232"/>
      <c r="K409" s="233"/>
      <c r="L409" s="1536"/>
      <c r="M409" s="233"/>
      <c r="N409" s="233"/>
      <c r="O409" s="233"/>
      <c r="P409" s="233"/>
      <c r="Q409" s="233"/>
      <c r="R409" s="233"/>
      <c r="S409" s="233"/>
      <c r="T409" s="233"/>
      <c r="U409" s="233"/>
    </row>
    <row r="410" spans="1:21" ht="12.75" x14ac:dyDescent="0.2">
      <c r="A410" s="228"/>
      <c r="B410" s="228"/>
      <c r="C410" s="228"/>
      <c r="D410" s="228"/>
      <c r="E410" s="228"/>
      <c r="F410" s="228"/>
      <c r="G410" s="231"/>
      <c r="H410" s="231"/>
      <c r="I410" s="232"/>
      <c r="J410" s="232"/>
      <c r="K410" s="233"/>
      <c r="L410" s="1536"/>
      <c r="M410" s="233"/>
      <c r="N410" s="233"/>
      <c r="O410" s="233"/>
      <c r="P410" s="233"/>
      <c r="Q410" s="233"/>
      <c r="R410" s="233"/>
      <c r="S410" s="233"/>
      <c r="T410" s="233"/>
      <c r="U410" s="233"/>
    </row>
    <row r="411" spans="1:21" ht="12.75" x14ac:dyDescent="0.2">
      <c r="A411" s="316"/>
      <c r="B411" s="316"/>
      <c r="C411" s="316"/>
      <c r="D411" s="316"/>
      <c r="E411" s="316"/>
      <c r="F411" s="316"/>
      <c r="G411" s="317"/>
      <c r="H411" s="317"/>
      <c r="I411" s="318"/>
      <c r="J411" s="318"/>
      <c r="K411" s="319"/>
      <c r="L411" s="1537"/>
      <c r="M411" s="319"/>
      <c r="N411" s="319"/>
      <c r="O411" s="319"/>
      <c r="P411" s="319"/>
      <c r="Q411" s="319"/>
      <c r="R411" s="319"/>
      <c r="S411" s="319"/>
      <c r="T411" s="319"/>
      <c r="U411" s="319"/>
    </row>
    <row r="412" spans="1:21" ht="19.5" x14ac:dyDescent="0.3">
      <c r="A412" s="301"/>
      <c r="B412" s="310" t="s">
        <v>157</v>
      </c>
      <c r="C412" s="301"/>
      <c r="D412" s="301"/>
      <c r="E412" s="301"/>
      <c r="F412" s="301"/>
      <c r="G412" s="320"/>
      <c r="H412" s="321" t="s">
        <v>46</v>
      </c>
      <c r="I412" s="1501">
        <f ca="1">I423</f>
        <v>97018</v>
      </c>
      <c r="J412" s="1501">
        <f>J423</f>
        <v>0</v>
      </c>
      <c r="K412" s="1502">
        <f ca="1">IF(I412&gt;0,J412*100/I412,0)</f>
        <v>0</v>
      </c>
      <c r="L412" s="1503"/>
      <c r="M412" s="298"/>
      <c r="N412" s="298"/>
      <c r="O412" s="298"/>
      <c r="P412" s="298"/>
      <c r="Q412" s="298"/>
      <c r="R412" s="298"/>
      <c r="S412" s="298"/>
      <c r="T412" s="298"/>
      <c r="U412" s="298"/>
    </row>
    <row r="413" spans="1:21" ht="19.5" x14ac:dyDescent="0.3">
      <c r="A413" s="128"/>
      <c r="B413" s="158"/>
      <c r="C413" s="322" t="s">
        <v>18</v>
      </c>
      <c r="D413" s="1538" t="s">
        <v>19</v>
      </c>
      <c r="E413" s="1292"/>
      <c r="F413" s="1292"/>
      <c r="G413" s="1293"/>
      <c r="H413" s="323" t="s">
        <v>14</v>
      </c>
      <c r="I413" s="44"/>
      <c r="J413" s="44"/>
      <c r="K413" s="45"/>
      <c r="L413" s="1389">
        <f ca="1">L414+L415</f>
        <v>618250</v>
      </c>
      <c r="M413" s="1390">
        <f ca="1">M414+M415</f>
        <v>212500</v>
      </c>
      <c r="N413" s="1390">
        <f ca="1">N414+N415</f>
        <v>0</v>
      </c>
      <c r="O413" s="1390">
        <f ca="1">IF(L413&gt;0,N413*100/L413,0)</f>
        <v>0</v>
      </c>
      <c r="P413" s="1390">
        <f ca="1">IF(M413&gt;0,N413*100/M413,0)</f>
        <v>0</v>
      </c>
      <c r="Q413" s="1390">
        <f ca="1">Q414+Q415</f>
        <v>67060</v>
      </c>
      <c r="R413" s="1390">
        <f ca="1">R414+R415</f>
        <v>67060</v>
      </c>
      <c r="S413" s="1390">
        <f ca="1">S414+S415</f>
        <v>0</v>
      </c>
      <c r="T413" s="1390">
        <f ca="1">IF(Q413&gt;0,S413*100/Q413,0)</f>
        <v>0</v>
      </c>
      <c r="U413" s="1390">
        <f ca="1">IF(R413&gt;0,S413*100/R413,0)</f>
        <v>0</v>
      </c>
    </row>
    <row r="414" spans="1:21" ht="18.75" x14ac:dyDescent="0.25">
      <c r="A414" s="128"/>
      <c r="B414" s="158"/>
      <c r="C414" s="158"/>
      <c r="D414" s="158"/>
      <c r="E414" s="314" t="s">
        <v>158</v>
      </c>
      <c r="F414" s="158"/>
      <c r="G414" s="180"/>
      <c r="H414" s="176" t="s">
        <v>14</v>
      </c>
      <c r="I414" s="44"/>
      <c r="J414" s="44"/>
      <c r="K414" s="45"/>
      <c r="L414" s="1358">
        <f>L417+L420</f>
        <v>0</v>
      </c>
      <c r="M414" s="83">
        <f>M417+M420</f>
        <v>0</v>
      </c>
      <c r="N414" s="83">
        <f>N417+N420</f>
        <v>0</v>
      </c>
      <c r="O414" s="83">
        <f>IF(L414&gt;0,N414*100/L414,0)</f>
        <v>0</v>
      </c>
      <c r="P414" s="83">
        <f>IF(M414&gt;0,N414*100/M414,0)</f>
        <v>0</v>
      </c>
      <c r="Q414" s="83">
        <f>Q417+Q420</f>
        <v>0</v>
      </c>
      <c r="R414" s="83">
        <f>R417+R420</f>
        <v>0</v>
      </c>
      <c r="S414" s="83">
        <f>S417+S420</f>
        <v>0</v>
      </c>
      <c r="T414" s="83">
        <f>IF(Q414&gt;0,S414*100/Q414,0)</f>
        <v>0</v>
      </c>
      <c r="U414" s="83">
        <f>IF(R414&gt;0,S414*100/R414,0)</f>
        <v>0</v>
      </c>
    </row>
    <row r="415" spans="1:21" ht="18.75" x14ac:dyDescent="0.25">
      <c r="A415" s="128"/>
      <c r="B415" s="158"/>
      <c r="C415" s="158"/>
      <c r="D415" s="158"/>
      <c r="E415" s="209" t="s">
        <v>159</v>
      </c>
      <c r="F415" s="158"/>
      <c r="G415" s="180"/>
      <c r="H415" s="175" t="s">
        <v>14</v>
      </c>
      <c r="I415" s="44"/>
      <c r="J415" s="44"/>
      <c r="K415" s="45"/>
      <c r="L415" s="1356">
        <f ca="1">L418+L421</f>
        <v>618250</v>
      </c>
      <c r="M415" s="224">
        <f ca="1">M418+M421</f>
        <v>212500</v>
      </c>
      <c r="N415" s="224">
        <f ca="1">N418+N421</f>
        <v>0</v>
      </c>
      <c r="O415" s="224">
        <f ca="1">IF(L415&gt;0,N415*100/L415,0)</f>
        <v>0</v>
      </c>
      <c r="P415" s="224">
        <f ca="1">IF(M415&gt;0,N415*100/M415,0)</f>
        <v>0</v>
      </c>
      <c r="Q415" s="224">
        <f ca="1">Q418+Q421</f>
        <v>67060</v>
      </c>
      <c r="R415" s="224">
        <f ca="1">R418+R421</f>
        <v>67060</v>
      </c>
      <c r="S415" s="224">
        <f ca="1">S418+S421</f>
        <v>0</v>
      </c>
      <c r="T415" s="224">
        <f ca="1">IF(Q415&gt;0,S415*100/Q415,0)</f>
        <v>0</v>
      </c>
      <c r="U415" s="224">
        <f ca="1">IF(R415&gt;0,S415*100/R415,0)</f>
        <v>0</v>
      </c>
    </row>
    <row r="416" spans="1:21" ht="19.5" x14ac:dyDescent="0.3">
      <c r="A416" s="128"/>
      <c r="B416" s="158"/>
      <c r="C416" s="158"/>
      <c r="D416" s="1534" t="s">
        <v>22</v>
      </c>
      <c r="E416" s="158"/>
      <c r="F416" s="158"/>
      <c r="G416" s="180"/>
      <c r="H416" s="323" t="s">
        <v>14</v>
      </c>
      <c r="I416" s="44"/>
      <c r="J416" s="44"/>
      <c r="K416" s="45"/>
      <c r="L416" s="1356">
        <f ca="1">L417+L418</f>
        <v>618250</v>
      </c>
      <c r="M416" s="224">
        <f ca="1">M417+M418</f>
        <v>212500</v>
      </c>
      <c r="N416" s="224">
        <f ca="1">N417+N418</f>
        <v>0</v>
      </c>
      <c r="O416" s="224">
        <f ca="1">IF(L416&gt;0,N416*100/L416,0)</f>
        <v>0</v>
      </c>
      <c r="P416" s="224">
        <f ca="1">IF(M416&gt;0,N416*100/M416,0)</f>
        <v>0</v>
      </c>
      <c r="Q416" s="224">
        <f ca="1">Q417+Q418</f>
        <v>67060</v>
      </c>
      <c r="R416" s="224">
        <f ca="1">R417+R418</f>
        <v>67060</v>
      </c>
      <c r="S416" s="224">
        <f ca="1">S417+S418</f>
        <v>0</v>
      </c>
      <c r="T416" s="224">
        <f ca="1">IF(Q416&gt;0,S416*100/Q416,0)</f>
        <v>0</v>
      </c>
      <c r="U416" s="224">
        <f ca="1">IF(R416&gt;0,S416*100/R416,0)</f>
        <v>0</v>
      </c>
    </row>
    <row r="417" spans="1:21" ht="18.75" x14ac:dyDescent="0.25">
      <c r="A417" s="128"/>
      <c r="B417" s="158"/>
      <c r="C417" s="158"/>
      <c r="D417" s="158"/>
      <c r="E417" s="314" t="s">
        <v>158</v>
      </c>
      <c r="F417" s="158"/>
      <c r="G417" s="180"/>
      <c r="H417" s="176" t="s">
        <v>14</v>
      </c>
      <c r="I417" s="44"/>
      <c r="J417" s="44"/>
      <c r="K417" s="45"/>
      <c r="L417" s="1358">
        <v>0</v>
      </c>
      <c r="M417" s="83">
        <v>0</v>
      </c>
      <c r="N417" s="83">
        <v>0</v>
      </c>
      <c r="O417" s="83">
        <f>IF(L417&gt;0,N417*100/L417,0)</f>
        <v>0</v>
      </c>
      <c r="P417" s="83">
        <f>IF(M417&gt;0,N417*100/M417,0)</f>
        <v>0</v>
      </c>
      <c r="Q417" s="83">
        <v>0</v>
      </c>
      <c r="R417" s="83">
        <v>0</v>
      </c>
      <c r="S417" s="83">
        <v>0</v>
      </c>
      <c r="T417" s="83">
        <f>IF(Q417&gt;0,S417*100/Q417,0)</f>
        <v>0</v>
      </c>
      <c r="U417" s="83">
        <f>IF(R417&gt;0,S417*100/R417,0)</f>
        <v>0</v>
      </c>
    </row>
    <row r="418" spans="1:21" ht="18.75" x14ac:dyDescent="0.25">
      <c r="A418" s="128"/>
      <c r="B418" s="158"/>
      <c r="C418" s="158"/>
      <c r="D418" s="158"/>
      <c r="E418" s="209" t="s">
        <v>159</v>
      </c>
      <c r="F418" s="158"/>
      <c r="G418" s="180"/>
      <c r="H418" s="175" t="s">
        <v>14</v>
      </c>
      <c r="I418" s="44"/>
      <c r="J418" s="44"/>
      <c r="K418" s="45"/>
      <c r="L418" s="1356">
        <f ca="1">IFERROR(__xludf.DUMMYFUNCTION("IMPORTRANGE(""https://docs.google.com/spreadsheets/d/1-uDff_7J0KD5mKrp0Vvzr7lt3OU09vwQwhkpOPPYv2Y/edit?usp=sharing"",""งบพรบ!IO30"")"),618250)</f>
        <v>618250</v>
      </c>
      <c r="M418" s="224">
        <f ca="1">IFERROR(__xludf.DUMMYFUNCTION("IMPORTRANGE(""https://docs.google.com/spreadsheets/d/1-uDff_7J0KD5mKrp0Vvzr7lt3OU09vwQwhkpOPPYv2Y/edit?usp=sharing"",""งบพรบ!IT30"")"),212500)</f>
        <v>212500</v>
      </c>
      <c r="N418" s="224">
        <f ca="1">IFERROR(__xludf.DUMMYFUNCTION("IMPORTRANGE(""https://docs.google.com/spreadsheets/d/1-uDff_7J0KD5mKrp0Vvzr7lt3OU09vwQwhkpOPPYv2Y/edit?usp=sharing"",""งบพรบ!IV30"")"),0)</f>
        <v>0</v>
      </c>
      <c r="O418" s="224">
        <f ca="1">IF(L418&gt;0,N418*100/L418,0)</f>
        <v>0</v>
      </c>
      <c r="P418" s="224">
        <f ca="1">IF(M418&gt;0,N418*100/M418,0)</f>
        <v>0</v>
      </c>
      <c r="Q418" s="224">
        <f ca="1">IFERROR(__xludf.DUMMYFUNCTION("IMPORTRANGE(""https://docs.google.com/spreadsheets/d/1ItG2mGa2ceCfYo0BwxsXqNm01IGEUdYcSSLTEv9YCik/edit?usp=sharing"",""เบิกจ่ายกองทุน!BZ30"")"),67060)</f>
        <v>67060</v>
      </c>
      <c r="R418" s="224">
        <f ca="1">IFERROR(__xludf.DUMMYFUNCTION("IMPORTRANGE(""https://docs.google.com/spreadsheets/d/1ItG2mGa2ceCfYo0BwxsXqNm01IGEUdYcSSLTEv9YCik/edit?usp=sharing"",""เบิกจ่ายกองทุน!CA30"")"),67060)</f>
        <v>67060</v>
      </c>
      <c r="S418" s="224">
        <f ca="1">IFERROR(__xludf.DUMMYFUNCTION("IMPORTRANGE(""https://docs.google.com/spreadsheets/d/1ItG2mGa2ceCfYo0BwxsXqNm01IGEUdYcSSLTEv9YCik/edit?usp=sharing"",""เบิกจ่ายกองทุน!CB30"")"),0)</f>
        <v>0</v>
      </c>
      <c r="T418" s="224">
        <f ca="1">IF(Q418&gt;0,S418*100/Q418,0)</f>
        <v>0</v>
      </c>
      <c r="U418" s="224">
        <f ca="1">IF(R418&gt;0,S418*100/R418,0)</f>
        <v>0</v>
      </c>
    </row>
    <row r="419" spans="1:21" ht="19.5" x14ac:dyDescent="0.3">
      <c r="A419" s="128"/>
      <c r="B419" s="158"/>
      <c r="C419" s="158"/>
      <c r="D419" s="1534" t="s">
        <v>23</v>
      </c>
      <c r="E419" s="158"/>
      <c r="F419" s="158"/>
      <c r="G419" s="180"/>
      <c r="H419" s="131" t="s">
        <v>14</v>
      </c>
      <c r="I419" s="44"/>
      <c r="J419" s="44"/>
      <c r="K419" s="45"/>
      <c r="L419" s="1356">
        <f ca="1">L420+L421</f>
        <v>0</v>
      </c>
      <c r="M419" s="224">
        <f ca="1">M420+M421</f>
        <v>0</v>
      </c>
      <c r="N419" s="224">
        <f ca="1">N420+N421</f>
        <v>0</v>
      </c>
      <c r="O419" s="224">
        <f ca="1">IF(L419&gt;0,N419*100/L419,0)</f>
        <v>0</v>
      </c>
      <c r="P419" s="224">
        <f ca="1">IF(M419&gt;0,N419*100/M419,0)</f>
        <v>0</v>
      </c>
      <c r="Q419" s="224">
        <f>Q420+Q421</f>
        <v>0</v>
      </c>
      <c r="R419" s="224">
        <f>R420+R421</f>
        <v>0</v>
      </c>
      <c r="S419" s="224">
        <f>S420+S421</f>
        <v>0</v>
      </c>
      <c r="T419" s="224">
        <f>IF(Q419&gt;0,S419*100/Q419,0)</f>
        <v>0</v>
      </c>
      <c r="U419" s="224">
        <f>IF(R419&gt;0,S419*100/R419,0)</f>
        <v>0</v>
      </c>
    </row>
    <row r="420" spans="1:21" ht="18.75" x14ac:dyDescent="0.25">
      <c r="A420" s="128"/>
      <c r="B420" s="158"/>
      <c r="C420" s="158"/>
      <c r="D420" s="158"/>
      <c r="E420" s="314" t="s">
        <v>20</v>
      </c>
      <c r="F420" s="158"/>
      <c r="G420" s="180"/>
      <c r="H420" s="176" t="s">
        <v>14</v>
      </c>
      <c r="I420" s="44"/>
      <c r="J420" s="44"/>
      <c r="K420" s="45"/>
      <c r="L420" s="1358">
        <v>0</v>
      </c>
      <c r="M420" s="83">
        <v>0</v>
      </c>
      <c r="N420" s="83">
        <v>0</v>
      </c>
      <c r="O420" s="83">
        <f>IF(L420&gt;0,N420*100/L420,0)</f>
        <v>0</v>
      </c>
      <c r="P420" s="83">
        <f>IF(M420&gt;0,N420*100/M420,0)</f>
        <v>0</v>
      </c>
      <c r="Q420" s="83">
        <v>0</v>
      </c>
      <c r="R420" s="83">
        <v>0</v>
      </c>
      <c r="S420" s="83">
        <v>0</v>
      </c>
      <c r="T420" s="83">
        <f>IF(Q420&gt;0,S420*100/Q420,0)</f>
        <v>0</v>
      </c>
      <c r="U420" s="83">
        <f>IF(R420&gt;0,S420*100/R420,0)</f>
        <v>0</v>
      </c>
    </row>
    <row r="421" spans="1:21" ht="18.75" x14ac:dyDescent="0.25">
      <c r="A421" s="128"/>
      <c r="B421" s="158"/>
      <c r="C421" s="158"/>
      <c r="D421" s="158"/>
      <c r="E421" s="209" t="s">
        <v>21</v>
      </c>
      <c r="F421" s="158"/>
      <c r="G421" s="180"/>
      <c r="H421" s="133" t="s">
        <v>14</v>
      </c>
      <c r="I421" s="44"/>
      <c r="J421" s="44"/>
      <c r="K421" s="45"/>
      <c r="L421" s="1356">
        <f ca="1">IFERROR(__xludf.DUMMYFUNCTION("IMPORTRANGE(""https://docs.google.com/spreadsheets/d/1-uDff_7J0KD5mKrp0Vvzr7lt3OU09vwQwhkpOPPYv2Y/edit?usp=sharing"",""งบพรบ!IR30"")"),0)</f>
        <v>0</v>
      </c>
      <c r="M421" s="224">
        <f ca="1">IFERROR(__xludf.DUMMYFUNCTION("IMPORTRANGE(""https://docs.google.com/spreadsheets/d/1-uDff_7J0KD5mKrp0Vvzr7lt3OU09vwQwhkpOPPYv2Y/edit?usp=sharing"",""งบพรบ!IU30"")"),0)</f>
        <v>0</v>
      </c>
      <c r="N421" s="224">
        <f ca="1">IFERROR(__xludf.DUMMYFUNCTION("IMPORTRANGE(""https://docs.google.com/spreadsheets/d/1-uDff_7J0KD5mKrp0Vvzr7lt3OU09vwQwhkpOPPYv2Y/edit?usp=sharing"",""งบพรบ!IW30"")"),0)</f>
        <v>0</v>
      </c>
      <c r="O421" s="224">
        <f ca="1">IF(L421&gt;0,N421*100/L421,0)</f>
        <v>0</v>
      </c>
      <c r="P421" s="224">
        <f ca="1">IF(M421&gt;0,N421*100/M421,0)</f>
        <v>0</v>
      </c>
      <c r="Q421" s="224">
        <v>0</v>
      </c>
      <c r="R421" s="224">
        <v>0</v>
      </c>
      <c r="S421" s="224">
        <v>0</v>
      </c>
      <c r="T421" s="224">
        <f>IF(Q421&gt;0,S421*100/Q421,0)</f>
        <v>0</v>
      </c>
      <c r="U421" s="224">
        <f>IF(R421&gt;0,S421*100/R421,0)</f>
        <v>0</v>
      </c>
    </row>
    <row r="422" spans="1:21" ht="19.5" x14ac:dyDescent="0.3">
      <c r="A422" s="208"/>
      <c r="B422" s="158"/>
      <c r="C422" s="322" t="s">
        <v>18</v>
      </c>
      <c r="D422" s="1539" t="s">
        <v>38</v>
      </c>
      <c r="E422" s="158"/>
      <c r="F422" s="158"/>
      <c r="G422" s="180"/>
      <c r="H422" s="180"/>
      <c r="I422" s="44"/>
      <c r="J422" s="44"/>
      <c r="K422" s="45"/>
      <c r="L422" s="1359"/>
      <c r="M422" s="45"/>
      <c r="N422" s="45"/>
      <c r="O422" s="45"/>
      <c r="P422" s="45"/>
      <c r="Q422" s="45"/>
      <c r="R422" s="45"/>
      <c r="S422" s="45"/>
      <c r="T422" s="45"/>
      <c r="U422" s="45"/>
    </row>
    <row r="423" spans="1:21" ht="19.5" x14ac:dyDescent="0.3">
      <c r="A423" s="208"/>
      <c r="B423" s="161" t="s">
        <v>160</v>
      </c>
      <c r="C423" s="158"/>
      <c r="D423" s="158"/>
      <c r="E423" s="158"/>
      <c r="F423" s="158"/>
      <c r="G423" s="180"/>
      <c r="H423" s="323" t="s">
        <v>46</v>
      </c>
      <c r="I423" s="328">
        <f ca="1">I440</f>
        <v>97018</v>
      </c>
      <c r="J423" s="328">
        <f>J440</f>
        <v>0</v>
      </c>
      <c r="K423" s="1390">
        <f ca="1">IF(I423&gt;0,J423*100/I423,0)</f>
        <v>0</v>
      </c>
      <c r="L423" s="1359"/>
      <c r="M423" s="45"/>
      <c r="N423" s="45"/>
      <c r="O423" s="45"/>
      <c r="P423" s="45"/>
      <c r="Q423" s="45"/>
      <c r="R423" s="45"/>
      <c r="S423" s="45"/>
      <c r="T423" s="45"/>
      <c r="U423" s="45"/>
    </row>
    <row r="424" spans="1:21" ht="19.5" x14ac:dyDescent="0.3">
      <c r="A424" s="208"/>
      <c r="B424" s="158"/>
      <c r="C424" s="161" t="s">
        <v>161</v>
      </c>
      <c r="D424" s="158"/>
      <c r="E424" s="158"/>
      <c r="F424" s="158"/>
      <c r="G424" s="180"/>
      <c r="H424" s="131" t="s">
        <v>46</v>
      </c>
      <c r="I424" s="328">
        <f ca="1">IFERROR(__xludf.DUMMYFUNCTION("IMPORTRANGE(""https://docs.google.com/spreadsheets/d/1eHaY18a8A9IcSdp1K8H6x8fbOy06t2VsZHhMHf-1x7Y/edit?usp=sharing"",""แผน!HJ30"")"),97018)</f>
        <v>97018</v>
      </c>
      <c r="J424" s="328">
        <f>J426+J428+J430</f>
        <v>0</v>
      </c>
      <c r="K424" s="1390">
        <f ca="1">IF(I424&gt;0,J424*100/I424,0)</f>
        <v>0</v>
      </c>
      <c r="L424" s="1359"/>
      <c r="M424" s="45"/>
      <c r="N424" s="45"/>
      <c r="O424" s="45"/>
      <c r="P424" s="45"/>
      <c r="Q424" s="45"/>
      <c r="R424" s="45"/>
      <c r="S424" s="45"/>
      <c r="T424" s="45"/>
      <c r="U424" s="45"/>
    </row>
    <row r="425" spans="1:21" ht="19.5" x14ac:dyDescent="0.3">
      <c r="A425" s="208"/>
      <c r="B425" s="158"/>
      <c r="C425" s="158"/>
      <c r="D425" s="158"/>
      <c r="E425" s="158"/>
      <c r="F425" s="158"/>
      <c r="G425" s="180"/>
      <c r="H425" s="131" t="s">
        <v>34</v>
      </c>
      <c r="I425" s="328">
        <f ca="1">IFERROR(__xludf.DUMMYFUNCTION("IMPORTRANGE(""https://docs.google.com/spreadsheets/d/1eHaY18a8A9IcSdp1K8H6x8fbOy06t2VsZHhMHf-1x7Y/edit?usp=sharing"",""แผน!HK30"")"),6825)</f>
        <v>6825</v>
      </c>
      <c r="J425" s="328">
        <f>J427+J429+J431</f>
        <v>0</v>
      </c>
      <c r="K425" s="1390">
        <f ca="1">IF(I425&gt;0,J425*100/I425,0)</f>
        <v>0</v>
      </c>
      <c r="L425" s="1359"/>
      <c r="M425" s="45"/>
      <c r="N425" s="45"/>
      <c r="O425" s="45"/>
      <c r="P425" s="45"/>
      <c r="Q425" s="45"/>
      <c r="R425" s="45"/>
      <c r="S425" s="45"/>
      <c r="T425" s="45"/>
      <c r="U425" s="45"/>
    </row>
    <row r="426" spans="1:21" ht="18.75" x14ac:dyDescent="0.25">
      <c r="A426" s="208"/>
      <c r="B426" s="158"/>
      <c r="C426" s="158"/>
      <c r="D426" s="209" t="s">
        <v>162</v>
      </c>
      <c r="E426" s="158"/>
      <c r="F426" s="158"/>
      <c r="G426" s="180"/>
      <c r="H426" s="133" t="s">
        <v>46</v>
      </c>
      <c r="I426" s="44"/>
      <c r="J426" s="44"/>
      <c r="K426" s="45"/>
      <c r="L426" s="1359"/>
      <c r="M426" s="45"/>
      <c r="N426" s="45"/>
      <c r="O426" s="45"/>
      <c r="P426" s="45"/>
      <c r="Q426" s="45"/>
      <c r="R426" s="45"/>
      <c r="S426" s="45"/>
      <c r="T426" s="45"/>
      <c r="U426" s="45"/>
    </row>
    <row r="427" spans="1:21" ht="18.75" x14ac:dyDescent="0.25">
      <c r="A427" s="208"/>
      <c r="B427" s="158"/>
      <c r="C427" s="158"/>
      <c r="D427" s="158"/>
      <c r="E427" s="158"/>
      <c r="F427" s="158"/>
      <c r="G427" s="180"/>
      <c r="H427" s="133" t="s">
        <v>34</v>
      </c>
      <c r="I427" s="44"/>
      <c r="J427" s="44"/>
      <c r="K427" s="45"/>
      <c r="L427" s="1359"/>
      <c r="M427" s="45"/>
      <c r="N427" s="45"/>
      <c r="O427" s="45"/>
      <c r="P427" s="45"/>
      <c r="Q427" s="45"/>
      <c r="R427" s="45"/>
      <c r="S427" s="45"/>
      <c r="T427" s="45"/>
      <c r="U427" s="45"/>
    </row>
    <row r="428" spans="1:21" ht="18.75" x14ac:dyDescent="0.25">
      <c r="A428" s="208"/>
      <c r="B428" s="158"/>
      <c r="C428" s="158"/>
      <c r="D428" s="209" t="s">
        <v>163</v>
      </c>
      <c r="E428" s="158"/>
      <c r="F428" s="158"/>
      <c r="G428" s="180"/>
      <c r="H428" s="133" t="s">
        <v>46</v>
      </c>
      <c r="I428" s="44"/>
      <c r="J428" s="44"/>
      <c r="K428" s="45"/>
      <c r="L428" s="1359"/>
      <c r="M428" s="45"/>
      <c r="N428" s="45"/>
      <c r="O428" s="45"/>
      <c r="P428" s="45"/>
      <c r="Q428" s="45"/>
      <c r="R428" s="45"/>
      <c r="S428" s="45"/>
      <c r="T428" s="45"/>
      <c r="U428" s="45"/>
    </row>
    <row r="429" spans="1:21" ht="18.75" x14ac:dyDescent="0.25">
      <c r="A429" s="208"/>
      <c r="B429" s="158"/>
      <c r="C429" s="158"/>
      <c r="D429" s="158"/>
      <c r="E429" s="158"/>
      <c r="F429" s="158"/>
      <c r="G429" s="180"/>
      <c r="H429" s="133" t="s">
        <v>34</v>
      </c>
      <c r="I429" s="44"/>
      <c r="J429" s="44"/>
      <c r="K429" s="45"/>
      <c r="L429" s="1359"/>
      <c r="M429" s="45"/>
      <c r="N429" s="45"/>
      <c r="O429" s="45"/>
      <c r="P429" s="45"/>
      <c r="Q429" s="45"/>
      <c r="R429" s="45"/>
      <c r="S429" s="45"/>
      <c r="T429" s="45"/>
      <c r="U429" s="45"/>
    </row>
    <row r="430" spans="1:21" ht="18.75" x14ac:dyDescent="0.25">
      <c r="A430" s="208"/>
      <c r="B430" s="158"/>
      <c r="C430" s="158"/>
      <c r="D430" s="209" t="s">
        <v>164</v>
      </c>
      <c r="E430" s="158"/>
      <c r="F430" s="158"/>
      <c r="G430" s="180"/>
      <c r="H430" s="133" t="s">
        <v>46</v>
      </c>
      <c r="I430" s="44"/>
      <c r="J430" s="44"/>
      <c r="K430" s="45"/>
      <c r="L430" s="1359"/>
      <c r="M430" s="45"/>
      <c r="N430" s="45"/>
      <c r="O430" s="45"/>
      <c r="P430" s="45"/>
      <c r="Q430" s="45"/>
      <c r="R430" s="45"/>
      <c r="S430" s="45"/>
      <c r="T430" s="45"/>
      <c r="U430" s="45"/>
    </row>
    <row r="431" spans="1:21" ht="18.75" x14ac:dyDescent="0.25">
      <c r="A431" s="208"/>
      <c r="B431" s="158"/>
      <c r="C431" s="158"/>
      <c r="D431" s="158"/>
      <c r="E431" s="158"/>
      <c r="F431" s="158"/>
      <c r="G431" s="180"/>
      <c r="H431" s="133" t="s">
        <v>34</v>
      </c>
      <c r="I431" s="44"/>
      <c r="J431" s="44"/>
      <c r="K431" s="45"/>
      <c r="L431" s="1359"/>
      <c r="M431" s="45"/>
      <c r="N431" s="45"/>
      <c r="O431" s="45"/>
      <c r="P431" s="45"/>
      <c r="Q431" s="45"/>
      <c r="R431" s="45"/>
      <c r="S431" s="45"/>
      <c r="T431" s="45"/>
      <c r="U431" s="45"/>
    </row>
    <row r="432" spans="1:21" ht="19.5" x14ac:dyDescent="0.3">
      <c r="A432" s="208"/>
      <c r="B432" s="158"/>
      <c r="C432" s="161" t="s">
        <v>165</v>
      </c>
      <c r="D432" s="158"/>
      <c r="E432" s="158"/>
      <c r="F432" s="158"/>
      <c r="G432" s="180"/>
      <c r="H432" s="131" t="s">
        <v>46</v>
      </c>
      <c r="I432" s="328">
        <f ca="1">IFERROR(__xludf.DUMMYFUNCTION("IMPORTRANGE(""https://docs.google.com/spreadsheets/d/1eHaY18a8A9IcSdp1K8H6x8fbOy06t2VsZHhMHf-1x7Y/edit?usp=sharing"",""แผน!HJ30"")"),97018)</f>
        <v>97018</v>
      </c>
      <c r="J432" s="328">
        <f>J434+J436+J438</f>
        <v>0</v>
      </c>
      <c r="K432" s="1390">
        <f ca="1">IF(I432&gt;0,J432*100/I432,0)</f>
        <v>0</v>
      </c>
      <c r="L432" s="1359"/>
      <c r="M432" s="45"/>
      <c r="N432" s="45"/>
      <c r="O432" s="45"/>
      <c r="P432" s="45"/>
      <c r="Q432" s="45"/>
      <c r="R432" s="45"/>
      <c r="S432" s="45"/>
      <c r="T432" s="45"/>
      <c r="U432" s="45"/>
    </row>
    <row r="433" spans="1:21" ht="19.5" x14ac:dyDescent="0.3">
      <c r="A433" s="208"/>
      <c r="B433" s="158"/>
      <c r="C433" s="158"/>
      <c r="D433" s="158"/>
      <c r="E433" s="158"/>
      <c r="F433" s="158"/>
      <c r="G433" s="180"/>
      <c r="H433" s="131" t="s">
        <v>34</v>
      </c>
      <c r="I433" s="328">
        <f ca="1">IFERROR(__xludf.DUMMYFUNCTION("IMPORTRANGE(""https://docs.google.com/spreadsheets/d/1eHaY18a8A9IcSdp1K8H6x8fbOy06t2VsZHhMHf-1x7Y/edit?usp=sharing"",""แผน!HK30"")"),6825)</f>
        <v>6825</v>
      </c>
      <c r="J433" s="328">
        <f>J435+J437+J439</f>
        <v>0</v>
      </c>
      <c r="K433" s="1390">
        <f ca="1">IF(I433&gt;0,J433*100/I433,0)</f>
        <v>0</v>
      </c>
      <c r="L433" s="1359"/>
      <c r="M433" s="45"/>
      <c r="N433" s="45"/>
      <c r="O433" s="45"/>
      <c r="P433" s="45"/>
      <c r="Q433" s="45"/>
      <c r="R433" s="45"/>
      <c r="S433" s="45"/>
      <c r="T433" s="45"/>
      <c r="U433" s="45"/>
    </row>
    <row r="434" spans="1:21" ht="18.75" x14ac:dyDescent="0.25">
      <c r="A434" s="208"/>
      <c r="B434" s="158"/>
      <c r="C434" s="158"/>
      <c r="D434" s="209" t="s">
        <v>166</v>
      </c>
      <c r="E434" s="158"/>
      <c r="F434" s="158"/>
      <c r="G434" s="180"/>
      <c r="H434" s="133" t="s">
        <v>46</v>
      </c>
      <c r="I434" s="44"/>
      <c r="J434" s="44"/>
      <c r="K434" s="45"/>
      <c r="L434" s="1359"/>
      <c r="M434" s="45"/>
      <c r="N434" s="45"/>
      <c r="O434" s="45"/>
      <c r="P434" s="45"/>
      <c r="Q434" s="45"/>
      <c r="R434" s="45"/>
      <c r="S434" s="45"/>
      <c r="T434" s="45"/>
      <c r="U434" s="45"/>
    </row>
    <row r="435" spans="1:21" ht="18.75" x14ac:dyDescent="0.25">
      <c r="A435" s="208"/>
      <c r="B435" s="158"/>
      <c r="C435" s="158"/>
      <c r="D435" s="158"/>
      <c r="E435" s="158"/>
      <c r="F435" s="158"/>
      <c r="G435" s="180"/>
      <c r="H435" s="133" t="s">
        <v>34</v>
      </c>
      <c r="I435" s="44"/>
      <c r="J435" s="44"/>
      <c r="K435" s="45"/>
      <c r="L435" s="1359"/>
      <c r="M435" s="45"/>
      <c r="N435" s="45"/>
      <c r="O435" s="45"/>
      <c r="P435" s="45"/>
      <c r="Q435" s="45"/>
      <c r="R435" s="45"/>
      <c r="S435" s="45"/>
      <c r="T435" s="45"/>
      <c r="U435" s="45"/>
    </row>
    <row r="436" spans="1:21" ht="18.75" x14ac:dyDescent="0.25">
      <c r="A436" s="208"/>
      <c r="B436" s="158"/>
      <c r="C436" s="158"/>
      <c r="D436" s="209" t="s">
        <v>167</v>
      </c>
      <c r="E436" s="158"/>
      <c r="F436" s="158"/>
      <c r="G436" s="180"/>
      <c r="H436" s="133" t="s">
        <v>46</v>
      </c>
      <c r="I436" s="44"/>
      <c r="J436" s="44"/>
      <c r="K436" s="45"/>
      <c r="L436" s="1359"/>
      <c r="M436" s="45"/>
      <c r="N436" s="45"/>
      <c r="O436" s="45"/>
      <c r="P436" s="45"/>
      <c r="Q436" s="45"/>
      <c r="R436" s="45"/>
      <c r="S436" s="45"/>
      <c r="T436" s="45"/>
      <c r="U436" s="45"/>
    </row>
    <row r="437" spans="1:21" ht="18.75" x14ac:dyDescent="0.25">
      <c r="A437" s="208"/>
      <c r="B437" s="158"/>
      <c r="C437" s="158"/>
      <c r="D437" s="158"/>
      <c r="E437" s="158"/>
      <c r="F437" s="158"/>
      <c r="G437" s="180"/>
      <c r="H437" s="133" t="s">
        <v>34</v>
      </c>
      <c r="I437" s="44"/>
      <c r="J437" s="44"/>
      <c r="K437" s="45"/>
      <c r="L437" s="1359"/>
      <c r="M437" s="45"/>
      <c r="N437" s="45"/>
      <c r="O437" s="45"/>
      <c r="P437" s="45"/>
      <c r="Q437" s="45"/>
      <c r="R437" s="45"/>
      <c r="S437" s="45"/>
      <c r="T437" s="45"/>
      <c r="U437" s="45"/>
    </row>
    <row r="438" spans="1:21" ht="18.75" x14ac:dyDescent="0.25">
      <c r="A438" s="208"/>
      <c r="B438" s="158"/>
      <c r="C438" s="158"/>
      <c r="D438" s="209" t="s">
        <v>168</v>
      </c>
      <c r="E438" s="158"/>
      <c r="F438" s="158"/>
      <c r="G438" s="180"/>
      <c r="H438" s="133" t="s">
        <v>46</v>
      </c>
      <c r="I438" s="44"/>
      <c r="J438" s="44"/>
      <c r="K438" s="45"/>
      <c r="L438" s="1359"/>
      <c r="M438" s="45"/>
      <c r="N438" s="45"/>
      <c r="O438" s="45"/>
      <c r="P438" s="45"/>
      <c r="Q438" s="45"/>
      <c r="R438" s="45"/>
      <c r="S438" s="45"/>
      <c r="T438" s="45"/>
      <c r="U438" s="45"/>
    </row>
    <row r="439" spans="1:21" ht="18.75" x14ac:dyDescent="0.25">
      <c r="A439" s="208"/>
      <c r="B439" s="158"/>
      <c r="C439" s="158"/>
      <c r="D439" s="158"/>
      <c r="E439" s="158"/>
      <c r="F439" s="158"/>
      <c r="G439" s="180"/>
      <c r="H439" s="133" t="s">
        <v>34</v>
      </c>
      <c r="I439" s="44"/>
      <c r="J439" s="44"/>
      <c r="K439" s="45"/>
      <c r="L439" s="1359"/>
      <c r="M439" s="45"/>
      <c r="N439" s="45"/>
      <c r="O439" s="45"/>
      <c r="P439" s="45"/>
      <c r="Q439" s="45"/>
      <c r="R439" s="45"/>
      <c r="S439" s="45"/>
      <c r="T439" s="45"/>
      <c r="U439" s="45"/>
    </row>
    <row r="440" spans="1:21" ht="19.5" x14ac:dyDescent="0.3">
      <c r="A440" s="208"/>
      <c r="B440" s="158"/>
      <c r="C440" s="161" t="s">
        <v>169</v>
      </c>
      <c r="D440" s="158"/>
      <c r="E440" s="158"/>
      <c r="F440" s="158"/>
      <c r="G440" s="180"/>
      <c r="H440" s="131" t="s">
        <v>46</v>
      </c>
      <c r="I440" s="328">
        <f ca="1">IFERROR(__xludf.DUMMYFUNCTION("IMPORTRANGE(""https://docs.google.com/spreadsheets/d/1eHaY18a8A9IcSdp1K8H6x8fbOy06t2VsZHhMHf-1x7Y/edit?usp=sharing"",""แผน!HJ30"")"),97018)</f>
        <v>97018</v>
      </c>
      <c r="J440" s="328">
        <f>J442+J444+J446+J452+J454</f>
        <v>0</v>
      </c>
      <c r="K440" s="1390">
        <f ca="1">IF(I440&gt;0,J440*100/I440,0)</f>
        <v>0</v>
      </c>
      <c r="L440" s="1359"/>
      <c r="M440" s="45"/>
      <c r="N440" s="45"/>
      <c r="O440" s="45"/>
      <c r="P440" s="45"/>
      <c r="Q440" s="45"/>
      <c r="R440" s="45"/>
      <c r="S440" s="45"/>
      <c r="T440" s="45"/>
      <c r="U440" s="45"/>
    </row>
    <row r="441" spans="1:21" ht="19.5" x14ac:dyDescent="0.3">
      <c r="A441" s="208"/>
      <c r="B441" s="158"/>
      <c r="C441" s="158"/>
      <c r="D441" s="158"/>
      <c r="E441" s="158"/>
      <c r="F441" s="158"/>
      <c r="G441" s="180"/>
      <c r="H441" s="131" t="s">
        <v>34</v>
      </c>
      <c r="I441" s="328">
        <f ca="1">IFERROR(__xludf.DUMMYFUNCTION("IMPORTRANGE(""https://docs.google.com/spreadsheets/d/1eHaY18a8A9IcSdp1K8H6x8fbOy06t2VsZHhMHf-1x7Y/edit?usp=sharing"",""แผน!HK30"")"),6825)</f>
        <v>6825</v>
      </c>
      <c r="J441" s="328">
        <f>J443+J445+J447+J453+J455</f>
        <v>0</v>
      </c>
      <c r="K441" s="1390">
        <f ca="1">IF(I441&gt;0,J441*100/I441,0)</f>
        <v>0</v>
      </c>
      <c r="L441" s="1359"/>
      <c r="M441" s="45"/>
      <c r="N441" s="45"/>
      <c r="O441" s="45"/>
      <c r="P441" s="45"/>
      <c r="Q441" s="45"/>
      <c r="R441" s="45"/>
      <c r="S441" s="45"/>
      <c r="T441" s="45"/>
      <c r="U441" s="45"/>
    </row>
    <row r="442" spans="1:21" ht="18.75" x14ac:dyDescent="0.25">
      <c r="A442" s="208"/>
      <c r="B442" s="158"/>
      <c r="C442" s="158"/>
      <c r="D442" s="209" t="s">
        <v>170</v>
      </c>
      <c r="E442" s="158"/>
      <c r="F442" s="158"/>
      <c r="G442" s="180"/>
      <c r="H442" s="133" t="s">
        <v>46</v>
      </c>
      <c r="I442" s="44"/>
      <c r="J442" s="44"/>
      <c r="K442" s="45"/>
      <c r="L442" s="1359"/>
      <c r="M442" s="45"/>
      <c r="N442" s="45"/>
      <c r="O442" s="45"/>
      <c r="P442" s="45"/>
      <c r="Q442" s="45"/>
      <c r="R442" s="45"/>
      <c r="S442" s="45"/>
      <c r="T442" s="45"/>
      <c r="U442" s="45"/>
    </row>
    <row r="443" spans="1:21" ht="18.75" x14ac:dyDescent="0.25">
      <c r="A443" s="208"/>
      <c r="B443" s="158"/>
      <c r="C443" s="158"/>
      <c r="D443" s="158"/>
      <c r="E443" s="158"/>
      <c r="F443" s="158"/>
      <c r="G443" s="180"/>
      <c r="H443" s="133" t="s">
        <v>34</v>
      </c>
      <c r="I443" s="44"/>
      <c r="J443" s="44"/>
      <c r="K443" s="45"/>
      <c r="L443" s="1359"/>
      <c r="M443" s="45"/>
      <c r="N443" s="45"/>
      <c r="O443" s="45"/>
      <c r="P443" s="45"/>
      <c r="Q443" s="45"/>
      <c r="R443" s="45"/>
      <c r="S443" s="45"/>
      <c r="T443" s="45"/>
      <c r="U443" s="45"/>
    </row>
    <row r="444" spans="1:21" ht="18.75" x14ac:dyDescent="0.25">
      <c r="A444" s="208"/>
      <c r="B444" s="158"/>
      <c r="C444" s="158"/>
      <c r="D444" s="209" t="s">
        <v>171</v>
      </c>
      <c r="E444" s="158"/>
      <c r="F444" s="158"/>
      <c r="G444" s="180"/>
      <c r="H444" s="133" t="s">
        <v>46</v>
      </c>
      <c r="I444" s="44"/>
      <c r="J444" s="44"/>
      <c r="K444" s="45"/>
      <c r="L444" s="1359"/>
      <c r="M444" s="45"/>
      <c r="N444" s="45"/>
      <c r="O444" s="45"/>
      <c r="P444" s="45"/>
      <c r="Q444" s="45"/>
      <c r="R444" s="45"/>
      <c r="S444" s="45"/>
      <c r="T444" s="45"/>
      <c r="U444" s="45"/>
    </row>
    <row r="445" spans="1:21" ht="18.75" x14ac:dyDescent="0.25">
      <c r="A445" s="208"/>
      <c r="B445" s="158"/>
      <c r="C445" s="158"/>
      <c r="D445" s="158"/>
      <c r="E445" s="158"/>
      <c r="F445" s="158"/>
      <c r="G445" s="180"/>
      <c r="H445" s="133" t="s">
        <v>34</v>
      </c>
      <c r="I445" s="44"/>
      <c r="J445" s="44"/>
      <c r="K445" s="45"/>
      <c r="L445" s="1359"/>
      <c r="M445" s="45"/>
      <c r="N445" s="45"/>
      <c r="O445" s="45"/>
      <c r="P445" s="45"/>
      <c r="Q445" s="45"/>
      <c r="R445" s="45"/>
      <c r="S445" s="45"/>
      <c r="T445" s="45"/>
      <c r="U445" s="45"/>
    </row>
    <row r="446" spans="1:21" ht="19.5" x14ac:dyDescent="0.3">
      <c r="A446" s="208"/>
      <c r="B446" s="158"/>
      <c r="C446" s="158"/>
      <c r="D446" s="209" t="s">
        <v>172</v>
      </c>
      <c r="E446" s="158"/>
      <c r="F446" s="158"/>
      <c r="G446" s="180"/>
      <c r="H446" s="133" t="s">
        <v>46</v>
      </c>
      <c r="I446" s="44"/>
      <c r="J446" s="328">
        <f>J448+J450</f>
        <v>0</v>
      </c>
      <c r="K446" s="45"/>
      <c r="L446" s="1359"/>
      <c r="M446" s="45"/>
      <c r="N446" s="45"/>
      <c r="O446" s="45"/>
      <c r="P446" s="45"/>
      <c r="Q446" s="45"/>
      <c r="R446" s="45"/>
      <c r="S446" s="45"/>
      <c r="T446" s="45"/>
      <c r="U446" s="45"/>
    </row>
    <row r="447" spans="1:21" ht="19.5" x14ac:dyDescent="0.3">
      <c r="A447" s="208"/>
      <c r="B447" s="158"/>
      <c r="C447" s="158"/>
      <c r="D447" s="158"/>
      <c r="E447" s="158"/>
      <c r="F447" s="158"/>
      <c r="G447" s="180"/>
      <c r="H447" s="133" t="s">
        <v>34</v>
      </c>
      <c r="I447" s="44"/>
      <c r="J447" s="328">
        <f>J449+J451</f>
        <v>0</v>
      </c>
      <c r="K447" s="45"/>
      <c r="L447" s="1359"/>
      <c r="M447" s="45"/>
      <c r="N447" s="45"/>
      <c r="O447" s="45"/>
      <c r="P447" s="45"/>
      <c r="Q447" s="45"/>
      <c r="R447" s="45"/>
      <c r="S447" s="45"/>
      <c r="T447" s="45"/>
      <c r="U447" s="45"/>
    </row>
    <row r="448" spans="1:21" ht="18.75" x14ac:dyDescent="0.25">
      <c r="A448" s="208"/>
      <c r="B448" s="158"/>
      <c r="C448" s="158"/>
      <c r="D448" s="158"/>
      <c r="E448" s="209" t="s">
        <v>173</v>
      </c>
      <c r="F448" s="158"/>
      <c r="G448" s="180"/>
      <c r="H448" s="133" t="s">
        <v>46</v>
      </c>
      <c r="I448" s="44"/>
      <c r="J448" s="44"/>
      <c r="K448" s="45"/>
      <c r="L448" s="1359"/>
      <c r="M448" s="45"/>
      <c r="N448" s="45"/>
      <c r="O448" s="45"/>
      <c r="P448" s="45"/>
      <c r="Q448" s="45"/>
      <c r="R448" s="45"/>
      <c r="S448" s="45"/>
      <c r="T448" s="45"/>
      <c r="U448" s="45"/>
    </row>
    <row r="449" spans="1:21" ht="18.75" x14ac:dyDescent="0.25">
      <c r="A449" s="208"/>
      <c r="B449" s="158"/>
      <c r="C449" s="158"/>
      <c r="D449" s="158"/>
      <c r="E449" s="158"/>
      <c r="F449" s="158"/>
      <c r="G449" s="180"/>
      <c r="H449" s="133" t="s">
        <v>34</v>
      </c>
      <c r="I449" s="44"/>
      <c r="J449" s="44"/>
      <c r="K449" s="45"/>
      <c r="L449" s="1359"/>
      <c r="M449" s="45"/>
      <c r="N449" s="45"/>
      <c r="O449" s="45"/>
      <c r="P449" s="45"/>
      <c r="Q449" s="45"/>
      <c r="R449" s="45"/>
      <c r="S449" s="45"/>
      <c r="T449" s="45"/>
      <c r="U449" s="45"/>
    </row>
    <row r="450" spans="1:21" ht="18.75" x14ac:dyDescent="0.25">
      <c r="A450" s="208"/>
      <c r="B450" s="158"/>
      <c r="C450" s="158"/>
      <c r="D450" s="158"/>
      <c r="E450" s="209" t="s">
        <v>174</v>
      </c>
      <c r="F450" s="158"/>
      <c r="G450" s="180"/>
      <c r="H450" s="133" t="s">
        <v>46</v>
      </c>
      <c r="I450" s="44"/>
      <c r="J450" s="44"/>
      <c r="K450" s="45"/>
      <c r="L450" s="1359"/>
      <c r="M450" s="45"/>
      <c r="N450" s="45"/>
      <c r="O450" s="45"/>
      <c r="P450" s="45"/>
      <c r="Q450" s="45"/>
      <c r="R450" s="45"/>
      <c r="S450" s="45"/>
      <c r="T450" s="45"/>
      <c r="U450" s="45"/>
    </row>
    <row r="451" spans="1:21" ht="18.75" x14ac:dyDescent="0.25">
      <c r="A451" s="208"/>
      <c r="B451" s="158"/>
      <c r="C451" s="158"/>
      <c r="D451" s="158"/>
      <c r="E451" s="158"/>
      <c r="F451" s="158"/>
      <c r="G451" s="180"/>
      <c r="H451" s="133" t="s">
        <v>34</v>
      </c>
      <c r="I451" s="44"/>
      <c r="J451" s="44"/>
      <c r="K451" s="45"/>
      <c r="L451" s="1359"/>
      <c r="M451" s="45"/>
      <c r="N451" s="45"/>
      <c r="O451" s="45"/>
      <c r="P451" s="45"/>
      <c r="Q451" s="45"/>
      <c r="R451" s="45"/>
      <c r="S451" s="45"/>
      <c r="T451" s="45"/>
      <c r="U451" s="45"/>
    </row>
    <row r="452" spans="1:21" ht="18.75" x14ac:dyDescent="0.25">
      <c r="A452" s="208"/>
      <c r="B452" s="158"/>
      <c r="C452" s="158"/>
      <c r="D452" s="209" t="s">
        <v>175</v>
      </c>
      <c r="E452" s="158"/>
      <c r="F452" s="158"/>
      <c r="G452" s="180"/>
      <c r="H452" s="133" t="s">
        <v>46</v>
      </c>
      <c r="I452" s="44"/>
      <c r="J452" s="44"/>
      <c r="K452" s="45"/>
      <c r="L452" s="1359"/>
      <c r="M452" s="45"/>
      <c r="N452" s="45"/>
      <c r="O452" s="45"/>
      <c r="P452" s="45"/>
      <c r="Q452" s="45"/>
      <c r="R452" s="45"/>
      <c r="S452" s="45"/>
      <c r="T452" s="45"/>
      <c r="U452" s="45"/>
    </row>
    <row r="453" spans="1:21" ht="18.75" x14ac:dyDescent="0.25">
      <c r="A453" s="208"/>
      <c r="B453" s="158"/>
      <c r="C453" s="158"/>
      <c r="D453" s="158"/>
      <c r="E453" s="158"/>
      <c r="F453" s="158"/>
      <c r="G453" s="180"/>
      <c r="H453" s="133" t="s">
        <v>34</v>
      </c>
      <c r="I453" s="44"/>
      <c r="J453" s="44"/>
      <c r="K453" s="45"/>
      <c r="L453" s="1359"/>
      <c r="M453" s="45"/>
      <c r="N453" s="45"/>
      <c r="O453" s="45"/>
      <c r="P453" s="45"/>
      <c r="Q453" s="45"/>
      <c r="R453" s="45"/>
      <c r="S453" s="45"/>
      <c r="T453" s="45"/>
      <c r="U453" s="45"/>
    </row>
    <row r="454" spans="1:21" ht="18.75" x14ac:dyDescent="0.25">
      <c r="A454" s="208"/>
      <c r="B454" s="158"/>
      <c r="C454" s="158"/>
      <c r="D454" s="209" t="s">
        <v>176</v>
      </c>
      <c r="E454" s="158"/>
      <c r="F454" s="158"/>
      <c r="G454" s="180"/>
      <c r="H454" s="133" t="s">
        <v>46</v>
      </c>
      <c r="I454" s="44"/>
      <c r="J454" s="1540"/>
      <c r="K454" s="45"/>
      <c r="L454" s="1359"/>
      <c r="M454" s="45"/>
      <c r="N454" s="45"/>
      <c r="O454" s="45"/>
      <c r="P454" s="45"/>
      <c r="Q454" s="45"/>
      <c r="R454" s="45"/>
      <c r="S454" s="45"/>
      <c r="T454" s="45"/>
      <c r="U454" s="45"/>
    </row>
    <row r="455" spans="1:21" ht="18.75" x14ac:dyDescent="0.25">
      <c r="A455" s="208"/>
      <c r="B455" s="158"/>
      <c r="C455" s="158"/>
      <c r="D455" s="158"/>
      <c r="E455" s="158"/>
      <c r="F455" s="158"/>
      <c r="G455" s="180"/>
      <c r="H455" s="133" t="s">
        <v>34</v>
      </c>
      <c r="I455" s="44"/>
      <c r="J455" s="44"/>
      <c r="K455" s="45"/>
      <c r="L455" s="1359"/>
      <c r="M455" s="45"/>
      <c r="N455" s="45"/>
      <c r="O455" s="45"/>
      <c r="P455" s="45"/>
      <c r="Q455" s="45"/>
      <c r="R455" s="45"/>
      <c r="S455" s="45"/>
      <c r="T455" s="45"/>
      <c r="U455" s="45"/>
    </row>
    <row r="456" spans="1:21" ht="19.5" x14ac:dyDescent="0.3">
      <c r="A456" s="208"/>
      <c r="B456" s="161" t="s">
        <v>177</v>
      </c>
      <c r="C456" s="158"/>
      <c r="D456" s="158"/>
      <c r="E456" s="158"/>
      <c r="F456" s="158"/>
      <c r="G456" s="180"/>
      <c r="H456" s="323" t="s">
        <v>46</v>
      </c>
      <c r="I456" s="328">
        <f ca="1">I457</f>
        <v>564</v>
      </c>
      <c r="J456" s="328">
        <f>J457</f>
        <v>0</v>
      </c>
      <c r="K456" s="1390">
        <f ca="1">IF(I456&gt;0,J456*100/I456,0)</f>
        <v>0</v>
      </c>
      <c r="L456" s="1359"/>
      <c r="M456" s="45"/>
      <c r="N456" s="45"/>
      <c r="O456" s="45"/>
      <c r="P456" s="45"/>
      <c r="Q456" s="45"/>
      <c r="R456" s="45"/>
      <c r="S456" s="45"/>
      <c r="T456" s="45"/>
      <c r="U456" s="45"/>
    </row>
    <row r="457" spans="1:21" ht="19.5" x14ac:dyDescent="0.3">
      <c r="A457" s="208"/>
      <c r="B457" s="158"/>
      <c r="C457" s="161" t="s">
        <v>178</v>
      </c>
      <c r="D457" s="158"/>
      <c r="E457" s="158"/>
      <c r="F457" s="158"/>
      <c r="G457" s="180"/>
      <c r="H457" s="131" t="s">
        <v>46</v>
      </c>
      <c r="I457" s="328">
        <f ca="1">IFERROR(__xludf.DUMMYFUNCTION("IMPORTRANGE(""https://docs.google.com/spreadsheets/d/1eHaY18a8A9IcSdp1K8H6x8fbOy06t2VsZHhMHf-1x7Y/edit?usp=sharing"",""แผน!HL30"")"),564)</f>
        <v>564</v>
      </c>
      <c r="J457" s="328">
        <f>J459+J467+J473</f>
        <v>0</v>
      </c>
      <c r="K457" s="1390">
        <f ca="1">IF(I457&gt;0,J457*100/I457,0)</f>
        <v>0</v>
      </c>
      <c r="L457" s="1359"/>
      <c r="M457" s="45"/>
      <c r="N457" s="45"/>
      <c r="O457" s="45"/>
      <c r="P457" s="45"/>
      <c r="Q457" s="45"/>
      <c r="R457" s="45"/>
      <c r="S457" s="45"/>
      <c r="T457" s="45"/>
      <c r="U457" s="45"/>
    </row>
    <row r="458" spans="1:21" ht="19.5" x14ac:dyDescent="0.3">
      <c r="A458" s="208"/>
      <c r="B458" s="158"/>
      <c r="C458" s="158"/>
      <c r="D458" s="158"/>
      <c r="E458" s="158"/>
      <c r="F458" s="158"/>
      <c r="G458" s="180"/>
      <c r="H458" s="131" t="s">
        <v>34</v>
      </c>
      <c r="I458" s="328">
        <f ca="1">IFERROR(__xludf.DUMMYFUNCTION("IMPORTRANGE(""https://docs.google.com/spreadsheets/d/1eHaY18a8A9IcSdp1K8H6x8fbOy06t2VsZHhMHf-1x7Y/edit?usp=sharing"",""แผน!HM30"")"),0)</f>
        <v>0</v>
      </c>
      <c r="J458" s="328">
        <f>J460+J468+J474</f>
        <v>0</v>
      </c>
      <c r="K458" s="1390">
        <f ca="1">IF(I458&gt;0,J458*100/I458,0)</f>
        <v>0</v>
      </c>
      <c r="L458" s="1359"/>
      <c r="M458" s="45"/>
      <c r="N458" s="45"/>
      <c r="O458" s="45"/>
      <c r="P458" s="45"/>
      <c r="Q458" s="45"/>
      <c r="R458" s="45"/>
      <c r="S458" s="45"/>
      <c r="T458" s="45"/>
      <c r="U458" s="45"/>
    </row>
    <row r="459" spans="1:21" ht="18.75" x14ac:dyDescent="0.25">
      <c r="A459" s="208"/>
      <c r="B459" s="158"/>
      <c r="C459" s="209" t="s">
        <v>179</v>
      </c>
      <c r="D459" s="158"/>
      <c r="E459" s="158"/>
      <c r="F459" s="158"/>
      <c r="G459" s="180"/>
      <c r="H459" s="133" t="s">
        <v>46</v>
      </c>
      <c r="I459" s="44"/>
      <c r="J459" s="184">
        <f>J461+J463</f>
        <v>0</v>
      </c>
      <c r="K459" s="45"/>
      <c r="L459" s="1359"/>
      <c r="M459" s="45"/>
      <c r="N459" s="45"/>
      <c r="O459" s="45"/>
      <c r="P459" s="45"/>
      <c r="Q459" s="45"/>
      <c r="R459" s="45"/>
      <c r="S459" s="45"/>
      <c r="T459" s="45"/>
      <c r="U459" s="45"/>
    </row>
    <row r="460" spans="1:21" ht="18.75" x14ac:dyDescent="0.25">
      <c r="A460" s="208"/>
      <c r="B460" s="158"/>
      <c r="C460" s="158"/>
      <c r="D460" s="158"/>
      <c r="E460" s="158"/>
      <c r="F460" s="158"/>
      <c r="G460" s="180"/>
      <c r="H460" s="133" t="s">
        <v>34</v>
      </c>
      <c r="I460" s="44"/>
      <c r="J460" s="184">
        <f>J462+J464</f>
        <v>0</v>
      </c>
      <c r="K460" s="45"/>
      <c r="L460" s="1359"/>
      <c r="M460" s="45"/>
      <c r="N460" s="45"/>
      <c r="O460" s="45"/>
      <c r="P460" s="45"/>
      <c r="Q460" s="45"/>
      <c r="R460" s="45"/>
      <c r="S460" s="45"/>
      <c r="T460" s="45"/>
      <c r="U460" s="45"/>
    </row>
    <row r="461" spans="1:21" ht="18.75" x14ac:dyDescent="0.25">
      <c r="A461" s="208"/>
      <c r="B461" s="158"/>
      <c r="C461" s="158"/>
      <c r="D461" s="326" t="s">
        <v>180</v>
      </c>
      <c r="E461" s="158"/>
      <c r="F461" s="158"/>
      <c r="G461" s="180"/>
      <c r="H461" s="133" t="s">
        <v>46</v>
      </c>
      <c r="I461" s="44"/>
      <c r="J461" s="44"/>
      <c r="K461" s="45"/>
      <c r="L461" s="1359"/>
      <c r="M461" s="45"/>
      <c r="N461" s="45"/>
      <c r="O461" s="45"/>
      <c r="P461" s="45"/>
      <c r="Q461" s="45"/>
      <c r="R461" s="45"/>
      <c r="S461" s="45"/>
      <c r="T461" s="45"/>
      <c r="U461" s="45"/>
    </row>
    <row r="462" spans="1:21" ht="18.75" x14ac:dyDescent="0.25">
      <c r="A462" s="208"/>
      <c r="B462" s="158"/>
      <c r="C462" s="158"/>
      <c r="D462" s="158"/>
      <c r="E462" s="158"/>
      <c r="F462" s="158"/>
      <c r="G462" s="180"/>
      <c r="H462" s="133" t="s">
        <v>34</v>
      </c>
      <c r="I462" s="44"/>
      <c r="J462" s="44"/>
      <c r="K462" s="45"/>
      <c r="L462" s="1359"/>
      <c r="M462" s="45"/>
      <c r="N462" s="45"/>
      <c r="O462" s="45"/>
      <c r="P462" s="45"/>
      <c r="Q462" s="45"/>
      <c r="R462" s="45"/>
      <c r="S462" s="45"/>
      <c r="T462" s="45"/>
      <c r="U462" s="45"/>
    </row>
    <row r="463" spans="1:21" ht="18.75" x14ac:dyDescent="0.25">
      <c r="A463" s="208"/>
      <c r="B463" s="158"/>
      <c r="C463" s="158"/>
      <c r="D463" s="326" t="s">
        <v>181</v>
      </c>
      <c r="E463" s="158"/>
      <c r="F463" s="158"/>
      <c r="G463" s="180"/>
      <c r="H463" s="133" t="s">
        <v>46</v>
      </c>
      <c r="I463" s="44"/>
      <c r="J463" s="44"/>
      <c r="K463" s="45"/>
      <c r="L463" s="1359"/>
      <c r="M463" s="45"/>
      <c r="N463" s="45"/>
      <c r="O463" s="45"/>
      <c r="P463" s="45"/>
      <c r="Q463" s="45"/>
      <c r="R463" s="45"/>
      <c r="S463" s="45"/>
      <c r="T463" s="45"/>
      <c r="U463" s="45"/>
    </row>
    <row r="464" spans="1:21" ht="18.75" x14ac:dyDescent="0.25">
      <c r="A464" s="208"/>
      <c r="B464" s="158"/>
      <c r="C464" s="158"/>
      <c r="D464" s="158"/>
      <c r="E464" s="158"/>
      <c r="F464" s="158"/>
      <c r="G464" s="180"/>
      <c r="H464" s="133" t="s">
        <v>34</v>
      </c>
      <c r="I464" s="44"/>
      <c r="J464" s="44"/>
      <c r="K464" s="45"/>
      <c r="L464" s="1359"/>
      <c r="M464" s="45"/>
      <c r="N464" s="45"/>
      <c r="O464" s="45"/>
      <c r="P464" s="45"/>
      <c r="Q464" s="45"/>
      <c r="R464" s="45"/>
      <c r="S464" s="45"/>
      <c r="T464" s="45"/>
      <c r="U464" s="45"/>
    </row>
    <row r="465" spans="1:21" ht="18.75" x14ac:dyDescent="0.25">
      <c r="A465" s="208"/>
      <c r="B465" s="158"/>
      <c r="C465" s="158"/>
      <c r="D465" s="326" t="s">
        <v>182</v>
      </c>
      <c r="E465" s="158"/>
      <c r="F465" s="158"/>
      <c r="G465" s="180"/>
      <c r="H465" s="133" t="s">
        <v>46</v>
      </c>
      <c r="I465" s="44"/>
      <c r="J465" s="44"/>
      <c r="K465" s="45"/>
      <c r="L465" s="1359"/>
      <c r="M465" s="45"/>
      <c r="N465" s="45"/>
      <c r="O465" s="45"/>
      <c r="P465" s="45"/>
      <c r="Q465" s="45"/>
      <c r="R465" s="45"/>
      <c r="S465" s="45"/>
      <c r="T465" s="45"/>
      <c r="U465" s="45"/>
    </row>
    <row r="466" spans="1:21" ht="18.75" x14ac:dyDescent="0.25">
      <c r="A466" s="208"/>
      <c r="B466" s="158"/>
      <c r="C466" s="158"/>
      <c r="D466" s="158"/>
      <c r="E466" s="158"/>
      <c r="F466" s="158"/>
      <c r="G466" s="180"/>
      <c r="H466" s="133" t="s">
        <v>34</v>
      </c>
      <c r="I466" s="44"/>
      <c r="J466" s="44"/>
      <c r="K466" s="45"/>
      <c r="L466" s="1359"/>
      <c r="M466" s="45"/>
      <c r="N466" s="45"/>
      <c r="O466" s="45"/>
      <c r="P466" s="45"/>
      <c r="Q466" s="45"/>
      <c r="R466" s="45"/>
      <c r="S466" s="45"/>
      <c r="T466" s="45"/>
      <c r="U466" s="45"/>
    </row>
    <row r="467" spans="1:21" ht="18.75" x14ac:dyDescent="0.25">
      <c r="A467" s="208"/>
      <c r="B467" s="158"/>
      <c r="C467" s="326" t="s">
        <v>183</v>
      </c>
      <c r="D467" s="158"/>
      <c r="E467" s="158"/>
      <c r="F467" s="158"/>
      <c r="G467" s="180"/>
      <c r="H467" s="133" t="s">
        <v>46</v>
      </c>
      <c r="I467" s="44"/>
      <c r="J467" s="184">
        <f>J469+J471</f>
        <v>0</v>
      </c>
      <c r="K467" s="45"/>
      <c r="L467" s="1359"/>
      <c r="M467" s="45"/>
      <c r="N467" s="45"/>
      <c r="O467" s="45"/>
      <c r="P467" s="45"/>
      <c r="Q467" s="45"/>
      <c r="R467" s="45"/>
      <c r="S467" s="45"/>
      <c r="T467" s="45"/>
      <c r="U467" s="45"/>
    </row>
    <row r="468" spans="1:21" ht="18.75" x14ac:dyDescent="0.25">
      <c r="A468" s="208"/>
      <c r="B468" s="158"/>
      <c r="C468" s="158"/>
      <c r="D468" s="158"/>
      <c r="E468" s="158"/>
      <c r="F468" s="158"/>
      <c r="G468" s="180"/>
      <c r="H468" s="133" t="s">
        <v>34</v>
      </c>
      <c r="I468" s="44"/>
      <c r="J468" s="184">
        <f>J470+J472</f>
        <v>0</v>
      </c>
      <c r="K468" s="45"/>
      <c r="L468" s="1359"/>
      <c r="M468" s="45"/>
      <c r="N468" s="45"/>
      <c r="O468" s="45"/>
      <c r="P468" s="45"/>
      <c r="Q468" s="45"/>
      <c r="R468" s="45"/>
      <c r="S468" s="45"/>
      <c r="T468" s="45"/>
      <c r="U468" s="45"/>
    </row>
    <row r="469" spans="1:21" ht="18.75" x14ac:dyDescent="0.25">
      <c r="A469" s="208"/>
      <c r="B469" s="158"/>
      <c r="C469" s="158"/>
      <c r="D469" s="326" t="s">
        <v>184</v>
      </c>
      <c r="E469" s="158"/>
      <c r="F469" s="158"/>
      <c r="G469" s="180"/>
      <c r="H469" s="133" t="s">
        <v>46</v>
      </c>
      <c r="I469" s="44"/>
      <c r="J469" s="44"/>
      <c r="K469" s="45"/>
      <c r="L469" s="1359"/>
      <c r="M469" s="45"/>
      <c r="N469" s="45"/>
      <c r="O469" s="45"/>
      <c r="P469" s="45"/>
      <c r="Q469" s="45"/>
      <c r="R469" s="45"/>
      <c r="S469" s="45"/>
      <c r="T469" s="45"/>
      <c r="U469" s="45"/>
    </row>
    <row r="470" spans="1:21" ht="18.75" x14ac:dyDescent="0.25">
      <c r="A470" s="208"/>
      <c r="B470" s="158"/>
      <c r="C470" s="158"/>
      <c r="D470" s="158"/>
      <c r="E470" s="158"/>
      <c r="F470" s="158"/>
      <c r="G470" s="180"/>
      <c r="H470" s="133" t="s">
        <v>34</v>
      </c>
      <c r="I470" s="44"/>
      <c r="J470" s="44"/>
      <c r="K470" s="45"/>
      <c r="L470" s="1359"/>
      <c r="M470" s="45"/>
      <c r="N470" s="45"/>
      <c r="O470" s="45"/>
      <c r="P470" s="45"/>
      <c r="Q470" s="45"/>
      <c r="R470" s="45"/>
      <c r="S470" s="45"/>
      <c r="T470" s="45"/>
      <c r="U470" s="45"/>
    </row>
    <row r="471" spans="1:21" ht="18.75" x14ac:dyDescent="0.25">
      <c r="A471" s="208"/>
      <c r="B471" s="158"/>
      <c r="C471" s="158"/>
      <c r="D471" s="326" t="s">
        <v>185</v>
      </c>
      <c r="E471" s="158"/>
      <c r="F471" s="158"/>
      <c r="G471" s="180"/>
      <c r="H471" s="133" t="s">
        <v>46</v>
      </c>
      <c r="I471" s="44"/>
      <c r="J471" s="44"/>
      <c r="K471" s="45"/>
      <c r="L471" s="1359"/>
      <c r="M471" s="45"/>
      <c r="N471" s="45"/>
      <c r="O471" s="45"/>
      <c r="P471" s="45"/>
      <c r="Q471" s="45"/>
      <c r="R471" s="45"/>
      <c r="S471" s="45"/>
      <c r="T471" s="45"/>
      <c r="U471" s="45"/>
    </row>
    <row r="472" spans="1:21" ht="18.75" x14ac:dyDescent="0.25">
      <c r="A472" s="208"/>
      <c r="B472" s="158"/>
      <c r="C472" s="158"/>
      <c r="D472" s="158"/>
      <c r="E472" s="158"/>
      <c r="F472" s="158"/>
      <c r="G472" s="180"/>
      <c r="H472" s="133" t="s">
        <v>34</v>
      </c>
      <c r="I472" s="44"/>
      <c r="J472" s="44"/>
      <c r="K472" s="45"/>
      <c r="L472" s="1359"/>
      <c r="M472" s="45"/>
      <c r="N472" s="45"/>
      <c r="O472" s="45"/>
      <c r="P472" s="45"/>
      <c r="Q472" s="45"/>
      <c r="R472" s="45"/>
      <c r="S472" s="45"/>
      <c r="T472" s="45"/>
      <c r="U472" s="45"/>
    </row>
    <row r="473" spans="1:21" ht="18.75" x14ac:dyDescent="0.25">
      <c r="A473" s="208"/>
      <c r="B473" s="158"/>
      <c r="C473" s="209" t="s">
        <v>186</v>
      </c>
      <c r="D473" s="158"/>
      <c r="E473" s="158"/>
      <c r="F473" s="158"/>
      <c r="G473" s="180"/>
      <c r="H473" s="133" t="s">
        <v>46</v>
      </c>
      <c r="I473" s="44"/>
      <c r="J473" s="44"/>
      <c r="K473" s="45"/>
      <c r="L473" s="1359"/>
      <c r="M473" s="45"/>
      <c r="N473" s="45"/>
      <c r="O473" s="45"/>
      <c r="P473" s="45"/>
      <c r="Q473" s="45"/>
      <c r="R473" s="45"/>
      <c r="S473" s="45"/>
      <c r="T473" s="45"/>
      <c r="U473" s="45"/>
    </row>
    <row r="474" spans="1:21" ht="18.75" x14ac:dyDescent="0.25">
      <c r="A474" s="208"/>
      <c r="B474" s="158"/>
      <c r="C474" s="158"/>
      <c r="D474" s="158"/>
      <c r="E474" s="158"/>
      <c r="F474" s="158"/>
      <c r="G474" s="180"/>
      <c r="H474" s="133" t="s">
        <v>34</v>
      </c>
      <c r="I474" s="44"/>
      <c r="J474" s="44"/>
      <c r="K474" s="45"/>
      <c r="L474" s="1359"/>
      <c r="M474" s="45"/>
      <c r="N474" s="45"/>
      <c r="O474" s="45"/>
      <c r="P474" s="45"/>
      <c r="Q474" s="45"/>
      <c r="R474" s="45"/>
      <c r="S474" s="45"/>
      <c r="T474" s="45"/>
      <c r="U474" s="45"/>
    </row>
    <row r="475" spans="1:21" ht="19.5" x14ac:dyDescent="0.3">
      <c r="A475" s="208"/>
      <c r="B475" s="327" t="s">
        <v>187</v>
      </c>
      <c r="C475" s="158"/>
      <c r="D475" s="158"/>
      <c r="E475" s="158"/>
      <c r="F475" s="158"/>
      <c r="G475" s="180"/>
      <c r="H475" s="131" t="s">
        <v>46</v>
      </c>
      <c r="I475" s="328">
        <v>0</v>
      </c>
      <c r="J475" s="328">
        <f>J478+J480</f>
        <v>0</v>
      </c>
      <c r="K475" s="1390">
        <f>IF(I475&gt;0,J475*100/I475,0)</f>
        <v>0</v>
      </c>
      <c r="L475" s="1359"/>
      <c r="M475" s="45"/>
      <c r="N475" s="45"/>
      <c r="O475" s="45"/>
      <c r="P475" s="45"/>
      <c r="Q475" s="45"/>
      <c r="R475" s="45"/>
      <c r="S475" s="45"/>
      <c r="T475" s="45"/>
      <c r="U475" s="45"/>
    </row>
    <row r="476" spans="1:21" ht="19.5" x14ac:dyDescent="0.3">
      <c r="A476" s="208"/>
      <c r="B476" s="158"/>
      <c r="C476" s="161" t="s">
        <v>188</v>
      </c>
      <c r="D476" s="158"/>
      <c r="E476" s="158"/>
      <c r="F476" s="158"/>
      <c r="G476" s="180"/>
      <c r="H476" s="131" t="s">
        <v>46</v>
      </c>
      <c r="I476" s="328">
        <v>0</v>
      </c>
      <c r="J476" s="328">
        <f>J478+J480</f>
        <v>0</v>
      </c>
      <c r="K476" s="1390">
        <f>IF(I476&gt;0,J476*100/I476,0)</f>
        <v>0</v>
      </c>
      <c r="L476" s="1359"/>
      <c r="M476" s="45"/>
      <c r="N476" s="45"/>
      <c r="O476" s="45"/>
      <c r="P476" s="45"/>
      <c r="Q476" s="45"/>
      <c r="R476" s="45"/>
      <c r="S476" s="45"/>
      <c r="T476" s="45"/>
      <c r="U476" s="45"/>
    </row>
    <row r="477" spans="1:21" ht="19.5" x14ac:dyDescent="0.3">
      <c r="A477" s="208"/>
      <c r="B477" s="158"/>
      <c r="C477" s="209" t="s">
        <v>189</v>
      </c>
      <c r="D477" s="158"/>
      <c r="E477" s="158"/>
      <c r="F477" s="158"/>
      <c r="G477" s="180"/>
      <c r="H477" s="131" t="s">
        <v>34</v>
      </c>
      <c r="I477" s="328">
        <v>0</v>
      </c>
      <c r="J477" s="328">
        <f>J479+J481</f>
        <v>0</v>
      </c>
      <c r="K477" s="1390">
        <f>IF(I477&gt;0,J477*100/I477,0)</f>
        <v>0</v>
      </c>
      <c r="L477" s="1359"/>
      <c r="M477" s="45"/>
      <c r="N477" s="45"/>
      <c r="O477" s="45"/>
      <c r="P477" s="45"/>
      <c r="Q477" s="45"/>
      <c r="R477" s="45"/>
      <c r="S477" s="45"/>
      <c r="T477" s="45"/>
      <c r="U477" s="45"/>
    </row>
    <row r="478" spans="1:21" ht="18.75" x14ac:dyDescent="0.25">
      <c r="A478" s="208"/>
      <c r="B478" s="158"/>
      <c r="C478" s="158"/>
      <c r="D478" s="209" t="s">
        <v>190</v>
      </c>
      <c r="E478" s="158"/>
      <c r="F478" s="158"/>
      <c r="G478" s="180"/>
      <c r="H478" s="133" t="s">
        <v>46</v>
      </c>
      <c r="I478" s="44"/>
      <c r="J478" s="44"/>
      <c r="K478" s="45"/>
      <c r="L478" s="1359"/>
      <c r="M478" s="45"/>
      <c r="N478" s="45"/>
      <c r="O478" s="45"/>
      <c r="P478" s="45"/>
      <c r="Q478" s="45"/>
      <c r="R478" s="45"/>
      <c r="S478" s="45"/>
      <c r="T478" s="45"/>
      <c r="U478" s="45"/>
    </row>
    <row r="479" spans="1:21" ht="18.75" x14ac:dyDescent="0.25">
      <c r="A479" s="208"/>
      <c r="B479" s="158"/>
      <c r="C479" s="158"/>
      <c r="D479" s="158"/>
      <c r="E479" s="158"/>
      <c r="F479" s="158"/>
      <c r="G479" s="180"/>
      <c r="H479" s="133" t="s">
        <v>34</v>
      </c>
      <c r="I479" s="44"/>
      <c r="J479" s="44"/>
      <c r="K479" s="45"/>
      <c r="L479" s="1359"/>
      <c r="M479" s="45"/>
      <c r="N479" s="45"/>
      <c r="O479" s="45"/>
      <c r="P479" s="45"/>
      <c r="Q479" s="45"/>
      <c r="R479" s="45"/>
      <c r="S479" s="45"/>
      <c r="T479" s="45"/>
      <c r="U479" s="45"/>
    </row>
    <row r="480" spans="1:21" ht="18.75" x14ac:dyDescent="0.25">
      <c r="A480" s="208"/>
      <c r="B480" s="158"/>
      <c r="C480" s="158"/>
      <c r="D480" s="326" t="s">
        <v>191</v>
      </c>
      <c r="E480" s="158"/>
      <c r="F480" s="158"/>
      <c r="G480" s="180"/>
      <c r="H480" s="133" t="s">
        <v>46</v>
      </c>
      <c r="I480" s="44"/>
      <c r="J480" s="44"/>
      <c r="K480" s="45"/>
      <c r="L480" s="1359"/>
      <c r="M480" s="45"/>
      <c r="N480" s="45"/>
      <c r="O480" s="45"/>
      <c r="P480" s="45"/>
      <c r="Q480" s="45"/>
      <c r="R480" s="45"/>
      <c r="S480" s="45"/>
      <c r="T480" s="45"/>
      <c r="U480" s="45"/>
    </row>
    <row r="481" spans="1:21" ht="18.75" x14ac:dyDescent="0.25">
      <c r="A481" s="208"/>
      <c r="B481" s="158"/>
      <c r="C481" s="158"/>
      <c r="D481" s="158"/>
      <c r="E481" s="158"/>
      <c r="F481" s="158"/>
      <c r="G481" s="180"/>
      <c r="H481" s="133" t="s">
        <v>34</v>
      </c>
      <c r="I481" s="44"/>
      <c r="J481" s="44"/>
      <c r="K481" s="45"/>
      <c r="L481" s="1359"/>
      <c r="M481" s="45"/>
      <c r="N481" s="45"/>
      <c r="O481" s="45"/>
      <c r="P481" s="45"/>
      <c r="Q481" s="45"/>
      <c r="R481" s="45"/>
      <c r="S481" s="45"/>
      <c r="T481" s="45"/>
      <c r="U481" s="45"/>
    </row>
    <row r="482" spans="1:21" ht="18.75" x14ac:dyDescent="0.25">
      <c r="A482" s="208"/>
      <c r="B482" s="158"/>
      <c r="C482" s="158"/>
      <c r="D482" s="326" t="s">
        <v>192</v>
      </c>
      <c r="E482" s="158"/>
      <c r="F482" s="158"/>
      <c r="G482" s="180"/>
      <c r="H482" s="133" t="s">
        <v>46</v>
      </c>
      <c r="I482" s="44"/>
      <c r="J482" s="184">
        <f ca="1">IFERROR(__xludf.DUMMYFUNCTION("IMPORTRANGE(""https://docs.google.com/spreadsheets/d/1eHaY18a8A9IcSdp1K8H6x8fbOy06t2VsZHhMHf-1x7Y/edit?usp=sharing"",""แผน!HN30"")"),0)</f>
        <v>0</v>
      </c>
      <c r="K482" s="45"/>
      <c r="L482" s="1359"/>
      <c r="M482" s="45"/>
      <c r="N482" s="45"/>
      <c r="O482" s="45"/>
      <c r="P482" s="45"/>
      <c r="Q482" s="45"/>
      <c r="R482" s="45"/>
      <c r="S482" s="45"/>
      <c r="T482" s="45"/>
      <c r="U482" s="45"/>
    </row>
    <row r="483" spans="1:21" ht="18.75" x14ac:dyDescent="0.25">
      <c r="A483" s="208"/>
      <c r="B483" s="158"/>
      <c r="C483" s="158"/>
      <c r="D483" s="158"/>
      <c r="E483" s="158"/>
      <c r="F483" s="158"/>
      <c r="G483" s="180"/>
      <c r="H483" s="133" t="s">
        <v>34</v>
      </c>
      <c r="I483" s="44"/>
      <c r="J483" s="184">
        <f ca="1">IFERROR(__xludf.DUMMYFUNCTION("IMPORTRANGE(""https://docs.google.com/spreadsheets/d/1eHaY18a8A9IcSdp1K8H6x8fbOy06t2VsZHhMHf-1x7Y/edit?usp=sharing"",""แผน!HO30"")"),0)</f>
        <v>0</v>
      </c>
      <c r="K483" s="45"/>
      <c r="L483" s="1359"/>
      <c r="M483" s="45"/>
      <c r="N483" s="45"/>
      <c r="O483" s="45"/>
      <c r="P483" s="45"/>
      <c r="Q483" s="45"/>
      <c r="R483" s="45"/>
      <c r="S483" s="45"/>
      <c r="T483" s="45"/>
      <c r="U483" s="45"/>
    </row>
    <row r="484" spans="1:21" ht="19.5" x14ac:dyDescent="0.3">
      <c r="A484" s="208"/>
      <c r="B484" s="158"/>
      <c r="C484" s="161" t="s">
        <v>193</v>
      </c>
      <c r="D484" s="158"/>
      <c r="E484" s="158"/>
      <c r="F484" s="158"/>
      <c r="G484" s="180"/>
      <c r="H484" s="131" t="s">
        <v>46</v>
      </c>
      <c r="I484" s="44">
        <f>J480</f>
        <v>0</v>
      </c>
      <c r="J484" s="328">
        <f>J486+J488+J490</f>
        <v>0</v>
      </c>
      <c r="K484" s="1390">
        <f>IF(I484&gt;0,J484*100/I484,0)</f>
        <v>0</v>
      </c>
      <c r="L484" s="1359"/>
      <c r="M484" s="45"/>
      <c r="N484" s="45"/>
      <c r="O484" s="45"/>
      <c r="P484" s="45"/>
      <c r="Q484" s="45"/>
      <c r="R484" s="45"/>
      <c r="S484" s="45"/>
      <c r="T484" s="45"/>
      <c r="U484" s="45"/>
    </row>
    <row r="485" spans="1:21" ht="19.5" x14ac:dyDescent="0.3">
      <c r="A485" s="208"/>
      <c r="B485" s="158"/>
      <c r="C485" s="209" t="s">
        <v>194</v>
      </c>
      <c r="D485" s="158"/>
      <c r="E485" s="158"/>
      <c r="F485" s="158"/>
      <c r="G485" s="180"/>
      <c r="H485" s="131" t="s">
        <v>34</v>
      </c>
      <c r="I485" s="44">
        <f>J481</f>
        <v>0</v>
      </c>
      <c r="J485" s="328">
        <f>J487+J489+J491</f>
        <v>0</v>
      </c>
      <c r="K485" s="1390">
        <f>IF(I485&gt;0,J485*100/I485,0)</f>
        <v>0</v>
      </c>
      <c r="L485" s="1359"/>
      <c r="M485" s="45"/>
      <c r="N485" s="45"/>
      <c r="O485" s="45"/>
      <c r="P485" s="45"/>
      <c r="Q485" s="45"/>
      <c r="R485" s="45"/>
      <c r="S485" s="45"/>
      <c r="T485" s="45"/>
      <c r="U485" s="45"/>
    </row>
    <row r="486" spans="1:21" ht="18.75" x14ac:dyDescent="0.25">
      <c r="A486" s="208"/>
      <c r="B486" s="158"/>
      <c r="C486" s="158"/>
      <c r="D486" s="326" t="s">
        <v>195</v>
      </c>
      <c r="E486" s="158"/>
      <c r="F486" s="158"/>
      <c r="G486" s="180"/>
      <c r="H486" s="133" t="s">
        <v>46</v>
      </c>
      <c r="I486" s="44"/>
      <c r="J486" s="44"/>
      <c r="K486" s="45"/>
      <c r="L486" s="1359"/>
      <c r="M486" s="45"/>
      <c r="N486" s="45"/>
      <c r="O486" s="45"/>
      <c r="P486" s="45"/>
      <c r="Q486" s="45"/>
      <c r="R486" s="45"/>
      <c r="S486" s="45"/>
      <c r="T486" s="45"/>
      <c r="U486" s="45"/>
    </row>
    <row r="487" spans="1:21" ht="18.75" x14ac:dyDescent="0.25">
      <c r="A487" s="208"/>
      <c r="B487" s="158"/>
      <c r="C487" s="158"/>
      <c r="D487" s="158"/>
      <c r="E487" s="158"/>
      <c r="F487" s="158"/>
      <c r="G487" s="180"/>
      <c r="H487" s="133" t="s">
        <v>34</v>
      </c>
      <c r="I487" s="44"/>
      <c r="J487" s="44"/>
      <c r="K487" s="45"/>
      <c r="L487" s="1359"/>
      <c r="M487" s="45"/>
      <c r="N487" s="45"/>
      <c r="O487" s="45"/>
      <c r="P487" s="45"/>
      <c r="Q487" s="45"/>
      <c r="R487" s="45"/>
      <c r="S487" s="45"/>
      <c r="T487" s="45"/>
      <c r="U487" s="45"/>
    </row>
    <row r="488" spans="1:21" ht="18.75" x14ac:dyDescent="0.25">
      <c r="A488" s="208"/>
      <c r="B488" s="158"/>
      <c r="C488" s="158"/>
      <c r="D488" s="326" t="s">
        <v>196</v>
      </c>
      <c r="E488" s="158"/>
      <c r="F488" s="158"/>
      <c r="G488" s="180"/>
      <c r="H488" s="133" t="s">
        <v>46</v>
      </c>
      <c r="I488" s="44"/>
      <c r="J488" s="44"/>
      <c r="K488" s="45"/>
      <c r="L488" s="1359"/>
      <c r="M488" s="45"/>
      <c r="N488" s="45"/>
      <c r="O488" s="45"/>
      <c r="P488" s="45"/>
      <c r="Q488" s="45"/>
      <c r="R488" s="45"/>
      <c r="S488" s="45"/>
      <c r="T488" s="45"/>
      <c r="U488" s="45"/>
    </row>
    <row r="489" spans="1:21" ht="18.75" x14ac:dyDescent="0.25">
      <c r="A489" s="208"/>
      <c r="B489" s="158"/>
      <c r="C489" s="158"/>
      <c r="D489" s="158"/>
      <c r="E489" s="158"/>
      <c r="F489" s="158"/>
      <c r="G489" s="180"/>
      <c r="H489" s="133" t="s">
        <v>34</v>
      </c>
      <c r="I489" s="44"/>
      <c r="J489" s="44"/>
      <c r="K489" s="45"/>
      <c r="L489" s="1359"/>
      <c r="M489" s="45"/>
      <c r="N489" s="45"/>
      <c r="O489" s="45"/>
      <c r="P489" s="45"/>
      <c r="Q489" s="45"/>
      <c r="R489" s="45"/>
      <c r="S489" s="45"/>
      <c r="T489" s="45"/>
      <c r="U489" s="45"/>
    </row>
    <row r="490" spans="1:21" ht="18.75" x14ac:dyDescent="0.25">
      <c r="A490" s="208"/>
      <c r="B490" s="158"/>
      <c r="C490" s="158"/>
      <c r="D490" s="326" t="s">
        <v>197</v>
      </c>
      <c r="E490" s="158"/>
      <c r="F490" s="158"/>
      <c r="G490" s="180"/>
      <c r="H490" s="133" t="s">
        <v>46</v>
      </c>
      <c r="I490" s="44"/>
      <c r="J490" s="44"/>
      <c r="K490" s="45"/>
      <c r="L490" s="1359"/>
      <c r="M490" s="45"/>
      <c r="N490" s="45"/>
      <c r="O490" s="45"/>
      <c r="P490" s="45"/>
      <c r="Q490" s="45"/>
      <c r="R490" s="45"/>
      <c r="S490" s="45"/>
      <c r="T490" s="45"/>
      <c r="U490" s="45"/>
    </row>
    <row r="491" spans="1:21" ht="18.75" x14ac:dyDescent="0.25">
      <c r="A491" s="329"/>
      <c r="B491" s="2"/>
      <c r="C491" s="2"/>
      <c r="D491" s="2"/>
      <c r="E491" s="2"/>
      <c r="F491" s="2"/>
      <c r="G491" s="330"/>
      <c r="H491" s="331" t="s">
        <v>34</v>
      </c>
      <c r="I491" s="54"/>
      <c r="J491" s="54"/>
      <c r="K491" s="3"/>
      <c r="L491" s="1360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9.5" x14ac:dyDescent="0.3">
      <c r="A492" s="299"/>
      <c r="B492" s="310" t="s">
        <v>198</v>
      </c>
      <c r="C492" s="301"/>
      <c r="D492" s="301"/>
      <c r="E492" s="293"/>
      <c r="F492" s="293"/>
      <c r="G492" s="294"/>
      <c r="H492" s="321" t="s">
        <v>35</v>
      </c>
      <c r="I492" s="1501">
        <f ca="1">I503</f>
        <v>60</v>
      </c>
      <c r="J492" s="1501">
        <f ca="1">J503</f>
        <v>0</v>
      </c>
      <c r="K492" s="1502">
        <f ca="1">IF(I492&gt;0,J492*100/I492,0)</f>
        <v>0</v>
      </c>
      <c r="L492" s="1503"/>
      <c r="M492" s="298"/>
      <c r="N492" s="298"/>
      <c r="O492" s="298"/>
      <c r="P492" s="298"/>
      <c r="Q492" s="298"/>
      <c r="R492" s="298"/>
      <c r="S492" s="298"/>
      <c r="T492" s="298"/>
      <c r="U492" s="298"/>
    </row>
    <row r="493" spans="1:21" ht="19.5" x14ac:dyDescent="0.3">
      <c r="A493" s="128"/>
      <c r="B493" s="158"/>
      <c r="C493" s="177" t="s">
        <v>18</v>
      </c>
      <c r="D493" s="1538" t="s">
        <v>19</v>
      </c>
      <c r="E493" s="1292"/>
      <c r="F493" s="1292"/>
      <c r="G493" s="42"/>
      <c r="H493" s="221" t="s">
        <v>14</v>
      </c>
      <c r="I493" s="44"/>
      <c r="J493" s="44"/>
      <c r="K493" s="45"/>
      <c r="L493" s="1389">
        <f ca="1">L494+L495</f>
        <v>30100</v>
      </c>
      <c r="M493" s="1390">
        <f ca="1">M494+M495</f>
        <v>0</v>
      </c>
      <c r="N493" s="1390">
        <f ca="1">N494+N495</f>
        <v>0</v>
      </c>
      <c r="O493" s="1390">
        <f ca="1">IF(L493&gt;0,N493*100/L493,0)</f>
        <v>0</v>
      </c>
      <c r="P493" s="1390">
        <f ca="1">IF(M493&gt;0,N493*100/M493,0)</f>
        <v>0</v>
      </c>
      <c r="Q493" s="1390">
        <f ca="1">Q494+Q495</f>
        <v>741945</v>
      </c>
      <c r="R493" s="1390">
        <f ca="1">R494+R495</f>
        <v>741945</v>
      </c>
      <c r="S493" s="1390">
        <f ca="1">S494+S495</f>
        <v>87960</v>
      </c>
      <c r="T493" s="1390">
        <f ca="1">IF(Q493&gt;0,S493*100/Q493,0)</f>
        <v>11.855326203424783</v>
      </c>
      <c r="U493" s="1390">
        <f ca="1">IF(R493&gt;0,S493*100/R493,0)</f>
        <v>11.855326203424783</v>
      </c>
    </row>
    <row r="494" spans="1:21" ht="18.75" x14ac:dyDescent="0.25">
      <c r="A494" s="128"/>
      <c r="B494" s="158"/>
      <c r="C494" s="158"/>
      <c r="D494" s="139"/>
      <c r="E494" s="156" t="s">
        <v>158</v>
      </c>
      <c r="F494" s="40"/>
      <c r="G494" s="42"/>
      <c r="H494" s="159" t="s">
        <v>14</v>
      </c>
      <c r="I494" s="44"/>
      <c r="J494" s="44"/>
      <c r="K494" s="45"/>
      <c r="L494" s="1358">
        <f>L497+L500</f>
        <v>0</v>
      </c>
      <c r="M494" s="83">
        <f>M497+M500</f>
        <v>0</v>
      </c>
      <c r="N494" s="83">
        <f>N497+N500</f>
        <v>0</v>
      </c>
      <c r="O494" s="83">
        <f>IF(L494&gt;0,N494*100/L494,0)</f>
        <v>0</v>
      </c>
      <c r="P494" s="83">
        <f>IF(M494&gt;0,N494*100/M494,0)</f>
        <v>0</v>
      </c>
      <c r="Q494" s="83">
        <f>Q497+Q500</f>
        <v>0</v>
      </c>
      <c r="R494" s="83">
        <f>R497+R500</f>
        <v>0</v>
      </c>
      <c r="S494" s="83">
        <f>S497+S500</f>
        <v>0</v>
      </c>
      <c r="T494" s="83">
        <f>IF(Q494&gt;0,S494*100/Q494,0)</f>
        <v>0</v>
      </c>
      <c r="U494" s="83">
        <f>IF(R494&gt;0,S494*100/R494,0)</f>
        <v>0</v>
      </c>
    </row>
    <row r="495" spans="1:21" ht="18.75" x14ac:dyDescent="0.25">
      <c r="A495" s="128"/>
      <c r="B495" s="158"/>
      <c r="C495" s="158"/>
      <c r="D495" s="139"/>
      <c r="E495" s="47" t="s">
        <v>159</v>
      </c>
      <c r="F495" s="40"/>
      <c r="G495" s="42"/>
      <c r="H495" s="134" t="s">
        <v>14</v>
      </c>
      <c r="I495" s="44"/>
      <c r="J495" s="44"/>
      <c r="K495" s="45"/>
      <c r="L495" s="1356">
        <f ca="1">L498+L501</f>
        <v>30100</v>
      </c>
      <c r="M495" s="224">
        <f ca="1">M498+M501</f>
        <v>0</v>
      </c>
      <c r="N495" s="224">
        <f ca="1">N498+N501</f>
        <v>0</v>
      </c>
      <c r="O495" s="224">
        <f ca="1">IF(L495&gt;0,N495*100/L495,0)</f>
        <v>0</v>
      </c>
      <c r="P495" s="224">
        <f ca="1">IF(M495&gt;0,N495*100/M495,0)</f>
        <v>0</v>
      </c>
      <c r="Q495" s="224">
        <f ca="1">Q498+Q501</f>
        <v>741945</v>
      </c>
      <c r="R495" s="224">
        <f ca="1">R498+R501</f>
        <v>741945</v>
      </c>
      <c r="S495" s="224">
        <f ca="1">S498+S501</f>
        <v>87960</v>
      </c>
      <c r="T495" s="224">
        <f ca="1">IF(Q495&gt;0,S495*100/Q495,0)</f>
        <v>11.855326203424783</v>
      </c>
      <c r="U495" s="224">
        <f ca="1">IF(R495&gt;0,S495*100/R495,0)</f>
        <v>11.855326203424783</v>
      </c>
    </row>
    <row r="496" spans="1:21" ht="18.75" x14ac:dyDescent="0.25">
      <c r="A496" s="128"/>
      <c r="B496" s="158"/>
      <c r="C496" s="158"/>
      <c r="D496" s="1406" t="s">
        <v>22</v>
      </c>
      <c r="E496" s="40"/>
      <c r="F496" s="40"/>
      <c r="G496" s="42"/>
      <c r="H496" s="134" t="s">
        <v>14</v>
      </c>
      <c r="I496" s="135"/>
      <c r="J496" s="135"/>
      <c r="K496" s="136"/>
      <c r="L496" s="1356">
        <f ca="1">L497+L498</f>
        <v>30100</v>
      </c>
      <c r="M496" s="224">
        <f ca="1">M497+M498</f>
        <v>0</v>
      </c>
      <c r="N496" s="224">
        <f ca="1">N497+N498</f>
        <v>0</v>
      </c>
      <c r="O496" s="224">
        <f ca="1">IF(L496&gt;0,N496*100/L496,0)</f>
        <v>0</v>
      </c>
      <c r="P496" s="224">
        <f ca="1">IF(M496&gt;0,N496*100/M496,0)</f>
        <v>0</v>
      </c>
      <c r="Q496" s="224">
        <f ca="1">Q497+Q498</f>
        <v>741945</v>
      </c>
      <c r="R496" s="224">
        <f ca="1">R497+R498</f>
        <v>741945</v>
      </c>
      <c r="S496" s="224">
        <f ca="1">S497+S498</f>
        <v>87960</v>
      </c>
      <c r="T496" s="224">
        <f ca="1">IF(Q496&gt;0,S496*100/Q496,0)</f>
        <v>11.855326203424783</v>
      </c>
      <c r="U496" s="224">
        <f ca="1">IF(R496&gt;0,S496*100/R496,0)</f>
        <v>11.855326203424783</v>
      </c>
    </row>
    <row r="497" spans="1:21" ht="18.75" x14ac:dyDescent="0.25">
      <c r="A497" s="128"/>
      <c r="B497" s="158"/>
      <c r="C497" s="158"/>
      <c r="D497" s="139"/>
      <c r="E497" s="156" t="s">
        <v>158</v>
      </c>
      <c r="F497" s="40"/>
      <c r="G497" s="42"/>
      <c r="H497" s="159" t="s">
        <v>14</v>
      </c>
      <c r="I497" s="44"/>
      <c r="J497" s="44"/>
      <c r="K497" s="45"/>
      <c r="L497" s="1358">
        <v>0</v>
      </c>
      <c r="M497" s="83">
        <v>0</v>
      </c>
      <c r="N497" s="83">
        <v>0</v>
      </c>
      <c r="O497" s="83">
        <f>IF(L497&gt;0,N497*100/L497,0)</f>
        <v>0</v>
      </c>
      <c r="P497" s="83">
        <f>IF(M497&gt;0,N497*100/M497,0)</f>
        <v>0</v>
      </c>
      <c r="Q497" s="83">
        <v>0</v>
      </c>
      <c r="R497" s="83">
        <v>0</v>
      </c>
      <c r="S497" s="83">
        <v>0</v>
      </c>
      <c r="T497" s="83">
        <f>IF(Q497&gt;0,S497*100/Q497,0)</f>
        <v>0</v>
      </c>
      <c r="U497" s="83">
        <f>IF(R497&gt;0,S497*100/R497,0)</f>
        <v>0</v>
      </c>
    </row>
    <row r="498" spans="1:21" ht="18.75" x14ac:dyDescent="0.25">
      <c r="A498" s="128"/>
      <c r="B498" s="158"/>
      <c r="C498" s="158"/>
      <c r="D498" s="139"/>
      <c r="E498" s="47" t="s">
        <v>159</v>
      </c>
      <c r="F498" s="40"/>
      <c r="G498" s="42"/>
      <c r="H498" s="134" t="s">
        <v>14</v>
      </c>
      <c r="I498" s="44"/>
      <c r="J498" s="44"/>
      <c r="K498" s="45"/>
      <c r="L498" s="1356">
        <f ca="1">IFERROR(__xludf.DUMMYFUNCTION("IMPORTRANGE(""https://docs.google.com/spreadsheets/d/1-uDff_7J0KD5mKrp0Vvzr7lt3OU09vwQwhkpOPPYv2Y/edit?usp=sharing"",""งบพรบ!HU30"")"),30100)</f>
        <v>30100</v>
      </c>
      <c r="M498" s="224">
        <f ca="1">IFERROR(__xludf.DUMMYFUNCTION("IMPORTRANGE(""https://docs.google.com/spreadsheets/d/1-uDff_7J0KD5mKrp0Vvzr7lt3OU09vwQwhkpOPPYv2Y/edit?usp=sharing"",""งบพรบ!HZ30"")"),0)</f>
        <v>0</v>
      </c>
      <c r="N498" s="224">
        <f ca="1">IFERROR(__xludf.DUMMYFUNCTION("IMPORTRANGE(""https://docs.google.com/spreadsheets/d/1-uDff_7J0KD5mKrp0Vvzr7lt3OU09vwQwhkpOPPYv2Y/edit?usp=sharing"",""งบพรบ!IB30"")"),0)</f>
        <v>0</v>
      </c>
      <c r="O498" s="224">
        <f ca="1">IF(L498&gt;0,N498*100/L498,0)</f>
        <v>0</v>
      </c>
      <c r="P498" s="224">
        <f ca="1">IF(M498&gt;0,N498*100/M498,0)</f>
        <v>0</v>
      </c>
      <c r="Q498" s="224">
        <f ca="1">IFERROR(__xludf.DUMMYFUNCTION("IMPORTRANGE(""https://docs.google.com/spreadsheets/d/1ItG2mGa2ceCfYo0BwxsXqNm01IGEUdYcSSLTEv9YCik/edit?usp=sharing"",""เบิกจ่ายกองทุน!AD30"")"),741945)</f>
        <v>741945</v>
      </c>
      <c r="R498" s="224">
        <f ca="1">IFERROR(__xludf.DUMMYFUNCTION("IMPORTRANGE(""https://docs.google.com/spreadsheets/d/1ItG2mGa2ceCfYo0BwxsXqNm01IGEUdYcSSLTEv9YCik/edit?usp=sharing"",""เบิกจ่ายกองทุน!AE30"")"),741945)</f>
        <v>741945</v>
      </c>
      <c r="S498" s="224">
        <f ca="1">IFERROR(__xludf.DUMMYFUNCTION("IMPORTRANGE(""https://docs.google.com/spreadsheets/d/1ItG2mGa2ceCfYo0BwxsXqNm01IGEUdYcSSLTEv9YCik/edit?usp=sharing"",""เบิกจ่ายกองทุน!AF30"")"),87960)</f>
        <v>87960</v>
      </c>
      <c r="T498" s="224">
        <f ca="1">IF(Q498&gt;0,S498*100/Q498,0)</f>
        <v>11.855326203424783</v>
      </c>
      <c r="U498" s="224">
        <f ca="1">IF(R498&gt;0,S498*100/R498,0)</f>
        <v>11.855326203424783</v>
      </c>
    </row>
    <row r="499" spans="1:21" ht="18.75" x14ac:dyDescent="0.25">
      <c r="A499" s="128"/>
      <c r="B499" s="158"/>
      <c r="C499" s="158"/>
      <c r="D499" s="1406" t="s">
        <v>23</v>
      </c>
      <c r="E499" s="40"/>
      <c r="F499" s="40"/>
      <c r="G499" s="42"/>
      <c r="H499" s="137" t="s">
        <v>14</v>
      </c>
      <c r="I499" s="135"/>
      <c r="J499" s="135"/>
      <c r="K499" s="136"/>
      <c r="L499" s="1356">
        <f ca="1">L500+L501</f>
        <v>0</v>
      </c>
      <c r="M499" s="224">
        <f ca="1">M500+M501</f>
        <v>0</v>
      </c>
      <c r="N499" s="224">
        <f ca="1">N500+N501</f>
        <v>0</v>
      </c>
      <c r="O499" s="224">
        <f ca="1">IF(L499&gt;0,N499*100/L499,0)</f>
        <v>0</v>
      </c>
      <c r="P499" s="224">
        <f ca="1">IF(M499&gt;0,N499*100/M499,0)</f>
        <v>0</v>
      </c>
      <c r="Q499" s="224">
        <f>Q500+Q501</f>
        <v>0</v>
      </c>
      <c r="R499" s="224">
        <f>R500+R501</f>
        <v>0</v>
      </c>
      <c r="S499" s="224">
        <f>S500+S501</f>
        <v>0</v>
      </c>
      <c r="T499" s="224">
        <f>IF(Q499&gt;0,S499*100/Q499,0)</f>
        <v>0</v>
      </c>
      <c r="U499" s="224">
        <f>IF(R499&gt;0,S499*100/R499,0)</f>
        <v>0</v>
      </c>
    </row>
    <row r="500" spans="1:21" ht="18.75" x14ac:dyDescent="0.25">
      <c r="A500" s="128"/>
      <c r="B500" s="158"/>
      <c r="C500" s="158"/>
      <c r="D500" s="158"/>
      <c r="E500" s="156" t="s">
        <v>20</v>
      </c>
      <c r="F500" s="40"/>
      <c r="G500" s="42"/>
      <c r="H500" s="159" t="s">
        <v>14</v>
      </c>
      <c r="I500" s="135"/>
      <c r="J500" s="135"/>
      <c r="K500" s="136"/>
      <c r="L500" s="1358">
        <v>0</v>
      </c>
      <c r="M500" s="83">
        <v>0</v>
      </c>
      <c r="N500" s="83">
        <v>0</v>
      </c>
      <c r="O500" s="83">
        <f>IF(L500&gt;0,N500*100/L500,0)</f>
        <v>0</v>
      </c>
      <c r="P500" s="83">
        <f>IF(M500&gt;0,N500*100/M500,0)</f>
        <v>0</v>
      </c>
      <c r="Q500" s="83">
        <v>0</v>
      </c>
      <c r="R500" s="83">
        <v>0</v>
      </c>
      <c r="S500" s="83">
        <v>0</v>
      </c>
      <c r="T500" s="83">
        <f>IF(Q500&gt;0,S500*100/Q500,0)</f>
        <v>0</v>
      </c>
      <c r="U500" s="83">
        <f>IF(R500&gt;0,S500*100/R500,0)</f>
        <v>0</v>
      </c>
    </row>
    <row r="501" spans="1:21" ht="18.75" x14ac:dyDescent="0.25">
      <c r="A501" s="128"/>
      <c r="B501" s="158"/>
      <c r="C501" s="158"/>
      <c r="D501" s="158"/>
      <c r="E501" s="47" t="s">
        <v>21</v>
      </c>
      <c r="F501" s="40"/>
      <c r="G501" s="42"/>
      <c r="H501" s="137" t="s">
        <v>14</v>
      </c>
      <c r="I501" s="135"/>
      <c r="J501" s="135"/>
      <c r="K501" s="136"/>
      <c r="L501" s="1356">
        <f ca="1">IFERROR(__xludf.DUMMYFUNCTION("IMPORTRANGE(""https://docs.google.com/spreadsheets/d/1-uDff_7J0KD5mKrp0Vvzr7lt3OU09vwQwhkpOPPYv2Y/edit?usp=sharing"",""งบพรบ!HX30"")"),0)</f>
        <v>0</v>
      </c>
      <c r="M501" s="224">
        <f ca="1">IFERROR(__xludf.DUMMYFUNCTION("IMPORTRANGE(""https://docs.google.com/spreadsheets/d/1-uDff_7J0KD5mKrp0Vvzr7lt3OU09vwQwhkpOPPYv2Y/edit?usp=sharing"",""งบพรบ!IA30"")"),0)</f>
        <v>0</v>
      </c>
      <c r="N501" s="224">
        <f ca="1">IFERROR(__xludf.DUMMYFUNCTION("IMPORTRANGE(""https://docs.google.com/spreadsheets/d/1-uDff_7J0KD5mKrp0Vvzr7lt3OU09vwQwhkpOPPYv2Y/edit?usp=sharing"",""งบพรบ!IC30"")"),0)</f>
        <v>0</v>
      </c>
      <c r="O501" s="224">
        <f ca="1">IF(L501&gt;0,N501*100/L501,0)</f>
        <v>0</v>
      </c>
      <c r="P501" s="224">
        <f ca="1">IF(M501&gt;0,N501*100/M501,0)</f>
        <v>0</v>
      </c>
      <c r="Q501" s="224">
        <v>0</v>
      </c>
      <c r="R501" s="224">
        <v>0</v>
      </c>
      <c r="S501" s="224">
        <v>0</v>
      </c>
      <c r="T501" s="224">
        <f>IF(Q501&gt;0,S501*100/Q501,0)</f>
        <v>0</v>
      </c>
      <c r="U501" s="224">
        <f>IF(R501&gt;0,S501*100/R501,0)</f>
        <v>0</v>
      </c>
    </row>
    <row r="502" spans="1:21" ht="19.5" x14ac:dyDescent="0.3">
      <c r="A502" s="138"/>
      <c r="B502" s="139"/>
      <c r="C502" s="177" t="s">
        <v>18</v>
      </c>
      <c r="D502" s="1535" t="s">
        <v>38</v>
      </c>
      <c r="E502" s="141"/>
      <c r="F502" s="141"/>
      <c r="G502" s="142"/>
      <c r="H502" s="178"/>
      <c r="I502" s="135"/>
      <c r="J502" s="135"/>
      <c r="K502" s="136"/>
      <c r="L502" s="1392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08"/>
      <c r="B503" s="158"/>
      <c r="C503" s="158"/>
      <c r="D503" s="161" t="s">
        <v>199</v>
      </c>
      <c r="E503" s="40"/>
      <c r="F503" s="40"/>
      <c r="G503" s="42"/>
      <c r="H503" s="133" t="s">
        <v>35</v>
      </c>
      <c r="I503" s="328">
        <f ca="1">IFERROR(__xludf.DUMMYFUNCTION("IMPORTRANGE(""https://docs.google.com/spreadsheets/d/1eHaY18a8A9IcSdp1K8H6x8fbOy06t2VsZHhMHf-1x7Y/edit?usp=sharing"",""แผน!GX30"")"),60)</f>
        <v>60</v>
      </c>
      <c r="J503" s="328">
        <f ca="1">IF(AND(J504=I503,J505=I503,J506=I503,J507=I503),I503,0)</f>
        <v>0</v>
      </c>
      <c r="K503" s="1390">
        <f ca="1">IF(I503&gt;0,J503*100/I503,0)</f>
        <v>0</v>
      </c>
      <c r="L503" s="1359"/>
      <c r="M503" s="45"/>
      <c r="N503" s="45"/>
      <c r="O503" s="45"/>
      <c r="P503" s="45"/>
      <c r="Q503" s="45"/>
      <c r="R503" s="45"/>
      <c r="S503" s="45"/>
      <c r="T503" s="45"/>
      <c r="U503" s="45"/>
    </row>
    <row r="504" spans="1:21" ht="18.75" x14ac:dyDescent="0.25">
      <c r="A504" s="208"/>
      <c r="B504" s="158"/>
      <c r="C504" s="158"/>
      <c r="D504" s="158"/>
      <c r="E504" s="47" t="s">
        <v>200</v>
      </c>
      <c r="F504" s="40"/>
      <c r="G504" s="42"/>
      <c r="H504" s="133" t="s">
        <v>35</v>
      </c>
      <c r="I504" s="184">
        <f ca="1">IFERROR(__xludf.DUMMYFUNCTION("IMPORTRANGE(""https://docs.google.com/spreadsheets/d/1eHaY18a8A9IcSdp1K8H6x8fbOy06t2VsZHhMHf-1x7Y/edit?usp=sharing"",""แผน!GY30"")"),0)</f>
        <v>0</v>
      </c>
      <c r="J504" s="1395">
        <v>40</v>
      </c>
      <c r="K504" s="224">
        <f ca="1">IF(I504&gt;0,J504*100/I504,0)</f>
        <v>0</v>
      </c>
      <c r="L504" s="1359"/>
      <c r="M504" s="45"/>
      <c r="N504" s="45"/>
      <c r="O504" s="45"/>
      <c r="P504" s="45"/>
      <c r="Q504" s="45"/>
      <c r="R504" s="45"/>
      <c r="S504" s="45"/>
      <c r="T504" s="45"/>
      <c r="U504" s="45"/>
    </row>
    <row r="505" spans="1:21" ht="18.75" x14ac:dyDescent="0.25">
      <c r="A505" s="208"/>
      <c r="B505" s="158"/>
      <c r="C505" s="158"/>
      <c r="D505" s="158"/>
      <c r="E505" s="47" t="s">
        <v>201</v>
      </c>
      <c r="F505" s="40"/>
      <c r="G505" s="42"/>
      <c r="H505" s="133" t="s">
        <v>35</v>
      </c>
      <c r="I505" s="184">
        <f ca="1">IFERROR(__xludf.DUMMYFUNCTION("IMPORTRANGE(""https://docs.google.com/spreadsheets/d/1eHaY18a8A9IcSdp1K8H6x8fbOy06t2VsZHhMHf-1x7Y/edit?usp=sharing"",""แผน!GZ30"")"),0)</f>
        <v>0</v>
      </c>
      <c r="J505" s="1395">
        <v>30</v>
      </c>
      <c r="K505" s="224">
        <f ca="1">IF(I505&gt;0,J505*100/I505,0)</f>
        <v>0</v>
      </c>
      <c r="L505" s="1359"/>
      <c r="M505" s="45"/>
      <c r="N505" s="45"/>
      <c r="O505" s="45"/>
      <c r="P505" s="45"/>
      <c r="Q505" s="45"/>
      <c r="R505" s="45"/>
      <c r="S505" s="45"/>
      <c r="T505" s="45"/>
      <c r="U505" s="45"/>
    </row>
    <row r="506" spans="1:21" ht="18.75" x14ac:dyDescent="0.25">
      <c r="A506" s="208"/>
      <c r="B506" s="158"/>
      <c r="C506" s="158"/>
      <c r="D506" s="158"/>
      <c r="E506" s="47" t="s">
        <v>202</v>
      </c>
      <c r="F506" s="40"/>
      <c r="G506" s="42"/>
      <c r="H506" s="133" t="s">
        <v>35</v>
      </c>
      <c r="I506" s="184">
        <f ca="1">IFERROR(__xludf.DUMMYFUNCTION("IMPORTRANGE(""https://docs.google.com/spreadsheets/d/1eHaY18a8A9IcSdp1K8H6x8fbOy06t2VsZHhMHf-1x7Y/edit?usp=sharing"",""แผน!HA30"")"),0)</f>
        <v>0</v>
      </c>
      <c r="J506" s="1395">
        <v>30</v>
      </c>
      <c r="K506" s="224">
        <f ca="1">IF(I506&gt;0,J506*100/I506,0)</f>
        <v>0</v>
      </c>
      <c r="L506" s="1359"/>
      <c r="M506" s="45"/>
      <c r="N506" s="45"/>
      <c r="O506" s="45"/>
      <c r="P506" s="45"/>
      <c r="Q506" s="45"/>
      <c r="R506" s="45"/>
      <c r="S506" s="45"/>
      <c r="T506" s="45"/>
      <c r="U506" s="45"/>
    </row>
    <row r="507" spans="1:21" ht="18.75" x14ac:dyDescent="0.25">
      <c r="A507" s="208"/>
      <c r="B507" s="158"/>
      <c r="C507" s="158"/>
      <c r="D507" s="158"/>
      <c r="E507" s="332" t="s">
        <v>203</v>
      </c>
      <c r="F507" s="40"/>
      <c r="G507" s="42"/>
      <c r="H507" s="133" t="s">
        <v>35</v>
      </c>
      <c r="I507" s="184">
        <f ca="1">IFERROR(__xludf.DUMMYFUNCTION("IMPORTRANGE(""https://docs.google.com/spreadsheets/d/1eHaY18a8A9IcSdp1K8H6x8fbOy06t2VsZHhMHf-1x7Y/edit?usp=sharing"",""แผน!HB30"")"),0)</f>
        <v>0</v>
      </c>
      <c r="J507" s="1395">
        <v>30</v>
      </c>
      <c r="K507" s="224">
        <f ca="1">IF(I507&gt;0,J507*100/I507,0)</f>
        <v>0</v>
      </c>
      <c r="L507" s="1359"/>
      <c r="M507" s="45"/>
      <c r="N507" s="45"/>
      <c r="O507" s="45"/>
      <c r="P507" s="45"/>
      <c r="Q507" s="45"/>
      <c r="R507" s="45"/>
      <c r="S507" s="45"/>
      <c r="T507" s="45"/>
      <c r="U507" s="45"/>
    </row>
    <row r="508" spans="1:21" ht="18.75" x14ac:dyDescent="0.25">
      <c r="A508" s="208"/>
      <c r="B508" s="158"/>
      <c r="C508" s="158"/>
      <c r="D508" s="158"/>
      <c r="E508" s="47" t="s">
        <v>204</v>
      </c>
      <c r="F508" s="40"/>
      <c r="G508" s="42"/>
      <c r="H508" s="133" t="s">
        <v>35</v>
      </c>
      <c r="I508" s="184">
        <v>0</v>
      </c>
      <c r="J508" s="184">
        <v>0</v>
      </c>
      <c r="K508" s="224">
        <f>IF(I508&gt;0,J508*100/I508,0)</f>
        <v>0</v>
      </c>
      <c r="L508" s="1359"/>
      <c r="M508" s="45"/>
      <c r="N508" s="45"/>
      <c r="O508" s="45"/>
      <c r="P508" s="45"/>
      <c r="Q508" s="45"/>
      <c r="R508" s="45"/>
      <c r="S508" s="45"/>
      <c r="T508" s="45"/>
      <c r="U508" s="45"/>
    </row>
    <row r="509" spans="1:21" ht="19.5" x14ac:dyDescent="0.3">
      <c r="A509" s="329"/>
      <c r="B509" s="2"/>
      <c r="C509" s="2"/>
      <c r="D509" s="333" t="s">
        <v>50</v>
      </c>
      <c r="E509" s="1"/>
      <c r="F509" s="1"/>
      <c r="G509" s="52"/>
      <c r="H509" s="331" t="s">
        <v>35</v>
      </c>
      <c r="I509" s="188">
        <f ca="1">IFERROR(__xludf.DUMMYFUNCTION("IMPORTRANGE(""https://docs.google.com/spreadsheets/d/1eHaY18a8A9IcSdp1K8H6x8fbOy06t2VsZHhMHf-1x7Y/edit?usp=sharing"",""แผน!HC30"")"),0)</f>
        <v>0</v>
      </c>
      <c r="J509" s="1541">
        <v>0</v>
      </c>
      <c r="K509" s="448">
        <f ca="1">IF(I509&gt;0,J509*100/I509,0)</f>
        <v>0</v>
      </c>
      <c r="L509" s="1360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9.5" x14ac:dyDescent="0.3">
      <c r="A510" s="1542" t="s">
        <v>205</v>
      </c>
      <c r="B510" s="336"/>
      <c r="C510" s="336"/>
      <c r="D510" s="336"/>
      <c r="E510" s="337"/>
      <c r="F510" s="337"/>
      <c r="G510" s="337"/>
      <c r="H510" s="337"/>
      <c r="I510" s="338"/>
      <c r="J510" s="338"/>
      <c r="K510" s="339"/>
      <c r="L510" s="1543"/>
      <c r="M510" s="341"/>
      <c r="N510" s="341"/>
      <c r="O510" s="341"/>
      <c r="P510" s="341"/>
      <c r="Q510" s="341"/>
      <c r="R510" s="341"/>
      <c r="S510" s="341"/>
      <c r="T510" s="341"/>
      <c r="U510" s="341"/>
    </row>
    <row r="511" spans="1:21" ht="19.5" x14ac:dyDescent="0.3">
      <c r="A511" s="1544" t="s">
        <v>206</v>
      </c>
      <c r="B511" s="343"/>
      <c r="C511" s="343"/>
      <c r="D511" s="344"/>
      <c r="E511" s="343"/>
      <c r="F511" s="343"/>
      <c r="G511" s="343"/>
      <c r="H511" s="345"/>
      <c r="I511" s="346"/>
      <c r="J511" s="346"/>
      <c r="K511" s="347"/>
      <c r="L511" s="1545"/>
      <c r="M511" s="348"/>
      <c r="N511" s="348"/>
      <c r="O511" s="348"/>
      <c r="P511" s="348"/>
      <c r="Q511" s="348"/>
      <c r="R511" s="348"/>
      <c r="S511" s="348"/>
      <c r="T511" s="348"/>
      <c r="U511" s="348"/>
    </row>
    <row r="512" spans="1:21" ht="19.5" x14ac:dyDescent="0.3">
      <c r="A512" s="349"/>
      <c r="B512" s="1546" t="s">
        <v>207</v>
      </c>
      <c r="C512" s="351"/>
      <c r="D512" s="352"/>
      <c r="E512" s="352"/>
      <c r="F512" s="352"/>
      <c r="G512" s="353"/>
      <c r="H512" s="1547" t="s">
        <v>61</v>
      </c>
      <c r="I512" s="1548">
        <f>I524</f>
        <v>0</v>
      </c>
      <c r="J512" s="1548">
        <f>J524</f>
        <v>0</v>
      </c>
      <c r="K512" s="1549">
        <f>IF(I512&gt;0,J512*100/I512,0)</f>
        <v>0</v>
      </c>
      <c r="L512" s="1550"/>
      <c r="M512" s="357"/>
      <c r="N512" s="357"/>
      <c r="O512" s="357"/>
      <c r="P512" s="357"/>
      <c r="Q512" s="357"/>
      <c r="R512" s="357"/>
      <c r="S512" s="357"/>
      <c r="T512" s="357"/>
      <c r="U512" s="357"/>
    </row>
    <row r="513" spans="1:21" ht="19.5" x14ac:dyDescent="0.3">
      <c r="A513" s="128"/>
      <c r="B513" s="40"/>
      <c r="C513" s="1433" t="s">
        <v>18</v>
      </c>
      <c r="D513" s="1434" t="s">
        <v>19</v>
      </c>
      <c r="E513" s="40"/>
      <c r="F513" s="40"/>
      <c r="G513" s="42"/>
      <c r="H513" s="1551" t="s">
        <v>14</v>
      </c>
      <c r="I513" s="44"/>
      <c r="J513" s="44"/>
      <c r="K513" s="45"/>
      <c r="L513" s="1389">
        <f ca="1">L514+L515</f>
        <v>0</v>
      </c>
      <c r="M513" s="1390">
        <f ca="1">M514+M515</f>
        <v>0</v>
      </c>
      <c r="N513" s="1390">
        <f ca="1">N514+N515</f>
        <v>0</v>
      </c>
      <c r="O513" s="1390">
        <f ca="1">IF(L513&gt;0,N513*100/L513,0)</f>
        <v>0</v>
      </c>
      <c r="P513" s="1390">
        <f ca="1">IF(M513&gt;0,N513*100/M513,0)</f>
        <v>0</v>
      </c>
      <c r="Q513" s="1390">
        <f>Q514+Q515</f>
        <v>0</v>
      </c>
      <c r="R513" s="1390">
        <f>R514+R515</f>
        <v>0</v>
      </c>
      <c r="S513" s="1390">
        <f>S514+S515</f>
        <v>0</v>
      </c>
      <c r="T513" s="1390">
        <f>IF(Q513&gt;0,S513*100/Q513,0)</f>
        <v>0</v>
      </c>
      <c r="U513" s="1390">
        <f>IF(R513&gt;0,S513*100/R513,0)</f>
        <v>0</v>
      </c>
    </row>
    <row r="514" spans="1:21" ht="18.75" x14ac:dyDescent="0.25">
      <c r="A514" s="128"/>
      <c r="B514" s="40"/>
      <c r="C514" s="40"/>
      <c r="D514" s="40"/>
      <c r="E514" s="156" t="s">
        <v>20</v>
      </c>
      <c r="F514" s="40"/>
      <c r="G514" s="42"/>
      <c r="H514" s="157" t="s">
        <v>14</v>
      </c>
      <c r="I514" s="44"/>
      <c r="J514" s="44"/>
      <c r="K514" s="45"/>
      <c r="L514" s="1358">
        <f>L517+L520</f>
        <v>0</v>
      </c>
      <c r="M514" s="83">
        <f>M517+M520</f>
        <v>0</v>
      </c>
      <c r="N514" s="83">
        <f>N517+N520</f>
        <v>0</v>
      </c>
      <c r="O514" s="83">
        <f>IF(L514&gt;0,N514*100/L514,0)</f>
        <v>0</v>
      </c>
      <c r="P514" s="83">
        <f>IF(M514&gt;0,N514*100/M514,0)</f>
        <v>0</v>
      </c>
      <c r="Q514" s="83">
        <f>Q517+Q520</f>
        <v>0</v>
      </c>
      <c r="R514" s="83">
        <f>R517+R520</f>
        <v>0</v>
      </c>
      <c r="S514" s="83">
        <f>S517+S520</f>
        <v>0</v>
      </c>
      <c r="T514" s="83">
        <f>IF(Q514&gt;0,S514*100/Q514,0)</f>
        <v>0</v>
      </c>
      <c r="U514" s="83">
        <f>IF(R514&gt;0,S514*100/R514,0)</f>
        <v>0</v>
      </c>
    </row>
    <row r="515" spans="1:21" ht="18.75" x14ac:dyDescent="0.25">
      <c r="A515" s="128"/>
      <c r="B515" s="40"/>
      <c r="C515" s="40"/>
      <c r="D515" s="40"/>
      <c r="E515" s="156" t="s">
        <v>21</v>
      </c>
      <c r="F515" s="40"/>
      <c r="G515" s="42"/>
      <c r="H515" s="157" t="s">
        <v>14</v>
      </c>
      <c r="I515" s="44"/>
      <c r="J515" s="44"/>
      <c r="K515" s="45"/>
      <c r="L515" s="1356">
        <f ca="1">L518+L521</f>
        <v>0</v>
      </c>
      <c r="M515" s="224">
        <f ca="1">M518+M521</f>
        <v>0</v>
      </c>
      <c r="N515" s="224">
        <f ca="1">N518+N521</f>
        <v>0</v>
      </c>
      <c r="O515" s="224">
        <f ca="1">IF(L515&gt;0,N515*100/L515,0)</f>
        <v>0</v>
      </c>
      <c r="P515" s="224">
        <f ca="1">IF(M515&gt;0,N515*100/M515,0)</f>
        <v>0</v>
      </c>
      <c r="Q515" s="224">
        <f>Q518+Q521</f>
        <v>0</v>
      </c>
      <c r="R515" s="224">
        <f>R518+R521</f>
        <v>0</v>
      </c>
      <c r="S515" s="224">
        <f>S518+S521</f>
        <v>0</v>
      </c>
      <c r="T515" s="224">
        <f>IF(Q515&gt;0,S515*100/Q515,0)</f>
        <v>0</v>
      </c>
      <c r="U515" s="224">
        <f>IF(R515&gt;0,S515*100/R515,0)</f>
        <v>0</v>
      </c>
    </row>
    <row r="516" spans="1:21" ht="18.75" x14ac:dyDescent="0.25">
      <c r="A516" s="128"/>
      <c r="B516" s="40"/>
      <c r="C516" s="40"/>
      <c r="D516" s="1552" t="s">
        <v>22</v>
      </c>
      <c r="E516" s="40"/>
      <c r="F516" s="40"/>
      <c r="G516" s="42"/>
      <c r="H516" s="159" t="s">
        <v>14</v>
      </c>
      <c r="I516" s="135"/>
      <c r="J516" s="135"/>
      <c r="K516" s="136"/>
      <c r="L516" s="1356">
        <f ca="1">L517+L518</f>
        <v>0</v>
      </c>
      <c r="M516" s="224">
        <f ca="1">M517+M518</f>
        <v>0</v>
      </c>
      <c r="N516" s="224">
        <f ca="1">N517+N518</f>
        <v>0</v>
      </c>
      <c r="O516" s="224">
        <f ca="1">IF(L516&gt;0,N516*100/L516,0)</f>
        <v>0</v>
      </c>
      <c r="P516" s="224">
        <f ca="1">IF(M516&gt;0,N516*100/M516,0)</f>
        <v>0</v>
      </c>
      <c r="Q516" s="224">
        <f>Q517+Q518</f>
        <v>0</v>
      </c>
      <c r="R516" s="224">
        <f>R517+R518</f>
        <v>0</v>
      </c>
      <c r="S516" s="224">
        <f>S517+S518</f>
        <v>0</v>
      </c>
      <c r="T516" s="224">
        <f>IF(Q516&gt;0,S516*100/Q516,0)</f>
        <v>0</v>
      </c>
      <c r="U516" s="224">
        <f>IF(R516&gt;0,S516*100/R516,0)</f>
        <v>0</v>
      </c>
    </row>
    <row r="517" spans="1:21" ht="18.75" x14ac:dyDescent="0.25">
      <c r="A517" s="128"/>
      <c r="B517" s="40"/>
      <c r="C517" s="40"/>
      <c r="D517" s="40"/>
      <c r="E517" s="156" t="s">
        <v>36</v>
      </c>
      <c r="F517" s="40"/>
      <c r="G517" s="42"/>
      <c r="H517" s="159" t="s">
        <v>14</v>
      </c>
      <c r="I517" s="135"/>
      <c r="J517" s="135"/>
      <c r="K517" s="136"/>
      <c r="L517" s="1358">
        <v>0</v>
      </c>
      <c r="M517" s="83">
        <v>0</v>
      </c>
      <c r="N517" s="83">
        <v>0</v>
      </c>
      <c r="O517" s="83">
        <f>IF(L517&gt;0,N517*100/L517,0)</f>
        <v>0</v>
      </c>
      <c r="P517" s="83">
        <f>IF(M517&gt;0,N517*100/M517,0)</f>
        <v>0</v>
      </c>
      <c r="Q517" s="83">
        <v>0</v>
      </c>
      <c r="R517" s="83">
        <v>0</v>
      </c>
      <c r="S517" s="83">
        <v>0</v>
      </c>
      <c r="T517" s="83">
        <f>IF(Q517&gt;0,S517*100/Q517,0)</f>
        <v>0</v>
      </c>
      <c r="U517" s="83">
        <f>IF(R517&gt;0,S517*100/R517,0)</f>
        <v>0</v>
      </c>
    </row>
    <row r="518" spans="1:21" ht="18.75" x14ac:dyDescent="0.25">
      <c r="A518" s="128"/>
      <c r="B518" s="40"/>
      <c r="C518" s="40"/>
      <c r="D518" s="40"/>
      <c r="E518" s="156" t="s">
        <v>37</v>
      </c>
      <c r="F518" s="40"/>
      <c r="G518" s="42"/>
      <c r="H518" s="159" t="s">
        <v>14</v>
      </c>
      <c r="I518" s="135"/>
      <c r="J518" s="135"/>
      <c r="K518" s="136"/>
      <c r="L518" s="1356">
        <f ca="1">IFERROR(__xludf.DUMMYFUNCTION("IMPORTRANGE(""https://docs.google.com/spreadsheets/d/1-uDff_7J0KD5mKrp0Vvzr7lt3OU09vwQwhkpOPPYv2Y/edit?usp=sharing"",""งบพรบ!FM30"")"),0)</f>
        <v>0</v>
      </c>
      <c r="M518" s="224">
        <f ca="1">IFERROR(__xludf.DUMMYFUNCTION("IMPORTRANGE(""https://docs.google.com/spreadsheets/d/1-uDff_7J0KD5mKrp0Vvzr7lt3OU09vwQwhkpOPPYv2Y/edit?usp=sharing"",""งบพรบ!FR30"")"),0)</f>
        <v>0</v>
      </c>
      <c r="N518" s="224">
        <f ca="1">IFERROR(__xludf.DUMMYFUNCTION("IMPORTRANGE(""https://docs.google.com/spreadsheets/d/1-uDff_7J0KD5mKrp0Vvzr7lt3OU09vwQwhkpOPPYv2Y/edit?usp=sharing"",""งบพรบ!FT30"")"),0)</f>
        <v>0</v>
      </c>
      <c r="O518" s="224">
        <f ca="1">IF(L518&gt;0,N518*100/L518,0)</f>
        <v>0</v>
      </c>
      <c r="P518" s="224">
        <f ca="1">IF(M518&gt;0,N518*100/M518,0)</f>
        <v>0</v>
      </c>
      <c r="Q518" s="224">
        <v>0</v>
      </c>
      <c r="R518" s="224">
        <v>0</v>
      </c>
      <c r="S518" s="224">
        <v>0</v>
      </c>
      <c r="T518" s="224">
        <f>IF(Q518&gt;0,S518*100/Q518,0)</f>
        <v>0</v>
      </c>
      <c r="U518" s="224">
        <f>IF(R518&gt;0,S518*100/R518,0)</f>
        <v>0</v>
      </c>
    </row>
    <row r="519" spans="1:21" ht="18.75" x14ac:dyDescent="0.25">
      <c r="A519" s="128"/>
      <c r="B519" s="40"/>
      <c r="C519" s="40"/>
      <c r="D519" s="1552" t="s">
        <v>23</v>
      </c>
      <c r="E519" s="40"/>
      <c r="F519" s="40"/>
      <c r="G519" s="42"/>
      <c r="H519" s="378" t="s">
        <v>14</v>
      </c>
      <c r="I519" s="135"/>
      <c r="J519" s="135"/>
      <c r="K519" s="136"/>
      <c r="L519" s="1356">
        <f ca="1">L520+L521</f>
        <v>0</v>
      </c>
      <c r="M519" s="224">
        <f ca="1">M520+M521</f>
        <v>0</v>
      </c>
      <c r="N519" s="224">
        <f ca="1">N520+N521</f>
        <v>0</v>
      </c>
      <c r="O519" s="224">
        <f ca="1">IF(L519&gt;0,N519*100/L519,0)</f>
        <v>0</v>
      </c>
      <c r="P519" s="224">
        <f ca="1">IF(M519&gt;0,N519*100/M519,0)</f>
        <v>0</v>
      </c>
      <c r="Q519" s="224">
        <f>Q520+Q521</f>
        <v>0</v>
      </c>
      <c r="R519" s="224">
        <f>R520+R521</f>
        <v>0</v>
      </c>
      <c r="S519" s="224">
        <f>S520+S521</f>
        <v>0</v>
      </c>
      <c r="T519" s="224">
        <f>IF(Q519&gt;0,S519*100/Q519,0)</f>
        <v>0</v>
      </c>
      <c r="U519" s="224">
        <f>IF(R519&gt;0,S519*100/R519,0)</f>
        <v>0</v>
      </c>
    </row>
    <row r="520" spans="1:21" ht="18.75" x14ac:dyDescent="0.25">
      <c r="A520" s="128"/>
      <c r="B520" s="40"/>
      <c r="C520" s="40"/>
      <c r="D520" s="40"/>
      <c r="E520" s="156" t="s">
        <v>20</v>
      </c>
      <c r="F520" s="40"/>
      <c r="G520" s="42"/>
      <c r="H520" s="159" t="s">
        <v>14</v>
      </c>
      <c r="I520" s="135"/>
      <c r="J520" s="135"/>
      <c r="K520" s="136"/>
      <c r="L520" s="1358">
        <v>0</v>
      </c>
      <c r="M520" s="83">
        <v>0</v>
      </c>
      <c r="N520" s="83">
        <v>0</v>
      </c>
      <c r="O520" s="83">
        <f>IF(L520&gt;0,N520*100/L520,0)</f>
        <v>0</v>
      </c>
      <c r="P520" s="83">
        <f>IF(M520&gt;0,N520*100/M520,0)</f>
        <v>0</v>
      </c>
      <c r="Q520" s="83">
        <v>0</v>
      </c>
      <c r="R520" s="83">
        <v>0</v>
      </c>
      <c r="S520" s="83">
        <v>0</v>
      </c>
      <c r="T520" s="83">
        <f>IF(Q520&gt;0,S520*100/Q520,0)</f>
        <v>0</v>
      </c>
      <c r="U520" s="83">
        <f>IF(R520&gt;0,S520*100/R520,0)</f>
        <v>0</v>
      </c>
    </row>
    <row r="521" spans="1:21" ht="18.75" x14ac:dyDescent="0.25">
      <c r="A521" s="128"/>
      <c r="B521" s="40"/>
      <c r="C521" s="40"/>
      <c r="D521" s="40"/>
      <c r="E521" s="156" t="s">
        <v>21</v>
      </c>
      <c r="F521" s="40"/>
      <c r="G521" s="42"/>
      <c r="H521" s="378" t="s">
        <v>14</v>
      </c>
      <c r="I521" s="135"/>
      <c r="J521" s="135"/>
      <c r="K521" s="136"/>
      <c r="L521" s="1356">
        <f ca="1">IFERROR(__xludf.DUMMYFUNCTION("IMPORTRANGE(""https://docs.google.com/spreadsheets/d/1-uDff_7J0KD5mKrp0Vvzr7lt3OU09vwQwhkpOPPYv2Y/edit?usp=sharing"",""งบพรบ!FP30"")"),0)</f>
        <v>0</v>
      </c>
      <c r="M521" s="224">
        <f ca="1">IFERROR(__xludf.DUMMYFUNCTION("IMPORTRANGE(""https://docs.google.com/spreadsheets/d/1-uDff_7J0KD5mKrp0Vvzr7lt3OU09vwQwhkpOPPYv2Y/edit?usp=sharing"",""งบพรบ!FS30"")"),0)</f>
        <v>0</v>
      </c>
      <c r="N521" s="224">
        <f ca="1">IFERROR(__xludf.DUMMYFUNCTION("IMPORTRANGE(""https://docs.google.com/spreadsheets/d/1-uDff_7J0KD5mKrp0Vvzr7lt3OU09vwQwhkpOPPYv2Y/edit?usp=sharing"",""งบพรบ!FU30"")"),0)</f>
        <v>0</v>
      </c>
      <c r="O521" s="224">
        <f ca="1">IF(L521&gt;0,N521*100/L521,0)</f>
        <v>0</v>
      </c>
      <c r="P521" s="224">
        <f ca="1">IF(M521&gt;0,N521*100/M521,0)</f>
        <v>0</v>
      </c>
      <c r="Q521" s="224">
        <v>0</v>
      </c>
      <c r="R521" s="224">
        <v>0</v>
      </c>
      <c r="S521" s="224">
        <v>0</v>
      </c>
      <c r="T521" s="224">
        <f>IF(Q521&gt;0,S521*100/Q521,0)</f>
        <v>0</v>
      </c>
      <c r="U521" s="224">
        <f>IF(R521&gt;0,S521*100/R521,0)</f>
        <v>0</v>
      </c>
    </row>
    <row r="522" spans="1:21" ht="19.5" x14ac:dyDescent="0.3">
      <c r="A522" s="138"/>
      <c r="B522" s="139"/>
      <c r="C522" s="1433" t="s">
        <v>18</v>
      </c>
      <c r="D522" s="1436" t="s">
        <v>38</v>
      </c>
      <c r="E522" s="141"/>
      <c r="F522" s="141"/>
      <c r="G522" s="142"/>
      <c r="H522" s="143"/>
      <c r="I522" s="135"/>
      <c r="J522" s="44"/>
      <c r="K522" s="45"/>
      <c r="L522" s="1359"/>
      <c r="M522" s="45"/>
      <c r="N522" s="45"/>
      <c r="O522" s="136"/>
      <c r="P522" s="136"/>
      <c r="Q522" s="45"/>
      <c r="R522" s="45"/>
      <c r="S522" s="45"/>
      <c r="T522" s="136"/>
      <c r="U522" s="136"/>
    </row>
    <row r="523" spans="1:21" ht="18.75" x14ac:dyDescent="0.25">
      <c r="A523" s="208"/>
      <c r="B523" s="40"/>
      <c r="C523" s="158"/>
      <c r="D523" s="179" t="s">
        <v>208</v>
      </c>
      <c r="E523" s="139"/>
      <c r="F523" s="40"/>
      <c r="G523" s="42"/>
      <c r="H523" s="1415" t="s">
        <v>11</v>
      </c>
      <c r="I523" s="423">
        <v>0</v>
      </c>
      <c r="J523" s="1407">
        <v>0</v>
      </c>
      <c r="K523" s="83">
        <f>IF(I523&gt;0,J523*100/I523,0)</f>
        <v>0</v>
      </c>
      <c r="L523" s="1359"/>
      <c r="M523" s="45"/>
      <c r="N523" s="45"/>
      <c r="O523" s="45"/>
      <c r="P523" s="45"/>
      <c r="Q523" s="45"/>
      <c r="R523" s="45"/>
      <c r="S523" s="45"/>
      <c r="T523" s="45"/>
      <c r="U523" s="45"/>
    </row>
    <row r="524" spans="1:21" ht="18.75" x14ac:dyDescent="0.25">
      <c r="A524" s="329"/>
      <c r="B524" s="1"/>
      <c r="C524" s="2"/>
      <c r="D524" s="1553" t="s">
        <v>209</v>
      </c>
      <c r="E524" s="250"/>
      <c r="F524" s="1"/>
      <c r="G524" s="52"/>
      <c r="H524" s="1554" t="s">
        <v>61</v>
      </c>
      <c r="I524" s="426">
        <v>0</v>
      </c>
      <c r="J524" s="1409">
        <v>0</v>
      </c>
      <c r="K524" s="1410">
        <f>IF(I524&gt;0,J524*100/I524,0)</f>
        <v>0</v>
      </c>
      <c r="L524" s="1359"/>
      <c r="M524" s="45"/>
      <c r="N524" s="45"/>
      <c r="O524" s="45"/>
      <c r="P524" s="45"/>
      <c r="Q524" s="45"/>
      <c r="R524" s="45"/>
      <c r="S524" s="45"/>
      <c r="T524" s="45"/>
      <c r="U524" s="45"/>
    </row>
    <row r="525" spans="1:21" ht="12.75" x14ac:dyDescent="0.2">
      <c r="A525" s="1555"/>
      <c r="B525" s="1556"/>
      <c r="C525" s="1556"/>
      <c r="D525" s="1557"/>
      <c r="E525" s="1557"/>
      <c r="F525" s="1557"/>
      <c r="G525" s="1558"/>
      <c r="H525" s="1559"/>
      <c r="I525" s="1560"/>
      <c r="J525" s="1560"/>
      <c r="K525" s="1561"/>
      <c r="L525" s="1536"/>
      <c r="M525" s="233"/>
      <c r="N525" s="233"/>
      <c r="O525" s="233"/>
      <c r="P525" s="233"/>
      <c r="Q525" s="233"/>
      <c r="R525" s="233"/>
      <c r="S525" s="233"/>
      <c r="T525" s="233"/>
      <c r="U525" s="233"/>
    </row>
    <row r="526" spans="1:21" ht="12.75" x14ac:dyDescent="0.2">
      <c r="A526" s="227"/>
      <c r="B526" s="228"/>
      <c r="C526" s="228"/>
      <c r="D526" s="229"/>
      <c r="E526" s="229"/>
      <c r="F526" s="229"/>
      <c r="G526" s="230"/>
      <c r="H526" s="231"/>
      <c r="I526" s="232"/>
      <c r="J526" s="232"/>
      <c r="K526" s="233"/>
      <c r="L526" s="1536"/>
      <c r="M526" s="233"/>
      <c r="N526" s="233"/>
      <c r="O526" s="233"/>
      <c r="P526" s="233"/>
      <c r="Q526" s="233"/>
      <c r="R526" s="233"/>
      <c r="S526" s="233"/>
      <c r="T526" s="233"/>
      <c r="U526" s="233"/>
    </row>
    <row r="527" spans="1:21" ht="12.75" x14ac:dyDescent="0.2">
      <c r="A527" s="227"/>
      <c r="B527" s="228"/>
      <c r="C527" s="228"/>
      <c r="D527" s="229"/>
      <c r="E527" s="229"/>
      <c r="F527" s="229"/>
      <c r="G527" s="230"/>
      <c r="H527" s="231"/>
      <c r="I527" s="232"/>
      <c r="J527" s="232"/>
      <c r="K527" s="233"/>
      <c r="L527" s="1536"/>
      <c r="M527" s="233"/>
      <c r="N527" s="233"/>
      <c r="O527" s="233"/>
      <c r="P527" s="233"/>
      <c r="Q527" s="233"/>
      <c r="R527" s="233"/>
      <c r="S527" s="233"/>
      <c r="T527" s="233"/>
      <c r="U527" s="233"/>
    </row>
    <row r="528" spans="1:21" ht="12.75" x14ac:dyDescent="0.2">
      <c r="A528" s="227"/>
      <c r="B528" s="228"/>
      <c r="C528" s="228"/>
      <c r="D528" s="229"/>
      <c r="E528" s="229"/>
      <c r="F528" s="229"/>
      <c r="G528" s="230"/>
      <c r="H528" s="231"/>
      <c r="I528" s="232"/>
      <c r="J528" s="232"/>
      <c r="K528" s="233"/>
      <c r="L528" s="1536"/>
      <c r="M528" s="233"/>
      <c r="N528" s="233"/>
      <c r="O528" s="233"/>
      <c r="P528" s="233"/>
      <c r="Q528" s="233"/>
      <c r="R528" s="233"/>
      <c r="S528" s="233"/>
      <c r="T528" s="233"/>
      <c r="U528" s="233"/>
    </row>
    <row r="529" spans="1:21" ht="12.75" x14ac:dyDescent="0.2">
      <c r="A529" s="227"/>
      <c r="B529" s="228"/>
      <c r="C529" s="228"/>
      <c r="D529" s="229"/>
      <c r="E529" s="229"/>
      <c r="F529" s="229"/>
      <c r="G529" s="230"/>
      <c r="H529" s="231"/>
      <c r="I529" s="232"/>
      <c r="J529" s="232"/>
      <c r="K529" s="233"/>
      <c r="L529" s="1536"/>
      <c r="M529" s="233"/>
      <c r="N529" s="233"/>
      <c r="O529" s="233"/>
      <c r="P529" s="233"/>
      <c r="Q529" s="233"/>
      <c r="R529" s="233"/>
      <c r="S529" s="233"/>
      <c r="T529" s="233"/>
      <c r="U529" s="233"/>
    </row>
    <row r="530" spans="1:21" ht="12.75" x14ac:dyDescent="0.2">
      <c r="A530" s="227"/>
      <c r="B530" s="228"/>
      <c r="C530" s="228"/>
      <c r="D530" s="229"/>
      <c r="E530" s="229"/>
      <c r="F530" s="229"/>
      <c r="G530" s="230"/>
      <c r="H530" s="231"/>
      <c r="I530" s="232"/>
      <c r="J530" s="232"/>
      <c r="K530" s="233"/>
      <c r="L530" s="1536"/>
      <c r="M530" s="233"/>
      <c r="N530" s="233"/>
      <c r="O530" s="233"/>
      <c r="P530" s="233"/>
      <c r="Q530" s="233"/>
      <c r="R530" s="233"/>
      <c r="S530" s="233"/>
      <c r="T530" s="233"/>
      <c r="U530" s="233"/>
    </row>
    <row r="531" spans="1:21" ht="12.75" x14ac:dyDescent="0.2">
      <c r="A531" s="227"/>
      <c r="B531" s="228"/>
      <c r="C531" s="228"/>
      <c r="D531" s="229"/>
      <c r="E531" s="229"/>
      <c r="F531" s="229"/>
      <c r="G531" s="230"/>
      <c r="H531" s="231"/>
      <c r="I531" s="232"/>
      <c r="J531" s="232"/>
      <c r="K531" s="233"/>
      <c r="L531" s="1536"/>
      <c r="M531" s="233"/>
      <c r="N531" s="233"/>
      <c r="O531" s="233"/>
      <c r="P531" s="233"/>
      <c r="Q531" s="233"/>
      <c r="R531" s="233"/>
      <c r="S531" s="233"/>
      <c r="T531" s="233"/>
      <c r="U531" s="233"/>
    </row>
    <row r="532" spans="1:21" ht="12.75" x14ac:dyDescent="0.2">
      <c r="A532" s="360"/>
      <c r="B532" s="316"/>
      <c r="C532" s="316"/>
      <c r="D532" s="361"/>
      <c r="E532" s="361"/>
      <c r="F532" s="361"/>
      <c r="G532" s="362"/>
      <c r="H532" s="317"/>
      <c r="I532" s="318"/>
      <c r="J532" s="318"/>
      <c r="K532" s="319"/>
      <c r="L532" s="1537"/>
      <c r="M532" s="319"/>
      <c r="N532" s="319"/>
      <c r="O532" s="319"/>
      <c r="P532" s="319"/>
      <c r="Q532" s="319"/>
      <c r="R532" s="319"/>
      <c r="S532" s="319"/>
      <c r="T532" s="319"/>
      <c r="U532" s="319"/>
    </row>
    <row r="533" spans="1:21" ht="19.5" x14ac:dyDescent="0.3">
      <c r="A533" s="349"/>
      <c r="B533" s="350" t="s">
        <v>210</v>
      </c>
      <c r="C533" s="351"/>
      <c r="D533" s="352"/>
      <c r="E533" s="352"/>
      <c r="F533" s="352"/>
      <c r="G533" s="353"/>
      <c r="H533" s="363" t="s">
        <v>61</v>
      </c>
      <c r="I533" s="374">
        <f>I545</f>
        <v>0</v>
      </c>
      <c r="J533" s="374">
        <f>J545</f>
        <v>0</v>
      </c>
      <c r="K533" s="1562">
        <f>IF(I533&gt;0,J533*100/I533,0)</f>
        <v>0</v>
      </c>
      <c r="L533" s="1550"/>
      <c r="M533" s="357"/>
      <c r="N533" s="357"/>
      <c r="O533" s="357"/>
      <c r="P533" s="357"/>
      <c r="Q533" s="357"/>
      <c r="R533" s="357"/>
      <c r="S533" s="357"/>
      <c r="T533" s="357"/>
      <c r="U533" s="357"/>
    </row>
    <row r="534" spans="1:21" ht="19.5" x14ac:dyDescent="0.3">
      <c r="A534" s="128"/>
      <c r="B534" s="40"/>
      <c r="C534" s="129" t="s">
        <v>18</v>
      </c>
      <c r="D534" s="1388" t="s">
        <v>19</v>
      </c>
      <c r="E534" s="40"/>
      <c r="F534" s="40"/>
      <c r="G534" s="42"/>
      <c r="H534" s="131" t="s">
        <v>14</v>
      </c>
      <c r="I534" s="44"/>
      <c r="J534" s="44"/>
      <c r="K534" s="45"/>
      <c r="L534" s="1389">
        <f ca="1">L535+L536</f>
        <v>0</v>
      </c>
      <c r="M534" s="1390">
        <f ca="1">M535+M536</f>
        <v>0</v>
      </c>
      <c r="N534" s="1390">
        <f ca="1">N535+N536</f>
        <v>0</v>
      </c>
      <c r="O534" s="1390">
        <f ca="1">IF(L534&gt;0,N534*100/L534,0)</f>
        <v>0</v>
      </c>
      <c r="P534" s="1390">
        <f ca="1">IF(M534&gt;0,N534*100/M534,0)</f>
        <v>0</v>
      </c>
      <c r="Q534" s="1390">
        <f>Q535+Q536</f>
        <v>0</v>
      </c>
      <c r="R534" s="1390">
        <f>R535+R536</f>
        <v>0</v>
      </c>
      <c r="S534" s="1390">
        <f>S535+S536</f>
        <v>0</v>
      </c>
      <c r="T534" s="1390">
        <f>IF(Q534&gt;0,S534*100/Q534,0)</f>
        <v>0</v>
      </c>
      <c r="U534" s="1390">
        <f>IF(R534&gt;0,S534*100/R534,0)</f>
        <v>0</v>
      </c>
    </row>
    <row r="535" spans="1:21" ht="18.75" x14ac:dyDescent="0.25">
      <c r="A535" s="128"/>
      <c r="B535" s="158"/>
      <c r="C535" s="40"/>
      <c r="D535" s="40"/>
      <c r="E535" s="156" t="s">
        <v>20</v>
      </c>
      <c r="F535" s="40"/>
      <c r="G535" s="42"/>
      <c r="H535" s="157" t="s">
        <v>14</v>
      </c>
      <c r="I535" s="44"/>
      <c r="J535" s="44"/>
      <c r="K535" s="45"/>
      <c r="L535" s="1358">
        <f>L538+L541</f>
        <v>0</v>
      </c>
      <c r="M535" s="83">
        <f>M538+M541</f>
        <v>0</v>
      </c>
      <c r="N535" s="83">
        <f>N538+N541</f>
        <v>0</v>
      </c>
      <c r="O535" s="83">
        <f>IF(L535&gt;0,N535*100/L535,0)</f>
        <v>0</v>
      </c>
      <c r="P535" s="83">
        <f>IF(M535&gt;0,N535*100/M535,0)</f>
        <v>0</v>
      </c>
      <c r="Q535" s="83">
        <f>Q538+Q541</f>
        <v>0</v>
      </c>
      <c r="R535" s="83">
        <f>R538+R541</f>
        <v>0</v>
      </c>
      <c r="S535" s="83">
        <f>S538+S541</f>
        <v>0</v>
      </c>
      <c r="T535" s="83">
        <f>IF(Q535&gt;0,S535*100/Q535,0)</f>
        <v>0</v>
      </c>
      <c r="U535" s="83">
        <f>IF(R535&gt;0,S535*100/R535,0)</f>
        <v>0</v>
      </c>
    </row>
    <row r="536" spans="1:21" ht="18.75" x14ac:dyDescent="0.25">
      <c r="A536" s="128"/>
      <c r="B536" s="40"/>
      <c r="C536" s="158"/>
      <c r="D536" s="40"/>
      <c r="E536" s="209" t="s">
        <v>21</v>
      </c>
      <c r="F536" s="40"/>
      <c r="G536" s="42"/>
      <c r="H536" s="133" t="s">
        <v>14</v>
      </c>
      <c r="I536" s="44"/>
      <c r="J536" s="44"/>
      <c r="K536" s="45"/>
      <c r="L536" s="1356">
        <f ca="1">L539+L542</f>
        <v>0</v>
      </c>
      <c r="M536" s="224">
        <f ca="1">M539+M542</f>
        <v>0</v>
      </c>
      <c r="N536" s="224">
        <f ca="1">N539+N542</f>
        <v>0</v>
      </c>
      <c r="O536" s="224">
        <f ca="1">IF(L536&gt;0,N536*100/L536,0)</f>
        <v>0</v>
      </c>
      <c r="P536" s="224">
        <f ca="1">IF(M536&gt;0,N536*100/M536,0)</f>
        <v>0</v>
      </c>
      <c r="Q536" s="224">
        <f>Q539+Q542</f>
        <v>0</v>
      </c>
      <c r="R536" s="224">
        <f>R539+R542</f>
        <v>0</v>
      </c>
      <c r="S536" s="224">
        <f>S539+S542</f>
        <v>0</v>
      </c>
      <c r="T536" s="224">
        <f>IF(Q536&gt;0,S536*100/Q536,0)</f>
        <v>0</v>
      </c>
      <c r="U536" s="224">
        <f>IF(R536&gt;0,S536*100/R536,0)</f>
        <v>0</v>
      </c>
    </row>
    <row r="537" spans="1:21" ht="18.75" x14ac:dyDescent="0.25">
      <c r="A537" s="128"/>
      <c r="B537" s="40"/>
      <c r="C537" s="158"/>
      <c r="D537" s="41" t="s">
        <v>22</v>
      </c>
      <c r="E537" s="158"/>
      <c r="F537" s="40"/>
      <c r="G537" s="42"/>
      <c r="H537" s="134" t="s">
        <v>14</v>
      </c>
      <c r="I537" s="135"/>
      <c r="J537" s="135"/>
      <c r="K537" s="136"/>
      <c r="L537" s="1356">
        <f ca="1">L538+L539</f>
        <v>0</v>
      </c>
      <c r="M537" s="224">
        <f ca="1">M538+M539</f>
        <v>0</v>
      </c>
      <c r="N537" s="224">
        <f ca="1">N538+N539</f>
        <v>0</v>
      </c>
      <c r="O537" s="224">
        <f ca="1">IF(L537&gt;0,N537*100/L537,0)</f>
        <v>0</v>
      </c>
      <c r="P537" s="224">
        <f ca="1">IF(M537&gt;0,N537*100/M537,0)</f>
        <v>0</v>
      </c>
      <c r="Q537" s="224">
        <f>Q538+Q539</f>
        <v>0</v>
      </c>
      <c r="R537" s="224">
        <f>R538+R539</f>
        <v>0</v>
      </c>
      <c r="S537" s="224">
        <f>S538+S539</f>
        <v>0</v>
      </c>
      <c r="T537" s="224">
        <f>IF(Q537&gt;0,S537*100/Q537,0)</f>
        <v>0</v>
      </c>
      <c r="U537" s="224">
        <f>IF(R537&gt;0,S537*100/R537,0)</f>
        <v>0</v>
      </c>
    </row>
    <row r="538" spans="1:21" ht="18.75" x14ac:dyDescent="0.25">
      <c r="A538" s="128"/>
      <c r="B538" s="40"/>
      <c r="C538" s="40"/>
      <c r="D538" s="40"/>
      <c r="E538" s="156" t="s">
        <v>36</v>
      </c>
      <c r="F538" s="40"/>
      <c r="G538" s="42"/>
      <c r="H538" s="159" t="s">
        <v>14</v>
      </c>
      <c r="I538" s="135"/>
      <c r="J538" s="135"/>
      <c r="K538" s="136"/>
      <c r="L538" s="1358">
        <v>0</v>
      </c>
      <c r="M538" s="83">
        <v>0</v>
      </c>
      <c r="N538" s="83">
        <v>0</v>
      </c>
      <c r="O538" s="83">
        <f>IF(L538&gt;0,N538*100/L538,0)</f>
        <v>0</v>
      </c>
      <c r="P538" s="83">
        <f>IF(M538&gt;0,N538*100/M538,0)</f>
        <v>0</v>
      </c>
      <c r="Q538" s="83">
        <v>0</v>
      </c>
      <c r="R538" s="83">
        <v>0</v>
      </c>
      <c r="S538" s="83">
        <v>0</v>
      </c>
      <c r="T538" s="83">
        <f>IF(Q538&gt;0,S538*100/Q538,0)</f>
        <v>0</v>
      </c>
      <c r="U538" s="83">
        <f>IF(R538&gt;0,S538*100/R538,0)</f>
        <v>0</v>
      </c>
    </row>
    <row r="539" spans="1:21" ht="18.75" x14ac:dyDescent="0.25">
      <c r="A539" s="128"/>
      <c r="B539" s="40"/>
      <c r="C539" s="40"/>
      <c r="D539" s="40"/>
      <c r="E539" s="47" t="s">
        <v>37</v>
      </c>
      <c r="F539" s="40"/>
      <c r="G539" s="42"/>
      <c r="H539" s="134" t="s">
        <v>14</v>
      </c>
      <c r="I539" s="135"/>
      <c r="J539" s="135"/>
      <c r="K539" s="136"/>
      <c r="L539" s="1356">
        <f ca="1">IFERROR(__xludf.DUMMYFUNCTION("IMPORTRANGE(""https://docs.google.com/spreadsheets/d/1-uDff_7J0KD5mKrp0Vvzr7lt3OU09vwQwhkpOPPYv2Y/edit?usp=sharing"",""งบพรบ!FW30"")"),0)</f>
        <v>0</v>
      </c>
      <c r="M539" s="224">
        <f ca="1">IFERROR(__xludf.DUMMYFUNCTION("IMPORTRANGE(""https://docs.google.com/spreadsheets/d/1-uDff_7J0KD5mKrp0Vvzr7lt3OU09vwQwhkpOPPYv2Y/edit?usp=sharing"",""งบพรบ!GB30"")"),0)</f>
        <v>0</v>
      </c>
      <c r="N539" s="224">
        <f ca="1">IFERROR(__xludf.DUMMYFUNCTION("IMPORTRANGE(""https://docs.google.com/spreadsheets/d/1-uDff_7J0KD5mKrp0Vvzr7lt3OU09vwQwhkpOPPYv2Y/edit?usp=sharing"",""งบพรบ!GD30"")"),0)</f>
        <v>0</v>
      </c>
      <c r="O539" s="224">
        <f ca="1">IF(L539&gt;0,N539*100/L539,0)</f>
        <v>0</v>
      </c>
      <c r="P539" s="224">
        <f ca="1">IF(M539&gt;0,N539*100/M539,0)</f>
        <v>0</v>
      </c>
      <c r="Q539" s="224">
        <v>0</v>
      </c>
      <c r="R539" s="224">
        <v>0</v>
      </c>
      <c r="S539" s="224">
        <v>0</v>
      </c>
      <c r="T539" s="224">
        <f>IF(Q539&gt;0,S539*100/Q539,0)</f>
        <v>0</v>
      </c>
      <c r="U539" s="224">
        <f>IF(R539&gt;0,S539*100/R539,0)</f>
        <v>0</v>
      </c>
    </row>
    <row r="540" spans="1:21" ht="18.75" x14ac:dyDescent="0.25">
      <c r="A540" s="128"/>
      <c r="B540" s="40"/>
      <c r="C540" s="40"/>
      <c r="D540" s="41" t="s">
        <v>23</v>
      </c>
      <c r="E540" s="40"/>
      <c r="F540" s="40"/>
      <c r="G540" s="42"/>
      <c r="H540" s="137" t="s">
        <v>14</v>
      </c>
      <c r="I540" s="135"/>
      <c r="J540" s="135"/>
      <c r="K540" s="136"/>
      <c r="L540" s="1356">
        <f ca="1">L541+L542</f>
        <v>0</v>
      </c>
      <c r="M540" s="224">
        <f ca="1">M541+M542</f>
        <v>0</v>
      </c>
      <c r="N540" s="224">
        <f ca="1">N541+N542</f>
        <v>0</v>
      </c>
      <c r="O540" s="224">
        <f ca="1">IF(L540&gt;0,N540*100/L540,0)</f>
        <v>0</v>
      </c>
      <c r="P540" s="224">
        <f ca="1">IF(M540&gt;0,N540*100/M540,0)</f>
        <v>0</v>
      </c>
      <c r="Q540" s="224">
        <f>Q541+Q542</f>
        <v>0</v>
      </c>
      <c r="R540" s="224">
        <f>R541+R542</f>
        <v>0</v>
      </c>
      <c r="S540" s="224">
        <f>S541+S542</f>
        <v>0</v>
      </c>
      <c r="T540" s="224">
        <f>IF(Q540&gt;0,S540*100/Q540,0)</f>
        <v>0</v>
      </c>
      <c r="U540" s="224">
        <f>IF(R540&gt;0,S540*100/R540,0)</f>
        <v>0</v>
      </c>
    </row>
    <row r="541" spans="1:21" ht="18.75" x14ac:dyDescent="0.25">
      <c r="A541" s="128"/>
      <c r="B541" s="40"/>
      <c r="C541" s="40"/>
      <c r="D541" s="40"/>
      <c r="E541" s="156" t="s">
        <v>20</v>
      </c>
      <c r="F541" s="40"/>
      <c r="G541" s="42"/>
      <c r="H541" s="159" t="s">
        <v>14</v>
      </c>
      <c r="I541" s="135"/>
      <c r="J541" s="135"/>
      <c r="K541" s="136"/>
      <c r="L541" s="1358">
        <v>0</v>
      </c>
      <c r="M541" s="83">
        <v>0</v>
      </c>
      <c r="N541" s="83">
        <v>0</v>
      </c>
      <c r="O541" s="83">
        <f>IF(L541&gt;0,N541*100/L541,0)</f>
        <v>0</v>
      </c>
      <c r="P541" s="83">
        <f>IF(M541&gt;0,N541*100/M541,0)</f>
        <v>0</v>
      </c>
      <c r="Q541" s="83">
        <v>0</v>
      </c>
      <c r="R541" s="83">
        <v>0</v>
      </c>
      <c r="S541" s="83">
        <v>0</v>
      </c>
      <c r="T541" s="83">
        <f>IF(Q541&gt;0,S541*100/Q541,0)</f>
        <v>0</v>
      </c>
      <c r="U541" s="83">
        <f>IF(R541&gt;0,S541*100/R541,0)</f>
        <v>0</v>
      </c>
    </row>
    <row r="542" spans="1:21" ht="18.75" x14ac:dyDescent="0.25">
      <c r="A542" s="128"/>
      <c r="B542" s="40"/>
      <c r="C542" s="40"/>
      <c r="D542" s="40"/>
      <c r="E542" s="47" t="s">
        <v>21</v>
      </c>
      <c r="F542" s="40"/>
      <c r="G542" s="42"/>
      <c r="H542" s="137" t="s">
        <v>14</v>
      </c>
      <c r="I542" s="135"/>
      <c r="J542" s="135"/>
      <c r="K542" s="136"/>
      <c r="L542" s="1356">
        <f ca="1">IFERROR(__xludf.DUMMYFUNCTION("IMPORTRANGE(""https://docs.google.com/spreadsheets/d/1-uDff_7J0KD5mKrp0Vvzr7lt3OU09vwQwhkpOPPYv2Y/edit?usp=sharing"",""งบพรบ!FZ30"")"),0)</f>
        <v>0</v>
      </c>
      <c r="M542" s="224">
        <f ca="1">IFERROR(__xludf.DUMMYFUNCTION("IMPORTRANGE(""https://docs.google.com/spreadsheets/d/1-uDff_7J0KD5mKrp0Vvzr7lt3OU09vwQwhkpOPPYv2Y/edit?usp=sharing"",""งบพรบ!GC30"")"),0)</f>
        <v>0</v>
      </c>
      <c r="N542" s="224">
        <f ca="1">IFERROR(__xludf.DUMMYFUNCTION("IMPORTRANGE(""https://docs.google.com/spreadsheets/d/1-uDff_7J0KD5mKrp0Vvzr7lt3OU09vwQwhkpOPPYv2Y/edit?usp=sharing"",""งบพรบ!GE30"")"),0)</f>
        <v>0</v>
      </c>
      <c r="O542" s="224">
        <f ca="1">IF(L542&gt;0,N542*100/L542,0)</f>
        <v>0</v>
      </c>
      <c r="P542" s="224">
        <f ca="1">IF(M542&gt;0,N542*100/M542,0)</f>
        <v>0</v>
      </c>
      <c r="Q542" s="224">
        <v>0</v>
      </c>
      <c r="R542" s="224">
        <v>0</v>
      </c>
      <c r="S542" s="224">
        <v>0</v>
      </c>
      <c r="T542" s="224">
        <f>IF(Q542&gt;0,S542*100/Q542,0)</f>
        <v>0</v>
      </c>
      <c r="U542" s="224">
        <f>IF(R542&gt;0,S542*100/R542,0)</f>
        <v>0</v>
      </c>
    </row>
    <row r="543" spans="1:21" ht="19.5" x14ac:dyDescent="0.3">
      <c r="A543" s="138"/>
      <c r="B543" s="139"/>
      <c r="C543" s="364" t="s">
        <v>18</v>
      </c>
      <c r="D543" s="1391" t="s">
        <v>38</v>
      </c>
      <c r="E543" s="141"/>
      <c r="F543" s="141"/>
      <c r="G543" s="142"/>
      <c r="H543" s="143"/>
      <c r="I543" s="135"/>
      <c r="J543" s="44"/>
      <c r="K543" s="45"/>
      <c r="L543" s="1359"/>
      <c r="M543" s="45"/>
      <c r="N543" s="45"/>
      <c r="O543" s="136"/>
      <c r="P543" s="136"/>
      <c r="Q543" s="45"/>
      <c r="R543" s="45"/>
      <c r="S543" s="45"/>
      <c r="T543" s="136"/>
      <c r="U543" s="136"/>
    </row>
    <row r="544" spans="1:21" ht="12.75" x14ac:dyDescent="0.2">
      <c r="A544" s="227"/>
      <c r="B544" s="229"/>
      <c r="C544" s="228"/>
      <c r="D544" s="229"/>
      <c r="E544" s="228"/>
      <c r="F544" s="229"/>
      <c r="G544" s="230"/>
      <c r="H544" s="230"/>
      <c r="I544" s="232"/>
      <c r="J544" s="232"/>
      <c r="K544" s="233"/>
      <c r="L544" s="1536"/>
      <c r="M544" s="233"/>
      <c r="N544" s="233"/>
      <c r="O544" s="233"/>
      <c r="P544" s="233"/>
      <c r="Q544" s="233"/>
      <c r="R544" s="233"/>
      <c r="S544" s="233"/>
      <c r="T544" s="233"/>
      <c r="U544" s="233"/>
    </row>
    <row r="545" spans="1:21" ht="12.75" x14ac:dyDescent="0.2">
      <c r="A545" s="227"/>
      <c r="B545" s="229"/>
      <c r="C545" s="228"/>
      <c r="D545" s="229"/>
      <c r="E545" s="228"/>
      <c r="F545" s="229"/>
      <c r="G545" s="230"/>
      <c r="H545" s="230"/>
      <c r="I545" s="232"/>
      <c r="J545" s="232"/>
      <c r="K545" s="233"/>
      <c r="L545" s="1536"/>
      <c r="M545" s="233"/>
      <c r="N545" s="233"/>
      <c r="O545" s="233"/>
      <c r="P545" s="233"/>
      <c r="Q545" s="233"/>
      <c r="R545" s="233"/>
      <c r="S545" s="233"/>
      <c r="T545" s="233"/>
      <c r="U545" s="233"/>
    </row>
    <row r="546" spans="1:21" ht="12.75" x14ac:dyDescent="0.2">
      <c r="A546" s="227"/>
      <c r="B546" s="228"/>
      <c r="C546" s="228"/>
      <c r="D546" s="229"/>
      <c r="E546" s="229"/>
      <c r="F546" s="229"/>
      <c r="G546" s="230"/>
      <c r="H546" s="231"/>
      <c r="I546" s="232"/>
      <c r="J546" s="232"/>
      <c r="K546" s="233"/>
      <c r="L546" s="1536"/>
      <c r="M546" s="233"/>
      <c r="N546" s="233"/>
      <c r="O546" s="233"/>
      <c r="P546" s="233"/>
      <c r="Q546" s="233"/>
      <c r="R546" s="233"/>
      <c r="S546" s="233"/>
      <c r="T546" s="233"/>
      <c r="U546" s="233"/>
    </row>
    <row r="547" spans="1:21" ht="12.75" x14ac:dyDescent="0.2">
      <c r="A547" s="227"/>
      <c r="B547" s="228"/>
      <c r="C547" s="228"/>
      <c r="D547" s="229"/>
      <c r="E547" s="229"/>
      <c r="F547" s="229"/>
      <c r="G547" s="230"/>
      <c r="H547" s="231"/>
      <c r="I547" s="232"/>
      <c r="J547" s="232"/>
      <c r="K547" s="233"/>
      <c r="L547" s="1536"/>
      <c r="M547" s="233"/>
      <c r="N547" s="233"/>
      <c r="O547" s="233"/>
      <c r="P547" s="233"/>
      <c r="Q547" s="233"/>
      <c r="R547" s="233"/>
      <c r="S547" s="233"/>
      <c r="T547" s="233"/>
      <c r="U547" s="233"/>
    </row>
    <row r="548" spans="1:21" ht="12.75" x14ac:dyDescent="0.2">
      <c r="A548" s="227"/>
      <c r="B548" s="228"/>
      <c r="C548" s="228"/>
      <c r="D548" s="229"/>
      <c r="E548" s="229"/>
      <c r="F548" s="229"/>
      <c r="G548" s="230"/>
      <c r="H548" s="231"/>
      <c r="I548" s="232"/>
      <c r="J548" s="232"/>
      <c r="K548" s="233"/>
      <c r="L548" s="1536"/>
      <c r="M548" s="233"/>
      <c r="N548" s="233"/>
      <c r="O548" s="233"/>
      <c r="P548" s="233"/>
      <c r="Q548" s="233"/>
      <c r="R548" s="233"/>
      <c r="S548" s="233"/>
      <c r="T548" s="233"/>
      <c r="U548" s="233"/>
    </row>
    <row r="549" spans="1:21" ht="12.75" x14ac:dyDescent="0.2">
      <c r="A549" s="227"/>
      <c r="B549" s="228"/>
      <c r="C549" s="228"/>
      <c r="D549" s="229"/>
      <c r="E549" s="229"/>
      <c r="F549" s="229"/>
      <c r="G549" s="230"/>
      <c r="H549" s="231"/>
      <c r="I549" s="232"/>
      <c r="J549" s="232"/>
      <c r="K549" s="233"/>
      <c r="L549" s="1536"/>
      <c r="M549" s="233"/>
      <c r="N549" s="233"/>
      <c r="O549" s="233"/>
      <c r="P549" s="233"/>
      <c r="Q549" s="233"/>
      <c r="R549" s="233"/>
      <c r="S549" s="233"/>
      <c r="T549" s="233"/>
      <c r="U549" s="233"/>
    </row>
    <row r="550" spans="1:21" ht="12.75" x14ac:dyDescent="0.2">
      <c r="A550" s="227"/>
      <c r="B550" s="228"/>
      <c r="C550" s="228"/>
      <c r="D550" s="229"/>
      <c r="E550" s="229"/>
      <c r="F550" s="229"/>
      <c r="G550" s="230"/>
      <c r="H550" s="231"/>
      <c r="I550" s="232"/>
      <c r="J550" s="232"/>
      <c r="K550" s="233"/>
      <c r="L550" s="1536"/>
      <c r="M550" s="233"/>
      <c r="N550" s="233"/>
      <c r="O550" s="233"/>
      <c r="P550" s="233"/>
      <c r="Q550" s="233"/>
      <c r="R550" s="233"/>
      <c r="S550" s="233"/>
      <c r="T550" s="233"/>
      <c r="U550" s="233"/>
    </row>
    <row r="551" spans="1:21" ht="12.75" x14ac:dyDescent="0.2">
      <c r="A551" s="227"/>
      <c r="B551" s="228"/>
      <c r="C551" s="228"/>
      <c r="D551" s="229"/>
      <c r="E551" s="229"/>
      <c r="F551" s="229"/>
      <c r="G551" s="230"/>
      <c r="H551" s="231"/>
      <c r="I551" s="232"/>
      <c r="J551" s="232"/>
      <c r="K551" s="233"/>
      <c r="L551" s="1536"/>
      <c r="M551" s="233"/>
      <c r="N551" s="233"/>
      <c r="O551" s="233"/>
      <c r="P551" s="233"/>
      <c r="Q551" s="233"/>
      <c r="R551" s="233"/>
      <c r="S551" s="233"/>
      <c r="T551" s="233"/>
      <c r="U551" s="233"/>
    </row>
    <row r="552" spans="1:21" ht="12.75" x14ac:dyDescent="0.2">
      <c r="A552" s="227"/>
      <c r="B552" s="228"/>
      <c r="C552" s="228"/>
      <c r="D552" s="229"/>
      <c r="E552" s="229"/>
      <c r="F552" s="229"/>
      <c r="G552" s="230"/>
      <c r="H552" s="231"/>
      <c r="I552" s="232"/>
      <c r="J552" s="232"/>
      <c r="K552" s="233"/>
      <c r="L552" s="1536"/>
      <c r="M552" s="233"/>
      <c r="N552" s="233"/>
      <c r="O552" s="233"/>
      <c r="P552" s="233"/>
      <c r="Q552" s="233"/>
      <c r="R552" s="233"/>
      <c r="S552" s="233"/>
      <c r="T552" s="233"/>
      <c r="U552" s="233"/>
    </row>
    <row r="553" spans="1:21" ht="12.75" x14ac:dyDescent="0.2">
      <c r="A553" s="360"/>
      <c r="B553" s="316"/>
      <c r="C553" s="316"/>
      <c r="D553" s="361"/>
      <c r="E553" s="361"/>
      <c r="F553" s="361"/>
      <c r="G553" s="362"/>
      <c r="H553" s="317"/>
      <c r="I553" s="318"/>
      <c r="J553" s="318"/>
      <c r="K553" s="319"/>
      <c r="L553" s="1537"/>
      <c r="M553" s="319"/>
      <c r="N553" s="319"/>
      <c r="O553" s="319"/>
      <c r="P553" s="319"/>
      <c r="Q553" s="319"/>
      <c r="R553" s="319"/>
      <c r="S553" s="319"/>
      <c r="T553" s="319"/>
      <c r="U553" s="319"/>
    </row>
    <row r="554" spans="1:21" ht="19.5" x14ac:dyDescent="0.3">
      <c r="A554" s="349"/>
      <c r="B554" s="350" t="s">
        <v>211</v>
      </c>
      <c r="C554" s="351"/>
      <c r="D554" s="352"/>
      <c r="E554" s="352"/>
      <c r="F554" s="352"/>
      <c r="G554" s="353"/>
      <c r="H554" s="363" t="s">
        <v>61</v>
      </c>
      <c r="I554" s="374">
        <f>I566</f>
        <v>0</v>
      </c>
      <c r="J554" s="374">
        <f>J566</f>
        <v>0</v>
      </c>
      <c r="K554" s="1562">
        <f>IF(I554&gt;0,J554*100/I554,0)</f>
        <v>0</v>
      </c>
      <c r="L554" s="1550"/>
      <c r="M554" s="357"/>
      <c r="N554" s="357"/>
      <c r="O554" s="357"/>
      <c r="P554" s="357"/>
      <c r="Q554" s="357"/>
      <c r="R554" s="357"/>
      <c r="S554" s="357"/>
      <c r="T554" s="357"/>
      <c r="U554" s="357"/>
    </row>
    <row r="555" spans="1:21" ht="19.5" x14ac:dyDescent="0.3">
      <c r="A555" s="128"/>
      <c r="B555" s="40"/>
      <c r="C555" s="129" t="s">
        <v>18</v>
      </c>
      <c r="D555" s="1388" t="s">
        <v>19</v>
      </c>
      <c r="E555" s="40"/>
      <c r="F555" s="40"/>
      <c r="G555" s="42"/>
      <c r="H555" s="131" t="s">
        <v>14</v>
      </c>
      <c r="I555" s="44"/>
      <c r="J555" s="44"/>
      <c r="K555" s="45"/>
      <c r="L555" s="1389">
        <f ca="1">L556+L557</f>
        <v>0</v>
      </c>
      <c r="M555" s="1390">
        <f ca="1">M556+M557</f>
        <v>0</v>
      </c>
      <c r="N555" s="1390">
        <f ca="1">N556+N557</f>
        <v>0</v>
      </c>
      <c r="O555" s="1390">
        <f ca="1">IF(L555&gt;0,N555*100/L555,0)</f>
        <v>0</v>
      </c>
      <c r="P555" s="1390">
        <f ca="1">IF(M555&gt;0,N555*100/M555,0)</f>
        <v>0</v>
      </c>
      <c r="Q555" s="1390">
        <f>Q556+Q557</f>
        <v>0</v>
      </c>
      <c r="R555" s="1390">
        <f>R556+R557</f>
        <v>0</v>
      </c>
      <c r="S555" s="1390">
        <f>S556+S557</f>
        <v>0</v>
      </c>
      <c r="T555" s="1390">
        <f>IF(Q555&gt;0,S555*100/Q555,0)</f>
        <v>0</v>
      </c>
      <c r="U555" s="1390">
        <f>IF(R555&gt;0,S555*100/R555,0)</f>
        <v>0</v>
      </c>
    </row>
    <row r="556" spans="1:21" ht="18.75" x14ac:dyDescent="0.25">
      <c r="A556" s="128"/>
      <c r="B556" s="158"/>
      <c r="C556" s="40"/>
      <c r="D556" s="40"/>
      <c r="E556" s="156" t="s">
        <v>20</v>
      </c>
      <c r="F556" s="40"/>
      <c r="G556" s="42"/>
      <c r="H556" s="157" t="s">
        <v>14</v>
      </c>
      <c r="I556" s="44"/>
      <c r="J556" s="44"/>
      <c r="K556" s="45"/>
      <c r="L556" s="1358">
        <f>L559+L562</f>
        <v>0</v>
      </c>
      <c r="M556" s="83">
        <f>M559+M562</f>
        <v>0</v>
      </c>
      <c r="N556" s="83">
        <f>N559+N562</f>
        <v>0</v>
      </c>
      <c r="O556" s="83">
        <f>IF(L556&gt;0,N556*100/L556,0)</f>
        <v>0</v>
      </c>
      <c r="P556" s="83">
        <f>IF(M556&gt;0,N556*100/M556,0)</f>
        <v>0</v>
      </c>
      <c r="Q556" s="83">
        <f>Q559+Q562</f>
        <v>0</v>
      </c>
      <c r="R556" s="83">
        <f>R559+R562</f>
        <v>0</v>
      </c>
      <c r="S556" s="83">
        <f>S559+S562</f>
        <v>0</v>
      </c>
      <c r="T556" s="83">
        <f>IF(Q556&gt;0,S556*100/Q556,0)</f>
        <v>0</v>
      </c>
      <c r="U556" s="83">
        <f>IF(R556&gt;0,S556*100/R556,0)</f>
        <v>0</v>
      </c>
    </row>
    <row r="557" spans="1:21" ht="18.75" x14ac:dyDescent="0.25">
      <c r="A557" s="128"/>
      <c r="B557" s="40"/>
      <c r="C557" s="158"/>
      <c r="D557" s="40"/>
      <c r="E557" s="209" t="s">
        <v>21</v>
      </c>
      <c r="F557" s="40"/>
      <c r="G557" s="42"/>
      <c r="H557" s="133" t="s">
        <v>14</v>
      </c>
      <c r="I557" s="44"/>
      <c r="J557" s="44"/>
      <c r="K557" s="45"/>
      <c r="L557" s="1356">
        <f ca="1">L560+L563</f>
        <v>0</v>
      </c>
      <c r="M557" s="224">
        <f ca="1">M560+M563</f>
        <v>0</v>
      </c>
      <c r="N557" s="224">
        <f ca="1">N560+N563</f>
        <v>0</v>
      </c>
      <c r="O557" s="224">
        <f ca="1">IF(L557&gt;0,N557*100/L557,0)</f>
        <v>0</v>
      </c>
      <c r="P557" s="224">
        <f ca="1">IF(M557&gt;0,N557*100/M557,0)</f>
        <v>0</v>
      </c>
      <c r="Q557" s="224">
        <f>Q560+Q563</f>
        <v>0</v>
      </c>
      <c r="R557" s="224">
        <f>R560+R563</f>
        <v>0</v>
      </c>
      <c r="S557" s="224">
        <f>S560+S563</f>
        <v>0</v>
      </c>
      <c r="T557" s="224">
        <f>IF(Q557&gt;0,S557*100/Q557,0)</f>
        <v>0</v>
      </c>
      <c r="U557" s="224">
        <f>IF(R557&gt;0,S557*100/R557,0)</f>
        <v>0</v>
      </c>
    </row>
    <row r="558" spans="1:21" ht="18.75" x14ac:dyDescent="0.25">
      <c r="A558" s="128"/>
      <c r="B558" s="40"/>
      <c r="C558" s="158"/>
      <c r="D558" s="41" t="s">
        <v>22</v>
      </c>
      <c r="E558" s="158"/>
      <c r="F558" s="40"/>
      <c r="G558" s="42"/>
      <c r="H558" s="134" t="s">
        <v>14</v>
      </c>
      <c r="I558" s="135"/>
      <c r="J558" s="135"/>
      <c r="K558" s="136"/>
      <c r="L558" s="1356">
        <f ca="1">L559+L560</f>
        <v>0</v>
      </c>
      <c r="M558" s="224">
        <f ca="1">M559+M560</f>
        <v>0</v>
      </c>
      <c r="N558" s="224">
        <f ca="1">N559+N560</f>
        <v>0</v>
      </c>
      <c r="O558" s="224">
        <f ca="1">IF(L558&gt;0,N558*100/L558,0)</f>
        <v>0</v>
      </c>
      <c r="P558" s="224">
        <f ca="1">IF(M558&gt;0,N558*100/M558,0)</f>
        <v>0</v>
      </c>
      <c r="Q558" s="224">
        <f>Q559+Q560</f>
        <v>0</v>
      </c>
      <c r="R558" s="224">
        <f>R559+R560</f>
        <v>0</v>
      </c>
      <c r="S558" s="224">
        <f>S559+S560</f>
        <v>0</v>
      </c>
      <c r="T558" s="224">
        <f>IF(Q558&gt;0,S558*100/Q558,0)</f>
        <v>0</v>
      </c>
      <c r="U558" s="224">
        <f>IF(R558&gt;0,S558*100/R558,0)</f>
        <v>0</v>
      </c>
    </row>
    <row r="559" spans="1:21" ht="18.75" x14ac:dyDescent="0.25">
      <c r="A559" s="128"/>
      <c r="B559" s="40"/>
      <c r="C559" s="40"/>
      <c r="D559" s="40"/>
      <c r="E559" s="156" t="s">
        <v>36</v>
      </c>
      <c r="F559" s="40"/>
      <c r="G559" s="42"/>
      <c r="H559" s="159" t="s">
        <v>14</v>
      </c>
      <c r="I559" s="135"/>
      <c r="J559" s="135"/>
      <c r="K559" s="136"/>
      <c r="L559" s="1358">
        <v>0</v>
      </c>
      <c r="M559" s="83">
        <v>0</v>
      </c>
      <c r="N559" s="83">
        <v>0</v>
      </c>
      <c r="O559" s="83">
        <f>IF(L559&gt;0,N559*100/L559,0)</f>
        <v>0</v>
      </c>
      <c r="P559" s="83">
        <f>IF(M559&gt;0,N559*100/M559,0)</f>
        <v>0</v>
      </c>
      <c r="Q559" s="83">
        <v>0</v>
      </c>
      <c r="R559" s="83">
        <v>0</v>
      </c>
      <c r="S559" s="83">
        <v>0</v>
      </c>
      <c r="T559" s="83">
        <f>IF(Q559&gt;0,S559*100/Q559,0)</f>
        <v>0</v>
      </c>
      <c r="U559" s="83">
        <f>IF(R559&gt;0,S559*100/R559,0)</f>
        <v>0</v>
      </c>
    </row>
    <row r="560" spans="1:21" ht="18.75" x14ac:dyDescent="0.25">
      <c r="A560" s="128"/>
      <c r="B560" s="40"/>
      <c r="C560" s="40"/>
      <c r="D560" s="40"/>
      <c r="E560" s="47" t="s">
        <v>37</v>
      </c>
      <c r="F560" s="40"/>
      <c r="G560" s="42"/>
      <c r="H560" s="134" t="s">
        <v>14</v>
      </c>
      <c r="I560" s="135"/>
      <c r="J560" s="135"/>
      <c r="K560" s="136"/>
      <c r="L560" s="1356">
        <f ca="1">IFERROR(__xludf.DUMMYFUNCTION("IMPORTRANGE(""https://docs.google.com/spreadsheets/d/1-uDff_7J0KD5mKrp0Vvzr7lt3OU09vwQwhkpOPPYv2Y/edit?usp=sharing"",""งบพรบ!GG30"")"),0)</f>
        <v>0</v>
      </c>
      <c r="M560" s="224">
        <f ca="1">IFERROR(__xludf.DUMMYFUNCTION("IMPORTRANGE(""https://docs.google.com/spreadsheets/d/1-uDff_7J0KD5mKrp0Vvzr7lt3OU09vwQwhkpOPPYv2Y/edit?usp=sharing"",""งบพรบ!GL30"")"),0)</f>
        <v>0</v>
      </c>
      <c r="N560" s="224">
        <f ca="1">IFERROR(__xludf.DUMMYFUNCTION("IMPORTRANGE(""https://docs.google.com/spreadsheets/d/1-uDff_7J0KD5mKrp0Vvzr7lt3OU09vwQwhkpOPPYv2Y/edit?usp=sharing"",""งบพรบ!GN30"")"),0)</f>
        <v>0</v>
      </c>
      <c r="O560" s="224">
        <f ca="1">IF(L560&gt;0,N560*100/L560,0)</f>
        <v>0</v>
      </c>
      <c r="P560" s="224">
        <f ca="1">IF(M560&gt;0,N560*100/M560,0)</f>
        <v>0</v>
      </c>
      <c r="Q560" s="224">
        <v>0</v>
      </c>
      <c r="R560" s="224">
        <v>0</v>
      </c>
      <c r="S560" s="224">
        <v>0</v>
      </c>
      <c r="T560" s="224">
        <f>IF(Q560&gt;0,S560*100/Q560,0)</f>
        <v>0</v>
      </c>
      <c r="U560" s="224">
        <f>IF(R560&gt;0,S560*100/R560,0)</f>
        <v>0</v>
      </c>
    </row>
    <row r="561" spans="1:21" ht="18.75" x14ac:dyDescent="0.25">
      <c r="A561" s="128"/>
      <c r="B561" s="40"/>
      <c r="C561" s="40"/>
      <c r="D561" s="41" t="s">
        <v>23</v>
      </c>
      <c r="E561" s="40"/>
      <c r="F561" s="40"/>
      <c r="G561" s="42"/>
      <c r="H561" s="137" t="s">
        <v>14</v>
      </c>
      <c r="I561" s="135"/>
      <c r="J561" s="135"/>
      <c r="K561" s="136"/>
      <c r="L561" s="1356">
        <f ca="1">L562+L563</f>
        <v>0</v>
      </c>
      <c r="M561" s="224">
        <f ca="1">M562+M563</f>
        <v>0</v>
      </c>
      <c r="N561" s="224">
        <f ca="1">N562+N563</f>
        <v>0</v>
      </c>
      <c r="O561" s="224">
        <f ca="1">IF(L561&gt;0,N561*100/L561,0)</f>
        <v>0</v>
      </c>
      <c r="P561" s="224">
        <f ca="1">IF(M561&gt;0,N561*100/M561,0)</f>
        <v>0</v>
      </c>
      <c r="Q561" s="224">
        <f>Q562+Q563</f>
        <v>0</v>
      </c>
      <c r="R561" s="224">
        <f>R562+R563</f>
        <v>0</v>
      </c>
      <c r="S561" s="224">
        <f>S562+S563</f>
        <v>0</v>
      </c>
      <c r="T561" s="224">
        <f>IF(Q561&gt;0,S561*100/Q561,0)</f>
        <v>0</v>
      </c>
      <c r="U561" s="224">
        <f>IF(R561&gt;0,S561*100/R561,0)</f>
        <v>0</v>
      </c>
    </row>
    <row r="562" spans="1:21" ht="18.75" x14ac:dyDescent="0.25">
      <c r="A562" s="128"/>
      <c r="B562" s="40"/>
      <c r="C562" s="40"/>
      <c r="D562" s="40"/>
      <c r="E562" s="156" t="s">
        <v>20</v>
      </c>
      <c r="F562" s="40"/>
      <c r="G562" s="42"/>
      <c r="H562" s="159" t="s">
        <v>14</v>
      </c>
      <c r="I562" s="135"/>
      <c r="J562" s="135"/>
      <c r="K562" s="136"/>
      <c r="L562" s="1358">
        <v>0</v>
      </c>
      <c r="M562" s="83">
        <v>0</v>
      </c>
      <c r="N562" s="83">
        <v>0</v>
      </c>
      <c r="O562" s="83">
        <f>IF(L562&gt;0,N562*100/L562,0)</f>
        <v>0</v>
      </c>
      <c r="P562" s="83">
        <f>IF(M562&gt;0,N562*100/M562,0)</f>
        <v>0</v>
      </c>
      <c r="Q562" s="83">
        <v>0</v>
      </c>
      <c r="R562" s="83">
        <v>0</v>
      </c>
      <c r="S562" s="83">
        <v>0</v>
      </c>
      <c r="T562" s="83">
        <f>IF(Q562&gt;0,S562*100/Q562,0)</f>
        <v>0</v>
      </c>
      <c r="U562" s="83">
        <f>IF(R562&gt;0,S562*100/R562,0)</f>
        <v>0</v>
      </c>
    </row>
    <row r="563" spans="1:21" ht="18.75" x14ac:dyDescent="0.25">
      <c r="A563" s="128"/>
      <c r="B563" s="40"/>
      <c r="C563" s="40"/>
      <c r="D563" s="40"/>
      <c r="E563" s="47" t="s">
        <v>21</v>
      </c>
      <c r="F563" s="40"/>
      <c r="G563" s="42"/>
      <c r="H563" s="137" t="s">
        <v>14</v>
      </c>
      <c r="I563" s="135"/>
      <c r="J563" s="135"/>
      <c r="K563" s="136"/>
      <c r="L563" s="1356">
        <f ca="1">IFERROR(__xludf.DUMMYFUNCTION("IMPORTRANGE(""https://docs.google.com/spreadsheets/d/1-uDff_7J0KD5mKrp0Vvzr7lt3OU09vwQwhkpOPPYv2Y/edit?usp=sharing"",""งบพรบ!GJ30"")"),0)</f>
        <v>0</v>
      </c>
      <c r="M563" s="224">
        <f ca="1">IFERROR(__xludf.DUMMYFUNCTION("IMPORTRANGE(""https://docs.google.com/spreadsheets/d/1-uDff_7J0KD5mKrp0Vvzr7lt3OU09vwQwhkpOPPYv2Y/edit?usp=sharing"",""งบพรบ!GM30"")"),0)</f>
        <v>0</v>
      </c>
      <c r="N563" s="224">
        <f ca="1">IFERROR(__xludf.DUMMYFUNCTION("IMPORTRANGE(""https://docs.google.com/spreadsheets/d/1-uDff_7J0KD5mKrp0Vvzr7lt3OU09vwQwhkpOPPYv2Y/edit?usp=sharing"",""งบพรบ!GO30"")"),0)</f>
        <v>0</v>
      </c>
      <c r="O563" s="224">
        <f ca="1">IF(L563&gt;0,N563*100/L563,0)</f>
        <v>0</v>
      </c>
      <c r="P563" s="224">
        <f ca="1">IF(M563&gt;0,N563*100/M563,0)</f>
        <v>0</v>
      </c>
      <c r="Q563" s="224">
        <v>0</v>
      </c>
      <c r="R563" s="224">
        <v>0</v>
      </c>
      <c r="S563" s="224">
        <v>0</v>
      </c>
      <c r="T563" s="224">
        <f>IF(Q563&gt;0,S563*100/Q563,0)</f>
        <v>0</v>
      </c>
      <c r="U563" s="224">
        <f>IF(R563&gt;0,S563*100/R563,0)</f>
        <v>0</v>
      </c>
    </row>
    <row r="564" spans="1:21" ht="19.5" x14ac:dyDescent="0.3">
      <c r="A564" s="138"/>
      <c r="B564" s="139"/>
      <c r="C564" s="364" t="s">
        <v>18</v>
      </c>
      <c r="D564" s="1391" t="s">
        <v>38</v>
      </c>
      <c r="E564" s="141"/>
      <c r="F564" s="141"/>
      <c r="G564" s="142"/>
      <c r="H564" s="143"/>
      <c r="I564" s="135"/>
      <c r="J564" s="44"/>
      <c r="K564" s="45"/>
      <c r="L564" s="1359"/>
      <c r="M564" s="45"/>
      <c r="N564" s="45"/>
      <c r="O564" s="136"/>
      <c r="P564" s="136"/>
      <c r="Q564" s="45"/>
      <c r="R564" s="45"/>
      <c r="S564" s="45"/>
      <c r="T564" s="136"/>
      <c r="U564" s="136"/>
    </row>
    <row r="565" spans="1:21" ht="12.75" x14ac:dyDescent="0.2">
      <c r="A565" s="227"/>
      <c r="B565" s="229"/>
      <c r="C565" s="228"/>
      <c r="D565" s="229"/>
      <c r="E565" s="228"/>
      <c r="F565" s="229"/>
      <c r="G565" s="230"/>
      <c r="H565" s="230"/>
      <c r="I565" s="232"/>
      <c r="J565" s="232"/>
      <c r="K565" s="233"/>
      <c r="L565" s="1536"/>
      <c r="M565" s="233"/>
      <c r="N565" s="233"/>
      <c r="O565" s="233"/>
      <c r="P565" s="233"/>
      <c r="Q565" s="233"/>
      <c r="R565" s="233"/>
      <c r="S565" s="233"/>
      <c r="T565" s="233"/>
      <c r="U565" s="233"/>
    </row>
    <row r="566" spans="1:21" ht="12.75" x14ac:dyDescent="0.2">
      <c r="A566" s="227"/>
      <c r="B566" s="229"/>
      <c r="C566" s="228"/>
      <c r="D566" s="229"/>
      <c r="E566" s="228"/>
      <c r="F566" s="229"/>
      <c r="G566" s="230"/>
      <c r="H566" s="230"/>
      <c r="I566" s="232"/>
      <c r="J566" s="232"/>
      <c r="K566" s="233"/>
      <c r="L566" s="1536"/>
      <c r="M566" s="233"/>
      <c r="N566" s="233"/>
      <c r="O566" s="233"/>
      <c r="P566" s="233"/>
      <c r="Q566" s="233"/>
      <c r="R566" s="233"/>
      <c r="S566" s="233"/>
      <c r="T566" s="233"/>
      <c r="U566" s="233"/>
    </row>
    <row r="567" spans="1:21" ht="12.75" x14ac:dyDescent="0.2">
      <c r="A567" s="227"/>
      <c r="B567" s="228"/>
      <c r="C567" s="228"/>
      <c r="D567" s="229"/>
      <c r="E567" s="229"/>
      <c r="F567" s="229"/>
      <c r="G567" s="230"/>
      <c r="H567" s="231"/>
      <c r="I567" s="232"/>
      <c r="J567" s="232"/>
      <c r="K567" s="233"/>
      <c r="L567" s="1536"/>
      <c r="M567" s="233"/>
      <c r="N567" s="233"/>
      <c r="O567" s="233"/>
      <c r="P567" s="233"/>
      <c r="Q567" s="233"/>
      <c r="R567" s="233"/>
      <c r="S567" s="233"/>
      <c r="T567" s="233"/>
      <c r="U567" s="233"/>
    </row>
    <row r="568" spans="1:21" ht="12.75" x14ac:dyDescent="0.2">
      <c r="A568" s="227"/>
      <c r="B568" s="228"/>
      <c r="C568" s="228"/>
      <c r="D568" s="229"/>
      <c r="E568" s="229"/>
      <c r="F568" s="229"/>
      <c r="G568" s="230"/>
      <c r="H568" s="231"/>
      <c r="I568" s="232"/>
      <c r="J568" s="232"/>
      <c r="K568" s="233"/>
      <c r="L568" s="1536"/>
      <c r="M568" s="233"/>
      <c r="N568" s="233"/>
      <c r="O568" s="233"/>
      <c r="P568" s="233"/>
      <c r="Q568" s="233"/>
      <c r="R568" s="233"/>
      <c r="S568" s="233"/>
      <c r="T568" s="233"/>
      <c r="U568" s="233"/>
    </row>
    <row r="569" spans="1:21" ht="12.75" x14ac:dyDescent="0.2">
      <c r="A569" s="227"/>
      <c r="B569" s="228"/>
      <c r="C569" s="228"/>
      <c r="D569" s="229"/>
      <c r="E569" s="229"/>
      <c r="F569" s="229"/>
      <c r="G569" s="230"/>
      <c r="H569" s="231"/>
      <c r="I569" s="232"/>
      <c r="J569" s="232"/>
      <c r="K569" s="233"/>
      <c r="L569" s="1536"/>
      <c r="M569" s="233"/>
      <c r="N569" s="233"/>
      <c r="O569" s="233"/>
      <c r="P569" s="233"/>
      <c r="Q569" s="233"/>
      <c r="R569" s="233"/>
      <c r="S569" s="233"/>
      <c r="T569" s="233"/>
      <c r="U569" s="233"/>
    </row>
    <row r="570" spans="1:21" ht="12.75" x14ac:dyDescent="0.2">
      <c r="A570" s="227"/>
      <c r="B570" s="228"/>
      <c r="C570" s="228"/>
      <c r="D570" s="229"/>
      <c r="E570" s="229"/>
      <c r="F570" s="229"/>
      <c r="G570" s="230"/>
      <c r="H570" s="231"/>
      <c r="I570" s="232"/>
      <c r="J570" s="232"/>
      <c r="K570" s="233"/>
      <c r="L570" s="1536"/>
      <c r="M570" s="233"/>
      <c r="N570" s="233"/>
      <c r="O570" s="233"/>
      <c r="P570" s="233"/>
      <c r="Q570" s="233"/>
      <c r="R570" s="233"/>
      <c r="S570" s="233"/>
      <c r="T570" s="233"/>
      <c r="U570" s="233"/>
    </row>
    <row r="571" spans="1:21" ht="12.75" x14ac:dyDescent="0.2">
      <c r="A571" s="227"/>
      <c r="B571" s="228"/>
      <c r="C571" s="228"/>
      <c r="D571" s="229"/>
      <c r="E571" s="229"/>
      <c r="F571" s="229"/>
      <c r="G571" s="230"/>
      <c r="H571" s="231"/>
      <c r="I571" s="232"/>
      <c r="J571" s="232"/>
      <c r="K571" s="233"/>
      <c r="L571" s="1536"/>
      <c r="M571" s="233"/>
      <c r="N571" s="233"/>
      <c r="O571" s="233"/>
      <c r="P571" s="233"/>
      <c r="Q571" s="233"/>
      <c r="R571" s="233"/>
      <c r="S571" s="233"/>
      <c r="T571" s="233"/>
      <c r="U571" s="233"/>
    </row>
    <row r="572" spans="1:21" ht="12.75" x14ac:dyDescent="0.2">
      <c r="A572" s="227"/>
      <c r="B572" s="228"/>
      <c r="C572" s="228"/>
      <c r="D572" s="229"/>
      <c r="E572" s="229"/>
      <c r="F572" s="229"/>
      <c r="G572" s="230"/>
      <c r="H572" s="231"/>
      <c r="I572" s="232"/>
      <c r="J572" s="232"/>
      <c r="K572" s="233"/>
      <c r="L572" s="1536"/>
      <c r="M572" s="233"/>
      <c r="N572" s="233"/>
      <c r="O572" s="233"/>
      <c r="P572" s="233"/>
      <c r="Q572" s="233"/>
      <c r="R572" s="233"/>
      <c r="S572" s="233"/>
      <c r="T572" s="233"/>
      <c r="U572" s="233"/>
    </row>
    <row r="573" spans="1:21" ht="12.75" x14ac:dyDescent="0.2">
      <c r="A573" s="227"/>
      <c r="B573" s="228"/>
      <c r="C573" s="228"/>
      <c r="D573" s="229"/>
      <c r="E573" s="229"/>
      <c r="F573" s="229"/>
      <c r="G573" s="230"/>
      <c r="H573" s="231"/>
      <c r="I573" s="232"/>
      <c r="J573" s="232"/>
      <c r="K573" s="233"/>
      <c r="L573" s="1536"/>
      <c r="M573" s="233"/>
      <c r="N573" s="233"/>
      <c r="O573" s="233"/>
      <c r="P573" s="233"/>
      <c r="Q573" s="233"/>
      <c r="R573" s="233"/>
      <c r="S573" s="233"/>
      <c r="T573" s="233"/>
      <c r="U573" s="233"/>
    </row>
    <row r="574" spans="1:21" ht="12.75" x14ac:dyDescent="0.2">
      <c r="A574" s="360"/>
      <c r="B574" s="316"/>
      <c r="C574" s="316"/>
      <c r="D574" s="361"/>
      <c r="E574" s="361"/>
      <c r="F574" s="361"/>
      <c r="G574" s="362"/>
      <c r="H574" s="317"/>
      <c r="I574" s="318"/>
      <c r="J574" s="318"/>
      <c r="K574" s="319"/>
      <c r="L574" s="1537"/>
      <c r="M574" s="319"/>
      <c r="N574" s="319"/>
      <c r="O574" s="319"/>
      <c r="P574" s="319"/>
      <c r="Q574" s="319"/>
      <c r="R574" s="319"/>
      <c r="S574" s="319"/>
      <c r="T574" s="319"/>
      <c r="U574" s="319"/>
    </row>
    <row r="575" spans="1:21" ht="19.5" x14ac:dyDescent="0.3">
      <c r="A575" s="349"/>
      <c r="B575" s="350" t="s">
        <v>212</v>
      </c>
      <c r="C575" s="351"/>
      <c r="D575" s="352"/>
      <c r="E575" s="352"/>
      <c r="F575" s="352"/>
      <c r="G575" s="353"/>
      <c r="H575" s="363" t="s">
        <v>61</v>
      </c>
      <c r="I575" s="374">
        <f>I587</f>
        <v>0</v>
      </c>
      <c r="J575" s="374">
        <f>J587</f>
        <v>0</v>
      </c>
      <c r="K575" s="1562">
        <f>IF(I575&gt;0,J575*100/I575,0)</f>
        <v>0</v>
      </c>
      <c r="L575" s="1550"/>
      <c r="M575" s="357"/>
      <c r="N575" s="357"/>
      <c r="O575" s="357"/>
      <c r="P575" s="357"/>
      <c r="Q575" s="357"/>
      <c r="R575" s="357"/>
      <c r="S575" s="357"/>
      <c r="T575" s="357"/>
      <c r="U575" s="357"/>
    </row>
    <row r="576" spans="1:21" ht="19.5" x14ac:dyDescent="0.3">
      <c r="A576" s="128"/>
      <c r="B576" s="40"/>
      <c r="C576" s="129" t="s">
        <v>18</v>
      </c>
      <c r="D576" s="1388" t="s">
        <v>19</v>
      </c>
      <c r="E576" s="40"/>
      <c r="F576" s="40"/>
      <c r="G576" s="42"/>
      <c r="H576" s="131" t="s">
        <v>14</v>
      </c>
      <c r="I576" s="44"/>
      <c r="J576" s="44"/>
      <c r="K576" s="45"/>
      <c r="L576" s="1389">
        <f ca="1">L577+L578</f>
        <v>0</v>
      </c>
      <c r="M576" s="1390">
        <f ca="1">M577+M578</f>
        <v>0</v>
      </c>
      <c r="N576" s="1390">
        <f ca="1">N577+N578</f>
        <v>0</v>
      </c>
      <c r="O576" s="1390">
        <f ca="1">IF(L576&gt;0,N576*100/L576,0)</f>
        <v>0</v>
      </c>
      <c r="P576" s="1390">
        <f ca="1">IF(M576&gt;0,N576*100/M576,0)</f>
        <v>0</v>
      </c>
      <c r="Q576" s="1390">
        <f>Q577+Q578</f>
        <v>0</v>
      </c>
      <c r="R576" s="1390">
        <f>R577+R578</f>
        <v>0</v>
      </c>
      <c r="S576" s="1390">
        <f>S577+S578</f>
        <v>0</v>
      </c>
      <c r="T576" s="1390">
        <f>IF(Q576&gt;0,S576*100/Q576,0)</f>
        <v>0</v>
      </c>
      <c r="U576" s="1390">
        <f>IF(R576&gt;0,S576*100/R576,0)</f>
        <v>0</v>
      </c>
    </row>
    <row r="577" spans="1:21" ht="18.75" x14ac:dyDescent="0.25">
      <c r="A577" s="128"/>
      <c r="B577" s="158"/>
      <c r="C577" s="40"/>
      <c r="D577" s="40"/>
      <c r="E577" s="156" t="s">
        <v>20</v>
      </c>
      <c r="F577" s="40"/>
      <c r="G577" s="42"/>
      <c r="H577" s="157" t="s">
        <v>14</v>
      </c>
      <c r="I577" s="44"/>
      <c r="J577" s="44"/>
      <c r="K577" s="45"/>
      <c r="L577" s="1358">
        <f>L580+L583</f>
        <v>0</v>
      </c>
      <c r="M577" s="83">
        <f>M580+M583</f>
        <v>0</v>
      </c>
      <c r="N577" s="83">
        <f>N580+N583</f>
        <v>0</v>
      </c>
      <c r="O577" s="83">
        <f>IF(L577&gt;0,N577*100/L577,0)</f>
        <v>0</v>
      </c>
      <c r="P577" s="83">
        <f>IF(M577&gt;0,N577*100/M577,0)</f>
        <v>0</v>
      </c>
      <c r="Q577" s="83">
        <f>Q580+Q583</f>
        <v>0</v>
      </c>
      <c r="R577" s="83">
        <f>R580+R583</f>
        <v>0</v>
      </c>
      <c r="S577" s="83">
        <f>S580+S583</f>
        <v>0</v>
      </c>
      <c r="T577" s="83">
        <f>IF(Q577&gt;0,S577*100/Q577,0)</f>
        <v>0</v>
      </c>
      <c r="U577" s="83">
        <f>IF(R577&gt;0,S577*100/R577,0)</f>
        <v>0</v>
      </c>
    </row>
    <row r="578" spans="1:21" ht="18.75" x14ac:dyDescent="0.25">
      <c r="A578" s="128"/>
      <c r="B578" s="40"/>
      <c r="C578" s="158"/>
      <c r="D578" s="40"/>
      <c r="E578" s="209" t="s">
        <v>21</v>
      </c>
      <c r="F578" s="40"/>
      <c r="G578" s="42"/>
      <c r="H578" s="133" t="s">
        <v>14</v>
      </c>
      <c r="I578" s="44"/>
      <c r="J578" s="44"/>
      <c r="K578" s="45"/>
      <c r="L578" s="1356">
        <f ca="1">L581+L584</f>
        <v>0</v>
      </c>
      <c r="M578" s="224">
        <f ca="1">M581+M584</f>
        <v>0</v>
      </c>
      <c r="N578" s="224">
        <f ca="1">N581+N584</f>
        <v>0</v>
      </c>
      <c r="O578" s="224">
        <f ca="1">IF(L578&gt;0,N578*100/L578,0)</f>
        <v>0</v>
      </c>
      <c r="P578" s="224">
        <f ca="1">IF(M578&gt;0,N578*100/M578,0)</f>
        <v>0</v>
      </c>
      <c r="Q578" s="224">
        <f>Q581+Q584</f>
        <v>0</v>
      </c>
      <c r="R578" s="224">
        <f>R581+R584</f>
        <v>0</v>
      </c>
      <c r="S578" s="224">
        <f>S581+S584</f>
        <v>0</v>
      </c>
      <c r="T578" s="224">
        <f>IF(Q578&gt;0,S578*100/Q578,0)</f>
        <v>0</v>
      </c>
      <c r="U578" s="224">
        <f>IF(R578&gt;0,S578*100/R578,0)</f>
        <v>0</v>
      </c>
    </row>
    <row r="579" spans="1:21" ht="18.75" x14ac:dyDescent="0.25">
      <c r="A579" s="128"/>
      <c r="B579" s="40"/>
      <c r="C579" s="158"/>
      <c r="D579" s="41" t="s">
        <v>22</v>
      </c>
      <c r="E579" s="158"/>
      <c r="F579" s="40"/>
      <c r="G579" s="42"/>
      <c r="H579" s="134" t="s">
        <v>14</v>
      </c>
      <c r="I579" s="135"/>
      <c r="J579" s="135"/>
      <c r="K579" s="136"/>
      <c r="L579" s="1356">
        <f ca="1">L580+L581</f>
        <v>0</v>
      </c>
      <c r="M579" s="224">
        <f ca="1">M580+M581</f>
        <v>0</v>
      </c>
      <c r="N579" s="224">
        <f ca="1">N580+N581</f>
        <v>0</v>
      </c>
      <c r="O579" s="224">
        <f ca="1">IF(L579&gt;0,N579*100/L579,0)</f>
        <v>0</v>
      </c>
      <c r="P579" s="224">
        <f ca="1">IF(M579&gt;0,N579*100/M579,0)</f>
        <v>0</v>
      </c>
      <c r="Q579" s="224">
        <f>Q580+Q581</f>
        <v>0</v>
      </c>
      <c r="R579" s="224">
        <f>R580+R581</f>
        <v>0</v>
      </c>
      <c r="S579" s="224">
        <f>S580+S581</f>
        <v>0</v>
      </c>
      <c r="T579" s="224">
        <f>IF(Q579&gt;0,S579*100/Q579,0)</f>
        <v>0</v>
      </c>
      <c r="U579" s="224">
        <f>IF(R579&gt;0,S579*100/R579,0)</f>
        <v>0</v>
      </c>
    </row>
    <row r="580" spans="1:21" ht="18.75" x14ac:dyDescent="0.25">
      <c r="A580" s="128"/>
      <c r="B580" s="40"/>
      <c r="C580" s="40"/>
      <c r="D580" s="40"/>
      <c r="E580" s="156" t="s">
        <v>36</v>
      </c>
      <c r="F580" s="40"/>
      <c r="G580" s="42"/>
      <c r="H580" s="159" t="s">
        <v>14</v>
      </c>
      <c r="I580" s="135"/>
      <c r="J580" s="135"/>
      <c r="K580" s="136"/>
      <c r="L580" s="1358">
        <v>0</v>
      </c>
      <c r="M580" s="83">
        <v>0</v>
      </c>
      <c r="N580" s="83">
        <v>0</v>
      </c>
      <c r="O580" s="83">
        <f>IF(L580&gt;0,N580*100/L580,0)</f>
        <v>0</v>
      </c>
      <c r="P580" s="83">
        <f>IF(M580&gt;0,N580*100/M580,0)</f>
        <v>0</v>
      </c>
      <c r="Q580" s="83">
        <v>0</v>
      </c>
      <c r="R580" s="83">
        <v>0</v>
      </c>
      <c r="S580" s="83">
        <v>0</v>
      </c>
      <c r="T580" s="83">
        <f>IF(Q580&gt;0,S580*100/Q580,0)</f>
        <v>0</v>
      </c>
      <c r="U580" s="83">
        <f>IF(R580&gt;0,S580*100/R580,0)</f>
        <v>0</v>
      </c>
    </row>
    <row r="581" spans="1:21" ht="18.75" x14ac:dyDescent="0.25">
      <c r="A581" s="128"/>
      <c r="B581" s="40"/>
      <c r="C581" s="40"/>
      <c r="D581" s="40"/>
      <c r="E581" s="47" t="s">
        <v>37</v>
      </c>
      <c r="F581" s="40"/>
      <c r="G581" s="42"/>
      <c r="H581" s="134" t="s">
        <v>14</v>
      </c>
      <c r="I581" s="135"/>
      <c r="J581" s="135"/>
      <c r="K581" s="136"/>
      <c r="L581" s="1356">
        <f ca="1">IFERROR(__xludf.DUMMYFUNCTION("IMPORTRANGE(""https://docs.google.com/spreadsheets/d/1-uDff_7J0KD5mKrp0Vvzr7lt3OU09vwQwhkpOPPYv2Y/edit?usp=sharing"",""งบพรบ!GQ30"")"),0)</f>
        <v>0</v>
      </c>
      <c r="M581" s="224">
        <f ca="1">IFERROR(__xludf.DUMMYFUNCTION("IMPORTRANGE(""https://docs.google.com/spreadsheets/d/1-uDff_7J0KD5mKrp0Vvzr7lt3OU09vwQwhkpOPPYv2Y/edit?usp=sharing"",""งบพรบ!GV30"")"),0)</f>
        <v>0</v>
      </c>
      <c r="N581" s="224">
        <f ca="1">IFERROR(__xludf.DUMMYFUNCTION("IMPORTRANGE(""https://docs.google.com/spreadsheets/d/1-uDff_7J0KD5mKrp0Vvzr7lt3OU09vwQwhkpOPPYv2Y/edit?usp=sharing"",""งบพรบ!GX30"")"),0)</f>
        <v>0</v>
      </c>
      <c r="O581" s="224">
        <f ca="1">IF(L581&gt;0,N581*100/L581,0)</f>
        <v>0</v>
      </c>
      <c r="P581" s="224">
        <f ca="1">IF(M581&gt;0,N581*100/M581,0)</f>
        <v>0</v>
      </c>
      <c r="Q581" s="224">
        <v>0</v>
      </c>
      <c r="R581" s="224">
        <v>0</v>
      </c>
      <c r="S581" s="224">
        <v>0</v>
      </c>
      <c r="T581" s="224">
        <f>IF(Q581&gt;0,S581*100/Q581,0)</f>
        <v>0</v>
      </c>
      <c r="U581" s="224">
        <f>IF(R581&gt;0,S581*100/R581,0)</f>
        <v>0</v>
      </c>
    </row>
    <row r="582" spans="1:21" ht="18.75" x14ac:dyDescent="0.25">
      <c r="A582" s="128"/>
      <c r="B582" s="40"/>
      <c r="C582" s="40"/>
      <c r="D582" s="41" t="s">
        <v>23</v>
      </c>
      <c r="E582" s="40"/>
      <c r="F582" s="40"/>
      <c r="G582" s="42"/>
      <c r="H582" s="137" t="s">
        <v>14</v>
      </c>
      <c r="I582" s="135"/>
      <c r="J582" s="135"/>
      <c r="K582" s="136"/>
      <c r="L582" s="1356">
        <f ca="1">L583+L584</f>
        <v>0</v>
      </c>
      <c r="M582" s="224">
        <f ca="1">M583+M584</f>
        <v>0</v>
      </c>
      <c r="N582" s="224">
        <f ca="1">N583+N584</f>
        <v>0</v>
      </c>
      <c r="O582" s="224">
        <f ca="1">IF(L582&gt;0,N582*100/L582,0)</f>
        <v>0</v>
      </c>
      <c r="P582" s="224">
        <f ca="1">IF(M582&gt;0,N582*100/M582,0)</f>
        <v>0</v>
      </c>
      <c r="Q582" s="224">
        <f>Q583+Q584</f>
        <v>0</v>
      </c>
      <c r="R582" s="224">
        <f>R583+R584</f>
        <v>0</v>
      </c>
      <c r="S582" s="224">
        <f>S583+S584</f>
        <v>0</v>
      </c>
      <c r="T582" s="224">
        <f>IF(Q582&gt;0,S582*100/Q582,0)</f>
        <v>0</v>
      </c>
      <c r="U582" s="224">
        <f>IF(R582&gt;0,S582*100/R582,0)</f>
        <v>0</v>
      </c>
    </row>
    <row r="583" spans="1:21" ht="18.75" x14ac:dyDescent="0.25">
      <c r="A583" s="128"/>
      <c r="B583" s="40"/>
      <c r="C583" s="40"/>
      <c r="D583" s="40"/>
      <c r="E583" s="156" t="s">
        <v>20</v>
      </c>
      <c r="F583" s="40"/>
      <c r="G583" s="42"/>
      <c r="H583" s="159" t="s">
        <v>14</v>
      </c>
      <c r="I583" s="135"/>
      <c r="J583" s="135"/>
      <c r="K583" s="136"/>
      <c r="L583" s="1358">
        <v>0</v>
      </c>
      <c r="M583" s="83">
        <v>0</v>
      </c>
      <c r="N583" s="83">
        <v>0</v>
      </c>
      <c r="O583" s="83">
        <f>IF(L583&gt;0,N583*100/L583,0)</f>
        <v>0</v>
      </c>
      <c r="P583" s="83">
        <f>IF(M583&gt;0,N583*100/M583,0)</f>
        <v>0</v>
      </c>
      <c r="Q583" s="83">
        <v>0</v>
      </c>
      <c r="R583" s="83">
        <v>0</v>
      </c>
      <c r="S583" s="83">
        <v>0</v>
      </c>
      <c r="T583" s="83">
        <f>IF(Q583&gt;0,S583*100/Q583,0)</f>
        <v>0</v>
      </c>
      <c r="U583" s="83">
        <f>IF(R583&gt;0,S583*100/R583,0)</f>
        <v>0</v>
      </c>
    </row>
    <row r="584" spans="1:21" ht="18.75" x14ac:dyDescent="0.25">
      <c r="A584" s="128"/>
      <c r="B584" s="40"/>
      <c r="C584" s="40"/>
      <c r="D584" s="40"/>
      <c r="E584" s="47" t="s">
        <v>21</v>
      </c>
      <c r="F584" s="40"/>
      <c r="G584" s="42"/>
      <c r="H584" s="137" t="s">
        <v>14</v>
      </c>
      <c r="I584" s="135"/>
      <c r="J584" s="135"/>
      <c r="K584" s="136"/>
      <c r="L584" s="1356">
        <f ca="1">IFERROR(__xludf.DUMMYFUNCTION("IMPORTRANGE(""https://docs.google.com/spreadsheets/d/1-uDff_7J0KD5mKrp0Vvzr7lt3OU09vwQwhkpOPPYv2Y/edit?usp=sharing"",""งบพรบ!GT30"")"),0)</f>
        <v>0</v>
      </c>
      <c r="M584" s="224">
        <f ca="1">IFERROR(__xludf.DUMMYFUNCTION("IMPORTRANGE(""https://docs.google.com/spreadsheets/d/1-uDff_7J0KD5mKrp0Vvzr7lt3OU09vwQwhkpOPPYv2Y/edit?usp=sharing"",""งบพรบ!GW30"")"),0)</f>
        <v>0</v>
      </c>
      <c r="N584" s="224">
        <f ca="1">IFERROR(__xludf.DUMMYFUNCTION("IMPORTRANGE(""https://docs.google.com/spreadsheets/d/1-uDff_7J0KD5mKrp0Vvzr7lt3OU09vwQwhkpOPPYv2Y/edit?usp=sharing"",""งบพรบ!GY30"")"),0)</f>
        <v>0</v>
      </c>
      <c r="O584" s="224">
        <f ca="1">IF(L584&gt;0,N584*100/L584,0)</f>
        <v>0</v>
      </c>
      <c r="P584" s="224">
        <f ca="1">IF(M584&gt;0,N584*100/M584,0)</f>
        <v>0</v>
      </c>
      <c r="Q584" s="224">
        <v>0</v>
      </c>
      <c r="R584" s="224">
        <v>0</v>
      </c>
      <c r="S584" s="224">
        <v>0</v>
      </c>
      <c r="T584" s="224">
        <f>IF(Q584&gt;0,S584*100/Q584,0)</f>
        <v>0</v>
      </c>
      <c r="U584" s="224">
        <f>IF(R584&gt;0,S584*100/R584,0)</f>
        <v>0</v>
      </c>
    </row>
    <row r="585" spans="1:21" ht="19.5" x14ac:dyDescent="0.3">
      <c r="A585" s="138"/>
      <c r="B585" s="139"/>
      <c r="C585" s="364" t="s">
        <v>18</v>
      </c>
      <c r="D585" s="1391" t="s">
        <v>38</v>
      </c>
      <c r="E585" s="141"/>
      <c r="F585" s="141"/>
      <c r="G585" s="142"/>
      <c r="H585" s="143"/>
      <c r="I585" s="135"/>
      <c r="J585" s="44"/>
      <c r="K585" s="45"/>
      <c r="L585" s="1359"/>
      <c r="M585" s="45"/>
      <c r="N585" s="45"/>
      <c r="O585" s="136"/>
      <c r="P585" s="136"/>
      <c r="Q585" s="45"/>
      <c r="R585" s="45"/>
      <c r="S585" s="45"/>
      <c r="T585" s="136"/>
      <c r="U585" s="136"/>
    </row>
    <row r="586" spans="1:21" ht="12.75" x14ac:dyDescent="0.2">
      <c r="A586" s="227"/>
      <c r="B586" s="229"/>
      <c r="C586" s="228"/>
      <c r="D586" s="229"/>
      <c r="E586" s="228"/>
      <c r="F586" s="229"/>
      <c r="G586" s="230"/>
      <c r="H586" s="230"/>
      <c r="I586" s="232"/>
      <c r="J586" s="232"/>
      <c r="K586" s="233"/>
      <c r="L586" s="1536"/>
      <c r="M586" s="233"/>
      <c r="N586" s="233"/>
      <c r="O586" s="233"/>
      <c r="P586" s="233"/>
      <c r="Q586" s="233"/>
      <c r="R586" s="233"/>
      <c r="S586" s="233"/>
      <c r="T586" s="233"/>
      <c r="U586" s="233"/>
    </row>
    <row r="587" spans="1:21" ht="12.75" x14ac:dyDescent="0.2">
      <c r="A587" s="227"/>
      <c r="B587" s="229"/>
      <c r="C587" s="228"/>
      <c r="D587" s="229"/>
      <c r="E587" s="228"/>
      <c r="F587" s="229"/>
      <c r="G587" s="230"/>
      <c r="H587" s="230"/>
      <c r="I587" s="232"/>
      <c r="J587" s="232"/>
      <c r="K587" s="233"/>
      <c r="L587" s="1536"/>
      <c r="M587" s="233"/>
      <c r="N587" s="233"/>
      <c r="O587" s="233"/>
      <c r="P587" s="233"/>
      <c r="Q587" s="233"/>
      <c r="R587" s="233"/>
      <c r="S587" s="233"/>
      <c r="T587" s="233"/>
      <c r="U587" s="233"/>
    </row>
    <row r="588" spans="1:21" ht="12.75" x14ac:dyDescent="0.2">
      <c r="A588" s="227"/>
      <c r="B588" s="228"/>
      <c r="C588" s="228"/>
      <c r="D588" s="229"/>
      <c r="E588" s="229"/>
      <c r="F588" s="229"/>
      <c r="G588" s="230"/>
      <c r="H588" s="231"/>
      <c r="I588" s="232"/>
      <c r="J588" s="232"/>
      <c r="K588" s="233"/>
      <c r="L588" s="1536"/>
      <c r="M588" s="233"/>
      <c r="N588" s="233"/>
      <c r="O588" s="233"/>
      <c r="P588" s="233"/>
      <c r="Q588" s="233"/>
      <c r="R588" s="233"/>
      <c r="S588" s="233"/>
      <c r="T588" s="233"/>
      <c r="U588" s="233"/>
    </row>
    <row r="589" spans="1:21" ht="12.75" x14ac:dyDescent="0.2">
      <c r="A589" s="227"/>
      <c r="B589" s="228"/>
      <c r="C589" s="228"/>
      <c r="D589" s="229"/>
      <c r="E589" s="229"/>
      <c r="F589" s="229"/>
      <c r="G589" s="230"/>
      <c r="H589" s="231"/>
      <c r="I589" s="232"/>
      <c r="J589" s="232"/>
      <c r="K589" s="233"/>
      <c r="L589" s="1536"/>
      <c r="M589" s="233"/>
      <c r="N589" s="233"/>
      <c r="O589" s="233"/>
      <c r="P589" s="233"/>
      <c r="Q589" s="233"/>
      <c r="R589" s="233"/>
      <c r="S589" s="233"/>
      <c r="T589" s="233"/>
      <c r="U589" s="233"/>
    </row>
    <row r="590" spans="1:21" ht="12.75" x14ac:dyDescent="0.2">
      <c r="A590" s="227"/>
      <c r="B590" s="228"/>
      <c r="C590" s="228"/>
      <c r="D590" s="229"/>
      <c r="E590" s="229"/>
      <c r="F590" s="229"/>
      <c r="G590" s="230"/>
      <c r="H590" s="231"/>
      <c r="I590" s="232"/>
      <c r="J590" s="232"/>
      <c r="K590" s="233"/>
      <c r="L590" s="1536"/>
      <c r="M590" s="233"/>
      <c r="N590" s="233"/>
      <c r="O590" s="233"/>
      <c r="P590" s="233"/>
      <c r="Q590" s="233"/>
      <c r="R590" s="233"/>
      <c r="S590" s="233"/>
      <c r="T590" s="233"/>
      <c r="U590" s="233"/>
    </row>
    <row r="591" spans="1:21" ht="12.75" x14ac:dyDescent="0.2">
      <c r="A591" s="227"/>
      <c r="B591" s="228"/>
      <c r="C591" s="228"/>
      <c r="D591" s="229"/>
      <c r="E591" s="229"/>
      <c r="F591" s="229"/>
      <c r="G591" s="230"/>
      <c r="H591" s="231"/>
      <c r="I591" s="232"/>
      <c r="J591" s="232"/>
      <c r="K591" s="233"/>
      <c r="L591" s="1536"/>
      <c r="M591" s="233"/>
      <c r="N591" s="233"/>
      <c r="O591" s="233"/>
      <c r="P591" s="233"/>
      <c r="Q591" s="233"/>
      <c r="R591" s="233"/>
      <c r="S591" s="233"/>
      <c r="T591" s="233"/>
      <c r="U591" s="233"/>
    </row>
    <row r="592" spans="1:21" ht="12.75" x14ac:dyDescent="0.2">
      <c r="A592" s="227"/>
      <c r="B592" s="228"/>
      <c r="C592" s="228"/>
      <c r="D592" s="229"/>
      <c r="E592" s="229"/>
      <c r="F592" s="229"/>
      <c r="G592" s="230"/>
      <c r="H592" s="231"/>
      <c r="I592" s="232"/>
      <c r="J592" s="232"/>
      <c r="K592" s="233"/>
      <c r="L592" s="1536"/>
      <c r="M592" s="233"/>
      <c r="N592" s="233"/>
      <c r="O592" s="233"/>
      <c r="P592" s="233"/>
      <c r="Q592" s="233"/>
      <c r="R592" s="233"/>
      <c r="S592" s="233"/>
      <c r="T592" s="233"/>
      <c r="U592" s="233"/>
    </row>
    <row r="593" spans="1:21" ht="12.75" x14ac:dyDescent="0.2">
      <c r="A593" s="227"/>
      <c r="B593" s="228"/>
      <c r="C593" s="228"/>
      <c r="D593" s="229"/>
      <c r="E593" s="229"/>
      <c r="F593" s="229"/>
      <c r="G593" s="230"/>
      <c r="H593" s="231"/>
      <c r="I593" s="232"/>
      <c r="J593" s="232"/>
      <c r="K593" s="233"/>
      <c r="L593" s="1536"/>
      <c r="M593" s="233"/>
      <c r="N593" s="233"/>
      <c r="O593" s="233"/>
      <c r="P593" s="233"/>
      <c r="Q593" s="233"/>
      <c r="R593" s="233"/>
      <c r="S593" s="233"/>
      <c r="T593" s="233"/>
      <c r="U593" s="233"/>
    </row>
    <row r="594" spans="1:21" ht="12.75" x14ac:dyDescent="0.2">
      <c r="A594" s="227"/>
      <c r="B594" s="228"/>
      <c r="C594" s="228"/>
      <c r="D594" s="229"/>
      <c r="E594" s="229"/>
      <c r="F594" s="229"/>
      <c r="G594" s="230"/>
      <c r="H594" s="231"/>
      <c r="I594" s="232"/>
      <c r="J594" s="232"/>
      <c r="K594" s="233"/>
      <c r="L594" s="1536"/>
      <c r="M594" s="233"/>
      <c r="N594" s="233"/>
      <c r="O594" s="233"/>
      <c r="P594" s="233"/>
      <c r="Q594" s="233"/>
      <c r="R594" s="233"/>
      <c r="S594" s="233"/>
      <c r="T594" s="233"/>
      <c r="U594" s="233"/>
    </row>
    <row r="595" spans="1:21" ht="12.75" x14ac:dyDescent="0.2">
      <c r="A595" s="360"/>
      <c r="B595" s="316"/>
      <c r="C595" s="316"/>
      <c r="D595" s="361"/>
      <c r="E595" s="361"/>
      <c r="F595" s="361"/>
      <c r="G595" s="362"/>
      <c r="H595" s="317"/>
      <c r="I595" s="318"/>
      <c r="J595" s="318"/>
      <c r="K595" s="319"/>
      <c r="L595" s="1537"/>
      <c r="M595" s="319"/>
      <c r="N595" s="319"/>
      <c r="O595" s="319"/>
      <c r="P595" s="319"/>
      <c r="Q595" s="319"/>
      <c r="R595" s="319"/>
      <c r="S595" s="319"/>
      <c r="T595" s="319"/>
      <c r="U595" s="319"/>
    </row>
    <row r="596" spans="1:21" ht="19.5" x14ac:dyDescent="0.3">
      <c r="A596" s="1563" t="s">
        <v>213</v>
      </c>
      <c r="B596" s="119"/>
      <c r="C596" s="168"/>
      <c r="D596" s="119"/>
      <c r="E596" s="119"/>
      <c r="F596" s="119"/>
      <c r="G596" s="119"/>
      <c r="H596" s="120"/>
      <c r="I596" s="169"/>
      <c r="J596" s="169"/>
      <c r="K596" s="170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1564" t="s">
        <v>214</v>
      </c>
      <c r="C597" s="172"/>
      <c r="D597" s="125"/>
      <c r="E597" s="27"/>
      <c r="F597" s="27"/>
      <c r="G597" s="27"/>
      <c r="H597" s="1565" t="s">
        <v>99</v>
      </c>
      <c r="I597" s="182"/>
      <c r="J597" s="32"/>
      <c r="K597" s="33"/>
      <c r="L597" s="1387"/>
      <c r="M597" s="33"/>
      <c r="N597" s="33"/>
      <c r="O597" s="33"/>
      <c r="P597" s="33"/>
      <c r="Q597" s="33"/>
      <c r="R597" s="33"/>
      <c r="S597" s="33"/>
      <c r="T597" s="33"/>
      <c r="U597" s="33"/>
    </row>
    <row r="598" spans="1:21" ht="19.5" x14ac:dyDescent="0.3">
      <c r="A598" s="1566"/>
      <c r="B598" s="1567" t="s">
        <v>215</v>
      </c>
      <c r="C598" s="125"/>
      <c r="D598" s="27"/>
      <c r="E598" s="27"/>
      <c r="F598" s="27"/>
      <c r="G598" s="30"/>
      <c r="H598" s="1568" t="s">
        <v>35</v>
      </c>
      <c r="I598" s="32"/>
      <c r="J598" s="32"/>
      <c r="K598" s="33"/>
      <c r="L598" s="1387"/>
      <c r="M598" s="33"/>
      <c r="N598" s="33"/>
      <c r="O598" s="33"/>
      <c r="P598" s="33"/>
      <c r="Q598" s="33"/>
      <c r="R598" s="33"/>
      <c r="S598" s="33"/>
      <c r="T598" s="33"/>
      <c r="U598" s="33"/>
    </row>
    <row r="599" spans="1:21" ht="19.5" x14ac:dyDescent="0.3">
      <c r="A599" s="128"/>
      <c r="B599" s="158"/>
      <c r="C599" s="177" t="s">
        <v>18</v>
      </c>
      <c r="D599" s="1569" t="s">
        <v>19</v>
      </c>
      <c r="E599" s="1285"/>
      <c r="F599" s="1285"/>
      <c r="G599" s="1286"/>
      <c r="H599" s="375" t="s">
        <v>14</v>
      </c>
      <c r="I599" s="44"/>
      <c r="J599" s="44"/>
      <c r="K599" s="45"/>
      <c r="L599" s="1389">
        <f ca="1">L600+L601</f>
        <v>6343</v>
      </c>
      <c r="M599" s="1390">
        <f ca="1">M600+M601</f>
        <v>0</v>
      </c>
      <c r="N599" s="1390">
        <f ca="1">N600+N601</f>
        <v>0</v>
      </c>
      <c r="O599" s="1390">
        <f ca="1">IF(L599&gt;0,N599*100/L599,0)</f>
        <v>0</v>
      </c>
      <c r="P599" s="1390">
        <f ca="1">IF(M599&gt;0,N599*100/M599,0)</f>
        <v>0</v>
      </c>
      <c r="Q599" s="1390">
        <f ca="1">Q600+Q601</f>
        <v>0</v>
      </c>
      <c r="R599" s="1390">
        <f ca="1">R600+R601</f>
        <v>0</v>
      </c>
      <c r="S599" s="1390">
        <f ca="1">S600+S601</f>
        <v>0</v>
      </c>
      <c r="T599" s="1390">
        <f ca="1">IF(Q599&gt;0,S599*100/Q599,0)</f>
        <v>0</v>
      </c>
      <c r="U599" s="1390">
        <f ca="1">IF(R599&gt;0,S599*100/R599,0)</f>
        <v>0</v>
      </c>
    </row>
    <row r="600" spans="1:21" ht="18.75" x14ac:dyDescent="0.25">
      <c r="A600" s="128"/>
      <c r="B600" s="158"/>
      <c r="C600" s="158"/>
      <c r="D600" s="145"/>
      <c r="E600" s="156" t="s">
        <v>158</v>
      </c>
      <c r="F600" s="40"/>
      <c r="G600" s="42"/>
      <c r="H600" s="159" t="s">
        <v>14</v>
      </c>
      <c r="I600" s="44"/>
      <c r="J600" s="44"/>
      <c r="K600" s="45"/>
      <c r="L600" s="1358">
        <f>L603+L606</f>
        <v>0</v>
      </c>
      <c r="M600" s="83">
        <f>M603+M606</f>
        <v>0</v>
      </c>
      <c r="N600" s="83">
        <f>N603+N606</f>
        <v>0</v>
      </c>
      <c r="O600" s="83">
        <f>IF(L600&gt;0,N600*100/L600,0)</f>
        <v>0</v>
      </c>
      <c r="P600" s="83">
        <f>IF(M600&gt;0,N600*100/M600,0)</f>
        <v>0</v>
      </c>
      <c r="Q600" s="83">
        <f>Q603+Q606</f>
        <v>0</v>
      </c>
      <c r="R600" s="83">
        <f>R603+R606</f>
        <v>0</v>
      </c>
      <c r="S600" s="83">
        <f>S603+S606</f>
        <v>0</v>
      </c>
      <c r="T600" s="83">
        <f>IF(Q600&gt;0,S600*100/Q600,0)</f>
        <v>0</v>
      </c>
      <c r="U600" s="83">
        <f>IF(R600&gt;0,S600*100/R600,0)</f>
        <v>0</v>
      </c>
    </row>
    <row r="601" spans="1:21" ht="18.75" x14ac:dyDescent="0.25">
      <c r="A601" s="128"/>
      <c r="B601" s="158"/>
      <c r="C601" s="158"/>
      <c r="D601" s="145"/>
      <c r="E601" s="156" t="s">
        <v>159</v>
      </c>
      <c r="F601" s="40"/>
      <c r="G601" s="42"/>
      <c r="H601" s="159" t="s">
        <v>14</v>
      </c>
      <c r="I601" s="44"/>
      <c r="J601" s="44"/>
      <c r="K601" s="45"/>
      <c r="L601" s="1356">
        <f ca="1">L604+L607</f>
        <v>6343</v>
      </c>
      <c r="M601" s="224">
        <f ca="1">M604+M607</f>
        <v>0</v>
      </c>
      <c r="N601" s="224">
        <f ca="1">N604+N607</f>
        <v>0</v>
      </c>
      <c r="O601" s="224">
        <f ca="1">IF(L601&gt;0,N601*100/L601,0)</f>
        <v>0</v>
      </c>
      <c r="P601" s="224">
        <f ca="1">IF(M601&gt;0,N601*100/M601,0)</f>
        <v>0</v>
      </c>
      <c r="Q601" s="224">
        <f ca="1">Q604+Q607</f>
        <v>0</v>
      </c>
      <c r="R601" s="224">
        <f ca="1">R604+R607</f>
        <v>0</v>
      </c>
      <c r="S601" s="224">
        <f ca="1">S604+S607</f>
        <v>0</v>
      </c>
      <c r="T601" s="224">
        <f ca="1">IF(Q601&gt;0,S601*100/Q601,0)</f>
        <v>0</v>
      </c>
      <c r="U601" s="224">
        <f ca="1">IF(R601&gt;0,S601*100/R601,0)</f>
        <v>0</v>
      </c>
    </row>
    <row r="602" spans="1:21" ht="19.5" x14ac:dyDescent="0.3">
      <c r="A602" s="128"/>
      <c r="B602" s="158"/>
      <c r="C602" s="158"/>
      <c r="D602" s="1434" t="s">
        <v>22</v>
      </c>
      <c r="E602" s="40"/>
      <c r="F602" s="40"/>
      <c r="G602" s="42"/>
      <c r="H602" s="375" t="s">
        <v>14</v>
      </c>
      <c r="I602" s="135"/>
      <c r="J602" s="135"/>
      <c r="K602" s="136"/>
      <c r="L602" s="1356">
        <f ca="1">L603+L604</f>
        <v>6343</v>
      </c>
      <c r="M602" s="224">
        <f ca="1">M603+M604</f>
        <v>0</v>
      </c>
      <c r="N602" s="224">
        <f ca="1">N603+N604</f>
        <v>0</v>
      </c>
      <c r="O602" s="224">
        <f ca="1">IF(L602&gt;0,N602*100/L602,0)</f>
        <v>0</v>
      </c>
      <c r="P602" s="224">
        <f ca="1">IF(M602&gt;0,N602*100/M602,0)</f>
        <v>0</v>
      </c>
      <c r="Q602" s="224">
        <f ca="1">Q603+Q604</f>
        <v>0</v>
      </c>
      <c r="R602" s="224">
        <f ca="1">R603+R604</f>
        <v>0</v>
      </c>
      <c r="S602" s="224">
        <f ca="1">S603+S604</f>
        <v>0</v>
      </c>
      <c r="T602" s="224">
        <f ca="1">IF(Q602&gt;0,S602*100/Q602,0)</f>
        <v>0</v>
      </c>
      <c r="U602" s="224">
        <f ca="1">IF(R602&gt;0,S602*100/R602,0)</f>
        <v>0</v>
      </c>
    </row>
    <row r="603" spans="1:21" ht="18.75" x14ac:dyDescent="0.25">
      <c r="A603" s="128"/>
      <c r="B603" s="158"/>
      <c r="C603" s="158"/>
      <c r="D603" s="145"/>
      <c r="E603" s="156" t="s">
        <v>158</v>
      </c>
      <c r="F603" s="40"/>
      <c r="G603" s="42"/>
      <c r="H603" s="159" t="s">
        <v>14</v>
      </c>
      <c r="I603" s="44"/>
      <c r="J603" s="44"/>
      <c r="K603" s="45"/>
      <c r="L603" s="1358">
        <v>0</v>
      </c>
      <c r="M603" s="83">
        <v>0</v>
      </c>
      <c r="N603" s="83">
        <v>0</v>
      </c>
      <c r="O603" s="83">
        <f>IF(L603&gt;0,N603*100/L603,0)</f>
        <v>0</v>
      </c>
      <c r="P603" s="83">
        <f>IF(M603&gt;0,N603*100/M603,0)</f>
        <v>0</v>
      </c>
      <c r="Q603" s="83">
        <v>0</v>
      </c>
      <c r="R603" s="83">
        <v>0</v>
      </c>
      <c r="S603" s="83">
        <v>0</v>
      </c>
      <c r="T603" s="83">
        <f>IF(Q603&gt;0,S603*100/Q603,0)</f>
        <v>0</v>
      </c>
      <c r="U603" s="83">
        <f>IF(R603&gt;0,S603*100/R603,0)</f>
        <v>0</v>
      </c>
    </row>
    <row r="604" spans="1:21" ht="18.75" x14ac:dyDescent="0.25">
      <c r="A604" s="128"/>
      <c r="B604" s="158"/>
      <c r="C604" s="158"/>
      <c r="D604" s="145"/>
      <c r="E604" s="156" t="s">
        <v>159</v>
      </c>
      <c r="F604" s="40"/>
      <c r="G604" s="42"/>
      <c r="H604" s="159" t="s">
        <v>14</v>
      </c>
      <c r="I604" s="44"/>
      <c r="J604" s="44"/>
      <c r="K604" s="45"/>
      <c r="L604" s="1356">
        <f ca="1">IFERROR(__xludf.DUMMYFUNCTION("IMPORTRANGE(""https://docs.google.com/spreadsheets/d/1-uDff_7J0KD5mKrp0Vvzr7lt3OU09vwQwhkpOPPYv2Y/edit?usp=sharing"",""งบพรบ!HK30"")"),6343)</f>
        <v>6343</v>
      </c>
      <c r="M604" s="224">
        <f ca="1">IFERROR(__xludf.DUMMYFUNCTION("IMPORTRANGE(""https://docs.google.com/spreadsheets/d/1-uDff_7J0KD5mKrp0Vvzr7lt3OU09vwQwhkpOPPYv2Y/edit?usp=sharing"",""งบพรบ!HP30"")"),0)</f>
        <v>0</v>
      </c>
      <c r="N604" s="224">
        <f ca="1">IFERROR(__xludf.DUMMYFUNCTION("IMPORTRANGE(""https://docs.google.com/spreadsheets/d/1-uDff_7J0KD5mKrp0Vvzr7lt3OU09vwQwhkpOPPYv2Y/edit?usp=sharing"",""งบพรบ!HR30"")"),0)</f>
        <v>0</v>
      </c>
      <c r="O604" s="224">
        <f ca="1">IF(L604&gt;0,N604*100/L604,0)</f>
        <v>0</v>
      </c>
      <c r="P604" s="224">
        <f ca="1">IF(M604&gt;0,N604*100/M604,0)</f>
        <v>0</v>
      </c>
      <c r="Q604" s="224">
        <f ca="1">IFERROR(__xludf.DUMMYFUNCTION("IMPORTRANGE(""https://docs.google.com/spreadsheets/d/1ItG2mGa2ceCfYo0BwxsXqNm01IGEUdYcSSLTEv9YCik/edit?usp=sharing"",""เบิกจ่ายกองทุน!AV30"")"),0)</f>
        <v>0</v>
      </c>
      <c r="R604" s="224">
        <f ca="1">IFERROR(__xludf.DUMMYFUNCTION("IMPORTRANGE(""https://docs.google.com/spreadsheets/d/1ItG2mGa2ceCfYo0BwxsXqNm01IGEUdYcSSLTEv9YCik/edit?usp=sharing"",""เบิกจ่ายกองทุน!AW30"")"),0)</f>
        <v>0</v>
      </c>
      <c r="S604" s="224">
        <f ca="1">IFERROR(__xludf.DUMMYFUNCTION("IMPORTRANGE(""https://docs.google.com/spreadsheets/d/1ItG2mGa2ceCfYo0BwxsXqNm01IGEUdYcSSLTEv9YCik/edit?usp=sharing"",""เบิกจ่ายกองทุน!AX30"")"),0)</f>
        <v>0</v>
      </c>
      <c r="T604" s="224">
        <f ca="1">IF(Q604&gt;0,S604*100/Q604,0)</f>
        <v>0</v>
      </c>
      <c r="U604" s="224">
        <f ca="1">IF(R604&gt;0,S604*100/R604,0)</f>
        <v>0</v>
      </c>
    </row>
    <row r="605" spans="1:21" ht="19.5" x14ac:dyDescent="0.3">
      <c r="A605" s="128"/>
      <c r="B605" s="158"/>
      <c r="C605" s="158"/>
      <c r="D605" s="1434" t="s">
        <v>23</v>
      </c>
      <c r="E605" s="158"/>
      <c r="F605" s="40"/>
      <c r="G605" s="42"/>
      <c r="H605" s="377" t="s">
        <v>14</v>
      </c>
      <c r="I605" s="135"/>
      <c r="J605" s="135"/>
      <c r="K605" s="136"/>
      <c r="L605" s="1356">
        <f ca="1">L606+L607</f>
        <v>0</v>
      </c>
      <c r="M605" s="224">
        <f ca="1">M606+M607</f>
        <v>0</v>
      </c>
      <c r="N605" s="224">
        <f ca="1">N606+N607</f>
        <v>0</v>
      </c>
      <c r="O605" s="224">
        <f ca="1">IF(L605&gt;0,N605*100/L605,0)</f>
        <v>0</v>
      </c>
      <c r="P605" s="224">
        <f ca="1">IF(M605&gt;0,N605*100/M605,0)</f>
        <v>0</v>
      </c>
      <c r="Q605" s="224">
        <f ca="1">Q606+Q607</f>
        <v>0</v>
      </c>
      <c r="R605" s="224">
        <f ca="1">R606+R607</f>
        <v>0</v>
      </c>
      <c r="S605" s="224">
        <f ca="1">S606+S607</f>
        <v>0</v>
      </c>
      <c r="T605" s="224">
        <f ca="1">IF(Q605&gt;0,S605*100/Q605,0)</f>
        <v>0</v>
      </c>
      <c r="U605" s="224">
        <f ca="1">IF(R605&gt;0,S605*100/R605,0)</f>
        <v>0</v>
      </c>
    </row>
    <row r="606" spans="1:21" ht="18.75" x14ac:dyDescent="0.25">
      <c r="A606" s="128"/>
      <c r="B606" s="158"/>
      <c r="C606" s="158"/>
      <c r="D606" s="158"/>
      <c r="E606" s="314" t="s">
        <v>20</v>
      </c>
      <c r="F606" s="40"/>
      <c r="G606" s="42"/>
      <c r="H606" s="159" t="s">
        <v>14</v>
      </c>
      <c r="I606" s="135"/>
      <c r="J606" s="135"/>
      <c r="K606" s="136"/>
      <c r="L606" s="1358">
        <v>0</v>
      </c>
      <c r="M606" s="83">
        <v>0</v>
      </c>
      <c r="N606" s="83">
        <v>0</v>
      </c>
      <c r="O606" s="83">
        <f>IF(L606&gt;0,N606*100/L606,0)</f>
        <v>0</v>
      </c>
      <c r="P606" s="83">
        <f>IF(M606&gt;0,N606*100/M606,0)</f>
        <v>0</v>
      </c>
      <c r="Q606" s="83">
        <v>0</v>
      </c>
      <c r="R606" s="83">
        <v>0</v>
      </c>
      <c r="S606" s="83">
        <v>0</v>
      </c>
      <c r="T606" s="83">
        <f>IF(Q606&gt;0,S606*100/Q606,0)</f>
        <v>0</v>
      </c>
      <c r="U606" s="83">
        <f>IF(R606&gt;0,S606*100/R606,0)</f>
        <v>0</v>
      </c>
    </row>
    <row r="607" spans="1:21" ht="18.75" x14ac:dyDescent="0.25">
      <c r="A607" s="128"/>
      <c r="B607" s="158"/>
      <c r="C607" s="158"/>
      <c r="D607" s="40"/>
      <c r="E607" s="314" t="s">
        <v>21</v>
      </c>
      <c r="F607" s="40"/>
      <c r="G607" s="42"/>
      <c r="H607" s="378" t="s">
        <v>14</v>
      </c>
      <c r="I607" s="135"/>
      <c r="J607" s="135"/>
      <c r="K607" s="136"/>
      <c r="L607" s="1356">
        <f ca="1">IFERROR(__xludf.DUMMYFUNCTION("IMPORTRANGE(""https://docs.google.com/spreadsheets/d/1-uDff_7J0KD5mKrp0Vvzr7lt3OU09vwQwhkpOPPYv2Y/edit?usp=sharing"",""งบพรบ!HN30"")"),0)</f>
        <v>0</v>
      </c>
      <c r="M607" s="224">
        <f ca="1">IFERROR(__xludf.DUMMYFUNCTION("IMPORTRANGE(""https://docs.google.com/spreadsheets/d/1-uDff_7J0KD5mKrp0Vvzr7lt3OU09vwQwhkpOPPYv2Y/edit?usp=sharing"",""งบพรบ!HQ30"")"),0)</f>
        <v>0</v>
      </c>
      <c r="N607" s="224">
        <f ca="1">IFERROR(__xludf.DUMMYFUNCTION("IMPORTRANGE(""https://docs.google.com/spreadsheets/d/1-uDff_7J0KD5mKrp0Vvzr7lt3OU09vwQwhkpOPPYv2Y/edit?usp=sharing"",""งบพรบ!HS30"")"),0)</f>
        <v>0</v>
      </c>
      <c r="O607" s="224">
        <f ca="1">IF(L607&gt;0,N607*100/L607,0)</f>
        <v>0</v>
      </c>
      <c r="P607" s="224">
        <f ca="1">IF(M607&gt;0,N607*100/M607,0)</f>
        <v>0</v>
      </c>
      <c r="Q607" s="224">
        <f ca="1">IFERROR(__xludf.DUMMYFUNCTION("IMPORTRANGE(""https://docs.google.com/spreadsheets/d/1ItG2mGa2ceCfYo0BwxsXqNm01IGEUdYcSSLTEv9YCik/edit?usp=sharing"",""เบิกจ่ายกองทุน!AY30"")"),0)</f>
        <v>0</v>
      </c>
      <c r="R607" s="224">
        <f ca="1">IFERROR(__xludf.DUMMYFUNCTION("IMPORTRANGE(""https://docs.google.com/spreadsheets/d/1ItG2mGa2ceCfYo0BwxsXqNm01IGEUdYcSSLTEv9YCik/edit?usp=sharing"",""เบิกจ่ายกองทุน!AZ30"")"),0)</f>
        <v>0</v>
      </c>
      <c r="S607" s="224">
        <f ca="1">IFERROR(__xludf.DUMMYFUNCTION("IMPORTRANGE(""https://docs.google.com/spreadsheets/d/1ItG2mGa2ceCfYo0BwxsXqNm01IGEUdYcSSLTEv9YCik/edit?usp=sharing"",""เบิกจ่ายกองทุน!BA30"")"),0)</f>
        <v>0</v>
      </c>
      <c r="T607" s="224">
        <f ca="1">IF(Q607&gt;0,S607*100/Q607,0)</f>
        <v>0</v>
      </c>
      <c r="U607" s="224">
        <f ca="1">IF(R607&gt;0,S607*100/R607,0)</f>
        <v>0</v>
      </c>
    </row>
    <row r="608" spans="1:21" ht="19.5" x14ac:dyDescent="0.3">
      <c r="A608" s="138"/>
      <c r="B608" s="139"/>
      <c r="C608" s="177" t="s">
        <v>18</v>
      </c>
      <c r="D608" s="1436" t="s">
        <v>38</v>
      </c>
      <c r="E608" s="141"/>
      <c r="F608" s="141"/>
      <c r="G608" s="142"/>
      <c r="H608" s="178"/>
      <c r="I608" s="135"/>
      <c r="J608" s="135"/>
      <c r="K608" s="136"/>
      <c r="L608" s="1359"/>
      <c r="M608" s="45"/>
      <c r="N608" s="45"/>
      <c r="O608" s="45"/>
      <c r="P608" s="45"/>
      <c r="Q608" s="45"/>
      <c r="R608" s="45"/>
      <c r="S608" s="45"/>
      <c r="T608" s="45"/>
      <c r="U608" s="45"/>
    </row>
    <row r="609" spans="1:21" ht="18.75" x14ac:dyDescent="0.25">
      <c r="A609" s="138"/>
      <c r="B609" s="139"/>
      <c r="C609" s="139"/>
      <c r="D609" s="379" t="s">
        <v>216</v>
      </c>
      <c r="E609" s="145"/>
      <c r="F609" s="145"/>
      <c r="G609" s="143"/>
      <c r="H609" s="159" t="s">
        <v>99</v>
      </c>
      <c r="I609" s="44"/>
      <c r="J609" s="44"/>
      <c r="K609" s="136"/>
      <c r="L609" s="1359"/>
      <c r="M609" s="45"/>
      <c r="N609" s="45"/>
      <c r="O609" s="45"/>
      <c r="P609" s="45"/>
      <c r="Q609" s="45"/>
      <c r="R609" s="45"/>
      <c r="S609" s="45"/>
      <c r="T609" s="45"/>
      <c r="U609" s="45"/>
    </row>
    <row r="610" spans="1:21" ht="19.5" x14ac:dyDescent="0.3">
      <c r="A610" s="138"/>
      <c r="B610" s="139"/>
      <c r="C610" s="139"/>
      <c r="D610" s="379" t="s">
        <v>217</v>
      </c>
      <c r="E610" s="145"/>
      <c r="F610" s="145"/>
      <c r="G610" s="143"/>
      <c r="H610" s="375" t="s">
        <v>35</v>
      </c>
      <c r="I610" s="44"/>
      <c r="J610" s="44"/>
      <c r="K610" s="136"/>
      <c r="L610" s="1359"/>
      <c r="M610" s="45"/>
      <c r="N610" s="45"/>
      <c r="O610" s="45"/>
      <c r="P610" s="45"/>
      <c r="Q610" s="45"/>
      <c r="R610" s="45"/>
      <c r="S610" s="45"/>
      <c r="T610" s="45"/>
      <c r="U610" s="45"/>
    </row>
    <row r="611" spans="1:21" ht="18.75" x14ac:dyDescent="0.25">
      <c r="A611" s="138"/>
      <c r="B611" s="139"/>
      <c r="C611" s="139"/>
      <c r="D611" s="139"/>
      <c r="E611" s="379" t="s">
        <v>218</v>
      </c>
      <c r="F611" s="145"/>
      <c r="G611" s="143"/>
      <c r="H611" s="378" t="s">
        <v>35</v>
      </c>
      <c r="I611" s="44"/>
      <c r="J611" s="44"/>
      <c r="K611" s="136"/>
      <c r="L611" s="1359"/>
      <c r="M611" s="45"/>
      <c r="N611" s="45"/>
      <c r="O611" s="45"/>
      <c r="P611" s="45"/>
      <c r="Q611" s="45"/>
      <c r="R611" s="45"/>
      <c r="S611" s="45"/>
      <c r="T611" s="45"/>
      <c r="U611" s="45"/>
    </row>
    <row r="612" spans="1:21" ht="19.5" thickBot="1" x14ac:dyDescent="0.3">
      <c r="A612" s="1570"/>
      <c r="B612" s="1571"/>
      <c r="C612" s="1571"/>
      <c r="D612" s="1571"/>
      <c r="E612" s="1572" t="s">
        <v>219</v>
      </c>
      <c r="F612" s="1573"/>
      <c r="G612" s="1574"/>
      <c r="H612" s="1575" t="s">
        <v>35</v>
      </c>
      <c r="I612" s="1576"/>
      <c r="J612" s="1576"/>
      <c r="K612" s="1577"/>
      <c r="L612" s="1578"/>
      <c r="M612" s="1579"/>
      <c r="N612" s="1579"/>
      <c r="O612" s="1579"/>
      <c r="P612" s="1579"/>
      <c r="Q612" s="1579"/>
      <c r="R612" s="1579"/>
      <c r="S612" s="1579"/>
      <c r="T612" s="1579"/>
      <c r="U612" s="1579"/>
    </row>
    <row r="613" spans="1:21" ht="19.5" x14ac:dyDescent="0.3">
      <c r="A613" s="380" t="s">
        <v>220</v>
      </c>
      <c r="B613" s="381"/>
      <c r="C613" s="381"/>
      <c r="D613" s="382"/>
      <c r="E613" s="382"/>
      <c r="F613" s="382"/>
      <c r="G613" s="383"/>
      <c r="H613" s="384"/>
      <c r="I613" s="385"/>
      <c r="J613" s="385"/>
      <c r="K613" s="386"/>
      <c r="L613" s="1580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x14ac:dyDescent="0.3">
      <c r="A614" s="387"/>
      <c r="B614" s="388" t="s">
        <v>221</v>
      </c>
      <c r="C614" s="387"/>
      <c r="D614" s="389"/>
      <c r="E614" s="389"/>
      <c r="F614" s="389"/>
      <c r="G614" s="390"/>
      <c r="H614" s="391"/>
      <c r="I614" s="392"/>
      <c r="J614" s="392"/>
      <c r="K614" s="393"/>
      <c r="L614" s="158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222</v>
      </c>
      <c r="C615" s="394"/>
      <c r="D615" s="396"/>
      <c r="E615" s="396"/>
      <c r="F615" s="396"/>
      <c r="G615" s="397"/>
      <c r="H615" s="398" t="s">
        <v>46</v>
      </c>
      <c r="I615" s="1582">
        <f ca="1">I626</f>
        <v>0</v>
      </c>
      <c r="J615" s="1582">
        <f>J626</f>
        <v>0</v>
      </c>
      <c r="K615" s="1583">
        <f ca="1">IF(I615&gt;0,J615*100/I615,0)</f>
        <v>0</v>
      </c>
      <c r="L615" s="1584"/>
      <c r="M615" s="401"/>
      <c r="N615" s="401"/>
      <c r="O615" s="401"/>
      <c r="P615" s="401"/>
      <c r="Q615" s="401"/>
      <c r="R615" s="401"/>
      <c r="S615" s="401"/>
      <c r="T615" s="401"/>
      <c r="U615" s="401"/>
    </row>
    <row r="616" spans="1:21" ht="19.5" x14ac:dyDescent="0.3">
      <c r="A616" s="128"/>
      <c r="B616" s="158"/>
      <c r="C616" s="177" t="s">
        <v>18</v>
      </c>
      <c r="D616" s="1585" t="s">
        <v>19</v>
      </c>
      <c r="E616" s="1285"/>
      <c r="F616" s="1285"/>
      <c r="G616" s="1286"/>
      <c r="H616" s="221" t="s">
        <v>14</v>
      </c>
      <c r="I616" s="44"/>
      <c r="J616" s="44"/>
      <c r="K616" s="45"/>
      <c r="L616" s="1389">
        <f>L617+L618</f>
        <v>0</v>
      </c>
      <c r="M616" s="1390">
        <f>M617+M618</f>
        <v>0</v>
      </c>
      <c r="N616" s="1390">
        <f>N617+N618</f>
        <v>0</v>
      </c>
      <c r="O616" s="1390">
        <f>IF(L616&gt;0,N616*100/L616,0)</f>
        <v>0</v>
      </c>
      <c r="P616" s="1390">
        <f>IF(M616&gt;0,N616*100/M616,0)</f>
        <v>0</v>
      </c>
      <c r="Q616" s="1390">
        <f ca="1">Q617+Q618</f>
        <v>1200</v>
      </c>
      <c r="R616" s="1390">
        <f ca="1">R617+R618</f>
        <v>1200</v>
      </c>
      <c r="S616" s="1390">
        <f ca="1">S617+S618</f>
        <v>0</v>
      </c>
      <c r="T616" s="1390">
        <f ca="1">IF(Q616&gt;0,S616*100/Q616,0)</f>
        <v>0</v>
      </c>
      <c r="U616" s="1390">
        <f ca="1">IF(R616&gt;0,S616*100/R616,0)</f>
        <v>0</v>
      </c>
    </row>
    <row r="617" spans="1:21" ht="18.75" x14ac:dyDescent="0.25">
      <c r="A617" s="128"/>
      <c r="B617" s="158"/>
      <c r="C617" s="158"/>
      <c r="D617" s="145"/>
      <c r="E617" s="156" t="s">
        <v>158</v>
      </c>
      <c r="F617" s="40"/>
      <c r="G617" s="42"/>
      <c r="H617" s="159" t="s">
        <v>14</v>
      </c>
      <c r="I617" s="44"/>
      <c r="J617" s="44"/>
      <c r="K617" s="45"/>
      <c r="L617" s="1358">
        <f>L620+L623</f>
        <v>0</v>
      </c>
      <c r="M617" s="83">
        <f>M620+M623</f>
        <v>0</v>
      </c>
      <c r="N617" s="83">
        <f>N620+N623</f>
        <v>0</v>
      </c>
      <c r="O617" s="83">
        <f>IF(L617&gt;0,N617*100/L617,0)</f>
        <v>0</v>
      </c>
      <c r="P617" s="83">
        <f>IF(M617&gt;0,N617*100/M617,0)</f>
        <v>0</v>
      </c>
      <c r="Q617" s="83">
        <f>Q620+Q623</f>
        <v>0</v>
      </c>
      <c r="R617" s="83">
        <f>R620+R623</f>
        <v>0</v>
      </c>
      <c r="S617" s="83">
        <f>S620+S623</f>
        <v>0</v>
      </c>
      <c r="T617" s="83">
        <f>IF(Q617&gt;0,S617*100/Q617,0)</f>
        <v>0</v>
      </c>
      <c r="U617" s="83">
        <f>IF(R617&gt;0,S617*100/R617,0)</f>
        <v>0</v>
      </c>
    </row>
    <row r="618" spans="1:21" ht="18.75" x14ac:dyDescent="0.25">
      <c r="A618" s="128"/>
      <c r="B618" s="158"/>
      <c r="C618" s="158"/>
      <c r="D618" s="145"/>
      <c r="E618" s="47" t="s">
        <v>159</v>
      </c>
      <c r="F618" s="40"/>
      <c r="G618" s="42"/>
      <c r="H618" s="134" t="s">
        <v>14</v>
      </c>
      <c r="I618" s="44"/>
      <c r="J618" s="44"/>
      <c r="K618" s="45"/>
      <c r="L618" s="1356">
        <f>L621+L624</f>
        <v>0</v>
      </c>
      <c r="M618" s="224">
        <f>M621+M624</f>
        <v>0</v>
      </c>
      <c r="N618" s="224">
        <f>N621+N624</f>
        <v>0</v>
      </c>
      <c r="O618" s="224">
        <f>IF(L618&gt;0,N618*100/L618,0)</f>
        <v>0</v>
      </c>
      <c r="P618" s="224">
        <f>IF(M618&gt;0,N618*100/M618,0)</f>
        <v>0</v>
      </c>
      <c r="Q618" s="224">
        <f ca="1">Q621+Q624</f>
        <v>1200</v>
      </c>
      <c r="R618" s="224">
        <f ca="1">R621+R624</f>
        <v>1200</v>
      </c>
      <c r="S618" s="224">
        <f ca="1">S621+S624</f>
        <v>0</v>
      </c>
      <c r="T618" s="224">
        <f ca="1">IF(Q618&gt;0,S618*100/Q618,0)</f>
        <v>0</v>
      </c>
      <c r="U618" s="224">
        <f ca="1">IF(R618&gt;0,S618*100/R618,0)</f>
        <v>0</v>
      </c>
    </row>
    <row r="619" spans="1:21" ht="18.75" x14ac:dyDescent="0.25">
      <c r="A619" s="128"/>
      <c r="B619" s="158"/>
      <c r="C619" s="158"/>
      <c r="D619" s="41" t="s">
        <v>22</v>
      </c>
      <c r="E619" s="40"/>
      <c r="F619" s="40"/>
      <c r="G619" s="42"/>
      <c r="H619" s="134" t="s">
        <v>14</v>
      </c>
      <c r="I619" s="135"/>
      <c r="J619" s="135"/>
      <c r="K619" s="136"/>
      <c r="L619" s="1356">
        <f>L620+L621</f>
        <v>0</v>
      </c>
      <c r="M619" s="224">
        <f>M620+M621</f>
        <v>0</v>
      </c>
      <c r="N619" s="224">
        <f>N620+N621</f>
        <v>0</v>
      </c>
      <c r="O619" s="224">
        <f>IF(L619&gt;0,N619*100/L619,0)</f>
        <v>0</v>
      </c>
      <c r="P619" s="224">
        <f>IF(M619&gt;0,N619*100/M619,0)</f>
        <v>0</v>
      </c>
      <c r="Q619" s="224">
        <f ca="1">Q620+Q621</f>
        <v>1200</v>
      </c>
      <c r="R619" s="224">
        <f ca="1">R620+R621</f>
        <v>1200</v>
      </c>
      <c r="S619" s="224">
        <f ca="1">S620+S621</f>
        <v>0</v>
      </c>
      <c r="T619" s="224">
        <f ca="1">IF(Q619&gt;0,S619*100/Q619,0)</f>
        <v>0</v>
      </c>
      <c r="U619" s="224">
        <f ca="1">IF(R619&gt;0,S619*100/R619,0)</f>
        <v>0</v>
      </c>
    </row>
    <row r="620" spans="1:21" ht="18.75" x14ac:dyDescent="0.25">
      <c r="A620" s="128"/>
      <c r="B620" s="158"/>
      <c r="C620" s="158"/>
      <c r="D620" s="145"/>
      <c r="E620" s="156" t="s">
        <v>158</v>
      </c>
      <c r="F620" s="40"/>
      <c r="G620" s="42"/>
      <c r="H620" s="159" t="s">
        <v>14</v>
      </c>
      <c r="I620" s="44"/>
      <c r="J620" s="44"/>
      <c r="K620" s="45"/>
      <c r="L620" s="1358">
        <v>0</v>
      </c>
      <c r="M620" s="83">
        <v>0</v>
      </c>
      <c r="N620" s="83">
        <v>0</v>
      </c>
      <c r="O620" s="83">
        <f>IF(L620&gt;0,N620*100/L620,0)</f>
        <v>0</v>
      </c>
      <c r="P620" s="83">
        <f>IF(M620&gt;0,N620*100/M620,0)</f>
        <v>0</v>
      </c>
      <c r="Q620" s="83">
        <v>0</v>
      </c>
      <c r="R620" s="83">
        <v>0</v>
      </c>
      <c r="S620" s="83">
        <v>0</v>
      </c>
      <c r="T620" s="83">
        <f>IF(Q620&gt;0,S620*100/Q620,0)</f>
        <v>0</v>
      </c>
      <c r="U620" s="83">
        <f>IF(R620&gt;0,S620*100/R620,0)</f>
        <v>0</v>
      </c>
    </row>
    <row r="621" spans="1:21" ht="18.75" x14ac:dyDescent="0.25">
      <c r="A621" s="128"/>
      <c r="B621" s="158"/>
      <c r="C621" s="158"/>
      <c r="D621" s="145"/>
      <c r="E621" s="47" t="s">
        <v>159</v>
      </c>
      <c r="F621" s="40"/>
      <c r="G621" s="42"/>
      <c r="H621" s="134" t="s">
        <v>14</v>
      </c>
      <c r="I621" s="44"/>
      <c r="J621" s="44"/>
      <c r="K621" s="45"/>
      <c r="L621" s="1356">
        <v>0</v>
      </c>
      <c r="M621" s="224">
        <v>0</v>
      </c>
      <c r="N621" s="224">
        <v>0</v>
      </c>
      <c r="O621" s="224">
        <f>IF(L621&gt;0,N621*100/L621,0)</f>
        <v>0</v>
      </c>
      <c r="P621" s="224">
        <f>IF(M621&gt;0,N621*100/M621,0)</f>
        <v>0</v>
      </c>
      <c r="Q621" s="224">
        <f ca="1">IFERROR(__xludf.DUMMYFUNCTION("IMPORTRANGE(""https://docs.google.com/spreadsheets/d/1ItG2mGa2ceCfYo0BwxsXqNm01IGEUdYcSSLTEv9YCik/edit?usp=sharing"",""เบิกจ่ายกองทุน!F30"")"),1200)</f>
        <v>1200</v>
      </c>
      <c r="R621" s="224">
        <f ca="1">IFERROR(__xludf.DUMMYFUNCTION("IMPORTRANGE(""https://docs.google.com/spreadsheets/d/1ItG2mGa2ceCfYo0BwxsXqNm01IGEUdYcSSLTEv9YCik/edit?usp=sharing"",""เบิกจ่ายกองทุน!G30"")"),1200)</f>
        <v>1200</v>
      </c>
      <c r="S621" s="224">
        <f ca="1">IFERROR(__xludf.DUMMYFUNCTION("IMPORTRANGE(""https://docs.google.com/spreadsheets/d/1ItG2mGa2ceCfYo0BwxsXqNm01IGEUdYcSSLTEv9YCik/edit?usp=sharing"",""เบิกจ่ายกองทุน!H30"")"),0)</f>
        <v>0</v>
      </c>
      <c r="T621" s="224">
        <f ca="1">IF(Q621&gt;0,S621*100/Q621,0)</f>
        <v>0</v>
      </c>
      <c r="U621" s="224">
        <f ca="1">IF(R621&gt;0,S621*100/R621,0)</f>
        <v>0</v>
      </c>
    </row>
    <row r="622" spans="1:21" ht="18.75" x14ac:dyDescent="0.25">
      <c r="A622" s="128"/>
      <c r="B622" s="158"/>
      <c r="C622" s="158"/>
      <c r="D622" s="41" t="s">
        <v>23</v>
      </c>
      <c r="E622" s="40"/>
      <c r="F622" s="40"/>
      <c r="G622" s="42"/>
      <c r="H622" s="137" t="s">
        <v>14</v>
      </c>
      <c r="I622" s="135"/>
      <c r="J622" s="135"/>
      <c r="K622" s="136"/>
      <c r="L622" s="1356">
        <f>L623+L624</f>
        <v>0</v>
      </c>
      <c r="M622" s="224">
        <f>M623+M624</f>
        <v>0</v>
      </c>
      <c r="N622" s="224">
        <f>N623+N624</f>
        <v>0</v>
      </c>
      <c r="O622" s="224">
        <f>IF(L622&gt;0,N622*100/L622,0)</f>
        <v>0</v>
      </c>
      <c r="P622" s="224">
        <f>IF(M622&gt;0,N622*100/M622,0)</f>
        <v>0</v>
      </c>
      <c r="Q622" s="224">
        <f>Q623+Q624</f>
        <v>0</v>
      </c>
      <c r="R622" s="224">
        <f>R623+R624</f>
        <v>0</v>
      </c>
      <c r="S622" s="224">
        <f>S623+S624</f>
        <v>0</v>
      </c>
      <c r="T622" s="224">
        <f>IF(Q622&gt;0,S622*100/Q622,0)</f>
        <v>0</v>
      </c>
      <c r="U622" s="224">
        <f>IF(R622&gt;0,S622*100/R622,0)</f>
        <v>0</v>
      </c>
    </row>
    <row r="623" spans="1:21" ht="18.75" x14ac:dyDescent="0.25">
      <c r="A623" s="128"/>
      <c r="B623" s="158"/>
      <c r="C623" s="158"/>
      <c r="D623" s="158"/>
      <c r="E623" s="156" t="s">
        <v>20</v>
      </c>
      <c r="F623" s="40"/>
      <c r="G623" s="42"/>
      <c r="H623" s="159" t="s">
        <v>14</v>
      </c>
      <c r="I623" s="135"/>
      <c r="J623" s="135"/>
      <c r="K623" s="136"/>
      <c r="L623" s="1358">
        <v>0</v>
      </c>
      <c r="M623" s="83">
        <v>0</v>
      </c>
      <c r="N623" s="83">
        <v>0</v>
      </c>
      <c r="O623" s="83">
        <f>IF(L623&gt;0,N623*100/L623,0)</f>
        <v>0</v>
      </c>
      <c r="P623" s="83">
        <f>IF(M623&gt;0,N623*100/M623,0)</f>
        <v>0</v>
      </c>
      <c r="Q623" s="83">
        <v>0</v>
      </c>
      <c r="R623" s="83">
        <v>0</v>
      </c>
      <c r="S623" s="83">
        <v>0</v>
      </c>
      <c r="T623" s="83">
        <f>IF(Q623&gt;0,S623*100/Q623,0)</f>
        <v>0</v>
      </c>
      <c r="U623" s="83">
        <f>IF(R623&gt;0,S623*100/R623,0)</f>
        <v>0</v>
      </c>
    </row>
    <row r="624" spans="1:21" ht="18.75" x14ac:dyDescent="0.25">
      <c r="A624" s="128"/>
      <c r="B624" s="158"/>
      <c r="C624" s="158"/>
      <c r="D624" s="158"/>
      <c r="E624" s="47" t="s">
        <v>21</v>
      </c>
      <c r="F624" s="40"/>
      <c r="G624" s="42"/>
      <c r="H624" s="137" t="s">
        <v>14</v>
      </c>
      <c r="I624" s="135"/>
      <c r="J624" s="135"/>
      <c r="K624" s="136"/>
      <c r="L624" s="1356">
        <v>0</v>
      </c>
      <c r="M624" s="224">
        <v>0</v>
      </c>
      <c r="N624" s="224">
        <v>0</v>
      </c>
      <c r="O624" s="224">
        <f>IF(L624&gt;0,N624*100/L624,0)</f>
        <v>0</v>
      </c>
      <c r="P624" s="224">
        <f>IF(M624&gt;0,N624*100/M624,0)</f>
        <v>0</v>
      </c>
      <c r="Q624" s="224">
        <v>0</v>
      </c>
      <c r="R624" s="224">
        <v>0</v>
      </c>
      <c r="S624" s="224">
        <v>0</v>
      </c>
      <c r="T624" s="224">
        <f>IF(Q624&gt;0,S624*100/Q624,0)</f>
        <v>0</v>
      </c>
      <c r="U624" s="224">
        <f>IF(R624&gt;0,S624*100/R624,0)</f>
        <v>0</v>
      </c>
    </row>
    <row r="625" spans="1:21" ht="19.5" x14ac:dyDescent="0.3">
      <c r="A625" s="138"/>
      <c r="B625" s="139"/>
      <c r="C625" s="177" t="s">
        <v>18</v>
      </c>
      <c r="D625" s="1586" t="s">
        <v>38</v>
      </c>
      <c r="E625" s="141"/>
      <c r="F625" s="141"/>
      <c r="G625" s="142"/>
      <c r="H625" s="178"/>
      <c r="I625" s="135"/>
      <c r="J625" s="135"/>
      <c r="K625" s="136"/>
      <c r="L625" s="1392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03" t="s">
        <v>223</v>
      </c>
      <c r="E626" s="145"/>
      <c r="F626" s="145"/>
      <c r="G626" s="143"/>
      <c r="H626" s="404" t="s">
        <v>46</v>
      </c>
      <c r="I626" s="328">
        <f ca="1">IFERROR(__xludf.DUMMYFUNCTION("IMPORTRANGE(""https://docs.google.com/spreadsheets/d/1eHaY18a8A9IcSdp1K8H6x8fbOy06t2VsZHhMHf-1x7Y/edit?usp=sharing"",""แผน!ID30"")"),0)</f>
        <v>0</v>
      </c>
      <c r="J626" s="328">
        <f>J632</f>
        <v>0</v>
      </c>
      <c r="K626" s="1390">
        <f ca="1">IF(I626&gt;0,J626*100/I626,0)</f>
        <v>0</v>
      </c>
      <c r="L626" s="1392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84">
        <f ca="1">IFERROR(__xludf.DUMMYFUNCTION("IMPORTRANGE(""https://docs.google.com/spreadsheets/d/1eHaY18a8A9IcSdp1K8H6x8fbOy06t2VsZHhMHf-1x7Y/edit?usp=sharing"",""แผน!IC30"")"),0)</f>
        <v>0</v>
      </c>
      <c r="J627" s="1395">
        <v>0</v>
      </c>
      <c r="K627" s="224">
        <f ca="1">IF(I627&gt;0,(J627*100)/I627,0)</f>
        <v>0</v>
      </c>
      <c r="L627" s="1392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84">
        <f ca="1">IFERROR(__xludf.DUMMYFUNCTION("IMPORTRANGE(""https://docs.google.com/spreadsheets/d/1eHaY18a8A9IcSdp1K8H6x8fbOy06t2VsZHhMHf-1x7Y/edit?usp=sharing"",""แผน!IC30"")"),0)</f>
        <v>0</v>
      </c>
      <c r="J628" s="1395">
        <v>0</v>
      </c>
      <c r="K628" s="224">
        <f ca="1">IF(I628&gt;0,(J628*100)/I628,0)</f>
        <v>0</v>
      </c>
      <c r="L628" s="1392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4"/>
      <c r="J629" s="1395">
        <v>0</v>
      </c>
      <c r="K629" s="224">
        <f ca="1">IF(I$626&gt;0,J629*100/I$626,0)</f>
        <v>0</v>
      </c>
      <c r="L629" s="1392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4"/>
      <c r="J630" s="1395">
        <v>0</v>
      </c>
      <c r="K630" s="224">
        <f ca="1">IF(I$626&gt;0,J630*100/I$626,0)</f>
        <v>0</v>
      </c>
      <c r="L630" s="1392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4"/>
      <c r="J631" s="1395">
        <v>0</v>
      </c>
      <c r="K631" s="224">
        <f ca="1">IF(I$626&gt;0,J631*100/I$626,0)</f>
        <v>0</v>
      </c>
      <c r="L631" s="1392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4"/>
      <c r="J632" s="328">
        <f>J633+J634</f>
        <v>0</v>
      </c>
      <c r="K632" s="1390">
        <f ca="1">IF(I626&gt;0,J632*100/I626,0)</f>
        <v>0</v>
      </c>
      <c r="L632" s="1392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4"/>
      <c r="J633" s="1395">
        <v>0</v>
      </c>
      <c r="K633" s="45"/>
      <c r="L633" s="1392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4"/>
      <c r="J634" s="1395">
        <v>0</v>
      </c>
      <c r="K634" s="45"/>
      <c r="L634" s="1392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03" t="s">
        <v>232</v>
      </c>
      <c r="E635" s="145"/>
      <c r="F635" s="145"/>
      <c r="G635" s="143"/>
      <c r="H635" s="137" t="s">
        <v>46</v>
      </c>
      <c r="I635" s="328">
        <f ca="1">IFERROR(__xludf.DUMMYFUNCTION("IMPORTRANGE(""https://docs.google.com/spreadsheets/d/1eHaY18a8A9IcSdp1K8H6x8fbOy06t2VsZHhMHf-1x7Y/edit?usp=sharing"",""แผน!IE30"")"),0)</f>
        <v>0</v>
      </c>
      <c r="J635" s="328">
        <f>J636</f>
        <v>0</v>
      </c>
      <c r="K635" s="1390">
        <f ca="1">IF(I635&gt;0,J635*100/I635,0)</f>
        <v>0</v>
      </c>
      <c r="L635" s="1392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4"/>
      <c r="J636" s="184">
        <f>J637+J638</f>
        <v>0</v>
      </c>
      <c r="K636" s="45"/>
      <c r="L636" s="1392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4"/>
      <c r="J637" s="1395">
        <v>0</v>
      </c>
      <c r="K637" s="45"/>
      <c r="L637" s="1392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4"/>
      <c r="J638" s="1395">
        <v>0</v>
      </c>
      <c r="K638" s="45"/>
      <c r="L638" s="1392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4"/>
      <c r="J639" s="1395">
        <v>0</v>
      </c>
      <c r="K639" s="45"/>
      <c r="L639" s="1392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4"/>
      <c r="J640" s="1395">
        <v>0</v>
      </c>
      <c r="K640" s="45"/>
      <c r="L640" s="1392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394"/>
      <c r="B641" s="395" t="s">
        <v>236</v>
      </c>
      <c r="C641" s="394"/>
      <c r="D641" s="396"/>
      <c r="E641" s="396"/>
      <c r="F641" s="396"/>
      <c r="G641" s="397"/>
      <c r="H641" s="405"/>
      <c r="I641" s="406"/>
      <c r="J641" s="406"/>
      <c r="K641" s="401"/>
      <c r="L641" s="1584"/>
      <c r="M641" s="401"/>
      <c r="N641" s="401"/>
      <c r="O641" s="401"/>
      <c r="P641" s="401"/>
      <c r="Q641" s="401"/>
      <c r="R641" s="401"/>
      <c r="S641" s="401"/>
      <c r="T641" s="401"/>
      <c r="U641" s="401"/>
    </row>
    <row r="642" spans="1:21" ht="19.5" x14ac:dyDescent="0.3">
      <c r="A642" s="128"/>
      <c r="B642" s="158"/>
      <c r="C642" s="209" t="s">
        <v>18</v>
      </c>
      <c r="D642" s="1585" t="s">
        <v>19</v>
      </c>
      <c r="E642" s="1285"/>
      <c r="F642" s="1285"/>
      <c r="G642" s="1286"/>
      <c r="H642" s="221" t="s">
        <v>14</v>
      </c>
      <c r="I642" s="44"/>
      <c r="J642" s="44"/>
      <c r="K642" s="45"/>
      <c r="L642" s="1389">
        <f>L643+L644</f>
        <v>0</v>
      </c>
      <c r="M642" s="1390">
        <f>M643+M644</f>
        <v>0</v>
      </c>
      <c r="N642" s="1390">
        <f>N643+N644</f>
        <v>0</v>
      </c>
      <c r="O642" s="1390">
        <f>IF(L642&gt;0,N642*100/L642,0)</f>
        <v>0</v>
      </c>
      <c r="P642" s="1390">
        <f>IF(M642&gt;0,N642*100/M642,0)</f>
        <v>0</v>
      </c>
      <c r="Q642" s="1390">
        <f ca="1">Q643+Q644</f>
        <v>34240</v>
      </c>
      <c r="R642" s="1390">
        <f ca="1">R643+R644</f>
        <v>34240</v>
      </c>
      <c r="S642" s="1390">
        <f ca="1">S643+S644</f>
        <v>150</v>
      </c>
      <c r="T642" s="1390">
        <f ca="1">IF(Q642&gt;0,S642*100/Q642,0)</f>
        <v>0.43808411214953269</v>
      </c>
      <c r="U642" s="1390">
        <f ca="1">IF(R642&gt;0,S642*100/R642,0)</f>
        <v>0.43808411214953269</v>
      </c>
    </row>
    <row r="643" spans="1:21" ht="18.75" x14ac:dyDescent="0.25">
      <c r="A643" s="128"/>
      <c r="B643" s="158"/>
      <c r="C643" s="158"/>
      <c r="D643" s="145"/>
      <c r="E643" s="156" t="s">
        <v>158</v>
      </c>
      <c r="F643" s="40"/>
      <c r="G643" s="42"/>
      <c r="H643" s="159" t="s">
        <v>14</v>
      </c>
      <c r="I643" s="44"/>
      <c r="J643" s="44"/>
      <c r="K643" s="45"/>
      <c r="L643" s="1358">
        <f>L646+L649</f>
        <v>0</v>
      </c>
      <c r="M643" s="83">
        <f>M646+M649</f>
        <v>0</v>
      </c>
      <c r="N643" s="83">
        <f>N646+N649</f>
        <v>0</v>
      </c>
      <c r="O643" s="83">
        <f>IF(L643&gt;0,N643*100/L643,0)</f>
        <v>0</v>
      </c>
      <c r="P643" s="83">
        <f>IF(M643&gt;0,N643*100/M643,0)</f>
        <v>0</v>
      </c>
      <c r="Q643" s="83">
        <f>Q646+Q649</f>
        <v>0</v>
      </c>
      <c r="R643" s="83">
        <f>R646+R649</f>
        <v>0</v>
      </c>
      <c r="S643" s="83">
        <f>S646+S649</f>
        <v>0</v>
      </c>
      <c r="T643" s="83">
        <f>IF(Q643&gt;0,S643*100/Q643,0)</f>
        <v>0</v>
      </c>
      <c r="U643" s="83">
        <f>IF(R643&gt;0,S643*100/R643,0)</f>
        <v>0</v>
      </c>
    </row>
    <row r="644" spans="1:21" ht="18.75" x14ac:dyDescent="0.25">
      <c r="A644" s="128"/>
      <c r="B644" s="158"/>
      <c r="C644" s="158"/>
      <c r="D644" s="145"/>
      <c r="E644" s="47" t="s">
        <v>159</v>
      </c>
      <c r="F644" s="40"/>
      <c r="G644" s="42"/>
      <c r="H644" s="134" t="s">
        <v>14</v>
      </c>
      <c r="I644" s="44"/>
      <c r="J644" s="44"/>
      <c r="K644" s="45"/>
      <c r="L644" s="1356">
        <f>L647+L650</f>
        <v>0</v>
      </c>
      <c r="M644" s="224">
        <f>M647+M650</f>
        <v>0</v>
      </c>
      <c r="N644" s="224">
        <f>N647+N650</f>
        <v>0</v>
      </c>
      <c r="O644" s="224">
        <f>IF(L644&gt;0,N644*100/L644,0)</f>
        <v>0</v>
      </c>
      <c r="P644" s="224">
        <f>IF(M644&gt;0,N644*100/M644,0)</f>
        <v>0</v>
      </c>
      <c r="Q644" s="224">
        <f ca="1">Q647+Q650</f>
        <v>34240</v>
      </c>
      <c r="R644" s="224">
        <f ca="1">R647+R650</f>
        <v>34240</v>
      </c>
      <c r="S644" s="224">
        <f ca="1">S647+S650</f>
        <v>150</v>
      </c>
      <c r="T644" s="224">
        <f ca="1">IF(Q644&gt;0,S644*100/Q644,0)</f>
        <v>0.43808411214953269</v>
      </c>
      <c r="U644" s="224">
        <f ca="1">IF(R644&gt;0,S644*100/R644,0)</f>
        <v>0.43808411214953269</v>
      </c>
    </row>
    <row r="645" spans="1:21" ht="18.75" x14ac:dyDescent="0.25">
      <c r="A645" s="128"/>
      <c r="B645" s="158"/>
      <c r="C645" s="158"/>
      <c r="D645" s="41" t="s">
        <v>22</v>
      </c>
      <c r="E645" s="40"/>
      <c r="F645" s="40"/>
      <c r="G645" s="42"/>
      <c r="H645" s="134" t="s">
        <v>14</v>
      </c>
      <c r="I645" s="135"/>
      <c r="J645" s="135"/>
      <c r="K645" s="136"/>
      <c r="L645" s="1356">
        <f>L646+L647</f>
        <v>0</v>
      </c>
      <c r="M645" s="224">
        <f>M646+M647</f>
        <v>0</v>
      </c>
      <c r="N645" s="224">
        <f>N646+N647</f>
        <v>0</v>
      </c>
      <c r="O645" s="224">
        <f>IF(L645&gt;0,N645*100/L645,0)</f>
        <v>0</v>
      </c>
      <c r="P645" s="224">
        <f>IF(M645&gt;0,N645*100/M645,0)</f>
        <v>0</v>
      </c>
      <c r="Q645" s="224">
        <f ca="1">Q646+Q647</f>
        <v>34240</v>
      </c>
      <c r="R645" s="224">
        <f ca="1">R646+R647</f>
        <v>34240</v>
      </c>
      <c r="S645" s="224">
        <f ca="1">S646+S647</f>
        <v>150</v>
      </c>
      <c r="T645" s="224">
        <f ca="1">IF(Q645&gt;0,S645*100/Q645,0)</f>
        <v>0.43808411214953269</v>
      </c>
      <c r="U645" s="224">
        <f ca="1">IF(R645&gt;0,S645*100/R645,0)</f>
        <v>0.43808411214953269</v>
      </c>
    </row>
    <row r="646" spans="1:21" ht="18.75" x14ac:dyDescent="0.25">
      <c r="A646" s="128"/>
      <c r="B646" s="158"/>
      <c r="C646" s="158"/>
      <c r="D646" s="145"/>
      <c r="E646" s="156" t="s">
        <v>158</v>
      </c>
      <c r="F646" s="40"/>
      <c r="G646" s="42"/>
      <c r="H646" s="159" t="s">
        <v>14</v>
      </c>
      <c r="I646" s="44"/>
      <c r="J646" s="44"/>
      <c r="K646" s="45"/>
      <c r="L646" s="1358">
        <v>0</v>
      </c>
      <c r="M646" s="83">
        <v>0</v>
      </c>
      <c r="N646" s="83">
        <v>0</v>
      </c>
      <c r="O646" s="83">
        <f>IF(L646&gt;0,N646*100/L646,0)</f>
        <v>0</v>
      </c>
      <c r="P646" s="83">
        <f>IF(M646&gt;0,N646*100/M646,0)</f>
        <v>0</v>
      </c>
      <c r="Q646" s="83">
        <v>0</v>
      </c>
      <c r="R646" s="83">
        <v>0</v>
      </c>
      <c r="S646" s="83">
        <v>0</v>
      </c>
      <c r="T646" s="83">
        <f>IF(Q646&gt;0,S646*100/Q646,0)</f>
        <v>0</v>
      </c>
      <c r="U646" s="83">
        <f>IF(R646&gt;0,S646*100/R646,0)</f>
        <v>0</v>
      </c>
    </row>
    <row r="647" spans="1:21" ht="18.75" x14ac:dyDescent="0.25">
      <c r="A647" s="128"/>
      <c r="B647" s="158"/>
      <c r="C647" s="158"/>
      <c r="D647" s="145"/>
      <c r="E647" s="47" t="s">
        <v>159</v>
      </c>
      <c r="F647" s="40"/>
      <c r="G647" s="42"/>
      <c r="H647" s="134" t="s">
        <v>14</v>
      </c>
      <c r="I647" s="44"/>
      <c r="J647" s="44"/>
      <c r="K647" s="45"/>
      <c r="L647" s="1356">
        <v>0</v>
      </c>
      <c r="M647" s="224">
        <v>0</v>
      </c>
      <c r="N647" s="224">
        <v>0</v>
      </c>
      <c r="O647" s="224">
        <f>IF(L647&gt;0,N647*100/L647,0)</f>
        <v>0</v>
      </c>
      <c r="P647" s="224">
        <f>IF(M647&gt;0,N647*100/M647,0)</f>
        <v>0</v>
      </c>
      <c r="Q647" s="224">
        <f ca="1">IFERROR(__xludf.DUMMYFUNCTION("IMPORTRANGE(""https://docs.google.com/spreadsheets/d/1ItG2mGa2ceCfYo0BwxsXqNm01IGEUdYcSSLTEv9YCik/edit?usp=sharing"",""เบิกจ่ายกองทุน!I30"")"),34240)</f>
        <v>34240</v>
      </c>
      <c r="R647" s="224">
        <f ca="1">IFERROR(__xludf.DUMMYFUNCTION("IMPORTRANGE(""https://docs.google.com/spreadsheets/d/1ItG2mGa2ceCfYo0BwxsXqNm01IGEUdYcSSLTEv9YCik/edit?usp=sharing"",""เบิกจ่ายกองทุน!J30"")"),34240)</f>
        <v>34240</v>
      </c>
      <c r="S647" s="224">
        <f ca="1">IFERROR(__xludf.DUMMYFUNCTION("IMPORTRANGE(""https://docs.google.com/spreadsheets/d/1ItG2mGa2ceCfYo0BwxsXqNm01IGEUdYcSSLTEv9YCik/edit?usp=sharing"",""เบิกจ่ายกองทุน!K30"")"),150)</f>
        <v>150</v>
      </c>
      <c r="T647" s="224">
        <f ca="1">IF(Q647&gt;0,S647*100/Q647,0)</f>
        <v>0.43808411214953269</v>
      </c>
      <c r="U647" s="224">
        <f ca="1">IF(R647&gt;0,S647*100/R647,0)</f>
        <v>0.43808411214953269</v>
      </c>
    </row>
    <row r="648" spans="1:21" ht="18.75" x14ac:dyDescent="0.25">
      <c r="A648" s="128"/>
      <c r="B648" s="158"/>
      <c r="C648" s="158"/>
      <c r="D648" s="41" t="s">
        <v>23</v>
      </c>
      <c r="E648" s="40"/>
      <c r="F648" s="40"/>
      <c r="G648" s="42"/>
      <c r="H648" s="137" t="s">
        <v>14</v>
      </c>
      <c r="I648" s="135"/>
      <c r="J648" s="135"/>
      <c r="K648" s="136"/>
      <c r="L648" s="1356">
        <f>L649+L650</f>
        <v>0</v>
      </c>
      <c r="M648" s="224">
        <f>M649+M650</f>
        <v>0</v>
      </c>
      <c r="N648" s="224">
        <f>N649+N650</f>
        <v>0</v>
      </c>
      <c r="O648" s="224">
        <f>IF(L648&gt;0,N648*100/L648,0)</f>
        <v>0</v>
      </c>
      <c r="P648" s="224">
        <f>IF(M648&gt;0,N648*100/M648,0)</f>
        <v>0</v>
      </c>
      <c r="Q648" s="224">
        <f>Q649+Q650</f>
        <v>0</v>
      </c>
      <c r="R648" s="224">
        <f>R649+R650</f>
        <v>0</v>
      </c>
      <c r="S648" s="224">
        <f>S649+S650</f>
        <v>0</v>
      </c>
      <c r="T648" s="224">
        <f>IF(Q648&gt;0,S648*100/Q648,0)</f>
        <v>0</v>
      </c>
      <c r="U648" s="224">
        <f>IF(R648&gt;0,S648*100/R648,0)</f>
        <v>0</v>
      </c>
    </row>
    <row r="649" spans="1:21" ht="18.75" x14ac:dyDescent="0.25">
      <c r="A649" s="128"/>
      <c r="B649" s="158"/>
      <c r="C649" s="158"/>
      <c r="D649" s="40"/>
      <c r="E649" s="156" t="s">
        <v>20</v>
      </c>
      <c r="F649" s="40"/>
      <c r="G649" s="42"/>
      <c r="H649" s="159" t="s">
        <v>14</v>
      </c>
      <c r="I649" s="135"/>
      <c r="J649" s="135"/>
      <c r="K649" s="136"/>
      <c r="L649" s="1358">
        <v>0</v>
      </c>
      <c r="M649" s="83">
        <v>0</v>
      </c>
      <c r="N649" s="83">
        <v>0</v>
      </c>
      <c r="O649" s="83">
        <f>IF(L649&gt;0,N649*100/L649,0)</f>
        <v>0</v>
      </c>
      <c r="P649" s="83">
        <f>IF(M649&gt;0,N649*100/M649,0)</f>
        <v>0</v>
      </c>
      <c r="Q649" s="83">
        <v>0</v>
      </c>
      <c r="R649" s="83">
        <v>0</v>
      </c>
      <c r="S649" s="83">
        <v>0</v>
      </c>
      <c r="T649" s="83">
        <f>IF(Q649&gt;0,S649*100/Q649,0)</f>
        <v>0</v>
      </c>
      <c r="U649" s="83">
        <f>IF(R649&gt;0,S649*100/R649,0)</f>
        <v>0</v>
      </c>
    </row>
    <row r="650" spans="1:21" ht="18.75" x14ac:dyDescent="0.25">
      <c r="A650" s="128"/>
      <c r="B650" s="158"/>
      <c r="C650" s="158"/>
      <c r="D650" s="40"/>
      <c r="E650" s="47" t="s">
        <v>21</v>
      </c>
      <c r="F650" s="40"/>
      <c r="G650" s="42"/>
      <c r="H650" s="137" t="s">
        <v>14</v>
      </c>
      <c r="I650" s="135"/>
      <c r="J650" s="135"/>
      <c r="K650" s="136"/>
      <c r="L650" s="1356">
        <v>0</v>
      </c>
      <c r="M650" s="224">
        <v>0</v>
      </c>
      <c r="N650" s="224">
        <v>0</v>
      </c>
      <c r="O650" s="224">
        <f>IF(L650&gt;0,N650*100/L650,0)</f>
        <v>0</v>
      </c>
      <c r="P650" s="224">
        <f>IF(M650&gt;0,N650*100/M650,0)</f>
        <v>0</v>
      </c>
      <c r="Q650" s="224">
        <v>0</v>
      </c>
      <c r="R650" s="224">
        <v>0</v>
      </c>
      <c r="S650" s="224">
        <v>0</v>
      </c>
      <c r="T650" s="224">
        <f>IF(Q650&gt;0,S650*100/Q650,0)</f>
        <v>0</v>
      </c>
      <c r="U650" s="224">
        <f>IF(R650&gt;0,S650*100/R650,0)</f>
        <v>0</v>
      </c>
    </row>
    <row r="651" spans="1:21" ht="19.5" x14ac:dyDescent="0.3">
      <c r="A651" s="138"/>
      <c r="B651" s="139"/>
      <c r="C651" s="209" t="s">
        <v>18</v>
      </c>
      <c r="D651" s="1587" t="s">
        <v>38</v>
      </c>
      <c r="E651" s="141"/>
      <c r="F651" s="141"/>
      <c r="G651" s="142"/>
      <c r="H651" s="178"/>
      <c r="I651" s="135"/>
      <c r="J651" s="135"/>
      <c r="K651" s="136"/>
      <c r="L651" s="1392"/>
      <c r="M651" s="136"/>
      <c r="N651" s="136"/>
      <c r="O651" s="136"/>
      <c r="P651" s="136"/>
      <c r="Q651" s="45"/>
      <c r="R651" s="45"/>
      <c r="S651" s="45"/>
      <c r="T651" s="136"/>
      <c r="U651" s="136"/>
    </row>
    <row r="652" spans="1:21" ht="18.75" x14ac:dyDescent="0.25">
      <c r="A652" s="208"/>
      <c r="B652" s="158"/>
      <c r="C652" s="158"/>
      <c r="D652" s="47" t="s">
        <v>237</v>
      </c>
      <c r="E652" s="40"/>
      <c r="F652" s="40"/>
      <c r="G652" s="42"/>
      <c r="H652" s="137" t="s">
        <v>46</v>
      </c>
      <c r="I652" s="1588">
        <f ca="1">IFERROR(__xludf.DUMMYFUNCTION("IMPORTRANGE(""https://docs.google.com/spreadsheets/d/1eHaY18a8A9IcSdp1K8H6x8fbOy06t2VsZHhMHf-1x7Y/edit?usp=sharing"",""แผน!IF30"")"),0)</f>
        <v>0</v>
      </c>
      <c r="J652" s="184">
        <f ca="1">IFERROR(__xludf.DUMMYFUNCTION("IMPORTRANGE(""https://docs.google.com/spreadsheets/d/1tdoBKaGub7dwA3U6UFTqxio9LNnvDCQjHKmttSEBsFQ/edit?usp=sharing"",""จัดที่ดิน!AU30"")"),0)</f>
        <v>0</v>
      </c>
      <c r="K652" s="224">
        <f ca="1">IF(I652&gt;0,J652*100/I652,0)</f>
        <v>0</v>
      </c>
      <c r="L652" s="1359"/>
      <c r="M652" s="45"/>
      <c r="N652" s="409"/>
      <c r="O652" s="45"/>
      <c r="P652" s="45"/>
      <c r="Q652" s="45"/>
      <c r="R652" s="45"/>
      <c r="S652" s="409"/>
      <c r="T652" s="45"/>
      <c r="U652" s="45"/>
    </row>
    <row r="653" spans="1:21" ht="18.75" x14ac:dyDescent="0.25">
      <c r="A653" s="208"/>
      <c r="B653" s="158"/>
      <c r="C653" s="158"/>
      <c r="D653" s="47" t="s">
        <v>238</v>
      </c>
      <c r="E653" s="40"/>
      <c r="F653" s="40"/>
      <c r="G653" s="42"/>
      <c r="H653" s="137" t="s">
        <v>35</v>
      </c>
      <c r="I653" s="1588">
        <f ca="1">IFERROR(__xludf.DUMMYFUNCTION("IMPORTRANGE(""https://docs.google.com/spreadsheets/d/1eHaY18a8A9IcSdp1K8H6x8fbOy06t2VsZHhMHf-1x7Y/edit?usp=sharing"",""แผน!IG30"")"),0)</f>
        <v>0</v>
      </c>
      <c r="J653" s="184">
        <f ca="1">IFERROR(__xludf.DUMMYFUNCTION("IMPORTRANGE(""https://docs.google.com/spreadsheets/d/1tdoBKaGub7dwA3U6UFTqxio9LNnvDCQjHKmttSEBsFQ/edit?usp=sharing"",""จัดที่ดิน!AW30"")"),0)</f>
        <v>0</v>
      </c>
      <c r="K653" s="224">
        <f ca="1">IF(I653&gt;0,J653*100/I653,0)</f>
        <v>0</v>
      </c>
      <c r="L653" s="1359"/>
      <c r="M653" s="45"/>
      <c r="N653" s="409"/>
      <c r="O653" s="45"/>
      <c r="P653" s="45"/>
      <c r="Q653" s="45"/>
      <c r="R653" s="45"/>
      <c r="S653" s="409"/>
      <c r="T653" s="45"/>
      <c r="U653" s="45"/>
    </row>
    <row r="654" spans="1:21" ht="19.5" x14ac:dyDescent="0.3">
      <c r="A654" s="208"/>
      <c r="B654" s="158"/>
      <c r="C654" s="158"/>
      <c r="D654" s="47" t="s">
        <v>239</v>
      </c>
      <c r="E654" s="40"/>
      <c r="F654" s="40"/>
      <c r="G654" s="42"/>
      <c r="H654" s="404" t="s">
        <v>46</v>
      </c>
      <c r="I654" s="1589">
        <f ca="1">IFERROR(__xludf.DUMMYFUNCTION("IMPORTRANGE(""https://docs.google.com/spreadsheets/d/1eHaY18a8A9IcSdp1K8H6x8fbOy06t2VsZHhMHf-1x7Y/edit?usp=sharing"",""แผน!IH30"")"),60)</f>
        <v>60</v>
      </c>
      <c r="J654" s="328">
        <f>J657+J660</f>
        <v>60</v>
      </c>
      <c r="K654" s="1390">
        <f ca="1">IF(I654&gt;0,J654*100/I654,0)</f>
        <v>100</v>
      </c>
      <c r="L654" s="1359"/>
      <c r="M654" s="45"/>
      <c r="N654" s="409"/>
      <c r="O654" s="45"/>
      <c r="P654" s="45"/>
      <c r="Q654" s="45"/>
      <c r="R654" s="45"/>
      <c r="S654" s="409"/>
      <c r="T654" s="45"/>
      <c r="U654" s="45"/>
    </row>
    <row r="655" spans="1:21" ht="18.75" x14ac:dyDescent="0.25">
      <c r="A655" s="208"/>
      <c r="B655" s="158"/>
      <c r="C655" s="158"/>
      <c r="D655" s="40"/>
      <c r="E655" s="47" t="s">
        <v>240</v>
      </c>
      <c r="F655" s="40"/>
      <c r="G655" s="42"/>
      <c r="H655" s="137" t="s">
        <v>35</v>
      </c>
      <c r="I655" s="180"/>
      <c r="J655" s="1395">
        <v>2</v>
      </c>
      <c r="K655" s="45"/>
      <c r="L655" s="1359"/>
      <c r="M655" s="45"/>
      <c r="N655" s="409"/>
      <c r="O655" s="45"/>
      <c r="P655" s="45"/>
      <c r="Q655" s="45"/>
      <c r="R655" s="45"/>
      <c r="S655" s="409"/>
      <c r="T655" s="45"/>
      <c r="U655" s="45"/>
    </row>
    <row r="656" spans="1:21" ht="18.75" x14ac:dyDescent="0.25">
      <c r="A656" s="208"/>
      <c r="B656" s="158"/>
      <c r="C656" s="158"/>
      <c r="D656" s="40"/>
      <c r="E656" s="40"/>
      <c r="F656" s="40"/>
      <c r="G656" s="42"/>
      <c r="H656" s="137" t="s">
        <v>34</v>
      </c>
      <c r="I656" s="180"/>
      <c r="J656" s="1395">
        <v>2</v>
      </c>
      <c r="K656" s="45"/>
      <c r="L656" s="1359"/>
      <c r="M656" s="45"/>
      <c r="N656" s="409"/>
      <c r="O656" s="45"/>
      <c r="P656" s="45"/>
      <c r="Q656" s="45"/>
      <c r="R656" s="45"/>
      <c r="S656" s="409"/>
      <c r="T656" s="45"/>
      <c r="U656" s="45"/>
    </row>
    <row r="657" spans="1:21" ht="18.75" x14ac:dyDescent="0.25">
      <c r="A657" s="208"/>
      <c r="B657" s="158"/>
      <c r="C657" s="158"/>
      <c r="D657" s="40"/>
      <c r="E657" s="40"/>
      <c r="F657" s="40"/>
      <c r="G657" s="42"/>
      <c r="H657" s="137" t="s">
        <v>46</v>
      </c>
      <c r="I657" s="1588">
        <f ca="1">IFERROR(__xludf.DUMMYFUNCTION("IMPORTRANGE(""https://docs.google.com/spreadsheets/d/1eHaY18a8A9IcSdp1K8H6x8fbOy06t2VsZHhMHf-1x7Y/edit?usp=sharing"",""แผน!II30"")"),45)</f>
        <v>45</v>
      </c>
      <c r="J657" s="1395">
        <v>39</v>
      </c>
      <c r="K657" s="45"/>
      <c r="L657" s="1359"/>
      <c r="M657" s="45"/>
      <c r="N657" s="409"/>
      <c r="O657" s="45"/>
      <c r="P657" s="45"/>
      <c r="Q657" s="45"/>
      <c r="R657" s="45"/>
      <c r="S657" s="409"/>
      <c r="T657" s="45"/>
      <c r="U657" s="45"/>
    </row>
    <row r="658" spans="1:21" ht="18.75" x14ac:dyDescent="0.25">
      <c r="A658" s="208"/>
      <c r="B658" s="158"/>
      <c r="C658" s="158"/>
      <c r="D658" s="40"/>
      <c r="E658" s="47" t="s">
        <v>241</v>
      </c>
      <c r="F658" s="40"/>
      <c r="G658" s="42"/>
      <c r="H658" s="137" t="s">
        <v>35</v>
      </c>
      <c r="I658" s="180"/>
      <c r="J658" s="1395">
        <v>1</v>
      </c>
      <c r="K658" s="45"/>
      <c r="L658" s="1359"/>
      <c r="M658" s="45"/>
      <c r="N658" s="409"/>
      <c r="O658" s="45"/>
      <c r="P658" s="45"/>
      <c r="Q658" s="45"/>
      <c r="R658" s="45"/>
      <c r="S658" s="409"/>
      <c r="T658" s="45"/>
      <c r="U658" s="45"/>
    </row>
    <row r="659" spans="1:21" ht="18.75" x14ac:dyDescent="0.25">
      <c r="A659" s="208"/>
      <c r="B659" s="158"/>
      <c r="C659" s="158"/>
      <c r="D659" s="40"/>
      <c r="E659" s="40"/>
      <c r="F659" s="40"/>
      <c r="G659" s="42"/>
      <c r="H659" s="137" t="s">
        <v>34</v>
      </c>
      <c r="I659" s="180"/>
      <c r="J659" s="1395">
        <v>1</v>
      </c>
      <c r="K659" s="45"/>
      <c r="L659" s="1359"/>
      <c r="M659" s="45"/>
      <c r="N659" s="409"/>
      <c r="O659" s="45"/>
      <c r="P659" s="45"/>
      <c r="Q659" s="45"/>
      <c r="R659" s="45"/>
      <c r="S659" s="409"/>
      <c r="T659" s="45"/>
      <c r="U659" s="45"/>
    </row>
    <row r="660" spans="1:21" ht="18.75" x14ac:dyDescent="0.25">
      <c r="A660" s="208"/>
      <c r="B660" s="158"/>
      <c r="C660" s="158"/>
      <c r="D660" s="40"/>
      <c r="E660" s="40"/>
      <c r="F660" s="40"/>
      <c r="G660" s="42"/>
      <c r="H660" s="137" t="s">
        <v>46</v>
      </c>
      <c r="I660" s="1588">
        <f ca="1">IFERROR(__xludf.DUMMYFUNCTION("IMPORTRANGE(""https://docs.google.com/spreadsheets/d/1eHaY18a8A9IcSdp1K8H6x8fbOy06t2VsZHhMHf-1x7Y/edit?usp=sharing"",""แผน!IJ30"")"),15)</f>
        <v>15</v>
      </c>
      <c r="J660" s="1395">
        <v>21</v>
      </c>
      <c r="K660" s="45"/>
      <c r="L660" s="1359"/>
      <c r="M660" s="45"/>
      <c r="N660" s="409"/>
      <c r="O660" s="45"/>
      <c r="P660" s="45"/>
      <c r="Q660" s="45"/>
      <c r="R660" s="45"/>
      <c r="S660" s="409"/>
      <c r="T660" s="45"/>
      <c r="U660" s="45"/>
    </row>
    <row r="661" spans="1:21" ht="19.5" x14ac:dyDescent="0.3">
      <c r="A661" s="208"/>
      <c r="B661" s="158"/>
      <c r="C661" s="158"/>
      <c r="D661" s="332" t="s">
        <v>242</v>
      </c>
      <c r="E661" s="40"/>
      <c r="F661" s="40"/>
      <c r="G661" s="42"/>
      <c r="H661" s="404" t="s">
        <v>46</v>
      </c>
      <c r="I661" s="1589">
        <f ca="1">IFERROR(__xludf.DUMMYFUNCTION("IMPORTRANGE(""https://docs.google.com/spreadsheets/d/1eHaY18a8A9IcSdp1K8H6x8fbOy06t2VsZHhMHf-1x7Y/edit?usp=sharing"",""แผน!IK30"")"),102)</f>
        <v>102</v>
      </c>
      <c r="J661" s="328">
        <f>J667+J670</f>
        <v>64</v>
      </c>
      <c r="K661" s="1390">
        <f ca="1">IF(I661&gt;0,J661*100/I661,0)</f>
        <v>62.745098039215684</v>
      </c>
      <c r="L661" s="1359"/>
      <c r="M661" s="45"/>
      <c r="N661" s="409"/>
      <c r="O661" s="45"/>
      <c r="P661" s="45"/>
      <c r="Q661" s="45"/>
      <c r="R661" s="45"/>
      <c r="S661" s="409"/>
      <c r="T661" s="45"/>
      <c r="U661" s="45"/>
    </row>
    <row r="662" spans="1:21" ht="18.75" x14ac:dyDescent="0.25">
      <c r="A662" s="208"/>
      <c r="B662" s="158"/>
      <c r="C662" s="158"/>
      <c r="D662" s="40"/>
      <c r="E662" s="47" t="s">
        <v>243</v>
      </c>
      <c r="F662" s="40"/>
      <c r="G662" s="42"/>
      <c r="H662" s="137" t="s">
        <v>34</v>
      </c>
      <c r="I662" s="180"/>
      <c r="J662" s="1395">
        <v>3</v>
      </c>
      <c r="K662" s="45"/>
      <c r="L662" s="1590"/>
      <c r="M662" s="45"/>
      <c r="N662" s="409"/>
      <c r="O662" s="45"/>
      <c r="P662" s="45"/>
      <c r="Q662" s="409"/>
      <c r="R662" s="45"/>
      <c r="S662" s="409"/>
      <c r="T662" s="45"/>
      <c r="U662" s="45"/>
    </row>
    <row r="663" spans="1:21" ht="18.75" x14ac:dyDescent="0.25">
      <c r="A663" s="208"/>
      <c r="B663" s="158"/>
      <c r="C663" s="158"/>
      <c r="D663" s="40"/>
      <c r="E663" s="40"/>
      <c r="F663" s="40"/>
      <c r="G663" s="42"/>
      <c r="H663" s="137" t="s">
        <v>46</v>
      </c>
      <c r="I663" s="180"/>
      <c r="J663" s="1395">
        <v>64</v>
      </c>
      <c r="K663" s="45"/>
      <c r="L663" s="1590"/>
      <c r="M663" s="45"/>
      <c r="N663" s="409"/>
      <c r="O663" s="45"/>
      <c r="P663" s="45"/>
      <c r="Q663" s="409"/>
      <c r="R663" s="45"/>
      <c r="S663" s="409"/>
      <c r="T663" s="45"/>
      <c r="U663" s="45"/>
    </row>
    <row r="664" spans="1:21" ht="18.75" x14ac:dyDescent="0.25">
      <c r="A664" s="208"/>
      <c r="B664" s="158"/>
      <c r="C664" s="158"/>
      <c r="D664" s="40"/>
      <c r="E664" s="47" t="s">
        <v>244</v>
      </c>
      <c r="F664" s="40"/>
      <c r="G664" s="42"/>
      <c r="H664" s="178"/>
      <c r="I664" s="180"/>
      <c r="J664" s="44"/>
      <c r="K664" s="45"/>
      <c r="L664" s="1590"/>
      <c r="M664" s="45"/>
      <c r="N664" s="409"/>
      <c r="O664" s="45"/>
      <c r="P664" s="45"/>
      <c r="Q664" s="409"/>
      <c r="R664" s="45"/>
      <c r="S664" s="409"/>
      <c r="T664" s="45"/>
      <c r="U664" s="45"/>
    </row>
    <row r="665" spans="1:21" ht="18.75" x14ac:dyDescent="0.25">
      <c r="A665" s="208"/>
      <c r="B665" s="158"/>
      <c r="C665" s="158"/>
      <c r="D665" s="40"/>
      <c r="E665" s="40"/>
      <c r="F665" s="47" t="s">
        <v>245</v>
      </c>
      <c r="G665" s="42"/>
      <c r="H665" s="137" t="s">
        <v>35</v>
      </c>
      <c r="I665" s="180"/>
      <c r="J665" s="1395">
        <v>8</v>
      </c>
      <c r="K665" s="45"/>
      <c r="L665" s="1590"/>
      <c r="M665" s="45"/>
      <c r="N665" s="409"/>
      <c r="O665" s="45"/>
      <c r="P665" s="45"/>
      <c r="Q665" s="409"/>
      <c r="R665" s="45"/>
      <c r="S665" s="409"/>
      <c r="T665" s="45"/>
      <c r="U665" s="45"/>
    </row>
    <row r="666" spans="1:21" ht="18.75" x14ac:dyDescent="0.25">
      <c r="A666" s="208"/>
      <c r="B666" s="158"/>
      <c r="C666" s="158"/>
      <c r="D666" s="40"/>
      <c r="E666" s="40"/>
      <c r="F666" s="40"/>
      <c r="G666" s="42"/>
      <c r="H666" s="137" t="s">
        <v>34</v>
      </c>
      <c r="I666" s="180"/>
      <c r="J666" s="1395">
        <v>9</v>
      </c>
      <c r="K666" s="45"/>
      <c r="L666" s="1590"/>
      <c r="M666" s="45"/>
      <c r="N666" s="409"/>
      <c r="O666" s="45"/>
      <c r="P666" s="45"/>
      <c r="Q666" s="409"/>
      <c r="R666" s="45"/>
      <c r="S666" s="409"/>
      <c r="T666" s="45"/>
      <c r="U666" s="45"/>
    </row>
    <row r="667" spans="1:21" ht="18.75" x14ac:dyDescent="0.25">
      <c r="A667" s="208"/>
      <c r="B667" s="158"/>
      <c r="C667" s="158"/>
      <c r="D667" s="40"/>
      <c r="E667" s="40"/>
      <c r="F667" s="40"/>
      <c r="G667" s="42"/>
      <c r="H667" s="137" t="s">
        <v>46</v>
      </c>
      <c r="I667" s="180"/>
      <c r="J667" s="1395">
        <v>64</v>
      </c>
      <c r="K667" s="45"/>
      <c r="L667" s="1590"/>
      <c r="M667" s="45"/>
      <c r="N667" s="409"/>
      <c r="O667" s="45"/>
      <c r="P667" s="45"/>
      <c r="Q667" s="409"/>
      <c r="R667" s="45"/>
      <c r="S667" s="409"/>
      <c r="T667" s="45"/>
      <c r="U667" s="45"/>
    </row>
    <row r="668" spans="1:21" ht="18.75" x14ac:dyDescent="0.25">
      <c r="A668" s="208"/>
      <c r="B668" s="158"/>
      <c r="C668" s="158"/>
      <c r="D668" s="40"/>
      <c r="E668" s="40"/>
      <c r="F668" s="47" t="s">
        <v>246</v>
      </c>
      <c r="G668" s="42"/>
      <c r="H668" s="137" t="s">
        <v>35</v>
      </c>
      <c r="I668" s="180"/>
      <c r="J668" s="1395">
        <v>0</v>
      </c>
      <c r="K668" s="45"/>
      <c r="L668" s="1590"/>
      <c r="M668" s="45"/>
      <c r="N668" s="409"/>
      <c r="O668" s="45"/>
      <c r="P668" s="45"/>
      <c r="Q668" s="409"/>
      <c r="R668" s="45"/>
      <c r="S668" s="409"/>
      <c r="T668" s="45"/>
      <c r="U668" s="45"/>
    </row>
    <row r="669" spans="1:21" ht="18.75" x14ac:dyDescent="0.25">
      <c r="A669" s="208"/>
      <c r="B669" s="158"/>
      <c r="C669" s="158"/>
      <c r="D669" s="40"/>
      <c r="E669" s="40"/>
      <c r="F669" s="40"/>
      <c r="G669" s="42"/>
      <c r="H669" s="137" t="s">
        <v>34</v>
      </c>
      <c r="I669" s="180"/>
      <c r="J669" s="1395">
        <v>0</v>
      </c>
      <c r="K669" s="45"/>
      <c r="L669" s="1590"/>
      <c r="M669" s="45"/>
      <c r="N669" s="409"/>
      <c r="O669" s="45"/>
      <c r="P669" s="45"/>
      <c r="Q669" s="409"/>
      <c r="R669" s="45"/>
      <c r="S669" s="409"/>
      <c r="T669" s="45"/>
      <c r="U669" s="45"/>
    </row>
    <row r="670" spans="1:21" ht="18.75" x14ac:dyDescent="0.25">
      <c r="A670" s="208"/>
      <c r="B670" s="158"/>
      <c r="C670" s="158"/>
      <c r="D670" s="40"/>
      <c r="E670" s="40"/>
      <c r="F670" s="40"/>
      <c r="G670" s="42"/>
      <c r="H670" s="137" t="s">
        <v>46</v>
      </c>
      <c r="I670" s="180"/>
      <c r="J670" s="1395">
        <v>0</v>
      </c>
      <c r="K670" s="45"/>
      <c r="L670" s="1590"/>
      <c r="M670" s="45"/>
      <c r="N670" s="409"/>
      <c r="O670" s="45"/>
      <c r="P670" s="45"/>
      <c r="Q670" s="409"/>
      <c r="R670" s="45"/>
      <c r="S670" s="409"/>
      <c r="T670" s="45"/>
      <c r="U670" s="45"/>
    </row>
    <row r="671" spans="1:21" ht="18.75" x14ac:dyDescent="0.25">
      <c r="A671" s="208"/>
      <c r="B671" s="158"/>
      <c r="C671" s="158"/>
      <c r="D671" s="47" t="s">
        <v>247</v>
      </c>
      <c r="E671" s="40"/>
      <c r="F671" s="40"/>
      <c r="G671" s="42"/>
      <c r="H671" s="137" t="s">
        <v>35</v>
      </c>
      <c r="I671" s="180"/>
      <c r="J671" s="184">
        <f ca="1">IFERROR(__xludf.DUMMYFUNCTION("IMPORTRANGE(""https://docs.google.com/spreadsheets/d/1tdoBKaGub7dwA3U6UFTqxio9LNnvDCQjHKmttSEBsFQ/edit?usp=sharing"",""จัดที่ดิน!AY30"")"),4)</f>
        <v>4</v>
      </c>
      <c r="K671" s="45"/>
      <c r="L671" s="1359"/>
      <c r="M671" s="45"/>
      <c r="N671" s="409"/>
      <c r="O671" s="45"/>
      <c r="P671" s="45"/>
      <c r="Q671" s="45"/>
      <c r="R671" s="45"/>
      <c r="S671" s="409"/>
      <c r="T671" s="45"/>
      <c r="U671" s="45"/>
    </row>
    <row r="672" spans="1:21" ht="18.75" x14ac:dyDescent="0.25">
      <c r="A672" s="208"/>
      <c r="B672" s="158"/>
      <c r="C672" s="158"/>
      <c r="D672" s="40"/>
      <c r="E672" s="40"/>
      <c r="F672" s="40"/>
      <c r="G672" s="42"/>
      <c r="H672" s="137" t="s">
        <v>34</v>
      </c>
      <c r="I672" s="180"/>
      <c r="J672" s="184">
        <f ca="1">IFERROR(__xludf.DUMMYFUNCTION("IMPORTRANGE(""https://docs.google.com/spreadsheets/d/1tdoBKaGub7dwA3U6UFTqxio9LNnvDCQjHKmttSEBsFQ/edit?usp=sharing"",""จัดที่ดิน!AZ30"")"),4)</f>
        <v>4</v>
      </c>
      <c r="K672" s="45"/>
      <c r="L672" s="1590"/>
      <c r="M672" s="45"/>
      <c r="N672" s="409"/>
      <c r="O672" s="45"/>
      <c r="P672" s="45"/>
      <c r="Q672" s="409"/>
      <c r="R672" s="45"/>
      <c r="S672" s="409"/>
      <c r="T672" s="45"/>
      <c r="U672" s="45"/>
    </row>
    <row r="673" spans="1:21" ht="18.75" x14ac:dyDescent="0.25">
      <c r="A673" s="208"/>
      <c r="B673" s="158"/>
      <c r="C673" s="158"/>
      <c r="D673" s="40"/>
      <c r="E673" s="40"/>
      <c r="F673" s="40"/>
      <c r="G673" s="42"/>
      <c r="H673" s="137" t="s">
        <v>46</v>
      </c>
      <c r="I673" s="1588">
        <f ca="1">IFERROR(__xludf.DUMMYFUNCTION("IMPORTRANGE(""https://docs.google.com/spreadsheets/d/1eHaY18a8A9IcSdp1K8H6x8fbOy06t2VsZHhMHf-1x7Y/edit?usp=sharing"",""แผน!IL30"")"),225)</f>
        <v>225</v>
      </c>
      <c r="J673" s="184">
        <f ca="1">IFERROR(__xludf.DUMMYFUNCTION("IMPORTRANGE(""https://docs.google.com/spreadsheets/d/1tdoBKaGub7dwA3U6UFTqxio9LNnvDCQjHKmttSEBsFQ/edit?usp=sharing"",""จัดที่ดิน!BA30"")"),59.5)</f>
        <v>59.5</v>
      </c>
      <c r="K673" s="224">
        <f ca="1">IF(I673&gt;0,J673*100/I673,0)</f>
        <v>26.444444444444443</v>
      </c>
      <c r="L673" s="1590"/>
      <c r="M673" s="45"/>
      <c r="N673" s="409"/>
      <c r="O673" s="45"/>
      <c r="P673" s="45"/>
      <c r="Q673" s="409"/>
      <c r="R673" s="45"/>
      <c r="S673" s="409"/>
      <c r="T673" s="45"/>
      <c r="U673" s="45"/>
    </row>
    <row r="674" spans="1:21" ht="19.5" x14ac:dyDescent="0.3">
      <c r="A674" s="208"/>
      <c r="B674" s="158"/>
      <c r="C674" s="158"/>
      <c r="D674" s="47" t="s">
        <v>248</v>
      </c>
      <c r="E674" s="40"/>
      <c r="F674" s="40"/>
      <c r="G674" s="42"/>
      <c r="H674" s="404" t="s">
        <v>35</v>
      </c>
      <c r="I674" s="1589">
        <f ca="1">IFERROR(__xludf.DUMMYFUNCTION("IMPORTRANGE(""https://docs.google.com/spreadsheets/d/1eHaY18a8A9IcSdp1K8H6x8fbOy06t2VsZHhMHf-1x7Y/edit?usp=sharing"",""แผน!IM30"")"),13)</f>
        <v>13</v>
      </c>
      <c r="J674" s="328">
        <f ca="1">J676+J679</f>
        <v>7</v>
      </c>
      <c r="K674" s="1390">
        <f ca="1">IF(I674&gt;0,J674*100/I674,0)</f>
        <v>53.846153846153847</v>
      </c>
      <c r="L674" s="1590"/>
      <c r="M674" s="45"/>
      <c r="N674" s="409"/>
      <c r="O674" s="45"/>
      <c r="P674" s="45"/>
      <c r="Q674" s="409"/>
      <c r="R674" s="45"/>
      <c r="S674" s="409"/>
      <c r="T674" s="45"/>
      <c r="U674" s="45"/>
    </row>
    <row r="675" spans="1:21" ht="19.5" x14ac:dyDescent="0.3">
      <c r="A675" s="208"/>
      <c r="B675" s="158"/>
      <c r="C675" s="158"/>
      <c r="D675" s="40"/>
      <c r="E675" s="40"/>
      <c r="F675" s="40"/>
      <c r="G675" s="42"/>
      <c r="H675" s="404" t="s">
        <v>46</v>
      </c>
      <c r="I675" s="1589">
        <f ca="1">IFERROR(__xludf.DUMMYFUNCTION("IMPORTRANGE(""https://docs.google.com/spreadsheets/d/1eHaY18a8A9IcSdp1K8H6x8fbOy06t2VsZHhMHf-1x7Y/edit?usp=sharing"",""แผน!IN30"")"),155)</f>
        <v>155</v>
      </c>
      <c r="J675" s="328">
        <f ca="1">J678+J681</f>
        <v>155.16</v>
      </c>
      <c r="K675" s="1390">
        <f ca="1">IF(I675&gt;0,J675*100/I675,0)</f>
        <v>100.10322580645162</v>
      </c>
      <c r="L675" s="1359"/>
      <c r="M675" s="45"/>
      <c r="N675" s="409"/>
      <c r="O675" s="45"/>
      <c r="P675" s="45"/>
      <c r="Q675" s="45"/>
      <c r="R675" s="45"/>
      <c r="S675" s="409"/>
      <c r="T675" s="45"/>
      <c r="U675" s="45"/>
    </row>
    <row r="676" spans="1:21" ht="18.75" x14ac:dyDescent="0.25">
      <c r="A676" s="208"/>
      <c r="B676" s="158"/>
      <c r="C676" s="158"/>
      <c r="D676" s="40"/>
      <c r="E676" s="47" t="s">
        <v>249</v>
      </c>
      <c r="F676" s="40"/>
      <c r="G676" s="42"/>
      <c r="H676" s="137" t="s">
        <v>35</v>
      </c>
      <c r="I676" s="1588">
        <f ca="1">IFERROR(__xludf.DUMMYFUNCTION("IMPORTRANGE(""https://docs.google.com/spreadsheets/d/1eHaY18a8A9IcSdp1K8H6x8fbOy06t2VsZHhMHf-1x7Y/edit?usp=sharing"",""แผน!IO30"")"),10)</f>
        <v>10</v>
      </c>
      <c r="J676" s="184">
        <f ca="1">IFERROR(__xludf.DUMMYFUNCTION("IMPORTRANGE(""https://docs.google.com/spreadsheets/d/1tdoBKaGub7dwA3U6UFTqxio9LNnvDCQjHKmttSEBsFQ/edit?usp=sharing"",""จัดที่ดิน!BF30"")"),7)</f>
        <v>7</v>
      </c>
      <c r="K676" s="224">
        <f ca="1">IF(I676&gt;0,J676*100/I676,0)</f>
        <v>70</v>
      </c>
      <c r="L676" s="1359"/>
      <c r="M676" s="45"/>
      <c r="N676" s="409"/>
      <c r="O676" s="45"/>
      <c r="P676" s="45"/>
      <c r="Q676" s="45"/>
      <c r="R676" s="45"/>
      <c r="S676" s="409"/>
      <c r="T676" s="45"/>
      <c r="U676" s="45"/>
    </row>
    <row r="677" spans="1:21" ht="18.75" x14ac:dyDescent="0.25">
      <c r="A677" s="208"/>
      <c r="B677" s="158"/>
      <c r="C677" s="158"/>
      <c r="D677" s="40"/>
      <c r="E677" s="40"/>
      <c r="F677" s="40"/>
      <c r="G677" s="42"/>
      <c r="H677" s="137" t="s">
        <v>34</v>
      </c>
      <c r="I677" s="180"/>
      <c r="J677" s="184">
        <f ca="1">IFERROR(__xludf.DUMMYFUNCTION("IMPORTRANGE(""https://docs.google.com/spreadsheets/d/1tdoBKaGub7dwA3U6UFTqxio9LNnvDCQjHKmttSEBsFQ/edit?usp=sharing"",""จัดที่ดิน!BG30"")"),9)</f>
        <v>9</v>
      </c>
      <c r="K677" s="45"/>
      <c r="L677" s="1590"/>
      <c r="M677" s="45"/>
      <c r="N677" s="409"/>
      <c r="O677" s="45"/>
      <c r="P677" s="45"/>
      <c r="Q677" s="409"/>
      <c r="R677" s="45"/>
      <c r="S677" s="409"/>
      <c r="T677" s="45"/>
      <c r="U677" s="45"/>
    </row>
    <row r="678" spans="1:21" ht="18.75" x14ac:dyDescent="0.25">
      <c r="A678" s="208"/>
      <c r="B678" s="158"/>
      <c r="C678" s="158"/>
      <c r="D678" s="40"/>
      <c r="E678" s="40"/>
      <c r="F678" s="40"/>
      <c r="G678" s="42"/>
      <c r="H678" s="137" t="s">
        <v>46</v>
      </c>
      <c r="I678" s="1588">
        <f ca="1">IFERROR(__xludf.DUMMYFUNCTION("IMPORTRANGE(""https://docs.google.com/spreadsheets/d/1eHaY18a8A9IcSdp1K8H6x8fbOy06t2VsZHhMHf-1x7Y/edit?usp=sharing"",""แผน!IP30"")"),125)</f>
        <v>125</v>
      </c>
      <c r="J678" s="184">
        <f ca="1">IFERROR(__xludf.DUMMYFUNCTION("IMPORTRANGE(""https://docs.google.com/spreadsheets/d/1tdoBKaGub7dwA3U6UFTqxio9LNnvDCQjHKmttSEBsFQ/edit?usp=sharing"",""จัดที่ดิน!BH30"")"),155.16)</f>
        <v>155.16</v>
      </c>
      <c r="K678" s="224">
        <f ca="1">IF(I678&gt;0,J678*100/I678,0)</f>
        <v>124.128</v>
      </c>
      <c r="L678" s="1590"/>
      <c r="M678" s="45"/>
      <c r="N678" s="409"/>
      <c r="O678" s="45"/>
      <c r="P678" s="45"/>
      <c r="Q678" s="409"/>
      <c r="R678" s="45"/>
      <c r="S678" s="409"/>
      <c r="T678" s="45"/>
      <c r="U678" s="45"/>
    </row>
    <row r="679" spans="1:21" ht="18.75" x14ac:dyDescent="0.25">
      <c r="A679" s="208"/>
      <c r="B679" s="158"/>
      <c r="C679" s="158"/>
      <c r="D679" s="40"/>
      <c r="E679" s="47" t="s">
        <v>250</v>
      </c>
      <c r="F679" s="40"/>
      <c r="G679" s="42"/>
      <c r="H679" s="137" t="s">
        <v>35</v>
      </c>
      <c r="I679" s="1588">
        <f ca="1">IFERROR(__xludf.DUMMYFUNCTION("IMPORTRANGE(""https://docs.google.com/spreadsheets/d/1eHaY18a8A9IcSdp1K8H6x8fbOy06t2VsZHhMHf-1x7Y/edit?usp=sharing"",""แผน!IQ30"")"),3)</f>
        <v>3</v>
      </c>
      <c r="J679" s="184">
        <f ca="1">IFERROR(__xludf.DUMMYFUNCTION("IMPORTRANGE(""https://docs.google.com/spreadsheets/d/1tdoBKaGub7dwA3U6UFTqxio9LNnvDCQjHKmttSEBsFQ/edit?usp=sharing"",""จัดที่ดิน!BK30"")"),0)</f>
        <v>0</v>
      </c>
      <c r="K679" s="224">
        <f ca="1">IF(I679&gt;0,J679*100/I679,0)</f>
        <v>0</v>
      </c>
      <c r="L679" s="1359"/>
      <c r="M679" s="45"/>
      <c r="N679" s="409"/>
      <c r="O679" s="45"/>
      <c r="P679" s="45"/>
      <c r="Q679" s="45"/>
      <c r="R679" s="45"/>
      <c r="S679" s="409"/>
      <c r="T679" s="45"/>
      <c r="U679" s="45"/>
    </row>
    <row r="680" spans="1:21" ht="18.75" x14ac:dyDescent="0.25">
      <c r="A680" s="208"/>
      <c r="B680" s="158"/>
      <c r="C680" s="158"/>
      <c r="D680" s="40"/>
      <c r="E680" s="40"/>
      <c r="F680" s="40"/>
      <c r="G680" s="42"/>
      <c r="H680" s="137" t="s">
        <v>34</v>
      </c>
      <c r="I680" s="180"/>
      <c r="J680" s="184">
        <f ca="1">IFERROR(__xludf.DUMMYFUNCTION("IMPORTRANGE(""https://docs.google.com/spreadsheets/d/1tdoBKaGub7dwA3U6UFTqxio9LNnvDCQjHKmttSEBsFQ/edit?usp=sharing"",""จัดที่ดิน!BL30"")"),0)</f>
        <v>0</v>
      </c>
      <c r="K680" s="45"/>
      <c r="L680" s="1590"/>
      <c r="M680" s="45"/>
      <c r="N680" s="409"/>
      <c r="O680" s="45"/>
      <c r="P680" s="45"/>
      <c r="Q680" s="409"/>
      <c r="R680" s="45"/>
      <c r="S680" s="409"/>
      <c r="T680" s="45"/>
      <c r="U680" s="45"/>
    </row>
    <row r="681" spans="1:21" ht="18.75" x14ac:dyDescent="0.25">
      <c r="A681" s="208"/>
      <c r="B681" s="158"/>
      <c r="C681" s="158"/>
      <c r="D681" s="40"/>
      <c r="E681" s="40"/>
      <c r="F681" s="40"/>
      <c r="G681" s="42"/>
      <c r="H681" s="137" t="s">
        <v>46</v>
      </c>
      <c r="I681" s="1588">
        <f ca="1">IFERROR(__xludf.DUMMYFUNCTION("IMPORTRANGE(""https://docs.google.com/spreadsheets/d/1eHaY18a8A9IcSdp1K8H6x8fbOy06t2VsZHhMHf-1x7Y/edit?usp=sharing"",""แผน!IR30"")"),30)</f>
        <v>30</v>
      </c>
      <c r="J681" s="184">
        <f ca="1">IFERROR(__xludf.DUMMYFUNCTION("IMPORTRANGE(""https://docs.google.com/spreadsheets/d/1tdoBKaGub7dwA3U6UFTqxio9LNnvDCQjHKmttSEBsFQ/edit?usp=sharing"",""จัดที่ดิน!BM30"")"),0)</f>
        <v>0</v>
      </c>
      <c r="K681" s="224">
        <f ca="1">IF(I681&gt;0,J681*100/I681,0)</f>
        <v>0</v>
      </c>
      <c r="L681" s="1590"/>
      <c r="M681" s="45"/>
      <c r="N681" s="409"/>
      <c r="O681" s="45"/>
      <c r="P681" s="45"/>
      <c r="Q681" s="409"/>
      <c r="R681" s="45"/>
      <c r="S681" s="409"/>
      <c r="T681" s="45"/>
      <c r="U681" s="45"/>
    </row>
    <row r="682" spans="1:21" ht="19.5" x14ac:dyDescent="0.3">
      <c r="A682" s="208"/>
      <c r="B682" s="158"/>
      <c r="C682" s="158"/>
      <c r="D682" s="47" t="s">
        <v>251</v>
      </c>
      <c r="E682" s="40"/>
      <c r="F682" s="40"/>
      <c r="G682" s="42"/>
      <c r="H682" s="404" t="s">
        <v>46</v>
      </c>
      <c r="I682" s="1589">
        <f ca="1">IFERROR(__xludf.DUMMYFUNCTION("IMPORTRANGE(""https://docs.google.com/spreadsheets/d/1eHaY18a8A9IcSdp1K8H6x8fbOy06t2VsZHhMHf-1x7Y/edit?usp=sharing"",""แผน!IS30"")"),99)</f>
        <v>99</v>
      </c>
      <c r="J682" s="328">
        <f>J685+J688</f>
        <v>95</v>
      </c>
      <c r="K682" s="1390">
        <f ca="1">IF(I682&gt;0,J682*100/I682,0)</f>
        <v>95.959595959595958</v>
      </c>
      <c r="L682" s="1359"/>
      <c r="M682" s="45"/>
      <c r="N682" s="409"/>
      <c r="O682" s="45"/>
      <c r="P682" s="45"/>
      <c r="Q682" s="45"/>
      <c r="R682" s="45"/>
      <c r="S682" s="409"/>
      <c r="T682" s="45"/>
      <c r="U682" s="45"/>
    </row>
    <row r="683" spans="1:21" ht="18.75" x14ac:dyDescent="0.25">
      <c r="A683" s="208"/>
      <c r="B683" s="158"/>
      <c r="C683" s="158"/>
      <c r="D683" s="40"/>
      <c r="E683" s="47" t="s">
        <v>252</v>
      </c>
      <c r="F683" s="40"/>
      <c r="G683" s="42"/>
      <c r="H683" s="137" t="s">
        <v>35</v>
      </c>
      <c r="I683" s="180"/>
      <c r="J683" s="1395">
        <v>3</v>
      </c>
      <c r="K683" s="45"/>
      <c r="L683" s="1590"/>
      <c r="M683" s="45"/>
      <c r="N683" s="409"/>
      <c r="O683" s="45"/>
      <c r="P683" s="45"/>
      <c r="Q683" s="409"/>
      <c r="R683" s="45"/>
      <c r="S683" s="409"/>
      <c r="T683" s="45"/>
      <c r="U683" s="45"/>
    </row>
    <row r="684" spans="1:21" ht="18.75" x14ac:dyDescent="0.25">
      <c r="A684" s="208"/>
      <c r="B684" s="158"/>
      <c r="C684" s="158"/>
      <c r="D684" s="40"/>
      <c r="E684" s="40"/>
      <c r="F684" s="40"/>
      <c r="G684" s="42"/>
      <c r="H684" s="137" t="s">
        <v>34</v>
      </c>
      <c r="I684" s="180"/>
      <c r="J684" s="1395">
        <v>3</v>
      </c>
      <c r="K684" s="45"/>
      <c r="L684" s="1590"/>
      <c r="M684" s="45"/>
      <c r="N684" s="409"/>
      <c r="O684" s="45"/>
      <c r="P684" s="45"/>
      <c r="Q684" s="409"/>
      <c r="R684" s="45"/>
      <c r="S684" s="409"/>
      <c r="T684" s="45"/>
      <c r="U684" s="45"/>
    </row>
    <row r="685" spans="1:21" ht="18.75" x14ac:dyDescent="0.25">
      <c r="A685" s="208"/>
      <c r="B685" s="158"/>
      <c r="C685" s="158"/>
      <c r="D685" s="40"/>
      <c r="E685" s="40"/>
      <c r="F685" s="40"/>
      <c r="G685" s="42"/>
      <c r="H685" s="137" t="s">
        <v>46</v>
      </c>
      <c r="I685" s="180"/>
      <c r="J685" s="1395">
        <v>65</v>
      </c>
      <c r="K685" s="45"/>
      <c r="L685" s="1590"/>
      <c r="M685" s="45"/>
      <c r="N685" s="409"/>
      <c r="O685" s="45"/>
      <c r="P685" s="45"/>
      <c r="Q685" s="409"/>
      <c r="R685" s="45"/>
      <c r="S685" s="409"/>
      <c r="T685" s="45"/>
      <c r="U685" s="45"/>
    </row>
    <row r="686" spans="1:21" ht="18.75" x14ac:dyDescent="0.25">
      <c r="A686" s="208"/>
      <c r="B686" s="158"/>
      <c r="C686" s="158"/>
      <c r="D686" s="40"/>
      <c r="E686" s="47" t="s">
        <v>253</v>
      </c>
      <c r="F686" s="40"/>
      <c r="G686" s="42"/>
      <c r="H686" s="137" t="s">
        <v>35</v>
      </c>
      <c r="I686" s="180"/>
      <c r="J686" s="1395">
        <v>2</v>
      </c>
      <c r="K686" s="45"/>
      <c r="L686" s="1590"/>
      <c r="M686" s="45"/>
      <c r="N686" s="409"/>
      <c r="O686" s="45"/>
      <c r="P686" s="45"/>
      <c r="Q686" s="409"/>
      <c r="R686" s="45"/>
      <c r="S686" s="409"/>
      <c r="T686" s="45"/>
      <c r="U686" s="45"/>
    </row>
    <row r="687" spans="1:21" ht="18.75" x14ac:dyDescent="0.25">
      <c r="A687" s="208"/>
      <c r="B687" s="158"/>
      <c r="C687" s="158"/>
      <c r="D687" s="40"/>
      <c r="E687" s="40"/>
      <c r="F687" s="40"/>
      <c r="G687" s="42"/>
      <c r="H687" s="137" t="s">
        <v>34</v>
      </c>
      <c r="I687" s="180"/>
      <c r="J687" s="1395">
        <v>2</v>
      </c>
      <c r="K687" s="45"/>
      <c r="L687" s="1590"/>
      <c r="M687" s="45"/>
      <c r="N687" s="409"/>
      <c r="O687" s="45"/>
      <c r="P687" s="45"/>
      <c r="Q687" s="409"/>
      <c r="R687" s="45"/>
      <c r="S687" s="409"/>
      <c r="T687" s="45"/>
      <c r="U687" s="45"/>
    </row>
    <row r="688" spans="1:21" ht="19.5" x14ac:dyDescent="0.3">
      <c r="A688" s="249"/>
      <c r="B688" s="412" t="s">
        <v>254</v>
      </c>
      <c r="C688" s="250"/>
      <c r="D688" s="252"/>
      <c r="E688" s="252"/>
      <c r="F688" s="252"/>
      <c r="G688" s="253"/>
      <c r="H688" s="186" t="s">
        <v>46</v>
      </c>
      <c r="I688" s="330"/>
      <c r="J688" s="1541">
        <v>30</v>
      </c>
      <c r="K688" s="3"/>
      <c r="L688" s="1591"/>
      <c r="M688" s="3"/>
      <c r="N688" s="413"/>
      <c r="O688" s="3"/>
      <c r="P688" s="3"/>
      <c r="Q688" s="413"/>
      <c r="R688" s="3"/>
      <c r="S688" s="413"/>
      <c r="T688" s="3"/>
      <c r="U688" s="3"/>
    </row>
    <row r="689" spans="1:21" ht="19.5" x14ac:dyDescent="0.3">
      <c r="A689" s="387"/>
      <c r="B689" s="388" t="s">
        <v>255</v>
      </c>
      <c r="C689" s="387"/>
      <c r="D689" s="389"/>
      <c r="E689" s="389"/>
      <c r="F689" s="389"/>
      <c r="G689" s="390"/>
      <c r="H689" s="414" t="s">
        <v>35</v>
      </c>
      <c r="I689" s="1592">
        <f ca="1">I707</f>
        <v>55</v>
      </c>
      <c r="J689" s="1592">
        <f ca="1">J707</f>
        <v>28</v>
      </c>
      <c r="K689" s="1593">
        <f ca="1">IF(I689&gt;0,J689*100/I689,0)</f>
        <v>50.909090909090907</v>
      </c>
      <c r="L689" s="1581"/>
      <c r="M689" s="393"/>
      <c r="N689" s="393"/>
      <c r="O689" s="393"/>
      <c r="P689" s="393"/>
      <c r="Q689" s="393"/>
      <c r="R689" s="393"/>
      <c r="S689" s="393"/>
      <c r="T689" s="393"/>
      <c r="U689" s="393"/>
    </row>
    <row r="690" spans="1:21" ht="19.5" x14ac:dyDescent="0.3">
      <c r="A690" s="128"/>
      <c r="B690" s="158"/>
      <c r="C690" s="177" t="s">
        <v>18</v>
      </c>
      <c r="D690" s="1585" t="s">
        <v>19</v>
      </c>
      <c r="E690" s="1285"/>
      <c r="F690" s="1285"/>
      <c r="G690" s="1286"/>
      <c r="H690" s="221" t="s">
        <v>14</v>
      </c>
      <c r="I690" s="44"/>
      <c r="J690" s="44"/>
      <c r="K690" s="45"/>
      <c r="L690" s="1389">
        <f>L691+L692</f>
        <v>0</v>
      </c>
      <c r="M690" s="1390">
        <f>M691+M692</f>
        <v>0</v>
      </c>
      <c r="N690" s="1390">
        <f>N691+N692</f>
        <v>0</v>
      </c>
      <c r="O690" s="1390">
        <f>IF(L690&gt;0,N690*100/L690,0)</f>
        <v>0</v>
      </c>
      <c r="P690" s="1390">
        <f>IF(M690&gt;0,N690*100/M690,0)</f>
        <v>0</v>
      </c>
      <c r="Q690" s="1390">
        <f ca="1">Q691+Q692</f>
        <v>159650</v>
      </c>
      <c r="R690" s="1390">
        <f ca="1">R691+R692</f>
        <v>159650</v>
      </c>
      <c r="S690" s="1390">
        <f ca="1">S691+S692</f>
        <v>118631.2</v>
      </c>
      <c r="T690" s="1390">
        <f ca="1">IF(Q690&gt;0,S690*100/Q690,0)</f>
        <v>74.307046664578763</v>
      </c>
      <c r="U690" s="1390">
        <f ca="1">IF(R690&gt;0,S690*100/R690,0)</f>
        <v>74.307046664578763</v>
      </c>
    </row>
    <row r="691" spans="1:21" ht="18.75" x14ac:dyDescent="0.25">
      <c r="A691" s="128"/>
      <c r="B691" s="158"/>
      <c r="C691" s="158"/>
      <c r="D691" s="145"/>
      <c r="E691" s="156" t="s">
        <v>158</v>
      </c>
      <c r="F691" s="40"/>
      <c r="G691" s="42"/>
      <c r="H691" s="159" t="s">
        <v>14</v>
      </c>
      <c r="I691" s="44"/>
      <c r="J691" s="44"/>
      <c r="K691" s="45"/>
      <c r="L691" s="1358">
        <f>L694+L697</f>
        <v>0</v>
      </c>
      <c r="M691" s="83">
        <f>M694+M697</f>
        <v>0</v>
      </c>
      <c r="N691" s="83">
        <f>N694+N697</f>
        <v>0</v>
      </c>
      <c r="O691" s="83">
        <f>IF(L691&gt;0,N691*100/L691,0)</f>
        <v>0</v>
      </c>
      <c r="P691" s="83">
        <f>IF(M691&gt;0,N691*100/M691,0)</f>
        <v>0</v>
      </c>
      <c r="Q691" s="83">
        <f>Q694+Q697</f>
        <v>0</v>
      </c>
      <c r="R691" s="83">
        <f>R694+R697</f>
        <v>0</v>
      </c>
      <c r="S691" s="83">
        <f>S694+S697</f>
        <v>0</v>
      </c>
      <c r="T691" s="83">
        <f>IF(Q691&gt;0,S691*100/Q691,0)</f>
        <v>0</v>
      </c>
      <c r="U691" s="83">
        <f>IF(R691&gt;0,S691*100/R691,0)</f>
        <v>0</v>
      </c>
    </row>
    <row r="692" spans="1:21" ht="18.75" x14ac:dyDescent="0.25">
      <c r="A692" s="128"/>
      <c r="B692" s="158"/>
      <c r="C692" s="158"/>
      <c r="D692" s="145"/>
      <c r="E692" s="47" t="s">
        <v>159</v>
      </c>
      <c r="F692" s="40"/>
      <c r="G692" s="42"/>
      <c r="H692" s="134" t="s">
        <v>14</v>
      </c>
      <c r="I692" s="44"/>
      <c r="J692" s="44"/>
      <c r="K692" s="45"/>
      <c r="L692" s="1356">
        <f>L695+L698</f>
        <v>0</v>
      </c>
      <c r="M692" s="224">
        <f>M695+M698</f>
        <v>0</v>
      </c>
      <c r="N692" s="224">
        <f>N695+N698</f>
        <v>0</v>
      </c>
      <c r="O692" s="224">
        <f>IF(L692&gt;0,N692*100/L692,0)</f>
        <v>0</v>
      </c>
      <c r="P692" s="224">
        <f>IF(M692&gt;0,N692*100/M692,0)</f>
        <v>0</v>
      </c>
      <c r="Q692" s="224">
        <f ca="1">Q695+Q698</f>
        <v>159650</v>
      </c>
      <c r="R692" s="224">
        <f ca="1">R695+R698</f>
        <v>159650</v>
      </c>
      <c r="S692" s="224">
        <f ca="1">S695+S698</f>
        <v>118631.2</v>
      </c>
      <c r="T692" s="224">
        <f ca="1">IF(Q692&gt;0,S692*100/Q692,0)</f>
        <v>74.307046664578763</v>
      </c>
      <c r="U692" s="224">
        <f ca="1">IF(R692&gt;0,S692*100/R692,0)</f>
        <v>74.307046664578763</v>
      </c>
    </row>
    <row r="693" spans="1:21" ht="18.75" x14ac:dyDescent="0.25">
      <c r="A693" s="128"/>
      <c r="B693" s="158"/>
      <c r="C693" s="158"/>
      <c r="D693" s="41" t="s">
        <v>22</v>
      </c>
      <c r="E693" s="40"/>
      <c r="F693" s="40"/>
      <c r="G693" s="42"/>
      <c r="H693" s="134" t="s">
        <v>14</v>
      </c>
      <c r="I693" s="135"/>
      <c r="J693" s="135"/>
      <c r="K693" s="136"/>
      <c r="L693" s="1356">
        <f>L694+L695</f>
        <v>0</v>
      </c>
      <c r="M693" s="224">
        <f>M694+M695</f>
        <v>0</v>
      </c>
      <c r="N693" s="224">
        <f>N694+N695</f>
        <v>0</v>
      </c>
      <c r="O693" s="224">
        <f>IF(L693&gt;0,N693*100/L693,0)</f>
        <v>0</v>
      </c>
      <c r="P693" s="224">
        <f>IF(M693&gt;0,N693*100/M693,0)</f>
        <v>0</v>
      </c>
      <c r="Q693" s="224">
        <f ca="1">Q694+Q695</f>
        <v>159650</v>
      </c>
      <c r="R693" s="224">
        <f ca="1">R694+R695</f>
        <v>159650</v>
      </c>
      <c r="S693" s="224">
        <f ca="1">S694+S695</f>
        <v>118631.2</v>
      </c>
      <c r="T693" s="224">
        <f ca="1">IF(Q693&gt;0,S693*100/Q693,0)</f>
        <v>74.307046664578763</v>
      </c>
      <c r="U693" s="224">
        <f ca="1">IF(R693&gt;0,S693*100/R693,0)</f>
        <v>74.307046664578763</v>
      </c>
    </row>
    <row r="694" spans="1:21" ht="18.75" x14ac:dyDescent="0.25">
      <c r="A694" s="128"/>
      <c r="B694" s="158"/>
      <c r="C694" s="158"/>
      <c r="D694" s="145"/>
      <c r="E694" s="156" t="s">
        <v>158</v>
      </c>
      <c r="F694" s="40"/>
      <c r="G694" s="42"/>
      <c r="H694" s="159" t="s">
        <v>14</v>
      </c>
      <c r="I694" s="44"/>
      <c r="J694" s="44"/>
      <c r="K694" s="45"/>
      <c r="L694" s="1358">
        <v>0</v>
      </c>
      <c r="M694" s="83">
        <v>0</v>
      </c>
      <c r="N694" s="83">
        <v>0</v>
      </c>
      <c r="O694" s="83">
        <f>IF(L694&gt;0,N694*100/L694,0)</f>
        <v>0</v>
      </c>
      <c r="P694" s="83">
        <f>IF(M694&gt;0,N694*100/M694,0)</f>
        <v>0</v>
      </c>
      <c r="Q694" s="83">
        <v>0</v>
      </c>
      <c r="R694" s="83">
        <v>0</v>
      </c>
      <c r="S694" s="83">
        <v>0</v>
      </c>
      <c r="T694" s="83">
        <f>IF(Q694&gt;0,S694*100/Q694,0)</f>
        <v>0</v>
      </c>
      <c r="U694" s="83">
        <f>IF(R694&gt;0,S694*100/R694,0)</f>
        <v>0</v>
      </c>
    </row>
    <row r="695" spans="1:21" ht="18.75" x14ac:dyDescent="0.25">
      <c r="A695" s="128"/>
      <c r="B695" s="158"/>
      <c r="C695" s="158"/>
      <c r="D695" s="145"/>
      <c r="E695" s="47" t="s">
        <v>159</v>
      </c>
      <c r="F695" s="40"/>
      <c r="G695" s="42"/>
      <c r="H695" s="134" t="s">
        <v>14</v>
      </c>
      <c r="I695" s="44"/>
      <c r="J695" s="44"/>
      <c r="K695" s="45"/>
      <c r="L695" s="1356">
        <v>0</v>
      </c>
      <c r="M695" s="224">
        <v>0</v>
      </c>
      <c r="N695" s="224">
        <v>0</v>
      </c>
      <c r="O695" s="224">
        <f>IF(L695&gt;0,N695*100/L695,0)</f>
        <v>0</v>
      </c>
      <c r="P695" s="224">
        <f>IF(M695&gt;0,N695*100/M695,0)</f>
        <v>0</v>
      </c>
      <c r="Q695" s="224">
        <f ca="1">IFERROR(__xludf.DUMMYFUNCTION("IMPORTRANGE(""https://docs.google.com/spreadsheets/d/1ItG2mGa2ceCfYo0BwxsXqNm01IGEUdYcSSLTEv9YCik/edit?usp=sharing"",""เบิกจ่ายกองทุน!L30"")"),159650)</f>
        <v>159650</v>
      </c>
      <c r="R695" s="224">
        <f ca="1">IFERROR(__xludf.DUMMYFUNCTION("IMPORTRANGE(""https://docs.google.com/spreadsheets/d/1ItG2mGa2ceCfYo0BwxsXqNm01IGEUdYcSSLTEv9YCik/edit?usp=sharing"",""เบิกจ่ายกองทุน!M30"")"),159650)</f>
        <v>159650</v>
      </c>
      <c r="S695" s="224">
        <f ca="1">IFERROR(__xludf.DUMMYFUNCTION("IMPORTRANGE(""https://docs.google.com/spreadsheets/d/1ItG2mGa2ceCfYo0BwxsXqNm01IGEUdYcSSLTEv9YCik/edit?usp=sharing"",""เบิกจ่ายกองทุน!N30"")"),118631.2)</f>
        <v>118631.2</v>
      </c>
      <c r="T695" s="224">
        <f ca="1">IF(Q695&gt;0,S695*100/Q695,0)</f>
        <v>74.307046664578763</v>
      </c>
      <c r="U695" s="224">
        <f ca="1">IF(R695&gt;0,S695*100/R695,0)</f>
        <v>74.307046664578763</v>
      </c>
    </row>
    <row r="696" spans="1:21" ht="18.75" x14ac:dyDescent="0.25">
      <c r="A696" s="128"/>
      <c r="B696" s="158"/>
      <c r="C696" s="158"/>
      <c r="D696" s="41" t="s">
        <v>23</v>
      </c>
      <c r="E696" s="40"/>
      <c r="F696" s="40"/>
      <c r="G696" s="42"/>
      <c r="H696" s="137" t="s">
        <v>14</v>
      </c>
      <c r="I696" s="135"/>
      <c r="J696" s="135"/>
      <c r="K696" s="136"/>
      <c r="L696" s="1356">
        <f>L697+L698</f>
        <v>0</v>
      </c>
      <c r="M696" s="224">
        <f>M697+M698</f>
        <v>0</v>
      </c>
      <c r="N696" s="224">
        <f>N697+N698</f>
        <v>0</v>
      </c>
      <c r="O696" s="224">
        <f>IF(L696&gt;0,N696*100/L696,0)</f>
        <v>0</v>
      </c>
      <c r="P696" s="224">
        <f>IF(M696&gt;0,N696*100/M696,0)</f>
        <v>0</v>
      </c>
      <c r="Q696" s="224">
        <f>Q697+Q698</f>
        <v>0</v>
      </c>
      <c r="R696" s="224">
        <f>R697+R698</f>
        <v>0</v>
      </c>
      <c r="S696" s="224">
        <f>S697+S698</f>
        <v>0</v>
      </c>
      <c r="T696" s="224">
        <f>IF(Q696&gt;0,S696*100/Q696,0)</f>
        <v>0</v>
      </c>
      <c r="U696" s="224">
        <f>IF(R696&gt;0,S696*100/R696,0)</f>
        <v>0</v>
      </c>
    </row>
    <row r="697" spans="1:21" ht="18.75" x14ac:dyDescent="0.25">
      <c r="A697" s="128"/>
      <c r="B697" s="158"/>
      <c r="C697" s="158"/>
      <c r="D697" s="40"/>
      <c r="E697" s="156" t="s">
        <v>20</v>
      </c>
      <c r="F697" s="40"/>
      <c r="G697" s="42"/>
      <c r="H697" s="159" t="s">
        <v>14</v>
      </c>
      <c r="I697" s="135"/>
      <c r="J697" s="135"/>
      <c r="K697" s="136"/>
      <c r="L697" s="1358">
        <v>0</v>
      </c>
      <c r="M697" s="83">
        <v>0</v>
      </c>
      <c r="N697" s="83">
        <v>0</v>
      </c>
      <c r="O697" s="83">
        <f>IF(L697&gt;0,N697*100/L697,0)</f>
        <v>0</v>
      </c>
      <c r="P697" s="83">
        <f>IF(M697&gt;0,N697*100/M697,0)</f>
        <v>0</v>
      </c>
      <c r="Q697" s="83">
        <v>0</v>
      </c>
      <c r="R697" s="83">
        <v>0</v>
      </c>
      <c r="S697" s="83">
        <v>0</v>
      </c>
      <c r="T697" s="83">
        <f>IF(Q697&gt;0,S697*100/Q697,0)</f>
        <v>0</v>
      </c>
      <c r="U697" s="83">
        <f>IF(R697&gt;0,S697*100/R697,0)</f>
        <v>0</v>
      </c>
    </row>
    <row r="698" spans="1:21" ht="18.75" x14ac:dyDescent="0.25">
      <c r="A698" s="128"/>
      <c r="B698" s="158"/>
      <c r="C698" s="158"/>
      <c r="D698" s="40"/>
      <c r="E698" s="47" t="s">
        <v>21</v>
      </c>
      <c r="F698" s="40"/>
      <c r="G698" s="42"/>
      <c r="H698" s="137" t="s">
        <v>14</v>
      </c>
      <c r="I698" s="135"/>
      <c r="J698" s="135"/>
      <c r="K698" s="136"/>
      <c r="L698" s="1356">
        <v>0</v>
      </c>
      <c r="M698" s="224">
        <v>0</v>
      </c>
      <c r="N698" s="224">
        <v>0</v>
      </c>
      <c r="O698" s="224">
        <f>IF(L698&gt;0,N698*100/L698,0)</f>
        <v>0</v>
      </c>
      <c r="P698" s="224">
        <f>IF(M698&gt;0,N698*100/M698,0)</f>
        <v>0</v>
      </c>
      <c r="Q698" s="224">
        <v>0</v>
      </c>
      <c r="R698" s="224">
        <v>0</v>
      </c>
      <c r="S698" s="224">
        <v>0</v>
      </c>
      <c r="T698" s="224">
        <f>IF(Q698&gt;0,S698*100/Q698,0)</f>
        <v>0</v>
      </c>
      <c r="U698" s="224">
        <f>IF(R698&gt;0,S698*100/R698,0)</f>
        <v>0</v>
      </c>
    </row>
    <row r="699" spans="1:21" ht="19.5" x14ac:dyDescent="0.3">
      <c r="A699" s="138"/>
      <c r="B699" s="139"/>
      <c r="C699" s="177" t="s">
        <v>18</v>
      </c>
      <c r="D699" s="1391" t="s">
        <v>38</v>
      </c>
      <c r="E699" s="141"/>
      <c r="F699" s="141"/>
      <c r="G699" s="141"/>
      <c r="H699" s="178"/>
      <c r="I699" s="135"/>
      <c r="J699" s="135"/>
      <c r="K699" s="136"/>
      <c r="L699" s="1359"/>
      <c r="M699" s="45"/>
      <c r="N699" s="45"/>
      <c r="O699" s="45"/>
      <c r="P699" s="45"/>
      <c r="Q699" s="45"/>
      <c r="R699" s="45"/>
      <c r="S699" s="45"/>
      <c r="T699" s="45"/>
      <c r="U699" s="45"/>
    </row>
    <row r="700" spans="1:21" ht="18.75" x14ac:dyDescent="0.25">
      <c r="A700" s="208"/>
      <c r="B700" s="158"/>
      <c r="C700" s="158"/>
      <c r="D700" s="145"/>
      <c r="E700" s="144" t="s">
        <v>256</v>
      </c>
      <c r="F700" s="145"/>
      <c r="G700" s="143"/>
      <c r="H700" s="137" t="s">
        <v>257</v>
      </c>
      <c r="I700" s="184">
        <f ca="1">IFERROR(__xludf.DUMMYFUNCTION("IMPORTRANGE(""https://docs.google.com/spreadsheets/d/1eHaY18a8A9IcSdp1K8H6x8fbOy06t2VsZHhMHf-1x7Y/edit?usp=sharing"",""แผน!LC30"")"),0)</f>
        <v>0</v>
      </c>
      <c r="J700" s="1395">
        <v>0</v>
      </c>
      <c r="K700" s="1396">
        <f ca="1">IF(I700&gt;0,J700*100/I700,0)</f>
        <v>0</v>
      </c>
      <c r="L700" s="1392"/>
      <c r="M700" s="136"/>
      <c r="N700" s="45"/>
      <c r="O700" s="136"/>
      <c r="P700" s="136"/>
      <c r="Q700" s="136"/>
      <c r="R700" s="136"/>
      <c r="S700" s="45"/>
      <c r="T700" s="136"/>
      <c r="U700" s="136"/>
    </row>
    <row r="701" spans="1:21" ht="19.5" x14ac:dyDescent="0.3">
      <c r="A701" s="208"/>
      <c r="B701" s="158"/>
      <c r="C701" s="158"/>
      <c r="D701" s="145"/>
      <c r="E701" s="417" t="s">
        <v>258</v>
      </c>
      <c r="F701" s="145"/>
      <c r="G701" s="143"/>
      <c r="H701" s="131" t="s">
        <v>35</v>
      </c>
      <c r="I701" s="328">
        <f ca="1">I703+I705</f>
        <v>59</v>
      </c>
      <c r="J701" s="328">
        <f ca="1">J703+J705</f>
        <v>30</v>
      </c>
      <c r="K701" s="1390">
        <f ca="1">IF(I701&gt;0,J701*100/I701,0)</f>
        <v>50.847457627118644</v>
      </c>
      <c r="L701" s="1392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08"/>
      <c r="B702" s="158"/>
      <c r="C702" s="158"/>
      <c r="D702" s="145"/>
      <c r="E702" s="145"/>
      <c r="F702" s="145"/>
      <c r="G702" s="143"/>
      <c r="H702" s="131" t="s">
        <v>46</v>
      </c>
      <c r="I702" s="328">
        <v>0</v>
      </c>
      <c r="J702" s="328">
        <f ca="1">J704+J706</f>
        <v>28.87</v>
      </c>
      <c r="K702" s="1390">
        <f>IF(I702&gt;0,J702*100/I702,0)</f>
        <v>0</v>
      </c>
      <c r="L702" s="1392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08"/>
      <c r="B703" s="158"/>
      <c r="C703" s="158"/>
      <c r="D703" s="145"/>
      <c r="E703" s="145"/>
      <c r="F703" s="144" t="s">
        <v>259</v>
      </c>
      <c r="G703" s="143"/>
      <c r="H703" s="137" t="s">
        <v>35</v>
      </c>
      <c r="I703" s="184">
        <f ca="1">IFERROR(__xludf.DUMMYFUNCTION("IMPORTRANGE(""https://docs.google.com/spreadsheets/d/1eHaY18a8A9IcSdp1K8H6x8fbOy06t2VsZHhMHf-1x7Y/edit?usp=sharing"",""แผน!LJ30"")"),55)</f>
        <v>55</v>
      </c>
      <c r="J703" s="184">
        <f ca="1">IFERROR(__xludf.DUMMYFUNCTION("IMPORTRANGE(""https://docs.google.com/spreadsheets/d/1tdoBKaGub7dwA3U6UFTqxio9LNnvDCQjHKmttSEBsFQ/edit?usp=sharing"",""จัดที่ดิน!AP30"")"),30)</f>
        <v>30</v>
      </c>
      <c r="K703" s="224">
        <f ca="1">IF(I703&gt;0,J703*100/I703,0)</f>
        <v>54.545454545454547</v>
      </c>
      <c r="L703" s="1392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8"/>
      <c r="B704" s="158"/>
      <c r="C704" s="158"/>
      <c r="D704" s="145"/>
      <c r="E704" s="145"/>
      <c r="F704" s="145"/>
      <c r="G704" s="143"/>
      <c r="H704" s="137" t="s">
        <v>46</v>
      </c>
      <c r="I704" s="184">
        <v>0</v>
      </c>
      <c r="J704" s="184">
        <f ca="1">IFERROR(__xludf.DUMMYFUNCTION("IMPORTRANGE(""https://docs.google.com/spreadsheets/d/1tdoBKaGub7dwA3U6UFTqxio9LNnvDCQjHKmttSEBsFQ/edit?usp=sharing"",""จัดที่ดิน!AQ30"")"),28.87)</f>
        <v>28.87</v>
      </c>
      <c r="K704" s="224">
        <f>IF(I704&gt;0,J704*100/I704,0)</f>
        <v>0</v>
      </c>
      <c r="L704" s="1392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8"/>
      <c r="B705" s="158"/>
      <c r="C705" s="158"/>
      <c r="D705" s="145"/>
      <c r="E705" s="145"/>
      <c r="F705" s="144" t="s">
        <v>260</v>
      </c>
      <c r="G705" s="143"/>
      <c r="H705" s="137" t="s">
        <v>35</v>
      </c>
      <c r="I705" s="184">
        <f ca="1">IFERROR(__xludf.DUMMYFUNCTION("IMPORTRANGE(""https://docs.google.com/spreadsheets/d/1eHaY18a8A9IcSdp1K8H6x8fbOy06t2VsZHhMHf-1x7Y/edit?usp=sharing"",""แผน!LK30"")"),4)</f>
        <v>4</v>
      </c>
      <c r="J705" s="184">
        <f ca="1">IFERROR(__xludf.DUMMYFUNCTION("IMPORTRANGE(""https://docs.google.com/spreadsheets/d/1tdoBKaGub7dwA3U6UFTqxio9LNnvDCQjHKmttSEBsFQ/edit?usp=sharing"",""จัดที่ดิน!AR30"")"),0)</f>
        <v>0</v>
      </c>
      <c r="K705" s="1396">
        <f ca="1">IF(I705&gt;0,J705*100/I705,0)</f>
        <v>0</v>
      </c>
      <c r="L705" s="1392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8"/>
      <c r="B706" s="158"/>
      <c r="C706" s="158"/>
      <c r="D706" s="145"/>
      <c r="E706" s="145"/>
      <c r="F706" s="145"/>
      <c r="G706" s="143"/>
      <c r="H706" s="137" t="s">
        <v>46</v>
      </c>
      <c r="I706" s="184">
        <v>0</v>
      </c>
      <c r="J706" s="184">
        <f ca="1">IFERROR(__xludf.DUMMYFUNCTION("IMPORTRANGE(""https://docs.google.com/spreadsheets/d/1tdoBKaGub7dwA3U6UFTqxio9LNnvDCQjHKmttSEBsFQ/edit?usp=sharing"",""จัดที่ดิน!AS30"")"),0)</f>
        <v>0</v>
      </c>
      <c r="K706" s="224">
        <f>IF(I706&gt;0,J706*100/I706,0)</f>
        <v>0</v>
      </c>
      <c r="L706" s="1392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8"/>
      <c r="B707" s="158"/>
      <c r="C707" s="158"/>
      <c r="D707" s="145"/>
      <c r="E707" s="144" t="s">
        <v>261</v>
      </c>
      <c r="F707" s="145"/>
      <c r="G707" s="143"/>
      <c r="H707" s="134" t="s">
        <v>35</v>
      </c>
      <c r="I707" s="184">
        <f ca="1">IFERROR(__xludf.DUMMYFUNCTION("IMPORTRANGE(""https://docs.google.com/spreadsheets/d/1eHaY18a8A9IcSdp1K8H6x8fbOy06t2VsZHhMHf-1x7Y/edit?usp=sharing"",""แผน!LJ30"")"),55)</f>
        <v>55</v>
      </c>
      <c r="J707" s="184">
        <f ca="1">IFERROR(__xludf.DUMMYFUNCTION("IMPORTRANGE(""https://docs.google.com/spreadsheets/d/1tdoBKaGub7dwA3U6UFTqxio9LNnvDCQjHKmttSEBsFQ/edit?usp=sharing"",""จัดที่ดิน!BN30"")"),28)</f>
        <v>28</v>
      </c>
      <c r="K707" s="224">
        <f ca="1">IF(I707&gt;0,J707*100/I707,0)</f>
        <v>50.909090909090907</v>
      </c>
      <c r="L707" s="1392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8"/>
      <c r="B708" s="158"/>
      <c r="C708" s="158"/>
      <c r="D708" s="145"/>
      <c r="E708" s="418" t="s">
        <v>262</v>
      </c>
      <c r="F708" s="145"/>
      <c r="G708" s="143"/>
      <c r="H708" s="134" t="s">
        <v>46</v>
      </c>
      <c r="I708" s="184">
        <v>0</v>
      </c>
      <c r="J708" s="184">
        <f ca="1">IFERROR(__xludf.DUMMYFUNCTION("IMPORTRANGE(""https://docs.google.com/spreadsheets/d/1tdoBKaGub7dwA3U6UFTqxio9LNnvDCQjHKmttSEBsFQ/edit?usp=sharing"",""จัดที่ดิน!BO30"")"),22)</f>
        <v>22</v>
      </c>
      <c r="K708" s="224">
        <f>IF(I708&gt;0,J708*100/I708,0)</f>
        <v>0</v>
      </c>
      <c r="L708" s="1392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8"/>
      <c r="B709" s="158"/>
      <c r="C709" s="158"/>
      <c r="D709" s="40"/>
      <c r="E709" s="47" t="s">
        <v>263</v>
      </c>
      <c r="F709" s="40"/>
      <c r="G709" s="42"/>
      <c r="H709" s="175" t="s">
        <v>35</v>
      </c>
      <c r="I709" s="184">
        <f ca="1">IFERROR(__xludf.DUMMYFUNCTION("IMPORTRANGE(""https://docs.google.com/spreadsheets/d/1eHaY18a8A9IcSdp1K8H6x8fbOy06t2VsZHhMHf-1x7Y/edit?usp=sharing"",""แผน!LK30"")"),4)</f>
        <v>4</v>
      </c>
      <c r="J709" s="184">
        <f ca="1">IFERROR(__xludf.DUMMYFUNCTION("IMPORTRANGE(""https://docs.google.com/spreadsheets/d/1tdoBKaGub7dwA3U6UFTqxio9LNnvDCQjHKmttSEBsFQ/edit?usp=sharing"",""จัดที่ดิน!BP30"")"),3)</f>
        <v>3</v>
      </c>
      <c r="K709" s="224">
        <f ca="1">IF(I709&gt;0,J709*100/I709,0)</f>
        <v>75</v>
      </c>
      <c r="L709" s="1359"/>
      <c r="M709" s="45"/>
      <c r="N709" s="45"/>
      <c r="O709" s="45"/>
      <c r="P709" s="45"/>
      <c r="Q709" s="45"/>
      <c r="R709" s="45"/>
      <c r="S709" s="45"/>
      <c r="T709" s="45"/>
      <c r="U709" s="45"/>
    </row>
    <row r="710" spans="1:21" ht="18.75" x14ac:dyDescent="0.25">
      <c r="A710" s="208"/>
      <c r="B710" s="158"/>
      <c r="C710" s="158"/>
      <c r="D710" s="40"/>
      <c r="E710" s="418" t="s">
        <v>264</v>
      </c>
      <c r="F710" s="40"/>
      <c r="G710" s="42"/>
      <c r="H710" s="175" t="s">
        <v>46</v>
      </c>
      <c r="I710" s="184">
        <v>0</v>
      </c>
      <c r="J710" s="184">
        <f ca="1">IFERROR(__xludf.DUMMYFUNCTION("IMPORTRANGE(""https://docs.google.com/spreadsheets/d/1tdoBKaGub7dwA3U6UFTqxio9LNnvDCQjHKmttSEBsFQ/edit?usp=sharing"",""จัดที่ดิน!BQ30"")"),0)</f>
        <v>0</v>
      </c>
      <c r="K710" s="224">
        <f>IF(I710&gt;0,J710*100/I710,0)</f>
        <v>0</v>
      </c>
      <c r="L710" s="1359"/>
      <c r="M710" s="45"/>
      <c r="N710" s="45"/>
      <c r="O710" s="45"/>
      <c r="P710" s="45"/>
      <c r="Q710" s="45"/>
      <c r="R710" s="45"/>
      <c r="S710" s="45"/>
      <c r="T710" s="45"/>
      <c r="U710" s="45"/>
    </row>
    <row r="711" spans="1:21" ht="12.75" x14ac:dyDescent="0.2">
      <c r="A711" s="360"/>
      <c r="B711" s="316"/>
      <c r="C711" s="316"/>
      <c r="D711" s="361"/>
      <c r="E711" s="361"/>
      <c r="F711" s="361"/>
      <c r="G711" s="362"/>
      <c r="H711" s="317"/>
      <c r="I711" s="318"/>
      <c r="J711" s="318"/>
      <c r="K711" s="319"/>
      <c r="L711" s="1537"/>
      <c r="M711" s="319"/>
      <c r="N711" s="319"/>
      <c r="O711" s="319"/>
      <c r="P711" s="319"/>
      <c r="Q711" s="319"/>
      <c r="R711" s="319"/>
      <c r="S711" s="319"/>
      <c r="T711" s="319"/>
      <c r="U711" s="319"/>
    </row>
    <row r="712" spans="1:21" ht="19.5" x14ac:dyDescent="0.3">
      <c r="A712" s="387"/>
      <c r="B712" s="419" t="s">
        <v>265</v>
      </c>
      <c r="C712" s="387"/>
      <c r="D712" s="389"/>
      <c r="E712" s="389"/>
      <c r="F712" s="389"/>
      <c r="G712" s="390"/>
      <c r="H712" s="420" t="s">
        <v>46</v>
      </c>
      <c r="I712" s="392"/>
      <c r="J712" s="392">
        <f>J724</f>
        <v>0</v>
      </c>
      <c r="K712" s="1594">
        <f>IF(I712&gt;0,J712*100/I712,0)</f>
        <v>0</v>
      </c>
      <c r="L712" s="1581"/>
      <c r="M712" s="393"/>
      <c r="N712" s="393"/>
      <c r="O712" s="393"/>
      <c r="P712" s="393"/>
      <c r="Q712" s="393"/>
      <c r="R712" s="393"/>
      <c r="S712" s="393"/>
      <c r="T712" s="393"/>
      <c r="U712" s="393"/>
    </row>
    <row r="713" spans="1:21" ht="19.5" x14ac:dyDescent="0.3">
      <c r="A713" s="387"/>
      <c r="B713" s="419" t="s">
        <v>266</v>
      </c>
      <c r="C713" s="387"/>
      <c r="D713" s="389"/>
      <c r="E713" s="389"/>
      <c r="F713" s="389"/>
      <c r="G713" s="390"/>
      <c r="H713" s="391"/>
      <c r="I713" s="392"/>
      <c r="J713" s="392"/>
      <c r="K713" s="393"/>
      <c r="L713" s="1581"/>
      <c r="M713" s="393"/>
      <c r="N713" s="393"/>
      <c r="O713" s="393"/>
      <c r="P713" s="393"/>
      <c r="Q713" s="393"/>
      <c r="R713" s="393"/>
      <c r="S713" s="393"/>
      <c r="T713" s="393"/>
      <c r="U713" s="393"/>
    </row>
    <row r="714" spans="1:21" ht="19.5" x14ac:dyDescent="0.3">
      <c r="A714" s="128"/>
      <c r="B714" s="158"/>
      <c r="C714" s="314" t="s">
        <v>18</v>
      </c>
      <c r="D714" s="1569" t="s">
        <v>19</v>
      </c>
      <c r="E714" s="1285"/>
      <c r="F714" s="1285"/>
      <c r="G714" s="1286"/>
      <c r="H714" s="375" t="s">
        <v>14</v>
      </c>
      <c r="I714" s="44"/>
      <c r="J714" s="44"/>
      <c r="K714" s="45"/>
      <c r="L714" s="1389">
        <f>L715+L716</f>
        <v>0</v>
      </c>
      <c r="M714" s="1390">
        <f>M715+M716</f>
        <v>0</v>
      </c>
      <c r="N714" s="1390">
        <f>N715+N716</f>
        <v>0</v>
      </c>
      <c r="O714" s="1390">
        <f>IF(L714&gt;0,N714*100/L714,0)</f>
        <v>0</v>
      </c>
      <c r="P714" s="1390">
        <f>IF(M714&gt;0,N714*100/M714,0)</f>
        <v>0</v>
      </c>
      <c r="Q714" s="1390">
        <f>Q715+Q716</f>
        <v>0</v>
      </c>
      <c r="R714" s="1390">
        <f>R715+R716</f>
        <v>0</v>
      </c>
      <c r="S714" s="1390">
        <f>S715+S716</f>
        <v>0</v>
      </c>
      <c r="T714" s="1390">
        <f>IF(Q714&gt;0,S714*100/Q714,0)</f>
        <v>0</v>
      </c>
      <c r="U714" s="1390">
        <f>IF(R714&gt;0,S714*100/R714,0)</f>
        <v>0</v>
      </c>
    </row>
    <row r="715" spans="1:21" ht="18.75" x14ac:dyDescent="0.25">
      <c r="A715" s="128"/>
      <c r="B715" s="158"/>
      <c r="C715" s="158"/>
      <c r="D715" s="145"/>
      <c r="E715" s="156" t="s">
        <v>158</v>
      </c>
      <c r="F715" s="40"/>
      <c r="G715" s="42"/>
      <c r="H715" s="159" t="s">
        <v>14</v>
      </c>
      <c r="I715" s="44"/>
      <c r="J715" s="44"/>
      <c r="K715" s="45"/>
      <c r="L715" s="1358">
        <f>L718+L721</f>
        <v>0</v>
      </c>
      <c r="M715" s="83">
        <f>M718+M721</f>
        <v>0</v>
      </c>
      <c r="N715" s="83">
        <f>N718+N721</f>
        <v>0</v>
      </c>
      <c r="O715" s="83">
        <f>IF(L715&gt;0,N715*100/L715,0)</f>
        <v>0</v>
      </c>
      <c r="P715" s="83">
        <f>IF(M715&gt;0,N715*100/M715,0)</f>
        <v>0</v>
      </c>
      <c r="Q715" s="83">
        <f>Q718+Q721</f>
        <v>0</v>
      </c>
      <c r="R715" s="83">
        <f>R718+R721</f>
        <v>0</v>
      </c>
      <c r="S715" s="83">
        <f>S718+S721</f>
        <v>0</v>
      </c>
      <c r="T715" s="83">
        <f>IF(Q715&gt;0,S715*100/Q715,0)</f>
        <v>0</v>
      </c>
      <c r="U715" s="83">
        <f>IF(R715&gt;0,S715*100/R715,0)</f>
        <v>0</v>
      </c>
    </row>
    <row r="716" spans="1:21" ht="18.75" x14ac:dyDescent="0.25">
      <c r="A716" s="128"/>
      <c r="B716" s="158"/>
      <c r="C716" s="158"/>
      <c r="D716" s="145"/>
      <c r="E716" s="156" t="s">
        <v>159</v>
      </c>
      <c r="F716" s="40"/>
      <c r="G716" s="42"/>
      <c r="H716" s="159" t="s">
        <v>14</v>
      </c>
      <c r="I716" s="44"/>
      <c r="J716" s="44"/>
      <c r="K716" s="45"/>
      <c r="L716" s="1356">
        <f>L719+L722</f>
        <v>0</v>
      </c>
      <c r="M716" s="224">
        <f>M719+M722</f>
        <v>0</v>
      </c>
      <c r="N716" s="224">
        <f>N719+N722</f>
        <v>0</v>
      </c>
      <c r="O716" s="224">
        <f>IF(L716&gt;0,N716*100/L716,0)</f>
        <v>0</v>
      </c>
      <c r="P716" s="224">
        <f>IF(M716&gt;0,N716*100/M716,0)</f>
        <v>0</v>
      </c>
      <c r="Q716" s="224">
        <f>Q719+Q722</f>
        <v>0</v>
      </c>
      <c r="R716" s="224">
        <f>R719+R722</f>
        <v>0</v>
      </c>
      <c r="S716" s="224">
        <f>S719+S722</f>
        <v>0</v>
      </c>
      <c r="T716" s="224">
        <f>IF(Q716&gt;0,S716*100/Q716,0)</f>
        <v>0</v>
      </c>
      <c r="U716" s="224">
        <f>IF(R716&gt;0,S716*100/R716,0)</f>
        <v>0</v>
      </c>
    </row>
    <row r="717" spans="1:21" ht="19.5" x14ac:dyDescent="0.3">
      <c r="A717" s="128"/>
      <c r="B717" s="158"/>
      <c r="C717" s="158"/>
      <c r="D717" s="1434" t="s">
        <v>22</v>
      </c>
      <c r="E717" s="40"/>
      <c r="F717" s="40"/>
      <c r="G717" s="42"/>
      <c r="H717" s="375" t="s">
        <v>14</v>
      </c>
      <c r="I717" s="135"/>
      <c r="J717" s="135"/>
      <c r="K717" s="136"/>
      <c r="L717" s="1356">
        <f>L718+L719</f>
        <v>0</v>
      </c>
      <c r="M717" s="224">
        <f>M718+M719</f>
        <v>0</v>
      </c>
      <c r="N717" s="224">
        <f>N718+N719</f>
        <v>0</v>
      </c>
      <c r="O717" s="224">
        <f>IF(L717&gt;0,N717*100/L717,0)</f>
        <v>0</v>
      </c>
      <c r="P717" s="224">
        <f>IF(M717&gt;0,N717*100/M717,0)</f>
        <v>0</v>
      </c>
      <c r="Q717" s="224">
        <f>Q718+Q719</f>
        <v>0</v>
      </c>
      <c r="R717" s="224">
        <f>R718+R719</f>
        <v>0</v>
      </c>
      <c r="S717" s="224">
        <f>S718+S719</f>
        <v>0</v>
      </c>
      <c r="T717" s="224">
        <f>IF(Q717&gt;0,S717*100/Q717,0)</f>
        <v>0</v>
      </c>
      <c r="U717" s="224">
        <f>IF(R717&gt;0,S717*100/R717,0)</f>
        <v>0</v>
      </c>
    </row>
    <row r="718" spans="1:21" ht="18.75" x14ac:dyDescent="0.25">
      <c r="A718" s="128"/>
      <c r="B718" s="158"/>
      <c r="C718" s="158"/>
      <c r="D718" s="145"/>
      <c r="E718" s="156" t="s">
        <v>158</v>
      </c>
      <c r="F718" s="40"/>
      <c r="G718" s="42"/>
      <c r="H718" s="159" t="s">
        <v>14</v>
      </c>
      <c r="I718" s="44"/>
      <c r="J718" s="44"/>
      <c r="K718" s="45"/>
      <c r="L718" s="1358">
        <v>0</v>
      </c>
      <c r="M718" s="83">
        <v>0</v>
      </c>
      <c r="N718" s="83">
        <v>0</v>
      </c>
      <c r="O718" s="83">
        <f>IF(L718&gt;0,N718*100/L718,0)</f>
        <v>0</v>
      </c>
      <c r="P718" s="83">
        <f>IF(M718&gt;0,N718*100/M718,0)</f>
        <v>0</v>
      </c>
      <c r="Q718" s="83">
        <v>0</v>
      </c>
      <c r="R718" s="83">
        <v>0</v>
      </c>
      <c r="S718" s="83">
        <v>0</v>
      </c>
      <c r="T718" s="83">
        <f>IF(Q718&gt;0,S718*100/Q718,0)</f>
        <v>0</v>
      </c>
      <c r="U718" s="83">
        <f>IF(R718&gt;0,S718*100/R718,0)</f>
        <v>0</v>
      </c>
    </row>
    <row r="719" spans="1:21" ht="18.75" x14ac:dyDescent="0.25">
      <c r="A719" s="128"/>
      <c r="B719" s="158"/>
      <c r="C719" s="158"/>
      <c r="D719" s="145"/>
      <c r="E719" s="156" t="s">
        <v>159</v>
      </c>
      <c r="F719" s="40"/>
      <c r="G719" s="42"/>
      <c r="H719" s="159" t="s">
        <v>14</v>
      </c>
      <c r="I719" s="44"/>
      <c r="J719" s="44"/>
      <c r="K719" s="45"/>
      <c r="L719" s="1356">
        <v>0</v>
      </c>
      <c r="M719" s="224">
        <v>0</v>
      </c>
      <c r="N719" s="224">
        <v>0</v>
      </c>
      <c r="O719" s="224">
        <f>IF(L719&gt;0,N719*100/L719,0)</f>
        <v>0</v>
      </c>
      <c r="P719" s="224">
        <f>IF(M719&gt;0,N719*100/M719,0)</f>
        <v>0</v>
      </c>
      <c r="Q719" s="224">
        <v>0</v>
      </c>
      <c r="R719" s="224">
        <v>0</v>
      </c>
      <c r="S719" s="224">
        <v>0</v>
      </c>
      <c r="T719" s="224">
        <f>IF(Q719&gt;0,S719*100/Q719,0)</f>
        <v>0</v>
      </c>
      <c r="U719" s="224">
        <f>IF(R719&gt;0,S719*100/R719,0)</f>
        <v>0</v>
      </c>
    </row>
    <row r="720" spans="1:21" ht="19.5" x14ac:dyDescent="0.3">
      <c r="A720" s="128"/>
      <c r="B720" s="158"/>
      <c r="C720" s="158"/>
      <c r="D720" s="1434" t="s">
        <v>23</v>
      </c>
      <c r="E720" s="40"/>
      <c r="F720" s="40"/>
      <c r="G720" s="42"/>
      <c r="H720" s="377" t="s">
        <v>14</v>
      </c>
      <c r="I720" s="135"/>
      <c r="J720" s="135"/>
      <c r="K720" s="136"/>
      <c r="L720" s="1356">
        <f>L721+L722</f>
        <v>0</v>
      </c>
      <c r="M720" s="224">
        <f>M721+M722</f>
        <v>0</v>
      </c>
      <c r="N720" s="224">
        <f>N721+N722</f>
        <v>0</v>
      </c>
      <c r="O720" s="224">
        <f>IF(L720&gt;0,N720*100/L720,0)</f>
        <v>0</v>
      </c>
      <c r="P720" s="224">
        <f>IF(M720&gt;0,N720*100/M720,0)</f>
        <v>0</v>
      </c>
      <c r="Q720" s="224">
        <f>Q721+Q722</f>
        <v>0</v>
      </c>
      <c r="R720" s="224">
        <f>R721+R722</f>
        <v>0</v>
      </c>
      <c r="S720" s="224">
        <f>S721+S722</f>
        <v>0</v>
      </c>
      <c r="T720" s="224">
        <f>IF(Q720&gt;0,S720*100/Q720,0)</f>
        <v>0</v>
      </c>
      <c r="U720" s="224">
        <f>IF(R720&gt;0,S720*100/R720,0)</f>
        <v>0</v>
      </c>
    </row>
    <row r="721" spans="1:21" ht="18.75" x14ac:dyDescent="0.25">
      <c r="A721" s="128"/>
      <c r="B721" s="158"/>
      <c r="C721" s="158"/>
      <c r="D721" s="40"/>
      <c r="E721" s="156" t="s">
        <v>20</v>
      </c>
      <c r="F721" s="40"/>
      <c r="G721" s="42"/>
      <c r="H721" s="159" t="s">
        <v>14</v>
      </c>
      <c r="I721" s="135"/>
      <c r="J721" s="135"/>
      <c r="K721" s="136"/>
      <c r="L721" s="1358">
        <v>0</v>
      </c>
      <c r="M721" s="83">
        <v>0</v>
      </c>
      <c r="N721" s="83">
        <v>0</v>
      </c>
      <c r="O721" s="83">
        <f>IF(L721&gt;0,N721*100/L721,0)</f>
        <v>0</v>
      </c>
      <c r="P721" s="83">
        <f>IF(M721&gt;0,N721*100/M721,0)</f>
        <v>0</v>
      </c>
      <c r="Q721" s="83">
        <v>0</v>
      </c>
      <c r="R721" s="83">
        <v>0</v>
      </c>
      <c r="S721" s="83">
        <v>0</v>
      </c>
      <c r="T721" s="83">
        <f>IF(Q721&gt;0,S721*100/Q721,0)</f>
        <v>0</v>
      </c>
      <c r="U721" s="83">
        <f>IF(R721&gt;0,S721*100/R721,0)</f>
        <v>0</v>
      </c>
    </row>
    <row r="722" spans="1:21" ht="18.75" x14ac:dyDescent="0.25">
      <c r="A722" s="128"/>
      <c r="B722" s="158"/>
      <c r="C722" s="158"/>
      <c r="D722" s="40"/>
      <c r="E722" s="156" t="s">
        <v>21</v>
      </c>
      <c r="F722" s="40"/>
      <c r="G722" s="42"/>
      <c r="H722" s="378" t="s">
        <v>14</v>
      </c>
      <c r="I722" s="135"/>
      <c r="J722" s="135"/>
      <c r="K722" s="136"/>
      <c r="L722" s="1356">
        <v>0</v>
      </c>
      <c r="M722" s="224">
        <v>0</v>
      </c>
      <c r="N722" s="224">
        <v>0</v>
      </c>
      <c r="O722" s="224">
        <f>IF(L722&gt;0,N722*100/L722,0)</f>
        <v>0</v>
      </c>
      <c r="P722" s="224">
        <f>IF(M722&gt;0,N722*100/M722,0)</f>
        <v>0</v>
      </c>
      <c r="Q722" s="224">
        <v>0</v>
      </c>
      <c r="R722" s="224">
        <v>0</v>
      </c>
      <c r="S722" s="224">
        <v>0</v>
      </c>
      <c r="T722" s="224">
        <f>IF(Q722&gt;0,S722*100/Q722,0)</f>
        <v>0</v>
      </c>
      <c r="U722" s="224">
        <f>IF(R722&gt;0,S722*100/R722,0)</f>
        <v>0</v>
      </c>
    </row>
    <row r="723" spans="1:21" ht="19.5" x14ac:dyDescent="0.3">
      <c r="A723" s="138"/>
      <c r="B723" s="139"/>
      <c r="C723" s="314" t="s">
        <v>18</v>
      </c>
      <c r="D723" s="1595" t="s">
        <v>38</v>
      </c>
      <c r="E723" s="141"/>
      <c r="F723" s="141"/>
      <c r="G723" s="142"/>
      <c r="H723" s="178"/>
      <c r="I723" s="135"/>
      <c r="J723" s="135"/>
      <c r="K723" s="136"/>
      <c r="L723" s="1392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08"/>
      <c r="B724" s="158"/>
      <c r="C724" s="158"/>
      <c r="D724" s="40"/>
      <c r="E724" s="156" t="s">
        <v>267</v>
      </c>
      <c r="F724" s="40"/>
      <c r="G724" s="42"/>
      <c r="H724" s="159" t="s">
        <v>46</v>
      </c>
      <c r="I724" s="423">
        <v>0</v>
      </c>
      <c r="J724" s="44"/>
      <c r="K724" s="45"/>
      <c r="L724" s="1359"/>
      <c r="M724" s="45"/>
      <c r="N724" s="45"/>
      <c r="O724" s="45"/>
      <c r="P724" s="45"/>
      <c r="Q724" s="45"/>
      <c r="R724" s="45"/>
      <c r="S724" s="45"/>
      <c r="T724" s="45"/>
      <c r="U724" s="45"/>
    </row>
    <row r="725" spans="1:21" ht="18.75" x14ac:dyDescent="0.25">
      <c r="A725" s="329"/>
      <c r="B725" s="2"/>
      <c r="C725" s="2"/>
      <c r="D725" s="1"/>
      <c r="E725" s="424" t="s">
        <v>268</v>
      </c>
      <c r="F725" s="1"/>
      <c r="G725" s="52"/>
      <c r="H725" s="425" t="s">
        <v>46</v>
      </c>
      <c r="I725" s="426">
        <v>0</v>
      </c>
      <c r="J725" s="54"/>
      <c r="K725" s="3"/>
      <c r="L725" s="1360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9.5" x14ac:dyDescent="0.3">
      <c r="A726" s="387"/>
      <c r="B726" s="388" t="s">
        <v>269</v>
      </c>
      <c r="C726" s="387"/>
      <c r="D726" s="389"/>
      <c r="E726" s="389"/>
      <c r="F726" s="389"/>
      <c r="G726" s="390"/>
      <c r="H726" s="427" t="s">
        <v>35</v>
      </c>
      <c r="I726" s="1596">
        <f ca="1">IFERROR(__xludf.DUMMYFUNCTION("IMPORTRANGE(""https://docs.google.com/spreadsheets/d/1eHaY18a8A9IcSdp1K8H6x8fbOy06t2VsZHhMHf-1x7Y/edit?usp=sharing"",""แผน!GA30"")"),128)</f>
        <v>128</v>
      </c>
      <c r="J726" s="1596">
        <f>J742+J746+J749</f>
        <v>125</v>
      </c>
      <c r="K726" s="1593">
        <f ca="1">IF(I726&gt;0,J726*100/I726,0)</f>
        <v>97.65625</v>
      </c>
      <c r="L726" s="1581"/>
      <c r="M726" s="393"/>
      <c r="N726" s="393"/>
      <c r="O726" s="393"/>
      <c r="P726" s="393"/>
      <c r="Q726" s="393"/>
      <c r="R726" s="393"/>
      <c r="S726" s="393"/>
      <c r="T726" s="393"/>
      <c r="U726" s="393"/>
    </row>
    <row r="727" spans="1:21" ht="19.5" x14ac:dyDescent="0.3">
      <c r="A727" s="429"/>
      <c r="B727" s="387"/>
      <c r="C727" s="387"/>
      <c r="D727" s="389"/>
      <c r="E727" s="389"/>
      <c r="F727" s="389"/>
      <c r="G727" s="390"/>
      <c r="H727" s="427" t="s">
        <v>46</v>
      </c>
      <c r="I727" s="1596">
        <f ca="1">IFERROR(__xludf.DUMMYFUNCTION("IMPORTRANGE(""https://docs.google.com/spreadsheets/d/1eHaY18a8A9IcSdp1K8H6x8fbOy06t2VsZHhMHf-1x7Y/edit?usp=sharing"",""แผน!FZ30"")"),1250)</f>
        <v>1250</v>
      </c>
      <c r="J727" s="1596">
        <f>J752+J755</f>
        <v>0</v>
      </c>
      <c r="K727" s="1593">
        <f ca="1">IF(I727&gt;0,J727*100/I727,0)</f>
        <v>0</v>
      </c>
      <c r="L727" s="1581"/>
      <c r="M727" s="393"/>
      <c r="N727" s="393"/>
      <c r="O727" s="393"/>
      <c r="P727" s="393"/>
      <c r="Q727" s="393"/>
      <c r="R727" s="393"/>
      <c r="S727" s="393"/>
      <c r="T727" s="393"/>
      <c r="U727" s="393"/>
    </row>
    <row r="728" spans="1:21" ht="19.5" x14ac:dyDescent="0.3">
      <c r="A728" s="128"/>
      <c r="B728" s="158"/>
      <c r="C728" s="177" t="s">
        <v>18</v>
      </c>
      <c r="D728" s="1585" t="s">
        <v>19</v>
      </c>
      <c r="E728" s="1285"/>
      <c r="F728" s="1285"/>
      <c r="G728" s="1286"/>
      <c r="H728" s="221" t="s">
        <v>14</v>
      </c>
      <c r="I728" s="44"/>
      <c r="J728" s="44"/>
      <c r="K728" s="45"/>
      <c r="L728" s="1389">
        <f>L729+L730</f>
        <v>0</v>
      </c>
      <c r="M728" s="1390">
        <f>M729+M730</f>
        <v>0</v>
      </c>
      <c r="N728" s="1390">
        <f>N729+N730</f>
        <v>0</v>
      </c>
      <c r="O728" s="1390">
        <f>IF(L728&gt;0,N728*100/L728,0)</f>
        <v>0</v>
      </c>
      <c r="P728" s="1390">
        <f>IF(M728&gt;0,N728*100/M728,0)</f>
        <v>0</v>
      </c>
      <c r="Q728" s="1390">
        <f ca="1">Q729+Q730</f>
        <v>1008470</v>
      </c>
      <c r="R728" s="1390">
        <f ca="1">R729+R730</f>
        <v>1008470</v>
      </c>
      <c r="S728" s="1390">
        <f ca="1">S729+S730</f>
        <v>190440</v>
      </c>
      <c r="T728" s="1390">
        <f ca="1">IF(Q728&gt;0,S728*100/Q728,0)</f>
        <v>18.884052078891788</v>
      </c>
      <c r="U728" s="1390">
        <f ca="1">IF(R728&gt;0,S728*100/R728,0)</f>
        <v>18.884052078891788</v>
      </c>
    </row>
    <row r="729" spans="1:21" ht="18.75" x14ac:dyDescent="0.25">
      <c r="A729" s="128"/>
      <c r="B729" s="158"/>
      <c r="C729" s="158"/>
      <c r="D729" s="145"/>
      <c r="E729" s="156" t="s">
        <v>158</v>
      </c>
      <c r="F729" s="40"/>
      <c r="G729" s="42"/>
      <c r="H729" s="159" t="s">
        <v>14</v>
      </c>
      <c r="I729" s="44"/>
      <c r="J729" s="44"/>
      <c r="K729" s="45"/>
      <c r="L729" s="1358">
        <f>L732+L735</f>
        <v>0</v>
      </c>
      <c r="M729" s="83">
        <f>M732+M735</f>
        <v>0</v>
      </c>
      <c r="N729" s="83">
        <f>N732+N735</f>
        <v>0</v>
      </c>
      <c r="O729" s="83">
        <f>IF(L729&gt;0,N729*100/L729,0)</f>
        <v>0</v>
      </c>
      <c r="P729" s="83">
        <f>IF(M729&gt;0,N729*100/M729,0)</f>
        <v>0</v>
      </c>
      <c r="Q729" s="83">
        <f>Q732+Q735</f>
        <v>0</v>
      </c>
      <c r="R729" s="83">
        <f>R732+R735</f>
        <v>0</v>
      </c>
      <c r="S729" s="83">
        <f>S732+S735</f>
        <v>0</v>
      </c>
      <c r="T729" s="83">
        <f>IF(Q729&gt;0,S729*100/Q729,0)</f>
        <v>0</v>
      </c>
      <c r="U729" s="83">
        <f>IF(R729&gt;0,S729*100/R729,0)</f>
        <v>0</v>
      </c>
    </row>
    <row r="730" spans="1:21" ht="18.75" x14ac:dyDescent="0.25">
      <c r="A730" s="128"/>
      <c r="B730" s="158"/>
      <c r="C730" s="158"/>
      <c r="D730" s="145"/>
      <c r="E730" s="47" t="s">
        <v>159</v>
      </c>
      <c r="F730" s="40"/>
      <c r="G730" s="42"/>
      <c r="H730" s="134" t="s">
        <v>14</v>
      </c>
      <c r="I730" s="44"/>
      <c r="J730" s="44"/>
      <c r="K730" s="45"/>
      <c r="L730" s="1356">
        <f>L733+L736</f>
        <v>0</v>
      </c>
      <c r="M730" s="224">
        <f>M733+M736</f>
        <v>0</v>
      </c>
      <c r="N730" s="224">
        <f>N733+N736</f>
        <v>0</v>
      </c>
      <c r="O730" s="224">
        <f>IF(L730&gt;0,N730*100/L730,0)</f>
        <v>0</v>
      </c>
      <c r="P730" s="224">
        <f>IF(M730&gt;0,N730*100/M730,0)</f>
        <v>0</v>
      </c>
      <c r="Q730" s="224">
        <f ca="1">Q733+Q736</f>
        <v>1008470</v>
      </c>
      <c r="R730" s="224">
        <f ca="1">R733+R736</f>
        <v>1008470</v>
      </c>
      <c r="S730" s="224">
        <f ca="1">S733+S736</f>
        <v>190440</v>
      </c>
      <c r="T730" s="224">
        <f ca="1">IF(Q730&gt;0,S730*100/Q730,0)</f>
        <v>18.884052078891788</v>
      </c>
      <c r="U730" s="224">
        <f ca="1">IF(R730&gt;0,S730*100/R730,0)</f>
        <v>18.884052078891788</v>
      </c>
    </row>
    <row r="731" spans="1:21" ht="18.75" x14ac:dyDescent="0.25">
      <c r="A731" s="128"/>
      <c r="B731" s="158"/>
      <c r="C731" s="158"/>
      <c r="D731" s="41" t="s">
        <v>22</v>
      </c>
      <c r="E731" s="40"/>
      <c r="F731" s="40"/>
      <c r="G731" s="42"/>
      <c r="H731" s="134" t="s">
        <v>14</v>
      </c>
      <c r="I731" s="135"/>
      <c r="J731" s="135"/>
      <c r="K731" s="136"/>
      <c r="L731" s="1356">
        <f>L732+L733</f>
        <v>0</v>
      </c>
      <c r="M731" s="224">
        <f>M732+M733</f>
        <v>0</v>
      </c>
      <c r="N731" s="224">
        <f>N732+N733</f>
        <v>0</v>
      </c>
      <c r="O731" s="224">
        <f>IF(L731&gt;0,N731*100/L731,0)</f>
        <v>0</v>
      </c>
      <c r="P731" s="224">
        <f>IF(M731&gt;0,N731*100/M731,0)</f>
        <v>0</v>
      </c>
      <c r="Q731" s="224">
        <f ca="1">Q732+Q733</f>
        <v>1008470</v>
      </c>
      <c r="R731" s="224">
        <f ca="1">R732+R733</f>
        <v>1008470</v>
      </c>
      <c r="S731" s="224">
        <f ca="1">S732+S733</f>
        <v>190440</v>
      </c>
      <c r="T731" s="224">
        <f ca="1">IF(Q731&gt;0,S731*100/Q731,0)</f>
        <v>18.884052078891788</v>
      </c>
      <c r="U731" s="224">
        <f ca="1">IF(R731&gt;0,S731*100/R731,0)</f>
        <v>18.884052078891788</v>
      </c>
    </row>
    <row r="732" spans="1:21" ht="18.75" x14ac:dyDescent="0.25">
      <c r="A732" s="128"/>
      <c r="B732" s="158"/>
      <c r="C732" s="158"/>
      <c r="D732" s="145"/>
      <c r="E732" s="156" t="s">
        <v>158</v>
      </c>
      <c r="F732" s="40"/>
      <c r="G732" s="42"/>
      <c r="H732" s="159" t="s">
        <v>14</v>
      </c>
      <c r="I732" s="44"/>
      <c r="J732" s="44"/>
      <c r="K732" s="45"/>
      <c r="L732" s="1358">
        <v>0</v>
      </c>
      <c r="M732" s="83">
        <v>0</v>
      </c>
      <c r="N732" s="83">
        <v>0</v>
      </c>
      <c r="O732" s="83">
        <f>IF(L732&gt;0,N732*100/L732,0)</f>
        <v>0</v>
      </c>
      <c r="P732" s="83">
        <f>IF(M732&gt;0,N732*100/M732,0)</f>
        <v>0</v>
      </c>
      <c r="Q732" s="83">
        <v>0</v>
      </c>
      <c r="R732" s="83">
        <v>0</v>
      </c>
      <c r="S732" s="83">
        <v>0</v>
      </c>
      <c r="T732" s="83">
        <f>IF(Q732&gt;0,S732*100/Q732,0)</f>
        <v>0</v>
      </c>
      <c r="U732" s="83">
        <f>IF(R732&gt;0,S732*100/R732,0)</f>
        <v>0</v>
      </c>
    </row>
    <row r="733" spans="1:21" ht="18.75" x14ac:dyDescent="0.25">
      <c r="A733" s="128"/>
      <c r="B733" s="158"/>
      <c r="C733" s="158"/>
      <c r="D733" s="145"/>
      <c r="E733" s="47" t="s">
        <v>159</v>
      </c>
      <c r="F733" s="40"/>
      <c r="G733" s="42"/>
      <c r="H733" s="134" t="s">
        <v>14</v>
      </c>
      <c r="I733" s="44"/>
      <c r="J733" s="44"/>
      <c r="K733" s="45"/>
      <c r="L733" s="1356">
        <v>0</v>
      </c>
      <c r="M733" s="224">
        <v>0</v>
      </c>
      <c r="N733" s="224">
        <v>0</v>
      </c>
      <c r="O733" s="224">
        <f>IF(L733&gt;0,N733*100/L733,0)</f>
        <v>0</v>
      </c>
      <c r="P733" s="224">
        <f>IF(M733&gt;0,N733*100/M733,0)</f>
        <v>0</v>
      </c>
      <c r="Q733" s="224">
        <f ca="1">IFERROR(__xludf.DUMMYFUNCTION("IMPORTRANGE(""https://docs.google.com/spreadsheets/d/1ItG2mGa2ceCfYo0BwxsXqNm01IGEUdYcSSLTEv9YCik/edit?usp=sharing"",""เบิกจ่ายกองทุน!O30"")"),1008470)</f>
        <v>1008470</v>
      </c>
      <c r="R733" s="224">
        <f ca="1">IFERROR(__xludf.DUMMYFUNCTION("IMPORTRANGE(""https://docs.google.com/spreadsheets/d/1ItG2mGa2ceCfYo0BwxsXqNm01IGEUdYcSSLTEv9YCik/edit?usp=sharing"",""เบิกจ่ายกองทุน!P30"")"),1008470)</f>
        <v>1008470</v>
      </c>
      <c r="S733" s="224">
        <f ca="1">IFERROR(__xludf.DUMMYFUNCTION("IMPORTRANGE(""https://docs.google.com/spreadsheets/d/1ItG2mGa2ceCfYo0BwxsXqNm01IGEUdYcSSLTEv9YCik/edit?usp=sharing"",""เบิกจ่ายกองทุน!Q30"")"),190440)</f>
        <v>190440</v>
      </c>
      <c r="T733" s="224">
        <f ca="1">IF(Q733&gt;0,S733*100/Q733,0)</f>
        <v>18.884052078891788</v>
      </c>
      <c r="U733" s="224">
        <f ca="1">IF(R733&gt;0,S733*100/R733,0)</f>
        <v>18.884052078891788</v>
      </c>
    </row>
    <row r="734" spans="1:21" ht="18.75" x14ac:dyDescent="0.25">
      <c r="A734" s="128"/>
      <c r="B734" s="158"/>
      <c r="C734" s="158"/>
      <c r="D734" s="41" t="s">
        <v>23</v>
      </c>
      <c r="E734" s="158"/>
      <c r="F734" s="158"/>
      <c r="G734" s="42"/>
      <c r="H734" s="137" t="s">
        <v>14</v>
      </c>
      <c r="I734" s="135"/>
      <c r="J734" s="135"/>
      <c r="K734" s="136"/>
      <c r="L734" s="1356">
        <f>L735+L736</f>
        <v>0</v>
      </c>
      <c r="M734" s="224">
        <f>M735+M736</f>
        <v>0</v>
      </c>
      <c r="N734" s="224">
        <f>N735+N736</f>
        <v>0</v>
      </c>
      <c r="O734" s="224">
        <f>IF(L734&gt;0,N734*100/L734,0)</f>
        <v>0</v>
      </c>
      <c r="P734" s="224">
        <f>IF(M734&gt;0,N734*100/M734,0)</f>
        <v>0</v>
      </c>
      <c r="Q734" s="224">
        <f>Q735+Q736</f>
        <v>0</v>
      </c>
      <c r="R734" s="224">
        <f>R735+R736</f>
        <v>0</v>
      </c>
      <c r="S734" s="224">
        <f>S735+S736</f>
        <v>0</v>
      </c>
      <c r="T734" s="224">
        <f>IF(Q734&gt;0,S734*100/Q734,0)</f>
        <v>0</v>
      </c>
      <c r="U734" s="224">
        <f>IF(R734&gt;0,S734*100/R734,0)</f>
        <v>0</v>
      </c>
    </row>
    <row r="735" spans="1:21" ht="18.75" x14ac:dyDescent="0.25">
      <c r="A735" s="128"/>
      <c r="B735" s="158"/>
      <c r="C735" s="158"/>
      <c r="D735" s="158"/>
      <c r="E735" s="314" t="s">
        <v>20</v>
      </c>
      <c r="F735" s="158"/>
      <c r="G735" s="42"/>
      <c r="H735" s="159" t="s">
        <v>14</v>
      </c>
      <c r="I735" s="135"/>
      <c r="J735" s="135"/>
      <c r="K735" s="136"/>
      <c r="L735" s="1358">
        <v>0</v>
      </c>
      <c r="M735" s="83">
        <v>0</v>
      </c>
      <c r="N735" s="83">
        <v>0</v>
      </c>
      <c r="O735" s="83">
        <f>IF(L735&gt;0,N735*100/L735,0)</f>
        <v>0</v>
      </c>
      <c r="P735" s="83">
        <f>IF(M735&gt;0,N735*100/M735,0)</f>
        <v>0</v>
      </c>
      <c r="Q735" s="83">
        <v>0</v>
      </c>
      <c r="R735" s="83">
        <v>0</v>
      </c>
      <c r="S735" s="83">
        <v>0</v>
      </c>
      <c r="T735" s="83">
        <f>IF(Q735&gt;0,S735*100/Q735,0)</f>
        <v>0</v>
      </c>
      <c r="U735" s="83">
        <f>IF(R735&gt;0,S735*100/R735,0)</f>
        <v>0</v>
      </c>
    </row>
    <row r="736" spans="1:21" ht="18.75" x14ac:dyDescent="0.25">
      <c r="A736" s="128"/>
      <c r="B736" s="158"/>
      <c r="C736" s="158"/>
      <c r="D736" s="158"/>
      <c r="E736" s="209" t="s">
        <v>21</v>
      </c>
      <c r="F736" s="158"/>
      <c r="G736" s="42"/>
      <c r="H736" s="137" t="s">
        <v>14</v>
      </c>
      <c r="I736" s="135"/>
      <c r="J736" s="135"/>
      <c r="K736" s="136"/>
      <c r="L736" s="1356">
        <v>0</v>
      </c>
      <c r="M736" s="224">
        <v>0</v>
      </c>
      <c r="N736" s="224">
        <v>0</v>
      </c>
      <c r="O736" s="224">
        <f>IF(L736&gt;0,N736*100/L736,0)</f>
        <v>0</v>
      </c>
      <c r="P736" s="224">
        <f>IF(M736&gt;0,N736*100/M736,0)</f>
        <v>0</v>
      </c>
      <c r="Q736" s="224">
        <v>0</v>
      </c>
      <c r="R736" s="224">
        <v>0</v>
      </c>
      <c r="S736" s="224">
        <v>0</v>
      </c>
      <c r="T736" s="224">
        <f>IF(Q736&gt;0,S736*100/Q736,0)</f>
        <v>0</v>
      </c>
      <c r="U736" s="224">
        <f>IF(R736&gt;0,S736*100/R736,0)</f>
        <v>0</v>
      </c>
    </row>
    <row r="737" spans="1:21" ht="19.5" x14ac:dyDescent="0.3">
      <c r="A737" s="138"/>
      <c r="B737" s="139"/>
      <c r="C737" s="177" t="s">
        <v>18</v>
      </c>
      <c r="D737" s="1535" t="s">
        <v>38</v>
      </c>
      <c r="E737" s="203"/>
      <c r="F737" s="141"/>
      <c r="G737" s="142"/>
      <c r="H737" s="178"/>
      <c r="I737" s="44"/>
      <c r="J737" s="44"/>
      <c r="K737" s="45"/>
      <c r="L737" s="1359"/>
      <c r="M737" s="45"/>
      <c r="N737" s="45"/>
      <c r="O737" s="45"/>
      <c r="P737" s="45"/>
      <c r="Q737" s="45"/>
      <c r="R737" s="45"/>
      <c r="S737" s="45"/>
      <c r="T737" s="45"/>
      <c r="U737" s="45"/>
    </row>
    <row r="738" spans="1:21" ht="19.5" x14ac:dyDescent="0.3">
      <c r="A738" s="138"/>
      <c r="B738" s="139"/>
      <c r="C738" s="139"/>
      <c r="D738" s="430" t="s">
        <v>121</v>
      </c>
      <c r="E738" s="139"/>
      <c r="F738" s="139"/>
      <c r="G738" s="143"/>
      <c r="H738" s="180"/>
      <c r="I738" s="44"/>
      <c r="J738" s="44"/>
      <c r="K738" s="45"/>
      <c r="L738" s="1359"/>
      <c r="M738" s="45"/>
      <c r="N738" s="45"/>
      <c r="O738" s="45"/>
      <c r="P738" s="45"/>
      <c r="Q738" s="45"/>
      <c r="R738" s="45"/>
      <c r="S738" s="45"/>
      <c r="T738" s="45"/>
      <c r="U738" s="45"/>
    </row>
    <row r="739" spans="1:21" ht="18.75" x14ac:dyDescent="0.25">
      <c r="A739" s="138"/>
      <c r="B739" s="139"/>
      <c r="C739" s="139"/>
      <c r="D739" s="139"/>
      <c r="E739" s="403" t="s">
        <v>270</v>
      </c>
      <c r="F739" s="139"/>
      <c r="G739" s="143"/>
      <c r="H739" s="180"/>
      <c r="I739" s="44"/>
      <c r="J739" s="44"/>
      <c r="K739" s="45"/>
      <c r="L739" s="1359"/>
      <c r="M739" s="45"/>
      <c r="N739" s="45"/>
      <c r="O739" s="45"/>
      <c r="P739" s="45"/>
      <c r="Q739" s="45"/>
      <c r="R739" s="45"/>
      <c r="S739" s="45"/>
      <c r="T739" s="45"/>
      <c r="U739" s="45"/>
    </row>
    <row r="740" spans="1:21" ht="18.75" x14ac:dyDescent="0.25">
      <c r="A740" s="138"/>
      <c r="B740" s="139"/>
      <c r="C740" s="139"/>
      <c r="D740" s="139"/>
      <c r="E740" s="139"/>
      <c r="F740" s="403" t="s">
        <v>271</v>
      </c>
      <c r="G740" s="143"/>
      <c r="H740" s="133" t="s">
        <v>46</v>
      </c>
      <c r="I740" s="184">
        <f ca="1">IFERROR(__xludf.DUMMYFUNCTION("IMPORTRANGE(""https://docs.google.com/spreadsheets/d/1eHaY18a8A9IcSdp1K8H6x8fbOy06t2VsZHhMHf-1x7Y/edit?usp=sharing"",""แผน!GB30"")"),1000)</f>
        <v>1000</v>
      </c>
      <c r="J740" s="1395">
        <v>1000</v>
      </c>
      <c r="K740" s="224">
        <f ca="1">IF(I740&gt;0,J740*100/I740,0)</f>
        <v>100</v>
      </c>
      <c r="L740" s="1359"/>
      <c r="M740" s="45"/>
      <c r="N740" s="45"/>
      <c r="O740" s="45"/>
      <c r="P740" s="45"/>
      <c r="Q740" s="45"/>
      <c r="R740" s="45"/>
      <c r="S740" s="45"/>
      <c r="T740" s="45"/>
      <c r="U740" s="45"/>
    </row>
    <row r="741" spans="1:21" ht="18.75" x14ac:dyDescent="0.25">
      <c r="A741" s="138"/>
      <c r="B741" s="139"/>
      <c r="C741" s="139"/>
      <c r="D741" s="139"/>
      <c r="E741" s="139"/>
      <c r="F741" s="403" t="s">
        <v>272</v>
      </c>
      <c r="G741" s="143"/>
      <c r="H741" s="133" t="s">
        <v>35</v>
      </c>
      <c r="I741" s="44"/>
      <c r="J741" s="1395">
        <v>0</v>
      </c>
      <c r="K741" s="45"/>
      <c r="L741" s="1359"/>
      <c r="M741" s="45"/>
      <c r="N741" s="45"/>
      <c r="O741" s="45"/>
      <c r="P741" s="45"/>
      <c r="Q741" s="45"/>
      <c r="R741" s="45"/>
      <c r="S741" s="45"/>
      <c r="T741" s="45"/>
      <c r="U741" s="45"/>
    </row>
    <row r="742" spans="1:21" ht="18.75" x14ac:dyDescent="0.25">
      <c r="A742" s="138"/>
      <c r="B742" s="139"/>
      <c r="C742" s="139"/>
      <c r="D742" s="139"/>
      <c r="E742" s="139"/>
      <c r="F742" s="403" t="s">
        <v>273</v>
      </c>
      <c r="G742" s="143"/>
      <c r="H742" s="133" t="s">
        <v>35</v>
      </c>
      <c r="I742" s="184">
        <f ca="1">IFERROR(__xludf.DUMMYFUNCTION("IMPORTRANGE(""https://docs.google.com/spreadsheets/d/1eHaY18a8A9IcSdp1K8H6x8fbOy06t2VsZHhMHf-1x7Y/edit?usp=sharing"",""แผน!GC30"")"),100)</f>
        <v>100</v>
      </c>
      <c r="J742" s="1395">
        <v>100</v>
      </c>
      <c r="K742" s="224">
        <f ca="1">IF(I742&gt;0,J742*100/I742,0)</f>
        <v>100</v>
      </c>
      <c r="L742" s="1359"/>
      <c r="M742" s="45"/>
      <c r="N742" s="45"/>
      <c r="O742" s="45"/>
      <c r="P742" s="45"/>
      <c r="Q742" s="45"/>
      <c r="R742" s="45"/>
      <c r="S742" s="45"/>
      <c r="T742" s="45"/>
      <c r="U742" s="45"/>
    </row>
    <row r="743" spans="1:21" ht="18.75" x14ac:dyDescent="0.25">
      <c r="A743" s="138"/>
      <c r="B743" s="139"/>
      <c r="C743" s="139"/>
      <c r="D743" s="139"/>
      <c r="E743" s="403" t="s">
        <v>274</v>
      </c>
      <c r="F743" s="139"/>
      <c r="G743" s="143"/>
      <c r="H743" s="180"/>
      <c r="I743" s="44"/>
      <c r="J743" s="44"/>
      <c r="K743" s="45"/>
      <c r="L743" s="1359"/>
      <c r="M743" s="45"/>
      <c r="N743" s="45"/>
      <c r="O743" s="45"/>
      <c r="P743" s="45"/>
      <c r="Q743" s="45"/>
      <c r="R743" s="45"/>
      <c r="S743" s="45"/>
      <c r="T743" s="45"/>
      <c r="U743" s="45"/>
    </row>
    <row r="744" spans="1:21" ht="18.75" x14ac:dyDescent="0.25">
      <c r="A744" s="138"/>
      <c r="B744" s="139"/>
      <c r="C744" s="139"/>
      <c r="D744" s="139"/>
      <c r="E744" s="139"/>
      <c r="F744" s="403" t="s">
        <v>271</v>
      </c>
      <c r="G744" s="143"/>
      <c r="H744" s="133" t="s">
        <v>46</v>
      </c>
      <c r="I744" s="184">
        <f ca="1">IFERROR(__xludf.DUMMYFUNCTION("IMPORTRANGE(""https://docs.google.com/spreadsheets/d/1eHaY18a8A9IcSdp1K8H6x8fbOy06t2VsZHhMHf-1x7Y/edit?usp=sharing"",""แผน!GD30"")"),250)</f>
        <v>250</v>
      </c>
      <c r="J744" s="1395">
        <v>250</v>
      </c>
      <c r="K744" s="224">
        <f ca="1">IF(I744&gt;0,J744*100/I744,0)</f>
        <v>100</v>
      </c>
      <c r="L744" s="1359"/>
      <c r="M744" s="45"/>
      <c r="N744" s="45"/>
      <c r="O744" s="45"/>
      <c r="P744" s="45"/>
      <c r="Q744" s="45"/>
      <c r="R744" s="45"/>
      <c r="S744" s="45"/>
      <c r="T744" s="45"/>
      <c r="U744" s="45"/>
    </row>
    <row r="745" spans="1:21" ht="18.75" x14ac:dyDescent="0.25">
      <c r="A745" s="138"/>
      <c r="B745" s="139"/>
      <c r="C745" s="139"/>
      <c r="D745" s="139"/>
      <c r="E745" s="139"/>
      <c r="F745" s="403" t="s">
        <v>275</v>
      </c>
      <c r="G745" s="143"/>
      <c r="H745" s="133" t="s">
        <v>35</v>
      </c>
      <c r="I745" s="44"/>
      <c r="J745" s="1395"/>
      <c r="K745" s="45"/>
      <c r="L745" s="1359"/>
      <c r="M745" s="45"/>
      <c r="N745" s="45"/>
      <c r="O745" s="45"/>
      <c r="P745" s="45"/>
      <c r="Q745" s="45"/>
      <c r="R745" s="45"/>
      <c r="S745" s="45"/>
      <c r="T745" s="45"/>
      <c r="U745" s="45"/>
    </row>
    <row r="746" spans="1:21" ht="18.75" x14ac:dyDescent="0.25">
      <c r="A746" s="138"/>
      <c r="B746" s="139"/>
      <c r="C746" s="139"/>
      <c r="D746" s="139"/>
      <c r="E746" s="139"/>
      <c r="F746" s="403" t="s">
        <v>276</v>
      </c>
      <c r="G746" s="143"/>
      <c r="H746" s="133" t="s">
        <v>35</v>
      </c>
      <c r="I746" s="184">
        <f ca="1">IFERROR(__xludf.DUMMYFUNCTION("IMPORTRANGE(""https://docs.google.com/spreadsheets/d/1eHaY18a8A9IcSdp1K8H6x8fbOy06t2VsZHhMHf-1x7Y/edit?usp=sharing"",""แผน!GE30"")"),25)</f>
        <v>25</v>
      </c>
      <c r="J746" s="1395">
        <v>25</v>
      </c>
      <c r="K746" s="224">
        <f ca="1">IF(I746&gt;0,J746*100/I746,0)</f>
        <v>100</v>
      </c>
      <c r="L746" s="1359"/>
      <c r="M746" s="45"/>
      <c r="N746" s="45"/>
      <c r="O746" s="45"/>
      <c r="P746" s="45"/>
      <c r="Q746" s="45"/>
      <c r="R746" s="45"/>
      <c r="S746" s="45"/>
      <c r="T746" s="45"/>
      <c r="U746" s="45"/>
    </row>
    <row r="747" spans="1:21" ht="18.75" x14ac:dyDescent="0.25">
      <c r="A747" s="138"/>
      <c r="B747" s="139"/>
      <c r="C747" s="139"/>
      <c r="D747" s="139"/>
      <c r="E747" s="403" t="s">
        <v>277</v>
      </c>
      <c r="F747" s="145"/>
      <c r="G747" s="143"/>
      <c r="H747" s="180"/>
      <c r="I747" s="44"/>
      <c r="J747" s="44"/>
      <c r="K747" s="45"/>
      <c r="L747" s="1359"/>
      <c r="M747" s="45"/>
      <c r="N747" s="45"/>
      <c r="O747" s="45"/>
      <c r="P747" s="45"/>
      <c r="Q747" s="45"/>
      <c r="R747" s="45"/>
      <c r="S747" s="45"/>
      <c r="T747" s="45"/>
      <c r="U747" s="45"/>
    </row>
    <row r="748" spans="1:21" ht="18.75" x14ac:dyDescent="0.25">
      <c r="A748" s="138"/>
      <c r="B748" s="139"/>
      <c r="C748" s="139"/>
      <c r="D748" s="139"/>
      <c r="E748" s="139"/>
      <c r="F748" s="403" t="s">
        <v>278</v>
      </c>
      <c r="G748" s="143"/>
      <c r="H748" s="133" t="s">
        <v>35</v>
      </c>
      <c r="I748" s="44"/>
      <c r="J748" s="1395">
        <v>0</v>
      </c>
      <c r="K748" s="45"/>
      <c r="L748" s="1359"/>
      <c r="M748" s="45"/>
      <c r="N748" s="45"/>
      <c r="O748" s="45"/>
      <c r="P748" s="45"/>
      <c r="Q748" s="45"/>
      <c r="R748" s="45"/>
      <c r="S748" s="45"/>
      <c r="T748" s="45"/>
      <c r="U748" s="45"/>
    </row>
    <row r="749" spans="1:21" ht="18.75" x14ac:dyDescent="0.25">
      <c r="A749" s="138"/>
      <c r="B749" s="139"/>
      <c r="C749" s="139"/>
      <c r="D749" s="139"/>
      <c r="E749" s="139"/>
      <c r="F749" s="403" t="s">
        <v>279</v>
      </c>
      <c r="G749" s="143"/>
      <c r="H749" s="133" t="s">
        <v>35</v>
      </c>
      <c r="I749" s="184">
        <f ca="1">IFERROR(__xludf.DUMMYFUNCTION("IMPORTRANGE(""https://docs.google.com/spreadsheets/d/1eHaY18a8A9IcSdp1K8H6x8fbOy06t2VsZHhMHf-1x7Y/edit?usp=sharing"",""แผน!GF30"")"),3)</f>
        <v>3</v>
      </c>
      <c r="J749" s="1395">
        <v>0</v>
      </c>
      <c r="K749" s="224">
        <f ca="1">IF(I749&gt;0,J749*100/I749,0)</f>
        <v>0</v>
      </c>
      <c r="L749" s="1359"/>
      <c r="M749" s="45"/>
      <c r="N749" s="45"/>
      <c r="O749" s="45"/>
      <c r="P749" s="45"/>
      <c r="Q749" s="45"/>
      <c r="R749" s="45"/>
      <c r="S749" s="45"/>
      <c r="T749" s="45"/>
      <c r="U749" s="45"/>
    </row>
    <row r="750" spans="1:21" ht="19.5" x14ac:dyDescent="0.3">
      <c r="A750" s="138"/>
      <c r="B750" s="139"/>
      <c r="C750" s="139"/>
      <c r="D750" s="430" t="s">
        <v>50</v>
      </c>
      <c r="E750" s="139"/>
      <c r="F750" s="145"/>
      <c r="G750" s="143"/>
      <c r="H750" s="180"/>
      <c r="I750" s="44"/>
      <c r="J750" s="44"/>
      <c r="K750" s="45"/>
      <c r="L750" s="1359"/>
      <c r="M750" s="45"/>
      <c r="N750" s="45"/>
      <c r="O750" s="45"/>
      <c r="P750" s="45"/>
      <c r="Q750" s="45"/>
      <c r="R750" s="45"/>
      <c r="S750" s="45"/>
      <c r="T750" s="45"/>
      <c r="U750" s="45"/>
    </row>
    <row r="751" spans="1:21" ht="18.75" x14ac:dyDescent="0.25">
      <c r="A751" s="138"/>
      <c r="B751" s="139"/>
      <c r="C751" s="139"/>
      <c r="D751" s="139"/>
      <c r="E751" s="403" t="s">
        <v>270</v>
      </c>
      <c r="F751" s="145"/>
      <c r="G751" s="143"/>
      <c r="H751" s="180"/>
      <c r="I751" s="44"/>
      <c r="J751" s="44"/>
      <c r="K751" s="45"/>
      <c r="L751" s="1359"/>
      <c r="M751" s="45"/>
      <c r="N751" s="45"/>
      <c r="O751" s="45"/>
      <c r="P751" s="45"/>
      <c r="Q751" s="45"/>
      <c r="R751" s="45"/>
      <c r="S751" s="45"/>
      <c r="T751" s="45"/>
      <c r="U751" s="45"/>
    </row>
    <row r="752" spans="1:21" ht="18.75" x14ac:dyDescent="0.25">
      <c r="A752" s="138"/>
      <c r="B752" s="139"/>
      <c r="C752" s="139"/>
      <c r="D752" s="139"/>
      <c r="E752" s="139"/>
      <c r="F752" s="149" t="s">
        <v>280</v>
      </c>
      <c r="G752" s="143"/>
      <c r="H752" s="133" t="s">
        <v>46</v>
      </c>
      <c r="I752" s="184">
        <f ca="1">IFERROR(__xludf.DUMMYFUNCTION("IMPORTRANGE(""https://docs.google.com/spreadsheets/d/1eHaY18a8A9IcSdp1K8H6x8fbOy06t2VsZHhMHf-1x7Y/edit?usp=sharing"",""แผน!GB30"")"),1000)</f>
        <v>1000</v>
      </c>
      <c r="J752" s="1395">
        <v>0</v>
      </c>
      <c r="K752" s="224">
        <f ca="1">IF(I752&gt;0,J752*100/I752,0)</f>
        <v>0</v>
      </c>
      <c r="L752" s="1359"/>
      <c r="M752" s="45"/>
      <c r="N752" s="45"/>
      <c r="O752" s="45"/>
      <c r="P752" s="45"/>
      <c r="Q752" s="45"/>
      <c r="R752" s="45"/>
      <c r="S752" s="45"/>
      <c r="T752" s="45"/>
      <c r="U752" s="45"/>
    </row>
    <row r="753" spans="1:21" ht="18.75" x14ac:dyDescent="0.25">
      <c r="A753" s="138"/>
      <c r="B753" s="139"/>
      <c r="C753" s="139"/>
      <c r="D753" s="139"/>
      <c r="E753" s="139"/>
      <c r="F753" s="149" t="s">
        <v>281</v>
      </c>
      <c r="G753" s="143"/>
      <c r="H753" s="133" t="s">
        <v>46</v>
      </c>
      <c r="I753" s="44"/>
      <c r="J753" s="1395">
        <v>0</v>
      </c>
      <c r="K753" s="45"/>
      <c r="L753" s="1359"/>
      <c r="M753" s="45"/>
      <c r="N753" s="45"/>
      <c r="O753" s="45"/>
      <c r="P753" s="45"/>
      <c r="Q753" s="45"/>
      <c r="R753" s="45"/>
      <c r="S753" s="45"/>
      <c r="T753" s="45"/>
      <c r="U753" s="45"/>
    </row>
    <row r="754" spans="1:21" ht="18.75" x14ac:dyDescent="0.25">
      <c r="A754" s="138"/>
      <c r="B754" s="139"/>
      <c r="C754" s="139"/>
      <c r="D754" s="139"/>
      <c r="E754" s="403" t="s">
        <v>274</v>
      </c>
      <c r="F754" s="145"/>
      <c r="G754" s="143"/>
      <c r="H754" s="180"/>
      <c r="I754" s="44"/>
      <c r="J754" s="44"/>
      <c r="K754" s="45"/>
      <c r="L754" s="1359"/>
      <c r="M754" s="45"/>
      <c r="N754" s="45"/>
      <c r="O754" s="45"/>
      <c r="P754" s="45"/>
      <c r="Q754" s="45"/>
      <c r="R754" s="45"/>
      <c r="S754" s="45"/>
      <c r="T754" s="45"/>
      <c r="U754" s="45"/>
    </row>
    <row r="755" spans="1:21" ht="18.75" x14ac:dyDescent="0.25">
      <c r="A755" s="138"/>
      <c r="B755" s="139"/>
      <c r="C755" s="139"/>
      <c r="D755" s="139"/>
      <c r="E755" s="145"/>
      <c r="F755" s="149" t="s">
        <v>282</v>
      </c>
      <c r="G755" s="143"/>
      <c r="H755" s="133" t="s">
        <v>46</v>
      </c>
      <c r="I755" s="184">
        <f ca="1">IFERROR(__xludf.DUMMYFUNCTION("IMPORTRANGE(""https://docs.google.com/spreadsheets/d/1eHaY18a8A9IcSdp1K8H6x8fbOy06t2VsZHhMHf-1x7Y/edit?usp=sharing"",""แผน!GD30"")"),250)</f>
        <v>250</v>
      </c>
      <c r="J755" s="1395">
        <v>0</v>
      </c>
      <c r="K755" s="224">
        <f ca="1">IF(I755&gt;0,J755*100/I755,0)</f>
        <v>0</v>
      </c>
      <c r="L755" s="1359"/>
      <c r="M755" s="45"/>
      <c r="N755" s="45"/>
      <c r="O755" s="45"/>
      <c r="P755" s="45"/>
      <c r="Q755" s="45"/>
      <c r="R755" s="45"/>
      <c r="S755" s="45"/>
      <c r="T755" s="45"/>
      <c r="U755" s="45"/>
    </row>
    <row r="756" spans="1:21" ht="18.75" x14ac:dyDescent="0.25">
      <c r="A756" s="138"/>
      <c r="B756" s="139"/>
      <c r="C756" s="139"/>
      <c r="D756" s="139"/>
      <c r="E756" s="145"/>
      <c r="F756" s="149" t="s">
        <v>283</v>
      </c>
      <c r="G756" s="143"/>
      <c r="H756" s="133" t="s">
        <v>46</v>
      </c>
      <c r="I756" s="44"/>
      <c r="J756" s="1395">
        <v>0</v>
      </c>
      <c r="K756" s="45"/>
      <c r="L756" s="1359"/>
      <c r="M756" s="45"/>
      <c r="N756" s="45"/>
      <c r="O756" s="45"/>
      <c r="P756" s="45"/>
      <c r="Q756" s="45"/>
      <c r="R756" s="45"/>
      <c r="S756" s="45"/>
      <c r="T756" s="45"/>
      <c r="U756" s="45"/>
    </row>
    <row r="757" spans="1:21" ht="18.75" x14ac:dyDescent="0.25">
      <c r="A757" s="431"/>
      <c r="B757" s="431"/>
      <c r="C757" s="431"/>
      <c r="D757" s="431"/>
      <c r="E757" s="432" t="s">
        <v>284</v>
      </c>
      <c r="F757" s="433"/>
      <c r="G757" s="434"/>
      <c r="H757" s="435" t="s">
        <v>35</v>
      </c>
      <c r="I757" s="436"/>
      <c r="J757" s="437">
        <v>0</v>
      </c>
      <c r="K757" s="438"/>
      <c r="L757" s="438"/>
      <c r="M757" s="438"/>
      <c r="N757" s="438"/>
      <c r="O757" s="438"/>
      <c r="P757" s="438"/>
      <c r="Q757" s="438"/>
      <c r="R757" s="438"/>
      <c r="S757" s="438"/>
      <c r="T757" s="438"/>
      <c r="U757" s="438"/>
    </row>
    <row r="758" spans="1:21" ht="19.5" x14ac:dyDescent="0.3">
      <c r="A758" s="387"/>
      <c r="B758" s="388" t="s">
        <v>285</v>
      </c>
      <c r="C758" s="387"/>
      <c r="D758" s="389"/>
      <c r="E758" s="389"/>
      <c r="F758" s="389"/>
      <c r="G758" s="390"/>
      <c r="H758" s="427" t="s">
        <v>35</v>
      </c>
      <c r="I758" s="1596">
        <f ca="1">I772</f>
        <v>80</v>
      </c>
      <c r="J758" s="1596">
        <f>J772</f>
        <v>40</v>
      </c>
      <c r="K758" s="1593">
        <f ca="1">IF(I758&gt;0,J758*100/I758,0)</f>
        <v>50</v>
      </c>
      <c r="L758" s="1581"/>
      <c r="M758" s="393"/>
      <c r="N758" s="393"/>
      <c r="O758" s="393"/>
      <c r="P758" s="393"/>
      <c r="Q758" s="393"/>
      <c r="R758" s="393"/>
      <c r="S758" s="393"/>
      <c r="T758" s="393"/>
      <c r="U758" s="393"/>
    </row>
    <row r="759" spans="1:21" ht="19.5" x14ac:dyDescent="0.3">
      <c r="A759" s="429"/>
      <c r="B759" s="387"/>
      <c r="C759" s="387"/>
      <c r="D759" s="389"/>
      <c r="E759" s="389"/>
      <c r="F759" s="389"/>
      <c r="G759" s="390"/>
      <c r="H759" s="427" t="s">
        <v>46</v>
      </c>
      <c r="I759" s="1596">
        <f ca="1">I774</f>
        <v>120</v>
      </c>
      <c r="J759" s="1596">
        <f>J774</f>
        <v>120</v>
      </c>
      <c r="K759" s="1593">
        <f ca="1">IF(I759&gt;0,J759*100/I759,0)</f>
        <v>100</v>
      </c>
      <c r="L759" s="1581"/>
      <c r="M759" s="393"/>
      <c r="N759" s="393"/>
      <c r="O759" s="393"/>
      <c r="P759" s="393"/>
      <c r="Q759" s="393"/>
      <c r="R759" s="393"/>
      <c r="S759" s="393"/>
      <c r="T759" s="393"/>
      <c r="U759" s="393"/>
    </row>
    <row r="760" spans="1:21" ht="19.5" x14ac:dyDescent="0.3">
      <c r="A760" s="128"/>
      <c r="B760" s="158"/>
      <c r="C760" s="177" t="s">
        <v>18</v>
      </c>
      <c r="D760" s="1585" t="s">
        <v>19</v>
      </c>
      <c r="E760" s="1285"/>
      <c r="F760" s="1285"/>
      <c r="G760" s="1286"/>
      <c r="H760" s="221" t="s">
        <v>14</v>
      </c>
      <c r="I760" s="44"/>
      <c r="J760" s="44"/>
      <c r="K760" s="45"/>
      <c r="L760" s="1389">
        <f>L761+L762</f>
        <v>0</v>
      </c>
      <c r="M760" s="1390">
        <f>M761+M762</f>
        <v>0</v>
      </c>
      <c r="N760" s="1390">
        <f>N761+N762</f>
        <v>0</v>
      </c>
      <c r="O760" s="1390">
        <f>IF(L760&gt;0,N760*100/L760,0)</f>
        <v>0</v>
      </c>
      <c r="P760" s="1390">
        <f>IF(M760&gt;0,N760*100/M760,0)</f>
        <v>0</v>
      </c>
      <c r="Q760" s="1390">
        <f ca="1">Q761+Q762</f>
        <v>460700</v>
      </c>
      <c r="R760" s="1390">
        <f ca="1">R761+R762</f>
        <v>460700</v>
      </c>
      <c r="S760" s="1390">
        <f ca="1">S761+S762</f>
        <v>72190</v>
      </c>
      <c r="T760" s="1390">
        <f ca="1">IF(Q760&gt;0,S760*100/Q760,0)</f>
        <v>15.669633166919905</v>
      </c>
      <c r="U760" s="1390">
        <f ca="1">IF(R760&gt;0,S760*100/R760,0)</f>
        <v>15.669633166919905</v>
      </c>
    </row>
    <row r="761" spans="1:21" ht="18.75" x14ac:dyDescent="0.25">
      <c r="A761" s="128"/>
      <c r="B761" s="158"/>
      <c r="C761" s="158"/>
      <c r="D761" s="145"/>
      <c r="E761" s="156" t="s">
        <v>158</v>
      </c>
      <c r="F761" s="40"/>
      <c r="G761" s="42"/>
      <c r="H761" s="159" t="s">
        <v>14</v>
      </c>
      <c r="I761" s="44"/>
      <c r="J761" s="44"/>
      <c r="K761" s="45"/>
      <c r="L761" s="1358">
        <f>L764+L767</f>
        <v>0</v>
      </c>
      <c r="M761" s="83">
        <f>M764+M767</f>
        <v>0</v>
      </c>
      <c r="N761" s="83">
        <f>N764+N767</f>
        <v>0</v>
      </c>
      <c r="O761" s="83">
        <f>IF(L761&gt;0,N761*100/L761,0)</f>
        <v>0</v>
      </c>
      <c r="P761" s="83">
        <f>IF(M761&gt;0,N761*100/M761,0)</f>
        <v>0</v>
      </c>
      <c r="Q761" s="83">
        <f>Q764+Q767</f>
        <v>0</v>
      </c>
      <c r="R761" s="83">
        <f>R764+R767</f>
        <v>0</v>
      </c>
      <c r="S761" s="83">
        <f>S764+S767</f>
        <v>0</v>
      </c>
      <c r="T761" s="83">
        <f>IF(Q761&gt;0,S761*100/Q761,0)</f>
        <v>0</v>
      </c>
      <c r="U761" s="83">
        <f>IF(R761&gt;0,S761*100/R761,0)</f>
        <v>0</v>
      </c>
    </row>
    <row r="762" spans="1:21" ht="18.75" x14ac:dyDescent="0.25">
      <c r="A762" s="128"/>
      <c r="B762" s="158"/>
      <c r="C762" s="174"/>
      <c r="D762" s="145"/>
      <c r="E762" s="47" t="s">
        <v>159</v>
      </c>
      <c r="F762" s="40"/>
      <c r="G762" s="42"/>
      <c r="H762" s="134" t="s">
        <v>14</v>
      </c>
      <c r="I762" s="44"/>
      <c r="J762" s="44"/>
      <c r="K762" s="45"/>
      <c r="L762" s="1356">
        <f>L765+L768</f>
        <v>0</v>
      </c>
      <c r="M762" s="224">
        <f>M765+M768</f>
        <v>0</v>
      </c>
      <c r="N762" s="224">
        <f>N765+N768</f>
        <v>0</v>
      </c>
      <c r="O762" s="224">
        <f>IF(L762&gt;0,N762*100/L762,0)</f>
        <v>0</v>
      </c>
      <c r="P762" s="224">
        <f>IF(M762&gt;0,N762*100/M762,0)</f>
        <v>0</v>
      </c>
      <c r="Q762" s="224">
        <f ca="1">Q765+Q768</f>
        <v>460700</v>
      </c>
      <c r="R762" s="224">
        <f ca="1">R765+R768</f>
        <v>460700</v>
      </c>
      <c r="S762" s="224">
        <f ca="1">S765+S768</f>
        <v>72190</v>
      </c>
      <c r="T762" s="224">
        <f ca="1">IF(Q762&gt;0,S762*100/Q762,0)</f>
        <v>15.669633166919905</v>
      </c>
      <c r="U762" s="224">
        <f ca="1">IF(R762&gt;0,S762*100/R762,0)</f>
        <v>15.669633166919905</v>
      </c>
    </row>
    <row r="763" spans="1:21" ht="18.75" x14ac:dyDescent="0.25">
      <c r="A763" s="128"/>
      <c r="B763" s="158"/>
      <c r="C763" s="174"/>
      <c r="D763" s="41" t="s">
        <v>22</v>
      </c>
      <c r="E763" s="40"/>
      <c r="F763" s="40"/>
      <c r="G763" s="42"/>
      <c r="H763" s="134" t="s">
        <v>14</v>
      </c>
      <c r="I763" s="135"/>
      <c r="J763" s="135"/>
      <c r="K763" s="136"/>
      <c r="L763" s="1356">
        <f>L764+L765</f>
        <v>0</v>
      </c>
      <c r="M763" s="224">
        <f>M764+M765</f>
        <v>0</v>
      </c>
      <c r="N763" s="224">
        <f>N764+N765</f>
        <v>0</v>
      </c>
      <c r="O763" s="224">
        <f>IF(L763&gt;0,N763*100/L763,0)</f>
        <v>0</v>
      </c>
      <c r="P763" s="224">
        <f>IF(M763&gt;0,N763*100/M763,0)</f>
        <v>0</v>
      </c>
      <c r="Q763" s="224">
        <f ca="1">Q764+Q765</f>
        <v>460700</v>
      </c>
      <c r="R763" s="224">
        <f ca="1">R764+R765</f>
        <v>460700</v>
      </c>
      <c r="S763" s="224">
        <f ca="1">S764+S765</f>
        <v>72190</v>
      </c>
      <c r="T763" s="224">
        <f ca="1">IF(Q763&gt;0,S763*100/Q763,0)</f>
        <v>15.669633166919905</v>
      </c>
      <c r="U763" s="224">
        <f ca="1">IF(R763&gt;0,S763*100/R763,0)</f>
        <v>15.669633166919905</v>
      </c>
    </row>
    <row r="764" spans="1:21" ht="18.75" x14ac:dyDescent="0.25">
      <c r="A764" s="128"/>
      <c r="B764" s="158"/>
      <c r="C764" s="174"/>
      <c r="D764" s="145"/>
      <c r="E764" s="156" t="s">
        <v>158</v>
      </c>
      <c r="F764" s="40"/>
      <c r="G764" s="42"/>
      <c r="H764" s="159" t="s">
        <v>14</v>
      </c>
      <c r="I764" s="44"/>
      <c r="J764" s="44"/>
      <c r="K764" s="45"/>
      <c r="L764" s="1358">
        <v>0</v>
      </c>
      <c r="M764" s="83">
        <v>0</v>
      </c>
      <c r="N764" s="83">
        <v>0</v>
      </c>
      <c r="O764" s="83">
        <f>IF(L764&gt;0,N764*100/L764,0)</f>
        <v>0</v>
      </c>
      <c r="P764" s="83">
        <f>IF(M764&gt;0,N764*100/M764,0)</f>
        <v>0</v>
      </c>
      <c r="Q764" s="83">
        <v>0</v>
      </c>
      <c r="R764" s="83">
        <v>0</v>
      </c>
      <c r="S764" s="83">
        <v>0</v>
      </c>
      <c r="T764" s="83">
        <f>IF(Q764&gt;0,S764*100/Q764,0)</f>
        <v>0</v>
      </c>
      <c r="U764" s="83">
        <f>IF(R764&gt;0,S764*100/R764,0)</f>
        <v>0</v>
      </c>
    </row>
    <row r="765" spans="1:21" ht="18.75" x14ac:dyDescent="0.25">
      <c r="A765" s="128"/>
      <c r="B765" s="158"/>
      <c r="C765" s="174"/>
      <c r="D765" s="145"/>
      <c r="E765" s="47" t="s">
        <v>159</v>
      </c>
      <c r="F765" s="40"/>
      <c r="G765" s="42"/>
      <c r="H765" s="134" t="s">
        <v>14</v>
      </c>
      <c r="I765" s="44"/>
      <c r="J765" s="44"/>
      <c r="K765" s="45"/>
      <c r="L765" s="1356">
        <v>0</v>
      </c>
      <c r="M765" s="224">
        <v>0</v>
      </c>
      <c r="N765" s="224">
        <v>0</v>
      </c>
      <c r="O765" s="224">
        <f>IF(L765&gt;0,N765*100/L765,0)</f>
        <v>0</v>
      </c>
      <c r="P765" s="224">
        <f>IF(M765&gt;0,N765*100/M765,0)</f>
        <v>0</v>
      </c>
      <c r="Q765" s="224">
        <f ca="1">IFERROR(__xludf.DUMMYFUNCTION("IMPORTRANGE(""https://docs.google.com/spreadsheets/d/1ItG2mGa2ceCfYo0BwxsXqNm01IGEUdYcSSLTEv9YCik/edit?usp=sharing"",""เบิกจ่ายกองทุน!AA30"")"),460700)</f>
        <v>460700</v>
      </c>
      <c r="R765" s="224">
        <f ca="1">IFERROR(__xludf.DUMMYFUNCTION("IMPORTRANGE(""https://docs.google.com/spreadsheets/d/1ItG2mGa2ceCfYo0BwxsXqNm01IGEUdYcSSLTEv9YCik/edit?usp=sharing"",""เบิกจ่ายกองทุน!AB30"")"),460700)</f>
        <v>460700</v>
      </c>
      <c r="S765" s="224">
        <f ca="1">IFERROR(__xludf.DUMMYFUNCTION("IMPORTRANGE(""https://docs.google.com/spreadsheets/d/1ItG2mGa2ceCfYo0BwxsXqNm01IGEUdYcSSLTEv9YCik/edit?usp=sharing"",""เบิกจ่ายกองทุน!AC30"")"),72190)</f>
        <v>72190</v>
      </c>
      <c r="T765" s="224">
        <f ca="1">IF(Q765&gt;0,S765*100/Q765,0)</f>
        <v>15.669633166919905</v>
      </c>
      <c r="U765" s="224">
        <f ca="1">IF(R765&gt;0,S765*100/R765,0)</f>
        <v>15.669633166919905</v>
      </c>
    </row>
    <row r="766" spans="1:21" ht="18.75" x14ac:dyDescent="0.25">
      <c r="A766" s="128"/>
      <c r="B766" s="158"/>
      <c r="C766" s="158"/>
      <c r="D766" s="41" t="s">
        <v>23</v>
      </c>
      <c r="E766" s="158"/>
      <c r="F766" s="40"/>
      <c r="G766" s="42"/>
      <c r="H766" s="137" t="s">
        <v>14</v>
      </c>
      <c r="I766" s="135"/>
      <c r="J766" s="135"/>
      <c r="K766" s="136"/>
      <c r="L766" s="1356">
        <f>L767+L768</f>
        <v>0</v>
      </c>
      <c r="M766" s="224">
        <f>M767+M768</f>
        <v>0</v>
      </c>
      <c r="N766" s="224">
        <f>N767+N768</f>
        <v>0</v>
      </c>
      <c r="O766" s="224">
        <f>IF(L766&gt;0,N766*100/L766,0)</f>
        <v>0</v>
      </c>
      <c r="P766" s="224">
        <f>IF(M766&gt;0,N766*100/M766,0)</f>
        <v>0</v>
      </c>
      <c r="Q766" s="224">
        <f>Q767+Q768</f>
        <v>0</v>
      </c>
      <c r="R766" s="224">
        <f>R767+R768</f>
        <v>0</v>
      </c>
      <c r="S766" s="224">
        <f>S767+S768</f>
        <v>0</v>
      </c>
      <c r="T766" s="224">
        <f>IF(Q766&gt;0,S766*100/Q766,0)</f>
        <v>0</v>
      </c>
      <c r="U766" s="224">
        <f>IF(R766&gt;0,S766*100/R766,0)</f>
        <v>0</v>
      </c>
    </row>
    <row r="767" spans="1:21" ht="18.75" x14ac:dyDescent="0.25">
      <c r="A767" s="128"/>
      <c r="B767" s="158"/>
      <c r="C767" s="158"/>
      <c r="D767" s="158"/>
      <c r="E767" s="314" t="s">
        <v>20</v>
      </c>
      <c r="F767" s="40"/>
      <c r="G767" s="42"/>
      <c r="H767" s="159" t="s">
        <v>14</v>
      </c>
      <c r="I767" s="135"/>
      <c r="J767" s="135"/>
      <c r="K767" s="136"/>
      <c r="L767" s="1358">
        <v>0</v>
      </c>
      <c r="M767" s="83">
        <v>0</v>
      </c>
      <c r="N767" s="83">
        <v>0</v>
      </c>
      <c r="O767" s="83">
        <f>IF(L767&gt;0,N767*100/L767,0)</f>
        <v>0</v>
      </c>
      <c r="P767" s="83">
        <f>IF(M767&gt;0,N767*100/M767,0)</f>
        <v>0</v>
      </c>
      <c r="Q767" s="83">
        <v>0</v>
      </c>
      <c r="R767" s="83">
        <v>0</v>
      </c>
      <c r="S767" s="83">
        <v>0</v>
      </c>
      <c r="T767" s="83">
        <f>IF(Q767&gt;0,S767*100/Q767,0)</f>
        <v>0</v>
      </c>
      <c r="U767" s="83">
        <f>IF(R767&gt;0,S767*100/R767,0)</f>
        <v>0</v>
      </c>
    </row>
    <row r="768" spans="1:21" ht="18.75" x14ac:dyDescent="0.25">
      <c r="A768" s="128"/>
      <c r="B768" s="158"/>
      <c r="C768" s="158"/>
      <c r="D768" s="158"/>
      <c r="E768" s="209" t="s">
        <v>21</v>
      </c>
      <c r="F768" s="40"/>
      <c r="G768" s="42"/>
      <c r="H768" s="137" t="s">
        <v>14</v>
      </c>
      <c r="I768" s="135"/>
      <c r="J768" s="135"/>
      <c r="K768" s="136"/>
      <c r="L768" s="1356">
        <v>0</v>
      </c>
      <c r="M768" s="224">
        <v>0</v>
      </c>
      <c r="N768" s="224">
        <v>0</v>
      </c>
      <c r="O768" s="224">
        <f>IF(L768&gt;0,N768*100/L768,0)</f>
        <v>0</v>
      </c>
      <c r="P768" s="224">
        <f>IF(M768&gt;0,N768*100/M768,0)</f>
        <v>0</v>
      </c>
      <c r="Q768" s="224">
        <v>0</v>
      </c>
      <c r="R768" s="224">
        <v>0</v>
      </c>
      <c r="S768" s="224">
        <v>0</v>
      </c>
      <c r="T768" s="224">
        <f>IF(Q768&gt;0,S768*100/Q768,0)</f>
        <v>0</v>
      </c>
      <c r="U768" s="224">
        <f>IF(R768&gt;0,S768*100/R768,0)</f>
        <v>0</v>
      </c>
    </row>
    <row r="769" spans="1:21" ht="19.5" x14ac:dyDescent="0.3">
      <c r="A769" s="138"/>
      <c r="B769" s="139"/>
      <c r="C769" s="439" t="s">
        <v>18</v>
      </c>
      <c r="D769" s="1586" t="s">
        <v>38</v>
      </c>
      <c r="E769" s="203"/>
      <c r="F769" s="141"/>
      <c r="G769" s="142"/>
      <c r="H769" s="178"/>
      <c r="I769" s="44"/>
      <c r="J769" s="44"/>
      <c r="K769" s="45"/>
      <c r="L769" s="1359"/>
      <c r="M769" s="45"/>
      <c r="N769" s="45"/>
      <c r="O769" s="45"/>
      <c r="P769" s="45"/>
      <c r="Q769" s="45"/>
      <c r="R769" s="45"/>
      <c r="S769" s="45"/>
      <c r="T769" s="45"/>
      <c r="U769" s="45"/>
    </row>
    <row r="770" spans="1:21" ht="18.75" x14ac:dyDescent="0.25">
      <c r="A770" s="138"/>
      <c r="B770" s="139"/>
      <c r="C770" s="139"/>
      <c r="D770" s="379" t="s">
        <v>286</v>
      </c>
      <c r="E770" s="139"/>
      <c r="F770" s="145"/>
      <c r="G770" s="143"/>
      <c r="H770" s="378" t="s">
        <v>35</v>
      </c>
      <c r="I770" s="423">
        <f ca="1">IFERROR(__xludf.DUMMYFUNCTION("IMPORTRANGE(""https://docs.google.com/spreadsheets/d/1eHaY18a8A9IcSdp1K8H6x8fbOy06t2VsZHhMHf-1x7Y/edit?usp=sharing"",""แผน!FI30"")"),0)</f>
        <v>0</v>
      </c>
      <c r="J770" s="423">
        <v>0</v>
      </c>
      <c r="K770" s="83">
        <f ca="1">IF(I770&gt;0,J770*100/I770,0)</f>
        <v>0</v>
      </c>
      <c r="L770" s="1359"/>
      <c r="M770" s="45"/>
      <c r="N770" s="45"/>
      <c r="O770" s="45"/>
      <c r="P770" s="45"/>
      <c r="Q770" s="45"/>
      <c r="R770" s="45"/>
      <c r="S770" s="45"/>
      <c r="T770" s="45"/>
      <c r="U770" s="45"/>
    </row>
    <row r="771" spans="1:21" ht="18.75" x14ac:dyDescent="0.25">
      <c r="A771" s="138"/>
      <c r="B771" s="139"/>
      <c r="C771" s="139"/>
      <c r="D771" s="379" t="s">
        <v>287</v>
      </c>
      <c r="E771" s="139"/>
      <c r="F771" s="145"/>
      <c r="G771" s="143"/>
      <c r="H771" s="178"/>
      <c r="I771" s="44"/>
      <c r="J771" s="44"/>
      <c r="K771" s="45"/>
      <c r="L771" s="1359"/>
      <c r="M771" s="45"/>
      <c r="N771" s="45"/>
      <c r="O771" s="45"/>
      <c r="P771" s="45"/>
      <c r="Q771" s="45"/>
      <c r="R771" s="45"/>
      <c r="S771" s="45"/>
      <c r="T771" s="45"/>
      <c r="U771" s="45"/>
    </row>
    <row r="772" spans="1:21" ht="18.75" x14ac:dyDescent="0.25">
      <c r="A772" s="138"/>
      <c r="B772" s="139"/>
      <c r="C772" s="139"/>
      <c r="D772" s="403" t="s">
        <v>288</v>
      </c>
      <c r="E772" s="139"/>
      <c r="F772" s="145"/>
      <c r="G772" s="143"/>
      <c r="H772" s="137" t="s">
        <v>35</v>
      </c>
      <c r="I772" s="184">
        <f ca="1">IFERROR(__xludf.DUMMYFUNCTION("IMPORTRANGE(""https://docs.google.com/spreadsheets/d/1eHaY18a8A9IcSdp1K8H6x8fbOy06t2VsZHhMHf-1x7Y/edit?usp=sharing"",""แผน!FQ30"")"),80)</f>
        <v>80</v>
      </c>
      <c r="J772" s="1395">
        <v>40</v>
      </c>
      <c r="K772" s="224">
        <f ca="1">IF(I772&gt;0,J772*100/I772,0)</f>
        <v>50</v>
      </c>
      <c r="L772" s="1359"/>
      <c r="M772" s="45"/>
      <c r="N772" s="45"/>
      <c r="O772" s="45"/>
      <c r="P772" s="45"/>
      <c r="Q772" s="45"/>
      <c r="R772" s="45"/>
      <c r="S772" s="45"/>
      <c r="T772" s="45"/>
      <c r="U772" s="45"/>
    </row>
    <row r="773" spans="1:21" ht="18.75" x14ac:dyDescent="0.25">
      <c r="A773" s="138"/>
      <c r="B773" s="139"/>
      <c r="C773" s="139"/>
      <c r="D773" s="403" t="s">
        <v>289</v>
      </c>
      <c r="E773" s="139"/>
      <c r="F773" s="145"/>
      <c r="G773" s="143"/>
      <c r="H773" s="178"/>
      <c r="I773" s="44"/>
      <c r="J773" s="44"/>
      <c r="K773" s="45"/>
      <c r="L773" s="1359"/>
      <c r="M773" s="45"/>
      <c r="N773" s="45"/>
      <c r="O773" s="45"/>
      <c r="P773" s="45"/>
      <c r="Q773" s="45"/>
      <c r="R773" s="45"/>
      <c r="S773" s="45"/>
      <c r="T773" s="45"/>
      <c r="U773" s="45"/>
    </row>
    <row r="774" spans="1:21" ht="18.75" x14ac:dyDescent="0.25">
      <c r="A774" s="138"/>
      <c r="B774" s="139"/>
      <c r="C774" s="139"/>
      <c r="D774" s="403" t="s">
        <v>290</v>
      </c>
      <c r="E774" s="139"/>
      <c r="F774" s="145"/>
      <c r="G774" s="143"/>
      <c r="H774" s="137" t="s">
        <v>46</v>
      </c>
      <c r="I774" s="184">
        <f ca="1">IFERROR(__xludf.DUMMYFUNCTION("IMPORTRANGE(""https://docs.google.com/spreadsheets/d/1eHaY18a8A9IcSdp1K8H6x8fbOy06t2VsZHhMHf-1x7Y/edit?usp=sharing"",""แผน!FR30"")"),120)</f>
        <v>120</v>
      </c>
      <c r="J774" s="1395">
        <v>120</v>
      </c>
      <c r="K774" s="224">
        <f ca="1">IF(I774&gt;0,J774*100/I774,0)</f>
        <v>100</v>
      </c>
      <c r="L774" s="1359"/>
      <c r="M774" s="45"/>
      <c r="N774" s="45"/>
      <c r="O774" s="45"/>
      <c r="P774" s="45"/>
      <c r="Q774" s="45"/>
      <c r="R774" s="45"/>
      <c r="S774" s="45"/>
      <c r="T774" s="45"/>
      <c r="U774" s="45"/>
    </row>
    <row r="775" spans="1:21" ht="18.75" x14ac:dyDescent="0.25">
      <c r="A775" s="138"/>
      <c r="B775" s="139"/>
      <c r="C775" s="139"/>
      <c r="D775" s="403" t="s">
        <v>50</v>
      </c>
      <c r="E775" s="145"/>
      <c r="F775" s="40"/>
      <c r="G775" s="42"/>
      <c r="H775" s="137" t="s">
        <v>46</v>
      </c>
      <c r="I775" s="184">
        <f ca="1">IFERROR(__xludf.DUMMYFUNCTION("IMPORTRANGE(""https://docs.google.com/spreadsheets/d/1eHaY18a8A9IcSdp1K8H6x8fbOy06t2VsZHhMHf-1x7Y/edit?usp=sharing"",""แผน!FS30"")"),120)</f>
        <v>120</v>
      </c>
      <c r="J775" s="1395">
        <v>120</v>
      </c>
      <c r="K775" s="45"/>
      <c r="L775" s="1359"/>
      <c r="M775" s="45"/>
      <c r="N775" s="45"/>
      <c r="O775" s="45"/>
      <c r="P775" s="45"/>
      <c r="Q775" s="45"/>
      <c r="R775" s="45"/>
      <c r="S775" s="45"/>
      <c r="T775" s="45"/>
      <c r="U775" s="45"/>
    </row>
    <row r="776" spans="1:21" ht="18.75" x14ac:dyDescent="0.25">
      <c r="A776" s="249"/>
      <c r="B776" s="250"/>
      <c r="C776" s="250"/>
      <c r="D776" s="250"/>
      <c r="E776" s="252"/>
      <c r="F776" s="252"/>
      <c r="G776" s="52"/>
      <c r="H776" s="186" t="s">
        <v>35</v>
      </c>
      <c r="I776" s="188">
        <f ca="1">IFERROR(__xludf.DUMMYFUNCTION("IMPORTRANGE(""https://docs.google.com/spreadsheets/d/1eHaY18a8A9IcSdp1K8H6x8fbOy06t2VsZHhMHf-1x7Y/edit?usp=sharing"",""แผน!FT30"")"),80)</f>
        <v>80</v>
      </c>
      <c r="J776" s="1541">
        <v>80</v>
      </c>
      <c r="K776" s="3"/>
      <c r="L776" s="1360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9.5" x14ac:dyDescent="0.3">
      <c r="A777" s="1605" t="s">
        <v>291</v>
      </c>
      <c r="B777" s="442"/>
      <c r="C777" s="442"/>
      <c r="D777" s="441"/>
      <c r="E777" s="442"/>
      <c r="F777" s="442"/>
      <c r="G777" s="443"/>
      <c r="H777" s="1606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45"/>
      <c r="J777" s="446"/>
      <c r="K777" s="447"/>
      <c r="L777" s="447"/>
      <c r="M777" s="447"/>
      <c r="N777" s="447"/>
      <c r="O777" s="447"/>
      <c r="P777" s="447"/>
      <c r="Q777" s="447"/>
      <c r="R777" s="447"/>
      <c r="S777" s="447"/>
      <c r="T777" s="447"/>
      <c r="U777" s="447"/>
    </row>
    <row r="778" spans="1:21" ht="18.75" x14ac:dyDescent="0.25">
      <c r="A778" s="39"/>
      <c r="B778" s="47" t="s">
        <v>292</v>
      </c>
      <c r="C778" s="40"/>
      <c r="D778" s="158"/>
      <c r="E778" s="40"/>
      <c r="F778" s="40"/>
      <c r="G778" s="42"/>
      <c r="H778" s="43" t="s">
        <v>14</v>
      </c>
      <c r="I778" s="184">
        <f ca="1">IFERROR(__xludf.DUMMYFUNCTION("IMPORTRANGE(""https://docs.google.com/spreadsheets/d/10OvvATaaLtwErnr3qtWFcTmtbfpFEt5Bsqel9sXx0uE/edit?usp=sharing"",""งานกองทุน!D30"")"),2827112.07)</f>
        <v>2827112.07</v>
      </c>
      <c r="J778" s="184">
        <f ca="1">IFERROR(__xludf.DUMMYFUNCTION("IMPORTRANGE(""https://docs.google.com/spreadsheets/d/10OvvATaaLtwErnr3qtWFcTmtbfpFEt5Bsqel9sXx0uE/edit?usp=sharing"",""งานกองทุน!F30"")"),2174970.9)</f>
        <v>2174970.9</v>
      </c>
      <c r="K778" s="224">
        <f ca="1">IF(I778&gt;0,J778*100/I778,0)</f>
        <v>76.932602816838468</v>
      </c>
      <c r="L778" s="45"/>
      <c r="M778" s="45"/>
      <c r="N778" s="45"/>
      <c r="O778" s="45"/>
      <c r="P778" s="45"/>
      <c r="Q778" s="45"/>
      <c r="R778" s="45"/>
      <c r="S778" s="45"/>
      <c r="T778" s="45"/>
      <c r="U778" s="45"/>
    </row>
    <row r="779" spans="1:21" ht="18.75" x14ac:dyDescent="0.25">
      <c r="A779" s="39"/>
      <c r="B779" s="40"/>
      <c r="C779" s="40"/>
      <c r="D779" s="158"/>
      <c r="E779" s="40"/>
      <c r="F779" s="40"/>
      <c r="G779" s="42"/>
      <c r="H779" s="43" t="s">
        <v>35</v>
      </c>
      <c r="I779" s="184">
        <f ca="1">IFERROR(__xludf.DUMMYFUNCTION("IMPORTRANGE(""https://docs.google.com/spreadsheets/d/10OvvATaaLtwErnr3qtWFcTmtbfpFEt5Bsqel9sXx0uE/edit?usp=sharing"",""งานกองทุน!C30"")"),201)</f>
        <v>201</v>
      </c>
      <c r="J779" s="184">
        <f ca="1">IFERROR(__xludf.DUMMYFUNCTION("IMPORTRANGE(""https://docs.google.com/spreadsheets/d/10OvvATaaLtwErnr3qtWFcTmtbfpFEt5Bsqel9sXx0uE/edit?usp=sharing"",""งานกองทุน!E30"")"),233)</f>
        <v>233</v>
      </c>
      <c r="K779" s="224">
        <f ca="1">IF(I779&gt;0,J779*100/I779,0)</f>
        <v>115.92039800995025</v>
      </c>
      <c r="L779" s="45"/>
      <c r="M779" s="45"/>
      <c r="N779" s="45"/>
      <c r="O779" s="45"/>
      <c r="P779" s="45"/>
      <c r="Q779" s="45"/>
      <c r="R779" s="45"/>
      <c r="S779" s="45"/>
      <c r="T779" s="45"/>
      <c r="U779" s="45"/>
    </row>
    <row r="780" spans="1:21" ht="18.75" x14ac:dyDescent="0.25">
      <c r="A780" s="39"/>
      <c r="B780" s="47" t="s">
        <v>293</v>
      </c>
      <c r="C780" s="40"/>
      <c r="D780" s="158"/>
      <c r="E780" s="40"/>
      <c r="F780" s="40"/>
      <c r="G780" s="42"/>
      <c r="H780" s="43" t="s">
        <v>14</v>
      </c>
      <c r="I780" s="184">
        <f ca="1">IFERROR(__xludf.DUMMYFUNCTION("IMPORTRANGE(""https://docs.google.com/spreadsheets/d/10OvvATaaLtwErnr3qtWFcTmtbfpFEt5Bsqel9sXx0uE/edit?usp=sharing"",""งานกองทุน!I30"")"),7374248.32)</f>
        <v>7374248.3200000003</v>
      </c>
      <c r="J780" s="184">
        <f ca="1">IFERROR(__xludf.DUMMYFUNCTION("IMPORTRANGE(""https://docs.google.com/spreadsheets/d/10OvvATaaLtwErnr3qtWFcTmtbfpFEt5Bsqel9sXx0uE/edit?usp=sharing"",""งานกองทุน!K30"")"),491133.24)</f>
        <v>491133.24</v>
      </c>
      <c r="K780" s="224">
        <f ca="1">IF(I780&gt;0,J780*100/I780,0)</f>
        <v>6.6601125794472837</v>
      </c>
      <c r="L780" s="45"/>
      <c r="M780" s="45"/>
      <c r="N780" s="45"/>
      <c r="O780" s="45"/>
      <c r="P780" s="45"/>
      <c r="Q780" s="45"/>
      <c r="R780" s="45"/>
      <c r="S780" s="45"/>
      <c r="T780" s="45"/>
      <c r="U780" s="45"/>
    </row>
    <row r="781" spans="1:21" ht="18.75" x14ac:dyDescent="0.25">
      <c r="A781" s="39"/>
      <c r="B781" s="40"/>
      <c r="C781" s="40"/>
      <c r="D781" s="158"/>
      <c r="E781" s="40"/>
      <c r="F781" s="40"/>
      <c r="G781" s="42"/>
      <c r="H781" s="43" t="s">
        <v>35</v>
      </c>
      <c r="I781" s="184">
        <f ca="1">IFERROR(__xludf.DUMMYFUNCTION("IMPORTRANGE(""https://docs.google.com/spreadsheets/d/10OvvATaaLtwErnr3qtWFcTmtbfpFEt5Bsqel9sXx0uE/edit?usp=sharing"",""งานกองทุน!H30"")"),447)</f>
        <v>447</v>
      </c>
      <c r="J781" s="184">
        <f ca="1">IFERROR(__xludf.DUMMYFUNCTION("IMPORTRANGE(""https://docs.google.com/spreadsheets/d/10OvvATaaLtwErnr3qtWFcTmtbfpFEt5Bsqel9sXx0uE/edit?usp=sharing"",""งานกองทุน!J30"")"),84)</f>
        <v>84</v>
      </c>
      <c r="K781" s="224">
        <f ca="1">IF(I781&gt;0,J781*100/I781,0)</f>
        <v>18.791946308724832</v>
      </c>
      <c r="L781" s="45"/>
      <c r="M781" s="45"/>
      <c r="N781" s="45"/>
      <c r="O781" s="45"/>
      <c r="P781" s="45"/>
      <c r="Q781" s="45"/>
      <c r="R781" s="45"/>
      <c r="S781" s="45"/>
      <c r="T781" s="45"/>
      <c r="U781" s="45"/>
    </row>
    <row r="782" spans="1:21" ht="18.75" x14ac:dyDescent="0.25">
      <c r="A782" s="39"/>
      <c r="B782" s="47" t="s">
        <v>294</v>
      </c>
      <c r="C782" s="40"/>
      <c r="D782" s="158"/>
      <c r="E782" s="40"/>
      <c r="F782" s="40"/>
      <c r="G782" s="42"/>
      <c r="H782" s="43" t="s">
        <v>14</v>
      </c>
      <c r="I782" s="184">
        <f ca="1">IFERROR(__xludf.DUMMYFUNCTION("IMPORTRANGE(""https://docs.google.com/spreadsheets/d/10OvvATaaLtwErnr3qtWFcTmtbfpFEt5Bsqel9sXx0uE/edit?usp=sharing"",""งานกองทุน!N30"")"),2355666.24)</f>
        <v>2355666.2400000002</v>
      </c>
      <c r="J782" s="184">
        <f ca="1">IFERROR(__xludf.DUMMYFUNCTION("IMPORTRANGE(""https://docs.google.com/spreadsheets/d/10OvvATaaLtwErnr3qtWFcTmtbfpFEt5Bsqel9sXx0uE/edit?usp=sharing"",""งานกองทุน!P30"")"),627426.27)</f>
        <v>627426.27</v>
      </c>
      <c r="K782" s="224">
        <f ca="1">IF(I782&gt;0,J782*100/I782,0)</f>
        <v>26.634769363592014</v>
      </c>
      <c r="L782" s="45"/>
      <c r="M782" s="45"/>
      <c r="N782" s="45"/>
      <c r="O782" s="45"/>
      <c r="P782" s="45"/>
      <c r="Q782" s="45"/>
      <c r="R782" s="45"/>
      <c r="S782" s="45"/>
      <c r="T782" s="45"/>
      <c r="U782" s="45"/>
    </row>
    <row r="783" spans="1:21" ht="18.75" x14ac:dyDescent="0.25">
      <c r="A783" s="39"/>
      <c r="B783" s="40"/>
      <c r="C783" s="40"/>
      <c r="D783" s="158"/>
      <c r="E783" s="40"/>
      <c r="F783" s="40"/>
      <c r="G783" s="42"/>
      <c r="H783" s="43" t="s">
        <v>35</v>
      </c>
      <c r="I783" s="184">
        <f ca="1">IFERROR(__xludf.DUMMYFUNCTION("IMPORTRANGE(""https://docs.google.com/spreadsheets/d/10OvvATaaLtwErnr3qtWFcTmtbfpFEt5Bsqel9sXx0uE/edit?usp=sharing"",""งานกองทุน!M30"")"),208)</f>
        <v>208</v>
      </c>
      <c r="J783" s="184">
        <f ca="1">IFERROR(__xludf.DUMMYFUNCTION("IMPORTRANGE(""https://docs.google.com/spreadsheets/d/10OvvATaaLtwErnr3qtWFcTmtbfpFEt5Bsqel9sXx0uE/edit?usp=sharing"",""งานกองทุน!O30"")"),74)</f>
        <v>74</v>
      </c>
      <c r="K783" s="224">
        <f ca="1">IF(I783&gt;0,J783*100/I783,0)</f>
        <v>35.57692307692308</v>
      </c>
      <c r="L783" s="45"/>
      <c r="M783" s="45"/>
      <c r="N783" s="45"/>
      <c r="O783" s="45"/>
      <c r="P783" s="45"/>
      <c r="Q783" s="45"/>
      <c r="R783" s="45"/>
      <c r="S783" s="45"/>
      <c r="T783" s="45"/>
      <c r="U783" s="45"/>
    </row>
    <row r="784" spans="1:21" ht="18.75" x14ac:dyDescent="0.25">
      <c r="A784" s="39"/>
      <c r="B784" s="47" t="s">
        <v>295</v>
      </c>
      <c r="C784" s="40"/>
      <c r="D784" s="158"/>
      <c r="E784" s="40"/>
      <c r="F784" s="40"/>
      <c r="G784" s="42"/>
      <c r="H784" s="43" t="s">
        <v>14</v>
      </c>
      <c r="I784" s="184">
        <f ca="1">IFERROR(__xludf.DUMMYFUNCTION("IMPORTRANGE(""https://docs.google.com/spreadsheets/d/10OvvATaaLtwErnr3qtWFcTmtbfpFEt5Bsqel9sXx0uE/edit?usp=sharing"",""งานกองทุน!S30"")"),3136000)</f>
        <v>3136000</v>
      </c>
      <c r="J784" s="184">
        <f ca="1">IFERROR(__xludf.DUMMYFUNCTION("IMPORTRANGE(""https://docs.google.com/spreadsheets/d/10OvvATaaLtwErnr3qtWFcTmtbfpFEt5Bsqel9sXx0uE/edit?usp=sharing"",""งานกองทุน!U30"")"),1980000)</f>
        <v>1980000</v>
      </c>
      <c r="K784" s="224">
        <f ca="1">IF(I784&gt;0,J784*100/I784,0)</f>
        <v>63.137755102040813</v>
      </c>
      <c r="L784" s="45"/>
      <c r="M784" s="45"/>
      <c r="N784" s="45"/>
      <c r="O784" s="45"/>
      <c r="P784" s="45"/>
      <c r="Q784" s="45"/>
      <c r="R784" s="45"/>
      <c r="S784" s="45"/>
      <c r="T784" s="45"/>
      <c r="U784" s="45"/>
    </row>
    <row r="785" spans="1:21" ht="18.75" x14ac:dyDescent="0.25">
      <c r="A785" s="50"/>
      <c r="B785" s="1"/>
      <c r="C785" s="1"/>
      <c r="D785" s="2"/>
      <c r="E785" s="1"/>
      <c r="F785" s="1"/>
      <c r="G785" s="52"/>
      <c r="H785" s="53" t="s">
        <v>35</v>
      </c>
      <c r="I785" s="188">
        <f ca="1">IFERROR(__xludf.DUMMYFUNCTION("IMPORTRANGE(""https://docs.google.com/spreadsheets/d/10OvvATaaLtwErnr3qtWFcTmtbfpFEt5Bsqel9sXx0uE/edit?usp=sharing"",""งานกองทุน!R30"")"),112)</f>
        <v>112</v>
      </c>
      <c r="J785" s="188">
        <f ca="1">IFERROR(__xludf.DUMMYFUNCTION("IMPORTRANGE(""https://docs.google.com/spreadsheets/d/10OvvATaaLtwErnr3qtWFcTmtbfpFEt5Bsqel9sXx0uE/edit?usp=sharing"",""งานกองทุน!T30"")"),99)</f>
        <v>99</v>
      </c>
      <c r="K785" s="448">
        <f ca="1">IF(I785&gt;0,J785*100/I785,0)</f>
        <v>88.392857142857139</v>
      </c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2.75" x14ac:dyDescent="0.2">
      <c r="A786" s="165"/>
      <c r="B786" s="165"/>
      <c r="C786" s="165"/>
      <c r="D786" s="165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</row>
    <row r="787" spans="1:21" ht="16.5" x14ac:dyDescent="0.25">
      <c r="A787" s="1607" t="s">
        <v>296</v>
      </c>
      <c r="B787" s="165"/>
      <c r="C787" s="165"/>
      <c r="D787" s="165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</row>
    <row r="788" spans="1:21" ht="16.5" x14ac:dyDescent="0.25">
      <c r="A788" s="160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5"/>
      <c r="C788" s="165"/>
      <c r="D788" s="165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</row>
    <row r="789" spans="1:21" ht="16.5" x14ac:dyDescent="0.25">
      <c r="A789" s="1607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5"/>
      <c r="C789" s="165"/>
      <c r="D789" s="165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ageMargins left="0.70866141732283472" right="0.70866141732283472" top="0.74803149606299213" bottom="0.74803149606299213" header="0.31496062992125984" footer="0.31496062992125984"/>
  <pageSetup paperSize="9" scale="24" orientation="portrait" verticalDpi="597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dcterms:modified xsi:type="dcterms:W3CDTF">2024-07-04T03:57:24Z</dcterms:modified>
</cp:coreProperties>
</file>